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hidden" name="Basco Injection -- Main" sheetId="47" r:id="rId51"/>
    <sheet state="visible" name="Basco Injection -- COBB" sheetId="48" r:id="rId52"/>
    <sheet state="visible" name="Oil Quantites Injected by Produ" sheetId="49" r:id="rId53"/>
    <sheet state="visible" name="Detail4-2026-04-06-bio_oil" sheetId="50" r:id="rId54"/>
    <sheet state="hidden" name="Charm Tonnage Tracker" sheetId="51" r:id="rId55"/>
    <sheet state="hidden" name="Sheet58" sheetId="52" r:id="rId56"/>
    <sheet state="hidden" name="RP Summary AprilMay" sheetId="53" r:id="rId57"/>
    <sheet state="hidden" name="MRV Ops Notes vFIFO - &lt;Batch&gt;" sheetId="54" r:id="rId58"/>
    <sheet state="hidden" name="Charm Oil Density" sheetId="55" r:id="rId59"/>
    <sheet state="hidden" name="MRV Ops Notes - &lt;Batch&gt;" sheetId="56" r:id="rId60"/>
    <sheet state="hidden" name="MRV Ops Notes vManufacturo" sheetId="57" r:id="rId61"/>
    <sheet state="hidden" name="Deprecated SSoT MRV Sheet" sheetId="58" r:id="rId62"/>
    <sheet state="hidden" name="Injection Linked Sheet (do not " sheetId="59" r:id="rId63"/>
    <sheet state="hidden" name="Dipstick Matrix" sheetId="60" r:id="rId64"/>
    <sheet state="hidden" name="Basco Injection -- SOBB" sheetId="61" r:id="rId65"/>
    <sheet state="hidden" name="CTT Data Filter" sheetId="62" r:id="rId66"/>
    <sheet state="hidden" name="COBB (with offload info)" sheetId="63" r:id="rId67"/>
  </sheets>
  <definedNames>
    <definedName name="coeff_d_e3570590_c0c7_48ab_99fe_9199863db98b">#REF!</definedName>
    <definedName name="coeff_d_f6c87698_8b8a_4580_8187_533f99afdba0">#REF!</definedName>
    <definedName name="coeff_d_742bd4bf_4fb9_4c16_be4b_074d0687253b">'Basco Injection -- COBB'!$A$2:$M$89</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'Basco Injection -- Main'!$A$2:$G$6</definedName>
    <definedName name="coeff_d_396fa8a6_9922_43fe_9fc6_0833ac761b3e">#REF!</definedName>
    <definedName hidden="1" localSheetId="2" name="_xlnm._FilterDatabase">Loads!$A$1:$AW$967</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47" name="_xlnm._FilterDatabase">'Basco Injection -- COBB'!$A$2:$Z$1000</definedName>
    <definedName hidden="1" localSheetId="2" name="Z_FE912595_CAC9_4715_968D_BE526036883B_.wvu.FilterData">Loads!$A$1:$AK$967</definedName>
    <definedName hidden="1" localSheetId="4" name="Z_FE912595_CAC9_4715_968D_BE526036883B_.wvu.FilterData">'DEPRECATED 2023 PO  Injection T'!$A$1:$AR$1016</definedName>
    <definedName hidden="1" localSheetId="20" name="Z_FE912595_CAC9_4715_968D_BE526036883B_.wvu.FilterData">'v2024.05.04 2024 Delivery Plan'!$A$1:$V$988</definedName>
    <definedName hidden="1" localSheetId="2" name="Z_1455BF22_F75D_45A9_953B_3DEA8E135465_.wvu.FilterData">Loads!$A$1:$AW$967</definedName>
    <definedName hidden="1" localSheetId="4" name="Z_1455BF22_F75D_45A9_953B_3DEA8E135465_.wvu.FilterData">'DEPRECATED 2023 PO  Injection T'!$A$1:$BF$1016</definedName>
    <definedName hidden="1" localSheetId="20" name="Z_1455BF22_F75D_45A9_953B_3DEA8E135465_.wvu.FilterData">'v2024.05.04 2024 Delivery Plan'!$A$1:$AI$988</definedName>
  </definedNames>
  <calcPr/>
  <customWorkbookViews>
    <customWorkbookView activeSheetId="0" maximized="1" windowHeight="0" windowWidth="0" guid="{1455BF22-F75D-45A9-953B-3DEA8E135465}" name="Filter 2"/>
    <customWorkbookView activeSheetId="0" maximized="1" windowHeight="0" windowWidth="0" guid="{FE912595-CAC9-4715-968D-BE526036883B}"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tc={01e167cf-2545-4b11-9903-37389ba95944}</author>
    <author>tc={0fbc863b-0547-42fc-bac1-93210d964ea7}</author>
    <author>tc={1632a45d-9875-454f-a97d-8f22f215a949}</author>
    <author>tc={1bd6f00e-ab93-4a6a-b467-7c6659e42845}</author>
    <author>tc={2231069c-594b-482d-8931-5c33eec64fb5}</author>
    <author>tc={24941b5f-f31c-4a6b-b0a5-9ccee2a1e58a}</author>
    <author>tc={32939f3b-55a8-484f-84a3-7982969c6648}</author>
    <author>tc={36e4be05-b51e-4fad-a950-0e0e6a0692f4}</author>
    <author>tc={39e1f7cd-ad4f-4ef1-b6e8-7b080d258650}</author>
    <author>tc={406f8481-2e4f-42f3-a307-ba04ba1fc010}</author>
    <author>tc={44554ed2-6fea-4437-a063-ab7a64a08968}</author>
    <author>tc={48d25940-0692-4a6d-8d2b-a401fa3c5beb}</author>
    <author>tc={49e3e222-8ee0-4fbf-9106-e6817f287e52}</author>
    <author>tc={4b741c44-48a4-4b78-9e90-0a4e0e12f4ab}</author>
    <author>tc={4f398328-f574-4dc4-b0e7-80cc817d73e5}</author>
    <author>tc={5804e8fe-d9d6-425c-b991-890fd03900ee}</author>
    <author>tc={58e7ba24-3d19-47e7-858a-5ddcec7bdbcf}</author>
    <author>tc={59da5f4e-c547-4eb7-ba01-a6b26bdc0ceb}</author>
    <author>tc={612cbfc6-595c-4819-a25b-141734e91c48}</author>
    <author>tc={62289b3f-ece5-4c5d-ab8f-dc822dc5ca39}</author>
    <author>tc={6bba36a2-9570-4216-8df7-4356217f6ecb}</author>
    <author>tc={6bfea0dd-0518-4972-a215-dbe522d4b372}</author>
    <author>tc={6c3d8559-a0da-4382-89c6-d8dddbf49a58}</author>
    <author>tc={72e197d4-4747-418b-ae7a-6d0fba8103fc}</author>
    <author>tc={76cddb30-febb-4e58-9aec-d3be374b8d44}</author>
    <author>tc={8177b512-258e-4e27-91f4-94447db7d1c5}</author>
    <author>tc={82af796a-71e3-4aaf-a180-09e3cc99aa53}</author>
    <author>tc={8edbba8a-1447-4e13-a70d-3caaeb21e31c}</author>
    <author>tc={9d1f6099-9c16-4c9e-94dc-19329dddfdc5}</author>
    <author>tc={a77c64bd-498a-4578-a50a-2e6fc2b69153}</author>
    <author>tc={c12d4cca-28f2-439b-869b-5398d2f1dd96}</author>
    <author>tc={c26ac647-4d44-4d01-b66d-911f6c4b21ad}</author>
    <author>tc={c642826f-e2b0-4fb8-9cbd-a27cfd9498a2}</author>
    <author>tc={ccdd3c00-8bd6-44eb-b967-14b70c3823b5}</author>
    <author>tc={d110390a-d02e-47ca-8fc9-72917c799ae3}</author>
    <author>tc={e2fa20bc-6bcf-4f47-a3c1-0481a92c7c8e}</author>
    <author>tc={e5e1fd74-f67a-4849-897a-4da8cf4df7fa}</author>
    <author>tc={e73b1fa9-80d6-43db-91a2-30509d51c836}</author>
    <author>tc={eb90419a-d9f5-45e1-991f-1758bfa8ce6b}</author>
    <author>tc={f0ba4f9d-93b7-4f80-967d-c1ff8384b51b}</author>
    <author>tc={f20b18f4-61d9-4181-bef7-fec9d856bf61}</author>
    <author>tc={f8d5ef60-3217-48b7-81df-fbbad901651d}</author>
    <author>tc={febdfde5-743b-4840-82be-28da5cfa4800}</author>
  </authors>
  <commentList>
    <comment authorId="0" xr:uid="{01e167cf-2545-4b11-9903-37389ba95944}"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1" xr:uid="{0fbc863b-0547-42fc-bac1-93210d964ea7}"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jackson.lisec@charmindustrial.com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2" xr:uid="{1632a45d-9875-454f-a97d-8f22f215a949}"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3" xr:uid="{1bd6f00e-ab93-4a6a-b467-7c6659e42845}"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4" xr:uid="{2231069c-594b-482d-8931-5c33eec64fb5}"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5" xr:uid="{24941b5f-f31c-4a6b-b0a5-9ccee2a1e58a}"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6" xr:uid="{32939f3b-55a8-484f-84a3-7982969c6648}"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jackson.lisec@charmindustrial.com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7" xr:uid="{36e4be05-b51e-4fad-a950-0e0e6a0692f4}"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8" xr:uid="{39e1f7cd-ad4f-4ef1-b6e8-7b080d258650}"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19:27 PM
</t>
      </text>
    </comment>
    <comment authorId="9" xr:uid="{406f8481-2e4f-42f3-a307-ba04ba1fc010}"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10" xr:uid="{44554ed2-6fea-4437-a063-ab7a64a08968}"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11" xr:uid="{48d25940-0692-4a6d-8d2b-a401fa3c5beb}"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jackson.lisec@charmindustrial.com
</t>
      </text>
    </comment>
    <comment authorId="12" xr:uid="{49e3e222-8ee0-4fbf-9106-e6817f287e52}"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13" xr:uid="{4b741c44-48a4-4b78-9e90-0a4e0e12f4ab}"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14" xr:uid="{4f398328-f574-4dc4-b0e7-80cc817d73e5}"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15" xr:uid="{5804e8fe-d9d6-425c-b991-890fd03900ee}"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16" xr:uid="{58e7ba24-3d19-47e7-858a-5ddcec7bdbcf}"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22:28 PM
</t>
      </text>
    </comment>
    <comment authorId="17" xr:uid="{59da5f4e-c547-4eb7-ba01-a6b26bdc0ceb}"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18" xr:uid="{612cbfc6-595c-4819-a25b-141734e91c48}"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19" xr:uid="{62289b3f-ece5-4c5d-ab8f-dc822dc5ca39}"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20" xr:uid="{6bba36a2-9570-4216-8df7-4356217f6ecb}"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21" xr:uid="{6bfea0dd-0518-4972-a215-dbe522d4b372}"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22" xr:uid="{6c3d8559-a0da-4382-89c6-d8dddbf49a58}"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23" xr:uid="{72e197d4-4747-418b-ae7a-6d0fba8103fc}"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24" xr:uid="{76cddb30-febb-4e58-9aec-d3be374b8d4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25" xr:uid="{8177b512-258e-4e27-91f4-94447db7d1c5}"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26" xr:uid="{82af796a-71e3-4aaf-a180-09e3cc99aa5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jackson.lisec@charmindustrial.com
</t>
      </text>
    </comment>
    <comment authorId="27" xr:uid="{8edbba8a-1447-4e13-a70d-3caaeb21e31c}"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28" xr:uid="{9d1f6099-9c16-4c9e-94dc-19329dddfdc5}"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29" xr:uid="{a77c64bd-498a-4578-a50a-2e6fc2b6915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30" xr:uid="{c12d4cca-28f2-439b-869b-5398d2f1dd96}"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31" xr:uid="{c26ac647-4d44-4d01-b66d-911f6c4b21ad}"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32" xr:uid="{c642826f-e2b0-4fb8-9cbd-a27cfd9498a2}"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33" xr:uid="{ccdd3c00-8bd6-44eb-b967-14b70c3823b5}"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 authorId="34" xr:uid="{d110390a-d02e-47ca-8fc9-72917c799ae3}"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35" xr:uid="{e2fa20bc-6bcf-4f47-a3c1-0481a92c7c8e}"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36" xr:uid="{e5e1fd74-f67a-4849-897a-4da8cf4df7fa}"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19:28 PM
</t>
      </text>
    </comment>
    <comment authorId="37" xr:uid="{e73b1fa9-80d6-43db-91a2-30509d51c836}"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38" xr:uid="{eb90419a-d9f5-45e1-991f-1758bfa8ce6b}"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15:33 PM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15:29 PM
</t>
      </text>
    </comment>
    <comment authorId="39" xr:uid="{f0ba4f9d-93b7-4f80-967d-c1ff8384b51b}"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40" xr:uid="{f20b18f4-61d9-4181-bef7-fec9d856bf61}"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41" xr:uid="{f8d5ef60-3217-48b7-81df-fbbad901651d}"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42" xr:uid="{febdfde5-743b-4840-82be-28da5cfa4800}"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tc={02c9d6d7-91b6-4324-8b68-e1141cc3e6a6}</author>
    <author>tc={02fdff64-fbaa-4a15-9f6a-29f182765763}</author>
    <author>tc={042660e6-623c-4898-be58-383e00040f4f}</author>
    <author>tc={046f2445-25d0-40ea-a1aa-3a0165f78aa0}</author>
    <author>tc={0590d00c-947f-480a-8e77-ef803433ab5a}</author>
    <author>tc={082a5034-7b41-4d52-98f4-de9a5fc4486e}</author>
    <author>tc={0ac6fe2f-1fd4-4af8-8416-124b26df0533}</author>
    <author>tc={0af7e154-5946-4809-b80d-ee3dde21cd2c}</author>
    <author>tc={0f074653-8a12-4bb2-ae09-1cf782e40691}</author>
    <author>tc={0f23320c-626e-491e-a54c-2020784ac787}</author>
    <author>tc={1746dae4-72b2-4e66-8a2b-020412aeeeab}</author>
    <author>tc={17e09ffa-971d-42e6-920b-0a129791d3ee}</author>
    <author>tc={1b493f7f-bf02-4c16-8314-e4d025108394}</author>
    <author>tc={1fbcc97d-6e6f-4c33-8301-c5e0e28359cc}</author>
    <author>tc={23ce7a72-13b2-4f47-804a-91c09b3a717a}</author>
    <author>tc={2a167911-0e8b-48ff-b5ab-0aaca2d24b4a}</author>
    <author>tc={2e0530d7-0fe9-4d09-9eb2-3a6be6cd02d5}</author>
    <author>tc={3263e2fb-df83-4efb-8521-e5885e8f0054}</author>
    <author>tc={32c504cd-0913-4d9f-a37a-583ae455d299}</author>
    <author>tc={3422f8e9-308a-4a7a-a1f9-50868c820708}</author>
    <author>tc={365319d8-5bc3-4ccd-a551-4684b908c749}</author>
    <author>tc={398dd0e5-ed65-4136-9bcd-b94abd05974f}</author>
    <author>tc={3a07127b-e30a-44bb-b660-fbdbd02e86dc}</author>
    <author>tc={3a3b1b38-d1f7-418b-871c-2f71cbf1c721}</author>
    <author>tc={3b0d3b35-112c-45f3-a650-3de6fcd3dbde}</author>
    <author>tc={3d8ca5ea-e211-4517-9bd0-40ac275dba86}</author>
    <author>tc={4e84eb17-60fd-4ad3-9dce-20d38b696a71}</author>
    <author>tc={518c8be7-c208-4546-8f70-00597139c784}</author>
    <author>tc={52510980-122c-4f43-a8b4-69ac3d1bfdef}</author>
    <author>tc={545105c8-4d30-4c1a-8e15-c7a588b495e0}</author>
    <author>tc={566e7576-2d00-4c65-a5f1-46cd4299f7fb}</author>
    <author>tc={5a938f2b-2645-40ac-9154-f82789558ec4}</author>
    <author>tc={5b68c459-fc4f-48fc-8d83-94cd27d4ffc6}</author>
    <author>tc={5c911b02-573c-4b3c-b2a4-da7c27b3d85f}</author>
    <author>tc={60cf0253-fcfa-4478-bdb2-852af51058af}</author>
    <author>tc={67ce6463-48f5-4906-b52c-8a28a7602dde}</author>
    <author>tc={6933bd63-dd82-40cf-a609-441cca56daa7}</author>
    <author>tc={69cdf722-4043-4e0a-8d67-7f2b8f7a6a1e}</author>
    <author>tc={6ecc5952-8313-40a1-9e3c-ad0bc61c6f97}</author>
    <author>tc={71b8113d-178d-44ff-acfe-492d6061282a}</author>
    <author>tc={72cac20a-c5d4-45e9-8df8-3ea561c0f8ba}</author>
    <author>tc={7ac30515-299f-49a6-b80c-ec310db70044}</author>
    <author>tc={7c216af0-4fc9-4ce6-8471-2f2c3eaf639f}</author>
    <author>tc={7db5b055-09f0-4302-ada5-ecd9dbfc8ac4}</author>
    <author>tc={7f3eb47e-954e-4cd8-a6ef-9d4a82b48a4c}</author>
    <author>tc={80252a22-75f2-45a5-a361-bf4a5128f103}</author>
    <author>tc={807442ff-48d8-45ed-ac6d-d2d6db77516a}</author>
    <author>tc={82df96bd-6fbd-4df8-aeda-85883be32d5a}</author>
    <author>tc={874ca539-b2a5-42d7-9310-ea41a86c4604}</author>
    <author>tc={891e1141-5163-40ac-95d0-fcdfff498f55}</author>
    <author>tc={8df44eeb-5733-40b7-bf54-6843be34ae6e}</author>
    <author>tc={91d060ed-4681-454e-8fa1-d8fa1a1eee6b}</author>
    <author>tc={9368a266-db6c-4e23-b52e-68ad97ce5e46}</author>
    <author>tc={9516c7c2-61ab-477b-8de9-32f4bb52006c}</author>
    <author>tc={987e16b6-06e9-48dc-99d5-3c772a2e5566}</author>
    <author>tc={9a047c67-e77a-4489-8aff-9942809d5de9}</author>
    <author>tc={9a0e8a3d-3090-4e8c-ad96-d1e98a80f833}</author>
    <author>tc={9a706e8e-599b-437a-b74a-d9fe5103a727}</author>
    <author>tc={9bd49ae4-04bc-48fa-a5f1-e982fe010e28}</author>
    <author>tc={9be0ea39-c8c6-447a-8ba4-c102d9b07eb9}</author>
    <author>tc={a0470adc-4be1-4457-9102-3368cd7a27cb}</author>
    <author>tc={a38ca85c-b6c4-41d3-b25c-be0f92f60e97}</author>
    <author>tc={ab246aed-c342-4735-bf4c-4331676a6bb0}</author>
    <author>tc={ad794ddf-af97-4d0b-9475-37dcd7faaf57}</author>
    <author>tc={b13479c4-b8d4-4f29-853d-4565c3d5680c}</author>
    <author>tc={b6e73b10-4ac9-40fa-8768-232667d1fa41}</author>
    <author>tc={b6f74832-b628-437f-94f2-8b12e4187194}</author>
    <author>tc={bb6f4e0c-322a-43c8-89dd-68d1f736c81a}</author>
    <author>tc={c6473fe6-f507-48cb-bee4-8e2973b1a390}</author>
    <author>tc={c81b4a9f-1169-4db6-a957-d1f42e7520ec}</author>
    <author>tc={c9cce8df-0693-4a1c-bb03-5e03e8738fc2}</author>
    <author>tc={cbed45f8-2f06-4b12-9146-0389a2a4fb6b}</author>
    <author>tc={cf55cfbd-06f6-4bc6-8d16-e91c5e8df0e3}</author>
    <author>tc={d3236708-1066-46af-b5d0-cc3e3bdad94a}</author>
    <author>tc={d50c2d29-3f8b-4b1a-934d-497aecb32319}</author>
    <author>tc={d564cb9c-3ed7-4b8b-bc63-a9e4045a83ef}</author>
    <author>tc={d719abab-83f2-462a-95d4-1f7810c0624f}</author>
    <author>tc={d87c243b-df3c-4fda-a349-39a69347afd8}</author>
    <author>tc={d9a6090f-cabc-4f16-82e3-d1e3b6ef3960}</author>
    <author>tc={dc130b4b-510e-4d24-84eb-f4b872193491}</author>
    <author>tc={dc174051-f081-40c2-8e00-460b57d53903}</author>
    <author>tc={dd5ab451-9764-4113-a88b-ceb620a003bb}</author>
    <author>tc={de3861f7-3e17-4bda-be76-9f4611011fe9}</author>
    <author>tc={e179d029-084c-41ff-85a0-918931708b7d}</author>
    <author>tc={e1afc176-c936-4c8c-86d2-cf37f24acc05}</author>
    <author>tc={e2ae6191-1f42-42a8-9821-1ed17c718ac7}</author>
    <author>tc={e4fa15a6-7dd9-41da-a010-4cde4e676c3f}</author>
    <author>tc={e5742973-b4c3-4627-ae2f-d9a7c743a3d7}</author>
    <author>tc={e7084ace-074e-4732-8d97-d1e4fd0b7482}</author>
    <author>tc={e9210889-4aaa-4b82-9a52-531d815f071a}</author>
    <author>tc={ef297bbb-f70e-47ef-9699-6bd86c0628ae}</author>
    <author>tc={f129f0a2-18c5-4fab-b3b8-cf81b4f94abf}</author>
    <author>tc={f679f400-e665-463e-8680-5597b902bba2}</author>
    <author>tc={f77b4d36-8b4b-4b6d-9de3-0a644e957feb}</author>
    <author>tc={ff02467c-06a5-4c31-a24e-b53950245faf}</author>
  </authors>
  <commentList>
    <comment authorId="0" xr:uid="{02c9d6d7-91b6-4324-8b68-e1141cc3e6a6}"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1" xr:uid="{02fdff64-fbaa-4a15-9f6a-29f182765763}"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2" xr:uid="{042660e6-623c-4898-be58-383e00040f4f}"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3" xr:uid="{046f2445-25d0-40ea-a1aa-3a0165f78aa0}"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4" xr:uid="{0590d00c-947f-480a-8e77-ef803433ab5a}"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5" xr:uid="{082a5034-7b41-4d52-98f4-de9a5fc4486e}"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6" xr:uid="{0ac6fe2f-1fd4-4af8-8416-124b26df0533}"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7" xr:uid="{0af7e154-5946-4809-b80d-ee3dde21cd2c}"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8" xr:uid="{0f074653-8a12-4bb2-ae09-1cf782e40691}"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9" xr:uid="{0f23320c-626e-491e-a54c-2020784ac787}"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10" xr:uid="{1746dae4-72b2-4e66-8a2b-020412aeeeab}"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11" xr:uid="{17e09ffa-971d-42e6-920b-0a129791d3ee}"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12" xr:uid="{1b493f7f-bf02-4c16-8314-e4d025108394}"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13" xr:uid="{1fbcc97d-6e6f-4c33-8301-c5e0e28359cc}"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14" xr:uid="{23ce7a72-13b2-4f47-804a-91c09b3a717a}"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15" xr:uid="{2a167911-0e8b-48ff-b5ab-0aaca2d24b4a}"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16" xr:uid="{2e0530d7-0fe9-4d09-9eb2-3a6be6cd02d5}"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17" xr:uid="{3263e2fb-df83-4efb-8521-e5885e8f0054}"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18" xr:uid="{32c504cd-0913-4d9f-a37a-583ae455d299}"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19" xr:uid="{3422f8e9-308a-4a7a-a1f9-50868c820708}"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20" xr:uid="{365319d8-5bc3-4ccd-a551-4684b908c749}"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04:15 AM
</t>
      </text>
    </comment>
    <comment authorId="21" xr:uid="{398dd0e5-ed65-4136-9bcd-b94abd05974f}"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22" xr:uid="{3a07127b-e30a-44bb-b660-fbdbd02e86dc}"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23" xr:uid="{3a3b1b38-d1f7-418b-871c-2f71cbf1c721}"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24" xr:uid="{3b0d3b35-112c-45f3-a650-3de6fcd3dbde}"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25" xr:uid="{3d8ca5ea-e211-4517-9bd0-40ac275dba86}"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26" xr:uid="{4e84eb17-60fd-4ad3-9dce-20d38b696a71}"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27" xr:uid="{518c8be7-c208-4546-8f70-00597139c784}"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28" xr:uid="{52510980-122c-4f43-a8b4-69ac3d1bfdef}"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29" xr:uid="{545105c8-4d30-4c1a-8e15-c7a588b495e0}"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30" xr:uid="{566e7576-2d00-4c65-a5f1-46cd4299f7fb}"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31" xr:uid="{5a938f2b-2645-40ac-9154-f82789558ec4}"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32" xr:uid="{5b68c459-fc4f-48fc-8d83-94cd27d4ffc6}"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33" xr:uid="{5c911b02-573c-4b3c-b2a4-da7c27b3d85f}"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34" xr:uid="{60cf0253-fcfa-4478-bdb2-852af51058af}"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35" xr:uid="{67ce6463-48f5-4906-b52c-8a28a7602dde}"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36" xr:uid="{6933bd63-dd82-40cf-a609-441cca56daa7}"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37" xr:uid="{69cdf722-4043-4e0a-8d67-7f2b8f7a6a1e}"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38" xr:uid="{6ecc5952-8313-40a1-9e3c-ad0bc61c6f97}"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39" xr:uid="{71b8113d-178d-44ff-acfe-492d6061282a}"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40" xr:uid="{72cac20a-c5d4-45e9-8df8-3ea561c0f8ba}"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41" xr:uid="{7ac30515-299f-49a6-b80c-ec310db70044}"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42" xr:uid="{7c216af0-4fc9-4ce6-8471-2f2c3eaf639f}"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43" xr:uid="{7db5b055-09f0-4302-ada5-ecd9dbfc8ac4}"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44" xr:uid="{7f3eb47e-954e-4cd8-a6ef-9d4a82b48a4c}"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45" xr:uid="{80252a22-75f2-45a5-a361-bf4a5128f103}"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46" xr:uid="{807442ff-48d8-45ed-ac6d-d2d6db77516a}"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47" xr:uid="{82df96bd-6fbd-4df8-aeda-85883be32d5a}"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48" xr:uid="{874ca539-b2a5-42d7-9310-ea41a86c4604}"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49" xr:uid="{891e1141-5163-40ac-95d0-fcdfff498f55}"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 authorId="50" xr:uid="{8df44eeb-5733-40b7-bf54-6843be34ae6e}"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51" xr:uid="{91d060ed-4681-454e-8fa1-d8fa1a1eee6b}"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52" xr:uid="{9368a266-db6c-4e23-b52e-68ad97ce5e46}"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53" xr:uid="{9516c7c2-61ab-477b-8de9-32f4bb52006c}"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54" xr:uid="{987e16b6-06e9-48dc-99d5-3c772a2e5566}"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55" xr:uid="{9a047c67-e77a-4489-8aff-9942809d5de9}"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56" xr:uid="{9a0e8a3d-3090-4e8c-ad96-d1e98a80f833}"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57" xr:uid="{9a706e8e-599b-437a-b74a-d9fe5103a727}"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58" xr:uid="{9bd49ae4-04bc-48fa-a5f1-e982fe010e28}"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9" xr:uid="{9be0ea39-c8c6-447a-8ba4-c102d9b07eb9}"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60" xr:uid="{a0470adc-4be1-4457-9102-3368cd7a27cb}"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61" xr:uid="{a38ca85c-b6c4-41d3-b25c-be0f92f60e97}"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62" xr:uid="{ab246aed-c342-4735-bf4c-4331676a6bb0}"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63" xr:uid="{ad794ddf-af97-4d0b-9475-37dcd7faaf57}"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64" xr:uid="{b13479c4-b8d4-4f29-853d-4565c3d5680c}"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65" xr:uid="{b6e73b10-4ac9-40fa-8768-232667d1fa41}"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66" xr:uid="{b6f74832-b628-437f-94f2-8b12e4187194}"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67" xr:uid="{bb6f4e0c-322a-43c8-89dd-68d1f736c81a}" ref="AE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68" xr:uid="{c6473fe6-f507-48cb-bee4-8e2973b1a390}"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69" xr:uid="{c81b4a9f-1169-4db6-a957-d1f42e7520ec}"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70" xr:uid="{c9cce8df-0693-4a1c-bb03-5e03e8738fc2}"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71" xr:uid="{cbed45f8-2f06-4b12-9146-0389a2a4fb6b}"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72" xr:uid="{cf55cfbd-06f6-4bc6-8d16-e91c5e8df0e3}"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73" xr:uid="{d3236708-1066-46af-b5d0-cc3e3bdad94a}"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74" xr:uid="{d50c2d29-3f8b-4b1a-934d-497aecb32319}"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75" xr:uid="{d564cb9c-3ed7-4b8b-bc63-a9e4045a83ef}"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76" xr:uid="{d719abab-83f2-462a-95d4-1f7810c0624f}"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77" xr:uid="{d87c243b-df3c-4fda-a349-39a69347afd8}"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78" xr:uid="{d9a6090f-cabc-4f16-82e3-d1e3b6ef3960}"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79" xr:uid="{dc130b4b-510e-4d24-84eb-f4b872193491}"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80" xr:uid="{dc174051-f081-40c2-8e00-460b57d53903}"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81" xr:uid="{dd5ab451-9764-4113-a88b-ceb620a003bb}"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82" xr:uid="{de3861f7-3e17-4bda-be76-9f4611011fe9}" ref="AG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83" xr:uid="{e179d029-084c-41ff-85a0-918931708b7d}"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4" xr:uid="{e1afc176-c936-4c8c-86d2-cf37f24acc05}"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85" xr:uid="{e2ae6191-1f42-42a8-9821-1ed17c718ac7}" ref="X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00:43 AM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86" xr:uid="{e4fa15a6-7dd9-41da-a010-4cde4e676c3f}"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87" xr:uid="{e5742973-b4c3-4627-ae2f-d9a7c743a3d7}"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88" xr:uid="{e7084ace-074e-4732-8d97-d1e4fd0b7482}"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89" xr:uid="{e9210889-4aaa-4b82-9a52-531d815f071a}"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90" xr:uid="{ef297bbb-f70e-47ef-9699-6bd86c0628ae}"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91" xr:uid="{f129f0a2-18c5-4fab-b3b8-cf81b4f94abf}"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92" xr:uid="{f679f400-e665-463e-8680-5597b902bba2}"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93" xr:uid="{f77b4d36-8b4b-4b6d-9de3-0a644e957feb}"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94" xr:uid="{ff02467c-06a5-4c31-a24e-b53950245faf}"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tc={001bdb01-617e-42b2-b885-e981f890c5f9}</author>
    <author>tc={0570508f-ec71-40e5-8ff2-f8ca8fbad08d}</author>
    <author>tc={218ad008-4cf4-49f6-a28f-37fc976ad513}</author>
    <author>tc={33ecc09d-ef75-44c0-a917-6d8acc06c572}</author>
    <author>tc={4115065d-bbbd-435d-8c01-06548b4a0210}</author>
    <author>tc={4aba93c3-76a4-40a1-9733-50aba65e0ecb}</author>
    <author>tc={7498fe75-fb39-49ba-9f8d-a289de32e6e9}</author>
    <author>tc={82f0795e-bc11-4036-b9cb-7137a57abd6b}</author>
    <author>tc={878dd384-8044-4b4c-bec8-f68a8628d5e2}</author>
    <author>tc={8ef753d6-c0b8-46ad-9f50-1971638d8323}</author>
    <author>tc={90f9c474-171e-41d0-ba36-241cf56cbd64}</author>
    <author>tc={d61316da-9341-41ae-8cf3-b6890d6edaf6}</author>
    <author>tc={ddcbce8d-0e71-429b-bb1e-8d44d4679bd6}</author>
    <author>tc={e7bb2d71-b3b7-423b-9510-d35f7c58c7aa}</author>
  </authors>
  <commentList>
    <comment authorId="0" ref="AJ1">
      <text>
        <t xml:space="preserve">customs invoice + carrier invoice 
</t>
      </text>
    </comment>
    <comment authorId="1" xr:uid="{001bdb01-617e-42b2-b885-e981f890c5f9}"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2" xr:uid="{0570508f-ec71-40e5-8ff2-f8ca8fbad08d}"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3" xr:uid="{218ad008-4cf4-49f6-a28f-37fc976ad513}"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4" xr:uid="{33ecc09d-ef75-44c0-a917-6d8acc06c572}"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5" xr:uid="{4115065d-bbbd-435d-8c01-06548b4a0210}"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6" xr:uid="{4aba93c3-76a4-40a1-9733-50aba65e0ecb}"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7" xr:uid="{7498fe75-fb39-49ba-9f8d-a289de32e6e9}"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8" xr:uid="{82f0795e-bc11-4036-b9cb-7137a57abd6b}"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9" xr:uid="{878dd384-8044-4b4c-bec8-f68a8628d5e2}"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10" xr:uid="{8ef753d6-c0b8-46ad-9f50-1971638d8323}"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11" xr:uid="{90f9c474-171e-41d0-ba36-241cf56cbd64}"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12" xr:uid="{d61316da-9341-41ae-8cf3-b6890d6edaf6}"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13" xr:uid="{ddcbce8d-0e71-429b-bb1e-8d44d4679bd6}"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14" xr:uid="{e7bb2d71-b3b7-423b-9510-d35f7c58c7aa}"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tc={1778b103-f824-4ec6-b5c4-dd9d23d91ab5}</author>
    <author>tc={2a44b0b1-ce5e-4b9f-8d56-e99d33173a4c}</author>
    <author>tc={2ab9ae66-72d3-4266-ae44-509b5b576a8a}</author>
    <author>tc={3107a55b-5eab-407a-9051-77ed5518684a}</author>
    <author>tc={36e78728-0f85-4928-8518-e0959090fa33}</author>
    <author>tc={46cf64ac-58a4-4287-88a6-223893c7459b}</author>
    <author>tc={549df166-d619-425a-85d0-429f24acaf02}</author>
    <author>tc={64555112-8ff7-465b-bc57-a36614471ad5}</author>
    <author>tc={6e89efa0-a21f-47c5-92a0-4492841ec97f}</author>
    <author>tc={82517073-8800-45c4-ae91-00f2eeb7db48}</author>
    <author>tc={e4397080-d2a2-42db-812a-8965cefe093d}</author>
  </authors>
  <commentList>
    <comment authorId="0" ref="G3">
      <text>
        <t xml:space="preserve">2x full railcars + 1x partial + 20x totes</t>
      </text>
    </comment>
    <comment authorId="0" ref="G5">
      <text>
        <t xml:space="preserve">+3x railcars arrived at Maize/Yaggy</t>
      </text>
    </comment>
    <comment authorId="1" xr:uid="{1778b103-f824-4ec6-b5c4-dd9d23d91ab5}"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2" xr:uid="{2a44b0b1-ce5e-4b9f-8d56-e99d33173a4c}"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3" xr:uid="{2ab9ae66-72d3-4266-ae44-509b5b576a8a}"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4" xr:uid="{3107a55b-5eab-407a-9051-77ed5518684a}"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5" xr:uid="{36e78728-0f85-4928-8518-e0959090fa33}"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6" xr:uid="{46cf64ac-58a4-4287-88a6-223893c7459b}"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 authorId="7" xr:uid="{549df166-d619-425a-85d0-429f24acaf02}"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8" xr:uid="{64555112-8ff7-465b-bc57-a36614471ad5}"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9" xr:uid="{6e89efa0-a21f-47c5-92a0-4492841ec97f}"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01:45 AM
Assigned to katie@charmindustrial.com
</t>
      </text>
    </comment>
    <comment authorId="10" xr:uid="{82517073-8800-45c4-ae91-00f2eeb7db48}"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11" xr:uid="{e4397080-d2a2-42db-812a-8965cefe093d}"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tc={c628e137-2b24-4dbb-bf05-ea2717eb0e4d}</author>
  </authors>
  <commentList>
    <comment authorId="0" xr:uid="{c628e137-2b24-4dbb-bf05-ea2717eb0e4d}"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tc={970f42e8-855b-4d94-94b6-5f2dee76769d}</author>
    <author>tc={ed949ca7-378d-4cf3-87ab-610ae1057c47}</author>
  </authors>
  <commentList>
    <comment authorId="0" xr:uid="{970f42e8-855b-4d94-94b6-5f2dee76769d}"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ed949ca7-378d-4cf3-87ab-610ae1057c47}"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tc={360f9145-e179-4f2b-8e4e-d115b4620cfc}</author>
    <author>tc={c936a150-b12a-4146-9917-03d6d60f8e24}</author>
  </authors>
  <commentList>
    <comment authorId="0" xr:uid="{360f9145-e179-4f2b-8e4e-d115b4620cfc}"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 authorId="1" xr:uid="{c936a150-b12a-4146-9917-03d6d60f8e24}"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tc={2c1924cc-a0ae-422c-835d-6183313c4499}</author>
    <author>tc={4f84a619-1ee9-4189-b5da-4ef04dd061c5}</author>
    <author>tc={82e09ee5-f5ea-4d7d-90ed-248f9e99c5c0}</author>
    <author>tc={8588b8c3-e074-4cfc-ab38-b71312b4dc34}</author>
  </authors>
  <commentList>
    <comment authorId="0" xr:uid="{2c1924cc-a0ae-422c-835d-6183313c4499}"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1" xr:uid="{4f84a619-1ee9-4189-b5da-4ef04dd061c5}"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2" xr:uid="{82e09ee5-f5ea-4d7d-90ed-248f9e99c5c0}"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3" xr:uid="{8588b8c3-e074-4cfc-ab38-b71312b4dc34}"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tc={6f8b8955-6dd4-4705-968a-207357d445cb}</author>
  </authors>
  <commentList>
    <comment authorId="0" xr:uid="{6f8b8955-6dd4-4705-968a-207357d445cb}"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tc={2bef8d77-643d-41d1-a4c1-3ffc0e29957a}</author>
    <author>tc={4f70b529-01b1-4d76-a56b-1b8caaf9d387}</author>
    <author>tc={8c9a253e-6a25-4c8d-a5c7-2847dc911b6a}</author>
    <author>tc={95f17c7b-c518-40c8-bfb3-8479d06f9efb}</author>
  </authors>
  <commentList>
    <comment authorId="0" xr:uid="{2bef8d77-643d-41d1-a4c1-3ffc0e29957a}"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1" xr:uid="{4f70b529-01b1-4d76-a56b-1b8caaf9d387}"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2" xr:uid="{8c9a253e-6a25-4c8d-a5c7-2847dc911b6a}"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3" xr:uid="{95f17c7b-c518-40c8-bfb3-8479d06f9efb}"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tc={48a1b9d7-2bf6-4312-bea9-ca1a903ad383}</author>
    <author>tc={90a985b5-d6b7-44b7-8684-5312d0addfa5}</author>
  </authors>
  <commentList>
    <comment authorId="0" xr:uid="{48a1b9d7-2bf6-4312-bea9-ca1a903ad383}"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90a985b5-d6b7-44b7-8684-5312d0addfa5}"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tc={1ec09ca8-f071-4ddd-aaa1-f1b9d2b5f808}</author>
    <author>tc={305779a0-5e66-4062-a0a6-696f02466980}</author>
    <author>tc={53ed7081-61b7-4c70-bf8f-e35dec7ea5b5}</author>
    <author>tc={55778dfa-37c8-4b93-9e4a-4b1f02258151}</author>
    <author>tc={5aa402c7-602a-4c81-ab42-4c245ccbcd8f}</author>
    <author>tc={7809a331-0014-4e1c-8385-7a9b787401d2}</author>
    <author>tc={7dc6d7cd-3974-461b-abed-92fd6508d850}</author>
    <author>tc={83ceb7e7-bdca-4c75-bc4e-33e631c814cb}</author>
    <author>tc={ad9274d1-f3f9-4bc4-85ea-9594eee92cb3}</author>
    <author>tc={aec85f1b-0a9e-48f3-bcc0-d9b43cdafa64}</author>
    <author>tc={c683d683-ab75-4b4e-9539-3280f372ad8b}</author>
    <author>tc={c9437f4c-9113-4dec-86b1-0ef016b4a6b1}</author>
    <author>tc={d2e7aa54-56a0-4067-81ca-0a38fc07e3fd}</author>
    <author>tc={d803b6b5-b95d-4a12-be84-c0e619371128}</author>
  </authors>
  <commentList>
    <comment authorId="0" ref="Q18">
      <text>
        <t xml:space="preserve">this was not all injected because unable to get out of blending tank
what was leftover was cut with 2-15</t>
      </text>
    </commen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1" xr:uid="{1ec09ca8-f071-4ddd-aaa1-f1b9d2b5f808}"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2" xr:uid="{305779a0-5e66-4062-a0a6-696f02466980}"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3" xr:uid="{53ed7081-61b7-4c70-bf8f-e35dec7ea5b5}"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4" xr:uid="{55778dfa-37c8-4b93-9e4a-4b1f02258151}"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5" xr:uid="{5aa402c7-602a-4c81-ab42-4c245ccbcd8f}"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6" xr:uid="{7809a331-0014-4e1c-8385-7a9b787401d2}"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7" xr:uid="{7dc6d7cd-3974-461b-abed-92fd6508d850}"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8" xr:uid="{83ceb7e7-bdca-4c75-bc4e-33e631c814cb}"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9" xr:uid="{ad9274d1-f3f9-4bc4-85ea-9594eee92cb3}"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02:42 AM
</t>
      </text>
    </comment>
    <comment authorId="10" xr:uid="{aec85f1b-0a9e-48f3-bcc0-d9b43cdafa64}"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11" xr:uid="{c683d683-ab75-4b4e-9539-3280f372ad8b}"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 authorId="12" xr:uid="{c9437f4c-9113-4dec-86b1-0ef016b4a6b1}"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13" xr:uid="{d2e7aa54-56a0-4067-81ca-0a38fc07e3fd}"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4" xr:uid="{d803b6b5-b95d-4a12-be84-c0e619371128}"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tc={61824e82-ec45-4cd8-bf6f-4390c69c1a1f}</author>
  </authors>
  <commentList>
    <comment authorId="0" xr:uid="{61824e82-ec45-4cd8-bf6f-4390c69c1a1f}"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tc={35a508a9-5af5-46c8-a0b1-3111d92af8fe}</author>
    <author>tc={3dd81743-56a9-41fa-bc06-b74688a5b77d}</author>
    <author>tc={d6f5b302-8520-454e-957e-56501feb0ae3}</author>
  </authors>
  <commentList>
    <comment authorId="0" xr:uid="{35a508a9-5af5-46c8-a0b1-3111d92af8fe}"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3dd81743-56a9-41fa-bc06-b74688a5b77d}"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 authorId="2" xr:uid="{d6f5b302-8520-454e-957e-56501feb0ae3}"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tc={753f82e4-a465-4e75-983c-7aebd5d6dbc7}</author>
    <author>tc={d6cb5edc-caaf-4cda-9540-3b763a67e275}</author>
  </authors>
  <commentList>
    <comment authorId="0" xr:uid="{753f82e4-a465-4e75-983c-7aebd5d6dbc7}"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 authorId="1" xr:uid="{d6cb5edc-caaf-4cda-9540-3b763a67e275}"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tc={b6e646fe-b9bd-476d-8451-216232f57361}</author>
    <author>tc={c861dd67-37f0-4e90-bcf4-2020e8b5fdad}</author>
    <author>tc={e9fda023-142d-408f-b89c-6bd1e61c9e14}</author>
  </authors>
  <commentList>
    <comment authorId="0" xr:uid="{b6e646fe-b9bd-476d-8451-216232f57361}"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c861dd67-37f0-4e90-bcf4-2020e8b5fdad}"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e9fda023-142d-408f-b89c-6bd1e61c9e14}"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tc={061a6295-8254-4869-ba35-35bbd697cede}</author>
  </authors>
  <commentList>
    <comment authorId="0" xr:uid="{061a6295-8254-4869-ba35-35bbd697cede}"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tc={7f3d739c-3baa-41ad-9cec-eea49707d439}</author>
    <author>tc={d6bc04e3-1ebe-4d20-b3cb-dbbd6050d753}</author>
  </authors>
  <commentList>
    <comment authorId="0" xr:uid="{7f3d739c-3baa-41ad-9cec-eea49707d439}"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 authorId="1" xr:uid="{d6bc04e3-1ebe-4d20-b3cb-dbbd6050d753}"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tc={001935b2-5b70-4376-850e-7bec1aacb599}</author>
    <author>tc={0905baa4-2711-48ff-a147-8673b95cc8fd}</author>
    <author>tc={0e4a7f4f-5329-4483-9cc9-acf1e32111fb}</author>
    <author>tc={119b1925-1a3f-4d0d-9478-1b6b038d473c}</author>
    <author>tc={169a3e8c-46f2-49fe-9dc0-a08d7fea4bec}</author>
    <author>tc={1d1d8c13-9b7f-4a0d-824d-45bcd27909d9}</author>
    <author>tc={1dba5217-128f-4c97-9775-355abf79e4c8}</author>
    <author>tc={1dc72147-9a7b-4287-b86c-8ff78c805298}</author>
    <author>tc={20674075-b558-4e80-ae01-d63f58d874ca}</author>
    <author>tc={2a076524-167b-4658-98c3-7e38942885db}</author>
    <author>tc={2d826ef9-4cdf-422e-89a3-2f8d0c0f1941}</author>
    <author>tc={31877ddc-7a28-4db4-ac0c-50e24eb06448}</author>
    <author>tc={3a3062f6-481a-4450-b953-a0d92ddbe657}</author>
    <author>tc={3be03d71-723e-4c1d-a045-d85e4d4b6b7c}</author>
    <author>tc={432a8099-198c-44dc-a83f-0c12037a8723}</author>
    <author>tc={45112cd6-5794-4e23-98a1-4149392a81cf}</author>
    <author>tc={47fe2af3-b59c-4004-873c-7ded31fd36a0}</author>
    <author>tc={4ff0b848-f44d-4b72-9530-327e5e25916d}</author>
    <author>tc={518def6d-f489-4fac-bc26-1a807c3c123f}</author>
    <author>tc={54e0ec55-836e-4a79-8278-2c0240d3606d}</author>
    <author>tc={59f7a039-ae5e-4f3e-92c2-f2a9ea9f9345}</author>
    <author>tc={6b957e78-47e2-4cd8-95f0-1389caae36c9}</author>
    <author>tc={73b31e6c-7977-4ca1-9d7e-5a3c02f73159}</author>
    <author>tc={74371d1c-f0a1-45a5-b1bc-072ca2750c39}</author>
    <author>tc={743a7616-cb33-4d9b-984d-2d90a421492f}</author>
    <author>tc={7517dd50-13de-41e8-b803-dbe2568a0f6f}</author>
    <author>tc={78a67b69-1e44-40c0-9fbd-0989e6a4ceec}</author>
    <author>tc={7c45d280-6d64-40ba-a468-d12aa903cede}</author>
    <author>tc={7cf32081-6d57-4171-81b9-09e705ab0d3e}</author>
    <author>tc={7d11c199-f3a1-4fb5-a782-21839b5b2f93}</author>
    <author>tc={83d6f273-a192-42c6-83b1-a19e00001f09}</author>
    <author>tc={84f723fa-cc25-46f7-bf06-c45b10e05bee}</author>
    <author>tc={957115e6-3666-4205-947a-53325683dd6f}</author>
    <author>tc={9f3d4d75-f2e3-4eda-974c-ede0c96e9a7e}</author>
    <author>tc={b24ca4c9-f2e1-45cd-a39e-2945f60705c2}</author>
    <author>tc={b27de424-3049-4054-87e0-a00c72780d6b}</author>
    <author>tc={db3901ef-339f-4923-852d-5b5758bc8304}</author>
    <author>tc={dc6a5e3a-c291-4d9f-9e4e-1f84508a1892}</author>
    <author>tc={e52ec4e8-7b6c-4054-9330-bff6b5870c04}</author>
    <author>tc={e5ecc831-ba6b-4db0-b9d0-dc3b13c63e8a}</author>
    <author>tc={eac0f215-e552-46b7-a7d7-3cd3448275b4}</author>
    <author>tc={ebe958b6-44b3-4fbf-95eb-2dcf3e0820f0}</author>
    <author>tc={ec08806a-671c-4e3e-9b7e-b237aa93ef8f}</author>
    <author>tc={f149f59c-af1a-4200-ada2-1bdd1523892b}</author>
    <author>tc={f8d749d9-3a9c-4a42-8f6a-5379c170a8b0}</author>
    <author>tc={fb24022c-b73e-4308-a0f9-18899334118a}</author>
    <author>tc={fdfb393d-c94a-46a4-85e1-3b38f640ce6d}</author>
  </authors>
  <commentList>
    <comment authorId="0" xr:uid="{001935b2-5b70-4376-850e-7bec1aacb599}"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1" xr:uid="{0905baa4-2711-48ff-a147-8673b95cc8fd}"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2" xr:uid="{0e4a7f4f-5329-4483-9cc9-acf1e32111fb}"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3" xr:uid="{119b1925-1a3f-4d0d-9478-1b6b038d473c}"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4" xr:uid="{169a3e8c-46f2-49fe-9dc0-a08d7fea4bec}"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5" xr:uid="{1d1d8c13-9b7f-4a0d-824d-45bcd27909d9}"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18:59 PM
</t>
      </text>
    </comment>
    <comment authorId="6" xr:uid="{1dba5217-128f-4c97-9775-355abf79e4c8}"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7" xr:uid="{1dc72147-9a7b-4287-b86c-8ff78c805298}"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 authorId="8" xr:uid="{20674075-b558-4e80-ae01-d63f58d874ca}"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9" xr:uid="{2a076524-167b-4658-98c3-7e38942885db}"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10" xr:uid="{2d826ef9-4cdf-422e-89a3-2f8d0c0f1941}"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11" xr:uid="{31877ddc-7a28-4db4-ac0c-50e24eb06448}"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12" xr:uid="{3a3062f6-481a-4450-b953-a0d92ddbe657}"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13" xr:uid="{3be03d71-723e-4c1d-a045-d85e4d4b6b7c}"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4" xr:uid="{432a8099-198c-44dc-a83f-0c12037a8723}"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15" xr:uid="{45112cd6-5794-4e23-98a1-4149392a81cf}"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16" xr:uid="{47fe2af3-b59c-4004-873c-7ded31fd36a0}"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17" xr:uid="{4ff0b848-f44d-4b72-9530-327e5e25916d}"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18" xr:uid="{518def6d-f489-4fac-bc26-1a807c3c123f}"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19" xr:uid="{54e0ec55-836e-4a79-8278-2c0240d3606d}"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20" xr:uid="{59f7a039-ae5e-4f3e-92c2-f2a9ea9f9345}"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1" xr:uid="{6b957e78-47e2-4cd8-95f0-1389caae36c9}"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22" xr:uid="{73b31e6c-7977-4ca1-9d7e-5a3c02f73159}"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23" xr:uid="{74371d1c-f0a1-45a5-b1bc-072ca2750c39}"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24" xr:uid="{743a7616-cb33-4d9b-984d-2d90a421492f}"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25" xr:uid="{7517dd50-13de-41e8-b803-dbe2568a0f6f}"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26" xr:uid="{78a67b69-1e44-40c0-9fbd-0989e6a4ceec}"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27" xr:uid="{7c45d280-6d64-40ba-a468-d12aa903cede}"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28" xr:uid="{7cf32081-6d57-4171-81b9-09e705ab0d3e}"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29" xr:uid="{7d11c199-f3a1-4fb5-a782-21839b5b2f93}"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30" xr:uid="{83d6f273-a192-42c6-83b1-a19e00001f09}"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31" xr:uid="{84f723fa-cc25-46f7-bf06-c45b10e05bee}"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32" xr:uid="{957115e6-3666-4205-947a-53325683dd6f}"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3" xr:uid="{9f3d4d75-f2e3-4eda-974c-ede0c96e9a7e}"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34" xr:uid="{b24ca4c9-f2e1-45cd-a39e-2945f60705c2}"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35" xr:uid="{b27de424-3049-4054-87e0-a00c72780d6b}"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36" xr:uid="{db3901ef-339f-4923-852d-5b5758bc8304}"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18:06 PM
Reply:
	That's fine for now. We'll have an updated water content when we're back.
</t>
      </text>
    </comment>
    <comment authorId="37" xr:uid="{dc6a5e3a-c291-4d9f-9e4e-1f84508a1892}"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38" xr:uid="{e52ec4e8-7b6c-4054-9330-bff6b5870c04}"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39" xr:uid="{e5ecc831-ba6b-4db0-b9d0-dc3b13c63e8a}"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40" xr:uid="{eac0f215-e552-46b7-a7d7-3cd3448275b4}"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41" xr:uid="{ebe958b6-44b3-4fbf-95eb-2dcf3e0820f0}"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42" xr:uid="{ec08806a-671c-4e3e-9b7e-b237aa93ef8f}"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43" xr:uid="{f149f59c-af1a-4200-ada2-1bdd1523892b}"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44" xr:uid="{f8d749d9-3a9c-4a42-8f6a-5379c170a8b0}"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45" xr:uid="{fb24022c-b73e-4308-a0f9-18899334118a}"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46" xr:uid="{fdfb393d-c94a-46a4-85e1-3b38f640ce6d}"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tc={722d9a59-5616-4a1f-9e8b-51626f2f69f6}</author>
    <author>tc={a27022b2-f5d3-4898-a190-8b3997bfbbbf}</author>
    <author>tc={ecab8e73-2a8c-4854-9c41-ae4668cc2e43}</author>
    <author>tc={f9788d47-7e84-4d65-a7af-791f71d9e64d}</author>
  </authors>
  <commentList>
    <comment authorId="0" ref="B1">
      <text>
        <t xml:space="preserve">('42S02', "[42S02] [Microsoft][ODBC Driver 17 for SQL Server][SQL Server]Invalid object name 'execution.Wip_Step_Data_Collection_Field_Record'. (208) (SQLExecDirectW)")</t>
      </text>
    </comment>
    <comment authorId="1" xr:uid="{722d9a59-5616-4a1f-9e8b-51626f2f69f6}" ref="I4">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2" xr:uid="{a27022b2-f5d3-4898-a190-8b3997bfbbbf}" ref="H9">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3" xr:uid="{ecab8e73-2a8c-4854-9c41-ae4668cc2e43}" ref="Y3">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4" xr:uid="{f9788d47-7e84-4d65-a7af-791f71d9e64d}" ref="J9">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('42S02', "[42S02] [Microsoft][ODBC Driver 17 for SQL Server][SQL Server]Invalid object name 'execution.Wip_Step_Data_Collection_Field_Record'. (208) (SQLExecDirectW)")</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tc={1357bc6c-e9cb-4a96-bd93-4b6e950f40d3}</author>
    <author>tc={21426ca3-a2c3-4fcc-9033-27047a455934}</author>
    <author>tc={23d5e2e4-7b5c-4b33-aff4-c1c20872ebbe}</author>
    <author>tc={343b99b5-4455-4429-98b2-49d4b07a9882}</author>
    <author>tc={744fb548-738c-4881-a062-af0e530a0adb}</author>
    <author>tc={7eabf1b4-2a99-4a9a-ad24-15fb8e45be45}</author>
    <author>tc={853b4e69-6a15-4fc4-93d1-194802de65e0}</author>
    <author>tc={b5163097-fda8-401d-bed6-7372994735f6}</author>
    <author>tc={c19f9d70-0f60-4d8a-af57-57f2d728aa83}</author>
    <author>tc={e298dc5c-751e-4139-a4e6-b2d15ce60a09}</author>
    <author>tc={e47d713b-62c8-4575-a03b-c6b5c7eaf22e}</author>
  </authors>
  <commentList>
    <comment authorId="0" xr:uid="{1357bc6c-e9cb-4a96-bd93-4b6e950f40d3}"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1" xr:uid="{21426ca3-a2c3-4fcc-9033-27047a455934}"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 authorId="2" xr:uid="{23d5e2e4-7b5c-4b33-aff4-c1c20872ebbe}"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3" xr:uid="{343b99b5-4455-4429-98b2-49d4b07a9882}"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4" xr:uid="{744fb548-738c-4881-a062-af0e530a0adb}"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5" xr:uid="{7eabf1b4-2a99-4a9a-ad24-15fb8e45be45}"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6" xr:uid="{853b4e69-6a15-4fc4-93d1-194802de65e0}"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7" xr:uid="{b5163097-fda8-401d-bed6-7372994735f6}"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8" xr:uid="{c19f9d70-0f60-4d8a-af57-57f2d728aa83}"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9" xr:uid="{e298dc5c-751e-4139-a4e6-b2d15ce60a09}"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10" xr:uid="{e47d713b-62c8-4575-a03b-c6b5c7eaf22e}"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20:25 PM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tc={17fc0180-2a12-4851-8888-33322cf61c2e}</author>
  </authors>
  <commentList>
    <comment authorId="0" xr:uid="{17fc0180-2a12-4851-8888-33322cf61c2e}"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tc={158f6ebd-f9d2-421e-bbfd-d05db3cfc87c}</author>
    <author>tc={7df6bf23-c02d-467f-99b8-bd386ad07fff}</author>
    <author>tc={a1fdedd1-5c68-4cc1-bc2b-701eccc53e8f}</author>
    <author>tc={a4b20632-7c8a-479d-884c-44e5f5b9f092}</author>
    <author>tc={cdf2455c-4141-4ea2-a164-1757b43235bc}</author>
    <author>tc={de154c64-e108-4be3-9f78-c1b5dcf47919}</author>
  </authors>
  <commentList>
    <comment authorId="0" xr:uid="{158f6ebd-f9d2-421e-bbfd-d05db3cfc87c}"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1" xr:uid="{7df6bf23-c02d-467f-99b8-bd386ad07fff}"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2" xr:uid="{a1fdedd1-5c68-4cc1-bc2b-701eccc53e8f}"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 authorId="3" xr:uid="{a4b20632-7c8a-479d-884c-44e5f5b9f092}"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4" xr:uid="{cdf2455c-4141-4ea2-a164-1757b43235bc}"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5" xr:uid="{de154c64-e108-4be3-9f78-c1b5dcf47919}"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tc={5b86d4fc-db55-4f8b-8f54-c6236b514443}</author>
    <author>tc={621838f2-7f48-45ee-ad8b-7e13a035be53}</author>
  </authors>
  <commentList>
    <comment authorId="0" xr:uid="{5b86d4fc-db55-4f8b-8f54-c6236b514443}"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19:42 PM
Reply:
	10-4 will stand by
</t>
      </text>
    </comment>
    <comment authorId="1" xr:uid="{621838f2-7f48-45ee-ad8b-7e13a035be53}"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List>
</comments>
</file>

<file path=xl/sharedStrings.xml><?xml version="1.0" encoding="utf-8"?>
<sst xmlns="http://schemas.openxmlformats.org/spreadsheetml/2006/main" count="11888" uniqueCount="3675">
  <si>
    <t xml:space="preserve">PO Naming Convention </t>
  </si>
  <si>
    <t xml:space="preserve">Any load from AECN will have the following PO convention </t>
  </si>
  <si>
    <t>001T1R0</t>
  </si>
  <si>
    <t>- (001)</t>
  </si>
  <si>
    <t xml:space="preserve">This refers to the total number of POs, and will increase with each new PO generated </t>
  </si>
  <si>
    <t xml:space="preserve">truck to rail </t>
  </si>
  <si>
    <t>- T1</t>
  </si>
  <si>
    <t xml:space="preserve">This refers to the truck that is being loaded at AECN, and for long haul truck loads, this will always be T1, for loads going rail, this will increase with the number of trucks it takes to fill a railcar </t>
  </si>
  <si>
    <t>- R1</t>
  </si>
  <si>
    <t xml:space="preserve">This refers to the number railcar that we are filling with trucks, and will increase with each railload starting at 1 </t>
  </si>
  <si>
    <t xml:space="preserve">Any load from Maize, KS to any site will have the following PO convention </t>
  </si>
  <si>
    <t>001R1T1</t>
  </si>
  <si>
    <t xml:space="preserve">rail to truck </t>
  </si>
  <si>
    <t xml:space="preserve">This refers to the number railcar that we are unloading with trucks, and will increase with each railload starting at 1 </t>
  </si>
  <si>
    <t xml:space="preserve">This refers to the truck that is being loaded at Maize, KS location, and for loads coming from rail, this will increase with the number of trucks it takes to empty a railcar </t>
  </si>
  <si>
    <t xml:space="preserve">Any load from any location directly to Vaulted will have the following PO convention </t>
  </si>
  <si>
    <t xml:space="preserve">001V </t>
  </si>
  <si>
    <t>- V</t>
  </si>
  <si>
    <t xml:space="preserve">This refers to the load going to Vauled </t>
  </si>
  <si>
    <t>Month</t>
  </si>
  <si>
    <t>January</t>
  </si>
  <si>
    <t>February</t>
  </si>
  <si>
    <t>March</t>
  </si>
  <si>
    <t>April</t>
  </si>
  <si>
    <t>May</t>
  </si>
  <si>
    <t>June</t>
  </si>
  <si>
    <t>July</t>
  </si>
  <si>
    <t>August</t>
  </si>
  <si>
    <t>September</t>
  </si>
  <si>
    <t>October</t>
  </si>
  <si>
    <t>November</t>
  </si>
  <si>
    <t>December</t>
  </si>
  <si>
    <t>Total Metric Tons by Rail</t>
  </si>
  <si>
    <t xml:space="preserve">Total Liters by Rail </t>
  </si>
  <si>
    <t>load_id</t>
  </si>
  <si>
    <t>PO #</t>
  </si>
  <si>
    <t>BOL</t>
  </si>
  <si>
    <t>COA</t>
  </si>
  <si>
    <t>PCB Invoices (Receipt Received</t>
  </si>
  <si>
    <t>Invoice (Payment to AECN)</t>
  </si>
  <si>
    <t>Customs Document Sent (Rail)</t>
  </si>
  <si>
    <t>Supplier</t>
  </si>
  <si>
    <t>Mode</t>
  </si>
  <si>
    <t xml:space="preserve">Delivery Location </t>
  </si>
  <si>
    <t>Carrier</t>
  </si>
  <si>
    <t>ID</t>
  </si>
  <si>
    <t>Forecasted Asset ID</t>
  </si>
  <si>
    <t>Pickup Date</t>
  </si>
  <si>
    <t>Delivery Date</t>
  </si>
  <si>
    <t>MFO PO #</t>
  </si>
  <si>
    <t>Actual Loaded (metric tons)</t>
  </si>
  <si>
    <t>Gallons Loaded</t>
  </si>
  <si>
    <t>Single-Blend %C</t>
  </si>
  <si>
    <t>Carbon Content (%)</t>
  </si>
  <si>
    <t>Gross
(t CO₂e)</t>
  </si>
  <si>
    <t>Pyrolysis (t CO₂e )</t>
  </si>
  <si>
    <t>KAG Transport Distance (mi)</t>
  </si>
  <si>
    <t>KAG Transport (t CO₂e)</t>
  </si>
  <si>
    <t>TBC Transport Distance</t>
  </si>
  <si>
    <t>TBC Transport (t CO₂e)</t>
  </si>
  <si>
    <t>Train Transport Distance</t>
  </si>
  <si>
    <t>Train Transport (t CO₂e)</t>
  </si>
  <si>
    <t>Maize Transport Distance</t>
  </si>
  <si>
    <t>Maize Transport (t CO₂e)</t>
  </si>
  <si>
    <t>Bio-oil Treatment (t CO₂e)</t>
  </si>
  <si>
    <t>Hutch Transport Distance</t>
  </si>
  <si>
    <t>Hutch Transport (t CO₂e)</t>
  </si>
  <si>
    <t>Injection (t CO₂e)</t>
  </si>
  <si>
    <t>Emitted
(t CO₂e)</t>
  </si>
  <si>
    <t>Net
(t CO₂e)</t>
  </si>
  <si>
    <t xml:space="preserve">2024 t CO₂e </t>
  </si>
  <si>
    <t>t CO₂e / t bio-oil</t>
  </si>
  <si>
    <t>Blend Count</t>
  </si>
  <si>
    <t>Chip</t>
  </si>
  <si>
    <t>Link</t>
  </si>
  <si>
    <t>BOL Text</t>
  </si>
  <si>
    <t>033T1R0</t>
  </si>
  <si>
    <t>RS2-240221</t>
  </si>
  <si>
    <t>paid</t>
  </si>
  <si>
    <t>NA</t>
  </si>
  <si>
    <t>AECN</t>
  </si>
  <si>
    <t>truck</t>
  </si>
  <si>
    <t>KAG</t>
  </si>
  <si>
    <t>Guy</t>
  </si>
  <si>
    <t>Billing Camion 1117.pdf</t>
  </si>
  <si>
    <t>034T1R0</t>
  </si>
  <si>
    <t>Darryl</t>
  </si>
  <si>
    <t>Envoi des documents camion 1178.pdf</t>
  </si>
  <si>
    <t>035T1R0</t>
  </si>
  <si>
    <t>RS3-240322</t>
  </si>
  <si>
    <t>Gus/Darryl</t>
  </si>
  <si>
    <t>Envoi des documents Camion 1192.pdf</t>
  </si>
  <si>
    <t>036T1R0</t>
  </si>
  <si>
    <t>Envoi des documents Camion 1193.pdf</t>
  </si>
  <si>
    <t>037T1R0</t>
  </si>
  <si>
    <t>RS2-240401</t>
  </si>
  <si>
    <t>Gaston</t>
  </si>
  <si>
    <t>Billing doc 1211.pdf</t>
  </si>
  <si>
    <t>041T1R0</t>
  </si>
  <si>
    <t>RS1-240407</t>
  </si>
  <si>
    <t>documents camion 1233.pdf</t>
  </si>
  <si>
    <t>042T1R0</t>
  </si>
  <si>
    <t>Billing Docs 1234 Corrected PO number.pdf</t>
  </si>
  <si>
    <t>038-040T2R1</t>
  </si>
  <si>
    <t>RS3-240404</t>
  </si>
  <si>
    <t>train</t>
  </si>
  <si>
    <t xml:space="preserve">Transport Baie-Comeau </t>
  </si>
  <si>
    <t>STPX 094926</t>
  </si>
  <si>
    <t>038T2R1 + 039T2R1 + 040T2R1 Apr 8 &amp; 9 Pickups STPX094926</t>
  </si>
  <si>
    <t>043T1R0</t>
  </si>
  <si>
    <t>RS3-240429</t>
  </si>
  <si>
    <t>Envoi des documents 1301.pdf</t>
  </si>
  <si>
    <t>044T1R0</t>
  </si>
  <si>
    <t>Envoi des documents 1302.pdf</t>
  </si>
  <si>
    <t>045-047T2R2</t>
  </si>
  <si>
    <t>RS2-240428</t>
  </si>
  <si>
    <t>STPX 094627</t>
  </si>
  <si>
    <t>045T2R2 - 047T2R2 4/30-5/1 Pickups STPX094627</t>
  </si>
  <si>
    <t>048-050T2R3</t>
  </si>
  <si>
    <t>STPX 094625</t>
  </si>
  <si>
    <t>048-050T2R3 5/1-5/2 Pickups STPX094625</t>
  </si>
  <si>
    <t>051-053T2R4</t>
  </si>
  <si>
    <t xml:space="preserve">RS3-240429 and RS1-240501 </t>
  </si>
  <si>
    <t>STPX 094624</t>
  </si>
  <si>
    <t>051-053T2R4 5/3-5/6 Pickups SPTX94624</t>
  </si>
  <si>
    <t>054T1R0</t>
  </si>
  <si>
    <t>RS1-240501</t>
  </si>
  <si>
    <t>Documents camion 1305.pdf</t>
  </si>
  <si>
    <t>055T1R0</t>
  </si>
  <si>
    <t>Documents camion 1306.pdf</t>
  </si>
  <si>
    <t>056T1R0</t>
  </si>
  <si>
    <t>Billing Documents 1307.pdf</t>
  </si>
  <si>
    <t>057T1R0</t>
  </si>
  <si>
    <t>Billing Docs 1308 PO 057T1R0.pdf</t>
  </si>
  <si>
    <t>058T1R0</t>
  </si>
  <si>
    <t>Queensway Transport</t>
  </si>
  <si>
    <t>Furgusson</t>
  </si>
  <si>
    <t>Billing Docs Load 1309 PO 058T1R0.pdf</t>
  </si>
  <si>
    <t>059T1R0</t>
  </si>
  <si>
    <t>Gus</t>
  </si>
  <si>
    <t>Billing documents 1310.pdf</t>
  </si>
  <si>
    <t>070T1R0</t>
  </si>
  <si>
    <t>Paul/Stephen</t>
  </si>
  <si>
    <t>Billing Docs 1311 PO 070T1R0.pdf</t>
  </si>
  <si>
    <t>069T1R0</t>
  </si>
  <si>
    <t>Billing docs 1313.pdf</t>
  </si>
  <si>
    <t>071T1R0</t>
  </si>
  <si>
    <t>072T1R0</t>
  </si>
  <si>
    <t>Cherylann</t>
  </si>
  <si>
    <t>Renee/Mac</t>
  </si>
  <si>
    <t>documents camion 1314.pdf</t>
  </si>
  <si>
    <t>073T1R0</t>
  </si>
  <si>
    <t>RS2-240504</t>
  </si>
  <si>
    <t>Paul/Patrick</t>
  </si>
  <si>
    <t>Billing Documents 1315 Corrected P3.pdf</t>
  </si>
  <si>
    <t>074T1R0</t>
  </si>
  <si>
    <t>Billing documents Truck 1316.pdf</t>
  </si>
  <si>
    <t>075T1R0</t>
  </si>
  <si>
    <t>Envoi des documents Camion 1317 Correction.pdf</t>
  </si>
  <si>
    <t>076T1R0</t>
  </si>
  <si>
    <t>Raymond</t>
  </si>
  <si>
    <t>Envoi des documents Camion 1318 Correction.pdf</t>
  </si>
  <si>
    <t>077T1R0</t>
  </si>
  <si>
    <t>RS3-240607</t>
  </si>
  <si>
    <t>Envoi des documents camion 1332.pdf</t>
  </si>
  <si>
    <t>078T1R0</t>
  </si>
  <si>
    <t>Envoi des documents camion 1333.pdf</t>
  </si>
  <si>
    <t>079T1R0</t>
  </si>
  <si>
    <t>RS1-240609</t>
  </si>
  <si>
    <t>Billing documents 1336.pdf</t>
  </si>
  <si>
    <t>080T1R0</t>
  </si>
  <si>
    <t>Envoi des documents truck 1338.pdf</t>
  </si>
  <si>
    <t>081T1R0</t>
  </si>
  <si>
    <t>RS1-240617</t>
  </si>
  <si>
    <t>Envoi des documents Camion 1370.pdf</t>
  </si>
  <si>
    <t>060-62T2R6</t>
  </si>
  <si>
    <t>RS1-240617; RS3-240613</t>
  </si>
  <si>
    <t>Watco</t>
  </si>
  <si>
    <t>GATX 032974</t>
  </si>
  <si>
    <t>060T2R1-062T2R1 6/20-6/21 Pickups GATX032974</t>
  </si>
  <si>
    <t>063-65T2R6</t>
  </si>
  <si>
    <t>RS2- 240623</t>
  </si>
  <si>
    <t>GATX 032959</t>
  </si>
  <si>
    <t>063T2R5-065T2R5 6/26-6/27 Pickups GATX032959</t>
  </si>
  <si>
    <t>066-68T2R6</t>
  </si>
  <si>
    <t>RS3-240626</t>
  </si>
  <si>
    <t>GATX 032958</t>
  </si>
  <si>
    <t>066T2R6-068T2R6 Jun 27 &amp; Jun 28 Pickups GATX032958</t>
  </si>
  <si>
    <t>JulyRAIL1-3</t>
  </si>
  <si>
    <t>1400, 1402, 1404</t>
  </si>
  <si>
    <r>
      <rPr>
        <rFont val="Arial"/>
        <color rgb="FF1155CC"/>
        <sz val="8.0"/>
        <u/>
      </rPr>
      <t>RS1-240629</t>
    </r>
    <r>
      <rPr>
        <rFont val="Arial"/>
        <sz val="8.0"/>
      </rPr>
      <t xml:space="preserve">; </t>
    </r>
    <r>
      <rPr>
        <rFont val="Arial"/>
        <color rgb="FF1155CC"/>
        <sz val="8.0"/>
        <u/>
      </rPr>
      <t>RS1-240702</t>
    </r>
  </si>
  <si>
    <t>GATX 032975</t>
  </si>
  <si>
    <t>JulyRAIL4-6</t>
  </si>
  <si>
    <t>1409, 1406, 1412</t>
  </si>
  <si>
    <t>RS2-240702</t>
  </si>
  <si>
    <t>STPX 094626</t>
  </si>
  <si>
    <t>JulyRAIL7-9</t>
  </si>
  <si>
    <t>1425, 1426, 1428</t>
  </si>
  <si>
    <t>RS2-240707</t>
  </si>
  <si>
    <t>GATX 032955</t>
  </si>
  <si>
    <t>JulyRAIL 2 1-3</t>
  </si>
  <si>
    <t>1466, 1532, 1533</t>
  </si>
  <si>
    <t>RS1-240815-1</t>
  </si>
  <si>
    <t>GATX 070118</t>
  </si>
  <si>
    <t>August2024Rail1-3</t>
  </si>
  <si>
    <t>1536, 1548, 1550</t>
  </si>
  <si>
    <r>
      <rPr>
        <rFont val="Arial"/>
        <color rgb="FF1155CC"/>
        <sz val="8.0"/>
        <u/>
      </rPr>
      <t>RS1-240815-1</t>
    </r>
    <r>
      <rPr>
        <rFont val="Arial"/>
        <sz val="8.0"/>
      </rPr>
      <t xml:space="preserve">; </t>
    </r>
    <r>
      <rPr>
        <rFont val="Arial"/>
        <color rgb="FF1155CC"/>
        <sz val="8.0"/>
        <u/>
      </rPr>
      <t>RS2-240822-1</t>
    </r>
  </si>
  <si>
    <t>GATX 003395</t>
  </si>
  <si>
    <t>August2024Rail4-6</t>
  </si>
  <si>
    <t>1605, 1607, 1610</t>
  </si>
  <si>
    <r>
      <rPr>
        <rFont val="Arial"/>
        <color rgb="FF1155CC"/>
        <sz val="8.0"/>
        <u/>
      </rPr>
      <t>RS3-240913-1</t>
    </r>
    <r>
      <rPr>
        <rFont val="Arial"/>
        <sz val="8.0"/>
      </rPr>
      <t xml:space="preserve">; </t>
    </r>
    <r>
      <rPr>
        <rFont val="Arial"/>
        <color rgb="FF1155CC"/>
        <sz val="8.0"/>
        <u/>
      </rPr>
      <t>RS2-240916-1</t>
    </r>
  </si>
  <si>
    <t>GATX 070110</t>
  </si>
  <si>
    <t>Oct2024Rail1-3</t>
  </si>
  <si>
    <t>1648, 1651, 1653</t>
  </si>
  <si>
    <r>
      <rPr>
        <rFont val="Arial"/>
        <color rgb="FF1155CC"/>
        <sz val="8.0"/>
        <u/>
      </rPr>
      <t>RS2-241001-1</t>
    </r>
    <r>
      <rPr>
        <rFont val="Arial"/>
        <sz val="8.0"/>
      </rPr>
      <t xml:space="preserve">; </t>
    </r>
    <r>
      <rPr>
        <rFont val="Arial"/>
        <color rgb="FF1155CC"/>
        <sz val="8.0"/>
        <u/>
      </rPr>
      <t>RS3-241002-1</t>
    </r>
  </si>
  <si>
    <t>Oct2024Rail4-6</t>
  </si>
  <si>
    <t>1655, 1657, 1659</t>
  </si>
  <si>
    <t xml:space="preserve">RS3-241002-1 </t>
  </si>
  <si>
    <t>Oct2024Truck 1</t>
  </si>
  <si>
    <t>RS3-241022-1</t>
  </si>
  <si>
    <t>payment processing</t>
  </si>
  <si>
    <t>Oct2024Rail 7-9</t>
  </si>
  <si>
    <t>1702, 1703, 1704</t>
  </si>
  <si>
    <t>RS2-241018-1</t>
  </si>
  <si>
    <t>Oct2024Rail10-12</t>
  </si>
  <si>
    <t>1705, 1706, 1707</t>
  </si>
  <si>
    <t>Oct2024Rail2 1-3</t>
  </si>
  <si>
    <t>1708,  1720, 1721</t>
  </si>
  <si>
    <t>RS2-241018-1; RS1-241026-1</t>
  </si>
  <si>
    <t>Nov2024Truck 1</t>
  </si>
  <si>
    <t>RS3-241104-1</t>
  </si>
  <si>
    <t>Nov2024Truck 2</t>
  </si>
  <si>
    <t>RS1-241107-1</t>
  </si>
  <si>
    <t>Contrans</t>
  </si>
  <si>
    <t>Jacob</t>
  </si>
  <si>
    <t>Nov2024Truck 3</t>
  </si>
  <si>
    <t>Mike</t>
  </si>
  <si>
    <t>Nov2024Truck 4</t>
  </si>
  <si>
    <t>Luc</t>
  </si>
  <si>
    <t>Nov2024Truck 5</t>
  </si>
  <si>
    <t>Gord</t>
  </si>
  <si>
    <t>Nov2024Truck 6</t>
  </si>
  <si>
    <t>Andrew</t>
  </si>
  <si>
    <t>Nov2024Truck 7</t>
  </si>
  <si>
    <t>RS3-241114-1</t>
  </si>
  <si>
    <t>Nov2024Truck 8</t>
  </si>
  <si>
    <t>Nov2024Truck 9</t>
  </si>
  <si>
    <t>Dave R</t>
  </si>
  <si>
    <t>Nov2024Truck 10</t>
  </si>
  <si>
    <t>RS2-241119-1</t>
  </si>
  <si>
    <t>Nov2024Truck 11</t>
  </si>
  <si>
    <t>Nov2024Truck 12</t>
  </si>
  <si>
    <t>Corey</t>
  </si>
  <si>
    <t>Nov2024Truck 13</t>
  </si>
  <si>
    <t>Nov2024Truck 14</t>
  </si>
  <si>
    <t>Nov2024Truck 15</t>
  </si>
  <si>
    <t>Gord/Gavin</t>
  </si>
  <si>
    <t>Nov2024Truck 16</t>
  </si>
  <si>
    <t>Keith</t>
  </si>
  <si>
    <t>Nov2024Truck 17</t>
  </si>
  <si>
    <t>RS3-241121-1</t>
  </si>
  <si>
    <t>Backensie/Mclnnis</t>
  </si>
  <si>
    <t>Dec2024 Truck 1</t>
  </si>
  <si>
    <t>Dec2024 Truck 2</t>
  </si>
  <si>
    <t>Tim</t>
  </si>
  <si>
    <t>Dec2024 Truck 3</t>
  </si>
  <si>
    <t>RS1-241203-1</t>
  </si>
  <si>
    <t>Dec2024 Truck 4</t>
  </si>
  <si>
    <t>Jason</t>
  </si>
  <si>
    <t>Dec2024 Truck 5</t>
  </si>
  <si>
    <t>Don/Nathan</t>
  </si>
  <si>
    <t>Dec2024 Truck 6</t>
  </si>
  <si>
    <t>Dec2024 Truck 7</t>
  </si>
  <si>
    <t>Dec2024 Truck 8</t>
  </si>
  <si>
    <t>RS2- 241206-1</t>
  </si>
  <si>
    <t>Dec2024 Truck 9</t>
  </si>
  <si>
    <t>RS3-241218-1</t>
  </si>
  <si>
    <t>INTERNAL CHARM</t>
  </si>
  <si>
    <t>CH01</t>
  </si>
  <si>
    <t>CHARM OIL</t>
  </si>
  <si>
    <t>CHARM</t>
  </si>
  <si>
    <t>X</t>
  </si>
  <si>
    <t>Dec2024 Truck 10</t>
  </si>
  <si>
    <t>Dec2024 Truck 11</t>
  </si>
  <si>
    <t>Kulbir</t>
  </si>
  <si>
    <t>Dec2024 Truck 12</t>
  </si>
  <si>
    <t>RS1-241221-1</t>
  </si>
  <si>
    <t>Byron</t>
  </si>
  <si>
    <t>Dec2024 Truck 13</t>
  </si>
  <si>
    <t>Dec2024 Truck 14</t>
  </si>
  <si>
    <t>Radu</t>
  </si>
  <si>
    <t>Dec2024 Truck 15</t>
  </si>
  <si>
    <t>Brian</t>
  </si>
  <si>
    <t>Dec2024 Truck 16</t>
  </si>
  <si>
    <t>RS2-241225-1</t>
  </si>
  <si>
    <t>Jeffrey</t>
  </si>
  <si>
    <t>Dec2024 Truck 17</t>
  </si>
  <si>
    <t>GIlles</t>
  </si>
  <si>
    <t>Jan2025 Truck 1</t>
  </si>
  <si>
    <t>RS3-241230-1</t>
  </si>
  <si>
    <t>Carl</t>
  </si>
  <si>
    <t>CH02</t>
  </si>
  <si>
    <t>Jan 2025 Truck 2</t>
  </si>
  <si>
    <t>RS1-250103-1</t>
  </si>
  <si>
    <t>Jan 2025 Truck 3</t>
  </si>
  <si>
    <t>Jan 2025 Truck 4</t>
  </si>
  <si>
    <t>Jan 2025 Truck 5</t>
  </si>
  <si>
    <t>RS3-250111-1</t>
  </si>
  <si>
    <t>Jan 2025 Truck 6</t>
  </si>
  <si>
    <t>RS1-250116-1</t>
  </si>
  <si>
    <t>Jeff</t>
  </si>
  <si>
    <t>Jan 2025 Truck 7</t>
  </si>
  <si>
    <t>Jan 2025 Truck 8</t>
  </si>
  <si>
    <t>Jan 2025 Truck 9</t>
  </si>
  <si>
    <t>Bryan</t>
  </si>
  <si>
    <t>Jan 2025 Truck 10</t>
  </si>
  <si>
    <t>RS2-250119-1</t>
  </si>
  <si>
    <t>Dave P</t>
  </si>
  <si>
    <t>Jan 2025 Truck 11</t>
  </si>
  <si>
    <t>RS3-250123-1</t>
  </si>
  <si>
    <t>Chris</t>
  </si>
  <si>
    <t>Jan 2025 Truck 12</t>
  </si>
  <si>
    <t>Jan 2025 Truck 13</t>
  </si>
  <si>
    <t>Jan 2025 Truck 14</t>
  </si>
  <si>
    <t>Gordon</t>
  </si>
  <si>
    <t>Jan 2025 Truck 15</t>
  </si>
  <si>
    <t>Jan 2025 Truck 16</t>
  </si>
  <si>
    <t>1948T</t>
  </si>
  <si>
    <t>RS1-250127-1</t>
  </si>
  <si>
    <t>Jan 2025 Truck 17</t>
  </si>
  <si>
    <t>1949T</t>
  </si>
  <si>
    <t>Q1 2025</t>
  </si>
  <si>
    <t>1954T</t>
  </si>
  <si>
    <t>RS2-250202-1</t>
  </si>
  <si>
    <t>1956T</t>
  </si>
  <si>
    <t>Tammy</t>
  </si>
  <si>
    <t>1963T</t>
  </si>
  <si>
    <t>RS1-250205-1</t>
  </si>
  <si>
    <t>1964T</t>
  </si>
  <si>
    <t>Gilles</t>
  </si>
  <si>
    <t>1967T</t>
  </si>
  <si>
    <t>RS1-250208-1</t>
  </si>
  <si>
    <t>1972T</t>
  </si>
  <si>
    <t>RS1-250211-1</t>
  </si>
  <si>
    <t>1974T</t>
  </si>
  <si>
    <t>1997T</t>
  </si>
  <si>
    <t>RS3-250220-1</t>
  </si>
  <si>
    <t>2005T</t>
  </si>
  <si>
    <t>RS3-250223-1</t>
  </si>
  <si>
    <t>received</t>
  </si>
  <si>
    <t>2008T</t>
  </si>
  <si>
    <t>RS1-250225-1</t>
  </si>
  <si>
    <t>Katie approved in Airbase 3/14</t>
  </si>
  <si>
    <t>2010T</t>
  </si>
  <si>
    <t>Christopher</t>
  </si>
  <si>
    <t>Katie approved in Airbase 3/14; Reg No: STR159351, Inv No: INV26541</t>
  </si>
  <si>
    <t>2015T</t>
  </si>
  <si>
    <t>RS3-250228-1</t>
  </si>
  <si>
    <t>Katie approved in Airbase 3/14; Ref No: STR159389, Inv No: INV26542</t>
  </si>
  <si>
    <t>2019T</t>
  </si>
  <si>
    <t xml:space="preserve">KAG </t>
  </si>
  <si>
    <t>2022T</t>
  </si>
  <si>
    <t>2027T</t>
  </si>
  <si>
    <t>RS3-250305-1</t>
  </si>
  <si>
    <t>2028T</t>
  </si>
  <si>
    <r>
      <rPr>
        <rFont val="Arial"/>
        <color rgb="FF1155CC"/>
        <sz val="8.0"/>
        <u/>
      </rPr>
      <t>RS1-250303</t>
    </r>
    <r>
      <rPr>
        <rFont val="Arial"/>
        <color rgb="FF000000"/>
        <sz val="8.0"/>
      </rPr>
      <t>-1</t>
    </r>
  </si>
  <si>
    <t>2029T</t>
  </si>
  <si>
    <r>
      <rPr>
        <rFont val="Arial"/>
        <color rgb="FF1155CC"/>
        <sz val="8.0"/>
        <u/>
      </rPr>
      <t>RS1-250303</t>
    </r>
    <r>
      <rPr>
        <rFont val="Arial"/>
        <color rgb="FF000000"/>
        <sz val="8.0"/>
      </rPr>
      <t>-1</t>
    </r>
  </si>
  <si>
    <t>Jeremy</t>
  </si>
  <si>
    <t>2036T</t>
  </si>
  <si>
    <t>RS1-250307-1</t>
  </si>
  <si>
    <t>Colin</t>
  </si>
  <si>
    <t>3/19: STR159393, INV26662... maybe? delivery date does not match, did not approve</t>
  </si>
  <si>
    <t>2038T</t>
  </si>
  <si>
    <t>Dave</t>
  </si>
  <si>
    <t>2049T</t>
  </si>
  <si>
    <t>RS1-250310-1</t>
  </si>
  <si>
    <t>2056T</t>
  </si>
  <si>
    <t>RS1-250314-1</t>
  </si>
  <si>
    <t>2058T</t>
  </si>
  <si>
    <t>2063T</t>
  </si>
  <si>
    <t>RS1-250316-1</t>
  </si>
  <si>
    <t>2066T</t>
  </si>
  <si>
    <t>RS1-250318-1</t>
  </si>
  <si>
    <t>2068T</t>
  </si>
  <si>
    <t>Gavin</t>
  </si>
  <si>
    <t>2071T</t>
  </si>
  <si>
    <t>Timothy</t>
  </si>
  <si>
    <t>2072T</t>
  </si>
  <si>
    <t>Gurinderjeet</t>
  </si>
  <si>
    <t>2074T</t>
  </si>
  <si>
    <t>RS3-250320-1</t>
  </si>
  <si>
    <t>2079T</t>
  </si>
  <si>
    <t>2082T</t>
  </si>
  <si>
    <t>2083T</t>
  </si>
  <si>
    <t>RS1-250323-1</t>
  </si>
  <si>
    <t>2085T</t>
  </si>
  <si>
    <t>2097T</t>
  </si>
  <si>
    <t>RS1-250406-1</t>
  </si>
  <si>
    <t>Q2 2025</t>
  </si>
  <si>
    <t>2101-T</t>
  </si>
  <si>
    <t>2104-T</t>
  </si>
  <si>
    <t>RS3-250408-1</t>
  </si>
  <si>
    <t>2105-T</t>
  </si>
  <si>
    <t>2106-T</t>
  </si>
  <si>
    <t>2113-T</t>
  </si>
  <si>
    <t>RS1-250409-1</t>
  </si>
  <si>
    <t>Marcel</t>
  </si>
  <si>
    <t>2114-T</t>
  </si>
  <si>
    <t>Scott</t>
  </si>
  <si>
    <t>2115-T</t>
  </si>
  <si>
    <t>2120-T</t>
  </si>
  <si>
    <t>RS3-250411-1</t>
  </si>
  <si>
    <t>2122-T</t>
  </si>
  <si>
    <t>Patrick</t>
  </si>
  <si>
    <t>2131-T</t>
  </si>
  <si>
    <t>RS1-250413-1</t>
  </si>
  <si>
    <t>2135-T</t>
  </si>
  <si>
    <t>RS3-250416-1</t>
  </si>
  <si>
    <t>2136-T</t>
  </si>
  <si>
    <t>Ajit</t>
  </si>
  <si>
    <t>2140-T</t>
  </si>
  <si>
    <t>Inderpal</t>
  </si>
  <si>
    <t>2141-T</t>
  </si>
  <si>
    <t>William</t>
  </si>
  <si>
    <t>2139-T</t>
  </si>
  <si>
    <t>Collin</t>
  </si>
  <si>
    <t>2148-T</t>
  </si>
  <si>
    <t>RS1-250418-1</t>
  </si>
  <si>
    <t>2150-T</t>
  </si>
  <si>
    <t>RS3-250421-1</t>
  </si>
  <si>
    <t>Steve</t>
  </si>
  <si>
    <t>2151-T</t>
  </si>
  <si>
    <t>Todd</t>
  </si>
  <si>
    <t>2152-T</t>
  </si>
  <si>
    <t>RS1-250422-1</t>
  </si>
  <si>
    <t>Philip</t>
  </si>
  <si>
    <t>2153-T</t>
  </si>
  <si>
    <t>2154-T</t>
  </si>
  <si>
    <t>2155-T</t>
  </si>
  <si>
    <t>Filip</t>
  </si>
  <si>
    <t>2156-T</t>
  </si>
  <si>
    <t>RS3-250426-1</t>
  </si>
  <si>
    <t>Alain</t>
  </si>
  <si>
    <t>2157-T</t>
  </si>
  <si>
    <t>2158-T</t>
  </si>
  <si>
    <t>RS1-250429-1</t>
  </si>
  <si>
    <t>2159-T</t>
  </si>
  <si>
    <t>2160-T</t>
  </si>
  <si>
    <t>RS1-250502-1</t>
  </si>
  <si>
    <t>2161-T</t>
  </si>
  <si>
    <t>RS3-250504-1</t>
  </si>
  <si>
    <t>2162-T</t>
  </si>
  <si>
    <t>RS1-250505-1</t>
  </si>
  <si>
    <t>Bill</t>
  </si>
  <si>
    <t xml:space="preserve">2163-T </t>
  </si>
  <si>
    <t>2164-T</t>
  </si>
  <si>
    <t>RS3-250506-1</t>
  </si>
  <si>
    <t>2165-T</t>
  </si>
  <si>
    <t>2166-T</t>
  </si>
  <si>
    <t>RS3-250511-1</t>
  </si>
  <si>
    <t>2167-T</t>
  </si>
  <si>
    <t>2168-T</t>
  </si>
  <si>
    <t>RS1-250512-1</t>
  </si>
  <si>
    <t>2169-T</t>
  </si>
  <si>
    <t>RS3-250513-1</t>
  </si>
  <si>
    <t>2171-T</t>
  </si>
  <si>
    <t>RS1-250516-1</t>
  </si>
  <si>
    <t>Josée</t>
  </si>
  <si>
    <t>2172-T</t>
  </si>
  <si>
    <t>RS3-250519-1</t>
  </si>
  <si>
    <t>Calvin</t>
  </si>
  <si>
    <t>2173-T</t>
  </si>
  <si>
    <t>2174-T</t>
  </si>
  <si>
    <t>RS1-250521-1</t>
  </si>
  <si>
    <t>Miodgrag</t>
  </si>
  <si>
    <t>2175-T</t>
  </si>
  <si>
    <t>RS1-250526-1</t>
  </si>
  <si>
    <t>2176-T</t>
  </si>
  <si>
    <t>RS3-250531-1</t>
  </si>
  <si>
    <t>Ljpuco</t>
  </si>
  <si>
    <t>2177-T</t>
  </si>
  <si>
    <t>Adrew</t>
  </si>
  <si>
    <t>2178-T</t>
  </si>
  <si>
    <t>RS1-250604-1</t>
  </si>
  <si>
    <t>Phil</t>
  </si>
  <si>
    <t>2179-T</t>
  </si>
  <si>
    <t>2180-T</t>
  </si>
  <si>
    <t>2181-T</t>
  </si>
  <si>
    <t>2182-T</t>
  </si>
  <si>
    <t>RS3-250616-1</t>
  </si>
  <si>
    <t>CH Robinson/Tandet</t>
  </si>
  <si>
    <t>Tandet</t>
  </si>
  <si>
    <t>2183-T</t>
  </si>
  <si>
    <t>RS1-250618-1</t>
  </si>
  <si>
    <t>2184-T</t>
  </si>
  <si>
    <t>2185-T</t>
  </si>
  <si>
    <t>2186-T</t>
  </si>
  <si>
    <t>RS1-250627-1</t>
  </si>
  <si>
    <t>2187-T</t>
  </si>
  <si>
    <t>Q3 2025</t>
  </si>
  <si>
    <t>2188-T</t>
  </si>
  <si>
    <t>RS2-250701-1</t>
  </si>
  <si>
    <t>Graeme</t>
  </si>
  <si>
    <t>2189-T</t>
  </si>
  <si>
    <t>ALG</t>
  </si>
  <si>
    <t>Rajdeep</t>
  </si>
  <si>
    <t>2190-T</t>
  </si>
  <si>
    <t>2191-T</t>
  </si>
  <si>
    <t>RS3-250705-1</t>
  </si>
  <si>
    <t>2192-T</t>
  </si>
  <si>
    <t>RS1-250708-1</t>
  </si>
  <si>
    <t>Garry</t>
  </si>
  <si>
    <t>2193-T</t>
  </si>
  <si>
    <t>2194-T</t>
  </si>
  <si>
    <t>RS3-250624-1</t>
  </si>
  <si>
    <t>Francis</t>
  </si>
  <si>
    <t>2195-T</t>
  </si>
  <si>
    <t>RS3-250712-1</t>
  </si>
  <si>
    <t>Luqman</t>
  </si>
  <si>
    <t>2196-T</t>
  </si>
  <si>
    <t>RS1-250713-1</t>
  </si>
  <si>
    <t>2197-T</t>
  </si>
  <si>
    <t>2198-T</t>
  </si>
  <si>
    <t>RS3-250714-1</t>
  </si>
  <si>
    <t>Raza</t>
  </si>
  <si>
    <t>2199-T</t>
  </si>
  <si>
    <t>2200-T</t>
  </si>
  <si>
    <t>RS1-250715-1</t>
  </si>
  <si>
    <t>Zach</t>
  </si>
  <si>
    <t>2201-T</t>
  </si>
  <si>
    <t>2202-T</t>
  </si>
  <si>
    <t>2203T</t>
  </si>
  <si>
    <t>RS1-250717-1</t>
  </si>
  <si>
    <t>Mathieu</t>
  </si>
  <si>
    <t>2204-T</t>
  </si>
  <si>
    <t>RS1-250720-1</t>
  </si>
  <si>
    <t>2205-T</t>
  </si>
  <si>
    <t>2206-T</t>
  </si>
  <si>
    <t>2207-T</t>
  </si>
  <si>
    <t>RS3-250723-1</t>
  </si>
  <si>
    <t>207</t>
  </si>
  <si>
    <t>2208-T</t>
  </si>
  <si>
    <t>208</t>
  </si>
  <si>
    <t>2209-T</t>
  </si>
  <si>
    <t>209</t>
  </si>
  <si>
    <t>2211-T</t>
  </si>
  <si>
    <t>RS1-250727-1</t>
  </si>
  <si>
    <t>210</t>
  </si>
  <si>
    <t>2212-T</t>
  </si>
  <si>
    <t>RS1-250809-1</t>
  </si>
  <si>
    <t>211</t>
  </si>
  <si>
    <t>2213-T</t>
  </si>
  <si>
    <t>212</t>
  </si>
  <si>
    <t>2216-T</t>
  </si>
  <si>
    <t>RS3-250809-1</t>
  </si>
  <si>
    <t>213</t>
  </si>
  <si>
    <t>2217-T</t>
  </si>
  <si>
    <t>RS2-250813-1</t>
  </si>
  <si>
    <t>214</t>
  </si>
  <si>
    <t>2219-T</t>
  </si>
  <si>
    <t>Pascal</t>
  </si>
  <si>
    <t>215</t>
  </si>
  <si>
    <t>2220-T</t>
  </si>
  <si>
    <t>Gurwinder</t>
  </si>
  <si>
    <t>216</t>
  </si>
  <si>
    <t>2221-T</t>
  </si>
  <si>
    <t>RS1-250817-1</t>
  </si>
  <si>
    <t>217</t>
  </si>
  <si>
    <t>2225-T</t>
  </si>
  <si>
    <t>218</t>
  </si>
  <si>
    <t>2245-T</t>
  </si>
  <si>
    <t>RS2-250825-1</t>
  </si>
  <si>
    <t>219</t>
  </si>
  <si>
    <t>2246-T</t>
  </si>
  <si>
    <t>220</t>
  </si>
  <si>
    <t>2247-T</t>
  </si>
  <si>
    <t>RS2-250905-1</t>
  </si>
  <si>
    <t>Mark</t>
  </si>
  <si>
    <t>221</t>
  </si>
  <si>
    <t xml:space="preserve"> 2248-T</t>
  </si>
  <si>
    <t>222</t>
  </si>
  <si>
    <t>2250-T</t>
  </si>
  <si>
    <t>RS1-250911-1</t>
  </si>
  <si>
    <t>223</t>
  </si>
  <si>
    <t>2251-T</t>
  </si>
  <si>
    <t>224</t>
  </si>
  <si>
    <t>2252-T</t>
  </si>
  <si>
    <t>RS3-250915-1</t>
  </si>
  <si>
    <t>225</t>
  </si>
  <si>
    <t>2253-T</t>
  </si>
  <si>
    <t>226</t>
  </si>
  <si>
    <t>2258-T</t>
  </si>
  <si>
    <t>RS2-250919-1</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</si>
  <si>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</si>
  <si>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</si>
  <si>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</si>
  <si>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</si>
  <si>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GPRX 5082</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</si>
  <si>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</si>
  <si>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</si>
  <si>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</si>
  <si>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</si>
  <si>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229</t>
  </si>
  <si>
    <t>2261-T</t>
  </si>
  <si>
    <t>RS3-250923-1</t>
  </si>
  <si>
    <t>230</t>
  </si>
  <si>
    <t>2262-T</t>
  </si>
  <si>
    <t>Yanick</t>
  </si>
  <si>
    <t>231</t>
  </si>
  <si>
    <t>2263-T</t>
  </si>
  <si>
    <t>232</t>
  </si>
  <si>
    <t>Q4 2025</t>
  </si>
  <si>
    <t>2264-T</t>
  </si>
  <si>
    <t>RS2-251002-1</t>
  </si>
  <si>
    <t>Bhavneet</t>
  </si>
  <si>
    <t>233</t>
  </si>
  <si>
    <t>2265-T</t>
  </si>
  <si>
    <t>234</t>
  </si>
  <si>
    <t>2266-T</t>
  </si>
  <si>
    <t>RS3-251006-1</t>
  </si>
  <si>
    <t>235</t>
  </si>
  <si>
    <t>2267-T</t>
  </si>
  <si>
    <t>236</t>
  </si>
  <si>
    <t>2268-T</t>
  </si>
  <si>
    <t>RS1-251011-1</t>
  </si>
  <si>
    <t>Francois</t>
  </si>
  <si>
    <t>237</t>
  </si>
  <si>
    <t>2269-T</t>
  </si>
  <si>
    <t>Jonathan</t>
  </si>
  <si>
    <t>238</t>
  </si>
  <si>
    <t>2270-T</t>
  </si>
  <si>
    <t>RS2-251014-1</t>
  </si>
  <si>
    <t>239</t>
  </si>
  <si>
    <t>2271-T</t>
  </si>
  <si>
    <t>240</t>
  </si>
  <si>
    <t>2272-T</t>
  </si>
  <si>
    <t>RS3-251017-1</t>
  </si>
  <si>
    <t>Tony</t>
  </si>
  <si>
    <t>241</t>
  </si>
  <si>
    <t>2273-T</t>
  </si>
  <si>
    <t>242</t>
  </si>
  <si>
    <t>2274-T</t>
  </si>
  <si>
    <t>243</t>
  </si>
  <si>
    <t>2275-T</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</si>
  <si>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</si>
  <si>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</si>
  <si>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</si>
  <si>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</si>
  <si>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RS1-260117-1</t>
  </si>
  <si>
    <t>TILX200231</t>
  </si>
  <si>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</si>
  <si>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</si>
  <si>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</si>
  <si>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</si>
  <si>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TILX200228</t>
  </si>
  <si>
    <t>Rail_TILX200228_1.26.26</t>
  </si>
  <si>
    <t>246</t>
  </si>
  <si>
    <t>2286-T</t>
  </si>
  <si>
    <t>RS3-260128-1</t>
  </si>
  <si>
    <t>AECN_LA_2.5.26</t>
  </si>
  <si>
    <t>247</t>
  </si>
  <si>
    <t>2287-T</t>
  </si>
  <si>
    <t>Stephane</t>
  </si>
  <si>
    <t>AECN_LA_2.6.26</t>
  </si>
  <si>
    <t>248</t>
  </si>
  <si>
    <t>2288-T</t>
  </si>
  <si>
    <t>RS1-260201-1</t>
  </si>
  <si>
    <t>Bernard</t>
  </si>
  <si>
    <t>AECN_LA_2.8.26</t>
  </si>
  <si>
    <t>249</t>
  </si>
  <si>
    <t>2290-T</t>
  </si>
  <si>
    <t>RS3-260203-1</t>
  </si>
  <si>
    <t>AECN_LA_2.9.26</t>
  </si>
  <si>
    <t>250</t>
  </si>
  <si>
    <t>2293-T</t>
  </si>
  <si>
    <t>RS1-260204-1</t>
  </si>
  <si>
    <t>AECN_LA_2.10.26</t>
  </si>
  <si>
    <t>251</t>
  </si>
  <si>
    <t>2294-T</t>
  </si>
  <si>
    <t>RS3-260205-1</t>
  </si>
  <si>
    <t>AECN_LA_2.11.26</t>
  </si>
  <si>
    <t>252</t>
  </si>
  <si>
    <t>2295-T</t>
  </si>
  <si>
    <t>RS1-260212-1</t>
  </si>
  <si>
    <t>Arun</t>
  </si>
  <si>
    <t>AECN_LA_2.17.26</t>
  </si>
  <si>
    <t>253</t>
  </si>
  <si>
    <t>2296-T</t>
  </si>
  <si>
    <t>Cole</t>
  </si>
  <si>
    <t>AECN_LA_2.18.26</t>
  </si>
  <si>
    <t>254</t>
  </si>
  <si>
    <t>2297-T</t>
  </si>
  <si>
    <t>RS3-260216-1</t>
  </si>
  <si>
    <t>Heven</t>
  </si>
  <si>
    <t>AECN_LA_2.20.26</t>
  </si>
  <si>
    <t>255</t>
  </si>
  <si>
    <t>2298-T</t>
  </si>
  <si>
    <t>Sylvie</t>
  </si>
  <si>
    <t>AECN_LA_2.20.26_2</t>
  </si>
  <si>
    <t>256</t>
  </si>
  <si>
    <t>2299-T</t>
  </si>
  <si>
    <t>AECN_LA_2.20.26_3</t>
  </si>
  <si>
    <t>257</t>
  </si>
  <si>
    <t>2300-T</t>
  </si>
  <si>
    <t>Jess</t>
  </si>
  <si>
    <t>AECN_LA_2.20.26_4</t>
  </si>
  <si>
    <t>258</t>
  </si>
  <si>
    <t>2301-T</t>
  </si>
  <si>
    <t>AECN_LA_2.21.26</t>
  </si>
  <si>
    <t>259</t>
  </si>
  <si>
    <t>2302-T</t>
  </si>
  <si>
    <t>RS1-260217-1</t>
  </si>
  <si>
    <t>AECN_LA_2.24.26</t>
  </si>
  <si>
    <t>260</t>
  </si>
  <si>
    <t>2303-T</t>
  </si>
  <si>
    <t>AECN_LA_2.25.26</t>
  </si>
  <si>
    <t>261</t>
  </si>
  <si>
    <t>2304-T</t>
  </si>
  <si>
    <t>RS3-260219-1</t>
  </si>
  <si>
    <t>Joselin</t>
  </si>
  <si>
    <t>AECN_LA_2.26.26</t>
  </si>
  <si>
    <t>262</t>
  </si>
  <si>
    <t>2305-T</t>
  </si>
  <si>
    <t>AECN_LA_2.26.26_2</t>
  </si>
  <si>
    <t>263</t>
  </si>
  <si>
    <t>2306-T</t>
  </si>
  <si>
    <t>AECN_LA_2.27.26</t>
  </si>
  <si>
    <t>264</t>
  </si>
  <si>
    <t>2307-T</t>
  </si>
  <si>
    <t>RS1-260221-1</t>
  </si>
  <si>
    <t>Alex</t>
  </si>
  <si>
    <t>AECN_LA_2.27.26_2</t>
  </si>
  <si>
    <t>265</t>
  </si>
  <si>
    <t>2308-T</t>
  </si>
  <si>
    <t>RS3-260223-1</t>
  </si>
  <si>
    <t>AECN_LA_2.27.26_3</t>
  </si>
  <si>
    <t>266</t>
  </si>
  <si>
    <t>2311-T</t>
  </si>
  <si>
    <t>Saminder</t>
  </si>
  <si>
    <t>AECN_LA_2.28.26</t>
  </si>
  <si>
    <t>267</t>
  </si>
  <si>
    <t>2309-T</t>
  </si>
  <si>
    <t>AECN_LA_3.02.26</t>
  </si>
  <si>
    <t>268</t>
  </si>
  <si>
    <t>2315-T</t>
  </si>
  <si>
    <t>RS1-260225-1</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</si>
  <si>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</si>
  <si>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</si>
  <si>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</si>
  <si>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</si>
  <si>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GPRX5188</t>
  </si>
  <si>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</si>
  <si>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</si>
  <si>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</si>
  <si>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TIMX201060</t>
  </si>
  <si>
    <t>Rail_TIMX201060_2.27.26</t>
  </si>
  <si>
    <t>269</t>
  </si>
  <si>
    <t>2318-T</t>
  </si>
  <si>
    <t>RS1-260302-1</t>
  </si>
  <si>
    <t>AECN_LA_3.06.26</t>
  </si>
  <si>
    <t>272</t>
  </si>
  <si>
    <t>2319-T</t>
  </si>
  <si>
    <t>AECN_LA_3.07.26</t>
  </si>
  <si>
    <t>273</t>
  </si>
  <si>
    <t>2320-T</t>
  </si>
  <si>
    <t>RS3-260303-1</t>
  </si>
  <si>
    <t>Sam</t>
  </si>
  <si>
    <t>AECN_LA_3.08.26</t>
  </si>
  <si>
    <t>274</t>
  </si>
  <si>
    <t>2321-T</t>
  </si>
  <si>
    <t>AECN_LA_3.08.26_2</t>
  </si>
  <si>
    <t>275</t>
  </si>
  <si>
    <t>2322-T</t>
  </si>
  <si>
    <t>RS1-260305-1</t>
  </si>
  <si>
    <t>AECN_LA_3.09.26</t>
  </si>
  <si>
    <t>276</t>
  </si>
  <si>
    <t>2323-T</t>
  </si>
  <si>
    <t>RS3-260310-1</t>
  </si>
  <si>
    <t>AECN_LA_3.15.26</t>
  </si>
  <si>
    <t>277</t>
  </si>
  <si>
    <t>2326-T</t>
  </si>
  <si>
    <t>RS3-260312-1</t>
  </si>
  <si>
    <t>Olaf</t>
  </si>
  <si>
    <t>AECN_LA_3.17.26</t>
  </si>
  <si>
    <t>278</t>
  </si>
  <si>
    <t>2329-T</t>
  </si>
  <si>
    <t>RS1-260312-1</t>
  </si>
  <si>
    <t>Rasoul</t>
  </si>
  <si>
    <t>AECN_LA_3.17.26_2</t>
  </si>
  <si>
    <t>279</t>
  </si>
  <si>
    <t>2330-T</t>
  </si>
  <si>
    <t>AECN_LA_3.17.26_3</t>
  </si>
  <si>
    <t>280</t>
  </si>
  <si>
    <t>2331-T</t>
  </si>
  <si>
    <t>AECN_LA_3.18.26</t>
  </si>
  <si>
    <t>281</t>
  </si>
  <si>
    <t>2324-T</t>
  </si>
  <si>
    <t>RS1-260310-1</t>
  </si>
  <si>
    <t>Perpepuo</t>
  </si>
  <si>
    <t>AECN_LA_3.18.26_CH</t>
  </si>
  <si>
    <t>282</t>
  </si>
  <si>
    <t>2325-T</t>
  </si>
  <si>
    <t>Pierre</t>
  </si>
  <si>
    <t>AECN_LA_3.19.26</t>
  </si>
  <si>
    <t>283</t>
  </si>
  <si>
    <t>2327-T</t>
  </si>
  <si>
    <t>Steeve</t>
  </si>
  <si>
    <t>AECN_LA_3.19.26_2</t>
  </si>
  <si>
    <t>284</t>
  </si>
  <si>
    <t>2332-T</t>
  </si>
  <si>
    <t>RS3-260314-1</t>
  </si>
  <si>
    <t>AECN_LA_3.20.26</t>
  </si>
  <si>
    <t>285</t>
  </si>
  <si>
    <t>2333-T</t>
  </si>
  <si>
    <t>AECN_LA_3.20.26_2</t>
  </si>
  <si>
    <t>286</t>
  </si>
  <si>
    <t>2334-T</t>
  </si>
  <si>
    <t>Samir</t>
  </si>
  <si>
    <t>AECN_LA_3.20.26_3</t>
  </si>
  <si>
    <t>287</t>
  </si>
  <si>
    <t>2336-T</t>
  </si>
  <si>
    <t>RS1-260316-1</t>
  </si>
  <si>
    <t>AECN_LA_3.22.26</t>
  </si>
  <si>
    <t>288</t>
  </si>
  <si>
    <t>2341-T</t>
  </si>
  <si>
    <t>AECN_LA_3.23.26</t>
  </si>
  <si>
    <t>289</t>
  </si>
  <si>
    <t>2342-T</t>
  </si>
  <si>
    <t>RS3-260318-1</t>
  </si>
  <si>
    <t>AECN_LA_3.25.26</t>
  </si>
  <si>
    <t>290</t>
  </si>
  <si>
    <t>2335-T</t>
  </si>
  <si>
    <t>Richard</t>
  </si>
  <si>
    <t>AECN_LA_3.22.26_2</t>
  </si>
  <si>
    <t>291</t>
  </si>
  <si>
    <t>2337-T</t>
  </si>
  <si>
    <t>AECN_LA_3.22.26_3</t>
  </si>
  <si>
    <t>292</t>
  </si>
  <si>
    <t>2338-T</t>
  </si>
  <si>
    <t>AECN_LA_3.23.26_2</t>
  </si>
  <si>
    <t>293</t>
  </si>
  <si>
    <t>2343-T</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</si>
  <si>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</si>
  <si>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</si>
  <si>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</si>
  <si>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</si>
  <si>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</si>
  <si>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</si>
  <si>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</si>
  <si>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</si>
  <si>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2349-T</t>
  </si>
  <si>
    <t>RS1-260406-1</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</si>
  <si>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</si>
  <si>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</si>
  <si>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</si>
  <si>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</si>
  <si>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</si>
  <si>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</si>
  <si>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</si>
  <si>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</si>
  <si>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GPRX5254</t>
  </si>
  <si>
    <t>Rail_GPRX5254_4.10.2026</t>
  </si>
  <si>
    <t>298</t>
  </si>
  <si>
    <t>2351-T</t>
  </si>
  <si>
    <t>RS1-260407-1</t>
  </si>
  <si>
    <t>AECN_LA_4.12.2026</t>
  </si>
  <si>
    <t>299</t>
  </si>
  <si>
    <t>2352-T</t>
  </si>
  <si>
    <t>RS3-260410-1</t>
  </si>
  <si>
    <t>Jerome</t>
  </si>
  <si>
    <t>AECN_LA_4.16.2026</t>
  </si>
  <si>
    <t>300</t>
  </si>
  <si>
    <r>
      <rPr>
        <rFont val="Arial"/>
        <color rgb="FF1155CC"/>
        <sz val="8.0"/>
        <u/>
      </rPr>
      <t>2353-R</t>
    </r>
    <r>
      <rPr>
        <rFont val="Arial"/>
        <sz val="8.0"/>
      </rPr>
      <t xml:space="preserve">, </t>
    </r>
    <r>
      <rPr>
        <rFont val="Arial"/>
        <color rgb="FF1155CC"/>
        <sz val="8.0"/>
        <u/>
      </rPr>
      <t>2354-R</t>
    </r>
    <r>
      <rPr>
        <rFont val="Arial"/>
        <sz val="8.0"/>
      </rPr>
      <t xml:space="preserve">, </t>
    </r>
    <r>
      <rPr>
        <rFont val="Arial"/>
        <color rgb="FF1155CC"/>
        <sz val="8.0"/>
        <u/>
      </rPr>
      <t>2355-R</t>
    </r>
  </si>
  <si>
    <r>
      <rPr>
        <rFont val="Arial"/>
        <color rgb="FF1155CC"/>
        <sz val="8.0"/>
        <u/>
      </rPr>
      <t>RS1-260421-1</t>
    </r>
    <r>
      <rPr>
        <rFont val="Arial"/>
        <sz val="8.0"/>
      </rPr>
      <t>, RS3-260427-1</t>
    </r>
  </si>
  <si>
    <t>Rail_GPRX5188_</t>
  </si>
  <si>
    <t>301</t>
  </si>
  <si>
    <t>2356-R, 2357-R</t>
  </si>
  <si>
    <t>RS1-260428-1</t>
  </si>
  <si>
    <t>302</t>
  </si>
  <si>
    <t>303</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</si>
  <si>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</si>
  <si>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</si>
  <si>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</si>
  <si>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</si>
  <si>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</si>
  <si>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</si>
  <si>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</si>
  <si>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</si>
  <si>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</si>
  <si>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</si>
  <si>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</si>
  <si>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</si>
  <si>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</si>
  <si>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</si>
  <si>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</si>
  <si>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https://drive.google.com/file/d/1LlDf3QP1s3nw4utaPgPpZguJP637oq76/view</t>
  </si>
  <si>
    <t>https://drive.google.com/file/d/1gMUT9xcssKLBYcpfuw_LPL3QoNGCuRuS/view</t>
  </si>
  <si>
    <t>RS2-240822-1</t>
  </si>
  <si>
    <t>https://drive.google.com/file/d/1Imr6ONWF-fMLPk4OSxBDb_1Rz7cWPKZ0/view</t>
  </si>
  <si>
    <t>RS3-240819-1</t>
  </si>
  <si>
    <t>https://drive.google.com/file/d/142XTlCZ9V5TbQW6qSu_WMdJU1atrM_Pm/view</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</si>
  <si>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</si>
  <si>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</si>
  <si>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</si>
  <si>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</si>
  <si>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</si>
  <si>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</si>
  <si>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</si>
  <si>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</si>
  <si>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</si>
  <si>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RS1-240910-1</t>
  </si>
  <si>
    <t>https://drive.google.com/file/d/1S9D-59BrNjD92k0qz-qtiWTzl5ymonGZ/view</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</si>
  <si>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</si>
  <si>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</si>
  <si>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</si>
  <si>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</si>
  <si>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</si>
  <si>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</si>
  <si>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</si>
  <si>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</si>
  <si>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</si>
  <si>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RS3-240924-1</t>
  </si>
  <si>
    <t>https://drive.google.com/file/d/1d-wWHKOnfp8-OSQmPqOuBHHMZfcsAhaU/view</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</si>
  <si>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</si>
  <si>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</si>
  <si>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</si>
  <si>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</si>
  <si>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</si>
  <si>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</si>
  <si>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</si>
  <si>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</si>
  <si>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</si>
  <si>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https://drive.google.com/file/d/16_auAIo5a73MrD7xgKlQzENvcMe55rhm/view</t>
  </si>
  <si>
    <t>RS1-241013-1</t>
  </si>
  <si>
    <t>https://drive.google.com/file/d/1AUSPFkFCMZmktY30jHqr8A2-XGd-xNq9/view</t>
  </si>
  <si>
    <t>RS3-241011-1</t>
  </si>
  <si>
    <t>https://drive.google.com/file/d/1b4b-XGRQLH8yBJVN6Y0tUiUXBmgJh8eS/view</t>
  </si>
  <si>
    <t>https://drive.google.com/file/d/1aexe7KRlE-5x8IusRX4pQ4_AQKnncyjc/view</t>
  </si>
  <si>
    <t>https://drive.google.com/file/d/1HqglTQ9_6lBP5yRRZI3flIX3tASEl4kN/view</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</si>
  <si>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</si>
  <si>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</si>
  <si>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</si>
  <si>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</si>
  <si>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</si>
  <si>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</si>
  <si>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</si>
  <si>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</si>
  <si>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</si>
  <si>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https://drive.google.com/file/d/1zkLgD_5McPRyWdfudHONZbOTdVdupPyw/view</t>
  </si>
  <si>
    <t>https://drive.google.com/file/d/1jiPyi3Z3W1W8bKO0hdjDL6G8mUsJKxCP/view</t>
  </si>
  <si>
    <t>https://drive.google.com/file/d/1jRnCUn4adSSpsYhSfVR3IFW8IFy2v1Tr/view</t>
  </si>
  <si>
    <t>RS1-241118-1</t>
  </si>
  <si>
    <t>https://drive.google.com/file/d/1FvdvlKCEh7DSuQuAgAJgSHuq9VAI04sP/view</t>
  </si>
  <si>
    <t>https://drive.google.com/file/d/1McFSeUg5Y7rDLqPK389hucT4JhrD5P4Y/view</t>
  </si>
  <si>
    <t>https://drive.google.com/file/d/1JwzEEm4RG6CmkBzkNADn8b9BP7UahID7/view</t>
  </si>
  <si>
    <t>https://drive.google.com/file/d/1NYnENZmnA9pzPaz1sU4XHrgAxiqOeQY2/view</t>
  </si>
  <si>
    <t>https://drive.google.com/file/d/1l-clIgTl7O1sK3SzvWurtNDP633zmm6Q/view</t>
  </si>
  <si>
    <t>https://drive.google.com/file/d/15mw0YBYbZIhP7mL9yWgPEciTYKsKyfyO/view</t>
  </si>
  <si>
    <t>https://drive.google.com/file/d/1CmmXBTmZtWe3S84T3OCj6v5pAtFsXKKZ/view</t>
  </si>
  <si>
    <t>RS2-241110-1</t>
  </si>
  <si>
    <t>https://drive.google.com/file/d/1L3XPhSl_0PorvhmvcHKUQAWeqOtKWVkk/view</t>
  </si>
  <si>
    <t>https://drive.google.com/file/d/1vEW99VggeAxvVt8KdHjoW181DJAWDgZz/view</t>
  </si>
  <si>
    <t>https://drive.google.com/file/d/1ji-iJWbI0WCJQ0TyKISZ9Yj8LfroF5sp/view</t>
  </si>
  <si>
    <t>https://drive.google.com/file/d/1ltu0yd0JYq5Kk4rmKDD6y0gCZu5pVEJV/view</t>
  </si>
  <si>
    <t>https://drive.google.com/file/d/1UtiXZ-aQ8Sz5crQZANvZuQptCyOJ0SKf/view</t>
  </si>
  <si>
    <t>https://drive.google.com/file/d/1sjt03ot1l9EbEJzp5x_Vx1tzADsXM1Lt/view</t>
  </si>
  <si>
    <t>https://drive.google.com/file/d/14C07v6-fpt4e7nmJZQA5ZrSPLBUoPtR3/view</t>
  </si>
  <si>
    <t>https://drive.google.com/file/d/13dp4_pX1y-qoMGZJNRvUWqKNnLMNRnHA/view</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</si>
  <si>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</si>
  <si>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</si>
  <si>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</si>
  <si>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</si>
  <si>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</si>
  <si>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</si>
  <si>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</si>
  <si>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</si>
  <si>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https://drive.google.com/file/d/1LD6jTiSBjkWId6DnHz9U4p8jbW7IFT1x/view</t>
  </si>
  <si>
    <t>https://drive.google.com/file/d/1BIVcw17f5yJILyzWvSFRMxO7tpjRx9dm/view</t>
  </si>
  <si>
    <t>https://drive.google.com/file/d/1OVhJz3ZtwMXezSJezs7fxg2V9Mlhifxr/view</t>
  </si>
  <si>
    <t>https://drive.google.com/file/d/1WkJVz9rneIFbtbL5zL1Edl_1YxXlmePK/view</t>
  </si>
  <si>
    <t>https://drive.google.com/file/d/1OptpCycE-4G7f20qfOjqdY3kflSg61MT/view</t>
  </si>
  <si>
    <t>https://drive.google.com/file/d/1it8fbbsV14aN7d9SRevXfnAIRDssBiHm/view</t>
  </si>
  <si>
    <t>https://drive.google.com/file/d/1dABuxzANlAF1T8Eb3lqo5JP8cDuSakFH/view</t>
  </si>
  <si>
    <t>https://drive.google.com/file/d/1ti82k8QPRaDx4v2ra09RBCFigyvqd-jA/view</t>
  </si>
  <si>
    <t>https://drive.google.com/file/d/1aU1OOqY7mn262Ll2hlnaP6N6N5dEWC46/view</t>
  </si>
  <si>
    <t>https://drive.google.com/file/d/19dHFbjhu8GosUDUxNykvO70BM27TcSdy/view</t>
  </si>
  <si>
    <t>https://drive.google.com/file/d/1NE6d31HI-gp9nQh_cM6ec6JGuWqdUjL5/view</t>
  </si>
  <si>
    <t>RS2-250107-1</t>
  </si>
  <si>
    <t>https://drive.google.com/file/d/1vAVtGQseDMiCshmFmG8dBxEqQrQm5OGk/view</t>
  </si>
  <si>
    <t>https://drive.google.com/file/d/1sqGOiU9bPuy80aNNsZcikdJvdvQruprd/view</t>
  </si>
  <si>
    <t>https://drive.google.com/file/d/1BG32TgKGaRtufwerwTW7YZfb2dWT1xWK/view</t>
  </si>
  <si>
    <t>https://drive.google.com/file/d/1Kg50yvctwPlePJq--4qO00mmRdADDG7l/view</t>
  </si>
  <si>
    <t>https://drive.google.com/file/d/1WgGt024MiNqLSS-BCXWiP3HPYRY1dywk/view</t>
  </si>
  <si>
    <t>https://drive.google.com/file/d/1qewdW5FGOSQVq5v46KA1_qPDRkvrTZV3/view</t>
  </si>
  <si>
    <t>https://drive.google.com/file/d/1ZRMDkNrdIXG0SaixDEhopRkMfO5rrGk0/view</t>
  </si>
  <si>
    <t>https://drive.google.com/file/d/1mUhBsQvG7Cu77aOBPdMC4xy_2hVVNsNV/view</t>
  </si>
  <si>
    <t>https://drive.google.com/file/d/1Y_MyF75hi17iV9rpyOG2huL1GY0WsIYg/view</t>
  </si>
  <si>
    <t>https://drive.google.com/file/d/11haE80QMYbrtNNz9toY5K3o3V4sW07iN/view</t>
  </si>
  <si>
    <t>https://drive.google.com/file/d/10yq5BUxT3PgWJpYQYIRG1P-N_EDu7Ksn/view</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</si>
  <si>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</si>
  <si>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</si>
  <si>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</si>
  <si>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</si>
  <si>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https://drive.google.com/file/d/1VEC7dnigj8OrIgf1weuEVMWC8gCfg-mX/view</t>
  </si>
  <si>
    <t>https://drive.google.com/file/d/1fs_iskhRsoH4NIK6Awm-t6B9Xty84f-N/view</t>
  </si>
  <si>
    <t>RS3-250208-1</t>
  </si>
  <si>
    <t>https://drive.google.com/file/d/18eccF9yJ13Wuzy0_iTd7gM0gtY0xXbkr/view</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</si>
  <si>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</si>
  <si>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</si>
  <si>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</si>
  <si>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</si>
  <si>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</si>
  <si>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</si>
  <si>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</si>
  <si>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</si>
  <si>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</si>
  <si>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</si>
  <si>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</si>
  <si>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RS1-250218-1</t>
  </si>
  <si>
    <t>https://drive.google.com/file/d/1c0fG9WA6JaoEgN5tJCMcKPmwFIDlp1CO/view</t>
  </si>
  <si>
    <t>https://drive.google.com/file/d/1nanxJlY853xRsAN2aCTz5jiJAZPLIOqP/view</t>
  </si>
  <si>
    <t>https://drive.google.com/file/d/1jC9SPfdko0N-nguVasu0p7sN7H4OT6js/view</t>
  </si>
  <si>
    <t>RS1-250221-1</t>
  </si>
  <si>
    <t>https://drive.google.com/file/d/1ic2cLoOrKkzcmngwzjPSGaXBJCPm8TO_/view</t>
  </si>
  <si>
    <t>https://drive.google.com/file/d/1ibK06hByhC6fZ_WR2iHHQKj5gs_Kqeo7/view</t>
  </si>
  <si>
    <t>https://drive.google.com/file/d/1TP_y52snz9mig8eIJj4ZOlpnGphTKH45/view</t>
  </si>
  <si>
    <t>https://drive.google.com/file/d/1rVlNKcZqVKFcIfEVs_a4F7wm5OrUlKSd/view</t>
  </si>
  <si>
    <t>https://drive.google.com/file/d/1cOLDIDWvYQdE4j_IDsetC3OpfRbrnncZ/view</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</si>
  <si>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</si>
  <si>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</si>
  <si>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</si>
  <si>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</si>
  <si>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</si>
  <si>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</si>
  <si>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https://drive.google.com/file/d/15oWud0q5qJUMe9QaBysI69CIECZr3lBT/view</t>
  </si>
  <si>
    <t>https://drive.google.com/file/d/1UfnAkegfbByxoHB7taNPYI5ggBiipqbc/view</t>
  </si>
  <si>
    <t>https://drive.google.com/file/d/1ljlABVK_M1SP0i4fjoypxSsUKYugS8At/view</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</si>
  <si>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</si>
  <si>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</si>
  <si>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</si>
  <si>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</si>
  <si>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</si>
  <si>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</si>
  <si>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https://drive.google.com/file/d/1z9RBPFEHcjkERxEVPYZgpnXnhJiKqInV/view</t>
  </si>
  <si>
    <t>RS3-250312-1</t>
  </si>
  <si>
    <t>https://drive.google.com/file/d/1ISp0XTpDgfKLLjwjVeQGNooageGheY7p/view</t>
  </si>
  <si>
    <t>https://drive.google.com/file/d/1xJ3nkySwdEivbnH52L6G1ZlryBkT6lp2/view</t>
  </si>
  <si>
    <t>https://drive.google.com/file/d/1XTkbG01SR9hEfhnu100j_Ivy9ZyXM0L3/view</t>
  </si>
  <si>
    <t>https://drive.google.com/file/d/1502fP0UFF2hLaaMO0b7NcydiwvtVX3Yg/view</t>
  </si>
  <si>
    <t>RS3-250316-1</t>
  </si>
  <si>
    <t>https://drive.google.com/file/d/1ft1u1SgjWYayShPKF4xXXhwjxUw3v8Wp/view</t>
  </si>
  <si>
    <t>https://drive.google.com/file/d/1-snjhK6YyFo0lPc1woDr61B77Vb_dnEk/view</t>
  </si>
  <si>
    <t>https://drive.google.com/file/d/1psOcfrfwAS4W7tTUUN7MpOSOLnU-z32I/view</t>
  </si>
  <si>
    <t>https://drive.google.com/file/d/1iygpDCd2hoJKP33zmisFZVjSHXUAz6UY/view</t>
  </si>
  <si>
    <t>https://drive.google.com/file/d/1IcyXIFXZSLtOjFxs8MXoXsfCbxthlDS8/view</t>
  </si>
  <si>
    <t>https://drive.google.com/file/d/1uQe3VZxGTTO3lRoJhx61GwcEGIt3BjLS/view</t>
  </si>
  <si>
    <t>https://drive.google.com/file/d/1ft-St0-PEDk3-kIVJyfavW2wvLzFwgPD/view</t>
  </si>
  <si>
    <t>https://drive.google.com/file/d/1PUjMG7tMF8vR8sTwmC-ebn5KtslFsdU9/view</t>
  </si>
  <si>
    <t>https://drive.google.com/file/d/1qajxwp3lBa43Qzby76VhHBs6DkI5-7uV/view</t>
  </si>
  <si>
    <t>https://drive.google.com/file/d/13x_r5byLaBzFewotlH3xMKtxpMp-PqkB/view</t>
  </si>
  <si>
    <t>https://drive.google.com/file/d/1_V4iitkCRPA0gaGWAb_0FMZdwRwMfBYY/view</t>
  </si>
  <si>
    <t>https://drive.google.com/file/d/1KW-IlyQjl-zZo63FW6tLRWhdvK_sS__Z/view</t>
  </si>
  <si>
    <t>RS3-250327-1</t>
  </si>
  <si>
    <t>https://drive.google.com/file/d/1DQhPhxsdFTVyeQ7aYbZjN-rvmo2MNGbX/view</t>
  </si>
  <si>
    <t>RS3-250404-1</t>
  </si>
  <si>
    <t>https://drive.google.com/file/d/1qpjVdNtMaQWSrb82pAXu3X9oc_aEZQqn/view</t>
  </si>
  <si>
    <t>https://drive.google.com/file/d/1PSLNacmtmG69QbijyVXh8a7mCdzg0rP4/view</t>
  </si>
  <si>
    <t>https://drive.google.com/file/d/1O0Mh8MQTIBkpvZJMQQX9R-rWkKInpYg8/view</t>
  </si>
  <si>
    <t>https://drive.google.com/file/d/1ectRKZ-xxSBv5pi8YBZrMZilnSWSbArF/view</t>
  </si>
  <si>
    <t>https://drive.google.com/file/d/10dFIT-4qwePcefOljqnZMHrSCkyYwEPO/view</t>
  </si>
  <si>
    <t>https://drive.google.com/file/d/1xGXSAHLkYRzDXn04hAvZ6docZO-Ai892/view</t>
  </si>
  <si>
    <t>https://drive.google.com/file/d/1I7M201_q8Yf-YCZExBOfWv8yrciAvs1F/view</t>
  </si>
  <si>
    <t>https://drive.google.com/file/d/1GitM0QAht6CgmsBcmW7As69GCImZ0mi8/view</t>
  </si>
  <si>
    <t>https://drive.google.com/file/d/1gEF5XDp58f_Q6_W_S48zhi7Jepmgo1ws/view</t>
  </si>
  <si>
    <t>https://drive.google.com/file/d/1-ikaWrXiHFMKvg3b5zM152AnMRWPs9d1/view</t>
  </si>
  <si>
    <t>https://drive.google.com/file/d/1OyQ39U1Bh6OyeEBe74aKoWWerewOjlXR/view</t>
  </si>
  <si>
    <t>https://drive.google.com/file/d/1L12ky2zs5m93d_ss61AaoByTwh2a6bOJ/view</t>
  </si>
  <si>
    <t>https://drive.google.com/file/d/1OUEgw7fPCz-bU93zVA3cJWxu8_RadNvc/view</t>
  </si>
  <si>
    <t>https://drive.google.com/file/d/1atdAy3MQeFN-37mRbk1ExHJ3OJBKc2Cc/view</t>
  </si>
  <si>
    <t>https://drive.google.com/file/d/1NEZz2w0fqCnR8jz30yPGNvjtll_YvJR8/view</t>
  </si>
  <si>
    <t>https://drive.google.com/file/d/1MWyAA2B1XcxF2TDb3XCW5Mu7CJ7Ql36-/view</t>
  </si>
  <si>
    <t>https://drive.google.com/file/d/1GPRkghRBclI9_mUsaEwWwxQgF6Q0I9HG/view</t>
  </si>
  <si>
    <t>https://drive.google.com/file/d/1E4lRjs_SNghSDYccDNGmBe8ej4OuTyBf/view</t>
  </si>
  <si>
    <t>https://drive.google.com/file/d/1S6TB4Hv-rd8ABWy59teS7A1aPRXpF818/view</t>
  </si>
  <si>
    <t>https://drive.google.com/file/d/1nacIUM0nWtkWI4ydMzZhmZamTTwW-E9i/view</t>
  </si>
  <si>
    <t>https://drive.google.com/file/d/14UV2DPIsPbfKaoz5dz8jqIcIsaKQQQQo/view</t>
  </si>
  <si>
    <t>RS3-250501-1</t>
  </si>
  <si>
    <t>https://drive.google.com/file/d/1BKhiGXcigLn05SMA_5INg2ZQp6ZKw4Iq/view</t>
  </si>
  <si>
    <t>https://drive.google.com/file/d/1J5OHhCbLoCRNy4gQsGxi2lYfJeOvKkV1/view</t>
  </si>
  <si>
    <t>https://drive.google.com/file/d/159ry-D0LavDWUNWV0ysa6R5iPZJF0eaN/view</t>
  </si>
  <si>
    <t>https://drive.google.com/file/d/1HcPWoOD2ztIL5VWQvpfwB6L3ZT7Ni6-H/view</t>
  </si>
  <si>
    <t>https://drive.google.com/file/d/1ifwZAEybhvgekMuHe9IGKcHmmy2uPo-C/view</t>
  </si>
  <si>
    <t>RS1-250507-1</t>
  </si>
  <si>
    <t>https://drive.google.com/file/d/1rynNmpSU8OnzFjf3k9JFNzj99qhNVGTG/view</t>
  </si>
  <si>
    <t>https://drive.google.com/file/d/1Y8rFoguq1NdVRBJ8gXsEBl6yuJgtd_d5/view</t>
  </si>
  <si>
    <t>https://drive.google.com/file/d/1FlNfv2a-fRdUmR9Rw-FUcejluyJY_ntR/view</t>
  </si>
  <si>
    <t>https://drive.google.com/file/d/1sd9XJED0U0nNzq1frPzvT-P-8lZm_bvT/view</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</si>
  <si>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</si>
  <si>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</si>
  <si>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</si>
  <si>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</si>
  <si>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https://drive.google.com/file/d/1Bqe1jBD4NX36pyOyf2xU3Lew4Xf3jyK-/view</t>
  </si>
  <si>
    <t>https://drive.google.com/file/d/1gCkgDjuXQMP02byADdYr-xN4IQGwBqGR/view?usp=drive_link</t>
  </si>
  <si>
    <t>https://drive.google.com/file/d/1u0vtskJe-OTTUy_tj5xtlpiDIGy22sGL/view?usp=drive_link</t>
  </si>
  <si>
    <t>https://drive.google.com/file/d/1R3O63rNrX_Cyk_qUvHLk_y1bNn12VM9K/view?usp=drive_link</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</si>
  <si>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</si>
  <si>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</si>
  <si>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</si>
  <si>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</si>
  <si>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https://drive.google.com/file/d/1omm_HzB21Zfg0Yzs7Vt1aI0wHZA4SG6f/view</t>
  </si>
  <si>
    <t>https://drive.google.com/file/d/1iw8Pu_v8486xVNoVC6H1tagAPjNN3e3i/view</t>
  </si>
  <si>
    <t>https://drive.google.com/file/d/1CaEjU_epE9VEXJInlz8RCkUAUIwjdGGk/view</t>
  </si>
  <si>
    <t>https://drive.google.com/file/d/1kWblfMsmJHs9xMVUTMpDokCn7epXbYtF/view</t>
  </si>
  <si>
    <t>https://drive.google.com/file/d/19JOgx0ABBEvZspVsfKKYmoEHHXWYKY9I/view</t>
  </si>
  <si>
    <t>RS1-250608-1</t>
  </si>
  <si>
    <t>https://drive.google.com/file/d/1n64Oswp2NnIsxY3kbjAJSrGyyFBn4vn-/view</t>
  </si>
  <si>
    <t>https://drive.google.com/file/d/1DRRUkwS1CgqVjUNksDYCtH8q6MqI-wlK/view?usp=drive_link</t>
  </si>
  <si>
    <t>https://drive.google.com/file/d/1mW08is17mbSbnbSoGVv6xsXJKr8icOtk/view?usp=drive_link</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</si>
  <si>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</si>
  <si>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</si>
  <si>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</si>
  <si>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</si>
  <si>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</si>
  <si>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</si>
  <si>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RS1-250615-1</t>
  </si>
  <si>
    <t>https://drive.google.com/file/d/1GYSFNvKdjzqMT4KWORJNjlKzetIbsXvT/view</t>
  </si>
  <si>
    <t>https://drive.google.com/file/d/1lSn7zC1NpFD-ekgqRezX6-0nBOnhY3JE/view</t>
  </si>
  <si>
    <t>https://drive.google.com/file/d/1YhpedaMWb_wCZ95CMEtfTzQRHPta26oc/view?usp=drive_link</t>
  </si>
  <si>
    <t>https://drive.google.com/file/d/1KNGyZcL71nfSiSRlucoJc-XT5ErqnNXo/view</t>
  </si>
  <si>
    <t>https://drive.google.com/file/d/1LE9w6mrFoIQqHhhg8pEyWdDOJDAQppYr/view</t>
  </si>
  <si>
    <t>https://drive.google.com/file/d/1U_jK0N1jEu7TZJq7mrvLTnvjnjSyKUb2/view</t>
  </si>
  <si>
    <t>https://drive.google.com/file/d/10CYvU-u8dzOI8CWRXRVpCAJ2a4htilSf/view</t>
  </si>
  <si>
    <t>https://drive.google.com/file/d/15aI2_OglWpN3l3lviNtdR7wFg3IjQUmB/view?usp=drive_link</t>
  </si>
  <si>
    <t>https://drive.google.com/file/d/1kNDW441NfjRDSdgB5B-asRuLYoQ9RUYD/view?usp=drive_link</t>
  </si>
  <si>
    <t>https://drive.google.com/file/d/1M2z41bD77eXfpYkcMBfSxgMNvCfZC5wG/view?usp=drive_link</t>
  </si>
  <si>
    <t>https://drive.google.com/file/d/1yFu691dHo7tryk5kjoU5sOiV0S35L2-7/view?usp=drive_link</t>
  </si>
  <si>
    <t>https://drive.google.com/file/d/1QZJpFcnAQSNZkD1YePCJaoMCu1meWVNY/view?usp=drive_link</t>
  </si>
  <si>
    <t>https://drive.google.com/file/d/1umkmvO7VhHN9FfGQ7GijgNvQ31F4njEl/view?usp=drive_link</t>
  </si>
  <si>
    <t>RS2-250711-1</t>
  </si>
  <si>
    <t>https://drive.google.com/file/d/1Aoy5ZvwSguibZ9szVI84fGNz_ZzrUqj0/view?usp=drive_link</t>
  </si>
  <si>
    <t>https://drive.google.com/file/d/1sfw3cWbgH09I9zBI9Z_6r6v_Xc4k4iVa/view?usp=drive_link</t>
  </si>
  <si>
    <t>https://drive.google.com/file/d/1JJJtHCUK9LchQ62DDxl5Dx0yQxu6wy5W/view?usp=drive_link</t>
  </si>
  <si>
    <t>https://drive.google.com/file/d/1aluJ1MFLclKkx9k5g8DJEqm71dCYHs8S/view?usp=drive_link</t>
  </si>
  <si>
    <t>https://drive.google.com/file/d/1CvGFZDcYXLuy5mDjGzgDE77wHY3DIeF9/view?usp=drive_link</t>
  </si>
  <si>
    <t>https://drive.google.com/file/d/1fBcm7ZMF5W_9xW5WxiWcYS2pPwAg_nD8/view?usp=drive_link</t>
  </si>
  <si>
    <t>https://drive.google.com/file/d/15Sef38g8rtqgQLiy5I-JT68fMhG81sXe/view?usp=drive_link</t>
  </si>
  <si>
    <t>RS3-250716-1</t>
  </si>
  <si>
    <t>https://drive.google.com/file/d/16sCIsIvfSp2pF8Q7tJBllM76ykO7wQP6/view?usp=drive_link</t>
  </si>
  <si>
    <t>https://drive.google.com/file/d/1uQuq5hnFpFQXvWZXuPUCjaxFDSTSlsYA/view?usp=drive_link</t>
  </si>
  <si>
    <t>https://drive.google.com/file/d/1q4gK1LKOTgb1K32ydanXTaWAN-zlIxBV/view?usp=drive_link</t>
  </si>
  <si>
    <t>https://drive.google.com/file/d/13pXcvCUx9c8SPn2ma4J79saTiX8R3OBl/view?usp=drive_link</t>
  </si>
  <si>
    <t>RS3-250718-1</t>
  </si>
  <si>
    <t>https://drive.google.com/file/d/1rLJEobzz1kT2xgmmkS6DRdMXNBHAD05-/view?usp=drive_link</t>
  </si>
  <si>
    <t>https://drive.google.com/file/d/1fK3RfCQTiAsxkytM0B3bCssEh824cxDR/view?usp=drive_link</t>
  </si>
  <si>
    <t>https://drive.google.com/file/d/1U_tQnCZbY05PVqCRdVMsyh8X2_MN9yFi/view?usp=drive_link</t>
  </si>
  <si>
    <t>https://drive.google.com/file/d/1hS2FTInXZoYrADALW2N5IkAD4svON_SF/view?usp=drive_link</t>
  </si>
  <si>
    <t>https://drive.google.com/file/d/1Eql9jEnS8PKiXqdEnjXVF8fHiGsdjHMy/view?usp=drive_link</t>
  </si>
  <si>
    <t>https://drive.google.com/file/d/1d3gksjhHgTmCjqdODDIwlsYN-ALz4NOy/view?usp=drive_link</t>
  </si>
  <si>
    <t>https://drive.google.com/file/d/1l-sbYuo92uOrOJNgOOE625zFCwzyYq_0/view?usp=drive_link</t>
  </si>
  <si>
    <t>https://drive.google.com/file/d/1Uh73WYx06E14P7_dMeXL166lDuEg0B3n/view?usp=drive_link</t>
  </si>
  <si>
    <t>https://drive.google.com/file/d/1lHNrJlICeXoMfvp2Qa6Qc0GO_SxvwvZk/view?usp=drive_link</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</si>
  <si>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</si>
  <si>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</si>
  <si>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</si>
  <si>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</si>
  <si>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</si>
  <si>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</si>
  <si>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</si>
  <si>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</si>
  <si>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</si>
  <si>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</si>
  <si>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https://drive.google.com/file/d/1tLmEw5hEfRZvGU_72z7C4eaOf0Ny7MF_/view?usp=drive_link</t>
  </si>
  <si>
    <t>https://drive.google.com/file/d/17He3WC6BqaVqOpnzUv7SI0tbpiJ7NHyN/view?usp=drive_link</t>
  </si>
  <si>
    <t>https://drive.google.com/file/d/1xmjp7DjlBooBXo_Xj4lVg1syY_ws6qQu/view?usp=drive_link</t>
  </si>
  <si>
    <t>https://drive.google.com/file/d/17FsrzketM6YQKLrB4YN3eQRI5wW1reNG/view?usp=drive_link</t>
  </si>
  <si>
    <t>https://drive.google.com/file/d/1qWOVtVkgdROUFiLtMHi229ivYpU_5E_3/view?usp=drive_link</t>
  </si>
  <si>
    <t>https://drive.google.com/file/d/14GpQVW_xENP6jcQle8gvLqAj8GPuwevo/view?usp=drive_link</t>
  </si>
  <si>
    <t>https://drive.google.com/file/d/1tcOZlzjlP8YIofhBB6peGjER8bE0TmBg/view?usp=drive_link</t>
  </si>
  <si>
    <t>https://drive.google.com/file/d/13FCskwWJT16HCd14-LkX1uGV1pxOTPQ6/view?usp=drive_link</t>
  </si>
  <si>
    <t>https://drive.google.com/file/d/1uOXlLieYl1PEh18Xv8UcpPrwgkl85Xzf/view?usp=drive_link</t>
  </si>
  <si>
    <t>RS3-250821-1</t>
  </si>
  <si>
    <t>https://drive.google.com/file/d/1DdfmREKEfsWjopdCkzUP5XkR_R6uPdWI/view?usp=drive_link</t>
  </si>
  <si>
    <t>https://drive.google.com/file/d/1ZkI7qnFjFUxbeaHHSr9InU6-GhJTXwrC/view?usp=drive_link</t>
  </si>
  <si>
    <t>https://drive.google.com/file/d/1KM1wJdbG8m8GiFrDMSMqpEcGlExkZw8V/view?usp=drive_link</t>
  </si>
  <si>
    <t>https://drive.google.com/file/d/1jOfwCNzpp3Bc6B-XSPOqtyzRa0r2H1qp/view?usp=drive_link</t>
  </si>
  <si>
    <t>RS3-250902-1</t>
  </si>
  <si>
    <t>https://drive.google.com/file/d/1-D9Yj0s67cm0BfJu1NTcp7fWUGP_JYQM/view?usp=drive_link</t>
  </si>
  <si>
    <t>RS1-250828-1</t>
  </si>
  <si>
    <t>https://drive.google.com/file/d/1dGLYubYxDQzj6Zb0tvknc-3R1bInVGcq/view?usp=drive_link</t>
  </si>
  <si>
    <t>https://drive.google.com/file/d/1yvazkbvAav4U0WEPxIa0DYOzz_tt7_Gt/view?usp=drive_link</t>
  </si>
  <si>
    <t>https://drive.google.com/file/d/12BqBsmf3otsP2v8tkMKr-L3WXNxRiAc3/view?usp=drive_link</t>
  </si>
  <si>
    <t>https://drive.google.com/file/d/1_KOO6qRnfWXHyeYevrq-pO76hvd5GXpK/view?usp=drive_link</t>
  </si>
  <si>
    <t>https://drive.google.com/file/d/1KGQEFpvbnwrkoAHwSqizQ5m6o4JjAdmt/view?usp=drive_link</t>
  </si>
  <si>
    <t>https://drive.google.com/file/d/1_peRjjwJFXRXVVCInHWd_P61D9g30iES/view?usp=drive_link</t>
  </si>
  <si>
    <t>https://drive.google.com/file/d/1fkHI3RtDeA8ld2w9M_HFSJyZtnI_qYTK/view?usp=drive_link</t>
  </si>
  <si>
    <t>https://drive.google.com/file/d/1lmysZnJMxut3Rz0rCevssPRBiwYK3Cax/view?usp=drive_link</t>
  </si>
  <si>
    <t>https://drive.google.com/file/d/1teYeZTRuVmYb_g8d4RbMaRwCuaOrWKH6/view?usp=drive_link</t>
  </si>
  <si>
    <t>https://drive.google.com/file/d/1P4v9ir8ehwiazVNGVqhlgQk0o49Dyfk2/view?usp=drive_link</t>
  </si>
  <si>
    <t>RS1-250928-1</t>
  </si>
  <si>
    <t>https://drive.google.com/file/d/1CPqfwWoPATcnWOr0iSPTWGoebpOP8rhf/view?usp=drive_link</t>
  </si>
  <si>
    <t>https://drive.google.com/file/d/1wmE3tpAo2xesteygoEwj4qPnaJ8bvuY9/view?usp=drive_link</t>
  </si>
  <si>
    <t>https://drive.google.com/file/d/1vqEeF3Zv1MHx-ZrOQCGF5SzmgAChJXxx/view?usp=drive_link</t>
  </si>
  <si>
    <t>https://drive.google.com/file/d/1XRXM-AYfFAbwSOigRR6AOBtFWWoFYyEf/view?usp=drive_link</t>
  </si>
  <si>
    <t>https://drive.google.com/file/d/1NpyfZMQYCq__vOl08eT7oKikpnnoXx94/view?usp=drive_link</t>
  </si>
  <si>
    <t>https://drive.google.com/file/d/1ssNNS-AUNqigoK4Pxi4sYhx8PLZ8DIJ3/view?usp=drive_link</t>
  </si>
  <si>
    <t>https://drive.google.com/file/d/1hee2b5b_D81j3LImGlJJJsO_retOH-_V/view?usp=drive_link</t>
  </si>
  <si>
    <t>https://drive.google.com/file/d/1NLoZbJ3mln9xSK0POYB54aOTVXeeJTX6/view?usp=drive_link</t>
  </si>
  <si>
    <t>https://drive.google.com/file/d/11mBPyIqIy6hutMY2I3OJ9Q-uulfZ9AZW/view?usp=drive_link</t>
  </si>
  <si>
    <t>https://drive.google.com/file/d/1ydjnTlFLzGiwbuUr2Y8iFwKsD577l9NN/view?usp=drive_link</t>
  </si>
  <si>
    <t>https://drive.google.com/file/d/1HnpijX0PW3HB4Xbk-6-cG1RtekGM08Le/view?usp=drive_link</t>
  </si>
  <si>
    <t>https://drive.google.com/file/d/1_57dnpB5F3G53tGA5ZSWpaj6pPCfqnuk/view?usp=drive_link</t>
  </si>
  <si>
    <t>https://drive.google.com/file/d/11dw4dbRuW3eRhbalu3HdLQKnhGQUslSN/view?usp=drive_link</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</si>
  <si>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</si>
  <si>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</si>
  <si>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</si>
  <si>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</si>
  <si>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</si>
  <si>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</si>
  <si>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</si>
  <si>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</si>
  <si>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</si>
  <si>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</si>
  <si>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https://drive.google.com/file/d/1c4MCceOk_DrOlmU_tM1g7RS0XaptfWgg/view?usp=drive_link</t>
  </si>
  <si>
    <t>RS2-251219-1</t>
  </si>
  <si>
    <t>https://drive.google.com/file/d/1BLGiwoOzlkcIB26o4xXuZPNx-PtfiJ5E/view?usp=drive_link</t>
  </si>
  <si>
    <t>RS3-260105-1</t>
  </si>
  <si>
    <t>https://drive.google.com/file/d/1CDPgHNqXqIx71bv5lfn3SpjtsuLSyxft/view?usp=drive_link</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</si>
  <si>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</si>
  <si>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</si>
  <si>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</si>
  <si>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</si>
  <si>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</si>
  <si>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</si>
  <si>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</si>
  <si>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https://drive.google.com/file/d/1_bzu9ylV0KvJNDRmOpRmi2Q1dTaWrXoN/view?usp=drive_link</t>
  </si>
  <si>
    <t>https://drive.google.com/file/d/1Vc6wMat593PwAPHqeUaTCKa9P0XCNxv_/view?usp=drive_link</t>
  </si>
  <si>
    <t>https://drive.google.com/file/d/1jgq7F88csyEwzQQigfonHLI7UE1KYGdN/view?usp=drive_link</t>
  </si>
  <si>
    <t>https://drive.google.com/file/d/15se2cFiIvh0GGmHQMjJdkCy9BS66PD0k/view?usp=drive_link</t>
  </si>
  <si>
    <t>https://drive.google.com/file/d/1_fNiqSMFpsyGZhTCjjbY3BbSS7kIS-ig/view?usp=drive_link</t>
  </si>
  <si>
    <t>https://drive.google.com/file/d/1_4uZS051i-Qh4N2q7UCk1TY1macYYA-p/view?usp=drive_link</t>
  </si>
  <si>
    <t>RS1-250207-1</t>
  </si>
  <si>
    <t>https://drive.google.com/file/d/1UnUbAUKlz2rB3T-A-Va83t9aKg8TKcA_/view?usp=drive_link</t>
  </si>
  <si>
    <t>https://drive.google.com/file/d/1evJ90vRP7A8upIW5uphC5KOcPb0Wf5Ad/view?usp=drive_link</t>
  </si>
  <si>
    <t>https://drive.google.com/file/d/1HsQz0fW90KjrVo6Y8dbbVSC83f8mG_mf/view?usp=drive_link</t>
  </si>
  <si>
    <t>https://drive.google.com/file/d/1d3ALVVyNagSJ724tcp5lSjnFxmIxZ_tH/view?usp=drive_link</t>
  </si>
  <si>
    <t>https://drive.google.com/file/d/1sJP4JnKqqRyszUDP06uZL6gmUbqmFktZ/view?usp=drive_link</t>
  </si>
  <si>
    <t>https://drive.google.com/file/d/1fd11uuL347n8QOnplvzu5XxomDbJtvFx/view?usp=drive_link</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</si>
  <si>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</si>
  <si>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</si>
  <si>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</si>
  <si>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</si>
  <si>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</si>
  <si>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https://drive.google.com/file/d/1Gw-jRhVWN0A0ejQYYdNTNPhBj76QR-ub/view?usp=drive_link</t>
  </si>
  <si>
    <t>https://drive.google.com/file/d/1g86re4S_v2xQmunpoOdtdg7tlx1Uigip/view?usp=drive_link</t>
  </si>
  <si>
    <t>https://drive.google.com/file/d/1yrATA8kFY0vCZ-4LHQqRM_xteSPIrxpg/view?usp=drive_link</t>
  </si>
  <si>
    <t>https://drive.google.com/file/d/1vJIiKH27Y8iH3fhnq-qfTVH7fZtXuH5W/view?usp=drive_link</t>
  </si>
  <si>
    <t>https://drive.google.com/file/d/10OzNulAaKB8ZZZHPght9mUQFtjyFNbrn/view?usp=drive_link</t>
  </si>
  <si>
    <t>https://drive.google.com/file/d/1Vf9E8ujUWPCwzBgiwjYdqmSlSC6GvsPF/view?usp=drive_link</t>
  </si>
  <si>
    <t>https://drive.google.com/file/d/1CndXSlkDFITRZrCMbawccCngmWYq4G-N/view?usp=drive_link</t>
  </si>
  <si>
    <t>N/a</t>
  </si>
  <si>
    <t>https://drive.google.com/file/d/1llMoJlQ_OShGGKjmNDt7eKNx6ZXNsEt_/view?usp=drive_link</t>
  </si>
  <si>
    <t>https://drive.google.com/file/d/1Bttux9YkkqyvnFbIdlQdI8rWCKALE6Pn/view?usp=drive_link</t>
  </si>
  <si>
    <t>https://drive.google.com/file/d/1iJpUnsTsu4oHnIk33wUvAlZUsXTYzfiT/view?usp=drive_link</t>
  </si>
  <si>
    <t>https://drive.google.com/file/d/1YhtzQMMNY-QchbdPNRl0mnILf4vgpSWM/view?usp=drive_link</t>
  </si>
  <si>
    <t>https://drive.google.com/file/d/1hOeW8nKmm89zW2_188tD6oEDm08xlS56/view?usp=drive_link</t>
  </si>
  <si>
    <t>RS3-260228-1</t>
  </si>
  <si>
    <t>https://drive.google.com/file/d/1xiolMkft05i0eXmDNPttT-mFCIYVBxqH/view?usp=drive_link</t>
  </si>
  <si>
    <t>https://drive.google.com/file/d/1KcRGfEJa5-lhcU9QxVfJRNVuHEqKJWi7/view?usp=drive_link</t>
  </si>
  <si>
    <t>https://drive.google.com/file/d/1GiHRLg-Fr8yT-11Kv2sf8mS9t9qYAJpH/view?usp=drive_link</t>
  </si>
  <si>
    <t>https://drive.google.com/file/d/1xR2JG7TzUjASnirZRcNoLnaye4ANxihM/view?usp=drive_link</t>
  </si>
  <si>
    <t>RS3-260307-1</t>
  </si>
  <si>
    <t>https://drive.google.com/file/d/1GWXf7A8BEiBVflS12N_3GGthOTyrdPdp/view?usp=drive_link</t>
  </si>
  <si>
    <t>https://drive.google.com/file/d/1rQCua1jvdPF9nfNy9WqAV_tS95mm0Zty/view?usp=drive_link</t>
  </si>
  <si>
    <t>https://drive.google.com/file/d/1p9kGPHGeZSD4JBjtYjlm8JpJhq26f7OC/view?usp=drive_link</t>
  </si>
  <si>
    <t>RS1-260308-1</t>
  </si>
  <si>
    <t>https://drive.google.com/file/d/1O3rkUcrLtNSnmD7n1PTP2_rQlA-NE-v-/view?usp=drive_link</t>
  </si>
  <si>
    <t>https://drive.google.com/file/d/1oenLuz_o682MQlvXn2oOCYzi3JJsUYD1/view?usp=drive_link</t>
  </si>
  <si>
    <t>https://drive.google.com/file/d/1-8oa8FaaOtglnZbouNzAiPI0lyvT_lT7/view?usp=drive_link</t>
  </si>
  <si>
    <t>https://drive.google.com/file/d/1IJNLEaAY1gVofl95Q69ZXS9sUAWGwTGs/view?usp=drive_link</t>
  </si>
  <si>
    <t>https://drive.google.com/file/d/1ka_nGbOC1H1b7uSw3OgJBK_ZNOp9qPN1/view?usp=drive_link</t>
  </si>
  <si>
    <t>https://drive.google.com/file/d/1SXhHUvvOdqDL6_uxxtWVYVd3iTF0FdPd/view?usp=drive_link</t>
  </si>
  <si>
    <t>https://drive.google.com/file/d/1eay3OjjMCicdzwp4Bpe93NiejoUxN81H/view?usp=drive_link</t>
  </si>
  <si>
    <t>https://drive.google.com/file/d/1IrN71nQUPNmeBf0sBn_YzFna5vcseMpV/view?usp=drive_link</t>
  </si>
  <si>
    <t>https://drive.google.com/file/d/16P2l2NSlP94MemrNf96QLg-qHIl9Aepa/view?usp=drive_link</t>
  </si>
  <si>
    <t>https://drive.google.com/file/d/15pKhZyfIDW4yvm29Y52WhHGAGsLCUBRt/view?usp=drive_link</t>
  </si>
  <si>
    <t>https://drive.google.com/file/d/1g5FTx07LIqoFCbIwYMVsE8He0JgK14MK/view?usp=drive_link</t>
  </si>
  <si>
    <t>https://drive.google.com/file/d/1sIBwaa9qFkxn6mfnO-P-cgoLGHK6XvtP/view?usp=drive_link</t>
  </si>
  <si>
    <t>https://drive.google.com/file/d/1Q2k-ajtZbNIqN7ZKThKVfT4KVfa51Lrd/view?usp=drive_link</t>
  </si>
  <si>
    <t>https://drive.google.com/file/d/1HRpVxIKnlIFZ0r6rsMTrd8znTBWFOcix/view?usp=drive_link</t>
  </si>
  <si>
    <t>https://drive.google.com/file/d/1pfKZfRdcd8hgNpGcWrxE7x2me84thdD7/view?usp=drive_link</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</si>
  <si>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</si>
  <si>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</si>
  <si>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</si>
  <si>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</si>
  <si>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</si>
  <si>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</si>
  <si>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</si>
  <si>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</si>
  <si>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</si>
  <si>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</si>
  <si>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RS3-260327-1</t>
  </si>
  <si>
    <t>https://drive.google.com/file/d/1BZEVz4ZyyLSDBgyFLn_1gVanIa_utJqu/view?usp=drive_link</t>
  </si>
  <si>
    <t>https://drive.google.com/file/d/1fdfsW_keQys68RDkoCkaX9XEID6od0VN/view?usp=drive_link</t>
  </si>
  <si>
    <t>https://drive.google.com/file/d/1hfmqqKmusCRRybUv3lymyUqnI9DOHALR/view?usp=drive_link</t>
  </si>
  <si>
    <t>RS1-260330-1</t>
  </si>
  <si>
    <t>https://drive.google.com/file/d/1V2T43Al47Hc6ltaITw-Wrb2UWb3j0bUo/view?usp=drive_link</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</si>
  <si>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</si>
  <si>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</si>
  <si>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</si>
  <si>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</si>
  <si>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</si>
  <si>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https://drive.google.com/file/d/1yJxTFuLbkP_YXGsj8VAqGPM71ybvRbHT/view?usp=drive_link</t>
  </si>
  <si>
    <t>RS1-260410-1</t>
  </si>
  <si>
    <t>https://drive.google.com/file/d/1_-ceQT2KWqp5i1g54ahuNWcCiqTxm4Hz/view?usp=drive_link</t>
  </si>
  <si>
    <t>RS3-260411-1</t>
  </si>
  <si>
    <t>https://drive.google.com/file/d/1FnikAx_Q9LIGX-9XdmxdxLhuBO10RPyC/view?usp=drive_link</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</si>
  <si>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</si>
  <si>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</si>
  <si>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</si>
  <si>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</si>
  <si>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</si>
  <si>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</si>
  <si>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https://drive.google.com/file/d/1SgXxgD0KZSuND3Xb_9Pw5wYHyuJcDhA4/view?usp=drive_link</t>
  </si>
  <si>
    <t>https://drive.google.com/file/d/1EMk3CG53whgn_C7xXU7_2seeT8_gxs1O/view?usp=drive_link</t>
  </si>
  <si>
    <t>https://drive.google.com/file/d/1G_lGaaiVTv7mDGMrVf3QeQV_A5MoAelO/view?usp=drive_link</t>
  </si>
  <si>
    <t>RS1-260421-1</t>
  </si>
  <si>
    <t>https://drive.google.com/file/d/1vz7Qca03qovkBkXCe0QkjPaVF2NO6fDY/view?usp=drive_link</t>
  </si>
  <si>
    <t>https://drive.google.com/file/d/1TRfpJXN-qMH1rqy53RN_ob0UGqWd8mi0/view?usp=drive_link</t>
  </si>
  <si>
    <t>#</t>
  </si>
  <si>
    <t xml:space="preserve">Driver Tracking </t>
  </si>
  <si>
    <t xml:space="preserve">Supplier </t>
  </si>
  <si>
    <t xml:space="preserve">Mode </t>
  </si>
  <si>
    <t>PO Placed Date</t>
  </si>
  <si>
    <t>Injection Date</t>
  </si>
  <si>
    <t>Amount (Tons)</t>
  </si>
  <si>
    <t xml:space="preserve">Unit Price </t>
  </si>
  <si>
    <t>Total Cost</t>
  </si>
  <si>
    <t>Injection Location</t>
  </si>
  <si>
    <t>Actual Loaded (tons)</t>
  </si>
  <si>
    <t>Invoiced ($)</t>
  </si>
  <si>
    <t>Deposit Remaining?</t>
  </si>
  <si>
    <t>Export Doc Link</t>
  </si>
  <si>
    <t>Water Content (%)</t>
  </si>
  <si>
    <t>Status</t>
  </si>
  <si>
    <t>Bio-oil Yield (%)</t>
  </si>
  <si>
    <t>Transport Distance (mi)</t>
  </si>
  <si>
    <t>Biomass Transport (t CO₂e )</t>
  </si>
  <si>
    <t>Injectant Transport (t CO₂e)</t>
  </si>
  <si>
    <t>Verified
(t CO₂e)</t>
  </si>
  <si>
    <t>Diff</t>
  </si>
  <si>
    <t xml:space="preserve">2023 t CO₂e </t>
  </si>
  <si>
    <r>
      <rPr>
        <b/>
      </rPr>
      <t xml:space="preserve">Injection Data
</t>
    </r>
    <r>
      <rPr>
        <b val="0"/>
        <color rgb="FF1155CC"/>
        <sz val="8.0"/>
        <u/>
      </rPr>
      <t>summary</t>
    </r>
  </si>
  <si>
    <t>Product Cost</t>
  </si>
  <si>
    <t>Freight Cost</t>
  </si>
  <si>
    <t>Injection Cost</t>
  </si>
  <si>
    <t>Lab Cost</t>
  </si>
  <si>
    <t>$/m.t.CO2e</t>
  </si>
  <si>
    <t xml:space="preserve">Sale Price </t>
  </si>
  <si>
    <t>Gross Profit</t>
  </si>
  <si>
    <t xml:space="preserve">Gross Margin </t>
  </si>
  <si>
    <t xml:space="preserve">Notes </t>
  </si>
  <si>
    <t xml:space="preserve">ratio of bio oil loaded and tons verified </t>
  </si>
  <si>
    <t>Guy Guillemette</t>
  </si>
  <si>
    <t>Injection @ Hildreth A6</t>
  </si>
  <si>
    <t>verified</t>
  </si>
  <si>
    <t xml:space="preserve">blended at AJs, phase separated, we injected light ends at Advantek and then pumped out heavy ends into totes </t>
  </si>
  <si>
    <t>002T1R0</t>
  </si>
  <si>
    <t>Luc Garant</t>
  </si>
  <si>
    <t xml:space="preserve">unloaded into totes -1000 gallon tank and one 275 gallon blended still onsite, sent two to HQ, injected the rest at hildreth </t>
  </si>
  <si>
    <t>003T1R0</t>
  </si>
  <si>
    <t>link</t>
  </si>
  <si>
    <t xml:space="preserve">blended at AJs, unloaded some at Advantek and some at Hildreth </t>
  </si>
  <si>
    <t>004T1R0</t>
  </si>
  <si>
    <t>Kevin Wood</t>
  </si>
  <si>
    <t xml:space="preserve">injected at Hildreth </t>
  </si>
  <si>
    <t>006T1R0</t>
  </si>
  <si>
    <t>Injected @ Hildreth 3/21</t>
  </si>
  <si>
    <t>005T1R0</t>
  </si>
  <si>
    <t>Jeffrey Armu</t>
  </si>
  <si>
    <t>Unloaded into totes at AJs awaiting TCLP results. injected in Hildreth 3/22</t>
  </si>
  <si>
    <t>007T1R0</t>
  </si>
  <si>
    <t>Patrick Aubertin</t>
  </si>
  <si>
    <t xml:space="preserve">Injected @ Hildreth 4/3 - power outage day </t>
  </si>
  <si>
    <t>008T1R0</t>
  </si>
  <si>
    <t>Injected @ Hildreth, &lt; 2 hrs injection time</t>
  </si>
  <si>
    <t>009T1R0</t>
  </si>
  <si>
    <t>Andrew Stanbook</t>
  </si>
  <si>
    <t>Valve not fully open on tanker side, impeding flow to PCP; see linked surface pressure plot for signature</t>
  </si>
  <si>
    <t>010T1R0</t>
  </si>
  <si>
    <t>Uneventful (!); 2.3 hrs to inject</t>
  </si>
  <si>
    <t>011T1R0</t>
  </si>
  <si>
    <t>Darryl Kennedy</t>
  </si>
  <si>
    <t>~ 2.12 hrs injection time</t>
  </si>
  <si>
    <t>012T1R0</t>
  </si>
  <si>
    <t>filled tubing, ~08:00 PDT</t>
  </si>
  <si>
    <t>013T1R0</t>
  </si>
  <si>
    <t>014T1R0</t>
  </si>
  <si>
    <t>015T1R0</t>
  </si>
  <si>
    <t>015T2R0</t>
  </si>
  <si>
    <t>017T1R0</t>
  </si>
  <si>
    <t>Jeffrey Omofola Aremu</t>
  </si>
  <si>
    <t>017T1R1</t>
  </si>
  <si>
    <t>016T1R0</t>
  </si>
  <si>
    <t>Derrick Dufresne</t>
  </si>
  <si>
    <t>016R3R1</t>
  </si>
  <si>
    <t>018T1R0</t>
  </si>
  <si>
    <t>018T2R1</t>
  </si>
  <si>
    <t>019T1R0</t>
  </si>
  <si>
    <t>Jonathan Fortier</t>
  </si>
  <si>
    <t>019T3R1</t>
  </si>
  <si>
    <t>020T1R0</t>
  </si>
  <si>
    <t>020T3R1</t>
  </si>
  <si>
    <t>[same as above]</t>
  </si>
  <si>
    <t>021T1R0</t>
  </si>
  <si>
    <t>021T3R1</t>
  </si>
  <si>
    <t>022T1R0</t>
  </si>
  <si>
    <t>022T3R1</t>
  </si>
  <si>
    <t>023T1R0</t>
  </si>
  <si>
    <t>023T3R1</t>
  </si>
  <si>
    <t>024T1R0</t>
  </si>
  <si>
    <t>024T3R1</t>
  </si>
  <si>
    <t>025T1R0</t>
  </si>
  <si>
    <t>Patrick Tremblay</t>
  </si>
  <si>
    <t>026T1R0</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</si>
  <si>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</si>
  <si>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027T1R0</t>
  </si>
  <si>
    <t>Stephane Boucher</t>
  </si>
  <si>
    <t>028T1R0</t>
  </si>
  <si>
    <t>029T1R0</t>
  </si>
  <si>
    <t>11/17/2023 (totes)</t>
  </si>
  <si>
    <t>recorded</t>
  </si>
  <si>
    <t>030T1R0</t>
  </si>
  <si>
    <t>12/1/2023 (totes)</t>
  </si>
  <si>
    <t>031T1R0</t>
  </si>
  <si>
    <t>12/16/2023 (totes)</t>
  </si>
  <si>
    <t>forecasted</t>
  </si>
  <si>
    <t>--</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</si>
  <si>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</si>
  <si>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</si>
  <si>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</si>
  <si>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</si>
  <si>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</si>
  <si>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r>
      <rPr/>
      <t xml:space="preserve">BOLs received from AECN, recorded in </t>
    </r>
    <r>
      <rPr>
        <b/>
      </rPr>
      <t>Loads</t>
    </r>
    <r>
      <rPr/>
      <t xml:space="preserve"> and </t>
    </r>
    <r>
      <rPr>
        <color rgb="FF1155CC"/>
        <u/>
      </rPr>
      <t>Drive Folder</t>
    </r>
  </si>
  <si>
    <r>
      <rPr/>
      <t xml:space="preserve">Certificate of Analyses received from AECN, recorded in </t>
    </r>
    <r>
      <rPr>
        <b/>
      </rPr>
      <t xml:space="preserve">Loads </t>
    </r>
    <r>
      <rPr/>
      <t xml:space="preserve">and </t>
    </r>
    <r>
      <rPr>
        <color rgb="FF1155CC"/>
        <u/>
      </rPr>
      <t>Drive Folder</t>
    </r>
  </si>
  <si>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</si>
  <si>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</si>
  <si>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</si>
  <si>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</si>
  <si>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</si>
  <si>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</si>
  <si>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</si>
  <si>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</si>
  <si>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Total</t>
  </si>
  <si>
    <t>El Dorado Minifinery</t>
  </si>
  <si>
    <t>Basco Minifinery</t>
  </si>
  <si>
    <t>Total AECN</t>
  </si>
  <si>
    <t>Week Of</t>
  </si>
  <si>
    <t>Blending Thruput (mt)</t>
  </si>
  <si>
    <t>Max Thruput (mt)</t>
  </si>
  <si>
    <t>Charm Thruput (mt)</t>
  </si>
  <si>
    <t>Total Thruput (mt)</t>
  </si>
  <si>
    <t>Storage Capacity (mt)</t>
  </si>
  <si>
    <t>Storage Used (mt)</t>
  </si>
  <si>
    <t>Delivery Demand (mt)</t>
  </si>
  <si>
    <t>Railcar Arrival (#)</t>
  </si>
  <si>
    <t>Railcar Origin Release (#)</t>
  </si>
  <si>
    <t>AECN Forecast (mt)</t>
  </si>
  <si>
    <t>Communicated AECN Forecast</t>
  </si>
  <si>
    <t>Time Of Arrival</t>
  </si>
  <si>
    <t>Time of Reading</t>
  </si>
  <si>
    <t>Temperature (F)</t>
  </si>
  <si>
    <t>Zahn Cup Seconds</t>
  </si>
  <si>
    <t>2097-T</t>
  </si>
  <si>
    <t>111.6F</t>
  </si>
  <si>
    <t>2166T</t>
  </si>
  <si>
    <t>2168T</t>
  </si>
  <si>
    <t>2169T</t>
  </si>
  <si>
    <t>2175T</t>
  </si>
  <si>
    <t>33s</t>
  </si>
  <si>
    <t>CH Robinson</t>
  </si>
  <si>
    <t>2186T</t>
  </si>
  <si>
    <t>2188T</t>
  </si>
  <si>
    <t>2199T</t>
  </si>
  <si>
    <t>2203-T</t>
  </si>
  <si>
    <t>2248-T</t>
  </si>
  <si>
    <t>2262T</t>
  </si>
  <si>
    <t>Date</t>
  </si>
  <si>
    <t>BOL #</t>
  </si>
  <si>
    <t>CofA #</t>
  </si>
  <si>
    <t>Tonnage</t>
  </si>
  <si>
    <t>Time</t>
  </si>
  <si>
    <t>july rail</t>
  </si>
  <si>
    <t>RS2-240707-1</t>
  </si>
  <si>
    <t>https://drive.google.com/file/d/11C4fO6pG56h9sKv8el7Tt1WIO_-pIT5n/view</t>
  </si>
  <si>
    <t>https://drive.google.com/file/d/17sLw70Pd0D1oxhbeIVJFDp_6RULt1nIu/view</t>
  </si>
  <si>
    <t>August Rail 2</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</si>
  <si>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</si>
  <si>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</si>
  <si>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</si>
  <si>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</si>
  <si>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</si>
  <si>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</si>
  <si>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</si>
  <si>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</si>
  <si>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AugustRail</t>
  </si>
  <si>
    <t>https://drive.google.com/file/d/15Dm02eHKqIvsv-vP90LKmy7hGkElkziu/view</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</si>
  <si>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</si>
  <si>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</si>
  <si>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</si>
  <si>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</si>
  <si>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</si>
  <si>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</si>
  <si>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</si>
  <si>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RS3-2410024-1</t>
  </si>
  <si>
    <t>https://drive.google.com/file/d/17_jA9LI6LJYtv-YRgD3PS2vLnk6ZEHjA/view</t>
  </si>
  <si>
    <t>RS2-2410001</t>
  </si>
  <si>
    <t>https://drive.google.com/file/d/1EKMwFu8-zOPld6RPX3TG6eVTawedyLEe/view</t>
  </si>
  <si>
    <t>RS2-2410184-1</t>
  </si>
  <si>
    <t>https://drive.google.com/file/d/1Vhh_by9QYGpwhq08RbeRPDyF7bjaeFzl/view</t>
  </si>
  <si>
    <t>https://drive.google.com/file/d/16RaOp_hu2qZpOpcvnhTwdHRq7NsPOekp/view</t>
  </si>
  <si>
    <t>RS1-2408165-1</t>
  </si>
  <si>
    <t>https://drive.google.com/file/d/1n8hb8O-A9Mo12wvZ9BpYBy0CmhxgPV5X/view</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</si>
  <si>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</si>
  <si>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</si>
  <si>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</si>
  <si>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</si>
  <si>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</si>
  <si>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</si>
  <si>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</si>
  <si>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</si>
  <si>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</si>
  <si>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</si>
  <si>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</si>
  <si>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</si>
  <si>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</si>
  <si>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</si>
  <si>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</si>
  <si>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https://drive.google.com/file/d/1rbly9AOZGINGDFOpqQ9Pt7IWPi7ir4Em/view</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</si>
  <si>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</si>
  <si>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</si>
  <si>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</si>
  <si>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</si>
  <si>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</si>
  <si>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</si>
  <si>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</si>
  <si>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</si>
  <si>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</si>
  <si>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</si>
  <si>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</si>
  <si>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</si>
  <si>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</si>
  <si>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</si>
  <si>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</si>
  <si>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</si>
  <si>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https://drive.google.com/file/d/1dCzFLrTCv50U28y2W9_Do8FN_ZPyZ7Rx/view</t>
  </si>
  <si>
    <t>https://drive.google.com/file/d/13bvkphVgl8tj_g8Wh5eCuipaKSO1w4qU/view</t>
  </si>
  <si>
    <t>Load ID</t>
  </si>
  <si>
    <t>Invoice #</t>
  </si>
  <si>
    <t>Invoice Date</t>
  </si>
  <si>
    <t>ACE Processing Fee</t>
  </si>
  <si>
    <t>CBP Compliance</t>
  </si>
  <si>
    <t>Customs Clearance</t>
  </si>
  <si>
    <t>Document Verification</t>
  </si>
  <si>
    <t>Other</t>
  </si>
  <si>
    <t>B00822621</t>
  </si>
  <si>
    <t>B00823184</t>
  </si>
  <si>
    <t>B00823260</t>
  </si>
  <si>
    <t>B00823284</t>
  </si>
  <si>
    <t>B00824024</t>
  </si>
  <si>
    <t>B00824034</t>
  </si>
  <si>
    <t>B00824112</t>
  </si>
  <si>
    <t>B00824604</t>
  </si>
  <si>
    <t>B00824686</t>
  </si>
  <si>
    <t>B00824912</t>
  </si>
  <si>
    <t>B00825318</t>
  </si>
  <si>
    <t>B00825691</t>
  </si>
  <si>
    <t>B00825680</t>
  </si>
  <si>
    <t>B00826155</t>
  </si>
  <si>
    <t>B00826434</t>
  </si>
  <si>
    <t>B00826380</t>
  </si>
  <si>
    <t>B00826450</t>
  </si>
  <si>
    <t>B00827315</t>
  </si>
  <si>
    <t>B00827193</t>
  </si>
  <si>
    <t>B00827895</t>
  </si>
  <si>
    <t>B00828431</t>
  </si>
  <si>
    <t>B00828434</t>
  </si>
  <si>
    <t>B00828486</t>
  </si>
  <si>
    <t>B00828401</t>
  </si>
  <si>
    <t>B00828836</t>
  </si>
  <si>
    <t>B00829225</t>
  </si>
  <si>
    <t>B00829528</t>
  </si>
  <si>
    <t>x</t>
  </si>
  <si>
    <t>B00830664</t>
  </si>
  <si>
    <t>B00830708</t>
  </si>
  <si>
    <t>2163-T</t>
  </si>
  <si>
    <t>B00831465</t>
  </si>
  <si>
    <t>B00830721</t>
  </si>
  <si>
    <t>B00833019</t>
  </si>
  <si>
    <t>B00833426</t>
  </si>
  <si>
    <t>B00832016</t>
  </si>
  <si>
    <t>B00833897</t>
  </si>
  <si>
    <t>B00832509</t>
  </si>
  <si>
    <t>B00835199</t>
  </si>
  <si>
    <t>B00835204</t>
  </si>
  <si>
    <t>B00835429</t>
  </si>
  <si>
    <t>B00835773</t>
  </si>
  <si>
    <t>B00836941</t>
  </si>
  <si>
    <t>B00838862</t>
  </si>
  <si>
    <t>B00839643</t>
  </si>
  <si>
    <t>B00839612</t>
  </si>
  <si>
    <t>B00840839</t>
  </si>
  <si>
    <t>B00840089</t>
  </si>
  <si>
    <t>B00840078</t>
  </si>
  <si>
    <t>B00840040</t>
  </si>
  <si>
    <t>B00844787</t>
  </si>
  <si>
    <t>B00845081</t>
  </si>
  <si>
    <t>B00844830</t>
  </si>
  <si>
    <t>B00845563</t>
  </si>
  <si>
    <t>B00847218</t>
  </si>
  <si>
    <t>B00847405</t>
  </si>
  <si>
    <t>B00847510</t>
  </si>
  <si>
    <t>B00848284</t>
  </si>
  <si>
    <t>B00849890</t>
  </si>
  <si>
    <t>B00849926</t>
  </si>
  <si>
    <t>B00850334</t>
  </si>
  <si>
    <t>B00850943</t>
  </si>
  <si>
    <t>B00851714</t>
  </si>
  <si>
    <t>B00851044</t>
  </si>
  <si>
    <t>B00851169</t>
  </si>
  <si>
    <t>B00848566</t>
  </si>
  <si>
    <t>B00848682</t>
  </si>
  <si>
    <t>B00851880</t>
  </si>
  <si>
    <t>B00851890</t>
  </si>
  <si>
    <t>B00851910</t>
  </si>
  <si>
    <t>B00852252</t>
  </si>
  <si>
    <t>B00852741</t>
  </si>
  <si>
    <t>B00853647</t>
  </si>
  <si>
    <t>B00854034</t>
  </si>
  <si>
    <t>B00854452</t>
  </si>
  <si>
    <t>B00854440</t>
  </si>
  <si>
    <t>B00856027</t>
  </si>
  <si>
    <t>B00853321</t>
  </si>
  <si>
    <t>B00855502</t>
  </si>
  <si>
    <t>B00860338</t>
  </si>
  <si>
    <t>B00859904</t>
  </si>
  <si>
    <t>B00862080</t>
  </si>
  <si>
    <t>B00862821</t>
  </si>
  <si>
    <t>B00862897</t>
  </si>
  <si>
    <t>B00862101</t>
  </si>
  <si>
    <t>B00862504</t>
  </si>
  <si>
    <t>B00863566</t>
  </si>
  <si>
    <t>B00865852</t>
  </si>
  <si>
    <t>B00865502</t>
  </si>
  <si>
    <t>B00869146</t>
  </si>
  <si>
    <t>B00868714</t>
  </si>
  <si>
    <t>B00870524</t>
  </si>
  <si>
    <t>B00870437</t>
  </si>
  <si>
    <t>B00871699</t>
  </si>
  <si>
    <t>B00870970</t>
  </si>
  <si>
    <t>GPRX 5029</t>
  </si>
  <si>
    <t>B00874537</t>
  </si>
  <si>
    <t>B00873241</t>
  </si>
  <si>
    <t>B00874722</t>
  </si>
  <si>
    <t>B00874721</t>
  </si>
  <si>
    <t>B00874112</t>
  </si>
  <si>
    <t>B00874538</t>
  </si>
  <si>
    <t>B00876825</t>
  </si>
  <si>
    <t>B00878152</t>
  </si>
  <si>
    <t>B00878670</t>
  </si>
  <si>
    <t>B00877389</t>
  </si>
  <si>
    <t>B00880229</t>
  </si>
  <si>
    <t>B00880368</t>
  </si>
  <si>
    <t>B00881400</t>
  </si>
  <si>
    <t>B00881453</t>
  </si>
  <si>
    <t>B00891470</t>
  </si>
  <si>
    <t>B00891572</t>
  </si>
  <si>
    <t>B00893064</t>
  </si>
  <si>
    <t>B00893269</t>
  </si>
  <si>
    <t>B00905114</t>
  </si>
  <si>
    <t>B00906318</t>
  </si>
  <si>
    <t>B00906930</t>
  </si>
  <si>
    <t>B00906746</t>
  </si>
  <si>
    <t>B00905064</t>
  </si>
  <si>
    <t>B00906172</t>
  </si>
  <si>
    <t>B00907528</t>
  </si>
  <si>
    <t>B00907243</t>
  </si>
  <si>
    <t>B00910062</t>
  </si>
  <si>
    <t>B00910009</t>
  </si>
  <si>
    <t>B00909980</t>
  </si>
  <si>
    <t>B00910060</t>
  </si>
  <si>
    <t>B00909921</t>
  </si>
  <si>
    <t>B00909920</t>
  </si>
  <si>
    <t>B00910139</t>
  </si>
  <si>
    <t>B00910397</t>
  </si>
  <si>
    <t>B00910730</t>
  </si>
  <si>
    <t>B00910973</t>
  </si>
  <si>
    <t>B00911011</t>
  </si>
  <si>
    <t>B00911232</t>
  </si>
  <si>
    <t>B00911500</t>
  </si>
  <si>
    <t>B00911608</t>
  </si>
  <si>
    <t>B00912096</t>
  </si>
  <si>
    <t>B00912438</t>
  </si>
  <si>
    <t>B00913408</t>
  </si>
  <si>
    <t>B00912699</t>
  </si>
  <si>
    <t>B00913451</t>
  </si>
  <si>
    <t>B00913907</t>
  </si>
  <si>
    <t>B00913964</t>
  </si>
  <si>
    <t>B00913651</t>
  </si>
  <si>
    <t>B00914216</t>
  </si>
  <si>
    <t>B00914298</t>
  </si>
  <si>
    <t>B00916610</t>
  </si>
  <si>
    <t>B00916798</t>
  </si>
  <si>
    <t>B00916278</t>
  </si>
  <si>
    <t>B00916611</t>
  </si>
  <si>
    <t>B00915842</t>
  </si>
  <si>
    <t>2229-T</t>
  </si>
  <si>
    <t>B00916397</t>
  </si>
  <si>
    <t>B00917251</t>
  </si>
  <si>
    <t>B00917262</t>
  </si>
  <si>
    <t>B00917634</t>
  </si>
  <si>
    <t>B00917775</t>
  </si>
  <si>
    <t>B00917901</t>
  </si>
  <si>
    <t>B00917840</t>
  </si>
  <si>
    <t>B00916902</t>
  </si>
  <si>
    <t>B00916797</t>
  </si>
  <si>
    <t>B00916903</t>
  </si>
  <si>
    <t>B00918414</t>
  </si>
  <si>
    <t>B00918187</t>
  </si>
  <si>
    <t>B00916609</t>
  </si>
  <si>
    <t>B00917045</t>
  </si>
  <si>
    <t>B00921977</t>
  </si>
  <si>
    <t>B00923070</t>
  </si>
  <si>
    <t>B00924127</t>
  </si>
  <si>
    <t>B00922981</t>
  </si>
  <si>
    <t>B00923883</t>
  </si>
  <si>
    <t>ACTUALS</t>
  </si>
  <si>
    <t>Q12024</t>
  </si>
  <si>
    <t>Q22024</t>
  </si>
  <si>
    <t>Q32024</t>
  </si>
  <si>
    <t>Q42024</t>
  </si>
  <si>
    <t>Check</t>
  </si>
  <si>
    <t>AECN Bio-oil deliveries (m.t.)</t>
  </si>
  <si>
    <t>Truck</t>
  </si>
  <si>
    <t>Train</t>
  </si>
  <si>
    <t>Forecast</t>
  </si>
  <si>
    <t># of Railcar Deliveries</t>
  </si>
  <si>
    <t>1 stayed in Baie Comeau</t>
  </si>
  <si>
    <t># of Truck Deliveries</t>
  </si>
  <si>
    <t>Quarter</t>
  </si>
  <si>
    <t>Total Deliveries (m.t.)</t>
  </si>
  <si>
    <t>Trains Online</t>
  </si>
  <si>
    <t>Q1 2024</t>
  </si>
  <si>
    <t>Q2 2024</t>
  </si>
  <si>
    <t xml:space="preserve"> Q3 2024</t>
  </si>
  <si>
    <t>Q4 2024</t>
  </si>
  <si>
    <t>Vehicle Mode</t>
  </si>
  <si>
    <t>Average Delivery Load (m.t.)</t>
  </si>
  <si>
    <t>Average Delivery Time (days)</t>
  </si>
  <si>
    <t>Shortest Delivery Time (days)</t>
  </si>
  <si>
    <t># of Total Deliveries</t>
  </si>
  <si>
    <t>Total Costs ($)</t>
  </si>
  <si>
    <t>tBio-oil ($)</t>
  </si>
  <si>
    <t>Top Truck Driver 🌟</t>
  </si>
  <si>
    <t>Gus from KAG with 10 deliveries!!</t>
  </si>
  <si>
    <t>RS1-240629; RS1-240702</t>
  </si>
  <si>
    <t>RS1-240815-1; RS2-240822-1</t>
  </si>
  <si>
    <t>RS3-240913-1; RS2-240916-1</t>
  </si>
  <si>
    <t>RS2-241001-1; RS3-241002-1</t>
  </si>
  <si>
    <t>Forecasted Demand</t>
  </si>
  <si>
    <t>Note</t>
  </si>
  <si>
    <t>per month</t>
  </si>
  <si>
    <t>This reflect 60 m.t. AECN through the Minifinery to Vaulted per week and 60 m.t. AECN through the Minifinery to Basco per week, rounded down by 100 m.t.</t>
  </si>
  <si>
    <t>Q1</t>
  </si>
  <si>
    <t>picked up (m.t. bio-oil) per month</t>
  </si>
  <si>
    <t>Q2</t>
  </si>
  <si>
    <t>Q3</t>
  </si>
  <si>
    <t>Tier 1</t>
  </si>
  <si>
    <t>This reflect 80 m.t. AECN through the Minifinery to Vaulted per week and 60 m.t. AECN through the Minifinery to Basco per week</t>
  </si>
  <si>
    <t>Q4</t>
  </si>
  <si>
    <t>&lt; 500</t>
  </si>
  <si>
    <t>Tier 2</t>
  </si>
  <si>
    <t>Basco ramping up to 80 tons per day, 5 days per week, no more AECN to Vaulted</t>
  </si>
  <si>
    <t>501 - 1,500</t>
  </si>
  <si>
    <t>Tier 3</t>
  </si>
  <si>
    <t>Basco ramping up to 80 tons per day, 6 days per week</t>
  </si>
  <si>
    <t>1,501 - 3,000</t>
  </si>
  <si>
    <t>Tier 4</t>
  </si>
  <si>
    <t>3,001 - 5,000</t>
  </si>
  <si>
    <t>July (mt)</t>
  </si>
  <si>
    <t>August (mt)</t>
  </si>
  <si>
    <t>September (mt)</t>
  </si>
  <si>
    <t>October (mt)</t>
  </si>
  <si>
    <t>November (mt)</t>
  </si>
  <si>
    <t>December (mt)</t>
  </si>
  <si>
    <t>H2 2024 (mt)</t>
  </si>
  <si>
    <t>Actual</t>
  </si>
  <si>
    <t>Total Forecast</t>
  </si>
  <si>
    <t>Status (Computed)</t>
  </si>
  <si>
    <t>Asset ID</t>
  </si>
  <si>
    <t>Loaded / Empty</t>
  </si>
  <si>
    <t>Commodity</t>
  </si>
  <si>
    <t>Current Location</t>
  </si>
  <si>
    <t>Last Event</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</si>
  <si>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</si>
  <si>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</si>
  <si>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</si>
  <si>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</si>
  <si>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</si>
  <si>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</si>
  <si>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</si>
  <si>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</si>
  <si>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</si>
  <si>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</si>
  <si>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</si>
  <si>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</si>
  <si>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Actual Tonnes</t>
  </si>
  <si>
    <t>Notes</t>
  </si>
  <si>
    <t>E</t>
  </si>
  <si>
    <t>Bio-oil</t>
  </si>
  <si>
    <t>BAIE COMEAU, PQ</t>
  </si>
  <si>
    <t>ACTUAL PLACEMENT</t>
  </si>
  <si>
    <t>CN</t>
  </si>
  <si>
    <t>MAIZE, KS</t>
  </si>
  <si>
    <t>Requested Release</t>
  </si>
  <si>
    <t>2 - Hold Full Origin</t>
  </si>
  <si>
    <t>L</t>
  </si>
  <si>
    <t>BIO-OIL (PYROLYSIS OIL)</t>
  </si>
  <si>
    <t>YAGGY, KS</t>
  </si>
  <si>
    <t>CONSTRUCTIVE PLACEMENT</t>
  </si>
  <si>
    <t>24/10/24 15:00</t>
  </si>
  <si>
    <t>KO</t>
  </si>
  <si>
    <t>HOLD</t>
  </si>
  <si>
    <t>30/10/24 11:04</t>
  </si>
  <si>
    <t>30/10/24 02:15</t>
  </si>
  <si>
    <t>INDEPENDENCE JCT, MO</t>
  </si>
  <si>
    <t>PASSING</t>
  </si>
  <si>
    <t>UP</t>
  </si>
  <si>
    <t>Released</t>
  </si>
  <si>
    <t>18/10/24 07:32</t>
  </si>
  <si>
    <t>30/09/24 15:35</t>
  </si>
  <si>
    <t>29/10/24 15:18</t>
  </si>
  <si>
    <t>GATX070110</t>
  </si>
  <si>
    <t>COUNTA of Status (Computed)</t>
  </si>
  <si>
    <t>AVERAGE of Dwell (days)</t>
  </si>
  <si>
    <t>SUM of Tonnes in Car</t>
  </si>
  <si>
    <t>MIN of Tonnes in Car</t>
  </si>
  <si>
    <t>0 - Hold Empty Origin</t>
  </si>
  <si>
    <t>4 - In Transit to Destination</t>
  </si>
  <si>
    <t>5 - Hold Full Destination</t>
  </si>
  <si>
    <t>Grand Total</t>
  </si>
  <si>
    <t>Truck Transport</t>
  </si>
  <si>
    <t>Emission Factors</t>
  </si>
  <si>
    <t>Truck Quantity (MT)</t>
  </si>
  <si>
    <t>Pyrolysis</t>
  </si>
  <si>
    <t>Truck Quantity (T)</t>
  </si>
  <si>
    <t>Process Emissions - MT CO2e/MT Bio Oil</t>
  </si>
  <si>
    <t>Embodied Emissions- MT CO2e/MT Bio Oil</t>
  </si>
  <si>
    <t>Pyrolysis Emissions</t>
  </si>
  <si>
    <t>AECN to Minifnery Transport Emissions</t>
  </si>
  <si>
    <t>Tanker Truck Transport</t>
  </si>
  <si>
    <t>Pre-Processing Emissions</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</si>
  <si>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</si>
  <si>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</si>
  <si>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</si>
  <si>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</si>
  <si>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</si>
  <si>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</si>
  <si>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Rail Transport Process Emissions - MT CO2e/t-mi</t>
  </si>
  <si>
    <t>MT CO2e Emissions per MT Bio Oil</t>
  </si>
  <si>
    <t>Rail Transport Embodied Emissions - MT CO2e/t-mi</t>
  </si>
  <si>
    <t>Minifinery Pre-Processing (estimate for 1 20 MT delivery)</t>
  </si>
  <si>
    <t>Process Emissions - MTCO2e</t>
  </si>
  <si>
    <t>Amortized Embodied Emissions - MT CO2e</t>
  </si>
  <si>
    <t>Rail Car Quantity (MT)</t>
  </si>
  <si>
    <t>Rail Car Quantity (T)</t>
  </si>
  <si>
    <t>Vaulted Injection (estimate for 1 20 MT delivery)</t>
  </si>
  <si>
    <t>AECN to SOPOR Transport Emissions</t>
  </si>
  <si>
    <t>SOPOR to Maize Transport Emissions</t>
  </si>
  <si>
    <t>Distance Measurements (mi)</t>
  </si>
  <si>
    <t>Maize to Minifinery Transport Emissions</t>
  </si>
  <si>
    <t>AECN to Minifinery</t>
  </si>
  <si>
    <t>AECN to SOPOR</t>
  </si>
  <si>
    <t>SOPOR to Maize</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</si>
  <si>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</si>
  <si>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</si>
  <si>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</si>
  <si>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</si>
  <si>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</si>
  <si>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</si>
  <si>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</si>
  <si>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</si>
  <si>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</si>
  <si>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</si>
  <si>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</si>
  <si>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</si>
  <si>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</si>
  <si>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</si>
  <si>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</si>
  <si>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</si>
  <si>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</si>
  <si>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</si>
  <si>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</si>
  <si>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</si>
  <si>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</si>
  <si>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</si>
  <si>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</si>
  <si>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</si>
  <si>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</si>
  <si>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</si>
  <si>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</si>
  <si>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</si>
  <si>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</si>
  <si>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</si>
  <si>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</si>
  <si>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</si>
  <si>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</si>
  <si>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</si>
  <si>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</si>
  <si>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</si>
  <si>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</si>
  <si>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</si>
  <si>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</si>
  <si>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</si>
  <si>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</si>
  <si>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</si>
  <si>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</si>
  <si>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</si>
  <si>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</si>
  <si>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</si>
  <si>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</si>
  <si>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</si>
  <si>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</si>
  <si>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</si>
  <si>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</si>
  <si>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</si>
  <si>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</si>
  <si>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</si>
  <si>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</si>
  <si>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</si>
  <si>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</si>
  <si>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</si>
  <si>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</si>
  <si>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</si>
  <si>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</si>
  <si>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</si>
  <si>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</si>
  <si>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</si>
  <si>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</si>
  <si>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</si>
  <si>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</si>
  <si>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</si>
  <si>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</si>
  <si>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</si>
  <si>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</si>
  <si>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</si>
  <si>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</si>
  <si>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</si>
  <si>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</si>
  <si>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</si>
  <si>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</si>
  <si>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</si>
  <si>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</si>
  <si>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</si>
  <si>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</si>
  <si>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</si>
  <si>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</si>
  <si>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</si>
  <si>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</si>
  <si>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</si>
  <si>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</si>
  <si>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</si>
  <si>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</si>
  <si>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</si>
  <si>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</si>
  <si>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</si>
  <si>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</si>
  <si>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</si>
  <si>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</si>
  <si>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</si>
  <si>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</si>
  <si>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</si>
  <si>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</si>
  <si>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</si>
  <si>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</si>
  <si>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</si>
  <si>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</si>
  <si>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</si>
  <si>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</si>
  <si>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</si>
  <si>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</si>
  <si>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</si>
  <si>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</si>
  <si>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</si>
  <si>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</si>
  <si>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</si>
  <si>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</si>
  <si>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</si>
  <si>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</si>
  <si>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</si>
  <si>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</si>
  <si>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</si>
  <si>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</si>
  <si>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</si>
  <si>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</si>
  <si>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</si>
  <si>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</si>
  <si>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</si>
  <si>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</si>
  <si>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</si>
  <si>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</si>
  <si>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</si>
  <si>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</si>
  <si>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</si>
  <si>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</si>
  <si>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</si>
  <si>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</si>
  <si>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</si>
  <si>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</si>
  <si>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</si>
  <si>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</si>
  <si>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</si>
  <si>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</si>
  <si>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</si>
  <si>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</si>
  <si>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</si>
  <si>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</si>
  <si>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</si>
  <si>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</si>
  <si>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</si>
  <si>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</si>
  <si>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</si>
  <si>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</si>
  <si>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</si>
  <si>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</si>
  <si>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</si>
  <si>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</si>
  <si>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</si>
  <si>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</si>
  <si>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</si>
  <si>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</si>
  <si>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</si>
  <si>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</si>
  <si>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</si>
  <si>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Inject Vaulted</t>
  </si>
  <si>
    <t>N/A</t>
  </si>
  <si>
    <t>Dispose Meno OK</t>
  </si>
  <si>
    <t>Monday</t>
  </si>
  <si>
    <t>Tuesday</t>
  </si>
  <si>
    <t>Thursday</t>
  </si>
  <si>
    <t>In Progress</t>
  </si>
  <si>
    <t>Friday</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</si>
  <si>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</si>
  <si>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</si>
  <si>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</si>
  <si>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</si>
  <si>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</si>
  <si>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</si>
  <si>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</si>
  <si>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</si>
  <si>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</si>
  <si>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</si>
  <si>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</si>
  <si>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</si>
  <si>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</si>
  <si>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</si>
  <si>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m.t. bio-oil per day</t>
  </si>
  <si>
    <t>Minifinery 2.0 Assumptions</t>
  </si>
  <si>
    <t>lbs per gal Kerry oil</t>
  </si>
  <si>
    <t>Vaulted Assumptions</t>
  </si>
  <si>
    <t xml:space="preserve">GATX Rail specs </t>
  </si>
  <si>
    <t xml:space="preserve">SMBC Rail Specs </t>
  </si>
  <si>
    <t xml:space="preserve">lbs load limit </t>
  </si>
  <si>
    <t xml:space="preserve">max gallons of bio oil </t>
  </si>
  <si>
    <t>LA Assumptions</t>
  </si>
  <si>
    <t>mtCO2e/tBio-oil</t>
  </si>
  <si>
    <t>Cumulative Mass Injected</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</si>
  <si>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</si>
  <si>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</si>
  <si>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</si>
  <si>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</si>
  <si>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</si>
  <si>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</si>
  <si>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</si>
  <si>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</si>
  <si>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</si>
  <si>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</si>
  <si>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</si>
  <si>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</si>
  <si>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</si>
  <si>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</si>
  <si>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</si>
  <si>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</si>
  <si>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</si>
  <si>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</si>
  <si>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</si>
  <si>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</si>
  <si>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</si>
  <si>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</si>
  <si>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</si>
  <si>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</si>
  <si>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</si>
  <si>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</si>
  <si>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</si>
  <si>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</si>
  <si>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</si>
  <si>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</si>
  <si>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</si>
  <si>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</si>
  <si>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</si>
  <si>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</si>
  <si>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</si>
  <si>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</si>
  <si>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</si>
  <si>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</si>
  <si>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</si>
  <si>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</si>
  <si>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</si>
  <si>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</si>
  <si>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</si>
  <si>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</si>
  <si>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</si>
  <si>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</si>
  <si>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</si>
  <si>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</si>
  <si>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</si>
  <si>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</si>
  <si>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</si>
  <si>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</si>
  <si>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</si>
  <si>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</si>
  <si>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</si>
  <si>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</si>
  <si>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</si>
  <si>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</si>
  <si>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</si>
  <si>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</si>
  <si>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</si>
  <si>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</si>
  <si>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</si>
  <si>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</si>
  <si>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</si>
  <si>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</si>
  <si>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</si>
  <si>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</si>
  <si>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</si>
  <si>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</si>
  <si>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</si>
  <si>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</si>
  <si>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</si>
  <si>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</si>
  <si>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</si>
  <si>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</si>
  <si>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</si>
  <si>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</si>
  <si>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</si>
  <si>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</si>
  <si>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</si>
  <si>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</si>
  <si>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</si>
  <si>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</si>
  <si>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</si>
  <si>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</si>
  <si>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</si>
  <si>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</si>
  <si>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</si>
  <si>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</si>
  <si>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</si>
  <si>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</si>
  <si>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</si>
  <si>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</si>
  <si>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</si>
  <si>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</si>
  <si>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</si>
  <si>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</si>
  <si>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</si>
  <si>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</si>
  <si>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</si>
  <si>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</si>
  <si>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</si>
  <si>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</si>
  <si>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</si>
  <si>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</si>
  <si>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</si>
  <si>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</si>
  <si>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</si>
  <si>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</si>
  <si>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</si>
  <si>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</si>
  <si>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</si>
  <si>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</si>
  <si>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</si>
  <si>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</si>
  <si>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</si>
  <si>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</si>
  <si>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</si>
  <si>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</si>
  <si>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</si>
  <si>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</si>
  <si>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</si>
  <si>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</si>
  <si>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</si>
  <si>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</si>
  <si>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</si>
  <si>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</si>
  <si>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</si>
  <si>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</si>
  <si>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</si>
  <si>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</si>
  <si>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</si>
  <si>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</si>
  <si>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</si>
  <si>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</si>
  <si>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</si>
  <si>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https://charm-industrial.manufacturo.cloud/app/eworkin-plus-execution/order-execution/46BFF1F8-2E32-4C7E-C363-08DD6C949C0B/trace/5BEBB3D1-5158-4688-C5D1-08DD6C949C0B/(w:step/11B3BCF7-EE55-402F-6739-08DD6C949C0C)?sidebar=data-collection</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</si>
  <si>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</si>
  <si>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</si>
  <si>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</si>
  <si>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</si>
  <si>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</si>
  <si>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</si>
  <si>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</si>
  <si>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</si>
  <si>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</si>
  <si>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</si>
  <si>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</si>
  <si>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</si>
  <si>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</si>
  <si>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</si>
  <si>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</si>
  <si>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</si>
  <si>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</si>
  <si>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</si>
  <si>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</si>
  <si>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</si>
  <si>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</si>
  <si>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</si>
  <si>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</si>
  <si>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</si>
  <si>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</si>
  <si>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</si>
  <si>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</si>
  <si>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</si>
  <si>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</si>
  <si>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</si>
  <si>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</si>
  <si>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</si>
  <si>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</si>
  <si>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</si>
  <si>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</si>
  <si>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</si>
  <si>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</si>
  <si>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</si>
  <si>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</si>
  <si>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</si>
  <si>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</si>
  <si>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</si>
  <si>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</si>
  <si>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</si>
  <si>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</si>
  <si>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</si>
  <si>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</si>
  <si>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</si>
  <si>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</si>
  <si>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</si>
  <si>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</si>
  <si>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</si>
  <si>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Monthly Deliveries</t>
  </si>
  <si>
    <t>committed</t>
  </si>
  <si>
    <t xml:space="preserve">gap to unfilled </t>
  </si>
  <si>
    <t>Monthly tCDR Deliveries</t>
  </si>
  <si>
    <t>Weekly tCDR Deliveries</t>
  </si>
  <si>
    <t>Week days per month</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</si>
  <si>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</si>
  <si>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</si>
  <si>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</si>
  <si>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</si>
  <si>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</si>
  <si>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</si>
  <si>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</si>
  <si>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</si>
  <si>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</si>
  <si>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</si>
  <si>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</si>
  <si>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</si>
  <si>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</si>
  <si>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</si>
  <si>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</si>
  <si>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</si>
  <si>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</si>
  <si>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</si>
  <si>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</si>
  <si>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</si>
  <si>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</si>
  <si>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</si>
  <si>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</si>
  <si>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</si>
  <si>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</si>
  <si>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</si>
  <si>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</si>
  <si>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</si>
  <si>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</si>
  <si>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</si>
  <si>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</si>
  <si>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</si>
  <si>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</si>
  <si>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</si>
  <si>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</si>
  <si>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</si>
  <si>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</si>
  <si>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</si>
  <si>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</si>
  <si>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</si>
  <si>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</si>
  <si>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</si>
  <si>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</si>
  <si>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</si>
  <si>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</si>
  <si>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</si>
  <si>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</si>
  <si>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</si>
  <si>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</si>
  <si>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</si>
  <si>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</si>
  <si>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</si>
  <si>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</si>
  <si>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</si>
  <si>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</si>
  <si>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</si>
  <si>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</si>
  <si>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</si>
  <si>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</si>
  <si>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</si>
  <si>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</si>
  <si>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</si>
  <si>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</si>
  <si>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</si>
  <si>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</si>
  <si>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</si>
  <si>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</si>
  <si>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</si>
  <si>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</si>
  <si>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</si>
  <si>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</si>
  <si>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</si>
  <si>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</si>
  <si>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</si>
  <si>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</si>
  <si>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</si>
  <si>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</si>
  <si>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</si>
  <si>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</si>
  <si>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</si>
  <si>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</si>
  <si>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</si>
  <si>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</si>
  <si>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</si>
  <si>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</si>
  <si>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</si>
  <si>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</si>
  <si>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</si>
  <si>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</si>
  <si>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</si>
  <si>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</si>
  <si>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</si>
  <si>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</si>
  <si>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</si>
  <si>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</si>
  <si>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</si>
  <si>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032T2R0</t>
  </si>
  <si>
    <t>AECN Commercial Invoice?</t>
  </si>
  <si>
    <t>PO?</t>
  </si>
  <si>
    <t>Broker Invoice</t>
  </si>
  <si>
    <t>Import Doc</t>
  </si>
  <si>
    <t>Form 7501</t>
  </si>
  <si>
    <t>U.S. Custom entry</t>
  </si>
  <si>
    <t>Form 3227).</t>
  </si>
  <si>
    <t>Carrier Invoice</t>
  </si>
  <si>
    <t>Destination Receiving</t>
  </si>
  <si>
    <t>Form E15</t>
  </si>
  <si>
    <t>✔️</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</si>
  <si>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</si>
  <si>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</si>
  <si>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</si>
  <si>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</si>
  <si>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</si>
  <si>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</si>
  <si>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</si>
  <si>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</si>
  <si>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</si>
  <si>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</si>
  <si>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</si>
  <si>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</si>
  <si>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</si>
  <si>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</si>
  <si>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</si>
  <si>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</si>
  <si>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</si>
  <si>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</si>
  <si>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</si>
  <si>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</si>
  <si>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</si>
  <si>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</si>
  <si>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</si>
  <si>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</si>
  <si>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</si>
  <si>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</si>
  <si>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</si>
  <si>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</si>
  <si>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</si>
  <si>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</si>
  <si>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</si>
  <si>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</si>
  <si>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</si>
  <si>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</si>
  <si>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</si>
  <si>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</si>
  <si>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</si>
  <si>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</si>
  <si>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</si>
  <si>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</si>
  <si>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</si>
  <si>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</si>
  <si>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</si>
  <si>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</si>
  <si>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</si>
  <si>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</si>
  <si>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</si>
  <si>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</si>
  <si>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</si>
  <si>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</si>
  <si>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</si>
  <si>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</si>
  <si>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</si>
  <si>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</si>
  <si>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</si>
  <si>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</si>
  <si>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Solar Pacific Ventures</t>
  </si>
  <si>
    <t>Jeffrey Barrett</t>
  </si>
  <si>
    <t>Stuart Marker</t>
  </si>
  <si>
    <t>Philip Piper</t>
  </si>
  <si>
    <t>Samuel Thompson</t>
  </si>
  <si>
    <t>Patch</t>
  </si>
  <si>
    <t>Kyle Aster</t>
  </si>
  <si>
    <t>max power motors</t>
  </si>
  <si>
    <t>Alexandra Noonan</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</si>
  <si>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</si>
  <si>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</si>
  <si>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</si>
  <si>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</si>
  <si>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</si>
  <si>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</si>
  <si>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</si>
  <si>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</si>
  <si>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</si>
  <si>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</si>
  <si>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</si>
  <si>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</si>
  <si>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</si>
  <si>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</si>
  <si>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</si>
  <si>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</si>
  <si>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</si>
  <si>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</si>
  <si>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</si>
  <si>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</si>
  <si>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</si>
  <si>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</si>
  <si>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</si>
  <si>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</si>
  <si>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</si>
  <si>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</si>
  <si>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</si>
  <si>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</si>
  <si>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</si>
  <si>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</si>
  <si>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</si>
  <si>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</si>
  <si>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</si>
  <si>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</si>
  <si>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</si>
  <si>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</si>
  <si>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</si>
  <si>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</si>
  <si>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</si>
  <si>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</si>
  <si>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</si>
  <si>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</si>
  <si>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</si>
  <si>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</si>
  <si>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</si>
  <si>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</si>
  <si>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</si>
  <si>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</si>
  <si>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</si>
  <si>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</si>
  <si>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</si>
  <si>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</si>
  <si>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</si>
  <si>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</si>
  <si>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</si>
  <si>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</si>
  <si>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</si>
  <si>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</si>
  <si>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</si>
  <si>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</si>
  <si>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</si>
  <si>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</si>
  <si>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</si>
  <si>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</si>
  <si>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</si>
  <si>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</si>
  <si>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</si>
  <si>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</si>
  <si>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CNaught Inc.</t>
  </si>
  <si>
    <t>Staze Ltd</t>
  </si>
  <si>
    <t>Sapphire Ventures</t>
  </si>
  <si>
    <t>Mrs Elizabeth Hollow</t>
  </si>
  <si>
    <t>Shawn Liu</t>
  </si>
  <si>
    <t>Klimate.co</t>
  </si>
  <si>
    <t>JPMorgan Chase Bank, N.A.</t>
  </si>
  <si>
    <t>Tarek A. Hijaz</t>
  </si>
  <si>
    <t>Karl S Lee</t>
  </si>
  <si>
    <t>Christoph Schröder</t>
  </si>
  <si>
    <t>TIMOTHY LELCHUK</t>
  </si>
  <si>
    <t>Operations Card</t>
  </si>
  <si>
    <t>Anthony Beron</t>
  </si>
  <si>
    <t>Zopeful Climate</t>
  </si>
  <si>
    <t>Paul Graham</t>
  </si>
  <si>
    <t>Block, Inc.</t>
  </si>
  <si>
    <t>Gustav Lindqvist</t>
  </si>
  <si>
    <t>Rico</t>
  </si>
  <si>
    <t>Emma Layard-Roberts</t>
  </si>
  <si>
    <t>Climacrux LTD</t>
  </si>
  <si>
    <t>Naguib Salam</t>
  </si>
  <si>
    <t>Luke White</t>
  </si>
  <si>
    <t>Ramsey Fahs</t>
  </si>
  <si>
    <t>Svante Forsman</t>
  </si>
  <si>
    <t>F5 Networks Inc</t>
  </si>
  <si>
    <t>Wayne Lam</t>
  </si>
  <si>
    <t>John Rose</t>
  </si>
  <si>
    <t>Bennett Resnik</t>
  </si>
  <si>
    <t>mr jeffrey d smith</t>
  </si>
  <si>
    <t>Sharp Hall</t>
  </si>
  <si>
    <t>David Ding</t>
  </si>
  <si>
    <t>Evan Jones</t>
  </si>
  <si>
    <t>Zerofy OU</t>
  </si>
  <si>
    <t>Mark Hansen</t>
  </si>
  <si>
    <t>Kirkland Shave</t>
  </si>
  <si>
    <t>Parker Brown</t>
  </si>
  <si>
    <t>Rico Wyder</t>
  </si>
  <si>
    <t>Jonathan Goldberg</t>
  </si>
  <si>
    <t>Climacrux LLC</t>
  </si>
  <si>
    <t>Steren Giannini</t>
  </si>
  <si>
    <t>Devin Lamemrs</t>
  </si>
  <si>
    <t>Jeff Dzado</t>
  </si>
  <si>
    <t>Fabian Leipelt</t>
  </si>
  <si>
    <t>Removement AB - Miceal Soderman</t>
  </si>
  <si>
    <t>Frank J Buncom IV</t>
  </si>
  <si>
    <t>Alexander Fung</t>
  </si>
  <si>
    <t>John Hemphill</t>
  </si>
  <si>
    <t>Alexandra Prather</t>
  </si>
  <si>
    <t>Benjamin Woodhams</t>
  </si>
  <si>
    <t>Laura Shumaker</t>
  </si>
  <si>
    <t>Squake.Earth</t>
  </si>
  <si>
    <t>Hendrik Richter</t>
  </si>
  <si>
    <t>Staze</t>
  </si>
  <si>
    <t>Staze LTD</t>
  </si>
  <si>
    <t>Aerial</t>
  </si>
  <si>
    <t>Minimum Limited</t>
  </si>
  <si>
    <t>Neutrl</t>
  </si>
  <si>
    <t>Pacific Environmental Coalition</t>
  </si>
  <si>
    <t>Paul Graham Trust</t>
  </si>
  <si>
    <t>Supercritical</t>
  </si>
  <si>
    <t>TIME CO₂</t>
  </si>
  <si>
    <t>Alliant card</t>
  </si>
  <si>
    <t>Lukas Haensch</t>
  </si>
  <si>
    <t>Carbonic</t>
  </si>
  <si>
    <t>Klimate</t>
  </si>
  <si>
    <t>Mindy L Shaw</t>
  </si>
  <si>
    <t>Maine BioEnergy Inc</t>
  </si>
  <si>
    <t>Frank Buncom IV</t>
  </si>
  <si>
    <t>Chan Zuckerberg Initiative</t>
  </si>
  <si>
    <t>Charles S Hall</t>
  </si>
  <si>
    <t>Bejamas.io</t>
  </si>
  <si>
    <t>Yuval Shoshan</t>
  </si>
  <si>
    <t>Spotify</t>
  </si>
  <si>
    <t>Klimate APS</t>
  </si>
  <si>
    <t>Tim Ferriss</t>
  </si>
  <si>
    <t>NIEL G WESTHUIZEN</t>
  </si>
  <si>
    <t>JESSE GIBBS</t>
  </si>
  <si>
    <t>Cynthia F Wilcox Marine BioEnergy</t>
  </si>
  <si>
    <t>Jennifer Owens</t>
  </si>
  <si>
    <t>CarbonSafe</t>
  </si>
  <si>
    <t>Jeremy William Karn</t>
  </si>
  <si>
    <t>Aerial.is</t>
  </si>
  <si>
    <t>Catherine A Moonan</t>
  </si>
  <si>
    <t>Anthony Beron II</t>
  </si>
  <si>
    <t>Josh Hannah</t>
  </si>
  <si>
    <t>Aether Diamonds</t>
  </si>
  <si>
    <t>Param Jaggi</t>
  </si>
  <si>
    <t>Juan Figuera</t>
  </si>
  <si>
    <t>Minimum.eco</t>
  </si>
  <si>
    <t>John B Miller</t>
  </si>
  <si>
    <t>Sami Goski</t>
  </si>
  <si>
    <t>Lucas Stoops</t>
  </si>
  <si>
    <t>Squake.earth</t>
  </si>
  <si>
    <t>Zendesk</t>
  </si>
  <si>
    <t>Figma</t>
  </si>
  <si>
    <t>Ilya Belegradek</t>
  </si>
  <si>
    <t>Jeff Kessler</t>
  </si>
  <si>
    <t>Stephen Lizcano</t>
  </si>
  <si>
    <t>Harvard Management Company</t>
  </si>
  <si>
    <t>Pelle Wessman</t>
  </si>
  <si>
    <t>Thomas H Moyer</t>
  </si>
  <si>
    <t>Wise</t>
  </si>
  <si>
    <t>Paul Gerard Ryan</t>
  </si>
  <si>
    <t>Marco Zappacosta</t>
  </si>
  <si>
    <t>Xavier Antoviaque</t>
  </si>
  <si>
    <t>James Manley</t>
  </si>
  <si>
    <t>Reto Stamm</t>
  </si>
  <si>
    <t>Typeform</t>
  </si>
  <si>
    <t>Dana Zhu and Jonathan Wang</t>
  </si>
  <si>
    <t>Carbon Direct</t>
  </si>
  <si>
    <t>Joro</t>
  </si>
  <si>
    <t>Samsara</t>
  </si>
  <si>
    <t>Removement.org</t>
  </si>
  <si>
    <t>JOHN MCCAMBRIDGE</t>
  </si>
  <si>
    <t>Jeremy Karn</t>
  </si>
  <si>
    <t>Ripple via Stripe Climate</t>
  </si>
  <si>
    <t>Pledge.io</t>
  </si>
  <si>
    <t>Piva Capital via Stripe Climate</t>
  </si>
  <si>
    <t>rebecca lester</t>
  </si>
  <si>
    <t>fnnch</t>
  </si>
  <si>
    <t>Ripple</t>
  </si>
  <si>
    <t>Stripe Climate</t>
  </si>
  <si>
    <t>Microsoft</t>
  </si>
  <si>
    <t>Shopify</t>
  </si>
  <si>
    <t>Thermo Fisher</t>
  </si>
  <si>
    <t>Aledade</t>
  </si>
  <si>
    <t>Supercritical on behalf of Faculty Science Ltd</t>
  </si>
  <si>
    <t>Supercritical on behalf of Accurx Ltd</t>
  </si>
  <si>
    <t>Stripe</t>
  </si>
  <si>
    <t>Canopi on behalf of Flexa Network, Inc.</t>
  </si>
  <si>
    <t>Coolpoints Club</t>
  </si>
  <si>
    <t>Climate Responsible</t>
  </si>
  <si>
    <t>Thanks a Ton</t>
  </si>
  <si>
    <t>Andrew Brook</t>
  </si>
  <si>
    <t>Kickstarter</t>
  </si>
  <si>
    <t>Ted Suzman</t>
  </si>
  <si>
    <t>Cosora</t>
  </si>
  <si>
    <t>Watershed on behalf of Block</t>
  </si>
  <si>
    <t>Thomas McInerney</t>
  </si>
  <si>
    <t>Vallejo Ventures Trust</t>
  </si>
  <si>
    <t>Sourceful</t>
  </si>
  <si>
    <t>Removement</t>
  </si>
  <si>
    <t>Nicolas Schultheiss</t>
  </si>
  <si>
    <t>Chero</t>
  </si>
  <si>
    <t>Shaun Kinetic</t>
  </si>
  <si>
    <t>Kelly Kinetic</t>
  </si>
  <si>
    <t>Lauren Murray</t>
  </si>
  <si>
    <t>Jake Wilkins</t>
  </si>
  <si>
    <t>Dan Fourie</t>
  </si>
  <si>
    <t>Adrian Burns</t>
  </si>
  <si>
    <t>James Tamplin</t>
  </si>
  <si>
    <t>Kevin Meissner</t>
  </si>
  <si>
    <t>tons of CO₂e</t>
  </si>
  <si>
    <t>Customers with deliveries in 2023 --&gt;</t>
  </si>
  <si>
    <t>All Customers --&gt;</t>
  </si>
  <si>
    <t>Sales Priority:</t>
  </si>
  <si>
    <t xml:space="preserve">Week Of </t>
  </si>
  <si>
    <t xml:space="preserve">verified </t>
  </si>
  <si>
    <t xml:space="preserve">forecasted </t>
  </si>
  <si>
    <t>Batch Number</t>
  </si>
  <si>
    <t>MOBI (kg)</t>
  </si>
  <si>
    <t>Charm Oil Added</t>
  </si>
  <si>
    <t>% Charm Oil Added</t>
  </si>
  <si>
    <t>AECN MOBI (kg)</t>
  </si>
  <si>
    <t>AECN Attributed Loss (kg)</t>
  </si>
  <si>
    <t>AECN Total Disposed (kg)</t>
  </si>
  <si>
    <t>AECN Total Disposed (MT)</t>
  </si>
  <si>
    <t>Allocated</t>
  </si>
  <si>
    <t>Total Est. Loss</t>
  </si>
  <si>
    <t>Total Est. Input</t>
  </si>
  <si>
    <t>% Loss</t>
  </si>
  <si>
    <t>Loss Buffer</t>
  </si>
  <si>
    <t>Loss Premium</t>
  </si>
  <si>
    <t>BOL Mass (MT)</t>
  </si>
  <si>
    <t>Batch</t>
  </si>
  <si>
    <t>Qty</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</si>
  <si>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</si>
  <si>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</si>
  <si>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</si>
  <si>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</si>
  <si>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</si>
  <si>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</si>
  <si>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</si>
  <si>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</si>
  <si>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</si>
  <si>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</si>
  <si>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</si>
  <si>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</si>
  <si>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</si>
  <si>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</si>
  <si>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</si>
  <si>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</si>
  <si>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</si>
  <si>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</si>
  <si>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</si>
  <si>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</si>
  <si>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</si>
  <si>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</si>
  <si>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</si>
  <si>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</si>
  <si>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</si>
  <si>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</si>
  <si>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</si>
  <si>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</si>
  <si>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</si>
  <si>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</si>
  <si>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</si>
  <si>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</si>
  <si>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</si>
  <si>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</si>
  <si>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</si>
  <si>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</si>
  <si>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</si>
  <si>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</si>
  <si>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</si>
  <si>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</si>
  <si>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</si>
  <si>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</si>
  <si>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</si>
  <si>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</si>
  <si>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</si>
  <si>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</si>
  <si>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</si>
  <si>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</si>
  <si>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</si>
  <si>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</si>
  <si>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</si>
  <si>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</si>
  <si>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</si>
  <si>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</si>
  <si>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</si>
  <si>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</si>
  <si>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</si>
  <si>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</si>
  <si>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</si>
  <si>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</si>
  <si>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</si>
  <si>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</si>
  <si>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</si>
  <si>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</si>
  <si>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</si>
  <si>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</si>
  <si>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</si>
  <si>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</si>
  <si>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</si>
  <si>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</si>
  <si>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</si>
  <si>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</si>
  <si>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</si>
  <si>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</si>
  <si>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</si>
  <si>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</si>
  <si>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</si>
  <si>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</si>
  <si>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</si>
  <si>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</si>
  <si>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</si>
  <si>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</si>
  <si>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</si>
  <si>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</si>
  <si>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</si>
  <si>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</si>
  <si>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</si>
  <si>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</si>
  <si>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</si>
  <si>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</si>
  <si>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</si>
  <si>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11/5 Night Shift</t>
  </si>
  <si>
    <t>1.22</t>
  </si>
  <si>
    <t>1745</t>
  </si>
  <si>
    <t>11/15 Night Shift</t>
  </si>
  <si>
    <t>11/14 Night Shift</t>
  </si>
  <si>
    <t>1752</t>
  </si>
  <si>
    <t>1753</t>
  </si>
  <si>
    <t>11/18 Night Shift</t>
  </si>
  <si>
    <t>1754</t>
  </si>
  <si>
    <t>11/20 Night Shift</t>
  </si>
  <si>
    <t>11/19 Night Shift</t>
  </si>
  <si>
    <t>1755</t>
  </si>
  <si>
    <t>11/21 Night Shift</t>
  </si>
  <si>
    <t>2024-11-24T07:00:00.000-0600</t>
  </si>
  <si>
    <t>2024-11-26T10:30:00.000-0500</t>
  </si>
  <si>
    <t>1758</t>
  </si>
  <si>
    <t>1768</t>
  </si>
  <si>
    <t>2024-11-25T23:45:00.000-0500</t>
  </si>
  <si>
    <t>2024-11-26T08:30:00.000-0500</t>
  </si>
  <si>
    <t>Granular Salt</t>
  </si>
  <si>
    <t>2024-11-25T23:30:00.000-0500</t>
  </si>
  <si>
    <t>https://charmindustrial.retool.com/api/file/1c1f5be3-2cf2-4e3d-81c3-71e92aa66a25</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</si>
  <si>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</si>
  <si>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</si>
  <si>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1769</t>
  </si>
  <si>
    <t>1770</t>
  </si>
  <si>
    <t>https://charmindustrial.retool.com/api/file/a48d1c98-20cd-4c7b-8767-293750988332</t>
  </si>
  <si>
    <t xml:space="preserve">Added 3 bags of salt to the Tanker trailer.  Salt level decreased in the second truck from pre-load.
</t>
  </si>
  <si>
    <t>1772</t>
  </si>
  <si>
    <t>1773</t>
  </si>
  <si>
    <t>2024-12-04T18:00:00.000-0800</t>
  </si>
  <si>
    <t>2024-12-05T10:45:00.000-0800</t>
  </si>
  <si>
    <t>https://charmindustrial.retool.com/api/file/fa3b9381-9a99-4ded-a035-1e833ac920ec</t>
  </si>
  <si>
    <t xml:space="preserve">15 extra pounds left in the Blending tank </t>
  </si>
  <si>
    <t>1776</t>
  </si>
  <si>
    <t>1778</t>
  </si>
  <si>
    <t>https://charmindustrial.retool.com/api/file/eed25aa4-cd23-49f4-ad61-365cc9a620af</t>
  </si>
  <si>
    <t xml:space="preserve">Had problems with Sparging due to expansion and other problems. </t>
  </si>
  <si>
    <t>1779</t>
  </si>
  <si>
    <t>1785</t>
  </si>
  <si>
    <t>1786</t>
  </si>
  <si>
    <t>1780</t>
  </si>
  <si>
    <t>https://charmindustrial.retool.com/api/file/d4c0e132-2788-48f0-b822-1663ede4a1dd</t>
  </si>
  <si>
    <t xml:space="preserve">  </t>
  </si>
  <si>
    <t>200065</t>
  </si>
  <si>
    <t>1788</t>
  </si>
  <si>
    <t>1790</t>
  </si>
  <si>
    <t>2024-12-19T19:00:00.000-0600</t>
  </si>
  <si>
    <t>2024-12-20T06:00:00.000-0600</t>
  </si>
  <si>
    <t>2024-12-19T13:00:00.000-0600</t>
  </si>
  <si>
    <t>2024-12-19T18:00:00.000-0600</t>
  </si>
  <si>
    <t>https://charmindustrial.retool.com/api/file/1317adfb-e278-4d4d-9e15-bcc7e8954617</t>
  </si>
  <si>
    <t>2024-12-18T23:00:00.000-0600</t>
  </si>
  <si>
    <t>1792</t>
  </si>
  <si>
    <t>1794</t>
  </si>
  <si>
    <t>2024-12-22T14:45:00.000-0600</t>
  </si>
  <si>
    <t>2024-12-22T17:45:00.000-0600</t>
  </si>
  <si>
    <t>https://charmindustrial.retool.com/api/file/35174616-ca49-42b3-ae8c-8a2e4e8d9d27</t>
  </si>
  <si>
    <t>1796</t>
  </si>
  <si>
    <t>2024-12-26T23:30:00.000-0600</t>
  </si>
  <si>
    <t>2024-12-27T09:30:00.000-0600</t>
  </si>
  <si>
    <t>https://charmindustrial.retool.com/api/file/7421503c-de2b-4f45-a0ca-854d4ee6eb4f</t>
  </si>
  <si>
    <t xml:space="preserve">We Sparged AECN oil for 30 hours and added the CHARM oil in to this batch. 3500 Gallons of AECN and 550 gallons of CHARM Oil. </t>
  </si>
  <si>
    <t>1798</t>
  </si>
  <si>
    <t xml:space="preserve">We Sparged the AECN oil for 30 hours and blended the CHARM oil in. </t>
  </si>
  <si>
    <t>https://charmindustrial.retool.com/api/file/6f956e39-ed27-43d5-a897-f4cb0b900002</t>
  </si>
  <si>
    <t>2024-12-29T11:30:00.000-0600</t>
  </si>
  <si>
    <t>2024-12-31T14:00:00.000-0600</t>
  </si>
  <si>
    <t>1799</t>
  </si>
  <si>
    <t>1826</t>
  </si>
  <si>
    <t>2025-01-01T20:00:00.000-0600</t>
  </si>
  <si>
    <t>2025-01-02T06:15:00.000-0600</t>
  </si>
  <si>
    <t>https://charmindustrial.retool.com/api/file/e9ecc290-1637-4b82-b4d8-4e1bd1e88023</t>
  </si>
  <si>
    <t>1824</t>
  </si>
  <si>
    <t>1831</t>
  </si>
  <si>
    <t>2025-01-02T22:00:00.000-0600</t>
  </si>
  <si>
    <t>2025-01-03T07:00:00.000-0600</t>
  </si>
  <si>
    <t>2025-01-02T14:00:00.000-0600</t>
  </si>
  <si>
    <t>https://charmindustrial.retool.com/api/file/bd0d23fc-926b-48a3-8b1b-464a44bbb85d</t>
  </si>
  <si>
    <t>300002</t>
  </si>
  <si>
    <t>1840</t>
  </si>
  <si>
    <t>2025-01-07T17:30:00.000-0600</t>
  </si>
  <si>
    <t>2025-01-07T20:00:00.000-0600</t>
  </si>
  <si>
    <t>https://charmindustrial.retool.com/api/file/2ce7b170-22d4-47e5-be9b-54ad859d85e7</t>
  </si>
  <si>
    <t>200071</t>
  </si>
  <si>
    <t>1838</t>
  </si>
  <si>
    <t>1842</t>
  </si>
  <si>
    <t>2025-01-09T14:30:00.000-0600</t>
  </si>
  <si>
    <t>2025-01-09T18:00:00.000-0600</t>
  </si>
  <si>
    <t>https://charmindustrial.retool.com/api/file/3557c364-9ef2-40a9-92b6-d57ddc632f58</t>
  </si>
  <si>
    <t>300003</t>
  </si>
  <si>
    <t>1850</t>
  </si>
  <si>
    <t>https://charmindustrial.retool.com/api/file/980daf1b-23cf-49c2-bf38-1b9c0b7aa7a8</t>
  </si>
  <si>
    <t>1844</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</si>
  <si>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</si>
  <si>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</si>
  <si>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</si>
  <si>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</si>
  <si>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</si>
  <si>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</si>
  <si>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</si>
  <si>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</si>
  <si>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</si>
  <si>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300005</t>
  </si>
  <si>
    <t>1870</t>
  </si>
  <si>
    <t>https://charmindustrial.retool.com/api/file/35a12362-c692-4c05-a9b1-6b147f07857d</t>
  </si>
  <si>
    <t>1907</t>
  </si>
  <si>
    <t>1877</t>
  </si>
  <si>
    <t>2025-01-23T19:00:00.000-0600</t>
  </si>
  <si>
    <t>https://charmindustrial.retool.com/api/file/0816a981-26a8-47ea-8023-b862d149dce8</t>
  </si>
  <si>
    <t>1913</t>
  </si>
  <si>
    <t>1915</t>
  </si>
  <si>
    <t>2025-01-30T20:00:00.000-0600</t>
  </si>
  <si>
    <t>2025-01-31T08:00:00.000-0600</t>
  </si>
  <si>
    <t>2025-01-30T15:00:00.000-0600</t>
  </si>
  <si>
    <t>https://charmindustrial.retool.com/api/file/b237826c-1256-4e0b-bb82-9c037c800f94</t>
  </si>
  <si>
    <t xml:space="preserve">    </t>
  </si>
  <si>
    <t>2025-01-25T17:00:00.000-0600</t>
  </si>
  <si>
    <t>1902</t>
  </si>
  <si>
    <t>1910</t>
  </si>
  <si>
    <t>2025-01-28T20:30:00.000-0600</t>
  </si>
  <si>
    <t>2025-01-29T07:00:00.000-0600</t>
  </si>
  <si>
    <t>2025-01-26T14:00:00.000-0600</t>
  </si>
  <si>
    <t>https://charmindustrial.retool.com/api/file/a0f103b7-5443-40a0-b3b0-925554499afe</t>
  </si>
  <si>
    <t xml:space="preserve">       </t>
  </si>
  <si>
    <t>1929</t>
  </si>
  <si>
    <t>1937</t>
  </si>
  <si>
    <t>https://charmindustrial.retool.com/api/file/8b3cc3e4-5785-4259-a537-cf233cdd5d3e</t>
  </si>
  <si>
    <t xml:space="preserve">   </t>
  </si>
  <si>
    <t>1917</t>
  </si>
  <si>
    <t>2025-02-02T14:00:00.000-0600</t>
  </si>
  <si>
    <t>2025-02-03T09:15:00.000-0600</t>
  </si>
  <si>
    <t>https://charmindustrial.retool.com/api/file/c5a5adff-c875-488e-8437-fe8f92496e98</t>
  </si>
  <si>
    <t>https://charmindustrial.retool.com/api/file/99ec182f-f7df-4af9-afc5-3807356ea182</t>
  </si>
  <si>
    <t>1934</t>
  </si>
  <si>
    <t>1930</t>
  </si>
  <si>
    <t>https://charmindustrial.retool.com/api/file/029cfacd-2e83-4b0a-a220-03021facf875</t>
  </si>
  <si>
    <t>https://charmindustrial.retool.com/api/file/34a365cc-c31d-4817-97b5-9bf7bb2bf522</t>
  </si>
  <si>
    <t>1928</t>
  </si>
  <si>
    <t xml:space="preserve">This is not CHarm oil on the last BOL entry. Q1 2025
</t>
  </si>
  <si>
    <t>https://charmindustrial.retool.com/api/file/2b056fd2-d2e7-4fc3-b27b-306020904a4f</t>
  </si>
  <si>
    <t>https://charmindustrial.retool.com/api/file/7d427894-9bba-4a54-ac91-9712b13850e5</t>
  </si>
  <si>
    <t>2025-02-23T12:00:00.000-0600</t>
  </si>
  <si>
    <t>2025-02-23T18:00:00.000-0600</t>
  </si>
  <si>
    <t>2025-02-17T09:30:00.000-0600</t>
  </si>
  <si>
    <t>2025-02-23T09:00:00.000-0600</t>
  </si>
  <si>
    <t>https://charmindustrial.retool.com/api/file/4a917b8a-52f8-4999-b13b-3e1676c0b525</t>
  </si>
  <si>
    <t>https://charmindustrial.retool.com/api/file/a87d5fc0-6898-49a5-83d8-16032a5b93af</t>
  </si>
  <si>
    <t xml:space="preserve">My BOL says 1971T but is really 1972T. </t>
  </si>
  <si>
    <t>https://charmindustrial.retool.com/api/file/914169a0-83a0-4a9d-bcdf-90758d53028c</t>
  </si>
  <si>
    <t>2025-03-12T21:00:00.000-0500</t>
  </si>
  <si>
    <t>2025-03-13T08:00:00.000-0500</t>
  </si>
  <si>
    <t>https://charmindustrial.retool.com/api/file/77390b51-3254-4ef8-9194-3b419b8e416c</t>
  </si>
  <si>
    <t>2025-03-09T11:30:00.000-0500</t>
  </si>
  <si>
    <t>2025-03-10T20:00:00.000-0500</t>
  </si>
  <si>
    <t>2025-03-09T16:00:00.000-0500</t>
  </si>
  <si>
    <t>https://charmindustrial.retool.com/api/file/77af7f3b-7d47-4241-98e0-9cdc84b0df26</t>
  </si>
  <si>
    <t>2025-03-17T21:00:00.000-0500</t>
  </si>
  <si>
    <t>2025-03-18T08:00:00.000-0500</t>
  </si>
  <si>
    <t>https://charmindustrial.retool.com/api/file/b8c73c76-7ca7-49df-ac15-2f19ffe4fe4b</t>
  </si>
  <si>
    <t>2025-03-13T16:00:00.000-0500</t>
  </si>
  <si>
    <t>2025-03-14T09:30:00.000-0500</t>
  </si>
  <si>
    <t>https://charmindustrial.retool.com/api/file/505cd0ac-2a41-47cd-b745-88a78fe38815</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</si>
  <si>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</si>
  <si>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</si>
  <si>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</si>
  <si>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</si>
  <si>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</si>
  <si>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</si>
  <si>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Need to add CHARM oil to this amount</t>
  </si>
  <si>
    <t>https://charmindustrial.retool.com/api/file/89c3fcbd-3474-4446-b69c-b10942559c78</t>
  </si>
  <si>
    <t>https://charmindustrial.retool.com/api/file/f8866961-4b4c-4a2a-ae54-66dd6727a973</t>
  </si>
  <si>
    <t>https://charmindustrial.retool.com/api/file/86a22ee3-c489-4615-a776-75e7a31fd030</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</si>
  <si>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</si>
  <si>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</si>
  <si>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</si>
  <si>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</si>
  <si>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</si>
  <si>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2025-03-27T21:00:00.000-0500</t>
  </si>
  <si>
    <t>https://charmindustrial.retool.com/api/file/bb73b2f7-b8ff-488c-b925-b28003e6d534</t>
  </si>
  <si>
    <t>2025-03-31T19:00:00.000-0500</t>
  </si>
  <si>
    <t>2025-04-01T05:45:00.000-0500</t>
  </si>
  <si>
    <t>2025-03-31T15:30:00.000-0500</t>
  </si>
  <si>
    <t>https://charmindustrial.retool.com/api/file/99d49d05-2058-4004-b9d5-b00868c8d1d4</t>
  </si>
  <si>
    <t>https://charmindustrial.retool.com/api/file/1ed3d67a-fd3d-432b-a306-6391cd3991aa</t>
  </si>
  <si>
    <t>2025-04-13T20:00:00.000-0700</t>
  </si>
  <si>
    <t>2025-04-14T08:15:00.000-0700</t>
  </si>
  <si>
    <t>https://charmindustrial.retool.com/api/file/d780a9eb-780a-413a-8657-9f20be6e48fa</t>
  </si>
  <si>
    <t>2082-T</t>
  </si>
  <si>
    <t>https://charmindustrial.retool.com/api/file/f45b3ca8-6afb-4c3b-8147-3221c12056a7</t>
  </si>
  <si>
    <t>https://charmindustrial.retool.com/api/file/96697f00-3c27-44cb-a5fe-80ca1d21db11</t>
  </si>
  <si>
    <t>https://charmindustrial.retool.com/api/file/33e68114-f226-4195-afe5-f7583e984c53</t>
  </si>
  <si>
    <t>2025-04-16T21:00:00.000-0700</t>
  </si>
  <si>
    <t>2025-04-17T05:30:00.000-0700</t>
  </si>
  <si>
    <t>2025-04-16T14:00:00.000-0700</t>
  </si>
  <si>
    <t>2025-04-16T20:00:00.000-0700</t>
  </si>
  <si>
    <t>https://charmindustrial.retool.com/api/file/5169455a-a276-4a69-934a-3431a4a4d14d</t>
  </si>
  <si>
    <t>https://charmindustrial.retool.com/api/file/a3a16d1c-11f2-4531-b6e6-589ec3669260</t>
  </si>
  <si>
    <t>2025-04-17T12:15:00.000-0700</t>
  </si>
  <si>
    <t>https://charmindustrial.retool.com/api/file/29c01982-1270-4ee7-b081-8d377d6e9744</t>
  </si>
  <si>
    <t>https://charmindustrial.retool.com/api/file/7fcb37a2-e97c-465f-b34f-b312049c499d</t>
  </si>
  <si>
    <t>2025-04-23T20:00:00.000-0700</t>
  </si>
  <si>
    <t>https://charmindustrial.retool.com/api/file/71ca91a5-faab-4cdc-a37f-70f21b4f2478</t>
  </si>
  <si>
    <t>https://charmindustrial.retool.com/api/file/95f77c23-b94e-4fbd-baca-39efd85f493b</t>
  </si>
  <si>
    <t>https://charmindustrial.retool.com/api/file/cbaa7f79-17c8-48ea-bd54-6a0f90b8a8a2</t>
  </si>
  <si>
    <t xml:space="preserve">2151-T </t>
  </si>
  <si>
    <t>https://charmindustrial.retool.com/api/file/9d273aa5-e4ea-46d8-959b-e88caf6256dd</t>
  </si>
  <si>
    <t>2157T</t>
  </si>
  <si>
    <t>https://charmindustrial.retool.com/api/file/1c327a93-bf0a-4927-b962-e1ee6fe0437e</t>
  </si>
  <si>
    <t>2163T</t>
  </si>
  <si>
    <t>2167T</t>
  </si>
  <si>
    <t>WV1</t>
  </si>
  <si>
    <t>400001</t>
  </si>
  <si>
    <t>total_net_weight_lbs</t>
  </si>
  <si>
    <t>injection_ph</t>
  </si>
  <si>
    <t>injection_viscosity_cp</t>
  </si>
  <si>
    <t>injection_brine_total_gal</t>
  </si>
  <si>
    <t>shipping_order_list</t>
  </si>
  <si>
    <t>Charm Oil WODO (kg)</t>
  </si>
  <si>
    <t>Charm Oil QOWV (kg)</t>
  </si>
  <si>
    <t>AECN Oil (gal)</t>
  </si>
  <si>
    <t>Density</t>
  </si>
  <si>
    <t>C Content %</t>
  </si>
  <si>
    <t>MOBI</t>
  </si>
  <si>
    <t>Gross Removal with Retest</t>
  </si>
  <si>
    <t>Difference</t>
  </si>
  <si>
    <t>August Origins</t>
  </si>
  <si>
    <t>Gallons</t>
  </si>
  <si>
    <t>Converted kgs (AECN Oil)</t>
  </si>
  <si>
    <t>kgs (CHARM Oil)</t>
  </si>
  <si>
    <t>Total August Origins (MT)</t>
  </si>
  <si>
    <t>Loss</t>
  </si>
  <si>
    <t>Microsoft SQL Server import is empty.</t>
  </si>
  <si>
    <t>Total August MOBI (MT)</t>
  </si>
  <si>
    <t>September Origins</t>
  </si>
  <si>
    <t>injected_product</t>
  </si>
  <si>
    <t>consumed_lot</t>
  </si>
  <si>
    <t>security_tag</t>
  </si>
  <si>
    <t>BOL_number</t>
  </si>
  <si>
    <t>quantity_consumed_in_injection</t>
  </si>
  <si>
    <t>offloaded_quantity_kg</t>
  </si>
  <si>
    <t>origin_quantity_kg</t>
  </si>
  <si>
    <t>order_line_completed_on</t>
  </si>
  <si>
    <t>purchase_order_link</t>
  </si>
  <si>
    <t>offload_order_link</t>
  </si>
  <si>
    <t>Proportion of Origin Consumed</t>
  </si>
  <si>
    <t>Origin Mass</t>
  </si>
  <si>
    <t>Consumed Origin Mass</t>
  </si>
  <si>
    <t>week_of_year</t>
  </si>
  <si>
    <t>ISO_week_starting</t>
  </si>
  <si>
    <t>week_starting_injected</t>
  </si>
  <si>
    <t>2-123</t>
  </si>
  <si>
    <t>bio_oil</t>
  </si>
  <si>
    <t>AECN_LA_2.5.26_offload_1</t>
  </si>
  <si>
    <t>https://charm-industrial.manufacturo.cloud/app/inventory/purchase-orders/(purchase:orders/EEE6213C-969B-47C6-9199-08DE5E962AB6/lines/376F00E3-5CFE-4C40-92DD-08DE5E962AB6)</t>
  </si>
  <si>
    <t>https://charm-industrial.manufacturo.cloud/app/eworkin-plus-execution/order-execution/10084CD7-A029-4F6B-E6EE-08DE63F471FB/trace/FFA85DCB-04F8-4D2E-E960-08DE63F471FB/</t>
  </si>
  <si>
    <t>2-124</t>
  </si>
  <si>
    <t>AECN_LA_2.6.26_offload_1</t>
  </si>
  <si>
    <t>https://charm-industrial.manufacturo.cloud/app/inventory/purchase-orders/(purchase:orders/49362A8A-1F19-4496-4A15-08DE5E9676C3/lines/F40DB852-7A9D-4D82-4BDE-08DE5E9676C3)</t>
  </si>
  <si>
    <t>https://charm-industrial.manufacturo.cloud/app/eworkin-plus-execution/order-execution/48229A74-49F6-4450-D11F-08DE6598A84C/trace/BE4581A2-2E14-4785-DD73-08DE6598A84D/</t>
  </si>
  <si>
    <t>2-125</t>
  </si>
  <si>
    <t>AECN_LA_2.8.26_offload_1</t>
  </si>
  <si>
    <t>https://charm-industrial.manufacturo.cloud/app/inventory/purchase-orders/(purchase:orders/1C6144EC-32A7-4315-FA67-08DE5E969BBB/lines/BC92D006-C75B-4AF2-FBAD-08DE5E969BBB)</t>
  </si>
  <si>
    <t>https://charm-industrial.manufacturo.cloud/app/eworkin-plus-execution/order-execution/E1368578-8CFE-4299-DF63-08DE6720100B/trace/F3A1FEAA-A807-4AD2-E1D4-08DE6720100B/</t>
  </si>
  <si>
    <t>2-126</t>
  </si>
  <si>
    <t>AECN_LA_2.9.26_offload_1</t>
  </si>
  <si>
    <t>https://charm-industrial.manufacturo.cloud/app/inventory/purchase-orders/(purchase:orders/E1B336DA-6557-4169-56CC-08DE5E96B2DB/lines/983F9EEC-24DA-43CC-5823-08DE5E96B2DB)</t>
  </si>
  <si>
    <t>https://charm-industrial.manufacturo.cloud/app/eworkin-plus-execution/order-execution/BDE8FC78-0370-4E64-BA20-08DE68AC6AD5/trace/4E143FEF-9338-4BAC-A71A-08DE68AC6AD6/</t>
  </si>
  <si>
    <t>2-127</t>
  </si>
  <si>
    <t>AECN_LA_2.10.26_offload_1</t>
  </si>
  <si>
    <t>https://charm-industrial.manufacturo.cloud/app/inventory/purchase-orders/(purchase:orders/AB162EC4-229C-4CC3-20EE-08DE5E96CBDA/lines/780F439E-A84F-4D18-2217-08DE5E96CBDA)</t>
  </si>
  <si>
    <t>https://charm-industrial.manufacturo.cloud/app/eworkin-plus-execution/order-execution/3F5D7832-5C49-496A-6D0B-08DE68BE7AFD/trace/9274FE54-EC19-4A8A-78D1-08DE68BE7AFE/</t>
  </si>
  <si>
    <t>2-128</t>
  </si>
  <si>
    <t>AECN_LA_2.11.26_offload_1</t>
  </si>
  <si>
    <t>https://charm-industrial.manufacturo.cloud/app/inventory/purchase-orders/(purchase:orders/4F5E75E5-52F7-4742-0353-08DE5E96E5C5/lines/6AB5F2B5-637A-4A9D-0462-08DE5E96E5C5)</t>
  </si>
  <si>
    <t>https://charm-industrial.manufacturo.cloud/app/eworkin-plus-execution/order-execution/A60D6414-EF46-4A7E-CA85-08DE69984F46/trace/8344C991-195B-4AC8-CD73-08DE69984F46/</t>
  </si>
  <si>
    <t>2-129</t>
  </si>
  <si>
    <t>AECN_LA_2.17.26_offload_1</t>
  </si>
  <si>
    <t>https://charm-industrial.manufacturo.cloud/app/inventory/purchase-orders/(purchase:orders/CCB43A41-398F-43D1-66BD-08DE6B4CB1DF/lines/48C19D93-7B43-4BC0-C451-08DE6B4CB1DF)</t>
  </si>
  <si>
    <t>https://charm-industrial.manufacturo.cloud/app/eworkin-plus-execution/order-execution/44CFE2CD-6C9E-43B5-D3BC-08DE6F2FDC27/trace/B28220A6-9887-40DB-DEED-08DE6F2FDC27/</t>
  </si>
  <si>
    <t>2-130</t>
  </si>
  <si>
    <t>Rail_TILX200231_1.22.26_offload_1</t>
  </si>
  <si>
    <t>https://charm-industrial.manufacturo.cloud/app/inventory/purchase-orders/(purchase:orders/95B76E23-C060-4679-201E-08DE5E94ECEE/lines/51544AD0-AF2E-4015-784B-08DE5E94ECEE)</t>
  </si>
  <si>
    <t>https://charm-industrial.manufacturo.cloud/app/eworkin-plus-execution/order-execution/B0D57837-CB26-4CFF-1F7D-08DE6F039C48/trace/21D084BC-732D-4C72-23B2-08DE6F039C49/</t>
  </si>
  <si>
    <t>2-131_</t>
  </si>
  <si>
    <t>AECN_LA_2.18.26_offload_1</t>
  </si>
  <si>
    <t>https://charm-industrial.manufacturo.cloud/app/inventory/purchase-orders/(purchase:orders/88BC9FD0-9F5D-43A0-AED1-08DE6B4CC3BE/lines/B30FEBF8-F9F8-42F2-B32A-08DE6B4CC3BE)</t>
  </si>
  <si>
    <t>https://charm-industrial.manufacturo.cloud/app/eworkin-plus-execution/order-execution/3AC2CA7C-96BF-47F7-36BA-08DE6FC7D532/trace/57DC7EE0-4F97-4056-4A3C-08DE6FC7D532/</t>
  </si>
  <si>
    <t>2-132</t>
  </si>
  <si>
    <t>Rail_TILX200231_1.22.26_offload_2</t>
  </si>
  <si>
    <t>https://charm-industrial.manufacturo.cloud/app/eworkin-plus-execution/order-execution/A54BDFC5-8277-48D7-D68D-08DE6F039D5B/trace/7699B015-1FDA-4F25-E5CE-08DE6F039D5B/</t>
  </si>
  <si>
    <t>2-133</t>
  </si>
  <si>
    <t>2297-T_offload_1</t>
  </si>
  <si>
    <t>https://charm-industrial.manufacturo.cloud/app/inventory/purchase-orders/(purchase:orders/3F841BDC-C455-4FB4-902C-08DE6B4CD674/lines/BA7771C7-BBDE-4671-9191-08DE6B4CD674)</t>
  </si>
  <si>
    <t>https://charm-industrial.manufacturo.cloud/app/eworkin-plus-execution/order-execution/D7F4FA45-0C9C-4E5D-4EF5-08DE709D256C/trace/F1FFF369-E4FE-4426-5B0C-08DE709D256D/</t>
  </si>
  <si>
    <t>2-134</t>
  </si>
  <si>
    <t>2298-T_offload_1</t>
  </si>
  <si>
    <t>https://charm-industrial.manufacturo.cloud/app/inventory/purchase-orders/(purchase:orders/EB1F9C62-D55B-4707-B08F-08DE6B4CE854/lines/55103563-87DB-47AA-B225-08DE6B4CE854)</t>
  </si>
  <si>
    <t>https://charm-industrial.manufacturo.cloud/app/eworkin-plus-execution/order-execution/3E48A7E7-9A9B-4DB8-32E0-08DE70BCD404/trace/61051A47-92D4-448A-3ED7-08DE70BCD404/</t>
  </si>
  <si>
    <t>2-135</t>
  </si>
  <si>
    <t>2299-T_offload_1</t>
  </si>
  <si>
    <t>https://charm-industrial.manufacturo.cloud/app/inventory/purchase-orders/(purchase:orders/0155799E-F84D-410E-77BE-08DE6B4D3A38/lines/FA5B46F0-FA73-4302-CCA9-08DE6B4D3A38)</t>
  </si>
  <si>
    <t>https://charm-industrial.manufacturo.cloud/app/eworkin-plus-execution/order-execution/B7F154CA-474E-4422-5700-08DE72843775/trace/91EE3C12-09B2-48B1-770C-08DE72843775/</t>
  </si>
  <si>
    <t>2-136</t>
  </si>
  <si>
    <t>2300-T_offload_1</t>
  </si>
  <si>
    <t>https://charm-industrial.manufacturo.cloud/app/inventory/purchase-orders/(purchase:orders/7F79855F-6C71-4314-C100-08DE6B4D6DA1/lines/C4E430A5-5ADE-440C-C653-08DE6B4D6DA1)</t>
  </si>
  <si>
    <t>https://charm-industrial.manufacturo.cloud/app/eworkin-plus-execution/order-execution/F0C5F0B1-1560-4AC5-9F86-08DE70A43851/trace/87AF88E0-6D80-4C80-A2F5-08DE70A43851/</t>
  </si>
  <si>
    <t>2-137</t>
  </si>
  <si>
    <t>2301-T_offload_1</t>
  </si>
  <si>
    <t>https://charm-industrial.manufacturo.cloud/app/inventory/purchase-orders/(purchase:orders/DED8C324-0389-4E89-66E4-08DE6E5857EA/lines/82FC62B3-C025-4AA1-B494-08DE6E5857EA)</t>
  </si>
  <si>
    <t>https://charm-industrial.manufacturo.cloud/app/eworkin-plus-execution/order-execution/94A0A61C-33D8-480A-4C25-08DE72857A86/trace/E9CBDB70-5085-4A3B-55C1-08DE72857A86/</t>
  </si>
  <si>
    <t>2-138</t>
  </si>
  <si>
    <t>Rail_TILX200231_1.22.26_offload_3</t>
  </si>
  <si>
    <t>https://charm-industrial.manufacturo.cloud/app/eworkin-plus-execution/order-execution/7D719EFE-21BB-4432-F9C8-08DE6F039DFB/trace/9F14F86B-470B-4A96-FC3E-08DE6F039DFB/</t>
  </si>
  <si>
    <t>2-139</t>
  </si>
  <si>
    <t>Rail_TILX200231_1.22.26_offload_4</t>
  </si>
  <si>
    <t>https://charm-industrial.manufacturo.cloud/app/eworkin-plus-execution/order-execution/75288232-92A9-4958-02F3-08DE6F039E9A/trace/6150FEC5-59AD-4848-05BC-08DE6F039E9A/</t>
  </si>
  <si>
    <t>2-140</t>
  </si>
  <si>
    <t>2302-T_offload_1</t>
  </si>
  <si>
    <t>https://charm-industrial.manufacturo.cloud/app/inventory/purchase-orders/(purchase:orders/5F914B2C-21DB-436E-F1AA-08DE6E6C3A54/lines/D46D7CA6-BAEE-4482-68C7-08DE6E6C3A55)</t>
  </si>
  <si>
    <t>https://charm-industrial.manufacturo.cloud/app/eworkin-plus-execution/order-execution/FF69B21A-9E45-42FB-3CA5-08DE73A3B79E/trace/E0481B0A-434C-42E8-3B6B-08DE73A3B79F/</t>
  </si>
  <si>
    <t>2-141</t>
  </si>
  <si>
    <t>Rail_TILX200228_1.26.26_offload_1</t>
  </si>
  <si>
    <t>https://charm-industrial.manufacturo.cloud/app/inventory/purchase-orders/(purchase:orders/DD5A1578-A5C2-41F5-E9EB-08DE5E9529CE/lines/57C72F6C-E149-4616-F148-08DE5E9529CE)</t>
  </si>
  <si>
    <t>https://charm-industrial.manufacturo.cloud/app/eworkin-plus-execution/order-execution/4D91B723-1AFB-4B19-09C3-08DE73C138B2/trace/50901851-D58D-4247-189B-08DE73C138B3/</t>
  </si>
  <si>
    <t>2-142</t>
  </si>
  <si>
    <t>Rail_TILX200228_1.26.26_offload_2</t>
  </si>
  <si>
    <t>https://charm-industrial.manufacturo.cloud/app/eworkin-plus-execution/order-execution/37CA33A6-C129-4637-0E83-08DE73C139CB/trace/F472C623-B2D1-4F39-184E-08DE73C139CB/</t>
  </si>
  <si>
    <t>2-143</t>
  </si>
  <si>
    <t>2303-T_offload_1</t>
  </si>
  <si>
    <t>https://charm-industrial.manufacturo.cloud/app/inventory/purchase-orders/(purchase:orders/6E76F711-3F22-4C30-FE8F-08DE6F43F468/lines/1CAF0430-C08B-4D43-574A-08DE6F43F469)</t>
  </si>
  <si>
    <t>https://charm-industrial.manufacturo.cloud/app/eworkin-plus-execution/order-execution/5932A65A-6C1C-463C-0166-08DE7469EC5A/trace/9326CD30-F685-4DAF-0C7D-08DE7469EC5A/</t>
  </si>
  <si>
    <t>2-144</t>
  </si>
  <si>
    <t>Rail_TILX200228_1.26.26_offload_3</t>
  </si>
  <si>
    <t>https://charm-industrial.manufacturo.cloud/app/eworkin-plus-execution/order-execution/1DC595B1-8D61-419B-7C72-08DE73C13A6C/trace/78C95198-DF18-49E3-7EE5-08DE73C13A6C/</t>
  </si>
  <si>
    <t>2-145</t>
  </si>
  <si>
    <t>Rail_TILX200228_1.26.26_offload_4</t>
  </si>
  <si>
    <t>https://charm-industrial.manufacturo.cloud/app/eworkin-plus-execution/order-execution/0EEB4CB1-C173-42CD-E79E-08DE73C13B06/trace/E86C3079-88BA-4EB8-E9B9-08DE73C13B06/</t>
  </si>
  <si>
    <t>2-146</t>
  </si>
  <si>
    <t>2304-T_offload_1</t>
  </si>
  <si>
    <t>https://charm-industrial.manufacturo.cloud/app/inventory/purchase-orders/(purchase:orders/18F62AD8-64C3-479F-3004-08DE6F440748/lines/F74711EC-6667-45AB-32F8-08DE6F440748)</t>
  </si>
  <si>
    <t>https://charm-industrial.manufacturo.cloud/app/eworkin-plus-execution/order-execution/C1F16DBB-B969-43D2-5670-08DE753D6166/trace/856CBF3B-40CC-484C-6579-08DE753D6166/</t>
  </si>
  <si>
    <t>2-147</t>
  </si>
  <si>
    <t>2305-T_offload_1</t>
  </si>
  <si>
    <t>https://charm-industrial.manufacturo.cloud/app/inventory/purchase-orders/(purchase:orders/1C07DC0A-D450-42CA-3A61-08DE70BA385E/lines/D515DE59-96FE-47EE-7373-08DE70BA385E)</t>
  </si>
  <si>
    <t>https://charm-industrial.manufacturo.cloud/app/eworkin-plus-execution/order-execution/B8A6B0D9-E33B-47A4-3CC6-08DE753F8AB7/trace/E42AC21B-A7AF-4B3B-472C-08DE753F8AB7/</t>
  </si>
  <si>
    <t>2-148</t>
  </si>
  <si>
    <t>2306-T_offload_1</t>
  </si>
  <si>
    <t>https://charm-industrial.manufacturo.cloud/app/inventory/purchase-orders/(purchase:orders/A0F59C46-8076-41A4-DEB7-08DE70BAB052/lines/D9C2EA9C-EDDE-4D37-30C6-08DE70BAB053)</t>
  </si>
  <si>
    <t>https://charm-industrial.manufacturo.cloud/app/eworkin-plus-execution/order-execution/848036D2-248C-4C3C-54BF-08DE7600C243/trace/257CDE3E-2C62-4180-571E-08DE7600C243/</t>
  </si>
  <si>
    <t>2-149</t>
  </si>
  <si>
    <t>2307-T_offload_1</t>
  </si>
  <si>
    <t>https://charm-industrial.manufacturo.cloud/app/inventory/purchase-orders/(purchase:orders/FC71DA4D-F255-4DF5-775F-08DE70BABF0F/lines/4420274B-9CDE-4733-7B93-08DE70BABF0F)</t>
  </si>
  <si>
    <t>https://charm-industrial.manufacturo.cloud/app/eworkin-plus-execution/order-execution/3681A8B1-5D4D-47E7-3813-08DE76013774/trace/562F1855-E783-439A-3ABB-08DE76013774/</t>
  </si>
  <si>
    <t>2-150</t>
  </si>
  <si>
    <t>2308-T_offload_1</t>
  </si>
  <si>
    <t>https://charm-industrial.manufacturo.cloud/app/inventory/purchase-orders/(purchase:orders/99920CFB-EAFB-4BE5-5A9B-08DE70BACDF9/lines/A1CDD04F-C0DA-4768-5C70-08DE70BACDF9)</t>
  </si>
  <si>
    <t>https://charm-industrial.manufacturo.cloud/app/eworkin-plus-execution/order-execution/1B8C1AD4-5564-4333-2739-08DE76016672/trace/E6621289-31AA-4194-3353-08DE76016672/</t>
  </si>
  <si>
    <t>2-151</t>
  </si>
  <si>
    <t>2311-T_offload_1</t>
  </si>
  <si>
    <t>https://charm-industrial.manufacturo.cloud/app/inventory/purchase-orders/(purchase:orders/77515F26-51C9-4A57-7312-08DE736A0E58/lines/04BD335C-52AE-40A6-7584-08DE736A0E58)</t>
  </si>
  <si>
    <t>https://charm-industrial.manufacturo.cloud/app/eworkin-plus-execution/order-execution/E6ED16BD-072D-474E-C8C9-08DE779E1698/trace/B3384ECC-63AB-40E2-CAF6-08DE779E1698/</t>
  </si>
  <si>
    <t>2-152</t>
  </si>
  <si>
    <t>2309-T_offload_1</t>
  </si>
  <si>
    <t>https://charm-industrial.manufacturo.cloud/app/inventory/purchase-orders/(purchase:orders/9E71D758-AE97-4AD6-2EA5-08DE74C40B54/lines/F470D81E-D261-424D-6456-08DE74C40B54)</t>
  </si>
  <si>
    <t>https://charm-industrial.manufacturo.cloud/app/eworkin-plus-execution/order-execution/254E12EC-F9FB-400B-28F3-08DE779E454A/trace/458CC402-EE5B-4E19-196F-08DE779E454B/</t>
  </si>
  <si>
    <t>2-154</t>
  </si>
  <si>
    <t>2315-T_offload_1</t>
  </si>
  <si>
    <t>https://charm-industrial.manufacturo.cloud/app/inventory/purchase-orders/(purchase:orders/1AE34FFF-49A1-4DCA-6155-08DE7643C7FA/lines/C8BC052E-A303-427C-9CFC-08DE7643C7FA)</t>
  </si>
  <si>
    <t>https://charm-industrial.manufacturo.cloud/app/eworkin-plus-execution/order-execution/92D235DB-8FA5-4125-158E-08DE7882FDD5/trace/611D7A62-EB41-4876-0F9A-08DE7882FDD6/</t>
  </si>
  <si>
    <t>2-155</t>
  </si>
  <si>
    <t>2318-T_offload_1_redo</t>
  </si>
  <si>
    <t>https://charm-industrial.manufacturo.cloud/app/inventory/purchase-orders/(purchase:orders/22C42135-17CC-4350-22C3-08DE7970B769/lines/B2D2FEB2-6A59-4CAA-5BE7-08DE7970B769)</t>
  </si>
  <si>
    <t>https://charm-industrial.manufacturo.cloud/app/eworkin-plus-execution/order-execution/80CBE118-66C0-4431-51F7-08DE7EBDC03D/trace/C3DF9F82-CB37-4E86-7292-08DE7EBDC03D/</t>
  </si>
  <si>
    <t>2-156</t>
  </si>
  <si>
    <t>2319-T_offload_1_redo</t>
  </si>
  <si>
    <t>https://charm-industrial.manufacturo.cloud/app/inventory/purchase-orders/(purchase:orders/679B9923-626A-4E0C-8453-08DE79772FA6/lines/F70A29E4-2FA9-4789-C30A-08DE79772FA6)</t>
  </si>
  <si>
    <t>https://charm-industrial.manufacturo.cloud/app/eworkin-plus-execution/order-execution/5AA90F0D-A308-4E98-1C13-08DE7F96AC63/trace/9C9A583E-A60C-4D4D-1E81-08DE7F96AC63/</t>
  </si>
  <si>
    <t>2-157</t>
  </si>
  <si>
    <t>2320-T_offload_1</t>
  </si>
  <si>
    <t>https://charm-industrial.manufacturo.cloud/app/inventory/purchase-orders/(purchase:orders/25CEB0F5-35AD-4C2C-8760-08DE7A3D79F1/lines/8BE90577-7B03-4236-8A3C-08DE7A3D79F1)</t>
  </si>
  <si>
    <t>https://charm-industrial.manufacturo.cloud/app/eworkin-plus-execution/order-execution/A2C38277-E226-4704-871B-08DE7D454D6C/trace/70DC47EF-6F30-424C-89BA-08DE7D454D6C/</t>
  </si>
  <si>
    <t>2-158</t>
  </si>
  <si>
    <t>2321-T_offload_1</t>
  </si>
  <si>
    <t>https://charm-industrial.manufacturo.cloud/app/inventory/purchase-orders/(purchase:orders/68BABAEA-E8D3-4D3E-DFEE-08DE7A3DF961/lines/DBF3D643-B2F2-4100-335E-08DE7A3DF962)</t>
  </si>
  <si>
    <t>https://charm-industrial.manufacturo.cloud/app/eworkin-plus-execution/order-execution/3A826C2B-6DC8-45A6-38C0-08DE7D457B83/trace/77091554-EC60-4292-3B78-08DE7D457B83/</t>
  </si>
  <si>
    <t>2-159</t>
  </si>
  <si>
    <t>2322-T_offload_1</t>
  </si>
  <si>
    <t>https://charm-industrial.manufacturo.cloud/app/inventory/purchase-orders/(purchase:orders/1DC04616-587F-40C9-AA8C-08DE7B03F64C/lines/810427BD-C8DF-4A6A-AB6A-08DE7B03F64C)</t>
  </si>
  <si>
    <t>https://charm-industrial.manufacturo.cloud/app/eworkin-plus-execution/order-execution/34FDFD93-A875-4AEB-1AE1-08DE7E09B76E/trace/6F31B225-0E65-44D5-21BA-08DE7E09B76E/</t>
  </si>
  <si>
    <t>2-160</t>
  </si>
  <si>
    <t>2323-T_offload_1</t>
  </si>
  <si>
    <t>https://charm-industrial.manufacturo.cloud/app/inventory/purchase-orders/(purchase:orders/5A067DB6-D075-4DE7-181F-08DE7EED202C/lines/04EF953D-4A42-4D13-685F-08DE7EED202C)</t>
  </si>
  <si>
    <t>https://charm-industrial.manufacturo.cloud/app/eworkin-plus-execution/order-execution/D15F90C6-B2A8-46CA-B428-08DE8355425E/trace/79518059-DDE1-4CBE-B716-08DE8355425E/</t>
  </si>
  <si>
    <t>2-161</t>
  </si>
  <si>
    <t>2326-T_offload_1</t>
  </si>
  <si>
    <t>https://charm-industrial.manufacturo.cloud/app/inventory/purchase-orders/(purchase:orders/01191310-A6E8-4E91-91B5-08DE8123293B/lines/16E83A7D-46A2-4E37-C8D2-08DE8123293B)</t>
  </si>
  <si>
    <t>https://charm-industrial.manufacturo.cloud/app/eworkin-plus-execution/order-execution/B08D558F-8A1B-4CA4-8602-08DE8397A02A/trace/3C01A05A-8B25-49F1-8888-08DE8397A02A/</t>
  </si>
  <si>
    <t>2-162</t>
  </si>
  <si>
    <t>2331-T_offload_1</t>
  </si>
  <si>
    <t>https://charm-industrial.manufacturo.cloud/app/inventory/purchase-orders/(purchase:orders/A50754D7-D06C-46B5-61BF-08DE813BAA1D/lines/0F449BB0-4C78-47AC-62A2-08DE813BAA1D)</t>
  </si>
  <si>
    <t>https://charm-industrial.manufacturo.cloud/app/eworkin-plus-execution/order-execution/974A2FC7-5C3C-4076-FFCB-08DE8458977F/trace/75903E44-0064-4586-F5C5-08DE84589780/</t>
  </si>
  <si>
    <t>2-163</t>
  </si>
  <si>
    <t>2330-T_offload_1</t>
  </si>
  <si>
    <t>https://charm-industrial.manufacturo.cloud/app/inventory/purchase-orders/(purchase:orders/012D608F-8153-4081-3907-08DE813B3401/lines/DDE73330-9016-4D9E-6FF3-08DE813B3401)</t>
  </si>
  <si>
    <t>https://charm-industrial.manufacturo.cloud/app/eworkin-plus-execution/order-execution/1F5DD378-64D3-44C2-9FB4-08DE8397EE93/trace/D732DCCA-A7E6-402B-A3B0-08DE8397EE93/</t>
  </si>
  <si>
    <t>2-164</t>
  </si>
  <si>
    <t>2329-T_offload_1</t>
  </si>
  <si>
    <t>https://charm-industrial.manufacturo.cloud/app/inventory/purchase-orders/(purchase:orders/569B9A9D-4C7E-4503-86FE-08DE8127C1E9/lines/3D9B571A-5EEA-4B94-8B0C-08DE8127C1E9)</t>
  </si>
  <si>
    <t>https://charm-industrial.manufacturo.cloud/app/eworkin-plus-execution/order-execution/399208BE-6F1A-4840-B821-08DE8397C162/trace/3A52FF61-6DD2-4A13-BAFD-08DE8397C162/</t>
  </si>
  <si>
    <t>2-165</t>
  </si>
  <si>
    <t>2324-T_offload_1</t>
  </si>
  <si>
    <t>https://charm-industrial.manufacturo.cloud/app/inventory/purchase-orders/(purchase:orders/851029E3-70B8-4312-3C62-08DE7FB7377A/lines/6FEBF10D-F9DE-4139-3D13-08DE7FB7377A)</t>
  </si>
  <si>
    <t>https://charm-industrial.manufacturo.cloud/app/eworkin-plus-execution/order-execution/0CC3CC3C-CCB8-42AE-08DF-08DE84F09F6B/trace/01E16386-7861-4853-0B1D-08DE84F09F6B/</t>
  </si>
  <si>
    <t>2-166</t>
  </si>
  <si>
    <t>2325-T_offload_1</t>
  </si>
  <si>
    <t>https://charm-industrial.manufacturo.cloud/app/inventory/purchase-orders/(purchase:orders/008CE8FC-789C-4084-CEF1-08DE7FB8239A/lines/B8A3C52A-5458-4F5D-CF97-08DE7FB8239A)</t>
  </si>
  <si>
    <t>https://charm-industrial.manufacturo.cloud/app/eworkin-plus-execution/order-execution/E40B3B03-9F50-4551-D908-08DE85B8F0BE/trace/7562308F-F606-4E60-BB9E-08DE85B8F0BF/</t>
  </si>
  <si>
    <t>2-167</t>
  </si>
  <si>
    <t>2327-T_offload_1</t>
  </si>
  <si>
    <t>https://charm-industrial.manufacturo.cloud/app/inventory/purchase-orders/(purchase:orders/68CAE53F-BF2E-46BA-C427-08DE81272A03/lines/0C023D69-9052-4DA6-FF9E-08DE81272A03)</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</si>
  <si>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</si>
  <si>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</si>
  <si>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</si>
  <si>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</si>
  <si>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</si>
  <si>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</si>
  <si>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</si>
  <si>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</si>
  <si>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</si>
  <si>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</si>
  <si>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</si>
  <si>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</si>
  <si>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</si>
  <si>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</si>
  <si>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</si>
  <si>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</si>
  <si>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</si>
  <si>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</si>
  <si>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</si>
  <si>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</si>
  <si>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</si>
  <si>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</si>
  <si>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</si>
  <si>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</si>
  <si>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</si>
  <si>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</si>
  <si>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</si>
  <si>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</si>
  <si>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</si>
  <si>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</si>
  <si>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</si>
  <si>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</si>
  <si>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</si>
  <si>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</si>
  <si>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</si>
  <si>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</si>
  <si>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</si>
  <si>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</si>
  <si>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</si>
  <si>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</si>
  <si>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</si>
  <si>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</si>
  <si>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</si>
  <si>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</si>
  <si>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</si>
  <si>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</si>
  <si>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</si>
  <si>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</si>
  <si>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</si>
  <si>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</si>
  <si>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</si>
  <si>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</si>
  <si>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</si>
  <si>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</si>
  <si>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</si>
  <si>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</si>
  <si>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</si>
  <si>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</si>
  <si>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</si>
  <si>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</si>
  <si>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</si>
  <si>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</si>
  <si>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</si>
  <si>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</si>
  <si>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</si>
  <si>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</si>
  <si>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</si>
  <si>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</si>
  <si>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</si>
  <si>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</si>
  <si>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</si>
  <si>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</si>
  <si>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</si>
  <si>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</si>
  <si>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</si>
  <si>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</si>
  <si>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</si>
  <si>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</si>
  <si>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</si>
  <si>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</si>
  <si>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2-191</t>
  </si>
  <si>
    <t>Rail_TILX200231_3.23.2026_offload_2</t>
  </si>
  <si>
    <t>https://charm-industrial.manufacturo.cloud/app/eworkin-plus-execution/order-execution/CF19998F-ADA3-4EF9-8A95-08DE919CEA7D/trace/D1298656-422C-498C-8D96-08DE919CEA7D/</t>
  </si>
  <si>
    <t>2-192</t>
  </si>
  <si>
    <t>Rail_TILX200231_3.23.2026_offload_3</t>
  </si>
  <si>
    <t>https://charm-industrial.manufacturo.cloud/app/eworkin-plus-execution/order-execution/F770190B-3960-4D4A-A014-08DE919CEB2B/trace/E0DEEA28-7065-435C-A2D4-08DE919CEB2B/</t>
  </si>
  <si>
    <t>2-194-KS-RC</t>
  </si>
  <si>
    <t>OPBA11_offload_1</t>
  </si>
  <si>
    <t>https://charm-industrial.manufacturo.cloud/app/inventory/purchase-orders/(purchase:orders/BC7340B9-404E-4710-ECBB-08DE964001DC/lines/A5DEF091-906B-4BDC-F16B-08DE964001DC)</t>
  </si>
  <si>
    <t>https://charm-industrial.manufacturo.cloud/app/eworkin-plus-execution/order-execution/620932EE-D5B4-4662-D3FA-08DE971A9962/trace/10F78593-DDF7-4950-DF2B-08DE971A9962/</t>
  </si>
  <si>
    <t>OPBA11_offload_2</t>
  </si>
  <si>
    <t>https://charm-industrial.manufacturo.cloud/app/eworkin-plus-execution/order-execution/3D816A63-5962-4AA6-35C6-08DE971A9A23/trace/57584F05-412C-4A43-38D5-08DE971A9A23/</t>
  </si>
  <si>
    <t>OPBA10_offload_1</t>
  </si>
  <si>
    <t>https://charm-industrial.manufacturo.cloud/app/inventory/purchase-orders/(purchase:orders/4B4FF516-3147-4E12-9549-08DE963FDA9C/lines/1DBF227A-FF27-430D-D3F5-08DE963FDA9C)</t>
  </si>
  <si>
    <t>https://charm-industrial.manufacturo.cloud/app/eworkin-plus-execution/order-execution/17519F89-0583-499A-7ADA-08DE971B5810/trace/A30BFD75-653C-419B-7E40-08DE971B5810/</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</si>
  <si>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</si>
  <si>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</si>
  <si>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</si>
  <si>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</si>
  <si>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2-201</t>
  </si>
  <si>
    <t>Rail_TILX200228_4.2.2026_offload_1</t>
  </si>
  <si>
    <t>2344-R, 2345-R, 2346-R</t>
  </si>
  <si>
    <t>https://charm-industrial.manufacturo.cloud/app/inventory/purchase-orders/(purchase:orders/F8480784-E332-48A6-ED88-08DE91ADA34A/lines/703DBE98-CCD9-46E2-3347-08DE91ADA34B)</t>
  </si>
  <si>
    <t>https://charm-industrial.manufacturo.cloud/app/eworkin-plus-execution/order-execution/313E06CA-8706-45D2-75BD-08DE9BC89EC0/trace/DFFCCB27-476B-4AE2-8A91-08DE9BC89EC0/</t>
  </si>
  <si>
    <t>2-204</t>
  </si>
  <si>
    <t>Rail_TILX200228_4.2.2026_offload_4</t>
  </si>
  <si>
    <t>https://charm-industrial.manufacturo.cloud/app/eworkin-plus-execution/order-execution/B83F683E-6CCC-4D05-B82B-08DE9BC8A0A9/trace/974E76CA-51F5-4195-BB4F-08DE9BC8A0A9/</t>
  </si>
  <si>
    <t>3-55</t>
  </si>
  <si>
    <t>oily_fraction</t>
  </si>
  <si>
    <t>LOT00004246</t>
  </si>
  <si>
    <t>LOT00004460</t>
  </si>
  <si>
    <t>LOT00004520</t>
  </si>
  <si>
    <t>3-56</t>
  </si>
  <si>
    <t>LOT00004480</t>
  </si>
  <si>
    <t>LOT00004486</t>
  </si>
  <si>
    <t>LOT00004545</t>
  </si>
  <si>
    <t>K-001</t>
  </si>
  <si>
    <t>Calciner</t>
  </si>
  <si>
    <t>KC_0003</t>
  </si>
  <si>
    <t>KC_0001</t>
  </si>
  <si>
    <t>KC_0002</t>
  </si>
  <si>
    <t>KC_0004</t>
  </si>
  <si>
    <t>K-002</t>
  </si>
  <si>
    <t>KC-0005</t>
  </si>
  <si>
    <t>KC_0008</t>
  </si>
  <si>
    <t>KC_0007</t>
  </si>
  <si>
    <t>KC_0006</t>
  </si>
  <si>
    <t>SUM of quantity_consumed_in_injection</t>
  </si>
  <si>
    <t>Charm Oil</t>
  </si>
  <si>
    <t>Truck Transport: Charm to El Dorado</t>
  </si>
  <si>
    <t>El Dorado Pre-Processing</t>
  </si>
  <si>
    <t>Truck Transport: El Dorado to Vaulted</t>
  </si>
  <si>
    <t>Net CDR</t>
  </si>
  <si>
    <t>Total Deliveries</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</si>
  <si>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</si>
  <si>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</si>
  <si>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</si>
  <si>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</si>
  <si>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</si>
  <si>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</si>
  <si>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</si>
  <si>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</si>
  <si>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</si>
  <si>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</si>
  <si>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</si>
  <si>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</si>
  <si>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</si>
  <si>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</si>
  <si>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</si>
  <si>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</si>
  <si>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</si>
  <si>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</si>
  <si>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</si>
  <si>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</si>
  <si>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</si>
  <si>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</si>
  <si>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PP2</t>
  </si>
  <si>
    <t>45.86%</t>
  </si>
  <si>
    <t>PP3</t>
  </si>
  <si>
    <t>49.21%</t>
  </si>
  <si>
    <t>PP4</t>
  </si>
  <si>
    <t>PP5</t>
  </si>
  <si>
    <t>PP6</t>
  </si>
  <si>
    <t>Dec/Jan</t>
  </si>
  <si>
    <t>PP7</t>
  </si>
  <si>
    <t>Feb/Mar</t>
  </si>
  <si>
    <t>PP8</t>
  </si>
  <si>
    <t>PP9</t>
  </si>
  <si>
    <t>PP10</t>
  </si>
  <si>
    <t>Measurements</t>
  </si>
  <si>
    <t>Constants</t>
  </si>
  <si>
    <t>CO to ElD</t>
  </si>
  <si>
    <t>kg/ton</t>
  </si>
  <si>
    <t>Transwood&gt;ElD&gt;Vaulted</t>
  </si>
  <si>
    <t>Truck Transport Fuel Use (Well to Wheel) -- Tanker Truck</t>
  </si>
  <si>
    <t>MT CO2e/t-mi</t>
  </si>
  <si>
    <t>Truck Transport Fuel Use (Well to Wheel) -- Flatbed Truck</t>
  </si>
  <si>
    <t>Vehicle Embodied Emissions --Tanker Truck</t>
  </si>
  <si>
    <t>MT CO2e/mi</t>
  </si>
  <si>
    <t>Apr/May</t>
  </si>
  <si>
    <t>Vehicle Embodied Emissions --Non-Tanker Truck</t>
  </si>
  <si>
    <t>Wind RECs Use -- Kansas</t>
  </si>
  <si>
    <t>MTCO2e/kWh</t>
  </si>
  <si>
    <t>Embodied Emissions -- Liquid Caustic Soda (50% NaOH)</t>
  </si>
  <si>
    <t>MTCO2e/T LCS</t>
  </si>
  <si>
    <t>GREET 2024</t>
  </si>
  <si>
    <t>Mixed PP4/PP5</t>
  </si>
  <si>
    <t>Vaulted EE/MT Injectate</t>
  </si>
  <si>
    <t>MT COe/MT Injectate</t>
  </si>
  <si>
    <t>Mobi</t>
  </si>
  <si>
    <t>Day</t>
  </si>
  <si>
    <t>Jan</t>
  </si>
  <si>
    <t>Total Oil Added</t>
  </si>
  <si>
    <t>Total Loss</t>
  </si>
  <si>
    <t>2101T</t>
  </si>
  <si>
    <t>2104T</t>
  </si>
  <si>
    <t>2105T</t>
  </si>
  <si>
    <t>2106T</t>
  </si>
  <si>
    <t>2113T</t>
  </si>
  <si>
    <t>2114T</t>
  </si>
  <si>
    <t>2115T</t>
  </si>
  <si>
    <t>2120T</t>
  </si>
  <si>
    <t>2122T</t>
  </si>
  <si>
    <t>2131T</t>
  </si>
  <si>
    <t>2135T</t>
  </si>
  <si>
    <t>2136T</t>
  </si>
  <si>
    <t>2140T</t>
  </si>
  <si>
    <t>2141T</t>
  </si>
  <si>
    <t>2139T</t>
  </si>
  <si>
    <t>2148T</t>
  </si>
  <si>
    <t>2150T</t>
  </si>
  <si>
    <t>2151T</t>
  </si>
  <si>
    <t>2152T</t>
  </si>
  <si>
    <t>2153T</t>
  </si>
  <si>
    <t>2154T</t>
  </si>
  <si>
    <t>2155T</t>
  </si>
  <si>
    <t>2156T</t>
  </si>
  <si>
    <t>2158T</t>
  </si>
  <si>
    <t>2159T</t>
  </si>
  <si>
    <t>2160T</t>
  </si>
  <si>
    <t>2161T</t>
  </si>
  <si>
    <t>2162T</t>
  </si>
  <si>
    <t>2164T</t>
  </si>
  <si>
    <t>2165T</t>
  </si>
  <si>
    <t>LEFTOVER</t>
  </si>
  <si>
    <t>MRV Ops Notes</t>
  </si>
  <si>
    <t>Batch number</t>
  </si>
  <si>
    <t>Batch Composition</t>
  </si>
  <si>
    <t>Operator</t>
  </si>
  <si>
    <t>Origin 1</t>
  </si>
  <si>
    <t>Volume (Gallons)</t>
  </si>
  <si>
    <t>Volume (Liters)</t>
  </si>
  <si>
    <t>Density (kg/L)</t>
  </si>
  <si>
    <t>Mass</t>
  </si>
  <si>
    <t>Liters per Gallon</t>
  </si>
  <si>
    <t>Gallons per Liter</t>
  </si>
  <si>
    <t>Origin 2</t>
  </si>
  <si>
    <t>Origin 3</t>
  </si>
  <si>
    <t>Origin 4</t>
  </si>
  <si>
    <t>2180T</t>
  </si>
  <si>
    <t>Total Mass</t>
  </si>
  <si>
    <t>Origin 5</t>
  </si>
  <si>
    <t>2185T</t>
  </si>
  <si>
    <t>Ops Notes -- LCS Addition</t>
  </si>
  <si>
    <t>Quantity of LCS Added (gallons)</t>
  </si>
  <si>
    <t>Quantity of LCS Added (lbs)</t>
  </si>
  <si>
    <t>Quantity of LCS Added (kg)</t>
  </si>
  <si>
    <t>pH Minimum</t>
  </si>
  <si>
    <t>LCS Density (lbs/gal)</t>
  </si>
  <si>
    <t>pH End</t>
  </si>
  <si>
    <t>Source</t>
  </si>
  <si>
    <t>Lbs/Kg</t>
  </si>
  <si>
    <t>LCS Start Date &amp; Time</t>
  </si>
  <si>
    <t>LCS End Date</t>
  </si>
  <si>
    <t>Total LCS Added</t>
  </si>
  <si>
    <t>Ops Notes -- Salt Addition</t>
  </si>
  <si>
    <t>Quantity of Salt Added to Blending Tank (lbs)</t>
  </si>
  <si>
    <t>Salt Start Date</t>
  </si>
  <si>
    <t>Salt End Date</t>
  </si>
  <si>
    <t>Estimated Salt Left in Tank (lbs)</t>
  </si>
  <si>
    <t>Salt Remaining in Truck (lbs)</t>
  </si>
  <si>
    <t>Salt Downhole (lbs)</t>
  </si>
  <si>
    <t>Total Salt Added (lbs)</t>
  </si>
  <si>
    <t>Total Salt Added to Blending Tank</t>
  </si>
  <si>
    <t>Chloride Check</t>
  </si>
  <si>
    <t>Ops Notes -- Injection Data</t>
  </si>
  <si>
    <t>Truck 1 Injectate Mass (lbs)</t>
  </si>
  <si>
    <t>Injection Start Date</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</si>
  <si>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</si>
  <si>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</si>
  <si>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</si>
  <si>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</si>
  <si>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</si>
  <si>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</si>
  <si>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</si>
  <si>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</si>
  <si>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</si>
  <si>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</si>
  <si>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</si>
  <si>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</si>
  <si>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</si>
  <si>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</si>
  <si>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</si>
  <si>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</si>
  <si>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</si>
  <si>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</si>
  <si>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</si>
  <si>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Vega Volume (L)</t>
  </si>
  <si>
    <t>Scale Mass (kg)</t>
  </si>
  <si>
    <t>Ops Notes -- Batch Composition</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</si>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</sst>
</file>

<file path=xl/styles.xml><?xml version="1.0" encoding="utf-8"?>
<styleSheet xmlns="http://schemas.openxmlformats.org/spreadsheetml/2006/main" xmlns:x14ac="http://schemas.microsoft.com/office/spreadsheetml/2009/9/ac" xmlns:mc="http://schemas.openxmlformats.org/markup-compatibility/2006">
  <numFmts count="35">
    <numFmt numFmtId="164" formatCode="M/d/yyyy"/>
    <numFmt numFmtId="165" formatCode="0.000"/>
    <numFmt numFmtId="166" formatCode="m/d/yyyy"/>
    <numFmt numFmtId="167" formatCode="&quot;$&quot;#,##0"/>
    <numFmt numFmtId="168" formatCode="yyyy&quot;-&quot;mm&quot;-&quot;dd"/>
    <numFmt numFmtId="169" formatCode="0.0"/>
    <numFmt numFmtId="170" formatCode="&quot;$&quot;#,##0.00"/>
    <numFmt numFmtId="171" formatCode="m/d/yy"/>
    <numFmt numFmtId="172" formatCode="0.00000"/>
    <numFmt numFmtId="173" formatCode="h:mm am/pm"/>
    <numFmt numFmtId="174" formatCode="M/d/yyyy H:mm:ss"/>
    <numFmt numFmtId="175" formatCode="#,##0.0"/>
    <numFmt numFmtId="176" formatCode="mm/dd/yy h:mm"/>
    <numFmt numFmtId="177" formatCode="m/d/yy h:mm"/>
    <numFmt numFmtId="178" formatCode="mmm&quot; &quot;d"/>
    <numFmt numFmtId="179" formatCode="mmm&quot; &quot;yyyy"/>
    <numFmt numFmtId="180" formatCode="0.0%"/>
    <numFmt numFmtId="181" formatCode="0.0000"/>
    <numFmt numFmtId="182" formatCode="MMM YYYY"/>
    <numFmt numFmtId="183" formatCode="ddd&quot; &quot;mmm&quot; &quot;d"/>
    <numFmt numFmtId="184" formatCode="mmm yyyy"/>
    <numFmt numFmtId="185" formatCode="yyyy-mm-dd h:mm:ss"/>
    <numFmt numFmtId="186" formatCode="yyyy-mm-dd"/>
    <numFmt numFmtId="187" formatCode="m/d/yyyy h:mm am/pm"/>
    <numFmt numFmtId="188" formatCode="yyyy"/>
    <numFmt numFmtId="189" formatCode="d&quot; &quot;mmm&quot; &quot;yy"/>
    <numFmt numFmtId="190" formatCode="m/d"/>
    <numFmt numFmtId="191" formatCode="0.000000"/>
    <numFmt numFmtId="192" formatCode="mmm-yy"/>
    <numFmt numFmtId="193" formatCode="#,##0_);(#,##0); &quot;--&quot;_)"/>
    <numFmt numFmtId="194" formatCode="mm-dd"/>
    <numFmt numFmtId="195" formatCode="m-d"/>
    <numFmt numFmtId="196" formatCode="#,##0.0000000000"/>
    <numFmt numFmtId="197" formatCode="0.000%"/>
    <numFmt numFmtId="198" formatCode="#,##0.0000"/>
  </numFmts>
  <fonts count="96">
    <font>
      <sz val="10.0"/>
      <color rgb="FF000000"/>
      <name val="Arial"/>
      <scheme val="minor"/>
    </font>
    <font>
      <color theme="1"/>
      <name val="Arial"/>
      <scheme val="minor"/>
    </font>
    <font>
      <color rgb="FF000000"/>
      <name val="Arial"/>
      <scheme val="minor"/>
    </font>
    <font>
      <b/>
      <color theme="1"/>
      <name val="Arial"/>
      <scheme val="minor"/>
    </font>
    <font>
      <b/>
      <sz val="8.0"/>
      <color theme="1"/>
      <name val="Arial"/>
    </font>
    <font>
      <b/>
      <sz val="8.0"/>
      <color rgb="FF000000"/>
      <name val="Arial"/>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sz val="8.0"/>
      <color theme="1"/>
      <name val="Arial"/>
    </font>
    <font>
      <u/>
      <sz val="8.0"/>
      <color theme="1"/>
      <name val="Arial"/>
    </font>
    <font>
      <u/>
      <sz val="8.0"/>
      <color rgb="FF1155CC"/>
      <name val="Arial"/>
    </font>
    <font>
      <u/>
      <sz val="8.0"/>
      <color rgb="FF0000FF"/>
      <name val="Arial"/>
    </font>
    <font>
      <u/>
      <sz val="8.0"/>
      <color rgb="FF1155CC"/>
      <name val="Arial"/>
    </font>
    <font>
      <sz val="8.0"/>
      <color rgb="FFFF0000"/>
      <name val="Arial"/>
    </font>
    <font>
      <sz val="8.0"/>
      <color rgb="FFD9D9D9"/>
      <name val="Arial"/>
    </font>
    <font>
      <sz val="8.0"/>
      <color theme="1"/>
      <name val="Arial"/>
      <scheme val="minor"/>
    </font>
    <font>
      <u/>
      <sz val="8.0"/>
      <color rgb="FF0000FF"/>
    </font>
    <font>
      <sz val="8.0"/>
      <color rgb="FFB7B7B7"/>
      <name val="Arial"/>
    </font>
    <font>
      <u/>
      <sz val="8.0"/>
      <color rgb="FF0000FF"/>
    </font>
    <font>
      <u/>
      <color rgb="FF0000FF"/>
    </font>
    <font>
      <u/>
      <color rgb="FF0000FF"/>
    </font>
    <font>
      <b/>
      <sz val="8.0"/>
      <color theme="1"/>
      <name val="Arial"/>
      <scheme val="minor"/>
    </font>
    <font>
      <b/>
      <u/>
      <color rgb="FF0000FF"/>
    </font>
    <font>
      <color rgb="FF1C4587"/>
      <name val="Arial"/>
      <scheme val="minor"/>
    </font>
    <font>
      <u/>
      <color rgb="FF0000FF"/>
    </font>
    <font>
      <u/>
      <color rgb="FF0000FF"/>
    </font>
    <font>
      <u/>
      <color rgb="FF0000FF"/>
    </font>
    <font>
      <color rgb="FF999999"/>
      <name val="Arial"/>
      <scheme val="minor"/>
    </font>
    <font>
      <color theme="1"/>
      <name val="Arial"/>
    </font>
    <font>
      <color rgb="FF000000"/>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i/>
      <color rgb="FF6D9EEB"/>
      <name val="Arial"/>
    </font>
    <font>
      <color rgb="FF6D9EEB"/>
      <name val="Arial"/>
    </font>
    <font>
      <color rgb="FF0000FF"/>
      <name val="Arial"/>
      <scheme val="minor"/>
    </font>
    <font>
      <b/>
      <u/>
      <color rgb="FF0000FF"/>
    </font>
    <font>
      <b/>
      <u/>
      <color rgb="FF0000FF"/>
    </font>
    <font>
      <u/>
      <color rgb="FF0000FF"/>
    </font>
    <font>
      <u/>
      <color rgb="FF0000FF"/>
    </font>
    <font>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b/>
      <color rgb="FFFFFFFF"/>
      <name val="Arial"/>
      <scheme val="minor"/>
    </font>
    <font/>
    <font>
      <sz val="8.0"/>
      <color rgb="FF000000"/>
      <name val="Helvetica"/>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name val="Arial"/>
    </font>
    <font>
      <u/>
      <color rgb="FF000000"/>
    </font>
    <font>
      <u/>
      <color rgb="FF0000FF"/>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0" fontId="3" numFmtId="0" xfId="0" applyAlignment="1" applyFont="1">
      <alignment horizontal="center" readingOrder="0"/>
    </xf>
    <xf borderId="0" fillId="0" fontId="3" numFmtId="0" xfId="0" applyFont="1"/>
    <xf borderId="0" fillId="0" fontId="1" numFmtId="3" xfId="0" applyAlignment="1" applyFont="1" applyNumberFormat="1">
      <alignment horizontal="center"/>
    </xf>
    <xf borderId="0" fillId="2" fontId="4" numFmtId="0" xfId="0" applyAlignment="1" applyFill="1" applyFont="1">
      <alignment horizontal="center" readingOrder="0" shrinkToFit="0" vertical="center" wrapText="1"/>
    </xf>
    <xf borderId="0" fillId="2" fontId="4" numFmtId="164"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4" numFmtId="10" xfId="0" applyAlignment="1" applyFont="1" applyNumberFormat="1">
      <alignment horizontal="center" readingOrder="0" shrinkToFit="0" vertical="center" wrapText="1"/>
    </xf>
    <xf borderId="0" fillId="2" fontId="4" numFmtId="165" xfId="0" applyAlignment="1" applyFont="1" applyNumberFormat="1">
      <alignment horizontal="center" readingOrder="0" shrinkToFit="0" vertical="center" wrapText="1"/>
    </xf>
    <xf borderId="0" fillId="2" fontId="4" numFmtId="2" xfId="0" applyAlignment="1" applyFont="1" applyNumberForma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4" xfId="0" applyAlignment="1" applyFont="1" applyNumberFormat="1">
      <alignment horizontal="center" readingOrder="0" vertical="bottom"/>
    </xf>
    <xf borderId="0" fillId="0" fontId="6" numFmtId="164" xfId="0" applyAlignment="1" applyFont="1" applyNumberFormat="1">
      <alignment horizontal="center" readingOrder="0" vertical="bottom"/>
    </xf>
    <xf borderId="0" fillId="0" fontId="8" numFmtId="0" xfId="0" applyAlignment="1" applyFont="1">
      <alignment horizontal="center" readingOrder="0"/>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65" xfId="0" applyAlignment="1" applyFont="1" applyNumberFormat="1">
      <alignment horizontal="center" readingOrder="0"/>
    </xf>
    <xf borderId="0" fillId="2" fontId="6" numFmtId="1" xfId="0" applyAlignment="1" applyFont="1" applyNumberFormat="1">
      <alignment horizontal="center" readingOrder="0"/>
    </xf>
    <xf borderId="0" fillId="2" fontId="8" numFmtId="2" xfId="0" applyAlignment="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66" xfId="0" applyAlignment="1" applyFont="1" applyNumberFormat="1">
      <alignment horizontal="center" readingOrder="0" vertical="bottom"/>
    </xf>
    <xf borderId="0" fillId="0" fontId="12" numFmtId="164" xfId="0" applyAlignment="1" applyFont="1" applyNumberFormat="1">
      <alignment horizontal="center" readingOrder="0"/>
    </xf>
    <xf borderId="0" fillId="0" fontId="6" numFmtId="0" xfId="0" applyFont="1"/>
    <xf borderId="0" fillId="0" fontId="12" numFmtId="164" xfId="0" applyAlignment="1" applyFont="1" applyNumberFormat="1">
      <alignment horizontal="center"/>
    </xf>
    <xf borderId="0" fillId="0" fontId="12" numFmtId="10" xfId="0" applyAlignment="1" applyFont="1" applyNumberFormat="1">
      <alignment horizontal="center" readingOrder="0"/>
    </xf>
    <xf borderId="0" fillId="0" fontId="13" numFmtId="0" xfId="0" applyAlignment="1" applyFont="1">
      <alignment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0" fillId="2" fontId="6" numFmtId="165" xfId="0" applyAlignment="1" applyFont="1" applyNumberFormat="1">
      <alignment horizontal="center" vertical="bottom"/>
    </xf>
    <xf borderId="0" fillId="2" fontId="6" numFmtId="2" xfId="0" applyAlignment="1" applyFont="1" applyNumberFormat="1">
      <alignment horizontal="center" vertical="bottom"/>
    </xf>
    <xf borderId="0" fillId="0" fontId="6" numFmtId="0" xfId="0" applyAlignment="1" applyFont="1">
      <alignment vertical="bottom"/>
    </xf>
    <xf borderId="0" fillId="0" fontId="14" numFmtId="0" xfId="0" applyAlignment="1" applyFont="1">
      <alignment readingOrder="0" vertical="bottom"/>
    </xf>
    <xf quotePrefix="1" borderId="0" fillId="0" fontId="15" numFmtId="0" xfId="0" applyAlignment="1" applyFont="1">
      <alignment horizontal="center" readingOrder="0"/>
    </xf>
    <xf borderId="0" fillId="0" fontId="6" numFmtId="4" xfId="0" applyFont="1" applyNumberFormat="1"/>
    <xf borderId="0" fillId="0" fontId="12" numFmtId="164" xfId="0" applyAlignment="1" applyFont="1" applyNumberFormat="1">
      <alignment horizontal="center" readingOrder="0" vertical="bottom"/>
    </xf>
    <xf borderId="0" fillId="0" fontId="16" numFmtId="0" xfId="0" applyAlignment="1" applyFont="1">
      <alignment horizontal="center" readingOrder="0" vertical="bottom"/>
    </xf>
    <xf borderId="0" fillId="0" fontId="17" numFmtId="0" xfId="0" applyAlignment="1" applyFont="1">
      <alignment horizontal="center" readingOrder="0" vertical="bottom"/>
    </xf>
    <xf borderId="0" fillId="0" fontId="12" numFmtId="0" xfId="0" applyAlignment="1" applyFont="1">
      <alignment horizontal="center" readingOrder="0" vertical="bottom"/>
    </xf>
    <xf borderId="0" fillId="0" fontId="6" numFmtId="0" xfId="0" applyAlignment="1" applyFont="1">
      <alignment horizontal="center" readingOrder="0"/>
    </xf>
    <xf borderId="0" fillId="0" fontId="18" numFmtId="0" xfId="0" applyAlignment="1" applyFont="1">
      <alignment horizontal="center" readingOrder="0" vertical="bottom"/>
    </xf>
    <xf borderId="0" fillId="0" fontId="6" numFmtId="4" xfId="0" applyAlignment="1" applyFont="1" applyNumberFormat="1">
      <alignment readingOrder="0"/>
    </xf>
    <xf borderId="0" fillId="0" fontId="6" numFmtId="0" xfId="0" applyAlignment="1" applyFont="1">
      <alignment readingOrder="0"/>
    </xf>
    <xf borderId="0" fillId="0" fontId="6" numFmtId="164" xfId="0" applyAlignment="1" applyFont="1" applyNumberFormat="1">
      <alignment horizontal="center"/>
    </xf>
    <xf borderId="0" fillId="0" fontId="6" numFmtId="10" xfId="0" applyAlignment="1" applyFont="1" applyNumberFormat="1">
      <alignment horizontal="center"/>
    </xf>
    <xf borderId="0" fillId="2" fontId="6" numFmtId="2" xfId="0" applyAlignment="1" applyFont="1" applyNumberFormat="1">
      <alignment horizontal="center"/>
    </xf>
    <xf borderId="0" fillId="0" fontId="8" numFmtId="164" xfId="0" applyAlignment="1" applyFont="1" applyNumberFormat="1">
      <alignment horizontal="center" readingOrder="0"/>
    </xf>
    <xf borderId="0" fillId="0" fontId="6" numFmtId="164" xfId="0" applyAlignment="1" applyFont="1" applyNumberFormat="1">
      <alignment horizontal="center" readingOrder="0"/>
    </xf>
    <xf borderId="0" fillId="0" fontId="5" numFmtId="164" xfId="0" applyAlignment="1" applyFont="1" applyNumberFormat="1">
      <alignment horizontal="center" readingOrder="0"/>
    </xf>
    <xf borderId="0" fillId="0" fontId="19" numFmtId="164" xfId="0" applyAlignment="1" applyFont="1" applyNumberFormat="1">
      <alignment horizontal="center" readingOrder="0"/>
    </xf>
    <xf borderId="0" fillId="2" fontId="6" numFmtId="10" xfId="0" applyAlignment="1" applyFont="1" applyNumberFormat="1">
      <alignment horizontal="center" readingOrder="0"/>
    </xf>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0" fillId="0" fontId="8" numFmtId="0" xfId="0" applyAlignment="1" applyFont="1">
      <alignment horizontal="center" readingOrder="0"/>
    </xf>
    <xf borderId="0" fillId="0" fontId="6" numFmtId="167" xfId="0" applyAlignment="1" applyFont="1" applyNumberFormat="1">
      <alignment horizontal="center" readingOrder="0"/>
    </xf>
    <xf borderId="0" fillId="0" fontId="8" numFmtId="0" xfId="0" applyAlignment="1" applyFont="1">
      <alignment horizontal="center"/>
    </xf>
    <xf borderId="0" fillId="0" fontId="20" numFmtId="0" xfId="0" applyAlignment="1" applyFont="1">
      <alignment horizontal="center" readingOrder="0"/>
    </xf>
    <xf borderId="0" fillId="0" fontId="21" numFmtId="0" xfId="0" applyAlignment="1" applyFont="1">
      <alignment horizontal="center" readingOrder="0"/>
    </xf>
    <xf borderId="0" fillId="0" fontId="22" numFmtId="164" xfId="0" applyAlignment="1" applyFont="1" applyNumberFormat="1">
      <alignment horizontal="center" readingOrder="0"/>
    </xf>
    <xf borderId="0" fillId="0" fontId="20" numFmtId="0" xfId="0" applyAlignment="1" applyFont="1">
      <alignment horizontal="center"/>
    </xf>
    <xf borderId="0" fillId="0" fontId="6" numFmtId="0" xfId="0" applyAlignment="1" applyFont="1">
      <alignment horizontal="center"/>
    </xf>
    <xf borderId="0" fillId="0" fontId="23" numFmtId="0" xfId="0" applyAlignment="1" applyFont="1">
      <alignment readingOrder="0"/>
    </xf>
    <xf borderId="0" fillId="0" fontId="4" numFmtId="167" xfId="0" applyAlignment="1" applyFont="1" applyNumberForma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65" xfId="0" applyFont="1" applyNumberFormat="1"/>
    <xf borderId="0" fillId="2" fontId="6" numFmtId="0" xfId="0" applyFont="1"/>
    <xf borderId="0" fillId="0" fontId="3" numFmtId="168" xfId="0" applyAlignment="1" applyFont="1" applyNumberFormat="1">
      <alignment readingOrder="0"/>
    </xf>
    <xf borderId="0" fillId="0" fontId="3" numFmtId="0" xfId="0" applyAlignment="1" applyFont="1">
      <alignment readingOrder="0"/>
    </xf>
    <xf borderId="0" fillId="0" fontId="1" numFmtId="168" xfId="0" applyAlignment="1" applyFont="1" applyNumberFormat="1">
      <alignment readingOrder="0"/>
    </xf>
    <xf borderId="0" fillId="0" fontId="1" numFmtId="0" xfId="0" applyAlignment="1" applyFont="1">
      <alignment readingOrder="0"/>
    </xf>
    <xf borderId="0" fillId="0" fontId="1" numFmtId="169" xfId="0" applyAlignment="1" applyFont="1" applyNumberFormat="1">
      <alignment readingOrder="0"/>
    </xf>
    <xf borderId="0" fillId="0" fontId="24" numFmtId="0" xfId="0" applyAlignment="1" applyFont="1">
      <alignment readingOrder="0"/>
    </xf>
    <xf borderId="0" fillId="0" fontId="1" numFmtId="2" xfId="0" applyFont="1" applyNumberFormat="1"/>
    <xf borderId="0" fillId="0" fontId="1" numFmtId="168" xfId="0" applyFont="1" applyNumberFormat="1"/>
    <xf borderId="0" fillId="0" fontId="1" numFmtId="168" xfId="0" applyAlignment="1" applyFont="1" applyNumberFormat="1">
      <alignment readingOrder="0"/>
    </xf>
    <xf borderId="0" fillId="0" fontId="1" numFmtId="0" xfId="0" applyFont="1"/>
    <xf borderId="0" fillId="0" fontId="25" numFmtId="0" xfId="0" applyAlignment="1" applyFont="1">
      <alignment readingOrder="0"/>
    </xf>
    <xf borderId="0" fillId="0" fontId="1" numFmtId="0" xfId="0" applyAlignment="1" applyFont="1">
      <alignment readingOrder="0"/>
    </xf>
    <xf borderId="0" fillId="0" fontId="1" numFmtId="168" xfId="0" applyFont="1" applyNumberFormat="1"/>
    <xf borderId="0" fillId="2" fontId="3" numFmtId="0" xfId="0" applyAlignment="1" applyFont="1">
      <alignment horizontal="center" readingOrder="0" shrinkToFit="0" vertical="center" wrapText="1"/>
    </xf>
    <xf borderId="0" fillId="2" fontId="3" numFmtId="164" xfId="0" applyAlignment="1" applyFont="1" applyNumberFormat="1">
      <alignment horizontal="center" readingOrder="0" shrinkToFit="0" vertical="center" wrapText="1"/>
    </xf>
    <xf borderId="0" fillId="2" fontId="3" numFmtId="10" xfId="0" applyAlignment="1" applyFont="1" applyNumberFormat="1">
      <alignment horizontal="center" readingOrder="0" shrinkToFit="0" vertical="center" wrapText="1"/>
    </xf>
    <xf borderId="0" fillId="2" fontId="26" numFmtId="0" xfId="0" applyAlignment="1" applyFont="1">
      <alignment horizontal="center" readingOrder="0" shrinkToFit="0" vertical="center" wrapText="1"/>
    </xf>
    <xf borderId="0" fillId="2" fontId="3" numFmtId="165" xfId="0" applyAlignment="1" applyFont="1" applyNumberFormat="1">
      <alignment horizontal="center" readingOrder="0" shrinkToFit="0" vertical="center" wrapText="1"/>
    </xf>
    <xf borderId="0" fillId="2" fontId="3" numFmtId="2" xfId="0" applyAlignment="1" applyFont="1" applyNumberFormat="1">
      <alignment horizontal="center" readingOrder="0" shrinkToFit="0" vertical="center" wrapText="1"/>
    </xf>
    <xf borderId="0" fillId="2" fontId="27" numFmtId="0" xfId="0" applyAlignment="1" applyFont="1">
      <alignment horizontal="center" readingOrder="0" shrinkToFit="0" vertical="center" wrapText="1"/>
    </xf>
    <xf borderId="0" fillId="2" fontId="3" numFmtId="170"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28" numFmtId="0" xfId="0" applyAlignment="1" applyFont="1">
      <alignment horizontal="center" readingOrder="0"/>
    </xf>
    <xf borderId="0" fillId="0" fontId="1" numFmtId="171" xfId="0" applyAlignment="1" applyFont="1" applyNumberFormat="1">
      <alignment horizontal="center" readingOrder="0"/>
    </xf>
    <xf borderId="0" fillId="0" fontId="1" numFmtId="164" xfId="0" applyAlignment="1" applyFont="1" applyNumberFormat="1">
      <alignment horizontal="center" readingOrder="0"/>
    </xf>
    <xf borderId="0" fillId="0" fontId="1" numFmtId="164" xfId="0" applyAlignment="1" applyFont="1" applyNumberFormat="1">
      <alignment horizontal="center" readingOrder="0"/>
    </xf>
    <xf borderId="0" fillId="0" fontId="1" numFmtId="170" xfId="0" applyAlignment="1" applyFont="1" applyNumberFormat="1">
      <alignment horizontal="center" readingOrder="0"/>
    </xf>
    <xf borderId="0" fillId="0" fontId="1" numFmtId="170" xfId="0" applyAlignment="1" applyFont="1" applyNumberFormat="1">
      <alignment horizontal="center"/>
    </xf>
    <xf borderId="0" fillId="0" fontId="1" numFmtId="0" xfId="0" applyAlignment="1" applyFont="1">
      <alignment horizontal="center" readingOrder="0"/>
    </xf>
    <xf borderId="0" fillId="0" fontId="29" numFmtId="0" xfId="0" applyAlignment="1" applyFont="1">
      <alignment horizontal="center" readingOrder="0"/>
    </xf>
    <xf borderId="0" fillId="0" fontId="1" numFmtId="10" xfId="0" applyAlignment="1" applyFont="1" applyNumberFormat="1">
      <alignment horizontal="center" readingOrder="0"/>
    </xf>
    <xf borderId="0" fillId="2" fontId="2"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65" xfId="0" applyAlignment="1" applyFont="1" applyNumberFormat="1">
      <alignment horizontal="center" readingOrder="0"/>
    </xf>
    <xf borderId="0" fillId="2" fontId="1" numFmtId="1" xfId="0" applyAlignment="1" applyFont="1" applyNumberFormat="1">
      <alignment horizontal="center" readingOrder="0"/>
    </xf>
    <xf borderId="0" fillId="0" fontId="1" numFmtId="165"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borderId="0" fillId="0" fontId="2" numFmtId="165" xfId="0" applyAlignment="1" applyFont="1" applyNumberFormat="1">
      <alignment horizontal="center" readingOrder="0"/>
    </xf>
    <xf borderId="0" fillId="0" fontId="1" numFmtId="1" xfId="0" applyAlignment="1" applyFont="1" applyNumberFormat="1">
      <alignment horizontal="center" readingOrder="0"/>
    </xf>
    <xf borderId="0" fillId="0" fontId="1" numFmtId="170" xfId="0" applyAlignment="1" applyFont="1" applyNumberFormat="1">
      <alignment horizontal="center" readingOrder="0"/>
    </xf>
    <xf borderId="0" fillId="0" fontId="30" numFmtId="1" xfId="0" applyAlignment="1" applyFont="1" applyNumberFormat="1">
      <alignment horizontal="center" readingOrder="0"/>
    </xf>
    <xf borderId="0" fillId="0" fontId="1" numFmtId="4" xfId="0" applyAlignment="1" applyFont="1" applyNumberFormat="1">
      <alignment horizontal="center" readingOrder="0"/>
    </xf>
    <xf borderId="0" fillId="0" fontId="31" numFmtId="10" xfId="0" applyAlignment="1" applyFont="1" applyNumberFormat="1">
      <alignment horizontal="center" readingOrder="0"/>
    </xf>
    <xf borderId="0" fillId="0" fontId="2" numFmtId="171" xfId="0" applyAlignment="1" applyFont="1" applyNumberFormat="1">
      <alignment horizontal="center" readingOrder="0"/>
    </xf>
    <xf borderId="0" fillId="0" fontId="32" numFmtId="0" xfId="0" applyAlignment="1" applyFont="1">
      <alignment horizontal="center"/>
    </xf>
    <xf borderId="0" fillId="0" fontId="32" numFmtId="170" xfId="0" applyAlignment="1" applyFont="1" applyNumberFormat="1">
      <alignment horizontal="center" readingOrder="0"/>
    </xf>
    <xf borderId="0" fillId="0" fontId="32" numFmtId="170" xfId="0" applyAlignment="1" applyFont="1" applyNumberFormat="1">
      <alignment horizontal="center"/>
    </xf>
    <xf borderId="0" fillId="0" fontId="2" numFmtId="170" xfId="0" applyAlignment="1" applyFont="1" applyNumberFormat="1">
      <alignment horizontal="center" readingOrder="0"/>
    </xf>
    <xf borderId="0" fillId="0" fontId="2" numFmtId="10" xfId="0" applyAlignment="1" applyFont="1" applyNumberFormat="1">
      <alignment horizontal="center" readingOrder="0"/>
    </xf>
    <xf borderId="0" fillId="0" fontId="2" numFmtId="164" xfId="0" applyAlignment="1" applyFont="1" applyNumberFormat="1">
      <alignment horizontal="center"/>
    </xf>
    <xf borderId="0" fillId="0" fontId="2" numFmtId="164" xfId="0" applyAlignment="1" applyFont="1" applyNumberFormat="1">
      <alignment horizontal="center" readingOrder="0"/>
    </xf>
    <xf borderId="0" fillId="0" fontId="32" numFmtId="0" xfId="0" applyAlignment="1" applyFont="1">
      <alignment horizontal="center" readingOrder="0"/>
    </xf>
    <xf borderId="0" fillId="0" fontId="1" numFmtId="164" xfId="0" applyAlignment="1" applyFont="1" applyNumberFormat="1">
      <alignment horizontal="center"/>
    </xf>
    <xf borderId="0" fillId="0" fontId="32" numFmtId="0" xfId="0" applyFont="1"/>
    <xf borderId="0" fillId="0" fontId="33" numFmtId="164" xfId="0" applyAlignment="1" applyFont="1" applyNumberFormat="1">
      <alignment horizontal="center" readingOrder="0" vertical="bottom"/>
    </xf>
    <xf borderId="0" fillId="0" fontId="2" numFmtId="0" xfId="0" applyFont="1"/>
    <xf borderId="0" fillId="0" fontId="2" numFmtId="2" xfId="0" applyFont="1" applyNumberFormat="1"/>
    <xf borderId="0" fillId="0" fontId="34" numFmtId="164" xfId="0" applyAlignment="1" applyFont="1" applyNumberFormat="1">
      <alignment horizontal="center" readingOrder="0" vertical="bottom"/>
    </xf>
    <xf borderId="0" fillId="0" fontId="35" numFmtId="170" xfId="0" applyAlignment="1" applyFont="1" applyNumberFormat="1">
      <alignment horizontal="center" readingOrder="0"/>
    </xf>
    <xf borderId="0" fillId="0" fontId="28" numFmtId="0" xfId="0" applyAlignment="1" applyFont="1">
      <alignment horizontal="center" readingOrder="0" shrinkToFit="0" wrapText="0"/>
    </xf>
    <xf borderId="0" fillId="0" fontId="36" numFmtId="164" xfId="0" applyAlignment="1" applyFont="1" applyNumberFormat="1">
      <alignment horizontal="center" readingOrder="0" vertical="bottom"/>
    </xf>
    <xf borderId="0" fillId="0" fontId="2" numFmtId="170" xfId="0" applyAlignment="1" applyFont="1" applyNumberFormat="1">
      <alignment horizontal="center" readingOrder="0"/>
    </xf>
    <xf borderId="0" fillId="0" fontId="32" numFmtId="1" xfId="0" applyAlignment="1" applyFont="1" applyNumberFormat="1">
      <alignment horizontal="center" readingOrder="0"/>
    </xf>
    <xf borderId="0" fillId="0" fontId="37" numFmtId="170" xfId="0" applyAlignment="1" applyFont="1" applyNumberFormat="1">
      <alignment horizontal="center" readingOrder="0"/>
    </xf>
    <xf borderId="0" fillId="0" fontId="37" numFmtId="10" xfId="0" applyAlignment="1" applyFont="1" applyNumberFormat="1">
      <alignment horizontal="center" readingOrder="0"/>
    </xf>
    <xf borderId="0" fillId="0" fontId="38" numFmtId="2" xfId="0" applyAlignment="1" applyFont="1" applyNumberFormat="1">
      <alignment horizontal="center" readingOrder="0"/>
    </xf>
    <xf borderId="0" fillId="0" fontId="37" numFmtId="170" xfId="0" applyAlignment="1" applyFont="1" applyNumberFormat="1">
      <alignment horizontal="center" readingOrder="0"/>
    </xf>
    <xf borderId="0" fillId="0" fontId="39" numFmtId="170" xfId="0" applyAlignment="1" applyFont="1" applyNumberFormat="1">
      <alignment horizontal="center" readingOrder="0"/>
    </xf>
    <xf borderId="0" fillId="0" fontId="40" numFmtId="164" xfId="0" applyAlignment="1" applyFont="1" applyNumberFormat="1">
      <alignment horizontal="center" readingOrder="0" vertical="bottom"/>
    </xf>
    <xf borderId="0" fillId="0" fontId="36" numFmtId="164" xfId="0" applyAlignment="1" applyFont="1" applyNumberFormat="1">
      <alignment horizontal="center" vertical="bottom"/>
    </xf>
    <xf borderId="0" fillId="0" fontId="32" numFmtId="164" xfId="0" applyAlignment="1" applyFont="1" applyNumberFormat="1">
      <alignment horizontal="center"/>
    </xf>
    <xf borderId="0" fillId="0" fontId="32" numFmtId="164" xfId="0" applyAlignment="1" applyFont="1" applyNumberFormat="1">
      <alignment horizontal="center" readingOrder="0"/>
    </xf>
    <xf borderId="0" fillId="0" fontId="32" numFmtId="10" xfId="0" applyAlignment="1" applyFont="1" applyNumberFormat="1">
      <alignment horizontal="center" readingOrder="0"/>
    </xf>
    <xf borderId="0" fillId="0" fontId="2" numFmtId="1" xfId="0" applyAlignment="1" applyFont="1" applyNumberFormat="1">
      <alignment horizontal="center" readingOrder="0"/>
    </xf>
    <xf borderId="0" fillId="0" fontId="34" numFmtId="0" xfId="0" applyAlignment="1" applyFont="1">
      <alignment horizontal="center" readingOrder="0" vertical="bottom"/>
    </xf>
    <xf borderId="0" fillId="0" fontId="41" numFmtId="0" xfId="0" applyAlignment="1" applyFont="1">
      <alignment horizontal="center" readingOrder="0"/>
    </xf>
    <xf borderId="0" fillId="0" fontId="36" numFmtId="166" xfId="0" applyAlignment="1" applyFont="1" applyNumberFormat="1">
      <alignment horizontal="center" readingOrder="0" vertical="bottom"/>
    </xf>
    <xf borderId="0" fillId="0" fontId="32" numFmtId="166" xfId="0" applyAlignment="1" applyFont="1" applyNumberFormat="1">
      <alignment horizontal="center" readingOrder="0"/>
    </xf>
    <xf borderId="0" fillId="0" fontId="42" numFmtId="0" xfId="0" applyAlignment="1" applyFont="1">
      <alignment horizontal="center" readingOrder="0"/>
    </xf>
    <xf borderId="0" fillId="0" fontId="43" numFmtId="166" xfId="0" applyAlignment="1" applyFont="1" applyNumberFormat="1">
      <alignment horizontal="center" readingOrder="0" vertical="bottom"/>
    </xf>
    <xf borderId="0" fillId="0" fontId="35" numFmtId="166" xfId="0" applyAlignment="1" applyFont="1" applyNumberFormat="1">
      <alignment horizontal="center" readingOrder="0"/>
    </xf>
    <xf borderId="0" fillId="0" fontId="37" numFmtId="0" xfId="0" applyFont="1"/>
    <xf borderId="0" fillId="0" fontId="2" numFmtId="172" xfId="0" applyAlignment="1" applyFont="1" applyNumberFormat="1">
      <alignment horizontal="center" readingOrder="0"/>
    </xf>
    <xf borderId="0" fillId="0" fontId="44" numFmtId="164" xfId="0" applyAlignment="1" applyFont="1" applyNumberFormat="1">
      <alignment horizontal="center" readingOrder="0" vertical="bottom"/>
    </xf>
    <xf borderId="0" fillId="0" fontId="45" numFmtId="164" xfId="0" applyAlignment="1" applyFont="1" applyNumberFormat="1">
      <alignment horizontal="center" readingOrder="0" vertical="bottom"/>
    </xf>
    <xf borderId="0" fillId="0" fontId="32" numFmtId="0" xfId="0" applyAlignment="1" applyFont="1">
      <alignment readingOrder="0"/>
    </xf>
    <xf borderId="0" fillId="2" fontId="32" numFmtId="1" xfId="0" applyAlignment="1" applyFont="1" applyNumberFormat="1">
      <alignment horizontal="center" readingOrder="0"/>
    </xf>
    <xf borderId="0" fillId="0" fontId="1" numFmtId="0" xfId="0" applyAlignment="1" applyFont="1">
      <alignment horizontal="center"/>
    </xf>
    <xf borderId="0" fillId="0" fontId="1" numFmtId="164" xfId="0" applyFont="1" applyNumberFormat="1"/>
    <xf borderId="0" fillId="0" fontId="1" numFmtId="10" xfId="0" applyFont="1" applyNumberFormat="1"/>
    <xf borderId="0" fillId="2" fontId="32" numFmtId="165" xfId="0" applyAlignment="1" applyFont="1" applyNumberFormat="1">
      <alignment horizontal="center" readingOrder="0"/>
    </xf>
    <xf borderId="0" fillId="2" fontId="1" numFmtId="0" xfId="0" applyAlignment="1" applyFont="1">
      <alignment horizontal="center"/>
    </xf>
    <xf borderId="0" fillId="2" fontId="1" numFmtId="1" xfId="0" applyAlignment="1" applyFont="1" applyNumberFormat="1">
      <alignment horizontal="center"/>
    </xf>
    <xf borderId="0" fillId="2" fontId="1" numFmtId="165" xfId="0" applyFont="1" applyNumberFormat="1"/>
    <xf borderId="0" fillId="2" fontId="1" numFmtId="0" xfId="0" applyFont="1"/>
    <xf borderId="0" fillId="0" fontId="1" numFmtId="170" xfId="0" applyFont="1" applyNumberFormat="1"/>
    <xf borderId="0" fillId="0" fontId="37" numFmtId="170" xfId="0" applyFont="1" applyNumberFormat="1"/>
    <xf borderId="1" fillId="0" fontId="3" numFmtId="0" xfId="0" applyAlignment="1" applyBorder="1" applyFont="1">
      <alignment horizontal="center" readingOrder="0" shrinkToFit="0" wrapText="1"/>
    </xf>
    <xf borderId="1" fillId="3" fontId="3" numFmtId="0" xfId="0" applyAlignment="1" applyBorder="1" applyFill="1" applyFont="1">
      <alignment horizontal="center" readingOrder="0" shrinkToFit="0" wrapText="1"/>
    </xf>
    <xf borderId="1" fillId="4" fontId="3"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66"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1" numFmtId="0" xfId="0" applyAlignment="1" applyBorder="1" applyFont="1">
      <alignment shrinkToFit="0" wrapText="1"/>
    </xf>
    <xf borderId="0" fillId="5" fontId="1" numFmtId="0" xfId="0" applyFont="1"/>
    <xf borderId="0" fillId="5" fontId="1" numFmtId="166" xfId="0" applyAlignment="1" applyFont="1" applyNumberFormat="1">
      <alignment horizontal="center"/>
    </xf>
    <xf borderId="0" fillId="0" fontId="1" numFmtId="166"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1" fillId="0" fontId="46" numFmtId="0" xfId="0" applyAlignment="1" applyBorder="1" applyFont="1">
      <alignment readingOrder="0" shrinkToFit="0" wrapText="1"/>
    </xf>
    <xf borderId="1" fillId="5" fontId="46" numFmtId="0" xfId="0" applyAlignment="1" applyBorder="1" applyFont="1">
      <alignment readingOrder="0" shrinkToFit="0" wrapText="1"/>
    </xf>
    <xf borderId="0" fillId="5" fontId="1" numFmtId="0" xfId="0" applyAlignment="1" applyFont="1">
      <alignment readingOrder="0"/>
    </xf>
    <xf borderId="0" fillId="5" fontId="46" numFmtId="0" xfId="0" applyAlignment="1" applyFont="1">
      <alignment readingOrder="0" shrinkToFit="0" wrapText="1"/>
    </xf>
    <xf borderId="1" fillId="0" fontId="1" numFmtId="0" xfId="0" applyAlignment="1" applyBorder="1" applyFont="1">
      <alignment shrinkToFit="0" wrapText="1"/>
    </xf>
    <xf borderId="0" fillId="2" fontId="3" numFmtId="0" xfId="0" applyAlignment="1" applyFont="1">
      <alignment horizontal="left" readingOrder="0"/>
    </xf>
    <xf borderId="0" fillId="2" fontId="3" numFmtId="0" xfId="0" applyAlignment="1" applyFont="1">
      <alignment horizontal="left"/>
    </xf>
    <xf borderId="0" fillId="0" fontId="1" numFmtId="0" xfId="0" applyAlignment="1" applyFont="1">
      <alignment horizontal="left" readingOrder="0"/>
    </xf>
    <xf borderId="0" fillId="0" fontId="1" numFmtId="166" xfId="0" applyAlignment="1" applyFont="1" applyNumberFormat="1">
      <alignment horizontal="left" readingOrder="0"/>
    </xf>
    <xf borderId="0" fillId="0" fontId="1" numFmtId="173" xfId="0" applyAlignment="1" applyFont="1" applyNumberFormat="1">
      <alignment horizontal="left" readingOrder="0"/>
    </xf>
    <xf borderId="0" fillId="0" fontId="1" numFmtId="0" xfId="0" applyAlignment="1" applyFont="1">
      <alignment horizontal="left"/>
    </xf>
    <xf borderId="0" fillId="0" fontId="1" numFmtId="20" xfId="0" applyAlignment="1" applyFont="1" applyNumberFormat="1">
      <alignment horizontal="left" readingOrder="0"/>
    </xf>
    <xf borderId="0" fillId="0" fontId="1" numFmtId="164" xfId="0" applyAlignment="1" applyFont="1" applyNumberFormat="1">
      <alignment horizontal="left"/>
    </xf>
    <xf borderId="0" fillId="0" fontId="1" numFmtId="164"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0" fontId="3" numFmtId="174" xfId="0" applyAlignment="1" applyFont="1" applyNumberFormat="1">
      <alignment readingOrder="0"/>
    </xf>
    <xf borderId="0" fillId="0" fontId="1" numFmtId="174" xfId="0" applyAlignment="1" applyFont="1" applyNumberFormat="1">
      <alignment readingOrder="0"/>
    </xf>
    <xf borderId="0" fillId="0" fontId="1" numFmtId="174" xfId="0" applyFont="1" applyNumberFormat="1"/>
    <xf borderId="0" fillId="7" fontId="3" numFmtId="0" xfId="0" applyAlignment="1" applyFill="1" applyFont="1">
      <alignment horizontal="left" readingOrder="0"/>
    </xf>
    <xf borderId="0" fillId="7" fontId="3" numFmtId="0" xfId="0" applyAlignment="1" applyFont="1">
      <alignment horizontal="left"/>
    </xf>
    <xf borderId="0" fillId="6" fontId="3" numFmtId="0" xfId="0" applyAlignment="1" applyFont="1">
      <alignment horizontal="left" readingOrder="0"/>
    </xf>
    <xf borderId="0" fillId="6" fontId="47" numFmtId="0" xfId="0" applyAlignment="1" applyFont="1">
      <alignment horizontal="left" readingOrder="0"/>
    </xf>
    <xf borderId="0" fillId="6" fontId="3" numFmtId="166" xfId="0" applyAlignment="1" applyFont="1" applyNumberFormat="1">
      <alignment horizontal="left" readingOrder="0"/>
    </xf>
    <xf borderId="0" fillId="6" fontId="3" numFmtId="170" xfId="0" applyAlignment="1" applyFont="1" applyNumberFormat="1">
      <alignment horizontal="left" readingOrder="0"/>
    </xf>
    <xf borderId="0" fillId="6" fontId="3" numFmtId="167" xfId="0" applyAlignment="1" applyFont="1" applyNumberFormat="1">
      <alignment horizontal="left" readingOrder="0"/>
    </xf>
    <xf borderId="0" fillId="6" fontId="3" numFmtId="0" xfId="0" applyAlignment="1" applyFont="1">
      <alignment horizontal="left"/>
    </xf>
    <xf borderId="0" fillId="6" fontId="3" numFmtId="170" xfId="0" applyAlignment="1" applyFont="1" applyNumberFormat="1">
      <alignment horizontal="left"/>
    </xf>
    <xf borderId="0" fillId="5" fontId="3" numFmtId="0" xfId="0" applyAlignment="1" applyFont="1">
      <alignment horizontal="left" readingOrder="0"/>
    </xf>
    <xf borderId="0" fillId="5" fontId="48" numFmtId="0" xfId="0" applyAlignment="1" applyFont="1">
      <alignment horizontal="left" readingOrder="0"/>
    </xf>
    <xf borderId="0" fillId="5" fontId="3" numFmtId="166" xfId="0" applyAlignment="1" applyFont="1" applyNumberFormat="1">
      <alignment horizontal="left" readingOrder="0"/>
    </xf>
    <xf borderId="0" fillId="5" fontId="3" numFmtId="170" xfId="0" applyAlignment="1" applyFont="1" applyNumberFormat="1">
      <alignment horizontal="left" readingOrder="0"/>
    </xf>
    <xf borderId="0" fillId="5" fontId="3" numFmtId="167" xfId="0" applyAlignment="1" applyFont="1" applyNumberFormat="1">
      <alignment horizontal="left" readingOrder="0"/>
    </xf>
    <xf borderId="0" fillId="5" fontId="3" numFmtId="0" xfId="0" applyAlignment="1" applyFont="1">
      <alignment horizontal="left"/>
    </xf>
    <xf borderId="0" fillId="5" fontId="3" numFmtId="170" xfId="0" applyAlignment="1" applyFont="1" applyNumberFormat="1">
      <alignment horizontal="left"/>
    </xf>
    <xf borderId="0" fillId="6" fontId="1" numFmtId="0" xfId="0" applyAlignment="1" applyFont="1">
      <alignment horizontal="left" readingOrder="0"/>
    </xf>
    <xf borderId="0" fillId="6" fontId="49" numFmtId="0" xfId="0" applyAlignment="1" applyFont="1">
      <alignment horizontal="left" readingOrder="0"/>
    </xf>
    <xf borderId="0" fillId="6" fontId="1" numFmtId="166" xfId="0" applyAlignment="1" applyFont="1" applyNumberFormat="1">
      <alignment horizontal="left" readingOrder="0"/>
    </xf>
    <xf borderId="0" fillId="6" fontId="1" numFmtId="170" xfId="0" applyAlignment="1" applyFont="1" applyNumberFormat="1">
      <alignment horizontal="left" readingOrder="0"/>
    </xf>
    <xf borderId="0" fillId="6" fontId="1" numFmtId="167" xfId="0" applyAlignment="1" applyFont="1" applyNumberFormat="1">
      <alignment horizontal="left" readingOrder="0"/>
    </xf>
    <xf borderId="0" fillId="6" fontId="1" numFmtId="0" xfId="0" applyAlignment="1" applyFont="1">
      <alignment horizontal="left"/>
    </xf>
    <xf borderId="0" fillId="6" fontId="1" numFmtId="170" xfId="0" applyAlignment="1" applyFont="1" applyNumberFormat="1">
      <alignment horizontal="left"/>
    </xf>
    <xf borderId="0" fillId="5" fontId="1" numFmtId="0" xfId="0" applyAlignment="1" applyFont="1">
      <alignment horizontal="left" readingOrder="0"/>
    </xf>
    <xf borderId="0" fillId="5" fontId="50" numFmtId="0" xfId="0" applyAlignment="1" applyFont="1">
      <alignment horizontal="left" readingOrder="0"/>
    </xf>
    <xf borderId="0" fillId="5" fontId="1" numFmtId="166" xfId="0" applyAlignment="1" applyFont="1" applyNumberFormat="1">
      <alignment horizontal="left" readingOrder="0"/>
    </xf>
    <xf borderId="0" fillId="5" fontId="1" numFmtId="170" xfId="0" applyAlignment="1" applyFont="1" applyNumberFormat="1">
      <alignment horizontal="left" readingOrder="0"/>
    </xf>
    <xf borderId="0" fillId="5" fontId="1" numFmtId="167" xfId="0" applyAlignment="1" applyFont="1" applyNumberFormat="1">
      <alignment horizontal="left" readingOrder="0"/>
    </xf>
    <xf borderId="0" fillId="5" fontId="1" numFmtId="0" xfId="0" applyAlignment="1" applyFont="1">
      <alignment horizontal="left"/>
    </xf>
    <xf borderId="0" fillId="5" fontId="1" numFmtId="170" xfId="0" applyAlignment="1" applyFont="1" applyNumberFormat="1">
      <alignment horizontal="left"/>
    </xf>
    <xf borderId="0" fillId="6" fontId="1" numFmtId="167" xfId="0" applyAlignment="1" applyFont="1" applyNumberFormat="1">
      <alignment horizontal="left"/>
    </xf>
    <xf borderId="0" fillId="5" fontId="3" numFmtId="0" xfId="0" applyAlignment="1" applyFont="1">
      <alignment horizontal="left" readingOrder="0"/>
    </xf>
    <xf borderId="0" fillId="6" fontId="1" numFmtId="49" xfId="0" applyAlignment="1" applyFont="1" applyNumberFormat="1">
      <alignment horizontal="left"/>
    </xf>
    <xf borderId="0" fillId="6" fontId="1" numFmtId="170" xfId="0" applyAlignment="1" applyFont="1" applyNumberFormat="1">
      <alignment horizontal="left" readingOrder="0"/>
    </xf>
    <xf borderId="0" fillId="6" fontId="1" numFmtId="170" xfId="0" applyAlignment="1" applyFont="1" applyNumberFormat="1">
      <alignment horizontal="left"/>
    </xf>
    <xf borderId="0" fillId="5" fontId="1" numFmtId="49" xfId="0" applyAlignment="1" applyFont="1" applyNumberFormat="1">
      <alignment horizontal="left" readingOrder="0"/>
    </xf>
    <xf borderId="0" fillId="5" fontId="1" numFmtId="170" xfId="0" applyAlignment="1" applyFont="1" applyNumberFormat="1">
      <alignment horizontal="left" readingOrder="0"/>
    </xf>
    <xf borderId="0" fillId="6" fontId="1" numFmtId="49" xfId="0" applyAlignment="1" applyFont="1" applyNumberFormat="1">
      <alignment horizontal="left" readingOrder="0"/>
    </xf>
    <xf borderId="0" fillId="6" fontId="33" numFmtId="170" xfId="0" applyAlignment="1" applyFont="1" applyNumberFormat="1">
      <alignment horizontal="left" vertical="bottom"/>
    </xf>
    <xf borderId="0" fillId="6" fontId="33" numFmtId="167" xfId="0" applyAlignment="1" applyFont="1" applyNumberFormat="1">
      <alignment horizontal="left" vertical="bottom"/>
    </xf>
    <xf borderId="0" fillId="6" fontId="33" numFmtId="170" xfId="0" applyAlignment="1" applyFont="1" applyNumberFormat="1">
      <alignment horizontal="left" vertical="bottom"/>
    </xf>
    <xf borderId="0" fillId="5" fontId="33" numFmtId="170" xfId="0" applyAlignment="1" applyFont="1" applyNumberFormat="1">
      <alignment horizontal="left" vertical="bottom"/>
    </xf>
    <xf borderId="0" fillId="5" fontId="33" numFmtId="167" xfId="0" applyAlignment="1" applyFont="1" applyNumberFormat="1">
      <alignment horizontal="left" vertical="bottom"/>
    </xf>
    <xf borderId="0" fillId="5" fontId="33" numFmtId="170" xfId="0" applyAlignment="1" applyFont="1" applyNumberFormat="1">
      <alignment horizontal="left" vertical="bottom"/>
    </xf>
    <xf borderId="0" fillId="5" fontId="51" numFmtId="0" xfId="0" applyAlignment="1" applyFont="1">
      <alignment readingOrder="0"/>
    </xf>
    <xf borderId="2" fillId="0" fontId="52" numFmtId="0" xfId="0" applyAlignment="1" applyBorder="1" applyFont="1">
      <alignment readingOrder="0"/>
    </xf>
    <xf borderId="3" fillId="0" fontId="3" numFmtId="0" xfId="0" applyAlignment="1" applyBorder="1" applyFont="1">
      <alignment horizontal="center" readingOrder="0"/>
    </xf>
    <xf borderId="4" fillId="0" fontId="53" numFmtId="0" xfId="0" applyAlignment="1" applyBorder="1" applyFont="1">
      <alignment horizontal="right" readingOrder="0"/>
    </xf>
    <xf borderId="5" fillId="0" fontId="3" numFmtId="0" xfId="0" applyAlignment="1" applyBorder="1" applyFont="1">
      <alignment readingOrder="0"/>
    </xf>
    <xf borderId="6" fillId="0" fontId="3" numFmtId="175" xfId="0" applyBorder="1" applyFont="1" applyNumberFormat="1"/>
    <xf borderId="7" fillId="0" fontId="54" numFmtId="175" xfId="0" applyAlignment="1" applyBorder="1" applyFont="1" applyNumberFormat="1">
      <alignment horizontal="right"/>
    </xf>
    <xf borderId="0" fillId="0" fontId="55" numFmtId="10" xfId="0" applyFont="1" applyNumberFormat="1"/>
    <xf borderId="0" fillId="8" fontId="1" numFmtId="0" xfId="0" applyAlignment="1" applyFill="1" applyFont="1">
      <alignment horizontal="right" readingOrder="0"/>
    </xf>
    <xf borderId="0" fillId="8" fontId="55" numFmtId="175" xfId="0" applyFont="1" applyNumberFormat="1"/>
    <xf borderId="0" fillId="8" fontId="56" numFmtId="169" xfId="0" applyAlignment="1" applyFont="1" applyNumberFormat="1">
      <alignment horizontal="right"/>
    </xf>
    <xf borderId="0" fillId="0" fontId="57" numFmtId="0" xfId="0" applyFont="1"/>
    <xf borderId="0" fillId="0" fontId="57" numFmtId="9" xfId="0" applyFont="1" applyNumberFormat="1"/>
    <xf borderId="0" fillId="8" fontId="56" numFmtId="175" xfId="0" applyAlignment="1" applyFont="1" applyNumberFormat="1">
      <alignment horizontal="right"/>
    </xf>
    <xf borderId="6" fillId="0" fontId="1" numFmtId="0" xfId="0" applyBorder="1" applyFont="1"/>
    <xf borderId="0" fillId="0" fontId="1" numFmtId="9" xfId="0" applyFont="1" applyNumberFormat="1"/>
    <xf borderId="0" fillId="0" fontId="1" numFmtId="175" xfId="0" applyFont="1" applyNumberFormat="1"/>
    <xf borderId="0" fillId="9" fontId="58" numFmtId="0" xfId="0" applyAlignment="1" applyFill="1" applyFont="1">
      <alignment horizontal="center" readingOrder="0"/>
    </xf>
    <xf borderId="3" fillId="0" fontId="3" numFmtId="175" xfId="0" applyBorder="1" applyFont="1" applyNumberFormat="1"/>
    <xf borderId="3" fillId="0" fontId="3" numFmtId="9" xfId="0" applyBorder="1" applyFont="1" applyNumberFormat="1"/>
    <xf borderId="0" fillId="9" fontId="58" numFmtId="0" xfId="0" applyAlignment="1" applyFont="1">
      <alignment horizontal="center" readingOrder="0" shrinkToFit="0" wrapText="1"/>
    </xf>
    <xf borderId="0" fillId="0" fontId="1" numFmtId="169" xfId="0" applyFont="1" applyNumberFormat="1"/>
    <xf borderId="0" fillId="0" fontId="1" numFmtId="167" xfId="0" applyAlignment="1" applyFont="1" applyNumberFormat="1">
      <alignment readingOrder="0"/>
    </xf>
    <xf borderId="0" fillId="0" fontId="59" numFmtId="0" xfId="0" applyFont="1"/>
    <xf borderId="0" fillId="0" fontId="1" numFmtId="0" xfId="0" applyAlignment="1" applyFont="1">
      <alignment readingOrder="0" shrinkToFit="0" wrapText="0"/>
    </xf>
    <xf borderId="0" fillId="0" fontId="1" numFmtId="0" xfId="0" applyAlignment="1" applyFont="1">
      <alignment shrinkToFit="0" wrapText="0"/>
    </xf>
    <xf borderId="8" fillId="10" fontId="60" numFmtId="0" xfId="0" applyAlignment="1" applyBorder="1" applyFill="1" applyFont="1">
      <alignment horizontal="center" readingOrder="0" shrinkToFit="0" wrapText="1"/>
    </xf>
    <xf borderId="9" fillId="0" fontId="61" numFmtId="0" xfId="0" applyBorder="1" applyFont="1"/>
    <xf borderId="10" fillId="10" fontId="60"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3" numFmtId="0" xfId="0" applyAlignment="1" applyFont="1">
      <alignment readingOrder="0" shrinkToFit="0" wrapText="0"/>
    </xf>
    <xf borderId="0" fillId="8" fontId="3" numFmtId="0" xfId="0" applyFont="1"/>
    <xf borderId="0" fillId="5" fontId="3" numFmtId="0" xfId="0" applyAlignment="1" applyFont="1">
      <alignment readingOrder="0"/>
    </xf>
    <xf borderId="0" fillId="5" fontId="3" numFmtId="169" xfId="0" applyAlignment="1" applyFont="1" applyNumberFormat="1">
      <alignment readingOrder="0"/>
    </xf>
    <xf borderId="0" fillId="5" fontId="3" numFmtId="1" xfId="0" applyAlignment="1" applyFont="1" applyNumberFormat="1">
      <alignment readingOrder="0"/>
    </xf>
    <xf borderId="0" fillId="0" fontId="1" numFmtId="176" xfId="0" applyAlignment="1" applyFont="1" applyNumberFormat="1">
      <alignment readingOrder="0"/>
    </xf>
    <xf borderId="0" fillId="8" fontId="1" numFmtId="0" xfId="0" applyAlignment="1" applyFont="1">
      <alignment readingOrder="0"/>
    </xf>
    <xf borderId="0" fillId="5" fontId="1" numFmtId="169" xfId="0" applyFont="1" applyNumberFormat="1"/>
    <xf borderId="0" fillId="5" fontId="1" numFmtId="1" xfId="0" applyFont="1" applyNumberFormat="1"/>
    <xf borderId="0" fillId="0" fontId="1" numFmtId="177" xfId="0" applyAlignment="1" applyFont="1" applyNumberFormat="1">
      <alignment readingOrder="0"/>
    </xf>
    <xf borderId="0" fillId="8" fontId="1" numFmtId="0" xfId="0" applyFont="1"/>
    <xf borderId="0" fillId="0" fontId="1" numFmtId="174" xfId="0" applyAlignment="1" applyFont="1" applyNumberFormat="1">
      <alignment horizontal="left" readingOrder="0"/>
    </xf>
    <xf borderId="11" fillId="0" fontId="62" numFmtId="0" xfId="0" applyAlignment="1" applyBorder="1" applyFont="1">
      <alignment readingOrder="0" vertical="bottom"/>
    </xf>
    <xf borderId="0" fillId="0" fontId="1" numFmtId="1" xfId="0" applyFont="1" applyNumberFormat="1"/>
    <xf borderId="0" fillId="0" fontId="55"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12" fillId="0" fontId="60" numFmtId="0" xfId="0" applyAlignment="1" applyBorder="1" applyFont="1">
      <alignment horizontal="center" readingOrder="0"/>
    </xf>
    <xf borderId="13" fillId="0" fontId="60" numFmtId="0" xfId="0" applyAlignment="1" applyBorder="1" applyFont="1">
      <alignment horizontal="center" readingOrder="0"/>
    </xf>
    <xf borderId="13" fillId="0" fontId="60" numFmtId="174" xfId="0" applyAlignment="1" applyBorder="1" applyFont="1" applyNumberFormat="1">
      <alignment horizontal="center" readingOrder="0"/>
    </xf>
    <xf borderId="13" fillId="0" fontId="60" numFmtId="0" xfId="0" applyAlignment="1" applyBorder="1" applyFont="1">
      <alignment horizontal="center"/>
    </xf>
    <xf borderId="13" fillId="0" fontId="60" numFmtId="169" xfId="0" applyAlignment="1" applyBorder="1" applyFont="1" applyNumberFormat="1">
      <alignment horizontal="center" readingOrder="0"/>
    </xf>
    <xf borderId="13" fillId="0" fontId="60" numFmtId="1" xfId="0" applyAlignment="1" applyBorder="1" applyFont="1" applyNumberFormat="1">
      <alignment horizontal="center" readingOrder="0"/>
    </xf>
    <xf borderId="14" fillId="0" fontId="60"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33" numFmtId="0" xfId="0" applyAlignment="1" applyFont="1">
      <alignment horizontal="center" readingOrder="0" vertical="bottom"/>
    </xf>
    <xf borderId="0" fillId="0" fontId="32" numFmtId="10" xfId="0" applyAlignment="1" applyFont="1" applyNumberFormat="1">
      <alignment horizontal="center"/>
    </xf>
    <xf borderId="0" fillId="13" fontId="63" numFmtId="0" xfId="0" applyAlignment="1" applyFill="1" applyFont="1">
      <alignment horizontal="center" readingOrder="0" shrinkToFit="0" vertical="center" wrapText="1"/>
    </xf>
    <xf borderId="0" fillId="13" fontId="64" numFmtId="0" xfId="0" applyAlignment="1" applyFont="1">
      <alignment horizontal="center" readingOrder="0"/>
    </xf>
    <xf borderId="0" fillId="13" fontId="33" numFmtId="164" xfId="0" applyAlignment="1" applyFont="1" applyNumberFormat="1">
      <alignment horizontal="center" readingOrder="0" vertical="bottom"/>
    </xf>
    <xf borderId="0" fillId="8" fontId="33" numFmtId="0" xfId="0" applyAlignment="1" applyFont="1">
      <alignment vertical="bottom"/>
    </xf>
    <xf borderId="0" fillId="8" fontId="65" numFmtId="0" xfId="0" applyAlignment="1" applyFont="1">
      <alignment horizontal="center" vertical="bottom"/>
    </xf>
    <xf borderId="0" fillId="8" fontId="65" numFmtId="0" xfId="0" applyAlignment="1" applyFont="1">
      <alignment horizontal="center" readingOrder="0" vertical="bottom"/>
    </xf>
    <xf borderId="6" fillId="8" fontId="33" numFmtId="0" xfId="0" applyAlignment="1" applyBorder="1" applyFont="1">
      <alignment vertical="bottom"/>
    </xf>
    <xf borderId="6" fillId="8" fontId="65" numFmtId="0" xfId="0" applyAlignment="1" applyBorder="1" applyFont="1">
      <alignment horizontal="center" vertical="bottom"/>
    </xf>
    <xf borderId="6" fillId="8" fontId="65" numFmtId="3" xfId="0" applyAlignment="1" applyBorder="1" applyFont="1" applyNumberFormat="1">
      <alignment horizontal="center" vertical="bottom"/>
    </xf>
    <xf borderId="6" fillId="8" fontId="65" numFmtId="0" xfId="0" applyAlignment="1" applyBorder="1" applyFont="1">
      <alignment horizontal="center" readingOrder="0" vertical="bottom"/>
    </xf>
    <xf borderId="0" fillId="0" fontId="33" numFmtId="0" xfId="0" applyAlignment="1" applyFont="1">
      <alignment horizontal="right" vertical="bottom"/>
    </xf>
    <xf borderId="0" fillId="0" fontId="33" numFmtId="178" xfId="0" applyAlignment="1" applyFont="1" applyNumberFormat="1">
      <alignment horizontal="center" vertical="bottom"/>
    </xf>
    <xf borderId="0" fillId="0" fontId="33" numFmtId="179" xfId="0" applyAlignment="1" applyFont="1" applyNumberFormat="1">
      <alignment horizontal="center" readingOrder="0" vertical="bottom"/>
    </xf>
    <xf borderId="0" fillId="0" fontId="1" numFmtId="3" xfId="0" applyAlignment="1" applyFont="1" applyNumberFormat="1">
      <alignment horizontal="center" readingOrder="0"/>
    </xf>
    <xf borderId="0" fillId="14" fontId="33" numFmtId="178" xfId="0" applyAlignment="1" applyFill="1" applyFont="1" applyNumberFormat="1">
      <alignment horizontal="center" readingOrder="0" vertical="bottom"/>
    </xf>
    <xf borderId="0" fillId="8" fontId="3" numFmtId="0" xfId="0" applyAlignment="1" applyFont="1">
      <alignment horizontal="center" readingOrder="0" shrinkToFit="0" wrapText="1"/>
    </xf>
    <xf borderId="6" fillId="8" fontId="3" numFmtId="0" xfId="0" applyAlignment="1" applyBorder="1" applyFont="1">
      <alignment horizontal="center" readingOrder="0" shrinkToFit="0" wrapText="1"/>
    </xf>
    <xf borderId="6" fillId="8" fontId="65" numFmtId="0" xfId="0" applyAlignment="1" applyBorder="1" applyFont="1">
      <alignment horizontal="center" readingOrder="0" shrinkToFit="0" vertical="bottom" wrapText="1"/>
    </xf>
    <xf borderId="6" fillId="8" fontId="65" numFmtId="0" xfId="0" applyAlignment="1" applyBorder="1" applyFont="1">
      <alignment horizontal="center" shrinkToFit="0" vertical="bottom" wrapText="1"/>
    </xf>
    <xf borderId="0" fillId="0" fontId="1" numFmtId="166" xfId="0" applyAlignment="1" applyFont="1" applyNumberFormat="1">
      <alignment readingOrder="0"/>
    </xf>
    <xf borderId="0" fillId="6" fontId="1" numFmtId="0" xfId="0" applyAlignment="1" applyFont="1">
      <alignment horizontal="center" readingOrder="0"/>
    </xf>
    <xf borderId="0" fillId="0" fontId="33" numFmtId="0" xfId="0" applyAlignment="1" applyFont="1">
      <alignment readingOrder="0" vertical="bottom"/>
    </xf>
    <xf borderId="0" fillId="0" fontId="33" numFmtId="2" xfId="0" applyAlignment="1" applyFont="1" applyNumberFormat="1">
      <alignment readingOrder="0" vertical="bottom"/>
    </xf>
    <xf borderId="0" fillId="0" fontId="33" numFmtId="0" xfId="0" applyAlignment="1" applyFont="1">
      <alignment vertical="bottom"/>
    </xf>
    <xf borderId="0" fillId="0" fontId="33" numFmtId="2" xfId="0" applyAlignment="1" applyFont="1" applyNumberFormat="1">
      <alignment vertical="bottom"/>
    </xf>
    <xf borderId="0" fillId="0" fontId="66" numFmtId="0" xfId="0" applyFont="1"/>
    <xf borderId="0" fillId="8" fontId="67" numFmtId="0" xfId="0" applyAlignment="1" applyFont="1">
      <alignment horizontal="center" readingOrder="0" shrinkToFit="0" wrapText="0"/>
    </xf>
    <xf borderId="0" fillId="8" fontId="68" numFmtId="0" xfId="0" applyAlignment="1" applyFont="1">
      <alignment horizontal="center" readingOrder="0" shrinkToFit="0" wrapText="0"/>
    </xf>
    <xf borderId="0" fillId="8" fontId="3" numFmtId="2" xfId="0" applyAlignment="1" applyFont="1" applyNumberFormat="1">
      <alignment horizontal="center" readingOrder="0" shrinkToFit="0" wrapText="1"/>
    </xf>
    <xf borderId="6" fillId="8" fontId="3" numFmtId="2" xfId="0" applyAlignment="1" applyBorder="1" applyFont="1" applyNumberFormat="1">
      <alignment horizontal="center" readingOrder="0" shrinkToFit="0" wrapText="1"/>
    </xf>
    <xf borderId="6" fillId="8" fontId="3" numFmtId="169" xfId="0" applyAlignment="1" applyBorder="1" applyFont="1" applyNumberFormat="1">
      <alignment horizontal="center" readingOrder="0" shrinkToFit="0" wrapText="1"/>
    </xf>
    <xf borderId="6" fillId="8" fontId="3" numFmtId="3" xfId="0" applyAlignment="1" applyBorder="1" applyFont="1" applyNumberFormat="1">
      <alignment horizontal="center" readingOrder="0" shrinkToFit="0" wrapText="1"/>
    </xf>
    <xf borderId="6" fillId="8" fontId="3"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9" xfId="0" applyAlignment="1" applyFont="1" applyNumberFormat="1">
      <alignment horizontal="center"/>
    </xf>
    <xf borderId="0" fillId="0" fontId="1" numFmtId="9" xfId="0" applyAlignment="1" applyFont="1" applyNumberFormat="1">
      <alignment horizontal="center"/>
    </xf>
    <xf borderId="0" fillId="8" fontId="1" numFmtId="180" xfId="0" applyAlignment="1" applyFont="1" applyNumberFormat="1">
      <alignment horizontal="center"/>
    </xf>
    <xf borderId="0" fillId="0" fontId="1" numFmtId="3" xfId="0" applyAlignment="1" applyFont="1" applyNumberFormat="1">
      <alignment horizontal="center" readingOrder="0"/>
    </xf>
    <xf borderId="0" fillId="6" fontId="1" numFmtId="164" xfId="0" applyAlignment="1" applyFont="1" applyNumberFormat="1">
      <alignment horizontal="center" readingOrder="0"/>
    </xf>
    <xf borderId="0" fillId="8" fontId="1" numFmtId="169" xfId="0" applyAlignment="1" applyFont="1" applyNumberFormat="1">
      <alignment horizontal="center" readingOrder="0"/>
    </xf>
    <xf borderId="0" fillId="8" fontId="1" numFmtId="0" xfId="0" applyAlignment="1" applyFont="1">
      <alignment horizontal="center"/>
    </xf>
    <xf borderId="0" fillId="0" fontId="33" numFmtId="0" xfId="0" applyAlignment="1" applyFont="1">
      <alignment horizontal="center" vertical="bottom"/>
    </xf>
    <xf borderId="0" fillId="5" fontId="1" numFmtId="0" xfId="0" applyAlignment="1" applyFont="1">
      <alignment horizontal="center" readingOrder="0" vertical="center"/>
    </xf>
    <xf borderId="0" fillId="6" fontId="69" numFmtId="2" xfId="0" applyAlignment="1" applyFont="1" applyNumberFormat="1">
      <alignment horizontal="center"/>
    </xf>
    <xf borderId="0" fillId="8" fontId="69" numFmtId="2" xfId="0" applyAlignment="1" applyFont="1" applyNumberFormat="1">
      <alignment horizontal="center"/>
    </xf>
    <xf borderId="0" fillId="0" fontId="1" numFmtId="0" xfId="0" applyAlignment="1" applyFont="1">
      <alignment horizontal="center" readingOrder="0" vertical="center"/>
    </xf>
    <xf borderId="0" fillId="0" fontId="1" numFmtId="166" xfId="0" applyAlignment="1" applyFont="1" applyNumberFormat="1">
      <alignment horizontal="center" readingOrder="0"/>
    </xf>
    <xf borderId="0" fillId="0" fontId="1" numFmtId="4" xfId="0" applyAlignment="1" applyFont="1" applyNumberFormat="1">
      <alignment horizontal="center"/>
    </xf>
    <xf borderId="0" fillId="6" fontId="70" numFmtId="0" xfId="0" applyAlignment="1" applyFont="1">
      <alignment readingOrder="0"/>
    </xf>
    <xf borderId="0" fillId="0" fontId="33" numFmtId="0" xfId="0" applyAlignment="1" applyFont="1">
      <alignment horizontal="center" readingOrder="0" vertical="bottom"/>
    </xf>
    <xf borderId="0" fillId="6" fontId="1" numFmtId="2" xfId="0" applyAlignment="1" applyFont="1" applyNumberFormat="1">
      <alignment horizontal="center" readingOrder="0"/>
    </xf>
    <xf borderId="0" fillId="0" fontId="1" numFmtId="169" xfId="0" applyAlignment="1" applyFont="1" applyNumberFormat="1">
      <alignment horizontal="center"/>
    </xf>
    <xf borderId="0" fillId="0" fontId="1" numFmtId="3" xfId="0" applyAlignment="1" applyFont="1" applyNumberFormat="1">
      <alignment readingOrder="0"/>
    </xf>
    <xf borderId="0" fillId="0" fontId="1" numFmtId="181" xfId="0" applyFont="1" applyNumberFormat="1"/>
    <xf borderId="0" fillId="0" fontId="1" numFmtId="4" xfId="0" applyFont="1" applyNumberFormat="1"/>
    <xf borderId="0" fillId="0" fontId="1" numFmtId="3" xfId="0" applyFont="1" applyNumberFormat="1"/>
    <xf borderId="0" fillId="0" fontId="1" numFmtId="169"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2" xfId="0" applyFont="1" applyNumberFormat="1"/>
    <xf borderId="0" fillId="0" fontId="1" numFmtId="169" xfId="0" applyAlignment="1" applyFont="1" applyNumberFormat="1">
      <alignment horizontal="center" shrinkToFit="0" wrapText="1"/>
    </xf>
    <xf borderId="0" fillId="0" fontId="1" numFmtId="182"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8" fontId="26" numFmtId="0" xfId="0" applyAlignment="1" applyFont="1">
      <alignment horizontal="center" readingOrder="0" shrinkToFit="0" wrapText="1"/>
    </xf>
    <xf borderId="6" fillId="0" fontId="61" numFmtId="0" xfId="0" applyBorder="1" applyFont="1"/>
    <xf borderId="6" fillId="8" fontId="1" numFmtId="0" xfId="0" applyAlignment="1" applyBorder="1" applyFont="1">
      <alignment readingOrder="0"/>
    </xf>
    <xf borderId="6" fillId="8" fontId="1" numFmtId="0" xfId="0" applyBorder="1" applyFont="1"/>
    <xf borderId="0" fillId="0" fontId="20" numFmtId="0" xfId="0" applyAlignment="1" applyFont="1">
      <alignment horizontal="center" readingOrder="0" shrinkToFit="0" wrapText="1"/>
    </xf>
    <xf borderId="0" fillId="8" fontId="3" numFmtId="0" xfId="0" applyAlignment="1" applyFont="1">
      <alignment readingOrder="0"/>
    </xf>
    <xf borderId="2" fillId="0" fontId="3"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66" xfId="0" applyAlignment="1" applyFont="1" applyNumberFormat="1">
      <alignment horizontal="center" readingOrder="0"/>
    </xf>
    <xf borderId="18" fillId="3" fontId="1" numFmtId="0" xfId="0" applyAlignment="1" applyBorder="1" applyFont="1">
      <alignment horizontal="center" readingOrder="0"/>
    </xf>
    <xf borderId="0" fillId="14" fontId="33"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9" xfId="0" applyFont="1" applyNumberFormat="1"/>
    <xf borderId="6" fillId="2" fontId="3" numFmtId="0" xfId="0" applyAlignment="1" applyBorder="1" applyFont="1">
      <alignment horizontal="center" readingOrder="0" shrinkToFit="0" vertical="center" wrapText="1"/>
    </xf>
    <xf borderId="6" fillId="2" fontId="3" numFmtId="0" xfId="0" applyAlignment="1" applyBorder="1" applyFont="1">
      <alignment horizontal="center" shrinkToFit="0" wrapText="1"/>
    </xf>
    <xf borderId="6" fillId="2" fontId="3" numFmtId="183" xfId="0" applyAlignment="1" applyBorder="1" applyFont="1" applyNumberFormat="1">
      <alignment horizontal="center" shrinkToFit="0" wrapText="1"/>
    </xf>
    <xf borderId="6" fillId="2" fontId="3" numFmtId="0" xfId="0" applyAlignment="1" applyBorder="1" applyFont="1">
      <alignment horizontal="center" readingOrder="0" shrinkToFit="0" wrapText="1"/>
    </xf>
    <xf borderId="6" fillId="0" fontId="1" numFmtId="14" xfId="0" applyBorder="1" applyFont="1" applyNumberFormat="1"/>
    <xf borderId="0" fillId="0" fontId="1" numFmtId="183" xfId="0" applyAlignment="1" applyFont="1" applyNumberFormat="1">
      <alignment horizontal="center"/>
    </xf>
    <xf borderId="0" fillId="0" fontId="1" numFmtId="169" xfId="0" applyAlignment="1" applyFont="1" applyNumberFormat="1">
      <alignment horizontal="center" readingOrder="0"/>
    </xf>
    <xf borderId="0" fillId="2" fontId="1" numFmtId="0" xfId="0" applyAlignment="1" applyFont="1">
      <alignment readingOrder="0"/>
    </xf>
    <xf borderId="0" fillId="0" fontId="1" numFmtId="183" xfId="0" applyAlignment="1" applyFont="1" applyNumberFormat="1">
      <alignment horizontal="center" readingOrder="0"/>
    </xf>
    <xf borderId="0" fillId="0" fontId="32" numFmtId="169" xfId="0" applyAlignment="1" applyFont="1" applyNumberFormat="1">
      <alignment horizontal="center" readingOrder="0"/>
    </xf>
    <xf borderId="0" fillId="0" fontId="3" numFmtId="0" xfId="0" applyAlignment="1" applyFont="1">
      <alignment horizontal="center" readingOrder="0" shrinkToFit="0" vertical="center" wrapText="1"/>
    </xf>
    <xf borderId="0" fillId="0" fontId="3" numFmtId="10" xfId="0" applyAlignment="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4" numFmtId="164" xfId="0" applyAlignment="1" applyFont="1" applyNumberFormat="1">
      <alignment horizontal="center" readingOrder="0" vertical="center"/>
    </xf>
    <xf borderId="0" fillId="0" fontId="32" numFmtId="0" xfId="0" applyAlignment="1" applyFont="1">
      <alignment horizontal="center" readingOrder="0"/>
    </xf>
    <xf borderId="0" fillId="0" fontId="71" numFmtId="0" xfId="0" applyAlignment="1" applyFont="1">
      <alignment horizontal="center" readingOrder="0" vertical="center"/>
    </xf>
    <xf borderId="0" fillId="0" fontId="32" numFmtId="0" xfId="0" applyAlignment="1" applyFont="1">
      <alignment horizontal="left" readingOrder="0"/>
    </xf>
    <xf borderId="0" fillId="0" fontId="33" numFmtId="0" xfId="0" applyAlignment="1" applyFont="1">
      <alignment horizontal="right" readingOrder="0" vertical="bottom"/>
    </xf>
    <xf borderId="0" fillId="0" fontId="1" numFmtId="1" xfId="0" applyAlignment="1" applyFont="1" applyNumberFormat="1">
      <alignment horizontal="center"/>
    </xf>
    <xf borderId="0" fillId="0" fontId="1" numFmtId="165" xfId="0" applyFont="1" applyNumberFormat="1"/>
    <xf borderId="0" fillId="4" fontId="1" numFmtId="0" xfId="0" applyAlignment="1" applyFont="1">
      <alignment horizontal="center"/>
    </xf>
    <xf borderId="0" fillId="4" fontId="1" numFmtId="164" xfId="0" applyAlignment="1" applyFont="1" applyNumberFormat="1">
      <alignment horizontal="center"/>
    </xf>
    <xf borderId="0" fillId="16" fontId="58" numFmtId="0" xfId="0" applyAlignment="1" applyFill="1" applyFont="1">
      <alignment readingOrder="0"/>
    </xf>
    <xf borderId="0" fillId="16" fontId="58" numFmtId="184" xfId="0" applyAlignment="1" applyFont="1" applyNumberFormat="1">
      <alignment horizontal="center" readingOrder="0"/>
    </xf>
    <xf borderId="0" fillId="16" fontId="72" numFmtId="184" xfId="0" applyAlignment="1" applyFont="1" applyNumberFormat="1">
      <alignment horizontal="center" readingOrder="0"/>
    </xf>
    <xf borderId="0" fillId="16" fontId="58" numFmtId="0" xfId="0" applyAlignment="1" applyFont="1">
      <alignment horizontal="center" readingOrder="0"/>
    </xf>
    <xf borderId="0" fillId="16" fontId="58"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3" numFmtId="0" xfId="0" applyAlignment="1" applyFont="1">
      <alignment readingOrder="0"/>
    </xf>
    <xf borderId="0" fillId="2" fontId="3"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2" fontId="3" numFmtId="3" xfId="0" applyFont="1" applyNumberFormat="1"/>
    <xf borderId="0" fillId="2" fontId="3" numFmtId="0" xfId="0" applyFont="1"/>
    <xf borderId="0" fillId="2" fontId="3" numFmtId="3" xfId="0" applyAlignment="1" applyFont="1" applyNumberFormat="1">
      <alignment horizontal="center"/>
    </xf>
    <xf borderId="0" fillId="2" fontId="3" numFmtId="3" xfId="0" applyAlignment="1" applyFont="1" applyNumberFormat="1">
      <alignment readingOrder="0"/>
    </xf>
    <xf borderId="19" fillId="17" fontId="73" numFmtId="49" xfId="0" applyAlignment="1" applyBorder="1" applyFill="1" applyFont="1" applyNumberFormat="1">
      <alignment horizontal="right" readingOrder="0" vertical="center"/>
    </xf>
    <xf borderId="19" fillId="17" fontId="73" numFmtId="0" xfId="0" applyAlignment="1" applyBorder="1" applyFont="1">
      <alignment readingOrder="0" vertical="center"/>
    </xf>
    <xf borderId="19" fillId="17" fontId="73" numFmtId="4" xfId="0" applyAlignment="1" applyBorder="1" applyFont="1" applyNumberFormat="1">
      <alignment readingOrder="0" vertical="center"/>
    </xf>
    <xf borderId="19" fillId="17" fontId="73" numFmtId="0" xfId="0" applyAlignment="1" applyBorder="1" applyFont="1">
      <alignment vertical="center"/>
    </xf>
    <xf borderId="19" fillId="17" fontId="73" numFmtId="0" xfId="0" applyAlignment="1" applyBorder="1" applyFont="1">
      <alignment readingOrder="0" vertical="center"/>
    </xf>
    <xf borderId="0" fillId="17" fontId="73" numFmtId="0" xfId="0" applyAlignment="1" applyFont="1">
      <alignment vertical="center"/>
    </xf>
    <xf borderId="0" fillId="18" fontId="74" numFmtId="49" xfId="0" applyAlignment="1" applyFill="1" applyFont="1" applyNumberFormat="1">
      <alignment horizontal="right" readingOrder="0" vertical="center"/>
    </xf>
    <xf borderId="0" fillId="18" fontId="74" numFmtId="0" xfId="0" applyAlignment="1" applyFont="1">
      <alignment readingOrder="0" vertical="center"/>
    </xf>
    <xf borderId="0" fillId="18" fontId="74"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3" numFmtId="0" xfId="0" applyAlignment="1" applyFont="1">
      <alignment readingOrder="0" vertical="center"/>
    </xf>
    <xf borderId="0" fillId="0" fontId="1" numFmtId="185" xfId="0" applyAlignment="1" applyFont="1" applyNumberFormat="1">
      <alignment readingOrder="0"/>
    </xf>
    <xf borderId="0" fillId="3" fontId="1" numFmtId="49" xfId="0" applyAlignment="1" applyFont="1" applyNumberFormat="1">
      <alignment horizontal="right" readingOrder="0"/>
    </xf>
    <xf borderId="0" fillId="3" fontId="1" numFmtId="185"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3" fontId="75" numFmtId="0" xfId="0" applyAlignment="1" applyFont="1">
      <alignment readingOrder="0"/>
    </xf>
    <xf borderId="0" fillId="3" fontId="1" numFmtId="0" xfId="0" applyFont="1"/>
    <xf borderId="0" fillId="19" fontId="1" numFmtId="49" xfId="0" applyAlignment="1" applyFill="1" applyFont="1" applyNumberFormat="1">
      <alignment horizontal="right" readingOrder="0"/>
    </xf>
    <xf borderId="0" fillId="19" fontId="1" numFmtId="185"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6" numFmtId="0" xfId="0" applyAlignment="1" applyFont="1">
      <alignment readingOrder="0"/>
    </xf>
    <xf borderId="0" fillId="19" fontId="1" numFmtId="0" xfId="0" applyFont="1"/>
    <xf borderId="0" fillId="19" fontId="1" numFmtId="10" xfId="0" applyAlignment="1" applyFont="1" applyNumberFormat="1">
      <alignment readingOrder="0"/>
    </xf>
    <xf borderId="0" fillId="19" fontId="1" numFmtId="4" xfId="0" applyFont="1" applyNumberFormat="1"/>
    <xf borderId="0" fillId="0" fontId="1" numFmtId="49" xfId="0" applyAlignment="1" applyFont="1" applyNumberFormat="1">
      <alignment horizontal="right"/>
    </xf>
    <xf borderId="0" fillId="0" fontId="33" numFmtId="179" xfId="0" applyAlignment="1" applyFont="1" applyNumberFormat="1">
      <alignment horizontal="center" vertical="bottom"/>
    </xf>
    <xf borderId="0" fillId="6" fontId="70" numFmtId="170" xfId="0" applyAlignment="1" applyFont="1" applyNumberFormat="1">
      <alignment horizontal="center"/>
    </xf>
    <xf borderId="0" fillId="0" fontId="1" numFmtId="165" xfId="0" applyAlignment="1" applyFont="1" applyNumberFormat="1">
      <alignment readingOrder="0"/>
    </xf>
    <xf borderId="0" fillId="6" fontId="70" numFmtId="10" xfId="0" applyAlignment="1" applyFont="1" applyNumberFormat="1">
      <alignment horizontal="center"/>
    </xf>
    <xf borderId="0" fillId="0" fontId="69" numFmtId="3" xfId="0" applyAlignment="1" applyFont="1" applyNumberFormat="1">
      <alignment horizontal="center"/>
    </xf>
    <xf borderId="0" fillId="0" fontId="1" numFmtId="170" xfId="0" applyAlignment="1" applyFont="1" applyNumberFormat="1">
      <alignment readingOrder="0"/>
    </xf>
    <xf borderId="0" fillId="0" fontId="77" numFmtId="179" xfId="0" applyAlignment="1" applyFont="1" applyNumberFormat="1">
      <alignment horizontal="center" readingOrder="0" vertical="bottom"/>
    </xf>
    <xf borderId="0" fillId="0" fontId="78" numFmtId="0" xfId="0" applyAlignment="1" applyFont="1">
      <alignment horizontal="right" vertical="bottom"/>
    </xf>
    <xf borderId="0" fillId="0" fontId="78" numFmtId="178" xfId="0" applyAlignment="1" applyFont="1" applyNumberFormat="1">
      <alignment horizontal="center" vertical="bottom"/>
    </xf>
    <xf borderId="0" fillId="20" fontId="33" numFmtId="179" xfId="0" applyAlignment="1" applyFill="1" applyFont="1" applyNumberFormat="1">
      <alignment horizontal="center" readingOrder="0" vertical="bottom"/>
    </xf>
    <xf borderId="0" fillId="16" fontId="1" numFmtId="3" xfId="0" applyFont="1" applyNumberFormat="1"/>
    <xf borderId="0" fillId="0" fontId="3" numFmtId="0" xfId="0" applyAlignment="1" applyFont="1">
      <alignment horizontal="center"/>
    </xf>
    <xf borderId="0" fillId="0" fontId="1" numFmtId="179" xfId="0" applyAlignment="1" applyFont="1" applyNumberFormat="1">
      <alignment horizontal="center" readingOrder="0"/>
    </xf>
    <xf borderId="0" fillId="0" fontId="1" numFmtId="178" xfId="0" applyAlignment="1" applyFont="1" applyNumberFormat="1">
      <alignment horizontal="center"/>
    </xf>
    <xf borderId="0" fillId="0" fontId="1" numFmtId="178" xfId="0" applyFont="1" applyNumberFormat="1"/>
    <xf borderId="0" fillId="0" fontId="1" numFmtId="178" xfId="0" applyAlignment="1" applyFont="1" applyNumberFormat="1">
      <alignment readingOrder="0"/>
    </xf>
    <xf borderId="0" fillId="0" fontId="1" numFmtId="164" xfId="0" applyAlignment="1" applyFont="1" applyNumberFormat="1">
      <alignment readingOrder="0"/>
    </xf>
    <xf borderId="0" fillId="0" fontId="1" numFmtId="10" xfId="0" applyAlignment="1" applyFont="1" applyNumberFormat="1">
      <alignment horizontal="center" readingOrder="0"/>
    </xf>
    <xf borderId="0" fillId="0" fontId="65" numFmtId="0" xfId="0" applyAlignment="1" applyFont="1">
      <alignment horizontal="center" shrinkToFit="0" vertical="center" wrapText="1"/>
    </xf>
    <xf borderId="0" fillId="8" fontId="65" numFmtId="0" xfId="0" applyAlignment="1" applyFont="1">
      <alignment horizontal="center" readingOrder="0" shrinkToFit="0" vertical="center" wrapText="1"/>
    </xf>
    <xf borderId="0" fillId="0" fontId="65" numFmtId="0" xfId="0" applyAlignment="1" applyFont="1">
      <alignment horizontal="center" vertical="center"/>
    </xf>
    <xf borderId="0" fillId="0" fontId="33" numFmtId="0" xfId="0" applyAlignment="1" applyFont="1">
      <alignment horizontal="center" vertical="center"/>
    </xf>
    <xf borderId="0" fillId="0" fontId="33" numFmtId="10" xfId="0" applyAlignment="1" applyFont="1" applyNumberFormat="1">
      <alignment horizontal="center" vertical="center"/>
    </xf>
    <xf borderId="0" fillId="8" fontId="33" numFmtId="2" xfId="0" applyAlignment="1" applyFont="1" applyNumberFormat="1">
      <alignment horizontal="center" vertical="center"/>
    </xf>
    <xf borderId="0" fillId="0" fontId="33" numFmtId="4" xfId="0" applyAlignment="1" applyFont="1" applyNumberFormat="1">
      <alignment horizontal="center" vertical="center"/>
    </xf>
    <xf borderId="0" fillId="0" fontId="33"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79" numFmtId="0" xfId="0" applyAlignment="1" applyFont="1">
      <alignment horizontal="center" shrinkToFit="0" vertical="center" wrapText="1"/>
    </xf>
    <xf borderId="0" fillId="0" fontId="79" numFmtId="0" xfId="0" applyAlignment="1" applyFont="1">
      <alignment horizontal="center" readingOrder="0" shrinkToFit="0" vertical="center" wrapText="1"/>
    </xf>
    <xf borderId="0" fillId="0" fontId="80"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21" fontId="3" numFmtId="0" xfId="0" applyAlignment="1" applyFill="1" applyFont="1">
      <alignment horizontal="center" readingOrder="0" shrinkToFit="0" wrapText="1"/>
    </xf>
    <xf borderId="0" fillId="0" fontId="3" numFmtId="170" xfId="0" applyAlignment="1" applyFont="1" applyNumberFormat="1">
      <alignment horizontal="center" readingOrder="0" shrinkToFit="0" wrapText="1"/>
    </xf>
    <xf borderId="0" fillId="0" fontId="3" numFmtId="0" xfId="0" applyAlignment="1" applyFont="1">
      <alignment horizontal="center" shrinkToFit="0" wrapText="1"/>
    </xf>
    <xf borderId="0" fillId="0" fontId="1" numFmtId="186" xfId="0" applyAlignment="1" applyFont="1" applyNumberFormat="1">
      <alignment readingOrder="0"/>
    </xf>
    <xf borderId="0" fillId="0" fontId="1" numFmtId="170"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60" numFmtId="188" xfId="0" applyFont="1" applyNumberFormat="1"/>
    <xf borderId="0" fillId="0" fontId="26" numFmtId="0" xfId="0" applyAlignment="1" applyFont="1">
      <alignment horizontal="center" readingOrder="0" shrinkToFit="0" wrapText="1"/>
    </xf>
    <xf borderId="0" fillId="0" fontId="26" numFmtId="0" xfId="0" applyAlignment="1" applyFont="1">
      <alignment horizontal="center" readingOrder="0"/>
    </xf>
    <xf borderId="0" fillId="0" fontId="81" numFmtId="188" xfId="0" applyAlignment="1" applyFont="1" applyNumberFormat="1">
      <alignment readingOrder="0"/>
    </xf>
    <xf borderId="0" fillId="0" fontId="3" numFmtId="188" xfId="0" applyAlignment="1" applyFont="1" applyNumberFormat="1">
      <alignment readingOrder="0"/>
    </xf>
    <xf borderId="20" fillId="0" fontId="1" numFmtId="3" xfId="0" applyAlignment="1" applyBorder="1" applyFont="1" applyNumberFormat="1">
      <alignment horizontal="center"/>
    </xf>
    <xf borderId="0" fillId="0" fontId="81" numFmtId="188" xfId="0" applyFont="1" applyNumberFormat="1"/>
    <xf borderId="21" fillId="0" fontId="1" numFmtId="3" xfId="0" applyAlignment="1" applyBorder="1" applyFont="1" applyNumberFormat="1">
      <alignment horizontal="center"/>
    </xf>
    <xf borderId="22" fillId="0" fontId="1" numFmtId="3" xfId="0" applyAlignment="1" applyBorder="1" applyFont="1" applyNumberFormat="1">
      <alignment horizontal="center"/>
    </xf>
    <xf borderId="0" fillId="0" fontId="3" numFmtId="188" xfId="0" applyFont="1" applyNumberFormat="1"/>
    <xf borderId="0" fillId="11" fontId="20" numFmtId="0" xfId="0" applyAlignment="1" applyFont="1">
      <alignment horizontal="right" readingOrder="0" shrinkToFit="0" vertical="center" wrapText="0"/>
    </xf>
    <xf borderId="0" fillId="11" fontId="20" numFmtId="0" xfId="0" applyAlignment="1" applyFont="1">
      <alignment horizontal="center" readingOrder="0" vertical="center"/>
    </xf>
    <xf borderId="0" fillId="11" fontId="20" numFmtId="0" xfId="0" applyAlignment="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67" xfId="0" applyFont="1" applyNumberFormat="1"/>
    <xf borderId="0" fillId="0" fontId="3" numFmtId="49" xfId="0" applyAlignment="1" applyFont="1" applyNumberFormat="1">
      <alignment readingOrder="0"/>
    </xf>
    <xf borderId="0" fillId="0" fontId="33" numFmtId="4" xfId="0" applyAlignment="1" applyFont="1" applyNumberFormat="1">
      <alignment vertical="bottom"/>
    </xf>
    <xf borderId="0" fillId="0" fontId="3" numFmtId="10" xfId="0" applyAlignment="1" applyFont="1" applyNumberFormat="1">
      <alignment readingOrder="0"/>
    </xf>
    <xf borderId="0" fillId="0" fontId="65" numFmtId="0" xfId="0" applyAlignment="1" applyFont="1">
      <alignment readingOrder="0" vertical="bottom"/>
    </xf>
    <xf borderId="0" fillId="0" fontId="33" numFmtId="171" xfId="0" applyAlignment="1" applyFont="1" applyNumberFormat="1">
      <alignment horizontal="right" readingOrder="0" vertical="bottom"/>
    </xf>
    <xf borderId="0" fillId="0" fontId="1" numFmtId="171" xfId="0" applyAlignment="1" applyFont="1" applyNumberFormat="1">
      <alignment readingOrder="0"/>
    </xf>
    <xf borderId="0" fillId="0" fontId="6" numFmtId="164" xfId="0" applyAlignment="1" applyFont="1" applyNumberFormat="1">
      <alignment horizontal="center" vertical="bottom"/>
    </xf>
    <xf borderId="0" fillId="0" fontId="6" numFmtId="0" xfId="0" applyAlignment="1" applyFont="1">
      <alignment horizontal="center" vertical="bottom"/>
    </xf>
    <xf borderId="0" fillId="0" fontId="33" numFmtId="190" xfId="0" applyAlignment="1" applyFont="1" applyNumberFormat="1">
      <alignment horizontal="right" readingOrder="0" vertical="bottom"/>
    </xf>
    <xf borderId="0" fillId="0" fontId="33" numFmtId="190" xfId="0" applyAlignment="1" applyFont="1" applyNumberFormat="1">
      <alignment horizontal="right" vertical="bottom"/>
    </xf>
    <xf borderId="0" fillId="0" fontId="33" numFmtId="166" xfId="0" applyAlignment="1" applyFont="1" applyNumberFormat="1">
      <alignment horizontal="right" readingOrder="0" vertical="bottom"/>
    </xf>
    <xf borderId="0" fillId="0" fontId="33" numFmtId="166" xfId="0" applyAlignment="1" applyFont="1" applyNumberFormat="1">
      <alignment horizontal="right" vertical="bottom"/>
    </xf>
    <xf borderId="0" fillId="0" fontId="12" numFmtId="164" xfId="0" applyAlignment="1" applyFont="1" applyNumberFormat="1">
      <alignment horizontal="center" vertical="bottom"/>
    </xf>
    <xf borderId="0" fillId="0" fontId="65" numFmtId="49" xfId="0" applyAlignment="1" applyFont="1" applyNumberFormat="1">
      <alignment readingOrder="0" vertical="bottom"/>
    </xf>
    <xf borderId="0" fillId="0" fontId="65" numFmtId="174" xfId="0" applyAlignment="1" applyFont="1" applyNumberFormat="1">
      <alignment readingOrder="0" vertical="bottom"/>
    </xf>
    <xf borderId="0" fillId="22" fontId="65" numFmtId="169" xfId="0" applyAlignment="1" applyFill="1" applyFont="1" applyNumberFormat="1">
      <alignment readingOrder="0" vertical="bottom"/>
    </xf>
    <xf borderId="0" fillId="0" fontId="65" numFmtId="172" xfId="0" applyAlignment="1" applyFont="1" applyNumberFormat="1">
      <alignment readingOrder="0" vertical="bottom"/>
    </xf>
    <xf borderId="0" fillId="22" fontId="65" numFmtId="2" xfId="0" applyAlignment="1" applyFont="1" applyNumberFormat="1">
      <alignment readingOrder="0" vertical="bottom"/>
    </xf>
    <xf borderId="0" fillId="22" fontId="65" numFmtId="0" xfId="0" applyAlignment="1" applyFont="1">
      <alignment vertical="bottom"/>
    </xf>
    <xf borderId="0" fillId="0" fontId="65" numFmtId="2" xfId="0" applyAlignment="1" applyFont="1" applyNumberFormat="1">
      <alignment readingOrder="0" vertical="bottom"/>
    </xf>
    <xf borderId="0" fillId="0" fontId="65" numFmtId="2" xfId="0" applyAlignment="1" applyFont="1" applyNumberFormat="1">
      <alignment vertical="bottom"/>
    </xf>
    <xf borderId="0" fillId="22" fontId="65" numFmtId="2" xfId="0" applyAlignment="1" applyFont="1" applyNumberFormat="1">
      <alignment vertical="bottom"/>
    </xf>
    <xf borderId="0" fillId="0" fontId="65" numFmtId="0" xfId="0" applyAlignment="1" applyFont="1">
      <alignment vertical="bottom"/>
    </xf>
    <xf borderId="0" fillId="22" fontId="65" numFmtId="0" xfId="0" applyAlignment="1" applyFont="1">
      <alignment readingOrder="0" vertical="bottom"/>
    </xf>
    <xf borderId="0" fillId="22" fontId="65" numFmtId="4" xfId="0" applyAlignment="1" applyFont="1" applyNumberFormat="1">
      <alignment vertical="bottom"/>
    </xf>
    <xf borderId="0" fillId="21" fontId="65" numFmtId="10" xfId="0" applyAlignment="1" applyFont="1" applyNumberFormat="1">
      <alignment vertical="bottom"/>
    </xf>
    <xf borderId="0" fillId="2" fontId="65" numFmtId="0" xfId="0" applyAlignment="1" applyFont="1">
      <alignment vertical="bottom"/>
    </xf>
    <xf borderId="0" fillId="0" fontId="82" numFmtId="0" xfId="0" applyAlignment="1" applyFont="1">
      <alignment readingOrder="0" vertical="bottom"/>
    </xf>
    <xf borderId="0" fillId="0" fontId="83" numFmtId="0" xfId="0" applyAlignment="1" applyFont="1">
      <alignment vertical="bottom"/>
    </xf>
    <xf borderId="0" fillId="21" fontId="65" numFmtId="0" xfId="0" applyAlignment="1" applyFont="1">
      <alignment horizontal="center" shrinkToFit="0" vertical="bottom" wrapText="1"/>
    </xf>
    <xf borderId="0" fillId="21" fontId="65" numFmtId="1" xfId="0" applyAlignment="1" applyFont="1" applyNumberFormat="1">
      <alignment horizontal="center" readingOrder="0" shrinkToFit="0" vertical="bottom" wrapText="1"/>
    </xf>
    <xf borderId="0" fillId="21" fontId="65" numFmtId="1" xfId="0" applyAlignment="1" applyFont="1" applyNumberFormat="1">
      <alignment horizontal="center" shrinkToFit="0" vertical="bottom" wrapText="1"/>
    </xf>
    <xf borderId="0" fillId="21" fontId="65" numFmtId="0" xfId="0" applyAlignment="1" applyFont="1">
      <alignment horizontal="center" readingOrder="0" shrinkToFit="0" vertical="bottom" wrapText="1"/>
    </xf>
    <xf borderId="0" fillId="21" fontId="3" numFmtId="0" xfId="0" applyAlignment="1" applyFont="1">
      <alignment readingOrder="0"/>
    </xf>
    <xf borderId="0" fillId="0" fontId="65" numFmtId="0" xfId="0" applyAlignment="1" applyFont="1">
      <alignment readingOrder="0" shrinkToFit="0" vertical="bottom" wrapText="1"/>
    </xf>
    <xf borderId="0" fillId="0" fontId="84" numFmtId="49" xfId="0" applyAlignment="1" applyFont="1" applyNumberFormat="1">
      <alignment vertical="bottom"/>
    </xf>
    <xf borderId="0" fillId="0" fontId="33" numFmtId="49" xfId="0" applyAlignment="1" applyFont="1" applyNumberFormat="1">
      <alignment vertical="bottom"/>
    </xf>
    <xf borderId="0" fillId="0" fontId="33" numFmtId="49" xfId="0" applyAlignment="1" applyFont="1" applyNumberFormat="1">
      <alignment readingOrder="0" vertical="bottom"/>
    </xf>
    <xf borderId="0" fillId="0" fontId="33" numFmtId="190" xfId="0" applyAlignment="1" applyFont="1" applyNumberFormat="1">
      <alignment readingOrder="0" vertical="bottom"/>
    </xf>
    <xf borderId="0" fillId="0" fontId="1" numFmtId="174" xfId="0" applyAlignment="1" applyFont="1" applyNumberFormat="1">
      <alignment readingOrder="0"/>
    </xf>
    <xf borderId="0" fillId="0" fontId="1" numFmtId="49" xfId="0" applyAlignment="1" applyFont="1" applyNumberFormat="1">
      <alignment readingOrder="0"/>
    </xf>
    <xf borderId="0" fillId="22" fontId="33" numFmtId="169" xfId="0" applyAlignment="1" applyFont="1" applyNumberFormat="1">
      <alignment vertical="bottom"/>
    </xf>
    <xf borderId="0" fillId="0" fontId="33" numFmtId="172" xfId="0" applyAlignment="1" applyFont="1" applyNumberFormat="1">
      <alignment readingOrder="0" vertical="bottom"/>
    </xf>
    <xf borderId="0" fillId="22" fontId="33" numFmtId="2" xfId="0" applyAlignment="1" applyFont="1" applyNumberFormat="1">
      <alignment vertical="bottom"/>
    </xf>
    <xf borderId="0" fillId="0" fontId="33" numFmtId="169" xfId="0" applyAlignment="1" applyFont="1" applyNumberFormat="1">
      <alignment vertical="bottom"/>
    </xf>
    <xf borderId="0" fillId="0" fontId="33" numFmtId="174" xfId="0" applyAlignment="1" applyFont="1" applyNumberFormat="1">
      <alignment readingOrder="0" vertical="bottom"/>
    </xf>
    <xf borderId="0" fillId="22" fontId="33" numFmtId="2" xfId="0" applyAlignment="1" applyFont="1" applyNumberFormat="1">
      <alignment readingOrder="0" vertical="bottom"/>
    </xf>
    <xf borderId="0" fillId="0" fontId="85" numFmtId="0" xfId="0" applyAlignment="1" applyFont="1">
      <alignment readingOrder="0" vertical="bottom"/>
    </xf>
    <xf borderId="0" fillId="22" fontId="33" numFmtId="0" xfId="0" applyAlignment="1" applyFont="1">
      <alignment vertical="bottom"/>
    </xf>
    <xf borderId="0" fillId="22" fontId="33" numFmtId="0" xfId="0" applyAlignment="1" applyFont="1">
      <alignment readingOrder="0" vertical="bottom"/>
    </xf>
    <xf borderId="0" fillId="22" fontId="33" numFmtId="4" xfId="0" applyAlignment="1" applyFont="1" applyNumberFormat="1">
      <alignment vertical="bottom"/>
    </xf>
    <xf borderId="0" fillId="21" fontId="33" numFmtId="10" xfId="0" applyAlignment="1" applyFont="1" applyNumberFormat="1">
      <alignment vertical="bottom"/>
    </xf>
    <xf borderId="0" fillId="2" fontId="33" numFmtId="0" xfId="0" applyAlignment="1" applyFont="1">
      <alignment vertical="bottom"/>
    </xf>
    <xf borderId="0" fillId="21" fontId="33" numFmtId="0" xfId="0" applyAlignment="1" applyFont="1">
      <alignment vertical="bottom"/>
    </xf>
    <xf borderId="0" fillId="21" fontId="33" numFmtId="2" xfId="0" applyAlignment="1" applyFont="1" applyNumberFormat="1">
      <alignment vertical="bottom"/>
    </xf>
    <xf borderId="0" fillId="21" fontId="33" numFmtId="2" xfId="0" applyAlignment="1" applyFont="1" applyNumberFormat="1">
      <alignment horizontal="right" vertical="bottom"/>
    </xf>
    <xf borderId="0" fillId="21" fontId="33" numFmtId="181" xfId="0" applyAlignment="1" applyFont="1" applyNumberFormat="1">
      <alignment vertical="bottom"/>
    </xf>
    <xf borderId="0" fillId="0" fontId="33" numFmtId="49" xfId="0" applyAlignment="1" applyFont="1" applyNumberFormat="1">
      <alignment horizontal="right" vertical="bottom"/>
    </xf>
    <xf borderId="0" fillId="0" fontId="33" numFmtId="174" xfId="0" applyAlignment="1" applyFont="1" applyNumberFormat="1">
      <alignment vertical="bottom"/>
    </xf>
    <xf borderId="0" fillId="0" fontId="33" numFmtId="172" xfId="0" applyAlignment="1" applyFont="1" applyNumberFormat="1">
      <alignment vertical="bottom"/>
    </xf>
    <xf borderId="0" fillId="21" fontId="33" numFmtId="2" xfId="0" applyAlignment="1" applyFont="1" applyNumberFormat="1">
      <alignment readingOrder="0" vertical="bottom"/>
    </xf>
    <xf borderId="0" fillId="21" fontId="33" numFmtId="0" xfId="0" applyAlignment="1" applyFont="1">
      <alignment horizontal="right" vertical="bottom"/>
    </xf>
    <xf borderId="0" fillId="21" fontId="33" numFmtId="10" xfId="0" applyAlignment="1" applyFont="1" applyNumberFormat="1">
      <alignment horizontal="right" vertical="bottom"/>
    </xf>
    <xf borderId="0" fillId="21" fontId="33" numFmtId="181" xfId="0" applyAlignment="1" applyFont="1" applyNumberFormat="1">
      <alignment horizontal="right" vertical="bottom"/>
    </xf>
    <xf borderId="0" fillId="0" fontId="33" numFmtId="4" xfId="0" applyAlignment="1" applyFont="1" applyNumberFormat="1">
      <alignment readingOrder="0" vertical="bottom"/>
    </xf>
    <xf borderId="0" fillId="22" fontId="33" numFmtId="1" xfId="0" applyAlignment="1" applyFont="1" applyNumberFormat="1">
      <alignment vertical="bottom"/>
    </xf>
    <xf borderId="0" fillId="0" fontId="33" numFmtId="10" xfId="0" applyAlignment="1" applyFont="1" applyNumberFormat="1">
      <alignment vertical="bottom"/>
    </xf>
    <xf borderId="0" fillId="21" fontId="33" numFmtId="10" xfId="0" applyAlignment="1" applyFont="1" applyNumberFormat="1">
      <alignment readingOrder="0" vertical="bottom"/>
    </xf>
    <xf borderId="0" fillId="0" fontId="33" numFmtId="1" xfId="0" applyAlignment="1" applyFont="1" applyNumberFormat="1">
      <alignment readingOrder="0" vertical="bottom"/>
    </xf>
    <xf borderId="0" fillId="0" fontId="86" numFmtId="0" xfId="0" applyAlignment="1" applyFont="1">
      <alignment readingOrder="0" vertical="bottom"/>
    </xf>
    <xf borderId="0" fillId="22" fontId="33" numFmtId="10" xfId="0" applyAlignment="1" applyFont="1" applyNumberFormat="1">
      <alignment vertical="bottom"/>
    </xf>
    <xf borderId="0" fillId="0" fontId="1" numFmtId="49" xfId="0" applyAlignment="1" applyFont="1" applyNumberFormat="1">
      <alignment readingOrder="0"/>
    </xf>
    <xf borderId="0" fillId="0" fontId="1" numFmtId="181" xfId="0" applyAlignment="1" applyFont="1" applyNumberFormat="1">
      <alignment readingOrder="0"/>
    </xf>
    <xf borderId="0" fillId="0" fontId="1" numFmtId="172" xfId="0" applyAlignment="1" applyFont="1" applyNumberFormat="1">
      <alignment readingOrder="0"/>
    </xf>
    <xf borderId="0" fillId="0" fontId="33" numFmtId="185" xfId="0" applyAlignment="1" applyFont="1" applyNumberFormat="1">
      <alignment readingOrder="0" vertical="bottom"/>
    </xf>
    <xf borderId="0" fillId="0" fontId="33" numFmtId="181" xfId="0" applyAlignment="1" applyFont="1" applyNumberFormat="1">
      <alignment readingOrder="0" vertical="bottom"/>
    </xf>
    <xf borderId="0" fillId="12" fontId="33" numFmtId="49" xfId="0" applyAlignment="1" applyFont="1" applyNumberFormat="1">
      <alignment vertical="bottom"/>
    </xf>
    <xf borderId="0" fillId="12" fontId="33" numFmtId="0" xfId="0" applyAlignment="1" applyFont="1">
      <alignment readingOrder="0" vertical="bottom"/>
    </xf>
    <xf borderId="0" fillId="12" fontId="33" numFmtId="0" xfId="0" applyAlignment="1" applyFont="1">
      <alignment vertical="bottom"/>
    </xf>
    <xf borderId="0" fillId="12" fontId="33" numFmtId="174" xfId="0" applyAlignment="1" applyFont="1" applyNumberFormat="1">
      <alignment readingOrder="0" vertical="bottom"/>
    </xf>
    <xf borderId="0" fillId="12" fontId="33" numFmtId="174" xfId="0" applyAlignment="1" applyFont="1" applyNumberFormat="1">
      <alignment vertical="bottom"/>
    </xf>
    <xf borderId="0" fillId="12" fontId="1" numFmtId="49" xfId="0" applyAlignment="1" applyFont="1" applyNumberFormat="1">
      <alignment readingOrder="0"/>
    </xf>
    <xf borderId="0" fillId="12" fontId="33" numFmtId="169" xfId="0" applyAlignment="1" applyFont="1" applyNumberFormat="1">
      <alignment vertical="bottom"/>
    </xf>
    <xf borderId="0" fillId="12" fontId="33" numFmtId="49" xfId="0" applyAlignment="1" applyFont="1" applyNumberFormat="1">
      <alignment readingOrder="0" vertical="bottom"/>
    </xf>
    <xf borderId="0" fillId="12" fontId="33" numFmtId="172" xfId="0" applyAlignment="1" applyFont="1" applyNumberFormat="1">
      <alignment readingOrder="0" vertical="bottom"/>
    </xf>
    <xf borderId="0" fillId="12" fontId="33" numFmtId="2" xfId="0" applyAlignment="1" applyFont="1" applyNumberFormat="1">
      <alignment vertical="bottom"/>
    </xf>
    <xf borderId="0" fillId="12" fontId="33" numFmtId="2" xfId="0" applyAlignment="1" applyFont="1" applyNumberFormat="1">
      <alignment readingOrder="0" vertical="bottom"/>
    </xf>
    <xf borderId="0" fillId="12" fontId="33" numFmtId="4" xfId="0" applyAlignment="1" applyFont="1" applyNumberFormat="1">
      <alignment vertical="bottom"/>
    </xf>
    <xf borderId="0" fillId="12" fontId="33" numFmtId="10" xfId="0" applyAlignment="1" applyFont="1" applyNumberFormat="1">
      <alignment vertical="bottom"/>
    </xf>
    <xf borderId="0" fillId="12" fontId="33" numFmtId="1" xfId="0" applyAlignment="1" applyFont="1" applyNumberFormat="1">
      <alignment vertical="bottom"/>
    </xf>
    <xf borderId="0" fillId="12" fontId="33" numFmtId="172" xfId="0" applyAlignment="1" applyFont="1" applyNumberFormat="1">
      <alignment vertical="bottom"/>
    </xf>
    <xf borderId="6" fillId="21" fontId="33" numFmtId="10" xfId="0" applyAlignment="1" applyBorder="1" applyFont="1" applyNumberFormat="1">
      <alignment readingOrder="0" vertical="bottom"/>
    </xf>
    <xf borderId="0" fillId="22" fontId="33" numFmtId="169" xfId="0" applyAlignment="1" applyFont="1" applyNumberFormat="1">
      <alignment readingOrder="0" vertical="bottom"/>
    </xf>
    <xf borderId="0" fillId="22" fontId="1" numFmtId="0" xfId="0" applyFont="1"/>
    <xf borderId="0" fillId="0" fontId="33" numFmtId="186" xfId="0" applyAlignment="1" applyFont="1" applyNumberFormat="1">
      <alignment readingOrder="0" vertical="bottom"/>
    </xf>
    <xf borderId="0" fillId="0" fontId="33" numFmtId="169" xfId="0" applyAlignment="1" applyFont="1" applyNumberFormat="1">
      <alignment readingOrder="0" vertical="bottom"/>
    </xf>
    <xf borderId="0" fillId="0" fontId="33" numFmtId="191" xfId="0" applyAlignment="1" applyFont="1" applyNumberFormat="1">
      <alignment readingOrder="0" vertical="bottom"/>
    </xf>
    <xf borderId="0" fillId="0" fontId="65" numFmtId="185" xfId="0" applyAlignment="1" applyFont="1" applyNumberFormat="1">
      <alignment readingOrder="0" vertical="bottom"/>
    </xf>
    <xf borderId="0" fillId="0" fontId="33" numFmtId="174" xfId="0" applyAlignment="1" applyFont="1" applyNumberFormat="1">
      <alignment horizontal="right" readingOrder="0" vertical="bottom"/>
    </xf>
    <xf borderId="0" fillId="0" fontId="33" numFmtId="164" xfId="0" applyAlignment="1" applyFont="1" applyNumberFormat="1">
      <alignment readingOrder="0" vertical="bottom"/>
    </xf>
    <xf borderId="0" fillId="0" fontId="1" numFmtId="0" xfId="0" applyFont="1"/>
    <xf borderId="0" fillId="13" fontId="33" numFmtId="49" xfId="0" applyAlignment="1" applyFont="1" applyNumberFormat="1">
      <alignment vertical="bottom"/>
    </xf>
    <xf borderId="0" fillId="13" fontId="33" numFmtId="174" xfId="0" applyAlignment="1" applyFont="1" applyNumberFormat="1">
      <alignment vertical="bottom"/>
    </xf>
    <xf borderId="0" fillId="13" fontId="33" numFmtId="0" xfId="0" applyAlignment="1" applyFont="1">
      <alignment vertical="bottom"/>
    </xf>
    <xf borderId="0" fillId="13" fontId="33" numFmtId="2" xfId="0" applyAlignment="1" applyFont="1" applyNumberFormat="1">
      <alignment readingOrder="0" vertical="bottom"/>
    </xf>
    <xf borderId="0" fillId="13" fontId="33" numFmtId="2" xfId="0" applyAlignment="1" applyFont="1" applyNumberFormat="1">
      <alignment vertical="bottom"/>
    </xf>
    <xf borderId="0" fillId="0" fontId="33" numFmtId="2" xfId="0" applyAlignment="1" applyFont="1" applyNumberFormat="1">
      <alignment readingOrder="0" shrinkToFit="0" vertical="bottom" wrapText="1"/>
    </xf>
    <xf borderId="0" fillId="13" fontId="33" numFmtId="0" xfId="0" applyAlignment="1" applyFont="1">
      <alignment readingOrder="0" vertical="bottom"/>
    </xf>
    <xf borderId="0" fillId="23" fontId="33" numFmtId="49" xfId="0" applyAlignment="1" applyFill="1" applyFont="1" applyNumberFormat="1">
      <alignment readingOrder="0" vertical="bottom"/>
    </xf>
    <xf borderId="0" fillId="23" fontId="33" numFmtId="49" xfId="0" applyAlignment="1" applyFont="1" applyNumberFormat="1">
      <alignment vertical="bottom"/>
    </xf>
    <xf borderId="0" fillId="23" fontId="33" numFmtId="0" xfId="0" applyAlignment="1" applyFont="1">
      <alignment vertical="bottom"/>
    </xf>
    <xf borderId="0" fillId="23" fontId="33" numFmtId="174" xfId="0" applyAlignment="1" applyFont="1" applyNumberFormat="1">
      <alignment vertical="bottom"/>
    </xf>
    <xf borderId="0" fillId="23" fontId="33" numFmtId="174" xfId="0" applyAlignment="1" applyFont="1" applyNumberFormat="1">
      <alignment readingOrder="0" vertical="bottom"/>
    </xf>
    <xf borderId="0" fillId="23" fontId="33" numFmtId="0" xfId="0" applyAlignment="1" applyFont="1">
      <alignment readingOrder="0" vertical="bottom"/>
    </xf>
    <xf borderId="0" fillId="23" fontId="33" numFmtId="169" xfId="0" applyAlignment="1" applyFont="1" applyNumberFormat="1">
      <alignment vertical="bottom"/>
    </xf>
    <xf borderId="0" fillId="23" fontId="33" numFmtId="169" xfId="0" applyAlignment="1" applyFont="1" applyNumberFormat="1">
      <alignment readingOrder="0" vertical="bottom"/>
    </xf>
    <xf borderId="0" fillId="23" fontId="1" numFmtId="0" xfId="0" applyFont="1"/>
    <xf borderId="0" fillId="23" fontId="33" numFmtId="2" xfId="0" applyAlignment="1" applyFont="1" applyNumberFormat="1">
      <alignment vertical="bottom"/>
    </xf>
    <xf borderId="0" fillId="23" fontId="33" numFmtId="2" xfId="0" applyAlignment="1" applyFont="1" applyNumberFormat="1">
      <alignment readingOrder="0" vertical="bottom"/>
    </xf>
    <xf borderId="0" fillId="23" fontId="33" numFmtId="2" xfId="0" applyAlignment="1" applyFont="1" applyNumberFormat="1">
      <alignment readingOrder="0" shrinkToFit="0" vertical="bottom" wrapText="1"/>
    </xf>
    <xf borderId="0" fillId="23" fontId="33" numFmtId="4" xfId="0" applyAlignment="1" applyFont="1" applyNumberFormat="1">
      <alignment readingOrder="0" vertical="bottom"/>
    </xf>
    <xf borderId="0" fillId="23" fontId="33" numFmtId="10" xfId="0" applyAlignment="1" applyFont="1" applyNumberFormat="1">
      <alignment readingOrder="0" vertical="bottom"/>
    </xf>
    <xf borderId="0" fillId="23" fontId="33" numFmtId="10" xfId="0" applyAlignment="1" applyFont="1" applyNumberFormat="1">
      <alignment vertical="bottom"/>
    </xf>
    <xf borderId="0" fillId="23" fontId="33" numFmtId="1" xfId="0" applyAlignment="1" applyFont="1" applyNumberFormat="1">
      <alignment vertical="bottom"/>
    </xf>
    <xf borderId="0" fillId="23" fontId="33" numFmtId="0" xfId="0" applyAlignment="1" applyFont="1">
      <alignment shrinkToFit="0" vertical="bottom" wrapText="0"/>
    </xf>
    <xf borderId="0" fillId="22" fontId="33" numFmtId="4" xfId="0" applyAlignment="1" applyFont="1" applyNumberFormat="1">
      <alignment readingOrder="0" vertical="bottom"/>
    </xf>
    <xf borderId="19" fillId="17" fontId="73" numFmtId="49" xfId="0" applyAlignment="1" applyBorder="1" applyFont="1" applyNumberFormat="1">
      <alignment readingOrder="0" vertical="center"/>
    </xf>
    <xf borderId="19" fillId="17" fontId="73" numFmtId="0" xfId="0" applyAlignment="1" applyBorder="1" applyFont="1">
      <alignment readingOrder="0" shrinkToFit="0" vertical="center" wrapText="0"/>
    </xf>
    <xf borderId="0" fillId="18" fontId="74" numFmtId="49" xfId="0" applyAlignment="1" applyFont="1" applyNumberFormat="1">
      <alignment readingOrder="0" shrinkToFit="0" vertical="center" wrapText="1"/>
    </xf>
    <xf borderId="0" fillId="18" fontId="7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0" xfId="0" applyAlignment="1" applyFont="1" applyNumberFormat="1">
      <alignment readingOrder="0" shrinkToFit="0" vertical="center" wrapText="1"/>
    </xf>
    <xf borderId="0" fillId="0" fontId="1" numFmtId="0" xfId="0" applyAlignment="1" applyFont="1">
      <alignment shrinkToFit="0" vertical="center" wrapText="1"/>
    </xf>
    <xf borderId="0" fillId="0" fontId="1" numFmtId="192" xfId="0" applyFont="1" applyNumberFormat="1"/>
    <xf borderId="0" fillId="0" fontId="1" numFmtId="193" xfId="0" applyFont="1" applyNumberFormat="1"/>
    <xf borderId="0" fillId="4" fontId="1" numFmtId="49" xfId="0" applyAlignment="1" applyFont="1" applyNumberFormat="1">
      <alignment readingOrder="0"/>
    </xf>
    <xf borderId="0" fillId="4" fontId="1" numFmtId="185" xfId="0" applyAlignment="1" applyFont="1" applyNumberFormat="1">
      <alignment readingOrder="0"/>
    </xf>
    <xf borderId="0" fillId="4" fontId="1" numFmtId="0" xfId="0" applyAlignment="1" applyFont="1">
      <alignment readingOrder="0"/>
    </xf>
    <xf borderId="0" fillId="4" fontId="1" numFmtId="0" xfId="0" applyAlignment="1" applyFont="1">
      <alignment readingOrder="0" shrinkToFit="0" wrapText="0"/>
    </xf>
    <xf borderId="0" fillId="4" fontId="1" numFmtId="0" xfId="0" applyFont="1"/>
    <xf borderId="0" fillId="0" fontId="1" numFmtId="49" xfId="0" applyFont="1" applyNumberFormat="1"/>
    <xf borderId="19" fillId="17" fontId="73" numFmtId="2" xfId="0" applyAlignment="1" applyBorder="1" applyFont="1" applyNumberFormat="1">
      <alignment vertical="center"/>
    </xf>
    <xf borderId="0" fillId="0" fontId="1" numFmtId="0" xfId="0" applyAlignment="1" applyFont="1">
      <alignment vertical="center"/>
    </xf>
    <xf borderId="0" fillId="0" fontId="1" numFmtId="186" xfId="0" applyFont="1" applyNumberFormat="1"/>
    <xf borderId="0" fillId="0" fontId="2" numFmtId="0" xfId="0" applyAlignment="1" applyFont="1">
      <alignment readingOrder="0"/>
    </xf>
    <xf borderId="0" fillId="0" fontId="2" numFmtId="185" xfId="0" applyAlignment="1" applyFont="1" applyNumberFormat="1">
      <alignment readingOrder="0"/>
    </xf>
    <xf borderId="0" fillId="0" fontId="87" numFmtId="0" xfId="0" applyAlignment="1" applyFont="1">
      <alignment readingOrder="0"/>
    </xf>
    <xf borderId="0" fillId="0" fontId="2" numFmtId="186" xfId="0" applyAlignment="1" applyFont="1" applyNumberFormat="1">
      <alignment readingOrder="0"/>
    </xf>
    <xf borderId="0" fillId="0" fontId="1" numFmtId="194" xfId="0" applyAlignment="1" applyFont="1" applyNumberFormat="1">
      <alignment readingOrder="0"/>
    </xf>
    <xf borderId="13" fillId="0" fontId="60" numFmtId="2" xfId="0" applyAlignment="1" applyBorder="1" applyFont="1" applyNumberFormat="1">
      <alignment horizontal="center" readingOrder="0"/>
    </xf>
    <xf borderId="14" fillId="0" fontId="60"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85" xfId="0" applyAlignment="1" applyBorder="1" applyFont="1" applyNumberFormat="1">
      <alignment readingOrder="0"/>
    </xf>
    <xf borderId="16" fillId="0" fontId="88" numFmtId="0" xfId="0" applyAlignment="1" applyBorder="1" applyFont="1">
      <alignment readingOrder="0"/>
    </xf>
    <xf borderId="16" fillId="0" fontId="1" numFmtId="186" xfId="0" applyAlignment="1" applyBorder="1" applyFont="1" applyNumberFormat="1">
      <alignment readingOrder="0"/>
    </xf>
    <xf borderId="16" fillId="0" fontId="1" numFmtId="2" xfId="0" applyAlignment="1" applyBorder="1" applyFont="1" applyNumberFormat="1">
      <alignment readingOrder="0"/>
    </xf>
    <xf borderId="17" fillId="0" fontId="1" numFmtId="186" xfId="0" applyAlignment="1" applyBorder="1" applyFont="1" applyNumberFormat="1">
      <alignment readingOrder="0"/>
    </xf>
    <xf borderId="0" fillId="0" fontId="33" numFmtId="195" xfId="0" applyAlignment="1" applyFont="1" applyNumberFormat="1">
      <alignment readingOrder="0" vertical="bottom"/>
    </xf>
    <xf borderId="0" fillId="0" fontId="89" numFmtId="0" xfId="0" applyAlignment="1" applyFont="1">
      <alignment horizontal="center" vertical="bottom"/>
    </xf>
    <xf borderId="0" fillId="5" fontId="33" numFmtId="0" xfId="0" applyAlignment="1" applyFont="1">
      <alignment vertical="bottom"/>
    </xf>
    <xf borderId="0" fillId="0" fontId="33" numFmtId="49" xfId="0" applyAlignment="1" applyFont="1" applyNumberFormat="1">
      <alignment horizontal="center" vertical="bottom"/>
    </xf>
    <xf borderId="0" fillId="24" fontId="33" numFmtId="0" xfId="0" applyAlignment="1" applyFill="1" applyFont="1">
      <alignment horizontal="right" vertical="bottom"/>
    </xf>
    <xf borderId="0" fillId="24" fontId="33" numFmtId="49" xfId="0" applyAlignment="1" applyFont="1" applyNumberFormat="1">
      <alignment vertical="bottom"/>
    </xf>
    <xf borderId="0" fillId="24" fontId="33" numFmtId="169" xfId="0" applyAlignment="1" applyFont="1" applyNumberFormat="1">
      <alignment horizontal="right" vertical="bottom"/>
    </xf>
    <xf borderId="0" fillId="24" fontId="33" numFmtId="0" xfId="0" applyAlignment="1" applyFont="1">
      <alignment vertical="bottom"/>
    </xf>
    <xf borderId="0" fillId="24" fontId="33" numFmtId="10" xfId="0" applyAlignment="1" applyFont="1" applyNumberFormat="1">
      <alignment horizontal="right" vertical="bottom"/>
    </xf>
    <xf borderId="0" fillId="24" fontId="33" numFmtId="49" xfId="0" applyAlignment="1" applyFont="1" applyNumberFormat="1">
      <alignment horizontal="center" vertical="bottom"/>
    </xf>
    <xf borderId="0" fillId="24" fontId="33" numFmtId="0" xfId="0" applyAlignment="1" applyFont="1">
      <alignment horizontal="right" readingOrder="0" vertical="bottom"/>
    </xf>
    <xf borderId="0" fillId="24" fontId="33" numFmtId="0" xfId="0" applyAlignment="1" applyFont="1">
      <alignment readingOrder="0" vertical="bottom"/>
    </xf>
    <xf borderId="0" fillId="24" fontId="33" numFmtId="10" xfId="0" applyAlignment="1" applyFont="1" applyNumberFormat="1">
      <alignment readingOrder="0" vertical="bottom"/>
    </xf>
    <xf borderId="0" fillId="24" fontId="1" numFmtId="10" xfId="0" applyAlignment="1" applyFont="1" applyNumberFormat="1">
      <alignment readingOrder="0"/>
    </xf>
    <xf borderId="0" fillId="11" fontId="33" numFmtId="0" xfId="0" applyAlignment="1" applyFont="1">
      <alignment horizontal="right" vertical="bottom"/>
    </xf>
    <xf borderId="0" fillId="25" fontId="1" numFmtId="190" xfId="0" applyAlignment="1" applyFill="1" applyFont="1" applyNumberFormat="1">
      <alignment readingOrder="0"/>
    </xf>
    <xf borderId="0" fillId="11" fontId="33" numFmtId="49" xfId="0" applyAlignment="1" applyFont="1" applyNumberFormat="1">
      <alignment vertical="bottom"/>
    </xf>
    <xf borderId="0" fillId="11" fontId="33" numFmtId="169" xfId="0" applyAlignment="1" applyFont="1" applyNumberFormat="1">
      <alignment horizontal="right" vertical="bottom"/>
    </xf>
    <xf borderId="0" fillId="11" fontId="33" numFmtId="0" xfId="0" applyAlignment="1" applyFont="1">
      <alignment vertical="bottom"/>
    </xf>
    <xf borderId="0" fillId="11" fontId="33" numFmtId="10" xfId="0" applyAlignment="1" applyFont="1" applyNumberFormat="1">
      <alignment horizontal="right" vertical="bottom"/>
    </xf>
    <xf borderId="0" fillId="11" fontId="33" numFmtId="0" xfId="0" applyAlignment="1" applyFont="1">
      <alignment readingOrder="0" vertical="bottom"/>
    </xf>
    <xf borderId="0" fillId="11" fontId="33" numFmtId="10" xfId="0" applyAlignment="1" applyFont="1" applyNumberFormat="1">
      <alignment readingOrder="0" vertical="bottom"/>
    </xf>
    <xf borderId="0" fillId="11" fontId="65" numFmtId="0" xfId="0" applyAlignment="1" applyFont="1">
      <alignment vertical="bottom"/>
    </xf>
    <xf borderId="0" fillId="13" fontId="33" numFmtId="0" xfId="0" applyAlignment="1" applyFont="1">
      <alignment horizontal="right" vertical="bottom"/>
    </xf>
    <xf borderId="0" fillId="25" fontId="33" numFmtId="190" xfId="0" applyAlignment="1" applyFont="1" applyNumberFormat="1">
      <alignment horizontal="right" readingOrder="0" vertical="bottom"/>
    </xf>
    <xf borderId="0" fillId="13" fontId="33" numFmtId="10" xfId="0" applyAlignment="1" applyFont="1" applyNumberFormat="1">
      <alignment horizontal="right" vertical="bottom"/>
    </xf>
    <xf borderId="0" fillId="13" fontId="33" numFmtId="169" xfId="0" applyAlignment="1" applyFont="1" applyNumberFormat="1">
      <alignment horizontal="right" vertical="bottom"/>
    </xf>
    <xf borderId="0" fillId="13" fontId="33" numFmtId="165" xfId="0" applyAlignment="1" applyFont="1" applyNumberFormat="1">
      <alignment horizontal="right" vertical="bottom"/>
    </xf>
    <xf borderId="0" fillId="13" fontId="33" numFmtId="196" xfId="0" applyAlignment="1" applyFont="1" applyNumberFormat="1">
      <alignment horizontal="right" vertical="bottom"/>
    </xf>
    <xf borderId="0" fillId="13" fontId="33" numFmtId="196" xfId="0" applyAlignment="1" applyFont="1" applyNumberFormat="1">
      <alignment vertical="bottom"/>
    </xf>
    <xf borderId="0" fillId="13" fontId="33" numFmtId="0" xfId="0" applyAlignment="1" applyFont="1">
      <alignment horizontal="center" vertical="bottom"/>
    </xf>
    <xf borderId="0" fillId="3" fontId="33" numFmtId="0" xfId="0" applyAlignment="1" applyFont="1">
      <alignment horizontal="right" vertical="bottom"/>
    </xf>
    <xf borderId="0" fillId="3" fontId="33" numFmtId="190" xfId="0" applyAlignment="1" applyFont="1" applyNumberFormat="1">
      <alignment horizontal="right" readingOrder="0" vertical="bottom"/>
    </xf>
    <xf borderId="0" fillId="3" fontId="33" numFmtId="10" xfId="0" applyAlignment="1" applyFont="1" applyNumberFormat="1">
      <alignment horizontal="right" vertical="bottom"/>
    </xf>
    <xf borderId="0" fillId="3" fontId="33" numFmtId="169" xfId="0" applyAlignment="1" applyFont="1" applyNumberFormat="1">
      <alignment horizontal="right" vertical="bottom"/>
    </xf>
    <xf borderId="0" fillId="3" fontId="33" numFmtId="0" xfId="0" applyAlignment="1" applyFont="1">
      <alignment readingOrder="0" vertical="bottom"/>
    </xf>
    <xf borderId="0" fillId="3" fontId="33" numFmtId="0" xfId="0" applyAlignment="1" applyFont="1">
      <alignment vertical="bottom"/>
    </xf>
    <xf borderId="0" fillId="3" fontId="33" numFmtId="0" xfId="0" applyAlignment="1" applyFont="1">
      <alignment horizontal="center" vertical="bottom"/>
    </xf>
    <xf borderId="0" fillId="3" fontId="33" numFmtId="0" xfId="0" applyAlignment="1" applyFont="1">
      <alignment horizontal="center" readingOrder="0" vertical="bottom"/>
    </xf>
    <xf borderId="0" fillId="3" fontId="33" numFmtId="10" xfId="0" applyAlignment="1" applyFont="1" applyNumberFormat="1">
      <alignment horizontal="right" readingOrder="0" vertical="bottom"/>
    </xf>
    <xf borderId="0" fillId="3" fontId="33" numFmtId="169" xfId="0" applyAlignment="1" applyFont="1" applyNumberFormat="1">
      <alignment horizontal="right" readingOrder="0" vertical="bottom"/>
    </xf>
    <xf borderId="0" fillId="0" fontId="33" numFmtId="10" xfId="0" applyAlignment="1" applyFont="1" applyNumberFormat="1">
      <alignment readingOrder="0" vertical="bottom"/>
    </xf>
    <xf borderId="0" fillId="0" fontId="1" numFmtId="185" xfId="0" applyFont="1" applyNumberFormat="1"/>
    <xf borderId="0" fillId="0" fontId="65" numFmtId="0" xfId="0" applyAlignment="1" applyFont="1">
      <alignment vertical="bottom"/>
    </xf>
    <xf borderId="0" fillId="0" fontId="65" numFmtId="4" xfId="0" applyAlignment="1" applyFont="1" applyNumberFormat="1">
      <alignment vertical="bottom"/>
    </xf>
    <xf borderId="0" fillId="0" fontId="65" numFmtId="0" xfId="0" applyAlignment="1" applyFont="1">
      <alignment horizontal="right" vertical="bottom"/>
    </xf>
    <xf borderId="0" fillId="0" fontId="33" numFmtId="4" xfId="0" applyAlignment="1" applyFont="1" applyNumberFormat="1">
      <alignment horizontal="right" vertical="bottom"/>
    </xf>
    <xf borderId="0" fillId="0" fontId="33" numFmtId="10" xfId="0" applyAlignment="1" applyFont="1" applyNumberFormat="1">
      <alignment horizontal="right" vertical="bottom"/>
    </xf>
    <xf borderId="0" fillId="0" fontId="65" numFmtId="10" xfId="0" applyAlignment="1" applyFont="1" applyNumberFormat="1">
      <alignment horizontal="right" vertical="bottom"/>
    </xf>
    <xf borderId="0" fillId="0" fontId="65" numFmtId="197" xfId="0" applyAlignment="1" applyFont="1" applyNumberFormat="1">
      <alignment horizontal="right" vertical="bottom"/>
    </xf>
    <xf borderId="0" fillId="0" fontId="33" numFmtId="4" xfId="0" applyAlignment="1" applyFont="1" applyNumberFormat="1">
      <alignment horizontal="right" readingOrder="0" vertical="bottom"/>
    </xf>
    <xf borderId="0" fillId="0" fontId="65" numFmtId="0" xfId="0" applyAlignment="1" applyFont="1">
      <alignment horizontal="right" vertical="bottom"/>
    </xf>
    <xf borderId="0" fillId="0" fontId="33" numFmtId="0" xfId="0" applyAlignment="1" applyFont="1">
      <alignment vertical="bottom"/>
    </xf>
    <xf borderId="0" fillId="0" fontId="33" numFmtId="0" xfId="0" applyAlignment="1" applyFont="1">
      <alignment horizontal="right" vertical="bottom"/>
    </xf>
    <xf borderId="0" fillId="0" fontId="33" numFmtId="171" xfId="0" applyAlignment="1" applyFont="1" applyNumberFormat="1">
      <alignment horizontal="right" vertical="bottom"/>
    </xf>
    <xf borderId="0" fillId="0" fontId="33" numFmtId="198" xfId="0" applyAlignment="1" applyFont="1" applyNumberFormat="1">
      <alignment vertical="bottom"/>
    </xf>
    <xf borderId="0" fillId="0" fontId="33" numFmtId="2" xfId="0" applyAlignment="1" applyFont="1" applyNumberFormat="1">
      <alignment horizontal="right" vertical="bottom"/>
    </xf>
    <xf borderId="0" fillId="0" fontId="33" numFmtId="171" xfId="0" applyAlignment="1" applyFont="1" applyNumberFormat="1">
      <alignment vertical="bottom"/>
    </xf>
    <xf borderId="0" fillId="26" fontId="33" numFmtId="0" xfId="0" applyAlignment="1" applyFill="1" applyFont="1">
      <alignment vertical="bottom"/>
    </xf>
    <xf borderId="0" fillId="26" fontId="33" numFmtId="4" xfId="0" applyAlignment="1" applyFont="1" applyNumberFormat="1">
      <alignment vertical="bottom"/>
    </xf>
    <xf borderId="0" fillId="26" fontId="33" numFmtId="4" xfId="0" applyAlignment="1" applyFont="1" applyNumberFormat="1">
      <alignment horizontal="right" vertical="bottom"/>
    </xf>
    <xf borderId="0" fillId="0" fontId="90" numFmtId="0" xfId="0" applyAlignment="1" applyFont="1">
      <alignment horizontal="center" readingOrder="0" vertical="center"/>
    </xf>
    <xf borderId="0" fillId="21" fontId="33" numFmtId="0" xfId="0" applyAlignment="1" applyFont="1">
      <alignment horizontal="center" readingOrder="0" vertical="bottom"/>
    </xf>
    <xf borderId="0" fillId="0" fontId="89" numFmtId="0" xfId="0" applyAlignment="1" applyFont="1">
      <alignment horizontal="center" readingOrder="0" vertical="bottom"/>
    </xf>
    <xf borderId="0" fillId="0" fontId="65" numFmtId="0" xfId="0" applyAlignment="1" applyFont="1">
      <alignment horizontal="center" vertical="bottom"/>
    </xf>
    <xf borderId="0" fillId="0" fontId="33" numFmtId="169" xfId="0" applyAlignment="1" applyFont="1" applyNumberFormat="1">
      <alignment horizontal="center" vertical="bottom"/>
    </xf>
    <xf borderId="0" fillId="0" fontId="33" numFmtId="2" xfId="0" applyAlignment="1" applyFont="1" applyNumberFormat="1">
      <alignment horizontal="center" vertical="bottom"/>
    </xf>
    <xf borderId="0" fillId="6" fontId="33" numFmtId="0" xfId="0" applyAlignment="1" applyFont="1">
      <alignment horizontal="center" vertical="bottom"/>
    </xf>
    <xf borderId="0" fillId="0" fontId="65" numFmtId="0" xfId="0" applyAlignment="1" applyFont="1">
      <alignment horizontal="center" readingOrder="0" vertical="bottom"/>
    </xf>
    <xf borderId="0" fillId="0" fontId="33" numFmtId="2" xfId="0" applyAlignment="1" applyFont="1" applyNumberFormat="1">
      <alignment horizontal="right" readingOrder="0" vertical="bottom"/>
    </xf>
    <xf borderId="0" fillId="0" fontId="91" numFmtId="0" xfId="0" applyAlignment="1" applyFont="1">
      <alignment vertical="bottom"/>
    </xf>
    <xf borderId="0" fillId="0" fontId="33" numFmtId="20" xfId="0" applyAlignment="1" applyFont="1" applyNumberFormat="1">
      <alignment horizontal="right" vertical="bottom"/>
    </xf>
    <xf borderId="0" fillId="0" fontId="65" numFmtId="0" xfId="0" applyAlignment="1" applyFont="1">
      <alignment horizontal="center" shrinkToFit="0" vertical="bottom" wrapText="1"/>
    </xf>
    <xf borderId="0" fillId="0" fontId="65" numFmtId="1" xfId="0" applyAlignment="1" applyFont="1" applyNumberFormat="1">
      <alignment horizontal="center" shrinkToFit="0" vertical="bottom" wrapText="1"/>
    </xf>
    <xf borderId="0" fillId="0" fontId="3" numFmtId="10" xfId="0" applyFont="1" applyNumberFormat="1"/>
    <xf borderId="0" fillId="0" fontId="33" numFmtId="172" xfId="0" applyAlignment="1" applyFont="1" applyNumberFormat="1">
      <alignment horizontal="right" vertical="bottom"/>
    </xf>
    <xf borderId="0" fillId="6" fontId="33" numFmtId="0" xfId="0" applyAlignment="1" applyFont="1">
      <alignment vertical="bottom"/>
    </xf>
    <xf borderId="0" fillId="22" fontId="89" numFmtId="0" xfId="0" applyAlignment="1" applyFont="1">
      <alignment horizontal="center" readingOrder="0" vertical="bottom"/>
    </xf>
    <xf borderId="0" fillId="8" fontId="89" numFmtId="0" xfId="0" applyAlignment="1" applyFont="1">
      <alignment horizontal="center" readingOrder="0" vertical="bottom"/>
    </xf>
    <xf borderId="0" fillId="22" fontId="65" numFmtId="0" xfId="0" applyAlignment="1" applyFont="1">
      <alignment horizontal="right" vertical="bottom"/>
    </xf>
    <xf borderId="0" fillId="22" fontId="33" numFmtId="2" xfId="0" applyAlignment="1" applyFont="1" applyNumberFormat="1">
      <alignment horizontal="right" readingOrder="0" vertical="bottom"/>
    </xf>
    <xf borderId="0" fillId="8" fontId="65" numFmtId="0" xfId="0" applyAlignment="1" applyFont="1">
      <alignment horizontal="right" vertical="bottom"/>
    </xf>
    <xf borderId="0" fillId="8" fontId="33" numFmtId="0" xfId="0" applyAlignment="1" applyFont="1">
      <alignment horizontal="right" vertical="bottom"/>
    </xf>
    <xf borderId="0" fillId="22" fontId="33" numFmtId="2" xfId="0" applyAlignment="1" applyFont="1" applyNumberFormat="1">
      <alignment horizontal="right" vertical="bottom"/>
    </xf>
    <xf borderId="0" fillId="8" fontId="92" numFmtId="0" xfId="0" applyAlignment="1" applyFont="1">
      <alignment horizontal="right" vertical="bottom"/>
    </xf>
    <xf borderId="0" fillId="9" fontId="89" numFmtId="0" xfId="0" applyAlignment="1" applyFont="1">
      <alignment horizontal="center" readingOrder="0" vertical="bottom"/>
    </xf>
    <xf borderId="0" fillId="13" fontId="89" numFmtId="0" xfId="0" applyAlignment="1" applyFont="1">
      <alignment horizontal="center" readingOrder="0" vertical="bottom"/>
    </xf>
    <xf borderId="0" fillId="9" fontId="65" numFmtId="0" xfId="0" applyAlignment="1" applyFont="1">
      <alignment vertical="bottom"/>
    </xf>
    <xf borderId="0" fillId="9" fontId="33" numFmtId="0" xfId="0" applyAlignment="1" applyFont="1">
      <alignment vertical="bottom"/>
    </xf>
    <xf borderId="0" fillId="9" fontId="65" numFmtId="0" xfId="0" applyAlignment="1" applyFont="1">
      <alignment horizontal="right" readingOrder="0" vertical="bottom"/>
    </xf>
    <xf borderId="0" fillId="9" fontId="33" numFmtId="2" xfId="0" applyAlignment="1" applyFont="1" applyNumberFormat="1">
      <alignment vertical="bottom"/>
    </xf>
    <xf borderId="0" fillId="9" fontId="40" numFmtId="0" xfId="0" applyAlignment="1" applyFont="1">
      <alignment readingOrder="0" vertical="bottom"/>
    </xf>
    <xf borderId="0" fillId="13" fontId="66" numFmtId="0" xfId="0" applyAlignment="1" applyFont="1">
      <alignment horizontal="center" readingOrder="0"/>
    </xf>
    <xf borderId="0" fillId="13" fontId="65" numFmtId="0" xfId="0" applyAlignment="1" applyFont="1">
      <alignment horizontal="center" readingOrder="0" vertical="bottom"/>
    </xf>
    <xf borderId="0" fillId="13" fontId="1" numFmtId="0" xfId="0" applyFont="1"/>
    <xf borderId="0" fillId="13" fontId="33" numFmtId="0" xfId="0" applyAlignment="1" applyFont="1">
      <alignment horizontal="right" readingOrder="0" vertical="bottom"/>
    </xf>
    <xf borderId="0" fillId="9" fontId="33" numFmtId="190" xfId="0" applyAlignment="1" applyFont="1" applyNumberFormat="1">
      <alignment horizontal="right" vertical="bottom"/>
    </xf>
    <xf borderId="0" fillId="9" fontId="33" numFmtId="0" xfId="0" applyAlignment="1" applyFont="1">
      <alignment horizontal="right" vertical="bottom"/>
    </xf>
    <xf borderId="0" fillId="9" fontId="33" numFmtId="2" xfId="0" applyAlignment="1" applyFont="1" applyNumberFormat="1">
      <alignment horizontal="right" vertical="bottom"/>
    </xf>
    <xf borderId="0" fillId="9" fontId="3" numFmtId="0" xfId="0" applyAlignment="1" applyFont="1">
      <alignment horizontal="right" readingOrder="0"/>
    </xf>
    <xf borderId="0" fillId="9" fontId="1" numFmtId="2" xfId="0" applyFont="1" applyNumberFormat="1"/>
    <xf borderId="0" fillId="9" fontId="33" numFmtId="169" xfId="0" applyAlignment="1" applyFont="1" applyNumberFormat="1">
      <alignment horizontal="right" readingOrder="0" vertical="bottom"/>
    </xf>
    <xf borderId="0" fillId="9" fontId="33" numFmtId="10" xfId="0" applyAlignment="1" applyFont="1" applyNumberFormat="1">
      <alignment horizontal="right" vertical="bottom"/>
    </xf>
    <xf borderId="0" fillId="9" fontId="33" numFmtId="2" xfId="0" applyAlignment="1" applyFont="1" applyNumberFormat="1">
      <alignment horizontal="right" readingOrder="0" vertical="bottom"/>
    </xf>
    <xf borderId="0" fillId="9" fontId="33" numFmtId="0" xfId="0" applyAlignment="1" applyFont="1">
      <alignment horizontal="right" readingOrder="0" vertical="bottom"/>
    </xf>
    <xf borderId="0" fillId="27" fontId="93" numFmtId="181" xfId="0" applyAlignment="1" applyFill="1" applyFont="1" applyNumberFormat="1">
      <alignment vertical="bottom"/>
    </xf>
    <xf borderId="0" fillId="13" fontId="65" numFmtId="0" xfId="0" applyAlignment="1" applyFont="1">
      <alignment horizontal="right" readingOrder="0" vertical="bottom"/>
    </xf>
    <xf borderId="0" fillId="4" fontId="89" numFmtId="0" xfId="0" applyAlignment="1" applyFont="1">
      <alignment horizontal="center" readingOrder="0" vertical="bottom"/>
    </xf>
    <xf borderId="0" fillId="4" fontId="65" numFmtId="0" xfId="0" applyAlignment="1" applyFont="1">
      <alignment vertical="bottom"/>
    </xf>
    <xf borderId="0" fillId="4" fontId="33" numFmtId="0" xfId="0" applyAlignment="1" applyFont="1">
      <alignment vertical="bottom"/>
    </xf>
    <xf borderId="0" fillId="4" fontId="94" numFmtId="0" xfId="0" applyAlignment="1" applyFont="1">
      <alignment horizontal="right" readingOrder="0" vertical="bottom"/>
    </xf>
    <xf borderId="0" fillId="4" fontId="65" numFmtId="0" xfId="0" applyAlignment="1" applyFont="1">
      <alignment readingOrder="0" vertical="bottom"/>
    </xf>
    <xf borderId="0" fillId="4" fontId="33" numFmtId="0" xfId="0" applyAlignment="1" applyFont="1">
      <alignment horizontal="right" vertical="bottom"/>
    </xf>
    <xf borderId="0" fillId="4" fontId="95" numFmtId="0" xfId="0" applyAlignment="1" applyFont="1">
      <alignment horizontal="right" vertical="bottom"/>
    </xf>
    <xf borderId="0" fillId="4" fontId="33" numFmtId="171" xfId="0" applyAlignment="1" applyFont="1" applyNumberFormat="1">
      <alignment horizontal="right" vertical="bottom"/>
    </xf>
    <xf borderId="0" fillId="4" fontId="33" numFmtId="20" xfId="0" applyAlignment="1" applyFont="1" applyNumberFormat="1">
      <alignment horizontal="right" vertical="bottom"/>
    </xf>
    <xf borderId="0" fillId="28" fontId="33" numFmtId="0" xfId="0" applyAlignment="1" applyFill="1" applyFont="1">
      <alignment vertical="bottom"/>
    </xf>
    <xf borderId="0" fillId="0" fontId="65" numFmtId="10" xfId="0" applyAlignment="1" applyFont="1" applyNumberFormat="1">
      <alignment vertical="bottom"/>
    </xf>
    <xf borderId="0" fillId="2" fontId="33" numFmtId="2" xfId="0" applyAlignment="1" applyFont="1" applyNumberFormat="1">
      <alignment readingOrder="0" vertical="bottom"/>
    </xf>
    <xf borderId="0" fillId="0" fontId="33" numFmtId="190" xfId="0" applyAlignment="1" applyFont="1" applyNumberFormat="1">
      <alignment vertical="bottom"/>
    </xf>
    <xf borderId="0" fillId="0" fontId="33" numFmtId="166" xfId="0" applyAlignment="1" applyFont="1" applyNumberFormat="1">
      <alignment vertical="bottom"/>
    </xf>
    <xf borderId="0" fillId="0" fontId="33" numFmtId="164" xfId="0" applyAlignment="1" applyFont="1" applyNumberFormat="1">
      <alignment vertical="bottom"/>
    </xf>
    <xf borderId="19" fillId="17" fontId="73" numFmtId="0" xfId="0" applyAlignment="1" applyBorder="1" applyFont="1">
      <alignment horizontal="left" readingOrder="0" vertical="center"/>
    </xf>
    <xf borderId="0" fillId="18" fontId="74" numFmtId="0" xfId="0" applyAlignment="1" applyFont="1">
      <alignment horizontal="left" readingOrder="0" vertical="center"/>
    </xf>
    <xf borderId="0" fillId="0" fontId="1" numFmtId="194" xfId="0" applyAlignment="1" applyFont="1" applyNumberFormat="1">
      <alignment horizontal="left" readingOrder="0"/>
    </xf>
    <xf borderId="0" fillId="0" fontId="33" numFmtId="49" xfId="0" applyAlignment="1" applyFont="1" applyNumberFormat="1">
      <alignment horizontal="right" readingOrder="0" vertical="bottom"/>
    </xf>
  </cellXfs>
  <cellStyles count="1">
    <cellStyle xfId="0" name="Normal" builtinId="0"/>
  </cellStyles>
  <dxfs count="8">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COAs!$C$2:$C$359</c:f>
              <c:numCache/>
            </c:numRef>
          </c:val>
          <c:smooth val="0"/>
        </c:ser>
        <c:axId val="2018781152"/>
        <c:axId val="1428166244"/>
      </c:lineChart>
      <c:catAx>
        <c:axId val="2018781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8166244"/>
      </c:catAx>
      <c:valAx>
        <c:axId val="1428166244"/>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878115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solidFill>
                <a:srgbClr val="000000"/>
              </a:solid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solidFill>
                <a:srgbClr val="000000"/>
              </a:solid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solidFill>
                <a:srgbClr val="000000"/>
              </a:solid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06217729"/>
        <c:axId val="1616210957"/>
      </c:barChart>
      <c:catAx>
        <c:axId val="106217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6210957"/>
      </c:catAx>
      <c:valAx>
        <c:axId val="1616210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21772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2017880766"/>
        <c:axId val="915760340"/>
      </c:areaChart>
      <c:catAx>
        <c:axId val="20178807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915760340"/>
      </c:catAx>
      <c:valAx>
        <c:axId val="9157603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788076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1386700152"/>
        <c:axId val="1243162854"/>
      </c:lineChart>
      <c:catAx>
        <c:axId val="1386700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3162854"/>
      </c:catAx>
      <c:valAx>
        <c:axId val="1243162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670015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solidFill>
                <a:srgbClr val="000000"/>
              </a:solid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solidFill>
                <a:srgbClr val="000000"/>
              </a:solid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solidFill>
                <a:srgbClr val="000000"/>
              </a:solidFill>
            </a:ln>
          </c:spPr>
          <c:cat>
            <c:strRef>
              <c:f>'Injections Summary'!$AB$4:$AB$21</c:f>
            </c:strRef>
          </c:cat>
          <c:val>
            <c:numRef>
              <c:f>'Injections Summary'!$AC$4:$AC$21</c:f>
              <c:numCache/>
            </c:numRef>
          </c:val>
        </c:ser>
        <c:overlap val="100"/>
        <c:axId val="1341530773"/>
        <c:axId val="1418256311"/>
      </c:barChart>
      <c:catAx>
        <c:axId val="13415307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c:txPr>
          <a:bodyPr/>
          <a:lstStyle/>
          <a:p>
            <a:pPr lvl="0">
              <a:defRPr b="0">
                <a:solidFill>
                  <a:srgbClr val="000000"/>
                </a:solidFill>
                <a:latin typeface="+mn-lt"/>
              </a:defRPr>
            </a:pPr>
          </a:p>
        </c:txPr>
        <c:crossAx val="1418256311"/>
      </c:catAx>
      <c:valAx>
        <c:axId val="1418256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1530773"/>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939535533"/>
        <c:axId val="1223190942"/>
      </c:lineChart>
      <c:catAx>
        <c:axId val="1939535533"/>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223190942"/>
      </c:catAx>
      <c:valAx>
        <c:axId val="1223190942"/>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9535533"/>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solidFill>
                <a:srgbClr val="000000"/>
              </a:solidFill>
            </a:ln>
          </c:spPr>
          <c:cat>
            <c:strRef>
              <c:f>Summary!$S$4:$S$14</c:f>
            </c:strRef>
          </c:cat>
          <c:val>
            <c:numRef>
              <c:f>Summary!$T$4:$T$14</c:f>
              <c:numCache/>
            </c:numRef>
          </c:val>
        </c:ser>
        <c:overlap val="100"/>
        <c:axId val="2130531879"/>
        <c:axId val="869587261"/>
      </c:barChart>
      <c:catAx>
        <c:axId val="2130531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869587261"/>
      </c:catAx>
      <c:valAx>
        <c:axId val="8695872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053187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solidFill>
                <a:srgbClr val="000000"/>
              </a:solidFill>
            </a:ln>
          </c:spPr>
          <c:cat>
            <c:strRef>
              <c:f>Summary!$AB$3:$AB$20</c:f>
            </c:strRef>
          </c:cat>
          <c:val>
            <c:numRef>
              <c:f>Summary!$AC$3:$AC$20</c:f>
              <c:numCache/>
            </c:numRef>
          </c:val>
        </c:ser>
        <c:overlap val="100"/>
        <c:axId val="354639243"/>
        <c:axId val="1503572595"/>
      </c:barChart>
      <c:catAx>
        <c:axId val="354639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c:txPr>
          <a:bodyPr/>
          <a:lstStyle/>
          <a:p>
            <a:pPr lvl="0">
              <a:defRPr b="0">
                <a:solidFill>
                  <a:srgbClr val="000000"/>
                </a:solidFill>
                <a:latin typeface="+mn-lt"/>
              </a:defRPr>
            </a:pPr>
          </a:p>
        </c:txPr>
        <c:crossAx val="1503572595"/>
      </c:catAx>
      <c:valAx>
        <c:axId val="1503572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463924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solidFill>
                <a:srgbClr val="000000">
                  <a:alpha val="0"/>
                </a:srgbClr>
              </a:solid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solidFill>
                <a:srgbClr val="000000">
                  <a:alpha val="0"/>
                </a:srgbClr>
              </a:solidFill>
            </a:ln>
          </c:spPr>
          <c:cat>
            <c:strRef>
              <c:f>'2022-2023 Data'!$B$3:$B$80</c:f>
            </c:strRef>
          </c:cat>
          <c:val>
            <c:numRef>
              <c:f>'2022-2023 Data'!$D$3:$D$80</c:f>
              <c:numCache/>
            </c:numRef>
          </c:val>
        </c:ser>
        <c:ser>
          <c:idx val="2"/>
          <c:order val="2"/>
          <c:tx>
            <c:strRef>
              <c:f>'2022-2023 Data'!$E$2</c:f>
            </c:strRef>
          </c:tx>
          <c:spPr>
            <a:solidFill>
              <a:srgbClr val="CCCCCC"/>
            </a:solidFill>
            <a:ln cmpd="sng">
              <a:solidFill>
                <a:srgbClr val="000000">
                  <a:alpha val="0"/>
                </a:srgbClr>
              </a:solidFill>
            </a:ln>
          </c:spPr>
          <c:dPt>
            <c:idx val="78"/>
          </c:dPt>
          <c:dPt>
            <c:idx val="99"/>
          </c:dPt>
          <c:cat>
            <c:strRef>
              <c:f>'2022-2023 Data'!$B$3:$B$80</c:f>
            </c:strRef>
          </c:cat>
          <c:val>
            <c:numRef>
              <c:f>'2022-2023 Data'!$E$3:$E$80</c:f>
              <c:numCache/>
            </c:numRef>
          </c:val>
        </c:ser>
        <c:overlap val="100"/>
        <c:axId val="379329046"/>
        <c:axId val="539682327"/>
      </c:barChart>
      <c:catAx>
        <c:axId val="3793290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c:txPr>
          <a:bodyPr/>
          <a:lstStyle/>
          <a:p>
            <a:pPr lvl="0">
              <a:defRPr b="0">
                <a:solidFill>
                  <a:srgbClr val="000000"/>
                </a:solidFill>
                <a:latin typeface="+mn-lt"/>
              </a:defRPr>
            </a:pPr>
          </a:p>
        </c:txPr>
        <c:crossAx val="539682327"/>
      </c:catAx>
      <c:valAx>
        <c:axId val="539682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932904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axId val="1833612328"/>
        <c:axId val="849759251"/>
      </c:barChart>
      <c:catAx>
        <c:axId val="1833612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49759251"/>
      </c:catAx>
      <c:valAx>
        <c:axId val="849759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361232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2075344777"/>
        <c:axId val="1374186071"/>
      </c:areaChart>
      <c:catAx>
        <c:axId val="2075344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c:txPr>
          <a:bodyPr/>
          <a:lstStyle/>
          <a:p>
            <a:pPr lvl="0">
              <a:defRPr b="0">
                <a:solidFill>
                  <a:srgbClr val="000000"/>
                </a:solidFill>
                <a:latin typeface="+mn-lt"/>
              </a:defRPr>
            </a:pPr>
          </a:p>
        </c:txPr>
        <c:crossAx val="1374186071"/>
      </c:catAx>
      <c:valAx>
        <c:axId val="13741860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534477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622441338"/>
        <c:axId val="333715029"/>
      </c:lineChart>
      <c:catAx>
        <c:axId val="622441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3715029"/>
      </c:catAx>
      <c:valAx>
        <c:axId val="333715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244133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1cce6da8-f36c-4e3a-a8f5-22fdd9e29d8d}">
    <Anchor>
      <Comment id="{59da5f4e-c547-4eb7-ba01-a6b26bdc0ceb}"/>
    </Anchor>
    <History>
      <Event time="2024-07-21T05:03:54.00" id="{b5566933-f08e-4fec-8889-8dce72fa9424}">
        <Attribution userId="placeholder@email.com" userName="Peter Reinhardt" userProvider="google-sheets"/>
        <Anchor>
          <Comment id="{59da5f4e-c547-4eb7-ba01-a6b26bdc0ceb}"/>
        </Anchor>
        <Create/>
      </Event>
      <Event time="2024-07-21T05:03:54.00" id="{f04d7c27-f46c-4a87-a063-c3079ae320cd}">
        <Attribution userId="placeholder@email.com" userName="Peter Reinhardt" userProvider="google-sheets"/>
        <Anchor>
          <Comment id="{59da5f4e-c547-4eb7-ba01-a6b26bdc0ceb}"/>
        </Anchor>
        <Assign userId="antoinette@charmindustrial.com" userName="antoinette@charmindustrial.com" userProvider="google-sheets"/>
      </Event>
    </History>
  </Task>
  <Task id="{75ecaa7d-b46d-4aaa-b7ca-314e1b1cda4b}">
    <Anchor>
      <Comment id="{48d25940-0692-4a6d-8d2b-a401fa3c5beb}"/>
    </Anchor>
    <History>
      <Event time="2025-10-28T20:05:05.00" id="{2f03a07c-6ed0-40a4-96b8-d33d4892436a}">
        <Attribution userId="placeholder@email.com" userName="Garrett Lutz" userProvider="google-sheets"/>
        <Anchor>
          <Comment id="{48d25940-0692-4a6d-8d2b-a401fa3c5beb}"/>
        </Anchor>
        <Create/>
      </Event>
      <Event time="2025-10-28T20:05:05.00" id="{bcfb49cd-b806-4d06-b2fa-a2bc584ac01f}">
        <Attribution userId="placeholder@email.com" userName="Garrett Lutz" userProvider="google-sheets"/>
        <Anchor>
          <Comment id="{48d25940-0692-4a6d-8d2b-a401fa3c5beb}"/>
        </Anchor>
        <Assign userId="jackson.lisec@charmindustrial.com" userName="jackson.lisec@charmindustrial.com" userProvider="google-sheets"/>
      </Event>
    </History>
  </Task>
  <Task id="{088cae2d-c528-4740-80b8-c33a41981fb5}">
    <Anchor>
      <Comment id="{f0ba4f9d-93b7-4f80-967d-c1ff8384b51b}"/>
    </Anchor>
    <History>
      <Event time="2024-07-19T21:27:08.00" id="{21a004ea-4663-439f-97af-7ce24594ee87}">
        <Attribution userId="placeholder@email.com" userName="Peter Reinhardt" userProvider="google-sheets"/>
        <Anchor>
          <Comment id="{f0ba4f9d-93b7-4f80-967d-c1ff8384b51b}"/>
        </Anchor>
        <Create/>
      </Event>
      <Event time="2024-07-19T21:27:08.00" id="{82f69ee6-f530-4bac-b53a-015136f0adf0}">
        <Attribution userId="placeholder@email.com" userName="Peter Reinhardt" userProvider="google-sheets"/>
        <Anchor>
          <Comment id="{f0ba4f9d-93b7-4f80-967d-c1ff8384b51b}"/>
        </Anchor>
        <Assign userId="katie@charmindustrial.com" userName="katie@charmindustrial.com" userProvider="google-sheets"/>
      </Event>
    </History>
  </Task>
  <Task id="{40451e23-1618-48b1-bf3b-ed88fc0998b2}">
    <Anchor>
      <Comment id="{82af796a-71e3-4aaf-a180-09e3cc99aa53}"/>
    </Anchor>
    <History>
      <Event time="2025-10-27T15:55:40.00" id="{29e49c07-e934-4119-b616-b9a8dd33441b}">
        <Attribution userId="placeholder@email.com" userName="Garrett Lutz" userProvider="google-sheets"/>
        <Anchor>
          <Comment id="{82af796a-71e3-4aaf-a180-09e3cc99aa53}"/>
        </Anchor>
        <Create/>
      </Event>
      <Event time="2025-10-27T15:55:40.00" id="{2b28bf57-0073-4c48-b30c-eef2271810a7}">
        <Attribution userId="placeholder@email.com" userName="Garrett Lutz" userProvider="google-sheets"/>
        <Anchor>
          <Comment id="{82af796a-71e3-4aaf-a180-09e3cc99aa53}"/>
        </Anchor>
        <Assign userId="jackson.lisec@charmindustrial.com" userName="jackson.lisec@charmindustrial.com" userProvider="google-sheets"/>
      </Event>
    </History>
  </Task>
  <Task id="{d4b399f7-6a16-4ad4-bed2-cc7886beca55}">
    <Anchor>
      <Comment id="{32939f3b-55a8-484f-84a3-7982969c6648}"/>
    </Anchor>
    <History>
      <Event time="2025-10-13T23:59:45.00" id="{68de379a-1607-4b66-9e51-0258965b9456}">
        <Attribution userId="placeholder@email.com" userName="Max Lavine" userProvider="google-sheets"/>
        <Anchor>
          <Comment id="{32939f3b-55a8-484f-84a3-7982969c6648}"/>
        </Anchor>
        <Create/>
      </Event>
      <Event time="2025-10-13T23:59:45.00" id="{ebd34346-9232-4667-985f-a04f02be0172}">
        <Attribution userId="placeholder@email.com" userName="Max Lavine" userProvider="google-sheets"/>
        <Anchor>
          <Comment id="{32939f3b-55a8-484f-84a3-7982969c6648}"/>
        </Anchor>
        <Assign userId="jackson.lisec@charmindustrial.com" userName="jackson.lisec@charmindustrial.com" userProvider="google-sheets"/>
      </Event>
    </History>
  </Task>
  <Task id="{5fc0aa28-b62f-42cc-919b-0d43c19dcdff}">
    <Anchor>
      <Comment id="{0fbc863b-0547-42fc-bac1-93210d964ea7}"/>
    </Anchor>
    <History>
      <Event time="2025-10-14T00:00:01.00" id="{5e1187f8-2cd5-4353-a222-6d8cd6314983}">
        <Attribution userId="placeholder@email.com" userName="Max Lavine" userProvider="google-sheets"/>
        <Anchor>
          <Comment id="{0fbc863b-0547-42fc-bac1-93210d964ea7}"/>
        </Anchor>
        <Create/>
      </Event>
      <Event time="2025-10-14T00:00:01.00" id="{85052939-4676-493a-9dbe-efc568d033ba}">
        <Attribution userId="placeholder@email.com" userName="Max Lavine" userProvider="google-sheets"/>
        <Anchor>
          <Comment id="{0fbc863b-0547-42fc-bac1-93210d964ea7}"/>
        </Anchor>
        <Assign userId="jackson.lisec@charmindustrial.com" userName="jackson.lisec@charmindustrial.com" userProvider="google-sheets"/>
      </Event>
    </History>
  </Task>
</Tasks>
</file>

<file path=xl/documenttasks/documenttask2.xml><?xml version="1.0" encoding="utf-8"?>
<Tasks xmlns="http://schemas.microsoft.com/office/tasks/2019/documenttasks">
  <Task id="{2eaebcb5-1e6f-4e8d-95bb-52e482be01ed}">
    <Anchor>
      <Comment id="{dc174051-f081-40c2-8e00-460b57d53903}"/>
    </Anchor>
    <History>
      <Event time="2025-09-05T04:07:28.00" id="{4d3ccca0-9759-4389-9521-63277483fd21}">
        <Attribution userId="placeholder@email.com" userName="Mingyi Bian" userProvider="google-sheets"/>
        <Anchor>
          <Comment id="{dc174051-f081-40c2-8e00-460b57d53903}"/>
        </Anchor>
        <Create/>
      </Event>
      <Event time="2025-09-05T04:07:28.00" id="{7eee600c-595f-416e-88a0-ca28d0e9d3af}">
        <Attribution userId="placeholder@email.com" userName="Mingyi Bian" userProvider="google-sheets"/>
        <Anchor>
          <Comment id="{dc174051-f081-40c2-8e00-460b57d53903}"/>
        </Anchor>
        <Assign userId="garrett.lutz@charmindustrial.com" userName="garrett.lutz@charmindustrial.com" userProvider="google-sheets"/>
      </Event>
    </History>
  </Task>
  <Task id="{4ffd4ed3-6061-42b0-bd1a-a41a4e11814b}">
    <Anchor>
      <Comment id="{dd5ab451-9764-4113-a88b-ceb620a003bb}"/>
    </Anchor>
    <History>
      <Event time="2025-01-14T23:04:39.00" id="{9b7681ae-c55a-41d9-9172-46e5b29e862b}">
        <Attribution userId="placeholder@email.com" userName="Max Lavine" userProvider="google-sheets"/>
        <Anchor>
          <Comment id="{dd5ab451-9764-4113-a88b-ceb620a003bb}"/>
        </Anchor>
        <Create/>
      </Event>
      <Event time="2025-01-14T23:04:39.00" id="{4c98086b-c030-4f72-a4e1-f057023efeca}">
        <Attribution userId="placeholder@email.com" userName="Max Lavine" userProvider="google-sheets"/>
        <Anchor>
          <Comment id="{dd5ab451-9764-4113-a88b-ceb620a003bb}"/>
        </Anchor>
        <Assign userId="antoinette@charmindustrial.com" userName="antoinette@charmindustrial.com" userProvider="google-sheets"/>
      </Event>
    </History>
  </Task>
  <Task id="{09d6c4ce-f71e-4b39-90ba-8411f27a8a45}">
    <Anchor>
      <Comment id="{91d060ed-4681-454e-8fa1-d8fa1a1eee6b}"/>
    </Anchor>
    <History>
      <Event time="2024-07-23T17:28:48.00" id="{0a1be796-4766-4242-be1e-82406eaf040a}">
        <Attribution userId="placeholder@email.com" userName="Antoinette Matschuck" userProvider="google-sheets"/>
        <Anchor>
          <Comment id="{91d060ed-4681-454e-8fa1-d8fa1a1eee6b}"/>
        </Anchor>
        <Create/>
      </Event>
      <Event time="2024-07-23T17:28:48.00" id="{6d2d1559-85bf-4f2c-85cf-97e60a9c0806}">
        <Attribution userId="placeholder@email.com" userName="Antoinette Matschuck" userProvider="google-sheets"/>
        <Anchor>
          <Comment id="{91d060ed-4681-454e-8fa1-d8fa1a1eee6b}"/>
        </Anchor>
        <Assign userId="max@charmindustrial.com" userName="max@charmindustrial.com" userProvider="google-sheets"/>
      </Event>
    </History>
  </Task>
  <Task id="{7758f12f-fbaa-4e09-bb2c-8d8f0fdacb2d}">
    <Anchor>
      <Comment id="{365319d8-5bc3-4ccd-a551-4684b908c749}"/>
    </Anchor>
    <History>
      <Event time="2024-07-19T21:43:30.00" id="{da3843df-a321-4e52-a000-250e4ee1d972}">
        <Attribution userId="placeholder@email.com" userName="Peter Reinhardt" userProvider="google-sheets"/>
        <Anchor>
          <Comment id="{365319d8-5bc3-4ccd-a551-4684b908c749}"/>
        </Anchor>
        <Create/>
      </Event>
      <Event time="2024-07-19T21:43:30.00" id="{15cf8db7-04d0-4084-ae19-567b1af0c767}">
        <Attribution userId="placeholder@email.com" userName="Peter Reinhardt" userProvider="google-sheets"/>
        <Anchor>
          <Comment id="{365319d8-5bc3-4ccd-a551-4684b908c749}"/>
        </Anchor>
        <Assign userId="antoinette@charmindustrial.com" userName="antoinette@charmindustrial.com" userProvider="google-sheets"/>
      </Event>
    </History>
  </Task>
  <Task id="{2ef0d86d-74c7-47b5-8be8-5d93d1eef613}">
    <Anchor>
      <Comment id="{e2ae6191-1f42-42a8-9821-1ed17c718ac7}"/>
    </Anchor>
    <History>
      <Event time="2024-04-08T18:10:12.00" id="{33d6bc94-13ab-4046-9cdd-e519b1ceaaf3}">
        <Attribution userId="placeholder@email.com" userName="Deleted user" userProvider="google-sheets"/>
        <Anchor>
          <Comment id="{e2ae6191-1f42-42a8-9821-1ed17c718ac7}"/>
        </Anchor>
        <Create/>
      </Event>
      <Event time="2024-04-08T18:10:12.00" id="{791e1271-3735-4ae7-b75a-2eda6b09190a}">
        <Attribution userId="placeholder@email.com" userName="Deleted user" userProvider="google-sheets"/>
        <Anchor>
          <Comment id="{e2ae6191-1f42-42a8-9821-1ed17c718ac7}"/>
        </Anchor>
        <Assign userId="katie@charmindustrial.com" userName="katie@charmindustrial.com" userProvider="google-sheets"/>
      </Event>
    </History>
  </Task>
  <Task id="{00c37abd-cc12-4481-b50c-946fa4da9fd2}">
    <Anchor>
      <Comment id="{891e1141-5163-40ac-95d0-fcdfff498f55}"/>
    </Anchor>
    <History>
      <Event time="2025-03-26T18:37:04.00" id="{0d60573f-f56a-41c4-9693-ac103d274a6b}">
        <Attribution userId="placeholder@email.com" userName="Deleted user" userProvider="google-sheets"/>
        <Anchor>
          <Comment id="{891e1141-5163-40ac-95d0-fcdfff498f55}"/>
        </Anchor>
        <Create/>
      </Event>
      <Event time="2025-03-26T18:37:04.00" id="{5531738f-71a5-4600-87b3-fc511d4966c7}">
        <Attribution userId="placeholder@email.com" userName="Deleted user" userProvider="google-sheets"/>
        <Anchor>
          <Comment id="{891e1141-5163-40ac-95d0-fcdfff498f55}"/>
        </Anchor>
        <Assign userId="antoinette@charmindustrial.com" userName="antoinette@charmindustrial.com" userProvider="google-sheets"/>
      </Event>
    </History>
  </Task>
</Tasks>
</file>

<file path=xl/documenttasks/documenttask3.xml><?xml version="1.0" encoding="utf-8"?>
<Tasks xmlns="http://schemas.microsoft.com/office/tasks/2019/documenttasks">
  <Task id="{cf7b48fa-b2ee-4728-9fef-956ef23f623c}">
    <Anchor>
      <Comment id="{e7bb2d71-b3b7-423b-9510-d35f7c58c7aa}"/>
    </Anchor>
    <History>
      <Event time="2023-02-17T21:40:06.00" id="{8ee73b66-5d54-411c-b7ce-ab87d03c8853}">
        <Attribution userId="placeholder@email.com" userName="Deleted user" userProvider="google-sheets"/>
        <Anchor>
          <Comment id="{e7bb2d71-b3b7-423b-9510-d35f7c58c7aa}"/>
        </Anchor>
        <Create/>
      </Event>
      <Event time="2023-02-17T21:40:06.00" id="{2cf6b6fe-41da-4c69-a733-c508259f3046}">
        <Attribution userId="placeholder@email.com" userName="Deleted user" userProvider="google-sheets"/>
        <Anchor>
          <Comment id="{e7bb2d71-b3b7-423b-9510-d35f7c58c7aa}"/>
        </Anchor>
        <Assign userProvider="google-sheets"/>
      </Event>
    </History>
  </Task>
  <Task id="{f3c589c9-8111-4ec1-90e5-abb3f0073033}">
    <Anchor>
      <Comment id="{4115065d-bbbd-435d-8c01-06548b4a0210}"/>
    </Anchor>
    <History>
      <Event time="2023-03-21T18:19:33.00" id="{e37f6165-46c3-4070-abfe-d84bd2943beb}">
        <Attribution userId="placeholder@email.com" userName="Deleted user" userProvider="google-sheets"/>
        <Anchor>
          <Comment id="{4115065d-bbbd-435d-8c01-06548b4a0210}"/>
        </Anchor>
        <Create/>
      </Event>
      <Event time="2023-03-21T18:19:33.00" id="{c2a7cff8-4db2-4d0f-a887-fcd4ba9fd54f}">
        <Attribution userId="placeholder@email.com" userName="Deleted user" userProvider="google-sheets"/>
        <Anchor>
          <Comment id="{4115065d-bbbd-435d-8c01-06548b4a0210}"/>
        </Anchor>
        <Assign userProvider="google-sheets"/>
      </Event>
    </History>
  </Task>
</Tasks>
</file>

<file path=xl/documenttasks/documenttask4.xml><?xml version="1.0" encoding="utf-8"?>
<Tasks xmlns="http://schemas.microsoft.com/office/tasks/2019/documenttasks">
  <Task id="{d90feb49-7013-415b-ac9b-d3dc04c0a497}">
    <Anchor>
      <Comment id="{e4397080-d2a2-42db-812a-8965cefe093d}"/>
    </Anchor>
    <History>
      <Event time="2024-07-21T04:09:44.00" id="{8474835e-8bc2-43ee-87c7-db264d65949b}">
        <Attribution userId="placeholder@email.com" userName="Peter Reinhardt" userProvider="google-sheets"/>
        <Anchor>
          <Comment id="{e4397080-d2a2-42db-812a-8965cefe093d}"/>
        </Anchor>
        <Create/>
      </Event>
      <Event time="2024-07-21T04:09:44.00" id="{1e33c904-f732-4dbe-8342-02b3a5973436}">
        <Attribution userId="placeholder@email.com" userName="Peter Reinhardt" userProvider="google-sheets"/>
        <Anchor>
          <Comment id="{e4397080-d2a2-42db-812a-8965cefe093d}"/>
        </Anchor>
        <Assign userId="antoinette@charmindustrial.com" userName="antoinette@charmindustrial.com" userProvider="google-sheets"/>
      </Event>
    </History>
  </Task>
  <Task id="{6695e0c5-0fcd-4830-9b65-28301ed3d13b}">
    <Anchor>
      <Comment id="{2ab9ae66-72d3-4266-ae44-509b5b576a8a}"/>
    </Anchor>
    <History>
      <Event time="2024-07-21T04:07:53.00" id="{6d6dee3c-37a9-4174-8411-2b3d3878e7c1}">
        <Attribution userId="placeholder@email.com" userName="Peter Reinhardt" userProvider="google-sheets"/>
        <Anchor>
          <Comment id="{2ab9ae66-72d3-4266-ae44-509b5b576a8a}"/>
        </Anchor>
        <Create/>
      </Event>
      <Event time="2024-07-21T04:07:53.00" id="{d8bf384a-94a8-4631-9eb5-003f517d50e9}">
        <Attribution userId="placeholder@email.com" userName="Peter Reinhardt" userProvider="google-sheets"/>
        <Anchor>
          <Comment id="{2ab9ae66-72d3-4266-ae44-509b5b576a8a}"/>
        </Anchor>
        <Assign userId="katie@charmindustrial.com" userName="katie@charmindustrial.com" userProvider="google-sheets"/>
      </Event>
    </History>
  </Task>
  <Task id="{2726f6d7-f0a5-49ad-b3df-a6516712b856}">
    <Anchor>
      <Comment id="{6e89efa0-a21f-47c5-92a0-4492841ec97f}"/>
    </Anchor>
    <History>
      <Event time="2024-09-06T19:34:13.00" id="{76d97d73-1af2-4eb5-910c-20aeb70cb684}">
        <Attribution userId="placeholder@email.com" userName="Deleted user" userProvider="google-sheets"/>
        <Anchor>
          <Comment id="{6e89efa0-a21f-47c5-92a0-4492841ec97f}"/>
        </Anchor>
        <Create/>
      </Event>
      <Event time="2024-09-06T19:34:13.00" id="{5cfe96a5-c7df-427c-af45-2b1349a190af}">
        <Attribution userId="placeholder@email.com" userName="Deleted user" userProvider="google-sheets"/>
        <Anchor>
          <Comment id="{6e89efa0-a21f-47c5-92a0-4492841ec97f}"/>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35022ad8-0598-410f-b961-6fd68e2c807d}">
    <Anchor>
      <Comment id="{ed949ca7-378d-4cf3-87ab-610ae1057c47}"/>
    </Anchor>
    <History>
      <Event time="2025-08-30T17:36:24.00" id="{d5193047-ceed-437f-9c0c-055b4381b16c}">
        <Attribution userId="placeholder@email.com" userName="Samah Khalil" userProvider="google-sheets"/>
        <Anchor>
          <Comment id="{ed949ca7-378d-4cf3-87ab-610ae1057c47}"/>
        </Anchor>
        <Create/>
      </Event>
      <Event time="2025-08-30T17:36:24.00" id="{4d9a14f9-b878-42f8-91ce-7b89fd0640ff}">
        <Attribution userId="placeholder@email.com" userName="Samah Khalil" userProvider="google-sheets"/>
        <Anchor>
          <Comment id="{ed949ca7-378d-4cf3-87ab-610ae1057c47}"/>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b2468703-fb05-4a2b-978a-3dfdfd016c67}">
    <Anchor>
      <Comment id="{8588b8c3-e074-4cfc-ab38-b71312b4dc34}"/>
    </Anchor>
    <History>
      <Event time="2024-05-08T18:06:40.00" id="{fe377141-8af2-4387-ae06-192469cc3c32}">
        <Attribution userId="placeholder@email.com" userName="Max Lavine" userProvider="google-sheets"/>
        <Anchor>
          <Comment id="{8588b8c3-e074-4cfc-ab38-b71312b4dc34}"/>
        </Anchor>
        <Create/>
      </Event>
      <Event time="2024-05-08T18:06:40.00" id="{5fe3cbea-3cf3-4ff4-8fd1-7d284440f35f}">
        <Attribution userId="placeholder@email.com" userName="Max Lavine" userProvider="google-sheets"/>
        <Anchor>
          <Comment id="{8588b8c3-e074-4cfc-ab38-b71312b4dc34}"/>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5fb86e66-6660-4a00-abba-33224ff1c43f}">
    <Anchor>
      <Comment id="{2bef8d77-643d-41d1-a4c1-3ffc0e29957a}"/>
    </Anchor>
    <History>
      <Event time="2024-09-09T23:39:38.00" id="{0bf828ad-288c-40cb-a339-e58d6ba4e584}">
        <Attribution userId="placeholder@email.com" userName="Max Lavine" userProvider="google-sheets"/>
        <Anchor>
          <Comment id="{2bef8d77-643d-41d1-a4c1-3ffc0e29957a}"/>
        </Anchor>
        <Create/>
      </Event>
      <Event time="2024-09-09T23:39:38.00" id="{75438592-e55b-4f77-b96b-06e304c42dcb}">
        <Attribution userId="placeholder@email.com" userName="Max Lavine" userProvider="google-sheets"/>
        <Anchor>
          <Comment id="{2bef8d77-643d-41d1-a4c1-3ffc0e29957a}"/>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48c732fb-4464-4c32-8ec8-0313df4d9023}">
    <Anchor>
      <Comment id="{7809a331-0014-4e1c-8385-7a9b787401d2}"/>
    </Anchor>
    <History>
      <Event time="2024-07-21T05:13:37.00" id="{932aec4a-fa41-4594-80fd-ebc008928c54}">
        <Attribution userId="placeholder@email.com" userName="Peter Reinhardt" userProvider="google-sheets"/>
        <Anchor>
          <Comment id="{7809a331-0014-4e1c-8385-7a9b787401d2}"/>
        </Anchor>
        <Create/>
      </Event>
      <Event time="2024-07-21T05:13:37.00" id="{97a74004-bb01-442e-abb5-53bae8e9c3a8}">
        <Attribution userId="placeholder@email.com" userName="Peter Reinhardt" userProvider="google-sheets"/>
        <Anchor>
          <Comment id="{7809a331-0014-4e1c-8385-7a9b787401d2}"/>
        </Anchor>
        <Assign userId="katie@charmindustrial.com" userName="katie@charmindustrial.com" userProvider="google-sheets"/>
      </Event>
    </History>
  </Task>
  <Task id="{3d852ede-a408-4c21-83a0-ea92d94c70ee}">
    <Anchor>
      <Comment id="{83ceb7e7-bdca-4c75-bc4e-33e631c814cb}"/>
    </Anchor>
    <History>
      <Event time="2024-11-15T23:09:32.00" id="{40b17ad9-ea5a-41db-98cb-7638b23add82}">
        <Attribution userId="placeholder@email.com" userName="Max Lavine" userProvider="google-sheets"/>
        <Anchor>
          <Comment id="{83ceb7e7-bdca-4c75-bc4e-33e631c814cb}"/>
        </Anchor>
        <Create/>
      </Event>
      <Event time="2024-11-15T23:09:32.00" id="{5de4ec59-350d-4e7e-9b48-b429017ba6b8}">
        <Attribution userId="placeholder@email.com" userName="Max Lavine" userProvider="google-sheets"/>
        <Anchor>
          <Comment id="{83ceb7e7-bdca-4c75-bc4e-33e631c814cb}"/>
        </Anchor>
        <Assign userProvider="google-sheets"/>
      </Event>
    </History>
  </Task>
  <Task id="{d4e8ac26-f2ac-4401-b0cd-470f834d6e32}">
    <Anchor>
      <Comment id="{c683d683-ab75-4b4e-9539-3280f372ad8b}"/>
    </Anchor>
    <History>
      <Event time="2024-07-25T17:15:50.00" id="{cedfa5c8-b906-4bea-8875-373f10750454}">
        <Attribution userId="placeholder@email.com" userName="Peter Reinhardt" userProvider="google-sheets"/>
        <Anchor>
          <Comment id="{c683d683-ab75-4b4e-9539-3280f372ad8b}"/>
        </Anchor>
        <Create/>
      </Event>
      <Event time="2024-07-25T17:15:50.00" id="{1760d945-9910-4722-9da9-3875487005f7}">
        <Attribution userId="placeholder@email.com" userName="Peter Reinhardt" userProvider="google-sheets"/>
        <Anchor>
          <Comment id="{c683d683-ab75-4b4e-9539-3280f372ad8b}"/>
        </Anchor>
        <Assign userProvider="google-sheets"/>
      </Event>
    </History>
  </Task>
  <Task id="{2a164305-e331-4279-8a39-4d17a5cc05ee}">
    <Anchor>
      <Comment id="{53ed7081-61b7-4c70-bf8f-e35dec7ea5b5}"/>
    </Anchor>
    <History>
      <Event time="2024-07-25T17:16:02.00" id="{d1c9aca0-7548-4ab9-a2e5-d008d635fce4}">
        <Attribution userId="placeholder@email.com" userName="Peter Reinhardt" userProvider="google-sheets"/>
        <Anchor>
          <Comment id="{53ed7081-61b7-4c70-bf8f-e35dec7ea5b5}"/>
        </Anchor>
        <Create/>
      </Event>
      <Event time="2024-07-25T17:16:02.00" id="{3784a7b1-d293-4262-8d69-424378f331d9}">
        <Attribution userId="placeholder@email.com" userName="Peter Reinhardt" userProvider="google-sheets"/>
        <Anchor>
          <Comment id="{53ed7081-61b7-4c70-bf8f-e35dec7ea5b5}"/>
        </Anchor>
        <Assign userProvider="google-sheets"/>
      </Event>
    </History>
  </Task>
  <Task id="{8976556a-7afc-4ef8-b9d5-559fc87cb00f}">
    <Anchor>
      <Comment id="{aec85f1b-0a9e-48f3-bcc0-d9b43cdafa64}"/>
    </Anchor>
    <History>
      <Event time="2024-07-25T21:48:21.00" id="{fd0ae719-08ad-4fa8-a9f6-9ae6ade0fc19}">
        <Attribution userId="placeholder@email.com" userName="Deleted user" userProvider="google-sheets"/>
        <Anchor>
          <Comment id="{4707ac85-c370-418d-afac-f3aa16b60d98}"/>
        </Anchor>
        <Create/>
      </Event>
      <Event time="2024-07-25T21:48:21.00" id="{c5f8b771-ef4d-4b9e-95aa-33b3d78bb908}">
        <Attribution userId="placeholder@email.com" userName="Deleted user" userProvider="google-sheets"/>
        <Anchor>
          <Comment id="{4707ac85-c370-418d-afac-f3aa16b60d98}"/>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8b9e5aff-11ee-4c06-aac9-da963157c7b4}">
    <Anchor>
      <Comment id="{7f3d739c-3baa-41ad-9cec-eea49707d439}"/>
    </Anchor>
    <History>
      <Event time="2025-05-01T22:28:19.00" id="{25696803-3047-407a-9d84-853263c40567}">
        <Attribution userId="placeholder@email.com" userName="Garrett Lutz" userProvider="google-sheets"/>
        <Anchor>
          <Comment id="{7f3d739c-3baa-41ad-9cec-eea49707d439}"/>
        </Anchor>
        <Create/>
      </Event>
      <Event time="2025-05-01T22:28:19.00" id="{2ab867f4-887e-4c9e-9063-6f8b270a30c8}">
        <Attribution userId="placeholder@email.com" userName="Garrett Lutz" userProvider="google-sheets"/>
        <Anchor>
          <Comment id="{7f3d739c-3baa-41ad-9cec-eea49707d439}"/>
        </Anchor>
        <Assign userId="max@charmindustrial.com" userName="max@charmindustrial.com" userProvider="google-sheets"/>
      </Event>
    </History>
  </Task>
</Tasks>
</file>

<file path=xl/documenttasks/documenttask19.xml><?xml version="1.0" encoding="utf-8"?>
<Tasks xmlns="http://schemas.microsoft.com/office/tasks/2019/documenttasks">
  <Task id="{87cb68d3-7a44-41fe-b019-904c6e222505}">
    <Anchor>
      <Comment id="{0905baa4-2711-48ff-a147-8673b95cc8fd}"/>
    </Anchor>
    <History>
      <Event time="2025-01-30T19:40:19.00" id="{67e4e1e9-9649-480c-92de-dd428e90d2bf}">
        <Attribution userId="placeholder@email.com" userName="Max Lavine" userProvider="google-sheets"/>
        <Anchor>
          <Comment id="{b5fcd6c3-7cf9-4f3d-947e-a5c9ce15052b}"/>
        </Anchor>
        <Create/>
      </Event>
      <Event time="2025-01-30T19:40:19.00" id="{dd44e6f8-7d1d-4a97-9a60-b46cdeb85e70}">
        <Attribution userId="placeholder@email.com" userName="Max Lavine" userProvider="google-sheets"/>
        <Anchor>
          <Comment id="{b5fcd6c3-7cf9-4f3d-947e-a5c9ce15052b}"/>
        </Anchor>
        <Assign userId="kevin.niparko@charmindustrial.com" userName="kevin.niparko@charmindustrial.com" userProvider="google-sheets"/>
      </Event>
    </History>
  </Task>
  <Task id="{cc1e9f35-8b31-4e31-8167-a286649ec8be}">
    <Anchor>
      <Comment id="{518def6d-f489-4fac-bc26-1a807c3c123f}"/>
    </Anchor>
    <History>
      <Event time="2024-12-12T18:35:10.00" id="{5f72036b-2727-479b-bbbd-d3f9ae017d3b}">
        <Attribution userId="placeholder@email.com" userName="Max Lavine" userProvider="google-sheets"/>
        <Anchor>
          <Comment id="{518def6d-f489-4fac-bc26-1a807c3c123f}"/>
        </Anchor>
        <Create/>
      </Event>
      <Event time="2024-12-12T18:35:10.00" id="{bd9f274a-4db3-482a-bc26-31b6252651d5}">
        <Attribution userId="placeholder@email.com" userName="Max Lavine" userProvider="google-sheets"/>
        <Anchor>
          <Comment id="{518def6d-f489-4fac-bc26-1a807c3c123f}"/>
        </Anchor>
        <Assign userId="kevin.niparko@charmindustrial.com" userName="kevin.niparko@charmindustrial.com" userProvider="google-sheets"/>
      </Event>
    </History>
  </Task>
  <Task id="{342908bd-3ca6-45de-b03b-a3333dffa1e9}">
    <Anchor>
      <Comment id="{1d1d8c13-9b7f-4a0d-824d-45bcd27909d9}"/>
    </Anchor>
    <History>
      <Event time="2025-01-29T18:29:58.00" id="{23776094-13df-4fdb-b16a-6209a69b8ba0}">
        <Attribution userId="placeholder@email.com" userName="Max Lavine" userProvider="google-sheets"/>
        <Anchor>
          <Comment id="{1d1d8c13-9b7f-4a0d-824d-45bcd27909d9}"/>
        </Anchor>
        <Create/>
      </Event>
      <Event time="2025-01-29T18:29:58.00" id="{3d979297-bc3d-4eb9-88f1-938ac6b2d5e7}">
        <Attribution userId="placeholder@email.com" userName="Max Lavine" userProvider="google-sheets"/>
        <Anchor>
          <Comment id="{1d1d8c13-9b7f-4a0d-824d-45bcd27909d9}"/>
        </Anchor>
        <Assign userProvider="google-sheets"/>
      </Event>
    </History>
  </Task>
  <Task id="{f415611e-e176-4299-a93a-6a200b52d2a6}">
    <Anchor>
      <Comment id="{f149f59c-af1a-4200-ada2-1bdd1523892b}"/>
    </Anchor>
    <History>
      <Event time="2025-01-02T19:59:55.00" id="{31d450fa-a10f-4a69-ab9b-94a275b7826b}">
        <Attribution userId="placeholder@email.com" userName="Max Lavine" userProvider="google-sheets"/>
        <Anchor>
          <Comment id="{f149f59c-af1a-4200-ada2-1bdd1523892b}"/>
        </Anchor>
        <Create/>
      </Event>
      <Event time="2025-01-02T19:59:55.00" id="{bedd17c6-872b-44c1-8abd-2709f26fae02}">
        <Attribution userId="placeholder@email.com" userName="Max Lavine" userProvider="google-sheets"/>
        <Anchor>
          <Comment id="{f149f59c-af1a-4200-ada2-1bdd1523892b}"/>
        </Anchor>
        <Assign userId="antoinette@charmindustrial.com" userName="antoinette@charmindustrial.com" userProvider="google-sheets"/>
      </Event>
    </History>
  </Task>
  <Task id="{21b1b215-ac03-41b1-98fd-2bd6983c548b}">
    <Anchor>
      <Comment id="{54e0ec55-836e-4a79-8278-2c0240d3606d}"/>
    </Anchor>
    <History>
      <Event time="2024-12-30T19:53:31.00" id="{c100fb8b-e0e6-4705-993f-6c7560ce035b}">
        <Attribution userId="placeholder@email.com" userName="Max Lavine" userProvider="google-sheets"/>
        <Anchor>
          <Comment id="{54e0ec55-836e-4a79-8278-2c0240d3606d}"/>
        </Anchor>
        <Create/>
      </Event>
      <Event time="2024-12-30T19:53:31.00" id="{9800a468-caf5-4e63-8630-08e5411758c2}">
        <Attribution userId="placeholder@email.com" userName="Max Lavine" userProvider="google-sheets"/>
        <Anchor>
          <Comment id="{54e0ec55-836e-4a79-8278-2c0240d3606d}"/>
        </Anchor>
        <Assign userProvider="google-sheets"/>
      </Event>
    </History>
  </Task>
  <Task id="{eba412ee-07af-4581-9995-ed1bd127b98b}">
    <Anchor>
      <Comment id="{db3901ef-339f-4923-852d-5b5758bc8304}"/>
    </Anchor>
    <History>
      <Event time="2024-12-30T19:37:55.00" id="{a5e3eb3d-d86c-4156-a20d-3ad90215939b}">
        <Attribution userId="placeholder@email.com" userName="Max Lavine" userProvider="google-sheets"/>
        <Anchor>
          <Comment id="{db3901ef-339f-4923-852d-5b5758bc8304}"/>
        </Anchor>
        <Create/>
      </Event>
      <Event time="2024-12-30T19:37:55.00" id="{157c3f3e-9d01-4bbb-9257-16956646d8e2}">
        <Attribution userId="placeholder@email.com" userName="Max Lavine" userProvider="google-sheets"/>
        <Anchor>
          <Comment id="{db3901ef-339f-4923-852d-5b5758bc8304}"/>
        </Anchor>
        <Assign userProvider="google-sheets"/>
      </Event>
    </History>
  </Task>
  <Task id="{c58313ee-7e58-4228-9c5b-828c1110da9d}">
    <Anchor>
      <Comment id="{ebe958b6-44b3-4fbf-95eb-2dcf3e0820f0}"/>
    </Anchor>
    <History>
      <Event time="2025-01-10T17:46:55.00" id="{8f8b2ec4-c6b3-47b3-869f-01e9e19eecd1}">
        <Attribution userId="placeholder@email.com" userName="Max Lavine" userProvider="google-sheets"/>
        <Anchor>
          <Comment id="{ebe958b6-44b3-4fbf-95eb-2dcf3e0820f0}"/>
        </Anchor>
        <Create/>
      </Event>
      <Event time="2025-01-10T17:46:55.00" id="{06ea3a4c-c6fa-47cb-847e-a3b6ee3e5b5d}">
        <Attribution userId="placeholder@email.com" userName="Max Lavine" userProvider="google-sheets"/>
        <Anchor>
          <Comment id="{ebe958b6-44b3-4fbf-95eb-2dcf3e0820f0}"/>
        </Anchor>
        <Assign userProvider="google-sheets"/>
      </Event>
    </History>
  </Task>
  <Task id="{d6f608d3-e40a-4bfd-919f-63856b68c98b}">
    <Anchor>
      <Comment id="{83d6f273-a192-42c6-83b1-a19e00001f09}"/>
    </Anchor>
    <History>
      <Event time="2025-01-10T17:47:10.00" id="{c25a0792-b8c3-437a-bc7e-fdad7eb08e95}">
        <Attribution userId="placeholder@email.com" userName="Max Lavine" userProvider="google-sheets"/>
        <Anchor>
          <Comment id="{83d6f273-a192-42c6-83b1-a19e00001f09}"/>
        </Anchor>
        <Create/>
      </Event>
      <Event time="2025-01-10T17:47:10.00" id="{ddb7e681-c175-4e90-8c46-57b7b7858ff2}">
        <Attribution userId="placeholder@email.com" userName="Max Lavine" userProvider="google-sheets"/>
        <Anchor>
          <Comment id="{83d6f273-a192-42c6-83b1-a19e00001f09}"/>
        </Anchor>
        <Assign userProvider="google-sheets"/>
      </Event>
    </History>
  </Task>
  <Task id="{144628c3-a27d-4d34-b952-4e587062b476}">
    <Anchor>
      <Comment id="{2a076524-167b-4658-98c3-7e38942885db}"/>
    </Anchor>
    <History>
      <Event time="2025-01-10T17:47:03.00" id="{a2f33d00-ed58-4f69-8c47-65af4c3ae505}">
        <Attribution userId="placeholder@email.com" userName="Max Lavine" userProvider="google-sheets"/>
        <Anchor>
          <Comment id="{2a076524-167b-4658-98c3-7e38942885db}"/>
        </Anchor>
        <Create/>
      </Event>
      <Event time="2025-01-10T17:47:03.00" id="{b86bb7a7-2a21-4525-bd5e-f8c479c8d264}">
        <Attribution userId="placeholder@email.com" userName="Max Lavine" userProvider="google-sheets"/>
        <Anchor>
          <Comment id="{2a076524-167b-4658-98c3-7e38942885db}"/>
        </Anchor>
        <Assign userProvider="google-sheets"/>
      </Event>
    </History>
  </Task>
  <Task id="{7b03ef1d-d5cd-4530-9b8d-5e87700f5dc4}">
    <Anchor>
      <Comment id="{7c45d280-6d64-40ba-a468-d12aa903cede}"/>
    </Anchor>
    <History>
      <Event time="2025-01-24T22:30:18.00" id="{16bbb0f8-9c3e-4ce7-b986-c0f14ada30e5}">
        <Attribution userId="placeholder@email.com" userName="Max Lavine" userProvider="google-sheets"/>
        <Anchor>
          <Comment id="{7c45d280-6d64-40ba-a468-d12aa903cede}"/>
        </Anchor>
        <Create/>
      </Event>
      <Event time="2025-01-24T22:30:18.00" id="{993a700d-f4fd-4087-9f4e-3536cbd5fc1d}">
        <Attribution userId="placeholder@email.com" userName="Max Lavine" userProvider="google-sheets"/>
        <Anchor>
          <Comment id="{7c45d280-6d64-40ba-a468-d12aa903cede}"/>
        </Anchor>
        <Assign userProvider="google-sheets"/>
      </Event>
    </History>
  </Task>
  <Task id="{b8516ef6-9e05-4aef-b46d-b17f31565e5d}">
    <Anchor>
      <Comment id="{119b1925-1a3f-4d0d-9478-1b6b038d473c}"/>
    </Anchor>
    <History>
      <Event time="2024-12-30T19:55:50.00" id="{0ae219ae-d9e6-474e-8f65-8d2e0ad1710f}">
        <Attribution userId="placeholder@email.com" userName="Max Lavine" userProvider="google-sheets"/>
        <Anchor>
          <Comment id="{119b1925-1a3f-4d0d-9478-1b6b038d473c}"/>
        </Anchor>
        <Create/>
      </Event>
      <Event time="2024-12-30T19:55:50.00" id="{f432fa66-097a-4187-aab6-2d7d1648fed9}">
        <Attribution userId="placeholder@email.com" userName="Max Lavine" userProvider="google-sheets"/>
        <Anchor>
          <Comment id="{119b1925-1a3f-4d0d-9478-1b6b038d473c}"/>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1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11.png"/></Relationships>
</file>

<file path=xl/drawings/_rels/drawing4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5.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1.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7.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0.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9.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0</xdr:row>
      <xdr:rowOff>114300</xdr:rowOff>
    </xdr:from>
    <xdr:ext cx="1590675" cy="190500"/>
    <xdr:pic>
      <xdr:nvPicPr>
        <xdr:cNvPr id="0" name="image8.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15</xdr:row>
      <xdr:rowOff>133350</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3.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2.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6.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7.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5.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omas.leese@charmindustrial.com" id="{ae33ec18-d099-4458-8ac7-db34d23cbafe}" userId="thomas.leese@charmindustrial.com" providerId="google-sheets"/>
  <x18tc:person displayName="Dillon Card" id="{12737c7d-9f03-45cb-bc29-f1f95409654d}" providerId="google-sheets"/>
  <x18tc:person displayName="brent@charmindustrial.com" id="{3407922f-30a1-4152-9e7a-4e1f6c1dab83}" userId="brent@charmindustrial.com" providerId="google-sheets"/>
  <x18tc:person displayName="Peter Reinhardt" id="{3869a200-4156-4be7-9585-b1ce2942accf}" providerId="google-sheets"/>
  <x18tc:person displayName="Katrina Leyden" id="{1f6918d1-3ddd-44e5-b046-8abd1685b8f0}" providerId="google-sheets"/>
  <x18tc:person displayName="Liam Gaughan" id="{4d155a07-4737-4fe7-80ad-548719653df4}" providerId="google-sheets"/>
  <x18tc:person displayName="Deleted user" id="{7b1a65a4-9382-4efb-9d5f-936f19d93d4e}" providerId="google-sheets"/>
  <x18tc:person displayName="Brent Kamer" id="{f5f15572-ca29-468d-b879-92b2413d3c16}" providerId="google-sheets"/>
  <x18tc:person displayName="subodh@charmindustrial.com" id="{a786dead-9877-4f63-8e62-abbde454b03a}" userId="subodh@charmindustrial.com" providerId="google-sheets"/>
  <x18tc:person displayName="Harris Cohn" id="{ffce03c1-e675-4c93-8cd3-b6e4c82d48d8}" providerId="google-sheets"/>
  <x18tc:person displayName="Garrett Lutz" id="{06747fd8-fc57-462b-9c7f-2bbf08e448b0}" providerId="google-sheets"/>
  <x18tc:person displayName="Thomas Leese" id="{fe54d822-4260-40ec-8f9b-e3b9b03d0aec}" providerId="google-sheets"/>
  <x18tc:person displayName="harris@charmindustrial.com" id="{fc5b5cb7-2b4e-4f22-b398-3f522d157e2c}" userId="harris@charmindustrial.com" providerId="google-sheets"/>
  <x18tc:person displayName="ed@charmindustrial.com" id="{8507f3f2-8287-42c1-9221-a7dc1b15cfc6}" userId="ed@charmindustrial.com" providerId="google-sheets"/>
  <x18tc:person displayName="emilie@charmindustrial.com" id="{00665970-857d-44f0-983e-058c5d2b164c}" userId="emilie@charmindustrial.com" providerId="google-sheets"/>
  <x18tc:person displayName="peter@charmindustrial.com" id="{29fe7b7b-1ea2-44af-94e2-8431b6e2786f}" userId="peter@charmindustrial.com" providerId="google-sheets"/>
  <x18tc:person displayName="anna@charmindustrial.com" id="{f3f15470-b911-4d89-9089-65cea9523c2c}" userId="anna@charmindustrial.com" providerId="google-sheets"/>
  <x18tc:person displayName="max@charmindustrial.com" id="{0da4b0b8-d90f-45c2-a8cd-57c61471e247}" userId="max@charmindustrial.com" providerId="google-sheets"/>
  <x18tc:person displayName="Brian Jamieson" id="{70c117d2-c020-4a1c-89ad-93111744a08b}" providerId="google-sheets"/>
  <x18tc:person displayName="Katie Holligan" id="{c72a14e5-4c8d-4377-adcb-3c6ade3fac7d}" providerId="google-sheets"/>
  <x18tc:person displayName="Deleted user" id="{b69f98e7-141d-4d31-8695-d7467523ee00}" providerId="google-sheets"/>
  <x18tc:person displayName="andrew.thomas@charmindustrial.com" id="{42e5b8f9-60b4-4dfa-ac1c-d6cff7183f05}" userId="andrew.thomas@charmindustrial.com" providerId="google-sheets"/>
  <x18tc:person displayName="Jackson Lisec" id="{481daa14-e6e7-4a52-9d16-dedd19736348}" providerId="google-sheets"/>
  <x18tc:person displayName="samah.khalil@charmindustrial.com" id="{11a1f596-d124-45a2-848b-fdbde4b7019f}" userId="samah.khalil@charmindustrial.com" providerId="google-sheets"/>
  <x18tc:person displayName="Kevin Niparko" id="{c18c9a88-88fe-417b-ac4c-ef5e4b6fde1c}" providerId="google-sheets"/>
  <x18tc:person displayName="jackson.lisec@charmindustrial.com" id="{2c7c31d8-392d-4414-8eb0-ec667fd5efcf}" userId="jackson.lisec@charmindustrial.com" providerId="google-sheets"/>
  <x18tc:person displayName="bryan@charmindustrial.com" id="{2af91e65-74f1-4008-8b94-e07d14457195}" userId="bryan@charmindustrial.com" providerId="google-sheets"/>
  <x18tc:person displayName="kevin.niparko@charmindustrial.com" id="{71ed8f8b-e0cc-4d9a-ae01-34f6485b5054}" userId="kevin.niparko@charmindustrial.com" providerId="google-sheets"/>
  <x18tc:person displayName="garrett.lutz@charmindustrial.com" id="{9c68715d-dbc5-4757-8a4a-15c284ce7f55}" userId="garrett.lutz@charmindustrial.com" providerId="google-sheets"/>
  <x18tc:person displayName="Samah Khalil" id="{d4e75c71-4df7-4350-a529-0d16d9bff311}" providerId="google-sheets"/>
  <x18tc:person displayName="Antoinette Matschuck" id="{fc6b6514-401b-4006-bda7-6a18f962bfa1}" providerId="google-sheets"/>
  <x18tc:person displayName="Deleted user" id="{e2c8d504-6763-42ca-a5d2-8186ef389c07}" providerId="google-sheets"/>
  <x18tc:person displayName="Edward Young" id="{c87b84c7-3860-40e9-a521-4a0eaf8751ab}" providerId="google-sheets"/>
  <x18tc:person displayName="antoinette@charmindustrial.com" id="{9ba60896-f291-4f55-868c-87690e670479}" userId="antoinette@charmindustrial.com" providerId="google-sheets"/>
  <x18tc:person displayName="liam.gaughan@charmindustrial.com" id="{af44145f-e032-4a65-81b0-70b1e455a225}" userId="liam.gaughan@charmindustrial.com" providerId="google-sheets"/>
  <x18tc:person displayName="jennifer.anderson@charmindustrial.com" id="{5a3ba248-4642-4f85-a8f1-57b5c14865ad}" userId="jennifer.anderson@charmindustrial.com" providerId="google-sheets"/>
  <x18tc:person displayName="mingyi@mangrovesystems.com" id="{41b55014-a9bb-4cd4-98bc-3b02238bea68}" userId="mingyi@mangrovesystems.com" providerId="google-sheets"/>
  <x18tc:person displayName="Max Lavine" id="{f2f4fd08-e2dd-4881-a5d5-ecfee8f95a19}" providerId="google-sheets"/>
  <x18tc:person displayName="malak@charmindustrial.com" id="{1d6d3f7d-c915-41b3-84e4-e01e5a6b0c19}" userId="malak@charmindustrial.com" providerId="google-sheets"/>
  <x18tc:person displayName="Deleted user" id="{c0189f6a-d052-4a96-86a2-d93993d68e02}" providerId="google-sheets"/>
  <x18tc:person displayName="caleb@charmindustrial.com" id="{7bbbb1ec-af58-46c3-a3bf-9ce2d5720cbd}" userId="caleb@charmindustrial.com" providerId="google-sheets"/>
  <x18tc:person displayName="james.grimes@charmindustrial.com" id="{626efb59-bfa5-4637-b6bd-9394461ba4ea}" userId="james.grimes@charmindustrial.com" providerId="google-sheets"/>
  <x18tc:person displayName="katie@charmindustrial.com" id="{7927b384-b4ac-47d3-b7f9-4870d00ff58e}" userId="katie@charmindustrial.com" providerId="google-sheets"/>
  <x18tc:person displayName="Eldon Chou" id="{3e8d5fa8-6c6c-4569-846f-c416b3cda47c}" providerId="google-sheets"/>
  <x18tc:person displayName="dillon@charmindustrial.com" id="{75461b35-e921-4db8-9938-6af0752046a5}" userId="dillon@charmindustrial.com" providerId="google-sheets"/>
  <x18tc:person displayName="jula.nedio@charmindustrial.com" id="{871e3db5-91af-4877-b1c3-f438280c7a39}" userId="jula.nedio@charmindustrial.com" providerId="google-sheets"/>
  <x18tc:person displayName="eldon@charmindustrial.com" id="{39800645-d2b8-44ee-95d3-7f3dc8e548f1}" userId="eldon@charmindustrial.com" providerId="google-sheets"/>
  <x18tc:person displayName="Deleted user" id="{357a391c-4356-49f1-a98f-7e0f6566be9b}" providerId="google-sheets"/>
  <x18tc:person displayName="Jennifer Anderson" id="{7fd14270-a82e-401c-842d-40ebac921f4e}" providerId="google-sheets"/>
  <x18tc:person displayName="Deleted user" id="{c892e60e-9cae-4b8f-9412-b90a2fc8d910}" providerId="google-sheets"/>
  <x18tc:person displayName="Mingyi Bian" id="{86986084-c06a-4e4e-9348-2685031217ee}" providerId="google-sheets"/>
  <x18tc:person displayName="brian.jamieson@charmindustrial.com" id="{1524adb4-804d-474d-8350-fbedda345bb5}" userId="brian.jamieson@charmindustrial.com" providerId="google-sheets"/>
  <x18tc:person displayName="Deleted user" id="{3c6618c6-e881-488b-8a1b-03a96c4bfa8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74">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9">
      <sharedItems containsBlank="1">
        <e v="#N/A"/>
        <m/>
      </sharedItems>
    </cacheField>
    <cacheField name="Tonnes Taken" numFmtId="169">
      <sharedItems containsString="0" containsBlank="1" containsNumber="1" containsInteger="1">
        <n v="0.0"/>
        <m/>
      </sharedItems>
    </cacheField>
    <cacheField name="Tonnes in Car" numFmtId="169">
      <sharedItems containsBlank="1">
        <e v="#N/A"/>
        <m/>
      </sharedItems>
    </cacheField>
    <cacheField name="Dwell (days)" numFmtId="1">
      <sharedItems containsString="0" containsBlank="1" containsNumber="1" containsInteger="1">
        <n v="549.0"/>
        <n v="538.0"/>
        <n v="557.0"/>
        <n v="551.0"/>
        <n v="540.0"/>
        <n v="563.0"/>
        <n v="693.0"/>
        <n v="581.0"/>
        <n v="552.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03" sheet="Basco Injection -- COBB"/>
  </cacheSource>
  <cacheFields>
    <cacheField name="injection_batch" numFmtId="0">
      <sharedItems containsBlank="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3"/>
        <s v="2-164"/>
        <s v="2-165"/>
        <s v="2-166"/>
        <s v="2-167"/>
        <s v="2-169"/>
        <s v="2-170"/>
        <s v="2-171"/>
        <s v="2-172"/>
        <s v="2-173"/>
        <s v="2-174"/>
        <s v="2-175"/>
        <s v="2-177"/>
        <s v="2-178"/>
        <s v="2-179"/>
        <s v="2-180"/>
        <s v="2-181"/>
        <s v="2-182"/>
        <s v="2-183"/>
        <s v="2-184"/>
        <s v="2-185"/>
        <s v="2-186"/>
        <s v="2-187"/>
        <s v="2-188"/>
        <s v="2-189"/>
        <s v="2-190"/>
        <s v="2-191"/>
        <s v="2-192"/>
        <s v="2-194-KS-RC"/>
        <s v="2-199"/>
        <s v="2-201"/>
        <s v="2-204"/>
        <s v="3-55"/>
        <s v="3-56"/>
        <s v="K-001"/>
        <s v="K-002"/>
        <m/>
      </sharedItems>
    </cacheField>
    <cacheField name="injected_product" numFmtId="0">
      <sharedItems containsBlank="1">
        <s v="bio_oil"/>
        <s v="oily_fraction"/>
        <s v="Calciner"/>
        <m/>
      </sharedItems>
    </cacheField>
    <cacheField name="consumed_lot" numFmtId="0">
      <sharedItems containsBlank="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30-T_offload_1"/>
        <s v="2329-T_offload_1"/>
        <s v="2324-T_offload_1"/>
        <s v="2325-T_offload_1"/>
        <s v="2327-T_offload_1"/>
        <s v="2332-T_offload_1"/>
        <s v="2333-T_offload_1"/>
        <s v="2334-T_offload_1"/>
        <s v="2335-T_offload_1"/>
        <s v="2337-T_offload_1"/>
        <s v="2269-T_offload_1"/>
        <s v="2336-T_offload_1"/>
        <s v="2342-T_offload_1"/>
        <s v="2341-T_offload_1"/>
        <s v="SF_trailer_2_offload"/>
        <s v="2343-T_offload_1"/>
        <s v="2338-T_offload_1"/>
        <s v="Rail_GPRX 5188_2.27.26_offload_1"/>
        <s v="Rail_GPRX 5188_2.27.26_offload_2"/>
        <s v="Rail_GPRX 5188_2.27.26_offload_3"/>
        <s v="Rail_GPRX 5188_2.27.26_offload_4"/>
        <s v="Rail_TIMX201060_2.27.26_redo_offload_1"/>
        <s v="Rail_TIMX201060_2.27.26_redo_offload_2"/>
        <s v="Rail_TIMX201060_2.27.26_redo_offload_4"/>
        <s v="Rail_TIMX201060_2.27.26_redo_offload_3"/>
        <s v="Rail_TILX200231_3.23.2026_offload_1"/>
        <s v="Rail_TILX200231_3.23.2026_offload_2"/>
        <s v="Rail_TILX200231_3.23.2026_offload_3"/>
        <s v="OPBA11_offload_1"/>
        <s v="OPBA11_offload_2"/>
        <s v="OPBA10_offload_1"/>
        <s v="2352-T_offload_1"/>
        <s v="Rail_TILX200228_4.2.2026_offload_1"/>
        <s v="Rail_TILX200228_4.2.2026_offload_4"/>
        <s v="LOT00004246"/>
        <s v="LOT00004460"/>
        <s v="LOT00004520"/>
        <s v="LOT00004480"/>
        <s v="LOT00004486"/>
        <s v="LOT00004545"/>
        <s v="KC_0003"/>
        <s v="KC_0001"/>
        <s v="KC_0002"/>
        <s v="KC_0004"/>
        <s v="KC-0005"/>
        <s v="KC_0008"/>
        <s v="KC_0007"/>
        <s v="KC_0006"/>
        <m/>
      </sharedItems>
    </cacheField>
    <cacheField name="security_tag" numFmtId="0">
      <sharedItems containsString="0" containsBlank="1">
        <m/>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30-T"/>
        <s v="2329-T"/>
        <s v="2324-T"/>
        <s v="2325-T"/>
        <s v="2327-T"/>
        <s v="2332-T"/>
        <s v="2333-T"/>
        <s v="2334-T"/>
        <s v="2335-T"/>
        <s v="2337-T"/>
        <s v="2269-T"/>
        <s v="2336-T"/>
        <s v="2342-T"/>
        <s v="2341-T"/>
        <m/>
        <s v="2343-T"/>
        <s v="2338-T"/>
        <s v="2310-R, 2312-R, 2313-R"/>
        <s v="2314-R, 2316-R, 2317-R"/>
        <s v="2328-R, 2339-R, 2340-R"/>
        <s v="STPX 094624"/>
        <s v="STPX 094625"/>
        <s v="2352-T"/>
        <s v="2344-R, 2345-R, 2346-R"/>
      </sharedItems>
    </cacheField>
    <cacheField name="quantity_consumed_in_injection" numFmtId="0">
      <sharedItems containsString="0" containsBlank="1"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8410.0"/>
        <n v="19800.0"/>
        <n v="19760.0"/>
        <n v="19190.0"/>
        <n v="19577.0"/>
        <n v="20039.69456"/>
        <n v="19939.90432"/>
        <n v="18678.91856"/>
        <n v="20510.0"/>
        <n v="19731.252"/>
        <n v="15655.046"/>
        <n v="19885.0"/>
        <n v="19921.76064"/>
        <n v="21509.33264"/>
        <n v="22634.2408"/>
        <n v="21457.0776"/>
        <n v="12419.34896"/>
        <n v="21854.06256"/>
        <n v="21736.12864"/>
        <n v="5620.17728"/>
        <n v="21799.63152"/>
        <n v="21491.18896"/>
        <n v="21409.5424"/>
        <n v="22434.66032"/>
        <n v="22679.6"/>
        <n v="13562.4008"/>
        <n v="19459.0968"/>
        <n v="18080.0"/>
        <n v="19145.0"/>
        <n v="5805.9776"/>
        <n v="1118.4"/>
        <n v="1174.0"/>
        <n v="1031.0"/>
        <n v="1062.0"/>
        <n v="1054.4"/>
        <n v="1179.0"/>
        <n v="999.0"/>
        <n v="1189.0"/>
        <n v="1165.0"/>
        <n v="1185.0"/>
        <n v="1092.0"/>
        <n v="1141.5"/>
        <n v="1175.5"/>
        <n v="1209.0"/>
        <m/>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8410.0"/>
        <n v="19800.0"/>
        <n v="19760.0"/>
        <n v="19190.0"/>
        <n v="19577.03072"/>
        <n v="20039.69456"/>
        <n v="19939.90432"/>
        <n v="18678.91856"/>
        <n v="20510.0"/>
        <n v="19731.252"/>
        <m/>
        <n v="19885.47328"/>
        <n v="19921.76064"/>
        <n v="21509.33264"/>
        <n v="22634.2408"/>
        <n v="21457.0776"/>
        <n v="12419.34896"/>
        <n v="21854.06256"/>
        <n v="21736.12864"/>
        <n v="5620.17728"/>
        <n v="21799.63152"/>
        <n v="21491.18896"/>
        <n v="21409.5424"/>
        <n v="22434.66032"/>
        <n v="22679.6"/>
        <n v="13562.4008"/>
        <n v="19459.0968"/>
        <n v="18080.0"/>
        <n v="19145.0"/>
        <n v="5805.9776"/>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8410.0"/>
        <n v="19800.0"/>
        <n v="19760.0"/>
        <n v="19190.0"/>
        <n v="19660.0"/>
        <n v="20180.0"/>
        <n v="19980.0"/>
        <n v="18930.0"/>
        <n v="20510.0"/>
        <n v="19750.0"/>
        <m/>
        <n v="19910.0"/>
        <n v="19950.0"/>
        <n v="78020.0"/>
        <n v="71010.0"/>
        <n v="77270.0"/>
        <n v="79350.0"/>
        <n v="80300.0"/>
        <n v="18080.0"/>
        <n v="76580.0"/>
        <n v="1125.0"/>
        <n v="1273.0"/>
        <n v="1285.0"/>
        <n v="1185.0"/>
        <n v="1232.0"/>
        <n v="1261.0"/>
        <n v="1284.0"/>
      </sharedItems>
    </cacheField>
    <cacheField name="order_line_completed_on" numFmtId="185">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6T20:09:27Z"/>
        <d v="2026-03-16T20:08:12Z"/>
        <d v="2026-03-18T13:16:50Z"/>
        <d v="2026-03-19T13:10:45Z"/>
        <d v="2026-03-19T13:11:29Z"/>
        <d v="2026-03-20T13:05:11Z"/>
        <d v="2026-03-20T13:07:32Z"/>
        <d v="2026-03-20T13:08:49Z"/>
        <d v="2026-03-21T19:42:53Z"/>
        <d v="2026-03-21T20:01:18Z"/>
        <d v="2026-03-09T16:21:56Z"/>
        <d v="2026-03-22T12:53:17Z"/>
        <d v="2026-03-23T12:13:40Z"/>
        <d v="2026-03-24T13:45:12Z"/>
        <m/>
        <d v="2026-03-24T13:41:18Z"/>
        <d v="2026-03-24T13:42:08Z"/>
        <d v="2026-03-27T19:52:03Z"/>
        <d v="2026-04-02T16:06:02Z"/>
        <d v="2026-04-03T16:20:21Z"/>
        <d v="2026-04-10T16:02:40Z"/>
        <d v="2026-04-10T16:08:01Z"/>
        <d v="2026-04-15T17:09:36Z"/>
        <d v="2026-04-16T14:58:2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851029E3-70B8-4312-3C62-08DE7FB7377A/lines/6FEBF10D-F9DE-4139-3D13-08DE7FB7377A)"/>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m/>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F8480784-E332-48A6-ED88-08DE91ADA34A/lines/703DBE98-CCD9-46E2-3347-08DE91ADA34B)"/>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0CC3CC3C-CCB8-42AE-08DF-08DE84F09F6B/trace/01E16386-7861-4853-0B1D-08DE84F09F6B/"/>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m/>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313E06CA-8706-45D2-75BD-08DE9BC89EC0/trace/DFFCCB27-476B-4AE2-8A91-08DE9BC89EC0/"/>
        <s v="https://charm-industrial.manufacturo.cloud/app/eworkin-plus-execution/order-execution/B83F683E-6CCC-4D05-B82B-08DE9BC8A0A9/trace/974E76CA-51F5-4195-BB4F-08DE9BC8A0A9/"/>
      </sharedItems>
    </cacheField>
    <cacheField name="injection_completion_date" numFmtId="186">
      <sharedItems containsDate="1" containsString="0" containsBlank="1">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4-21T00:00:00Z"/>
        <m/>
      </sharedItems>
    </cacheField>
    <cacheField name="injection_ph" numFmtId="0">
      <sharedItems containsString="0" containsBlank="1" containsNumber="1">
        <n v="2.8"/>
        <n v="2.9"/>
        <n v="3.2"/>
        <n v="3.0"/>
        <n v="2.7"/>
        <n v="3.6"/>
        <n v="2.5"/>
        <n v="2.6"/>
        <n v="3.1"/>
        <n v="31.0"/>
        <n v="34.8"/>
        <n v="33.0"/>
        <n v="3.01"/>
        <n v="13.0"/>
        <m/>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tring="0" containsBlank="1" containsNumber="1" containsInteger="1">
        <n v="0.0"/>
        <m/>
      </sharedItems>
    </cacheField>
    <cacheField name="week_of_year" numFmtId="0">
      <sharedItems containsString="0" containsBlank="1" containsNumber="1" containsInteger="1">
        <n v="7.0"/>
        <n v="8.0"/>
        <n v="9.0"/>
        <n v="10.0"/>
        <n v="11.0"/>
        <n v="12.0"/>
        <n v="13.0"/>
        <m/>
        <n v="14.0"/>
        <n v="15.0"/>
        <n v="17.0"/>
        <n v="18.0"/>
      </sharedItems>
    </cacheField>
    <cacheField name="ISO_week_starting" numFmtId="0">
      <sharedItems containsString="0" containsBlank="1" containsNumber="1" containsInteger="1">
        <n v="2.0"/>
        <n v="3.0"/>
        <n v="4.0"/>
        <n v="6.0"/>
        <n v="7.0"/>
        <n v="5.0"/>
        <n v="1.0"/>
        <m/>
      </sharedItems>
    </cacheField>
    <cacheField name="week_starting_injected" numFmtId="186">
      <sharedItems containsDate="1" containsString="0" containsBlank="1">
        <d v="2026-02-09T00:00:00Z"/>
        <d v="2026-02-16T00:00:00Z"/>
        <d v="2026-02-23T00:00:00Z"/>
        <d v="2026-03-02T00:00:00Z"/>
        <d v="2026-03-09T00:00:00Z"/>
        <d v="2026-03-16T00:00:00Z"/>
        <d v="2026-03-23T00:00:00Z"/>
        <d v="2026-03-30T00:00:00Z"/>
        <d v="2026-04-06T00:00:00Z"/>
        <d v="2026-04-20T00:00:00Z"/>
        <d v="2026-04-27T00:00:00Z"/>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74"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9" outline="0" multipleItemSelectionAllowed="1" showAll="0">
      <items>
        <item x="0"/>
        <item x="1"/>
        <item t="default"/>
      </items>
    </pivotField>
    <pivotField name="Tonnes Taken" compact="0" numFmtId="169" outline="0" multipleItemSelectionAllowed="1" showAll="0">
      <items>
        <item x="0"/>
        <item x="1"/>
        <item t="default"/>
      </items>
    </pivotField>
    <pivotField name="Tonnes in Car" dataField="1" compact="0" numFmtId="169"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injected_product" axis="axisCol" compact="0" outline="0" multipleItemSelectionAllowed="1" showAll="0" sortType="ascending">
      <items>
        <item x="3"/>
        <item x="0"/>
        <item x="2"/>
        <item x="1"/>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security_tag" compact="0" outline="0" multipleItemSelectionAllowed="1" showAll="0">
      <items>
        <item x="0"/>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order_line_completed_on" compact="0" numFmtId="18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injection_completion_date" compact="0" numFmtId="18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x="1"/>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x="7"/>
        <item t="default"/>
      </items>
    </pivotField>
    <pivotField name="week_starting_injected" axis="axisRow" compact="0" numFmtId="186" outline="0" multipleItemSelectionAllowed="1" showAll="0" sortType="ascending">
      <items>
        <item x="11"/>
        <item x="0"/>
        <item x="1"/>
        <item x="2"/>
        <item x="3"/>
        <item x="4"/>
        <item x="5"/>
        <item x="6"/>
        <item x="7"/>
        <item x="8"/>
        <item x="9"/>
        <item x="10"/>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29T21:10:40.00" personId="{481daa14-e6e7-4a52-9d16-dedd19736348}" id="{406f8481-2e4f-42f3-a307-ba04ba1fc010}"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9c68715d-dbc5-4757-8a4a-15c284ce7f55}" mentionId="{3fd18697-d67b-4c8d-aa08-bc16004f45cf}" startIndex="0" length="33"/>
      <x18tc:mention mentionpersonId="{0da4b0b8-d90f-45c2-a8cd-57c61471e247}" mentionId="{1def100c-f969-48c2-ab2a-35366d9c7522}" startIndex="34" length="24"/>
    </x18tc:mentions>
  </x18tc:threadedComment>
  <x18tc:threadedComment ref="A1" dT="2025-05-30T21:05:28.00" personId="{f2f4fd08-e2dd-4881-a5d5-ecfee8f95a19}" id="{b33a7cb9-9b93-4258-8510-af3e51b2f5ff}" parentId="{406f8481-2e4f-42f3-a307-ba04ba1fc010}">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f2f4fd08-e2dd-4881-a5d5-ecfee8f95a19}" id="{8c3d88c0-0228-4d0a-a2d0-c20b3e37a17c}" parentId="{406f8481-2e4f-42f3-a307-ba04ba1fc010}">
    <x18tc:text xml:space="preserve">CC @garrett.lutz@charmindustrial.com</x18tc:text>
    <x18tc:mentions>
      <x18tc:mention mentionpersonId="{9c68715d-dbc5-4757-8a4a-15c284ce7f55}" mentionId="{14160baa-06f2-4074-80de-5ebcc2288c43}" startIndex="3" length="33"/>
    </x18tc:mentions>
  </x18tc:threadedComment>
  <x18tc:threadedComment ref="A1" dT="2025-08-04T16:12:20.00" personId="{481daa14-e6e7-4a52-9d16-dedd19736348}" id="{f20b18f4-61d9-4181-bef7-fec9d856bf61}" done="0">
    <x18tc:text xml:space="preserve">First Charm Batch</x18tc:text>
  </x18tc:threadedComment>
  <x18tc:threadedComment ref="A1" dT="2025-07-21T18:53:05.00" personId="{06747fd8-fc57-462b-9c7f-2bbf08e448b0}" id="{24941b5f-f31c-4a6b-b0a5-9ccee2a1e58a}" done="1">
    <x18tc:text xml:space="preserve">@jackson.lisec@charmindustrial.com This one is messed up because its WV and Eldon did everything manually I believe?</x18tc:text>
    <x18tc:mentions>
      <x18tc:mention mentionpersonId="{2c7c31d8-392d-4414-8eb0-ec667fd5efcf}" mentionId="{8f3f25c9-5f8f-4439-b052-f43d6dca558f}" startIndex="0" length="34"/>
    </x18tc:mentions>
  </x18tc:threadedComment>
  <x18tc:threadedComment ref="A1" dT="2025-06-25T21:30:10.00" personId="{4d155a07-4737-4fe7-80ad-548719653df4}" id="{d110390a-d02e-47ca-8fc9-72917c799ae3}" done="0">
    <x18tc:text xml:space="preserve">@garrett.lutz@charmindustrial.com Was this third party or Charm?</x18tc:text>
    <x18tc:mentions>
      <x18tc:mention mentionpersonId="{9c68715d-dbc5-4757-8a4a-15c284ce7f55}" mentionId="{07c51b8f-588c-4e67-a0a3-1027f16d336f}" startIndex="0" length="33"/>
    </x18tc:mentions>
  </x18tc:threadedComment>
  <x18tc:threadedComment ref="A1" dT="2025-06-25T21:43:16.00" personId="{06747fd8-fc57-462b-9c7f-2bbf08e448b0}" id="{0cdad1f9-1685-411d-8dc3-62ed914d2e3f}" parentId="{d110390a-d02e-47ca-8fc9-72917c799ae3}">
    <x18tc:text xml:space="preserve">Oh gosh, @jackson.lisec@charmindustrial.com do you know the answer to this?</x18tc:text>
    <x18tc:mentions>
      <x18tc:mention mentionpersonId="{2c7c31d8-392d-4414-8eb0-ec667fd5efcf}" mentionId="{c9083dcd-79ed-4883-a0f1-6088e7ba4242}" startIndex="9" length="34"/>
    </x18tc:mentions>
  </x18tc:threadedComment>
  <x18tc:threadedComment ref="A1" dT="2025-06-25T21:44:39.00" personId="{06747fd8-fc57-462b-9c7f-2bbf08e448b0}" id="{f2f2d72c-cfef-4e35-aec6-34cc80c994eb}" parentId="{d110390a-d02e-47ca-8fc9-72917c799ae3}">
    <x18tc:text xml:space="preserve">Looking at the scale tickets I believe this is third party, Jackson can you confirm or deny this?</x18tc:text>
  </x18tc:threadedComment>
  <x18tc:threadedComment ref="A1" dT="2025-06-25T22:27:06.00" personId="{481daa14-e6e7-4a52-9d16-dedd19736348}" id="{1cf28309-7b81-4ebe-b563-db5985b802f0}" parentId="{d110390a-d02e-47ca-8fc9-72917c799ae3}">
    <x18tc:text xml:space="preserve">This is third party @liam.gaughan@charmindustrial.com</x18tc:text>
    <x18tc:mentions>
      <x18tc:mention mentionpersonId="{af44145f-e032-4a65-81b0-70b1e455a225}" mentionId="{825989be-c2af-4575-b8e4-ed0662ddf8b3}" startIndex="20" length="33"/>
    </x18tc:mentions>
  </x18tc:threadedComment>
  <x18tc:threadedComment ref="A1" dT="2025-06-26T11:11:27.00" personId="{4d155a07-4737-4fe7-80ad-548719653df4}" id="{84fad1a6-b7db-4560-890f-895dd90a6406}" parentId="{d110390a-d02e-47ca-8fc9-72917c799ae3}">
    <x18tc:text xml:space="preserve">Got it, thanks</x18tc:text>
  </x18tc:threadedComment>
  <x18tc:threadedComment ref="A1" dT="2025-06-26T11:11:32.00" personId="{4d155a07-4737-4fe7-80ad-548719653df4}" id="{06bd48a1-9b9a-43af-87df-918c9a6ab318}" parentId="{d110390a-d02e-47ca-8fc9-72917c799ae3}">
    <x18tc:text xml:space="preserve">Marked as resolved</x18tc:text>
  </x18tc:threadedComment>
  <x18tc:threadedComment ref="A1" dT="2025-06-26T11:11:37.00" personId="{4d155a07-4737-4fe7-80ad-548719653df4}" id="{a0d40f4b-5613-4688-88ec-3ed89f4ec135}" parentId="{d110390a-d02e-47ca-8fc9-72917c799ae3}">
    <x18tc:text xml:space="preserve">Re-opened</x18tc:text>
  </x18tc:threadedComment>
  <x18tc:threadedComment ref="A1" dT="2025-05-30T17:25:45.00" personId="{481daa14-e6e7-4a52-9d16-dedd19736348}" id="{612cbfc6-595c-4819-a25b-141734e91c48}" done="0">
    <x18tc:text xml:space="preserve">@brent@charmindustrial.com where does this calculation come from?</x18tc:text>
    <x18tc:mentions>
      <x18tc:mention mentionpersonId="{3407922f-30a1-4152-9e7a-4e1f6c1dab83}" mentionId="{ead51ab9-333c-4e17-9311-45f88364b62c}" startIndex="0" length="26"/>
    </x18tc:mentions>
  </x18tc:threadedComment>
  <x18tc:threadedComment ref="A1" dT="2025-06-04T15:15:46.00" personId="{f5f15572-ca29-468d-b879-92b2413d3c16}" id="{24b2530f-def2-462a-a2ef-8ea7c34ab1e3}" parentId="{612cbfc6-595c-4819-a25b-141734e91c48}">
    <x18tc:text xml:space="preserve">Do we still need to chat about this or is it an old comment?</x18tc:text>
  </x18tc:threadedComment>
  <x18tc:threadedComment ref="A1" dT="2025-06-25T14:50:54.00" personId="{06747fd8-fc57-462b-9c7f-2bbf08e448b0}" id="{eb90419a-d9f5-45e1-991f-1758bfa8ce6b}" done="0">
    <x18tc:text xml:space="preserve">@thomas.leese@charmindustrial.com @liam.gaughan@charmindustrial.com Here is where you can find it
1 total reaction
Thomas Leese reacted with 👍 at 2025-06-25 15:33 PM</x18tc:text>
    <x18tc:mentions>
      <x18tc:mention mentionpersonId="{ae33ec18-d099-4458-8ac7-db34d23cbafe}" mentionId="{7da5e1a2-d9e9-4d7d-8229-714ab38d1de8}" startIndex="0" length="33"/>
      <x18tc:mention mentionpersonId="{af44145f-e032-4a65-81b0-70b1e455a225}" mentionId="{4dfe9e8c-9e29-4c0e-acf1-4057a2ddabfa}" startIndex="34" length="33"/>
    </x18tc:mentions>
  </x18tc:threadedComment>
  <x18tc:threadedComment ref="A1" dT="2025-06-25T15:00:56.00" personId="{4d155a07-4737-4fe7-80ad-548719653df4}" id="{490c0f9b-4250-4300-81ea-774fc771cc4a}" parentId="{eb90419a-d9f5-45e1-991f-1758bfa8ce6b}">
    <x18tc:text xml:space="preserve">Did it start being tracked on Batch 2-94 or do we have more historical data?</x18tc:text>
  </x18tc:threadedComment>
  <x18tc:threadedComment ref="A1" dT="2025-06-25T15:13:25.00" personId="{06747fd8-fc57-462b-9c7f-2bbf08e448b0}" id="{2336ae62-9019-49c7-b42e-28f0f578b6f5}" parentId="{eb90419a-d9f5-45e1-991f-1758bfa8ce6b}">
    <x18tc:text xml:space="preserve">It started on 2-93 (Our first Charm Batch), I'll add it in right now. We didn't track before this because it would be all 3rd party</x18tc:text>
  </x18tc:threadedComment>
  <x18tc:threadedComment ref="A1" dT="2025-06-25T15:28:04.00" personId="{4d155a07-4737-4fe7-80ad-548719653df4}" id="{8b81e42c-0944-4dfc-9a0d-3705a7a26ff3}" parentId="{eb90419a-d9f5-45e1-991f-1758bfa8ce6b}">
    <x18tc:text xml:space="preserve">Makes sense. Linking @brian.jamieson@charmindustrial.com here for visibility too
1 total reaction
Brian Jamieson reacted with 👍 at 2025-06-25 15:29 PM</x18tc:text>
    <x18tc:mentions>
      <x18tc:mention mentionpersonId="{1524adb4-804d-474d-8350-fbedda345bb5}" mentionId="{1d4cfeaf-b6b2-4200-8183-4bbcf63aee67}" startIndex="21" length="35"/>
    </x18tc:mentions>
  </x18tc:threadedComment>
  <x18tc:threadedComment ref="A1" dT="2025-08-28T16:09:12.00" personId="{481daa14-e6e7-4a52-9d16-dedd19736348}" id="{36e4be05-b51e-4fad-a950-0e0e6a0692f4}"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0da4b0b8-d90f-45c2-a8cd-57c61471e247}" mentionId="{0336332e-9707-4005-abc0-b1784a97359b}" startIndex="0" length="24"/>
    </x18tc:mentions>
  </x18tc:threadedComment>
  <x18tc:threadedComment ref="A1" dT="2025-08-28T16:11:23.00" personId="{f2f4fd08-e2dd-4881-a5d5-ecfee8f95a19}" id="{79002fc4-ed16-45af-8f66-174a0aeaf022}" parentId="{36e4be05-b51e-4fad-a950-0e0e6a0692f4}">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70c117d2-c020-4a1c-89ad-93111744a08b}" id="{c12d4cca-28f2-439b-869b-5398d2f1dd96}" done="1">
    <x18tc:text xml:space="preserve">@garrett.lutz@charmindustrial.com is there a way to figure out Charm fraction from this query? I'm not seeing it.</x18tc:text>
    <x18tc:mentions>
      <x18tc:mention mentionpersonId="{9c68715d-dbc5-4757-8a4a-15c284ce7f55}" mentionId="{abe1b513-a1c6-4ec7-88fe-e2eacf620bc1}" startIndex="0" length="33"/>
    </x18tc:mentions>
  </x18tc:threadedComment>
  <x18tc:threadedComment ref="A1" dT="2025-05-20T23:10:50.00" personId="{06747fd8-fc57-462b-9c7f-2bbf08e448b0}" id="{a161aafd-92f4-4a50-b179-51c194980063}" parentId="{c12d4cca-28f2-439b-869b-5398d2f1dd96}">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70c117d2-c020-4a1c-89ad-93111744a08b}" id="{240fca89-535b-4eb8-8b47-f6ee7d1f101a}" parentId="{c12d4cca-28f2-439b-869b-5398d2f1dd96}">
    <x18tc:text xml:space="preserve">Marked as resolved</x18tc:text>
  </x18tc:threadedComment>
  <x18tc:threadedComment ref="A1" dT="2025-05-21T19:24:44.00" personId="{06747fd8-fc57-462b-9c7f-2bbf08e448b0}" id="{690b3bc9-5001-4c6a-8c21-69073a6c705a}" parentId="{c12d4cca-28f2-439b-869b-5398d2f1dd96}">
    <x18tc:text xml:space="preserve">Check out "Consumed Oil By Batch" tab to get the charm contents query
Re-opened</x18tc:text>
  </x18tc:threadedComment>
  <x18tc:threadedComment ref="A1" dT="2025-05-21T19:28:48.00" personId="{70c117d2-c020-4a1c-89ad-93111744a08b}" id="{816659ba-8aa7-4dd0-bc69-b9f8039a7a96}" parentId="{c12d4cca-28f2-439b-869b-5398d2f1dd96}">
    <x18tc:text xml:space="preserve">How are you connecting that data to a date?</x18tc:text>
  </x18tc:threadedComment>
  <x18tc:threadedComment ref="A1" dT="2025-05-21T19:29:46.00" personId="{70c117d2-c020-4a1c-89ad-93111744a08b}" id="{35add3aa-4aab-4645-9d8a-a675def04118}" parentId="{c12d4cca-28f2-439b-869b-5398d2f1dd96}">
    <x18tc:text xml:space="preserve">injection_batch = order_number?</x18tc:text>
  </x18tc:threadedComment>
  <x18tc:threadedComment ref="A1" dT="2025-05-21T19:53:46.00" personId="{06747fd8-fc57-462b-9c7f-2bbf08e448b0}" id="{a7ed8730-74dd-4b5b-9fd3-f2e26c60c85d}" parentId="{c12d4cca-28f2-439b-869b-5398d2f1dd96}">
    <x18tc:text xml:space="preserve">Yeah exactly</x18tc:text>
  </x18tc:threadedComment>
  <x18tc:threadedComment ref="A1" dT="2025-08-18T22:24:57.00" personId="{06747fd8-fc57-462b-9c7f-2bbf08e448b0}" id="{6bba36a2-9570-4216-8df7-4356217f6ecb}" done="1">
    <x18tc:text xml:space="preserve">@jackson.lisec@charmindustrial.com Same as above right here.
@max@charmindustrial.com for viz</x18tc:text>
    <x18tc:mentions>
      <x18tc:mention mentionpersonId="{2c7c31d8-392d-4414-8eb0-ec667fd5efcf}" mentionId="{81e7c938-6ffa-4e63-a8ad-c6217cc92c17}" startIndex="0" length="34"/>
      <x18tc:mention mentionpersonId="{0da4b0b8-d90f-45c2-a8cd-57c61471e247}" mentionId="{f0a5fad6-7fac-4e5a-83af-d8b5676bc91d}" startIndex="62" length="24"/>
    </x18tc:mentions>
  </x18tc:threadedComment>
  <x18tc:threadedComment ref="A1" dT="2025-07-21T18:50:14.00" personId="{06747fd8-fc57-462b-9c7f-2bbf08e448b0}" id="{a77c64bd-498a-4578-a50a-2e6fc2b69153}" done="1">
    <x18tc:text xml:space="preserve">@jackson.lisec@charmindustrial.com This is where I am implementing the 0.7, so no need to do anything on your end</x18tc:text>
    <x18tc:mentions>
      <x18tc:mention mentionpersonId="{2c7c31d8-392d-4414-8eb0-ec667fd5efcf}" mentionId="{39d7ed2c-f4d6-4607-8f33-9d3a75303afc}" startIndex="0" length="34"/>
    </x18tc:mentions>
  </x18tc:threadedComment>
  <x18tc:threadedComment ref="A1" dT="2025-08-18T22:24:02.00" personId="{06747fd8-fc57-462b-9c7f-2bbf08e448b0}" id="{2231069c-594b-482d-8931-5c33eec64fb5}" done="1">
    <x18tc:text xml:space="preserve">@jackson.lisec@charmindustrial.com This is identical to the volume in 2198T above. I'm thinking there is something wrong with the "consumed" number</x18tc:text>
    <x18tc:mentions>
      <x18tc:mention mentionpersonId="{2c7c31d8-392d-4414-8eb0-ec667fd5efcf}" mentionId="{272c1555-b524-47f7-9b28-420fd444c855}" startIndex="0" length="34"/>
    </x18tc:mentions>
  </x18tc:threadedComment>
  <x18tc:threadedComment ref="A1" dT="2024-07-21T05:03:54.00" personId="{3869a200-4156-4be7-9585-b1ce2942accf}" id="{59da5f4e-c547-4eb7-ba01-a6b26bdc0ceb}" done="1">
    <x18tc:text xml:space="preserve">@antoinette@charmindustrial.com for you to drop in links
Assigned to antoinette@charmindustrial.com</x18tc:text>
    <x18tc:mentions>
      <x18tc:mention mentionpersonId="{9ba60896-f291-4f55-868c-87690e670479}" mentionId="{481349c4-5c0b-42ec-8f10-a2d26d996009}" startIndex="0" length="31"/>
    </x18tc:mentions>
  </x18tc:threadedComment>
  <x18tc:threadedComment ref="A1" dT="2024-11-01T21:47:45.00" personId="{fc6b6514-401b-4006-bda7-6a18f962bfa1}" id="{5804e8fe-d9d6-425c-b991-890fd03900ee}" done="1">
    <x18tc:text xml:space="preserve">Antoinette to ask Julien to drain the residual from this railcar the week of 11/4</x18tc:text>
  </x18tc:threadedComment>
  <x18tc:threadedComment ref="A1" dT="2025-07-23T15:17:21.00" personId="{f5f15572-ca29-468d-b879-92b2413d3c16}" id="{9d1f6099-9c16-4c9e-94dc-19329dddfdc5}" done="1">
    <x18tc:text xml:space="preserve">@jackson.lisec@charmindustrial.com can we take a look at this salt number?</x18tc:text>
    <x18tc:mentions>
      <x18tc:mention mentionpersonId="{2c7c31d8-392d-4414-8eb0-ec667fd5efcf}" mentionId="{048ff14b-b14c-4206-a9c5-36bd1e2a17d0}" startIndex="0" length="34"/>
    </x18tc:mentions>
  </x18tc:threadedComment>
  <x18tc:threadedComment ref="A1" dT="2025-07-23T15:42:37.00" personId="{481daa14-e6e7-4a52-9d16-dedd19736348}" id="{204b692c-6260-4f87-9ab5-946c26cdd455}" parentId="{9d1f6099-9c16-4c9e-94dc-19329dddfdc5}">
    <x18tc:text xml:space="preserve">None of the salt numbers are going to be correct because the math doesn't take WV into account</x18tc:text>
  </x18tc:threadedComment>
  <x18tc:threadedComment ref="A1" dT="2025-07-23T19:07:46.00" personId="{f5f15572-ca29-468d-b879-92b2413d3c16}" id="{bc61b5d4-87c5-4e1f-86b4-713c317b8916}" parentId="{9d1f6099-9c16-4c9e-94dc-19329dddfdc5}">
    <x18tc:text xml:space="preserve">Do we want to just edit this number in this sheet? @garrett.lutz@charmindustrial.com</x18tc:text>
    <x18tc:mentions>
      <x18tc:mention mentionpersonId="{9c68715d-dbc5-4757-8a4a-15c284ce7f55}" mentionId="{9ca2db89-a8e7-4fdf-90a0-4de874fc6730}" startIndex="51" length="33"/>
    </x18tc:mentions>
  </x18tc:threadedComment>
  <x18tc:threadedComment ref="A1" dT="2025-07-23T19:09:08.00" personId="{06747fd8-fc57-462b-9c7f-2bbf08e448b0}" id="{b1814f62-cee0-4f41-bb39-511b82ae8a01}" parentId="{9d1f6099-9c16-4c9e-94dc-19329dddfdc5}">
    <x18tc:text xml:space="preserve">Hmmm, we aren't able to edit this because its part of the query import, so once it refreshes it will revert back to the MFO numbers, are we able to change it in MFO? @jackson.lisec@charmindustrial.com</x18tc:text>
    <x18tc:mentions>
      <x18tc:mention mentionpersonId="{2c7c31d8-392d-4414-8eb0-ec667fd5efcf}" mentionId="{fb25bc35-3b96-4777-a037-964c069e702f}" startIndex="166" length="34"/>
    </x18tc:mentions>
  </x18tc:threadedComment>
  <x18tc:threadedComment ref="A1" dT="2025-07-24T17:04:16.00" personId="{481daa14-e6e7-4a52-9d16-dedd19736348}" id="{38fb5b20-4a45-488d-8e05-4155524f8c6a}" parentId="{9d1f6099-9c16-4c9e-94dc-19329dddfdc5}">
    <x18tc:text xml:space="preserve">@eldon@charmindustrial.com now that we've injected, can you rerun the calculation to ensure that we've met permit with the number in column AE for batch numbers 4-02, 4-03, and soon 4-04</x18tc:text>
    <x18tc:mentions>
      <x18tc:mention mentionpersonId="{39800645-d2b8-44ee-95d3-7f3dc8e548f1}" mentionId="{368c33ef-53de-4209-ab4f-6963d8e65196}" startIndex="0" length="26"/>
    </x18tc:mentions>
  </x18tc:threadedComment>
  <x18tc:threadedComment ref="A1" dT="2025-07-28T17:33:07.00" personId="{3e8d5fa8-6c6c-4569-846f-c416b3cda47c}" id="{a28e78ab-33a2-4fa1-b1b3-440467baf23d}" parentId="{9d1f6099-9c16-4c9e-94dc-19329dddfdc5}">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2c7c31d8-392d-4414-8eb0-ec667fd5efcf}" mentionId="{7cd84a85-5f2d-4b8f-a78f-68e6f1af5c5d}" startIndex="0" length="34"/>
      <x18tc:mention mentionpersonId="{3407922f-30a1-4152-9e7a-4e1f6c1dab83}" mentionId="{698dc0c5-1116-4383-b2b3-c2493f31da11}" startIndex="35" length="26"/>
    </x18tc:mentions>
  </x18tc:threadedComment>
  <x18tc:threadedComment ref="A1" dT="2024-02-17T03:36:56.00" personId="{c72a14e5-4c8d-4377-adcb-3c6ade3fac7d}" id="{49e3e222-8ee0-4fbf-9106-e6817f287e52}" done="0">
    <x18tc:text xml:space="preserve">@max@charmindustrial.com see the tab "Orders Summary" and "Deliveries Summary" for monthly totals</x18tc:text>
    <x18tc:mentions>
      <x18tc:mention mentionpersonId="{0da4b0b8-d90f-45c2-a8cd-57c61471e247}" mentionId="{e1ac31d0-d9f7-4d8b-843d-701728d7e79c}" startIndex="0" length="24"/>
    </x18tc:mentions>
  </x18tc:threadedComment>
  <x18tc:threadedComment ref="A1" dT="2025-07-21T15:06:04.00" personId="{06747fd8-fc57-462b-9c7f-2bbf08e448b0}" id="{6c3d8559-a0da-4382-89c6-d8dddbf49a58}" done="1">
    <x18tc:text xml:space="preserve">@antoinette@charmindustrial.com this is the data I am referring to where we have BOL's associated with batches</x18tc:text>
    <x18tc:mentions>
      <x18tc:mention mentionpersonId="{9ba60896-f291-4f55-868c-87690e670479}" mentionId="{0ad9f098-d744-4a99-9cf7-ff0fc1d42818}" startIndex="0" length="31"/>
    </x18tc:mentions>
  </x18tc:threadedComment>
  <x18tc:threadedComment ref="A1" dT="2025-07-21T15:06:33.00" personId="{06747fd8-fc57-462b-9c7f-2bbf08e448b0}" id="{cdf9bdbc-e25a-42ff-8adb-31dbb594d4a7}" parentId="{6c3d8559-a0da-4382-89c6-d8dddbf49a58}">
    <x18tc:text xml:space="preserve">Lot number column has the BOL's if its AECN</x18tc:text>
  </x18tc:threadedComment>
  <x18tc:threadedComment ref="A1" dT="2024-06-07T23:06:45.00" personId="{c72a14e5-4c8d-4377-adcb-3c6ade3fac7d}" id="{e2fa20bc-6bcf-4f47-a3c1-0481a92c7c8e}" done="1">
    <x18tc:text xml:space="preserve">we will ask Watco to cancel to allow us to catch up</x18tc:text>
  </x18tc:threadedComment>
  <x18tc:threadedComment ref="A1" dT="2024-06-07T23:17:24.00" personId="{c72a14e5-4c8d-4377-adcb-3c6ade3fac7d}" id="{460da3b2-aa83-4b50-add6-fb025da0b754}" parentId="{e2fa20bc-6bcf-4f47-a3c1-0481a92c7c8e}">
    <x18tc:text xml:space="preserve">@antoinette@charmindustrial.com FYI</x18tc:text>
    <x18tc:mentions>
      <x18tc:mention mentionpersonId="{9ba60896-f291-4f55-868c-87690e670479}" mentionId="{976f8c7d-dc46-447b-a49f-c8fe2396aee7}" startIndex="0" length="31"/>
    </x18tc:mentions>
  </x18tc:threadedComment>
  <x18tc:threadedComment ref="A1" dT="2024-06-07T23:06:40.00" personId="{c72a14e5-4c8d-4377-adcb-3c6ade3fac7d}" id="{febdfde5-743b-4840-82be-28da5cfa4800}" done="1">
    <x18tc:text xml:space="preserve">we will ask Watco to cancel to allow us to catch up</x18tc:text>
  </x18tc:threadedComment>
  <x18tc:threadedComment ref="A1" dT="2024-06-07T23:17:17.00" personId="{c72a14e5-4c8d-4377-adcb-3c6ade3fac7d}" id="{cdbf9763-6bf1-4bd6-b7fb-6556537be93a}" parentId="{febdfde5-743b-4840-82be-28da5cfa4800}">
    <x18tc:text xml:space="preserve">@antoinette@charmindustrial.com FYI</x18tc:text>
    <x18tc:mentions>
      <x18tc:mention mentionpersonId="{9ba60896-f291-4f55-868c-87690e670479}" mentionId="{3c872c9f-5863-4d09-b243-614bb775e5fa}" startIndex="0" length="31"/>
    </x18tc:mentions>
  </x18tc:threadedComment>
  <x18tc:threadedComment ref="A1" dT="2024-06-07T22:33:46.00" personId="{c72a14e5-4c8d-4377-adcb-3c6ade3fac7d}" id="{1bd6f00e-ab93-4a6a-b467-7c6659e42845}" done="1">
    <x18tc:text xml:space="preserve">not injected due to spill, thick bio-oil, etc.</x18tc:text>
  </x18tc:threadedComment>
  <x18tc:threadedComment ref="A1" dT="2023-04-06T22:31:19.00" personId="{c72a14e5-4c8d-4377-adcb-3c6ade3fac7d}" id="{44554ed2-6fea-4437-a063-ab7a64a08968}"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00665970-857d-44f0-983e-058c5d2b164c}" mentionId="{4428325d-430d-4294-9300-5131aad416e2}" startIndex="0" length="27"/>
    </x18tc:mentions>
  </x18tc:threadedComment>
  <x18tc:threadedComment ref="A1" dT="2023-04-07T04:10:03.00" personId="{3c6618c6-e881-488b-8a1b-03a96c4bfa8c}" id="{e6a3e6b1-d11e-4d98-9181-e1065bc3aa4e}" parentId="{44554ed2-6fea-4437-a063-ab7a64a08968}">
    <x18tc:text xml:space="preserve">Great call. Updated the train schedule with train #s in column C and also for loading time. I'll get more clarity on expected turn around times on the trains tomorrow!</x18tc:text>
  </x18tc:threadedComment>
  <x18tc:threadedComment ref="A1" dT="2024-06-07T23:06:36.00" personId="{c72a14e5-4c8d-4377-adcb-3c6ade3fac7d}" id="{1632a45d-9875-454f-a97d-8f22f215a949}" done="1">
    <x18tc:text xml:space="preserve">we will ask Watco to cancel to allow us to catch up</x18tc:text>
  </x18tc:threadedComment>
  <x18tc:threadedComment ref="A1" dT="2024-06-07T23:17:11.00" personId="{c72a14e5-4c8d-4377-adcb-3c6ade3fac7d}" id="{3b0ce7b5-4108-4ec1-90b3-8188c366fdca}" parentId="{1632a45d-9875-454f-a97d-8f22f215a949}">
    <x18tc:text xml:space="preserve">@antoinette@charmindustrial.com FYI</x18tc:text>
    <x18tc:mentions>
      <x18tc:mention mentionpersonId="{9ba60896-f291-4f55-868c-87690e670479}" mentionId="{1c2124f6-b806-43b9-9efc-80722331a6a3}" startIndex="0" length="31"/>
    </x18tc:mentions>
  </x18tc:threadedComment>
  <x18tc:threadedComment ref="A1" dT="2024-06-08T01:41:05.00" personId="{fc6b6514-401b-4006-bda7-6a18f962bfa1}" id="{73c0da50-e620-463f-95cb-cf1cef140bc9}" parentId="{1632a45d-9875-454f-a97d-8f22f215a949}">
    <x18tc:text xml:space="preserve">email sent to Watco - making note that we will adjust this when we hear back</x18tc:text>
  </x18tc:threadedComment>
  <x18tc:threadedComment ref="A1" dT="2024-06-07T22:34:23.00" personId="{c72a14e5-4c8d-4377-adcb-3c6ade3fac7d}" id="{8edbba8a-1447-4e13-a70d-3caaeb21e31c}" done="1">
    <x18tc:text xml:space="preserve">not injected too thick to get out of tank, put into totes on Thurs night shift</x18tc:text>
  </x18tc:threadedComment>
  <x18tc:threadedComment ref="A1" dT="2024-06-14T14:42:53.00" personId="{fc6b6514-401b-4006-bda7-6a18f962bfa1}" id="{4b741c44-48a4-4b78-9e90-0a4e0e12f4ab}" done="0">
    <x18tc:text xml:space="preserve">@katie@charmindustrial.com KAG trucks on the 18th and 19th have been cancelled.</x18tc:text>
    <x18tc:mentions>
      <x18tc:mention mentionpersonId="{7927b384-b4ac-47d3-b7f9-4870d00ff58e}" mentionId="{5391f18c-5369-40c1-85c2-aaac87d1b0e5}" startIndex="0" length="26"/>
    </x18tc:mentions>
  </x18tc:threadedComment>
  <x18tc:threadedComment ref="A1" dT="2024-06-14T15:07:21.00" personId="{c72a14e5-4c8d-4377-adcb-3c6ade3fac7d}" id="{a3ffc945-bcd1-4de2-bfde-2c5f43d85781}" parentId="{4b741c44-48a4-4b78-9e90-0a4e0e12f4ab}">
    <x18tc:text xml:space="preserve">thanks, can you remove them from the tracker and update the KAG schedule with what Kodi provided yesterday?</x18tc:text>
  </x18tc:threadedComment>
  <x18tc:threadedComment ref="A1" dT="2024-06-14T17:49:32.00" personId="{fc6b6514-401b-4006-bda7-6a18f962bfa1}" id="{0750a2d4-99b8-4cf9-b0ea-57aabb5b32e1}" parentId="{4b741c44-48a4-4b78-9e90-0a4e0e12f4ab}">
    <x18tc:text xml:space="preserve">definitely</x18tc:text>
  </x18tc:threadedComment>
  <x18tc:threadedComment ref="A1" dT="2025-06-02T03:11:45.00" personId="{481daa14-e6e7-4a52-9d16-dedd19736348}" id="{c642826f-e2b0-4fb8-9cbd-a27cfd9498a2}" done="1">
    <x18tc:text xml:space="preserve">Adjusted to pull tanker data from 2-94</x18tc:text>
  </x18tc:threadedComment>
  <x18tc:threadedComment ref="A1" dT="2025-05-21T18:54:45.00" personId="{70c117d2-c020-4a1c-89ad-93111744a08b}" id="{39e1f7cd-ad4f-4ef1-b6e8-7b080d258650}" done="1">
    <x18tc:text xml:space="preserve">@garrett.lutz@charmindustrial.com is this total salt used in the batch?</x18tc:text>
    <x18tc:mentions>
      <x18tc:mention mentionpersonId="{9c68715d-dbc5-4757-8a4a-15c284ce7f55}" mentionId="{a76295b6-1ec9-43e7-b8be-5823e29558ab}" startIndex="0" length="33"/>
    </x18tc:mentions>
  </x18tc:threadedComment>
  <x18tc:threadedComment ref="A1" dT="2025-05-21T19:22:56.00" personId="{06747fd8-fc57-462b-9c7f-2bbf08e448b0}" id="{33695cec-c9db-4a7c-8daa-ae3ac9648105}" parentId="{39e1f7cd-ad4f-4ef1-b6e8-7b080d258650}">
    <x18tc:text xml:space="preserve">Yes this is the total salt added to the batch
1 total reaction
Brian Jamieson reacted with 👍 at 2025-05-21 19:27 PM</x18tc:text>
  </x18tc:threadedComment>
  <x18tc:threadedComment ref="A1" dT="2024-06-14T14:43:19.00" personId="{fc6b6514-401b-4006-bda7-6a18f962bfa1}" id="{62289b3f-ece5-4c5d-ab8f-dc822dc5ca39}" done="0">
    <x18tc:text xml:space="preserve">Cargo Dynamica trucks have not yet been scheduled, therefore the next set of POs are for the confirmed KAG trucks on 27th</x18tc:text>
  </x18tc:threadedComment>
  <x18tc:threadedComment ref="A1" dT="2025-10-28T20:05:05.00" personId="{06747fd8-fc57-462b-9c7f-2bbf08e448b0}" id="{48d25940-0692-4a6d-8d2b-a401fa3c5beb}" done="1">
    <x18tc:text xml:space="preserve">@jackson.lisec@charmindustrial.com Checked on OneView and didn't see a security tag for this one, thoughts?
Assigned to jackson.lisec@charmindustrial.com</x18tc:text>
    <x18tc:mentions>
      <x18tc:mention mentionpersonId="{2c7c31d8-392d-4414-8eb0-ec667fd5efcf}" mentionId="{dad5b51b-2395-492c-af20-643ed2547f44}" startIndex="0" length="34"/>
    </x18tc:mentions>
  </x18tc:threadedComment>
  <x18tc:threadedComment ref="A1" dT="2024-12-28T21:17:36.00" personId="{fc6b6514-401b-4006-bda7-6a18f962bfa1}" id="{e73b1fa9-80d6-43db-91a2-30509d51c836}"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481daa14-e6e7-4a52-9d16-dedd19736348}" id="{8177b512-258e-4e27-91f4-94447db7d1c5}" done="1">
    <x18tc:text xml:space="preserve">wtf</x18tc:text>
  </x18tc:threadedComment>
  <x18tc:threadedComment ref="A1" dT="2025-06-10T21:39:42.00" personId="{481daa14-e6e7-4a52-9d16-dedd19736348}" id="{6bfea0dd-0518-4972-a215-dbe522d4b372}" done="1">
    <x18tc:text xml:space="preserve">@garrett.lutz@charmindustrial.com here you go</x18tc:text>
    <x18tc:mentions>
      <x18tc:mention mentionpersonId="{9c68715d-dbc5-4757-8a4a-15c284ce7f55}" mentionId="{28d4e163-a447-4f60-8676-13d685dbcb90}" startIndex="0" length="33"/>
    </x18tc:mentions>
  </x18tc:threadedComment>
  <x18tc:threadedComment ref="A1" dT="2025-06-10T22:18:07.00" personId="{06747fd8-fc57-462b-9c7f-2bbf08e448b0}" id="{2d50dd96-057e-495b-b0c4-3df0f4a4ece1}" parentId="{6bfea0dd-0518-4972-a215-dbe522d4b372}">
    <x18tc:text xml:space="preserve">awesome thank you</x18tc:text>
  </x18tc:threadedComment>
  <x18tc:threadedComment ref="A1" dT="2025-06-02T01:10:29.00" personId="{f5f15572-ca29-468d-b879-92b2413d3c16}" id="{76cddb30-febb-4e58-9aec-d3be374b8d44}" done="1">
    <x18tc:text xml:space="preserve">@jackson.lisec@charmindustrial.com Is this the salt the team adds to the truck after the blending tank salt math is done? Are we accounting for Peter's 400lbs buffer somewhere else?</x18tc:text>
    <x18tc:mentions>
      <x18tc:mention mentionpersonId="{2c7c31d8-392d-4414-8eb0-ec667fd5efcf}" mentionId="{b0872c75-a5fa-430c-ad7c-9f9c03239b9e}" startIndex="0" length="34"/>
    </x18tc:mentions>
  </x18tc:threadedComment>
  <x18tc:threadedComment ref="A1" dT="2025-05-21T18:55:35.00" personId="{70c117d2-c020-4a1c-89ad-93111744a08b}" id="{e5e1fd74-f67a-4849-897a-4da8cf4df7fa}" done="1">
    <x18tc:text xml:space="preserve">@garrett.lutz@charmindustrial.com or should we be using total salt downhole?</x18tc:text>
    <x18tc:mentions>
      <x18tc:mention mentionpersonId="{9c68715d-dbc5-4757-8a4a-15c284ce7f55}" mentionId="{de5ddc52-a460-4a29-8041-1b6b3a534cfe}" startIndex="0" length="33"/>
    </x18tc:mentions>
  </x18tc:threadedComment>
  <x18tc:threadedComment ref="A1" dT="2025-05-21T19:23:25.00" personId="{06747fd8-fc57-462b-9c7f-2bbf08e448b0}" id="{d2332339-f160-4787-9a17-a525b3d0970c}" parentId="{e5e1fd74-f67a-4849-897a-4da8cf4df7fa}">
    <x18tc:text xml:space="preserve">This is what makes it physically downhole after loss from operations
1 total reaction
Brian Jamieson reacted with 👍 at 2025-05-21 19:28 PM</x18tc:text>
  </x18tc:threadedComment>
  <x18tc:threadedComment ref="A1" dT="2025-01-16T19:17:04.00" personId="{f2f4fd08-e2dd-4881-a5d5-ecfee8f95a19}" id="{72e197d4-4747-418b-ae7a-6d0fba8103fc}"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3869a200-4156-4be7-9585-b1ce2942accf}" id="{f0ba4f9d-93b7-4f80-967d-c1ff8384b51b}" done="1">
    <x18tc:text xml:space="preserve">@katie@charmindustrial.com any logic thoughts on how to estimate this? cc @antoinette@charmindustrial.com
Assigned to katie@charmindustrial.com</x18tc:text>
    <x18tc:mentions>
      <x18tc:mention mentionpersonId="{7927b384-b4ac-47d3-b7f9-4870d00ff58e}" mentionId="{1c7df98e-9255-49e2-b0a9-79ba2587293a}" startIndex="0" length="26"/>
      <x18tc:mention mentionpersonId="{9ba60896-f291-4f55-868c-87690e670479}" mentionId="{2be0a459-d5b2-46db-b2bb-e0fc8b33a4ac}" startIndex="74" length="31"/>
    </x18tc:mentions>
  </x18tc:threadedComment>
  <x18tc:threadedComment ref="A1" dT="2024-07-19T21:34:20.00" personId="{fc6b6514-401b-4006-bda7-6a18f962bfa1}" id="{edb1c44c-85d0-46a2-a903-2707452aba1e}" parentId="{f0ba4f9d-93b7-4f80-967d-c1ff8384b51b}">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fc6b6514-401b-4006-bda7-6a18f962bfa1}" id="{7c14a003-4e0c-4b90-ad47-b24623b7120c}" parentId="{f0ba4f9d-93b7-4f80-967d-c1ff8384b51b}">
    <x18tc:text xml:space="preserve">I think that estimate was based of the handful of railcars we've received so far.</x18tc:text>
  </x18tc:threadedComment>
  <x18tc:threadedComment ref="A1" dT="2024-07-21T03:54:22.00" personId="{3869a200-4156-4be7-9585-b1ce2942accf}" id="{0602b6c7-c399-403c-8b80-5c32e0c0d171}" parentId="{f0ba4f9d-93b7-4f80-967d-c1ff8384b51b}">
    <x18tc:text xml:space="preserve">understood thanks!</x18tc:text>
  </x18tc:threadedComment>
  <x18tc:threadedComment ref="A1" dT="2025-07-22T15:53:22.00" personId="{06747fd8-fc57-462b-9c7f-2bbf08e448b0}" id="{ccdd3c00-8bd6-44eb-b967-14b70c3823b5}" done="1">
    <x18tc:text xml:space="preserve">@brent@charmindustrial.com getting positive loss, here. Something is up with this one. Its small, but just want to make sure we talk through this one</x18tc:text>
    <x18tc:mentions>
      <x18tc:mention mentionpersonId="{3407922f-30a1-4152-9e7a-4e1f6c1dab83}" mentionId="{355e9a36-3df1-4df9-af15-2349b78c8105}" startIndex="0" length="26"/>
    </x18tc:mentions>
  </x18tc:threadedComment>
  <x18tc:threadedComment ref="A1" dT="2024-05-24T19:51:51.00" personId="{fc6b6514-401b-4006-bda7-6a18f962bfa1}" id="{01e167cf-2545-4b11-9903-37389ba95944}" done="1">
    <x18tc:text xml:space="preserve">new driver</x18tc:text>
  </x18tc:threadedComment>
  <x18tc:threadedComment ref="A1" dT="2025-07-09T17:08:59.00" personId="{06747fd8-fc57-462b-9c7f-2bbf08e448b0}" id="{58e7ba24-3d19-47e7-858a-5ddcec7bdbcf}" done="1">
    <x18tc:text xml:space="preserve">@max@charmindustrial.com for viz
1 total reaction
Max Lavine reacted with 👍 at 2025-07-09 22:28 PM</x18tc:text>
    <x18tc:mentions>
      <x18tc:mention mentionpersonId="{0da4b0b8-d90f-45c2-a8cd-57c61471e247}" mentionId="{241e7620-0a6b-4ce0-8a94-f41f53c322d7}" startIndex="0" length="24"/>
    </x18tc:mentions>
  </x18tc:threadedComment>
  <x18tc:threadedComment ref="A1" dT="2024-12-06T00:18:48.00" personId="{c18c9a88-88fe-417b-ac4c-ef5e4b6fde1c}" id="{c26ac647-4d44-4d01-b66d-911f6c4b21ad}" done="0">
    <x18tc:text xml:space="preserve">blending</x18tc:text>
  </x18tc:threadedComment>
  <x18tc:threadedComment ref="A1" dT="2024-12-06T00:18:33.00" personId="{c18c9a88-88fe-417b-ac4c-ef5e4b6fde1c}" id="{f8d5ef60-3217-48b7-81df-fbbad901651d}" done="0">
    <x18tc:text xml:space="preserve">to blending</x18tc:text>
  </x18tc:threadedComment>
  <x18tc:threadedComment ref="A1" dT="2024-12-06T00:19:50.00" personId="{c18c9a88-88fe-417b-ac4c-ef5e4b6fde1c}" id="{4f398328-f574-4dc4-b0e7-80cc817d73e5}" done="0">
    <x18tc:text xml:space="preserve">split into two trucks</x18tc:text>
  </x18tc:threadedComment>
  <x18tc:threadedComment ref="A1" dT="2025-10-27T15:55:40.00" personId="{06747fd8-fc57-462b-9c7f-2bbf08e448b0}" id="{82af796a-71e3-4aaf-a180-09e3cc99aa53}" done="0">
    <x18tc:text xml:space="preserve">@jackson.lisec@charmindustrial.com This is fairly inconsequential in total, but wanted to flag these so you're aware (Dup security tags)
Assigned to jackson.lisec@charmindustrial.com</x18tc:text>
    <x18tc:mentions>
      <x18tc:mention mentionpersonId="{2c7c31d8-392d-4414-8eb0-ec667fd5efcf}" mentionId="{002db1f8-955e-4a92-91c5-8b2a9efffb10}" startIndex="0" length="34"/>
    </x18tc:mentions>
  </x18tc:threadedComment>
  <x18tc:threadedComment ref="A1" dT="2025-10-13T23:59:45.00" personId="{f2f4fd08-e2dd-4881-a5d5-ecfee8f95a19}" id="{32939f3b-55a8-484f-84a3-7982969c6648}" done="1">
    <x18tc:text xml:space="preserve">@jackson.lisec@charmindustrial.com @garrett.lutz@charmindustrial.com Is this a tag number that ended up in the wrong column?
Assigned to jackson.lisec@charmindustrial.com</x18tc:text>
    <x18tc:mentions>
      <x18tc:mention mentionpersonId="{2c7c31d8-392d-4414-8eb0-ec667fd5efcf}" mentionId="{97bbf23f-d5b0-43f3-af25-9ac329fc60a6}" startIndex="0" length="34"/>
      <x18tc:mention mentionpersonId="{9c68715d-dbc5-4757-8a4a-15c284ce7f55}" mentionId="{d3a8264d-1781-450e-bc86-5da2b2edf5b0}" startIndex="35" length="33"/>
    </x18tc:mentions>
  </x18tc:threadedComment>
  <x18tc:threadedComment ref="A1" dT="2025-10-14T15:28:36.00" personId="{06747fd8-fc57-462b-9c7f-2bbf08e448b0}" id="{1762b4fb-aabb-44a0-ac94-5bd1dcac69b7}" parentId="{32939f3b-55a8-484f-84a3-7982969c6648}">
    <x18tc:text xml:space="preserve">@max@charmindustrial.com these are usually older totes that were needing to be put into MFO retroactively, that is why they don't have a LOT#. Its something that we can fix by adjusting the query on the BE</x18tc:text>
    <x18tc:mentions>
      <x18tc:mention mentionpersonId="{0da4b0b8-d90f-45c2-a8cd-57c61471e247}" mentionId="{e1f519a5-7f14-4cd1-b1ab-cbb66a2c720b}" startIndex="0" length="24"/>
    </x18tc:mentions>
  </x18tc:threadedComment>
  <x18tc:threadedComment ref="A1" dT="2025-10-14T15:45:54.00" personId="{f2f4fd08-e2dd-4881-a5d5-ecfee8f95a19}" id="{6b612f27-2abf-4edb-a19b-77ae0874b40e}" parentId="{32939f3b-55a8-484f-84a3-7982969c6648}">
    <x18tc:text xml:space="preserve">All good! Just making sure I am getting it right so I don't put something erroneous in CTT</x18tc:text>
  </x18tc:threadedComment>
  <x18tc:threadedComment ref="A1" dT="2025-10-14T00:00:01.00" personId="{f2f4fd08-e2dd-4881-a5d5-ecfee8f95a19}" id="{0fbc863b-0547-42fc-bac1-93210d964ea7}" done="1">
    <x18tc:text xml:space="preserve">@jackson.lisec@charmindustrial.com @garrett.lutz@charmindustrial.com Is this a tag number that ended up in the wrong column?
Assigned to jackson.lisec@charmindustrial.com</x18tc:text>
    <x18tc:mentions>
      <x18tc:mention mentionpersonId="{2c7c31d8-392d-4414-8eb0-ec667fd5efcf}" mentionId="{ec27184c-8a0a-48ac-af05-360c44abe5e1}" startIndex="0" length="34"/>
      <x18tc:mention mentionpersonId="{9c68715d-dbc5-4757-8a4a-15c284ce7f55}" mentionId="{e0080f83-06ac-40cb-8224-616fd3ecee76}" startIndex="35" length="33"/>
    </x18tc:mentions>
  </x18tc:threadedComment>
  <x18tc:threadedComment ref="A1" dT="2025-10-14T15:26:54.00" personId="{06747fd8-fc57-462b-9c7f-2bbf08e448b0}" id="{f07e7a38-e8cb-483e-a839-97c5f6ff0c99}" parentId="{0fbc863b-0547-42fc-bac1-93210d964ea7}">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0da4b0b8-d90f-45c2-a8cd-57c61471e247}" mentionId="{a75b55c1-bf3b-45cc-9e08-e48c15e2731f}" startIndex="0" length="24"/>
      <x18tc:mention mentionpersonId="{2c7c31d8-392d-4414-8eb0-ec667fd5efcf}" mentionId="{48915fc9-9bd2-464b-ac64-3c152c8c33e1}" startIndex="51" length="34"/>
    </x18tc:mentions>
  </x18tc:threadedComment>
  <x18tc:threadedComment ref="A1" dT="2025-10-14T15:46:07.00" personId="{f2f4fd08-e2dd-4881-a5d5-ecfee8f95a19}" id="{0312f016-c094-49df-9631-6e352d9cb7e3}" parentId="{0fbc863b-0547-42fc-bac1-93210d964ea7}">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c72a14e5-4c8d-4377-adcb-3c6ade3fac7d}" id="{9368a266-db6c-4e23-b52e-68ad97ce5e46}" done="1">
    <x18tc:text xml:space="preserve">these might've slipped based on Kodi's most recent email</x18tc:text>
  </x18tc:threadedComment>
  <x18tc:threadedComment ref="N91" dT="2025-09-02T22:39:14.00" personId="{86986084-c06a-4e4e-9348-2685031217ee}" id="{7f3eb47e-954e-4cd8-a6ef-9d4a82b48a4c}" done="1">
    <x18tc:text xml:space="preserve">Assuming this is Jan 17, 2025
@garrett.lutz@charmindustrial.com</x18tc:text>
    <x18tc:mentions>
      <x18tc:mention mentionpersonId="{9c68715d-dbc5-4757-8a4a-15c284ce7f55}" mentionId="{048c85b6-690e-434c-a7ce-59a257b9a3ec}" startIndex="30" length="33"/>
    </x18tc:mentions>
  </x18tc:threadedComment>
  <x18tc:threadedComment ref="N91" dT="2025-09-02T22:39:54.00" personId="{06747fd8-fc57-462b-9c7f-2bbf08e448b0}" id="{efe74bc9-4a6f-4e4e-ad1b-81df1fabe374}" parentId="{7f3eb47e-954e-4cd8-a6ef-9d4a82b48a4c}">
    <x18tc:text xml:space="preserve">Yes that is correct</x18tc:text>
  </x18tc:threadedComment>
  <x18tc:threadedComment ref="R189" dT="2025-09-05T04:07:28.00" personId="{86986084-c06a-4e4e-9348-2685031217ee}" id="{dc174051-f081-40c2-8e00-460b57d53903}" done="1">
    <x18tc:text xml:space="preserve">@garrett.lutz@charmindustrial.com For this loads missing gallons, will these be updated / added later?
Assigned to garrett.lutz@charmindustrial.com</x18tc:text>
    <x18tc:mentions>
      <x18tc:mention mentionpersonId="{9c68715d-dbc5-4757-8a4a-15c284ce7f55}" mentionId="{9456bfe5-5ad7-42fe-a4f6-1e68e873773c}" startIndex="0" length="33"/>
    </x18tc:mentions>
  </x18tc:threadedComment>
  <x18tc:threadedComment ref="R189" dT="2025-09-05T15:21:51.00" personId="{06747fd8-fc57-462b-9c7f-2bbf08e448b0}" id="{d445235c-1f4c-414f-ba8d-fd9d52955fb4}" parentId="{dc174051-f081-40c2-8e00-460b57d53903}">
    <x18tc:text xml:space="preserve">Good question @mingyi@mangrovesystems.com I think it is because @samah.khalil@charmindustrial.com is OOO, I'll fill these in rn</x18tc:text>
    <x18tc:mentions>
      <x18tc:mention mentionpersonId="{41b55014-a9bb-4cd4-98bc-3b02238bea68}" mentionId="{72032243-79fb-49b2-82fb-cbebd70d3f30}" startIndex="14" length="27"/>
      <x18tc:mention mentionpersonId="{11a1f596-d124-45a2-848b-fdbde4b7019f}" mentionId="{b74fb5f2-c57e-42d9-8c02-cbdd8996ead2}" startIndex="64" length="33"/>
    </x18tc:mentions>
  </x18tc:threadedComment>
  <x18tc:threadedComment ref="R189" dT="2025-09-05T15:25:44.00" personId="{06747fd8-fc57-462b-9c7f-2bbf08e448b0}" id="{935ebfbf-d4ad-421e-b009-42a6f14636ec}" parentId="{dc174051-f081-40c2-8e00-460b57d53903}">
    <x18tc:text xml:space="preserve">All filled @mingyi@mangrovesystems.com !</x18tc:text>
    <x18tc:mentions>
      <x18tc:mention mentionpersonId="{41b55014-a9bb-4cd4-98bc-3b02238bea68}" mentionId="{4c6f4e2e-923b-4389-b13f-66d072d63135}" startIndex="11" length="27"/>
    </x18tc:mentions>
  </x18tc:threadedComment>
  <x18tc:threadedComment ref="R189" dT="2025-09-05T16:31:39.00" personId="{86986084-c06a-4e4e-9348-2685031217ee}" id="{1b0f02a9-4406-466d-ba02-ca5d9e0068c8}" parentId="{dc174051-f081-40c2-8e00-460b57d53903}">
    <x18tc:text xml:space="preserve">awesome thanks! updated in the model</x18tc:text>
  </x18tc:threadedComment>
  <x18tc:threadedComment ref="N273" dT="2026-02-24T06:00:15.00" personId="{d4e75c71-4df7-4350-a529-0d16d9bff311}" id="{d87c243b-df3c-4fda-a349-39a69347afd8}" done="1">
    <x18tc:text xml:space="preserve">Might reschedule, might cancel</x18tc:text>
  </x18tc:threadedComment>
  <x18tc:threadedComment ref="L20" dT="2024-05-15T17:39:10.00" personId="{c72a14e5-4c8d-4377-adcb-3c6ade3fac7d}" id="{042660e6-623c-4898-be58-383e00040f4f}" done="1">
    <x18tc:text xml:space="preserve">Gus</x18tc:text>
  </x18tc:threadedComment>
  <x18tc:threadedComment ref="R219" dT="2025-09-05T16:36:36.00" personId="{86986084-c06a-4e4e-9348-2685031217ee}" id="{3a07127b-e30a-44bb-b660-fbdbd02e86dc}" done="1">
    <x18tc:text xml:space="preserve">FYI - last load uploaded to MG</x18tc:text>
  </x18tc:threadedComment>
  <x18tc:threadedComment ref="L38" dT="2024-06-21T21:50:04.00" personId="{c72a14e5-4c8d-4377-adcb-3c6ade3fac7d}" id="{d3236708-1066-46af-b5d0-cc3e3bdad94a}" done="1">
    <x18tc:text xml:space="preserve">still in cambellton</x18tc:text>
  </x18tc:threadedComment>
  <x18tc:threadedComment ref="B34" dT="2024-10-21T22:20:28.00" personId="{fc6b6514-401b-4006-bda7-6a18f962bfa1}" id="{545105c8-4d30-4c1a-8e15-c7a588b495e0}" done="1">
    <x18tc:text xml:space="preserve">@caleb@charmindustrial.com can you confirm that the batches we are seeing with higher viscosity are the ones from these loads?</x18tc:text>
    <x18tc:mentions>
      <x18tc:mention mentionpersonId="{7bbbb1ec-af58-46c3-a3bf-9ce2d5720cbd}" mentionId="{e57265d2-2170-435a-b85e-fe2c92b00894}" startIndex="0" length="26"/>
    </x18tc:mentions>
  </x18tc:threadedComment>
  <x18tc:threadedComment ref="L39" dT="2024-06-21T21:50:34.00" personId="{c72a14e5-4c8d-4377-adcb-3c6ade3fac7d}" id="{1b493f7f-bf02-4c16-8314-e4d025108394}" done="1">
    <x18tc:text xml:space="preserve">may have crossed to Baie Comeau today or will go on Monday</x18tc:text>
  </x18tc:threadedComment>
  <x18tc:threadedComment ref="P259" dT="2026-02-13T22:13:51.00" personId="{d4e75c71-4df7-4350-a529-0d16d9bff311}" id="{ad794ddf-af97-4d0b-9475-37dcd7faaf57}" done="1">
    <x18tc:text xml:space="preserve">everything in bold needs to be added in MF</x18tc:text>
  </x18tc:threadedComment>
  <x18tc:threadedComment ref="O39" dT="2024-09-21T15:06:12.00" personId="{fc6b6514-401b-4006-bda7-6a18f962bfa1}" id="{874ca539-b2a5-42d7-9310-ea41a86c4604}" done="1">
    <x18tc:text xml:space="preserve">8/13 in Yaggy</x18tc:text>
  </x18tc:threadedComment>
  <x18tc:threadedComment ref="N88" dT="2024-10-24T19:32:24.00" personId="{fc6b6514-401b-4006-bda7-6a18f962bfa1}" id="{d50c2d29-3f8b-4b1a-934d-497aecb32319}" done="1">
    <x18tc:text xml:space="preserve">These railcars and the remaining below are on risk to meet original schedule due to the slowdown in emptying the railcars the last 2 weeks.</x18tc:text>
  </x18tc:threadedComment>
  <x18tc:threadedComment ref="O38" dT="2024-09-21T15:01:04.00" personId="{fc6b6514-401b-4006-bda7-6a18f962bfa1}" id="{80252a22-75f2-45a5-a361-bf4a5128f103}" done="1">
    <x18tc:text xml:space="preserve">8/21 in Yaggy</x18tc:text>
  </x18tc:threadedComment>
  <x18tc:threadedComment ref="P295" dT="2026-03-31T21:09:33.00" personId="{d4e75c71-4df7-4350-a529-0d16d9bff311}" id="{082a5034-7b41-4d52-98f4-de9a5fc4486e}" done="0">
    <x18tc:text xml:space="preserve">Inform Brad when I put this into MFO</x18tc:text>
  </x18tc:threadedComment>
  <x18tc:threadedComment ref="N87" dT="2025-09-02T22:39:27.00" personId="{86986084-c06a-4e4e-9348-2685031217ee}" id="{d9a6090f-cabc-4f16-82e3-d1e3b6ef3960}" done="1">
    <x18tc:text xml:space="preserve">Assuming this is Jan 5, 2025 (not 2024) @garrett.lutz@charmindustrial.com</x18tc:text>
    <x18tc:mentions>
      <x18tc:mention mentionpersonId="{9c68715d-dbc5-4757-8a4a-15c284ce7f55}" mentionId="{7e6b5b06-91b6-4435-aaf1-e8a1e4d78093}" startIndex="40" length="33"/>
    </x18tc:mentions>
  </x18tc:threadedComment>
  <x18tc:threadedComment ref="N87" dT="2025-09-02T22:40:22.00" personId="{06747fd8-fc57-462b-9c7f-2bbf08e448b0}" id="{574ced07-8b7f-4df1-86e8-1cbf9d616453}" parentId="{d9a6090f-cabc-4f16-82e3-d1e3b6ef3960}">
    <x18tc:text xml:space="preserve">Correct</x18tc:text>
  </x18tc:threadedComment>
  <x18tc:threadedComment ref="D68" dT="2024-12-19T18:14:38.00" personId="{b69f98e7-141d-4d31-8695-d7467523ee00}" id="{6933bd63-dd82-40cf-a609-441cca56daa7}" done="1">
    <x18tc:text xml:space="preserve">@antoinette@charmindustrial.com is there any way to get these updated before EOW so we can process these batches over the holiday break?</x18tc:text>
    <x18tc:mentions>
      <x18tc:mention mentionpersonId="{9ba60896-f291-4f55-868c-87690e670479}" mentionId="{59568bf2-de20-4d3f-8a2d-0db93b87f7c9}" startIndex="0" length="31"/>
    </x18tc:mentions>
  </x18tc:threadedComment>
  <x18tc:threadedComment ref="D68" dT="2024-12-19T18:30:10.00" personId="{fc6b6514-401b-4006-bda7-6a18f962bfa1}" id="{e985895e-f2b5-4108-8676-fc3fb43d082d}" parentId="{6933bd63-dd82-40cf-a609-441cca56daa7}">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fc6b6514-401b-4006-bda7-6a18f962bfa1}" id="{566e7576-2d00-4c65-a5f1-46cd4299f7fb}" done="1">
    <x18tc:text xml:space="preserve">@katie@charmindustrial.com - fyi now that we have more consistency - I'm expecting the sequence for these trains for pick ups to look like this</x18tc:text>
    <x18tc:mentions>
      <x18tc:mention mentionpersonId="{7927b384-b4ac-47d3-b7f9-4870d00ff58e}" mentionId="{a534b9cf-f4b8-4525-ac82-e784e74eaba4}" startIndex="0" length="26"/>
    </x18tc:mentions>
  </x18tc:threadedComment>
  <x18tc:threadedComment ref="L87" dT="2024-09-27T21:35:28.00" personId="{fc6b6514-401b-4006-bda7-6a18f962bfa1}" id="{e8f54571-35fa-4c70-a3d6-8406fea9ab67}" parentId="{566e7576-2d00-4c65-a5f1-46cd4299f7fb}">
    <x18tc:text xml:space="preserve">Marked as resolved</x18tc:text>
  </x18tc:threadedComment>
  <x18tc:threadedComment ref="L87" dT="2024-09-27T21:36:03.00" personId="{fc6b6514-401b-4006-bda7-6a18f962bfa1}" id="{1457e99c-67d4-48e2-a6bd-c8fa50ada028}" parentId="{566e7576-2d00-4c65-a5f1-46cd4299f7fb}">
    <x18tc:text xml:space="preserve">Re-opened</x18tc:text>
  </x18tc:threadedComment>
  <x18tc:threadedComment ref="O54" dT="2024-11-19T17:24:59.00" personId="{fc6b6514-401b-4006-bda7-6a18f962bfa1}" id="{f679f400-e665-463e-8680-5597b902bba2}" done="1">
    <x18tc:text xml:space="preserve">Andrew's truck broke down so still waiting on the new delivery date (fyi @james.grimes@charmindustrial.com @caleb@charmindustrial.com @peter@charmindustrial.com )</x18tc:text>
    <x18tc:mentions>
      <x18tc:mention mentionpersonId="{626efb59-bfa5-4637-b6bd-9394461ba4ea}" mentionId="{748c9737-0da5-4ae4-85be-bf7bdab2e927}" startIndex="73" length="33"/>
      <x18tc:mention mentionpersonId="{7bbbb1ec-af58-46c3-a3bf-9ce2d5720cbd}" mentionId="{9ff04518-5b30-4ab8-8997-0f1b713e0c8d}" startIndex="107" length="26"/>
      <x18tc:mention mentionpersonId="{29fe7b7b-1ea2-44af-94e2-8431b6e2786f}" mentionId="{ed36fd6d-d04c-4d8a-b111-dc31e88e3ce3}" startIndex="134" length="26"/>
    </x18tc:mentions>
  </x18tc:threadedComment>
  <x18tc:threadedComment ref="O24" dT="2024-05-28T13:40:49.00" personId="{fc6b6514-401b-4006-bda7-6a18f962bfa1}" id="{02c9d6d7-91b6-4324-8b68-e1141cc3e6a6}" done="1">
    <x18tc:text xml:space="preserve">need to manually change these, since Cherylann said delivery would be 6/4 instead. @caleb@charmindustrial.com let me know if there are any issues with this. (cc: @katie@charmindustrial.com)</x18tc:text>
    <x18tc:mentions>
      <x18tc:mention mentionpersonId="{7bbbb1ec-af58-46c3-a3bf-9ce2d5720cbd}" mentionId="{9762a729-f56e-4280-8cda-23f3c522f148}" startIndex="83" length="26"/>
      <x18tc:mention mentionpersonId="{7927b384-b4ac-47d3-b7f9-4870d00ff58e}" mentionId="{18e758ff-417d-44f2-9ea3-71bc321697d1}" startIndex="162" length="26"/>
    </x18tc:mentions>
  </x18tc:threadedComment>
  <x18tc:threadedComment ref="O24" dT="2024-05-28T14:08:12.00" personId="{c72a14e5-4c8d-4377-adcb-3c6ade3fac7d}" id="{af1d1059-31cb-4e2b-9cbe-0fd60ba1039a}" parentId="{02c9d6d7-91b6-4324-8b68-e1141cc3e6a6}">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fc6b6514-401b-4006-bda7-6a18f962bfa1}" id="{0f23320c-626e-491e-a54c-2020784ac787}"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29fe7b7b-1ea2-44af-94e2-8431b6e2786f}" mentionId="{72744dec-411c-4f82-ac44-13452b558d75}" startIndex="0" length="26"/>
    </x18tc:mentions>
  </x18tc:threadedComment>
  <x18tc:threadedComment ref="B9" dT="2024-07-23T04:19:06.00" personId="{3869a200-4156-4be7-9585-b1ce2942accf}" id="{a90b64e6-19f7-4d11-969c-980898ee5227}" parentId="{0f23320c-626e-491e-a54c-2020784ac787}">
    <x18tc:text xml:space="preserve">that's fine to link to the folder, thanks!</x18tc:text>
  </x18tc:threadedComment>
  <x18tc:threadedComment ref="O119" dT="2025-03-19T17:04:59.00" personId="{c72a14e5-4c8d-4377-adcb-3c6ade3fac7d}" id="{1746dae4-72b2-4e66-8a2b-020412aeeeab}" done="1">
    <x18tc:text xml:space="preserve">@antoinette@charmindustrial.com invoice says this was delivered on Mar 12, which was it?</x18tc:text>
    <x18tc:mentions>
      <x18tc:mention mentionpersonId="{9ba60896-f291-4f55-868c-87690e670479}" mentionId="{9c1432a1-587a-4d37-98f9-2bfc5ca6f801}" startIndex="0" length="31"/>
    </x18tc:mentions>
  </x18tc:threadedComment>
  <x18tc:threadedComment ref="O119" dT="2025-03-19T17:23:46.00" personId="{fc6b6514-401b-4006-bda7-6a18f962bfa1}" id="{3b9700d0-7cd9-438c-b64a-27c23ad30ef7}" parentId="{1746dae4-72b2-4e66-8a2b-020412aeeeab}">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fc6b6514-401b-4006-bda7-6a18f962bfa1}" id="{b6e73b10-4ac9-40fa-8768-232667d1fa41}" done="1">
    <x18tc:text xml:space="preserve">@katie@charmindustrial.com fyi had to manually change this as well after coordinating with cherylann this AM</x18tc:text>
    <x18tc:mentions>
      <x18tc:mention mentionpersonId="{7927b384-b4ac-47d3-b7f9-4870d00ff58e}" mentionId="{c48ef7c5-08b1-4fce-b03d-b0260f55e5ec}" startIndex="0" length="26"/>
    </x18tc:mentions>
  </x18tc:threadedComment>
  <x18tc:threadedComment ref="B10" dT="2024-05-10T20:39:36.00" personId="{fc6b6514-401b-4006-bda7-6a18f962bfa1}" id="{52510980-122c-4f43-a8b4-69ac3d1bfdef}" done="1">
    <x18tc:text xml:space="preserve">Invoice approved (are we tracking this elsewhere?)</x18tc:text>
  </x18tc:threadedComment>
  <x18tc:threadedComment ref="B14" dT="2024-05-10T20:51:26.00" personId="{fc6b6514-401b-4006-bda7-6a18f962bfa1}" id="{2e0530d7-0fe9-4d09-9eb2-3a6be6cd02d5}" done="1">
    <x18tc:text xml:space="preserve">looks like I approved POs 051 and 052 here. Didn't see any yet for 053T2R4</x18tc:text>
  </x18tc:threadedComment>
  <x18tc:threadedComment ref="O37" dT="2024-09-21T14:58:11.00" personId="{fc6b6514-401b-4006-bda7-6a18f962bfa1}" id="{71b8113d-178d-44ff-acfe-492d6061282a}" done="1">
    <x18tc:text xml:space="preserve">Arrived in Yaggy 8/13</x18tc:text>
  </x18tc:threadedComment>
  <x18tc:threadedComment ref="Q12" dT="2024-05-17T03:56:06.00" personId="{c72a14e5-4c8d-4377-adcb-3c6ade3fac7d}" id="{7ac30515-299f-49a6-b80c-ec310db70044}" done="1">
    <x18tc:text xml:space="preserve">@antoinette@charmindustrial.com do you have the actual loaded weight of these cars?</x18tc:text>
    <x18tc:mentions>
      <x18tc:mention mentionpersonId="{9ba60896-f291-4f55-868c-87690e670479}" mentionId="{05152478-e3e0-49d7-aba5-6b7ae0c31e57}" startIndex="0" length="31"/>
    </x18tc:mentions>
  </x18tc:threadedComment>
  <x18tc:threadedComment ref="Q12" dT="2024-05-17T15:02:49.00" personId="{fc6b6514-401b-4006-bda7-6a18f962bfa1}" id="{e452abda-3613-479b-99ec-4aa3ed3e254e}" parentId="{7ac30515-299f-49a6-b80c-ec310db70044}">
    <x18tc:text xml:space="preserve">this is Metric Tons right?</x18tc:text>
  </x18tc:threadedComment>
  <x18tc:threadedComment ref="Q12" dT="2024-05-17T19:12:04.00" personId="{c72a14e5-4c8d-4377-adcb-3c6ade3fac7d}" id="{590c3b89-30be-49c9-8794-051aedb8056b}" parentId="{7ac30515-299f-49a6-b80c-ec310db70044}">
    <x18tc:text xml:space="preserve">yes!</x18tc:text>
  </x18tc:threadedComment>
  <x18tc:threadedComment ref="D9" dT="2025-01-14T23:04:39.00" personId="{f2f4fd08-e2dd-4881-a5d5-ecfee8f95a19}" id="{dd5ab451-9764-4113-a88b-ceb620a003bb}" done="1">
    <x18tc:text xml:space="preserve">@antoinette@charmindustrial.com The COA ref # here is RS3-240404, but the link goes to RS2-240401. 
Is that an error, or is this not a unique batch COA?
Assigned to antoinette@charmindustrial.com</x18tc:text>
    <x18tc:mentions>
      <x18tc:mention mentionpersonId="{9ba60896-f291-4f55-868c-87690e670479}" mentionId="{bae218cc-3a1e-4d5f-9b5e-a36ba7c4df38}" startIndex="0" length="31"/>
    </x18tc:mentions>
  </x18tc:threadedComment>
  <x18tc:threadedComment ref="E106" dT="2025-02-25T05:25:12.00" personId="{fc6b6514-401b-4006-bda7-6a18f962bfa1}" id="{6ecc5952-8313-40a1-9e3c-ad0bc61c6f97}" done="1">
    <x18tc:text xml:space="preserve">PCB credit card charge says $208.21 even if invoice states 223.21</x18tc:text>
  </x18tc:threadedComment>
  <x18tc:threadedComment ref="L13" dT="2024-05-02T19:39:27.00" personId="{c72a14e5-4c8d-4377-adcb-3c6ade3fac7d}" id="{5c911b02-573c-4b3c-b2a4-da7c27b3d85f}" done="1">
    <x18tc:text xml:space="preserve">@antoinette@charmindustrial.com can you update the railcar ID and actual pick up date here?</x18tc:text>
    <x18tc:mentions>
      <x18tc:mention mentionpersonId="{9ba60896-f291-4f55-868c-87690e670479}" mentionId="{c8515372-7ff9-4756-b3b9-7fca9b1e7885}" startIndex="0" length="31"/>
    </x18tc:mentions>
  </x18tc:threadedComment>
  <x18tc:threadedComment ref="L13" dT="2024-05-02T21:20:06.00" personId="{fc6b6514-401b-4006-bda7-6a18f962bfa1}" id="{df6a0846-a93f-4e97-bad7-3dbc1ae14ff3}" parentId="{5c911b02-573c-4b3c-b2a4-da7c27b3d85f}">
    <x18tc:text xml:space="preserve">we don't know yet - waiting for TBC</x18tc:text>
  </x18tc:threadedComment>
  <x18tc:threadedComment ref="D37" dT="2024-07-23T19:50:03.00" personId="{fc6b6514-401b-4006-bda7-6a18f962bfa1}" id="{c6473fe6-f507-48cb-bee4-8e2973b1a390}" done="1">
    <x18tc:text xml:space="preserve">@peter@charmindustrial.com 2 different cofa's for these BOLs - you can find them all in the CofA folder (https://drive.google.com/drive/folders/1IJSdxTvW_Ru9y499b5qCRVvViT4afrzr)</x18tc:text>
    <x18tc:mentions>
      <x18tc:mention mentionpersonId="{29fe7b7b-1ea2-44af-94e2-8431b6e2786f}" mentionId="{f1c452d4-2d7b-46be-b7dc-0d533c7859e5}"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3869a200-4156-4be7-9585-b1ce2942accf}" id="{406c437a-f42b-437c-832b-04dd3c82df1b}" parentId="{c6473fe6-f507-48cb-bee4-8e2973b1a390}">
    <x18tc:text xml:space="preserve">no problem, you can add two links, added!</x18tc:text>
  </x18tc:threadedComment>
  <x18tc:threadedComment ref="R262" dT="2026-02-23T18:53:11.00" personId="{06747fd8-fc57-462b-9c7f-2bbf08e448b0}" id="{f77b4d36-8b4b-4b6d-9de3-0a644e957feb}" done="0">
    <x18tc:text xml:space="preserve">Last batch added into MG</x18tc:text>
  </x18tc:threadedComment>
  <x18tc:threadedComment ref="C118" dT="2025-03-11T21:06:16.00" personId="{c892e60e-9cae-4b8f-9412-b90a2fc8d910}" id="{3a3b1b38-d1f7-418b-871c-2f71cbf1c721}" done="1">
    <x18tc:text xml:space="preserve">@antoinette@charmindustrial.com can you add this BOL</x18tc:text>
    <x18tc:mentions>
      <x18tc:mention mentionpersonId="{9ba60896-f291-4f55-868c-87690e670479}" mentionId="{d33b083b-329c-434b-ac18-d1e0baa5256c}" startIndex="0" length="31"/>
    </x18tc:mentions>
  </x18tc:threadedComment>
  <x18tc:threadedComment ref="C118" dT="2025-03-12T20:03:21.00" personId="{fc6b6514-401b-4006-bda7-6a18f962bfa1}" id="{939f22e2-5d26-4aca-8ccc-11859dc99e62}" parentId="{3a3b1b38-d1f7-418b-871c-2f71cbf1c721}">
    <x18tc:text xml:space="preserve">Yes! Can't find the BOL in my emails so requested they send it - hopefully can update by tonight!</x18tc:text>
  </x18tc:threadedComment>
  <x18tc:threadedComment ref="O34" dT="2024-07-17T19:59:20.00" personId="{fc6b6514-401b-4006-bda7-6a18f962bfa1}" id="{5a938f2b-2645-40ac-9154-f82789558ec4}" done="1">
    <x18tc:text xml:space="preserve">Delivery date should change - car has bad breaks. Expected delivery has been pushed back 10 days</x18tc:text>
  </x18tc:threadedComment>
  <x18tc:threadedComment ref="N100" dT="2025-03-12T20:12:16.00" personId="{fc6b6514-401b-4006-bda7-6a18f962bfa1}" id="{dc130b4b-510e-4d24-84eb-f4b872193491}"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626efb59-bfa5-4637-b6bd-9394461ba4ea}" mentionId="{6a674b6c-3a4d-4373-ab70-bc4d556c4725}" startIndex="0" length="33"/>
      <x18tc:mention mentionpersonId="{3407922f-30a1-4152-9e7a-4e1f6c1dab83}" mentionId="{d936e85c-fd34-495c-8905-bd9ff6a60455}" startIndex="34" length="26"/>
    </x18tc:mentions>
  </x18tc:threadedComment>
  <x18tc:threadedComment ref="O47" dT="2025-02-24T21:39:26.00" personId="{fc6b6514-401b-4006-bda7-6a18f962bfa1}" id="{7c216af0-4fc9-4ce6-8471-2f2c3eaf639f}" done="0">
    <x18tc:text xml:space="preserve">Arrived in Yaggy 11/20</x18tc:text>
  </x18tc:threadedComment>
  <x18tc:threadedComment ref="R252" dT="2026-02-13T14:57:37.00" personId="{06747fd8-fc57-462b-9c7f-2bbf08e448b0}" id="{807442ff-48d8-45ed-ac6d-d2d6db77516a}" done="1">
    <x18tc:text xml:space="preserve">Batch loaded last into MG</x18tc:text>
  </x18tc:threadedComment>
  <x18tc:threadedComment ref="Q219" dT="2025-10-06T14:17:08.00" personId="{06747fd8-fc57-462b-9c7f-2bbf08e448b0}" id="{9a047c67-e77a-4489-8aff-9942809d5de9}" done="1">
    <x18tc:text xml:space="preserve">@samah.khalil@charmindustrial.com can you let me know why we changed this mass?</x18tc:text>
    <x18tc:mentions>
      <x18tc:mention mentionpersonId="{11a1f596-d124-45a2-848b-fdbde4b7019f}" mentionId="{2c48cc1f-508d-4a9d-9f26-0fc264924805}" startIndex="0" length="33"/>
    </x18tc:mentions>
  </x18tc:threadedComment>
  <x18tc:threadedComment ref="Q219" dT="2025-10-07T17:45:37.00" personId="{d4e75c71-4df7-4350-a529-0d16d9bff311}" id="{57552bb0-0454-4419-badd-38d4d7af7eaf}" parentId="{9a047c67-e77a-4489-8aff-9942809d5de9}">
    <x18tc:text xml:space="preserve">@garrett.lutz@charmindustrial.com they sent a corrected billing document. I'll upload the updated BOL</x18tc:text>
    <x18tc:mentions>
      <x18tc:mention mentionpersonId="{9c68715d-dbc5-4757-8a4a-15c284ce7f55}" mentionId="{5dbb4774-5a2a-49e5-ac10-68c0d922789e}" startIndex="0" length="33"/>
    </x18tc:mentions>
  </x18tc:threadedComment>
  <x18tc:threadedComment ref="Q219" dT="2025-10-07T17:47:56.00" personId="{06747fd8-fc57-462b-9c7f-2bbf08e448b0}" id="{7b5a2382-c0f5-4af7-896c-187d2c9a4bc3}" parentId="{9a047c67-e77a-4489-8aff-9942809d5de9}">
    <x18tc:text xml:space="preserve">@samah.khalil@charmindustrial.com Amazing thank you, do you see this often or is this a one off in your experience with them?</x18tc:text>
    <x18tc:mentions>
      <x18tc:mention mentionpersonId="{11a1f596-d124-45a2-848b-fdbde4b7019f}" mentionId="{057fe085-c90d-4c50-8487-fbab018b5ab7}" startIndex="0" length="33"/>
    </x18tc:mentions>
  </x18tc:threadedComment>
  <x18tc:threadedComment ref="Q219" dT="2025-10-07T17:59:56.00" personId="{d4e75c71-4df7-4350-a529-0d16d9bff311}" id="{9a4c6e7e-3dde-4c0f-9ecb-2e2e90dac292}" parentId="{9a047c67-e77a-4489-8aff-9942809d5de9}">
    <x18tc:text xml:space="preserve">@garrett.lutz@charmindustrial.com it happens once in a while. About once every other month.</x18tc:text>
    <x18tc:mentions>
      <x18tc:mention mentionpersonId="{9c68715d-dbc5-4757-8a4a-15c284ce7f55}" mentionId="{f5cf9bb9-df3b-40ce-ad97-a89b76a967b0}" startIndex="0" length="33"/>
    </x18tc:mentions>
  </x18tc:threadedComment>
  <x18tc:threadedComment ref="L37" dT="2024-07-08T21:36:45.00" personId="{fc6b6514-401b-4006-bda7-6a18f962bfa1}" id="{9a0e8a3d-3090-4e8c-ad96-d1e98a80f833}" done="1">
    <x18tc:text xml:space="preserve">Need to confirm with Julien when he waybills, what the 3 railcars he loaded were - these are best guesses best on what's in the yard</x18tc:text>
  </x18tc:threadedComment>
  <x18tc:threadedComment ref="C200" dT="2025-09-04T17:41:34.00" personId="{1f6918d1-3ddd-44e5-b046-8abd1685b8f0}" id="{9be0ea39-c8c6-447a-8ba4-c102d9b07eb9}" done="1">
    <x18tc:text xml:space="preserve">@antoinette@charmindustrial.com 2200 and 2201 also had a typo when received, but it looks like it was fixed.</x18tc:text>
    <x18tc:mentions>
      <x18tc:mention mentionpersonId="{9ba60896-f291-4f55-868c-87690e670479}" mentionId="{a1cee114-f1c8-47e2-9ce8-8199f766aa30}" startIndex="0" length="31"/>
    </x18tc:mentions>
  </x18tc:threadedComment>
  <x18tc:threadedComment ref="C119" dT="2025-03-12T19:39:29.00" personId="{c892e60e-9cae-4b8f-9412-b90a2fc8d910}" id="{a38ca85c-b6c4-41d3-b25c-be0f92f60e97}" done="1">
    <x18tc:text xml:space="preserve">@antoinette@charmindustrial.com</x18tc:text>
    <x18tc:mentions>
      <x18tc:mention mentionpersonId="{9ba60896-f291-4f55-868c-87690e670479}" mentionId="{330c0ffb-f403-449a-a2a2-6024c627dbef}" startIndex="0" length="31"/>
    </x18tc:mentions>
  </x18tc:threadedComment>
  <x18tc:threadedComment ref="R232" dT="2025-10-06T00:50:49.00" personId="{86986084-c06a-4e4e-9348-2685031217ee}" id="{0af7e154-5946-4809-b80d-ee3dde21cd2c}" done="1">
    <x18tc:text xml:space="preserve">Last batch loaded to MG</x18tc:text>
  </x18tc:threadedComment>
  <x18tc:threadedComment ref="O112" dT="2025-03-14T21:29:50.00" personId="{c72a14e5-4c8d-4377-adcb-3c6ade3fac7d}" id="{ef297bbb-f70e-47ef-9699-6bd86c0628ae}" done="1">
    <x18tc:text xml:space="preserve">appears to have been delivered 3/4</x18tc:text>
  </x18tc:threadedComment>
  <x18tc:threadedComment ref="O112" dT="2025-03-18T20:59:49.00" personId="{fc6b6514-401b-4006-bda7-6a18f962bfa1}" id="{67742a91-51d1-4246-804d-874a34200bd5}" parentId="{ef297bbb-f70e-47ef-9699-6bd86c0628ae}">
    <x18tc:text xml:space="preserve">where do you see that? According to KS tracker, it was 3/3</x18tc:text>
  </x18tc:threadedComment>
  <x18tc:threadedComment ref="O112" dT="2025-03-18T21:20:10.00" personId="{c72a14e5-4c8d-4377-adcb-3c6ade3fac7d}" id="{5f9a4ecd-8a03-4ec9-9c97-46d0ae40a568}" parentId="{ef297bbb-f70e-47ef-9699-6bd86c0628ae}">
    <x18tc:text xml:space="preserve">that's what the invoice said!</x18tc:text>
  </x18tc:threadedComment>
  <x18tc:threadedComment ref="O112" dT="2025-03-18T21:35:01.00" personId="{fc6b6514-401b-4006-bda7-6a18f962bfa1}" id="{3cb4fbc8-f9cc-438f-89df-87ddb225ea25}" parentId="{ef297bbb-f70e-47ef-9699-6bd86c0628ae}">
    <x18tc:text xml:space="preserve">oh nice! Didn't think to check the invoice! Thanks!</x18tc:text>
  </x18tc:threadedComment>
  <x18tc:threadedComment ref="C219" dT="2025-09-04T16:14:20.00" personId="{1f6918d1-3ddd-44e5-b046-8abd1685b8f0}" id="{3d8ca5ea-e211-4517-9bd0-40ac275dba86}" done="0">
    <x18tc:text xml:space="preserve">@andrew.thomas@charmindustrial.com we can get you samples from 2245 and 2246</x18tc:text>
    <x18tc:mentions>
      <x18tc:mention mentionpersonId="{42e5b8f9-60b4-4dfa-ac1c-d6cff7183f05}" mentionId="{bbbc1bda-d303-45bb-b7e1-626e3c12f88d}" startIndex="0" length="34"/>
    </x18tc:mentions>
  </x18tc:threadedComment>
  <x18tc:threadedComment ref="C217" dT="2025-09-04T17:27:29.00" personId="{1f6918d1-3ddd-44e5-b046-8abd1685b8f0}" id="{ff02467c-06a5-4c31-a24e-b53950245faf}" done="0">
    <x18tc:text xml:space="preserve">2221-T was received as 2220-T in the BOL. We entered this twice in MFO as a result @antoinette@charmindustrial.com</x18tc:text>
    <x18tc:mentions>
      <x18tc:mention mentionpersonId="{9ba60896-f291-4f55-868c-87690e670479}" mentionId="{0e54c810-66e2-47b5-8b40-79bb9dda52d7}" startIndex="83" length="31"/>
    </x18tc:mentions>
  </x18tc:threadedComment>
  <x18tc:threadedComment ref="C188" dT="2025-07-07T22:41:31.00" personId="{d4e75c71-4df7-4350-a529-0d16d9bff311}" id="{cbed45f8-2f06-4b12-9146-0389a2a4fb6b}" done="1">
    <x18tc:text xml:space="preserve">truck broke down</x18tc:text>
  </x18tc:threadedComment>
  <x18tc:threadedComment ref="L87" dT="2024-11-12T02:49:27.00" personId="{fc6b6514-401b-4006-bda7-6a18f962bfa1}" id="{7db5b055-09f0-4302-ada5-ecd9dbfc8ac4}" done="1">
    <x18tc:text xml:space="preserve">Took railcar lining from this railcar on 11/11 in Baie Comeau</x18tc:text>
  </x18tc:threadedComment>
  <x18tc:threadedComment ref="Q2" dT="2024-04-03T18:12:11.00" personId="{c72a14e5-4c8d-4377-adcb-3c6ade3fac7d}" id="{d719abab-83f2-462a-95d4-1f7810c0624f}" done="1">
    <x18tc:text xml:space="preserve">@max@charmindustrial.com can you update the actual loaded (tons) and carbon content (%) for completed loads while you are doing the ledger entry?
We need actuals to keep our forecast up to date.</x18tc:text>
    <x18tc:mentions>
      <x18tc:mention mentionpersonId="{0da4b0b8-d90f-45c2-a8cd-57c61471e247}" mentionId="{b433c4fc-f773-47a1-948d-1218700766d3}" startIndex="0" length="24"/>
    </x18tc:mentions>
  </x18tc:threadedComment>
  <x18tc:threadedComment ref="Q2" dT="2024-04-04T21:03:25.00" personId="{f2f4fd08-e2dd-4881-a5d5-ecfee8f95a19}" id="{d9a4f6e3-87bb-4899-8c18-994bb91c5c04}" parentId="{d719abab-83f2-462a-95d4-1f7810c0624f}">
    <x18tc:text xml:space="preserve">Sure, no problem</x18tc:text>
  </x18tc:threadedComment>
  <x18tc:threadedComment ref="Q2" dT="2024-04-04T21:11:48.00" personId="{f2f4fd08-e2dd-4881-a5d5-ecfee8f95a19}" id="{9597482a-fa73-4473-8dae-521a93ed0b7e}" parentId="{d719abab-83f2-462a-95d4-1f7810c0624f}">
    <x18tc:text xml:space="preserve">Done</x18tc:text>
  </x18tc:threadedComment>
  <x18tc:threadedComment ref="L97" dT="2024-09-30T20:12:05.00" personId="{fc6b6514-401b-4006-bda7-6a18f962bfa1}" id="{e9210889-4aaa-4b82-9a52-531d815f071a}" done="1">
    <x18tc:text xml:space="preserve">GATX 032974 - writing as comment to not impact railcars tab</x18tc:text>
  </x18tc:threadedComment>
  <x18tc:threadedComment ref="O44" dT="2024-11-12T02:45:23.00" personId="{fc6b6514-401b-4006-bda7-6a18f962bfa1}" id="{e179d029-084c-41ff-85a0-918931708b7d}" done="0">
    <x18tc:text xml:space="preserve">Arrived in Yaggy 10/24</x18tc:text>
  </x18tc:threadedComment>
  <x18tc:threadedComment ref="L48" dT="2024-09-30T20:11:50.00" personId="{fc6b6514-401b-4006-bda7-6a18f962bfa1}" id="{b13479c4-b8d4-4f29-853d-4565c3d5680c}" done="1">
    <x18tc:text xml:space="preserve">GATX 032974 - writing it as a comment for now to not impact formula in Railcars tab</x18tc:text>
  </x18tc:threadedComment>
  <x18tc:threadedComment ref="O43" dT="2024-11-12T02:45:12.00" personId="{fc6b6514-401b-4006-bda7-6a18f962bfa1}" id="{82df96bd-6fbd-4df8-aeda-85883be32d5a}" done="0">
    <x18tc:text xml:space="preserve">Arrived in Yaggy 10/24</x18tc:text>
  </x18tc:threadedComment>
  <x18tc:threadedComment ref="L21" dT="2024-05-21T22:05:34.00" personId="{fc6b6514-401b-4006-bda7-6a18f962bfa1}" id="{0ac6fe2f-1fd4-4af8-8416-124b26df0533}" done="1">
    <x18tc:text xml:space="preserve">@katie@charmindustrial.com fyi added this driver from Cherylann's email and sent the email to Manon to confirm</x18tc:text>
    <x18tc:mentions>
      <x18tc:mention mentionpersonId="{7927b384-b4ac-47d3-b7f9-4870d00ff58e}" mentionId="{9add3936-24cc-49ba-927d-83e2ae9544a0}" startIndex="0" length="26"/>
    </x18tc:mentions>
  </x18tc:threadedComment>
  <x18tc:threadedComment ref="L21" dT="2024-05-22T12:29:24.00" personId="{c72a14e5-4c8d-4377-adcb-3c6ade3fac7d}" id="{6b0d8f8f-a10a-4650-ab38-3dc8ca70e1d1}" parentId="{0ac6fe2f-1fd4-4af8-8416-124b26df0533}">
    <x18tc:text xml:space="preserve">Great, thanks</x18tc:text>
  </x18tc:threadedComment>
  <x18tc:threadedComment ref="O36" dT="2024-08-12T16:02:55.00" personId="{fc6b6514-401b-4006-bda7-6a18f962bfa1}" id="{9a706e8e-599b-437a-b74a-d9fe5103a727}" done="1">
    <x18tc:text xml:space="preserve">Arrived in Yaggy 8/5</x18tc:text>
  </x18tc:threadedComment>
  <x18tc:threadedComment ref="O34" dT="2024-08-12T16:02:16.00" personId="{fc6b6514-401b-4006-bda7-6a18f962bfa1}" id="{ab246aed-c342-4735-bf4c-4331676a6bb0}" done="0">
    <x18tc:text xml:space="preserve">Arrived in Yaggy - 7/30</x18tc:text>
  </x18tc:threadedComment>
  <x18tc:threadedComment ref="O46" dT="2024-11-12T02:46:03.00" personId="{fc6b6514-401b-4006-bda7-6a18f962bfa1}" id="{b6f74832-b628-437f-94f2-8b12e4187194}" done="0">
    <x18tc:text xml:space="preserve">Arrived in Yaggy 11/10</x18tc:text>
  </x18tc:threadedComment>
  <x18tc:threadedComment ref="AG1" dT="2024-05-30T01:15:16.00" personId="{fe54d822-4260-40ec-8f9b-e3b9b03d0aec}" id="{de3861f7-3e17-4bda-be76-9f4611011fe9}" done="1">
    <x18tc:text xml:space="preserve">1.1 Multiple is a 10% increase in mass assumption from processing?</x18tc:text>
  </x18tc:threadedComment>
  <x18tc:threadedComment ref="AG1" dT="2024-05-30T03:06:01.00" personId="{f2f4fd08-e2dd-4881-a5d5-ecfee8f95a19}" id="{a4c9e355-07e8-430c-bb56-a5f2f0fdb455}" parentId="{de3861f7-3e17-4bda-be76-9f4611011fe9}">
    <x18tc:text xml:space="preserve">Yes, exactly</x18tc:text>
  </x18tc:threadedComment>
  <x18tc:threadedComment ref="N38" dT="2024-05-30T05:54:02.00" personId="{fc6b6514-401b-4006-bda7-6a18f962bfa1}" id="{987e16b6-06e9-48dc-99d5-3c772a2e5566}" done="1">
    <x18tc:text xml:space="preserve">Ferry restarts 6/5 - @katie@charmindustrial.com we'll want to confirm with SOPOR/BTC on Friday if that means we can schedule the trucks for AECN that day or the day after?</x18tc:text>
    <x18tc:mentions>
      <x18tc:mention mentionpersonId="{7927b384-b4ac-47d3-b7f9-4870d00ff58e}" mentionId="{7437e906-ba4c-431f-b416-7967d288bdc7}" startIndex="21" length="26"/>
    </x18tc:mentions>
  </x18tc:threadedComment>
  <x18tc:threadedComment ref="N38" dT="2024-05-30T14:31:56.00" personId="{b69f98e7-141d-4d31-8695-d7467523ee00}" id="{03f98f14-241d-45dd-8edf-7d8bd7a9848e}" parentId="{987e16b6-06e9-48dc-99d5-3c772a2e5566}">
    <x18tc:text xml:space="preserve">Marked as resolved</x18tc:text>
  </x18tc:threadedComment>
  <x18tc:threadedComment ref="N38" dT="2024-05-31T01:50:12.00" personId="{c72a14e5-4c8d-4377-adcb-3c6ade3fac7d}" id="{368e76f3-8e50-4a0e-91d4-48b76a7e555a}" parentId="{987e16b6-06e9-48dc-99d5-3c772a2e5566}">
    <x18tc:text xml:space="preserve">Re-opened</x18tc:text>
  </x18tc:threadedComment>
  <x18tc:threadedComment ref="N38" dT="2024-05-31T23:12:11.00" personId="{c72a14e5-4c8d-4377-adcb-3c6ade3fac7d}" id="{daca4713-9786-47b1-bde0-8fca486899cb}" parentId="{987e16b6-06e9-48dc-99d5-3c772a2e5566}">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E1" dT="2024-05-30T01:13:42.00" personId="{fe54d822-4260-40ec-8f9b-e3b9b03d0aec}" id="{bb6f4e0c-322a-43c8-89dd-68d1f736c81a}" done="1">
    <x18tc:text xml:space="preserve">@max@charmindustrial.com Why is the formula dividing by 30 in this column?  Should it be 20 since the MRV is built on a 20 assumption?</x18tc:text>
    <x18tc:mentions>
      <x18tc:mention mentionpersonId="{0da4b0b8-d90f-45c2-a8cd-57c61471e247}" mentionId="{dc2b19b4-c9a8-453a-a313-3613eacb2c17}" startIndex="0" length="24"/>
    </x18tc:mentions>
  </x18tc:threadedComment>
  <x18tc:threadedComment ref="AE1" dT="2024-05-30T03:46:28.00" personId="{f2f4fd08-e2dd-4881-a5d5-ecfee8f95a19}" id="{b1dcdeea-db95-4325-9fad-00118084c6e8}" parentId="{bb6f4e0c-322a-43c8-89dd-68d1f736c81a}">
    <x18tc:text xml:space="preserve">Fair question -- I think it's a typo but I'm not sure because I didn't make this column. 
@katie@charmindustrial.com can you confirm?</x18tc:text>
    <x18tc:mentions>
      <x18tc:mention mentionpersonId="{7927b384-b4ac-47d3-b7f9-4870d00ff58e}" mentionId="{fc8fc173-0b6f-4a92-b645-ef7e1b679404}" startIndex="90" length="26"/>
    </x18tc:mentions>
  </x18tc:threadedComment>
  <x18tc:threadedComment ref="AE1" dT="2024-05-31T05:28:06.00" personId="{c72a14e5-4c8d-4377-adcb-3c6ade3fac7d}" id="{4b750cb4-b20a-4d53-a633-85a4fa934923}" parentId="{bb6f4e0c-322a-43c8-89dd-68d1f736c81a}">
    <x18tc:text xml:space="preserve">This is correct, the input batch size is about 30 m.t.</x18tc:text>
  </x18tc:threadedComment>
  <x18tc:threadedComment ref="B2" dT="2024-03-14T21:54:08.00" personId="{c72a14e5-4c8d-4377-adcb-3c6ade3fac7d}" id="{2a167911-0e8b-48ff-b5ab-0aaca2d24b4a}" done="1">
    <x18tc:text xml:space="preserve">@max@charmindustrial.com can you input the PO# for this load?</x18tc:text>
    <x18tc:mentions>
      <x18tc:mention mentionpersonId="{0da4b0b8-d90f-45c2-a8cd-57c61471e247}" mentionId="{8f1cdf54-3f83-477a-ae63-0fd83b1c4a98}" startIndex="0" length="24"/>
    </x18tc:mentions>
  </x18tc:threadedComment>
  <x18tc:threadedComment ref="C132" dT="2025-03-26T20:02:26.00" personId="{c892e60e-9cae-4b8f-9412-b90a2fc8d910}" id="{e5742973-b4c3-4627-ae2f-d9a7c743a3d7}" done="1">
    <x18tc:text xml:space="preserve">@antoinette@charmindustrial.com this one too. Sorry we are really going through it here.</x18tc:text>
    <x18tc:mentions>
      <x18tc:mention mentionpersonId="{9ba60896-f291-4f55-868c-87690e670479}" mentionId="{9f8ee9e8-9c3f-47f6-b578-9414ff1a5ecb}" startIndex="0" length="31"/>
    </x18tc:mentions>
  </x18tc:threadedComment>
  <x18tc:threadedComment ref="C132" dT="2025-03-26T21:01:59.00" personId="{fc6b6514-401b-4006-bda7-6a18f962bfa1}" id="{5472960e-02a0-4e11-af9e-267a1edb131e}" parentId="{e5742973-b4c3-4627-ae2f-d9a7c743a3d7}">
    <x18tc:text xml:space="preserve">Marked as resolved</x18tc:text>
  </x18tc:threadedComment>
  <x18tc:threadedComment ref="C132" dT="2025-03-27T16:49:08.00" personId="{c892e60e-9cae-4b8f-9412-b90a2fc8d910}" id="{d3cb649c-8589-457c-98bf-3554ad1f3f95}" parentId="{e5742973-b4c3-4627-ae2f-d9a7c743a3d7}">
    <x18tc:text xml:space="preserve">Thank you
-- 
James Grimes
Charm Industrial
Operations Supervisor
(870) 830-7307
Re-opened</x18tc:text>
  </x18tc:threadedComment>
  <x18tc:threadedComment ref="B75" dT="2024-12-28T21:01:39.00" personId="{fc6b6514-401b-4006-bda7-6a18f962bfa1}" id="{e4fa15a6-7dd9-41da-a010-4cde4e676c3f}"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8507f3f2-8287-42c1-9221-a7dc1b15cfc6}" mentionId="{452dd19d-156b-4a3f-8051-30a58e883b2c}" startIndex="0" length="23"/>
      <x18tc:mention mentionpersonId="{7bbbb1ec-af58-46c3-a3bf-9ce2d5720cbd}" mentionId="{51d83364-3a6b-49ce-9515-e314dafeca7a}" startIndex="24" length="26"/>
    </x18tc:mentions>
  </x18tc:threadedComment>
  <x18tc:threadedComment ref="Q75" dT="2024-12-28T21:00:17.00" personId="{fc6b6514-401b-4006-bda7-6a18f962bfa1}" id="{c81b4a9f-1169-4db6-a957-d1f42e7520ec}" done="1">
    <x18tc:text xml:space="preserve">@caleb@charmindustrial.com I was asked to put the charm oil in the injection tracker so I'ved added it here - feel free to adjust this cell and metric tons to the actual amount</x18tc:text>
    <x18tc:mentions>
      <x18tc:mention mentionpersonId="{7bbbb1ec-af58-46c3-a3bf-9ce2d5720cbd}" mentionId="{97d88989-7a44-44ec-a3f9-398b8205a44a}" startIndex="0" length="26"/>
    </x18tc:mentions>
  </x18tc:threadedComment>
  <x18tc:threadedComment ref="A40" dT="2024-07-19T21:38:41.00" personId="{fc6b6514-401b-4006-bda7-6a18f962bfa1}" id="{0f074653-8a12-4bb2-ae09-1cf782e40691}"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29fe7b7b-1ea2-44af-94e2-8431b6e2786f}" mentionId="{720ff983-60a4-41cd-8042-73f42ea1ef91}" startIndex="0" length="26"/>
    </x18tc:mentions>
  </x18tc:threadedComment>
  <x18tc:threadedComment ref="A40" dT="2024-07-19T21:41:51.00" personId="{3869a200-4156-4be7-9585-b1ce2942accf}" id="{dbc4aba3-c446-4a37-b47b-0e63ae558980}" parentId="{0f074653-8a12-4bb2-ae09-1cf782e40691}">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3869a200-4156-4be7-9585-b1ce2942accf}" id="{621398c9-0fb4-408b-816a-f8ce000d3b60}" parentId="{0f074653-8a12-4bb2-ae09-1cf782e40691}">
    <x18tc:text xml:space="preserve">added on forecast sheet</x18tc:text>
  </x18tc:threadedComment>
  <x18tc:threadedComment ref="O36" dT="2024-09-06T17:50:08.00" personId="{fc6b6514-401b-4006-bda7-6a18f962bfa1}" id="{3b0d3b35-112c-45f3-a650-3de6fcd3dbde}" done="1">
    <x18tc:text xml:space="preserve">Arrived in Yaggy 8/5</x18tc:text>
  </x18tc:threadedComment>
  <x18tc:threadedComment ref="D78" dT="2025-01-05T20:54:29.00" personId="{fc6b6514-401b-4006-bda7-6a18f962bfa1}" id="{32c504cd-0913-4d9f-a37a-583ae455d299}" done="1">
    <x18tc:text xml:space="preserve">Final CoAs are not available yet. AECN has only sent preliminary ones for this load and the ones below.</x18tc:text>
  </x18tc:threadedComment>
  <x18tc:threadedComment ref="C270" dT="2026-04-23T16:10:15.00" personId="{06747fd8-fc57-462b-9c7f-2bbf08e448b0}" id="{a0470adc-4be1-4457-9102-3368cd7a27cb}" done="1">
    <x18tc:text xml:space="preserve">@samah.khalil@charmindustrial.com The attached BOL is 2213 not 2313. I guess the question here is which on is a typo? Wrong BOL doc or wrong BOL number in this cell?</x18tc:text>
    <x18tc:mentions>
      <x18tc:mention mentionpersonId="{11a1f596-d124-45a2-848b-fdbde4b7019f}" mentionId="{67a46fbf-6bb8-4ec6-b0f6-486aa311defb}" startIndex="0" length="33"/>
    </x18tc:mentions>
  </x18tc:threadedComment>
  <x18tc:threadedComment ref="C270" dT="2026-04-23T16:47:00.00" personId="{d4e75c71-4df7-4350-a529-0d16d9bff311}" id="{682eebdb-7d8f-4c98-bee4-f4c1dd724af0}" parentId="{a0470adc-4be1-4457-9102-3368cd7a27cb}">
    <x18tc:text xml:space="preserve">@garrett.lutz@charmindustrial.com Yea that was a typo by AECN.</x18tc:text>
    <x18tc:mentions>
      <x18tc:mention mentionpersonId="{9c68715d-dbc5-4757-8a4a-15c284ce7f55}" mentionId="{0cb25cd6-d343-48c6-a273-43afc6b8f018}" startIndex="0" length="33"/>
    </x18tc:mentions>
  </x18tc:threadedComment>
  <x18tc:threadedComment ref="C270" dT="2026-04-23T16:48:22.00" personId="{06747fd8-fc57-462b-9c7f-2bbf08e448b0}" id="{ed875561-6636-4f77-b12c-6c3d3ea73890}" parentId="{a0470adc-4be1-4457-9102-3368cd7a27cb}">
    <x18tc:text xml:space="preserve">Thank you</x18tc:text>
  </x18tc:threadedComment>
  <x18tc:threadedComment ref="C270" dT="2026-04-23T16:48:23.00" personId="{d4e75c71-4df7-4350-a529-0d16d9bff311}" id="{84d8b505-f912-406e-abce-f4a842947354}" parentId="{a0470adc-4be1-4457-9102-3368cd7a27cb}">
    <x18tc:text xml:space="preserve">just fixed it</x18tc:text>
  </x18tc:threadedComment>
  <x18tc:threadedComment ref="L26" dT="2024-05-24T19:46:00.00" personId="{fc6b6514-401b-4006-bda7-6a18f962bfa1}" id="{f129f0a2-18c5-4fab-b3b8-cf81b4f94abf}" done="1">
    <x18tc:text xml:space="preserve">@katie@charmindustrial.com - I guess there was a 4th driver in the email Kodi sent so adding this to the forecast and will update Manon accordingly!</x18tc:text>
    <x18tc:mentions>
      <x18tc:mention mentionpersonId="{7927b384-b4ac-47d3-b7f9-4870d00ff58e}" mentionId="{526c0d23-8914-406f-94a0-d63241b24496}" startIndex="0" length="26"/>
    </x18tc:mentions>
  </x18tc:threadedComment>
  <x18tc:threadedComment ref="L26" dT="2024-05-24T19:58:34.00" personId="{c72a14e5-4c8d-4377-adcb-3c6ade3fac7d}" id="{d91868d9-2e21-41cd-b5d4-ebc1a7b0e2b9}" parentId="{f129f0a2-18c5-4fab-b3b8-cf81b4f94abf}">
    <x18tc:text xml:space="preserve">thanks for adding Gus's loads here!</x18tc:text>
  </x18tc:threadedComment>
  <x18tc:threadedComment ref="D6" dT="2024-07-23T17:28:48.00" personId="{fc6b6514-401b-4006-bda7-6a18f962bfa1}" id="{91d060ed-4681-454e-8fa1-d8fa1a1eee6b}" done="1">
    <x18tc:text xml:space="preserve">@max@charmindustrial.com @emilie@charmindustrial.com can't find this CoA in any of the folders- do you maybe have it in your emails?
Assigned to max@charmindustrial.com</x18tc:text>
    <x18tc:mentions>
      <x18tc:mention mentionpersonId="{0da4b0b8-d90f-45c2-a8cd-57c61471e247}" mentionId="{f313a50b-3e23-4830-b48d-177a3b9cfa37}" startIndex="0" length="24"/>
      <x18tc:mention mentionpersonId="{00665970-857d-44f0-983e-058c5d2b164c}" mentionId="{413d0766-7f18-4acb-a128-1ad6a37f8662}" startIndex="25" length="27"/>
    </x18tc:mentions>
  </x18tc:threadedComment>
  <x18tc:threadedComment ref="D6" dT="2024-07-23T18:48:11.00" personId="{f2f4fd08-e2dd-4881-a5d5-ecfee8f95a19}" id="{7af3f81a-5c15-4769-9e30-49228ad2a319}" parentId="{91d060ed-4681-454e-8fa1-d8fa1a1eee6b}">
    <x18tc:text xml:space="preserve">Looks like I do! Just Slacked it to you</x18tc:text>
  </x18tc:threadedComment>
  <x18tc:threadedComment ref="F33" dT="2024-07-23T19:52:31.00" personId="{fc6b6514-401b-4006-bda7-6a18f962bfa1}" id="{9516c7c2-61ab-477b-8de9-32f4bb52006c}"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ae33ec18-d099-4458-8ac7-db34d23cbafe}" mentionId="{559ce336-2de7-402b-8eca-3a8cfb663e81}" startIndex="0" length="33"/>
    </x18tc:mentions>
  </x18tc:threadedComment>
  <x18tc:threadedComment ref="F33" dT="2024-07-26T21:41:32.00" personId="{fe54d822-4260-40ec-8f9b-e3b9b03d0aec}" id="{0e40d162-d232-4448-8a2b-1032896ea53f}" parentId="{9516c7c2-61ab-477b-8de9-32f4bb52006c}">
    <x18tc:text xml:space="preserve">Tagged you in Airbase.  This was on invoice 238.</x18tc:text>
  </x18tc:threadedComment>
  <x18tc:threadedComment ref="F33" dT="2024-07-26T22:04:05.00" personId="{fc6b6514-401b-4006-bda7-6a18f962bfa1}" id="{6f525470-4512-4662-9c0c-9ed8ef2ee873}" parentId="{9516c7c2-61ab-477b-8de9-32f4bb52006c}">
    <x18tc:text xml:space="preserve">thanks @thomas.leese@charmindustrial.com !</x18tc:text>
    <x18tc:mentions>
      <x18tc:mention mentionpersonId="{ae33ec18-d099-4458-8ac7-db34d23cbafe}" mentionId="{e2725df5-5161-4277-8480-51133433113e}" startIndex="7" length="33"/>
    </x18tc:mentions>
  </x18tc:threadedComment>
  <x18tc:threadedComment ref="N34" dT="2024-06-28T22:23:14.00" personId="{fc6b6514-401b-4006-bda7-6a18f962bfa1}" id="{23ce7a72-13b2-4f47-804a-91c09b3a717a}" done="1">
    <x18tc:text xml:space="preserve">@katie@charmindustrial.com pushed the dates back for these - but honestly won't know a more realistic date for when they need to leave Baie-Comeau until I meet with Walt and Talon on Monday morning</x18tc:text>
    <x18tc:mentions>
      <x18tc:mention mentionpersonId="{7927b384-b4ac-47d3-b7f9-4870d00ff58e}" mentionId="{1c4ab54c-2638-4e41-b3ef-41469bb80b33}" startIndex="0" length="26"/>
    </x18tc:mentions>
  </x18tc:threadedComment>
  <x18tc:threadedComment ref="L48" dT="2024-11-04T23:04:40.00" personId="{fc6b6514-401b-4006-bda7-6a18f962bfa1}" id="{72cac20a-c5d4-45e9-8df8-3ea561c0f8ba}" done="1">
    <x18tc:text xml:space="preserve">Requested Julien pull out samples from the railcar on 11/4 before release</x18tc:text>
  </x18tc:threadedComment>
  <x18tc:threadedComment ref="O41" dT="2024-10-03T19:21:23.00" personId="{fc6b6514-401b-4006-bda7-6a18f962bfa1}" id="{9bd49ae4-04bc-48fa-a5f1-e982fe010e28}" done="0">
    <x18tc:text xml:space="preserve">Arrived in Yaggy 10/3</x18tc:text>
  </x18tc:threadedComment>
  <x18tc:threadedComment ref="O40" dT="2024-10-03T19:21:13.00" personId="{fc6b6514-401b-4006-bda7-6a18f962bfa1}" id="{4e84eb17-60fd-4ad3-9dce-20d38b696a71}" done="0">
    <x18tc:text xml:space="preserve">Arrived in Yaggy 10/3</x18tc:text>
  </x18tc:threadedComment>
  <x18tc:threadedComment ref="F27" dT="2024-07-19T21:43:30.00" personId="{3869a200-4156-4be7-9585-b1ce2942accf}" id="{365319d8-5bc3-4ccd-a551-4684b908c749}" done="1">
    <x18tc:text xml:space="preserve">@antoinette@charmindustrial.com can you update the status of all these invoices?
Assigned to antoinette@charmindustrial.com</x18tc:text>
    <x18tc:mentions>
      <x18tc:mention mentionpersonId="{9ba60896-f291-4f55-868c-87690e670479}" mentionId="{0387fbd0-6533-4197-93a9-0f39e70c6d5e}" startIndex="0" length="31"/>
    </x18tc:mentions>
  </x18tc:threadedComment>
  <x18tc:threadedComment ref="F27" dT="2024-07-19T22:33:02.00" personId="{fc6b6514-401b-4006-bda7-6a18f962bfa1}" id="{801cee90-24db-496a-a6d6-bf77cf541e47}" parentId="{365319d8-5bc3-4ccd-a551-4684b908c749}">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ae33ec18-d099-4458-8ac7-db34d23cbafe}" mentionId="{7218c230-b5c8-492d-b889-9ee4d99ad041}" startIndex="37" length="33"/>
    </x18tc:mentions>
  </x18tc:threadedComment>
  <x18tc:threadedComment ref="F27" dT="2024-07-22T04:19:25.00" personId="{fe54d822-4260-40ec-8f9b-e3b9b03d0aec}" id="{df54e989-b000-4543-bfa7-66b11c3648ae}" parentId="{365319d8-5bc3-4ccd-a551-4684b908c749}">
    <x18tc:text xml:space="preserve">@antoinette@charmindustrial.com Done.
1 total reaction
Antoinette Matschuck reacted with 👍 at 2024-07-23 04:15 AM</x18tc:text>
    <x18tc:mentions>
      <x18tc:mention mentionpersonId="{9ba60896-f291-4f55-868c-87690e670479}" mentionId="{1a2a2280-bfbf-4c45-b770-5e5ab0fb98bb}" startIndex="0" length="31"/>
    </x18tc:mentions>
  </x18tc:threadedComment>
  <x18tc:threadedComment ref="C37" dT="2024-07-19T21:43:15.00" personId="{3869a200-4156-4be7-9585-b1ce2942accf}" id="{5b68c459-fc4f-48fc-8d83-94cd27d4ffc6}" done="1">
    <x18tc:text xml:space="preserve">@antoinette@charmindustrial.com can you create links to the BOLs here when you upload them? including going back in history to these?</x18tc:text>
    <x18tc:mentions>
      <x18tc:mention mentionpersonId="{9ba60896-f291-4f55-868c-87690e670479}" mentionId="{afc01cdc-0c1a-466a-bef5-43f429ca3d4e}" startIndex="0" length="31"/>
    </x18tc:mentions>
  </x18tc:threadedComment>
  <x18tc:threadedComment ref="Q27" dT="2024-06-04T18:11:11.00" personId="{fc6b6514-401b-4006-bda7-6a18f962bfa1}" id="{e7084ace-074e-4732-8d97-d1e4fd0b7482}" done="1">
    <x18tc:text xml:space="preserve">@max@charmindustrial.com for your awareness - AECN sent new docs with the corrected loads - all files are saved in their designated folder</x18tc:text>
    <x18tc:mentions>
      <x18tc:mention mentionpersonId="{0da4b0b8-d90f-45c2-a8cd-57c61471e247}" mentionId="{f7b3952e-b14b-444e-94a8-cd4e443ec8fe}" startIndex="0" length="24"/>
    </x18tc:mentions>
  </x18tc:threadedComment>
  <x18tc:threadedComment ref="Q27" dT="2024-06-04T19:24:52.00" personId="{f2f4fd08-e2dd-4881-a5d5-ecfee8f95a19}" id="{4f84d45d-89a3-490d-b945-ecd116b9c6c0}" parentId="{e7084ace-074e-4732-8d97-d1e4fd0b7482}">
    <x18tc:text xml:space="preserve">Copy that, thanks Antoinette!</x18tc:text>
  </x18tc:threadedComment>
  <x18tc:threadedComment ref="L33" dT="2024-05-24T19:48:11.00" personId="{fc6b6514-401b-4006-bda7-6a18f962bfa1}" id="{3422f8e9-308a-4a7a-a1f9-50868c820708}" done="1">
    <x18tc:text xml:space="preserve">new</x18tc:text>
  </x18tc:threadedComment>
  <x18tc:threadedComment ref="L30" dT="2024-05-24T19:47:07.00" personId="{fc6b6514-401b-4006-bda7-6a18f962bfa1}" id="{e1afc176-c936-4c8c-86d2-cf37f24acc05}" done="1">
    <x18tc:text xml:space="preserve">new driver</x18tc:text>
  </x18tc:threadedComment>
  <x18tc:threadedComment ref="O244" dT="2026-01-07T21:46:04.00" personId="{06747fd8-fc57-462b-9c7f-2bbf08e448b0}" id="{02fdff64-fbaa-4a15-9f6a-29f182765763}" done="1">
    <x18tc:text xml:space="preserve">@samah.khalil@charmindustrial.com Is there a specific reason these are gray and not black?</x18tc:text>
    <x18tc:mentions>
      <x18tc:mention mentionpersonId="{11a1f596-d124-45a2-848b-fdbde4b7019f}" mentionId="{d3e44acb-accc-4418-91bf-91f27617c5b4}" startIndex="0" length="33"/>
    </x18tc:mentions>
  </x18tc:threadedComment>
  <x18tc:threadedComment ref="O244" dT="2026-01-07T21:46:21.00" personId="{06747fd8-fc57-462b-9c7f-2bbf08e448b0}" id="{c3279807-fa21-472a-b761-18674698b242}" parentId="{02fdff64-fbaa-4a15-9f6a-29f182765763}">
    <x18tc:text xml:space="preserve">Just want to make sure I'm not missing something important</x18tc:text>
  </x18tc:threadedComment>
  <x18tc:threadedComment ref="O244" dT="2026-01-07T21:51:19.00" personId="{d4e75c71-4df7-4350-a529-0d16d9bff311}" id="{aaa4c6ba-b394-44b1-aa8b-0ddd9904a315}" parentId="{02fdff64-fbaa-4a15-9f6a-29f182765763}">
    <x18tc:text xml:space="preserve">@garrett.lutz@charmindustrial.com that would normally indicate that its still in transit but this has been delivered. I just fixed it.</x18tc:text>
    <x18tc:mentions>
      <x18tc:mention mentionpersonId="{9c68715d-dbc5-4757-8a4a-15c284ce7f55}" mentionId="{c7d28f36-a318-49eb-99da-b5911c439958}" startIndex="0" length="33"/>
    </x18tc:mentions>
  </x18tc:threadedComment>
  <x18tc:threadedComment ref="O244" dT="2026-01-07T21:51:55.00" personId="{06747fd8-fc57-462b-9c7f-2bbf08e448b0}" id="{b38f4d59-2a43-4623-a1fb-b2fe49ca2336}" parentId="{02fdff64-fbaa-4a15-9f6a-29f182765763}">
    <x18tc:text xml:space="preserve">Sweet thank you!</x18tc:text>
  </x18tc:threadedComment>
  <x18tc:threadedComment ref="B3" dT="2024-03-28T20:09:16.00" personId="{c72a14e5-4c8d-4377-adcb-3c6ade3fac7d}" id="{17e09ffa-971d-42e6-920b-0a129791d3ee}" done="1">
    <x18tc:text xml:space="preserve">@max@charmindustrial.com can you add the PO number here?</x18tc:text>
    <x18tc:mentions>
      <x18tc:mention mentionpersonId="{0da4b0b8-d90f-45c2-a8cd-57c61471e247}" mentionId="{b01e124d-8b95-41df-bc02-0104b716ab63}" startIndex="0" length="24"/>
    </x18tc:mentions>
  </x18tc:threadedComment>
  <x18tc:threadedComment ref="X2" dT="2024-04-08T18:10:12.00" personId="{e2c8d504-6763-42ca-a5d2-8186ef389c07}" id="{e2ae6191-1f42-42a8-9821-1ed17c718ac7}" done="1">
    <x18tc:text xml:space="preserve">@katie@charmindustrial.com 
Shouldn't the tCO2e for rail be lower than truck?
Assigned to katie@charmindustrial.com</x18tc:text>
    <x18tc:mentions>
      <x18tc:mention mentionpersonId="{7927b384-b4ac-47d3-b7f9-4870d00ff58e}" mentionId="{bdf49235-7e7a-4d51-912e-04066afe31a7}" startIndex="0" length="26"/>
    </x18tc:mentions>
  </x18tc:threadedComment>
  <x18tc:threadedComment ref="X2" dT="2024-04-09T00:27:13.00" personId="{c72a14e5-4c8d-4377-adcb-3c6ade3fac7d}" id="{1d165aed-5ebd-457d-b1a8-ea09a14adcc0}" parentId="{e2ae6191-1f42-42a8-9821-1ed17c718ac7}">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00:43 AM</x18tc:text>
    <x18tc:mentions>
      <x18tc:mention mentionpersonId="{0da4b0b8-d90f-45c2-a8cd-57c61471e247}" mentionId="{6e5b4121-2469-45a9-b5fb-00f946adbbed}" startIndex="117" length="24"/>
    </x18tc:mentions>
  </x18tc:threadedComment>
  <x18tc:threadedComment ref="X2" dT="2024-04-09T00:45:26.00" personId="{f2f4fd08-e2dd-4881-a5d5-ecfee8f95a19}" id="{acc81a4a-68ae-4285-8cb2-5cda869ea7e3}" parentId="{e2ae6191-1f42-42a8-9821-1ed17c718ac7}">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f3f15470-b911-4d89-9089-65cea9523c2c}" mentionId="{032d5b49-da00-482a-b658-58cb21b80615}" startIndex="0" length="25"/>
      <x18tc:mention mentionpersonId="{7927b384-b4ac-47d3-b7f9-4870d00ff58e}" mentionId="{973c471b-2373-41ce-9d26-edd81a439936}" startIndex="26" length="26"/>
    </x18tc:mentions>
  </x18tc:threadedComment>
  <x18tc:threadedComment ref="O18" dT="2024-05-24T20:15:57.00" personId="{fc6b6514-401b-4006-bda7-6a18f962bfa1}" id="{67ce6463-48f5-4906-b52c-8a28a7602dde}" done="1">
    <x18tc:text xml:space="preserve">@katie@charmindustrial.com what's the best way to find out what days these got delivered? confirm with @caleb@charmindustrial.com ?</x18tc:text>
    <x18tc:mentions>
      <x18tc:mention mentionpersonId="{7927b384-b4ac-47d3-b7f9-4870d00ff58e}" mentionId="{e5fc88fd-77c7-400d-9b68-928ae86f0eef}" startIndex="0" length="26"/>
      <x18tc:mention mentionpersonId="{7bbbb1ec-af58-46c3-a3bf-9ce2d5720cbd}" mentionId="{f53a7b18-1158-4f05-98b6-61bd218a6bbe}" startIndex="103" length="26"/>
    </x18tc:mentions>
  </x18tc:threadedComment>
  <x18tc:threadedComment ref="O18" dT="2024-05-24T20:21:58.00" personId="{c72a14e5-4c8d-4377-adcb-3c6ade3fac7d}" id="{00ce07b6-1f5c-4622-9c3d-3d8bda26a654}" parentId="{67ce6463-48f5-4906-b52c-8a28a7602dde}">
    <x18tc:text xml:space="preserve">I think so! 
Maybe Caleb's team can update this spreadsheet when they receive a truck?</x18tc:text>
  </x18tc:threadedComment>
  <x18tc:threadedComment ref="O18" dT="2024-05-24T20:24:32.00" personId="{fc6b6514-401b-4006-bda7-6a18f962bfa1}" id="{8836a786-f6d7-42f9-a6af-1dc56a2fb87c}" parentId="{67ce6463-48f5-4906-b52c-8a28a7602dde}">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00665970-857d-44f0-983e-058c5d2b164c}" mentionId="{4b815c9f-e9ef-4211-a8b4-f7ba0e5fde12}" startIndex="189" length="27"/>
    </x18tc:mentions>
  </x18tc:threadedComment>
  <x18tc:threadedComment ref="O18" dT="2024-05-25T02:49:10.00" personId="{3c6618c6-e881-488b-8a1b-03a96c4bfa8c}" id="{e0eff695-6020-4e9f-96df-62df80bb058b}" parentId="{67ce6463-48f5-4906-b52c-8a28a7602dde}">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7bbbb1ec-af58-46c3-a3bf-9ce2d5720cbd}" mentionId="{02e078a6-ac2e-4d96-bd86-427ce7026ed6}" startIndex="240" length="26"/>
    </x18tc:mentions>
  </x18tc:threadedComment>
  <x18tc:threadedComment ref="O18" dT="2024-05-25T02:57:36.00" personId="{3c6618c6-e881-488b-8a1b-03a96c4bfa8c}" id="{7a8bb954-f7b1-4c0a-af48-003d45e14724}" parentId="{67ce6463-48f5-4906-b52c-8a28a7602dde}">
    <x18tc:text xml:space="preserve">okay there are some discrepancies in the ops notes that I'll work with caleb on, but the green ones are verified in ops notes.</x18tc:text>
  </x18tc:threadedComment>
  <x18tc:threadedComment ref="R244" dT="2026-01-07T21:48:32.00" personId="{06747fd8-fc57-462b-9c7f-2bbf08e448b0}" id="{518c8be7-c208-4546-8f70-00597139c784}" done="1">
    <x18tc:text xml:space="preserve">Last batch loaded into MG</x18tc:text>
  </x18tc:threadedComment>
  <x18tc:threadedComment ref="L18" dT="2024-05-15T22:03:06.00" personId="{c72a14e5-4c8d-4377-adcb-3c6ade3fac7d}" id="{d564cb9c-3ed7-4b8b-bc63-a9e4045a83ef}" done="1">
    <x18tc:text xml:space="preserve">cancelled, Cherylann couldn't find a driver</x18tc:text>
  </x18tc:threadedComment>
  <x18tc:threadedComment ref="L18" dT="2024-05-15T22:20:57.00" personId="{c72a14e5-4c8d-4377-adcb-3c6ade3fac7d}" id="{66f5a636-7d29-482b-af2d-52d687af1e22}" parentId="{d564cb9c-3ed7-4b8b-bc63-a9e4045a83ef}">
    <x18tc:text xml:space="preserve">they can do this load, I verbally confirmed with Cherylann that they will pick up on May 21 and deliver on May 25</x18tc:text>
  </x18tc:threadedComment>
  <x18tc:threadedComment ref="Q11" dT="2024-05-24T21:18:55.00" personId="{c72a14e5-4c8d-4377-adcb-3c6ade3fac7d}" id="{60cf0253-fcfa-4478-bdb2-852af51058af}" done="1">
    <x18tc:text xml:space="preserve">@antoinette@charmindustrial.com or @max@charmindustrial.com do we have the actual loaded tons for this truck?</x18tc:text>
    <x18tc:mentions>
      <x18tc:mention mentionpersonId="{9ba60896-f291-4f55-868c-87690e670479}" mentionId="{e6577cd7-5e99-466f-ac0f-9cd8c51956ab}" startIndex="0" length="31"/>
      <x18tc:mention mentionpersonId="{0da4b0b8-d90f-45c2-a8cd-57c61471e247}" mentionId="{d71a5b5d-5ca5-4116-abfb-0c29a66826d3}" startIndex="35" length="24"/>
    </x18tc:mentions>
  </x18tc:threadedComment>
  <x18tc:threadedComment ref="Q11" dT="2024-05-24T21:30:22.00" personId="{fc6b6514-401b-4006-bda7-6a18f962bfa1}" id="{74d9c072-2caa-4639-b073-72bc06b8220b}" parentId="{60cf0253-fcfa-4478-bdb2-852af51058af}">
    <x18tc:text xml:space="preserve">updated</x18tc:text>
  </x18tc:threadedComment>
  <x18tc:threadedComment ref="C127" dT="2025-03-26T14:20:36.00" personId="{c892e60e-9cae-4b8f-9412-b90a2fc8d910}" id="{69cdf722-4043-4e0a-8d67-7f2b8f7a6a1e}" done="1">
    <x18tc:text xml:space="preserve">@antoinette@charmindustrial.com  Can you please add these?</x18tc:text>
    <x18tc:mentions>
      <x18tc:mention mentionpersonId="{9ba60896-f291-4f55-868c-87690e670479}" mentionId="{541560ba-4ca3-4f0b-b451-362d91936613}" startIndex="0" length="31"/>
    </x18tc:mentions>
  </x18tc:threadedComment>
  <x18tc:threadedComment ref="C126" dT="2025-03-26T15:37:29.00" personId="{fc6b6514-401b-4006-bda7-6a18f962bfa1}" id="{1fbcc97d-6e6f-4c33-8301-c5e0e28359cc}" done="1">
    <x18tc:text xml:space="preserve">@james.grimes@charmindustrial.com there was one more in between 2066 and 2071 fyi</x18tc:text>
    <x18tc:mentions>
      <x18tc:mention mentionpersonId="{626efb59-bfa5-4637-b6bd-9394461ba4ea}" mentionId="{7f9999bf-7c06-4c36-9ba1-2dd27331468a}" startIndex="0" length="33"/>
    </x18tc:mentions>
  </x18tc:threadedComment>
  <x18tc:threadedComment ref="C126" dT="2025-03-26T16:11:48.00" personId="{c892e60e-9cae-4b8f-9412-b90a2fc8d910}" id="{e1a4e200-d056-4b38-9105-f0497a3c68ac}" parentId="{1fbcc97d-6e6f-4c33-8301-c5e0e28359cc}">
    <x18tc:text xml:space="preserve">I was off and it was consumed before I got back. Thank you for getting it
lined out.
-- 
James Grimes
Charm Industrial
Operations Supervisor
(870) 830-7307</x18tc:text>
  </x18tc:threadedComment>
  <x18tc:threadedComment ref="R188" dT="2025-09-05T16:36:55.00" personId="{86986084-c06a-4e4e-9348-2685031217ee}" id="{046f2445-25d0-40ea-a1aa-3a0165f78aa0}" done="1">
    <x18tc:text xml:space="preserve">FYI - first load uploaded to MG</x18tc:text>
  </x18tc:threadedComment>
  <x18tc:threadedComment ref="O42" dT="2024-11-12T02:44:50.00" personId="{fc6b6514-401b-4006-bda7-6a18f962bfa1}" id="{c9cce8df-0693-4a1c-bb03-5e03e8738fc2}" done="0">
    <x18tc:text xml:space="preserve">Arrivedin Yaggy 10/24</x18tc:text>
  </x18tc:threadedComment>
  <x18tc:threadedComment ref="C129" dT="2025-03-26T18:37:04.00" personId="{c892e60e-9cae-4b8f-9412-b90a2fc8d910}" id="{891e1141-5163-40ac-95d0-fcdfff498f55}" done="1">
    <x18tc:text xml:space="preserve">@antoinette@charmindustrial.com can you add this one too?
Assigned to antoinette@charmindustrial.com</x18tc:text>
    <x18tc:mentions>
      <x18tc:mention mentionpersonId="{9ba60896-f291-4f55-868c-87690e670479}" mentionId="{795ac787-6a64-4927-9282-633500f723cc}" startIndex="0" length="31"/>
    </x18tc:mentions>
  </x18tc:threadedComment>
  <x18tc:threadedComment ref="Q219" dT="2025-09-17T04:32:17.00" personId="{fc6b6514-401b-4006-bda7-6a18f962bfa1}" id="{8df44eeb-5733-40b7-bf54-6843be34ae6e}" done="1">
    <x18tc:text xml:space="preserve">@samah.khalil@charmindustrial.com I believe AECN sent us a corrected Billing doc for 2245 - can you upload the correction and adjust the tonnage? Thanks!</x18tc:text>
    <x18tc:mentions>
      <x18tc:mention mentionpersonId="{11a1f596-d124-45a2-848b-fdbde4b7019f}" mentionId="{840dcfa4-328e-4f86-882b-0f11f8a0de19}" startIndex="0" length="33"/>
    </x18tc:mentions>
  </x18tc:threadedComment>
  <x18tc:threadedComment ref="O25" dT="2024-05-28T17:13:02.00" personId="{fc6b6514-401b-4006-bda7-6a18f962bfa1}" id="{398dd0e5-ed65-4136-9bcd-b94abd05974f}" done="1">
    <x18tc:text xml:space="preserve">@caleb@charmindustrial.com just flagging this change from Cherylann again. Any issues with this delivery date? Do we have a limit on number of deliveries we want to receive in a day (for my awareness)?</x18tc:text>
    <x18tc:mentions>
      <x18tc:mention mentionpersonId="{7bbbb1ec-af58-46c3-a3bf-9ce2d5720cbd}" mentionId="{8139d500-e4cd-43c1-baec-a84c25e3f882}" startIndex="0" length="26"/>
    </x18tc:mentions>
  </x18tc:threadedComment>
  <x18tc:threadedComment ref="L48" dT="2024-11-12T02:35:05.00" personId="{fc6b6514-401b-4006-bda7-6a18f962bfa1}" id="{cf55cfbd-06f6-4bc6-8d16-e91c5e8df0e3}" done="0">
    <x18tc:text xml:space="preserve">Took top and bottom samples from railcar on 11/11 in Baie-Comeau</x18tc:text>
  </x18tc:threadedComment>
  <x18tc:threadedComment ref="C1" dT="2024-07-25T17:08:52.00" personId="{3869a200-4156-4be7-9585-b1ce2942accf}" id="{0590d00c-947f-480a-8e77-ef803433ab5a}" done="1">
    <x18tc:text xml:space="preserve">Missing historical BOLs</x18tc:text>
  </x18tc:threadedComment>
  <x18tc:threadedComment ref="B37" dT="2024-07-25T17:08:59.00" personId="{3869a200-4156-4be7-9585-b1ce2942accf}" id="{3263e2fb-df83-4efb-8521-e5885e8f0054}"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7fd14270-a82e-401c-842d-40ebac921f4e}" id="{d61316da-9341-41ae-8cf3-b6890d6edaf6}" done="1">
    <x18tc:text xml:space="preserve">@malak@charmindustrial.com , just FYI, Caleb's injection report has this load being injected on 05/31/23.
020T3R1 is the other load injected on 05/30/23.</x18tc:text>
    <x18tc:mentions>
      <x18tc:mention mentionpersonId="{1d6d3f7d-c915-41b3-84e4-e01e5a6b0c19}" mentionId="{9139ff0b-d988-4eca-b731-5f2abd518a48}" startIndex="0" length="26"/>
    </x18tc:mentions>
  </x18tc:threadedComment>
  <x18tc:threadedComment ref="I21" dT="2023-06-02T00:40:40.00" personId="{3c6618c6-e881-488b-8a1b-03a96c4bfa8c}" id="{9e11fa0f-7915-4c33-9a3f-e094612e9573}" parentId="{d61316da-9341-41ae-8cf3-b6890d6edaf6}">
    <x18tc:text xml:space="preserve">resolved</x18tc:text>
  </x18tc:threadedComment>
  <x18tc:threadedComment ref="G31" dT="2023-04-26T00:09:46.00" personId="{c72a14e5-4c8d-4377-adcb-3c6ade3fac7d}" id="{001bdb01-617e-42b2-b885-e981f890c5f9}" done="1">
    <x18tc:text xml:space="preserve">@emilie@charmindustrial.com it looks like there are 5 loads from AECN forecast in June, can we bump that up to 7 loads (as you have forecasted in May)?</x18tc:text>
    <x18tc:mentions>
      <x18tc:mention mentionpersonId="{00665970-857d-44f0-983e-058c5d2b164c}" mentionId="{9d1d63c7-a117-439b-bb2c-692dbc3b2795}" startIndex="0" length="27"/>
    </x18tc:mentions>
  </x18tc:threadedComment>
  <x18tc:threadedComment ref="AH1" dT="2023-04-10T21:34:26.00" personId="{c0189f6a-d052-4a96-86a2-d93993d68e02}" id="{0570508f-ec71-40e5-8ff2-f8ca8fbad08d}" done="1">
    <x18tc:text xml:space="preserve">@jennifer.anderson@charmindustrial.com added column to link injection data</x18tc:text>
    <x18tc:mentions>
      <x18tc:mention mentionpersonId="{5a3ba248-4642-4f85-a8f1-57b5c14865ad}" mentionId="{4ae3849f-eca5-4737-a99d-427267d9a458}" startIndex="0" length="38"/>
    </x18tc:mentions>
  </x18tc:threadedComment>
  <x18tc:threadedComment ref="AH1" dT="2023-04-12T14:17:18.00" personId="{7fd14270-a82e-401c-842d-40ebac921f4e}" id="{db54e100-0d56-42a6-a4a0-08b9898f0701}" parentId="{0570508f-ec71-40e5-8ff2-f8ca8fbad08d}">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c0189f6a-d052-4a96-86a2-d93993d68e02}" id="{33ecc09d-ef75-44c0-a917-6d8acc06c572}" done="1">
    <x18tc:text xml:space="preserve">average of the two duplicate samples sent to Savant for each shipment.</x18tc:text>
  </x18tc:threadedComment>
  <x18tc:threadedComment ref="G11" dT="2023-04-20T20:47:42.00" personId="{7fd14270-a82e-401c-842d-40ebac921f4e}" id="{878dd384-8044-4b4c-bec8-f68a8628d5e2}" done="1">
    <x18tc:text xml:space="preserve">@malak@charmindustrial.com do we know when this bio-oil was produced? I am filling out the sampling form (no rush!) :)</x18tc:text>
    <x18tc:mentions>
      <x18tc:mention mentionpersonId="{1d6d3f7d-c915-41b3-84e4-e01e5a6b0c19}" mentionId="{b76431c0-cce3-4f40-ac27-50b8c382f960}" startIndex="0" length="26"/>
    </x18tc:mentions>
  </x18tc:threadedComment>
  <x18tc:threadedComment ref="G11" dT="2023-04-24T17:37:16.00" personId="{c0189f6a-d052-4a96-86a2-d93993d68e02}" id="{16a9994a-702c-4067-b2dd-3380c363bafb}" parentId="{878dd384-8044-4b4c-bec8-f68a8628d5e2}">
    <x18tc:text xml:space="preserve">Batch was produced during a April 13-16 shift.</x18tc:text>
  </x18tc:threadedComment>
  <x18tc:threadedComment ref="G30" dT="2024-01-31T15:54:21.00" personId="{f2f4fd08-e2dd-4881-a5d5-ecfee8f95a19}" id="{218ad008-4cf4-49f6-a28f-37fc976ad513}" done="0">
    <x18tc:text xml:space="preserve">@katie@charmindustrial.com Are these three rows (30-32) now verified pickups?</x18tc:text>
    <x18tc:mentions>
      <x18tc:mention mentionpersonId="{7927b384-b4ac-47d3-b7f9-4870d00ff58e}" mentionId="{73b2baed-f6d7-4fd7-b666-47990cbef6d5}" startIndex="0" length="26"/>
    </x18tc:mentions>
  </x18tc:threadedComment>
  <x18tc:threadedComment ref="G30" dT="2024-02-05T00:23:01.00" personId="{c72a14e5-4c8d-4377-adcb-3c6ade3fac7d}" id="{c2e3e47c-d6fb-4d7d-bebd-494bf74d52e4}" parentId="{218ad008-4cf4-49f6-a28f-37fc976ad513}">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f2f4fd08-e2dd-4881-a5d5-ecfee8f95a19}" id="{3a8014df-6a5d-48fb-8852-ad4db27ebe29}" parentId="{218ad008-4cf4-49f6-a28f-37fc976ad513}">
    <x18tc:text xml:space="preserve">Ah, not formally verified -- Just that they have actually happened in the past, sorry for the confusing language</x18tc:text>
  </x18tc:threadedComment>
  <x18tc:threadedComment ref="G30" dT="2024-02-05T02:58:07.00" personId="{c72a14e5-4c8d-4377-adcb-3c6ade3fac7d}" id="{52add2e9-fabb-4f3f-ac2b-f6d947547371}" parentId="{218ad008-4cf4-49f6-a28f-37fc976ad513}">
    <x18tc:text xml:space="preserve">I think fine to leave them logged in this sheet for our collective memory!</x18tc:text>
  </x18tc:threadedComment>
  <x18tc:threadedComment ref="G30" dT="2024-02-05T18:23:52.00" personId="{f2f4fd08-e2dd-4881-a5d5-ecfee8f95a19}" id="{274baaba-af2e-4889-9d70-86b465eadc7d}" parentId="{218ad008-4cf4-49f6-a28f-37fc976ad513}">
    <x18tc:text xml:space="preserve">Totally agree -- I'll toggle the "Status" dropdown to "Recorded" for clarity</x18tc:text>
  </x18tc:threadedComment>
  <x18tc:threadedComment ref="AB1" dT="2023-04-28T21:42:56.00" personId="{c72a14e5-4c8d-4377-adcb-3c6ade3fac7d}" id="{7498fe75-fb39-49ba-9f8d-a289de32e6e9}" done="0">
    <x18tc:text xml:space="preserve">carbon intensity is average of Apr 11, 17, 20 &amp; 27 injection dates
0.7205 kg CO₂e per ton of bio-oil</x18tc:text>
  </x18tc:threadedComment>
  <x18tc:threadedComment ref="E38" dT="2023-04-06T22:23:34.00" personId="{c72a14e5-4c8d-4377-adcb-3c6ade3fac7d}" id="{90f9c474-171e-41d0-ba36-241cf56cbd64}"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00665970-857d-44f0-983e-058c5d2b164c}" mentionId="{a34fef9a-4741-41c9-b174-6ea7cbd4aa72}" startIndex="80" length="27"/>
    </x18tc:mentions>
  </x18tc:threadedComment>
  <x18tc:threadedComment ref="E38" dT="2023-04-07T02:27:06.00" personId="{3c6618c6-e881-488b-8a1b-03a96c4bfa8c}" id="{9840afe8-a5ad-4bf1-a2aa-f0b28e1fcf1f}" parentId="{90f9c474-171e-41d0-ba36-241cf56cbd64}">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3c6618c6-e881-488b-8a1b-03a96c4bfa8c}" id="{e7bb2d71-b3b7-423b-9510-d35f7c58c7aa}" done="1">
    <x18tc:text xml:space="preserve">@malak@charmindustrial.com curious where you got this number? the BOL for this shipment says 19.77 tons shipped!
Assigned to </x18tc:text>
    <x18tc:mentions>
      <x18tc:mention mentionpersonId="{1d6d3f7d-c915-41b3-84e4-e01e5a6b0c19}" mentionId="{da4cde54-e8e4-449e-91e1-4db0af8c4d23}" startIndex="0" length="26"/>
    </x18tc:mentions>
  </x18tc:threadedComment>
  <x18tc:threadedComment ref="N4" dT="2023-02-17T21:44:24.00" personId="{c0189f6a-d052-4a96-86a2-d93993d68e02}" id="{299b34a6-9c10-4621-9cf0-665b6e627f80}" parentId="{e7bb2d71-b3b7-423b-9510-d35f7c58c7aa}">
    <x18tc:text xml:space="preserve">yup 19.77 is correct. Just corrected all the volumes based on the billing invoices</x18tc:text>
  </x18tc:threadedComment>
  <x18tc:threadedComment ref="T1" dT="2023-03-21T18:19:33.00" personId="{c0189f6a-d052-4a96-86a2-d93993d68e02}" id="{4115065d-bbbd-435d-8c01-06548b4a0210}" done="1">
    <x18tc:text xml:space="preserve">@emilie@charmindustrial.com @katie@charmindustrial.com Added these columns based on our conversation yesterday. Please update them when you get a chance!
Assigned to </x18tc:text>
    <x18tc:mentions>
      <x18tc:mention mentionpersonId="{00665970-857d-44f0-983e-058c5d2b164c}" mentionId="{08b552c9-12d5-4e15-a175-9098959c490f}" startIndex="0" length="27"/>
      <x18tc:mention mentionpersonId="{7927b384-b4ac-47d3-b7f9-4870d00ff58e}" mentionId="{619af6a1-8a74-4f12-b87e-bd2faaba49ca}" startIndex="28" length="26"/>
    </x18tc:mentions>
  </x18tc:threadedComment>
  <x18tc:threadedComment ref="R15" dT="2023-05-24T22:42:23.00" personId="{c0189f6a-d052-4a96-86a2-d93993d68e02}" id="{82f0795e-bc11-4036-b9cb-7137a57abd6b}" done="1">
    <x18tc:text xml:space="preserve">@emilie@charmindustrial.com this sample was shipped back to Manon for some reason. She sent it back to Savant so it's all good but there will be a delay.</x18tc:text>
    <x18tc:mentions>
      <x18tc:mention mentionpersonId="{00665970-857d-44f0-983e-058c5d2b164c}" mentionId="{39c98491-999f-4e70-b3cd-547492ba2cfa}" startIndex="0" length="27"/>
    </x18tc:mentions>
  </x18tc:threadedComment>
  <x18tc:threadedComment ref="M1" dT="2024-04-12T17:44:04.00" personId="{7fd14270-a82e-401c-842d-40ebac921f4e}" id="{ddcbce8d-0e71-429b-bb1e-8d44d4679bd6}" done="0">
    <x18tc:text xml:space="preserve">@ed@charmindustrial.com , Hildreth volumes</x18tc:text>
    <x18tc:mentions>
      <x18tc:mention mentionpersonId="{8507f3f2-8287-42c1-9221-a7dc1b15cfc6}" mentionId="{41f37e69-babe-422b-836b-929c6581c870}" startIndex="0" length="23"/>
    </x18tc:mentions>
  </x18tc:threadedComment>
  <x18tc:threadedComment ref="B2" dT="2023-01-02T19:52:24.00" personId="{c0189f6a-d052-4a96-86a2-d93993d68e02}" id="{4aba93c3-76a4-40a1-9733-50aba65e0ecb}" done="0">
    <x18tc:text xml:space="preserve">Blue = truck only</x18tc:text>
  </x18tc:threadedComment>
  <x18tc:threadedComment ref="U38" dT="2024-02-05T00:44:10.00" personId="{f2f4fd08-e2dd-4881-a5d5-ecfee8f95a19}" id="{8ef753d6-c0b8-46ad-9f50-1971638d8323}" done="0">
    <x18tc:text xml:space="preserve">@katie@charmindustrial.com What is the (44.01/12.011) value is a reference to?</x18tc:text>
    <x18tc:mentions>
      <x18tc:mention mentionpersonId="{7927b384-b4ac-47d3-b7f9-4870d00ff58e}" mentionId="{b6b814de-fc6a-4468-bdf5-260240f7d9b3}" startIndex="0" length="26"/>
    </x18tc:mentions>
  </x18tc:threadedComment>
  <x18tc:threadedComment ref="U38" dT="2024-02-05T02:58:42.00" personId="{c72a14e5-4c8d-4377-adcb-3c6ade3fac7d}" id="{630fc7d5-bc4a-4f97-8bcc-159813e89f48}" parentId="{8ef753d6-c0b8-46ad-9f50-1971638d8323}">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7b1a65a4-9382-4efb-9d5f-936f19d93d4e}" id="{3107a55b-5eab-407a-9051-77ed5518684a}" done="1">
    <x18tc:text xml:space="preserve">and this step up is going from 3 injections per week to 5 injections per week?</x18tc:text>
  </x18tc:threadedComment>
  <x18tc:threadedComment ref="E15" dT="2024-09-16T01:45:02.00" personId="{c72a14e5-4c8d-4377-adcb-3c6ade3fac7d}" id="{6f8ddfcd-805a-4222-8ef6-a66d980081b4}" parentId="{3107a55b-5eab-407a-9051-77ed5518684a}">
    <x18tc:text xml:space="preserve">Yes, and then increasing the batch size</x18tc:text>
  </x18tc:threadedComment>
  <x18tc:threadedComment ref="J19" dT="2024-09-07T14:44:15.00" personId="{7b1a65a4-9382-4efb-9d5f-936f19d93d4e}" id="{36e78728-0f85-4928-8518-e0959090fa33}" done="1">
    <x18tc:text xml:space="preserve">are we on track for this? i don't have a ton of visibility into Subodh's long lead times here.</x18tc:text>
  </x18tc:threadedComment>
  <x18tc:threadedComment ref="J19" dT="2024-09-09T14:34:12.00" personId="{c72a14e5-4c8d-4377-adcb-3c6ade3fac7d}" id="{e4d52e81-7c69-46cc-9e09-87ba9f7b593c}" parentId="{36e78728-0f85-4928-8518-e0959090fa33}">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72a14e5-4c8d-4377-adcb-3c6ade3fac7d}" id="{2a44b0b1-ce5e-4b9f-8d56-e99d33173a4c}" done="1">
    <x18tc:text xml:space="preserve">blue text = actual</x18tc:text>
  </x18tc:threadedComment>
  <x18tc:threadedComment ref="F13" dT="2024-09-23T17:51:10.00" personId="{fc6b6514-401b-4006-bda7-6a18f962bfa1}" id="{64555112-8ff7-465b-bc57-a36614471ad5}" done="1">
    <x18tc:text xml:space="preserve">@katie@charmindustrial.com can we change storage capacity to 137 or at least 130 - since it's 30,000 gallons total right?</x18tc:text>
    <x18tc:mentions>
      <x18tc:mention mentionpersonId="{7927b384-b4ac-47d3-b7f9-4870d00ff58e}" mentionId="{eaeaf4f2-702f-4422-8544-7b9214047162}" startIndex="0" length="26"/>
    </x18tc:mentions>
  </x18tc:threadedComment>
  <x18tc:threadedComment ref="F13" dT="2024-09-23T20:04:48.00" personId="{c72a14e5-4c8d-4377-adcb-3c6ade3fac7d}" id="{e895e5e5-8c2a-4224-8699-0eef22ecf349}" parentId="{64555112-8ff7-465b-bc57-a36614471ad5}">
    <x18tc:text xml:space="preserve">yes, go for it!</x18tc:text>
  </x18tc:threadedComment>
  <x18tc:threadedComment ref="O1" dT="2024-07-21T04:09:44.00" personId="{3869a200-4156-4be7-9585-b1ce2942accf}" id="{e4397080-d2a2-42db-812a-8965cefe093d}" done="1">
    <x18tc:text xml:space="preserve">@antoinette@charmindustrial.com does this work for your forecast for AECN?
Assigned to antoinette@charmindustrial.com</x18tc:text>
    <x18tc:mentions>
      <x18tc:mention mentionpersonId="{9ba60896-f291-4f55-868c-87690e670479}" mentionId="{9a8c8645-8de5-488e-bcf1-77dddfa3046a}" startIndex="0" length="31"/>
    </x18tc:mentions>
  </x18tc:threadedComment>
  <x18tc:threadedComment ref="J19" dT="2024-07-21T04:07:53.00" personId="{3869a200-4156-4be7-9585-b1ce2942accf}" id="{2ab9ae66-72d3-4266-ae44-509b5b576a8a}" done="1">
    <x18tc:text xml:space="preserve">@katie@charmindustrial.com @subodh@charmindustrial.com when is the actual first load to the Louisiana Minifinery forecast for?
Assigned to katie@charmindustrial.com</x18tc:text>
    <x18tc:mentions>
      <x18tc:mention mentionpersonId="{7927b384-b4ac-47d3-b7f9-4870d00ff58e}" mentionId="{6b5bfe90-3995-4a38-9ff6-2b29b5625e93}" startIndex="0" length="26"/>
      <x18tc:mention mentionpersonId="{a786dead-9877-4f63-8e62-abbde454b03a}" mentionId="{f766abd4-c6df-499d-8383-9326d329ad58}" startIndex="27" length="27"/>
    </x18tc:mentions>
  </x18tc:threadedComment>
  <x18tc:threadedComment ref="J19" dT="2024-07-22T16:42:40.00" personId="{357a391c-4356-49f1-a98f-7e0f6566be9b}" id="{92b46951-4e67-481f-8037-8afe884485af}" parentId="{2ab9ae66-72d3-4266-ae44-509b5b576a8a}">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72a14e5-4c8d-4377-adcb-3c6ade3fac7d}" id="{01570c20-bc5e-4ae7-a1e3-fd1616c2361b}" parentId="{2ab9ae66-72d3-4266-ae44-509b5b576a8a}">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3869a200-4156-4be7-9585-b1ce2942accf}" id="{b5790a50-968d-41d4-8ba4-6b3b96a7646b}" parentId="{2ab9ae66-72d3-4266-ae44-509b5b576a8a}">
    <x18tc:text xml:space="preserve">yeah, this is forecasting minifinery capacity though, so if the actual Basco injection comes from Kansas that doesn't represent an increase in capacity :)</x18tc:text>
  </x18tc:threadedComment>
  <x18tc:threadedComment ref="E12" dT="2024-09-23T17:44:04.00" personId="{fc6b6514-401b-4006-bda7-6a18f962bfa1}" id="{549df166-d619-425a-85d0-429f24acaf02}"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7927b384-b4ac-47d3-b7f9-4870d00ff58e}" mentionId="{5746ee0a-b15e-4b61-918c-463d23b34192}" startIndex="0" length="26"/>
    </x18tc:mentions>
  </x18tc:threadedComment>
  <x18tc:threadedComment ref="E12" dT="2024-09-23T20:11:22.00" personId="{c72a14e5-4c8d-4377-adcb-3c6ade3fac7d}" id="{46d953f2-44bb-4c37-87a9-5cc25b671c22}" parentId="{549df166-d619-425a-85d0-429f24acaf02}">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626efb59-bfa5-4637-b6bd-9394461ba4ea}" mentionId="{694653a6-989f-4b73-9347-e51d7be87f92}" startIndex="78" length="33"/>
      <x18tc:mention mentionpersonId="{7bbbb1ec-af58-46c3-a3bf-9ce2d5720cbd}" mentionId="{84554103-2b0a-4fe4-a59b-ed932739958c}" startIndex="112" length="26"/>
    </x18tc:mentions>
  </x18tc:threadedComment>
  <x18tc:threadedComment ref="E12" dT="2024-09-23T20:38:23.00" personId="{b69f98e7-141d-4d31-8695-d7467523ee00}" id="{b1a2e91a-6791-44c4-97a9-011aa22e8338}" parentId="{549df166-d619-425a-85d0-429f24acaf02}">
    <x18tc:text xml:space="preserve">Hello, just made sure they were updated and 12hrs isnt unreasonable. We should be able to update them as we progress through the batch.</x18tc:text>
  </x18tc:threadedComment>
  <x18tc:threadedComment ref="E12" dT="2024-09-23T23:22:50.00" personId="{c72a14e5-4c8d-4377-adcb-3c6ade3fac7d}" id="{f60f48cd-2049-46d6-b160-3e56e9921e22}" parentId="{549df166-d619-425a-85d0-429f24acaf02}">
    <x18tc:text xml:space="preserve">ok Antoinette, go wild on updated the Total Thruput column with the actual. I change it to blue text (like row above) when it's an actual number. 
@caleb@charmindustrial.com re: 12 hours, thanks!</x18tc:text>
    <x18tc:mentions>
      <x18tc:mention mentionpersonId="{7bbbb1ec-af58-46c3-a3bf-9ce2d5720cbd}" mentionId="{9eacfdbb-b0e7-4af6-9bd5-068115920a26}" startIndex="148" length="26"/>
    </x18tc:mentions>
  </x18tc:threadedComment>
  <x18tc:threadedComment ref="B19" dT="2024-09-27T21:35:21.00" personId="{fc6b6514-401b-4006-bda7-6a18f962bfa1}" id="{82517073-8800-45c4-ae91-00f2eeb7db48}" done="0">
    <x18tc:text xml:space="preserve">@katie@charmindustrial.com me again :) - am I right in thinking AECN thruput for Nov here would be 187 (75*4 - Charm Thruput)</x18tc:text>
    <x18tc:mentions>
      <x18tc:mention mentionpersonId="{7927b384-b4ac-47d3-b7f9-4870d00ff58e}" mentionId="{bc498352-2401-4ee8-a96f-df2025b10db1}" startIndex="0" length="26"/>
    </x18tc:mentions>
  </x18tc:threadedComment>
  <x18tc:threadedComment ref="D12" dT="2024-09-06T19:34:13.00" personId="{e2c8d504-6763-42ca-a5d2-8186ef389c07}" id="{6e89efa0-a21f-47c5-92a0-4492841ec97f}" done="1">
    <x18tc:text xml:space="preserve">@katie@charmindustrial.com 
Any Charm BO tonnage in Sept is highly unlikely
1 total reaction
Katie Holligan reacted with 👍 at 2024-09-16 01:45 AM
Assigned to katie@charmindustrial.com</x18tc:text>
    <x18tc:mentions>
      <x18tc:mention mentionpersonId="{7927b384-b4ac-47d3-b7f9-4870d00ff58e}" mentionId="{2bde8ee1-4353-47be-93e8-1217f9eeb108}" startIndex="0" length="26"/>
    </x18tc:mentions>
  </x18tc:threadedComment>
  <x18tc:threadedComment ref="C9" dT="2024-07-19T21:17:48.00" personId="{3869a200-4156-4be7-9585-b1ce2942accf}" id="{1778b103-f824-4ec6-b5c4-dd9d23d91ab5}" done="1">
    <x18tc:text xml:space="preserve">Drop dead for figuring out viscosity issues</x18tc:text>
  </x18tc:threadedComment>
  <x18tc:threadedComment ref="C12" dT="2024-07-19T21:17:38.00" personId="{3869a200-4156-4be7-9585-b1ce2942accf}" id="{46cf64ac-58a4-4287-88a6-223893c7459b}" done="1">
    <x18tc:text xml:space="preserve">End of 2-week ramp</x18tc:text>
  </x18tc:threadedComment>
  <x18tc:threadedComment ref="C12" dT="2024-07-19T21:19:26.00" personId="{3869a200-4156-4be7-9585-b1ce2942accf}" id="{2741791b-d6f0-457b-820d-d3bb053d7c65}" parentId="{46cf64ac-58a4-4287-88a6-223893c7459b}">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fc6b6514-401b-4006-bda7-6a18f962bfa1}" id="{c628e137-2b24-4dbb-bf05-ea2717eb0e4d}"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d4e75c71-4df7-4350-a529-0d16d9bff311}" id="{970f42e8-855b-4d94-94b6-5f2dee76769d}" done="0">
    <x18tc:text xml:space="preserve">BOL was corrected to 2329-T</x18tc:text>
  </x18tc:threadedComment>
  <x18tc:threadedComment ref="B90" dT="2025-08-30T17:36:24.00" personId="{d4e75c71-4df7-4350-a529-0d16d9bff311}" id="{ed949ca7-378d-4cf3-87ab-610ae1057c47}" done="0">
    <x18tc:text xml:space="preserve">@jula.nedio@charmindustrial.com
Assigned to jula.nedio@charmindustrial.com</x18tc:text>
    <x18tc:mentions>
      <x18tc:mention mentionpersonId="{871e3db5-91af-4877-b1c3-f438280c7a39}" mentionId="{34fdf2d0-fbb4-4a3c-b5f8-060488a76576}"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fc6b6514-401b-4006-bda7-6a18f962bfa1}" id="{c936a150-b12a-4146-9917-03d6d60f8e24}" done="0">
    <x18tc:text xml:space="preserve">@caleb@charmindustrial.com - so what I did here was get the total from the blends tab until Batch 20041 and the remaining from the storage tab - does that look right?</x18tc:text>
    <x18tc:mentions>
      <x18tc:mention mentionpersonId="{7bbbb1ec-af58-46c3-a3bf-9ce2d5720cbd}" mentionId="{c62a80ce-f40f-4fd2-83bc-c528f6dd3fb6}" startIndex="0" length="26"/>
    </x18tc:mentions>
  </x18tc:threadedComment>
  <x18tc:threadedComment ref="P5" dT="2024-09-27T19:21:22.00" personId="{fc6b6514-401b-4006-bda7-6a18f962bfa1}" id="{360f9145-e179-4f2b-8e4e-d115b4620cfc}" done="0">
    <x18tc:text xml:space="preserve">@caleb@charmindustrial.com this looks right now that it's pulling from storage</x18tc:text>
    <x18tc:mentions>
      <x18tc:mention mentionpersonId="{7bbbb1ec-af58-46c3-a3bf-9ce2d5720cbd}" mentionId="{1922bf1a-65bc-4b10-9c62-13407c379f1e}" startIndex="0" length="26"/>
    </x18tc:mentions>
  </x18tc:threadedComment>
  <x18tc:threadedComment ref="P5" dT="2024-09-30T14:03:23.00" personId="{b69f98e7-141d-4d31-8695-d7467523ee00}" id="{b755714f-f08d-4e8a-a9ff-221235330e2f}" parentId="{360f9145-e179-4f2b-8e4e-d115b4620cfc}">
    <x18tc:text xml:space="preserve">@antoinette@charmindustrial.com im not sure what happened but all of the data is gone and the PO number changed as well. It was 060-062</x18tc:text>
    <x18tc:mentions>
      <x18tc:mention mentionpersonId="{9ba60896-f291-4f55-868c-87690e670479}" mentionId="{d1354fa7-39eb-4428-a6cf-29483ca1565f}" startIndex="0" length="31"/>
    </x18tc:mentions>
  </x18tc:threadedComment>
  <x18tc:threadedComment ref="P5" dT="2024-09-30T20:11:02.00" personId="{fc6b6514-401b-4006-bda7-6a18f962bfa1}" id="{b3ddb5f0-011b-48a2-a918-8e109b0c3828}" parentId="{360f9145-e179-4f2b-8e4e-d115b4620cfc}">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4d155a07-4737-4fe7-80ad-548719653df4}" id="{2c1924cc-a0ae-422c-835d-6183313c4499}" done="1">
    <x18tc:text xml:space="preserve">@garrett.lutz@charmindustrial.com Linking for vis</x18tc:text>
    <x18tc:mentions>
      <x18tc:mention mentionpersonId="{9c68715d-dbc5-4757-8a4a-15c284ce7f55}" mentionId="{8ad08c17-2a4c-4438-894b-610394847a8f}" startIndex="0" length="33"/>
    </x18tc:mentions>
  </x18tc:threadedComment>
  <x18tc:threadedComment ref="E33" dT="2024-05-08T18:06:40.00" personId="{f2f4fd08-e2dd-4881-a5d5-ecfee8f95a19}" id="{8588b8c3-e074-4cfc-ab38-b71312b4dc34}" done="1">
    <x18tc:text xml:space="preserve">@katie@charmindustrial.com Can you confirm this? How many trucks do we need to empty a railcar and transport the contents to Minifinery?
Assigned to katie@charmindustrial.com</x18tc:text>
    <x18tc:mentions>
      <x18tc:mention mentionpersonId="{7927b384-b4ac-47d3-b7f9-4870d00ff58e}" mentionId="{3a4a1a01-94d9-4a86-a7f8-7ac344c0e7c9}" startIndex="0" length="26"/>
    </x18tc:mentions>
  </x18tc:threadedComment>
  <x18tc:threadedComment ref="E33" dT="2024-05-11T03:42:50.00" personId="{c72a14e5-4c8d-4377-adcb-3c6ade3fac7d}" id="{31a8a3b4-62cd-44a3-aed6-f40a5d67ec3f}" parentId="{8588b8c3-e074-4cfc-ab38-b71312b4dc34}">
    <x18tc:text xml:space="preserve">I think it will be four trucks but let’s confirm after a few reps!</x18tc:text>
  </x18tc:threadedComment>
  <x18tc:threadedComment ref="E33" dT="2024-05-13T15:53:13.00" personId="{f2f4fd08-e2dd-4881-a5d5-ecfee8f95a19}" id="{ff5b6b44-605d-4631-8788-4ce3454f3825}" parentId="{8588b8c3-e074-4cfc-ab38-b71312b4dc34}">
    <x18tc:text xml:space="preserve">Cool, thanks!</x18tc:text>
  </x18tc:threadedComment>
  <x18tc:threadedComment ref="E12" dT="2024-05-30T00:57:44.00" personId="{fe54d822-4260-40ec-8f9b-e3b9b03d0aec}" id="{82e09ee5-f5ea-4d7d-90ed-248f9e99c5c0}" done="1">
    <x18tc:text xml:space="preserve">This should link to C11 instead of C12 correct?</x18tc:text>
  </x18tc:threadedComment>
  <x18tc:threadedComment ref="E12" dT="2024-05-30T00:57:54.00" personId="{fe54d822-4260-40ec-8f9b-e3b9b03d0aec}" id="{85216cac-b6ce-418f-8440-e320a6657cae}" parentId="{82e09ee5-f5ea-4d7d-90ed-248f9e99c5c0}">
    <x18tc:text xml:space="preserve">@max@charmindustrial.com</x18tc:text>
    <x18tc:mentions>
      <x18tc:mention mentionpersonId="{0da4b0b8-d90f-45c2-a8cd-57c61471e247}" mentionId="{e0bd3175-038f-468c-96ae-f93c63180e28}" startIndex="0" length="24"/>
    </x18tc:mentions>
  </x18tc:threadedComment>
  <x18tc:threadedComment ref="E12" dT="2024-05-30T03:09:16.00" personId="{f2f4fd08-e2dd-4881-a5d5-ecfee8f95a19}" id="{d20987c9-7d41-450f-93c0-71a3494a94c4}" parentId="{82e09ee5-f5ea-4d7d-90ed-248f9e99c5c0}">
    <x18tc:text xml:space="preserve">That's right, thank you for the catch. Corrected.</x18tc:text>
  </x18tc:threadedComment>
  <x18tc:threadedComment ref="E15" dT="2024-05-30T00:10:34.00" personId="{fe54d822-4260-40ec-8f9b-e3b9b03d0aec}" id="{4f84a619-1ee9-4189-b5da-4ef04dd061c5}" done="1">
    <x18tc:text xml:space="preserve">@max@charmindustrial.com What are the different pieces here and/or math behind them?</x18tc:text>
    <x18tc:mentions>
      <x18tc:mention mentionpersonId="{0da4b0b8-d90f-45c2-a8cd-57c61471e247}" mentionId="{02134a40-9ded-4937-a160-1098ecdc5b54}" startIndex="0" length="24"/>
    </x18tc:mentions>
  </x18tc:threadedComment>
  <x18tc:threadedComment ref="E15" dT="2024-05-30T00:40:53.00" personId="{f2f4fd08-e2dd-4881-a5d5-ecfee8f95a19}" id="{cefa43bc-1e14-4140-8ca6-a7bfadc5ef82}" parentId="{4f84a619-1ee9-4189-b5da-4ef04dd061c5}">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ae33ec18-d099-4458-8ac7-db34d23cbafe}" mentionId="{f1fca1d7-aedf-412f-afe2-5e1e0351e921}"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3c6618c6-e881-488b-8a1b-03a96c4bfa8c}" id="{6f8b8955-6dd4-4705-968a-207357d445cb}" done="1">
    <x18tc:text xml:space="preserve">@katie@charmindustrial.com @max@charmindustrial.com would love to talk about this and the next few months...in terms of what is possible onsite!</x18tc:text>
    <x18tc:mentions>
      <x18tc:mention mentionpersonId="{7927b384-b4ac-47d3-b7f9-4870d00ff58e}" mentionId="{579bbb51-66d3-4fed-9f4b-5df4b2dd3299}" startIndex="0" length="26"/>
      <x18tc:mention mentionpersonId="{0da4b0b8-d90f-45c2-a8cd-57c61471e247}" mentionId="{030e839f-37d2-4f03-a5d6-7572c968ab3e}" startIndex="27" length="24"/>
    </x18tc:mentions>
    <x18tc:extLst>
      <ext uri="{F7C98A9C-CBB3-438F-8F68-D28B6AF4A901}">
        <xltc2:checksum/>
        <xltc2:hyperlink startIndex="99" length="11" url="http://months...in"/>
      </ext>
    </x18tc:extLst>
  </x18tc:threadedComment>
  <x18tc:threadedComment ref="J20" dT="2024-02-12T21:03:25.00" personId="{c72a14e5-4c8d-4377-adcb-3c6ade3fac7d}" id="{ef4ae216-3b8f-4c7a-b3f3-48f55bb03d08}" parentId="{6f8b8955-6dd4-4705-968a-207357d445cb}">
    <x18tc:text xml:space="preserve">Absolutely, Anna created the weekly "Project 10k: COTS Deliveries" meeting series to surface topics like this.</x18tc:text>
  </x18tc:threadedComment>
  <x18tc:threadedComment ref="J20" dT="2024-02-12T22:44:13.00" personId="{3c6618c6-e881-488b-8a1b-03a96c4bfa8c}" id="{bf23148a-bd62-4b55-9162-0cc348559a2a}" parentId="{6f8b8955-6dd4-4705-968a-207357d445cb}">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b69f98e7-141d-4d31-8695-d7467523ee00}" id="{95f17c7b-c518-40c8-bfb3-8479d06f9efb}" done="0">
    <x18tc:text xml:space="preserve">@antoinette@charmindustrial.com @max@charmindustrial.com this cell is not pulling this weight out of the railcar tab to show the actual amount left in the railcar.</x18tc:text>
    <x18tc:mentions>
      <x18tc:mention mentionpersonId="{9ba60896-f291-4f55-868c-87690e670479}" mentionId="{dc2f2666-86a2-4498-9048-2ef98ffd321d}" startIndex="0" length="31"/>
      <x18tc:mention mentionpersonId="{0da4b0b8-d90f-45c2-a8cd-57c61471e247}" mentionId="{c78fc26b-4878-4b4a-9114-6da41660cd57}" startIndex="32" length="24"/>
    </x18tc:mentions>
  </x18tc:threadedComment>
  <x18tc:threadedComment ref="C2" dT="2024-09-09T23:38:44.00" personId="{f2f4fd08-e2dd-4881-a5d5-ecfee8f95a19}" id="{8c9a253e-6a25-4c8d-a5c7-2847dc911b6a}" done="1">
    <x18tc:text xml:space="preserve">@caleb@charmindustrial.com @antoinette@charmindustrial.com Can we link to scale ticket images here?</x18tc:text>
    <x18tc:mentions>
      <x18tc:mention mentionpersonId="{7bbbb1ec-af58-46c3-a3bf-9ce2d5720cbd}" mentionId="{88c6dfa0-31d2-4e82-9fd6-0d57be48bdfa}" startIndex="0" length="26"/>
      <x18tc:mention mentionpersonId="{9ba60896-f291-4f55-868c-87690e670479}" mentionId="{97b6d347-92ea-4630-b53f-134ab1940633}" startIndex="27" length="31"/>
    </x18tc:mentions>
  </x18tc:threadedComment>
  <x18tc:threadedComment ref="C2" dT="2024-09-11T20:07:28.00" personId="{fc6b6514-401b-4006-bda7-6a18f962bfa1}" id="{ca499a6a-ede8-474a-844b-6417bb8cb50a}" parentId="{8c9a253e-6a25-4c8d-a5c7-2847dc911b6a}">
    <x18tc:text xml:space="preserve">good idea!</x18tc:text>
  </x18tc:threadedComment>
  <x18tc:threadedComment ref="D2" dT="2024-09-09T23:39:38.00" personId="{f2f4fd08-e2dd-4881-a5d5-ecfee8f95a19}" id="{2bef8d77-643d-41d1-a4c1-3ffc0e29957a}"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9ba60896-f291-4f55-868c-87690e670479}" mentionId="{4da56885-4595-4c6e-b7c8-540f7ab5b2c9}" startIndex="0" length="31"/>
    </x18tc:mentions>
  </x18tc:threadedComment>
  <x18tc:threadedComment ref="D2" dT="2024-09-11T20:02:46.00" personId="{fc6b6514-401b-4006-bda7-6a18f962bfa1}" id="{e7af5593-4ef5-463b-85f6-cefa089dc4bb}" parentId="{2bef8d77-643d-41d1-a4c1-3ffc0e29957a}">
    <x18tc:text xml:space="preserve">yes - I included PO# here since previous railcars we looked at had PO# but agree moving forward it will just be BOL #</x18tc:text>
  </x18tc:threadedComment>
  <x18tc:threadedComment ref="F1" dT="2024-09-09T23:40:39.00" personId="{f2f4fd08-e2dd-4881-a5d5-ecfee8f95a19}" id="{4f70b529-01b1-4d76-a56b-1b8caaf9d387}" done="1">
    <x18tc:text xml:space="preserve">@antoinette@charmindustrial.com @caleb@charmindustrial.com This would be helpful so we know when to select "tank emptied" in the Ledger, which effectively disposes the remaining oil as container loss</x18tc:text>
    <x18tc:mentions>
      <x18tc:mention mentionpersonId="{9ba60896-f291-4f55-868c-87690e670479}" mentionId="{56ee8b0d-18cc-4202-bc0b-c903ef0ca75d}" startIndex="0" length="31"/>
      <x18tc:mention mentionpersonId="{7bbbb1ec-af58-46c3-a3bf-9ce2d5720cbd}" mentionId="{0206fb70-2fe7-4cb8-97e6-69206b2cdd39}"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fc6b6514-401b-4006-bda7-6a18f962bfa1}" id="{90a985b5-d6b7-44b7-8684-5312d0addfa5}" done="1">
    <x18tc:text xml:space="preserve">@caleb@charmindustrial.com do the storage tanks hold more than 45m.t.?</x18tc:text>
    <x18tc:mentions>
      <x18tc:mention mentionpersonId="{7bbbb1ec-af58-46c3-a3bf-9ce2d5720cbd}" mentionId="{d63f1000-8779-40d1-be23-e95ce4770a33}" startIndex="0" length="26"/>
    </x18tc:mentions>
  </x18tc:threadedComment>
  <x18tc:threadedComment ref="A1" dT="2024-09-06T20:34:36.00" personId="{fc6b6514-401b-4006-bda7-6a18f962bfa1}" id="{48a1b9d7-2bf6-4312-bea9-ca1a903ad383}"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72a14e5-4c8d-4377-adcb-3c6ade3fac7d}" id="{d803b6b5-b95d-4a12-be84-c0e619371128}" done="1">
    <x18tc:text xml:space="preserve">Were the past three blends really all the same size?</x18tc:text>
  </x18tc:threadedComment>
  <x18tc:threadedComment ref="B57" dT="2024-10-28T03:26:13.00" personId="{c72a14e5-4c8d-4377-adcb-3c6ade3fac7d}" id="{55778dfa-37c8-4b93-9e4a-4b1f02258151}"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7bbbb1ec-af58-46c3-a3bf-9ce2d5720cbd}" mentionId="{48cc3747-7441-4d7f-94a4-578fc0a70945}" startIndex="0" length="26"/>
      <x18tc:mention mentionpersonId="{626efb59-bfa5-4637-b6bd-9394461ba4ea}" mentionId="{a2246305-f008-45b8-bcaa-867d52d540cc}" startIndex="27" length="33"/>
    </x18tc:mentions>
  </x18tc:threadedComment>
  <x18tc:threadedComment ref="B57" dT="2024-10-28T13:25:17.00" personId="{c892e60e-9cae-4b8f-9412-b90a2fc8d910}" id="{f3a16290-d262-4ca2-90ff-851aab241a14}" parentId="{55778dfa-37c8-4b93-9e4a-4b1f02258151}">
    <x18tc:text xml:space="preserve">It looks like it is the correct info. Thank you</x18tc:text>
  </x18tc:threadedComment>
  <x18tc:threadedComment ref="B57" dT="2024-10-28T13:38:44.00" personId="{c892e60e-9cae-4b8f-9412-b90a2fc8d910}" id="{750a0f86-aee8-42e9-a10c-9e893b0db32e}" parentId="{55778dfa-37c8-4b93-9e4a-4b1f02258151}">
    <x18tc:text xml:space="preserve">But Caleb usually takes care of this one.</x18tc:text>
  </x18tc:threadedComment>
  <x18tc:threadedComment ref="A58" dT="2024-11-01T18:29:34.00" personId="{c72a14e5-4c8d-4377-adcb-3c6ade3fac7d}" id="{1ec09ca8-f071-4ddd-aaa1-f1b9d2b5f808}" done="1">
    <x18tc:text xml:space="preserve">@caleb@charmindustrial.com this started sparing on tuesday right?</x18tc:text>
    <x18tc:mentions>
      <x18tc:mention mentionpersonId="{7bbbb1ec-af58-46c3-a3bf-9ce2d5720cbd}" mentionId="{c147f144-4e7e-4c63-a16d-2781db456355}" startIndex="0" length="26"/>
    </x18tc:mentions>
  </x18tc:threadedComment>
  <x18tc:threadedComment ref="A58" dT="2024-11-01T19:23:37.00" personId="{b69f98e7-141d-4d31-8695-d7467523ee00}" id="{9ce38545-ca91-4cd6-aeb2-428bdfa84bab}" parentId="{1ec09ca8-f071-4ddd-aaa1-f1b9d2b5f808}">
    <x18tc:text xml:space="preserve">yes, sorry i selected the wrong tuesday.</x18tc:text>
  </x18tc:threadedComment>
  <x18tc:threadedComment ref="I58" dT="2024-11-01T18:30:46.00" personId="{c72a14e5-4c8d-4377-adcb-3c6ade3fac7d}" id="{ad9274d1-f3f9-4bc4-85ea-9594eee92cb3}" done="1">
    <x18tc:text xml:space="preserve">@caleb@charmindustrial.com the truck delivered 21 metric tons, is there loss in the transfer process or is this just a difference in reading (VEGA vs weighed truck)?</x18tc:text>
    <x18tc:mentions>
      <x18tc:mention mentionpersonId="{7bbbb1ec-af58-46c3-a3bf-9ce2d5720cbd}" mentionId="{66cc5876-0082-433f-925c-881e9595a065}" startIndex="0" length="26"/>
    </x18tc:mentions>
  </x18tc:threadedComment>
  <x18tc:threadedComment ref="I58" dT="2024-11-01T19:23:03.00" personId="{b69f98e7-141d-4d31-8695-d7467523ee00}" id="{a8df9e3c-f8f0-444d-b4fd-463c22745338}" parentId="{ad9274d1-f3f9-4bc4-85ea-9594eee92cb3}">
    <x18tc:text xml:space="preserve">we took a couple tote samples and quite a bit of samples to send out. any difference would go towards sampling. We took 530gal just in tote samples.
1 total reaction
Katie Holligan reacted with 🙏 at 2024-11-08 02:42 AM</x18tc:text>
  </x18tc:threadedComment>
  <x18tc:threadedComment ref="Q18" dT="2024-06-07T22:05:01.00" personId="{c72a14e5-4c8d-4377-adcb-3c6ade3fac7d}" id="{5aa402c7-602a-4c81-ab42-4c245ccbcd8f}" done="1">
    <x18tc:text xml:space="preserve">this was not all injected because unable to get out of blending tank
what was leftover was cut with 2-15</x18tc:text>
  </x18tc:threadedComment>
  <x18tc:threadedComment ref="D27" dT="2024-07-21T05:13:37.00" personId="{3869a200-4156-4be7-9585-b1ce2942accf}" id="{7809a331-0014-4e1c-8385-7a9b787401d2}" done="1">
    <x18tc:text xml:space="preserve">@katie@charmindustrial.com can you or emilie fill in the newest batches + 200021 + the fate column of all historical batches from the operational notes/context?
Assigned to katie@charmindustrial.com</x18tc:text>
    <x18tc:mentions>
      <x18tc:mention mentionpersonId="{7927b384-b4ac-47d3-b7f9-4870d00ff58e}" mentionId="{461e6e1f-70c1-4bc8-a8b8-956dab5ad4ea}" startIndex="0" length="26"/>
    </x18tc:mentions>
  </x18tc:threadedComment>
  <x18tc:threadedComment ref="D19" dT="2024-06-07T22:06:27.00" personId="{c72a14e5-4c8d-4377-adcb-3c6ade3fac7d}" id="{d2e7aa54-56a0-4067-81ca-0a38fc07e3fd}"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72a14e5-4c8d-4377-adcb-3c6ade3fac7d}" id="{c9437f4c-9113-4dec-86b1-0ef016b4a6b1}" done="1">
    <x18tc:text xml:space="preserve">@caleb@charmindustrial.com or @james.grimes@charmindustrial.com can you input the injection date for these four loads? thanks!</x18tc:text>
    <x18tc:mentions>
      <x18tc:mention mentionpersonId="{7bbbb1ec-af58-46c3-a3bf-9ce2d5720cbd}" mentionId="{a3465590-296a-441f-ae05-1bcc9f3c7efa}" startIndex="0" length="26"/>
      <x18tc:mention mentionpersonId="{626efb59-bfa5-4637-b6bd-9394461ba4ea}" mentionId="{7b933343-e8b6-4a9c-809e-6f8a0a58f140}" startIndex="30" length="33"/>
    </x18tc:mentions>
  </x18tc:threadedComment>
  <x18tc:threadedComment ref="E35" dT="2024-09-06T16:55:48.00" personId="{c72a14e5-4c8d-4377-adcb-3c6ade3fac7d}" id="{305779a0-5e66-4062-a0a6-696f02466980}" done="1">
    <x18tc:text xml:space="preserve">@max@charmindustrial.com @caleb@charmindustrial.com can these loads be MRV'd or not?</x18tc:text>
    <x18tc:mentions>
      <x18tc:mention mentionpersonId="{0da4b0b8-d90f-45c2-a8cd-57c61471e247}" mentionId="{17985caa-f303-4ad6-b7e7-6785139789e8}" startIndex="0" length="24"/>
      <x18tc:mention mentionpersonId="{7bbbb1ec-af58-46c3-a3bf-9ce2d5720cbd}" mentionId="{93be1d6d-ba8a-4f80-b960-c815dd470ec8}" startIndex="25" length="26"/>
    </x18tc:mentions>
  </x18tc:threadedComment>
  <x18tc:threadedComment ref="E35" dT="2024-09-06T17:01:48.00" personId="{f2f4fd08-e2dd-4881-a5d5-ecfee8f95a19}" id="{179adf91-216d-45c5-a2ed-37136a38f287}" parentId="{305779a0-5e66-4062-a0a6-696f02466980}">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72a14e5-4c8d-4377-adcb-3c6ade3fac7d}" id="{52a46e6a-0b6f-465a-81e8-c2c08c746cec}" parentId="{305779a0-5e66-4062-a0a6-696f02466980}">
    <x18tc:text xml:space="preserve">if we got the tare weight of the truck from Transwood would we be able to MRV it?</x18tc:text>
  </x18tc:threadedComment>
  <x18tc:threadedComment ref="R3" dT="2024-09-27T17:15:03.00" personId="{c72a14e5-4c8d-4377-adcb-3c6ade3fac7d}" id="{7dc6d7cd-3974-461b-abed-92fd6508d850}" done="0">
    <x18tc:text xml:space="preserve">per Max, March and April are verified
May should be verified by EO October</x18tc:text>
  </x18tc:threadedComment>
  <x18tc:threadedComment ref="R3" dT="2024-09-27T17:27:25.00" personId="{c72a14e5-4c8d-4377-adcb-3c6ade3fac7d}" id="{6ef12547-a92e-4a7d-9ac5-f8a2e96f8a5c}" parentId="{7dc6d7cd-3974-461b-abed-92fd6508d850}">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f2f4fd08-e2dd-4881-a5d5-ecfee8f95a19}" id="{83ceb7e7-bdca-4c75-bc4e-33e631c814cb}" done="0">
    <x18tc:text xml:space="preserve">@caleb@charmindustrial.com -- This batch has a vaulted scale ticket. Wouldn't it be an inject/dispose mix?
Same question for 17, 19, and 20
Assigned to </x18tc:text>
    <x18tc:mentions>
      <x18tc:mention mentionpersonId="{7bbbb1ec-af58-46c3-a3bf-9ce2d5720cbd}" mentionId="{4b6d800d-6396-4e6f-b9b4-4c7fb356320c}" startIndex="0" length="26"/>
    </x18tc:mentions>
  </x18tc:threadedComment>
  <x18tc:threadedComment ref="D19" dT="2024-07-25T17:15:50.00" personId="{3869a200-4156-4be7-9585-b1ce2942accf}" id="{c683d683-ab75-4b4e-9539-3280f372ad8b}" done="1">
    <x18tc:text xml:space="preserve">@emilie@charmindustrial.com missing operational notes here https://drive.google.com/drive/u/1/folders/1pXajYHibaKrRzoJERnTRUlQM04IOIspE
Assigned to </x18tc:text>
    <x18tc:mentions>
      <x18tc:mention mentionpersonId="{00665970-857d-44f0-983e-058c5d2b164c}" mentionId="{591ffc67-ce4a-48ea-8482-d3f3c62d94ab}"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3c6618c6-e881-488b-8a1b-03a96c4bfa8c}" id="{8bda23c7-2da0-41e1-9a87-0189bfbeb919}" parentId="{c683d683-ab75-4b4e-9539-3280f372ad8b}">
    <x18tc:text xml:space="preserve">Thanks, this one was a bit messed up as it was during the spill, but notes now attached</x18tc:text>
  </x18tc:threadedComment>
  <x18tc:threadedComment ref="D19" dT="2024-07-25T22:27:36.00" personId="{3869a200-4156-4be7-9585-b1ce2942accf}" id="{c4579a63-0220-4f51-83d9-677dd0c7afca}" parentId="{c683d683-ab75-4b4e-9539-3280f372ad8b}">
    <x18tc:text xml:space="preserve">thanks!</x18tc:text>
  </x18tc:threadedComment>
  <x18tc:threadedComment ref="D5" dT="2024-07-25T17:16:02.00" personId="{3869a200-4156-4be7-9585-b1ce2942accf}" id="{53ed7081-61b7-4c70-bf8f-e35dec7ea5b5}" done="1">
    <x18tc:text xml:space="preserve">@emilie@charmindustrial.com missing blend # + ops notes
Assigned to </x18tc:text>
    <x18tc:mentions>
      <x18tc:mention mentionpersonId="{00665970-857d-44f0-983e-058c5d2b164c}" mentionId="{f29c8d0f-45b0-4eba-96f2-67ed036a449e}" startIndex="0" length="27"/>
    </x18tc:mentions>
  </x18tc:threadedComment>
  <x18tc:threadedComment ref="D5" dT="2024-07-25T21:54:26.00" personId="{3c6618c6-e881-488b-8a1b-03a96c4bfa8c}" id="{9d336e39-5de6-4cda-8e2d-5a35412a4a4a}" parentId="{53ed7081-61b7-4c70-bf8f-e35dec7ea5b5}">
    <x18tc:text xml:space="preserve">we hadn't started the batching numbers yet, but please see the ops notes attached</x18tc:text>
  </x18tc:threadedComment>
  <x18tc:threadedComment ref="D5" dT="2024-07-25T22:27:59.00" personId="{3869a200-4156-4be7-9585-b1ce2942accf}" id="{debcc761-50ff-4e9c-a907-ac8b409d3b14}" parentId="{53ed7081-61b7-4c70-bf8f-e35dec7ea5b5}">
    <x18tc:text xml:space="preserve">great thanks</x18tc:text>
  </x18tc:threadedComment>
  <x18tc:threadedComment ref="F3" dT="2024-07-25T17:15:34.00" personId="{3869a200-4156-4be7-9585-b1ce2942accf}" id="{aec85f1b-0a9e-48f3-bcc0-d9b43cdafa64}" done="1">
    <x18tc:text xml:space="preserve">@emilie@charmindustrial.com missing fate for each load in terms of injection or disposal
Assigned to </x18tc:text>
    <x18tc:mentions>
      <x18tc:mention mentionpersonId="{00665970-857d-44f0-983e-058c5d2b164c}" mentionId="{c27918b0-5829-4f4a-bb47-c436153b45f2}" startIndex="0" length="27"/>
    </x18tc:mentions>
  </x18tc:threadedComment>
  <x18tc:threadedComment ref="F3" dT="2024-07-25T21:48:21.00" personId="{3c6618c6-e881-488b-8a1b-03a96c4bfa8c}" id="{4707ac85-c370-418d-afac-f3aa16b60d98}" parentId="{aec85f1b-0a9e-48f3-bcc0-d9b43cdafa64}">
    <x18tc:text xml:space="preserve">@peter@charmindustrial.com many of these batches are split between injection at vaulted and tagged for safety klean to pick up, how do you want us to handle the split?
Reassigned to peter@charmindustrial.com</x18tc:text>
    <x18tc:mentions>
      <x18tc:mention mentionpersonId="{29fe7b7b-1ea2-44af-94e2-8431b6e2786f}" mentionId="{32b6138a-6f26-4e52-a7ba-5c75dcd8867c}" startIndex="0" length="26"/>
    </x18tc:mentions>
  </x18tc:threadedComment>
  <x18tc:threadedComment ref="F3" dT="2024-07-25T22:28:39.00" personId="{3869a200-4156-4be7-9585-b1ce2942accf}" id="{41b44e58-138a-4ffc-b61c-f5de163f70a6}" parentId="{aec85f1b-0a9e-48f3-bcc0-d9b43cdafa64}">
    <x18tc:text xml:space="preserve">i added a mixed option</x18tc:text>
  </x18tc:threadedComment>
  <x18tc:threadedComment ref="F3" dT="2024-07-29T21:09:20.00" personId="{3c6618c6-e881-488b-8a1b-03a96c4bfa8c}" id="{a26668d6-c968-4d05-bca6-a4588931c93f}" parentId="{aec85f1b-0a9e-48f3-bcc0-d9b43cdafa64}">
    <x18tc:text xml:space="preserve">thanks, updated!</x18tc:text>
  </x18tc:threadedComment>
  <x18tc:threadedComment ref="F3" dT="2024-07-30T00:08:13.00" personId="{3869a200-4156-4be7-9585-b1ce2942accf}" id="{3c3f78b4-54e7-4d16-92fc-9395e204a92b}" parentId="{aec85f1b-0a9e-48f3-bcc0-d9b43cdafa64}">
    <x18tc:text xml:space="preserve">what's your threshold for considering it "mixed"? i would've thought some of these were effectively entirely pumped out and injected</x18tc:text>
  </x18tc:threadedComment>
  <x18tc:threadedComment ref="F3" dT="2024-07-30T00:19:17.00" personId="{3c6618c6-e881-488b-8a1b-03a96c4bfa8c}" id="{54b25842-fbb0-4ff5-af08-d020346da281}" parentId="{aec85f1b-0a9e-48f3-bcc0-d9b43cdafa64}">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3869a200-4156-4be7-9585-b1ce2942accf}" id="{d3cba08f-5d1e-4f07-8ade-12479deb210a}" parentId="{aec85f1b-0a9e-48f3-bcc0-d9b43cdafa64}">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72a14e5-4c8d-4377-adcb-3c6ade3fac7d}" id="{61824e82-ec45-4cd8-bf6f-4390c69c1a1f}"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72a14e5-4c8d-4377-adcb-3c6ade3fac7d}" id="{d6f5b302-8520-454e-957e-56501feb0ae3}" done="0">
    <x18tc:text xml:space="preserve">redundant to column J</x18tc:text>
  </x18tc:threadedComment>
  <x18tc:threadedComment ref="G1" dT="2024-05-04T20:24:27.00" personId="{c72a14e5-4c8d-4377-adcb-3c6ade3fac7d}" id="{35a508a9-5af5-46c8-a0b1-3111d92af8fe}" done="0">
    <x18tc:text xml:space="preserve">ability to process beyond what was delivered</x18tc:text>
  </x18tc:threadedComment>
  <x18tc:threadedComment ref="F1" dT="2024-05-04T20:24:42.00" personId="{c72a14e5-4c8d-4377-adcb-3c6ade3fac7d}" id="{3dd81743-56a9-41fa-bc06-b74688a5b77d}"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72a14e5-4c8d-4377-adcb-3c6ade3fac7d}" id="{753f82e4-a465-4e75-983c-7aebd5d6dbc7}" done="1">
    <x18tc:text xml:space="preserve">LaTonya's most recent POD (projected outbound date) + 30 days</x18tc:text>
  </x18tc:threadedComment>
  <x18tc:threadedComment ref="H69" dT="2024-05-04T19:38:33.00" personId="{c72a14e5-4c8d-4377-adcb-3c6ade3fac7d}" id="{d6cb5edc-caaf-4cda-9540-3b763a67e275}"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3c6618c6-e881-488b-8a1b-03a96c4bfa8c}" id="{e9fda023-142d-408f-b89c-6bd1e61c9e14}" done="1">
    <x18tc:text xml:space="preserve">@bryan@charmindustrial.com here is where I create the forecast and graph for the pace report! it is a week by week look at what is recorded, verified and forecasted</x18tc:text>
    <x18tc:mentions>
      <x18tc:mention mentionpersonId="{2af91e65-74f1-4008-8b94-e07d14457195}" mentionId="{a16830c7-ed0e-44c7-af4d-dc557d9a68a2}" startIndex="0" length="26"/>
    </x18tc:mentions>
  </x18tc:threadedComment>
  <x18tc:threadedComment ref="T12" dT="2024-06-07T23:40:33.00" personId="{c72a14e5-4c8d-4377-adcb-3c6ade3fac7d}" id="{c861dd67-37f0-4e90-bcf4-2020e8b5fdad}" done="1">
    <x18tc:text xml:space="preserve">next week extend the "Injection Forecast" tab to all of July and replace this tab with the formula</x18tc:text>
  </x18tc:threadedComment>
  <x18tc:threadedComment ref="T12" dT="2024-06-14T21:55:14.00" personId="{c72a14e5-4c8d-4377-adcb-3c6ade3fac7d}" id="{ea3be67e-9df1-49d5-866c-e8802e84457c}" parentId="{c861dd67-37f0-4e90-bcf4-2020e8b5fdad}">
    <x18tc:text xml:space="preserve">bump this update to next week given the uncertainties onsite</x18tc:text>
  </x18tc:threadedComment>
  <x18tc:threadedComment ref="H5" dT="2024-04-05T23:47:41.00" personId="{c72a14e5-4c8d-4377-adcb-3c6ade3fac7d}" id="{b6e646fe-b9bd-476d-8451-216232f57361}"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72a14e5-4c8d-4377-adcb-3c6ade3fac7d}" id="{061a6295-8254-4869-ba35-35bbd697cede}"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06747fd8-fc57-462b-9c7f-2bbf08e448b0}" id="{d6bc04e3-1ebe-4d20-b3cb-dbbd6050d753}" done="1">
    <x18tc:text xml:space="preserve">@max@charmindustrial.com  Here is the one that looks like it may be 19.73</x18tc:text>
    <x18tc:mentions>
      <x18tc:mention mentionpersonId="{0da4b0b8-d90f-45c2-a8cd-57c61471e247}" mentionId="{8fee2019-f46d-4e93-9c96-238b0592f668}" startIndex="0" length="24"/>
    </x18tc:mentions>
  </x18tc:threadedComment>
  <x18tc:threadedComment ref="C14" dT="2025-05-01T22:28:19.00" personId="{06747fd8-fc57-462b-9c7f-2bbf08e448b0}" id="{7f3d739c-3baa-41ad-9cec-eea49707d439}" done="1">
    <x18tc:text xml:space="preserve">@max@charmindustrial.com This should be AA41, just wanted to flag, not sure how this got changed
Assigned to max@charmindustrial.com</x18tc:text>
    <x18tc:mentions>
      <x18tc:mention mentionpersonId="{0da4b0b8-d90f-45c2-a8cd-57c61471e247}" mentionId="{922c0ec9-02b5-4c64-adce-212a91f422b7}" startIndex="0" length="24"/>
    </x18tc:mentions>
  </x18tc:threadedComment>
  <x18tc:threadedComment ref="C14" dT="2025-05-01T22:29:22.00" personId="{f2f4fd08-e2dd-4881-a5d5-ecfee8f95a19}" id="{a6610ef8-3f7f-48fc-838b-2ac92fac50fa}" parentId="{7f3d739c-3baa-41ad-9cec-eea49707d439}">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c18c9a88-88fe-417b-ac4c-ef5e4b6fde1c}" id="{743a7616-cb33-4d9b-984d-2d90a421492f}" done="1">
    <x18tc:text xml:space="preserve">this was 50 added and -130 remaining in truck. updating this to 180 lbs</x18tc:text>
  </x18tc:threadedComment>
  <x18tc:threadedComment ref="F9" dT="2024-12-10T19:26:20.00" personId="{f2f4fd08-e2dd-4881-a5d5-ecfee8f95a19}" id="{ec08806a-671c-4e3e-9b7e-b237aa93ef8f}" done="1">
    <x18tc:text xml:space="preserve">@kevin.niparko@charmindustrial.com @james.grimes@charmindustrial.com 
I think this might be off...2 hour sparge?</x18tc:text>
    <x18tc:mentions>
      <x18tc:mention mentionpersonId="{71ed8f8b-e0cc-4d9a-ae01-34f6485b5054}" mentionId="{1b580337-922c-48fd-9a22-f59d21d53383}" startIndex="0" length="34"/>
      <x18tc:mention mentionpersonId="{626efb59-bfa5-4637-b6bd-9394461ba4ea}" mentionId="{23a47d51-3a03-4d00-a2c3-1dabb3895f90}" startIndex="35" length="33"/>
    </x18tc:mentions>
  </x18tc:threadedComment>
  <x18tc:threadedComment ref="I77" dT="2025-07-11T23:27:02.00" personId="{4d155a07-4737-4fe7-80ad-548719653df4}" id="{001935b2-5b70-4376-850e-7bec1aacb599}" done="0">
    <x18tc:text xml:space="preserve">@thomas.leese@charmindustrial.com i thought we had two injections on 5/27?</x18tc:text>
    <x18tc:mentions>
      <x18tc:mention mentionpersonId="{ae33ec18-d099-4458-8ac7-db34d23cbafe}" mentionId="{19a84e99-34ee-40fd-9805-37403f2a980b}" startIndex="0" length="33"/>
    </x18tc:mentions>
  </x18tc:threadedComment>
  <x18tc:threadedComment ref="I69" dT="2025-07-11T23:27:10.00" personId="{4d155a07-4737-4fe7-80ad-548719653df4}" id="{2d826ef9-4cdf-422e-89a3-2f8d0c0f1941}" done="0">
    <x18tc:text xml:space="preserve">Second inj</x18tc:text>
  </x18tc:threadedComment>
  <x18tc:threadedComment ref="I69" dT="2025-07-11T23:27:14.00" personId="{4d155a07-4737-4fe7-80ad-548719653df4}" id="{2bce7a34-e589-46b5-aa72-ecc677e7f025}" parentId="{2d826ef9-4cdf-422e-89a3-2f8d0c0f1941}">
    <x18tc:text xml:space="preserve">@thomas.leese@charmindustrial.com</x18tc:text>
    <x18tc:mentions>
      <x18tc:mention mentionpersonId="{ae33ec18-d099-4458-8ac7-db34d23cbafe}" mentionId="{719144ec-3eaf-4634-a109-f5b0453c6d25}" startIndex="0" length="33"/>
    </x18tc:mentions>
  </x18tc:threadedComment>
  <x18tc:threadedComment ref="AH67" dT="2025-05-30T21:07:30.00" personId="{f2f4fd08-e2dd-4881-a5d5-ecfee8f95a19}" id="{b24ca4c9-f2e1-45cd-a39e-2945f60705c2}"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9c68715d-dbc5-4757-8a4a-15c284ce7f55}" mentionId="{8ca7f40e-afa9-40e0-9207-5548ee17e858}" startIndex="0" length="33"/>
    </x18tc:mentions>
  </x18tc:threadedComment>
  <x18tc:threadedComment ref="Z35" dT="2025-03-10T22:32:46.00" personId="{c18c9a88-88fe-417b-ac4c-ef5e4b6fde1c}" id="{0e4a7f4f-5329-4483-9cc9-acf1e32111fb}" done="0">
    <x18tc:text xml:space="preserve">23.4</x18tc:text>
  </x18tc:threadedComment>
  <x18tc:threadedComment ref="AU28" dT="2025-01-30T17:01:23.00" personId="{f2f4fd08-e2dd-4881-a5d5-ecfee8f95a19}" id="{0905baa4-2711-48ff-a147-8673b95cc8fd}" done="1">
    <x18tc:text xml:space="preserve">@james.grimes@charmindustrial.com Need entries for these when you get a chance
Assigned to </x18tc:text>
    <x18tc:mentions>
      <x18tc:mention mentionpersonId="{626efb59-bfa5-4637-b6bd-9394461ba4ea}" mentionId="{da5c21f8-fee6-48f0-867c-c7e2d93ad5de}" startIndex="0" length="33"/>
    </x18tc:mentions>
  </x18tc:threadedComment>
  <x18tc:threadedComment ref="AU28" dT="2025-01-30T19:27:52.00" personId="{c892e60e-9cae-4b8f-9412-b90a2fc8d910}" id="{a593507f-c8c2-4140-b4cc-e07f4fee514a}" parentId="{0905baa4-2711-48ff-a147-8673b95cc8fd}">
    <x18tc:text xml:space="preserve">I made sure to enter zero on everything that didn't needs number. I am not sure why it keeps not entering it. It is pre-populated in the space.</x18tc:text>
  </x18tc:threadedComment>
  <x18tc:threadedComment ref="AU28" dT="2025-01-30T19:40:19.00" personId="{f2f4fd08-e2dd-4881-a5d5-ecfee8f95a19}" id="{b5fcd6c3-7cf9-4f3d-947e-a5c9ce15052b}" parentId="{0905baa4-2711-48ff-a147-8673b95cc8fd}">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71ed8f8b-e0cc-4d9a-ae01-34f6485b5054}" mentionId="{044d864c-ae3d-426c-9331-6de9c6fd70eb}" startIndex="19" length="34"/>
    </x18tc:mentions>
  </x18tc:threadedComment>
  <x18tc:threadedComment ref="BI62" dT="2025-05-27T20:29:17.00" personId="{06747fd8-fc57-462b-9c7f-2bbf08e448b0}" id="{1dba5217-128f-4c97-9775-355abf79e4c8}" done="1">
    <x18tc:text xml:space="preserve">@james.grimes@charmindustrial.com 
Now that we are switching over to manufacturo tab (Master Batch Data), where are we putting this information?</x18tc:text>
    <x18tc:mentions>
      <x18tc:mention mentionpersonId="{626efb59-bfa5-4637-b6bd-9394461ba4ea}" mentionId="{ff77ea39-774a-437a-9305-a8e19a679092}" startIndex="0" length="33"/>
    </x18tc:mentions>
  </x18tc:threadedComment>
  <x18tc:threadedComment ref="BI62" dT="2025-05-27T20:34:25.00" personId="{06747fd8-fc57-462b-9c7f-2bbf08e448b0}" id="{cd77bb4b-3513-4252-9f7e-420acc1881aa}" parentId="{1dba5217-128f-4c97-9775-355abf79e4c8}">
    <x18tc:text xml:space="preserve">Marked as resolved</x18tc:text>
  </x18tc:threadedComment>
  <x18tc:threadedComment ref="BI62" dT="2025-05-27T21:51:32.00" personId="{c892e60e-9cae-4b8f-9412-b90a2fc8d910}" id="{14570a8c-1823-4fbc-81d3-e3b816c075bf}" parentId="{1dba5217-128f-4c97-9775-355abf79e4c8}">
    <x18tc:text xml:space="preserve">This is still being entered into the Batches in process folder.
Re-opened</x18tc:text>
  </x18tc:threadedComment>
  <x18tc:threadedComment ref="F30" dT="2025-02-06T22:27:28.00" personId="{f2f4fd08-e2dd-4881-a5d5-ecfee8f95a19}" id="{31877ddc-7a28-4db4-ac0c-50e24eb06448}" done="1">
    <x18tc:text xml:space="preserve">@james.grimes@charmindustrial.com Do we have sparge start and end times for this batch?</x18tc:text>
    <x18tc:mentions>
      <x18tc:mention mentionpersonId="{626efb59-bfa5-4637-b6bd-9394461ba4ea}" mentionId="{275c4a2e-9619-42ec-9bb3-df374b0277c7}" startIndex="0" length="33"/>
    </x18tc:mentions>
  </x18tc:threadedComment>
  <x18tc:threadedComment ref="AF61" dT="2025-05-02T23:10:29.00" personId="{c18c9a88-88fe-417b-ac4c-ef5e4b6fde1c}" id="{74371d1c-f0a1-45a5-b1bc-072ca2750c39}" done="0">
    <x18tc:text xml:space="preserve">241 gal density 1.22 wc 27.31
223 gal density 1.22 wc 27.74
248 gal density 1.22 wc 33.91</x18tc:text>
  </x18tc:threadedComment>
  <x18tc:threadedComment ref="CA1" dT="2024-12-12T18:35:10.00" personId="{f2f4fd08-e2dd-4881-a5d5-ecfee8f95a19}" id="{518def6d-f489-4fac-bc26-1a807c3c123f}" done="0">
    <x18tc:text xml:space="preserve">@kevin.niparko@charmindustrial.com 
I think there's an issue with these first 5 batches
Assigned to kevin.niparko@charmindustrial.com</x18tc:text>
    <x18tc:mentions>
      <x18tc:mention mentionpersonId="{71ed8f8b-e0cc-4d9a-ae01-34f6485b5054}" mentionId="{b4a13d2c-2cb5-42f2-93ce-0fe4087b662d}" startIndex="0" length="34"/>
    </x18tc:mentions>
  </x18tc:threadedComment>
  <x18tc:threadedComment ref="AU23" dT="2025-01-23T21:12:37.00" personId="{f2f4fd08-e2dd-4881-a5d5-ecfee8f95a19}" id="{45112cd6-5794-4e23-98a1-4149392a81cf}" done="1">
    <x18tc:text xml:space="preserve">@james.grimes@charmindustrial.com @kevin.niparko@charmindustrial.com 
Values missing for these -- If the accurate value is 0, please enter a 0 so there's no question if the entry is complete.</x18tc:text>
    <x18tc:mentions>
      <x18tc:mention mentionpersonId="{626efb59-bfa5-4637-b6bd-9394461ba4ea}" mentionId="{622d70f5-a48e-49b3-a9d8-56a80d4d5a31}" startIndex="0" length="33"/>
      <x18tc:mention mentionpersonId="{71ed8f8b-e0cc-4d9a-ae01-34f6485b5054}" mentionId="{ef84acd3-bac8-4ba9-8ce7-6d7ae8f98ff6}" startIndex="34" length="34"/>
    </x18tc:mentions>
  </x18tc:threadedComment>
  <x18tc:threadedComment ref="AW9" dT="2024-12-10T19:34:05.00" personId="{f2f4fd08-e2dd-4881-a5d5-ecfee8f95a19}" id="{9f3d4d75-f2e3-4eda-974c-ede0c96e9a7e}" done="1">
    <x18tc:text xml:space="preserve">@kevin.niparko@charmindustrial.com @james.grimes@charmindustrial.com 
0 here?</x18tc:text>
    <x18tc:mentions>
      <x18tc:mention mentionpersonId="{71ed8f8b-e0cc-4d9a-ae01-34f6485b5054}" mentionId="{446422d9-edc3-4cf2-9a17-2a9134a934c0}" startIndex="0" length="34"/>
      <x18tc:mention mentionpersonId="{626efb59-bfa5-4637-b6bd-9394461ba4ea}" mentionId="{d2e7bf64-00ae-4f4b-8389-2759d35f7859}" startIndex="35" length="33"/>
    </x18tc:mentions>
  </x18tc:threadedComment>
  <x18tc:threadedComment ref="BM19" dT="2025-01-05T05:30:58.00" personId="{f2f4fd08-e2dd-4881-a5d5-ecfee8f95a19}" id="{eac0f215-e552-46b7-a7d7-3cd3448275b4}" done="0">
    <x18tc:text xml:space="preserve">Corrected, original entry was 3414 -- Probably a data entry error</x18tc:text>
  </x18tc:threadedComment>
  <x18tc:threadedComment ref="AS9" dT="2024-12-10T19:33:21.00" personId="{f2f4fd08-e2dd-4881-a5d5-ecfee8f95a19}" id="{7d11c199-f3a1-4fb5-a782-21839b5b2f93}" done="1">
    <x18tc:text xml:space="preserve">@kevin.niparko@charmindustrial.com @james.grimes@charmindustrial.com 
Duplicate numbers</x18tc:text>
    <x18tc:mentions>
      <x18tc:mention mentionpersonId="{71ed8f8b-e0cc-4d9a-ae01-34f6485b5054}" mentionId="{14112ad4-fb87-4b98-a7a8-62e893baaa32}" startIndex="0" length="34"/>
      <x18tc:mention mentionpersonId="{626efb59-bfa5-4637-b6bd-9394461ba4ea}" mentionId="{f0cecc0e-2ea1-4bcc-bafc-cc8b51fb9b49}" startIndex="35" length="33"/>
    </x18tc:mentions>
  </x18tc:threadedComment>
  <x18tc:threadedComment ref="AS9" dT="2024-12-11T18:10:13.00" personId="{c892e60e-9cae-4b8f-9412-b90a2fc8d910}" id="{96f6c206-3892-4e9e-ba7a-fa30e329bf24}" parentId="{7d11c199-f3a1-4fb5-a782-21839b5b2f93}">
    <x18tc:text xml:space="preserve">Corrected, it should have been 7200</x18tc:text>
  </x18tc:threadedComment>
  <x18tc:threadedComment ref="AS9" dT="2024-12-12T17:49:53.00" personId="{f2f4fd08-e2dd-4881-a5d5-ecfee8f95a19}" id="{be32b935-4f9f-49d2-85cb-743c491a0bc4}" parentId="{7d11c199-f3a1-4fb5-a782-21839b5b2f93}">
    <x18tc:text xml:space="preserve">Thanks!</x18tc:text>
  </x18tc:threadedComment>
  <x18tc:threadedComment ref="BC7" dT="2024-12-10T19:37:44.00" personId="{f2f4fd08-e2dd-4881-a5d5-ecfee8f95a19}" id="{169a3e8c-46f2-49fe-9dc0-a08d7fea4bec}" done="0">
    <x18tc:text xml:space="preserve">@kevin.niparko@charmindustrial.com @james.grimes@charmindustrial.com 
Repeating numbers</x18tc:text>
    <x18tc:mentions>
      <x18tc:mention mentionpersonId="{71ed8f8b-e0cc-4d9a-ae01-34f6485b5054}" mentionId="{6ff90cb7-429e-4a39-9f4a-ffaa7bf82f65}" startIndex="0" length="34"/>
      <x18tc:mention mentionpersonId="{626efb59-bfa5-4637-b6bd-9394461ba4ea}" mentionId="{be06919c-8f66-4f68-b596-a1dee1ea3576}" startIndex="35" length="33"/>
    </x18tc:mentions>
  </x18tc:threadedComment>
  <x18tc:threadedComment ref="BA9" dT="2024-12-10T19:37:17.00" personId="{f2f4fd08-e2dd-4881-a5d5-ecfee8f95a19}" id="{7cf32081-6d57-4171-81b9-09e705ab0d3e}"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71ed8f8b-e0cc-4d9a-ae01-34f6485b5054}" mentionId="{46a1526f-93a6-401d-9f8d-9cefbff687b3}" startIndex="0" length="34"/>
      <x18tc:mention mentionpersonId="{626efb59-bfa5-4637-b6bd-9394461ba4ea}" mentionId="{51f52bbe-fe71-4c11-b2f2-754a687ba650}" startIndex="35" length="33"/>
    </x18tc:mentions>
  </x18tc:threadedComment>
  <x18tc:threadedComment ref="AH27" dT="2025-01-29T18:29:58.00" personId="{f2f4fd08-e2dd-4881-a5d5-ecfee8f95a19}" id="{1d1d8c13-9b7f-4a0d-824d-45bcd27909d9}" done="1">
    <x18tc:text xml:space="preserve">@james.grimes@charmindustrial.com @brent@charmindustrial.com 
Tag numbers but no full/empty weights in the BGN Production Oil Inventory doc
Assigned to </x18tc:text>
    <x18tc:mentions>
      <x18tc:mention mentionpersonId="{626efb59-bfa5-4637-b6bd-9394461ba4ea}" mentionId="{f708b62f-e268-47f8-87d7-87ad28d73a84}" startIndex="0" length="33"/>
      <x18tc:mention mentionpersonId="{3407922f-30a1-4152-9e7a-4e1f6c1dab83}" mentionId="{2f568d2a-393b-43c5-8fb9-a0fbe2815d8e}" startIndex="34" length="26"/>
    </x18tc:mentions>
  </x18tc:threadedComment>
  <x18tc:threadedComment ref="AH27" dT="2025-01-29T18:44:04.00" personId="{c892e60e-9cae-4b8f-9412-b90a2fc8d910}" id="{cedf6ea6-4297-4d76-b7a2-01f1f87dcffe}" parentId="{1d1d8c13-9b7f-4a0d-824d-45bcd27909d9}">
    <x18tc:text xml:space="preserve">We have not got that far yet. I will post ASAP
1 total reaction
Max Lavine reacted with 👍 at 2025-01-29 18:59 PM</x18tc:text>
  </x18tc:threadedComment>
  <x18tc:threadedComment ref="AH61" dT="2025-07-17T16:26:02.00" personId="{70c117d2-c020-4a1c-89ad-93111744a08b}" id="{47fe2af3-b59c-4004-873c-7ded31fd36a0}" done="0">
    <x18tc:text xml:space="preserve">@garrett.lutz@charmindustrial.com do you know why these cells are blank? Is it deliberate?</x18tc:text>
    <x18tc:mentions>
      <x18tc:mention mentionpersonId="{9c68715d-dbc5-4757-8a4a-15c284ce7f55}" mentionId="{ccfe093f-7440-4f99-b11c-0f57e3488fc7}" startIndex="0" length="33"/>
    </x18tc:mentions>
  </x18tc:threadedComment>
  <x18tc:threadedComment ref="AH61" dT="2025-07-17T16:34:58.00" personId="{06747fd8-fc57-462b-9c7f-2bbf08e448b0}" id="{63956579-a68c-4372-b1a0-bf11c1e2a367}" parentId="{47fe2af3-b59c-4004-873c-7ded31fd36a0}">
    <x18tc:text xml:space="preserve">Yes this one only has two origins I believe cause its AECN and since its before the MFO integration there isn't like 20 origins</x18tc:text>
  </x18tc:threadedComment>
  <x18tc:threadedComment ref="AH61" dT="2025-07-17T17:18:58.00" personId="{70c117d2-c020-4a1c-89ad-93111744a08b}" id="{5881a653-a29b-45bf-bad3-8f1f2165c6cd}" parentId="{47fe2af3-b59c-4004-873c-7ded31fd36a0}">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06747fd8-fc57-462b-9c7f-2bbf08e448b0}" id="{033f578b-54de-4fba-8109-bda8a931aa32}" parentId="{47fe2af3-b59c-4004-873c-7ded31fd36a0}">
    <x18tc:text xml:space="preserve">These intermediate last RP stuff is put in manually for the most part, thats the reason. Everything 3-29 later will be more normalized</x18tc:text>
  </x18tc:threadedComment>
  <x18tc:threadedComment ref="AH61" dT="2025-07-17T23:02:55.00" personId="{70c117d2-c020-4a1c-89ad-93111744a08b}" id="{b4cef8c3-d9eb-4e5c-bb81-bf36c28b71a1}" parentId="{47fe2af3-b59c-4004-873c-7ded31fd36a0}">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c18c9a88-88fe-417b-ac4c-ef5e4b6fde1c}" id="{4ff0b848-f44d-4b72-9530-327e5e25916d}" done="1">
    <x18tc:text xml:space="preserve">@james.grimes@charmindustrial.com missing salt start time</x18tc:text>
    <x18tc:mentions>
      <x18tc:mention mentionpersonId="{626efb59-bfa5-4637-b6bd-9394461ba4ea}" mentionId="{5f2387f1-1f0c-4101-b18d-fa7bb7c045db}" startIndex="0" length="33"/>
    </x18tc:mentions>
  </x18tc:threadedComment>
  <x18tc:threadedComment ref="P17" dT="2025-01-02T20:42:35.00" personId="{f2f4fd08-e2dd-4881-a5d5-ecfee8f95a19}" id="{fdfb393d-c94a-46a4-85e1-3b38f640ce6d}"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f2f4fd08-e2dd-4881-a5d5-ecfee8f95a19}" id="{3a3062f6-481a-4450-b953-a0d92ddbe657}"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626efb59-bfa5-4637-b6bd-9394461ba4ea}" mentionId="{0e09b3ed-f0df-4126-846f-ab6fb6e048d1}" startIndex="0" length="33"/>
      <x18tc:mention mentionpersonId="{71ed8f8b-e0cc-4d9a-ae01-34f6485b5054}" mentionId="{db830e0d-a3ca-4bef-8cc7-fcd3e23a80a9}"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f2f4fd08-e2dd-4881-a5d5-ecfee8f95a19}" id="{f149f59c-af1a-4200-ada2-1bdd1523892b}"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9ba60896-f291-4f55-868c-87690e670479}" mentionId="{86c65a78-8125-479e-87dd-593937c3a86a}" startIndex="0" length="31"/>
    </x18tc:mentions>
  </x18tc:threadedComment>
  <x18tc:threadedComment ref="W18" dT="2025-01-02T20:17:15.00" personId="{fc6b6514-401b-4006-bda7-6a18f962bfa1}" id="{b497ae75-37e4-477b-b622-57f8d76f0246}" parentId="{f149f59c-af1a-4200-ada2-1bdd1523892b}">
    <x18tc:text xml:space="preserve">Is this for BOL 1826? I have it under line 77 in the loads tab.</x18tc:text>
  </x18tc:threadedComment>
  <x18tc:threadedComment ref="W18" dT="2025-01-02T20:19:55.00" personId="{f2f4fd08-e2dd-4881-a5d5-ecfee8f95a19}" id="{218c1ef7-6a37-4815-88a6-cb33285ffb35}" parentId="{f149f59c-af1a-4200-ada2-1bdd1523892b}">
    <x18tc:text xml:space="preserve">Got it, thanks!</x18tc:text>
  </x18tc:threadedComment>
  <x18tc:threadedComment ref="AH22" dT="2025-01-22T00:31:11.00" personId="{f2f4fd08-e2dd-4881-a5d5-ecfee8f95a19}" id="{1dc72147-9a7b-4287-b86c-8ff78c805298}" done="1">
    <x18tc:text xml:space="preserve">@kevin.niparko@charmindustrial.com Where did this come from?</x18tc:text>
    <x18tc:mentions>
      <x18tc:mention mentionpersonId="{71ed8f8b-e0cc-4d9a-ae01-34f6485b5054}" mentionId="{3bcb112c-92fc-493c-a6e7-e1683256620b}" startIndex="0" length="34"/>
    </x18tc:mentions>
  </x18tc:threadedComment>
  <x18tc:threadedComment ref="F24" dT="2025-02-07T03:41:25.00" personId="{f2f4fd08-e2dd-4881-a5d5-ecfee8f95a19}" id="{20674075-b558-4e80-ae01-d63f58d874ca}" done="1">
    <x18tc:text xml:space="preserve">@james.grimes@charmindustrial.com Do we have sparge start and end times for this batch?</x18tc:text>
    <x18tc:mentions>
      <x18tc:mention mentionpersonId="{626efb59-bfa5-4637-b6bd-9394461ba4ea}" mentionId="{6df4cd62-609c-4774-bb50-aff56db314a5}" startIndex="0" length="33"/>
    </x18tc:mentions>
  </x18tc:threadedComment>
  <x18tc:threadedComment ref="BU1" dT="2025-05-21T18:34:47.00" personId="{70c117d2-c020-4a1c-89ad-93111744a08b}" id="{3be03d71-723e-4c1d-a045-d85e4d4b6b7c}" done="0">
    <x18tc:text xml:space="preserve">@garrett.lutz@charmindustrial.com is wt%C a manual entry only? No equivalent in MFO?</x18tc:text>
    <x18tc:mentions>
      <x18tc:mention mentionpersonId="{9c68715d-dbc5-4757-8a4a-15c284ce7f55}" mentionId="{34f0370b-889d-43e2-877c-bb406785064d}" startIndex="0" length="33"/>
    </x18tc:mentions>
  </x18tc:threadedComment>
  <x18tc:threadedComment ref="BU1" dT="2025-05-21T19:25:41.00" personId="{06747fd8-fc57-462b-9c7f-2bbf08e448b0}" id="{de030db4-1182-4fd9-a539-1dd0701e508b}" parentId="{3be03d71-723e-4c1d-a045-d85e4d4b6b7c}">
    <x18tc:text xml:space="preserve">Yes because we have to send this in for testing which is a bit of a lag period. The operators will never have this, I always have to pull this from Airtable</x18tc:text>
  </x18tc:threadedComment>
  <x18tc:threadedComment ref="BU1" dT="2025-05-21T19:34:42.00" personId="{70c117d2-c020-4a1c-89ad-93111744a08b}" id="{eb09a7b2-acd5-4511-b588-b617b26a32c7}" parentId="{3be03d71-723e-4c1d-a045-d85e4d4b6b7c}">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06747fd8-fc57-462b-9c7f-2bbf08e448b0}" id="{6c09097f-a496-41d8-ac96-b0463e5519ad}" parentId="{3be03d71-723e-4c1d-a045-d85e4d4b6b7c}">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70c117d2-c020-4a1c-89ad-93111744a08b}" id="{192c6014-9abe-4217-97d7-d81ca86d6fb4}" parentId="{3be03d71-723e-4c1d-a045-d85e4d4b6b7c}">
    <x18tc:text xml:space="preserve">@garrett.lutz@charmindustrial.com @max@charmindustrial.com Are these carbon values pre-treatment? Or are they diluted by LCS?</x18tc:text>
    <x18tc:mentions>
      <x18tc:mention mentionpersonId="{9c68715d-dbc5-4757-8a4a-15c284ce7f55}" mentionId="{f325946e-dfe0-4e8a-8cbe-5afe9fccbe4c}" startIndex="0" length="33"/>
      <x18tc:mention mentionpersonId="{0da4b0b8-d90f-45c2-a8cd-57c61471e247}" mentionId="{a5607041-77da-474a-ab5d-7a984c5d207b}" startIndex="34" length="24"/>
    </x18tc:mentions>
  </x18tc:threadedComment>
  <x18tc:threadedComment ref="BU1" dT="2025-05-22T19:35:14.00" personId="{f2f4fd08-e2dd-4881-a5d5-ecfee8f95a19}" id="{958ae238-0a50-4c20-b235-19ca3c8140ca}" parentId="{3be03d71-723e-4c1d-a045-d85e4d4b6b7c}">
    <x18tc:text xml:space="preserve">These are sparged oil. Getting CHN after LCS+Salt doesn't work because of the phase sep the treatment causes</x18tc:text>
  </x18tc:threadedComment>
  <x18tc:threadedComment ref="BU1" dT="2025-05-22T19:36:16.00" personId="{f2f4fd08-e2dd-4881-a5d5-ecfee8f95a19}" id="{ee4dd0db-606f-4016-8fd6-ef51e70a5a20}" parentId="{3be03d71-723e-4c1d-a045-d85e4d4b6b7c}">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70c117d2-c020-4a1c-89ad-93111744a08b}" id="{4601bec7-ab62-42d9-8926-ee25b15880ed}" parentId="{3be03d71-723e-4c1d-a045-d85e4d4b6b7c}">
    <x18tc:text xml:space="preserve">@max@charmindustrial.com are we comfortable assuming minimal carbon loss from sparging? Everything I have seen says yes.</x18tc:text>
    <x18tc:mentions>
      <x18tc:mention mentionpersonId="{0da4b0b8-d90f-45c2-a8cd-57c61471e247}" mentionId="{232c9d46-84de-4d33-9d3b-723c5051e2b0}" startIndex="0" length="24"/>
    </x18tc:mentions>
  </x18tc:threadedComment>
  <x18tc:threadedComment ref="BU1" dT="2025-05-26T18:56:29.00" personId="{f2f4fd08-e2dd-4881-a5d5-ecfee8f95a19}" id="{e99e7be0-6b1b-49fb-b5ba-1fa0c2dacaab}" parentId="{3be03d71-723e-4c1d-a045-d85e4d4b6b7c}">
    <x18tc:text xml:space="preserve">Yeah I think that is a reasonable assumption</x18tc:text>
  </x18tc:threadedComment>
  <x18tc:threadedComment ref="F16" dT="2024-12-28T22:14:19.00" personId="{c18c9a88-88fe-417b-ac4c-ef5e4b6fde1c}" id="{432a8099-198c-44dc-a83f-0c12037a8723}" done="1">
    <x18tc:text xml:space="preserve">@james.grimes@charmindustrial.com is this 12/22 at midnight or 12/21 midnight?</x18tc:text>
    <x18tc:mentions>
      <x18tc:mention mentionpersonId="{626efb59-bfa5-4637-b6bd-9394461ba4ea}" mentionId="{e600e5e8-a357-49c1-b65c-0cf628191012}" startIndex="0" length="33"/>
    </x18tc:mentions>
  </x18tc:threadedComment>
  <x18tc:threadedComment ref="S37" dT="2025-03-31T20:27:09.00" personId="{c18c9a88-88fe-417b-ac4c-ef5e4b6fde1c}" id="{b27de424-3049-4054-87e0-a00c72780d6b}" done="0">
    <x18tc:text xml:space="preserve">adjustment from 1.999</x18tc:text>
  </x18tc:threadedComment>
  <x18tc:threadedComment ref="Z17" dT="2024-12-30T19:53:31.00" personId="{f2f4fd08-e2dd-4881-a5d5-ecfee8f95a19}" id="{54e0ec55-836e-4a79-8278-2c0240d3606d}" done="1">
    <x18tc:text xml:space="preserve">@james.grimes@charmindustrial.com The COA associated with BOL 1798 shows a water content of 22.6%. Is it possible that this is a typo?
Assigned to </x18tc:text>
    <x18tc:mentions>
      <x18tc:mention mentionpersonId="{626efb59-bfa5-4637-b6bd-9394461ba4ea}" mentionId="{af601806-3c6b-42dd-8355-1244e61c75d2}" startIndex="0" length="33"/>
    </x18tc:mentions>
  </x18tc:threadedComment>
  <x18tc:threadedComment ref="AS37" dT="2025-03-31T20:29:19.00" personId="{c18c9a88-88fe-417b-ac4c-ef5e4b6fde1c}" id="{e5ecc831-ba6b-4db0-b9d0-dc3b13c63e8a}"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f2f4fd08-e2dd-4881-a5d5-ecfee8f95a19}" id="{db3901ef-339f-4923-852d-5b5758bc8304}"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626efb59-bfa5-4637-b6bd-9394461ba4ea}" mentionId="{4db638f6-c534-46bb-aded-f106e330a934}" startIndex="0" length="33"/>
      <x18tc:mention mentionpersonId="{8507f3f2-8287-42c1-9221-a7dc1b15cfc6}" mentionId="{1f9515b2-6b97-4fd9-b223-17a2622c72a9}"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c87b84c7-3860-40e9-a521-4a0eaf8751ab}" id="{c9d2558b-4fb5-492e-8173-aa3ce8321262}" parentId="{db3901ef-339f-4923-852d-5b5758bc8304}">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f2f4fd08-e2dd-4881-a5d5-ecfee8f95a19}" id="{bb5b0b56-ee10-4ebb-a147-740a3187c246}" parentId="{db3901ef-339f-4923-852d-5b5758bc8304}">
    <x18tc:text xml:space="preserve">@ed@charmindustrial.com -- Right, so then the value here should be 35 so that the sheet calcs the margin at 35 and not 25.5</x18tc:text>
    <x18tc:mentions>
      <x18tc:mention mentionpersonId="{8507f3f2-8287-42c1-9221-a7dc1b15cfc6}" mentionId="{80bafb50-f499-4d52-b862-522fa648f93a}" startIndex="0" length="23"/>
    </x18tc:mentions>
  </x18tc:threadedComment>
  <x18tc:threadedComment ref="N17" dT="2024-12-31T02:03:28.00" personId="{c892e60e-9cae-4b8f-9412-b90a2fc8d910}" id="{e4c803a2-9cf7-4d4d-88ff-9d9dbcd96b3e}" parentId="{db3901ef-339f-4923-852d-5b5758bc8304}">
    <x18tc:text xml:space="preserve">@ELDON told me 25.5%.</x18tc:text>
  </x18tc:threadedComment>
  <x18tc:threadedComment ref="N17" dT="2024-12-31T17:45:26.00" personId="{f2f4fd08-e2dd-4881-a5d5-ecfee8f95a19}" id="{01c3d9c5-2a2a-42ba-9f39-ce469d6dbb3a}" parentId="{db3901ef-339f-4923-852d-5b5758bc8304}">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8507f3f2-8287-42c1-9221-a7dc1b15cfc6}" mentionId="{25b0af3e-d844-4f52-bc6c-2b10422edb04}" startIndex="0" length="23"/>
      <x18tc:mention mentionpersonId="{39800645-d2b8-44ee-95d3-7f3dc8e548f1}" mentionId="{692c47ba-11bc-44d3-8c71-ab85233e33c4}" startIndex="24" length="26"/>
    </x18tc:mentions>
  </x18tc:threadedComment>
  <x18tc:threadedComment ref="N17" dT="2024-12-31T17:58:15.00" personId="{c892e60e-9cae-4b8f-9412-b90a2fc8d910}" id="{1d2481ad-2625-461f-93ff-8179e2d3b2df}" parentId="{db3901ef-339f-4923-852d-5b5758bc8304}">
    <x18tc:text xml:space="preserve">If I need to change it let me know.
1 total reaction
Max Lavine reacted with 👍 at 2024-12-31 18:06 PM</x18tc:text>
  </x18tc:threadedComment>
  <x18tc:threadedComment ref="N17" dT="2025-01-01T05:47:57.00" personId="{c87b84c7-3860-40e9-a521-4a0eaf8751ab}" id="{9c6e43a1-8ca1-4504-9182-ec6fa2203e58}" parentId="{db3901ef-339f-4923-852d-5b5758bc8304}">
    <x18tc:text xml:space="preserve">That's fine for now. We'll have an updated water content when we're back.</x18tc:text>
  </x18tc:threadedComment>
  <x18tc:threadedComment ref="Z33" dT="2025-03-10T22:33:57.00" personId="{c18c9a88-88fe-417b-ac4c-ef5e4b6fde1c}" id="{78a67b69-1e44-40c0-9fbd-0989e6a4ceec}" done="0">
    <x18tc:text xml:space="preserve">23.4</x18tc:text>
  </x18tc:threadedComment>
  <x18tc:threadedComment ref="AV19" dT="2025-01-10T17:46:55.00" personId="{f2f4fd08-e2dd-4881-a5d5-ecfee8f95a19}" id="{ebe958b6-44b3-4fbf-95eb-2dcf3e0820f0}" done="1">
    <x18tc:text xml:space="preserve">@james.grimes@charmindustrial.com Values Missing -- Please complete
Assigned to </x18tc:text>
    <x18tc:mentions>
      <x18tc:mention mentionpersonId="{626efb59-bfa5-4637-b6bd-9394461ba4ea}" mentionId="{b6493a2d-1965-4680-b11b-a8d19d6adce9}" startIndex="0" length="33"/>
    </x18tc:mentions>
  </x18tc:threadedComment>
  <x18tc:threadedComment ref="AV19" dT="2025-01-10T18:08:43.00" personId="{c892e60e-9cae-4b8f-9412-b90a2fc8d910}" id="{1eebdf85-9493-430d-b6fd-928224c558bf}" parentId="{ebe958b6-44b3-4fbf-95eb-2dcf3e0820f0}">
    <x18tc:text xml:space="preserve">These Batches were scrapped. They were railcar loads.</x18tc:text>
  </x18tc:threadedComment>
  <x18tc:threadedComment ref="AV19" dT="2025-01-10T18:08:47.00" personId="{c892e60e-9cae-4b8f-9412-b90a2fc8d910}" id="{7c9b4429-23a4-4a1d-b78a-c02bcf868459}" parentId="{ebe958b6-44b3-4fbf-95eb-2dcf3e0820f0}">
    <x18tc:text xml:space="preserve">Marked as done</x18tc:text>
  </x18tc:threadedComment>
  <x18tc:threadedComment ref="AV19" dT="2025-01-10T18:14:48.00" personId="{c892e60e-9cae-4b8f-9412-b90a2fc8d910}" id="{8a460162-afbc-4fe2-bc93-3eef64b58efe}" parentId="{ebe958b6-44b3-4fbf-95eb-2dcf3e0820f0}">
    <x18tc:text xml:space="preserve">They were negative numbers. I added them to the list. I thought that you said to not add the negative numbers.
Re-opened</x18tc:text>
  </x18tc:threadedComment>
  <x18tc:threadedComment ref="V20" dT="2025-01-10T17:43:42.00" personId="{f2f4fd08-e2dd-4881-a5d5-ecfee8f95a19}" id="{957115e6-3666-4205-947a-53325683dd6f}" done="0">
    <x18tc:text xml:space="preserve">Overrode mass/volume calc with actual tote weights</x18tc:text>
  </x18tc:threadedComment>
  <x18tc:threadedComment ref="AF27" dT="2025-03-10T22:33:01.00" personId="{c18c9a88-88fe-417b-ac4c-ef5e4b6fde1c}" id="{59f7a039-ae5e-4f3e-92c2-f2a9ea9f9345}" done="0">
    <x18tc:text xml:space="preserve">28.5</x18tc:text>
  </x18tc:threadedComment>
  <x18tc:threadedComment ref="AF31" dT="2025-03-10T22:33:06.00" personId="{c18c9a88-88fe-417b-ac4c-ef5e4b6fde1c}" id="{dc6a5e3a-c291-4d9f-9e4e-1f84508a1892}" done="0">
    <x18tc:text xml:space="preserve">28.5</x18tc:text>
  </x18tc:threadedComment>
  <x18tc:threadedComment ref="BI14" dT="2024-12-31T00:10:19.00" personId="{f2f4fd08-e2dd-4881-a5d5-ecfee8f95a19}" id="{f8d749d9-3a9c-4a42-8f6a-5379c170a8b0}" done="0">
    <x18tc:text xml:space="preserve">@kevin.niparko@charmindustrial.com @james.grimes@charmindustrial.com 
Not a scale ticket link</x18tc:text>
    <x18tc:mentions>
      <x18tc:mention mentionpersonId="{71ed8f8b-e0cc-4d9a-ae01-34f6485b5054}" mentionId="{80593ee6-7a15-481a-b1e4-73dea57de740}" startIndex="0" length="34"/>
      <x18tc:mention mentionpersonId="{626efb59-bfa5-4637-b6bd-9394461ba4ea}" mentionId="{c28e31dd-54ae-4837-9718-e1d877f7e547}" startIndex="35" length="33"/>
    </x18tc:mentions>
  </x18tc:threadedComment>
  <x18tc:threadedComment ref="Z29" dT="2025-03-10T22:32:40.00" personId="{c18c9a88-88fe-417b-ac4c-ef5e4b6fde1c}" id="{fb24022c-b73e-4308-a0f9-18899334118a}" done="0">
    <x18tc:text xml:space="preserve">23.5</x18tc:text>
  </x18tc:threadedComment>
  <x18tc:threadedComment ref="AW19" dT="2025-01-10T19:03:15.00" personId="{f2f4fd08-e2dd-4881-a5d5-ecfee8f95a19}" id="{6b957e78-47e2-4cd8-95f0-1389caae36c9}"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626efb59-bfa5-4637-b6bd-9394461ba4ea}" mentionId="{35aaf3ac-f415-46c9-bd0f-f4a5d02e3c23}" startIndex="0" length="33"/>
    </x18tc:mentions>
  </x18tc:threadedComment>
  <x18tc:threadedComment ref="AW34" dT="2025-02-14T21:23:06.00" personId="{c18c9a88-88fe-417b-ac4c-ef5e4b6fde1c}" id="{84f723fa-cc25-46f7-bf06-c45b10e05bee}" done="0">
    <x18tc:text xml:space="preserve">adjusted downward from 580 =&gt; 160 after a reduction of 420lbs was achieved from brine flush at Vaulted on 2/13</x18tc:text>
  </x18tc:threadedComment>
  <x18tc:threadedComment ref="BT20" dT="2025-01-10T17:51:45.00" personId="{f2f4fd08-e2dd-4881-a5d5-ecfee8f95a19}" id="{7517dd50-13de-41e8-b803-dbe2568a0f6f}" done="1">
    <x18tc:text xml:space="preserve">@james.grimes@charmindustrial.com Negative Loss alert</x18tc:text>
    <x18tc:mentions>
      <x18tc:mention mentionpersonId="{626efb59-bfa5-4637-b6bd-9394461ba4ea}" mentionId="{c9061160-37ee-4544-8e2f-40b889d34b9a}" startIndex="0" length="33"/>
    </x18tc:mentions>
  </x18tc:threadedComment>
  <x18tc:threadedComment ref="BT20" dT="2025-01-10T18:19:42.00" personId="{c892e60e-9cae-4b8f-9412-b90a2fc8d910}" id="{70066d55-9b68-4c81-b75a-4389c3c5e48b}" parentId="{7517dd50-13de-41e8-b803-dbe2568a0f6f}">
    <x18tc:text xml:space="preserve">Can we discuss this over the phone?</x18tc:text>
  </x18tc:threadedComment>
  <x18tc:threadedComment ref="BT20" dT="2025-01-10T19:04:03.00" personId="{f2f4fd08-e2dd-4881-a5d5-ecfee8f95a19}" id="{f6131701-9334-4b55-8323-834aaf45c9b5}" parentId="{7517dd50-13de-41e8-b803-dbe2568a0f6f}">
    <x18tc:text xml:space="preserve">Yup! Free now if you are -- Give me a call at 847 308 5519</x18tc:text>
  </x18tc:threadedComment>
  <x18tc:threadedComment ref="AW20" dT="2025-01-10T17:47:10.00" personId="{f2f4fd08-e2dd-4881-a5d5-ecfee8f95a19}" id="{83d6f273-a192-42c6-83b1-a19e00001f09}" done="1">
    <x18tc:text xml:space="preserve">@james.grimes@charmindustrial.com Values Missing -- Please complete
Assigned to </x18tc:text>
    <x18tc:mentions>
      <x18tc:mention mentionpersonId="{626efb59-bfa5-4637-b6bd-9394461ba4ea}" mentionId="{32363441-bc8d-4111-bc4a-8b059d52cba7}" startIndex="0" length="33"/>
    </x18tc:mentions>
  </x18tc:threadedComment>
  <x18tc:threadedComment ref="AW19" dT="2025-01-10T17:47:03.00" personId="{f2f4fd08-e2dd-4881-a5d5-ecfee8f95a19}" id="{2a076524-167b-4658-98c3-7e38942885db}" done="1">
    <x18tc:text xml:space="preserve">@james.grimes@charmindustrial.com Values Missing -- Please complete
Assigned to </x18tc:text>
    <x18tc:mentions>
      <x18tc:mention mentionpersonId="{626efb59-bfa5-4637-b6bd-9394461ba4ea}" mentionId="{a8bcfd3b-2a81-4f9e-afbf-19344a0b578e}" startIndex="0" length="33"/>
    </x18tc:mentions>
  </x18tc:threadedComment>
  <x18tc:threadedComment ref="AW19" dT="2025-01-10T18:15:21.00" personId="{c892e60e-9cae-4b8f-9412-b90a2fc8d910}" id="{ea35c9ae-0589-461c-85fd-b7ea9136175e}" parentId="{2a076524-167b-4658-98c3-7e38942885db}">
    <x18tc:text xml:space="preserve">Also a negative number</x18tc:text>
  </x18tc:threadedComment>
  <x18tc:threadedComment ref="AW26" dT="2025-01-24T22:30:18.00" personId="{f2f4fd08-e2dd-4881-a5d5-ecfee8f95a19}" id="{7c45d280-6d64-40ba-a468-d12aa903cede}" done="1">
    <x18tc:text xml:space="preserve">@james.grimes@charmindustrial.com Need an entry here please
Assigned to </x18tc:text>
    <x18tc:mentions>
      <x18tc:mention mentionpersonId="{626efb59-bfa5-4637-b6bd-9394461ba4ea}" mentionId="{0e98d8d3-0168-48c1-9a97-18527f57fa6b}" startIndex="0" length="33"/>
    </x18tc:mentions>
  </x18tc:threadedComment>
  <x18tc:threadedComment ref="S17" dT="2024-12-30T19:55:50.00" personId="{f2f4fd08-e2dd-4881-a5d5-ecfee8f95a19}" id="{119b1925-1a3f-4d0d-9478-1b6b038d473c}"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626efb59-bfa5-4637-b6bd-9394461ba4ea}" mentionId="{0f731613-4602-4ada-baf1-2a960bf27d4c}"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f2f4fd08-e2dd-4881-a5d5-ecfee8f95a19}" id="{e52ec4e8-7b6c-4054-9330-bff6b5870c04}"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626efb59-bfa5-4637-b6bd-9394461ba4ea}" mentionId="{8f51bf6a-c4dc-4b9f-9f38-d448fc0c384c}" startIndex="0" length="33"/>
      <x18tc:mention mentionpersonId="{71ed8f8b-e0cc-4d9a-ae01-34f6485b5054}" mentionId="{58ca3b79-3770-4c0a-9c9f-31078c7bbfba}"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c892e60e-9cae-4b8f-9412-b90a2fc8d910}" id="{4a549e1f-69d3-46c4-8b53-3e975fe24619}" parentId="{e52ec4e8-7b6c-4054-9330-bff6b5870c04}">
    <x18tc:text xml:space="preserve">These are the number's pulled from the COA's. I am guessing the OS averages them out.</x18tc:text>
  </x18tc:threadedComment>
  <x18tc:threadedComment ref="CF1" dT="2024-12-06T06:53:31.00" personId="{c18c9a88-88fe-417b-ac4c-ef5e4b6fde1c}" id="{73b31e6c-7977-4ca1-9d7e-5a3c02f73159}" done="1">
    <x18tc:text xml:space="preserve">@eldon@charmindustrial.com @brent@charmindustrial.com can you review these calcs?</x18tc:text>
    <x18tc:mentions>
      <x18tc:mention mentionpersonId="{39800645-d2b8-44ee-95d3-7f3dc8e548f1}" mentionId="{f338a9ca-d859-4d9c-9952-b4610fde0ed1}" startIndex="0" length="26"/>
      <x18tc:mention mentionpersonId="{3407922f-30a1-4152-9e7a-4e1f6c1dab83}" mentionId="{f753faf8-1281-4b0a-944a-72aa665ffc6d}"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9" dT="2025-09-05T16:53:49.00" personId="{86986084-c06a-4e4e-9348-2685031217ee}" id="{f9788d47-7e84-4d65-a7af-791f71d9e64d}"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Y3" dT="2025-12-09T21:35:31.00" personId="{4d155a07-4737-4fe7-80ad-548719653df4}" id="{ecab8e73-2a8c-4854-9c41-ae4668cc2e43}" done="0">
    <x18tc:text xml:space="preserve">Not sure who's in charge of this file, but I included some scratch work here to the side for the Board deck. Hopefully this doesn't break anything.</x18tc:text>
  </x18tc:threadedComment>
  <x18tc:threadedComment ref="I4" dT="2025-09-05T06:25:18.00" personId="{86986084-c06a-4e4e-9348-2685031217ee}" id="{722d9a59-5616-4a1f-9e8b-51626f2f69f6}" done="1">
    <x18tc:text xml:space="preserve">How does this relate to the total weight (lbs) in this batch (5-01)?
@garrett.lutz@charmindustrial.com</x18tc:text>
    <x18tc:mentions>
      <x18tc:mention mentionpersonId="{9c68715d-dbc5-4757-8a4a-15c284ce7f55}" mentionId="{58c09935-c876-4d0e-a8ab-8e6225bb4d13}" startIndex="70" length="33"/>
    </x18tc:mentions>
  </x18tc:threadedComment>
  <x18tc:threadedComment ref="H9" dT="2025-09-05T16:45:47.00" personId="{86986084-c06a-4e4e-9348-2685031217ee}" id="{a27022b2-f5d3-4898-a190-8b3997bfbbbf}"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H9" dT="2025-09-05T17:17:13.00" personId="{06747fd8-fc57-462b-9c7f-2bbf08e448b0}" id="{3bfc4574-3c22-4ab5-af3b-7e1a4be37183}" parentId="{a27022b2-f5d3-4898-a190-8b3997bfbbbf}">
    <x18tc:text xml:space="preserve">The 8497 is not taking standard loss into account so (5.33 * number of totes)</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f2f4fd08-e2dd-4881-a5d5-ecfee8f95a19}" id="{744fb548-738c-4881-a062-af0e530a0adb}" done="1">
    <x18tc:text xml:space="preserve">@max@charmindustrial.com Provisional value. Update once @garrett.lutz@charmindustrial.com gets the final waste disposal numbers from Jahvin</x18tc:text>
    <x18tc:mentions>
      <x18tc:mention mentionpersonId="{0da4b0b8-d90f-45c2-a8cd-57c61471e247}" mentionId="{6c13676c-8a6e-4649-b6e1-f8460aec6d89}" startIndex="0" length="24"/>
      <x18tc:mention mentionpersonId="{9c68715d-dbc5-4757-8a4a-15c284ce7f55}" mentionId="{e0d75719-07cb-42d1-9192-5d85b5d1dd7a}" startIndex="56" length="33"/>
    </x18tc:mentions>
  </x18tc:threadedComment>
  <x18tc:threadedComment ref="AC8" dT="2025-07-11T15:33:34.00" personId="{06747fd8-fc57-462b-9c7f-2bbf08e448b0}" id="{bce10481-78aa-4214-9ad5-45eb8fe4b661}" parentId="{744fb548-738c-4881-a062-af0e530a0adb}">
    <x18tc:text xml:space="preserve">This number has been updated from the summary, sent you the summary for approval</x18tc:text>
  </x18tc:threadedComment>
  <x18tc:threadedComment ref="C43" dT="2025-07-25T21:04:08.00" personId="{06747fd8-fc57-462b-9c7f-2bbf08e448b0}" id="{7eabf1b4-2a99-4a9a-ad24-15fb8e45be45}" done="1">
    <x18tc:text xml:space="preserve">@brent@charmindustrial.com PROXY so we can see the numbers ^^^</x18tc:text>
    <x18tc:mentions>
      <x18tc:mention mentionpersonId="{3407922f-30a1-4152-9e7a-4e1f6c1dab83}" mentionId="{d1bb779e-2853-4792-b314-3061b0141f80}" startIndex="0" length="26"/>
    </x18tc:mentions>
  </x18tc:threadedComment>
  <x18tc:threadedComment ref="B9" dT="2025-06-12T16:54:37.00" personId="{ffce03c1-e675-4c93-8cd3-b6e4c82d48d8}" id="{1357bc6c-e9cb-4a96-bd93-4b6e950f40d3}" done="1">
    <x18tc:text xml:space="preserve">@max@charmindustrial.com I actually can't locate this one</x18tc:text>
    <x18tc:mentions>
      <x18tc:mention mentionpersonId="{0da4b0b8-d90f-45c2-a8cd-57c61471e247}" mentionId="{d911811c-53b2-46a9-8618-38d4e1973c15}" startIndex="0" length="24"/>
    </x18tc:mentions>
  </x18tc:threadedComment>
  <x18tc:threadedComment ref="B9" dT="2025-06-13T00:20:26.00" personId="{f2f4fd08-e2dd-4881-a5d5-ecfee8f95a19}" id="{bc26b2a6-ddbf-41ee-9a68-550cd4765f7a}" parentId="{1357bc6c-e9cb-4a96-bd93-4b6e950f40d3}">
    <x18tc:text xml:space="preserve">Updated</x18tc:text>
  </x18tc:threadedComment>
  <x18tc:threadedComment ref="X34" dT="2025-07-22T20:13:09.00" personId="{06747fd8-fc57-462b-9c7f-2bbf08e448b0}" id="{e47d713b-62c8-4575-a03b-c6b5c7eaf22e}" done="1">
    <x18tc:text xml:space="preserve">@dillon@charmindustrial.com FYI, these are the new numbers for PP7 using the Saumya moisture content as a proxy</x18tc:text>
    <x18tc:mentions>
      <x18tc:mention mentionpersonId="{75461b35-e921-4db8-9938-6af0752046a5}" mentionId="{fe13583a-7d53-40c8-b0fd-c530bc6fdb00}" startIndex="0" length="27"/>
    </x18tc:mentions>
  </x18tc:threadedComment>
  <x18tc:threadedComment ref="X34" dT="2025-07-22T20:24:58.00" personId="{12737c7d-9f03-45cb-bc29-f1f95409654d}" id="{dfab2686-54e1-40ae-94fc-31596ac1c535}" parentId="{e47d713b-62c8-4575-a03b-c6b5c7eaf22e}">
    <x18tc:text xml:space="preserve">just the 0.944 one, or all the PP7s?</x18tc:text>
  </x18tc:threadedComment>
  <x18tc:threadedComment ref="X34" dT="2025-07-22T20:25:31.00" personId="{06747fd8-fc57-462b-9c7f-2bbf08e448b0}" id="{180ad54c-26fc-4558-8c42-7535c76c3fe1}" parentId="{e47d713b-62c8-4575-a03b-c6b5c7eaf22e}">
    <x18tc:text xml:space="preserve">All of the PP7s
1 total reaction
Dillon Card reacted with 👍 at 2025-07-22 20:25 PM</x18tc:text>
  </x18tc:threadedComment>
  <x18tc:threadedComment ref="B16" dT="2025-06-13T12:11:43.00" personId="{ffce03c1-e675-4c93-8cd3-b6e4c82d48d8}" id="{c19f9d70-0f60-4d8a-af57-57f2d728aa83}" done="1">
    <x18tc:text xml:space="preserve">@max@charmindustrial.com just double checking there are ~9 tons in this removal?</x18tc:text>
    <x18tc:mentions>
      <x18tc:mention mentionpersonId="{0da4b0b8-d90f-45c2-a8cd-57c61471e247}" mentionId="{cce57410-3c9f-4977-9661-588336fe937e}" startIndex="0" length="24"/>
    </x18tc:mentions>
  </x18tc:threadedComment>
  <x18tc:threadedComment ref="W43" dT="2025-09-29T21:04:00.00" personId="{fe54d822-4260-40ec-8f9b-e3b9b03d0aec}" id="{853b4e69-6a15-4fc4-93d1-194802de65e0}" done="1">
    <x18tc:text xml:space="preserve">@max@charmindustrial.com Can we double check this?  Total available credits for 7/18 on Isometric is 7.497</x18tc:text>
    <x18tc:mentions>
      <x18tc:mention mentionpersonId="{0da4b0b8-d90f-45c2-a8cd-57c61471e247}" mentionId="{3bb7dad6-0a27-4905-a6b9-1ef9c4f0f265}" startIndex="0" length="24"/>
    </x18tc:mentions>
  </x18tc:threadedComment>
  <x18tc:threadedComment ref="W43" dT="2025-09-29T21:49:26.00" personId="{f2f4fd08-e2dd-4881-a5d5-ecfee8f95a19}" id="{773d2933-5801-49d4-80a8-0445bce18cf7}" parentId="{853b4e69-6a15-4fc4-93d1-194802de65e0}">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f2f4fd08-e2dd-4881-a5d5-ecfee8f95a19}" id="{21426ca3-a2c3-4fcc-9033-27047a455934}" done="1">
    <x18tc:text xml:space="preserve">@harris@charmindustrial.com These are the Isometric removal IDs for the Feb/Mar deliveries</x18tc:text>
    <x18tc:mentions>
      <x18tc:mention mentionpersonId="{fc5b5cb7-2b4e-4f22-b398-3f522d157e2c}" mentionId="{3975b24c-ddca-447e-81b8-7ad14bd3c8bb}" startIndex="0" length="27"/>
    </x18tc:mentions>
  </x18tc:threadedComment>
  <x18tc:threadedComment ref="B14" dT="2025-06-12T16:55:47.00" personId="{ffce03c1-e675-4c93-8cd3-b6e4c82d48d8}" id="{23d5e2e4-7b5c-4b33-aff4-c1c20872ebbe}" done="1">
    <x18tc:text xml:space="preserve">can't locate this one @max@charmindustrial.com</x18tc:text>
    <x18tc:mentions>
      <x18tc:mention mentionpersonId="{0da4b0b8-d90f-45c2-a8cd-57c61471e247}" mentionId="{495312d7-8666-44de-9b31-8764d8d05688}" startIndex="22" length="24"/>
    </x18tc:mentions>
  </x18tc:threadedComment>
  <x18tc:threadedComment ref="B14" dT="2025-06-13T00:21:04.00" personId="{f2f4fd08-e2dd-4881-a5d5-ecfee8f95a19}" id="{9424df8a-258f-480c-a0f3-23021d69698e}" parentId="{23d5e2e4-7b5c-4b33-aff4-c1c20872ebbe}">
    <x18tc:text xml:space="preserve">Updated</x18tc:text>
  </x18tc:threadedComment>
  <x18tc:threadedComment ref="B18" dT="2025-06-12T16:56:44.00" personId="{ffce03c1-e675-4c93-8cd3-b6e4c82d48d8}" id="{343b99b5-4455-4429-98b2-49d4b07a9882}" done="1">
    <x18tc:text xml:space="preserve">@max@charmindustrial.com can't locate this one either</x18tc:text>
    <x18tc:mentions>
      <x18tc:mention mentionpersonId="{0da4b0b8-d90f-45c2-a8cd-57c61471e247}" mentionId="{e15cf262-533a-4c72-8bc9-45f792659f9a}" startIndex="0" length="24"/>
    </x18tc:mentions>
  </x18tc:threadedComment>
  <x18tc:threadedComment ref="B18" dT="2025-06-13T00:21:46.00" personId="{f2f4fd08-e2dd-4881-a5d5-ecfee8f95a19}" id="{c36b51fc-a517-40b4-87df-a87d03437372}" parentId="{343b99b5-4455-4429-98b2-49d4b07a9882}">
    <x18tc:text xml:space="preserve">Updated</x18tc:text>
  </x18tc:threadedComment>
  <x18tc:threadedComment ref="B19" dT="2025-06-12T16:57:04.00" personId="{ffce03c1-e675-4c93-8cd3-b6e4c82d48d8}" id="{e298dc5c-751e-4139-a4e6-b2d15ce60a09}" done="1">
    <x18tc:text xml:space="preserve">can't locate this one either @max@charmindustrial.com</x18tc:text>
    <x18tc:mentions>
      <x18tc:mention mentionpersonId="{0da4b0b8-d90f-45c2-a8cd-57c61471e247}" mentionId="{87a26971-d74e-492b-a798-cdad52610572}" startIndex="29" length="24"/>
    </x18tc:mentions>
  </x18tc:threadedComment>
  <x18tc:threadedComment ref="B19" dT="2025-06-13T00:22:38.00" personId="{f2f4fd08-e2dd-4881-a5d5-ecfee8f95a19}" id="{4f4a42c8-c6af-4eb6-8790-4414f5f8b3a7}" parentId="{e298dc5c-751e-4139-a4e6-b2d15ce60a09}">
    <x18tc:text xml:space="preserve">Updated</x18tc:text>
  </x18tc:threadedComment>
  <x18tc:threadedComment ref="B20" dT="2025-06-12T16:57:25.00" personId="{ffce03c1-e675-4c93-8cd3-b6e4c82d48d8}" id="{b5163097-fda8-401d-bed6-7372994735f6}" done="1">
    <x18tc:text xml:space="preserve">can't locate this one either @max@charmindustrial.com</x18tc:text>
    <x18tc:mentions>
      <x18tc:mention mentionpersonId="{0da4b0b8-d90f-45c2-a8cd-57c61471e247}" mentionId="{c65da750-96cc-4c6a-9964-f2577bad6b85}" startIndex="29" length="24"/>
    </x18tc:mentions>
  </x18tc:threadedComment>
  <x18tc:threadedComment ref="B20" dT="2025-06-13T00:23:00.00" personId="{f2f4fd08-e2dd-4881-a5d5-ecfee8f95a19}" id="{685a1e4e-4c46-44c3-b416-bd635b1118c7}" parentId="{b5163097-fda8-401d-bed6-7372994735f6}">
    <x18tc:text xml:space="preserve">Updated</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f5f15572-ca29-468d-b879-92b2413d3c16}" id="{17fc0180-2a12-4851-8888-33322cf61c2e}" done="0">
    <x18tc:text xml:space="preserve">@max@charmindustrial.com and @eldon@charmindustrial.com Take a look at this when we get a minute. @james.grimes@charmindustrial.com Did we change the process in how we measured on batch 3-06?</x18tc:text>
    <x18tc:mentions>
      <x18tc:mention mentionpersonId="{0da4b0b8-d90f-45c2-a8cd-57c61471e247}" mentionId="{82b143c6-7c2f-470b-bc4a-74b4a880b29d}" startIndex="0" length="24"/>
      <x18tc:mention mentionpersonId="{39800645-d2b8-44ee-95d3-7f3dc8e548f1}" mentionId="{db10f4af-3828-4791-a4b0-4d3737774072}" startIndex="29" length="26"/>
      <x18tc:mention mentionpersonId="{626efb59-bfa5-4637-b6bd-9394461ba4ea}" mentionId="{adaf01ff-a455-401f-ba3c-591d08b63b8e}" startIndex="98" length="33"/>
    </x18tc:mentions>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f2f4fd08-e2dd-4881-a5d5-ecfee8f95a19}" id="{de154c64-e108-4be3-9f78-c1b5dcf47919}" done="0">
    <x18tc:text xml:space="preserve">@kevin.niparko@charmindustrial.com 
It may be helpful to do individual kg conversions for the consumables since they're entered into Ledger individually by kg</x18tc:text>
    <x18tc:mentions>
      <x18tc:mention mentionpersonId="{71ed8f8b-e0cc-4d9a-ae01-34f6485b5054}" mentionId="{32afe220-bb5f-43d4-a7c6-3db063ddc5de}" startIndex="0" length="34"/>
    </x18tc:mentions>
  </x18tc:threadedComment>
  <x18tc:threadedComment ref="D18" dT="2025-05-03T00:04:35.00" personId="{f2f4fd08-e2dd-4881-a5d5-ecfee8f95a19}" id="{7df6bf23-c02d-467f-99b8-bd386ad07fff}" done="0">
    <x18tc:text xml:space="preserve">@kevin.niparko@charmindustrial.com Ideally the loss premium wouldn't be hard-coded since it will change each period.
The calc should be the sum of the  Input Oil Mass - MOBI for the Reporting Period * 1.25</x18tc:text>
    <x18tc:mentions>
      <x18tc:mention mentionpersonId="{71ed8f8b-e0cc-4d9a-ae01-34f6485b5054}" mentionId="{b8559500-6abe-481a-8db2-e07f6054ea27}" startIndex="0" length="34"/>
    </x18tc:mentions>
  </x18tc:threadedComment>
  <x18tc:threadedComment ref="D18" dT="2025-05-03T00:05:18.00" personId="{f2f4fd08-e2dd-4881-a5d5-ecfee8f95a19}" id="{1dd1b86b-f634-4b4c-b5d3-e6738519959a}" parentId="{7df6bf23-c02d-467f-99b8-bd386ad07fff}">
    <x18tc:text xml:space="preserve">Would the Input Oil Mass --&gt; Batch Tonnage in the Master Batch Data sheet?</x18tc:text>
  </x18tc:threadedComment>
  <x18tc:threadedComment ref="C14" dT="2025-04-18T23:44:55.00" personId="{f2f4fd08-e2dd-4881-a5d5-ecfee8f95a19}" id="{a1fdedd1-5c68-4cc1-bc2b-701eccc53e8f}" done="1">
    <x18tc:text xml:space="preserve">Loss buffer isn't 5% of batch, it's 25% of estimated loss.
So that's (estimated input - MOBI) * 1.25</x18tc:text>
  </x18tc:threadedComment>
  <x18tc:threadedComment ref="G27" dT="2025-04-18T23:38:07.00" personId="{c18c9a88-88fe-417b-ac4c-ef5e4b6fde1c}" id="{158f6ebd-f9d2-421e-bbfd-d05db3cfc87c}" done="1">
    <x18tc:text xml:space="preserve">@max@charmindustrial.com do you think it's sufficient to just pull the required salt based off the manufacturo calculation? perhaps we show verifier the calc and comparison of SSoT to verify once?</x18tc:text>
    <x18tc:mentions>
      <x18tc:mention mentionpersonId="{0da4b0b8-d90f-45c2-a8cd-57c61471e247}" mentionId="{df2c66e9-1bfa-4971-8c66-2d155a9b4f59}" startIndex="0" length="24"/>
    </x18tc:mentions>
  </x18tc:threadedComment>
  <x18tc:threadedComment ref="G27" dT="2025-04-18T23:42:50.00" personId="{f2f4fd08-e2dd-4881-a5d5-ecfee8f95a19}" id="{6bec6ad3-631c-4e6c-88f5-3e18e51e9f4d}" parentId="{158f6ebd-f9d2-421e-bbfd-d05db3cfc87c}">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c18c9a88-88fe-417b-ac4c-ef5e4b6fde1c}" id="{a4b20632-7c8a-479d-884c-44e5f5b9f092}" done="1">
    <x18tc:text xml:space="preserve">need to find a way to pull these, currently requires logging into manufacturo</x18tc:text>
  </x18tc:threadedComment>
  <x18tc:threadedComment ref="I23" dT="2025-04-18T23:35:47.00" personId="{c18c9a88-88fe-417b-ac4c-ef5e4b6fde1c}" id="{cdf2455c-4141-4ea2-a164-1757b43235bc}" done="1">
    <x18tc:text xml:space="preserve">this is not currently available in manufacturo extract</x18tc:text>
  </x18tc:threadedComment>
  <x18tc:threadedComment ref="I23" dT="2025-04-18T23:46:06.00" personId="{f2f4fd08-e2dd-4881-a5d5-ecfee8f95a19}" id="{0b0c1533-ea26-47cf-ba4d-8b45a1ea9447}" parentId="{cdf2455c-4141-4ea2-a164-1757b43235bc}">
    <x18tc:text xml:space="preserve">Has to get filled in somewhere as it's a permit req</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f2f4fd08-e2dd-4881-a5d5-ecfee8f95a19}" id="{621838f2-7f48-45ee-ad8b-7e13a035be53}" done="1">
    <x18tc:text xml:space="preserve">@jackson.lisec@charmindustrial.com I think this should be 31620. 
The 33600 ticket is from 8/9 and the 31620 ticket is from 8/10 so I'd assume that the 8/10 is from scaling out after offload</x18tc:text>
    <x18tc:mentions>
      <x18tc:mention mentionpersonId="{2c7c31d8-392d-4414-8eb0-ec667fd5efcf}" mentionId="{cb21d2aa-8964-4513-a9f4-3b467339d527}" startIndex="0" length="34"/>
    </x18tc:mentions>
  </x18tc:threadedComment>
  <x18tc:threadedComment ref="E14" dT="2025-08-25T19:41:55.00" personId="{06747fd8-fc57-462b-9c7f-2bbf08e448b0}" id="{5b86d4fc-db55-4f8b-8f54-c6236b514443}" done="1">
    <x18tc:text xml:space="preserve">@max@charmindustrial.com This does not match up with scale tickets. I think this value might be correct, because I think these are the scale tickets for 2-103 but need to investigate more
1 total reaction
Max Lavine reacted with 👍 at 2025-08-25 19:42 PM</x18tc:text>
    <x18tc:mentions>
      <x18tc:mention mentionpersonId="{0da4b0b8-d90f-45c2-a8cd-57c61471e247}" mentionId="{90b6353f-d5da-4237-bdf6-26322b9de95b}" startIndex="0" length="24"/>
    </x18tc:mentions>
  </x18tc:threadedComment>
  <x18tc:threadedComment ref="E14" dT="2025-08-25T19:42:54.00" personId="{f2f4fd08-e2dd-4881-a5d5-ecfee8f95a19}" id="{6e19d6ad-13b5-4176-8fa2-67616f8b1bbe}" parentId="{5b86d4fc-db55-4f8b-8f54-c6236b514443}">
    <x18tc:text xml:space="preserve">10-4 will stand by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297" Type="http://schemas.openxmlformats.org/officeDocument/2006/relationships/hyperlink" Target="https://drive.google.com/file/d/1K24VvE0IG2pY2LXWMol1Mgp_IIVAmocd/view?usp=drive_link" TargetMode="External"/><Relationship Id="rId175" Type="http://schemas.openxmlformats.org/officeDocument/2006/relationships/hyperlink" Target="https://drive.google.com/drive/folders/16WbgdFEw4-cKB9AtK-qzbW-2aGeA7_31?usp=drive_link" TargetMode="External"/><Relationship Id="rId296" Type="http://schemas.openxmlformats.org/officeDocument/2006/relationships/hyperlink" Target="https://drive.google.com/file/d/1KW-IlyQjl-zZo63FW6tLRWhdvK_sS__Z/view" TargetMode="External"/><Relationship Id="rId174" Type="http://schemas.openxmlformats.org/officeDocument/2006/relationships/hyperlink" Target="https://drive.google.com/file/d/1btOpsogdsUO4ax01mah6QPJl0LWU8IoD/view?usp=drive_link" TargetMode="External"/><Relationship Id="rId295" Type="http://schemas.openxmlformats.org/officeDocument/2006/relationships/hyperlink" Target="https://drive.google.com/drive/folders/1vlzqsWgFvTcvgnkvgJDZGEWwCttNSuN3?usp=drive_link" TargetMode="External"/><Relationship Id="rId173" Type="http://schemas.openxmlformats.org/officeDocument/2006/relationships/hyperlink" Target="https://drive.google.com/drive/folders/1Ume8O_yzq5MGFpW7sT4ZYlM-lXN8VzXL?usp=drive_link" TargetMode="External"/><Relationship Id="rId294" Type="http://schemas.openxmlformats.org/officeDocument/2006/relationships/hyperlink" Target="https://drive.google.com/file/d/1_V4iitkCRPA0gaGWAb_0FMZdwRwMfBYY/view"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299" Type="http://schemas.openxmlformats.org/officeDocument/2006/relationships/hyperlink" Target="https://drive.google.com/file/d/1zDOEli8ZIlOv8gGTsj9avLIlVwAzPLhU/view?usp=drive_link" TargetMode="External"/><Relationship Id="rId177" Type="http://schemas.openxmlformats.org/officeDocument/2006/relationships/hyperlink" Target="https://drive.google.com/drive/folders/18oYLsPePS7gk7PeV9tdOIxrBvtpWf2dd?usp=drive_link" TargetMode="External"/><Relationship Id="rId298" Type="http://schemas.openxmlformats.org/officeDocument/2006/relationships/hyperlink" Target="https://drive.google.com/file/d/1KW-IlyQjl-zZo63FW6tLRWhdvK_sS__Z/view"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271" Type="http://schemas.openxmlformats.org/officeDocument/2006/relationships/hyperlink" Target="https://drive.google.com/drive/folders/1oUyBeMWwFyMy_jNWSm0iq3rSf7c8vvuf?usp=drive_link" TargetMode="External"/><Relationship Id="rId392" Type="http://schemas.openxmlformats.org/officeDocument/2006/relationships/hyperlink" Target="https://drive.google.com/file/d/1PArCv-ChT5CfVwUfrn0ckUPKRe24avkG/view" TargetMode="External"/><Relationship Id="rId270" Type="http://schemas.openxmlformats.org/officeDocument/2006/relationships/hyperlink" Target="https://drive.google.com/file/d/1xJ3nkySwdEivbnH52L6G1ZlryBkT6lp2/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269" Type="http://schemas.openxmlformats.org/officeDocument/2006/relationships/hyperlink" Target="https://drive.google.com/drive/folders/15ZOxVWvZL44ZipQgKNnWXCF7S2BZpqMk?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264" Type="http://schemas.openxmlformats.org/officeDocument/2006/relationships/hyperlink" Target="https://drive.google.com/file/d/17hNY7TscERZUy0VCh8sz2pvyKyoxm3bg/view"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263" Type="http://schemas.openxmlformats.org/officeDocument/2006/relationships/hyperlink" Target="https://drive.google.com/file/d/1-WKC38kcvcs9hOOgG20OlgrlCHE8VYrF/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262" Type="http://schemas.openxmlformats.org/officeDocument/2006/relationships/hyperlink" Target="https://drive.google.com/file/d/1UfnAkegfbByxoHB7taNPYI5ggBiipqbc/view"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261" Type="http://schemas.openxmlformats.org/officeDocument/2006/relationships/hyperlink" Target="https://drive.google.com/drive/folders/1plfw3zcDh8IMYEo4NHphsHJsxmssM04H?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268" Type="http://schemas.openxmlformats.org/officeDocument/2006/relationships/hyperlink" Target="https://drive.google.com/file/d/1ljlABVK_M1SP0i4fjoypxSsUKYugS8At/view"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267" Type="http://schemas.openxmlformats.org/officeDocument/2006/relationships/hyperlink" Target="https://drive.google.com/drive/folders/1AIhMWeSZU1Zoh2bV1kQ7_C7EJwwLI7km?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266" Type="http://schemas.openxmlformats.org/officeDocument/2006/relationships/hyperlink" Target="https://drive.google.com/file/d/1ljlABVK_M1SP0i4fjoypxSsUKYugS8At/view"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265" Type="http://schemas.openxmlformats.org/officeDocument/2006/relationships/hyperlink" Target="https://drive.google.com/drive/folders/1oXPfv4kKm2crQsDom50tQVoQTfSTWFGv?usp=drive_link" TargetMode="External"/><Relationship Id="rId386" Type="http://schemas.openxmlformats.org/officeDocument/2006/relationships/hyperlink" Target="https://drive.google.com/file/d/1YhpedaMWb_wCZ95CMEtfTzQRHPta26oc/view?usp=drive_link" TargetMode="External"/><Relationship Id="rId260" Type="http://schemas.openxmlformats.org/officeDocument/2006/relationships/hyperlink" Target="https://drive.google.com/file/d/1UfnAkegfbByxoHB7taNPYI5ggBiipqbc/view"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259" Type="http://schemas.openxmlformats.org/officeDocument/2006/relationships/hyperlink" Target="https://drive.google.com/drive/folders/1_Hxdmy-YYsunuQNSJdQeuuJ4h2DtcSy5?usp=drive_link" TargetMode="External"/><Relationship Id="rId137" Type="http://schemas.openxmlformats.org/officeDocument/2006/relationships/hyperlink" Target="https://drive.google.com/drive/folders/1POzMVJcvR2xy65fGQnotZF1zIbJGTo7P?usp=drive_link" TargetMode="External"/><Relationship Id="rId258" Type="http://schemas.openxmlformats.org/officeDocument/2006/relationships/hyperlink" Target="https://drive.google.com/file/d/1UfnAkegfbByxoHB7taNPYI5ggBiipqbc/view"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253" Type="http://schemas.openxmlformats.org/officeDocument/2006/relationships/hyperlink" Target="https://drive.google.com/drive/folders/1SVYSii03igojUfRWXZ13_pRPeB0qcQX4?usp=drive_link" TargetMode="External"/><Relationship Id="rId374" Type="http://schemas.openxmlformats.org/officeDocument/2006/relationships/hyperlink" Target="https://drive.google.com/file/d/1CaEjU_epE9VEXJInlz8RCkUAUIwjdGGk/view" TargetMode="External"/><Relationship Id="rId495" Type="http://schemas.openxmlformats.org/officeDocument/2006/relationships/hyperlink" Target="https://drive.google.com/file/d/1G1osUliQiTfAUPxlzYKqYXnhtGO0egpu/view?usp=drive_link" TargetMode="External"/><Relationship Id="rId131" Type="http://schemas.openxmlformats.org/officeDocument/2006/relationships/hyperlink" Target="https://drive.google.com/drive/folders/17fk9Z9Pfu1GIJf1YdAUs_X59pTlwM69g?usp=drive_link" TargetMode="External"/><Relationship Id="rId252" Type="http://schemas.openxmlformats.org/officeDocument/2006/relationships/hyperlink" Target="https://drive.google.com/file/d/1XpFdGTLkbh0p7IXJ0GEwR7tSnWSzqdW0/view" TargetMode="External"/><Relationship Id="rId373" Type="http://schemas.openxmlformats.org/officeDocument/2006/relationships/hyperlink" Target="https://drive.google.com/file/d/1ynNFSl6HZRHu-9VFwj9Rayahh-LmXac9/view?usp=drive_link" TargetMode="External"/><Relationship Id="rId494" Type="http://schemas.openxmlformats.org/officeDocument/2006/relationships/hyperlink" Target="https://drive.google.com/file/d/1wmE3tpAo2xesteygoEwj4qPnaJ8bvuY9/view?usp=drive_link" TargetMode="External"/><Relationship Id="rId130" Type="http://schemas.openxmlformats.org/officeDocument/2006/relationships/hyperlink" Target="https://drive.google.com/file/d/1VggJJ-LaIgINU-aTOCXqfYW1dft9ECLG/view?usp=drive_link" TargetMode="External"/><Relationship Id="rId251" Type="http://schemas.openxmlformats.org/officeDocument/2006/relationships/hyperlink" Target="https://drive.google.com/file/d/1AUdFGtLU8Xd1pruQLunkIPoFtn_kvQyf/view?usp=drive_link" TargetMode="External"/><Relationship Id="rId372" Type="http://schemas.openxmlformats.org/officeDocument/2006/relationships/hyperlink" Target="https://drive.google.com/file/d/1DO2zWczGw-plAcuWdQ3-6fyqTvrhfEKv/view"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371" Type="http://schemas.openxmlformats.org/officeDocument/2006/relationships/hyperlink" Target="https://drive.google.com/file/d/1yoD1IPC-bzobVSSK3rqfZyKk7SMZbhAE/view?usp=drive_link" TargetMode="External"/><Relationship Id="rId492" Type="http://schemas.openxmlformats.org/officeDocument/2006/relationships/hyperlink" Target="https://drive.google.com/file/d/1wmE3tpAo2xesteygoEwj4qPnaJ8bvuY9/view?usp=drive_link" TargetMode="External"/><Relationship Id="rId136" Type="http://schemas.openxmlformats.org/officeDocument/2006/relationships/hyperlink" Target="https://drive.google.com/file/d/1ftpfzRybo4oDsOB7Ywy5f6xiSUOfSdvg/view?usp=drive_link" TargetMode="External"/><Relationship Id="rId257" Type="http://schemas.openxmlformats.org/officeDocument/2006/relationships/hyperlink" Target="https://drive.google.com/drive/folders/1SJFQSlr9QzHslIPe_zdXhUaPYVtY0KKw?usp=drive_link" TargetMode="External"/><Relationship Id="rId378" Type="http://schemas.openxmlformats.org/officeDocument/2006/relationships/hyperlink" Target="https://drive.google.com/file/d/1mW08is17mbSbnbSoGVv6xsXJKr8icOtk/view?usp=drive_link" TargetMode="External"/><Relationship Id="rId499" Type="http://schemas.openxmlformats.org/officeDocument/2006/relationships/hyperlink" Target="https://drive.google.com/file/d/1Rjo5g0ej81_dO01uBEcOUhDmZrSyO7uI/view?usp=drive_link" TargetMode="External"/><Relationship Id="rId135" Type="http://schemas.openxmlformats.org/officeDocument/2006/relationships/hyperlink" Target="https://drive.google.com/drive/folders/1ICdW0vRFwEqPfpzEgYMlcdzz5gyqHs-Q?usp=drive_link" TargetMode="External"/><Relationship Id="rId256" Type="http://schemas.openxmlformats.org/officeDocument/2006/relationships/hyperlink" Target="https://drive.google.com/file/d/1MGLgfkWIEpTHkyC2q0nYgAwni4Jrd-67/view" TargetMode="External"/><Relationship Id="rId377" Type="http://schemas.openxmlformats.org/officeDocument/2006/relationships/hyperlink" Target="https://drive.google.com/file/d/1sj9aeV6CU4kMm0kbYDgYmvcjSLOT-lSK/view?usp=drive_link" TargetMode="External"/><Relationship Id="rId498" Type="http://schemas.openxmlformats.org/officeDocument/2006/relationships/hyperlink" Target="https://drive.google.com/file/d/1NLoZbJ3mln9xSK0POYB54aOTVXeeJTX6/view?usp=drive_link" TargetMode="External"/><Relationship Id="rId134" Type="http://schemas.openxmlformats.org/officeDocument/2006/relationships/hyperlink" Target="https://drive.google.com/file/d/1jRnCUn4adSSpsYhSfVR3IFW8IFy2v1Tr/view?usp=drive_link" TargetMode="External"/><Relationship Id="rId255" Type="http://schemas.openxmlformats.org/officeDocument/2006/relationships/hyperlink" Target="https://drive.google.com/drive/folders/1jSxsNiVWESG3JpbyB1OEBAfi31leS4lH?usp=drive_link" TargetMode="External"/><Relationship Id="rId376" Type="http://schemas.openxmlformats.org/officeDocument/2006/relationships/hyperlink" Target="https://drive.google.com/file/d/1mW08is17mbSbnbSoGVv6xsXJKr8icOtk/view?usp=drive_link" TargetMode="External"/><Relationship Id="rId497" Type="http://schemas.openxmlformats.org/officeDocument/2006/relationships/hyperlink" Target="https://drive.google.com/file/d/1yUl1I3VTx4V5pm6MubmhUMbYT1BcYQOy/view?usp=drive_link" TargetMode="External"/><Relationship Id="rId133" Type="http://schemas.openxmlformats.org/officeDocument/2006/relationships/hyperlink" Target="https://drive.google.com/drive/folders/1-x2mjLC9HBH9Q4vhf4uzBtrPQMarO86W?usp=drive_link" TargetMode="External"/><Relationship Id="rId254" Type="http://schemas.openxmlformats.org/officeDocument/2006/relationships/hyperlink" Target="https://drive.google.com/file/d/1MGLgfkWIEpTHkyC2q0nYgAwni4Jrd-67/view" TargetMode="External"/><Relationship Id="rId375" Type="http://schemas.openxmlformats.org/officeDocument/2006/relationships/hyperlink" Target="https://drive.google.com/file/d/1XIfUjJMi80GIRA7uVc0lIS_sC-MHIVgH/view?usp=drive_link" TargetMode="External"/><Relationship Id="rId496" Type="http://schemas.openxmlformats.org/officeDocument/2006/relationships/hyperlink" Target="https://drive.google.com/file/d/1wmE3tpAo2xesteygoEwj4qPnaJ8bvuY9/view?usp=drive_link" TargetMode="External"/><Relationship Id="rId172" Type="http://schemas.openxmlformats.org/officeDocument/2006/relationships/hyperlink" Target="https://drive.google.com/file/d/1btOpsogdsUO4ax01mah6QPJl0LWU8IoD/view?usp=drive_link" TargetMode="External"/><Relationship Id="rId293" Type="http://schemas.openxmlformats.org/officeDocument/2006/relationships/hyperlink" Target="https://drive.google.com/drive/folders/1oGZrwACZS29xvdn23f5TNVfdpe2Onm3H?usp=drive_link" TargetMode="External"/><Relationship Id="rId171" Type="http://schemas.openxmlformats.org/officeDocument/2006/relationships/hyperlink" Target="https://drive.google.com/drive/folders/1bm-drACAX68QdOe9kRa2eyJ0TBgFVnXU?usp=drive_link" TargetMode="External"/><Relationship Id="rId292" Type="http://schemas.openxmlformats.org/officeDocument/2006/relationships/hyperlink" Target="https://drive.google.com/file/d/1_V4iitkCRPA0gaGWAb_0FMZdwRwMfBYY/view" TargetMode="External"/><Relationship Id="rId170" Type="http://schemas.openxmlformats.org/officeDocument/2006/relationships/hyperlink" Target="https://drive.google.com/file/d/13dp4_pX1y-qoMGZJNRvUWqKNnLMNRnHA/view?usp=drive_link"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165" Type="http://schemas.openxmlformats.org/officeDocument/2006/relationships/hyperlink" Target="https://drive.google.com/file/d/1_FM-kmOxq9nTJk7D-gIlAh-On9WFuYSp/view?usp=drive_link" TargetMode="External"/><Relationship Id="rId286" Type="http://schemas.openxmlformats.org/officeDocument/2006/relationships/hyperlink" Target="https://drive.google.com/file/d/13x_r5byLaBzFewotlH3xMKtxpMp-PqkB/view" TargetMode="External"/><Relationship Id="rId164" Type="http://schemas.openxmlformats.org/officeDocument/2006/relationships/hyperlink" Target="https://drive.google.com/file/d/1vEW99VggeAxvVt8KdHjoW181DJAWDgZz/view?usp=drive_link" TargetMode="External"/><Relationship Id="rId285" Type="http://schemas.openxmlformats.org/officeDocument/2006/relationships/hyperlink" Target="https://drive.google.com/drive/folders/1mqvtxPZzoCUFj1iNS9IYkmAXwNKeRzkA?usp=drive_link" TargetMode="External"/><Relationship Id="rId163" Type="http://schemas.openxmlformats.org/officeDocument/2006/relationships/hyperlink" Target="https://drive.google.com/file/d/14axc3e7_MP_pDn8gnluSRG8K_H31GzGq/view?usp=drive_link" TargetMode="External"/><Relationship Id="rId284" Type="http://schemas.openxmlformats.org/officeDocument/2006/relationships/hyperlink" Target="https://drive.google.com/file/d/13x_r5byLaBzFewotlH3xMKtxpMp-PqkB/view" TargetMode="External"/><Relationship Id="rId162" Type="http://schemas.openxmlformats.org/officeDocument/2006/relationships/hyperlink" Target="https://drive.google.com/file/d/1vEW99VggeAxvVt8KdHjoW181DJAWDgZz/view?usp=drive_link" TargetMode="External"/><Relationship Id="rId283" Type="http://schemas.openxmlformats.org/officeDocument/2006/relationships/hyperlink" Target="https://drive.google.com/drive/folders/18mrge4matR3oBdr8AHpAKTwBHEJitZ0i?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289" Type="http://schemas.openxmlformats.org/officeDocument/2006/relationships/hyperlink" Target="https://drive.google.com/drive/folders/1oquqMQTwg7i7pDl96XpGxzH-Pa2_riNa?usp=drive_link" TargetMode="External"/><Relationship Id="rId167" Type="http://schemas.openxmlformats.org/officeDocument/2006/relationships/hyperlink" Target="https://drive.google.com/drive/folders/1LPtQJg5TkvTFC0SZI3S5OfeCEus4TUpN" TargetMode="External"/><Relationship Id="rId288" Type="http://schemas.openxmlformats.org/officeDocument/2006/relationships/hyperlink" Target="https://drive.google.com/file/d/13x_r5byLaBzFewotlH3xMKtxpMp-PqkB/view" TargetMode="External"/><Relationship Id="rId166" Type="http://schemas.openxmlformats.org/officeDocument/2006/relationships/hyperlink" Target="https://drive.google.com/file/d/13dp4_pX1y-qoMGZJNRvUWqKNnLMNRnHA/view?usp=drive_link" TargetMode="External"/><Relationship Id="rId287" Type="http://schemas.openxmlformats.org/officeDocument/2006/relationships/hyperlink" Target="https://drive.google.com/drive/folders/1lfwFS8KCgTtD4lO-b7AO5igKyYyBL11B?usp=drive_link" TargetMode="External"/><Relationship Id="rId161" Type="http://schemas.openxmlformats.org/officeDocument/2006/relationships/hyperlink" Target="https://drive.google.com/drive/folders/1MA-w8RUU9efcVD3hxBGWd7E9n9NYj7vh?usp=drive_link" TargetMode="External"/><Relationship Id="rId282" Type="http://schemas.openxmlformats.org/officeDocument/2006/relationships/hyperlink" Target="https://drive.google.com/file/d/13x_r5byLaBzFewotlH3xMKtxpMp-PqkB/view" TargetMode="External"/><Relationship Id="rId160" Type="http://schemas.openxmlformats.org/officeDocument/2006/relationships/hyperlink" Target="https://drive.google.com/file/d/1vEW99VggeAxvVt8KdHjoW181DJAWDgZz/view?usp=drive_link"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275" Type="http://schemas.openxmlformats.org/officeDocument/2006/relationships/hyperlink" Target="https://drive.google.com/file/d/1FfnR75AC61nk5aWOiehdl7FDWMDx487g/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274" Type="http://schemas.openxmlformats.org/officeDocument/2006/relationships/hyperlink" Target="https://drive.google.com/file/d/1psOcfrfwAS4W7tTUUN7MpOSOLnU-z32I/view"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273" Type="http://schemas.openxmlformats.org/officeDocument/2006/relationships/hyperlink" Target="https://drive.google.com/drive/folders/1k_gDjvCncIn9stmKLMzjzMWTbyPKAB7I?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272" Type="http://schemas.openxmlformats.org/officeDocument/2006/relationships/hyperlink" Target="https://drive.google.com/file/d/1xJ3nkySwdEivbnH52L6G1ZlryBkT6lp2/view"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279" Type="http://schemas.openxmlformats.org/officeDocument/2006/relationships/hyperlink" Target="https://drive.google.com/drive/folders/15VFlqtchAyoJKwv6bBSDqaO-JV0glBKF?usp=drive_link" TargetMode="External"/><Relationship Id="rId157" Type="http://schemas.openxmlformats.org/officeDocument/2006/relationships/hyperlink" Target="https://drive.google.com/drive/folders/1AvLLKRhL1rvbjFTChfGHbqo7DG3AKQr2?usp=drive_link" TargetMode="External"/><Relationship Id="rId278" Type="http://schemas.openxmlformats.org/officeDocument/2006/relationships/hyperlink" Target="https://drive.google.com/file/d/1IcyXIFXZSLtOjFxs8MXoXsfCbxthlDS8/view"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277" Type="http://schemas.openxmlformats.org/officeDocument/2006/relationships/hyperlink" Target="https://drive.google.com/drive/folders/1PtNx4r6ATlUYPl8aSQiZMu76l3RCkiGX?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276" Type="http://schemas.openxmlformats.org/officeDocument/2006/relationships/hyperlink" Target="https://drive.google.com/file/d/1IcyXIFXZSLtOjFxs8MXoXsfCbxthlDS8/view" TargetMode="External"/><Relationship Id="rId397" Type="http://schemas.openxmlformats.org/officeDocument/2006/relationships/hyperlink" Target="https://drive.google.com/file/d/1IYNmyXt6xn_iTXM9ujyYPQmqRLb3F9nd/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629" Type="http://schemas.openxmlformats.org/officeDocument/2006/relationships/hyperlink" Target="https://drive.google.com/file/d/1B0Eqy8nDiBoGjxMb0Y_Jwy15d3MI09Kr/view?usp=drive_link" TargetMode="External"/><Relationship Id="rId503" Type="http://schemas.openxmlformats.org/officeDocument/2006/relationships/hyperlink" Target="https://drive.google.com/file/d/1VyOW1JgMdGpNKcPYtaebVBbc8BL_6REY/view?usp=drive_link" TargetMode="External"/><Relationship Id="rId624" Type="http://schemas.openxmlformats.org/officeDocument/2006/relationships/hyperlink" Target="https://drive.google.com/file/d/1SgXxgD0KZSuND3Xb_9Pw5wYHyuJcDhA4/view?usp=drive_link" TargetMode="External"/><Relationship Id="rId502" Type="http://schemas.openxmlformats.org/officeDocument/2006/relationships/hyperlink" Target="https://drive.google.com/file/d/1HnpijX0PW3HB4Xbk-6-cG1RtekGM08Le/view?usp=drive_link" TargetMode="External"/><Relationship Id="rId623" Type="http://schemas.openxmlformats.org/officeDocument/2006/relationships/hyperlink" Target="https://drive.google.com/file/d/1JkfeXttnGW7wMaYQBDZ10FlBGYqcMpRt/view?usp=drive_link" TargetMode="External"/><Relationship Id="rId501" Type="http://schemas.openxmlformats.org/officeDocument/2006/relationships/hyperlink" Target="https://drive.google.com/file/d/13Guxc2QQFTnMYATMbEY0KOkGrw91j1DV/view?usp=drive_link" TargetMode="External"/><Relationship Id="rId622" Type="http://schemas.openxmlformats.org/officeDocument/2006/relationships/hyperlink" Target="https://drive.google.com/file/d/1c8QFeZriGWSHxebJz8AIiJwp-o4V4cOS/view?usp=drive_link" TargetMode="External"/><Relationship Id="rId500" Type="http://schemas.openxmlformats.org/officeDocument/2006/relationships/hyperlink" Target="https://drive.google.com/file/d/1NLoZbJ3mln9xSK0POYB54aOTVXeeJTX6/view?usp=drive_link" TargetMode="External"/><Relationship Id="rId621" Type="http://schemas.openxmlformats.org/officeDocument/2006/relationships/hyperlink" Target="https://drive.google.com/file/d/1ip5AEsMR877RL8oP8QarM3pQnG2LQCcc/view?usp=drive_link" TargetMode="External"/><Relationship Id="rId507" Type="http://schemas.openxmlformats.org/officeDocument/2006/relationships/hyperlink" Target="https://drive.google.com/file/d/1n6abTqtJn9MDi9oGWhaTXZTa1E5_8oh1/view?usp=drive_link" TargetMode="External"/><Relationship Id="rId628" Type="http://schemas.openxmlformats.org/officeDocument/2006/relationships/hyperlink" Target="https://drive.google.com/file/d/1G_lGaaiVTv7mDGMrVf3QeQV_A5MoAelO/view?usp=drive_link" TargetMode="External"/><Relationship Id="rId506" Type="http://schemas.openxmlformats.org/officeDocument/2006/relationships/hyperlink" Target="https://drive.google.com/file/d/1_57dnpB5F3G53tGA5ZSWpaj6pPCfqnuk/view?usp=drive_link" TargetMode="External"/><Relationship Id="rId627" Type="http://schemas.openxmlformats.org/officeDocument/2006/relationships/hyperlink" Target="https://drive.google.com/file/d/1Ijr9A4SFxu3SwGNBNx-jfRbWnY0wcdad/view?usp=drive_link" TargetMode="External"/><Relationship Id="rId505" Type="http://schemas.openxmlformats.org/officeDocument/2006/relationships/hyperlink" Target="https://drive.google.com/file/d/1P_PkKIMXImcvO1mn3DDeVqNcEvfkslh3/view?usp=drive_link" TargetMode="External"/><Relationship Id="rId626" Type="http://schemas.openxmlformats.org/officeDocument/2006/relationships/hyperlink" Target="https://drive.google.com/file/d/1V2T43Al47Hc6ltaITw-Wrb2UWb3j0bUo/view?usp=drive_link" TargetMode="External"/><Relationship Id="rId504" Type="http://schemas.openxmlformats.org/officeDocument/2006/relationships/hyperlink" Target="https://drive.google.com/file/d/1HnpijX0PW3HB4Xbk-6-cG1RtekGM08Le/view?usp=drive_link" TargetMode="External"/><Relationship Id="rId625" Type="http://schemas.openxmlformats.org/officeDocument/2006/relationships/hyperlink" Target="https://drive.google.com/file/d/1iBa8wsqnDRf-TEEFBBtrhwSUOj4S41RG/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620" Type="http://schemas.openxmlformats.org/officeDocument/2006/relationships/hyperlink" Target="https://drive.google.com/file/d/1qHzsvJhmq2BXVFwy898v9QQkgKYN64pe/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612" Type="http://schemas.openxmlformats.org/officeDocument/2006/relationships/hyperlink" Target="https://drive.google.com/file/d/1qHzsvJhmq2BXVFwy898v9QQkgKYN64pe/view?usp=drive_link" TargetMode="External"/><Relationship Id="rId611" Type="http://schemas.openxmlformats.org/officeDocument/2006/relationships/hyperlink" Target="https://drive.google.com/file/d/1klJHHSZkmtivLbTTjm-7vHO17Rtjphzl/view?usp=drive_link" TargetMode="External"/><Relationship Id="rId610" Type="http://schemas.openxmlformats.org/officeDocument/2006/relationships/hyperlink" Target="https://drive.google.com/file/d/1fdfsW_keQys68RDkoCkaX9XEID6od0VN/view?usp=drive_link" TargetMode="External"/><Relationship Id="rId617" Type="http://schemas.openxmlformats.org/officeDocument/2006/relationships/hyperlink" Target="https://drive.google.com/file/d/19qTuaKNFyUqj7sQzTYuXS5bpKn4FDY_S/view?usp=drive_link" TargetMode="External"/><Relationship Id="rId616" Type="http://schemas.openxmlformats.org/officeDocument/2006/relationships/hyperlink" Target="https://drive.google.com/file/d/1fdfsW_keQys68RDkoCkaX9XEID6od0VN/view?usp=drive_link" TargetMode="External"/><Relationship Id="rId615" Type="http://schemas.openxmlformats.org/officeDocument/2006/relationships/hyperlink" Target="https://drive.google.com/file/d/1rhbrKJ4o5JGnBa6NCpIcMXYgZsRyvjbI/view?usp=drive_link" TargetMode="External"/><Relationship Id="rId614" Type="http://schemas.openxmlformats.org/officeDocument/2006/relationships/hyperlink" Target="https://drive.google.com/file/d/1vPpJmvWGS0OivuaveJPZvsoKp7l5amVi/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525" Type="http://schemas.openxmlformats.org/officeDocument/2006/relationships/hyperlink" Target="https://drive.google.com/file/d/1xCkdlTuGUNBTltSgqzLEGA_IJNq-LmxC/view?usp=drive_link" TargetMode="External"/><Relationship Id="rId403" Type="http://schemas.openxmlformats.org/officeDocument/2006/relationships/hyperlink" Target="https://drive.google.com/file/d/1YCBFVho0bew4brlt2N5P7y7vT1d84J-M/view?usp=drive_link" TargetMode="External"/><Relationship Id="rId524" Type="http://schemas.openxmlformats.org/officeDocument/2006/relationships/hyperlink" Target="https://drive.google.com/file/d/1jgq7F88csyEwzQQigfonHLI7UE1KYGdN/view?usp=drive_link" TargetMode="External"/><Relationship Id="rId402" Type="http://schemas.openxmlformats.org/officeDocument/2006/relationships/hyperlink" Target="https://drive.google.com/file/d/15aI2_OglWpN3l3lviNtdR7wFg3IjQUmB/view?usp=drive_link" TargetMode="External"/><Relationship Id="rId523" Type="http://schemas.openxmlformats.org/officeDocument/2006/relationships/hyperlink" Target="https://drive.google.com/file/d/1jraJDaoTP-YRW3lfE_lTk7jiOtZUEZkM/view?usp=drive_link" TargetMode="External"/><Relationship Id="rId401" Type="http://schemas.openxmlformats.org/officeDocument/2006/relationships/hyperlink" Target="https://drive.google.com/file/d/1lSn7UQb19_UUS8JKFtdVWPia9fY5mAIE/view?usp=drive_link" TargetMode="External"/><Relationship Id="rId522" Type="http://schemas.openxmlformats.org/officeDocument/2006/relationships/hyperlink" Target="https://drive.google.com/file/d/1EGRnCfZxRo59RRfQWKFPv9IfeAKwKYyB/view?usp=drive_link" TargetMode="External"/><Relationship Id="rId408" Type="http://schemas.openxmlformats.org/officeDocument/2006/relationships/hyperlink" Target="https://drive.google.com/file/d/1JJJtHCUK9LchQ62DDxl5Dx0yQxu6wy5W/view?usp=drive_link" TargetMode="External"/><Relationship Id="rId529" Type="http://schemas.openxmlformats.org/officeDocument/2006/relationships/hyperlink" Target="https://drive.google.com/file/d/1IkaEmerM3QcckEByTz-N56GJp231vKsu/view?usp=drive_link" TargetMode="External"/><Relationship Id="rId407" Type="http://schemas.openxmlformats.org/officeDocument/2006/relationships/hyperlink" Target="https://drive.google.com/file/d/15lvEreYbbYJ1lfLWzWv-Ukwq7A3oXlMg/view?usp=drive_link" TargetMode="External"/><Relationship Id="rId528" Type="http://schemas.openxmlformats.org/officeDocument/2006/relationships/hyperlink" Target="https://drive.google.com/file/d/1_fNiqSMFpsyGZhTCjjbY3BbSS7kIS-ig/view?usp=drive_link" TargetMode="External"/><Relationship Id="rId406" Type="http://schemas.openxmlformats.org/officeDocument/2006/relationships/hyperlink" Target="https://drive.google.com/file/d/1kNDW441NfjRDSdgB5B-asRuLYoQ9RUYD/view?usp=drive_link" TargetMode="External"/><Relationship Id="rId527" Type="http://schemas.openxmlformats.org/officeDocument/2006/relationships/hyperlink" Target="https://drive.google.com/file/d/1ryTw23Wq0JKRsHy4iWbHyMKTIurnZOvY/view?usp=drive_link" TargetMode="External"/><Relationship Id="rId405" Type="http://schemas.openxmlformats.org/officeDocument/2006/relationships/hyperlink" Target="https://drive.google.com/file/d/1I0h5BHSG5UWK0jyVayInU2TcghU69gsl/view?usp=drive_link" TargetMode="External"/><Relationship Id="rId526" Type="http://schemas.openxmlformats.org/officeDocument/2006/relationships/hyperlink" Target="https://drive.google.com/file/d/1_fNiqSMFpsyGZhTCjjbY3BbSS7kIS-ig/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400" Type="http://schemas.openxmlformats.org/officeDocument/2006/relationships/hyperlink" Target="https://drive.google.com/file/d/15aI2_OglWpN3l3lviNtdR7wFg3IjQUmB/view?usp=drive_link" TargetMode="External"/><Relationship Id="rId521" Type="http://schemas.openxmlformats.org/officeDocument/2006/relationships/hyperlink" Target="https://drive.google.com/file/d/16DS9q1HvE4t3rcs89h4nTnnWUpB21Axf/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635" Type="http://schemas.openxmlformats.org/officeDocument/2006/relationships/drawing" Target="../drawings/drawing3.xml"/><Relationship Id="rId513" Type="http://schemas.openxmlformats.org/officeDocument/2006/relationships/hyperlink" Target="https://drive.google.com/file/d/1NMBgfjGk4GATpgVzCOXSVPPrSnargFah/view?usp=drive_link" TargetMode="External"/><Relationship Id="rId634" Type="http://schemas.openxmlformats.org/officeDocument/2006/relationships/hyperlink" Target="https://drive.google.com/file/d/1vz7Qca03qovkBkXCe0QkjPaVF2NO6fDY/view?usp=drive_link" TargetMode="External"/><Relationship Id="rId512" Type="http://schemas.openxmlformats.org/officeDocument/2006/relationships/hyperlink" Target="https://drive.google.com/file/d/11dw4dbRuW3eRhbalu3HdLQKnhGQUslSN/view?usp=drive_link" TargetMode="External"/><Relationship Id="rId633" Type="http://schemas.openxmlformats.org/officeDocument/2006/relationships/hyperlink" Target="https://drive.google.com/file/d/1rvNt_3sS9euUfDHt7l-Q3W6W4MZ78QAO/view?usp=drive_link" TargetMode="External"/><Relationship Id="rId511" Type="http://schemas.openxmlformats.org/officeDocument/2006/relationships/hyperlink" Target="https://drive.google.com/file/d/1sDZIwExc-LuPbodq3P3YxLdQ2zwNf6_X/view?usp=drive_link" TargetMode="External"/><Relationship Id="rId632" Type="http://schemas.openxmlformats.org/officeDocument/2006/relationships/hyperlink" Target="https://drive.google.com/file/d/1xf-eeh9FEz9IgYhUHgebIoj7hkfvgfBk/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516" Type="http://schemas.openxmlformats.org/officeDocument/2006/relationships/hyperlink" Target="https://drive.google.com/file/d/1sKd13kKguvDjaLQYL2AHKMIwBx6hrhuu/view?usp=drive_link" TargetMode="External"/><Relationship Id="rId515" Type="http://schemas.openxmlformats.org/officeDocument/2006/relationships/hyperlink" Target="https://drive.google.com/file/d/1b_0A5WiuYbm0Zsc5d3QhvE69BGvuy92J/view?usp=drive_link" TargetMode="External"/><Relationship Id="rId636" Type="http://schemas.openxmlformats.org/officeDocument/2006/relationships/vmlDrawing" Target="../drawings/vmlDrawing2.vm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631" Type="http://schemas.openxmlformats.org/officeDocument/2006/relationships/hyperlink" Target="https://drive.google.com/file/d/1QOnHxJnNCeOTbLYBRM8ABXrTvY6ge_5E/view?usp=drive_link" TargetMode="External"/><Relationship Id="rId18" Type="http://schemas.openxmlformats.org/officeDocument/2006/relationships/hyperlink" Target="https://drive.google.com/file/d/1xJYGaRC0-HFs2Q7LNvDIHKvQNJx2rQ6l/view?usp=drive_link" TargetMode="External"/><Relationship Id="rId630" Type="http://schemas.openxmlformats.org/officeDocument/2006/relationships/hyperlink" Target="https://drive.google.com/file/d/1kTDSDdACopG9VykR0sdwR4MDn792HAuC/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60" Type="http://schemas.openxmlformats.org/officeDocument/2006/relationships/hyperlink" Target="https://drive.google.com/file/d/1ShFxfOkxJobQHF9eu77bH2FUYq_iPV-s/view?usp=drive_link" TargetMode="External"/><Relationship Id="rId602" Type="http://schemas.openxmlformats.org/officeDocument/2006/relationships/hyperlink" Target="https://drive.google.com/file/d/1vPpJmvWGS0OivuaveJPZvsoKp7l5amVi/view?usp=drive_link" TargetMode="External"/><Relationship Id="rId601" Type="http://schemas.openxmlformats.org/officeDocument/2006/relationships/hyperlink" Target="https://drive.google.com/file/d/1LhpcJhnTp8Kk-AZzHJw0uhqVkNpycYLs/view?usp=drive_link" TargetMode="External"/><Relationship Id="rId600" Type="http://schemas.openxmlformats.org/officeDocument/2006/relationships/hyperlink" Target="https://drive.google.com/file/d/1HRpVxIKnlIFZ0r6rsMTrd8znTBWFOcix/view?usp=drive_link" TargetMode="External"/><Relationship Id="rId606" Type="http://schemas.openxmlformats.org/officeDocument/2006/relationships/hyperlink" Target="https://drive.google.com/file/d/1vPpJmvWGS0OivuaveJPZvsoKp7l5amVi/view?usp=drive_link" TargetMode="External"/><Relationship Id="rId605" Type="http://schemas.openxmlformats.org/officeDocument/2006/relationships/hyperlink" Target="https://drive.google.com/file/d/14klIJPsELuGe4NMvE9fjTvNNMe2Kj99o/view?usp=drive_link" TargetMode="External"/><Relationship Id="rId604" Type="http://schemas.openxmlformats.org/officeDocument/2006/relationships/hyperlink" Target="https://drive.google.com/file/d/1vPpJmvWGS0OivuaveJPZvsoKp7l5amVi/view?usp=drive_link" TargetMode="External"/><Relationship Id="rId603" Type="http://schemas.openxmlformats.org/officeDocument/2006/relationships/hyperlink" Target="https://drive.google.com/file/d/1m3F_rlHV7LP6-bjZng4XDFCU2ESVdcZj/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228" Type="http://schemas.openxmlformats.org/officeDocument/2006/relationships/hyperlink" Target="https://drive.google.com/file/d/1sYo6TXNz9ldtOJvkhXzmV_s5wfO_B6IC/view"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227" Type="http://schemas.openxmlformats.org/officeDocument/2006/relationships/hyperlink" Target="https://drive.google.com/file/d/1iuZ1juPuyMlyJ_uQuaa5XfHkw4Pf4PXn/view?usp=drive_link" TargetMode="External"/><Relationship Id="rId348" Type="http://schemas.openxmlformats.org/officeDocument/2006/relationships/hyperlink" Target="https://drive.google.com/file/d/1u0vtskJe-OTTUy_tj5xtlpiDIGy22sGL/view?usp=drive_link" TargetMode="External"/><Relationship Id="rId469" Type="http://schemas.openxmlformats.org/officeDocument/2006/relationships/hyperlink" Target="https://drive.google.com/file/d/1Evk3IOqMp2sKCbOn_PUglCPHLgpzUa1d/view?usp=drive_link" TargetMode="External"/><Relationship Id="rId105" Type="http://schemas.openxmlformats.org/officeDocument/2006/relationships/hyperlink" Target="https://drive.google.com/drive/folders/17w-3YR6ZBPNIIBji7MOKDdpGShbkVgQ_?usp=drive_link" TargetMode="External"/><Relationship Id="rId226" Type="http://schemas.openxmlformats.org/officeDocument/2006/relationships/hyperlink" Target="https://drive.google.com/file/d/1sYo6TXNz9ldtOJvkhXzmV_s5wfO_B6IC/view" TargetMode="External"/><Relationship Id="rId347" Type="http://schemas.openxmlformats.org/officeDocument/2006/relationships/hyperlink" Target="https://drive.google.com/file/d/1VF-Txjg1lg8lzCqSmutW4P9QZ3U7hwj9/view?usp=drive_link" TargetMode="External"/><Relationship Id="rId468" Type="http://schemas.openxmlformats.org/officeDocument/2006/relationships/hyperlink" Target="https://drive.google.com/file/d/1uOXlLieYl1PEh18Xv8UcpPrwgkl85Xzf/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225" Type="http://schemas.openxmlformats.org/officeDocument/2006/relationships/hyperlink" Target="https://drive.google.com/file/d/1n1anbbJ_B2-5Sz-EbDrXyFrhHr5FJKBQ/view?usp=drive_link" TargetMode="External"/><Relationship Id="rId346" Type="http://schemas.openxmlformats.org/officeDocument/2006/relationships/hyperlink" Target="https://drive.google.com/file/d/1u0vtskJe-OTTUy_tj5xtlpiDIGy22sGL/view?usp=drive_link" TargetMode="External"/><Relationship Id="rId467" Type="http://schemas.openxmlformats.org/officeDocument/2006/relationships/hyperlink" Target="https://drive.google.com/file/d/1-OZtRJR3Lki6NUqRGOB0-asp-nhRooHZ/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341" Type="http://schemas.openxmlformats.org/officeDocument/2006/relationships/hyperlink" Target="https://drive.google.com/file/d/1TJ99ekFivhskkBw9YtPRtzB1fZqUdb1Y/view?usp=drive_link" TargetMode="External"/><Relationship Id="rId462" Type="http://schemas.openxmlformats.org/officeDocument/2006/relationships/hyperlink" Target="https://drive.google.com/file/d/13FCskwWJT16HCd14-LkX1uGV1pxOTPQ6/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461" Type="http://schemas.openxmlformats.org/officeDocument/2006/relationships/hyperlink" Target="https://drive.google.com/file/d/1qQ4wfDJYRCJc0iWnprE9m36h3WZ4Uy84/view?usp=drive_link" TargetMode="External"/><Relationship Id="rId582" Type="http://schemas.openxmlformats.org/officeDocument/2006/relationships/hyperlink" Target="https://drive.google.com/file/d/1-8oa8FaaOtglnZbouNzAiPI0lyvT_lT7/view?usp=drive_link" TargetMode="External"/><Relationship Id="rId460" Type="http://schemas.openxmlformats.org/officeDocument/2006/relationships/hyperlink" Target="https://drive.google.com/file/d/13FCskwWJT16HCd14-LkX1uGV1pxOTPQ6/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224" Type="http://schemas.openxmlformats.org/officeDocument/2006/relationships/hyperlink" Target="https://drive.google.com/file/d/1sYo6TXNz9ldtOJvkhXzmV_s5wfO_B6IC/view" TargetMode="External"/><Relationship Id="rId345" Type="http://schemas.openxmlformats.org/officeDocument/2006/relationships/hyperlink" Target="https://drive.google.com/file/d/1i7rcjy_nalr9Bz6k6WC-eB7UV5iO36-4/view?usp=drive_link" TargetMode="External"/><Relationship Id="rId466" Type="http://schemas.openxmlformats.org/officeDocument/2006/relationships/hyperlink" Target="https://drive.google.com/file/d/1uOXlLieYl1PEh18Xv8UcpPrwgkl85Xzf/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223" Type="http://schemas.openxmlformats.org/officeDocument/2006/relationships/hyperlink" Target="https://drive.google.com/file/d/19Y4RARLa20nT7vol6RO6jmm7G4_i5jMW/view?usp=drive_link" TargetMode="External"/><Relationship Id="rId344" Type="http://schemas.openxmlformats.org/officeDocument/2006/relationships/hyperlink" Target="https://drive.google.com/file/d/1BKhiGXcigLn05SMA_5INg2ZQp6ZKw4Iq/view" TargetMode="External"/><Relationship Id="rId465" Type="http://schemas.openxmlformats.org/officeDocument/2006/relationships/hyperlink" Target="https://drive.google.com/file/d/1-_0AEVGTzhMnvAZDmAi8S806u13QrGOz/view?usp=drive_link"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222" Type="http://schemas.openxmlformats.org/officeDocument/2006/relationships/hyperlink" Target="https://drive.google.com/file/d/1sYo6TXNz9ldtOJvkhXzmV_s5wfO_B6IC/view" TargetMode="External"/><Relationship Id="rId343" Type="http://schemas.openxmlformats.org/officeDocument/2006/relationships/hyperlink" Target="https://drive.google.com/file/d/14bTSZYhb2UQj9suFYss6Lxx7cCebANg4/view?usp=drive_link" TargetMode="External"/><Relationship Id="rId464" Type="http://schemas.openxmlformats.org/officeDocument/2006/relationships/hyperlink" Target="https://drive.google.com/file/d/13FCskwWJT16HCd14-LkX1uGV1pxOTPQ6/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221" Type="http://schemas.openxmlformats.org/officeDocument/2006/relationships/hyperlink" Target="https://drive.google.com/file/d/13yp_56CA9TT_xAoZ9S1VL10y6C0nbnVa/view?usp=drive_link" TargetMode="External"/><Relationship Id="rId342" Type="http://schemas.openxmlformats.org/officeDocument/2006/relationships/hyperlink" Target="https://drive.google.com/file/d/1BKhiGXcigLn05SMA_5INg2ZQp6ZKw4Iq/view" TargetMode="External"/><Relationship Id="rId463" Type="http://schemas.openxmlformats.org/officeDocument/2006/relationships/hyperlink" Target="https://drive.google.com/file/d/13fYzo7jGn87OLbRkNbchAGfRUqucx_IC/view?usp=drive_link" TargetMode="External"/><Relationship Id="rId584" Type="http://schemas.openxmlformats.org/officeDocument/2006/relationships/hyperlink" Target="https://drive.google.com/file/d/1IJNLEaAY1gVofl95Q69ZXS9sUAWGwTGs/view?usp=drive_link" TargetMode="External"/><Relationship Id="rId217" Type="http://schemas.openxmlformats.org/officeDocument/2006/relationships/hyperlink" Target="https://drive.google.com/file/d/13lvYKyQa9hhapbAshBMj1sg-Ek8OhFtu/view?usp=drive_link" TargetMode="External"/><Relationship Id="rId338" Type="http://schemas.openxmlformats.org/officeDocument/2006/relationships/hyperlink" Target="https://drive.google.com/file/d/1BKhiGXcigLn05SMA_5INg2ZQp6ZKw4Iq/view"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337" Type="http://schemas.openxmlformats.org/officeDocument/2006/relationships/hyperlink" Target="https://drive.google.com/file/d/1Yssx56o394uZCsiz6l2Y7QMBigASWi5u/view?usp=drive_link" TargetMode="External"/><Relationship Id="rId458" Type="http://schemas.openxmlformats.org/officeDocument/2006/relationships/hyperlink" Target="https://drive.google.com/file/d/1qWOVtVkgdROUFiLtMHi229ivYpU_5E_3/view?usp=drive_link" TargetMode="External"/><Relationship Id="rId579" Type="http://schemas.openxmlformats.org/officeDocument/2006/relationships/hyperlink" Target="https://drive.google.com/file/d/1kf58mLb0O00juezp5fwED2o3u8GVQ64F/view?usp=drive_link" TargetMode="External"/><Relationship Id="rId215" Type="http://schemas.openxmlformats.org/officeDocument/2006/relationships/hyperlink" Target="https://drive.google.com/file/d/10LO7no7WSrVz7DEop3VOpq79pOkJbKZ0/view?usp=drive_link" TargetMode="External"/><Relationship Id="rId336" Type="http://schemas.openxmlformats.org/officeDocument/2006/relationships/hyperlink" Target="https://drive.google.com/file/d/1gCkgDjuXQMP02byADdYr-xN4IQGwBqGR/view?usp=drive_link" TargetMode="External"/><Relationship Id="rId457" Type="http://schemas.openxmlformats.org/officeDocument/2006/relationships/hyperlink" Target="https://drive.google.com/file/d/1W7kLbxoojePZqC2wTHJWQnt7jVgfW03M/view?usp=drive_link" TargetMode="External"/><Relationship Id="rId578" Type="http://schemas.openxmlformats.org/officeDocument/2006/relationships/hyperlink" Target="https://drive.google.com/file/d/1p9kGPHGeZSD4JBjtYjlm8JpJhq26f7OC/view?usp=drive_link" TargetMode="External"/><Relationship Id="rId214" Type="http://schemas.openxmlformats.org/officeDocument/2006/relationships/hyperlink" Target="https://drive.google.com/file/d/1Y_MyF75hi17iV9rpyOG2huL1GY0WsIYg/view" TargetMode="External"/><Relationship Id="rId335" Type="http://schemas.openxmlformats.org/officeDocument/2006/relationships/hyperlink" Target="https://drive.google.com/file/d/138WEkA9c5fBOgpz_4ldm3iVGvF_D2BoQ/view?usp=drive_link" TargetMode="External"/><Relationship Id="rId456" Type="http://schemas.openxmlformats.org/officeDocument/2006/relationships/hyperlink" Target="https://drive.google.com/file/d/14GpQVW_xENP6jcQle8gvLqAj8GPuwevo/view?usp=drive_link" TargetMode="External"/><Relationship Id="rId577" Type="http://schemas.openxmlformats.org/officeDocument/2006/relationships/hyperlink" Target="https://drive.google.com/file/d/1Uu2DmYj4i5jbERhlY6_G8U_fAXDM2e-F/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451" Type="http://schemas.openxmlformats.org/officeDocument/2006/relationships/hyperlink" Target="https://drive.google.com/file/d/1sb8Tw60eHfSDE1Hwim5MkMwlEN4lzzGf/view?usp=drive_link" TargetMode="External"/><Relationship Id="rId572" Type="http://schemas.openxmlformats.org/officeDocument/2006/relationships/hyperlink" Target="https://drive.google.com/file/d/1YhtzQMMNY-QchbdPNRl0mnILf4vgpSWM/view?usp=drive_link" TargetMode="External"/><Relationship Id="rId450" Type="http://schemas.openxmlformats.org/officeDocument/2006/relationships/hyperlink" Target="https://drive.google.com/file/d/1W3OsXQH6SuaRqHnIvUVV-eYw71PgdRmT/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213" Type="http://schemas.openxmlformats.org/officeDocument/2006/relationships/hyperlink" Target="https://drive.google.com/file/d/1AAacJuxdb-aoRpp_E25uQb5A7j7wSApu/view?usp=drive_link" TargetMode="External"/><Relationship Id="rId334" Type="http://schemas.openxmlformats.org/officeDocument/2006/relationships/hyperlink" Target="https://drive.google.com/file/d/1gCkgDjuXQMP02byADdYr-xN4IQGwBqGR/view?usp=drive_link" TargetMode="External"/><Relationship Id="rId455" Type="http://schemas.openxmlformats.org/officeDocument/2006/relationships/hyperlink" Target="https://drive.google.com/file/d/1dVsbXaca_vSnij2ggo7X5vdnEjTqdIKj/view?usp=drive_link" TargetMode="External"/><Relationship Id="rId576" Type="http://schemas.openxmlformats.org/officeDocument/2006/relationships/hyperlink" Target="https://drive.google.com/file/d/1p9kGPHGeZSD4JBjtYjlm8JpJhq26f7OC/view?usp=drive_link" TargetMode="External"/><Relationship Id="rId212" Type="http://schemas.openxmlformats.org/officeDocument/2006/relationships/hyperlink" Target="https://drive.google.com/file/d/1Y_MyF75hi17iV9rpyOG2huL1GY0WsIYg/view" TargetMode="External"/><Relationship Id="rId333" Type="http://schemas.openxmlformats.org/officeDocument/2006/relationships/hyperlink" Target="https://drive.google.com/file/d/1w_LkIQlzR9ktX7JK59dOMC_8IH5ibAF9/view?usp=drive_link" TargetMode="External"/><Relationship Id="rId454" Type="http://schemas.openxmlformats.org/officeDocument/2006/relationships/hyperlink" Target="https://drive.google.com/file/d/14GpQVW_xENP6jcQle8gvLqAj8GPuwevo/view?usp=drive_link" TargetMode="External"/><Relationship Id="rId575" Type="http://schemas.openxmlformats.org/officeDocument/2006/relationships/hyperlink" Target="https://drive.google.com/file/d/1dv6r3IUOHzGO5cvSpefLzDiJq_V0C6FF/view?usp=drive_link" TargetMode="External"/><Relationship Id="rId211" Type="http://schemas.openxmlformats.org/officeDocument/2006/relationships/hyperlink" Target="https://drive.google.com/file/d/1A42k1fwEWUXCmiL51tW9v29oF35B7PYk/view?usp=drive_link" TargetMode="External"/><Relationship Id="rId332" Type="http://schemas.openxmlformats.org/officeDocument/2006/relationships/hyperlink" Target="https://drive.google.com/file/d/1E4lRjs_SNghSDYccDNGmBe8ej4OuTyBf/view" TargetMode="External"/><Relationship Id="rId453" Type="http://schemas.openxmlformats.org/officeDocument/2006/relationships/hyperlink" Target="https://drive.google.com/file/d/1M5n-6VXgXyGI3JQREfyL58Pf2HXm74vB/view?usp=drive_link" TargetMode="External"/><Relationship Id="rId574" Type="http://schemas.openxmlformats.org/officeDocument/2006/relationships/hyperlink" Target="https://drive.google.com/file/d/1GiHRLg-Fr8yT-11Kv2sf8mS9t9qYAJpH/view?usp=drive_link" TargetMode="External"/><Relationship Id="rId210" Type="http://schemas.openxmlformats.org/officeDocument/2006/relationships/hyperlink" Target="https://drive.google.com/file/d/1ZRMDkNrdIXG0SaixDEhopRkMfO5rrGk0/view" TargetMode="External"/><Relationship Id="rId331" Type="http://schemas.openxmlformats.org/officeDocument/2006/relationships/hyperlink" Target="https://drive.google.com/file/d/1eh5a1MXffoVafWVSbScvUEwdt1IGBQPx/view?usp=drive_link" TargetMode="External"/><Relationship Id="rId452" Type="http://schemas.openxmlformats.org/officeDocument/2006/relationships/hyperlink" Target="https://drive.google.com/file/d/1k6qpb6KScnFf3cZfVfSIbeH_nGcjL6pH/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249" Type="http://schemas.openxmlformats.org/officeDocument/2006/relationships/hyperlink" Target="https://drive.google.com/file/d/1ENjFKLPTTr6wjpGwqS5x4-H0xH3oGVcU/view?usp=drive_link" TargetMode="External"/><Relationship Id="rId127" Type="http://schemas.openxmlformats.org/officeDocument/2006/relationships/hyperlink" Target="https://drive.google.com/drive/folders/1mwVcTJi0SWZJi4cYOhwjJ8olwf1af2vm?usp=drive_link" TargetMode="External"/><Relationship Id="rId248" Type="http://schemas.openxmlformats.org/officeDocument/2006/relationships/hyperlink" Target="https://drive.google.com/file/d/1jC9SPfdko0N-nguVasu0p7sN7H4OT6js/view"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247" Type="http://schemas.openxmlformats.org/officeDocument/2006/relationships/hyperlink" Target="https://drive.google.com/file/d/1DJpKqw26d52PTEe6AnfQg7tmP-oQQM5q/view?usp=drive_link" TargetMode="External"/><Relationship Id="rId368" Type="http://schemas.openxmlformats.org/officeDocument/2006/relationships/hyperlink" Target="https://drive.google.com/file/d/1DRRUkwS1CgqVjUNksDYCtH8q6MqI-wlK/view?usp=drive_link" TargetMode="External"/><Relationship Id="rId489" Type="http://schemas.openxmlformats.org/officeDocument/2006/relationships/hyperlink" Target="https://drive.google.com/file/d/1Kja2GACgq5WqvH6AIl7LOZSNsAfg_Ngx/view?usp=drive_link" TargetMode="External"/><Relationship Id="rId121" Type="http://schemas.openxmlformats.org/officeDocument/2006/relationships/hyperlink" Target="https://drive.google.com/drive/folders/1uAd_GONZ9YJgYHuJDAWtfTELwdHPo27J?usp=drive_link" TargetMode="External"/><Relationship Id="rId242" Type="http://schemas.openxmlformats.org/officeDocument/2006/relationships/hyperlink" Target="https://drive.google.com/file/d/1ibK06hByhC6fZ_WR2iHHQKj5gs_Kqeo7/view" TargetMode="External"/><Relationship Id="rId363" Type="http://schemas.openxmlformats.org/officeDocument/2006/relationships/hyperlink" Target="https://drive.google.com/file/d/1lxAVmCTR9HYsrNJKJ0Wgk_r5x75yrfqH/view?usp=drive_link" TargetMode="External"/><Relationship Id="rId484" Type="http://schemas.openxmlformats.org/officeDocument/2006/relationships/hyperlink" Target="https://drive.google.com/file/d/1ssNNS-AUNqigoK4Pxi4sYhx8PLZ8DIJ3/view?usp=drive_link" TargetMode="External"/><Relationship Id="rId120" Type="http://schemas.openxmlformats.org/officeDocument/2006/relationships/hyperlink" Target="https://drive.google.com/file/d/1kDoUh3c1dP-ETxvvMrZcJ6r8H5E0ZTyR/view" TargetMode="External"/><Relationship Id="rId241" Type="http://schemas.openxmlformats.org/officeDocument/2006/relationships/hyperlink" Target="https://drive.google.com/drive/folders/1A0uIcD6sXf4jhJQQsXsB0WtD2zceUvIr?usp=drive_link" TargetMode="External"/><Relationship Id="rId362" Type="http://schemas.openxmlformats.org/officeDocument/2006/relationships/hyperlink" Target="https://drive.google.com/file/d/1MCz3kd1vc1LQS5fOCu4rMzSWIA1JeWJJ/view"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361" Type="http://schemas.openxmlformats.org/officeDocument/2006/relationships/hyperlink" Target="https://drive.google.com/file/d/162CYCz1-W5QyGajhESiZe3QTWxS8Rhju/view?usp=drive_link" TargetMode="External"/><Relationship Id="rId482" Type="http://schemas.openxmlformats.org/officeDocument/2006/relationships/hyperlink" Target="https://drive.google.com/file/d/1ssNNS-AUNqigoK4Pxi4sYhx8PLZ8DIJ3/view?usp=drive_link" TargetMode="External"/><Relationship Id="rId360" Type="http://schemas.openxmlformats.org/officeDocument/2006/relationships/hyperlink" Target="https://drive.google.com/file/d/1bKchXlLmQkCW5Ln1QzU0cU2NUwOQXwSY/view" TargetMode="External"/><Relationship Id="rId481" Type="http://schemas.openxmlformats.org/officeDocument/2006/relationships/hyperlink" Target="https://drive.google.com/file/d/1btsyIVTbubU8lJ0_K-VMk4MSKYFeNLVW/view?usp=drive_link" TargetMode="External"/><Relationship Id="rId125" Type="http://schemas.openxmlformats.org/officeDocument/2006/relationships/hyperlink" Target="https://drive.google.com/drive/folders/1d81s8nO4dJgTl428p3-BM0EiIIIfrHOB?usp=drive_link" TargetMode="External"/><Relationship Id="rId246" Type="http://schemas.openxmlformats.org/officeDocument/2006/relationships/hyperlink" Target="https://drive.google.com/file/d/1jC9SPfdko0N-nguVasu0p7sN7H4OT6js/view" TargetMode="External"/><Relationship Id="rId367" Type="http://schemas.openxmlformats.org/officeDocument/2006/relationships/hyperlink" Target="https://drive.google.com/file/d/1bIsMDSTXLUQBrX-n9JZwHswYLjAhr-Wj/view?usp=drive_link" TargetMode="External"/><Relationship Id="rId488" Type="http://schemas.openxmlformats.org/officeDocument/2006/relationships/hyperlink" Target="https://drive.google.com/file/d/1hee2b5b_D81j3LImGlJJJsO_retOH-_V/view?usp=drive_link" TargetMode="External"/><Relationship Id="rId124" Type="http://schemas.openxmlformats.org/officeDocument/2006/relationships/hyperlink" Target="https://drive.google.com/file/d/1TzHIFCEHwEXiNc-R196BGhP5JQrYISdk/view?usp=drive_link" TargetMode="External"/><Relationship Id="rId245" Type="http://schemas.openxmlformats.org/officeDocument/2006/relationships/hyperlink" Target="https://drive.google.com/file/d/1ZR5GkcXNyBbxDRcXOZGLeCXSutdCytjA/view?usp=drive_link" TargetMode="External"/><Relationship Id="rId366" Type="http://schemas.openxmlformats.org/officeDocument/2006/relationships/hyperlink" Target="https://drive.google.com/file/d/1DRRUkwS1CgqVjUNksDYCtH8q6MqI-wlK/view?usp=drive_link" TargetMode="External"/><Relationship Id="rId487" Type="http://schemas.openxmlformats.org/officeDocument/2006/relationships/hyperlink" Target="https://drive.google.com/file/d/1gpDT6Mtwch1Pp4dDXHxQZ5yc3NBva9JJ/view?usp=drive_link" TargetMode="External"/><Relationship Id="rId123" Type="http://schemas.openxmlformats.org/officeDocument/2006/relationships/hyperlink" Target="https://drive.google.com/drive/folders/1q6tbpY6WDNzGvc_e9UPdI7LAa1q9V3jW?usp=drive_link" TargetMode="External"/><Relationship Id="rId244" Type="http://schemas.openxmlformats.org/officeDocument/2006/relationships/hyperlink" Target="https://drive.google.com/file/d/14SJlk6VIHMlP721ASEzo9iwhtUk2F33G/view" TargetMode="External"/><Relationship Id="rId365" Type="http://schemas.openxmlformats.org/officeDocument/2006/relationships/hyperlink" Target="https://drive.google.com/file/d/1C_qzNbxVPcHaUA4ErduWMM6CKzbtcdTW/view?usp=drive_link" TargetMode="External"/><Relationship Id="rId486" Type="http://schemas.openxmlformats.org/officeDocument/2006/relationships/hyperlink" Target="https://drive.google.com/file/d/1hee2b5b_D81j3LImGlJJJsO_retOH-_V/view?usp=drive_link" TargetMode="External"/><Relationship Id="rId122" Type="http://schemas.openxmlformats.org/officeDocument/2006/relationships/hyperlink" Target="https://drive.google.com/file/d/1HqeLvpq3nvk5V3fMI5rjp88wsMLSn3a4/view?usp=drive_link" TargetMode="External"/><Relationship Id="rId243" Type="http://schemas.openxmlformats.org/officeDocument/2006/relationships/hyperlink" Target="https://drive.google.com/drive/folders/1O9oNojvLfi4QexNWGUk2Hc0tjN3MbrEZ?usp=drive_link" TargetMode="External"/><Relationship Id="rId364" Type="http://schemas.openxmlformats.org/officeDocument/2006/relationships/hyperlink" Target="https://drive.google.com/file/d/1MCz3kd1vc1LQS5fOCu4rMzSWIA1JeWJJ/view" TargetMode="External"/><Relationship Id="rId485" Type="http://schemas.openxmlformats.org/officeDocument/2006/relationships/hyperlink" Target="https://drive.google.com/file/d/1MIprImytd6WFXFaUkKOlUddBX-iWpxWh/view?usp=drive_link"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480" Type="http://schemas.openxmlformats.org/officeDocument/2006/relationships/hyperlink" Target="https://drive.google.com/file/d/1lmysZnJMxut3Rz0rCevssPRBiwYK3Cax/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239" Type="http://schemas.openxmlformats.org/officeDocument/2006/relationships/hyperlink" Target="https://drive.google.com/file/d/1O9Cfs_oxZgVYFsSimTuo8mDemC7NYw9x/view?usp=drive_link" TargetMode="External"/><Relationship Id="rId117" Type="http://schemas.openxmlformats.org/officeDocument/2006/relationships/hyperlink" Target="https://drive.google.com/drive/folders/1BPxSAGyiVy-1-jvATJdT5i8rGmNWcpR9" TargetMode="External"/><Relationship Id="rId238" Type="http://schemas.openxmlformats.org/officeDocument/2006/relationships/hyperlink" Target="https://drive.google.com/file/d/1gJuqi-lN-81Unn3oEB9RpOsJv8QCt39C/view"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237" Type="http://schemas.openxmlformats.org/officeDocument/2006/relationships/hyperlink" Target="https://drive.google.com/drive/folders/1SSDByYkgAheOm6w953-6f7jcshOv_oJd?usp=drive_link" TargetMode="External"/><Relationship Id="rId358" Type="http://schemas.openxmlformats.org/officeDocument/2006/relationships/hyperlink" Target="https://drive.google.com/file/d/1bKchXlLmQkCW5Ln1QzU0cU2NUwOQXwSY/view" TargetMode="External"/><Relationship Id="rId479" Type="http://schemas.openxmlformats.org/officeDocument/2006/relationships/hyperlink" Target="https://drive.google.com/file/d/17XKaz-G-6Iofx-bMDQN5Uv8E7PctPPRu/view?usp=drive_link" TargetMode="External"/><Relationship Id="rId115" Type="http://schemas.openxmlformats.org/officeDocument/2006/relationships/hyperlink" Target="https://drive.google.com/drive/folders/1SU29nf2GGQcjYjUSUBwAWS3y0Bt7IWcK" TargetMode="External"/><Relationship Id="rId236" Type="http://schemas.openxmlformats.org/officeDocument/2006/relationships/hyperlink" Target="https://drive.google.com/file/d/1gJuqi-lN-81Unn3oEB9RpOsJv8QCt39C/view" TargetMode="External"/><Relationship Id="rId357" Type="http://schemas.openxmlformats.org/officeDocument/2006/relationships/hyperlink" Target="https://drive.google.com/file/d/1ZUzqm1lvKvpDVkVjylkTDf-6ivykwYAM/view?usp=drive_link" TargetMode="External"/><Relationship Id="rId478" Type="http://schemas.openxmlformats.org/officeDocument/2006/relationships/hyperlink" Target="https://drive.google.com/file/d/1lmysZnJMxut3Rz0rCevssPRBiwYK3Cax/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231" Type="http://schemas.openxmlformats.org/officeDocument/2006/relationships/hyperlink" Target="https://drive.google.com/drive/folders/1oPXxHpAKaNsFfv3ZL2Kn4sSx2SKlKQkM?usp=drive_link" TargetMode="External"/><Relationship Id="rId352" Type="http://schemas.openxmlformats.org/officeDocument/2006/relationships/hyperlink" Target="https://drive.google.com/file/d/1R3O63rNrX_Cyk_qUvHLk_y1bNn12VM9K/view?usp=drive_link" TargetMode="External"/><Relationship Id="rId473" Type="http://schemas.openxmlformats.org/officeDocument/2006/relationships/hyperlink" Target="https://drive.google.com/file/d/1BT8rsC3tTfym17x-iPVa8J79L8u-KlcX/view?usp=drive_link" TargetMode="External"/><Relationship Id="rId594" Type="http://schemas.openxmlformats.org/officeDocument/2006/relationships/hyperlink" Target="https://drive.google.com/file/d/1c8QFeZriGWSHxebJz8AIiJwp-o4V4cOS/view?usp=drive_link" TargetMode="External"/><Relationship Id="rId230" Type="http://schemas.openxmlformats.org/officeDocument/2006/relationships/hyperlink" Target="https://drive.google.com/file/d/1sYo6TXNz9ldtOJvkhXzmV_s5wfO_B6IC/view" TargetMode="External"/><Relationship Id="rId351" Type="http://schemas.openxmlformats.org/officeDocument/2006/relationships/hyperlink" Target="https://drive.google.com/file/d/1Wb02yDqHMYXJokVLCEFb0pqqyluxWnyl/view?usp=drive_link" TargetMode="External"/><Relationship Id="rId472" Type="http://schemas.openxmlformats.org/officeDocument/2006/relationships/hyperlink" Target="https://drive.google.com/file/d/1jOfwCNzpp3Bc6B-XSPOqtyzRa0r2H1qp/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471" Type="http://schemas.openxmlformats.org/officeDocument/2006/relationships/hyperlink" Target="https://drive.google.com/file/d/19NvEzNVup_0t63DUboNA8PNXEyuSPXlq/view?usp=drive_link" TargetMode="External"/><Relationship Id="rId592" Type="http://schemas.openxmlformats.org/officeDocument/2006/relationships/hyperlink" Target="https://drive.google.com/file/d/1c8QFeZriGWSHxebJz8AIiJwp-o4V4cOS/view?usp=drive_link" TargetMode="External"/><Relationship Id="rId470" Type="http://schemas.openxmlformats.org/officeDocument/2006/relationships/hyperlink" Target="https://drive.google.com/file/d/1jOfwCNzpp3Bc6B-XSPOqtyzRa0r2H1qp/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235" Type="http://schemas.openxmlformats.org/officeDocument/2006/relationships/hyperlink" Target="https://drive.google.com/drive/folders/1PMBvqyfY6oEVOdxKNF_IxHZ1kHR1E8B6?usp=drive_link" TargetMode="External"/><Relationship Id="rId356" Type="http://schemas.openxmlformats.org/officeDocument/2006/relationships/hyperlink" Target="https://drive.google.com/file/d/1xJeh8sjzFscns2ylVyb3UPayeml8pFCg/view" TargetMode="External"/><Relationship Id="rId477" Type="http://schemas.openxmlformats.org/officeDocument/2006/relationships/hyperlink" Target="https://drive.google.com/file/d/1RZjkZg7HiF4uM9CHkCpUboKOjTdxqWtD/view?usp=drive_link"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234" Type="http://schemas.openxmlformats.org/officeDocument/2006/relationships/hyperlink" Target="https://drive.google.com/file/d/19_RFvxZTzPomiA_wwTklV-f-LMt0cm7h/view" TargetMode="External"/><Relationship Id="rId355" Type="http://schemas.openxmlformats.org/officeDocument/2006/relationships/hyperlink" Target="https://drive.google.com/file/d/1Rk25SNditx7JkQN8ODseQ1hPVCFPO2cg/view?usp=drive_link" TargetMode="External"/><Relationship Id="rId476" Type="http://schemas.openxmlformats.org/officeDocument/2006/relationships/hyperlink" Target="https://drive.google.com/file/d/1_peRjjwJFXRXVVCInHWd_P61D9g30iES/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233" Type="http://schemas.openxmlformats.org/officeDocument/2006/relationships/hyperlink" Target="https://drive.google.com/drive/folders/1cmc_8cILv-5oBN_LxbxuuFrR32b3sDxr?usp=drive_link" TargetMode="External"/><Relationship Id="rId354" Type="http://schemas.openxmlformats.org/officeDocument/2006/relationships/hyperlink" Target="https://drive.google.com/file/d/1kj1996YdBElhoPC8e4rmVAt6q0se7CHx/view" TargetMode="External"/><Relationship Id="rId475" Type="http://schemas.openxmlformats.org/officeDocument/2006/relationships/hyperlink" Target="https://drive.google.com/file/d/18-92qAk19iV-Ph4g4M9QDJYYrvAg5b6c/view?usp=drive_link"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232" Type="http://schemas.openxmlformats.org/officeDocument/2006/relationships/hyperlink" Target="https://drive.google.com/file/d/19_RFvxZTzPomiA_wwTklV-f-LMt0cm7h/view" TargetMode="External"/><Relationship Id="rId353" Type="http://schemas.openxmlformats.org/officeDocument/2006/relationships/hyperlink" Target="https://drive.google.com/file/d/1Fa0_wHc9fbYPWpaEL5XgbgFt3sZStVAN/view?usp=drive_link" TargetMode="External"/><Relationship Id="rId474" Type="http://schemas.openxmlformats.org/officeDocument/2006/relationships/hyperlink" Target="https://drive.google.com/file/d/1_peRjjwJFXRXVVCInHWd_P61D9g30iES/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426" Type="http://schemas.openxmlformats.org/officeDocument/2006/relationships/hyperlink" Target="https://drive.google.com/file/d/13pXcvCUx9c8SPn2ma4J79saTiX8R3OBl/view?usp=drive_link" TargetMode="External"/><Relationship Id="rId547" Type="http://schemas.openxmlformats.org/officeDocument/2006/relationships/hyperlink" Target="https://drive.google.com/file/d/1K-HVaYhIWMCkgcNN-Vht0vhIcDTmkdQm/view?usp=drive_link" TargetMode="External"/><Relationship Id="rId304" Type="http://schemas.openxmlformats.org/officeDocument/2006/relationships/hyperlink" Target="https://drive.google.com/file/d/1gEF5XDp58f_Q6_W_S48zhi7Jepmgo1ws/view" TargetMode="External"/><Relationship Id="rId425" Type="http://schemas.openxmlformats.org/officeDocument/2006/relationships/hyperlink" Target="https://drive.google.com/file/d/1Rw-OqeAplv_CBztcf1OIiQWqbjbQj4hE/view?usp=drive_link" TargetMode="External"/><Relationship Id="rId546" Type="http://schemas.openxmlformats.org/officeDocument/2006/relationships/hyperlink" Target="https://drive.google.com/file/d/1vJIiKH27Y8iH3fhnq-qfTVH7fZtXuH5W/view?usp=drive_link" TargetMode="External"/><Relationship Id="rId303" Type="http://schemas.openxmlformats.org/officeDocument/2006/relationships/hyperlink" Target="https://drive.google.com/file/d/1kWxgP5Dc7yX4SNzLOoav6N_o8YxSpbgJ/view?usp=drive_link" TargetMode="External"/><Relationship Id="rId424" Type="http://schemas.openxmlformats.org/officeDocument/2006/relationships/hyperlink" Target="https://drive.google.com/file/d/13pXcvCUx9c8SPn2ma4J79saTiX8R3OBl/view?usp=drive_link" TargetMode="External"/><Relationship Id="rId545" Type="http://schemas.openxmlformats.org/officeDocument/2006/relationships/hyperlink" Target="https://drive.google.com/file/d/1VsLZIkMDoNWXf4wqiDyfRKmUAWWQA085/view?usp=drive_link" TargetMode="External"/><Relationship Id="rId302" Type="http://schemas.openxmlformats.org/officeDocument/2006/relationships/hyperlink" Target="https://drive.google.com/file/d/1I7M201_q8Yf-YCZExBOfWv8yrciAvs1F/view" TargetMode="External"/><Relationship Id="rId423" Type="http://schemas.openxmlformats.org/officeDocument/2006/relationships/hyperlink" Target="https://drive.google.com/file/d/1iovpJ_LjgTMG-7h6V30tO8GtD7r0RUzS/view?usp=drive_link" TargetMode="External"/><Relationship Id="rId544" Type="http://schemas.openxmlformats.org/officeDocument/2006/relationships/hyperlink" Target="https://drive.google.com/file/d/1vJIiKH27Y8iH3fhnq-qfTVH7fZtXuH5W/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429" Type="http://schemas.openxmlformats.org/officeDocument/2006/relationships/hyperlink" Target="https://drive.google.com/file/d/1QNdC7pGN9ZpuZgXdBbxs7_u-8NmvBC7k/view?usp=drive_link" TargetMode="External"/><Relationship Id="rId307" Type="http://schemas.openxmlformats.org/officeDocument/2006/relationships/hyperlink" Target="https://drive.google.com/file/d/1XOFBDzYOaWklg-X54LvI7-oh4cRIcDSk/view?usp=drive_link" TargetMode="External"/><Relationship Id="rId428" Type="http://schemas.openxmlformats.org/officeDocument/2006/relationships/hyperlink" Target="https://drive.google.com/file/d/1lHNrJlICeXoMfvp2Qa6Qc0GO_SxvwvZ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427" Type="http://schemas.openxmlformats.org/officeDocument/2006/relationships/hyperlink" Target="https://drive.google.com/file/d/1jhqjMTqTzjbfyC5EXfJndpPhbD62VED1/view?usp=drive_link" TargetMode="External"/><Relationship Id="rId548" Type="http://schemas.openxmlformats.org/officeDocument/2006/relationships/hyperlink" Target="https://drive.google.com/file/d/1vJIiKH27Y8iH3fhnq-qfTVH7fZtXuH5W/view?usp=drive_link" TargetMode="External"/><Relationship Id="rId301" Type="http://schemas.openxmlformats.org/officeDocument/2006/relationships/hyperlink" Target="https://drive.google.com/file/d/1-HJVzo-IcUhnuX5R8ob-caKiir4PqoK6/view?usp=drive_link" TargetMode="External"/><Relationship Id="rId422" Type="http://schemas.openxmlformats.org/officeDocument/2006/relationships/hyperlink" Target="https://drive.google.com/file/d/1q4gK1LKOTgb1K32ydanXTaWAN-zlIxBV/view?usp=drive_link" TargetMode="External"/><Relationship Id="rId543" Type="http://schemas.openxmlformats.org/officeDocument/2006/relationships/hyperlink" Target="https://drive.google.com/file/d/180ltupRTK9O1SnXuSJSMKNsKolVZfikL/view?usp=drive_link" TargetMode="External"/><Relationship Id="rId300" Type="http://schemas.openxmlformats.org/officeDocument/2006/relationships/hyperlink" Target="https://drive.google.com/file/d/1I7M201_q8Yf-YCZExBOfWv8yrciAvs1F/view" TargetMode="External"/><Relationship Id="rId421" Type="http://schemas.openxmlformats.org/officeDocument/2006/relationships/hyperlink" Target="https://drive.google.com/file/d/10diD3UkrTZ17hwVmSPsLMTRskG6Vao9Y/view?usp=drive_link" TargetMode="External"/><Relationship Id="rId542" Type="http://schemas.openxmlformats.org/officeDocument/2006/relationships/hyperlink" Target="https://drive.google.com/file/d/1vJIiKH27Y8iH3fhnq-qfTVH7fZtXuH5W/view?usp=drive_link" TargetMode="External"/><Relationship Id="rId420" Type="http://schemas.openxmlformats.org/officeDocument/2006/relationships/hyperlink" Target="https://drive.google.com/file/d/1fBcm7ZMF5W_9xW5WxiWcYS2pPwAg_nD8/view?usp=drive_link" TargetMode="External"/><Relationship Id="rId541" Type="http://schemas.openxmlformats.org/officeDocument/2006/relationships/hyperlink" Target="https://drive.google.com/file/d/1ntRHraf3wWEbV8LX2-qCs5EQz_pumpey/view?usp=drive_link" TargetMode="External"/><Relationship Id="rId540" Type="http://schemas.openxmlformats.org/officeDocument/2006/relationships/hyperlink" Target="https://drive.google.com/file/d/1yrATA8kFY0vCZ-4LHQqRM_xteSPIrxpg/view?usp=drive_link" TargetMode="External"/><Relationship Id="rId415" Type="http://schemas.openxmlformats.org/officeDocument/2006/relationships/hyperlink" Target="https://drive.google.com/file/d/1Gsbdbrm8CiY6wQhWjwrq-pU3QaFdFwZE/view?usp=drive_link" TargetMode="External"/><Relationship Id="rId536" Type="http://schemas.openxmlformats.org/officeDocument/2006/relationships/hyperlink" Target="https://drive.google.com/file/d/1llMoJlQ_OShGGKjmNDt7eKNx6ZXNsEt_/view?usp=drive_link" TargetMode="External"/><Relationship Id="rId414" Type="http://schemas.openxmlformats.org/officeDocument/2006/relationships/hyperlink" Target="https://drive.google.com/file/d/1QZJpFcnAQSNZkD1YePCJaoMCu1meWVNY/view?usp=drive_link" TargetMode="External"/><Relationship Id="rId535" Type="http://schemas.openxmlformats.org/officeDocument/2006/relationships/hyperlink" Target="https://drive.google.com/file/d/115g0MJVeopQOOfBuGckjlt7oSiX3kPKi/view?usp=drive_link" TargetMode="External"/><Relationship Id="rId413" Type="http://schemas.openxmlformats.org/officeDocument/2006/relationships/hyperlink" Target="https://drive.google.com/file/d/1GzRccsEbdxH7r3-NQgeellyT5WE6gqLi/view?usp=drive_link" TargetMode="External"/><Relationship Id="rId534" Type="http://schemas.openxmlformats.org/officeDocument/2006/relationships/hyperlink" Target="https://drive.google.com/file/d/1sJP4JnKqqRyszUDP06uZL6gmUbqmFktZ/view?usp=drive_link" TargetMode="External"/><Relationship Id="rId412" Type="http://schemas.openxmlformats.org/officeDocument/2006/relationships/hyperlink" Target="https://drive.google.com/file/d/1JJJtHCUK9LchQ62DDxl5Dx0yQxu6wy5W/view?usp=drive_link" TargetMode="External"/><Relationship Id="rId533" Type="http://schemas.openxmlformats.org/officeDocument/2006/relationships/hyperlink" Target="https://drive.google.com/file/d/1vWv7trVdidDBgUCOPKFIhmiQK3z1zKvG/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539" Type="http://schemas.openxmlformats.org/officeDocument/2006/relationships/hyperlink" Target="https://drive.google.com/file/d/1a8BJSkpE7K5VTd4ZxiN8YsHYUU1eInfc/view?usp=drive_link" TargetMode="External"/><Relationship Id="rId417" Type="http://schemas.openxmlformats.org/officeDocument/2006/relationships/hyperlink" Target="https://drive.google.com/file/d/1f1Pp2QIgTbwK5udObbWPa8HckY5uIJ6j/view?usp=drive_link" TargetMode="External"/><Relationship Id="rId538" Type="http://schemas.openxmlformats.org/officeDocument/2006/relationships/hyperlink" Target="https://drive.google.com/file/d/1yrATA8kFY0vCZ-4LHQqRM_xteSPIrxpg/view?usp=drive_link" TargetMode="External"/><Relationship Id="rId416" Type="http://schemas.openxmlformats.org/officeDocument/2006/relationships/hyperlink" Target="https://drive.google.com/file/d/1aluJ1MFLclKkx9k5g8DJEqm71dCYHs8S/view?usp=drive_link" TargetMode="External"/><Relationship Id="rId537" Type="http://schemas.openxmlformats.org/officeDocument/2006/relationships/hyperlink" Target="https://drive.google.com/file/d/1Rcq1N47P6-QlcLqJK2ipTmZwwexXGdkH/view?usp=drive_link" TargetMode="External"/><Relationship Id="rId411" Type="http://schemas.openxmlformats.org/officeDocument/2006/relationships/hyperlink" Target="https://drive.google.com/file/d/1_gt4XR-Luj0dnfHS4m9DKKsmrkeyWyWS/view?usp=drive_link" TargetMode="External"/><Relationship Id="rId532" Type="http://schemas.openxmlformats.org/officeDocument/2006/relationships/hyperlink" Target="https://drive.google.com/file/d/1d3ALVVyNagSJ724tcp5lSjnFxmIxZ_tH/view?usp=drive_link" TargetMode="External"/><Relationship Id="rId410" Type="http://schemas.openxmlformats.org/officeDocument/2006/relationships/hyperlink" Target="https://drive.google.com/file/d/1JJJtHCUK9LchQ62DDxl5Dx0yQxu6wy5W/view?usp=drive_link" TargetMode="External"/><Relationship Id="rId531" Type="http://schemas.openxmlformats.org/officeDocument/2006/relationships/hyperlink" Target="https://drive.google.com/file/d/1VbQocBkuVcDVy_50alfuW3gy15vBnpHR/view?usp=drive_link" TargetMode="External"/><Relationship Id="rId530" Type="http://schemas.openxmlformats.org/officeDocument/2006/relationships/hyperlink" Target="https://drive.google.com/file/d/1evJ90vRP7A8upIW5uphC5KOcPb0Wf5Ad/view?usp=drive_link" TargetMode="External"/><Relationship Id="rId206" Type="http://schemas.openxmlformats.org/officeDocument/2006/relationships/hyperlink" Target="https://drive.google.com/file/d/1BG32TgKGaRtufwerwTW7YZfb2dWT1xWK/view" TargetMode="External"/><Relationship Id="rId327" Type="http://schemas.openxmlformats.org/officeDocument/2006/relationships/hyperlink" Target="https://drive.google.com/file/d/1W6vhr6j1KbyLWCOznVFDx0KAEcW06Gy9/view?usp=drive_link" TargetMode="External"/><Relationship Id="rId448" Type="http://schemas.openxmlformats.org/officeDocument/2006/relationships/hyperlink" Target="https://drive.google.com/file/d/1W3OsXQH6SuaRqHnIvUVV-eYw71PgdRmT/view?usp=drive_link" TargetMode="External"/><Relationship Id="rId569" Type="http://schemas.openxmlformats.org/officeDocument/2006/relationships/hyperlink" Target="https://drive.google.com/file/d/1gHs1KCZqxDMcy8nlRkY_lMQgwkfSFufR/view?usp=drive_link" TargetMode="External"/><Relationship Id="rId205" Type="http://schemas.openxmlformats.org/officeDocument/2006/relationships/hyperlink" Target="https://drive.google.com/drive/folders/1fAzD7l-vUzY6BxNquiALoQe2MsurkOTK" TargetMode="External"/><Relationship Id="rId326" Type="http://schemas.openxmlformats.org/officeDocument/2006/relationships/hyperlink" Target="https://drive.google.com/file/d/1E4lRjs_SNghSDYccDNGmBe8ej4OuTyBf/view" TargetMode="External"/><Relationship Id="rId447" Type="http://schemas.openxmlformats.org/officeDocument/2006/relationships/hyperlink" Target="https://drive.google.com/file/d/1vQREzFNgchPy28wxAgwjeGwFUxH8aZMm/view?usp=drive_link" TargetMode="External"/><Relationship Id="rId568" Type="http://schemas.openxmlformats.org/officeDocument/2006/relationships/hyperlink" Target="https://drive.google.com/file/d/1YhtzQMMNY-QchbdPNRl0mnILf4vgpSWM/view?usp=drive_link" TargetMode="External"/><Relationship Id="rId204" Type="http://schemas.openxmlformats.org/officeDocument/2006/relationships/hyperlink" Target="https://drive.google.com/file/d/1BG32TgKGaRtufwerwTW7YZfb2dWT1xWK/view" TargetMode="External"/><Relationship Id="rId325" Type="http://schemas.openxmlformats.org/officeDocument/2006/relationships/hyperlink" Target="https://drive.google.com/file/d/12cjcWJ4PCW4MWTg38UOzyPct2JJmFwUi/view?usp=drive_link" TargetMode="External"/><Relationship Id="rId446" Type="http://schemas.openxmlformats.org/officeDocument/2006/relationships/hyperlink" Target="https://drive.google.com/file/d/1W3OsXQH6SuaRqHnIvUVV-eYw71PgdRmT/view?usp=drive_link" TargetMode="External"/><Relationship Id="rId567" Type="http://schemas.openxmlformats.org/officeDocument/2006/relationships/hyperlink" Target="https://drive.google.com/file/d/1LKnJGXapwMIAZtH2J2iwaGooKVeesTKO/view?usp=drive_link" TargetMode="External"/><Relationship Id="rId203" Type="http://schemas.openxmlformats.org/officeDocument/2006/relationships/hyperlink" Target="https://drive.google.com/drive/folders/12f3Diln6OPmsZLvwP8hP86Xh2hJBzt1J" TargetMode="External"/><Relationship Id="rId324" Type="http://schemas.openxmlformats.org/officeDocument/2006/relationships/hyperlink" Target="https://drive.google.com/file/d/1E4lRjs_SNghSDYccDNGmBe8ej4OuTyBf/view" TargetMode="External"/><Relationship Id="rId445" Type="http://schemas.openxmlformats.org/officeDocument/2006/relationships/hyperlink" Target="https://drive.google.com/file/d/1trV6k7D3-sLYbr9aUUkRyxVEPcUJzTgv/view?usp=drive_link" TargetMode="External"/><Relationship Id="rId566" Type="http://schemas.openxmlformats.org/officeDocument/2006/relationships/hyperlink" Target="https://drive.google.com/file/d/1YhtzQMMNY-QchbdPNRl0mnILf4vgpSWM/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329" Type="http://schemas.openxmlformats.org/officeDocument/2006/relationships/hyperlink" Target="https://drive.google.com/open?id=12h46saWjV1NSzWRw7p65ZL8Zo8Ma8Omw&amp;usp=drive_copy" TargetMode="External"/><Relationship Id="rId207" Type="http://schemas.openxmlformats.org/officeDocument/2006/relationships/hyperlink" Target="https://drive.google.com/drive/folders/1Y3CR0YQzJpGP1FT9PXbnKxhub1auJy_U" TargetMode="External"/><Relationship Id="rId328" Type="http://schemas.openxmlformats.org/officeDocument/2006/relationships/hyperlink" Target="https://drive.google.com/file/d/1E4lRjs_SNghSDYccDNGmBe8ej4OuTyBf/view"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202" Type="http://schemas.openxmlformats.org/officeDocument/2006/relationships/hyperlink" Target="https://drive.google.com/file/d/1sqGOiU9bPuy80aNNsZcikdJvdvQruprd/view" TargetMode="External"/><Relationship Id="rId323" Type="http://schemas.openxmlformats.org/officeDocument/2006/relationships/hyperlink" Target="https://drive.google.com/file/d/1V32G6iSeQBwAuttEtRF0nwPZPKr-mPJ4/view?usp=drive_link" TargetMode="External"/><Relationship Id="rId444" Type="http://schemas.openxmlformats.org/officeDocument/2006/relationships/hyperlink" Target="https://drive.google.com/file/d/1d3gksjhHgTmCjqdODDIwlsYN-ALz4NOy/view?usp=drive_link" TargetMode="External"/><Relationship Id="rId565" Type="http://schemas.openxmlformats.org/officeDocument/2006/relationships/hyperlink" Target="https://drive.google.com/file/d/1QQ7qZi7T6Ks2PeeIgOJjKegDgWfcczjQ/view?usp=drive_link" TargetMode="External"/><Relationship Id="rId201" Type="http://schemas.openxmlformats.org/officeDocument/2006/relationships/hyperlink" Target="https://drive.google.com/drive/folders/1Bm2hx0r2oHzGJiF1jwMxLU2tR5ExXED5" TargetMode="External"/><Relationship Id="rId322" Type="http://schemas.openxmlformats.org/officeDocument/2006/relationships/hyperlink" Target="https://drive.google.com/file/d/1E4lRjs_SNghSDYccDNGmBe8ej4OuTyBf/view" TargetMode="External"/><Relationship Id="rId443" Type="http://schemas.openxmlformats.org/officeDocument/2006/relationships/hyperlink" Target="https://drive.google.com/file/d/1HVZsUDbi54nlyfGvQDdlpUUf-V98sitr/view?usp=drive_link" TargetMode="External"/><Relationship Id="rId564" Type="http://schemas.openxmlformats.org/officeDocument/2006/relationships/hyperlink" Target="https://drive.google.com/file/d/1YhtzQMMNY-QchbdPNRl0mnILf4vgpSWM/view?usp=drive_link" TargetMode="External"/><Relationship Id="rId200" Type="http://schemas.openxmlformats.org/officeDocument/2006/relationships/hyperlink" Target="https://drive.google.com/file/d/1NE6d31HI-gp9nQh_cM6ec6JGuWqdUjL5/view" TargetMode="External"/><Relationship Id="rId321" Type="http://schemas.openxmlformats.org/officeDocument/2006/relationships/hyperlink" Target="https://drive.google.com/file/d/1gIiVLJ5eZwwRSNo8U9lxdbUgke_MDxZt/view?usp=drive_link" TargetMode="External"/><Relationship Id="rId442" Type="http://schemas.openxmlformats.org/officeDocument/2006/relationships/hyperlink" Target="https://drive.google.com/file/d/1d3gksjhHgTmCjqdODDIwlsYN-ALz4NOy/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441" Type="http://schemas.openxmlformats.org/officeDocument/2006/relationships/hyperlink" Target="https://drive.google.com/file/d/1hbQLn-wn5bvyVs2SG8kY093tcRFN-jls/view?usp=drive_link"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437" Type="http://schemas.openxmlformats.org/officeDocument/2006/relationships/hyperlink" Target="https://drive.google.com/file/d/1ivXBa47Vy6Dh7hJZ_3pZmYE4XiP7ar9J/view?usp=drive_link"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436" Type="http://schemas.openxmlformats.org/officeDocument/2006/relationships/hyperlink" Target="https://drive.google.com/file/d/1U_tQnCZbY05PVqCRdVMsyh8X2_MN9yFi/view?usp=drive_link" TargetMode="External"/><Relationship Id="rId557" Type="http://schemas.openxmlformats.org/officeDocument/2006/relationships/hyperlink" Target="https://drive.google.com/file/d/16EklhdKX4S2ff2k-PLJDVb7WluQg8_Dd/view?usp=drive_link" TargetMode="External"/><Relationship Id="rId314" Type="http://schemas.openxmlformats.org/officeDocument/2006/relationships/hyperlink" Target="https://drive.google.com/file/d/1-ikaWrXiHFMKvg3b5zM152AnMRWPs9d1/view" TargetMode="External"/><Relationship Id="rId435" Type="http://schemas.openxmlformats.org/officeDocument/2006/relationships/hyperlink" Target="https://drive.google.com/file/d/1o9aY2xyx4JLFDVrgJp9wFXFGhvaC8bOE/view?usp=drive_link" TargetMode="External"/><Relationship Id="rId556" Type="http://schemas.openxmlformats.org/officeDocument/2006/relationships/hyperlink" Target="https://drive.google.com/file/d/1CndXSlkDFITRZrCMbawccCngmWYq4G-N/view?usp=drive_link" TargetMode="External"/><Relationship Id="rId313" Type="http://schemas.openxmlformats.org/officeDocument/2006/relationships/hyperlink" Target="https://drive.google.com/file/d/1A3yNLsIgyiVK9VC3d68QiIRx0LU5lz9K/view?usp=drive_link" TargetMode="External"/><Relationship Id="rId434" Type="http://schemas.openxmlformats.org/officeDocument/2006/relationships/hyperlink" Target="https://drive.google.com/file/d/1U_tQnCZbY05PVqCRdVMsyh8X2_MN9yFi/view?usp=drive_link" TargetMode="External"/><Relationship Id="rId555" Type="http://schemas.openxmlformats.org/officeDocument/2006/relationships/hyperlink" Target="https://drive.google.com/file/d/1kkw3fSM-BaAZ54ZjcEPbmKPV7_mxjuDA/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439" Type="http://schemas.openxmlformats.org/officeDocument/2006/relationships/hyperlink" Target="https://drive.google.com/file/d/1_Ksf0IxfjzmjgB7Bsfywcp3CozI_E4WA/view?usp=drive_link" TargetMode="External"/><Relationship Id="rId317" Type="http://schemas.openxmlformats.org/officeDocument/2006/relationships/hyperlink" Target="https://drive.google.com/file/d/1B2EVUCYH0kwAWSEXgLEKdS91ysFmEp-r/view?usp=drive_link" TargetMode="External"/><Relationship Id="rId438" Type="http://schemas.openxmlformats.org/officeDocument/2006/relationships/hyperlink" Target="https://drive.google.com/file/d/1Eql9jEnS8PKiXqdEnjXVF8fHiGsdjHMy/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312" Type="http://schemas.openxmlformats.org/officeDocument/2006/relationships/hyperlink" Target="https://drive.google.com/file/d/1-ikaWrXiHFMKvg3b5zM152AnMRWPs9d1/view" TargetMode="External"/><Relationship Id="rId433" Type="http://schemas.openxmlformats.org/officeDocument/2006/relationships/hyperlink" Target="https://drive.google.com/file/d/1xuRP2wCvMLBmZFf0K18L5XPGxebfhRFP/view?usp=drive_link" TargetMode="External"/><Relationship Id="rId554" Type="http://schemas.openxmlformats.org/officeDocument/2006/relationships/hyperlink" Target="https://drive.google.com/file/d/1Vf9E8ujUWPCwzBgiwjYdqmSlSC6GvsPF/view?usp=drive_link" TargetMode="External"/><Relationship Id="rId311" Type="http://schemas.openxmlformats.org/officeDocument/2006/relationships/hyperlink" Target="https://drive.google.com/file/d/140SjiitGF3iownp-dLvD8HrqisrW749F/view?usp=drive_link" TargetMode="External"/><Relationship Id="rId432" Type="http://schemas.openxmlformats.org/officeDocument/2006/relationships/hyperlink" Target="https://drive.google.com/file/d/1U_tQnCZbY05PVqCRdVMsyh8X2_MN9yFi/view?usp=drive_link" TargetMode="External"/><Relationship Id="rId553" Type="http://schemas.openxmlformats.org/officeDocument/2006/relationships/hyperlink" Target="https://drive.google.com/file/d/10DWUD0o3NG7oBI7xmfKJvMmgakFdHuuL/view?usp=drive_link" TargetMode="External"/><Relationship Id="rId310" Type="http://schemas.openxmlformats.org/officeDocument/2006/relationships/hyperlink" Target="https://drive.google.com/file/d/1-ikaWrXiHFMKvg3b5zM152AnMRWPs9d1/view" TargetMode="External"/><Relationship Id="rId431" Type="http://schemas.openxmlformats.org/officeDocument/2006/relationships/hyperlink" Target="https://drive.google.com/file/d/1L6V5qv03cQXBueYZ3pqmYdaZ-wo5M65_/view?usp=drive_link" TargetMode="External"/><Relationship Id="rId552" Type="http://schemas.openxmlformats.org/officeDocument/2006/relationships/hyperlink" Target="https://drive.google.com/file/d/1Vf9E8ujUWPCwzBgiwjYdqmSlSC6GvsPF/view?usp=drive_link" TargetMode="External"/><Relationship Id="rId430" Type="http://schemas.openxmlformats.org/officeDocument/2006/relationships/hyperlink" Target="https://drive.google.com/file/d/1lHNrJlICeXoMfvp2Qa6Qc0GO_SxvwvZk/view?usp=drive_link" TargetMode="External"/><Relationship Id="rId551" Type="http://schemas.openxmlformats.org/officeDocument/2006/relationships/hyperlink" Target="https://drive.google.com/file/d/1YTQUKVi6_wjzbVwyKV0yLp4Lt_kv9bP5/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297" Type="http://schemas.openxmlformats.org/officeDocument/2006/relationships/hyperlink" Target="https://drive.google.com/file/d/1A70x0moTxv2AuxrGLtW2lKGNGcyv5ntj/view?usp=drive_link" TargetMode="External"/><Relationship Id="rId175" Type="http://schemas.openxmlformats.org/officeDocument/2006/relationships/hyperlink" Target="https://drive.google.com/file/d/1bhI6WDXzCIH63wdYa91YSSlDehmxYTRI/view" TargetMode="External"/><Relationship Id="rId296" Type="http://schemas.openxmlformats.org/officeDocument/2006/relationships/hyperlink" Target="https://drive.google.com/file/d/1UC7ZlO3t8-nuL4ZfMMJI7JPZCcKph9ei/view?usp=drive_link" TargetMode="External"/><Relationship Id="rId174" Type="http://schemas.openxmlformats.org/officeDocument/2006/relationships/hyperlink" Target="https://drive.google.com/file/d/1R3O63rNrX_Cyk_qUvHLk_y1bNn12VM9K/view?usp=drive_link" TargetMode="External"/><Relationship Id="rId295" Type="http://schemas.openxmlformats.org/officeDocument/2006/relationships/hyperlink" Target="https://drive.google.com/file/d/1EGRnCfZxRo59RRfQWKFPv9IfeAKwKYyB/view?usp=drive_link" TargetMode="External"/><Relationship Id="rId173" Type="http://schemas.openxmlformats.org/officeDocument/2006/relationships/hyperlink" Target="https://drive.google.com/file/d/1u0vtskJe-OTTUy_tj5xtlpiDIGy22sGL/view?usp=drive_link" TargetMode="External"/><Relationship Id="rId294" Type="http://schemas.openxmlformats.org/officeDocument/2006/relationships/hyperlink" Target="https://drive.google.com/file/d/1FJTy-Qm6Bzce671JV-J6yHf472qo1_0o/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299" Type="http://schemas.openxmlformats.org/officeDocument/2006/relationships/hyperlink" Target="https://drive.google.com/file/d/1g86re4S_v2xQmunpoOdtdg7tlx1Uigip/view?usp=drive_link" TargetMode="External"/><Relationship Id="rId177" Type="http://schemas.openxmlformats.org/officeDocument/2006/relationships/hyperlink" Target="https://drive.google.com/file/d/1hdiKvUjHRqHRg0dBgY024y51LMEyAWJm/view" TargetMode="External"/><Relationship Id="rId298" Type="http://schemas.openxmlformats.org/officeDocument/2006/relationships/hyperlink" Target="https://drive.google.com/file/d/1Gw-jRhVWN0A0ejQYYdNTNPhBj76QR-ub/view?usp=drive_link"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269" Type="http://schemas.openxmlformats.org/officeDocument/2006/relationships/hyperlink" Target="https://drive.google.com/file/d/1sKd13kKguvDjaLQYL2AHKMIwBx6hrhuu/view?usp=drive_link"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264" Type="http://schemas.openxmlformats.org/officeDocument/2006/relationships/hyperlink" Target="https://drive.google.com/file/d/11mBPyIqIy6hutMY2I3OJ9Q-uulfZ9AZW/view?usp=drive_link" TargetMode="External"/><Relationship Id="rId142" Type="http://schemas.openxmlformats.org/officeDocument/2006/relationships/hyperlink" Target="https://drive.google.com/file/d/1xGXSAHLkYRzDXn04hAvZ6docZO-Ai892/view" TargetMode="External"/><Relationship Id="rId263" Type="http://schemas.openxmlformats.org/officeDocument/2006/relationships/hyperlink" Target="https://drive.google.com/file/d/1NLoZbJ3mln9xSK0POYB54aOTVXeeJTX6/view?usp=drive_link" TargetMode="External"/><Relationship Id="rId141" Type="http://schemas.openxmlformats.org/officeDocument/2006/relationships/hyperlink" Target="https://drive.google.com/file/d/10dFIT-4qwePcefOljqnZMHrSCkyYwEPO/view" TargetMode="External"/><Relationship Id="rId262" Type="http://schemas.openxmlformats.org/officeDocument/2006/relationships/hyperlink" Target="https://drive.google.com/file/d/1hee2b5b_D81j3LImGlJJJsO_retOH-_V/view?usp=drive_link" TargetMode="External"/><Relationship Id="rId140" Type="http://schemas.openxmlformats.org/officeDocument/2006/relationships/hyperlink" Target="https://drive.google.com/file/d/1ectRKZ-xxSBv5pi8YBZrMZilnSWSbArF/view" TargetMode="External"/><Relationship Id="rId261" Type="http://schemas.openxmlformats.org/officeDocument/2006/relationships/hyperlink" Target="https://drive.google.com/file/d/1ssNNS-AUNqigoK4Pxi4sYhx8PLZ8DIJ3/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268" Type="http://schemas.openxmlformats.org/officeDocument/2006/relationships/hyperlink" Target="https://drive.google.com/file/d/11dw4dbRuW3eRhbalu3HdLQKnhGQUslSN/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267" Type="http://schemas.openxmlformats.org/officeDocument/2006/relationships/hyperlink" Target="https://drive.google.com/file/d/1_57dnpB5F3G53tGA5ZSWpaj6pPCfqnuk/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266" Type="http://schemas.openxmlformats.org/officeDocument/2006/relationships/hyperlink" Target="https://drive.google.com/file/d/1HnpijX0PW3HB4Xbk-6-cG1RtekGM08Le/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259" Type="http://schemas.openxmlformats.org/officeDocument/2006/relationships/hyperlink" Target="https://drive.google.com/file/d/1XRXM-AYfFAbwSOigRR6AOBtFWWoFYyEf/view?usp=drive_link" TargetMode="External"/><Relationship Id="rId137" Type="http://schemas.openxmlformats.org/officeDocument/2006/relationships/hyperlink" Target="https://drive.google.com/file/d/1qpjVdNtMaQWSrb82pAXu3X9oc_aEZQqn/view" TargetMode="External"/><Relationship Id="rId258" Type="http://schemas.openxmlformats.org/officeDocument/2006/relationships/hyperlink" Target="https://drive.google.com/file/d/1vqEeF3Zv1MHx-ZrOQCGF5SzmgAChJXxx/view?usp=drive_link" TargetMode="External"/><Relationship Id="rId132" Type="http://schemas.openxmlformats.org/officeDocument/2006/relationships/hyperlink" Target="https://drive.google.com/file/d/1qajxwp3lBa43Qzby76VhHBs6DkI5-7uV/view" TargetMode="External"/><Relationship Id="rId253" Type="http://schemas.openxmlformats.org/officeDocument/2006/relationships/hyperlink" Target="https://drive.google.com/file/d/1lmysZnJMxut3Rz0rCevssPRBiwYK3Cax/view?usp=drive_link" TargetMode="External"/><Relationship Id="rId131" Type="http://schemas.openxmlformats.org/officeDocument/2006/relationships/hyperlink" Target="https://drive.google.com/file/d/1PUjMG7tMF8vR8sTwmC-ebn5KtslFsdU9/view" TargetMode="External"/><Relationship Id="rId252" Type="http://schemas.openxmlformats.org/officeDocument/2006/relationships/hyperlink" Target="https://drive.google.com/file/d/1fkHI3RtDeA8ld2w9M_HFSJyZtnI_qYTK/view?usp=drive_link" TargetMode="External"/><Relationship Id="rId130" Type="http://schemas.openxmlformats.org/officeDocument/2006/relationships/hyperlink" Target="https://drive.google.com/file/d/1ft-St0-PEDk3-kIVJyfavW2wvLzFwgPD/view"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136" Type="http://schemas.openxmlformats.org/officeDocument/2006/relationships/hyperlink" Target="https://drive.google.com/file/d/1DQhPhxsdFTVyeQ7aYbZjN-rvmo2MNGbX/view" TargetMode="External"/><Relationship Id="rId257" Type="http://schemas.openxmlformats.org/officeDocument/2006/relationships/hyperlink" Target="https://drive.google.com/file/d/1wmE3tpAo2xesteygoEwj4qPnaJ8bvuY9/view?usp=drive_link" TargetMode="External"/><Relationship Id="rId135" Type="http://schemas.openxmlformats.org/officeDocument/2006/relationships/hyperlink" Target="https://drive.google.com/file/d/1KW-IlyQjl-zZo63FW6tLRWhdvK_sS__Z/view" TargetMode="External"/><Relationship Id="rId256" Type="http://schemas.openxmlformats.org/officeDocument/2006/relationships/hyperlink" Target="https://drive.google.com/file/d/1CPqfwWoPATcnWOr0iSPTWGoebpOP8rhf/view?usp=drive_link" TargetMode="External"/><Relationship Id="rId134" Type="http://schemas.openxmlformats.org/officeDocument/2006/relationships/hyperlink" Target="https://drive.google.com/file/d/1_V4iitkCRPA0gaGWAb_0FMZdwRwMfBYY/view" TargetMode="External"/><Relationship Id="rId255" Type="http://schemas.openxmlformats.org/officeDocument/2006/relationships/hyperlink" Target="https://drive.google.com/file/d/1P4v9ir8ehwiazVNGVqhlgQk0o49Dyfk2/view?usp=drive_link" TargetMode="External"/><Relationship Id="rId133" Type="http://schemas.openxmlformats.org/officeDocument/2006/relationships/hyperlink" Target="https://drive.google.com/file/d/13x_r5byLaBzFewotlH3xMKtxpMp-PqkB/view" TargetMode="External"/><Relationship Id="rId254" Type="http://schemas.openxmlformats.org/officeDocument/2006/relationships/hyperlink" Target="https://drive.google.com/file/d/1teYeZTRuVmYb_g8d4RbMaRwCuaOrWKH6/view?usp=drive_link" TargetMode="External"/><Relationship Id="rId172" Type="http://schemas.openxmlformats.org/officeDocument/2006/relationships/hyperlink" Target="https://drive.google.com/file/d/1gCkgDjuXQMP02byADdYr-xN4IQGwBqGR/view?usp=drive_link" TargetMode="External"/><Relationship Id="rId293" Type="http://schemas.openxmlformats.org/officeDocument/2006/relationships/hyperlink" Target="https://drive.google.com/file/d/1fd11uuL347n8QOnplvzu5XxomDbJtvFx/view?usp=drive_link" TargetMode="External"/><Relationship Id="rId171" Type="http://schemas.openxmlformats.org/officeDocument/2006/relationships/hyperlink" Target="https://drive.google.com/file/d/1Bqe1jBD4NX36pyOyf2xU3Lew4Xf3jyK-/view" TargetMode="External"/><Relationship Id="rId292" Type="http://schemas.openxmlformats.org/officeDocument/2006/relationships/hyperlink" Target="https://drive.google.com/file/d/1sJP4JnKqqRyszUDP06uZL6gmUbqmFktZ/view?usp=drive_link" TargetMode="External"/><Relationship Id="rId170" Type="http://schemas.openxmlformats.org/officeDocument/2006/relationships/hyperlink" Target="https://drive.google.com/file/d/1MCz3kd1vc1LQS5fOCu4rMzSWIA1JeWJJ/view"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165" Type="http://schemas.openxmlformats.org/officeDocument/2006/relationships/hyperlink" Target="https://drive.google.com/file/d/1FlNfv2a-fRdUmR9Rw-FUcejluyJY_ntR/view" TargetMode="External"/><Relationship Id="rId286" Type="http://schemas.openxmlformats.org/officeDocument/2006/relationships/hyperlink" Target="https://drive.google.com/file/d/1_fNiqSMFpsyGZhTCjjbY3BbSS7kIS-ig/view?usp=drive_link" TargetMode="External"/><Relationship Id="rId164" Type="http://schemas.openxmlformats.org/officeDocument/2006/relationships/hyperlink" Target="https://drive.google.com/file/d/1Y8rFoguq1NdVRBJ8gXsEBl6yuJgtd_d5/view" TargetMode="External"/><Relationship Id="rId285" Type="http://schemas.openxmlformats.org/officeDocument/2006/relationships/hyperlink" Target="https://drive.google.com/file/d/15se2cFiIvh0GGmHQMjJdkCy9BS66PD0k/view?usp=drive_link" TargetMode="External"/><Relationship Id="rId163" Type="http://schemas.openxmlformats.org/officeDocument/2006/relationships/hyperlink" Target="https://drive.google.com/file/d/1rynNmpSU8OnzFjf3k9JFNzj99qhNVGTG/view" TargetMode="External"/><Relationship Id="rId284" Type="http://schemas.openxmlformats.org/officeDocument/2006/relationships/hyperlink" Target="https://drive.google.com/file/d/1jgq7F88csyEwzQQigfonHLI7UE1KYGdN/view?usp=drive_link" TargetMode="External"/><Relationship Id="rId162" Type="http://schemas.openxmlformats.org/officeDocument/2006/relationships/hyperlink" Target="https://drive.google.com/file/d/1ifwZAEybhvgekMuHe9IGKcHmmy2uPo-C/view" TargetMode="External"/><Relationship Id="rId283" Type="http://schemas.openxmlformats.org/officeDocument/2006/relationships/hyperlink" Target="https://drive.google.com/file/d/1Vc6wMat593PwAPHqeUaTCKa9P0XCNxv_/view?usp=drive_link"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289" Type="http://schemas.openxmlformats.org/officeDocument/2006/relationships/hyperlink" Target="https://drive.google.com/file/d/1evJ90vRP7A8upIW5uphC5KOcPb0Wf5Ad/view?usp=drive_link" TargetMode="External"/><Relationship Id="rId167" Type="http://schemas.openxmlformats.org/officeDocument/2006/relationships/hyperlink" Target="https://drive.google.com/file/d/1xJeh8sjzFscns2ylVyb3UPayeml8pFCg/view" TargetMode="External"/><Relationship Id="rId288" Type="http://schemas.openxmlformats.org/officeDocument/2006/relationships/hyperlink" Target="https://drive.google.com/file/d/1UnUbAUKlz2rB3T-A-Va83t9aKg8TKcA_/view?usp=drive_link" TargetMode="External"/><Relationship Id="rId166" Type="http://schemas.openxmlformats.org/officeDocument/2006/relationships/hyperlink" Target="https://drive.google.com/file/d/1sd9XJED0U0nNzq1frPzvT-P-8lZm_bvT/view" TargetMode="External"/><Relationship Id="rId287" Type="http://schemas.openxmlformats.org/officeDocument/2006/relationships/hyperlink" Target="https://drive.google.com/file/d/1_4uZS051i-Qh4N2q7UCk1TY1macYYA-p/view?usp=drive_link" TargetMode="External"/><Relationship Id="rId161" Type="http://schemas.openxmlformats.org/officeDocument/2006/relationships/hyperlink" Target="https://drive.google.com/file/d/1HcPWoOD2ztIL5VWQvpfwB6L3ZT7Ni6-H/view" TargetMode="External"/><Relationship Id="rId282" Type="http://schemas.openxmlformats.org/officeDocument/2006/relationships/hyperlink" Target="https://drive.google.com/file/d/1_bzu9ylV0KvJNDRmOpRmi2Q1dTaWrXoN/view?usp=drive_link" TargetMode="External"/><Relationship Id="rId160" Type="http://schemas.openxmlformats.org/officeDocument/2006/relationships/hyperlink" Target="https://drive.google.com/file/d/159ry-D0LavDWUNWV0ysa6R5iPZJF0eaN/view"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275" Type="http://schemas.openxmlformats.org/officeDocument/2006/relationships/hyperlink" Target="https://drive.google.com/file/d/1c4MCceOk_DrOlmU_tM1g7RS0XaptfWgg/view?usp=drive_link" TargetMode="External"/><Relationship Id="rId153" Type="http://schemas.openxmlformats.org/officeDocument/2006/relationships/hyperlink" Target="https://drive.google.com/file/d/1GPRkghRBclI9_mUsaEwWwxQgF6Q0I9HG/view" TargetMode="External"/><Relationship Id="rId274" Type="http://schemas.openxmlformats.org/officeDocument/2006/relationships/hyperlink" Target="https://drive.google.com/file/d/1g8XKRD1lTJECNtC6Zz84VPbJPqOCUVTc/view?usp=drive_link" TargetMode="External"/><Relationship Id="rId152" Type="http://schemas.openxmlformats.org/officeDocument/2006/relationships/hyperlink" Target="https://drive.google.com/file/d/1MWyAA2B1XcxF2TDb3XCW5Mu7CJ7Ql36-/view" TargetMode="External"/><Relationship Id="rId273" Type="http://schemas.openxmlformats.org/officeDocument/2006/relationships/hyperlink" Target="https://drive.google.com/file/d/13r68Q2uTaEk_mZ7d6gRwrT8qPLKG0lr2/view?usp=drive_link" TargetMode="External"/><Relationship Id="rId151" Type="http://schemas.openxmlformats.org/officeDocument/2006/relationships/hyperlink" Target="https://drive.google.com/file/d/1NEZz2w0fqCnR8jz30yPGNvjtll_YvJR8/view" TargetMode="External"/><Relationship Id="rId272" Type="http://schemas.openxmlformats.org/officeDocument/2006/relationships/hyperlink" Target="https://drive.google.com/file/d/1O6N3XG6wyVQ_8UVlstoPZ1-o-acSOK4n/view?usp=drive_link" TargetMode="External"/><Relationship Id="rId158" Type="http://schemas.openxmlformats.org/officeDocument/2006/relationships/hyperlink" Target="https://drive.google.com/file/d/1BKhiGXcigLn05SMA_5INg2ZQp6ZKw4Iq/view" TargetMode="External"/><Relationship Id="rId279" Type="http://schemas.openxmlformats.org/officeDocument/2006/relationships/hyperlink" Target="https://drive.google.com/file/d/1pEjgXs_g0JQ7EZIOEPgLDkoCeQ1LVrbc/view?usp=drive_link" TargetMode="External"/><Relationship Id="rId157" Type="http://schemas.openxmlformats.org/officeDocument/2006/relationships/hyperlink" Target="https://drive.google.com/file/d/14UV2DPIsPbfKaoz5dz8jqIcIsaKQQQQo/view" TargetMode="External"/><Relationship Id="rId278" Type="http://schemas.openxmlformats.org/officeDocument/2006/relationships/hyperlink" Target="https://drive.google.com/file/d/1zFGoxnK2AXbpT4XeSkUyI_7H87NOWVNS/view?usp=drive_link" TargetMode="External"/><Relationship Id="rId156" Type="http://schemas.openxmlformats.org/officeDocument/2006/relationships/hyperlink" Target="https://drive.google.com/file/d/1nacIUM0nWtkWI4ydMzZhmZamTTwW-E9i/view" TargetMode="External"/><Relationship Id="rId277" Type="http://schemas.openxmlformats.org/officeDocument/2006/relationships/hyperlink" Target="https://drive.google.com/file/d/1CDPgHNqXqIx71bv5lfn3SpjtsuLSyxft/view?usp=drive_link" TargetMode="External"/><Relationship Id="rId155" Type="http://schemas.openxmlformats.org/officeDocument/2006/relationships/hyperlink" Target="https://drive.google.com/file/d/1S6TB4Hv-rd8ABWy59teS7A1aPRXpF818/view" TargetMode="External"/><Relationship Id="rId276" Type="http://schemas.openxmlformats.org/officeDocument/2006/relationships/hyperlink" Target="https://drive.google.com/file/d/1BLGiwoOzlkcIB26o4xXuZPNx-PtfiJ5E/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228" Type="http://schemas.openxmlformats.org/officeDocument/2006/relationships/hyperlink" Target="https://drive.google.com/file/d/1eyyIGRqGrNEJD731AJezpELyR7A9BNOo/view?usp=drive_link"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227" Type="http://schemas.openxmlformats.org/officeDocument/2006/relationships/hyperlink" Target="https://drive.google.com/file/d/1NaJFNaEraZeAmbx49pLsuPHHU64jJn4_/view?usp=drive_link"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226" Type="http://schemas.openxmlformats.org/officeDocument/2006/relationships/hyperlink" Target="https://drive.google.com/file/d/1c23dkNpNmU-j7zUwLQHZqzHKhSyTrxZy/view?usp=drive_link"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225" Type="http://schemas.openxmlformats.org/officeDocument/2006/relationships/hyperlink" Target="https://drive.google.com/file/d/1W3OsXQH6SuaRqHnIvUVV-eYw71PgdRmT/view?usp=drive_link"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224" Type="http://schemas.openxmlformats.org/officeDocument/2006/relationships/hyperlink" Target="https://drive.google.com/file/d/1lHNrJlICeXoMfvp2Qa6Qc0GO_SxvwvZk/view?usp=drive_link"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223" Type="http://schemas.openxmlformats.org/officeDocument/2006/relationships/hyperlink" Target="https://drive.google.com/file/d/1Uh73WYx06E14P7_dMeXL166lDuEg0B3n/view?usp=drive_link"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222" Type="http://schemas.openxmlformats.org/officeDocument/2006/relationships/hyperlink" Target="https://drive.google.com/file/d/1l-sbYuo92uOrOJNgOOE625zFCwzyYq_0/view?usp=drive_link"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221" Type="http://schemas.openxmlformats.org/officeDocument/2006/relationships/hyperlink" Target="https://drive.google.com/file/d/1d3gksjhHgTmCjqdODDIwlsYN-ALz4NOy/view?usp=drive_link" TargetMode="External"/><Relationship Id="rId342" Type="http://schemas.openxmlformats.org/officeDocument/2006/relationships/hyperlink" Target="https://drive.google.com/file/d/1V2T43Al47Hc6ltaITw-Wrb2UWb3j0bUo/view?usp=drive_link" TargetMode="External"/><Relationship Id="rId217" Type="http://schemas.openxmlformats.org/officeDocument/2006/relationships/hyperlink" Target="https://drive.google.com/file/d/1fK3RfCQTiAsxkytM0B3bCssEh824cxDR/view?usp=drive_link" TargetMode="External"/><Relationship Id="rId338" Type="http://schemas.openxmlformats.org/officeDocument/2006/relationships/hyperlink" Target="https://drive.google.com/file/d/1DLSKU0bEUtVT353MfMTBTHMSbe3jLm-K/view?usp=drive_link" TargetMode="External"/><Relationship Id="rId216" Type="http://schemas.openxmlformats.org/officeDocument/2006/relationships/hyperlink" Target="https://drive.google.com/file/d/1rLJEobzz1kT2xgmmkS6DRdMXNBHAD05-/view?usp=drive_link" TargetMode="External"/><Relationship Id="rId337" Type="http://schemas.openxmlformats.org/officeDocument/2006/relationships/hyperlink" Target="https://drive.google.com/file/d/1gwo2yioavGOAP4HRbo0EbRlPG7ssKs6y/view?usp=drive_link" TargetMode="External"/><Relationship Id="rId215" Type="http://schemas.openxmlformats.org/officeDocument/2006/relationships/hyperlink" Target="https://drive.google.com/file/d/13pXcvCUx9c8SPn2ma4J79saTiX8R3OBl/view?usp=drive_link" TargetMode="External"/><Relationship Id="rId336" Type="http://schemas.openxmlformats.org/officeDocument/2006/relationships/hyperlink" Target="https://drive.google.com/file/d/1sH3IPWE3Ky7FBegFsmiPY_VtoaV1ODbz/view?usp=drive_link" TargetMode="External"/><Relationship Id="rId214" Type="http://schemas.openxmlformats.org/officeDocument/2006/relationships/hyperlink" Target="https://drive.google.com/file/d/1q4gK1LKOTgb1K32ydanXTaWAN-zlIxBV/view?usp=drive_link" TargetMode="External"/><Relationship Id="rId335" Type="http://schemas.openxmlformats.org/officeDocument/2006/relationships/hyperlink" Target="https://drive.google.com/file/d/1vPpJmvWGS0OivuaveJPZvsoKp7l5amVi/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213" Type="http://schemas.openxmlformats.org/officeDocument/2006/relationships/hyperlink" Target="https://drive.google.com/file/d/1uQuq5hnFpFQXvWZXuPUCjaxFDSTSlsYA/view?usp=drive_link" TargetMode="External"/><Relationship Id="rId334" Type="http://schemas.openxmlformats.org/officeDocument/2006/relationships/hyperlink" Target="https://drive.google.com/file/d/1c8QFeZriGWSHxebJz8AIiJwp-o4V4cOS/view?usp=drive_link" TargetMode="External"/><Relationship Id="rId212" Type="http://schemas.openxmlformats.org/officeDocument/2006/relationships/hyperlink" Target="https://drive.google.com/file/d/16sCIsIvfSp2pF8Q7tJBllM76ykO7wQP6/view?usp=drive_link" TargetMode="External"/><Relationship Id="rId333" Type="http://schemas.openxmlformats.org/officeDocument/2006/relationships/hyperlink" Target="https://drive.google.com/file/d/1EnjSKqKYm1dCvOCrwDKeKohRsyy3I0Vj/view?usp=drive_link" TargetMode="External"/><Relationship Id="rId211" Type="http://schemas.openxmlformats.org/officeDocument/2006/relationships/hyperlink" Target="https://drive.google.com/file/d/15Sef38g8rtqgQLiy5I-JT68fMhG81sXe/view?usp=drive_link" TargetMode="External"/><Relationship Id="rId332" Type="http://schemas.openxmlformats.org/officeDocument/2006/relationships/hyperlink" Target="https://drive.google.com/file/d/180O21DG-pleewQK4Q0jg1h7h3qkyqx8v/view?usp=drive_link" TargetMode="External"/><Relationship Id="rId210" Type="http://schemas.openxmlformats.org/officeDocument/2006/relationships/hyperlink" Target="https://drive.google.com/file/d/1fBcm7ZMF5W_9xW5WxiWcYS2pPwAg_nD8/view?usp=drive_link" TargetMode="External"/><Relationship Id="rId331" Type="http://schemas.openxmlformats.org/officeDocument/2006/relationships/hyperlink" Target="https://drive.google.com/file/d/1pfKZfRdcd8hgNpGcWrxE7x2me84thdD7/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249" Type="http://schemas.openxmlformats.org/officeDocument/2006/relationships/hyperlink" Target="https://drive.google.com/file/d/1_KOO6qRnfWXHyeYevrq-pO76hvd5GXpK/view?usp=drive_link" TargetMode="External"/><Relationship Id="rId127" Type="http://schemas.openxmlformats.org/officeDocument/2006/relationships/hyperlink" Target="https://drive.google.com/file/d/1iygpDCd2hoJKP33zmisFZVjSHXUAz6UY/view" TargetMode="External"/><Relationship Id="rId248" Type="http://schemas.openxmlformats.org/officeDocument/2006/relationships/hyperlink" Target="https://drive.google.com/file/d/12BqBsmf3otsP2v8tkMKr-L3WXNxRiAc3/view?usp=drive_link" TargetMode="External"/><Relationship Id="rId126" Type="http://schemas.openxmlformats.org/officeDocument/2006/relationships/hyperlink" Target="https://drive.google.com/file/d/1psOcfrfwAS4W7tTUUN7MpOSOLnU-z32I/view" TargetMode="External"/><Relationship Id="rId247" Type="http://schemas.openxmlformats.org/officeDocument/2006/relationships/hyperlink" Target="https://drive.google.com/file/d/1yvazkbvAav4U0WEPxIa0DYOzz_tt7_Gt/view?usp=drive_link" TargetMode="External"/><Relationship Id="rId121" Type="http://schemas.openxmlformats.org/officeDocument/2006/relationships/hyperlink" Target="https://drive.google.com/file/d/1xJ3nkySwdEivbnH52L6G1ZlryBkT6lp2/view" TargetMode="External"/><Relationship Id="rId242" Type="http://schemas.openxmlformats.org/officeDocument/2006/relationships/hyperlink" Target="https://drive.google.com/file/d/1ZkI7qnFjFUxbeaHHSr9InU6-GhJTXwrC/view?usp=drive_link" TargetMode="External"/><Relationship Id="rId120" Type="http://schemas.openxmlformats.org/officeDocument/2006/relationships/hyperlink" Target="https://drive.google.com/file/d/1ISp0XTpDgfKLLjwjVeQGNooageGheY7p/view"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125" Type="http://schemas.openxmlformats.org/officeDocument/2006/relationships/hyperlink" Target="https://drive.google.com/file/d/1-snjhK6YyFo0lPc1woDr61B77Vb_dnEk/view" TargetMode="External"/><Relationship Id="rId246" Type="http://schemas.openxmlformats.org/officeDocument/2006/relationships/hyperlink" Target="https://drive.google.com/file/d/1dGLYubYxDQzj6Zb0tvknc-3R1bInVGcq/view?usp=drive_link" TargetMode="External"/><Relationship Id="rId124" Type="http://schemas.openxmlformats.org/officeDocument/2006/relationships/hyperlink" Target="https://drive.google.com/file/d/1ft1u1SgjWYayShPKF4xXXhwjxUw3v8Wp/view" TargetMode="External"/><Relationship Id="rId245" Type="http://schemas.openxmlformats.org/officeDocument/2006/relationships/hyperlink" Target="https://drive.google.com/file/d/1-D9Yj0s67cm0BfJu1NTcp7fWUGP_JYQM/view?usp=drive_link" TargetMode="External"/><Relationship Id="rId123" Type="http://schemas.openxmlformats.org/officeDocument/2006/relationships/hyperlink" Target="https://drive.google.com/file/d/1502fP0UFF2hLaaMO0b7NcydiwvtVX3Yg/view" TargetMode="External"/><Relationship Id="rId244" Type="http://schemas.openxmlformats.org/officeDocument/2006/relationships/hyperlink" Target="https://drive.google.com/file/d/1jOfwCNzpp3Bc6B-XSPOqtyzRa0r2H1qp/view?usp=drive_link" TargetMode="External"/><Relationship Id="rId122" Type="http://schemas.openxmlformats.org/officeDocument/2006/relationships/hyperlink" Target="https://drive.google.com/file/d/1XTkbG01SR9hEfhnu100j_Ivy9ZyXM0L3/view" TargetMode="External"/><Relationship Id="rId243" Type="http://schemas.openxmlformats.org/officeDocument/2006/relationships/hyperlink" Target="https://drive.google.com/file/d/1KM1wJdbG8m8GiFrDMSMqpEcGlExkZw8V/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239" Type="http://schemas.openxmlformats.org/officeDocument/2006/relationships/hyperlink" Target="https://drive.google.com/file/d/13FCskwWJT16HCd14-LkX1uGV1pxOTPQ6/view?usp=drive_link" TargetMode="External"/><Relationship Id="rId117" Type="http://schemas.openxmlformats.org/officeDocument/2006/relationships/hyperlink" Target="https://drive.google.com/file/d/1Aq9Iqk1fYmUQnB-5953AGmrhPhkXMaI1/view" TargetMode="External"/><Relationship Id="rId238" Type="http://schemas.openxmlformats.org/officeDocument/2006/relationships/hyperlink" Target="https://drive.google.com/file/d/1tcOZlzjlP8YIofhBB6peGjER8bE0TmBg/view?usp=drive_link" TargetMode="External"/><Relationship Id="rId359" Type="http://schemas.openxmlformats.org/officeDocument/2006/relationships/drawing" Target="../drawings/drawing4.xml"/><Relationship Id="rId116" Type="http://schemas.openxmlformats.org/officeDocument/2006/relationships/hyperlink" Target="https://drive.google.com/file/d/1QUxbcRH4Z4a_uXa5L90frF5pjnHKI9n_/view" TargetMode="External"/><Relationship Id="rId237" Type="http://schemas.openxmlformats.org/officeDocument/2006/relationships/hyperlink" Target="https://drive.google.com/file/d/14GpQVW_xENP6jcQle8gvLqAj8GPuwevo/view?usp=drive_link"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236" Type="http://schemas.openxmlformats.org/officeDocument/2006/relationships/hyperlink" Target="https://drive.google.com/file/d/1qWOVtVkgdROUFiLtMHi229ivYpU_5E_3/view?usp=drive_link"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231" Type="http://schemas.openxmlformats.org/officeDocument/2006/relationships/hyperlink" Target="https://drive.google.com/file/d/1k6qpb6KScnFf3cZfVfSIbeH_nGcjL6pH/view?usp=drive_link" TargetMode="External"/><Relationship Id="rId352" Type="http://schemas.openxmlformats.org/officeDocument/2006/relationships/hyperlink" Target="https://drive.google.com/file/d/1fFqns7Mxg7fzUO5jpH-e4lyoYpGpaCxM/view?usp=drive_link" TargetMode="External"/><Relationship Id="rId230" Type="http://schemas.openxmlformats.org/officeDocument/2006/relationships/hyperlink" Target="https://drive.google.com/file/d/15EoF6SCKGDCLLvBUytY2nd8C_PkJI4-G/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235" Type="http://schemas.openxmlformats.org/officeDocument/2006/relationships/hyperlink" Target="https://drive.google.com/file/d/17FsrzketM6YQKLrB4YN3eQRI5wW1reNG/view?usp=drive_link"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234" Type="http://schemas.openxmlformats.org/officeDocument/2006/relationships/hyperlink" Target="https://drive.google.com/file/d/1xmjp7DjlBooBXo_Xj4lVg1syY_ws6qQu/view?usp=drive_link"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233" Type="http://schemas.openxmlformats.org/officeDocument/2006/relationships/hyperlink" Target="https://drive.google.com/file/d/17He3WC6BqaVqOpnzUv7SI0tbpiJ7NHyN/view?usp=drive_link"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232" Type="http://schemas.openxmlformats.org/officeDocument/2006/relationships/hyperlink" Target="https://drive.google.com/file/d/1tLmEw5hEfRZvGU_72z7C4eaOf0Ny7MF_/view?usp=drive_link"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206" Type="http://schemas.openxmlformats.org/officeDocument/2006/relationships/hyperlink" Target="https://drive.google.com/file/d/1sfw3cWbgH09I9zBI9Z_6r6v_Xc4k4iVa/view?usp=drive_link" TargetMode="External"/><Relationship Id="rId327" Type="http://schemas.openxmlformats.org/officeDocument/2006/relationships/hyperlink" Target="https://drive.google.com/file/d/1g5FTx07LIqoFCbIwYMVsE8He0JgK14MK/view?usp=drive_link" TargetMode="External"/><Relationship Id="rId205" Type="http://schemas.openxmlformats.org/officeDocument/2006/relationships/hyperlink" Target="https://drive.google.com/file/d/1Aoy5ZvwSguibZ9szVI84fGNz_ZzrUqj0/view?usp=drive_link" TargetMode="External"/><Relationship Id="rId326" Type="http://schemas.openxmlformats.org/officeDocument/2006/relationships/hyperlink" Target="https://drive.google.com/file/d/15pKhZyfIDW4yvm29Y52WhHGAGsLCUBRt/view?usp=drive_link" TargetMode="External"/><Relationship Id="rId204" Type="http://schemas.openxmlformats.org/officeDocument/2006/relationships/hyperlink" Target="https://drive.google.com/file/d/1umkmvO7VhHN9FfGQ7GijgNvQ31F4njEl/view?usp=drive_link" TargetMode="External"/><Relationship Id="rId325" Type="http://schemas.openxmlformats.org/officeDocument/2006/relationships/hyperlink" Target="https://drive.google.com/file/d/16P2l2NSlP94MemrNf96QLg-qHIl9Aepa/view?usp=drive_link" TargetMode="External"/><Relationship Id="rId203" Type="http://schemas.openxmlformats.org/officeDocument/2006/relationships/hyperlink" Target="https://drive.google.com/file/d/1QZJpFcnAQSNZkD1YePCJaoMCu1meWVNY/view?usp=drive_link" TargetMode="External"/><Relationship Id="rId324" Type="http://schemas.openxmlformats.org/officeDocument/2006/relationships/hyperlink" Target="https://drive.google.com/file/d/1IrN71nQUPNmeBf0sBn_YzFna5vcseMpV/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329" Type="http://schemas.openxmlformats.org/officeDocument/2006/relationships/hyperlink" Target="https://drive.google.com/file/d/1Q2k-ajtZbNIqN7ZKThKVfT4KVfa51Lrd/view?usp=drive_link" TargetMode="External"/><Relationship Id="rId207" Type="http://schemas.openxmlformats.org/officeDocument/2006/relationships/hyperlink" Target="https://drive.google.com/file/d/1JJJtHCUK9LchQ62DDxl5Dx0yQxu6wy5W/view?usp=drive_link" TargetMode="External"/><Relationship Id="rId328" Type="http://schemas.openxmlformats.org/officeDocument/2006/relationships/hyperlink" Target="https://drive.google.com/file/d/1sIBwaa9qFkxn6mfnO-P-cgoLGHK6XvtP/view?usp=drive_link" TargetMode="External"/><Relationship Id="rId202" Type="http://schemas.openxmlformats.org/officeDocument/2006/relationships/hyperlink" Target="https://drive.google.com/file/d/1yFu691dHo7tryk5kjoU5sOiV0S35L2-7/view?usp=drive_link" TargetMode="External"/><Relationship Id="rId323" Type="http://schemas.openxmlformats.org/officeDocument/2006/relationships/hyperlink" Target="https://drive.google.com/file/d/1eay3OjjMCicdzwp4Bpe93NiejoUxN81H/view?usp=drive_link" TargetMode="External"/><Relationship Id="rId201" Type="http://schemas.openxmlformats.org/officeDocument/2006/relationships/hyperlink" Target="https://drive.google.com/file/d/1M2z41bD77eXfpYkcMBfSxgMNvCfZC5wG/view?usp=drive_link" TargetMode="External"/><Relationship Id="rId322" Type="http://schemas.openxmlformats.org/officeDocument/2006/relationships/hyperlink" Target="https://drive.google.com/file/d/1SXhHUvvOdqDL6_uxxtWVYVd3iTF0FdPd/view?usp=drive_link" TargetMode="External"/><Relationship Id="rId200" Type="http://schemas.openxmlformats.org/officeDocument/2006/relationships/hyperlink" Target="https://drive.google.com/file/d/1kNDW441NfjRDSdgB5B-asRuLYoQ9RUY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vmlDrawing" Target="../drawings/vmlDrawing6.vml"/><Relationship Id="rId178" Type="http://schemas.openxmlformats.org/officeDocument/2006/relationships/drawing" Target="../drawings/drawing10.xml"/><Relationship Id="rId177" Type="http://schemas.openxmlformats.org/officeDocument/2006/relationships/hyperlink" Target="https://drive.google.com/file/d/1PoirvomZ1JwgVcMcF6wtdbqoDdMg4ppb/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7.xml"/><Relationship Id="rId5" Type="http://schemas.openxmlformats.org/officeDocument/2006/relationships/vmlDrawing" Target="../drawings/vmlDrawing22.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hyperlink" Target="https://charm-industrial.manufacturo.cloud/app/inventory/purchase-orders/(purchase:orders/EEE6213C-969B-47C6-9199-08DE5E962AB6/lines/376F00E3-5CFE-4C40-92DD-08DE5E962AB6)" TargetMode="External"/><Relationship Id="rId3" Type="http://schemas.openxmlformats.org/officeDocument/2006/relationships/hyperlink" Target="https://charm-industrial.manufacturo.cloud/app/eworkin-plus-execution/order-execution/10084CD7-A029-4F6B-E6EE-08DE63F471FB/trace/FFA85DCB-04F8-4D2E-E960-08DE63F471FB/" TargetMode="External"/><Relationship Id="rId4" Type="http://schemas.openxmlformats.org/officeDocument/2006/relationships/hyperlink" Target="https://charm-industrial.manufacturo.cloud/app/inventory/purchase-orders/(purchase:orders/49362A8A-1F19-4496-4A15-08DE5E9676C3/lines/F40DB852-7A9D-4D82-4BDE-08DE5E9676C3)" TargetMode="External"/><Relationship Id="rId9" Type="http://schemas.openxmlformats.org/officeDocument/2006/relationships/hyperlink" Target="https://charm-industrial.manufacturo.cloud/app/eworkin-plus-execution/order-execution/BDE8FC78-0370-4E64-BA20-08DE68AC6AD5/trace/4E143FEF-9338-4BAC-A71A-08DE68AC6AD6/" TargetMode="External"/><Relationship Id="rId143" Type="http://schemas.openxmlformats.org/officeDocument/2006/relationships/hyperlink" Target="https://charm-industrial.manufacturo.cloud/app/eworkin-plus-execution/order-execution/313E06CA-8706-45D2-75BD-08DE9BC89EC0/trace/DFFCCB27-476B-4AE2-8A91-08DE9BC89EC0/" TargetMode="External"/><Relationship Id="rId142" Type="http://schemas.openxmlformats.org/officeDocument/2006/relationships/hyperlink" Target="https://charm-industrial.manufacturo.cloud/app/inventory/purchase-orders/(purchase:orders/F8480784-E332-48A6-ED88-08DE91ADA34A/lines/703DBE98-CCD9-46E2-3347-08DE91ADA34B)" TargetMode="External"/><Relationship Id="rId141" Type="http://schemas.openxmlformats.org/officeDocument/2006/relationships/hyperlink" Target="https://charm-industrial.manufacturo.cloud/app/eworkin-plus-execution/order-execution/DB3C37CE-089E-421D-A3FF-08DE9B11C93F/trace/73BCE00F-6334-420B-AECC-08DE9B11C940/" TargetMode="External"/><Relationship Id="rId140" Type="http://schemas.openxmlformats.org/officeDocument/2006/relationships/hyperlink" Target="https://charm-industrial.manufacturo.cloud/app/inventory/purchase-orders/(purchase:orders/74FB4589-599F-4990-CEF8-08DE999ED2F8/lines/BF661793-AC0C-4936-0BD9-08DE999ED2F9)" TargetMode="External"/><Relationship Id="rId5" Type="http://schemas.openxmlformats.org/officeDocument/2006/relationships/hyperlink" Target="https://charm-industrial.manufacturo.cloud/app/eworkin-plus-execution/order-execution/48229A74-49F6-4450-D11F-08DE6598A84C/trace/BE4581A2-2E14-4785-DD73-08DE6598A84D/" TargetMode="External"/><Relationship Id="rId147" Type="http://schemas.openxmlformats.org/officeDocument/2006/relationships/vmlDrawing" Target="../drawings/vmlDrawing23.vml"/><Relationship Id="rId6" Type="http://schemas.openxmlformats.org/officeDocument/2006/relationships/hyperlink" Target="https://charm-industrial.manufacturo.cloud/app/inventory/purchase-orders/(purchase:orders/1C6144EC-32A7-4315-FA67-08DE5E969BBB/lines/BC92D006-C75B-4AF2-FBAD-08DE5E969BBB)" TargetMode="External"/><Relationship Id="rId146" Type="http://schemas.openxmlformats.org/officeDocument/2006/relationships/drawing" Target="../drawings/drawing48.xml"/><Relationship Id="rId7" Type="http://schemas.openxmlformats.org/officeDocument/2006/relationships/hyperlink" Target="https://charm-industrial.manufacturo.cloud/app/eworkin-plus-execution/order-execution/E1368578-8CFE-4299-DF63-08DE6720100B/trace/F3A1FEAA-A807-4AD2-E1D4-08DE6720100B/" TargetMode="External"/><Relationship Id="rId145" Type="http://schemas.openxmlformats.org/officeDocument/2006/relationships/hyperlink" Target="https://charm-industrial.manufacturo.cloud/app/eworkin-plus-execution/order-execution/B83F683E-6CCC-4D05-B82B-08DE9BC8A0A9/trace/974E76CA-51F5-4195-BB4F-08DE9BC8A0A9/" TargetMode="External"/><Relationship Id="rId8" Type="http://schemas.openxmlformats.org/officeDocument/2006/relationships/hyperlink" Target="https://charm-industrial.manufacturo.cloud/app/inventory/purchase-orders/(purchase:orders/E1B336DA-6557-4169-56CC-08DE5E96B2DB/lines/983F9EEC-24DA-43CC-5823-08DE5E96B2DB)" TargetMode="External"/><Relationship Id="rId144" Type="http://schemas.openxmlformats.org/officeDocument/2006/relationships/hyperlink" Target="https://charm-industrial.manufacturo.cloud/app/inventory/purchase-orders/(purchase:orders/F8480784-E332-48A6-ED88-08DE91ADA34A/lines/703DBE98-CCD9-46E2-3347-08DE91ADA34B)" TargetMode="External"/><Relationship Id="rId139" Type="http://schemas.openxmlformats.org/officeDocument/2006/relationships/hyperlink" Target="https://charm-industrial.manufacturo.cloud/app/eworkin-plus-execution/order-execution/17519F89-0583-499A-7ADA-08DE971B5810/trace/A30BFD75-653C-419B-7E40-08DE971B5810/" TargetMode="External"/><Relationship Id="rId138" Type="http://schemas.openxmlformats.org/officeDocument/2006/relationships/hyperlink" Target="https://charm-industrial.manufacturo.cloud/app/inventory/purchase-orders/(purchase:orders/4B4FF516-3147-4E12-9549-08DE963FDA9C/lines/1DBF227A-FF27-430D-D3F5-08DE963FDA9C)" TargetMode="External"/><Relationship Id="rId137" Type="http://schemas.openxmlformats.org/officeDocument/2006/relationships/hyperlink" Target="https://charm-industrial.manufacturo.cloud/app/eworkin-plus-execution/order-execution/3D816A63-5962-4AA6-35C6-08DE971A9A23/trace/57584F05-412C-4A43-38D5-08DE971A9A23/" TargetMode="External"/><Relationship Id="rId132" Type="http://schemas.openxmlformats.org/officeDocument/2006/relationships/hyperlink" Target="https://charm-industrial.manufacturo.cloud/app/inventory/purchase-orders/(purchase:orders/D6B87C92-4FE1-47FE-54D8-08DE8F6A47CF/lines/DE997DF1-A71C-41E5-9A66-08DE8F6A47CF)" TargetMode="External"/><Relationship Id="rId131" Type="http://schemas.openxmlformats.org/officeDocument/2006/relationships/hyperlink" Target="https://charm-industrial.manufacturo.cloud/app/eworkin-plus-execution/order-execution/CF19998F-ADA3-4EF9-8A95-08DE919CEA7D/trace/D1298656-422C-498C-8D96-08DE919CEA7D/"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136" Type="http://schemas.openxmlformats.org/officeDocument/2006/relationships/hyperlink" Target="https://charm-industrial.manufacturo.cloud/app/inventory/purchase-orders/(purchase:orders/BC7340B9-404E-4710-ECBB-08DE964001DC/lines/A5DEF091-906B-4BDC-F16B-08DE964001DC)" TargetMode="External"/><Relationship Id="rId135" Type="http://schemas.openxmlformats.org/officeDocument/2006/relationships/hyperlink" Target="https://charm-industrial.manufacturo.cloud/app/eworkin-plus-execution/order-execution/620932EE-D5B4-4662-D3FA-08DE971A9962/trace/10F78593-DDF7-4950-DF2B-08DE971A9962/"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133" Type="http://schemas.openxmlformats.org/officeDocument/2006/relationships/hyperlink" Target="https://charm-industrial.manufacturo.cloud/app/eworkin-plus-execution/order-execution/F770190B-3960-4D4A-A014-08DE919CEB2B/trace/E0DEEA28-7065-435C-A2D4-08DE919CEB2B/"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6E76F711-3F22-4C30-FE8F-08DE6F43F468/lines/1CAF0430-C08B-4D43-574A-08DE6F43F469)" TargetMode="External"/><Relationship Id="rId41" Type="http://schemas.openxmlformats.org/officeDocument/2006/relationships/hyperlink" Target="https://charm-industrial.manufacturo.cloud/app/eworkin-plus-execution/order-execution/37CA33A6-C129-4637-0E83-08DE73C139CB/trace/F472C623-B2D1-4F39-184E-08DE73C139CB/"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5932A65A-6C1C-463C-0166-08DE7469EC5A/trace/9326CD30-F685-4DAF-0C7D-08DE7469EC5A/"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1DC595B1-8D61-419B-7C72-08DE73C13A6C/trace/78C95198-DF18-49E3-7EE5-08DE73C13A6C/" TargetMode="External"/><Relationship Id="rId48" Type="http://schemas.openxmlformats.org/officeDocument/2006/relationships/hyperlink" Target="https://charm-industrial.manufacturo.cloud/app/inventory/purchase-orders/(purchase:orders/18F62AD8-64C3-479F-3004-08DE6F440748/lines/F74711EC-6667-45AB-32F8-08DE6F440748)" TargetMode="External"/><Relationship Id="rId47" Type="http://schemas.openxmlformats.org/officeDocument/2006/relationships/hyperlink" Target="https://charm-industrial.manufacturo.cloud/app/eworkin-plus-execution/order-execution/0EEB4CB1-C173-42CD-E79E-08DE73C13B06/trace/E86C3079-88BA-4EB8-E9B9-08DE73C13B06/" TargetMode="External"/><Relationship Id="rId49" Type="http://schemas.openxmlformats.org/officeDocument/2006/relationships/hyperlink" Target="https://charm-industrial.manufacturo.cloud/app/eworkin-plus-execution/order-execution/C1F16DBB-B969-43D2-5670-08DE753D6166/trace/856CBF3B-40CC-484C-6579-08DE753D6166/" TargetMode="External"/><Relationship Id="rId31" Type="http://schemas.openxmlformats.org/officeDocument/2006/relationships/hyperlink" Target="https://charm-industrial.manufacturo.cloud/app/eworkin-plus-execution/order-execution/94A0A61C-33D8-480A-4C25-08DE72857A86/trace/E9CBDB70-5085-4A3B-55C1-08DE72857A86/" TargetMode="External"/><Relationship Id="rId30" Type="http://schemas.openxmlformats.org/officeDocument/2006/relationships/hyperlink" Target="https://charm-industrial.manufacturo.cloud/app/inventory/purchase-orders/(purchase:orders/DED8C324-0389-4E89-66E4-08DE6E5857EA/lines/82FC62B3-C025-4AA1-B494-08DE6E5857EA)" TargetMode="External"/><Relationship Id="rId33" Type="http://schemas.openxmlformats.org/officeDocument/2006/relationships/hyperlink" Target="https://charm-industrial.manufacturo.cloud/app/eworkin-plus-execution/order-execution/7D719EFE-21BB-4432-F9C8-08DE6F039DFB/trace/9F14F86B-470B-4A96-FC3E-08DE6F039DFB/" TargetMode="External"/><Relationship Id="rId32" Type="http://schemas.openxmlformats.org/officeDocument/2006/relationships/hyperlink" Target="https://charm-industrial.manufacturo.cloud/app/inventory/purchase-orders/(purchase:orders/95B76E23-C060-4679-201E-08DE5E94ECEE/lines/51544AD0-AF2E-4015-784B-08DE5E94ECEE)" TargetMode="External"/><Relationship Id="rId35" Type="http://schemas.openxmlformats.org/officeDocument/2006/relationships/hyperlink" Target="https://charm-industrial.manufacturo.cloud/app/eworkin-plus-execution/order-execution/75288232-92A9-4958-02F3-08DE6F039E9A/trace/6150FEC5-59AD-4848-05BC-08DE6F039E9A/"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FF69B21A-9E45-42FB-3CA5-08DE73A3B79E/trace/E0481B0A-434C-42E8-3B6B-08DE73A3B79F/" TargetMode="External"/><Relationship Id="rId36" Type="http://schemas.openxmlformats.org/officeDocument/2006/relationships/hyperlink" Target="https://charm-industrial.manufacturo.cloud/app/inventory/purchase-orders/(purchase:orders/5F914B2C-21DB-436E-F1AA-08DE6E6C3A54/lines/D46D7CA6-BAEE-4482-68C7-08DE6E6C3A55)" TargetMode="External"/><Relationship Id="rId39" Type="http://schemas.openxmlformats.org/officeDocument/2006/relationships/hyperlink" Target="https://charm-industrial.manufacturo.cloud/app/eworkin-plus-execution/order-execution/4D91B723-1AFB-4B19-09C3-08DE73C138B2/trace/50901851-D58D-4247-189B-08DE73C138B3/" TargetMode="External"/><Relationship Id="rId38" Type="http://schemas.openxmlformats.org/officeDocument/2006/relationships/hyperlink" Target="https://charm-industrial.manufacturo.cloud/app/inventory/purchase-orders/(purchase:orders/DD5A1578-A5C2-41F5-E9EB-08DE5E9529CE/lines/57C72F6C-E149-4616-F148-08DE5E9529CE)" TargetMode="External"/><Relationship Id="rId20" Type="http://schemas.openxmlformats.org/officeDocument/2006/relationships/hyperlink" Target="https://charm-industrial.manufacturo.cloud/app/inventory/purchase-orders/(purchase:orders/95B76E23-C060-4679-201E-08DE5E94ECEE/lines/51544AD0-AF2E-4015-784B-08DE5E94ECEE)" TargetMode="External"/><Relationship Id="rId22" Type="http://schemas.openxmlformats.org/officeDocument/2006/relationships/hyperlink" Target="https://charm-industrial.manufacturo.cloud/app/inventory/purchase-orders/(purchase:orders/3F841BDC-C455-4FB4-902C-08DE6B4CD674/lines/BA7771C7-BBDE-4671-9191-08DE6B4CD674)" TargetMode="External"/><Relationship Id="rId21" Type="http://schemas.openxmlformats.org/officeDocument/2006/relationships/hyperlink" Target="https://charm-industrial.manufacturo.cloud/app/eworkin-plus-execution/order-execution/A54BDFC5-8277-48D7-D68D-08DE6F039D5B/trace/7699B015-1FDA-4F25-E5CE-08DE6F039D5B/" TargetMode="External"/><Relationship Id="rId24" Type="http://schemas.openxmlformats.org/officeDocument/2006/relationships/hyperlink" Target="https://charm-industrial.manufacturo.cloud/app/inventory/purchase-orders/(purchase:orders/EB1F9C62-D55B-4707-B08F-08DE6B4CE854/lines/55103563-87DB-47AA-B225-08DE6B4CE854)" TargetMode="External"/><Relationship Id="rId23" Type="http://schemas.openxmlformats.org/officeDocument/2006/relationships/hyperlink" Target="https://charm-industrial.manufacturo.cloud/app/eworkin-plus-execution/order-execution/D7F4FA45-0C9C-4E5D-4EF5-08DE709D256C/trace/F1FFF369-E4FE-4426-5B0C-08DE709D256D/" TargetMode="External"/><Relationship Id="rId26" Type="http://schemas.openxmlformats.org/officeDocument/2006/relationships/hyperlink" Target="https://charm-industrial.manufacturo.cloud/app/inventory/purchase-orders/(purchase:orders/0155799E-F84D-410E-77BE-08DE6B4D3A38/lines/FA5B46F0-FA73-4302-CCA9-08DE6B4D3A38)" TargetMode="External"/><Relationship Id="rId25" Type="http://schemas.openxmlformats.org/officeDocument/2006/relationships/hyperlink" Target="https://charm-industrial.manufacturo.cloud/app/eworkin-plus-execution/order-execution/3E48A7E7-9A9B-4DB8-32E0-08DE70BCD404/trace/61051A47-92D4-448A-3ED7-08DE70BCD404/" TargetMode="External"/><Relationship Id="rId28" Type="http://schemas.openxmlformats.org/officeDocument/2006/relationships/hyperlink" Target="https://charm-industrial.manufacturo.cloud/app/inventory/purchase-orders/(purchase:orders/7F79855F-6C71-4314-C100-08DE6B4D6DA1/lines/C4E430A5-5ADE-440C-C653-08DE6B4D6DA1)" TargetMode="External"/><Relationship Id="rId27" Type="http://schemas.openxmlformats.org/officeDocument/2006/relationships/hyperlink" Target="https://charm-industrial.manufacturo.cloud/app/eworkin-plus-execution/order-execution/B7F154CA-474E-4422-5700-08DE72843775/trace/91EE3C12-09B2-48B1-770C-08DE72843775/" TargetMode="External"/><Relationship Id="rId29" Type="http://schemas.openxmlformats.org/officeDocument/2006/relationships/hyperlink" Target="https://charm-industrial.manufacturo.cloud/app/eworkin-plus-execution/order-execution/F0C5F0B1-1560-4AC5-9F86-08DE70A43851/trace/87AF88E0-6D80-4C80-A2F5-08DE70A43851/" TargetMode="External"/><Relationship Id="rId11" Type="http://schemas.openxmlformats.org/officeDocument/2006/relationships/hyperlink" Target="https://charm-industrial.manufacturo.cloud/app/eworkin-plus-execution/order-execution/3F5D7832-5C49-496A-6D0B-08DE68BE7AFD/trace/9274FE54-EC19-4A8A-78D1-08DE68BE7AFE/" TargetMode="External"/><Relationship Id="rId10" Type="http://schemas.openxmlformats.org/officeDocument/2006/relationships/hyperlink" Target="https://charm-industrial.manufacturo.cloud/app/inventory/purchase-orders/(purchase:orders/AB162EC4-229C-4CC3-20EE-08DE5E96CBDA/lines/780F439E-A84F-4D18-2217-08DE5E96CBDA)" TargetMode="External"/><Relationship Id="rId13" Type="http://schemas.openxmlformats.org/officeDocument/2006/relationships/hyperlink" Target="https://charm-industrial.manufacturo.cloud/app/eworkin-plus-execution/order-execution/A60D6414-EF46-4A7E-CA85-08DE69984F46/trace/8344C991-195B-4AC8-CD73-08DE69984F46/" TargetMode="External"/><Relationship Id="rId12" Type="http://schemas.openxmlformats.org/officeDocument/2006/relationships/hyperlink" Target="https://charm-industrial.manufacturo.cloud/app/inventory/purchase-orders/(purchase:orders/4F5E75E5-52F7-4742-0353-08DE5E96E5C5/lines/6AB5F2B5-637A-4A9D-0462-08DE5E96E5C5)" TargetMode="External"/><Relationship Id="rId15" Type="http://schemas.openxmlformats.org/officeDocument/2006/relationships/hyperlink" Target="https://charm-industrial.manufacturo.cloud/app/eworkin-plus-execution/order-execution/44CFE2CD-6C9E-43B5-D3BC-08DE6F2FDC27/trace/B28220A6-9887-40DB-DEED-08DE6F2FDC27/" TargetMode="External"/><Relationship Id="rId14" Type="http://schemas.openxmlformats.org/officeDocument/2006/relationships/hyperlink" Target="https://charm-industrial.manufacturo.cloud/app/inventory/purchase-orders/(purchase:orders/CCB43A41-398F-43D1-66BD-08DE6B4CB1DF/lines/48C19D93-7B43-4BC0-C451-08DE6B4CB1DF)" TargetMode="External"/><Relationship Id="rId17" Type="http://schemas.openxmlformats.org/officeDocument/2006/relationships/hyperlink" Target="https://charm-industrial.manufacturo.cloud/app/eworkin-plus-execution/order-execution/B0D57837-CB26-4CFF-1F7D-08DE6F039C48/trace/21D084BC-732D-4C72-23B2-08DE6F039C49/" TargetMode="External"/><Relationship Id="rId16" Type="http://schemas.openxmlformats.org/officeDocument/2006/relationships/hyperlink" Target="https://charm-industrial.manufacturo.cloud/app/inventory/purchase-orders/(purchase:orders/95B76E23-C060-4679-201E-08DE5E94ECEE/lines/51544AD0-AF2E-4015-784B-08DE5E94ECEE)" TargetMode="External"/><Relationship Id="rId19" Type="http://schemas.openxmlformats.org/officeDocument/2006/relationships/hyperlink" Target="https://charm-industrial.manufacturo.cloud/app/eworkin-plus-execution/order-execution/3AC2CA7C-96BF-47F7-36BA-08DE6FC7D532/trace/57DC7EE0-4F97-4056-4A3C-08DE6FC7D532/" TargetMode="External"/><Relationship Id="rId18" Type="http://schemas.openxmlformats.org/officeDocument/2006/relationships/hyperlink" Target="https://charm-industrial.manufacturo.cloud/app/inventory/purchase-orders/(purchase:orders/88BC9FD0-9F5D-43A0-AED1-08DE6B4CC3BE/lines/B30FEBF8-F9F8-42F2-B32A-08DE6B4CC3BE)" TargetMode="External"/><Relationship Id="rId84" Type="http://schemas.openxmlformats.org/officeDocument/2006/relationships/hyperlink" Target="https://charm-industrial.manufacturo.cloud/app/inventory/purchase-orders/(purchase:orders/851029E3-70B8-4312-3C62-08DE7FB7377A/lines/6FEBF10D-F9DE-4139-3D13-08DE7FB7377A)" TargetMode="External"/><Relationship Id="rId83" Type="http://schemas.openxmlformats.org/officeDocument/2006/relationships/hyperlink" Target="https://charm-industrial.manufacturo.cloud/app/eworkin-plus-execution/order-execution/399208BE-6F1A-4840-B821-08DE8397C162/trace/3A52FF61-6DD2-4A13-BAFD-08DE8397C162/" TargetMode="External"/><Relationship Id="rId86" Type="http://schemas.openxmlformats.org/officeDocument/2006/relationships/hyperlink" Target="https://charm-industrial.manufacturo.cloud/app/inventory/purchase-orders/(purchase:orders/008CE8FC-789C-4084-CEF1-08DE7FB8239A/lines/B8A3C52A-5458-4F5D-CF97-08DE7FB8239A)" TargetMode="External"/><Relationship Id="rId85" Type="http://schemas.openxmlformats.org/officeDocument/2006/relationships/hyperlink" Target="https://charm-industrial.manufacturo.cloud/app/eworkin-plus-execution/order-execution/0CC3CC3C-CCB8-42AE-08DF-08DE84F09F6B/trace/01E16386-7861-4853-0B1D-08DE84F09F6B/" TargetMode="External"/><Relationship Id="rId88" Type="http://schemas.openxmlformats.org/officeDocument/2006/relationships/hyperlink" Target="https://charm-industrial.manufacturo.cloud/app/inventory/purchase-orders/(purchase:orders/68CAE53F-BF2E-46BA-C427-08DE81272A03/lines/0C023D69-9052-4DA6-FF9E-08DE81272A03)" TargetMode="External"/><Relationship Id="rId87" Type="http://schemas.openxmlformats.org/officeDocument/2006/relationships/hyperlink" Target="https://charm-industrial.manufacturo.cloud/app/eworkin-plus-execution/order-execution/E40B3B03-9F50-4551-D908-08DE85B8F0BE/trace/7562308F-F606-4E60-BB9E-08DE85B8F0BF/" TargetMode="External"/><Relationship Id="rId89" Type="http://schemas.openxmlformats.org/officeDocument/2006/relationships/hyperlink" Target="https://charm-industrial.manufacturo.cloud/app/eworkin-plus-execution/order-execution/BC5D11E3-000D-4DE6-9096-08DE85B90A2A/trace/A8C82AD0-21A2-4ED6-98B4-08DE85B90A2A/" TargetMode="External"/><Relationship Id="rId80" Type="http://schemas.openxmlformats.org/officeDocument/2006/relationships/hyperlink" Target="https://charm-industrial.manufacturo.cloud/app/inventory/purchase-orders/(purchase:orders/012D608F-8153-4081-3907-08DE813B3401/lines/DDE73330-9016-4D9E-6FF3-08DE813B3401)" TargetMode="External"/><Relationship Id="rId82" Type="http://schemas.openxmlformats.org/officeDocument/2006/relationships/hyperlink" Target="https://charm-industrial.manufacturo.cloud/app/inventory/purchase-orders/(purchase:orders/569B9A9D-4C7E-4503-86FE-08DE8127C1E9/lines/3D9B571A-5EEA-4B94-8B0C-08DE8127C1E9)" TargetMode="External"/><Relationship Id="rId81" Type="http://schemas.openxmlformats.org/officeDocument/2006/relationships/hyperlink" Target="https://charm-industrial.manufacturo.cloud/app/eworkin-plus-execution/order-execution/1F5DD378-64D3-44C2-9FB4-08DE8397EE93/trace/D732DCCA-A7E6-402B-A3B0-08DE8397EE93/" TargetMode="External"/><Relationship Id="rId73" Type="http://schemas.openxmlformats.org/officeDocument/2006/relationships/hyperlink" Target="https://charm-industrial.manufacturo.cloud/app/eworkin-plus-execution/order-execution/34FDFD93-A875-4AEB-1AE1-08DE7E09B76E/trace/6F31B225-0E65-44D5-21BA-08DE7E09B76E/" TargetMode="External"/><Relationship Id="rId72" Type="http://schemas.openxmlformats.org/officeDocument/2006/relationships/hyperlink" Target="https://charm-industrial.manufacturo.cloud/app/inventory/purchase-orders/(purchase:orders/1DC04616-587F-40C9-AA8C-08DE7B03F64C/lines/810427BD-C8DF-4A6A-AB6A-08DE7B03F64C)" TargetMode="External"/><Relationship Id="rId75" Type="http://schemas.openxmlformats.org/officeDocument/2006/relationships/hyperlink" Target="https://charm-industrial.manufacturo.cloud/app/eworkin-plus-execution/order-execution/D15F90C6-B2A8-46CA-B428-08DE8355425E/trace/79518059-DDE1-4CBE-B716-08DE8355425E/" TargetMode="External"/><Relationship Id="rId74" Type="http://schemas.openxmlformats.org/officeDocument/2006/relationships/hyperlink" Target="https://charm-industrial.manufacturo.cloud/app/inventory/purchase-orders/(purchase:orders/5A067DB6-D075-4DE7-181F-08DE7EED202C/lines/04EF953D-4A42-4D13-685F-08DE7EED202C)" TargetMode="External"/><Relationship Id="rId77" Type="http://schemas.openxmlformats.org/officeDocument/2006/relationships/hyperlink" Target="https://charm-industrial.manufacturo.cloud/app/eworkin-plus-execution/order-execution/B08D558F-8A1B-4CA4-8602-08DE8397A02A/trace/3C01A05A-8B25-49F1-8888-08DE8397A02A/" TargetMode="External"/><Relationship Id="rId76" Type="http://schemas.openxmlformats.org/officeDocument/2006/relationships/hyperlink" Target="https://charm-industrial.manufacturo.cloud/app/inventory/purchase-orders/(purchase:orders/01191310-A6E8-4E91-91B5-08DE8123293B/lines/16E83A7D-46A2-4E37-C8D2-08DE8123293B)" TargetMode="External"/><Relationship Id="rId79" Type="http://schemas.openxmlformats.org/officeDocument/2006/relationships/hyperlink" Target="https://charm-industrial.manufacturo.cloud/app/eworkin-plus-execution/order-execution/974A2FC7-5C3C-4076-FFCB-08DE8458977F/trace/75903E44-0064-4586-F5C5-08DE84589780/" TargetMode="External"/><Relationship Id="rId78" Type="http://schemas.openxmlformats.org/officeDocument/2006/relationships/hyperlink" Target="https://charm-industrial.manufacturo.cloud/app/inventory/purchase-orders/(purchase:orders/A50754D7-D06C-46B5-61BF-08DE813BAA1D/lines/0F449BB0-4C78-47AC-62A2-08DE813BAA1D)" TargetMode="External"/><Relationship Id="rId71" Type="http://schemas.openxmlformats.org/officeDocument/2006/relationships/hyperlink" Target="https://charm-industrial.manufacturo.cloud/app/eworkin-plus-execution/order-execution/3A826C2B-6DC8-45A6-38C0-08DE7D457B83/trace/77091554-EC60-4292-3B78-08DE7D457B83/" TargetMode="External"/><Relationship Id="rId70" Type="http://schemas.openxmlformats.org/officeDocument/2006/relationships/hyperlink" Target="https://charm-industrial.manufacturo.cloud/app/inventory/purchase-orders/(purchase:orders/68BABAEA-E8D3-4D3E-DFEE-08DE7A3DF961/lines/DBF3D643-B2F2-4100-335E-08DE7A3DF962)" TargetMode="External"/><Relationship Id="rId62" Type="http://schemas.openxmlformats.org/officeDocument/2006/relationships/hyperlink" Target="https://charm-industrial.manufacturo.cloud/app/inventory/purchase-orders/(purchase:orders/1AE34FFF-49A1-4DCA-6155-08DE7643C7FA/lines/C8BC052E-A303-427C-9CFC-08DE7643C7FA)" TargetMode="External"/><Relationship Id="rId61" Type="http://schemas.openxmlformats.org/officeDocument/2006/relationships/hyperlink" Target="https://charm-industrial.manufacturo.cloud/app/eworkin-plus-execution/order-execution/254E12EC-F9FB-400B-28F3-08DE779E454A/trace/458CC402-EE5B-4E19-196F-08DE779E454B/" TargetMode="External"/><Relationship Id="rId64" Type="http://schemas.openxmlformats.org/officeDocument/2006/relationships/hyperlink" Target="https://charm-industrial.manufacturo.cloud/app/inventory/purchase-orders/(purchase:orders/22C42135-17CC-4350-22C3-08DE7970B769/lines/B2D2FEB2-6A59-4CAA-5BE7-08DE7970B769)" TargetMode="External"/><Relationship Id="rId63" Type="http://schemas.openxmlformats.org/officeDocument/2006/relationships/hyperlink" Target="https://charm-industrial.manufacturo.cloud/app/eworkin-plus-execution/order-execution/92D235DB-8FA5-4125-158E-08DE7882FDD5/trace/611D7A62-EB41-4876-0F9A-08DE7882FDD6/" TargetMode="External"/><Relationship Id="rId66" Type="http://schemas.openxmlformats.org/officeDocument/2006/relationships/hyperlink" Target="https://charm-industrial.manufacturo.cloud/app/inventory/purchase-orders/(purchase:orders/679B9923-626A-4E0C-8453-08DE79772FA6/lines/F70A29E4-2FA9-4789-C30A-08DE79772FA6)" TargetMode="External"/><Relationship Id="rId65" Type="http://schemas.openxmlformats.org/officeDocument/2006/relationships/hyperlink" Target="https://charm-industrial.manufacturo.cloud/app/eworkin-plus-execution/order-execution/80CBE118-66C0-4431-51F7-08DE7EBDC03D/trace/C3DF9F82-CB37-4E86-7292-08DE7EBDC03D/" TargetMode="External"/><Relationship Id="rId68" Type="http://schemas.openxmlformats.org/officeDocument/2006/relationships/hyperlink" Target="https://charm-industrial.manufacturo.cloud/app/inventory/purchase-orders/(purchase:orders/25CEB0F5-35AD-4C2C-8760-08DE7A3D79F1/lines/8BE90577-7B03-4236-8A3C-08DE7A3D79F1)" TargetMode="External"/><Relationship Id="rId67" Type="http://schemas.openxmlformats.org/officeDocument/2006/relationships/hyperlink" Target="https://charm-industrial.manufacturo.cloud/app/eworkin-plus-execution/order-execution/5AA90F0D-A308-4E98-1C13-08DE7F96AC63/trace/9C9A583E-A60C-4D4D-1E81-08DE7F96AC63/" TargetMode="External"/><Relationship Id="rId60" Type="http://schemas.openxmlformats.org/officeDocument/2006/relationships/hyperlink" Target="https://charm-industrial.manufacturo.cloud/app/inventory/purchase-orders/(purchase:orders/9E71D758-AE97-4AD6-2EA5-08DE74C40B54/lines/F470D81E-D261-424D-6456-08DE74C40B54)" TargetMode="External"/><Relationship Id="rId69" Type="http://schemas.openxmlformats.org/officeDocument/2006/relationships/hyperlink" Target="https://charm-industrial.manufacturo.cloud/app/eworkin-plus-execution/order-execution/A2C38277-E226-4704-871B-08DE7D454D6C/trace/70DC47EF-6F30-424C-89BA-08DE7D454D6C/" TargetMode="External"/><Relationship Id="rId51" Type="http://schemas.openxmlformats.org/officeDocument/2006/relationships/hyperlink" Target="https://charm-industrial.manufacturo.cloud/app/eworkin-plus-execution/order-execution/B8A6B0D9-E33B-47A4-3CC6-08DE753F8AB7/trace/E42AC21B-A7AF-4B3B-472C-08DE753F8AB7/" TargetMode="External"/><Relationship Id="rId50" Type="http://schemas.openxmlformats.org/officeDocument/2006/relationships/hyperlink" Target="https://charm-industrial.manufacturo.cloud/app/inventory/purchase-orders/(purchase:orders/1C07DC0A-D450-42CA-3A61-08DE70BA385E/lines/D515DE59-96FE-47EE-7373-08DE70BA385E)"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A0F59C46-8076-41A4-DEB7-08DE70BAB052/lines/D9C2EA9C-EDDE-4D37-30C6-08DE70BAB053)" TargetMode="External"/><Relationship Id="rId55" Type="http://schemas.openxmlformats.org/officeDocument/2006/relationships/hyperlink" Target="https://charm-industrial.manufacturo.cloud/app/eworkin-plus-execution/order-execution/3681A8B1-5D4D-47E7-3813-08DE76013774/trace/562F1855-E783-439A-3ABB-08DE76013774/" TargetMode="External"/><Relationship Id="rId54" Type="http://schemas.openxmlformats.org/officeDocument/2006/relationships/hyperlink" Target="https://charm-industrial.manufacturo.cloud/app/inventory/purchase-orders/(purchase:orders/FC71DA4D-F255-4DF5-775F-08DE70BABF0F/lines/4420274B-9CDE-4733-7B93-08DE70BABF0F)" TargetMode="External"/><Relationship Id="rId57" Type="http://schemas.openxmlformats.org/officeDocument/2006/relationships/hyperlink" Target="https://charm-industrial.manufacturo.cloud/app/eworkin-plus-execution/order-execution/1B8C1AD4-5564-4333-2739-08DE76016672/trace/E6621289-31AA-4194-3353-08DE76016672/"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E6ED16BD-072D-474E-C8C9-08DE779E1698/trace/B3384ECC-63AB-40E2-CAF6-08DE779E1698/" TargetMode="External"/><Relationship Id="rId58" Type="http://schemas.openxmlformats.org/officeDocument/2006/relationships/hyperlink" Target="https://charm-industrial.manufacturo.cloud/app/inventory/purchase-orders/(purchase:orders/77515F26-51C9-4A57-7312-08DE736A0E58/lines/04BD335C-52AE-40A6-7584-08DE736A0E58)" TargetMode="External"/><Relationship Id="rId107" Type="http://schemas.openxmlformats.org/officeDocument/2006/relationships/hyperlink" Target="https://charm-industrial.manufacturo.cloud/app/eworkin-plus-execution/order-execution/73EDF2C3-A802-41D7-A490-08DE89AB93C3/trace/550BF31B-DA3D-4BCD-A713-08DE89AB93C3/" TargetMode="External"/><Relationship Id="rId106" Type="http://schemas.openxmlformats.org/officeDocument/2006/relationships/hyperlink" Target="https://charm-industrial.manufacturo.cloud/app/inventory/purchase-orders/(purchase:orders/04A7AFD3-5B7B-453E-9623-08DE853C176A/lines/1544E235-D845-4DC7-9E46-08DE853C176A)" TargetMode="External"/><Relationship Id="rId105" Type="http://schemas.openxmlformats.org/officeDocument/2006/relationships/hyperlink" Target="https://charm-industrial.manufacturo.cloud/app/eworkin-plus-execution/order-execution/94E3C342-A42E-4598-6A61-08DE88D5A0C6/trace/56DA150D-A5E8-4C60-6D56-08DE88D5A0C6/" TargetMode="External"/><Relationship Id="rId104" Type="http://schemas.openxmlformats.org/officeDocument/2006/relationships/hyperlink" Target="https://charm-industrial.manufacturo.cloud/app/inventory/purchase-orders/(purchase:orders/C65C8179-301C-4FCE-F772-08DE85FC4E7C/lines/54C6BDB7-833C-4C7C-3794-08DE85FC4E7D)" TargetMode="External"/><Relationship Id="rId109" Type="http://schemas.openxmlformats.org/officeDocument/2006/relationships/hyperlink" Target="https://charm-industrial.manufacturo.cloud/app/eworkin-plus-execution/order-execution/1E6ED775-B6DD-436A-650C-08DE89AB08B1/trace/BE15B01D-9CE0-45CA-71EE-08DE89AB08B1/" TargetMode="External"/><Relationship Id="rId108" Type="http://schemas.openxmlformats.org/officeDocument/2006/relationships/hyperlink" Target="https://charm-industrial.manufacturo.cloud/app/inventory/purchase-orders/(purchase:orders/134E9636-8681-40F3-17F8-08DE85FCD3E7/lines/3ED23C30-0038-4178-1A39-08DE85FCD3E7)" TargetMode="External"/><Relationship Id="rId103" Type="http://schemas.openxmlformats.org/officeDocument/2006/relationships/hyperlink" Target="https://charm-industrial.manufacturo.cloud/app/eworkin-plus-execution/order-execution/79412D6F-945E-4507-E286-08DE8811FEE1/trace/B3DBA27C-B937-4C4D-E520-08DE8811FEE1/" TargetMode="External"/><Relationship Id="rId102" Type="http://schemas.openxmlformats.org/officeDocument/2006/relationships/hyperlink" Target="https://charm-industrial.manufacturo.cloud/app/inventory/purchase-orders/(purchase:orders/5DD9EBDF-81B2-4103-F63F-08DE8462F587/lines/9E10DE39-8CD1-4A68-3B0D-08DE8462F588)" TargetMode="External"/><Relationship Id="rId101" Type="http://schemas.openxmlformats.org/officeDocument/2006/relationships/hyperlink" Target="https://charm-industrial.manufacturo.cloud/app/eworkin-plus-execution/order-execution/451B54EA-DBF2-4137-C45E-08DE7DF80323/trace/B6354AED-BB51-4FE4-D97D-08DE7DF80324/" TargetMode="External"/><Relationship Id="rId100" Type="http://schemas.openxmlformats.org/officeDocument/2006/relationships/hyperlink" Target="https://charm-industrial.manufacturo.cloud/app/inventory/purchase-orders/(purchase:orders/DB82256E-5D5D-48BB-3570-08DE7DF7CA6F/lines/3AB1222D-0B2C-4347-78BC-08DE7DF7CA6F)" TargetMode="External"/><Relationship Id="rId129" Type="http://schemas.openxmlformats.org/officeDocument/2006/relationships/hyperlink" Target="https://charm-industrial.manufacturo.cloud/app/eworkin-plus-execution/order-execution/DAC02C9C-40E3-4693-4096-08DE919CE988/trace/70D0D76D-A612-4245-433E-08DE919CE988/" TargetMode="External"/><Relationship Id="rId128" Type="http://schemas.openxmlformats.org/officeDocument/2006/relationships/hyperlink" Target="https://charm-industrial.manufacturo.cloud/app/inventory/purchase-orders/(purchase:orders/D6B87C92-4FE1-47FE-54D8-08DE8F6A47CF/lines/DE997DF1-A71C-41E5-9A66-08DE8F6A47CF)" TargetMode="External"/><Relationship Id="rId127" Type="http://schemas.openxmlformats.org/officeDocument/2006/relationships/hyperlink" Target="https://charm-industrial.manufacturo.cloud/app/eworkin-plus-execution/order-execution/419B6940-E803-4AD2-FC83-08DE90D1BF73/trace/A0454BE0-76FB-49D6-FFB4-08DE90D1BF73/"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121" Type="http://schemas.openxmlformats.org/officeDocument/2006/relationships/hyperlink" Target="https://charm-industrial.manufacturo.cloud/app/eworkin-plus-execution/order-execution/C811917A-4660-489D-A795-08DE90D1BE14/trace/C298C43B-26A7-4F9B-A9DA-08DE90D1BE14/" TargetMode="External"/><Relationship Id="rId120" Type="http://schemas.openxmlformats.org/officeDocument/2006/relationships/hyperlink" Target="https://charm-industrial.manufacturo.cloud/app/inventory/purchase-orders/(purchase:orders/7673B217-1E40-479B-A1E2-08DE90D1A561/lines/65EAFF06-3F57-4691-B317-08DE90D1A561)" TargetMode="External"/><Relationship Id="rId125" Type="http://schemas.openxmlformats.org/officeDocument/2006/relationships/hyperlink" Target="https://charm-industrial.manufacturo.cloud/app/eworkin-plus-execution/order-execution/9A52E769-2FE5-4F55-5EE1-08DE90D1C013/trace/EA783789-4B38-4311-6138-08DE90D1C013/"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123" Type="http://schemas.openxmlformats.org/officeDocument/2006/relationships/hyperlink" Target="https://charm-industrial.manufacturo.cloud/app/eworkin-plus-execution/order-execution/37B5B96E-8444-46CA-AC1D-08DE90D1BECE/trace/D1BCE4CF-8242-4B57-AE7D-08DE90D1BECE/"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95" Type="http://schemas.openxmlformats.org/officeDocument/2006/relationships/hyperlink" Target="https://charm-industrial.manufacturo.cloud/app/eworkin-plus-execution/order-execution/190AE5A3-E6F9-4F99-8CDA-08DE8681D4E2/trace/FCA06796-E06B-45A6-8F14-08DE8681D4E2/" TargetMode="External"/><Relationship Id="rId94" Type="http://schemas.openxmlformats.org/officeDocument/2006/relationships/hyperlink" Target="https://charm-industrial.manufacturo.cloud/app/inventory/purchase-orders/(purchase:orders/7F277AA5-EA7F-4A35-1B5B-08DE83884756/lines/A5D4D6D2-A283-4AC6-1C01-08DE83884756)" TargetMode="External"/><Relationship Id="rId97" Type="http://schemas.openxmlformats.org/officeDocument/2006/relationships/hyperlink" Target="https://charm-industrial.manufacturo.cloud/app/eworkin-plus-execution/order-execution/3F5E3432-97DF-476F-C982-08DE87820CED/trace/65EEB765-4F60-435A-CC3D-08DE87820CED/" TargetMode="External"/><Relationship Id="rId96" Type="http://schemas.openxmlformats.org/officeDocument/2006/relationships/hyperlink" Target="https://charm-industrial.manufacturo.cloud/app/inventory/purchase-orders/(purchase:orders/9EB33C31-AD0F-46C8-6E5B-08DE84626DE0/lines/995C8E00-9864-4DAC-A9FD-08DE84626DE0)" TargetMode="External"/><Relationship Id="rId99" Type="http://schemas.openxmlformats.org/officeDocument/2006/relationships/hyperlink" Target="https://charm-industrial.manufacturo.cloud/app/eworkin-plus-execution/order-execution/79A88242-BABB-4E7D-E052-08DE87849F70/trace/19C18009-5144-4651-C662-08DE87849F71/" TargetMode="External"/><Relationship Id="rId98" Type="http://schemas.openxmlformats.org/officeDocument/2006/relationships/hyperlink" Target="https://charm-industrial.manufacturo.cloud/app/inventory/purchase-orders/(purchase:orders/85FDD222-0B6E-4809-C16E-08DE846388FB/lines/0CA9A754-4894-4013-C547-08DE846388FB)" TargetMode="External"/><Relationship Id="rId91" Type="http://schemas.openxmlformats.org/officeDocument/2006/relationships/hyperlink" Target="https://charm-industrial.manufacturo.cloud/app/eworkin-plus-execution/order-execution/E6D2470D-72C3-45F5-892F-08DE86815394/trace/137707ED-7E93-410D-9300-08DE86815394/" TargetMode="External"/><Relationship Id="rId90" Type="http://schemas.openxmlformats.org/officeDocument/2006/relationships/hyperlink" Target="https://charm-industrial.manufacturo.cloud/app/inventory/purchase-orders/(purchase:orders/B6C9A803-F464-4F0C-E55C-08DE8386A071/lines/0914B71E-2C82-4C02-EB41-08DE8386A071)" TargetMode="External"/><Relationship Id="rId93" Type="http://schemas.openxmlformats.org/officeDocument/2006/relationships/hyperlink" Target="https://charm-industrial.manufacturo.cloud/app/eworkin-plus-execution/order-execution/57E4CA31-9218-4725-BB7B-08DE8681A74D/trace/2C281B70-7910-44F3-BE8B-08DE8681A74D/" TargetMode="External"/><Relationship Id="rId92" Type="http://schemas.openxmlformats.org/officeDocument/2006/relationships/hyperlink" Target="https://charm-industrial.manufacturo.cloud/app/inventory/purchase-orders/(purchase:orders/30B40432-88E6-4A66-F160-08DE8387750A/lines/A37025C5-7486-433F-F500-08DE8387750A)"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F303079D-B626-4723-28AD-08DE8C3A5473/trace/DF23855E-2853-4C1C-2BB2-08DE8C3A5473/"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115" Type="http://schemas.openxmlformats.org/officeDocument/2006/relationships/hyperlink" Target="https://charm-industrial.manufacturo.cloud/app/eworkin-plus-execution/order-execution/DF24D0DE-0A3E-4DE3-F693-08DE8C3A53C5/trace/F0708CCC-AAF2-4E36-F93B-08DE8C3A53C5/" TargetMode="External"/><Relationship Id="rId119" Type="http://schemas.openxmlformats.org/officeDocument/2006/relationships/hyperlink" Target="https://charm-industrial.manufacturo.cloud/app/eworkin-plus-execution/order-execution/81FAAD82-6762-4CCC-6D8A-08DE8C3A5517/trace/1711F3F3-6682-450E-700B-08DE8C3A5517/" TargetMode="External"/><Relationship Id="rId110" Type="http://schemas.openxmlformats.org/officeDocument/2006/relationships/hyperlink" Target="https://charm-industrial.manufacturo.cloud/app/inventory/purchase-orders/(purchase:orders/5D10B891-1198-476B-F0B8-08DE853B7795/lines/F6F53DD5-3C49-49B4-435A-08DE853B7796)"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113" Type="http://schemas.openxmlformats.org/officeDocument/2006/relationships/hyperlink" Target="https://charm-industrial.manufacturo.cloud/app/eworkin-plus-execution/order-execution/DBB7D2F5-81E8-4284-EA34-08DE8C3A52D8/trace/A57223B1-58B8-47F6-ED03-08DE8C3A52D8/" TargetMode="External"/><Relationship Id="rId112" Type="http://schemas.openxmlformats.org/officeDocument/2006/relationships/hyperlink" Target="https://charm-industrial.manufacturo.cloud/app/inventory/purchase-orders/(purchase:orders/D91E7E22-0A06-4888-05CB-08DE8434BE57/lines/FF15C2B3-1D73-4288-401C-08DE8434BE57)" TargetMode="External"/><Relationship Id="rId111" Type="http://schemas.openxmlformats.org/officeDocument/2006/relationships/hyperlink" Target="https://charm-industrial.manufacturo.cloud/app/eworkin-plus-execution/order-execution/68E04589-C3B9-4703-18D7-08DE89AB25D6/trace/7AC41885-E48C-4832-1BEE-08DE89AB25D6/" TargetMode="External"/></Relationships>
</file>

<file path=xl/worksheets/_rels/sheet4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50.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1.xml"/><Relationship Id="rId5" Type="http://schemas.openxmlformats.org/officeDocument/2006/relationships/vmlDrawing" Target="../drawings/vmlDrawing24.v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55.xml"/><Relationship Id="rId5"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7.xml"/><Relationship Id="rId6" Type="http://schemas.openxmlformats.org/officeDocument/2006/relationships/vmlDrawing" Target="../drawings/vmlDrawing26.v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61.xml"/><Relationship Id="rId5" Type="http://schemas.openxmlformats.org/officeDocument/2006/relationships/vmlDrawing" Target="../drawings/vmlDrawing27.v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3.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s>
  <sheetData>
    <row r="1">
      <c r="A1" s="1" t="s">
        <v>0</v>
      </c>
    </row>
    <row r="3">
      <c r="A3" s="1" t="s">
        <v>1</v>
      </c>
    </row>
    <row r="5">
      <c r="A5" s="2" t="s">
        <v>2</v>
      </c>
      <c r="B5" s="3" t="s">
        <v>3</v>
      </c>
      <c r="C5" s="1" t="s">
        <v>4</v>
      </c>
    </row>
    <row r="6">
      <c r="A6" s="4" t="s">
        <v>5</v>
      </c>
      <c r="B6" s="5" t="s">
        <v>6</v>
      </c>
      <c r="C6" s="1" t="s">
        <v>7</v>
      </c>
    </row>
    <row r="7">
      <c r="B7" s="5" t="s">
        <v>8</v>
      </c>
      <c r="C7" s="1" t="s">
        <v>9</v>
      </c>
    </row>
    <row r="9">
      <c r="A9" s="1" t="s">
        <v>10</v>
      </c>
    </row>
    <row r="11">
      <c r="A11" s="2" t="s">
        <v>11</v>
      </c>
      <c r="B11" s="3" t="s">
        <v>3</v>
      </c>
      <c r="C11" s="1" t="s">
        <v>4</v>
      </c>
    </row>
    <row r="12">
      <c r="A12" s="4" t="s">
        <v>12</v>
      </c>
      <c r="B12" s="5" t="s">
        <v>8</v>
      </c>
      <c r="C12" s="1" t="s">
        <v>13</v>
      </c>
    </row>
    <row r="13">
      <c r="B13" s="5" t="s">
        <v>6</v>
      </c>
      <c r="C13" s="1" t="s">
        <v>14</v>
      </c>
    </row>
    <row r="15">
      <c r="A15" s="1" t="s">
        <v>15</v>
      </c>
    </row>
    <row r="17">
      <c r="A17" s="4" t="s">
        <v>16</v>
      </c>
      <c r="B17" s="3" t="s">
        <v>3</v>
      </c>
      <c r="C17" s="1" t="s">
        <v>4</v>
      </c>
    </row>
    <row r="18">
      <c r="B18" s="5" t="s">
        <v>17</v>
      </c>
      <c r="C18" s="1" t="s">
        <v>18</v>
      </c>
    </row>
    <row r="21">
      <c r="A21" s="6" t="s">
        <v>19</v>
      </c>
      <c r="B21" s="6" t="s">
        <v>20</v>
      </c>
      <c r="C21" s="6" t="s">
        <v>21</v>
      </c>
      <c r="D21" s="6" t="s">
        <v>22</v>
      </c>
      <c r="E21" s="6" t="s">
        <v>23</v>
      </c>
      <c r="F21" s="6" t="s">
        <v>24</v>
      </c>
      <c r="G21" s="6" t="s">
        <v>25</v>
      </c>
      <c r="H21" s="6" t="s">
        <v>26</v>
      </c>
      <c r="I21" s="6" t="s">
        <v>27</v>
      </c>
      <c r="J21" s="6" t="s">
        <v>28</v>
      </c>
      <c r="K21" s="6" t="s">
        <v>29</v>
      </c>
      <c r="L21" s="6" t="s">
        <v>30</v>
      </c>
      <c r="M21" s="6" t="s">
        <v>31</v>
      </c>
      <c r="N21" s="6">
        <v>2024.0</v>
      </c>
      <c r="P21" s="7"/>
      <c r="Q21" s="7"/>
      <c r="R21" s="7"/>
      <c r="S21" s="7"/>
      <c r="T21" s="7"/>
      <c r="U21" s="7"/>
      <c r="V21" s="7"/>
      <c r="W21" s="7"/>
      <c r="X21" s="7"/>
      <c r="Y21" s="7"/>
      <c r="Z21" s="7"/>
    </row>
    <row r="22">
      <c r="A22" s="6" t="s">
        <v>32</v>
      </c>
      <c r="B22" s="4">
        <v>80.0</v>
      </c>
      <c r="C22" s="4">
        <v>240.0</v>
      </c>
      <c r="D22" s="4">
        <v>320.0</v>
      </c>
      <c r="E22" s="4">
        <v>240.0</v>
      </c>
      <c r="F22" s="4">
        <v>560.0</v>
      </c>
      <c r="G22" s="4">
        <v>720.0</v>
      </c>
      <c r="H22" s="4">
        <v>640.0</v>
      </c>
      <c r="I22" s="4">
        <v>560.0</v>
      </c>
      <c r="J22" s="4">
        <v>720.0</v>
      </c>
      <c r="K22" s="4">
        <v>960.0</v>
      </c>
      <c r="L22" s="4">
        <v>240.0</v>
      </c>
      <c r="M22" s="4">
        <v>960.0</v>
      </c>
      <c r="N22" s="4">
        <v>6240.0</v>
      </c>
    </row>
    <row r="23">
      <c r="A23" s="6" t="s">
        <v>33</v>
      </c>
      <c r="B23" s="8">
        <f t="shared" ref="B23:N23" si="1">B22*$A$25</f>
        <v>80000</v>
      </c>
      <c r="C23" s="8">
        <f t="shared" si="1"/>
        <v>240000</v>
      </c>
      <c r="D23" s="8">
        <f t="shared" si="1"/>
        <v>320000</v>
      </c>
      <c r="E23" s="8">
        <f t="shared" si="1"/>
        <v>240000</v>
      </c>
      <c r="F23" s="8">
        <f t="shared" si="1"/>
        <v>560000</v>
      </c>
      <c r="G23" s="8">
        <f t="shared" si="1"/>
        <v>720000</v>
      </c>
      <c r="H23" s="8">
        <f t="shared" si="1"/>
        <v>640000</v>
      </c>
      <c r="I23" s="8">
        <f t="shared" si="1"/>
        <v>560000</v>
      </c>
      <c r="J23" s="8">
        <f t="shared" si="1"/>
        <v>720000</v>
      </c>
      <c r="K23" s="8">
        <f t="shared" si="1"/>
        <v>960000</v>
      </c>
      <c r="L23" s="8">
        <f t="shared" si="1"/>
        <v>240000</v>
      </c>
      <c r="M23" s="8">
        <f t="shared" si="1"/>
        <v>960000</v>
      </c>
      <c r="N23" s="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6.75"/>
    <col customWidth="1" min="17" max="17" width="12.75"/>
    <col customWidth="1" min="18" max="20" width="11.75"/>
    <col customWidth="1" min="21" max="36" width="11.38"/>
    <col customWidth="1" hidden="1" min="37" max="37" width="11.38"/>
    <col customWidth="1" min="39" max="39" width="5.0"/>
  </cols>
  <sheetData>
    <row r="1">
      <c r="A1" s="9" t="s">
        <v>34</v>
      </c>
      <c r="B1" s="9" t="s">
        <v>35</v>
      </c>
      <c r="C1" s="9" t="s">
        <v>36</v>
      </c>
      <c r="D1" s="9" t="s">
        <v>37</v>
      </c>
      <c r="E1" s="9" t="s">
        <v>38</v>
      </c>
      <c r="F1" s="9" t="s">
        <v>39</v>
      </c>
      <c r="G1" s="9" t="s">
        <v>40</v>
      </c>
      <c r="H1" s="9" t="s">
        <v>41</v>
      </c>
      <c r="I1" s="9" t="s">
        <v>42</v>
      </c>
      <c r="J1" s="9" t="s">
        <v>43</v>
      </c>
      <c r="K1" s="9" t="s">
        <v>44</v>
      </c>
      <c r="L1" s="9" t="s">
        <v>45</v>
      </c>
      <c r="M1" s="9" t="s">
        <v>46</v>
      </c>
      <c r="N1" s="10" t="s">
        <v>47</v>
      </c>
      <c r="O1" s="10" t="s">
        <v>48</v>
      </c>
      <c r="P1" s="9" t="s">
        <v>49</v>
      </c>
      <c r="Q1" s="11" t="s">
        <v>50</v>
      </c>
      <c r="R1" s="11" t="s">
        <v>51</v>
      </c>
      <c r="S1" s="12" t="s">
        <v>52</v>
      </c>
      <c r="T1" s="12" t="s">
        <v>53</v>
      </c>
      <c r="U1" s="9" t="s">
        <v>54</v>
      </c>
      <c r="V1" s="9" t="s">
        <v>55</v>
      </c>
      <c r="W1" s="9" t="s">
        <v>56</v>
      </c>
      <c r="X1" s="9" t="s">
        <v>57</v>
      </c>
      <c r="Y1" s="9" t="s">
        <v>58</v>
      </c>
      <c r="Z1" s="9" t="s">
        <v>59</v>
      </c>
      <c r="AA1" s="9" t="s">
        <v>60</v>
      </c>
      <c r="AB1" s="9" t="s">
        <v>61</v>
      </c>
      <c r="AC1" s="9" t="s">
        <v>62</v>
      </c>
      <c r="AD1" s="9" t="s">
        <v>63</v>
      </c>
      <c r="AE1" s="9" t="s">
        <v>64</v>
      </c>
      <c r="AF1" s="9" t="s">
        <v>65</v>
      </c>
      <c r="AG1" s="9" t="s">
        <v>66</v>
      </c>
      <c r="AH1" s="9" t="s">
        <v>67</v>
      </c>
      <c r="AI1" s="9" t="s">
        <v>68</v>
      </c>
      <c r="AJ1" s="13" t="s">
        <v>69</v>
      </c>
      <c r="AK1" s="9" t="s">
        <v>70</v>
      </c>
      <c r="AL1" s="14" t="s">
        <v>71</v>
      </c>
      <c r="AM1" s="15"/>
      <c r="AN1" s="15" t="s">
        <v>72</v>
      </c>
      <c r="AO1" s="15" t="s">
        <v>35</v>
      </c>
      <c r="AP1" s="15" t="s">
        <v>73</v>
      </c>
      <c r="AQ1" s="15" t="s">
        <v>74</v>
      </c>
      <c r="AR1" s="15" t="s">
        <v>75</v>
      </c>
      <c r="AS1" s="15"/>
      <c r="AT1" s="16"/>
      <c r="AU1" s="16"/>
      <c r="AV1" s="16"/>
      <c r="AW1" s="16"/>
    </row>
    <row r="2">
      <c r="A2" s="17">
        <v>1.0</v>
      </c>
      <c r="B2" s="18" t="s">
        <v>76</v>
      </c>
      <c r="C2" s="17"/>
      <c r="D2" s="18" t="s">
        <v>77</v>
      </c>
      <c r="E2" s="17"/>
      <c r="F2" s="17" t="s">
        <v>78</v>
      </c>
      <c r="G2" s="17" t="s">
        <v>79</v>
      </c>
      <c r="H2" s="17" t="s">
        <v>80</v>
      </c>
      <c r="I2" s="17" t="s">
        <v>81</v>
      </c>
      <c r="J2" s="19"/>
      <c r="K2" s="19" t="s">
        <v>82</v>
      </c>
      <c r="L2" s="19" t="s">
        <v>83</v>
      </c>
      <c r="M2" s="20"/>
      <c r="N2" s="20">
        <v>45352.0</v>
      </c>
      <c r="O2" s="21">
        <v>45355.0</v>
      </c>
      <c r="P2" s="21"/>
      <c r="Q2" s="22">
        <v>20.07</v>
      </c>
      <c r="R2" s="22"/>
      <c r="S2" s="23" t="str">
        <f>iferror(if(AN2=1,VLOOKUP(B2, Blends!H$4:AK$1004,32,0), ""), "")</f>
        <v/>
      </c>
      <c r="T2" s="24">
        <v>0.4483</v>
      </c>
      <c r="U2" s="25">
        <f t="shared" ref="U2:U74" si="1">Q2*T2*(44.01/12.011)</f>
        <v>32.96767445</v>
      </c>
      <c r="V2" s="26">
        <f>$Q2*('MRV Calcs'!$E$3+'MRV Calcs'!$E$4)</f>
        <v>2.969194686</v>
      </c>
      <c r="W2" s="27">
        <f t="shared" ref="W2:W154" si="2">IF(H2="AECN",2030,"ERROR")</f>
        <v>2030</v>
      </c>
      <c r="X2" s="26">
        <f>IF($I2="truck",($Q2*$W2*'MRV Calcs'!$E$7)+($W2*'MRV Calcs'!$E$8),0)</f>
        <v>5.40123179</v>
      </c>
      <c r="Y2" s="26">
        <f>IF($I2="train",'MRV Calcs'!$E$24,0)</f>
        <v>0</v>
      </c>
      <c r="Z2" s="26">
        <f>IF($I2="train",($Q2*$Y2*'MRV Calcs'!$E$7)+($Y2*'MRV Calcs'!$E$8),0)</f>
        <v>0</v>
      </c>
      <c r="AA2" s="26">
        <f>IF($I2="train",'MRV Calcs'!$E$25,0)</f>
        <v>0</v>
      </c>
      <c r="AB2" s="26">
        <f>IF($I2="train",($Q2*$AA2*'MRV Calcs'!$E$11)+($AA2*'MRV Calcs'!$E$12),0)</f>
        <v>0</v>
      </c>
      <c r="AC2" s="26">
        <f>IF($I2="train",'MRV Calcs'!$E$26,0)</f>
        <v>0</v>
      </c>
      <c r="AD2" s="26">
        <f>IF($I2="train",($Q2*$AC2*'MRV Calcs'!$E$7)+($AC2*'MRV Calcs'!$E$8),0)</f>
        <v>0</v>
      </c>
      <c r="AE2" s="26">
        <f>($Q2/30)*SUM('MRV Calcs'!$E$15:$E$16)</f>
        <v>3.038106954</v>
      </c>
      <c r="AF2" s="26">
        <f>'MRV Calcs'!$E$27</f>
        <v>71.2</v>
      </c>
      <c r="AG2" s="26">
        <f>(($Q2*1.1)*$AF2*'MRV Calcs'!$E$7)+($AF2*'MRV Calcs'!$E$8)</f>
        <v>0.2078399873</v>
      </c>
      <c r="AH2" s="26">
        <f>(($Q2*1.1)/20)*SUM('MRV Calcs'!$E$19:$E$20)</f>
        <v>0.02825856</v>
      </c>
      <c r="AI2" s="26">
        <f t="shared" ref="AI2:AI154" si="3">SUM(AH2,AG2,AE2,AD2,AB2,Z2,X2,V2)</f>
        <v>11.64463198</v>
      </c>
      <c r="AJ2" s="26">
        <f t="shared" ref="AJ2:AJ74" si="4">U2-AI2</f>
        <v>21.32304247</v>
      </c>
      <c r="AK2" s="25">
        <f>AJ2</f>
        <v>21.32304247</v>
      </c>
      <c r="AL2" s="28">
        <f t="shared" ref="AL2:AL74" si="5">AJ2/Q2</f>
        <v>1.062433606</v>
      </c>
      <c r="AM2" s="29"/>
      <c r="AN2" s="29">
        <f>COUNTIF(Blends!H$4:H$1007,B2)+COUNTIF(Blends!J$4:J$1007,B2)+COUNTIF(#REF!,B2)</f>
        <v>0</v>
      </c>
      <c r="AO2" s="30" t="str">
        <f t="shared" ref="AO2:AO48" si="6">B2</f>
        <v>033T1R0</v>
      </c>
      <c r="AP2" s="31" t="s">
        <v>84</v>
      </c>
      <c r="AQ2" s="32" t="str">
        <f>IFERROR(__xludf.DUMMYFUNCTION("AP2.url"),"https://drive.google.com/file/d/19_rylkSc1iflh2fzW0GYdWbK3nkiW5OP/view?usp=drive_link")</f>
        <v>https://drive.google.com/file/d/19_rylkSc1iflh2fzW0GYdWbK3nkiW5OP/view?usp=drive_link</v>
      </c>
      <c r="AR2" s="33"/>
      <c r="AS2" s="33"/>
      <c r="AT2" s="34"/>
      <c r="AU2" s="33"/>
      <c r="AV2" s="33"/>
      <c r="AW2" s="35"/>
    </row>
    <row r="3">
      <c r="A3" s="17">
        <v>2.0</v>
      </c>
      <c r="B3" s="18" t="s">
        <v>85</v>
      </c>
      <c r="C3" s="17"/>
      <c r="D3" s="18" t="s">
        <v>77</v>
      </c>
      <c r="E3" s="17"/>
      <c r="F3" s="17" t="s">
        <v>78</v>
      </c>
      <c r="G3" s="17" t="s">
        <v>79</v>
      </c>
      <c r="H3" s="17" t="s">
        <v>80</v>
      </c>
      <c r="I3" s="17" t="s">
        <v>81</v>
      </c>
      <c r="J3" s="19"/>
      <c r="K3" s="19" t="s">
        <v>82</v>
      </c>
      <c r="L3" s="19" t="s">
        <v>86</v>
      </c>
      <c r="M3" s="20"/>
      <c r="N3" s="20">
        <v>45373.0</v>
      </c>
      <c r="O3" s="21">
        <v>45376.0</v>
      </c>
      <c r="P3" s="21"/>
      <c r="Q3" s="22">
        <v>19.63</v>
      </c>
      <c r="R3" s="22"/>
      <c r="S3" s="23" t="str">
        <f>iferror(if(AN3=1,VLOOKUP(B3, Blends!H$4:AK$1004,32,0), ""), "")</f>
        <v/>
      </c>
      <c r="T3" s="24">
        <v>0.4257</v>
      </c>
      <c r="U3" s="25">
        <f t="shared" si="1"/>
        <v>30.61936299</v>
      </c>
      <c r="V3" s="26">
        <f>$Q3*('MRV Calcs'!$E$3+'MRV Calcs'!$E$4)</f>
        <v>2.904100234</v>
      </c>
      <c r="W3" s="27">
        <f t="shared" si="2"/>
        <v>2030</v>
      </c>
      <c r="X3" s="26">
        <f>IF($I3="truck",($Q3*$W3*'MRV Calcs'!$E$7)+($W3*'MRV Calcs'!$E$8),0)</f>
        <v>5.286234791</v>
      </c>
      <c r="Y3" s="26">
        <f>IF($I3="train",'MRV Calcs'!$E$24,0)</f>
        <v>0</v>
      </c>
      <c r="Z3" s="26">
        <f>IF($I3="train",($Q3*$Y3*'MRV Calcs'!$E$7)+($Y3*'MRV Calcs'!$E$8),0)</f>
        <v>0</v>
      </c>
      <c r="AA3" s="26">
        <f>IF($I3="train",'MRV Calcs'!$E$25,0)</f>
        <v>0</v>
      </c>
      <c r="AB3" s="26">
        <f>IF($I3="train",($Q3*$AA3*'MRV Calcs'!$E$11)+($AA3*'MRV Calcs'!$E$12),0)</f>
        <v>0</v>
      </c>
      <c r="AC3" s="26">
        <f>IF($I3="train",'MRV Calcs'!$E$26,0)</f>
        <v>0</v>
      </c>
      <c r="AD3" s="26">
        <f>IF($I3="train",($Q3*$AC3*'MRV Calcs'!$E$7)+($AC3*'MRV Calcs'!$E$8),0)</f>
        <v>0</v>
      </c>
      <c r="AE3" s="26">
        <f>($Q3/30)*SUM('MRV Calcs'!$E$15:$E$16)</f>
        <v>2.971501719</v>
      </c>
      <c r="AF3" s="26">
        <f>'MRV Calcs'!$E$27</f>
        <v>71.2</v>
      </c>
      <c r="AG3" s="26">
        <f>(($Q3*1.1)*$AF3*'MRV Calcs'!$E$7)+($AF3*'MRV Calcs'!$E$8)</f>
        <v>0.2034032558</v>
      </c>
      <c r="AH3" s="26">
        <f>(($Q3*1.1)/20)*SUM('MRV Calcs'!$E$19:$E$20)</f>
        <v>0.02763904</v>
      </c>
      <c r="AI3" s="26">
        <f t="shared" si="3"/>
        <v>11.39287904</v>
      </c>
      <c r="AJ3" s="26">
        <f t="shared" si="4"/>
        <v>19.22648395</v>
      </c>
      <c r="AK3" s="25">
        <f t="shared" ref="AK3:AK45" si="7">AJ3+AK2</f>
        <v>40.54952643</v>
      </c>
      <c r="AL3" s="28">
        <f t="shared" si="5"/>
        <v>0.97944391</v>
      </c>
      <c r="AM3" s="29"/>
      <c r="AN3" s="29">
        <f>COUNTIF(Blends!H$4:H$1007,B3)+COUNTIF(Blends!J$4:J$1007,B3)+COUNTIF(#REF!,B3)</f>
        <v>1</v>
      </c>
      <c r="AO3" s="30" t="str">
        <f t="shared" si="6"/>
        <v>034T1R0</v>
      </c>
      <c r="AP3" s="31" t="s">
        <v>87</v>
      </c>
      <c r="AQ3" s="32" t="str">
        <f>IFERROR(__xludf.DUMMYFUNCTION("AP3.url"),"https://drive.google.com/file/d/1Fg9KFgPqKmiJN0v3nSsbov1HhxBi6Wr_/view?usp=drive_link")</f>
        <v>https://drive.google.com/file/d/1Fg9KFgPqKmiJN0v3nSsbov1HhxBi6Wr_/view?usp=drive_link</v>
      </c>
      <c r="AR3" s="33"/>
      <c r="AS3" s="36"/>
      <c r="AT3" s="35"/>
      <c r="AU3" s="35"/>
      <c r="AV3" s="35"/>
      <c r="AW3" s="35"/>
    </row>
    <row r="4">
      <c r="A4" s="17">
        <v>3.0</v>
      </c>
      <c r="B4" s="18" t="s">
        <v>88</v>
      </c>
      <c r="C4" s="17"/>
      <c r="D4" s="18" t="s">
        <v>89</v>
      </c>
      <c r="E4" s="17"/>
      <c r="F4" s="17" t="s">
        <v>78</v>
      </c>
      <c r="G4" s="17" t="s">
        <v>79</v>
      </c>
      <c r="H4" s="17" t="s">
        <v>80</v>
      </c>
      <c r="I4" s="17" t="s">
        <v>81</v>
      </c>
      <c r="J4" s="19"/>
      <c r="K4" s="19" t="s">
        <v>82</v>
      </c>
      <c r="L4" s="19" t="s">
        <v>90</v>
      </c>
      <c r="M4" s="20"/>
      <c r="N4" s="20">
        <v>45380.0</v>
      </c>
      <c r="O4" s="21">
        <v>45383.0</v>
      </c>
      <c r="P4" s="21"/>
      <c r="Q4" s="22">
        <v>21.03</v>
      </c>
      <c r="R4" s="22"/>
      <c r="S4" s="23" t="str">
        <f>iferror(if(AN4=1,VLOOKUP(B4, Blends!H$4:AK$1004,32,0), ""), "")</f>
        <v/>
      </c>
      <c r="T4" s="37">
        <v>0.42</v>
      </c>
      <c r="U4" s="25">
        <f t="shared" si="1"/>
        <v>32.3638936</v>
      </c>
      <c r="V4" s="26">
        <f>$Q4*('MRV Calcs'!$E$3+'MRV Calcs'!$E$4)</f>
        <v>3.111218946</v>
      </c>
      <c r="W4" s="27">
        <f t="shared" si="2"/>
        <v>2030</v>
      </c>
      <c r="X4" s="26">
        <f>IF($I4="truck",($Q4*$W4*'MRV Calcs'!$E$7)+($W4*'MRV Calcs'!$E$8),0)</f>
        <v>5.652134333</v>
      </c>
      <c r="Y4" s="26">
        <f>IF($I4="train",'MRV Calcs'!$E$24,0)</f>
        <v>0</v>
      </c>
      <c r="Z4" s="26">
        <f>IF($I4="train",($Q4*$Y4*'MRV Calcs'!$E$7)+($Y4*'MRV Calcs'!$E$8),0)</f>
        <v>0</v>
      </c>
      <c r="AA4" s="26">
        <f>IF($I4="train",'MRV Calcs'!$E$25,0)</f>
        <v>0</v>
      </c>
      <c r="AB4" s="26">
        <f>IF($I4="train",($Q4*$AA4*'MRV Calcs'!$E$11)+($AA4*'MRV Calcs'!$E$12),0)</f>
        <v>0</v>
      </c>
      <c r="AC4" s="26">
        <f>IF($I4="train",'MRV Calcs'!$E$26,0)</f>
        <v>0</v>
      </c>
      <c r="AD4" s="26">
        <f>IF($I4="train",($Q4*$AC4*'MRV Calcs'!$E$7)+($AC4*'MRV Calcs'!$E$8),0)</f>
        <v>0</v>
      </c>
      <c r="AE4" s="26">
        <f>($Q4/30)*SUM('MRV Calcs'!$E$15:$E$16)</f>
        <v>3.183427466</v>
      </c>
      <c r="AF4" s="26">
        <f>'MRV Calcs'!$E$27</f>
        <v>71.2</v>
      </c>
      <c r="AG4" s="26">
        <f>(($Q4*1.1)*$AF4*'MRV Calcs'!$E$7)+($AF4*'MRV Calcs'!$E$8)</f>
        <v>0.2175201288</v>
      </c>
      <c r="AH4" s="26">
        <f>(($Q4*1.1)/20)*SUM('MRV Calcs'!$E$19:$E$20)</f>
        <v>0.02961024</v>
      </c>
      <c r="AI4" s="26">
        <f t="shared" si="3"/>
        <v>12.19391111</v>
      </c>
      <c r="AJ4" s="26">
        <f t="shared" si="4"/>
        <v>20.16998248</v>
      </c>
      <c r="AK4" s="25">
        <f t="shared" si="7"/>
        <v>60.71950891</v>
      </c>
      <c r="AL4" s="28">
        <f t="shared" si="5"/>
        <v>0.9591052061</v>
      </c>
      <c r="AM4" s="29"/>
      <c r="AN4" s="29">
        <f>COUNTIF(Blends!H$4:H$1007,B4)+COUNTIF(Blends!J$4:J$1007,B4)+COUNTIF(#REF!,B4)</f>
        <v>1</v>
      </c>
      <c r="AO4" s="30" t="str">
        <f t="shared" si="6"/>
        <v>035T1R0</v>
      </c>
      <c r="AP4" s="38" t="s">
        <v>91</v>
      </c>
      <c r="AQ4" s="32" t="str">
        <f>IFERROR(__xludf.DUMMYFUNCTION("AP4.url"),"https://drive.google.com/file/d/1OLnsDJWSPWqo9cQ28dNO0ypTjupeCahJ/view?usp=drive_link")</f>
        <v>https://drive.google.com/file/d/1OLnsDJWSPWqo9cQ28dNO0ypTjupeCahJ/view?usp=drive_link</v>
      </c>
      <c r="AR4" s="35"/>
      <c r="AS4" s="35"/>
      <c r="AT4" s="35"/>
      <c r="AU4" s="35"/>
      <c r="AV4" s="35"/>
      <c r="AW4" s="35"/>
    </row>
    <row r="5">
      <c r="A5" s="17">
        <v>4.0</v>
      </c>
      <c r="B5" s="18" t="s">
        <v>92</v>
      </c>
      <c r="C5" s="17"/>
      <c r="D5" s="18" t="s">
        <v>89</v>
      </c>
      <c r="E5" s="17"/>
      <c r="F5" s="17" t="s">
        <v>78</v>
      </c>
      <c r="G5" s="17" t="s">
        <v>79</v>
      </c>
      <c r="H5" s="17" t="s">
        <v>80</v>
      </c>
      <c r="I5" s="17" t="s">
        <v>81</v>
      </c>
      <c r="J5" s="19"/>
      <c r="K5" s="19" t="s">
        <v>82</v>
      </c>
      <c r="L5" s="19" t="s">
        <v>83</v>
      </c>
      <c r="M5" s="20"/>
      <c r="N5" s="20">
        <v>45380.0</v>
      </c>
      <c r="O5" s="21">
        <v>45383.0</v>
      </c>
      <c r="P5" s="21"/>
      <c r="Q5" s="22">
        <v>20.04</v>
      </c>
      <c r="R5" s="22"/>
      <c r="S5" s="23" t="str">
        <f>iferror(if(AN5=1,VLOOKUP(B5, Blends!H$4:AK$1004,32,0), ""), "")</f>
        <v/>
      </c>
      <c r="T5" s="24">
        <v>0.431</v>
      </c>
      <c r="U5" s="25">
        <f t="shared" si="1"/>
        <v>31.64806697</v>
      </c>
      <c r="V5" s="26">
        <f>$Q5*('MRV Calcs'!$E$3+'MRV Calcs'!$E$4)</f>
        <v>2.964756428</v>
      </c>
      <c r="W5" s="27">
        <f t="shared" si="2"/>
        <v>2030</v>
      </c>
      <c r="X5" s="26">
        <f>IF($I5="truck",($Q5*$W5*'MRV Calcs'!$E$7)+($W5*'MRV Calcs'!$E$8),0)</f>
        <v>5.393391085</v>
      </c>
      <c r="Y5" s="26">
        <f>IF($I5="train",'MRV Calcs'!$E$24,0)</f>
        <v>0</v>
      </c>
      <c r="Z5" s="26">
        <f>IF($I5="train",($Q5*$Y5*'MRV Calcs'!$E$7)+($Y5*'MRV Calcs'!$E$8),0)</f>
        <v>0</v>
      </c>
      <c r="AA5" s="26">
        <f>IF($I5="train",'MRV Calcs'!$E$25,0)</f>
        <v>0</v>
      </c>
      <c r="AB5" s="26">
        <f>IF($I5="train",($Q5*$AA5*'MRV Calcs'!$E$11)+($AA5*'MRV Calcs'!$E$12),0)</f>
        <v>0</v>
      </c>
      <c r="AC5" s="26">
        <f>IF($I5="train",'MRV Calcs'!$E$26,0)</f>
        <v>0</v>
      </c>
      <c r="AD5" s="26">
        <f>IF($I5="train",($Q5*$AC5*'MRV Calcs'!$E$7)+($AC5*'MRV Calcs'!$E$8),0)</f>
        <v>0</v>
      </c>
      <c r="AE5" s="26">
        <f>($Q5/30)*SUM('MRV Calcs'!$E$15:$E$16)</f>
        <v>3.033565688</v>
      </c>
      <c r="AF5" s="26">
        <f>'MRV Calcs'!$E$27</f>
        <v>71.2</v>
      </c>
      <c r="AG5" s="26">
        <f>(($Q5*1.1)*$AF5*'MRV Calcs'!$E$7)+($AF5*'MRV Calcs'!$E$8)</f>
        <v>0.2075374829</v>
      </c>
      <c r="AH5" s="26">
        <f>(($Q5*1.1)/20)*SUM('MRV Calcs'!$E$19:$E$20)</f>
        <v>0.02821632</v>
      </c>
      <c r="AI5" s="26">
        <f t="shared" si="3"/>
        <v>11.627467</v>
      </c>
      <c r="AJ5" s="26">
        <f t="shared" si="4"/>
        <v>20.02059997</v>
      </c>
      <c r="AK5" s="25">
        <f t="shared" si="7"/>
        <v>80.74010888</v>
      </c>
      <c r="AL5" s="28">
        <f t="shared" si="5"/>
        <v>0.9990319345</v>
      </c>
      <c r="AM5" s="29"/>
      <c r="AN5" s="29">
        <f>COUNTIF(Blends!H$4:H$1007,B5)+COUNTIF(Blends!J$4:J$1007,B5)+COUNTIF(#REF!,B5)</f>
        <v>2</v>
      </c>
      <c r="AO5" s="30" t="str">
        <f t="shared" si="6"/>
        <v>036T1R0</v>
      </c>
      <c r="AP5" s="38" t="s">
        <v>93</v>
      </c>
      <c r="AQ5" s="32" t="str">
        <f>IFERROR(__xludf.DUMMYFUNCTION("AP5.url"),"https://drive.google.com/file/d/14-2vZnVgWzlhAjdYzHmLknoAv_PIlC0y/view?usp=drive_link")</f>
        <v>https://drive.google.com/file/d/14-2vZnVgWzlhAjdYzHmLknoAv_PIlC0y/view?usp=drive_link</v>
      </c>
      <c r="AR5" s="35"/>
      <c r="AS5" s="35"/>
      <c r="AT5" s="35"/>
      <c r="AU5" s="35"/>
      <c r="AV5" s="35"/>
      <c r="AW5" s="35"/>
    </row>
    <row r="6">
      <c r="A6" s="17">
        <v>5.0</v>
      </c>
      <c r="B6" s="18" t="s">
        <v>94</v>
      </c>
      <c r="C6" s="17"/>
      <c r="D6" s="18" t="s">
        <v>95</v>
      </c>
      <c r="E6" s="17"/>
      <c r="F6" s="17" t="s">
        <v>78</v>
      </c>
      <c r="G6" s="17" t="s">
        <v>79</v>
      </c>
      <c r="H6" s="17" t="s">
        <v>80</v>
      </c>
      <c r="I6" s="17" t="s">
        <v>81</v>
      </c>
      <c r="J6" s="19"/>
      <c r="K6" s="19" t="s">
        <v>82</v>
      </c>
      <c r="L6" s="19" t="s">
        <v>96</v>
      </c>
      <c r="M6" s="21"/>
      <c r="N6" s="21">
        <v>45387.0</v>
      </c>
      <c r="O6" s="21">
        <v>45390.0</v>
      </c>
      <c r="P6" s="21"/>
      <c r="Q6" s="22">
        <v>21.0</v>
      </c>
      <c r="R6" s="22"/>
      <c r="S6" s="23" t="str">
        <f>iferror(if(AN6=1,VLOOKUP(B6, Blends!H$4:AK$1004,32,0), ""), "")</f>
        <v/>
      </c>
      <c r="T6" s="24">
        <v>0.424</v>
      </c>
      <c r="U6" s="25">
        <f t="shared" si="1"/>
        <v>32.62551328</v>
      </c>
      <c r="V6" s="26">
        <f>$Q6*('MRV Calcs'!$E$3+'MRV Calcs'!$E$4)</f>
        <v>3.106780688</v>
      </c>
      <c r="W6" s="27">
        <f t="shared" si="2"/>
        <v>2030</v>
      </c>
      <c r="X6" s="26">
        <f>IF($I6="truck",($Q6*$W6*'MRV Calcs'!$E$7)+($W6*'MRV Calcs'!$E$8),0)</f>
        <v>5.644293628</v>
      </c>
      <c r="Y6" s="26">
        <f>IF($I6="train",'MRV Calcs'!$E$24,0)</f>
        <v>0</v>
      </c>
      <c r="Z6" s="26">
        <f>IF($I6="train",($Q6*$Y6*'MRV Calcs'!$E$7)+($Y6*'MRV Calcs'!$E$8),0)</f>
        <v>0</v>
      </c>
      <c r="AA6" s="26">
        <f>IF($I6="train",'MRV Calcs'!$E$25,0)</f>
        <v>0</v>
      </c>
      <c r="AB6" s="26">
        <f>IF($I6="train",($Q6*$AA6*'MRV Calcs'!$E$11)+($AA6*'MRV Calcs'!$E$12),0)</f>
        <v>0</v>
      </c>
      <c r="AC6" s="26">
        <f>IF($I6="train",'MRV Calcs'!$E$26,0)</f>
        <v>0</v>
      </c>
      <c r="AD6" s="26">
        <f>IF($I6="train",($Q6*$AC6*'MRV Calcs'!$E$7)+($AC6*'MRV Calcs'!$E$8),0)</f>
        <v>0</v>
      </c>
      <c r="AE6" s="26">
        <f>($Q6/30)*SUM('MRV Calcs'!$E$15:$E$16)</f>
        <v>3.1788862</v>
      </c>
      <c r="AF6" s="26">
        <f>'MRV Calcs'!$E$27</f>
        <v>71.2</v>
      </c>
      <c r="AG6" s="26">
        <f>(($Q6*1.1)*$AF6*'MRV Calcs'!$E$7)+($AF6*'MRV Calcs'!$E$8)</f>
        <v>0.2172176244</v>
      </c>
      <c r="AH6" s="26">
        <f>(($Q6*1.1)/20)*SUM('MRV Calcs'!$E$19:$E$20)</f>
        <v>0.029568</v>
      </c>
      <c r="AI6" s="26">
        <f t="shared" si="3"/>
        <v>12.17674614</v>
      </c>
      <c r="AJ6" s="26">
        <f t="shared" si="4"/>
        <v>20.44876714</v>
      </c>
      <c r="AK6" s="25">
        <f t="shared" si="7"/>
        <v>101.188876</v>
      </c>
      <c r="AL6" s="28">
        <f t="shared" si="5"/>
        <v>0.9737508161</v>
      </c>
      <c r="AM6" s="29"/>
      <c r="AN6" s="29">
        <f>COUNTIF(Blends!H$4:H$1007,B6)+COUNTIF(Blends!J$4:J$1007,B6)+COUNTIF(#REF!,B6)</f>
        <v>1</v>
      </c>
      <c r="AO6" s="30" t="str">
        <f t="shared" si="6"/>
        <v>037T1R0</v>
      </c>
      <c r="AP6" s="38" t="s">
        <v>97</v>
      </c>
      <c r="AQ6" s="32" t="str">
        <f>IFERROR(__xludf.DUMMYFUNCTION("AP6.url"),"https://drive.google.com/file/d/1xJYGaRC0-HFs2Q7LNvDIHKvQNJx2rQ6l/view?usp=drive_link")</f>
        <v>https://drive.google.com/file/d/1xJYGaRC0-HFs2Q7LNvDIHKvQNJx2rQ6l/view?usp=drive_link</v>
      </c>
      <c r="AR6" s="35"/>
      <c r="AS6" s="35"/>
      <c r="AT6" s="35"/>
      <c r="AU6" s="35"/>
      <c r="AV6" s="35"/>
      <c r="AW6" s="35"/>
    </row>
    <row r="7">
      <c r="A7" s="17">
        <v>6.0</v>
      </c>
      <c r="B7" s="18" t="s">
        <v>98</v>
      </c>
      <c r="C7" s="17"/>
      <c r="D7" s="18" t="s">
        <v>99</v>
      </c>
      <c r="E7" s="17"/>
      <c r="F7" s="17" t="s">
        <v>78</v>
      </c>
      <c r="G7" s="17" t="s">
        <v>79</v>
      </c>
      <c r="H7" s="17" t="s">
        <v>80</v>
      </c>
      <c r="I7" s="17" t="s">
        <v>81</v>
      </c>
      <c r="J7" s="19"/>
      <c r="K7" s="19" t="s">
        <v>82</v>
      </c>
      <c r="L7" s="19" t="s">
        <v>83</v>
      </c>
      <c r="M7" s="21"/>
      <c r="N7" s="21">
        <v>45394.0</v>
      </c>
      <c r="O7" s="21">
        <v>45397.0</v>
      </c>
      <c r="P7" s="21"/>
      <c r="Q7" s="22">
        <v>20.2</v>
      </c>
      <c r="R7" s="22"/>
      <c r="S7" s="23" t="str">
        <f>iferror(if(AN7=1,VLOOKUP(B7, Blends!H$4:AK$1004,32,0), ""), "")</f>
        <v/>
      </c>
      <c r="T7" s="37">
        <v>0.42</v>
      </c>
      <c r="U7" s="25">
        <f t="shared" si="1"/>
        <v>31.08657397</v>
      </c>
      <c r="V7" s="26">
        <f>$Q7*('MRV Calcs'!$E$3+'MRV Calcs'!$E$4)</f>
        <v>2.988427138</v>
      </c>
      <c r="W7" s="27">
        <f t="shared" si="2"/>
        <v>2030</v>
      </c>
      <c r="X7" s="26">
        <f>IF($I7="truck",($Q7*$W7*'MRV Calcs'!$E$7)+($W7*'MRV Calcs'!$E$8),0)</f>
        <v>5.435208176</v>
      </c>
      <c r="Y7" s="26">
        <f>IF($I7="train",'MRV Calcs'!$E$24,0)</f>
        <v>0</v>
      </c>
      <c r="Z7" s="26">
        <f>IF($I7="train",($Q7*$Y7*'MRV Calcs'!$E$7)+($Y7*'MRV Calcs'!$E$8),0)</f>
        <v>0</v>
      </c>
      <c r="AA7" s="26">
        <f>IF($I7="train",'MRV Calcs'!$E$25,0)</f>
        <v>0</v>
      </c>
      <c r="AB7" s="26">
        <f>IF($I7="train",($Q7*$AA7*'MRV Calcs'!$E$11)+($AA7*'MRV Calcs'!$E$12),0)</f>
        <v>0</v>
      </c>
      <c r="AC7" s="26">
        <f>IF($I7="train",'MRV Calcs'!$E$26,0)</f>
        <v>0</v>
      </c>
      <c r="AD7" s="26">
        <f>IF($I7="train",($Q7*$AC7*'MRV Calcs'!$E$7)+($AC7*'MRV Calcs'!$E$8),0)</f>
        <v>0</v>
      </c>
      <c r="AE7" s="26">
        <f>($Q7/30)*SUM('MRV Calcs'!$E$15:$E$16)</f>
        <v>3.057785773</v>
      </c>
      <c r="AF7" s="26">
        <f>'MRV Calcs'!$E$27</f>
        <v>71.2</v>
      </c>
      <c r="AG7" s="26">
        <f>(($Q7*1.1)*$AF7*'MRV Calcs'!$E$7)+($AF7*'MRV Calcs'!$E$8)</f>
        <v>0.2091508398</v>
      </c>
      <c r="AH7" s="26">
        <f>(($Q7*1.1)/20)*SUM('MRV Calcs'!$E$19:$E$20)</f>
        <v>0.0284416</v>
      </c>
      <c r="AI7" s="26">
        <f t="shared" si="3"/>
        <v>11.71901353</v>
      </c>
      <c r="AJ7" s="26">
        <f t="shared" si="4"/>
        <v>19.36756045</v>
      </c>
      <c r="AK7" s="25">
        <f t="shared" si="7"/>
        <v>120.5564365</v>
      </c>
      <c r="AL7" s="28">
        <f t="shared" si="5"/>
        <v>0.9587901211</v>
      </c>
      <c r="AM7" s="29"/>
      <c r="AN7" s="29">
        <f>COUNTIF(Blends!H$4:H$1007,B7)+COUNTIF(Blends!J$4:J$1007,B7)+COUNTIF(#REF!,B7)</f>
        <v>2</v>
      </c>
      <c r="AO7" s="30" t="str">
        <f t="shared" si="6"/>
        <v>041T1R0</v>
      </c>
      <c r="AP7" s="38" t="s">
        <v>100</v>
      </c>
      <c r="AQ7" s="32" t="str">
        <f>IFERROR(__xludf.DUMMYFUNCTION("AP7.url"),"https://drive.google.com/file/d/1MwHEXkZETjEuIxHNwgrns8tM2lLY7C59/view?usp=drive_link")</f>
        <v>https://drive.google.com/file/d/1MwHEXkZETjEuIxHNwgrns8tM2lLY7C59/view?usp=drive_link</v>
      </c>
      <c r="AR7" s="35"/>
      <c r="AS7" s="35"/>
      <c r="AT7" s="35"/>
      <c r="AU7" s="35"/>
      <c r="AV7" s="35"/>
      <c r="AW7" s="35"/>
    </row>
    <row r="8">
      <c r="A8" s="17">
        <v>7.0</v>
      </c>
      <c r="B8" s="18" t="s">
        <v>101</v>
      </c>
      <c r="C8" s="17"/>
      <c r="D8" s="18" t="s">
        <v>99</v>
      </c>
      <c r="E8" s="17"/>
      <c r="F8" s="17" t="s">
        <v>78</v>
      </c>
      <c r="G8" s="17" t="s">
        <v>79</v>
      </c>
      <c r="H8" s="17" t="s">
        <v>80</v>
      </c>
      <c r="I8" s="17" t="s">
        <v>81</v>
      </c>
      <c r="J8" s="19"/>
      <c r="K8" s="19" t="s">
        <v>82</v>
      </c>
      <c r="L8" s="19" t="s">
        <v>86</v>
      </c>
      <c r="M8" s="21"/>
      <c r="N8" s="21">
        <v>45394.0</v>
      </c>
      <c r="O8" s="21">
        <v>45397.0</v>
      </c>
      <c r="P8" s="21"/>
      <c r="Q8" s="22">
        <v>20.63</v>
      </c>
      <c r="R8" s="22"/>
      <c r="S8" s="23" t="str">
        <f>iferror(if(AN8=1,VLOOKUP(B8, Blends!H$4:AK$1004,32,0), ""), "")</f>
        <v/>
      </c>
      <c r="T8" s="24">
        <v>0.4163</v>
      </c>
      <c r="U8" s="25">
        <f t="shared" si="1"/>
        <v>31.46863031</v>
      </c>
      <c r="V8" s="26">
        <f>$Q8*('MRV Calcs'!$E$3+'MRV Calcs'!$E$4)</f>
        <v>3.052042171</v>
      </c>
      <c r="W8" s="27">
        <f t="shared" si="2"/>
        <v>2030</v>
      </c>
      <c r="X8" s="26">
        <f>IF($I8="truck",($Q8*$W8*'MRV Calcs'!$E$7)+($W8*'MRV Calcs'!$E$8),0)</f>
        <v>5.547591607</v>
      </c>
      <c r="Y8" s="26">
        <f>IF($I8="train",'MRV Calcs'!$E$24,0)</f>
        <v>0</v>
      </c>
      <c r="Z8" s="26">
        <f>IF($I8="train",($Q8*$Y8*'MRV Calcs'!$E$7)+($Y8*'MRV Calcs'!$E$8),0)</f>
        <v>0</v>
      </c>
      <c r="AA8" s="26">
        <f>IF($I8="train",'MRV Calcs'!$E$25,0)</f>
        <v>0</v>
      </c>
      <c r="AB8" s="26">
        <f>IF($I8="train",($Q8*$AA8*'MRV Calcs'!$E$11)+($AA8*'MRV Calcs'!$E$12),0)</f>
        <v>0</v>
      </c>
      <c r="AC8" s="26">
        <f>IF($I8="train",'MRV Calcs'!$E$26,0)</f>
        <v>0</v>
      </c>
      <c r="AD8" s="26">
        <f>IF($I8="train",($Q8*$AC8*'MRV Calcs'!$E$7)+($AC8*'MRV Calcs'!$E$8),0)</f>
        <v>0</v>
      </c>
      <c r="AE8" s="26">
        <f>($Q8/30)*SUM('MRV Calcs'!$E$15:$E$16)</f>
        <v>3.122877253</v>
      </c>
      <c r="AF8" s="26">
        <f>'MRV Calcs'!$E$27</f>
        <v>71.2</v>
      </c>
      <c r="AG8" s="26">
        <f>(($Q8*1.1)*$AF8*'MRV Calcs'!$E$7)+($AF8*'MRV Calcs'!$E$8)</f>
        <v>0.2134867365</v>
      </c>
      <c r="AH8" s="26">
        <f>(($Q8*1.1)/20)*SUM('MRV Calcs'!$E$19:$E$20)</f>
        <v>0.02904704</v>
      </c>
      <c r="AI8" s="26">
        <f t="shared" si="3"/>
        <v>11.96504481</v>
      </c>
      <c r="AJ8" s="26">
        <f t="shared" si="4"/>
        <v>19.50358551</v>
      </c>
      <c r="AK8" s="25">
        <f t="shared" si="7"/>
        <v>140.060022</v>
      </c>
      <c r="AL8" s="28">
        <f t="shared" si="5"/>
        <v>0.9453992005</v>
      </c>
      <c r="AM8" s="29"/>
      <c r="AN8" s="29">
        <f>COUNTIF(Blends!H$4:H$1007,B8)+COUNTIF(Blends!J$4:J$1007,B8)+COUNTIF(#REF!,B8)</f>
        <v>1</v>
      </c>
      <c r="AO8" s="30" t="str">
        <f t="shared" si="6"/>
        <v>042T1R0</v>
      </c>
      <c r="AP8" s="38" t="s">
        <v>102</v>
      </c>
      <c r="AQ8" s="32" t="str">
        <f>IFERROR(__xludf.DUMMYFUNCTION("AP8.url"),"https://drive.google.com/file/d/1lGvPefgsd3yKrbNNNClUpWnFQLNXBxPm/view?usp=drive_link")</f>
        <v>https://drive.google.com/file/d/1lGvPefgsd3yKrbNNNClUpWnFQLNXBxPm/view?usp=drive_link</v>
      </c>
      <c r="AR8" s="35"/>
      <c r="AS8" s="35"/>
      <c r="AT8" s="35"/>
      <c r="AU8" s="35"/>
      <c r="AV8" s="35"/>
      <c r="AW8" s="35"/>
    </row>
    <row r="9">
      <c r="A9" s="17">
        <v>8.0</v>
      </c>
      <c r="B9" s="18" t="s">
        <v>103</v>
      </c>
      <c r="C9" s="17"/>
      <c r="D9" s="18" t="s">
        <v>104</v>
      </c>
      <c r="E9" s="17"/>
      <c r="F9" s="17" t="s">
        <v>78</v>
      </c>
      <c r="G9" s="17" t="s">
        <v>79</v>
      </c>
      <c r="H9" s="17" t="s">
        <v>80</v>
      </c>
      <c r="I9" s="17" t="s">
        <v>105</v>
      </c>
      <c r="J9" s="19"/>
      <c r="K9" s="19" t="s">
        <v>106</v>
      </c>
      <c r="L9" s="19" t="s">
        <v>107</v>
      </c>
      <c r="M9" s="20"/>
      <c r="N9" s="20">
        <v>45394.0</v>
      </c>
      <c r="O9" s="21">
        <v>45415.0</v>
      </c>
      <c r="P9" s="21"/>
      <c r="Q9" s="22">
        <f>25.95+26.08+25.82</f>
        <v>77.85</v>
      </c>
      <c r="R9" s="22"/>
      <c r="S9" s="23" t="str">
        <f>iferror(if(AN9=1,VLOOKUP(B9, Blends!H$4:AK$1004,32,0), ""), "")</f>
        <v/>
      </c>
      <c r="T9" s="37">
        <v>0.42</v>
      </c>
      <c r="U9" s="25">
        <f t="shared" si="1"/>
        <v>119.8064249</v>
      </c>
      <c r="V9" s="26">
        <f>$Q9*('MRV Calcs'!$E$3+'MRV Calcs'!$E$4)</f>
        <v>11.51727984</v>
      </c>
      <c r="W9" s="27">
        <f t="shared" si="2"/>
        <v>2030</v>
      </c>
      <c r="X9" s="26">
        <f>IF($I9="truck",($Q9*$W9*'MRV Calcs'!$E$7)+($W9*'MRV Calcs'!$E$8),0)</f>
        <v>0</v>
      </c>
      <c r="Y9" s="26">
        <f>IF($I9="train",'MRV Calcs'!$E$24,0)</f>
        <v>107.497</v>
      </c>
      <c r="Z9" s="26">
        <f>IF($I9="train",($Q9*$Y9*'MRV Calcs'!$E$7)+($Y9*'MRV Calcs'!$E$8),0)</f>
        <v>1.085689443</v>
      </c>
      <c r="AA9" s="26">
        <f>IF($I9="train",'MRV Calcs'!$E$25,0)</f>
        <v>2087</v>
      </c>
      <c r="AB9" s="26">
        <f>IF($I9="train",($Q9*$AA9*'MRV Calcs'!$E$11)+($AA9*'MRV Calcs'!$E$12),0)</f>
        <v>4.351362988</v>
      </c>
      <c r="AC9" s="26">
        <f>IF($I9="train",'MRV Calcs'!$E$26,0)</f>
        <v>32.6</v>
      </c>
      <c r="AD9" s="26">
        <f>IF($I9="train",($Q9*$AC9*'MRV Calcs'!$E$7)+($AC9*'MRV Calcs'!$E$8),0)</f>
        <v>0.3292508241</v>
      </c>
      <c r="AE9" s="26">
        <f>($Q9/30)*SUM('MRV Calcs'!$E$15:$E$16)</f>
        <v>11.78458527</v>
      </c>
      <c r="AF9" s="26">
        <f>'MRV Calcs'!$E$27</f>
        <v>71.2</v>
      </c>
      <c r="AG9" s="26">
        <f>(($Q9*1.1)*$AF9*'MRV Calcs'!$E$7)+($AF9*'MRV Calcs'!$E$8)</f>
        <v>0.7904635024</v>
      </c>
      <c r="AH9" s="26">
        <f>(($Q9*1.1)/20)*SUM('MRV Calcs'!$E$19:$E$20)</f>
        <v>0.1096128</v>
      </c>
      <c r="AI9" s="26">
        <f t="shared" si="3"/>
        <v>29.96824466</v>
      </c>
      <c r="AJ9" s="26">
        <f t="shared" si="4"/>
        <v>89.83818028</v>
      </c>
      <c r="AK9" s="25">
        <f t="shared" si="7"/>
        <v>229.8982022</v>
      </c>
      <c r="AL9" s="28">
        <f t="shared" si="5"/>
        <v>1.153990755</v>
      </c>
      <c r="AM9" s="29"/>
      <c r="AN9" s="29">
        <f>COUNTIF(Blends!H$4:H$1007,B9)+COUNTIF(Blends!J$4:J$1007,B9)+COUNTIF(#REF!,B9)</f>
        <v>7</v>
      </c>
      <c r="AO9" s="30" t="str">
        <f t="shared" si="6"/>
        <v>038-040T2R1</v>
      </c>
      <c r="AP9" s="38" t="s">
        <v>108</v>
      </c>
      <c r="AQ9" s="32" t="str">
        <f>IFERROR(__xludf.DUMMYFUNCTION("AP9.url"),"https://drive.google.com/drive/folders/1K2G-UQhB-Pi95Ro7G7E5VoZyDn0EL1AH?usp=drive_link")</f>
        <v>https://drive.google.com/drive/folders/1K2G-UQhB-Pi95Ro7G7E5VoZyDn0EL1AH?usp=drive_link</v>
      </c>
      <c r="AR9" s="33"/>
      <c r="AS9" s="36"/>
      <c r="AT9" s="35"/>
      <c r="AU9" s="35"/>
      <c r="AV9" s="35"/>
      <c r="AW9" s="35"/>
    </row>
    <row r="10">
      <c r="A10" s="17">
        <v>9.0</v>
      </c>
      <c r="B10" s="18" t="s">
        <v>109</v>
      </c>
      <c r="C10" s="17"/>
      <c r="D10" s="18" t="s">
        <v>110</v>
      </c>
      <c r="E10" s="17"/>
      <c r="F10" s="17" t="s">
        <v>78</v>
      </c>
      <c r="G10" s="17" t="s">
        <v>79</v>
      </c>
      <c r="H10" s="17" t="s">
        <v>80</v>
      </c>
      <c r="I10" s="17" t="s">
        <v>81</v>
      </c>
      <c r="J10" s="19"/>
      <c r="K10" s="19" t="s">
        <v>82</v>
      </c>
      <c r="L10" s="19" t="s">
        <v>96</v>
      </c>
      <c r="M10" s="20"/>
      <c r="N10" s="20">
        <v>45414.0</v>
      </c>
      <c r="O10" s="21">
        <f t="shared" ref="O10:O11" si="8">IF(I10="truck",N10+4,IF(I10="train",N10+16,""))</f>
        <v>45418</v>
      </c>
      <c r="P10" s="21"/>
      <c r="Q10" s="22">
        <v>20.83</v>
      </c>
      <c r="R10" s="22"/>
      <c r="S10" s="23" t="str">
        <f>iferror(if(AN10=1,VLOOKUP(B10, Blends!H$4:AK$1004,32,0), ""), "")</f>
        <v/>
      </c>
      <c r="T10" s="24"/>
      <c r="U10" s="25">
        <f t="shared" si="1"/>
        <v>0</v>
      </c>
      <c r="V10" s="26">
        <f>$Q10*('MRV Calcs'!$E$3+'MRV Calcs'!$E$4)</f>
        <v>3.081630559</v>
      </c>
      <c r="W10" s="27">
        <f t="shared" si="2"/>
        <v>2030</v>
      </c>
      <c r="X10" s="26">
        <f>IF($I10="truck",($Q10*$W10*'MRV Calcs'!$E$7)+($W10*'MRV Calcs'!$E$8),0)</f>
        <v>5.59986297</v>
      </c>
      <c r="Y10" s="26">
        <f>IF($I10="train",'MRV Calcs'!$E$24,0)</f>
        <v>0</v>
      </c>
      <c r="Z10" s="26">
        <f>IF($I10="train",($Q10*$Y10*'MRV Calcs'!$E$7)+($Y10*'MRV Calcs'!$E$8),0)</f>
        <v>0</v>
      </c>
      <c r="AA10" s="26">
        <f>IF($I10="train",'MRV Calcs'!$E$25,0)</f>
        <v>0</v>
      </c>
      <c r="AB10" s="26">
        <f>IF($I10="train",($Q10*$AA10*'MRV Calcs'!$E$11)+($AA10*'MRV Calcs'!$E$12),0)</f>
        <v>0</v>
      </c>
      <c r="AC10" s="26">
        <f>IF($I10="train",'MRV Calcs'!$E$26,0)</f>
        <v>0</v>
      </c>
      <c r="AD10" s="26">
        <f>IF($I10="train",($Q10*$AC10*'MRV Calcs'!$E$7)+($AC10*'MRV Calcs'!$E$8),0)</f>
        <v>0</v>
      </c>
      <c r="AE10" s="26">
        <f>($Q10/30)*SUM('MRV Calcs'!$E$15:$E$16)</f>
        <v>3.153152359</v>
      </c>
      <c r="AF10" s="26">
        <f>'MRV Calcs'!$E$27</f>
        <v>71.2</v>
      </c>
      <c r="AG10" s="26">
        <f>(($Q10*1.1)*$AF10*'MRV Calcs'!$E$7)+($AF10*'MRV Calcs'!$E$8)</f>
        <v>0.2155034327</v>
      </c>
      <c r="AH10" s="26">
        <f>(($Q10*1.1)/20)*SUM('MRV Calcs'!$E$19:$E$20)</f>
        <v>0.02932864</v>
      </c>
      <c r="AI10" s="26">
        <f t="shared" si="3"/>
        <v>12.07947796</v>
      </c>
      <c r="AJ10" s="26">
        <f t="shared" si="4"/>
        <v>-12.07947796</v>
      </c>
      <c r="AK10" s="25">
        <f t="shared" si="7"/>
        <v>217.8187243</v>
      </c>
      <c r="AL10" s="28">
        <f t="shared" si="5"/>
        <v>-0.5799077273</v>
      </c>
      <c r="AM10" s="29"/>
      <c r="AN10" s="29">
        <f>COUNTIF(Blends!H$4:H$1007,B10)+COUNTIF(Blends!J$4:J$1007,B10)+COUNTIF(#REF!,B10)</f>
        <v>2</v>
      </c>
      <c r="AO10" s="30" t="str">
        <f t="shared" si="6"/>
        <v>043T1R0</v>
      </c>
      <c r="AP10" s="38" t="s">
        <v>111</v>
      </c>
      <c r="AQ10" s="32" t="str">
        <f>IFERROR(__xludf.DUMMYFUNCTION("AP10.url"),"https://drive.google.com/file/d/10v6SP-oQueAyjXGma8rXybbakBKllOga/view?usp=drive_link")</f>
        <v>https://drive.google.com/file/d/10v6SP-oQueAyjXGma8rXybbakBKllOga/view?usp=drive_link</v>
      </c>
      <c r="AR10" s="33"/>
      <c r="AS10" s="36"/>
      <c r="AT10" s="35"/>
      <c r="AU10" s="35"/>
      <c r="AV10" s="35"/>
      <c r="AW10" s="35"/>
    </row>
    <row r="11">
      <c r="A11" s="17">
        <v>10.0</v>
      </c>
      <c r="B11" s="18" t="s">
        <v>112</v>
      </c>
      <c r="C11" s="17"/>
      <c r="D11" s="18" t="s">
        <v>110</v>
      </c>
      <c r="E11" s="17"/>
      <c r="F11" s="17" t="s">
        <v>78</v>
      </c>
      <c r="G11" s="17" t="s">
        <v>79</v>
      </c>
      <c r="H11" s="17" t="s">
        <v>80</v>
      </c>
      <c r="I11" s="17" t="s">
        <v>81</v>
      </c>
      <c r="J11" s="19"/>
      <c r="K11" s="19" t="s">
        <v>82</v>
      </c>
      <c r="L11" s="19" t="s">
        <v>86</v>
      </c>
      <c r="M11" s="20"/>
      <c r="N11" s="20">
        <v>45414.0</v>
      </c>
      <c r="O11" s="21">
        <f t="shared" si="8"/>
        <v>45418</v>
      </c>
      <c r="P11" s="21"/>
      <c r="Q11" s="22">
        <v>20.14</v>
      </c>
      <c r="R11" s="22"/>
      <c r="S11" s="23" t="str">
        <f>iferror(if(AN11=1,VLOOKUP(B11, Blends!H$4:AK$1004,32,0), ""), "")</f>
        <v/>
      </c>
      <c r="T11" s="24"/>
      <c r="U11" s="25">
        <f t="shared" si="1"/>
        <v>0</v>
      </c>
      <c r="V11" s="26">
        <f>$Q11*('MRV Calcs'!$E$3+'MRV Calcs'!$E$4)</f>
        <v>2.979550622</v>
      </c>
      <c r="W11" s="27">
        <f t="shared" si="2"/>
        <v>2030</v>
      </c>
      <c r="X11" s="26">
        <f>IF($I11="truck",($Q11*$W11*'MRV Calcs'!$E$7)+($W11*'MRV Calcs'!$E$8),0)</f>
        <v>5.419526767</v>
      </c>
      <c r="Y11" s="26">
        <f>IF($I11="train",'MRV Calcs'!$E$24,0)</f>
        <v>0</v>
      </c>
      <c r="Z11" s="26">
        <f>IF($I11="train",($Q11*$Y11*'MRV Calcs'!$E$7)+($Y11*'MRV Calcs'!$E$8),0)</f>
        <v>0</v>
      </c>
      <c r="AA11" s="26">
        <f>IF($I11="train",'MRV Calcs'!$E$25,0)</f>
        <v>0</v>
      </c>
      <c r="AB11" s="26">
        <f>IF($I11="train",($Q11*$AA11*'MRV Calcs'!$E$11)+($AA11*'MRV Calcs'!$E$12),0)</f>
        <v>0</v>
      </c>
      <c r="AC11" s="26">
        <f>IF($I11="train",'MRV Calcs'!$E$26,0)</f>
        <v>0</v>
      </c>
      <c r="AD11" s="26">
        <f>IF($I11="train",($Q11*$AC11*'MRV Calcs'!$E$7)+($AC11*'MRV Calcs'!$E$8),0)</f>
        <v>0</v>
      </c>
      <c r="AE11" s="26">
        <f>($Q11/30)*SUM('MRV Calcs'!$E$15:$E$16)</f>
        <v>3.048703241</v>
      </c>
      <c r="AF11" s="26">
        <f>'MRV Calcs'!$E$27</f>
        <v>71.2</v>
      </c>
      <c r="AG11" s="26">
        <f>(($Q11*1.1)*$AF11*'MRV Calcs'!$E$7)+($AF11*'MRV Calcs'!$E$8)</f>
        <v>0.208545831</v>
      </c>
      <c r="AH11" s="26">
        <f>(($Q11*1.1)/20)*SUM('MRV Calcs'!$E$19:$E$20)</f>
        <v>0.02835712</v>
      </c>
      <c r="AI11" s="26">
        <f t="shared" si="3"/>
        <v>11.68468358</v>
      </c>
      <c r="AJ11" s="26">
        <f t="shared" si="4"/>
        <v>-11.68468358</v>
      </c>
      <c r="AK11" s="25">
        <f t="shared" si="7"/>
        <v>206.1340407</v>
      </c>
      <c r="AL11" s="28">
        <f t="shared" si="5"/>
        <v>-0.5801729683</v>
      </c>
      <c r="AM11" s="35"/>
      <c r="AN11" s="29">
        <f>COUNTIF(Blends!H$4:H$1007,B11)+COUNTIF(Blends!J$4:J$1007,B11)+COUNTIF(#REF!,B11)</f>
        <v>1</v>
      </c>
      <c r="AO11" s="30" t="str">
        <f t="shared" si="6"/>
        <v>044T1R0</v>
      </c>
      <c r="AP11" s="38" t="s">
        <v>113</v>
      </c>
      <c r="AQ11" s="32" t="str">
        <f>IFERROR(__xludf.DUMMYFUNCTION("AP11.url"),"https://drive.google.com/file/d/1vMftkmGRJGBWUkariuCQUCy8BvqpKsF3/view?usp=drive_link")</f>
        <v>https://drive.google.com/file/d/1vMftkmGRJGBWUkariuCQUCy8BvqpKsF3/view?usp=drive_link</v>
      </c>
      <c r="AR11" s="35"/>
      <c r="AS11" s="35"/>
      <c r="AT11" s="35"/>
      <c r="AU11" s="35"/>
      <c r="AV11" s="35"/>
      <c r="AW11" s="35"/>
    </row>
    <row r="12">
      <c r="A12" s="17">
        <v>11.0</v>
      </c>
      <c r="B12" s="18" t="s">
        <v>114</v>
      </c>
      <c r="C12" s="17"/>
      <c r="D12" s="18" t="s">
        <v>115</v>
      </c>
      <c r="E12" s="17"/>
      <c r="F12" s="17" t="s">
        <v>78</v>
      </c>
      <c r="G12" s="17" t="b">
        <v>1</v>
      </c>
      <c r="H12" s="17" t="s">
        <v>80</v>
      </c>
      <c r="I12" s="17" t="s">
        <v>105</v>
      </c>
      <c r="J12" s="19"/>
      <c r="K12" s="19" t="s">
        <v>106</v>
      </c>
      <c r="L12" s="19" t="s">
        <v>116</v>
      </c>
      <c r="M12" s="21"/>
      <c r="N12" s="21">
        <v>45415.0</v>
      </c>
      <c r="O12" s="21">
        <v>45433.0</v>
      </c>
      <c r="P12" s="21"/>
      <c r="Q12" s="22">
        <v>78.8</v>
      </c>
      <c r="R12" s="22"/>
      <c r="S12" s="23" t="str">
        <f>iferror(if(AN12=1,VLOOKUP(B12, Blends!H$4:AK$1004,32,0), ""), "")</f>
        <v/>
      </c>
      <c r="T12" s="24"/>
      <c r="U12" s="25">
        <f t="shared" si="1"/>
        <v>0</v>
      </c>
      <c r="V12" s="26">
        <f>$Q12*('MRV Calcs'!$E$3+'MRV Calcs'!$E$4)</f>
        <v>11.65782468</v>
      </c>
      <c r="W12" s="27">
        <f t="shared" si="2"/>
        <v>2030</v>
      </c>
      <c r="X12" s="26">
        <f>IF($I12="truck",($Q12*$W12*'MRV Calcs'!$E$7)+($W12*'MRV Calcs'!$E$8),0)</f>
        <v>0</v>
      </c>
      <c r="Y12" s="26">
        <f>IF($I12="train",'MRV Calcs'!$E$24,0)</f>
        <v>107.497</v>
      </c>
      <c r="Z12" s="26">
        <f>IF($I12="train",($Q12*$Y12*'MRV Calcs'!$E$7)+($Y12*'MRV Calcs'!$E$8),0)</f>
        <v>1.098837384</v>
      </c>
      <c r="AA12" s="26">
        <f>IF($I12="train",'MRV Calcs'!$E$25,0)</f>
        <v>2087</v>
      </c>
      <c r="AB12" s="26">
        <f>IF($I12="train",($Q12*$AA12*'MRV Calcs'!$E$11)+($AA12*'MRV Calcs'!$E$12),0)</f>
        <v>4.403053267</v>
      </c>
      <c r="AC12" s="26">
        <f>IF($I12="train",'MRV Calcs'!$E$26,0)</f>
        <v>32.6</v>
      </c>
      <c r="AD12" s="26">
        <f>IF($I12="train",($Q12*$AC12*'MRV Calcs'!$E$7)+($AC12*'MRV Calcs'!$E$8),0)</f>
        <v>0.3332381249</v>
      </c>
      <c r="AE12" s="26">
        <f>($Q12/30)*SUM('MRV Calcs'!$E$15:$E$16)</f>
        <v>11.92839203</v>
      </c>
      <c r="AF12" s="26">
        <f>'MRV Calcs'!$E$27</f>
        <v>71.2</v>
      </c>
      <c r="AG12" s="26">
        <f>(($Q12*1.1)*$AF12*'MRV Calcs'!$E$7)+($AF12*'MRV Calcs'!$E$8)</f>
        <v>0.8000428091</v>
      </c>
      <c r="AH12" s="26">
        <f>(($Q12*1.1)/20)*SUM('MRV Calcs'!$E$19:$E$20)</f>
        <v>0.1109504</v>
      </c>
      <c r="AI12" s="26">
        <f t="shared" si="3"/>
        <v>30.33233869</v>
      </c>
      <c r="AJ12" s="26">
        <f t="shared" si="4"/>
        <v>-30.33233869</v>
      </c>
      <c r="AK12" s="25">
        <f t="shared" si="7"/>
        <v>175.801702</v>
      </c>
      <c r="AL12" s="28">
        <f t="shared" si="5"/>
        <v>-0.3849281559</v>
      </c>
      <c r="AM12" s="35"/>
      <c r="AN12" s="29">
        <f>COUNTIF(Blends!H$4:H$1007,B12)+COUNTIF(Blends!J$4:J$1007,B12)+COUNTIF(#REF!,B12)</f>
        <v>5</v>
      </c>
      <c r="AO12" s="30" t="str">
        <f t="shared" si="6"/>
        <v>045-047T2R2</v>
      </c>
      <c r="AP12" s="38" t="s">
        <v>117</v>
      </c>
      <c r="AQ12" s="32" t="str">
        <f>IFERROR(__xludf.DUMMYFUNCTION("AP12.url"),"https://drive.google.com/drive/folders/10huZjk9PmQavkXzqdPxfaL7r9y57q9KA?usp=drive_link")</f>
        <v>https://drive.google.com/drive/folders/10huZjk9PmQavkXzqdPxfaL7r9y57q9KA?usp=drive_link</v>
      </c>
      <c r="AR12" s="35"/>
      <c r="AS12" s="35"/>
      <c r="AT12" s="35"/>
      <c r="AU12" s="35"/>
      <c r="AV12" s="35"/>
      <c r="AW12" s="35"/>
    </row>
    <row r="13">
      <c r="A13" s="17">
        <v>12.0</v>
      </c>
      <c r="B13" s="18" t="s">
        <v>118</v>
      </c>
      <c r="C13" s="17"/>
      <c r="D13" s="18" t="s">
        <v>110</v>
      </c>
      <c r="E13" s="17"/>
      <c r="F13" s="17" t="s">
        <v>78</v>
      </c>
      <c r="G13" s="17" t="b">
        <v>1</v>
      </c>
      <c r="H13" s="17" t="s">
        <v>80</v>
      </c>
      <c r="I13" s="17" t="s">
        <v>105</v>
      </c>
      <c r="J13" s="19"/>
      <c r="K13" s="19" t="s">
        <v>106</v>
      </c>
      <c r="L13" s="19" t="s">
        <v>119</v>
      </c>
      <c r="M13" s="21"/>
      <c r="N13" s="21">
        <v>45419.0</v>
      </c>
      <c r="O13" s="21">
        <v>45434.0</v>
      </c>
      <c r="P13" s="21"/>
      <c r="Q13" s="22">
        <v>79.09</v>
      </c>
      <c r="R13" s="22"/>
      <c r="S13" s="23" t="str">
        <f>iferror(if(AN13=1,VLOOKUP(B13, Blends!H$4:AK$1004,32,0), ""), "")</f>
        <v/>
      </c>
      <c r="T13" s="24"/>
      <c r="U13" s="25">
        <f t="shared" si="1"/>
        <v>0</v>
      </c>
      <c r="V13" s="26">
        <f>$Q13*('MRV Calcs'!$E$3+'MRV Calcs'!$E$4)</f>
        <v>11.70072784</v>
      </c>
      <c r="W13" s="27">
        <f t="shared" si="2"/>
        <v>2030</v>
      </c>
      <c r="X13" s="26">
        <f>IF($I13="truck",($Q13*$W13*'MRV Calcs'!$E$7)+($W13*'MRV Calcs'!$E$8),0)</f>
        <v>0</v>
      </c>
      <c r="Y13" s="26">
        <f>IF($I13="train",'MRV Calcs'!$E$24,0)</f>
        <v>107.497</v>
      </c>
      <c r="Z13" s="26">
        <f>IF($I13="train",($Q13*$Y13*'MRV Calcs'!$E$7)+($Y13*'MRV Calcs'!$E$8),0)</f>
        <v>1.102850966</v>
      </c>
      <c r="AA13" s="26">
        <f>IF($I13="train",'MRV Calcs'!$E$25,0)</f>
        <v>2087</v>
      </c>
      <c r="AB13" s="26">
        <f>IF($I13="train",($Q13*$AA13*'MRV Calcs'!$E$11)+($AA13*'MRV Calcs'!$E$12),0)</f>
        <v>4.418832404</v>
      </c>
      <c r="AC13" s="26">
        <f>IF($I13="train",'MRV Calcs'!$E$26,0)</f>
        <v>32.6</v>
      </c>
      <c r="AD13" s="26">
        <f>IF($I13="train",($Q13*$AC13*'MRV Calcs'!$E$7)+($AC13*'MRV Calcs'!$E$8),0)</f>
        <v>0.3344553009</v>
      </c>
      <c r="AE13" s="26">
        <f>($Q13/30)*SUM('MRV Calcs'!$E$15:$E$16)</f>
        <v>11.97229093</v>
      </c>
      <c r="AF13" s="26">
        <f>'MRV Calcs'!$E$27</f>
        <v>71.2</v>
      </c>
      <c r="AG13" s="26">
        <f>(($Q13*1.1)*$AF13*'MRV Calcs'!$E$7)+($AF13*'MRV Calcs'!$E$8)</f>
        <v>0.8029670185</v>
      </c>
      <c r="AH13" s="26">
        <f>(($Q13*1.1)/20)*SUM('MRV Calcs'!$E$19:$E$20)</f>
        <v>0.11135872</v>
      </c>
      <c r="AI13" s="26">
        <f t="shared" si="3"/>
        <v>30.44348318</v>
      </c>
      <c r="AJ13" s="26">
        <f t="shared" si="4"/>
        <v>-30.44348318</v>
      </c>
      <c r="AK13" s="25">
        <f t="shared" si="7"/>
        <v>145.3582188</v>
      </c>
      <c r="AL13" s="28">
        <f t="shared" si="5"/>
        <v>-0.3849220278</v>
      </c>
      <c r="AM13" s="29"/>
      <c r="AN13" s="29">
        <f>COUNTIF(Blends!H$4:H$1007,B13)+COUNTIF(Blends!J$4:J$1007,B13)+COUNTIF(#REF!,B13)</f>
        <v>5</v>
      </c>
      <c r="AO13" s="30" t="str">
        <f t="shared" si="6"/>
        <v>048-050T2R3</v>
      </c>
      <c r="AP13" s="38" t="s">
        <v>120</v>
      </c>
      <c r="AQ13" s="32" t="str">
        <f>IFERROR(__xludf.DUMMYFUNCTION("AP13.url"),"https://drive.google.com/drive/folders/1R4l6-xHvtaH9yTtFG5n7b7zrpn1Layex?usp=drive_link")</f>
        <v>https://drive.google.com/drive/folders/1R4l6-xHvtaH9yTtFG5n7b7zrpn1Layex?usp=drive_link</v>
      </c>
      <c r="AR13" s="33"/>
      <c r="AS13" s="36"/>
      <c r="AT13" s="35"/>
      <c r="AU13" s="35"/>
      <c r="AV13" s="35"/>
      <c r="AW13" s="35"/>
    </row>
    <row r="14">
      <c r="A14" s="17">
        <v>13.0</v>
      </c>
      <c r="B14" s="18" t="s">
        <v>121</v>
      </c>
      <c r="C14" s="17"/>
      <c r="D14" s="18" t="s">
        <v>122</v>
      </c>
      <c r="E14" s="17"/>
      <c r="F14" s="17" t="s">
        <v>78</v>
      </c>
      <c r="G14" s="17" t="b">
        <v>1</v>
      </c>
      <c r="H14" s="17" t="s">
        <v>80</v>
      </c>
      <c r="I14" s="17" t="s">
        <v>105</v>
      </c>
      <c r="J14" s="19"/>
      <c r="K14" s="19" t="s">
        <v>106</v>
      </c>
      <c r="L14" s="19" t="s">
        <v>123</v>
      </c>
      <c r="M14" s="21"/>
      <c r="N14" s="21">
        <v>45419.0</v>
      </c>
      <c r="O14" s="21">
        <v>45434.0</v>
      </c>
      <c r="P14" s="21"/>
      <c r="Q14" s="22">
        <v>78.98</v>
      </c>
      <c r="R14" s="22"/>
      <c r="S14" s="23" t="str">
        <f>iferror(if(AN14=1,VLOOKUP(B14, Blends!H$4:AK$1004,32,0), ""), "")</f>
        <v/>
      </c>
      <c r="T14" s="24"/>
      <c r="U14" s="25">
        <f t="shared" si="1"/>
        <v>0</v>
      </c>
      <c r="V14" s="26">
        <f>$Q14*('MRV Calcs'!$E$3+'MRV Calcs'!$E$4)</f>
        <v>11.68445423</v>
      </c>
      <c r="W14" s="27">
        <f t="shared" si="2"/>
        <v>2030</v>
      </c>
      <c r="X14" s="26">
        <f>IF($I14="truck",($Q14*$W14*'MRV Calcs'!$E$7)+($W14*'MRV Calcs'!$E$8),0)</f>
        <v>0</v>
      </c>
      <c r="Y14" s="26">
        <f>IF($I14="train",'MRV Calcs'!$E$24,0)</f>
        <v>107.497</v>
      </c>
      <c r="Z14" s="26">
        <f>IF($I14="train",($Q14*$Y14*'MRV Calcs'!$E$7)+($Y14*'MRV Calcs'!$E$8),0)</f>
        <v>1.101328573</v>
      </c>
      <c r="AA14" s="26">
        <f>IF($I14="train",'MRV Calcs'!$E$25,0)</f>
        <v>2087</v>
      </c>
      <c r="AB14" s="26">
        <f>IF($I14="train",($Q14*$AA14*'MRV Calcs'!$E$11)+($AA14*'MRV Calcs'!$E$12),0)</f>
        <v>4.412847214</v>
      </c>
      <c r="AC14" s="26">
        <f>IF($I14="train",'MRV Calcs'!$E$26,0)</f>
        <v>32.6</v>
      </c>
      <c r="AD14" s="26">
        <f>IF($I14="train",($Q14*$AC14*'MRV Calcs'!$E$7)+($AC14*'MRV Calcs'!$E$8),0)</f>
        <v>0.3339936135</v>
      </c>
      <c r="AE14" s="26">
        <f>($Q14/30)*SUM('MRV Calcs'!$E$15:$E$16)</f>
        <v>11.95563962</v>
      </c>
      <c r="AF14" s="26">
        <f>'MRV Calcs'!$E$27</f>
        <v>71.2</v>
      </c>
      <c r="AG14" s="26">
        <f>(($Q14*1.1)*$AF14*'MRV Calcs'!$E$7)+($AF14*'MRV Calcs'!$E$8)</f>
        <v>0.8018578356</v>
      </c>
      <c r="AH14" s="26">
        <f>(($Q14*1.1)/20)*SUM('MRV Calcs'!$E$19:$E$20)</f>
        <v>0.11120384</v>
      </c>
      <c r="AI14" s="26">
        <f t="shared" si="3"/>
        <v>30.40132492</v>
      </c>
      <c r="AJ14" s="26">
        <f t="shared" si="4"/>
        <v>-30.40132492</v>
      </c>
      <c r="AK14" s="25">
        <f t="shared" si="7"/>
        <v>114.9568939</v>
      </c>
      <c r="AL14" s="28">
        <f t="shared" si="5"/>
        <v>-0.384924347</v>
      </c>
      <c r="AM14" s="29"/>
      <c r="AN14" s="29">
        <f>COUNTIF(Blends!H$4:H$1007,B14)+COUNTIF(Blends!J$4:J$1007,B14)+COUNTIF(#REF!,B14)</f>
        <v>5</v>
      </c>
      <c r="AO14" s="30" t="str">
        <f t="shared" si="6"/>
        <v>051-053T2R4</v>
      </c>
      <c r="AP14" s="38" t="s">
        <v>124</v>
      </c>
      <c r="AQ14" s="32" t="str">
        <f>IFERROR(__xludf.DUMMYFUNCTION("AP14.url"),"https://drive.google.com/drive/folders/1bnmztyCdUq_Q2U5fZsp4bCg9iSuPS1rG?usp=drive_link")</f>
        <v>https://drive.google.com/drive/folders/1bnmztyCdUq_Q2U5fZsp4bCg9iSuPS1rG?usp=drive_link</v>
      </c>
      <c r="AR14" s="33"/>
      <c r="AS14" s="36"/>
      <c r="AT14" s="35"/>
      <c r="AU14" s="35"/>
      <c r="AV14" s="35"/>
      <c r="AW14" s="35"/>
    </row>
    <row r="15">
      <c r="A15" s="17">
        <v>14.0</v>
      </c>
      <c r="B15" s="18" t="s">
        <v>125</v>
      </c>
      <c r="C15" s="17"/>
      <c r="D15" s="18" t="s">
        <v>126</v>
      </c>
      <c r="E15" s="17"/>
      <c r="F15" s="17" t="s">
        <v>78</v>
      </c>
      <c r="G15" s="17" t="s">
        <v>79</v>
      </c>
      <c r="H15" s="17" t="s">
        <v>80</v>
      </c>
      <c r="I15" s="17" t="s">
        <v>81</v>
      </c>
      <c r="J15" s="19"/>
      <c r="K15" s="19" t="s">
        <v>82</v>
      </c>
      <c r="L15" s="19" t="s">
        <v>83</v>
      </c>
      <c r="M15" s="21"/>
      <c r="N15" s="21">
        <v>45422.0</v>
      </c>
      <c r="O15" s="21">
        <f t="shared" ref="O15:O17" si="9">IF(I15="truck",N15+4,IF(I15="train",N15+21,""))</f>
        <v>45426</v>
      </c>
      <c r="P15" s="21"/>
      <c r="Q15" s="22">
        <v>20.11</v>
      </c>
      <c r="R15" s="22"/>
      <c r="S15" s="23" t="str">
        <f>iferror(if(AN15=1,VLOOKUP(B15, Blends!H$4:AK$1004,32,0), ""), "")</f>
        <v/>
      </c>
      <c r="T15" s="24">
        <v>0.408</v>
      </c>
      <c r="U15" s="25">
        <f t="shared" si="1"/>
        <v>30.06383888</v>
      </c>
      <c r="V15" s="26">
        <f>$Q15*('MRV Calcs'!$E$3+'MRV Calcs'!$E$4)</f>
        <v>2.975112364</v>
      </c>
      <c r="W15" s="27">
        <f t="shared" si="2"/>
        <v>2030</v>
      </c>
      <c r="X15" s="26">
        <f>IF($I15="truck",($Q15*$W15*'MRV Calcs'!$E$7)+($W15*'MRV Calcs'!$E$8),0)</f>
        <v>5.411686062</v>
      </c>
      <c r="Y15" s="26">
        <f>IF($I15="train",'MRV Calcs'!$E$24,0)</f>
        <v>0</v>
      </c>
      <c r="Z15" s="26">
        <f>IF($I15="train",($Q15*$Y15*'MRV Calcs'!$E$7)+($Y15*'MRV Calcs'!$E$8),0)</f>
        <v>0</v>
      </c>
      <c r="AA15" s="26">
        <f>IF($I15="train",'MRV Calcs'!$E$25,0)</f>
        <v>0</v>
      </c>
      <c r="AB15" s="26">
        <f>IF($I15="train",($Q15*$AA15*'MRV Calcs'!$E$11)+($AA15*'MRV Calcs'!$E$12),0)</f>
        <v>0</v>
      </c>
      <c r="AC15" s="26">
        <f>IF($I15="train",'MRV Calcs'!$E$26,0)</f>
        <v>0</v>
      </c>
      <c r="AD15" s="26">
        <f>IF($I15="train",($Q15*$AC15*'MRV Calcs'!$E$7)+($AC15*'MRV Calcs'!$E$8),0)</f>
        <v>0</v>
      </c>
      <c r="AE15" s="26">
        <f>($Q15/30)*SUM('MRV Calcs'!$E$15:$E$16)</f>
        <v>3.044161975</v>
      </c>
      <c r="AF15" s="26">
        <f>'MRV Calcs'!$E$27</f>
        <v>71.2</v>
      </c>
      <c r="AG15" s="26">
        <f>(($Q15*1.1)*$AF15*'MRV Calcs'!$E$7)+($AF15*'MRV Calcs'!$E$8)</f>
        <v>0.2082433265</v>
      </c>
      <c r="AH15" s="26">
        <f>(($Q15*1.1)/20)*SUM('MRV Calcs'!$E$19:$E$20)</f>
        <v>0.02831488</v>
      </c>
      <c r="AI15" s="26">
        <f t="shared" si="3"/>
        <v>11.66751861</v>
      </c>
      <c r="AJ15" s="26">
        <f t="shared" si="4"/>
        <v>18.39632027</v>
      </c>
      <c r="AK15" s="25">
        <f t="shared" si="7"/>
        <v>133.3532142</v>
      </c>
      <c r="AL15" s="28">
        <f t="shared" si="5"/>
        <v>0.9147846978</v>
      </c>
      <c r="AM15" s="35"/>
      <c r="AN15" s="29">
        <f>COUNTIF(Blends!H$4:H$1007,B15)+COUNTIF(Blends!J$4:J$1007,B15)+COUNTIF(#REF!,B15)</f>
        <v>1</v>
      </c>
      <c r="AO15" s="30" t="str">
        <f t="shared" si="6"/>
        <v>054T1R0</v>
      </c>
      <c r="AP15" s="38" t="s">
        <v>127</v>
      </c>
      <c r="AQ15" s="32" t="str">
        <f>IFERROR(__xludf.DUMMYFUNCTION("AP15.url"),"https://drive.google.com/file/d/1nH0plpMTNbfetKZCbvTSiG46-7yYj3CY/view?usp=drive_link")</f>
        <v>https://drive.google.com/file/d/1nH0plpMTNbfetKZCbvTSiG46-7yYj3CY/view?usp=drive_link</v>
      </c>
      <c r="AR15" s="33"/>
      <c r="AS15" s="36"/>
      <c r="AT15" s="35"/>
      <c r="AU15" s="35"/>
      <c r="AV15" s="35"/>
      <c r="AW15" s="35"/>
    </row>
    <row r="16">
      <c r="A16" s="17">
        <v>15.0</v>
      </c>
      <c r="B16" s="18" t="s">
        <v>128</v>
      </c>
      <c r="C16" s="17"/>
      <c r="D16" s="18" t="s">
        <v>126</v>
      </c>
      <c r="E16" s="17"/>
      <c r="F16" s="17" t="s">
        <v>78</v>
      </c>
      <c r="G16" s="17" t="s">
        <v>79</v>
      </c>
      <c r="H16" s="17" t="s">
        <v>80</v>
      </c>
      <c r="I16" s="17" t="s">
        <v>81</v>
      </c>
      <c r="J16" s="19"/>
      <c r="K16" s="19" t="s">
        <v>82</v>
      </c>
      <c r="L16" s="19" t="s">
        <v>86</v>
      </c>
      <c r="M16" s="21"/>
      <c r="N16" s="21">
        <v>45423.0</v>
      </c>
      <c r="O16" s="21">
        <f t="shared" si="9"/>
        <v>45427</v>
      </c>
      <c r="P16" s="21"/>
      <c r="Q16" s="22">
        <v>20.56</v>
      </c>
      <c r="R16" s="22"/>
      <c r="S16" s="23" t="str">
        <f>iferror(if(AN16=1,VLOOKUP(B16, Blends!H$4:AK$1004,32,0), ""), "")</f>
        <v/>
      </c>
      <c r="T16" s="24">
        <v>0.398</v>
      </c>
      <c r="U16" s="25">
        <f t="shared" si="1"/>
        <v>29.98322777</v>
      </c>
      <c r="V16" s="26">
        <f>$Q16*('MRV Calcs'!$E$3+'MRV Calcs'!$E$4)</f>
        <v>3.041686236</v>
      </c>
      <c r="W16" s="27">
        <f t="shared" si="2"/>
        <v>2030</v>
      </c>
      <c r="X16" s="26">
        <f>IF($I16="truck",($Q16*$W16*'MRV Calcs'!$E$7)+($W16*'MRV Calcs'!$E$8),0)</f>
        <v>5.529296629</v>
      </c>
      <c r="Y16" s="26">
        <f>IF($I16="train",'MRV Calcs'!$E$24,0)</f>
        <v>0</v>
      </c>
      <c r="Z16" s="26">
        <f>IF($I16="train",($Q16*$Y16*'MRV Calcs'!$E$7)+($Y16*'MRV Calcs'!$E$8),0)</f>
        <v>0</v>
      </c>
      <c r="AA16" s="26">
        <f>IF($I16="train",'MRV Calcs'!$E$25,0)</f>
        <v>0</v>
      </c>
      <c r="AB16" s="26">
        <f>IF($I16="train",($Q16*$AA16*'MRV Calcs'!$E$11)+($AA16*'MRV Calcs'!$E$12),0)</f>
        <v>0</v>
      </c>
      <c r="AC16" s="26">
        <f>IF($I16="train",'MRV Calcs'!$E$26,0)</f>
        <v>0</v>
      </c>
      <c r="AD16" s="26">
        <f>IF($I16="train",($Q16*$AC16*'MRV Calcs'!$E$7)+($AC16*'MRV Calcs'!$E$8),0)</f>
        <v>0</v>
      </c>
      <c r="AE16" s="26">
        <f>($Q16/30)*SUM('MRV Calcs'!$E$15:$E$16)</f>
        <v>3.112280965</v>
      </c>
      <c r="AF16" s="26">
        <f>'MRV Calcs'!$E$27</f>
        <v>71.2</v>
      </c>
      <c r="AG16" s="26">
        <f>(($Q16*1.1)*$AF16*'MRV Calcs'!$E$7)+($AF16*'MRV Calcs'!$E$8)</f>
        <v>0.2127808929</v>
      </c>
      <c r="AH16" s="26">
        <f>(($Q16*1.1)/20)*SUM('MRV Calcs'!$E$19:$E$20)</f>
        <v>0.02894848</v>
      </c>
      <c r="AI16" s="26">
        <f t="shared" si="3"/>
        <v>11.9249932</v>
      </c>
      <c r="AJ16" s="26">
        <f t="shared" si="4"/>
        <v>18.05823457</v>
      </c>
      <c r="AK16" s="25">
        <f t="shared" si="7"/>
        <v>151.4114488</v>
      </c>
      <c r="AL16" s="28">
        <f t="shared" si="5"/>
        <v>0.8783188021</v>
      </c>
      <c r="AM16" s="35"/>
      <c r="AN16" s="29">
        <f>COUNTIF(Blends!H$4:H$1007,B16)+COUNTIF(Blends!J$4:J$1007,B16)+COUNTIF(#REF!,B16)</f>
        <v>1</v>
      </c>
      <c r="AO16" s="30" t="str">
        <f t="shared" si="6"/>
        <v>055T1R0</v>
      </c>
      <c r="AP16" s="38" t="s">
        <v>129</v>
      </c>
      <c r="AQ16" s="32" t="str">
        <f>IFERROR(__xludf.DUMMYFUNCTION("AP16.url"),"https://drive.google.com/file/d/1zQMVk78NOnW672_OvCACXe114oXe7eFO/view?usp=drive_link")</f>
        <v>https://drive.google.com/file/d/1zQMVk78NOnW672_OvCACXe114oXe7eFO/view?usp=drive_link</v>
      </c>
      <c r="AR16" s="33"/>
      <c r="AS16" s="36"/>
      <c r="AT16" s="35"/>
      <c r="AU16" s="35"/>
      <c r="AV16" s="35"/>
      <c r="AW16" s="35"/>
    </row>
    <row r="17">
      <c r="A17" s="17">
        <v>16.0</v>
      </c>
      <c r="B17" s="18" t="s">
        <v>130</v>
      </c>
      <c r="C17" s="17"/>
      <c r="D17" s="18" t="s">
        <v>126</v>
      </c>
      <c r="E17" s="17"/>
      <c r="F17" s="17" t="s">
        <v>78</v>
      </c>
      <c r="G17" s="17" t="s">
        <v>79</v>
      </c>
      <c r="H17" s="17" t="s">
        <v>80</v>
      </c>
      <c r="I17" s="17" t="s">
        <v>81</v>
      </c>
      <c r="J17" s="19"/>
      <c r="K17" s="19" t="s">
        <v>82</v>
      </c>
      <c r="L17" s="19" t="s">
        <v>96</v>
      </c>
      <c r="M17" s="21"/>
      <c r="N17" s="21">
        <v>45423.0</v>
      </c>
      <c r="O17" s="21">
        <f t="shared" si="9"/>
        <v>45427</v>
      </c>
      <c r="P17" s="21"/>
      <c r="Q17" s="22">
        <v>21.29</v>
      </c>
      <c r="R17" s="22"/>
      <c r="S17" s="23" t="str">
        <f>iferror(if(AN17=1,VLOOKUP(B17, Blends!H$4:AK$1004,32,0), ""), "")</f>
        <v/>
      </c>
      <c r="T17" s="24">
        <v>0.3993</v>
      </c>
      <c r="U17" s="25">
        <f t="shared" si="1"/>
        <v>31.1492198</v>
      </c>
      <c r="V17" s="26">
        <f>$Q17*('MRV Calcs'!$E$3+'MRV Calcs'!$E$4)</f>
        <v>3.14968385</v>
      </c>
      <c r="W17" s="27">
        <f t="shared" si="2"/>
        <v>2030</v>
      </c>
      <c r="X17" s="26">
        <f>IF($I17="truck",($Q17*$W17*'MRV Calcs'!$E$7)+($W17*'MRV Calcs'!$E$8),0)</f>
        <v>5.720087105</v>
      </c>
      <c r="Y17" s="26">
        <f>IF($I17="train",'MRV Calcs'!$E$24,0)</f>
        <v>0</v>
      </c>
      <c r="Z17" s="26">
        <f>IF($I17="train",($Q17*$Y17*'MRV Calcs'!$E$7)+($Y17*'MRV Calcs'!$E$8),0)</f>
        <v>0</v>
      </c>
      <c r="AA17" s="26">
        <f>IF($I17="train",'MRV Calcs'!$E$25,0)</f>
        <v>0</v>
      </c>
      <c r="AB17" s="26">
        <f>IF($I17="train",($Q17*$AA17*'MRV Calcs'!$E$11)+($AA17*'MRV Calcs'!$E$12),0)</f>
        <v>0</v>
      </c>
      <c r="AC17" s="26">
        <f>IF($I17="train",'MRV Calcs'!$E$26,0)</f>
        <v>0</v>
      </c>
      <c r="AD17" s="26">
        <f>IF($I17="train",($Q17*$AC17*'MRV Calcs'!$E$7)+($AC17*'MRV Calcs'!$E$8),0)</f>
        <v>0</v>
      </c>
      <c r="AE17" s="26">
        <f>($Q17/30)*SUM('MRV Calcs'!$E$15:$E$16)</f>
        <v>3.222785105</v>
      </c>
      <c r="AF17" s="26">
        <f>'MRV Calcs'!$E$27</f>
        <v>71.2</v>
      </c>
      <c r="AG17" s="26">
        <f>(($Q17*1.1)*$AF17*'MRV Calcs'!$E$7)+($AF17*'MRV Calcs'!$E$8)</f>
        <v>0.2201418338</v>
      </c>
      <c r="AH17" s="26">
        <f>(($Q17*1.1)/20)*SUM('MRV Calcs'!$E$19:$E$20)</f>
        <v>0.02997632</v>
      </c>
      <c r="AI17" s="26">
        <f t="shared" si="3"/>
        <v>12.34267421</v>
      </c>
      <c r="AJ17" s="26">
        <f t="shared" si="4"/>
        <v>18.80654558</v>
      </c>
      <c r="AK17" s="25">
        <f t="shared" si="7"/>
        <v>170.2179943</v>
      </c>
      <c r="AL17" s="28">
        <f t="shared" si="5"/>
        <v>0.8833511312</v>
      </c>
      <c r="AM17" s="35"/>
      <c r="AN17" s="29">
        <f>COUNTIF(Blends!H$4:H$1007,B17)+COUNTIF(Blends!J$4:J$1007,B17)+COUNTIF(#REF!,B17)</f>
        <v>2</v>
      </c>
      <c r="AO17" s="30" t="str">
        <f t="shared" si="6"/>
        <v>056T1R0</v>
      </c>
      <c r="AP17" s="38" t="s">
        <v>131</v>
      </c>
      <c r="AQ17" s="32" t="str">
        <f>IFERROR(__xludf.DUMMYFUNCTION("AP17.url"),"https://drive.google.com/file/d/1q-y_-Zz7QXAH6pd6LoSRhWO0xFXZ1WQM/view?usp=drive_link")</f>
        <v>https://drive.google.com/file/d/1q-y_-Zz7QXAH6pd6LoSRhWO0xFXZ1WQM/view?usp=drive_link</v>
      </c>
      <c r="AR17" s="33"/>
      <c r="AS17" s="36"/>
      <c r="AT17" s="35"/>
      <c r="AU17" s="35"/>
      <c r="AV17" s="35"/>
      <c r="AW17" s="35"/>
    </row>
    <row r="18">
      <c r="A18" s="17">
        <v>17.0</v>
      </c>
      <c r="B18" s="18" t="s">
        <v>132</v>
      </c>
      <c r="C18" s="17"/>
      <c r="D18" s="18" t="s">
        <v>126</v>
      </c>
      <c r="E18" s="17"/>
      <c r="F18" s="17" t="s">
        <v>78</v>
      </c>
      <c r="G18" s="17" t="s">
        <v>79</v>
      </c>
      <c r="H18" s="17" t="s">
        <v>80</v>
      </c>
      <c r="I18" s="17" t="s">
        <v>81</v>
      </c>
      <c r="J18" s="19"/>
      <c r="K18" s="19" t="s">
        <v>82</v>
      </c>
      <c r="L18" s="19" t="s">
        <v>83</v>
      </c>
      <c r="M18" s="21"/>
      <c r="N18" s="21">
        <v>45431.0</v>
      </c>
      <c r="O18" s="21">
        <v>45434.0</v>
      </c>
      <c r="P18" s="21"/>
      <c r="Q18" s="22">
        <v>20.53</v>
      </c>
      <c r="R18" s="22"/>
      <c r="S18" s="23" t="str">
        <f>iferror(if(AN18=1,VLOOKUP(B18, Blends!H$4:AK$1004,32,0), ""), "")</f>
        <v/>
      </c>
      <c r="T18" s="24">
        <v>0.388</v>
      </c>
      <c r="U18" s="25">
        <f t="shared" si="1"/>
        <v>29.18722974</v>
      </c>
      <c r="V18" s="26">
        <f>$Q18*('MRV Calcs'!$E$3+'MRV Calcs'!$E$4)</f>
        <v>3.037247977</v>
      </c>
      <c r="W18" s="27">
        <f t="shared" si="2"/>
        <v>2030</v>
      </c>
      <c r="X18" s="26">
        <f>IF($I18="truck",($Q18*$W18*'MRV Calcs'!$E$7)+($W18*'MRV Calcs'!$E$8),0)</f>
        <v>5.521455925</v>
      </c>
      <c r="Y18" s="26">
        <f>IF($I18="train",'MRV Calcs'!$E$24,0)</f>
        <v>0</v>
      </c>
      <c r="Z18" s="26">
        <f>IF($I18="train",($Q18*$Y18*'MRV Calcs'!$E$7)+($Y18*'MRV Calcs'!$E$8),0)</f>
        <v>0</v>
      </c>
      <c r="AA18" s="26">
        <f>IF($I18="train",'MRV Calcs'!$E$25,0)</f>
        <v>0</v>
      </c>
      <c r="AB18" s="26">
        <f>IF($I18="train",($Q18*$AA18*'MRV Calcs'!$E$11)+($AA18*'MRV Calcs'!$E$12),0)</f>
        <v>0</v>
      </c>
      <c r="AC18" s="26">
        <f>IF($I18="train",'MRV Calcs'!$E$26,0)</f>
        <v>0</v>
      </c>
      <c r="AD18" s="26">
        <f>IF($I18="train",($Q18*$AC18*'MRV Calcs'!$E$7)+($AC18*'MRV Calcs'!$E$8),0)</f>
        <v>0</v>
      </c>
      <c r="AE18" s="26">
        <f>($Q18/30)*SUM('MRV Calcs'!$E$15:$E$16)</f>
        <v>3.107739699</v>
      </c>
      <c r="AF18" s="26">
        <f>'MRV Calcs'!$E$27</f>
        <v>71.2</v>
      </c>
      <c r="AG18" s="26">
        <f>(($Q18*1.1)*$AF18*'MRV Calcs'!$E$7)+($AF18*'MRV Calcs'!$E$8)</f>
        <v>0.2124783884</v>
      </c>
      <c r="AH18" s="26">
        <f>(($Q18*1.1)/20)*SUM('MRV Calcs'!$E$19:$E$20)</f>
        <v>0.02890624</v>
      </c>
      <c r="AI18" s="26">
        <f t="shared" si="3"/>
        <v>11.90782823</v>
      </c>
      <c r="AJ18" s="26">
        <f t="shared" si="4"/>
        <v>17.27940151</v>
      </c>
      <c r="AK18" s="25">
        <f t="shared" si="7"/>
        <v>187.4973959</v>
      </c>
      <c r="AL18" s="28">
        <f t="shared" si="5"/>
        <v>0.8416659284</v>
      </c>
      <c r="AM18" s="35"/>
      <c r="AN18" s="29">
        <f>COUNTIF(Blends!H$4:H$1007,B18)+COUNTIF(Blends!J$4:J$1007,B18)+COUNTIF(#REF!,B18)</f>
        <v>1</v>
      </c>
      <c r="AO18" s="30" t="str">
        <f t="shared" si="6"/>
        <v>057T1R0</v>
      </c>
      <c r="AP18" s="38" t="s">
        <v>133</v>
      </c>
      <c r="AQ18" s="32" t="str">
        <f>IFERROR(__xludf.DUMMYFUNCTION("AP18.url"),"https://drive.google.com/file/d/1UEOFYoPTkf0IlkSlvbOQqGIlJOvKWIWQ/view?usp=drive_link")</f>
        <v>https://drive.google.com/file/d/1UEOFYoPTkf0IlkSlvbOQqGIlJOvKWIWQ/view?usp=drive_link</v>
      </c>
      <c r="AR18" s="35"/>
      <c r="AS18" s="35"/>
      <c r="AT18" s="35"/>
      <c r="AU18" s="35"/>
      <c r="AV18" s="35"/>
      <c r="AW18" s="35"/>
    </row>
    <row r="19">
      <c r="A19" s="17">
        <v>18.0</v>
      </c>
      <c r="B19" s="18" t="s">
        <v>134</v>
      </c>
      <c r="C19" s="17"/>
      <c r="D19" s="18" t="s">
        <v>126</v>
      </c>
      <c r="E19" s="17"/>
      <c r="F19" s="17" t="s">
        <v>78</v>
      </c>
      <c r="G19" s="17" t="s">
        <v>79</v>
      </c>
      <c r="H19" s="17" t="s">
        <v>80</v>
      </c>
      <c r="I19" s="17" t="s">
        <v>81</v>
      </c>
      <c r="J19" s="19"/>
      <c r="K19" s="19" t="s">
        <v>135</v>
      </c>
      <c r="L19" s="19" t="s">
        <v>136</v>
      </c>
      <c r="M19" s="21"/>
      <c r="N19" s="21">
        <v>45431.0</v>
      </c>
      <c r="O19" s="21">
        <v>45435.0</v>
      </c>
      <c r="P19" s="21"/>
      <c r="Q19" s="22">
        <v>19.91</v>
      </c>
      <c r="R19" s="22"/>
      <c r="S19" s="23" t="str">
        <f>iferror(if(AN19=1,VLOOKUP(B19, Blends!H$4:AK$1004,32,0), ""), "")</f>
        <v/>
      </c>
      <c r="T19" s="24">
        <v>0.407</v>
      </c>
      <c r="U19" s="25">
        <f t="shared" si="1"/>
        <v>29.69189191</v>
      </c>
      <c r="V19" s="26">
        <f>$Q19*('MRV Calcs'!$E$3+'MRV Calcs'!$E$4)</f>
        <v>2.945523976</v>
      </c>
      <c r="W19" s="27">
        <f t="shared" si="2"/>
        <v>2030</v>
      </c>
      <c r="X19" s="26">
        <f>IF($I19="truck",($Q19*$W19*'MRV Calcs'!$E$7)+($W19*'MRV Calcs'!$E$8),0)</f>
        <v>5.359414699</v>
      </c>
      <c r="Y19" s="26">
        <f>IF($I19="train",'MRV Calcs'!$E$24,0)</f>
        <v>0</v>
      </c>
      <c r="Z19" s="26">
        <f>IF($I19="train",($Q19*$Y19*'MRV Calcs'!$E$7)+($Y19*'MRV Calcs'!$E$8),0)</f>
        <v>0</v>
      </c>
      <c r="AA19" s="26">
        <f>IF($I19="train",'MRV Calcs'!$E$25,0)</f>
        <v>0</v>
      </c>
      <c r="AB19" s="26">
        <f>IF($I19="train",($Q19*$AA19*'MRV Calcs'!$E$11)+($AA19*'MRV Calcs'!$E$12),0)</f>
        <v>0</v>
      </c>
      <c r="AC19" s="26">
        <f>IF($I19="train",'MRV Calcs'!$E$26,0)</f>
        <v>0</v>
      </c>
      <c r="AD19" s="26">
        <f>IF($I19="train",($Q19*$AC19*'MRV Calcs'!$E$7)+($AC19*'MRV Calcs'!$E$8),0)</f>
        <v>0</v>
      </c>
      <c r="AE19" s="26">
        <f>($Q19/30)*SUM('MRV Calcs'!$E$15:$E$16)</f>
        <v>3.013886869</v>
      </c>
      <c r="AF19" s="26">
        <f>'MRV Calcs'!$E$27</f>
        <v>71.2</v>
      </c>
      <c r="AG19" s="26">
        <f>(($Q19*1.1)*$AF19*'MRV Calcs'!$E$7)+($AF19*'MRV Calcs'!$E$8)</f>
        <v>0.2062266304</v>
      </c>
      <c r="AH19" s="26">
        <f>(($Q19*1.1)/20)*SUM('MRV Calcs'!$E$19:$E$20)</f>
        <v>0.02803328</v>
      </c>
      <c r="AI19" s="26">
        <f t="shared" si="3"/>
        <v>11.55308545</v>
      </c>
      <c r="AJ19" s="26">
        <f t="shared" si="4"/>
        <v>18.13880645</v>
      </c>
      <c r="AK19" s="25">
        <f t="shared" si="7"/>
        <v>205.6362023</v>
      </c>
      <c r="AL19" s="28">
        <f t="shared" si="5"/>
        <v>0.9110400027</v>
      </c>
      <c r="AM19" s="35"/>
      <c r="AN19" s="29">
        <f>COUNTIF(Blends!H$4:H$1007,B19)+COUNTIF(Blends!J$4:J$1007,B19)+COUNTIF(#REF!,B19)</f>
        <v>1</v>
      </c>
      <c r="AO19" s="30" t="str">
        <f t="shared" si="6"/>
        <v>058T1R0</v>
      </c>
      <c r="AP19" s="38" t="s">
        <v>137</v>
      </c>
      <c r="AQ19" s="32" t="str">
        <f>IFERROR(__xludf.DUMMYFUNCTION("AP19.url"),"https://drive.google.com/file/d/1riHpjmeVLgezFQv02eG1NhmUi8A_C8fG/view?usp=drive_link")</f>
        <v>https://drive.google.com/file/d/1riHpjmeVLgezFQv02eG1NhmUi8A_C8fG/view?usp=drive_link</v>
      </c>
      <c r="AR19" s="35"/>
      <c r="AS19" s="35"/>
      <c r="AT19" s="35"/>
      <c r="AU19" s="35"/>
      <c r="AV19" s="35"/>
      <c r="AW19" s="35"/>
    </row>
    <row r="20">
      <c r="A20" s="17">
        <v>19.0</v>
      </c>
      <c r="B20" s="18" t="s">
        <v>138</v>
      </c>
      <c r="C20" s="17"/>
      <c r="D20" s="18" t="s">
        <v>126</v>
      </c>
      <c r="E20" s="17"/>
      <c r="F20" s="17" t="s">
        <v>78</v>
      </c>
      <c r="G20" s="17" t="s">
        <v>79</v>
      </c>
      <c r="H20" s="17" t="s">
        <v>80</v>
      </c>
      <c r="I20" s="17" t="s">
        <v>81</v>
      </c>
      <c r="J20" s="19"/>
      <c r="K20" s="19" t="s">
        <v>82</v>
      </c>
      <c r="L20" s="19" t="s">
        <v>139</v>
      </c>
      <c r="M20" s="21"/>
      <c r="N20" s="21">
        <v>45432.0</v>
      </c>
      <c r="O20" s="21">
        <v>45435.0</v>
      </c>
      <c r="P20" s="21"/>
      <c r="Q20" s="22">
        <v>21.05</v>
      </c>
      <c r="R20" s="22"/>
      <c r="S20" s="23" t="str">
        <f>iferror(if(AN20=1,VLOOKUP(B20, Blends!H$4:AK$1004,32,0), ""), "")</f>
        <v/>
      </c>
      <c r="T20" s="24">
        <v>0.39</v>
      </c>
      <c r="U20" s="25">
        <f t="shared" si="1"/>
        <v>30.08076721</v>
      </c>
      <c r="V20" s="26">
        <f>$Q20*('MRV Calcs'!$E$3+'MRV Calcs'!$E$4)</f>
        <v>3.114177785</v>
      </c>
      <c r="W20" s="27">
        <f t="shared" si="2"/>
        <v>2030</v>
      </c>
      <c r="X20" s="26">
        <f>IF($I20="truck",($Q20*$W20*'MRV Calcs'!$E$7)+($W20*'MRV Calcs'!$E$8),0)</f>
        <v>5.657361469</v>
      </c>
      <c r="Y20" s="26">
        <f>IF($I20="train",'MRV Calcs'!$E$24,0)</f>
        <v>0</v>
      </c>
      <c r="Z20" s="26">
        <f>IF($I20="train",($Q20*$Y20*'MRV Calcs'!$E$7)+($Y20*'MRV Calcs'!$E$8),0)</f>
        <v>0</v>
      </c>
      <c r="AA20" s="26">
        <f>IF($I20="train",'MRV Calcs'!$E$25,0)</f>
        <v>0</v>
      </c>
      <c r="AB20" s="26">
        <f>IF($I20="train",($Q20*$AA20*'MRV Calcs'!$E$11)+($AA20*'MRV Calcs'!$E$12),0)</f>
        <v>0</v>
      </c>
      <c r="AC20" s="26">
        <f>IF($I20="train",'MRV Calcs'!$E$26,0)</f>
        <v>0</v>
      </c>
      <c r="AD20" s="26">
        <f>IF($I20="train",($Q20*$AC20*'MRV Calcs'!$E$7)+($AC20*'MRV Calcs'!$E$8),0)</f>
        <v>0</v>
      </c>
      <c r="AE20" s="26">
        <f>($Q20/30)*SUM('MRV Calcs'!$E$15:$E$16)</f>
        <v>3.186454977</v>
      </c>
      <c r="AF20" s="26">
        <f>'MRV Calcs'!$E$27</f>
        <v>71.2</v>
      </c>
      <c r="AG20" s="26">
        <f>(($Q20*1.1)*$AF20*'MRV Calcs'!$E$7)+($AF20*'MRV Calcs'!$E$8)</f>
        <v>0.2177217984</v>
      </c>
      <c r="AH20" s="26">
        <f>(($Q20*1.1)/20)*SUM('MRV Calcs'!$E$19:$E$20)</f>
        <v>0.0296384</v>
      </c>
      <c r="AI20" s="26">
        <f t="shared" si="3"/>
        <v>12.20535443</v>
      </c>
      <c r="AJ20" s="26">
        <f t="shared" si="4"/>
        <v>17.87541278</v>
      </c>
      <c r="AK20" s="25">
        <f t="shared" si="7"/>
        <v>223.5116151</v>
      </c>
      <c r="AL20" s="28">
        <f t="shared" si="5"/>
        <v>0.8491882558</v>
      </c>
      <c r="AM20" s="35"/>
      <c r="AN20" s="29">
        <f>COUNTIF(Blends!H$4:H$1007,B20)+COUNTIF(Blends!J$4:J$1007,B20)+COUNTIF(#REF!,B20)</f>
        <v>1</v>
      </c>
      <c r="AO20" s="30" t="str">
        <f t="shared" si="6"/>
        <v>059T1R0</v>
      </c>
      <c r="AP20" s="38" t="s">
        <v>140</v>
      </c>
      <c r="AQ20" s="32" t="str">
        <f>IFERROR(__xludf.DUMMYFUNCTION("AP20.url"),"https://drive.google.com/file/d/1ShFxfOkxJobQHF9eu77bH2FUYq_iPV-s/view?usp=drive_link")</f>
        <v>https://drive.google.com/file/d/1ShFxfOkxJobQHF9eu77bH2FUYq_iPV-s/view?usp=drive_link</v>
      </c>
      <c r="AR20" s="35"/>
      <c r="AS20" s="35"/>
      <c r="AT20" s="35"/>
      <c r="AU20" s="35"/>
      <c r="AV20" s="35"/>
      <c r="AW20" s="35"/>
    </row>
    <row r="21">
      <c r="A21" s="17">
        <v>20.0</v>
      </c>
      <c r="B21" s="18" t="s">
        <v>141</v>
      </c>
      <c r="C21" s="17"/>
      <c r="D21" s="18" t="s">
        <v>126</v>
      </c>
      <c r="E21" s="17"/>
      <c r="F21" s="17" t="s">
        <v>78</v>
      </c>
      <c r="G21" s="17" t="s">
        <v>79</v>
      </c>
      <c r="H21" s="17" t="s">
        <v>80</v>
      </c>
      <c r="I21" s="17" t="s">
        <v>81</v>
      </c>
      <c r="J21" s="19"/>
      <c r="K21" s="19" t="s">
        <v>135</v>
      </c>
      <c r="L21" s="19" t="s">
        <v>142</v>
      </c>
      <c r="M21" s="21"/>
      <c r="N21" s="21">
        <v>45434.0</v>
      </c>
      <c r="O21" s="21">
        <v>45441.0</v>
      </c>
      <c r="P21" s="21"/>
      <c r="Q21" s="22">
        <v>19.47</v>
      </c>
      <c r="R21" s="22"/>
      <c r="S21" s="23" t="str">
        <f>iferror(if(AN21=1,VLOOKUP(B21, Blends!H$4:AK$1004,32,0), ""), "")</f>
        <v/>
      </c>
      <c r="T21" s="24">
        <v>0.4017</v>
      </c>
      <c r="U21" s="25">
        <f t="shared" si="1"/>
        <v>28.65761111</v>
      </c>
      <c r="V21" s="26">
        <f>$Q21*('MRV Calcs'!$E$3+'MRV Calcs'!$E$4)</f>
        <v>2.880429524</v>
      </c>
      <c r="W21" s="27">
        <f t="shared" si="2"/>
        <v>2030</v>
      </c>
      <c r="X21" s="26">
        <f>IF($I21="truck",($Q21*$W21*'MRV Calcs'!$E$7)+($W21*'MRV Calcs'!$E$8),0)</f>
        <v>5.2444177</v>
      </c>
      <c r="Y21" s="26">
        <f>IF($I21="train",'MRV Calcs'!$E$24,0)</f>
        <v>0</v>
      </c>
      <c r="Z21" s="26">
        <f>IF($I21="train",($Q21*$Y21*'MRV Calcs'!$E$7)+($Y21*'MRV Calcs'!$E$8),0)</f>
        <v>0</v>
      </c>
      <c r="AA21" s="26">
        <f>IF($I21="train",'MRV Calcs'!$E$25,0)</f>
        <v>0</v>
      </c>
      <c r="AB21" s="26">
        <f>IF($I21="train",($Q21*$AA21*'MRV Calcs'!$E$11)+($AA21*'MRV Calcs'!$E$12),0)</f>
        <v>0</v>
      </c>
      <c r="AC21" s="26">
        <f>IF($I21="train",'MRV Calcs'!$E$26,0)</f>
        <v>0</v>
      </c>
      <c r="AD21" s="26">
        <f>IF($I21="train",($Q21*$AC21*'MRV Calcs'!$E$7)+($AC21*'MRV Calcs'!$E$8),0)</f>
        <v>0</v>
      </c>
      <c r="AE21" s="26">
        <f>($Q21/30)*SUM('MRV Calcs'!$E$15:$E$16)</f>
        <v>2.947281634</v>
      </c>
      <c r="AF21" s="26">
        <f>'MRV Calcs'!$E$27</f>
        <v>71.2</v>
      </c>
      <c r="AG21" s="26">
        <f>(($Q21*1.1)*$AF21*'MRV Calcs'!$E$7)+($AF21*'MRV Calcs'!$E$8)</f>
        <v>0.2017898989</v>
      </c>
      <c r="AH21" s="26">
        <f>(($Q21*1.1)/20)*SUM('MRV Calcs'!$E$19:$E$20)</f>
        <v>0.02741376</v>
      </c>
      <c r="AI21" s="26">
        <f t="shared" si="3"/>
        <v>11.30133252</v>
      </c>
      <c r="AJ21" s="26">
        <f t="shared" si="4"/>
        <v>17.35627859</v>
      </c>
      <c r="AK21" s="25">
        <f t="shared" si="7"/>
        <v>240.8678937</v>
      </c>
      <c r="AL21" s="28">
        <f t="shared" si="5"/>
        <v>0.8914370102</v>
      </c>
      <c r="AM21" s="35"/>
      <c r="AN21" s="29">
        <f>COUNTIF(Blends!H$4:H$1007,B21)+COUNTIF(Blends!J$4:J$1007,B21)+COUNTIF(#REF!,B21)</f>
        <v>1</v>
      </c>
      <c r="AO21" s="30" t="str">
        <f t="shared" si="6"/>
        <v>070T1R0</v>
      </c>
      <c r="AP21" s="38" t="s">
        <v>143</v>
      </c>
      <c r="AQ21" s="32" t="str">
        <f>IFERROR(__xludf.DUMMYFUNCTION("AP21.url"),"https://drive.google.com/file/d/12n_BN4HJhUWJHv4D6MPDmQFR5PZf9N0x/view?usp=drive_link")</f>
        <v>https://drive.google.com/file/d/12n_BN4HJhUWJHv4D6MPDmQFR5PZf9N0x/view?usp=drive_link</v>
      </c>
      <c r="AR21" s="35"/>
      <c r="AS21" s="35"/>
      <c r="AT21" s="35"/>
      <c r="AU21" s="35"/>
      <c r="AV21" s="35"/>
      <c r="AW21" s="35"/>
    </row>
    <row r="22">
      <c r="A22" s="17">
        <v>21.0</v>
      </c>
      <c r="B22" s="18" t="s">
        <v>144</v>
      </c>
      <c r="C22" s="17"/>
      <c r="D22" s="18" t="s">
        <v>126</v>
      </c>
      <c r="E22" s="17"/>
      <c r="F22" s="17" t="s">
        <v>78</v>
      </c>
      <c r="G22" s="17" t="s">
        <v>79</v>
      </c>
      <c r="H22" s="17" t="s">
        <v>80</v>
      </c>
      <c r="I22" s="17" t="s">
        <v>81</v>
      </c>
      <c r="J22" s="19"/>
      <c r="K22" s="19" t="s">
        <v>82</v>
      </c>
      <c r="L22" s="19" t="s">
        <v>86</v>
      </c>
      <c r="M22" s="20"/>
      <c r="N22" s="20">
        <v>45437.0</v>
      </c>
      <c r="O22" s="21">
        <f t="shared" ref="O22:O23" si="10">IF(I22="truck",N22+4,IF(I22="train",N22+21,""))</f>
        <v>45441</v>
      </c>
      <c r="P22" s="21"/>
      <c r="Q22" s="22">
        <v>20.25</v>
      </c>
      <c r="R22" s="22"/>
      <c r="S22" s="23" t="str">
        <f>iferror(if(AN22=1,VLOOKUP(B22, Blends!H$4:AK$1004,32,0), ""), "")</f>
        <v/>
      </c>
      <c r="T22" s="24">
        <v>0.4017</v>
      </c>
      <c r="U22" s="25">
        <f t="shared" si="1"/>
        <v>29.80568181</v>
      </c>
      <c r="V22" s="26">
        <f>$Q22*('MRV Calcs'!$E$3+'MRV Calcs'!$E$4)</f>
        <v>2.995824235</v>
      </c>
      <c r="W22" s="27">
        <f t="shared" si="2"/>
        <v>2030</v>
      </c>
      <c r="X22" s="26">
        <f>IF($I22="truck",($Q22*$W22*'MRV Calcs'!$E$7)+($W22*'MRV Calcs'!$E$8),0)</f>
        <v>5.448276016</v>
      </c>
      <c r="Y22" s="26">
        <f>IF($I22="train",'MRV Calcs'!$E$24,0)</f>
        <v>0</v>
      </c>
      <c r="Z22" s="26">
        <f>IF($I22="train",($Q22*$Y22*'MRV Calcs'!$E$7)+($Y22*'MRV Calcs'!$E$8),0)</f>
        <v>0</v>
      </c>
      <c r="AA22" s="26">
        <f>IF($I22="train",'MRV Calcs'!$E$25,0)</f>
        <v>0</v>
      </c>
      <c r="AB22" s="26">
        <f>IF($I22="train",($Q22*$AA22*'MRV Calcs'!$E$11)+($AA22*'MRV Calcs'!$E$12),0)</f>
        <v>0</v>
      </c>
      <c r="AC22" s="26">
        <f>IF($I22="train",'MRV Calcs'!$E$26,0)</f>
        <v>0</v>
      </c>
      <c r="AD22" s="26">
        <f>IF($I22="train",($Q22*$AC22*'MRV Calcs'!$E$7)+($AC22*'MRV Calcs'!$E$8),0)</f>
        <v>0</v>
      </c>
      <c r="AE22" s="26">
        <f>($Q22/30)*SUM('MRV Calcs'!$E$15:$E$16)</f>
        <v>3.06535455</v>
      </c>
      <c r="AF22" s="26">
        <f>'MRV Calcs'!$E$27</f>
        <v>71.2</v>
      </c>
      <c r="AG22" s="26">
        <f>(($Q22*1.1)*$AF22*'MRV Calcs'!$E$7)+($AF22*'MRV Calcs'!$E$8)</f>
        <v>0.2096550138</v>
      </c>
      <c r="AH22" s="26">
        <f>(($Q22*1.1)/20)*SUM('MRV Calcs'!$E$19:$E$20)</f>
        <v>0.028512</v>
      </c>
      <c r="AI22" s="26">
        <f t="shared" si="3"/>
        <v>11.74762182</v>
      </c>
      <c r="AJ22" s="26">
        <f t="shared" si="4"/>
        <v>18.05806</v>
      </c>
      <c r="AK22" s="25">
        <f t="shared" si="7"/>
        <v>258.9259537</v>
      </c>
      <c r="AL22" s="28">
        <f t="shared" si="5"/>
        <v>0.8917560492</v>
      </c>
      <c r="AM22" s="35"/>
      <c r="AN22" s="29">
        <f>COUNTIF(Blends!H$4:H$1007,B22)+COUNTIF(Blends!J$4:J$1007,B22)+COUNTIF(#REF!,B22)</f>
        <v>2</v>
      </c>
      <c r="AO22" s="30" t="str">
        <f t="shared" si="6"/>
        <v>069T1R0</v>
      </c>
      <c r="AP22" s="38" t="s">
        <v>145</v>
      </c>
      <c r="AQ22" s="32" t="str">
        <f>IFERROR(__xludf.DUMMYFUNCTION("AP22.url"),"https://drive.google.com/file/d/1IhkCrEpY71mN-XeHobUQ0SRvN5W_pdEX/view?usp=drive_link")</f>
        <v>https://drive.google.com/file/d/1IhkCrEpY71mN-XeHobUQ0SRvN5W_pdEX/view?usp=drive_link</v>
      </c>
      <c r="AR22" s="35"/>
      <c r="AS22" s="35"/>
      <c r="AT22" s="35"/>
      <c r="AU22" s="35"/>
      <c r="AV22" s="35"/>
      <c r="AW22" s="35"/>
    </row>
    <row r="23">
      <c r="A23" s="17">
        <v>22.0</v>
      </c>
      <c r="B23" s="18" t="s">
        <v>146</v>
      </c>
      <c r="C23" s="17"/>
      <c r="D23" s="18" t="s">
        <v>126</v>
      </c>
      <c r="E23" s="17"/>
      <c r="F23" s="17" t="s">
        <v>78</v>
      </c>
      <c r="G23" s="17" t="s">
        <v>79</v>
      </c>
      <c r="H23" s="17" t="s">
        <v>80</v>
      </c>
      <c r="I23" s="17" t="s">
        <v>81</v>
      </c>
      <c r="J23" s="19"/>
      <c r="K23" s="19" t="s">
        <v>82</v>
      </c>
      <c r="L23" s="19" t="s">
        <v>83</v>
      </c>
      <c r="M23" s="20"/>
      <c r="N23" s="20">
        <v>45439.0</v>
      </c>
      <c r="O23" s="21">
        <f t="shared" si="10"/>
        <v>45443</v>
      </c>
      <c r="P23" s="21"/>
      <c r="Q23" s="22">
        <v>19.98</v>
      </c>
      <c r="R23" s="22"/>
      <c r="S23" s="23" t="str">
        <f>iferror(if(AN23=1,VLOOKUP(B23, Blends!H$4:AK$1004,32,0), ""), "")</f>
        <v/>
      </c>
      <c r="T23" s="24"/>
      <c r="U23" s="25">
        <f t="shared" si="1"/>
        <v>0</v>
      </c>
      <c r="V23" s="26">
        <f>$Q23*('MRV Calcs'!$E$3+'MRV Calcs'!$E$4)</f>
        <v>2.955879912</v>
      </c>
      <c r="W23" s="27">
        <f t="shared" si="2"/>
        <v>2030</v>
      </c>
      <c r="X23" s="26">
        <f>IF($I23="truck",($Q23*$W23*'MRV Calcs'!$E$7)+($W23*'MRV Calcs'!$E$8),0)</f>
        <v>5.377709676</v>
      </c>
      <c r="Y23" s="26">
        <f>IF($I23="train",'MRV Calcs'!$E$24,0)</f>
        <v>0</v>
      </c>
      <c r="Z23" s="26">
        <f>IF($I23="train",($Q23*$Y23*'MRV Calcs'!$E$7)+($Y23*'MRV Calcs'!$E$8),0)</f>
        <v>0</v>
      </c>
      <c r="AA23" s="26">
        <f>IF($I23="train",'MRV Calcs'!$E$25,0)</f>
        <v>0</v>
      </c>
      <c r="AB23" s="26">
        <f>IF($I23="train",($Q23*$AA23*'MRV Calcs'!$E$11)+($AA23*'MRV Calcs'!$E$12),0)</f>
        <v>0</v>
      </c>
      <c r="AC23" s="26">
        <f>IF($I23="train",'MRV Calcs'!$E$26,0)</f>
        <v>0</v>
      </c>
      <c r="AD23" s="26">
        <f>IF($I23="train",($Q23*$AC23*'MRV Calcs'!$E$7)+($AC23*'MRV Calcs'!$E$8),0)</f>
        <v>0</v>
      </c>
      <c r="AE23" s="26">
        <f>($Q23/30)*SUM('MRV Calcs'!$E$15:$E$16)</f>
        <v>3.024483156</v>
      </c>
      <c r="AF23" s="26">
        <f>'MRV Calcs'!$E$27</f>
        <v>71.2</v>
      </c>
      <c r="AG23" s="26">
        <f>(($Q23*1.1)*$AF23*'MRV Calcs'!$E$7)+($AF23*'MRV Calcs'!$E$8)</f>
        <v>0.2069324741</v>
      </c>
      <c r="AH23" s="26">
        <f>(($Q23*1.1)/20)*SUM('MRV Calcs'!$E$19:$E$20)</f>
        <v>0.02813184</v>
      </c>
      <c r="AI23" s="26">
        <f t="shared" si="3"/>
        <v>11.59313706</v>
      </c>
      <c r="AJ23" s="26">
        <f t="shared" si="4"/>
        <v>-11.59313706</v>
      </c>
      <c r="AK23" s="25">
        <f t="shared" si="7"/>
        <v>247.3328166</v>
      </c>
      <c r="AL23" s="28">
        <f t="shared" si="5"/>
        <v>-0.58023709</v>
      </c>
      <c r="AM23" s="35"/>
      <c r="AN23" s="29">
        <f>COUNTIF(Blends!H$4:H$1007,B23)+COUNTIF(Blends!J$4:J$1007,B23)+COUNTIF(#REF!,B23)</f>
        <v>0</v>
      </c>
      <c r="AO23" s="30" t="str">
        <f t="shared" si="6"/>
        <v>071T1R0</v>
      </c>
      <c r="AP23" s="38" t="s">
        <v>145</v>
      </c>
      <c r="AQ23" s="32" t="str">
        <f>IFERROR(__xludf.DUMMYFUNCTION("AP23.url"),"https://drive.google.com/file/d/1IhkCrEpY71mN-XeHobUQ0SRvN5W_pdEX/view?usp=drive_link")</f>
        <v>https://drive.google.com/file/d/1IhkCrEpY71mN-XeHobUQ0SRvN5W_pdEX/view?usp=drive_link</v>
      </c>
      <c r="AR23" s="35"/>
      <c r="AS23" s="35"/>
      <c r="AT23" s="35"/>
      <c r="AU23" s="35"/>
      <c r="AV23" s="35"/>
      <c r="AW23" s="35"/>
    </row>
    <row r="24">
      <c r="A24" s="17">
        <v>23.0</v>
      </c>
      <c r="B24" s="18" t="s">
        <v>147</v>
      </c>
      <c r="C24" s="17"/>
      <c r="D24" s="18" t="s">
        <v>126</v>
      </c>
      <c r="E24" s="17"/>
      <c r="F24" s="17" t="s">
        <v>78</v>
      </c>
      <c r="G24" s="17" t="s">
        <v>79</v>
      </c>
      <c r="H24" s="17" t="s">
        <v>80</v>
      </c>
      <c r="I24" s="17" t="s">
        <v>81</v>
      </c>
      <c r="J24" s="19"/>
      <c r="K24" s="19" t="s">
        <v>148</v>
      </c>
      <c r="L24" s="19" t="s">
        <v>149</v>
      </c>
      <c r="M24" s="21"/>
      <c r="N24" s="21">
        <v>45440.0</v>
      </c>
      <c r="O24" s="21">
        <v>45447.0</v>
      </c>
      <c r="P24" s="21"/>
      <c r="Q24" s="22">
        <v>20.21</v>
      </c>
      <c r="R24" s="22"/>
      <c r="S24" s="23" t="str">
        <f>iferror(if(AN24=1,VLOOKUP(B24, Blends!H$4:AK$1004,32,0), ""), "")</f>
        <v/>
      </c>
      <c r="T24" s="24"/>
      <c r="U24" s="25">
        <f t="shared" si="1"/>
        <v>0</v>
      </c>
      <c r="V24" s="26">
        <f>$Q24*('MRV Calcs'!$E$3+'MRV Calcs'!$E$4)</f>
        <v>2.989906557</v>
      </c>
      <c r="W24" s="27">
        <f t="shared" si="2"/>
        <v>2030</v>
      </c>
      <c r="X24" s="26">
        <f>IF($I24="truck",($Q24*$W24*'MRV Calcs'!$E$7)+($W24*'MRV Calcs'!$E$8),0)</f>
        <v>5.437821744</v>
      </c>
      <c r="Y24" s="26">
        <f>IF($I24="train",'MRV Calcs'!$E$24,0)</f>
        <v>0</v>
      </c>
      <c r="Z24" s="26">
        <f>IF($I24="train",($Q24*$Y24*'MRV Calcs'!$E$7)+($Y24*'MRV Calcs'!$E$8),0)</f>
        <v>0</v>
      </c>
      <c r="AA24" s="26">
        <f>IF($I24="train",'MRV Calcs'!$E$25,0)</f>
        <v>0</v>
      </c>
      <c r="AB24" s="26">
        <f>IF($I24="train",($Q24*$AA24*'MRV Calcs'!$E$11)+($AA24*'MRV Calcs'!$E$12),0)</f>
        <v>0</v>
      </c>
      <c r="AC24" s="26">
        <f>IF($I24="train",'MRV Calcs'!$E$26,0)</f>
        <v>0</v>
      </c>
      <c r="AD24" s="26">
        <f>IF($I24="train",($Q24*$AC24*'MRV Calcs'!$E$7)+($AC24*'MRV Calcs'!$E$8),0)</f>
        <v>0</v>
      </c>
      <c r="AE24" s="26">
        <f>($Q24/30)*SUM('MRV Calcs'!$E$15:$E$16)</f>
        <v>3.059299529</v>
      </c>
      <c r="AF24" s="26">
        <f>'MRV Calcs'!$E$27</f>
        <v>71.2</v>
      </c>
      <c r="AG24" s="26">
        <f>(($Q24*1.1)*$AF24*'MRV Calcs'!$E$7)+($AF24*'MRV Calcs'!$E$8)</f>
        <v>0.2092516746</v>
      </c>
      <c r="AH24" s="26">
        <f>(($Q24*1.1)/20)*SUM('MRV Calcs'!$E$19:$E$20)</f>
        <v>0.02845568</v>
      </c>
      <c r="AI24" s="26">
        <f t="shared" si="3"/>
        <v>11.72473518</v>
      </c>
      <c r="AJ24" s="26">
        <f t="shared" si="4"/>
        <v>-11.72473518</v>
      </c>
      <c r="AK24" s="25">
        <f t="shared" si="7"/>
        <v>235.6080814</v>
      </c>
      <c r="AL24" s="28">
        <f t="shared" si="5"/>
        <v>-0.5801452343</v>
      </c>
      <c r="AM24" s="35"/>
      <c r="AN24" s="29">
        <f>COUNTIF(Blends!H$4:H$1007,B24)+COUNTIF(Blends!J$4:J$1007,B24)+COUNTIF(#REF!,B24)</f>
        <v>1</v>
      </c>
      <c r="AO24" s="30" t="str">
        <f t="shared" si="6"/>
        <v>072T1R0</v>
      </c>
      <c r="AP24" s="38" t="s">
        <v>150</v>
      </c>
      <c r="AQ24" s="32" t="str">
        <f>IFERROR(__xludf.DUMMYFUNCTION("AP24.url"),"https://drive.google.com/file/d/13NxUMAxcctmTThByx394I91302dhsO2P/view?usp=drive_link")</f>
        <v>https://drive.google.com/file/d/13NxUMAxcctmTThByx394I91302dhsO2P/view?usp=drive_link</v>
      </c>
      <c r="AR24" s="35"/>
      <c r="AS24" s="35"/>
      <c r="AT24" s="35"/>
      <c r="AU24" s="35"/>
      <c r="AV24" s="35"/>
      <c r="AW24" s="35"/>
    </row>
    <row r="25">
      <c r="A25" s="17">
        <v>24.0</v>
      </c>
      <c r="B25" s="18" t="s">
        <v>151</v>
      </c>
      <c r="C25" s="17"/>
      <c r="D25" s="18" t="s">
        <v>152</v>
      </c>
      <c r="E25" s="17"/>
      <c r="F25" s="17" t="s">
        <v>78</v>
      </c>
      <c r="G25" s="17" t="s">
        <v>79</v>
      </c>
      <c r="H25" s="39" t="s">
        <v>80</v>
      </c>
      <c r="I25" s="39" t="s">
        <v>81</v>
      </c>
      <c r="J25" s="40"/>
      <c r="K25" s="19" t="s">
        <v>148</v>
      </c>
      <c r="L25" s="40" t="s">
        <v>153</v>
      </c>
      <c r="M25" s="21"/>
      <c r="N25" s="21">
        <v>45442.0</v>
      </c>
      <c r="O25" s="21">
        <v>45448.0</v>
      </c>
      <c r="P25" s="21"/>
      <c r="Q25" s="22">
        <v>20.18</v>
      </c>
      <c r="R25" s="22"/>
      <c r="S25" s="23" t="str">
        <f>iferror(if(AN25=1,VLOOKUP(B25, Blends!H$4:AK$1004,32,0), ""), "")</f>
        <v/>
      </c>
      <c r="T25" s="41"/>
      <c r="U25" s="42">
        <f t="shared" si="1"/>
        <v>0</v>
      </c>
      <c r="V25" s="43">
        <f>$Q25*('MRV Calcs'!$E$3+'MRV Calcs'!$E$4)</f>
        <v>2.985468299</v>
      </c>
      <c r="W25" s="42">
        <f t="shared" si="2"/>
        <v>2030</v>
      </c>
      <c r="X25" s="43">
        <f>IF($I25="truck",($Q25*$W25*'MRV Calcs'!$E$7)+($W25*'MRV Calcs'!$E$8),0)</f>
        <v>5.429981039</v>
      </c>
      <c r="Y25" s="43">
        <f>IF($I25="train",'MRV Calcs'!$E$24,0)</f>
        <v>0</v>
      </c>
      <c r="Z25" s="43">
        <f>IF($I25="train",($Q25*$Y25*'MRV Calcs'!$E$7)+($Y25*'MRV Calcs'!$E$8),0)</f>
        <v>0</v>
      </c>
      <c r="AA25" s="43">
        <f>IF($I25="train",'MRV Calcs'!$E$25,0)</f>
        <v>0</v>
      </c>
      <c r="AB25" s="43">
        <f>IF($I25="train",($Q25*$AA25*'MRV Calcs'!$E$11)+($AA25*'MRV Calcs'!$E$12),0)</f>
        <v>0</v>
      </c>
      <c r="AC25" s="43">
        <f>IF($I25="train",'MRV Calcs'!$E$26,0)</f>
        <v>0</v>
      </c>
      <c r="AD25" s="43">
        <f>IF($I25="train",($Q25*$AC25*'MRV Calcs'!$E$7)+($AC25*'MRV Calcs'!$E$8),0)</f>
        <v>0</v>
      </c>
      <c r="AE25" s="43">
        <f>($Q25/30)*SUM('MRV Calcs'!$E$15:$E$16)</f>
        <v>3.054758263</v>
      </c>
      <c r="AF25" s="43">
        <f>'MRV Calcs'!$E$27</f>
        <v>71.2</v>
      </c>
      <c r="AG25" s="43">
        <f>(($Q25*1.1)*$AF25*'MRV Calcs'!$E$7)+($AF25*'MRV Calcs'!$E$8)</f>
        <v>0.2089491702</v>
      </c>
      <c r="AH25" s="43">
        <f>(($Q25*1.1)/20)*SUM('MRV Calcs'!$E$19:$E$20)</f>
        <v>0.02841344</v>
      </c>
      <c r="AI25" s="43">
        <f t="shared" si="3"/>
        <v>11.70757021</v>
      </c>
      <c r="AJ25" s="43">
        <f t="shared" si="4"/>
        <v>-11.70757021</v>
      </c>
      <c r="AK25" s="42">
        <f t="shared" si="7"/>
        <v>223.9005112</v>
      </c>
      <c r="AL25" s="44">
        <f t="shared" si="5"/>
        <v>-0.5801570967</v>
      </c>
      <c r="AM25" s="45"/>
      <c r="AN25" s="29">
        <f>COUNTIF(Blends!H$4:H$1007,B25)+COUNTIF(Blends!J$4:J$1007,B25)+COUNTIF(#REF!,B25)</f>
        <v>0</v>
      </c>
      <c r="AO25" s="30" t="str">
        <f t="shared" si="6"/>
        <v>073T1R0</v>
      </c>
      <c r="AP25" s="46" t="s">
        <v>154</v>
      </c>
      <c r="AQ25" s="32" t="str">
        <f>IFERROR(__xludf.DUMMYFUNCTION("AP25.url"),"https://drive.google.com/file/d/1-C_dWMhablbSrqyYqX8F-DUjV6eqze82/view?usp=drive_link")</f>
        <v>https://drive.google.com/file/d/1-C_dWMhablbSrqyYqX8F-DUjV6eqze82/view?usp=drive_link</v>
      </c>
      <c r="AR25" s="45"/>
      <c r="AS25" s="45"/>
      <c r="AT25" s="45"/>
      <c r="AU25" s="45"/>
      <c r="AV25" s="45"/>
      <c r="AW25" s="45"/>
    </row>
    <row r="26">
      <c r="A26" s="17">
        <v>25.0</v>
      </c>
      <c r="B26" s="18" t="s">
        <v>155</v>
      </c>
      <c r="C26" s="17"/>
      <c r="D26" s="18" t="s">
        <v>152</v>
      </c>
      <c r="E26" s="17"/>
      <c r="F26" s="17" t="s">
        <v>78</v>
      </c>
      <c r="G26" s="17" t="s">
        <v>79</v>
      </c>
      <c r="H26" s="17" t="s">
        <v>80</v>
      </c>
      <c r="I26" s="17" t="s">
        <v>81</v>
      </c>
      <c r="J26" s="19"/>
      <c r="K26" s="19" t="s">
        <v>82</v>
      </c>
      <c r="L26" s="19" t="s">
        <v>139</v>
      </c>
      <c r="M26" s="20"/>
      <c r="N26" s="20">
        <v>45445.0</v>
      </c>
      <c r="O26" s="21">
        <v>45448.0</v>
      </c>
      <c r="P26" s="21"/>
      <c r="Q26" s="22">
        <v>21.8</v>
      </c>
      <c r="R26" s="22"/>
      <c r="S26" s="23" t="str">
        <f>iferror(if(AN26=1,VLOOKUP(B26, Blends!H$4:AK$1004,32,0), ""), "")</f>
        <v/>
      </c>
      <c r="T26" s="24">
        <v>0.3907</v>
      </c>
      <c r="U26" s="25">
        <f t="shared" si="1"/>
        <v>31.20844331</v>
      </c>
      <c r="V26" s="26">
        <f>$Q26*('MRV Calcs'!$E$3+'MRV Calcs'!$E$4)</f>
        <v>3.225134238</v>
      </c>
      <c r="W26" s="27">
        <f t="shared" si="2"/>
        <v>2030</v>
      </c>
      <c r="X26" s="26">
        <f>IF($I26="truck",($Q26*$W26*'MRV Calcs'!$E$7)+($W26*'MRV Calcs'!$E$8),0)</f>
        <v>5.853379081</v>
      </c>
      <c r="Y26" s="26">
        <f>IF($I26="train",'MRV Calcs'!$E$24,0)</f>
        <v>0</v>
      </c>
      <c r="Z26" s="26">
        <f>IF($I26="train",($Q26*$Y26*'MRV Calcs'!$E$7)+($Y26*'MRV Calcs'!$E$8),0)</f>
        <v>0</v>
      </c>
      <c r="AA26" s="26">
        <f>IF($I26="train",'MRV Calcs'!$E$25,0)</f>
        <v>0</v>
      </c>
      <c r="AB26" s="26">
        <f>IF($I26="train",($Q26*$AA26*'MRV Calcs'!$E$11)+($AA26*'MRV Calcs'!$E$12),0)</f>
        <v>0</v>
      </c>
      <c r="AC26" s="26">
        <f>IF($I26="train",'MRV Calcs'!$E$26,0)</f>
        <v>0</v>
      </c>
      <c r="AD26" s="26">
        <f>IF($I26="train",($Q26*$AC26*'MRV Calcs'!$E$7)+($AC26*'MRV Calcs'!$E$8),0)</f>
        <v>0</v>
      </c>
      <c r="AE26" s="26">
        <f>($Q26/30)*SUM('MRV Calcs'!$E$15:$E$16)</f>
        <v>3.299986627</v>
      </c>
      <c r="AF26" s="26">
        <f>'MRV Calcs'!$E$27</f>
        <v>71.2</v>
      </c>
      <c r="AG26" s="26">
        <f>(($Q26*1.1)*$AF26*'MRV Calcs'!$E$7)+($AF26*'MRV Calcs'!$E$8)</f>
        <v>0.2252844089</v>
      </c>
      <c r="AH26" s="26">
        <f>(($Q26*1.1)/20)*SUM('MRV Calcs'!$E$19:$E$20)</f>
        <v>0.0306944</v>
      </c>
      <c r="AI26" s="26">
        <f t="shared" si="3"/>
        <v>12.63447876</v>
      </c>
      <c r="AJ26" s="26">
        <f t="shared" si="4"/>
        <v>18.57396456</v>
      </c>
      <c r="AK26" s="25">
        <f t="shared" si="7"/>
        <v>242.4744758</v>
      </c>
      <c r="AL26" s="28">
        <f t="shared" si="5"/>
        <v>0.8520167227</v>
      </c>
      <c r="AM26" s="35"/>
      <c r="AN26" s="29">
        <f>COUNTIF(Blends!H$4:H$1007,B26)+COUNTIF(Blends!J$4:J$1007,B26)+COUNTIF(#REF!,B26)</f>
        <v>2</v>
      </c>
      <c r="AO26" s="30" t="str">
        <f t="shared" si="6"/>
        <v>074T1R0</v>
      </c>
      <c r="AP26" s="38" t="s">
        <v>156</v>
      </c>
      <c r="AQ26" s="32" t="str">
        <f>IFERROR(__xludf.DUMMYFUNCTION("AP26.url"),"https://drive.google.com/file/d/17uNOF88hLvhphw_1Diqh39l3RiRs7Sgw/view?usp=drive_link")</f>
        <v>https://drive.google.com/file/d/17uNOF88hLvhphw_1Diqh39l3RiRs7Sgw/view?usp=drive_link</v>
      </c>
      <c r="AR26" s="35"/>
      <c r="AS26" s="35"/>
      <c r="AT26" s="35"/>
      <c r="AU26" s="35"/>
      <c r="AV26" s="35"/>
      <c r="AW26" s="35"/>
    </row>
    <row r="27">
      <c r="A27" s="17">
        <v>26.0</v>
      </c>
      <c r="B27" s="18" t="s">
        <v>157</v>
      </c>
      <c r="C27" s="17"/>
      <c r="D27" s="18" t="s">
        <v>152</v>
      </c>
      <c r="E27" s="17"/>
      <c r="F27" s="17" t="s">
        <v>78</v>
      </c>
      <c r="G27" s="17" t="s">
        <v>79</v>
      </c>
      <c r="H27" s="17" t="s">
        <v>80</v>
      </c>
      <c r="I27" s="17" t="s">
        <v>81</v>
      </c>
      <c r="J27" s="19"/>
      <c r="K27" s="19" t="s">
        <v>82</v>
      </c>
      <c r="L27" s="19" t="s">
        <v>86</v>
      </c>
      <c r="M27" s="20"/>
      <c r="N27" s="20">
        <v>45446.0</v>
      </c>
      <c r="O27" s="21">
        <v>45449.0</v>
      </c>
      <c r="P27" s="21"/>
      <c r="Q27" s="22">
        <v>20.42</v>
      </c>
      <c r="R27" s="22"/>
      <c r="S27" s="23" t="str">
        <f>iferror(if(AN27=1,VLOOKUP(B27, Blends!H$4:AK$1004,32,0), ""), "")</f>
        <v/>
      </c>
      <c r="T27" s="24">
        <v>0.3907</v>
      </c>
      <c r="U27" s="25">
        <f t="shared" si="1"/>
        <v>29.23286295</v>
      </c>
      <c r="V27" s="26">
        <f>$Q27*('MRV Calcs'!$E$3+'MRV Calcs'!$E$4)</f>
        <v>3.020974364</v>
      </c>
      <c r="W27" s="27">
        <f t="shared" si="2"/>
        <v>2030</v>
      </c>
      <c r="X27" s="26">
        <f>IF($I27="truck",($Q27*$W27*'MRV Calcs'!$E$7)+($W27*'MRV Calcs'!$E$8),0)</f>
        <v>5.492706675</v>
      </c>
      <c r="Y27" s="26">
        <f>IF($I27="train",'MRV Calcs'!$E$24,0)</f>
        <v>0</v>
      </c>
      <c r="Z27" s="26">
        <f>IF($I27="train",($Q27*$Y27*'MRV Calcs'!$E$7)+($Y27*'MRV Calcs'!$E$8),0)</f>
        <v>0</v>
      </c>
      <c r="AA27" s="26">
        <f>IF($I27="train",'MRV Calcs'!$E$25,0)</f>
        <v>0</v>
      </c>
      <c r="AB27" s="26">
        <f>IF($I27="train",($Q27*$AA27*'MRV Calcs'!$E$11)+($AA27*'MRV Calcs'!$E$12),0)</f>
        <v>0</v>
      </c>
      <c r="AC27" s="26">
        <f>IF($I27="train",'MRV Calcs'!$E$26,0)</f>
        <v>0</v>
      </c>
      <c r="AD27" s="26">
        <f>IF($I27="train",($Q27*$AC27*'MRV Calcs'!$E$7)+($AC27*'MRV Calcs'!$E$8),0)</f>
        <v>0</v>
      </c>
      <c r="AE27" s="26">
        <f>($Q27/30)*SUM('MRV Calcs'!$E$15:$E$16)</f>
        <v>3.091088391</v>
      </c>
      <c r="AF27" s="26">
        <f>'MRV Calcs'!$E$27</f>
        <v>71.2</v>
      </c>
      <c r="AG27" s="26">
        <f>(($Q27*1.1)*$AF27*'MRV Calcs'!$E$7)+($AF27*'MRV Calcs'!$E$8)</f>
        <v>0.2113692056</v>
      </c>
      <c r="AH27" s="26">
        <f>(($Q27*1.1)/20)*SUM('MRV Calcs'!$E$19:$E$20)</f>
        <v>0.02875136</v>
      </c>
      <c r="AI27" s="26">
        <f t="shared" si="3"/>
        <v>11.84489</v>
      </c>
      <c r="AJ27" s="26">
        <f t="shared" si="4"/>
        <v>17.38797296</v>
      </c>
      <c r="AK27" s="25">
        <f t="shared" si="7"/>
        <v>259.8624487</v>
      </c>
      <c r="AL27" s="28">
        <f t="shared" si="5"/>
        <v>0.8515167952</v>
      </c>
      <c r="AM27" s="35"/>
      <c r="AN27" s="29">
        <f>COUNTIF(Blends!H$4:H$1007,B27)+COUNTIF(Blends!J$4:J$1007,B27)+COUNTIF(#REF!,B27)</f>
        <v>1</v>
      </c>
      <c r="AO27" s="30" t="str">
        <f t="shared" si="6"/>
        <v>075T1R0</v>
      </c>
      <c r="AP27" s="38" t="s">
        <v>158</v>
      </c>
      <c r="AQ27" s="32" t="str">
        <f>IFERROR(__xludf.DUMMYFUNCTION("AP27.url"),"https://drive.google.com/file/d/1ixRHHTl7zI-DRoGQ6CfWJxFksCBt2eCm/view?usp=drive_link")</f>
        <v>https://drive.google.com/file/d/1ixRHHTl7zI-DRoGQ6CfWJxFksCBt2eCm/view?usp=drive_link</v>
      </c>
      <c r="AR27" s="35"/>
      <c r="AS27" s="35"/>
      <c r="AT27" s="35"/>
      <c r="AU27" s="35"/>
      <c r="AV27" s="35"/>
      <c r="AW27" s="35"/>
    </row>
    <row r="28">
      <c r="A28" s="17">
        <v>27.0</v>
      </c>
      <c r="B28" s="18" t="s">
        <v>159</v>
      </c>
      <c r="C28" s="17"/>
      <c r="D28" s="18" t="s">
        <v>152</v>
      </c>
      <c r="E28" s="17"/>
      <c r="F28" s="17" t="s">
        <v>78</v>
      </c>
      <c r="G28" s="17" t="s">
        <v>79</v>
      </c>
      <c r="H28" s="17" t="s">
        <v>80</v>
      </c>
      <c r="I28" s="17" t="s">
        <v>81</v>
      </c>
      <c r="J28" s="19"/>
      <c r="K28" s="19" t="s">
        <v>82</v>
      </c>
      <c r="L28" s="19" t="s">
        <v>160</v>
      </c>
      <c r="M28" s="20"/>
      <c r="N28" s="20">
        <v>45446.0</v>
      </c>
      <c r="O28" s="21">
        <v>45449.0</v>
      </c>
      <c r="P28" s="21"/>
      <c r="Q28" s="22">
        <v>20.9</v>
      </c>
      <c r="R28" s="22"/>
      <c r="S28" s="23" t="str">
        <f>iferror(if(AN28=1,VLOOKUP(B28, Blends!H$4:AK$1004,32,0), ""), "")</f>
        <v/>
      </c>
      <c r="T28" s="24">
        <v>0.3907</v>
      </c>
      <c r="U28" s="25">
        <f t="shared" si="1"/>
        <v>29.92002134</v>
      </c>
      <c r="V28" s="26">
        <f>$Q28*('MRV Calcs'!$E$3+'MRV Calcs'!$E$4)</f>
        <v>3.091986494</v>
      </c>
      <c r="W28" s="27">
        <f t="shared" si="2"/>
        <v>2030</v>
      </c>
      <c r="X28" s="26">
        <f>IF($I28="truck",($Q28*$W28*'MRV Calcs'!$E$7)+($W28*'MRV Calcs'!$E$8),0)</f>
        <v>5.618157947</v>
      </c>
      <c r="Y28" s="26">
        <f>IF($I28="train",'MRV Calcs'!$E$24,0)</f>
        <v>0</v>
      </c>
      <c r="Z28" s="26">
        <f>IF($I28="train",($Q28*$Y28*'MRV Calcs'!$E$7)+($Y28*'MRV Calcs'!$E$8),0)</f>
        <v>0</v>
      </c>
      <c r="AA28" s="26">
        <f>IF($I28="train",'MRV Calcs'!$E$25,0)</f>
        <v>0</v>
      </c>
      <c r="AB28" s="26">
        <f>IF($I28="train",($Q28*$AA28*'MRV Calcs'!$E$11)+($AA28*'MRV Calcs'!$E$12),0)</f>
        <v>0</v>
      </c>
      <c r="AC28" s="26">
        <f>IF($I28="train",'MRV Calcs'!$E$26,0)</f>
        <v>0</v>
      </c>
      <c r="AD28" s="26">
        <f>IF($I28="train",($Q28*$AC28*'MRV Calcs'!$E$7)+($AC28*'MRV Calcs'!$E$8),0)</f>
        <v>0</v>
      </c>
      <c r="AE28" s="26">
        <f>($Q28/30)*SUM('MRV Calcs'!$E$15:$E$16)</f>
        <v>3.163748647</v>
      </c>
      <c r="AF28" s="26">
        <f>'MRV Calcs'!$E$27</f>
        <v>71.2</v>
      </c>
      <c r="AG28" s="26">
        <f>(($Q28*1.1)*$AF28*'MRV Calcs'!$E$7)+($AF28*'MRV Calcs'!$E$8)</f>
        <v>0.2162092763</v>
      </c>
      <c r="AH28" s="26">
        <f>(($Q28*1.1)/20)*SUM('MRV Calcs'!$E$19:$E$20)</f>
        <v>0.0294272</v>
      </c>
      <c r="AI28" s="26">
        <f t="shared" si="3"/>
        <v>12.11952956</v>
      </c>
      <c r="AJ28" s="26">
        <f t="shared" si="4"/>
        <v>17.80049177</v>
      </c>
      <c r="AK28" s="25">
        <f t="shared" si="7"/>
        <v>277.6629405</v>
      </c>
      <c r="AL28" s="28">
        <f t="shared" si="5"/>
        <v>0.851698171</v>
      </c>
      <c r="AM28" s="35"/>
      <c r="AN28" s="29">
        <f>COUNTIF(Blends!H$4:H$1007,B28)+COUNTIF(Blends!J$4:J$1007,B28)+COUNTIF(#REF!,B28)</f>
        <v>1</v>
      </c>
      <c r="AO28" s="30" t="str">
        <f t="shared" si="6"/>
        <v>076T1R0</v>
      </c>
      <c r="AP28" s="38" t="s">
        <v>161</v>
      </c>
      <c r="AQ28" s="32" t="str">
        <f>IFERROR(__xludf.DUMMYFUNCTION("AP28.url"),"https://drive.google.com/file/d/1MnFOnCrAD8vGM8g1RB_9LKq-SHYJp4NA/view?usp=drive_link")</f>
        <v>https://drive.google.com/file/d/1MnFOnCrAD8vGM8g1RB_9LKq-SHYJp4NA/view?usp=drive_link</v>
      </c>
      <c r="AR28" s="35"/>
      <c r="AS28" s="35"/>
      <c r="AT28" s="35"/>
      <c r="AU28" s="35"/>
      <c r="AV28" s="35"/>
      <c r="AW28" s="35"/>
    </row>
    <row r="29">
      <c r="A29" s="17">
        <v>28.0</v>
      </c>
      <c r="B29" s="18" t="s">
        <v>162</v>
      </c>
      <c r="C29" s="17"/>
      <c r="D29" s="18" t="s">
        <v>163</v>
      </c>
      <c r="E29" s="17"/>
      <c r="F29" s="17" t="s">
        <v>78</v>
      </c>
      <c r="G29" s="17" t="s">
        <v>79</v>
      </c>
      <c r="H29" s="17" t="s">
        <v>80</v>
      </c>
      <c r="I29" s="17" t="s">
        <v>81</v>
      </c>
      <c r="J29" s="19"/>
      <c r="K29" s="19" t="s">
        <v>82</v>
      </c>
      <c r="L29" s="19" t="s">
        <v>83</v>
      </c>
      <c r="M29" s="21"/>
      <c r="N29" s="21">
        <v>45453.0</v>
      </c>
      <c r="O29" s="21">
        <v>45456.0</v>
      </c>
      <c r="P29" s="21"/>
      <c r="Q29" s="22">
        <v>20.33</v>
      </c>
      <c r="R29" s="22"/>
      <c r="S29" s="23" t="str">
        <f>iferror(if(AN29=1,VLOOKUP(B29, Blends!H$4:AK$1004,32,0), ""), "")</f>
        <v/>
      </c>
      <c r="T29" s="24">
        <v>0.409</v>
      </c>
      <c r="U29" s="25">
        <f t="shared" si="1"/>
        <v>30.46722419</v>
      </c>
      <c r="V29" s="26">
        <f>$Q29*('MRV Calcs'!$E$3+'MRV Calcs'!$E$4)</f>
        <v>3.00765959</v>
      </c>
      <c r="W29" s="27">
        <f t="shared" si="2"/>
        <v>2030</v>
      </c>
      <c r="X29" s="26">
        <f>IF($I29="truck",($Q29*$W29*'MRV Calcs'!$E$7)+($W29*'MRV Calcs'!$E$8),0)</f>
        <v>5.469184562</v>
      </c>
      <c r="Y29" s="26">
        <f>IF($I29="train",'MRV Calcs'!$E$24,0)</f>
        <v>0</v>
      </c>
      <c r="Z29" s="26">
        <f>IF($I29="train",($Q29*$Y29*'MRV Calcs'!$E$7)+($Y29*'MRV Calcs'!$E$8),0)</f>
        <v>0</v>
      </c>
      <c r="AA29" s="26">
        <f>IF($I29="train",'MRV Calcs'!$E$25,0)</f>
        <v>0</v>
      </c>
      <c r="AB29" s="26">
        <f>IF($I29="train",($Q29*$AA29*'MRV Calcs'!$E$11)+($AA29*'MRV Calcs'!$E$12),0)</f>
        <v>0</v>
      </c>
      <c r="AC29" s="26">
        <f>IF($I29="train",'MRV Calcs'!$E$26,0)</f>
        <v>0</v>
      </c>
      <c r="AD29" s="26">
        <f>IF($I29="train",($Q29*$AC29*'MRV Calcs'!$E$7)+($AC29*'MRV Calcs'!$E$8),0)</f>
        <v>0</v>
      </c>
      <c r="AE29" s="26">
        <f>($Q29/30)*SUM('MRV Calcs'!$E$15:$E$16)</f>
        <v>3.077464593</v>
      </c>
      <c r="AF29" s="26">
        <f>'MRV Calcs'!$E$27</f>
        <v>71.2</v>
      </c>
      <c r="AG29" s="26">
        <f>(($Q29*1.1)*$AF29*'MRV Calcs'!$E$7)+($AF29*'MRV Calcs'!$E$8)</f>
        <v>0.2104616923</v>
      </c>
      <c r="AH29" s="26">
        <f>(($Q29*1.1)/20)*SUM('MRV Calcs'!$E$19:$E$20)</f>
        <v>0.02862464</v>
      </c>
      <c r="AI29" s="26">
        <f t="shared" si="3"/>
        <v>11.79339508</v>
      </c>
      <c r="AJ29" s="26">
        <f t="shared" si="4"/>
        <v>18.67382911</v>
      </c>
      <c r="AK29" s="25">
        <f t="shared" si="7"/>
        <v>296.3367696</v>
      </c>
      <c r="AL29" s="28">
        <f t="shared" si="5"/>
        <v>0.9185356178</v>
      </c>
      <c r="AM29" s="35"/>
      <c r="AN29" s="29">
        <f>COUNTIF(Blends!H$4:H$1007,B29)+COUNTIF(Blends!J$4:J$1007,B29)+COUNTIF(#REF!,B29)</f>
        <v>1</v>
      </c>
      <c r="AO29" s="30" t="str">
        <f t="shared" si="6"/>
        <v>077T1R0</v>
      </c>
      <c r="AP29" s="38" t="s">
        <v>164</v>
      </c>
      <c r="AQ29" s="32" t="str">
        <f>IFERROR(__xludf.DUMMYFUNCTION("AP29.url"),"https://drive.google.com/file/d/1X2Gy2qtnYVwewlcLSlqXQQ4tsNpo4ngZ/view?usp=drive_link")</f>
        <v>https://drive.google.com/file/d/1X2Gy2qtnYVwewlcLSlqXQQ4tsNpo4ngZ/view?usp=drive_link</v>
      </c>
      <c r="AR29" s="35"/>
      <c r="AS29" s="35"/>
      <c r="AT29" s="35"/>
      <c r="AU29" s="35"/>
      <c r="AV29" s="35"/>
      <c r="AW29" s="35"/>
    </row>
    <row r="30">
      <c r="A30" s="17">
        <v>29.0</v>
      </c>
      <c r="B30" s="18" t="s">
        <v>165</v>
      </c>
      <c r="C30" s="17"/>
      <c r="D30" s="18" t="s">
        <v>163</v>
      </c>
      <c r="E30" s="17"/>
      <c r="F30" s="17" t="s">
        <v>78</v>
      </c>
      <c r="G30" s="17" t="s">
        <v>79</v>
      </c>
      <c r="H30" s="17" t="s">
        <v>80</v>
      </c>
      <c r="I30" s="17" t="s">
        <v>81</v>
      </c>
      <c r="J30" s="19"/>
      <c r="K30" s="19" t="s">
        <v>82</v>
      </c>
      <c r="L30" s="19" t="s">
        <v>139</v>
      </c>
      <c r="M30" s="21"/>
      <c r="N30" s="21">
        <v>45453.0</v>
      </c>
      <c r="O30" s="21">
        <v>45457.0</v>
      </c>
      <c r="P30" s="21"/>
      <c r="Q30" s="22">
        <v>21.35</v>
      </c>
      <c r="R30" s="22"/>
      <c r="S30" s="23" t="str">
        <f>iferror(if(AN30=1,VLOOKUP(B30, Blends!H$4:AK$1004,32,0), ""), "")</f>
        <v/>
      </c>
      <c r="T30" s="24"/>
      <c r="U30" s="25">
        <f t="shared" si="1"/>
        <v>0</v>
      </c>
      <c r="V30" s="26">
        <f>$Q30*('MRV Calcs'!$E$3+'MRV Calcs'!$E$4)</f>
        <v>3.158560366</v>
      </c>
      <c r="W30" s="27">
        <f t="shared" si="2"/>
        <v>2030</v>
      </c>
      <c r="X30" s="26">
        <f>IF($I30="truck",($Q30*$W30*'MRV Calcs'!$E$7)+($W30*'MRV Calcs'!$E$8),0)</f>
        <v>5.735768514</v>
      </c>
      <c r="Y30" s="26">
        <f>IF($I30="train",'MRV Calcs'!$E$24,0)</f>
        <v>0</v>
      </c>
      <c r="Z30" s="26">
        <f>IF($I30="train",($Q30*$Y30*'MRV Calcs'!$E$7)+($Y30*'MRV Calcs'!$E$8),0)</f>
        <v>0</v>
      </c>
      <c r="AA30" s="26">
        <f>IF($I30="train",'MRV Calcs'!$E$25,0)</f>
        <v>0</v>
      </c>
      <c r="AB30" s="26">
        <f>IF($I30="train",($Q30*$AA30*'MRV Calcs'!$E$11)+($AA30*'MRV Calcs'!$E$12),0)</f>
        <v>0</v>
      </c>
      <c r="AC30" s="26">
        <f>IF($I30="train",'MRV Calcs'!$E$26,0)</f>
        <v>0</v>
      </c>
      <c r="AD30" s="26">
        <f>IF($I30="train",($Q30*$AC30*'MRV Calcs'!$E$7)+($AC30*'MRV Calcs'!$E$8),0)</f>
        <v>0</v>
      </c>
      <c r="AE30" s="26">
        <f>($Q30/30)*SUM('MRV Calcs'!$E$15:$E$16)</f>
        <v>3.231867637</v>
      </c>
      <c r="AF30" s="26">
        <f>'MRV Calcs'!$E$27</f>
        <v>71.2</v>
      </c>
      <c r="AG30" s="26">
        <f>(($Q30*1.1)*$AF30*'MRV Calcs'!$E$7)+($AF30*'MRV Calcs'!$E$8)</f>
        <v>0.2207468426</v>
      </c>
      <c r="AH30" s="26">
        <f>(($Q30*1.1)/20)*SUM('MRV Calcs'!$E$19:$E$20)</f>
        <v>0.0300608</v>
      </c>
      <c r="AI30" s="26">
        <f t="shared" si="3"/>
        <v>12.37700416</v>
      </c>
      <c r="AJ30" s="26">
        <f t="shared" si="4"/>
        <v>-12.37700416</v>
      </c>
      <c r="AK30" s="25">
        <f t="shared" si="7"/>
        <v>283.9597655</v>
      </c>
      <c r="AL30" s="28">
        <f t="shared" si="5"/>
        <v>-0.5797191644</v>
      </c>
      <c r="AM30" s="35"/>
      <c r="AN30" s="29">
        <f>COUNTIF(Blends!H$4:H$1007,B30)+COUNTIF(Blends!J$4:J$1007,B30)+COUNTIF(#REF!,B30)</f>
        <v>2</v>
      </c>
      <c r="AO30" s="30" t="str">
        <f t="shared" si="6"/>
        <v>078T1R0</v>
      </c>
      <c r="AP30" s="38" t="s">
        <v>166</v>
      </c>
      <c r="AQ30" s="32" t="str">
        <f>IFERROR(__xludf.DUMMYFUNCTION("AP30.url"),"https://drive.google.com/file/d/1O4pLKPKPg7vfYcejoZyapVlunJfHYmhq/view?usp=drive_link")</f>
        <v>https://drive.google.com/file/d/1O4pLKPKPg7vfYcejoZyapVlunJfHYmhq/view?usp=drive_link</v>
      </c>
      <c r="AR30" s="35"/>
      <c r="AS30" s="35"/>
      <c r="AT30" s="35"/>
      <c r="AU30" s="35"/>
      <c r="AV30" s="35"/>
      <c r="AW30" s="35"/>
    </row>
    <row r="31">
      <c r="A31" s="17">
        <v>30.0</v>
      </c>
      <c r="B31" s="18" t="s">
        <v>167</v>
      </c>
      <c r="C31" s="17"/>
      <c r="D31" s="18" t="s">
        <v>168</v>
      </c>
      <c r="E31" s="17"/>
      <c r="F31" s="17" t="s">
        <v>78</v>
      </c>
      <c r="G31" s="17" t="s">
        <v>79</v>
      </c>
      <c r="H31" s="17" t="s">
        <v>80</v>
      </c>
      <c r="I31" s="17" t="s">
        <v>81</v>
      </c>
      <c r="J31" s="19"/>
      <c r="K31" s="19" t="s">
        <v>82</v>
      </c>
      <c r="L31" s="19" t="s">
        <v>86</v>
      </c>
      <c r="M31" s="21"/>
      <c r="N31" s="21">
        <v>45454.0</v>
      </c>
      <c r="O31" s="21">
        <v>45457.0</v>
      </c>
      <c r="P31" s="21"/>
      <c r="Q31" s="22">
        <v>20.64</v>
      </c>
      <c r="R31" s="22"/>
      <c r="S31" s="23" t="str">
        <f>iferror(if(AN31=1,VLOOKUP(B31, Blends!H$4:AK$1004,32,0), ""), "")</f>
        <v/>
      </c>
      <c r="T31" s="24"/>
      <c r="U31" s="25">
        <f t="shared" si="1"/>
        <v>0</v>
      </c>
      <c r="V31" s="26">
        <f>$Q31*('MRV Calcs'!$E$3+'MRV Calcs'!$E$4)</f>
        <v>3.053521591</v>
      </c>
      <c r="W31" s="27">
        <f t="shared" si="2"/>
        <v>2030</v>
      </c>
      <c r="X31" s="26">
        <f>IF($I31="truck",($Q31*$W31*'MRV Calcs'!$E$7)+($W31*'MRV Calcs'!$E$8),0)</f>
        <v>5.550205175</v>
      </c>
      <c r="Y31" s="26">
        <f>IF($I31="train",'MRV Calcs'!$E$24,0)</f>
        <v>0</v>
      </c>
      <c r="Z31" s="26">
        <f>IF($I31="train",($Q31*$Y31*'MRV Calcs'!$E$7)+($Y31*'MRV Calcs'!$E$8),0)</f>
        <v>0</v>
      </c>
      <c r="AA31" s="26">
        <f>IF($I31="train",'MRV Calcs'!$E$25,0)</f>
        <v>0</v>
      </c>
      <c r="AB31" s="26">
        <f>IF($I31="train",($Q31*$AA31*'MRV Calcs'!$E$11)+($AA31*'MRV Calcs'!$E$12),0)</f>
        <v>0</v>
      </c>
      <c r="AC31" s="26">
        <f>IF($I31="train",'MRV Calcs'!$E$26,0)</f>
        <v>0</v>
      </c>
      <c r="AD31" s="26">
        <f>IF($I31="train",($Q31*$AC31*'MRV Calcs'!$E$7)+($AC31*'MRV Calcs'!$E$8),0)</f>
        <v>0</v>
      </c>
      <c r="AE31" s="26">
        <f>($Q31/30)*SUM('MRV Calcs'!$E$15:$E$16)</f>
        <v>3.124391008</v>
      </c>
      <c r="AF31" s="26">
        <f>'MRV Calcs'!$E$27</f>
        <v>71.2</v>
      </c>
      <c r="AG31" s="26">
        <f>(($Q31*1.1)*$AF31*'MRV Calcs'!$E$7)+($AF31*'MRV Calcs'!$E$8)</f>
        <v>0.2135875713</v>
      </c>
      <c r="AH31" s="26">
        <f>(($Q31*1.1)/20)*SUM('MRV Calcs'!$E$19:$E$20)</f>
        <v>0.02906112</v>
      </c>
      <c r="AI31" s="26">
        <f t="shared" si="3"/>
        <v>11.97076646</v>
      </c>
      <c r="AJ31" s="26">
        <f t="shared" si="4"/>
        <v>-11.97076646</v>
      </c>
      <c r="AK31" s="25">
        <f t="shared" si="7"/>
        <v>271.988999</v>
      </c>
      <c r="AL31" s="28">
        <f t="shared" si="5"/>
        <v>-0.5799789954</v>
      </c>
      <c r="AM31" s="35"/>
      <c r="AN31" s="29">
        <f>COUNTIF(Blends!H$4:H$1007,B31)+COUNTIF(Blends!J$4:J$1007,B31)+COUNTIF(#REF!,B31)</f>
        <v>2</v>
      </c>
      <c r="AO31" s="30" t="str">
        <f t="shared" si="6"/>
        <v>079T1R0</v>
      </c>
      <c r="AP31" s="38" t="s">
        <v>169</v>
      </c>
      <c r="AQ31" s="32" t="str">
        <f>IFERROR(__xludf.DUMMYFUNCTION("AP31.url"),"https://drive.google.com/file/d/1PMm4mPO6wTzuSfG50ZJYwKVCSfMj7Ld9/view?usp=drive_link")</f>
        <v>https://drive.google.com/file/d/1PMm4mPO6wTzuSfG50ZJYwKVCSfMj7Ld9/view?usp=drive_link</v>
      </c>
      <c r="AR31" s="35"/>
      <c r="AS31" s="35"/>
      <c r="AT31" s="35"/>
      <c r="AU31" s="35"/>
      <c r="AV31" s="35"/>
      <c r="AW31" s="35"/>
    </row>
    <row r="32">
      <c r="A32" s="17">
        <v>31.0</v>
      </c>
      <c r="B32" s="18" t="s">
        <v>170</v>
      </c>
      <c r="C32" s="17"/>
      <c r="D32" s="18" t="s">
        <v>168</v>
      </c>
      <c r="E32" s="17"/>
      <c r="F32" s="17" t="s">
        <v>78</v>
      </c>
      <c r="G32" s="17" t="s">
        <v>79</v>
      </c>
      <c r="H32" s="17" t="s">
        <v>80</v>
      </c>
      <c r="I32" s="17" t="s">
        <v>81</v>
      </c>
      <c r="J32" s="19"/>
      <c r="K32" s="19" t="s">
        <v>82</v>
      </c>
      <c r="L32" s="19" t="s">
        <v>160</v>
      </c>
      <c r="M32" s="21"/>
      <c r="N32" s="21">
        <v>45454.0</v>
      </c>
      <c r="O32" s="21">
        <v>45457.0</v>
      </c>
      <c r="P32" s="21"/>
      <c r="Q32" s="22">
        <v>20.55</v>
      </c>
      <c r="R32" s="22"/>
      <c r="S32" s="23" t="str">
        <f>iferror(if(AN32=1,VLOOKUP(B32, Blends!H$4:AK$1004,32,0), ""), "")</f>
        <v/>
      </c>
      <c r="T32" s="24"/>
      <c r="U32" s="25">
        <f t="shared" si="1"/>
        <v>0</v>
      </c>
      <c r="V32" s="26">
        <f>$Q32*('MRV Calcs'!$E$3+'MRV Calcs'!$E$4)</f>
        <v>3.040206816</v>
      </c>
      <c r="W32" s="27">
        <f t="shared" si="2"/>
        <v>2030</v>
      </c>
      <c r="X32" s="26">
        <f>IF($I32="truck",($Q32*$W32*'MRV Calcs'!$E$7)+($W32*'MRV Calcs'!$E$8),0)</f>
        <v>5.526683061</v>
      </c>
      <c r="Y32" s="26">
        <f>IF($I32="train",'MRV Calcs'!$E$24,0)</f>
        <v>0</v>
      </c>
      <c r="Z32" s="26">
        <f>IF($I32="train",($Q32*$Y32*'MRV Calcs'!$E$7)+($Y32*'MRV Calcs'!$E$8),0)</f>
        <v>0</v>
      </c>
      <c r="AA32" s="26">
        <f>IF($I32="train",'MRV Calcs'!$E$25,0)</f>
        <v>0</v>
      </c>
      <c r="AB32" s="26">
        <f>IF($I32="train",($Q32*$AA32*'MRV Calcs'!$E$11)+($AA32*'MRV Calcs'!$E$12),0)</f>
        <v>0</v>
      </c>
      <c r="AC32" s="26">
        <f>IF($I32="train",'MRV Calcs'!$E$26,0)</f>
        <v>0</v>
      </c>
      <c r="AD32" s="26">
        <f>IF($I32="train",($Q32*$AC32*'MRV Calcs'!$E$7)+($AC32*'MRV Calcs'!$E$8),0)</f>
        <v>0</v>
      </c>
      <c r="AE32" s="26">
        <f>($Q32/30)*SUM('MRV Calcs'!$E$15:$E$16)</f>
        <v>3.11076721</v>
      </c>
      <c r="AF32" s="26">
        <f>'MRV Calcs'!$E$27</f>
        <v>71.2</v>
      </c>
      <c r="AG32" s="26">
        <f>(($Q32*1.1)*$AF32*'MRV Calcs'!$E$7)+($AF32*'MRV Calcs'!$E$8)</f>
        <v>0.2126800581</v>
      </c>
      <c r="AH32" s="26">
        <f>(($Q32*1.1)/20)*SUM('MRV Calcs'!$E$19:$E$20)</f>
        <v>0.0289344</v>
      </c>
      <c r="AI32" s="26">
        <f t="shared" si="3"/>
        <v>11.91927155</v>
      </c>
      <c r="AJ32" s="26">
        <f t="shared" si="4"/>
        <v>-11.91927155</v>
      </c>
      <c r="AK32" s="25">
        <f t="shared" si="7"/>
        <v>260.0697274</v>
      </c>
      <c r="AL32" s="28">
        <f t="shared" si="5"/>
        <v>-0.5800132139</v>
      </c>
      <c r="AM32" s="35"/>
      <c r="AN32" s="29">
        <f>COUNTIF(Blends!H$4:H$1007,B32)+COUNTIF(Blends!J$4:J$1007,B32)+COUNTIF(#REF!,B32)</f>
        <v>2</v>
      </c>
      <c r="AO32" s="30" t="str">
        <f t="shared" si="6"/>
        <v>080T1R0</v>
      </c>
      <c r="AP32" s="38" t="s">
        <v>171</v>
      </c>
      <c r="AQ32" s="32" t="str">
        <f>IFERROR(__xludf.DUMMYFUNCTION("AP32.url"),"https://drive.google.com/file/d/1hfTxljZLrN-NZoaiI1t659WvYefkqYun/view?usp=drive_link")</f>
        <v>https://drive.google.com/file/d/1hfTxljZLrN-NZoaiI1t659WvYefkqYun/view?usp=drive_link</v>
      </c>
      <c r="AR32" s="35"/>
      <c r="AS32" s="35"/>
      <c r="AT32" s="35"/>
      <c r="AU32" s="35"/>
      <c r="AV32" s="35"/>
      <c r="AW32" s="35"/>
    </row>
    <row r="33">
      <c r="A33" s="17">
        <v>32.0</v>
      </c>
      <c r="B33" s="18" t="s">
        <v>172</v>
      </c>
      <c r="C33" s="17"/>
      <c r="D33" s="18" t="s">
        <v>173</v>
      </c>
      <c r="E33" s="17"/>
      <c r="F33" s="17" t="s">
        <v>78</v>
      </c>
      <c r="G33" s="17" t="s">
        <v>79</v>
      </c>
      <c r="H33" s="17" t="s">
        <v>80</v>
      </c>
      <c r="I33" s="17" t="s">
        <v>81</v>
      </c>
      <c r="J33" s="19"/>
      <c r="K33" s="19" t="s">
        <v>82</v>
      </c>
      <c r="L33" s="19" t="s">
        <v>139</v>
      </c>
      <c r="M33" s="21"/>
      <c r="N33" s="21">
        <v>45464.0</v>
      </c>
      <c r="O33" s="21">
        <v>45468.0</v>
      </c>
      <c r="P33" s="21"/>
      <c r="Q33" s="22">
        <v>21.26</v>
      </c>
      <c r="R33" s="22"/>
      <c r="S33" s="23" t="str">
        <f>iferror(if(AN33=1,VLOOKUP(B33, Blends!H$4:AK$1004,32,0), ""), "")</f>
        <v/>
      </c>
      <c r="T33" s="24"/>
      <c r="U33" s="25">
        <f t="shared" si="1"/>
        <v>0</v>
      </c>
      <c r="V33" s="26">
        <f>$Q33*('MRV Calcs'!$E$3+'MRV Calcs'!$E$4)</f>
        <v>3.145245592</v>
      </c>
      <c r="W33" s="27">
        <f t="shared" si="2"/>
        <v>2030</v>
      </c>
      <c r="X33" s="26">
        <f>IF($I33="truck",($Q33*$W33*'MRV Calcs'!$E$7)+($W33*'MRV Calcs'!$E$8),0)</f>
        <v>5.712246401</v>
      </c>
      <c r="Y33" s="26">
        <f>IF($I33="train",'MRV Calcs'!$E$24,0)</f>
        <v>0</v>
      </c>
      <c r="Z33" s="26">
        <f>IF($I33="train",($Q33*$Y33*'MRV Calcs'!$E$7)+($Y33*'MRV Calcs'!$E$8),0)</f>
        <v>0</v>
      </c>
      <c r="AA33" s="26">
        <f>IF($I33="train",'MRV Calcs'!$E$25,0)</f>
        <v>0</v>
      </c>
      <c r="AB33" s="26">
        <f>IF($I33="train",($Q33*$AA33*'MRV Calcs'!$E$11)+($AA33*'MRV Calcs'!$E$12),0)</f>
        <v>0</v>
      </c>
      <c r="AC33" s="26">
        <f>IF($I33="train",'MRV Calcs'!$E$26,0)</f>
        <v>0</v>
      </c>
      <c r="AD33" s="26">
        <f>IF($I33="train",($Q33*$AC33*'MRV Calcs'!$E$7)+($AC33*'MRV Calcs'!$E$8),0)</f>
        <v>0</v>
      </c>
      <c r="AE33" s="26">
        <f>($Q33/30)*SUM('MRV Calcs'!$E$15:$E$16)</f>
        <v>3.218243839</v>
      </c>
      <c r="AF33" s="26">
        <f>'MRV Calcs'!$E$27</f>
        <v>71.2</v>
      </c>
      <c r="AG33" s="26">
        <f>(($Q33*1.1)*$AF33*'MRV Calcs'!$E$7)+($AF33*'MRV Calcs'!$E$8)</f>
        <v>0.2198393294</v>
      </c>
      <c r="AH33" s="26">
        <f>(($Q33*1.1)/20)*SUM('MRV Calcs'!$E$19:$E$20)</f>
        <v>0.02993408</v>
      </c>
      <c r="AI33" s="26">
        <f t="shared" si="3"/>
        <v>12.32550924</v>
      </c>
      <c r="AJ33" s="26">
        <f t="shared" si="4"/>
        <v>-12.32550924</v>
      </c>
      <c r="AK33" s="25">
        <f t="shared" si="7"/>
        <v>247.7442182</v>
      </c>
      <c r="AL33" s="28">
        <f t="shared" si="5"/>
        <v>-0.5797511402</v>
      </c>
      <c r="AM33" s="35"/>
      <c r="AN33" s="29">
        <f>COUNTIF(Blends!H$4:H$1007,B33)+COUNTIF(Blends!J$4:J$1007,B33)+COUNTIF(#REF!,B33)</f>
        <v>0</v>
      </c>
      <c r="AO33" s="30" t="str">
        <f t="shared" si="6"/>
        <v>081T1R0</v>
      </c>
      <c r="AP33" s="38" t="s">
        <v>174</v>
      </c>
      <c r="AQ33" s="32" t="str">
        <f>IFERROR(__xludf.DUMMYFUNCTION("AP33.url"),"https://drive.google.com/file/d/1qc0SfU6CrYEqCOUyi2dSwZrlTyg0eq_m/view?usp=drive_link")</f>
        <v>https://drive.google.com/file/d/1qc0SfU6CrYEqCOUyi2dSwZrlTyg0eq_m/view?usp=drive_link</v>
      </c>
      <c r="AR33" s="35"/>
      <c r="AS33" s="35"/>
      <c r="AT33" s="35"/>
      <c r="AU33" s="35"/>
      <c r="AV33" s="35"/>
      <c r="AW33" s="35"/>
    </row>
    <row r="34">
      <c r="A34" s="17">
        <v>33.0</v>
      </c>
      <c r="B34" s="18" t="s">
        <v>175</v>
      </c>
      <c r="C34" s="17"/>
      <c r="D34" s="18" t="s">
        <v>176</v>
      </c>
      <c r="E34" s="17"/>
      <c r="F34" s="17" t="s">
        <v>78</v>
      </c>
      <c r="G34" s="17" t="b">
        <v>1</v>
      </c>
      <c r="H34" s="17" t="s">
        <v>80</v>
      </c>
      <c r="I34" s="17" t="s">
        <v>105</v>
      </c>
      <c r="J34" s="19"/>
      <c r="K34" s="19" t="s">
        <v>177</v>
      </c>
      <c r="L34" s="19" t="s">
        <v>178</v>
      </c>
      <c r="M34" s="20"/>
      <c r="N34" s="20">
        <v>45471.0</v>
      </c>
      <c r="O34" s="20">
        <v>45530.0</v>
      </c>
      <c r="P34" s="20"/>
      <c r="Q34" s="22">
        <f>26.34+27.51+27.44</f>
        <v>81.29</v>
      </c>
      <c r="R34" s="22"/>
      <c r="S34" s="23" t="str">
        <f>iferror(if(AN34=1,VLOOKUP(B34, Blends!H$4:AK$1004,32,0), ""), "")</f>
        <v/>
      </c>
      <c r="T34" s="24">
        <v>0.3933</v>
      </c>
      <c r="U34" s="25">
        <f t="shared" si="1"/>
        <v>117.1475665</v>
      </c>
      <c r="V34" s="26">
        <f>$Q34*('MRV Calcs'!$E$3+'MRV Calcs'!$E$4)</f>
        <v>12.0262001</v>
      </c>
      <c r="W34" s="27">
        <f t="shared" si="2"/>
        <v>2030</v>
      </c>
      <c r="X34" s="26">
        <f>IF($I34="truck",($Q34*$W34*'MRV Calcs'!$E$7)+($W34*'MRV Calcs'!$E$8),0)</f>
        <v>0</v>
      </c>
      <c r="Y34" s="26">
        <f>IF($I34="train",'MRV Calcs'!$E$24,0)</f>
        <v>107.497</v>
      </c>
      <c r="Z34" s="26">
        <f>IF($I34="train",($Q34*$Y34*'MRV Calcs'!$E$7)+($Y34*'MRV Calcs'!$E$8),0)</f>
        <v>1.133298829</v>
      </c>
      <c r="AA34" s="26">
        <f>IF($I34="train",'MRV Calcs'!$E$25,0)</f>
        <v>2087</v>
      </c>
      <c r="AB34" s="26">
        <f>IF($I34="train",($Q34*$AA34*'MRV Calcs'!$E$11)+($AA34*'MRV Calcs'!$E$12),0)</f>
        <v>4.538536208</v>
      </c>
      <c r="AC34" s="26">
        <f>IF($I34="train",'MRV Calcs'!$E$26,0)</f>
        <v>32.6</v>
      </c>
      <c r="AD34" s="26">
        <f>IF($I34="train",($Q34*$AC34*'MRV Calcs'!$E$7)+($AC34*'MRV Calcs'!$E$8),0)</f>
        <v>0.3436890501</v>
      </c>
      <c r="AE34" s="26">
        <f>($Q34/30)*SUM('MRV Calcs'!$E$15:$E$16)</f>
        <v>12.3053171</v>
      </c>
      <c r="AF34" s="26">
        <f>'MRV Calcs'!$E$27</f>
        <v>71.2</v>
      </c>
      <c r="AG34" s="26">
        <f>(($Q34*1.1)*$AF34*'MRV Calcs'!$E$7)+($AF34*'MRV Calcs'!$E$8)</f>
        <v>0.825150676</v>
      </c>
      <c r="AH34" s="26">
        <f>(($Q34*1.1)/20)*SUM('MRV Calcs'!$E$19:$E$20)</f>
        <v>0.11445632</v>
      </c>
      <c r="AI34" s="26">
        <f t="shared" si="3"/>
        <v>31.28664829</v>
      </c>
      <c r="AJ34" s="26">
        <f t="shared" si="4"/>
        <v>85.86091824</v>
      </c>
      <c r="AK34" s="25">
        <f t="shared" si="7"/>
        <v>333.6051364</v>
      </c>
      <c r="AL34" s="28">
        <f t="shared" si="5"/>
        <v>1.056229773</v>
      </c>
      <c r="AM34" s="35"/>
      <c r="AN34" s="29">
        <f>COUNTIF(Blends!H$4:H$1007,B34)+COUNTIF(Blends!J$4:J$1007,B34)+COUNTIF(#REF!,B34)</f>
        <v>6</v>
      </c>
      <c r="AO34" s="30" t="str">
        <f t="shared" si="6"/>
        <v>060-62T2R6</v>
      </c>
      <c r="AP34" s="38" t="s">
        <v>179</v>
      </c>
      <c r="AQ34" s="32" t="str">
        <f>IFERROR(__xludf.DUMMYFUNCTION("AP34.url"),"https://drive.google.com/drive/folders/1PH2j_8KGpG5VSyDZlozK_yuQSUTJUWtL?usp=drive_link")</f>
        <v>https://drive.google.com/drive/folders/1PH2j_8KGpG5VSyDZlozK_yuQSUTJUWtL?usp=drive_link</v>
      </c>
      <c r="AR34" s="35"/>
      <c r="AS34" s="35"/>
      <c r="AT34" s="35"/>
      <c r="AU34" s="35"/>
      <c r="AV34" s="35"/>
      <c r="AW34" s="35"/>
    </row>
    <row r="35">
      <c r="A35" s="17">
        <v>34.0</v>
      </c>
      <c r="B35" s="18" t="s">
        <v>180</v>
      </c>
      <c r="C35" s="17"/>
      <c r="D35" s="18" t="s">
        <v>181</v>
      </c>
      <c r="E35" s="17"/>
      <c r="F35" s="17" t="s">
        <v>78</v>
      </c>
      <c r="G35" s="17" t="b">
        <v>1</v>
      </c>
      <c r="H35" s="17" t="s">
        <v>80</v>
      </c>
      <c r="I35" s="17" t="s">
        <v>105</v>
      </c>
      <c r="J35" s="40"/>
      <c r="K35" s="19" t="s">
        <v>177</v>
      </c>
      <c r="L35" s="40" t="s">
        <v>182</v>
      </c>
      <c r="M35" s="20"/>
      <c r="N35" s="20">
        <v>45484.0</v>
      </c>
      <c r="O35" s="20">
        <v>45502.0</v>
      </c>
      <c r="P35" s="20"/>
      <c r="Q35" s="22">
        <f>27.2+27.08+27.17</f>
        <v>81.45</v>
      </c>
      <c r="R35" s="22"/>
      <c r="S35" s="23" t="str">
        <f>iferror(if(AN35=1,VLOOKUP(B35, Blends!H$4:AK$1004,32,0), ""), "")</f>
        <v/>
      </c>
      <c r="T35" s="24">
        <v>0.389</v>
      </c>
      <c r="U35" s="25">
        <f t="shared" si="1"/>
        <v>116.0948331</v>
      </c>
      <c r="V35" s="26">
        <f>$Q35*('MRV Calcs'!$E$3+'MRV Calcs'!$E$4)</f>
        <v>12.04987081</v>
      </c>
      <c r="W35" s="27">
        <f t="shared" si="2"/>
        <v>2030</v>
      </c>
      <c r="X35" s="26">
        <f>IF($I35="truck",($Q35*$W35*'MRV Calcs'!$E$7)+($W35*'MRV Calcs'!$E$8),0)</f>
        <v>0</v>
      </c>
      <c r="Y35" s="26">
        <f>IF($I35="train",'MRV Calcs'!$E$24,0)</f>
        <v>107.497</v>
      </c>
      <c r="Z35" s="26">
        <f>IF($I35="train",($Q35*$Y35*'MRV Calcs'!$E$7)+($Y35*'MRV Calcs'!$E$8),0)</f>
        <v>1.135513219</v>
      </c>
      <c r="AA35" s="26">
        <f>IF($I35="train",'MRV Calcs'!$E$25,0)</f>
        <v>2087</v>
      </c>
      <c r="AB35" s="26">
        <f>IF($I35="train",($Q35*$AA35*'MRV Calcs'!$E$11)+($AA35*'MRV Calcs'!$E$12),0)</f>
        <v>4.547241939</v>
      </c>
      <c r="AC35" s="26">
        <f>IF($I35="train",'MRV Calcs'!$E$26,0)</f>
        <v>32.6</v>
      </c>
      <c r="AD35" s="26">
        <f>IF($I35="train",($Q35*$AC35*'MRV Calcs'!$E$7)+($AC35*'MRV Calcs'!$E$8),0)</f>
        <v>0.3443605955</v>
      </c>
      <c r="AE35" s="26">
        <f>($Q35/30)*SUM('MRV Calcs'!$E$15:$E$16)</f>
        <v>12.32953719</v>
      </c>
      <c r="AF35" s="26">
        <f>'MRV Calcs'!$E$27</f>
        <v>71.2</v>
      </c>
      <c r="AG35" s="26">
        <f>(($Q35*1.1)*$AF35*'MRV Calcs'!$E$7)+($AF35*'MRV Calcs'!$E$8)</f>
        <v>0.8267640329</v>
      </c>
      <c r="AH35" s="26">
        <f>(($Q35*1.1)/20)*SUM('MRV Calcs'!$E$19:$E$20)</f>
        <v>0.1146816</v>
      </c>
      <c r="AI35" s="26">
        <f t="shared" si="3"/>
        <v>31.34796939</v>
      </c>
      <c r="AJ35" s="26">
        <f t="shared" si="4"/>
        <v>84.74686372</v>
      </c>
      <c r="AK35" s="25">
        <f t="shared" si="7"/>
        <v>418.3520002</v>
      </c>
      <c r="AL35" s="28">
        <f t="shared" si="5"/>
        <v>1.040477148</v>
      </c>
      <c r="AM35" s="35"/>
      <c r="AN35" s="29">
        <f>COUNTIF(Blends!H$4:H$1007,B35)+COUNTIF(Blends!J$4:J$1007,B35)+COUNTIF(#REF!,B35)</f>
        <v>6</v>
      </c>
      <c r="AO35" s="30" t="str">
        <f t="shared" si="6"/>
        <v>063-65T2R6</v>
      </c>
      <c r="AP35" s="38" t="s">
        <v>183</v>
      </c>
      <c r="AQ35" s="32" t="str">
        <f>IFERROR(__xludf.DUMMYFUNCTION("AP35.url"),"https://drive.google.com/drive/folders/17w-3YR6ZBPNIIBji7MOKDdpGShbkVgQ_?usp=drive_link")</f>
        <v>https://drive.google.com/drive/folders/17w-3YR6ZBPNIIBji7MOKDdpGShbkVgQ_?usp=drive_link</v>
      </c>
      <c r="AR35" s="35"/>
      <c r="AS35" s="35"/>
      <c r="AT35" s="35"/>
      <c r="AU35" s="35"/>
      <c r="AV35" s="35"/>
      <c r="AW35" s="35"/>
    </row>
    <row r="36">
      <c r="A36" s="17">
        <v>35.0</v>
      </c>
      <c r="B36" s="18" t="s">
        <v>184</v>
      </c>
      <c r="C36" s="17"/>
      <c r="D36" s="18" t="s">
        <v>185</v>
      </c>
      <c r="E36" s="17"/>
      <c r="F36" s="17" t="s">
        <v>78</v>
      </c>
      <c r="G36" s="17" t="b">
        <v>1</v>
      </c>
      <c r="H36" s="17" t="s">
        <v>80</v>
      </c>
      <c r="I36" s="17" t="s">
        <v>105</v>
      </c>
      <c r="J36" s="40"/>
      <c r="K36" s="19" t="s">
        <v>177</v>
      </c>
      <c r="L36" s="40" t="s">
        <v>186</v>
      </c>
      <c r="M36" s="20"/>
      <c r="N36" s="20">
        <v>45491.0</v>
      </c>
      <c r="O36" s="20">
        <v>45551.0</v>
      </c>
      <c r="P36" s="20"/>
      <c r="Q36" s="22">
        <f>27.16+27.2+27.3</f>
        <v>81.66</v>
      </c>
      <c r="R36" s="22"/>
      <c r="S36" s="23" t="str">
        <f>iferror(if(AN36=1,VLOOKUP(B36, Blends!H$4:AK$1004,32,0), ""), "")</f>
        <v/>
      </c>
      <c r="T36" s="24">
        <v>0.3907</v>
      </c>
      <c r="U36" s="25">
        <f t="shared" si="1"/>
        <v>116.9028202</v>
      </c>
      <c r="V36" s="26">
        <f>$Q36*('MRV Calcs'!$E$3+'MRV Calcs'!$E$4)</f>
        <v>12.08093862</v>
      </c>
      <c r="W36" s="27">
        <f t="shared" si="2"/>
        <v>2030</v>
      </c>
      <c r="X36" s="26">
        <f>IF($I36="truck",($Q36*$W36*'MRV Calcs'!$E$7)+($W36*'MRV Calcs'!$E$8),0)</f>
        <v>0</v>
      </c>
      <c r="Y36" s="26">
        <f>IF($I36="train",'MRV Calcs'!$E$24,0)</f>
        <v>107.497</v>
      </c>
      <c r="Z36" s="26">
        <f>IF($I36="train",($Q36*$Y36*'MRV Calcs'!$E$7)+($Y36*'MRV Calcs'!$E$8),0)</f>
        <v>1.138419606</v>
      </c>
      <c r="AA36" s="26">
        <f>IF($I36="train",'MRV Calcs'!$E$25,0)</f>
        <v>2087</v>
      </c>
      <c r="AB36" s="26">
        <f>IF($I36="train",($Q36*$AA36*'MRV Calcs'!$E$11)+($AA36*'MRV Calcs'!$E$12),0)</f>
        <v>4.558668211</v>
      </c>
      <c r="AC36" s="26">
        <f>IF($I36="train",'MRV Calcs'!$E$26,0)</f>
        <v>32.6</v>
      </c>
      <c r="AD36" s="26">
        <f>IF($I36="train",($Q36*$AC36*'MRV Calcs'!$E$7)+($AC36*'MRV Calcs'!$E$8),0)</f>
        <v>0.3452419988</v>
      </c>
      <c r="AE36" s="26">
        <f>($Q36/30)*SUM('MRV Calcs'!$E$15:$E$16)</f>
        <v>12.36132605</v>
      </c>
      <c r="AF36" s="26">
        <f>'MRV Calcs'!$E$27</f>
        <v>71.2</v>
      </c>
      <c r="AG36" s="26">
        <f>(($Q36*1.1)*$AF36*'MRV Calcs'!$E$7)+($AF36*'MRV Calcs'!$E$8)</f>
        <v>0.8288815639</v>
      </c>
      <c r="AH36" s="26">
        <f>(($Q36*1.1)/20)*SUM('MRV Calcs'!$E$19:$E$20)</f>
        <v>0.11497728</v>
      </c>
      <c r="AI36" s="26">
        <f t="shared" si="3"/>
        <v>31.42845333</v>
      </c>
      <c r="AJ36" s="26">
        <f t="shared" si="4"/>
        <v>85.47436689</v>
      </c>
      <c r="AK36" s="25">
        <f t="shared" si="7"/>
        <v>503.8263671</v>
      </c>
      <c r="AL36" s="28">
        <f t="shared" si="5"/>
        <v>1.046710346</v>
      </c>
      <c r="AM36" s="35"/>
      <c r="AN36" s="29">
        <f>COUNTIF(Blends!H$4:H$1007,B36)+COUNTIF(Blends!J$4:J$1007,B36)+COUNTIF(#REF!,B36)</f>
        <v>3</v>
      </c>
      <c r="AO36" s="30" t="str">
        <f t="shared" si="6"/>
        <v>066-68T2R6</v>
      </c>
      <c r="AP36" s="38" t="s">
        <v>187</v>
      </c>
      <c r="AQ36" s="32" t="str">
        <f>IFERROR(__xludf.DUMMYFUNCTION("AP36.url"),"https://drive.google.com/drive/folders/18DvSrD2-auzpulJQ-JdiCIwl846b_5nh?usp=drive_link")</f>
        <v>https://drive.google.com/drive/folders/18DvSrD2-auzpulJQ-JdiCIwl846b_5nh?usp=drive_link</v>
      </c>
      <c r="AR36" s="35"/>
      <c r="AS36" s="35"/>
      <c r="AT36" s="35"/>
      <c r="AU36" s="35"/>
      <c r="AV36" s="35"/>
      <c r="AW36" s="35"/>
    </row>
    <row r="37">
      <c r="A37" s="17">
        <v>36.0</v>
      </c>
      <c r="B37" s="17" t="s">
        <v>188</v>
      </c>
      <c r="C37" s="47" t="s">
        <v>189</v>
      </c>
      <c r="D37" s="18" t="s">
        <v>190</v>
      </c>
      <c r="E37" s="17"/>
      <c r="F37" s="17" t="s">
        <v>78</v>
      </c>
      <c r="G37" s="17" t="b">
        <v>1</v>
      </c>
      <c r="H37" s="17" t="s">
        <v>80</v>
      </c>
      <c r="I37" s="17" t="s">
        <v>105</v>
      </c>
      <c r="J37" s="40"/>
      <c r="K37" s="19" t="s">
        <v>177</v>
      </c>
      <c r="L37" s="40" t="s">
        <v>191</v>
      </c>
      <c r="M37" s="20"/>
      <c r="N37" s="20">
        <v>45499.0</v>
      </c>
      <c r="O37" s="20">
        <v>45561.0</v>
      </c>
      <c r="P37" s="20"/>
      <c r="Q37" s="22">
        <f>27.27+26.31+27.15</f>
        <v>80.73</v>
      </c>
      <c r="R37" s="22"/>
      <c r="S37" s="23" t="str">
        <f>iferror(if(AN37=1,VLOOKUP(B37, Blends!H$4:AK$1004,32,0), ""), "")</f>
        <v/>
      </c>
      <c r="T37" s="24"/>
      <c r="U37" s="25">
        <f t="shared" si="1"/>
        <v>0</v>
      </c>
      <c r="V37" s="26">
        <f>$Q37*('MRV Calcs'!$E$3+'MRV Calcs'!$E$4)</f>
        <v>11.94335262</v>
      </c>
      <c r="W37" s="27">
        <f t="shared" si="2"/>
        <v>2030</v>
      </c>
      <c r="X37" s="26">
        <f>IF($I37="truck",($Q37*$W37*'MRV Calcs'!$E$7)+($W37*'MRV Calcs'!$E$8),0)</f>
        <v>0</v>
      </c>
      <c r="Y37" s="26">
        <f>IF($I37="train",'MRV Calcs'!$E$24,0)</f>
        <v>107.497</v>
      </c>
      <c r="Z37" s="26">
        <f>IF($I37="train",($Q37*$Y37*'MRV Calcs'!$E$7)+($Y37*'MRV Calcs'!$E$8),0)</f>
        <v>1.125548464</v>
      </c>
      <c r="AA37" s="26">
        <f>IF($I37="train",'MRV Calcs'!$E$25,0)</f>
        <v>2087</v>
      </c>
      <c r="AB37" s="26">
        <f>IF($I37="train",($Q37*$AA37*'MRV Calcs'!$E$11)+($AA37*'MRV Calcs'!$E$12),0)</f>
        <v>4.508066149</v>
      </c>
      <c r="AC37" s="26">
        <f>IF($I37="train",'MRV Calcs'!$E$26,0)</f>
        <v>32.6</v>
      </c>
      <c r="AD37" s="26">
        <f>IF($I37="train",($Q37*$AC37*'MRV Calcs'!$E$7)+($AC37*'MRV Calcs'!$E$8),0)</f>
        <v>0.3413386412</v>
      </c>
      <c r="AE37" s="26">
        <f>($Q37/30)*SUM('MRV Calcs'!$E$15:$E$16)</f>
        <v>12.22054681</v>
      </c>
      <c r="AF37" s="26">
        <f>'MRV Calcs'!$E$27</f>
        <v>71.2</v>
      </c>
      <c r="AG37" s="26">
        <f>(($Q37*1.1)*$AF37*'MRV Calcs'!$E$7)+($AF37*'MRV Calcs'!$E$8)</f>
        <v>0.8195039268</v>
      </c>
      <c r="AH37" s="26">
        <f>(($Q37*1.1)/20)*SUM('MRV Calcs'!$E$19:$E$20)</f>
        <v>0.11366784</v>
      </c>
      <c r="AI37" s="26">
        <f t="shared" si="3"/>
        <v>31.07202444</v>
      </c>
      <c r="AJ37" s="26">
        <f t="shared" si="4"/>
        <v>-31.07202444</v>
      </c>
      <c r="AK37" s="25">
        <f t="shared" si="7"/>
        <v>472.7543426</v>
      </c>
      <c r="AL37" s="28">
        <f t="shared" si="5"/>
        <v>-0.3848882007</v>
      </c>
      <c r="AM37" s="35"/>
      <c r="AN37" s="29">
        <f>COUNTIF(Blends!H$4:H$1007,B37)+COUNTIF(Blends!J$4:J$1007,B37)+COUNTIF(#REF!,B37)</f>
        <v>0</v>
      </c>
      <c r="AO37" s="48" t="str">
        <f t="shared" si="6"/>
        <v>JulyRAIL1-3</v>
      </c>
      <c r="AP37" s="35"/>
      <c r="AQ37" s="35"/>
      <c r="AR37" s="35"/>
      <c r="AS37" s="35"/>
      <c r="AT37" s="35"/>
      <c r="AU37" s="35"/>
      <c r="AV37" s="35"/>
      <c r="AW37" s="35"/>
    </row>
    <row r="38">
      <c r="A38" s="17">
        <v>37.0</v>
      </c>
      <c r="B38" s="17" t="s">
        <v>192</v>
      </c>
      <c r="C38" s="47" t="s">
        <v>193</v>
      </c>
      <c r="D38" s="18" t="s">
        <v>194</v>
      </c>
      <c r="E38" s="17"/>
      <c r="F38" s="17" t="s">
        <v>78</v>
      </c>
      <c r="G38" s="17" t="b">
        <v>1</v>
      </c>
      <c r="H38" s="17" t="s">
        <v>80</v>
      </c>
      <c r="I38" s="17" t="s">
        <v>105</v>
      </c>
      <c r="J38" s="19"/>
      <c r="K38" s="19" t="s">
        <v>177</v>
      </c>
      <c r="L38" s="19" t="s">
        <v>195</v>
      </c>
      <c r="M38" s="20"/>
      <c r="N38" s="20">
        <v>45514.0</v>
      </c>
      <c r="O38" s="20">
        <v>45572.0</v>
      </c>
      <c r="P38" s="20"/>
      <c r="Q38" s="22">
        <f>26.46+27.13+26.42</f>
        <v>80.01</v>
      </c>
      <c r="R38" s="22"/>
      <c r="S38" s="23" t="str">
        <f>iferror(if(AN38=1,VLOOKUP(B38, Blends!H$4:AK$1004,32,0), ""), "")</f>
        <v/>
      </c>
      <c r="T38" s="24"/>
      <c r="U38" s="25">
        <f t="shared" si="1"/>
        <v>0</v>
      </c>
      <c r="V38" s="26">
        <f>$Q38*('MRV Calcs'!$E$3+'MRV Calcs'!$E$4)</f>
        <v>11.83683442</v>
      </c>
      <c r="W38" s="27">
        <f t="shared" si="2"/>
        <v>2030</v>
      </c>
      <c r="X38" s="26">
        <f>IF($I38="truck",($Q38*$W38*'MRV Calcs'!$E$7)+($W38*'MRV Calcs'!$E$8),0)</f>
        <v>0</v>
      </c>
      <c r="Y38" s="26">
        <f>IF($I38="train",'MRV Calcs'!$E$24,0)</f>
        <v>107.497</v>
      </c>
      <c r="Z38" s="26">
        <f>IF($I38="train",($Q38*$Y38*'MRV Calcs'!$E$7)+($Y38*'MRV Calcs'!$E$8),0)</f>
        <v>1.115583708</v>
      </c>
      <c r="AA38" s="26">
        <f>IF($I38="train",'MRV Calcs'!$E$25,0)</f>
        <v>2087</v>
      </c>
      <c r="AB38" s="26">
        <f>IF($I38="train",($Q38*$AA38*'MRV Calcs'!$E$11)+($AA38*'MRV Calcs'!$E$12),0)</f>
        <v>4.468890359</v>
      </c>
      <c r="AC38" s="26">
        <f>IF($I38="train",'MRV Calcs'!$E$26,0)</f>
        <v>32.6</v>
      </c>
      <c r="AD38" s="26">
        <f>IF($I38="train",($Q38*$AC38*'MRV Calcs'!$E$7)+($AC38*'MRV Calcs'!$E$8),0)</f>
        <v>0.3383166869</v>
      </c>
      <c r="AE38" s="26">
        <f>($Q38/30)*SUM('MRV Calcs'!$E$15:$E$16)</f>
        <v>12.11155642</v>
      </c>
      <c r="AF38" s="26">
        <f>'MRV Calcs'!$E$27</f>
        <v>71.2</v>
      </c>
      <c r="AG38" s="26">
        <f>(($Q38*1.1)*$AF38*'MRV Calcs'!$E$7)+($AF38*'MRV Calcs'!$E$8)</f>
        <v>0.8122438207</v>
      </c>
      <c r="AH38" s="26">
        <f>(($Q38*1.1)/20)*SUM('MRV Calcs'!$E$19:$E$20)</f>
        <v>0.11265408</v>
      </c>
      <c r="AI38" s="26">
        <f t="shared" si="3"/>
        <v>30.7960795</v>
      </c>
      <c r="AJ38" s="26">
        <f t="shared" si="4"/>
        <v>-30.7960795</v>
      </c>
      <c r="AK38" s="25">
        <f t="shared" si="7"/>
        <v>441.9582631</v>
      </c>
      <c r="AL38" s="28">
        <f t="shared" si="5"/>
        <v>-0.3849028809</v>
      </c>
      <c r="AM38" s="35"/>
      <c r="AN38" s="29">
        <f>COUNTIF(Blends!H$4:H$1007,B38)+COUNTIF(Blends!J$4:J$1007,B38)+COUNTIF(#REF!,B38)</f>
        <v>0</v>
      </c>
      <c r="AO38" s="48" t="str">
        <f t="shared" si="6"/>
        <v>JulyRAIL4-6</v>
      </c>
      <c r="AP38" s="35"/>
      <c r="AQ38" s="35"/>
      <c r="AR38" s="35"/>
      <c r="AS38" s="35"/>
      <c r="AT38" s="35"/>
      <c r="AU38" s="35"/>
      <c r="AV38" s="35"/>
      <c r="AW38" s="35"/>
    </row>
    <row r="39">
      <c r="A39" s="17">
        <v>38.0</v>
      </c>
      <c r="B39" s="17" t="s">
        <v>196</v>
      </c>
      <c r="C39" s="47" t="s">
        <v>197</v>
      </c>
      <c r="D39" s="18" t="s">
        <v>198</v>
      </c>
      <c r="E39" s="17"/>
      <c r="F39" s="17" t="s">
        <v>78</v>
      </c>
      <c r="G39" s="17" t="b">
        <v>1</v>
      </c>
      <c r="H39" s="17" t="s">
        <v>80</v>
      </c>
      <c r="I39" s="17" t="s">
        <v>105</v>
      </c>
      <c r="J39" s="40"/>
      <c r="K39" s="19" t="s">
        <v>177</v>
      </c>
      <c r="L39" s="40" t="s">
        <v>199</v>
      </c>
      <c r="M39" s="20"/>
      <c r="N39" s="20">
        <v>45498.0</v>
      </c>
      <c r="O39" s="20">
        <v>45565.0</v>
      </c>
      <c r="P39" s="20"/>
      <c r="Q39" s="22">
        <f>26.12+26.45+26.17</f>
        <v>78.74</v>
      </c>
      <c r="R39" s="22"/>
      <c r="S39" s="23" t="str">
        <f>iferror(if(AN39=1,VLOOKUP(B39, Blends!H$4:AK$1004,32,0), ""), "")</f>
        <v/>
      </c>
      <c r="T39" s="24"/>
      <c r="U39" s="25">
        <f t="shared" si="1"/>
        <v>0</v>
      </c>
      <c r="V39" s="26">
        <f>$Q39*('MRV Calcs'!$E$3+'MRV Calcs'!$E$4)</f>
        <v>11.64894816</v>
      </c>
      <c r="W39" s="27">
        <f t="shared" si="2"/>
        <v>2030</v>
      </c>
      <c r="X39" s="26">
        <f>IF($I39="truck",($Q39*$W39*'MRV Calcs'!$E$7)+($W39*'MRV Calcs'!$E$8),0)</f>
        <v>0</v>
      </c>
      <c r="Y39" s="26">
        <f>IF($I39="train",'MRV Calcs'!$E$24,0)</f>
        <v>107.497</v>
      </c>
      <c r="Z39" s="26">
        <f>IF($I39="train",($Q39*$Y39*'MRV Calcs'!$E$7)+($Y39*'MRV Calcs'!$E$8),0)</f>
        <v>1.098006988</v>
      </c>
      <c r="AA39" s="26">
        <f>IF($I39="train",'MRV Calcs'!$E$25,0)</f>
        <v>2087</v>
      </c>
      <c r="AB39" s="26">
        <f>IF($I39="train",($Q39*$AA39*'MRV Calcs'!$E$11)+($AA39*'MRV Calcs'!$E$12),0)</f>
        <v>4.399788617</v>
      </c>
      <c r="AC39" s="26">
        <f>IF($I39="train",'MRV Calcs'!$E$26,0)</f>
        <v>32.6</v>
      </c>
      <c r="AD39" s="26">
        <f>IF($I39="train",($Q39*$AC39*'MRV Calcs'!$E$7)+($AC39*'MRV Calcs'!$E$8),0)</f>
        <v>0.3329862954</v>
      </c>
      <c r="AE39" s="26">
        <f>($Q39/30)*SUM('MRV Calcs'!$E$15:$E$16)</f>
        <v>11.91930949</v>
      </c>
      <c r="AF39" s="26">
        <f>'MRV Calcs'!$E$27</f>
        <v>71.2</v>
      </c>
      <c r="AG39" s="26">
        <f>(($Q39*1.1)*$AF39*'MRV Calcs'!$E$7)+($AF39*'MRV Calcs'!$E$8)</f>
        <v>0.7994378002</v>
      </c>
      <c r="AH39" s="26">
        <f>(($Q39*1.1)/20)*SUM('MRV Calcs'!$E$19:$E$20)</f>
        <v>0.11086592</v>
      </c>
      <c r="AI39" s="26">
        <f t="shared" si="3"/>
        <v>30.30934328</v>
      </c>
      <c r="AJ39" s="26">
        <f t="shared" si="4"/>
        <v>-30.30934328</v>
      </c>
      <c r="AK39" s="25">
        <f t="shared" si="7"/>
        <v>411.6489198</v>
      </c>
      <c r="AL39" s="28">
        <f t="shared" si="5"/>
        <v>-0.3849294295</v>
      </c>
      <c r="AM39" s="35"/>
      <c r="AN39" s="29">
        <f>COUNTIF(Blends!H$4:H$1007,B39)+COUNTIF(Blends!J$4:J$1007,B39)+COUNTIF(#REF!,B39)</f>
        <v>0</v>
      </c>
      <c r="AO39" s="48" t="str">
        <f t="shared" si="6"/>
        <v>JulyRAIL7-9</v>
      </c>
      <c r="AP39" s="35"/>
      <c r="AQ39" s="35"/>
      <c r="AR39" s="35"/>
      <c r="AS39" s="35"/>
      <c r="AT39" s="35"/>
      <c r="AU39" s="35"/>
      <c r="AV39" s="35"/>
      <c r="AW39" s="35"/>
    </row>
    <row r="40">
      <c r="A40" s="17">
        <v>39.0</v>
      </c>
      <c r="B40" s="17" t="s">
        <v>200</v>
      </c>
      <c r="C40" s="18" t="s">
        <v>201</v>
      </c>
      <c r="D40" s="18" t="s">
        <v>202</v>
      </c>
      <c r="E40" s="17"/>
      <c r="F40" s="17" t="s">
        <v>78</v>
      </c>
      <c r="G40" s="17" t="b">
        <v>1</v>
      </c>
      <c r="H40" s="17" t="s">
        <v>80</v>
      </c>
      <c r="I40" s="17" t="s">
        <v>105</v>
      </c>
      <c r="J40" s="40"/>
      <c r="K40" s="19" t="s">
        <v>177</v>
      </c>
      <c r="L40" s="40" t="s">
        <v>203</v>
      </c>
      <c r="M40" s="20"/>
      <c r="N40" s="20">
        <v>45551.0</v>
      </c>
      <c r="O40" s="20">
        <v>45583.0</v>
      </c>
      <c r="P40" s="20"/>
      <c r="Q40" s="22">
        <f>26.66+26.36+26.71</f>
        <v>79.73</v>
      </c>
      <c r="R40" s="22"/>
      <c r="S40" s="23" t="str">
        <f>iferror(if(AN40=1,VLOOKUP(B40, Blends!H$4:AK$1004,32,0), ""), "")</f>
        <v/>
      </c>
      <c r="T40" s="24"/>
      <c r="U40" s="25">
        <f t="shared" si="1"/>
        <v>0</v>
      </c>
      <c r="V40" s="26">
        <f>$Q40*('MRV Calcs'!$E$3+'MRV Calcs'!$E$4)</f>
        <v>11.79541068</v>
      </c>
      <c r="W40" s="27">
        <f t="shared" si="2"/>
        <v>2030</v>
      </c>
      <c r="X40" s="26">
        <f>IF($I40="truck",($Q40*$W40*'MRV Calcs'!$E$7)+($W40*'MRV Calcs'!$E$8),0)</f>
        <v>0</v>
      </c>
      <c r="Y40" s="26">
        <f>IF($I40="train",'MRV Calcs'!$E$24,0)</f>
        <v>107.497</v>
      </c>
      <c r="Z40" s="26">
        <f>IF($I40="train",($Q40*$Y40*'MRV Calcs'!$E$7)+($Y40*'MRV Calcs'!$E$8),0)</f>
        <v>1.111708526</v>
      </c>
      <c r="AA40" s="26">
        <f>IF($I40="train",'MRV Calcs'!$E$25,0)</f>
        <v>2087</v>
      </c>
      <c r="AB40" s="26">
        <f>IF($I40="train",($Q40*$AA40*'MRV Calcs'!$E$11)+($AA40*'MRV Calcs'!$E$12),0)</f>
        <v>4.453655329</v>
      </c>
      <c r="AC40" s="26">
        <f>IF($I40="train",'MRV Calcs'!$E$26,0)</f>
        <v>32.6</v>
      </c>
      <c r="AD40" s="26">
        <f>IF($I40="train",($Q40*$AC40*'MRV Calcs'!$E$7)+($AC40*'MRV Calcs'!$E$8),0)</f>
        <v>0.3371414825</v>
      </c>
      <c r="AE40" s="26">
        <f>($Q40/30)*SUM('MRV Calcs'!$E$15:$E$16)</f>
        <v>12.06917127</v>
      </c>
      <c r="AF40" s="26">
        <f>'MRV Calcs'!$E$27</f>
        <v>71.2</v>
      </c>
      <c r="AG40" s="26">
        <f>(($Q40*1.1)*$AF40*'MRV Calcs'!$E$7)+($AF40*'MRV Calcs'!$E$8)</f>
        <v>0.8094204461</v>
      </c>
      <c r="AH40" s="26">
        <f>(($Q40*1.1)/20)*SUM('MRV Calcs'!$E$19:$E$20)</f>
        <v>0.11225984</v>
      </c>
      <c r="AI40" s="26">
        <f t="shared" si="3"/>
        <v>30.68876758</v>
      </c>
      <c r="AJ40" s="26">
        <f t="shared" si="4"/>
        <v>-30.68876758</v>
      </c>
      <c r="AK40" s="25">
        <f t="shared" si="7"/>
        <v>380.9601523</v>
      </c>
      <c r="AL40" s="28">
        <f t="shared" si="5"/>
        <v>-0.3849086614</v>
      </c>
      <c r="AM40" s="35"/>
      <c r="AN40" s="29">
        <f>COUNTIF(Blends!H$4:H$1007,B40)+COUNTIF(Blends!J$4:J$1007,B40)+COUNTIF(#REF!,B40)</f>
        <v>0</v>
      </c>
      <c r="AO40" s="48" t="str">
        <f t="shared" si="6"/>
        <v>JulyRAIL 2 1-3</v>
      </c>
      <c r="AP40" s="35"/>
      <c r="AQ40" s="35"/>
      <c r="AR40" s="35"/>
      <c r="AS40" s="35"/>
      <c r="AT40" s="35"/>
      <c r="AU40" s="35"/>
      <c r="AV40" s="35"/>
      <c r="AW40" s="35"/>
    </row>
    <row r="41">
      <c r="A41" s="17">
        <v>40.0</v>
      </c>
      <c r="B41" s="17" t="s">
        <v>204</v>
      </c>
      <c r="C41" s="18" t="s">
        <v>205</v>
      </c>
      <c r="D41" s="18" t="s">
        <v>206</v>
      </c>
      <c r="E41" s="17"/>
      <c r="F41" s="17" t="s">
        <v>78</v>
      </c>
      <c r="G41" s="17" t="b">
        <v>1</v>
      </c>
      <c r="H41" s="17" t="s">
        <v>80</v>
      </c>
      <c r="I41" s="17" t="s">
        <v>105</v>
      </c>
      <c r="J41" s="40"/>
      <c r="K41" s="19" t="s">
        <v>177</v>
      </c>
      <c r="L41" s="40" t="s">
        <v>207</v>
      </c>
      <c r="M41" s="20"/>
      <c r="N41" s="20">
        <v>45551.0</v>
      </c>
      <c r="O41" s="20">
        <v>45587.0</v>
      </c>
      <c r="P41" s="20"/>
      <c r="Q41" s="22">
        <f>26.38+26.76+26.77</f>
        <v>79.91</v>
      </c>
      <c r="R41" s="22"/>
      <c r="S41" s="23" t="str">
        <f>iferror(if(AN41=1,VLOOKUP(B41, Blends!H$4:AK$1004,32,0), ""), "")</f>
        <v/>
      </c>
      <c r="T41" s="24"/>
      <c r="U41" s="25">
        <f t="shared" si="1"/>
        <v>0</v>
      </c>
      <c r="V41" s="26">
        <f>$Q41*('MRV Calcs'!$E$3+'MRV Calcs'!$E$4)</f>
        <v>11.82204023</v>
      </c>
      <c r="W41" s="27">
        <f t="shared" si="2"/>
        <v>2030</v>
      </c>
      <c r="X41" s="26">
        <f>IF($I41="truck",($Q41*$W41*'MRV Calcs'!$E$7)+($W41*'MRV Calcs'!$E$8),0)</f>
        <v>0</v>
      </c>
      <c r="Y41" s="26">
        <f>IF($I41="train",'MRV Calcs'!$E$24,0)</f>
        <v>107.497</v>
      </c>
      <c r="Z41" s="26">
        <f>IF($I41="train",($Q41*$Y41*'MRV Calcs'!$E$7)+($Y41*'MRV Calcs'!$E$8),0)</f>
        <v>1.114199715</v>
      </c>
      <c r="AA41" s="26">
        <f>IF($I41="train",'MRV Calcs'!$E$25,0)</f>
        <v>2087</v>
      </c>
      <c r="AB41" s="26">
        <f>IF($I41="train",($Q41*$AA41*'MRV Calcs'!$E$11)+($AA41*'MRV Calcs'!$E$12),0)</f>
        <v>4.463449277</v>
      </c>
      <c r="AC41" s="26">
        <f>IF($I41="train",'MRV Calcs'!$E$26,0)</f>
        <v>32.6</v>
      </c>
      <c r="AD41" s="26">
        <f>IF($I41="train",($Q41*$AC41*'MRV Calcs'!$E$7)+($AC41*'MRV Calcs'!$E$8),0)</f>
        <v>0.3378969711</v>
      </c>
      <c r="AE41" s="26">
        <f>($Q41/30)*SUM('MRV Calcs'!$E$15:$E$16)</f>
        <v>12.09641887</v>
      </c>
      <c r="AF41" s="26">
        <f>'MRV Calcs'!$E$27</f>
        <v>71.2</v>
      </c>
      <c r="AG41" s="26">
        <f>(($Q41*1.1)*$AF41*'MRV Calcs'!$E$7)+($AF41*'MRV Calcs'!$E$8)</f>
        <v>0.8112354726</v>
      </c>
      <c r="AH41" s="26">
        <f>(($Q41*1.1)/20)*SUM('MRV Calcs'!$E$19:$E$20)</f>
        <v>0.11251328</v>
      </c>
      <c r="AI41" s="26">
        <f t="shared" si="3"/>
        <v>30.75775381</v>
      </c>
      <c r="AJ41" s="26">
        <f t="shared" si="4"/>
        <v>-30.75775381</v>
      </c>
      <c r="AK41" s="25">
        <f t="shared" si="7"/>
        <v>350.2023985</v>
      </c>
      <c r="AL41" s="28">
        <f t="shared" si="5"/>
        <v>-0.3849049407</v>
      </c>
      <c r="AM41" s="35"/>
      <c r="AN41" s="29">
        <f>COUNTIF(Blends!H$4:H$1007,B41)+COUNTIF(Blends!J$4:J$1007,B41)+COUNTIF(#REF!,B41)</f>
        <v>0</v>
      </c>
      <c r="AO41" s="48" t="str">
        <f t="shared" si="6"/>
        <v>August2024Rail1-3</v>
      </c>
      <c r="AP41" s="35"/>
      <c r="AQ41" s="35"/>
      <c r="AR41" s="35"/>
      <c r="AS41" s="35"/>
      <c r="AT41" s="35"/>
      <c r="AU41" s="35"/>
      <c r="AV41" s="35"/>
      <c r="AW41" s="35"/>
    </row>
    <row r="42">
      <c r="A42" s="17">
        <v>41.0</v>
      </c>
      <c r="B42" s="17" t="s">
        <v>208</v>
      </c>
      <c r="C42" s="18" t="s">
        <v>209</v>
      </c>
      <c r="D42" s="18" t="s">
        <v>210</v>
      </c>
      <c r="E42" s="17"/>
      <c r="F42" s="17" t="s">
        <v>78</v>
      </c>
      <c r="G42" s="17" t="b">
        <v>1</v>
      </c>
      <c r="H42" s="17" t="s">
        <v>80</v>
      </c>
      <c r="I42" s="17" t="s">
        <v>105</v>
      </c>
      <c r="J42" s="19"/>
      <c r="K42" s="19" t="s">
        <v>177</v>
      </c>
      <c r="L42" s="19" t="s">
        <v>211</v>
      </c>
      <c r="M42" s="49"/>
      <c r="N42" s="20">
        <v>45562.0</v>
      </c>
      <c r="O42" s="49">
        <f t="shared" ref="O42:O44" si="11">N42+24</f>
        <v>45586</v>
      </c>
      <c r="P42" s="49"/>
      <c r="Q42" s="22">
        <f>26.63+26.67+26.66</f>
        <v>79.96</v>
      </c>
      <c r="R42" s="22"/>
      <c r="S42" s="23" t="str">
        <f>iferror(if(AN42=1,VLOOKUP(B42, Blends!H$4:AK$1004,32,0), ""), "")</f>
        <v/>
      </c>
      <c r="T42" s="24"/>
      <c r="U42" s="25">
        <f t="shared" si="1"/>
        <v>0</v>
      </c>
      <c r="V42" s="26">
        <f>$Q42*('MRV Calcs'!$E$3+'MRV Calcs'!$E$4)</f>
        <v>11.82943732</v>
      </c>
      <c r="W42" s="27">
        <f t="shared" si="2"/>
        <v>2030</v>
      </c>
      <c r="X42" s="26">
        <f>IF($I42="truck",($Q42*$W42*'MRV Calcs'!$E$7)+($W42*'MRV Calcs'!$E$8),0)</f>
        <v>0</v>
      </c>
      <c r="Y42" s="26">
        <f>IF($I42="train",'MRV Calcs'!$E$24,0)</f>
        <v>107.497</v>
      </c>
      <c r="Z42" s="26">
        <f>IF($I42="train",($Q42*$Y42*'MRV Calcs'!$E$7)+($Y42*'MRV Calcs'!$E$8),0)</f>
        <v>1.114891712</v>
      </c>
      <c r="AA42" s="26">
        <f>IF($I42="train",'MRV Calcs'!$E$25,0)</f>
        <v>2087</v>
      </c>
      <c r="AB42" s="26">
        <f>IF($I42="train",($Q42*$AA42*'MRV Calcs'!$E$11)+($AA42*'MRV Calcs'!$E$12),0)</f>
        <v>4.466169818</v>
      </c>
      <c r="AC42" s="26">
        <f>IF($I42="train",'MRV Calcs'!$E$26,0)</f>
        <v>32.6</v>
      </c>
      <c r="AD42" s="26">
        <f>IF($I42="train",($Q42*$AC42*'MRV Calcs'!$E$7)+($AC42*'MRV Calcs'!$E$8),0)</f>
        <v>0.338106829</v>
      </c>
      <c r="AE42" s="26">
        <f>($Q42/30)*SUM('MRV Calcs'!$E$15:$E$16)</f>
        <v>12.10398765</v>
      </c>
      <c r="AF42" s="26">
        <f>'MRV Calcs'!$E$27</f>
        <v>71.2</v>
      </c>
      <c r="AG42" s="26">
        <f>(($Q42*1.1)*$AF42*'MRV Calcs'!$E$7)+($AF42*'MRV Calcs'!$E$8)</f>
        <v>0.8117396467</v>
      </c>
      <c r="AH42" s="26">
        <f>(($Q42*1.1)/20)*SUM('MRV Calcs'!$E$19:$E$20)</f>
        <v>0.11258368</v>
      </c>
      <c r="AI42" s="26">
        <f t="shared" si="3"/>
        <v>30.77691666</v>
      </c>
      <c r="AJ42" s="26">
        <f t="shared" si="4"/>
        <v>-30.77691666</v>
      </c>
      <c r="AK42" s="25">
        <f t="shared" si="7"/>
        <v>319.4254818</v>
      </c>
      <c r="AL42" s="28">
        <f t="shared" si="5"/>
        <v>-0.3849039101</v>
      </c>
      <c r="AM42" s="35"/>
      <c r="AN42" s="29">
        <f>COUNTIF(Blends!H$4:H$1007,B42)+COUNTIF(Blends!J$4:J$1007,B42)+COUNTIF(#REF!,B42)</f>
        <v>0</v>
      </c>
      <c r="AO42" s="48" t="str">
        <f t="shared" si="6"/>
        <v>August2024Rail4-6</v>
      </c>
      <c r="AP42" s="35"/>
      <c r="AQ42" s="35"/>
      <c r="AR42" s="35"/>
      <c r="AS42" s="35"/>
      <c r="AT42" s="35"/>
      <c r="AU42" s="35"/>
      <c r="AV42" s="35"/>
      <c r="AW42" s="35"/>
    </row>
    <row r="43">
      <c r="A43" s="17">
        <v>42.0</v>
      </c>
      <c r="B43" s="17" t="s">
        <v>212</v>
      </c>
      <c r="C43" s="18" t="s">
        <v>213</v>
      </c>
      <c r="D43" s="18" t="s">
        <v>214</v>
      </c>
      <c r="E43" s="17"/>
      <c r="F43" s="17" t="s">
        <v>78</v>
      </c>
      <c r="G43" s="17" t="b">
        <v>1</v>
      </c>
      <c r="H43" s="17" t="s">
        <v>80</v>
      </c>
      <c r="I43" s="17" t="s">
        <v>105</v>
      </c>
      <c r="J43" s="19"/>
      <c r="K43" s="19" t="s">
        <v>177</v>
      </c>
      <c r="L43" s="19" t="s">
        <v>123</v>
      </c>
      <c r="M43" s="49"/>
      <c r="N43" s="20">
        <v>45569.0</v>
      </c>
      <c r="O43" s="49">
        <f t="shared" si="11"/>
        <v>45593</v>
      </c>
      <c r="P43" s="49"/>
      <c r="Q43" s="22">
        <f>26.76+26.45+25.14</f>
        <v>78.35</v>
      </c>
      <c r="R43" s="22"/>
      <c r="S43" s="23" t="str">
        <f>iferror(if(AN43=1,VLOOKUP(B43, Blends!H$4:AK$1004,32,0), ""), "")</f>
        <v/>
      </c>
      <c r="T43" s="24"/>
      <c r="U43" s="25">
        <f t="shared" si="1"/>
        <v>0</v>
      </c>
      <c r="V43" s="26">
        <f>$Q43*('MRV Calcs'!$E$3+'MRV Calcs'!$E$4)</f>
        <v>11.59125081</v>
      </c>
      <c r="W43" s="27">
        <f t="shared" si="2"/>
        <v>2030</v>
      </c>
      <c r="X43" s="26">
        <f>IF($I43="truck",($Q43*$W43*'MRV Calcs'!$E$7)+($W43*'MRV Calcs'!$E$8),0)</f>
        <v>0</v>
      </c>
      <c r="Y43" s="26">
        <f>IF($I43="train",'MRV Calcs'!$E$24,0)</f>
        <v>107.497</v>
      </c>
      <c r="Z43" s="26">
        <f>IF($I43="train",($Q43*$Y43*'MRV Calcs'!$E$7)+($Y43*'MRV Calcs'!$E$8),0)</f>
        <v>1.092609412</v>
      </c>
      <c r="AA43" s="26">
        <f>IF($I43="train",'MRV Calcs'!$E$25,0)</f>
        <v>2087</v>
      </c>
      <c r="AB43" s="26">
        <f>IF($I43="train",($Q43*$AA43*'MRV Calcs'!$E$11)+($AA43*'MRV Calcs'!$E$12),0)</f>
        <v>4.378568398</v>
      </c>
      <c r="AC43" s="26">
        <f>IF($I43="train",'MRV Calcs'!$E$26,0)</f>
        <v>32.6</v>
      </c>
      <c r="AD43" s="26">
        <f>IF($I43="train",($Q43*$AC43*'MRV Calcs'!$E$7)+($AC43*'MRV Calcs'!$E$8),0)</f>
        <v>0.3313494035</v>
      </c>
      <c r="AE43" s="26">
        <f>($Q43/30)*SUM('MRV Calcs'!$E$15:$E$16)</f>
        <v>11.86027304</v>
      </c>
      <c r="AF43" s="26">
        <f>'MRV Calcs'!$E$27</f>
        <v>71.2</v>
      </c>
      <c r="AG43" s="26">
        <f>(($Q43*1.1)*$AF43*'MRV Calcs'!$E$7)+($AF43*'MRV Calcs'!$E$8)</f>
        <v>0.7955052427</v>
      </c>
      <c r="AH43" s="26">
        <f>(($Q43*1.1)/20)*SUM('MRV Calcs'!$E$19:$E$20)</f>
        <v>0.1103168</v>
      </c>
      <c r="AI43" s="26">
        <f t="shared" si="3"/>
        <v>30.1598731</v>
      </c>
      <c r="AJ43" s="26">
        <f t="shared" si="4"/>
        <v>-30.1598731</v>
      </c>
      <c r="AK43" s="25">
        <f t="shared" si="7"/>
        <v>289.2656087</v>
      </c>
      <c r="AL43" s="28">
        <f t="shared" si="5"/>
        <v>-0.3849377549</v>
      </c>
      <c r="AM43" s="35"/>
      <c r="AN43" s="29">
        <f>COUNTIF(Blends!H$4:H$1007,B43)+COUNTIF(Blends!J$4:J$1007,B43)+COUNTIF(#REF!,B43)</f>
        <v>0</v>
      </c>
      <c r="AO43" s="48" t="str">
        <f t="shared" si="6"/>
        <v>Oct2024Rail1-3</v>
      </c>
      <c r="AP43" s="35"/>
      <c r="AQ43" s="35"/>
      <c r="AR43" s="35"/>
      <c r="AS43" s="35"/>
      <c r="AT43" s="35"/>
      <c r="AU43" s="35"/>
      <c r="AV43" s="35"/>
      <c r="AW43" s="35"/>
    </row>
    <row r="44">
      <c r="A44" s="17">
        <v>43.0</v>
      </c>
      <c r="B44" s="17" t="s">
        <v>215</v>
      </c>
      <c r="C44" s="18" t="s">
        <v>216</v>
      </c>
      <c r="D44" s="18" t="s">
        <v>217</v>
      </c>
      <c r="E44" s="17"/>
      <c r="F44" s="17" t="s">
        <v>78</v>
      </c>
      <c r="G44" s="17" t="b">
        <v>1</v>
      </c>
      <c r="H44" s="17" t="s">
        <v>80</v>
      </c>
      <c r="I44" s="17" t="s">
        <v>105</v>
      </c>
      <c r="J44" s="19"/>
      <c r="K44" s="19" t="s">
        <v>177</v>
      </c>
      <c r="L44" s="19" t="s">
        <v>116</v>
      </c>
      <c r="M44" s="49"/>
      <c r="N44" s="20">
        <v>45575.0</v>
      </c>
      <c r="O44" s="49">
        <f t="shared" si="11"/>
        <v>45599</v>
      </c>
      <c r="P44" s="49"/>
      <c r="Q44" s="22">
        <f>26.74+26.16+26.67</f>
        <v>79.57</v>
      </c>
      <c r="R44" s="22"/>
      <c r="S44" s="23" t="str">
        <f>iferror(if(AN44=1,VLOOKUP(B44, Blends!H$4:AK$1004,32,0), ""), "")</f>
        <v/>
      </c>
      <c r="T44" s="24"/>
      <c r="U44" s="25">
        <f t="shared" si="1"/>
        <v>0</v>
      </c>
      <c r="V44" s="26">
        <f>$Q44*('MRV Calcs'!$E$3+'MRV Calcs'!$E$4)</f>
        <v>11.77173997</v>
      </c>
      <c r="W44" s="27">
        <f t="shared" si="2"/>
        <v>2030</v>
      </c>
      <c r="X44" s="26">
        <f>IF($I44="truck",($Q44*$W44*'MRV Calcs'!$E$7)+($W44*'MRV Calcs'!$E$8),0)</f>
        <v>0</v>
      </c>
      <c r="Y44" s="26">
        <f>IF($I44="train",'MRV Calcs'!$E$24,0)</f>
        <v>107.497</v>
      </c>
      <c r="Z44" s="26">
        <f>IF($I44="train",($Q44*$Y44*'MRV Calcs'!$E$7)+($Y44*'MRV Calcs'!$E$8),0)</f>
        <v>1.109494136</v>
      </c>
      <c r="AA44" s="26">
        <f>IF($I44="train",'MRV Calcs'!$E$25,0)</f>
        <v>2087</v>
      </c>
      <c r="AB44" s="26">
        <f>IF($I44="train",($Q44*$AA44*'MRV Calcs'!$E$11)+($AA44*'MRV Calcs'!$E$12),0)</f>
        <v>4.444949598</v>
      </c>
      <c r="AC44" s="26">
        <f>IF($I44="train",'MRV Calcs'!$E$26,0)</f>
        <v>32.6</v>
      </c>
      <c r="AD44" s="26">
        <f>IF($I44="train",($Q44*$AC44*'MRV Calcs'!$E$7)+($AC44*'MRV Calcs'!$E$8),0)</f>
        <v>0.3364699371</v>
      </c>
      <c r="AE44" s="26">
        <f>($Q44/30)*SUM('MRV Calcs'!$E$15:$E$16)</f>
        <v>12.04495119</v>
      </c>
      <c r="AF44" s="26">
        <f>'MRV Calcs'!$E$27</f>
        <v>71.2</v>
      </c>
      <c r="AG44" s="26">
        <f>(($Q44*1.1)*$AF44*'MRV Calcs'!$E$7)+($AF44*'MRV Calcs'!$E$8)</f>
        <v>0.8078070892</v>
      </c>
      <c r="AH44" s="26">
        <f>(($Q44*1.1)/20)*SUM('MRV Calcs'!$E$19:$E$20)</f>
        <v>0.11203456</v>
      </c>
      <c r="AI44" s="26">
        <f t="shared" si="3"/>
        <v>30.62744648</v>
      </c>
      <c r="AJ44" s="26">
        <f t="shared" si="4"/>
        <v>-30.62744648</v>
      </c>
      <c r="AK44" s="25">
        <f t="shared" si="7"/>
        <v>258.6381622</v>
      </c>
      <c r="AL44" s="28">
        <f t="shared" si="5"/>
        <v>-0.3849119829</v>
      </c>
      <c r="AM44" s="35"/>
      <c r="AN44" s="29">
        <f>COUNTIF(Blends!H$4:H$1007,B44)+COUNTIF(Blends!J$4:J$1007,B44)+COUNTIF(#REF!,B44)</f>
        <v>1</v>
      </c>
      <c r="AO44" s="48" t="str">
        <f t="shared" si="6"/>
        <v>Oct2024Rail4-6</v>
      </c>
      <c r="AP44" s="35"/>
      <c r="AQ44" s="35"/>
      <c r="AR44" s="35"/>
      <c r="AS44" s="35"/>
      <c r="AT44" s="35"/>
      <c r="AU44" s="35"/>
      <c r="AV44" s="35"/>
      <c r="AW44" s="35"/>
    </row>
    <row r="45">
      <c r="A45" s="17">
        <v>44.0</v>
      </c>
      <c r="B45" s="17" t="s">
        <v>218</v>
      </c>
      <c r="C45" s="50">
        <v>1711.0</v>
      </c>
      <c r="D45" s="50" t="s">
        <v>219</v>
      </c>
      <c r="E45" s="17"/>
      <c r="F45" s="17" t="s">
        <v>220</v>
      </c>
      <c r="G45" s="17" t="s">
        <v>79</v>
      </c>
      <c r="H45" s="17" t="s">
        <v>80</v>
      </c>
      <c r="I45" s="17" t="s">
        <v>81</v>
      </c>
      <c r="J45" s="19"/>
      <c r="K45" s="19" t="s">
        <v>82</v>
      </c>
      <c r="L45" s="19" t="s">
        <v>139</v>
      </c>
      <c r="M45" s="49"/>
      <c r="N45" s="20">
        <v>45590.0</v>
      </c>
      <c r="O45" s="20">
        <v>45594.0</v>
      </c>
      <c r="P45" s="20"/>
      <c r="Q45" s="22">
        <v>21.34</v>
      </c>
      <c r="R45" s="22"/>
      <c r="S45" s="23" t="str">
        <f>iferror(if(AN45=1,VLOOKUP(B45, Blends!H$4:AK$1004,32,0), ""), "")</f>
        <v/>
      </c>
      <c r="T45" s="24"/>
      <c r="U45" s="25">
        <f t="shared" si="1"/>
        <v>0</v>
      </c>
      <c r="V45" s="26">
        <f>$Q45*('MRV Calcs'!$E$3+'MRV Calcs'!$E$4)</f>
        <v>3.157080947</v>
      </c>
      <c r="W45" s="27">
        <f t="shared" si="2"/>
        <v>2030</v>
      </c>
      <c r="X45" s="26">
        <f>IF($I45="truck",($Q45*$W45*'MRV Calcs'!$E$7)+($W45*'MRV Calcs'!$E$8),0)</f>
        <v>5.733154946</v>
      </c>
      <c r="Y45" s="26">
        <f>IF($I45="train",'MRV Calcs'!$E$24,0)</f>
        <v>0</v>
      </c>
      <c r="Z45" s="26">
        <f>IF($I45="train",($Q45*$Y45*'MRV Calcs'!$E$7)+($Y45*'MRV Calcs'!$E$8),0)</f>
        <v>0</v>
      </c>
      <c r="AA45" s="26">
        <f>IF($I45="train",'MRV Calcs'!$E$25,0)</f>
        <v>0</v>
      </c>
      <c r="AB45" s="26">
        <f>IF($I45="train",($Q45*$AA45*'MRV Calcs'!$E$11)+($AA45*'MRV Calcs'!$E$12),0)</f>
        <v>0</v>
      </c>
      <c r="AC45" s="26">
        <f>IF($I45="train",'MRV Calcs'!$E$26,0)</f>
        <v>0</v>
      </c>
      <c r="AD45" s="26">
        <f>IF($I45="train",($Q45*$AC45*'MRV Calcs'!$E$7)+($AC45*'MRV Calcs'!$E$8),0)</f>
        <v>0</v>
      </c>
      <c r="AE45" s="26">
        <f>($Q45/30)*SUM('MRV Calcs'!$E$15:$E$16)</f>
        <v>3.230353881</v>
      </c>
      <c r="AF45" s="26">
        <f>'MRV Calcs'!$E$27</f>
        <v>71.2</v>
      </c>
      <c r="AG45" s="26">
        <f>(($Q45*1.1)*$AF45*'MRV Calcs'!$E$7)+($AF45*'MRV Calcs'!$E$8)</f>
        <v>0.2206460078</v>
      </c>
      <c r="AH45" s="26">
        <f>(($Q45*1.1)/20)*SUM('MRV Calcs'!$E$19:$E$20)</f>
        <v>0.03004672</v>
      </c>
      <c r="AI45" s="26">
        <f t="shared" si="3"/>
        <v>12.3712825</v>
      </c>
      <c r="AJ45" s="26">
        <f t="shared" si="4"/>
        <v>-12.3712825</v>
      </c>
      <c r="AK45" s="25">
        <f t="shared" si="7"/>
        <v>246.2668797</v>
      </c>
      <c r="AL45" s="28">
        <f t="shared" si="5"/>
        <v>-0.5797227039</v>
      </c>
      <c r="AM45" s="35"/>
      <c r="AN45" s="29">
        <f>COUNTIF(Blends!H$4:H$1007,B45)+COUNTIF(Blends!J$4:J$1007,B45)+COUNTIF(#REF!,B45)</f>
        <v>1</v>
      </c>
      <c r="AO45" s="48" t="str">
        <f t="shared" si="6"/>
        <v>Oct2024Truck 1</v>
      </c>
      <c r="AP45" s="35"/>
      <c r="AQ45" s="35"/>
      <c r="AR45" s="35"/>
      <c r="AS45" s="35"/>
      <c r="AT45" s="35"/>
      <c r="AU45" s="35"/>
      <c r="AV45" s="35"/>
      <c r="AW45" s="35"/>
    </row>
    <row r="46">
      <c r="A46" s="17">
        <v>45.0</v>
      </c>
      <c r="B46" s="17" t="s">
        <v>221</v>
      </c>
      <c r="C46" s="50" t="s">
        <v>222</v>
      </c>
      <c r="D46" s="50" t="s">
        <v>223</v>
      </c>
      <c r="E46" s="17"/>
      <c r="F46" s="17" t="s">
        <v>220</v>
      </c>
      <c r="G46" s="17" t="b">
        <v>1</v>
      </c>
      <c r="H46" s="17" t="s">
        <v>80</v>
      </c>
      <c r="I46" s="17" t="s">
        <v>105</v>
      </c>
      <c r="J46" s="19"/>
      <c r="K46" s="19" t="s">
        <v>177</v>
      </c>
      <c r="L46" s="19" t="s">
        <v>119</v>
      </c>
      <c r="M46" s="49"/>
      <c r="N46" s="20">
        <v>45590.0</v>
      </c>
      <c r="O46" s="49">
        <f t="shared" ref="O46:O48" si="12">N46+24</f>
        <v>45614</v>
      </c>
      <c r="P46" s="49"/>
      <c r="Q46" s="22">
        <f>26.83+26.71+26.76</f>
        <v>80.3</v>
      </c>
      <c r="R46" s="22"/>
      <c r="S46" s="23" t="str">
        <f>iferror(if(AN46=1,VLOOKUP(B46, Blends!H$4:AK$1004,32,0), ""), "")</f>
        <v/>
      </c>
      <c r="T46" s="24"/>
      <c r="U46" s="25">
        <f t="shared" si="1"/>
        <v>0</v>
      </c>
      <c r="V46" s="26">
        <f>$Q46*('MRV Calcs'!$E$3+'MRV Calcs'!$E$4)</f>
        <v>11.87973758</v>
      </c>
      <c r="W46" s="27">
        <f t="shared" si="2"/>
        <v>2030</v>
      </c>
      <c r="X46" s="26">
        <f>IF($I46="truck",($Q46*$W46*'MRV Calcs'!$E$7)+($W46*'MRV Calcs'!$E$8),0)</f>
        <v>0</v>
      </c>
      <c r="Y46" s="26">
        <f>IF($I46="train",'MRV Calcs'!$E$24,0)</f>
        <v>107.497</v>
      </c>
      <c r="Z46" s="26">
        <f>IF($I46="train",($Q46*$Y46*'MRV Calcs'!$E$7)+($Y46*'MRV Calcs'!$E$8),0)</f>
        <v>1.11959729</v>
      </c>
      <c r="AA46" s="26">
        <f>IF($I46="train",'MRV Calcs'!$E$25,0)</f>
        <v>2087</v>
      </c>
      <c r="AB46" s="26">
        <f>IF($I46="train",($Q46*$AA46*'MRV Calcs'!$E$11)+($AA46*'MRV Calcs'!$E$12),0)</f>
        <v>4.484669496</v>
      </c>
      <c r="AC46" s="26">
        <f>IF($I46="train",'MRV Calcs'!$E$26,0)</f>
        <v>32.6</v>
      </c>
      <c r="AD46" s="26">
        <f>IF($I46="train",($Q46*$AC46*'MRV Calcs'!$E$7)+($AC46*'MRV Calcs'!$E$8),0)</f>
        <v>0.339533863</v>
      </c>
      <c r="AE46" s="26">
        <f>($Q46/30)*SUM('MRV Calcs'!$E$15:$E$16)</f>
        <v>12.15545533</v>
      </c>
      <c r="AF46" s="26">
        <f>'MRV Calcs'!$E$27</f>
        <v>71.2</v>
      </c>
      <c r="AG46" s="26">
        <f>(($Q46*1.1)*$AF46*'MRV Calcs'!$E$7)+($AF46*'MRV Calcs'!$E$8)</f>
        <v>0.8151680301</v>
      </c>
      <c r="AH46" s="26">
        <f>(($Q46*1.1)/20)*SUM('MRV Calcs'!$E$19:$E$20)</f>
        <v>0.1130624</v>
      </c>
      <c r="AI46" s="26">
        <f t="shared" si="3"/>
        <v>30.90722399</v>
      </c>
      <c r="AJ46" s="26">
        <f t="shared" si="4"/>
        <v>-30.90722399</v>
      </c>
      <c r="AK46" s="25">
        <f>AJ46+AK44</f>
        <v>227.7309382</v>
      </c>
      <c r="AL46" s="28">
        <f t="shared" si="5"/>
        <v>-0.3848969364</v>
      </c>
      <c r="AM46" s="35"/>
      <c r="AN46" s="29">
        <f>COUNTIF(Blends!H$4:H$1007,B46)+COUNTIF(Blends!J$4:J$1007,B46)+COUNTIF(#REF!,B46)</f>
        <v>0</v>
      </c>
      <c r="AO46" s="48" t="str">
        <f t="shared" si="6"/>
        <v>Oct2024Rail 7-9</v>
      </c>
      <c r="AP46" s="35"/>
      <c r="AQ46" s="35"/>
      <c r="AR46" s="35"/>
      <c r="AS46" s="35"/>
      <c r="AT46" s="35"/>
      <c r="AU46" s="35"/>
      <c r="AV46" s="35"/>
      <c r="AW46" s="35"/>
    </row>
    <row r="47">
      <c r="A47" s="17">
        <v>46.0</v>
      </c>
      <c r="B47" s="17" t="s">
        <v>224</v>
      </c>
      <c r="C47" s="18" t="s">
        <v>225</v>
      </c>
      <c r="D47" s="50" t="s">
        <v>223</v>
      </c>
      <c r="E47" s="17"/>
      <c r="F47" s="17" t="s">
        <v>220</v>
      </c>
      <c r="G47" s="17" t="b">
        <v>1</v>
      </c>
      <c r="H47" s="17" t="s">
        <v>80</v>
      </c>
      <c r="I47" s="17" t="s">
        <v>105</v>
      </c>
      <c r="J47" s="19"/>
      <c r="K47" s="19" t="s">
        <v>177</v>
      </c>
      <c r="L47" s="19" t="s">
        <v>182</v>
      </c>
      <c r="M47" s="49"/>
      <c r="N47" s="20">
        <v>45597.0</v>
      </c>
      <c r="O47" s="49">
        <f t="shared" si="12"/>
        <v>45621</v>
      </c>
      <c r="P47" s="49"/>
      <c r="Q47" s="22">
        <f>26.67+26.75+26.83</f>
        <v>80.25</v>
      </c>
      <c r="R47" s="22"/>
      <c r="S47" s="23" t="str">
        <f>iferror(if(AN47=1,VLOOKUP(B47, Blends!H$4:AK$1004,32,0), ""), "")</f>
        <v/>
      </c>
      <c r="T47" s="24"/>
      <c r="U47" s="25">
        <f t="shared" si="1"/>
        <v>0</v>
      </c>
      <c r="V47" s="26">
        <f>$Q47*('MRV Calcs'!$E$3+'MRV Calcs'!$E$4)</f>
        <v>11.87234049</v>
      </c>
      <c r="W47" s="27">
        <f t="shared" si="2"/>
        <v>2030</v>
      </c>
      <c r="X47" s="26">
        <f>IF($I47="truck",($Q47*$W47*'MRV Calcs'!$E$7)+($W47*'MRV Calcs'!$E$8),0)</f>
        <v>0</v>
      </c>
      <c r="Y47" s="26">
        <f>IF($I47="train",'MRV Calcs'!$E$24,0)</f>
        <v>107.497</v>
      </c>
      <c r="Z47" s="26">
        <f>IF($I47="train",($Q47*$Y47*'MRV Calcs'!$E$7)+($Y47*'MRV Calcs'!$E$8),0)</f>
        <v>1.118905294</v>
      </c>
      <c r="AA47" s="26">
        <f>IF($I47="train",'MRV Calcs'!$E$25,0)</f>
        <v>2087</v>
      </c>
      <c r="AB47" s="26">
        <f>IF($I47="train",($Q47*$AA47*'MRV Calcs'!$E$11)+($AA47*'MRV Calcs'!$E$12),0)</f>
        <v>4.481948955</v>
      </c>
      <c r="AC47" s="26">
        <f>IF($I47="train",'MRV Calcs'!$E$26,0)</f>
        <v>32.6</v>
      </c>
      <c r="AD47" s="26">
        <f>IF($I47="train",($Q47*$AC47*'MRV Calcs'!$E$7)+($AC47*'MRV Calcs'!$E$8),0)</f>
        <v>0.339324005</v>
      </c>
      <c r="AE47" s="26">
        <f>($Q47/30)*SUM('MRV Calcs'!$E$15:$E$16)</f>
        <v>12.14788655</v>
      </c>
      <c r="AF47" s="26">
        <f>'MRV Calcs'!$E$27</f>
        <v>71.2</v>
      </c>
      <c r="AG47" s="26">
        <f>(($Q47*1.1)*$AF47*'MRV Calcs'!$E$7)+($AF47*'MRV Calcs'!$E$8)</f>
        <v>0.8146638561</v>
      </c>
      <c r="AH47" s="26">
        <f>(($Q47*1.1)/20)*SUM('MRV Calcs'!$E$19:$E$20)</f>
        <v>0.112992</v>
      </c>
      <c r="AI47" s="26">
        <f t="shared" si="3"/>
        <v>30.88806115</v>
      </c>
      <c r="AJ47" s="26">
        <f t="shared" si="4"/>
        <v>-30.88806115</v>
      </c>
      <c r="AK47" s="25">
        <f t="shared" ref="AK47:AK66" si="13">AJ47+AK46</f>
        <v>196.8428771</v>
      </c>
      <c r="AL47" s="28">
        <f t="shared" si="5"/>
        <v>-0.3848979582</v>
      </c>
      <c r="AM47" s="35"/>
      <c r="AN47" s="29">
        <f>COUNTIF(Blends!H$4:H$1007,B47)+COUNTIF(Blends!J$4:J$1007,B47)+COUNTIF(#REF!,B47)</f>
        <v>0</v>
      </c>
      <c r="AO47" s="48" t="str">
        <f t="shared" si="6"/>
        <v>Oct2024Rail10-12</v>
      </c>
      <c r="AP47" s="35"/>
      <c r="AQ47" s="35"/>
      <c r="AR47" s="35"/>
      <c r="AS47" s="35"/>
      <c r="AT47" s="35"/>
      <c r="AU47" s="35"/>
      <c r="AV47" s="35"/>
      <c r="AW47" s="35"/>
    </row>
    <row r="48">
      <c r="A48" s="17">
        <v>47.0</v>
      </c>
      <c r="B48" s="17" t="s">
        <v>226</v>
      </c>
      <c r="C48" s="18" t="s">
        <v>227</v>
      </c>
      <c r="D48" s="51" t="s">
        <v>228</v>
      </c>
      <c r="E48" s="17"/>
      <c r="F48" s="17" t="s">
        <v>78</v>
      </c>
      <c r="G48" s="17" t="b">
        <v>0</v>
      </c>
      <c r="H48" s="17" t="s">
        <v>80</v>
      </c>
      <c r="I48" s="17" t="s">
        <v>105</v>
      </c>
      <c r="J48" s="19"/>
      <c r="K48" s="19" t="s">
        <v>177</v>
      </c>
      <c r="L48" s="19" t="s">
        <v>178</v>
      </c>
      <c r="M48" s="49"/>
      <c r="N48" s="49">
        <v>45597.0</v>
      </c>
      <c r="O48" s="49">
        <f t="shared" si="12"/>
        <v>45621</v>
      </c>
      <c r="P48" s="49"/>
      <c r="Q48" s="22">
        <f>26.67+26.62+26.67</f>
        <v>79.96</v>
      </c>
      <c r="R48" s="22"/>
      <c r="S48" s="23" t="str">
        <f>iferror(if(AN48=1,VLOOKUP(B48, Blends!H$4:AK$1004,32,0), ""), "")</f>
        <v/>
      </c>
      <c r="T48" s="24"/>
      <c r="U48" s="25">
        <f t="shared" si="1"/>
        <v>0</v>
      </c>
      <c r="V48" s="26">
        <f>$Q48*('MRV Calcs'!$E$3+'MRV Calcs'!$E$4)</f>
        <v>11.82943732</v>
      </c>
      <c r="W48" s="27">
        <f t="shared" si="2"/>
        <v>2030</v>
      </c>
      <c r="X48" s="26">
        <f>IF($I48="truck",($Q48*$W48*'MRV Calcs'!$E$7)+($W48*'MRV Calcs'!$E$8),0)</f>
        <v>0</v>
      </c>
      <c r="Y48" s="26">
        <f>IF($I48="train",'MRV Calcs'!$E$24,0)</f>
        <v>107.497</v>
      </c>
      <c r="Z48" s="26">
        <f>IF($I48="train",($Q48*$Y48*'MRV Calcs'!$E$7)+($Y48*'MRV Calcs'!$E$8),0)</f>
        <v>1.114891712</v>
      </c>
      <c r="AA48" s="26">
        <f>IF($I48="train",'MRV Calcs'!$E$25,0)</f>
        <v>2087</v>
      </c>
      <c r="AB48" s="26">
        <f>IF($I48="train",($Q48*$AA48*'MRV Calcs'!$E$11)+($AA48*'MRV Calcs'!$E$12),0)</f>
        <v>4.466169818</v>
      </c>
      <c r="AC48" s="26">
        <f>IF($I48="train",'MRV Calcs'!$E$26,0)</f>
        <v>32.6</v>
      </c>
      <c r="AD48" s="26">
        <f>IF($I48="train",($Q48*$AC48*'MRV Calcs'!$E$7)+($AC48*'MRV Calcs'!$E$8),0)</f>
        <v>0.338106829</v>
      </c>
      <c r="AE48" s="26">
        <f>($Q48/30)*SUM('MRV Calcs'!$E$15:$E$16)</f>
        <v>12.10398765</v>
      </c>
      <c r="AF48" s="26">
        <f>'MRV Calcs'!$E$27</f>
        <v>71.2</v>
      </c>
      <c r="AG48" s="26">
        <f>(($Q48*1.1)*$AF48*'MRV Calcs'!$E$7)+($AF48*'MRV Calcs'!$E$8)</f>
        <v>0.8117396467</v>
      </c>
      <c r="AH48" s="26">
        <f>(($Q48*1.1)/20)*SUM('MRV Calcs'!$E$19:$E$20)</f>
        <v>0.11258368</v>
      </c>
      <c r="AI48" s="26">
        <f t="shared" si="3"/>
        <v>30.77691666</v>
      </c>
      <c r="AJ48" s="26">
        <f t="shared" si="4"/>
        <v>-30.77691666</v>
      </c>
      <c r="AK48" s="25">
        <f t="shared" si="13"/>
        <v>166.0659604</v>
      </c>
      <c r="AL48" s="28">
        <f t="shared" si="5"/>
        <v>-0.3849039101</v>
      </c>
      <c r="AM48" s="35"/>
      <c r="AN48" s="29">
        <f>COUNTIF(Blends!H$4:H$1007,B48)+COUNTIF(Blends!J$4:J$1007,B48)+COUNTIF(#REF!,B48)</f>
        <v>0</v>
      </c>
      <c r="AO48" s="48" t="str">
        <f t="shared" si="6"/>
        <v>Oct2024Rail2 1-3</v>
      </c>
      <c r="AP48" s="35"/>
      <c r="AQ48" s="35"/>
      <c r="AR48" s="35"/>
      <c r="AS48" s="35"/>
      <c r="AT48" s="35"/>
      <c r="AU48" s="35"/>
      <c r="AV48" s="35"/>
      <c r="AW48" s="35"/>
    </row>
    <row r="49">
      <c r="A49" s="17">
        <v>48.0</v>
      </c>
      <c r="B49" s="17" t="s">
        <v>229</v>
      </c>
      <c r="C49" s="18">
        <v>1745.0</v>
      </c>
      <c r="D49" s="18" t="s">
        <v>230</v>
      </c>
      <c r="E49" s="17"/>
      <c r="F49" s="17" t="s">
        <v>220</v>
      </c>
      <c r="G49" s="17" t="s">
        <v>79</v>
      </c>
      <c r="H49" s="17" t="s">
        <v>80</v>
      </c>
      <c r="I49" s="17" t="s">
        <v>81</v>
      </c>
      <c r="J49" s="19"/>
      <c r="K49" s="19" t="s">
        <v>82</v>
      </c>
      <c r="L49" s="19" t="s">
        <v>139</v>
      </c>
      <c r="M49" s="52"/>
      <c r="N49" s="20">
        <v>45603.0</v>
      </c>
      <c r="O49" s="20">
        <v>45607.0</v>
      </c>
      <c r="P49" s="20"/>
      <c r="Q49" s="22">
        <v>21.31</v>
      </c>
      <c r="R49" s="22"/>
      <c r="S49" s="23" t="str">
        <f>iferror(if(AN49=1,VLOOKUP(B49, Blends!H$4:AK$1004,32,0), ""), "")</f>
        <v/>
      </c>
      <c r="T49" s="24"/>
      <c r="U49" s="25">
        <f t="shared" si="1"/>
        <v>0</v>
      </c>
      <c r="V49" s="26">
        <f>$Q49*('MRV Calcs'!$E$3+'MRV Calcs'!$E$4)</f>
        <v>3.152642689</v>
      </c>
      <c r="W49" s="27">
        <f t="shared" si="2"/>
        <v>2030</v>
      </c>
      <c r="X49" s="26">
        <f>IF($I49="truck",($Q49*$W49*'MRV Calcs'!$E$7)+($W49*'MRV Calcs'!$E$8),0)</f>
        <v>5.725314241</v>
      </c>
      <c r="Y49" s="26">
        <f>IF($I49="train",'MRV Calcs'!$E$24,0)</f>
        <v>0</v>
      </c>
      <c r="Z49" s="26">
        <f>IF($I49="train",($Q49*$Y49*'MRV Calcs'!$E$7)+($Y49*'MRV Calcs'!$E$8),0)</f>
        <v>0</v>
      </c>
      <c r="AA49" s="26">
        <f>IF($I49="train",'MRV Calcs'!$E$25,0)</f>
        <v>0</v>
      </c>
      <c r="AB49" s="26">
        <f>IF($I49="train",($Q49*$AA49*'MRV Calcs'!$E$11)+($AA49*'MRV Calcs'!$E$12),0)</f>
        <v>0</v>
      </c>
      <c r="AC49" s="26">
        <f>IF($I49="train",'MRV Calcs'!$E$26,0)</f>
        <v>0</v>
      </c>
      <c r="AD49" s="26">
        <f>IF($I49="train",($Q49*$AC49*'MRV Calcs'!$E$7)+($AC49*'MRV Calcs'!$E$8),0)</f>
        <v>0</v>
      </c>
      <c r="AE49" s="26">
        <f>($Q49/30)*SUM('MRV Calcs'!$E$15:$E$16)</f>
        <v>3.225812615</v>
      </c>
      <c r="AF49" s="26">
        <f>'MRV Calcs'!$E$27</f>
        <v>71.2</v>
      </c>
      <c r="AG49" s="26">
        <f>(($Q49*1.1)*$AF49*'MRV Calcs'!$E$7)+($AF49*'MRV Calcs'!$E$8)</f>
        <v>0.2203435034</v>
      </c>
      <c r="AH49" s="26">
        <f>(($Q49*1.1)/20)*SUM('MRV Calcs'!$E$19:$E$20)</f>
        <v>0.03000448</v>
      </c>
      <c r="AI49" s="26">
        <f t="shared" si="3"/>
        <v>12.35411753</v>
      </c>
      <c r="AJ49" s="26">
        <f t="shared" si="4"/>
        <v>-12.35411753</v>
      </c>
      <c r="AK49" s="25">
        <f t="shared" si="13"/>
        <v>153.7118429</v>
      </c>
      <c r="AL49" s="28">
        <f t="shared" si="5"/>
        <v>-0.5797333425</v>
      </c>
      <c r="AM49" s="35"/>
      <c r="AN49" s="29"/>
      <c r="AO49" s="48"/>
      <c r="AP49" s="35"/>
      <c r="AQ49" s="35"/>
      <c r="AR49" s="35"/>
      <c r="AS49" s="35"/>
      <c r="AT49" s="35"/>
      <c r="AU49" s="35"/>
      <c r="AV49" s="35"/>
      <c r="AW49" s="35"/>
    </row>
    <row r="50">
      <c r="A50" s="17">
        <v>49.0</v>
      </c>
      <c r="B50" s="17" t="s">
        <v>231</v>
      </c>
      <c r="C50" s="18">
        <v>1752.0</v>
      </c>
      <c r="D50" s="18" t="s">
        <v>232</v>
      </c>
      <c r="E50" s="17"/>
      <c r="F50" s="17" t="s">
        <v>78</v>
      </c>
      <c r="G50" s="17" t="b">
        <v>1</v>
      </c>
      <c r="H50" s="17" t="s">
        <v>80</v>
      </c>
      <c r="I50" s="17" t="s">
        <v>81</v>
      </c>
      <c r="J50" s="22"/>
      <c r="K50" s="19" t="s">
        <v>233</v>
      </c>
      <c r="L50" s="22" t="s">
        <v>234</v>
      </c>
      <c r="M50" s="52"/>
      <c r="N50" s="20">
        <v>45607.0</v>
      </c>
      <c r="O50" s="20">
        <v>45610.0</v>
      </c>
      <c r="P50" s="20"/>
      <c r="Q50" s="22">
        <v>20.35</v>
      </c>
      <c r="R50" s="22"/>
      <c r="S50" s="23" t="str">
        <f>iferror(if(AN50=1,VLOOKUP(B50, Blends!H$4:AK$1004,32,0), ""), "")</f>
        <v/>
      </c>
      <c r="T50" s="24"/>
      <c r="U50" s="25">
        <f t="shared" si="1"/>
        <v>0</v>
      </c>
      <c r="V50" s="26">
        <f>$Q50*('MRV Calcs'!$E$3+'MRV Calcs'!$E$4)</f>
        <v>3.010618429</v>
      </c>
      <c r="W50" s="27">
        <f t="shared" si="2"/>
        <v>2030</v>
      </c>
      <c r="X50" s="26">
        <f>IF($I50="truck",($Q50*$W50*'MRV Calcs'!$E$7)+($W50*'MRV Calcs'!$E$8),0)</f>
        <v>5.474411698</v>
      </c>
      <c r="Y50" s="26">
        <f>IF($I50="train",'MRV Calcs'!$E$24,0)</f>
        <v>0</v>
      </c>
      <c r="Z50" s="26">
        <f>IF($I50="train",($Q50*$Y50*'MRV Calcs'!$E$7)+($Y50*'MRV Calcs'!$E$8),0)</f>
        <v>0</v>
      </c>
      <c r="AA50" s="26">
        <f>IF($I50="train",'MRV Calcs'!$E$25,0)</f>
        <v>0</v>
      </c>
      <c r="AB50" s="26">
        <f>IF($I50="train",($Q50*$AA50*'MRV Calcs'!$E$11)+($AA50*'MRV Calcs'!$E$12),0)</f>
        <v>0</v>
      </c>
      <c r="AC50" s="26">
        <f>IF($I50="train",'MRV Calcs'!$E$26,0)</f>
        <v>0</v>
      </c>
      <c r="AD50" s="26">
        <f>IF($I50="train",($Q50*$AC50*'MRV Calcs'!$E$7)+($AC50*'MRV Calcs'!$E$8),0)</f>
        <v>0</v>
      </c>
      <c r="AE50" s="26">
        <f>($Q50/30)*SUM('MRV Calcs'!$E$15:$E$16)</f>
        <v>3.080492103</v>
      </c>
      <c r="AF50" s="26">
        <f>'MRV Calcs'!$E$27</f>
        <v>71.2</v>
      </c>
      <c r="AG50" s="26">
        <f>(($Q50*1.1)*$AF50*'MRV Calcs'!$E$7)+($AF50*'MRV Calcs'!$E$8)</f>
        <v>0.2106633619</v>
      </c>
      <c r="AH50" s="26">
        <f>(($Q50*1.1)/20)*SUM('MRV Calcs'!$E$19:$E$20)</f>
        <v>0.0286528</v>
      </c>
      <c r="AI50" s="26">
        <f t="shared" si="3"/>
        <v>11.80483839</v>
      </c>
      <c r="AJ50" s="26">
        <f t="shared" si="4"/>
        <v>-11.80483839</v>
      </c>
      <c r="AK50" s="25">
        <f t="shared" si="13"/>
        <v>141.9070045</v>
      </c>
      <c r="AL50" s="28">
        <f t="shared" si="5"/>
        <v>-0.5800903387</v>
      </c>
      <c r="AM50" s="35"/>
      <c r="AN50" s="29"/>
      <c r="AO50" s="48"/>
      <c r="AP50" s="35"/>
      <c r="AQ50" s="35"/>
      <c r="AR50" s="35"/>
      <c r="AS50" s="35"/>
      <c r="AT50" s="35"/>
      <c r="AU50" s="35"/>
      <c r="AV50" s="35"/>
      <c r="AW50" s="35"/>
    </row>
    <row r="51">
      <c r="A51" s="17">
        <v>50.0</v>
      </c>
      <c r="B51" s="17" t="s">
        <v>235</v>
      </c>
      <c r="C51" s="18">
        <v>1753.0</v>
      </c>
      <c r="D51" s="18" t="s">
        <v>232</v>
      </c>
      <c r="E51" s="17"/>
      <c r="F51" s="17" t="s">
        <v>78</v>
      </c>
      <c r="G51" s="17" t="b">
        <v>1</v>
      </c>
      <c r="H51" s="17" t="s">
        <v>80</v>
      </c>
      <c r="I51" s="17" t="s">
        <v>81</v>
      </c>
      <c r="J51" s="22"/>
      <c r="K51" s="19" t="s">
        <v>233</v>
      </c>
      <c r="L51" s="22" t="s">
        <v>236</v>
      </c>
      <c r="M51" s="52"/>
      <c r="N51" s="20">
        <v>45607.0</v>
      </c>
      <c r="O51" s="20">
        <v>45610.0</v>
      </c>
      <c r="P51" s="20"/>
      <c r="Q51" s="22">
        <v>20.07</v>
      </c>
      <c r="R51" s="22"/>
      <c r="S51" s="23" t="str">
        <f>iferror(if(AN51=1,VLOOKUP(B51, Blends!H$4:AK$1004,32,0), ""), "")</f>
        <v/>
      </c>
      <c r="T51" s="24"/>
      <c r="U51" s="25">
        <f t="shared" si="1"/>
        <v>0</v>
      </c>
      <c r="V51" s="26">
        <f>$Q51*('MRV Calcs'!$E$3+'MRV Calcs'!$E$4)</f>
        <v>2.969194686</v>
      </c>
      <c r="W51" s="27">
        <f t="shared" si="2"/>
        <v>2030</v>
      </c>
      <c r="X51" s="26">
        <f>IF($I51="truck",($Q51*$W51*'MRV Calcs'!$E$7)+($W51*'MRV Calcs'!$E$8),0)</f>
        <v>5.40123179</v>
      </c>
      <c r="Y51" s="26">
        <f>IF($I51="train",'MRV Calcs'!$E$24,0)</f>
        <v>0</v>
      </c>
      <c r="Z51" s="26">
        <f>IF($I51="train",($Q51*$Y51*'MRV Calcs'!$E$7)+($Y51*'MRV Calcs'!$E$8),0)</f>
        <v>0</v>
      </c>
      <c r="AA51" s="26">
        <f>IF($I51="train",'MRV Calcs'!$E$25,0)</f>
        <v>0</v>
      </c>
      <c r="AB51" s="26">
        <f>IF($I51="train",($Q51*$AA51*'MRV Calcs'!$E$11)+($AA51*'MRV Calcs'!$E$12),0)</f>
        <v>0</v>
      </c>
      <c r="AC51" s="26">
        <f>IF($I51="train",'MRV Calcs'!$E$26,0)</f>
        <v>0</v>
      </c>
      <c r="AD51" s="26">
        <f>IF($I51="train",($Q51*$AC51*'MRV Calcs'!$E$7)+($AC51*'MRV Calcs'!$E$8),0)</f>
        <v>0</v>
      </c>
      <c r="AE51" s="26">
        <f>($Q51/30)*SUM('MRV Calcs'!$E$15:$E$16)</f>
        <v>3.038106954</v>
      </c>
      <c r="AF51" s="26">
        <f>'MRV Calcs'!$E$27</f>
        <v>71.2</v>
      </c>
      <c r="AG51" s="26">
        <f>(($Q51*1.1)*$AF51*'MRV Calcs'!$E$7)+($AF51*'MRV Calcs'!$E$8)</f>
        <v>0.2078399873</v>
      </c>
      <c r="AH51" s="26">
        <f>(($Q51*1.1)/20)*SUM('MRV Calcs'!$E$19:$E$20)</f>
        <v>0.02825856</v>
      </c>
      <c r="AI51" s="26">
        <f t="shared" si="3"/>
        <v>11.64463198</v>
      </c>
      <c r="AJ51" s="26">
        <f t="shared" si="4"/>
        <v>-11.64463198</v>
      </c>
      <c r="AK51" s="25">
        <f t="shared" si="13"/>
        <v>130.2623725</v>
      </c>
      <c r="AL51" s="28">
        <f t="shared" si="5"/>
        <v>-0.5802008957</v>
      </c>
      <c r="AM51" s="35"/>
      <c r="AN51" s="29"/>
      <c r="AO51" s="48"/>
      <c r="AP51" s="35"/>
      <c r="AQ51" s="35"/>
      <c r="AR51" s="35"/>
      <c r="AS51" s="35"/>
      <c r="AT51" s="35"/>
      <c r="AU51" s="35"/>
      <c r="AV51" s="35"/>
      <c r="AW51" s="35"/>
    </row>
    <row r="52">
      <c r="A52" s="17">
        <v>51.0</v>
      </c>
      <c r="B52" s="17" t="s">
        <v>237</v>
      </c>
      <c r="C52" s="18">
        <v>1754.0</v>
      </c>
      <c r="D52" s="18" t="s">
        <v>232</v>
      </c>
      <c r="E52" s="17"/>
      <c r="F52" s="17" t="s">
        <v>78</v>
      </c>
      <c r="G52" s="17" t="b">
        <v>1</v>
      </c>
      <c r="H52" s="17" t="s">
        <v>80</v>
      </c>
      <c r="I52" s="17" t="s">
        <v>81</v>
      </c>
      <c r="J52" s="22"/>
      <c r="K52" s="19" t="s">
        <v>233</v>
      </c>
      <c r="L52" s="22" t="s">
        <v>238</v>
      </c>
      <c r="M52" s="52"/>
      <c r="N52" s="20">
        <v>45608.0</v>
      </c>
      <c r="O52" s="20">
        <v>45611.0</v>
      </c>
      <c r="P52" s="20"/>
      <c r="Q52" s="22">
        <v>20.71</v>
      </c>
      <c r="R52" s="22"/>
      <c r="S52" s="23" t="str">
        <f>iferror(if(AN52=1,VLOOKUP(B52, Blends!H$4:AK$1004,32,0), ""), "")</f>
        <v/>
      </c>
      <c r="T52" s="24"/>
      <c r="U52" s="25">
        <f t="shared" si="1"/>
        <v>0</v>
      </c>
      <c r="V52" s="26">
        <f>$Q52*('MRV Calcs'!$E$3+'MRV Calcs'!$E$4)</f>
        <v>3.063877526</v>
      </c>
      <c r="W52" s="27">
        <f t="shared" si="2"/>
        <v>2030</v>
      </c>
      <c r="X52" s="26">
        <f>IF($I52="truck",($Q52*$W52*'MRV Calcs'!$E$7)+($W52*'MRV Calcs'!$E$8),0)</f>
        <v>5.568500152</v>
      </c>
      <c r="Y52" s="26">
        <f>IF($I52="train",'MRV Calcs'!$E$24,0)</f>
        <v>0</v>
      </c>
      <c r="Z52" s="26">
        <f>IF($I52="train",($Q52*$Y52*'MRV Calcs'!$E$7)+($Y52*'MRV Calcs'!$E$8),0)</f>
        <v>0</v>
      </c>
      <c r="AA52" s="26">
        <f>IF($I52="train",'MRV Calcs'!$E$25,0)</f>
        <v>0</v>
      </c>
      <c r="AB52" s="26">
        <f>IF($I52="train",($Q52*$AA52*'MRV Calcs'!$E$11)+($AA52*'MRV Calcs'!$E$12),0)</f>
        <v>0</v>
      </c>
      <c r="AC52" s="26">
        <f>IF($I52="train",'MRV Calcs'!$E$26,0)</f>
        <v>0</v>
      </c>
      <c r="AD52" s="26">
        <f>IF($I52="train",($Q52*$AC52*'MRV Calcs'!$E$7)+($AC52*'MRV Calcs'!$E$8),0)</f>
        <v>0</v>
      </c>
      <c r="AE52" s="26">
        <f>($Q52/30)*SUM('MRV Calcs'!$E$15:$E$16)</f>
        <v>3.134987295</v>
      </c>
      <c r="AF52" s="26">
        <f>'MRV Calcs'!$E$27</f>
        <v>71.2</v>
      </c>
      <c r="AG52" s="26">
        <f>(($Q52*1.1)*$AF52*'MRV Calcs'!$E$7)+($AF52*'MRV Calcs'!$E$8)</f>
        <v>0.214293415</v>
      </c>
      <c r="AH52" s="26">
        <f>(($Q52*1.1)/20)*SUM('MRV Calcs'!$E$19:$E$20)</f>
        <v>0.02915968</v>
      </c>
      <c r="AI52" s="26">
        <f t="shared" si="3"/>
        <v>12.01081807</v>
      </c>
      <c r="AJ52" s="26">
        <f t="shared" si="4"/>
        <v>-12.01081807</v>
      </c>
      <c r="AK52" s="25">
        <f t="shared" si="13"/>
        <v>118.2515545</v>
      </c>
      <c r="AL52" s="28">
        <f t="shared" si="5"/>
        <v>-0.5799525866</v>
      </c>
      <c r="AM52" s="35"/>
      <c r="AN52" s="29"/>
      <c r="AO52" s="48"/>
      <c r="AP52" s="35"/>
      <c r="AQ52" s="35"/>
      <c r="AR52" s="35"/>
      <c r="AS52" s="35"/>
      <c r="AT52" s="35"/>
      <c r="AU52" s="35"/>
      <c r="AV52" s="35"/>
      <c r="AW52" s="35"/>
    </row>
    <row r="53">
      <c r="A53" s="17">
        <v>52.0</v>
      </c>
      <c r="B53" s="17" t="s">
        <v>239</v>
      </c>
      <c r="C53" s="18">
        <v>1755.0</v>
      </c>
      <c r="D53" s="18" t="s">
        <v>232</v>
      </c>
      <c r="E53" s="17"/>
      <c r="F53" s="17" t="s">
        <v>78</v>
      </c>
      <c r="G53" s="17" t="b">
        <v>1</v>
      </c>
      <c r="H53" s="17" t="s">
        <v>80</v>
      </c>
      <c r="I53" s="17" t="s">
        <v>81</v>
      </c>
      <c r="J53" s="22"/>
      <c r="K53" s="19" t="s">
        <v>233</v>
      </c>
      <c r="L53" s="22" t="s">
        <v>240</v>
      </c>
      <c r="M53" s="52"/>
      <c r="N53" s="20">
        <v>45608.0</v>
      </c>
      <c r="O53" s="20">
        <v>45611.0</v>
      </c>
      <c r="P53" s="20"/>
      <c r="Q53" s="22">
        <v>19.88</v>
      </c>
      <c r="R53" s="22"/>
      <c r="S53" s="23" t="str">
        <f>iferror(if(AN53=1,VLOOKUP(B53, Blends!H$4:AK$1004,32,0), ""), "")</f>
        <v/>
      </c>
      <c r="T53" s="24"/>
      <c r="U53" s="25">
        <f t="shared" si="1"/>
        <v>0</v>
      </c>
      <c r="V53" s="26">
        <f>$Q53*('MRV Calcs'!$E$3+'MRV Calcs'!$E$4)</f>
        <v>2.941085718</v>
      </c>
      <c r="W53" s="27">
        <f t="shared" si="2"/>
        <v>2030</v>
      </c>
      <c r="X53" s="26">
        <f>IF($I53="truck",($Q53*$W53*'MRV Calcs'!$E$7)+($W53*'MRV Calcs'!$E$8),0)</f>
        <v>5.351573995</v>
      </c>
      <c r="Y53" s="26">
        <f>IF($I53="train",'MRV Calcs'!$E$24,0)</f>
        <v>0</v>
      </c>
      <c r="Z53" s="26">
        <f>IF($I53="train",($Q53*$Y53*'MRV Calcs'!$E$7)+($Y53*'MRV Calcs'!$E$8),0)</f>
        <v>0</v>
      </c>
      <c r="AA53" s="26">
        <f>IF($I53="train",'MRV Calcs'!$E$25,0)</f>
        <v>0</v>
      </c>
      <c r="AB53" s="26">
        <f>IF($I53="train",($Q53*$AA53*'MRV Calcs'!$E$11)+($AA53*'MRV Calcs'!$E$12),0)</f>
        <v>0</v>
      </c>
      <c r="AC53" s="26">
        <f>IF($I53="train",'MRV Calcs'!$E$26,0)</f>
        <v>0</v>
      </c>
      <c r="AD53" s="26">
        <f>IF($I53="train",($Q53*$AC53*'MRV Calcs'!$E$7)+($AC53*'MRV Calcs'!$E$8),0)</f>
        <v>0</v>
      </c>
      <c r="AE53" s="26">
        <f>($Q53/30)*SUM('MRV Calcs'!$E$15:$E$16)</f>
        <v>3.009345603</v>
      </c>
      <c r="AF53" s="26">
        <f>'MRV Calcs'!$E$27</f>
        <v>71.2</v>
      </c>
      <c r="AG53" s="26">
        <f>(($Q53*1.1)*$AF53*'MRV Calcs'!$E$7)+($AF53*'MRV Calcs'!$E$8)</f>
        <v>0.205924126</v>
      </c>
      <c r="AH53" s="26">
        <f>(($Q53*1.1)/20)*SUM('MRV Calcs'!$E$19:$E$20)</f>
        <v>0.02799104</v>
      </c>
      <c r="AI53" s="26">
        <f t="shared" si="3"/>
        <v>11.53592048</v>
      </c>
      <c r="AJ53" s="26">
        <f t="shared" si="4"/>
        <v>-11.53592048</v>
      </c>
      <c r="AK53" s="25">
        <f t="shared" si="13"/>
        <v>106.715634</v>
      </c>
      <c r="AL53" s="28">
        <f t="shared" si="5"/>
        <v>-0.5802776902</v>
      </c>
      <c r="AM53" s="35"/>
      <c r="AN53" s="29"/>
      <c r="AO53" s="48"/>
      <c r="AP53" s="35"/>
      <c r="AQ53" s="35"/>
      <c r="AR53" s="35"/>
      <c r="AS53" s="35"/>
      <c r="AT53" s="35"/>
      <c r="AU53" s="35"/>
      <c r="AV53" s="35"/>
      <c r="AW53" s="35"/>
    </row>
    <row r="54">
      <c r="A54" s="17">
        <v>53.0</v>
      </c>
      <c r="B54" s="17" t="s">
        <v>241</v>
      </c>
      <c r="C54" s="18">
        <v>1758.0</v>
      </c>
      <c r="D54" s="18" t="s">
        <v>232</v>
      </c>
      <c r="E54" s="17"/>
      <c r="F54" s="17" t="s">
        <v>78</v>
      </c>
      <c r="G54" s="17" t="s">
        <v>79</v>
      </c>
      <c r="H54" s="17" t="s">
        <v>80</v>
      </c>
      <c r="I54" s="17" t="s">
        <v>81</v>
      </c>
      <c r="J54" s="19"/>
      <c r="K54" s="19" t="s">
        <v>82</v>
      </c>
      <c r="L54" s="19" t="s">
        <v>242</v>
      </c>
      <c r="M54" s="52"/>
      <c r="N54" s="20">
        <v>45608.0</v>
      </c>
      <c r="O54" s="20">
        <v>45615.0</v>
      </c>
      <c r="P54" s="20"/>
      <c r="Q54" s="22">
        <v>20.62</v>
      </c>
      <c r="R54" s="22"/>
      <c r="S54" s="23"/>
      <c r="T54" s="24"/>
      <c r="U54" s="25">
        <f t="shared" si="1"/>
        <v>0</v>
      </c>
      <c r="V54" s="26">
        <f>$Q54*('MRV Calcs'!$E$3+'MRV Calcs'!$E$4)</f>
        <v>3.050562752</v>
      </c>
      <c r="W54" s="27">
        <f t="shared" si="2"/>
        <v>2030</v>
      </c>
      <c r="X54" s="26">
        <f>IF($I54="truck",($Q54*$W54*'MRV Calcs'!$E$7)+($W54*'MRV Calcs'!$E$8),0)</f>
        <v>5.544978038</v>
      </c>
      <c r="Y54" s="26">
        <f>IF($I54="train",'MRV Calcs'!$E$24,0)</f>
        <v>0</v>
      </c>
      <c r="Z54" s="26">
        <f>IF($I54="train",($Q54*$Y54*'MRV Calcs'!$E$7)+($Y54*'MRV Calcs'!$E$8),0)</f>
        <v>0</v>
      </c>
      <c r="AA54" s="26">
        <f>IF($I54="train",'MRV Calcs'!$E$25,0)</f>
        <v>0</v>
      </c>
      <c r="AB54" s="26">
        <f>IF($I54="train",($Q54*$AA54*'MRV Calcs'!$E$11)+($AA54*'MRV Calcs'!$E$12),0)</f>
        <v>0</v>
      </c>
      <c r="AC54" s="26">
        <f>IF($I54="train",'MRV Calcs'!$E$26,0)</f>
        <v>0</v>
      </c>
      <c r="AD54" s="26">
        <f>IF($I54="train",($Q54*$AC54*'MRV Calcs'!$E$7)+($AC54*'MRV Calcs'!$E$8),0)</f>
        <v>0</v>
      </c>
      <c r="AE54" s="26">
        <f>($Q54/30)*SUM('MRV Calcs'!$E$15:$E$16)</f>
        <v>3.121363497</v>
      </c>
      <c r="AF54" s="26">
        <f>'MRV Calcs'!$E$27</f>
        <v>71.2</v>
      </c>
      <c r="AG54" s="26">
        <f>(($Q54*1.1)*$AF54*'MRV Calcs'!$E$7)+($AF54*'MRV Calcs'!$E$8)</f>
        <v>0.2133859017</v>
      </c>
      <c r="AH54" s="26">
        <f>(($Q54*1.1)/20)*SUM('MRV Calcs'!$E$19:$E$20)</f>
        <v>0.02903296</v>
      </c>
      <c r="AI54" s="26">
        <f t="shared" si="3"/>
        <v>11.95932315</v>
      </c>
      <c r="AJ54" s="26">
        <f t="shared" si="4"/>
        <v>-11.95932315</v>
      </c>
      <c r="AK54" s="25">
        <f t="shared" si="13"/>
        <v>94.75631083</v>
      </c>
      <c r="AL54" s="28">
        <f t="shared" si="5"/>
        <v>-0.5799865737</v>
      </c>
      <c r="AM54" s="35"/>
      <c r="AN54" s="29"/>
      <c r="AO54" s="48"/>
      <c r="AP54" s="35"/>
      <c r="AQ54" s="35"/>
      <c r="AR54" s="35"/>
      <c r="AS54" s="35"/>
      <c r="AT54" s="35"/>
      <c r="AU54" s="35"/>
      <c r="AV54" s="35"/>
      <c r="AW54" s="35"/>
    </row>
    <row r="55">
      <c r="A55" s="17">
        <v>54.0</v>
      </c>
      <c r="B55" s="17" t="s">
        <v>243</v>
      </c>
      <c r="C55" s="18">
        <v>1768.0</v>
      </c>
      <c r="D55" s="18" t="s">
        <v>244</v>
      </c>
      <c r="E55" s="17"/>
      <c r="F55" s="17" t="s">
        <v>78</v>
      </c>
      <c r="G55" s="17" t="s">
        <v>79</v>
      </c>
      <c r="H55" s="17" t="s">
        <v>80</v>
      </c>
      <c r="I55" s="17" t="s">
        <v>81</v>
      </c>
      <c r="J55" s="19"/>
      <c r="K55" s="19" t="s">
        <v>82</v>
      </c>
      <c r="L55" s="19" t="s">
        <v>139</v>
      </c>
      <c r="M55" s="52"/>
      <c r="N55" s="20">
        <v>45615.0</v>
      </c>
      <c r="O55" s="20">
        <v>45620.0</v>
      </c>
      <c r="P55" s="20"/>
      <c r="Q55" s="22">
        <v>21.29</v>
      </c>
      <c r="R55" s="22"/>
      <c r="S55" s="23"/>
      <c r="T55" s="24"/>
      <c r="U55" s="25">
        <f t="shared" si="1"/>
        <v>0</v>
      </c>
      <c r="V55" s="26">
        <f>$Q55*('MRV Calcs'!$E$3+'MRV Calcs'!$E$4)</f>
        <v>3.14968385</v>
      </c>
      <c r="W55" s="27">
        <f t="shared" si="2"/>
        <v>2030</v>
      </c>
      <c r="X55" s="26">
        <f>IF($I55="truck",($Q55*$W55*'MRV Calcs'!$E$7)+($W55*'MRV Calcs'!$E$8),0)</f>
        <v>5.720087105</v>
      </c>
      <c r="Y55" s="26">
        <f>IF($I55="train",'MRV Calcs'!$E$24,0)</f>
        <v>0</v>
      </c>
      <c r="Z55" s="26">
        <f>IF($I55="train",($Q55*$Y55*'MRV Calcs'!$E$7)+($Y55*'MRV Calcs'!$E$8),0)</f>
        <v>0</v>
      </c>
      <c r="AA55" s="26">
        <f>IF($I55="train",'MRV Calcs'!$E$25,0)</f>
        <v>0</v>
      </c>
      <c r="AB55" s="26">
        <f>IF($I55="train",($Q55*$AA55*'MRV Calcs'!$E$11)+($AA55*'MRV Calcs'!$E$12),0)</f>
        <v>0</v>
      </c>
      <c r="AC55" s="26">
        <f>IF($I55="train",'MRV Calcs'!$E$26,0)</f>
        <v>0</v>
      </c>
      <c r="AD55" s="26">
        <f>IF($I55="train",($Q55*$AC55*'MRV Calcs'!$E$7)+($AC55*'MRV Calcs'!$E$8),0)</f>
        <v>0</v>
      </c>
      <c r="AE55" s="26">
        <f>($Q55/30)*SUM('MRV Calcs'!$E$15:$E$16)</f>
        <v>3.222785105</v>
      </c>
      <c r="AF55" s="26">
        <f>'MRV Calcs'!$E$27</f>
        <v>71.2</v>
      </c>
      <c r="AG55" s="26">
        <f>(($Q55*1.1)*$AF55*'MRV Calcs'!$E$7)+($AF55*'MRV Calcs'!$E$8)</f>
        <v>0.2201418338</v>
      </c>
      <c r="AH55" s="26">
        <f>(($Q55*1.1)/20)*SUM('MRV Calcs'!$E$19:$E$20)</f>
        <v>0.02997632</v>
      </c>
      <c r="AI55" s="26">
        <f t="shared" si="3"/>
        <v>12.34267421</v>
      </c>
      <c r="AJ55" s="26">
        <f t="shared" si="4"/>
        <v>-12.34267421</v>
      </c>
      <c r="AK55" s="25">
        <f t="shared" si="13"/>
        <v>82.41363662</v>
      </c>
      <c r="AL55" s="28">
        <f t="shared" si="5"/>
        <v>-0.5797404516</v>
      </c>
      <c r="AM55" s="35"/>
      <c r="AN55" s="29"/>
      <c r="AO55" s="48"/>
      <c r="AP55" s="35"/>
      <c r="AQ55" s="35"/>
      <c r="AR55" s="35"/>
      <c r="AS55" s="35"/>
      <c r="AT55" s="35"/>
      <c r="AU55" s="35"/>
      <c r="AV55" s="35"/>
      <c r="AW55" s="35"/>
    </row>
    <row r="56">
      <c r="A56" s="17">
        <v>55.0</v>
      </c>
      <c r="B56" s="17" t="s">
        <v>245</v>
      </c>
      <c r="C56" s="18">
        <v>1769.0</v>
      </c>
      <c r="D56" s="18" t="s">
        <v>244</v>
      </c>
      <c r="E56" s="17"/>
      <c r="F56" s="17" t="s">
        <v>78</v>
      </c>
      <c r="G56" s="17" t="s">
        <v>79</v>
      </c>
      <c r="H56" s="17" t="s">
        <v>80</v>
      </c>
      <c r="I56" s="17" t="s">
        <v>81</v>
      </c>
      <c r="J56" s="19"/>
      <c r="K56" s="19" t="s">
        <v>82</v>
      </c>
      <c r="L56" s="19" t="s">
        <v>86</v>
      </c>
      <c r="M56" s="52"/>
      <c r="N56" s="20">
        <v>45615.0</v>
      </c>
      <c r="O56" s="20">
        <v>45620.0</v>
      </c>
      <c r="P56" s="20"/>
      <c r="Q56" s="22">
        <v>20.55</v>
      </c>
      <c r="R56" s="22"/>
      <c r="S56" s="23"/>
      <c r="T56" s="24"/>
      <c r="U56" s="25">
        <f t="shared" si="1"/>
        <v>0</v>
      </c>
      <c r="V56" s="26">
        <f>$Q56*('MRV Calcs'!$E$3+'MRV Calcs'!$E$4)</f>
        <v>3.040206816</v>
      </c>
      <c r="W56" s="27">
        <f t="shared" si="2"/>
        <v>2030</v>
      </c>
      <c r="X56" s="26">
        <f>IF($I56="truck",($Q56*$W56*'MRV Calcs'!$E$7)+($W56*'MRV Calcs'!$E$8),0)</f>
        <v>5.526683061</v>
      </c>
      <c r="Y56" s="26">
        <f>IF($I56="train",'MRV Calcs'!$E$24,0)</f>
        <v>0</v>
      </c>
      <c r="Z56" s="26">
        <f>IF($I56="train",($Q56*$Y56*'MRV Calcs'!$E$7)+($Y56*'MRV Calcs'!$E$8),0)</f>
        <v>0</v>
      </c>
      <c r="AA56" s="26">
        <f>IF($I56="train",'MRV Calcs'!$E$25,0)</f>
        <v>0</v>
      </c>
      <c r="AB56" s="26">
        <f>IF($I56="train",($Q56*$AA56*'MRV Calcs'!$E$11)+($AA56*'MRV Calcs'!$E$12),0)</f>
        <v>0</v>
      </c>
      <c r="AC56" s="26">
        <f>IF($I56="train",'MRV Calcs'!$E$26,0)</f>
        <v>0</v>
      </c>
      <c r="AD56" s="26">
        <f>IF($I56="train",($Q56*$AC56*'MRV Calcs'!$E$7)+($AC56*'MRV Calcs'!$E$8),0)</f>
        <v>0</v>
      </c>
      <c r="AE56" s="26">
        <f>($Q56/30)*SUM('MRV Calcs'!$E$15:$E$16)</f>
        <v>3.11076721</v>
      </c>
      <c r="AF56" s="26">
        <f>'MRV Calcs'!$E$27</f>
        <v>71.2</v>
      </c>
      <c r="AG56" s="26">
        <f>(($Q56*1.1)*$AF56*'MRV Calcs'!$E$7)+($AF56*'MRV Calcs'!$E$8)</f>
        <v>0.2126800581</v>
      </c>
      <c r="AH56" s="26">
        <f>(($Q56*1.1)/20)*SUM('MRV Calcs'!$E$19:$E$20)</f>
        <v>0.0289344</v>
      </c>
      <c r="AI56" s="26">
        <f t="shared" si="3"/>
        <v>11.91927155</v>
      </c>
      <c r="AJ56" s="26">
        <f t="shared" si="4"/>
        <v>-11.91927155</v>
      </c>
      <c r="AK56" s="25">
        <f t="shared" si="13"/>
        <v>70.49436507</v>
      </c>
      <c r="AL56" s="28">
        <f t="shared" si="5"/>
        <v>-0.5800132139</v>
      </c>
      <c r="AM56" s="35"/>
      <c r="AN56" s="29"/>
      <c r="AO56" s="48"/>
      <c r="AP56" s="35"/>
      <c r="AQ56" s="35"/>
      <c r="AR56" s="35"/>
      <c r="AS56" s="35"/>
      <c r="AT56" s="35"/>
      <c r="AU56" s="35"/>
      <c r="AV56" s="35"/>
      <c r="AW56" s="35"/>
    </row>
    <row r="57">
      <c r="A57" s="17">
        <v>56.0</v>
      </c>
      <c r="B57" s="17" t="s">
        <v>246</v>
      </c>
      <c r="C57" s="18">
        <v>1770.0</v>
      </c>
      <c r="D57" s="18" t="s">
        <v>244</v>
      </c>
      <c r="E57" s="17"/>
      <c r="F57" s="17" t="s">
        <v>78</v>
      </c>
      <c r="G57" s="17" t="s">
        <v>79</v>
      </c>
      <c r="H57" s="17" t="s">
        <v>80</v>
      </c>
      <c r="I57" s="17" t="s">
        <v>81</v>
      </c>
      <c r="J57" s="19"/>
      <c r="K57" s="19" t="s">
        <v>82</v>
      </c>
      <c r="L57" s="19" t="s">
        <v>247</v>
      </c>
      <c r="M57" s="52"/>
      <c r="N57" s="20">
        <v>45615.0</v>
      </c>
      <c r="O57" s="20">
        <v>45620.0</v>
      </c>
      <c r="P57" s="20"/>
      <c r="Q57" s="22">
        <v>21.3</v>
      </c>
      <c r="R57" s="22"/>
      <c r="S57" s="23"/>
      <c r="T57" s="24"/>
      <c r="U57" s="25">
        <f t="shared" si="1"/>
        <v>0</v>
      </c>
      <c r="V57" s="26">
        <f>$Q57*('MRV Calcs'!$E$3+'MRV Calcs'!$E$4)</f>
        <v>3.151163269</v>
      </c>
      <c r="W57" s="27">
        <f t="shared" si="2"/>
        <v>2030</v>
      </c>
      <c r="X57" s="26">
        <f>IF($I57="truck",($Q57*$W57*'MRV Calcs'!$E$7)+($W57*'MRV Calcs'!$E$8),0)</f>
        <v>5.722700673</v>
      </c>
      <c r="Y57" s="26">
        <f>IF($I57="train",'MRV Calcs'!$E$24,0)</f>
        <v>0</v>
      </c>
      <c r="Z57" s="26">
        <f>IF($I57="train",($Q57*$Y57*'MRV Calcs'!$E$7)+($Y57*'MRV Calcs'!$E$8),0)</f>
        <v>0</v>
      </c>
      <c r="AA57" s="26">
        <f>IF($I57="train",'MRV Calcs'!$E$25,0)</f>
        <v>0</v>
      </c>
      <c r="AB57" s="26">
        <f>IF($I57="train",($Q57*$AA57*'MRV Calcs'!$E$11)+($AA57*'MRV Calcs'!$E$12),0)</f>
        <v>0</v>
      </c>
      <c r="AC57" s="26">
        <f>IF($I57="train",'MRV Calcs'!$E$26,0)</f>
        <v>0</v>
      </c>
      <c r="AD57" s="26">
        <f>IF($I57="train",($Q57*$AC57*'MRV Calcs'!$E$7)+($AC57*'MRV Calcs'!$E$8),0)</f>
        <v>0</v>
      </c>
      <c r="AE57" s="26">
        <f>($Q57/30)*SUM('MRV Calcs'!$E$15:$E$16)</f>
        <v>3.22429886</v>
      </c>
      <c r="AF57" s="26">
        <f>'MRV Calcs'!$E$27</f>
        <v>71.2</v>
      </c>
      <c r="AG57" s="26">
        <f>(($Q57*1.1)*$AF57*'MRV Calcs'!$E$7)+($AF57*'MRV Calcs'!$E$8)</f>
        <v>0.2202426686</v>
      </c>
      <c r="AH57" s="26">
        <f>(($Q57*1.1)/20)*SUM('MRV Calcs'!$E$19:$E$20)</f>
        <v>0.0299904</v>
      </c>
      <c r="AI57" s="26">
        <f t="shared" si="3"/>
        <v>12.34839587</v>
      </c>
      <c r="AJ57" s="26">
        <f t="shared" si="4"/>
        <v>-12.34839587</v>
      </c>
      <c r="AK57" s="25">
        <f t="shared" si="13"/>
        <v>58.1459692</v>
      </c>
      <c r="AL57" s="28">
        <f t="shared" si="5"/>
        <v>-0.5797368954</v>
      </c>
      <c r="AM57" s="35"/>
      <c r="AN57" s="29"/>
      <c r="AO57" s="48"/>
      <c r="AP57" s="35"/>
      <c r="AQ57" s="35"/>
      <c r="AR57" s="35"/>
      <c r="AS57" s="35"/>
      <c r="AT57" s="35"/>
      <c r="AU57" s="35"/>
      <c r="AV57" s="35"/>
      <c r="AW57" s="35"/>
    </row>
    <row r="58">
      <c r="A58" s="17">
        <v>57.0</v>
      </c>
      <c r="B58" s="17" t="s">
        <v>248</v>
      </c>
      <c r="C58" s="18">
        <v>1772.0</v>
      </c>
      <c r="D58" s="18" t="s">
        <v>249</v>
      </c>
      <c r="E58" s="17"/>
      <c r="F58" s="17" t="s">
        <v>78</v>
      </c>
      <c r="G58" s="17" t="s">
        <v>79</v>
      </c>
      <c r="H58" s="17" t="s">
        <v>80</v>
      </c>
      <c r="I58" s="17" t="s">
        <v>81</v>
      </c>
      <c r="J58" s="19"/>
      <c r="K58" s="19" t="s">
        <v>82</v>
      </c>
      <c r="L58" s="19" t="s">
        <v>242</v>
      </c>
      <c r="M58" s="52"/>
      <c r="N58" s="20">
        <v>45619.0</v>
      </c>
      <c r="O58" s="20">
        <v>45622.0</v>
      </c>
      <c r="P58" s="20"/>
      <c r="Q58" s="22">
        <v>20.52</v>
      </c>
      <c r="R58" s="22"/>
      <c r="S58" s="23"/>
      <c r="T58" s="24"/>
      <c r="U58" s="25">
        <f t="shared" si="1"/>
        <v>0</v>
      </c>
      <c r="V58" s="26">
        <f>$Q58*('MRV Calcs'!$E$3+'MRV Calcs'!$E$4)</f>
        <v>3.035768558</v>
      </c>
      <c r="W58" s="27">
        <f t="shared" si="2"/>
        <v>2030</v>
      </c>
      <c r="X58" s="26">
        <f>IF($I58="truck",($Q58*$W58*'MRV Calcs'!$E$7)+($W58*'MRV Calcs'!$E$8),0)</f>
        <v>5.518842357</v>
      </c>
      <c r="Y58" s="26">
        <f>IF($I58="train",'MRV Calcs'!$E$24,0)</f>
        <v>0</v>
      </c>
      <c r="Z58" s="26">
        <f>IF($I58="train",($Q58*$Y58*'MRV Calcs'!$E$7)+($Y58*'MRV Calcs'!$E$8),0)</f>
        <v>0</v>
      </c>
      <c r="AA58" s="26">
        <f>IF($I58="train",'MRV Calcs'!$E$25,0)</f>
        <v>0</v>
      </c>
      <c r="AB58" s="26">
        <f>IF($I58="train",($Q58*$AA58*'MRV Calcs'!$E$11)+($AA58*'MRV Calcs'!$E$12),0)</f>
        <v>0</v>
      </c>
      <c r="AC58" s="26">
        <f>IF($I58="train",'MRV Calcs'!$E$26,0)</f>
        <v>0</v>
      </c>
      <c r="AD58" s="26">
        <f>IF($I58="train",($Q58*$AC58*'MRV Calcs'!$E$7)+($AC58*'MRV Calcs'!$E$8),0)</f>
        <v>0</v>
      </c>
      <c r="AE58" s="26">
        <f>($Q58/30)*SUM('MRV Calcs'!$E$15:$E$16)</f>
        <v>3.106225944</v>
      </c>
      <c r="AF58" s="26">
        <f>'MRV Calcs'!$E$27</f>
        <v>71.2</v>
      </c>
      <c r="AG58" s="26">
        <f>(($Q58*1.1)*$AF58*'MRV Calcs'!$E$7)+($AF58*'MRV Calcs'!$E$8)</f>
        <v>0.2123775536</v>
      </c>
      <c r="AH58" s="26">
        <f>(($Q58*1.1)/20)*SUM('MRV Calcs'!$E$19:$E$20)</f>
        <v>0.02889216</v>
      </c>
      <c r="AI58" s="26">
        <f t="shared" si="3"/>
        <v>11.90210657</v>
      </c>
      <c r="AJ58" s="26">
        <f t="shared" si="4"/>
        <v>-11.90210657</v>
      </c>
      <c r="AK58" s="25">
        <f t="shared" si="13"/>
        <v>46.24386263</v>
      </c>
      <c r="AL58" s="28">
        <f t="shared" si="5"/>
        <v>-0.5800246868</v>
      </c>
      <c r="AM58" s="35"/>
      <c r="AN58" s="29"/>
      <c r="AO58" s="48"/>
      <c r="AP58" s="35"/>
      <c r="AQ58" s="35"/>
      <c r="AR58" s="35"/>
      <c r="AS58" s="35"/>
      <c r="AT58" s="35"/>
      <c r="AU58" s="35"/>
      <c r="AV58" s="35"/>
      <c r="AW58" s="35"/>
    </row>
    <row r="59">
      <c r="A59" s="17">
        <v>58.0</v>
      </c>
      <c r="B59" s="17" t="s">
        <v>250</v>
      </c>
      <c r="C59" s="18">
        <v>1773.0</v>
      </c>
      <c r="D59" s="18" t="s">
        <v>249</v>
      </c>
      <c r="E59" s="17"/>
      <c r="F59" s="17" t="s">
        <v>78</v>
      </c>
      <c r="G59" s="17" t="s">
        <v>79</v>
      </c>
      <c r="H59" s="17" t="s">
        <v>80</v>
      </c>
      <c r="I59" s="17" t="s">
        <v>81</v>
      </c>
      <c r="J59" s="19"/>
      <c r="K59" s="19" t="s">
        <v>233</v>
      </c>
      <c r="L59" s="19" t="s">
        <v>234</v>
      </c>
      <c r="M59" s="52"/>
      <c r="N59" s="20">
        <v>45620.0</v>
      </c>
      <c r="O59" s="20">
        <f t="shared" ref="O59:O64" si="14">N59+4</f>
        <v>45624</v>
      </c>
      <c r="P59" s="20"/>
      <c r="Q59" s="22">
        <v>19.58</v>
      </c>
      <c r="R59" s="22"/>
      <c r="S59" s="23"/>
      <c r="T59" s="24"/>
      <c r="U59" s="25">
        <f t="shared" si="1"/>
        <v>0</v>
      </c>
      <c r="V59" s="26">
        <f>$Q59*('MRV Calcs'!$E$3+'MRV Calcs'!$E$4)</f>
        <v>2.896703137</v>
      </c>
      <c r="W59" s="27">
        <f t="shared" si="2"/>
        <v>2030</v>
      </c>
      <c r="X59" s="26">
        <f>IF($I59="truck",($Q59*$W59*'MRV Calcs'!$E$7)+($W59*'MRV Calcs'!$E$8),0)</f>
        <v>5.27316695</v>
      </c>
      <c r="Y59" s="26">
        <f>IF($I59="train",'MRV Calcs'!$E$24,0)</f>
        <v>0</v>
      </c>
      <c r="Z59" s="26">
        <f>IF($I59="train",($Q59*$Y59*'MRV Calcs'!$E$7)+($Y59*'MRV Calcs'!$E$8),0)</f>
        <v>0</v>
      </c>
      <c r="AA59" s="26">
        <f>IF($I59="train",'MRV Calcs'!$E$25,0)</f>
        <v>0</v>
      </c>
      <c r="AB59" s="26">
        <f>IF($I59="train",($Q59*$AA59*'MRV Calcs'!$E$11)+($AA59*'MRV Calcs'!$E$12),0)</f>
        <v>0</v>
      </c>
      <c r="AC59" s="26">
        <f>IF($I59="train",'MRV Calcs'!$E$26,0)</f>
        <v>0</v>
      </c>
      <c r="AD59" s="26">
        <f>IF($I59="train",($Q59*$AC59*'MRV Calcs'!$E$7)+($AC59*'MRV Calcs'!$E$8),0)</f>
        <v>0</v>
      </c>
      <c r="AE59" s="26">
        <f>($Q59/30)*SUM('MRV Calcs'!$E$15:$E$16)</f>
        <v>2.963932943</v>
      </c>
      <c r="AF59" s="26">
        <f>'MRV Calcs'!$E$27</f>
        <v>71.2</v>
      </c>
      <c r="AG59" s="26">
        <f>(($Q59*1.1)*$AF59*'MRV Calcs'!$E$7)+($AF59*'MRV Calcs'!$E$8)</f>
        <v>0.2028990818</v>
      </c>
      <c r="AH59" s="26">
        <f>(($Q59*1.1)/20)*SUM('MRV Calcs'!$E$19:$E$20)</f>
        <v>0.02756864</v>
      </c>
      <c r="AI59" s="26">
        <f t="shared" si="3"/>
        <v>11.36427075</v>
      </c>
      <c r="AJ59" s="26">
        <f t="shared" si="4"/>
        <v>-11.36427075</v>
      </c>
      <c r="AK59" s="25">
        <f t="shared" si="13"/>
        <v>34.87959188</v>
      </c>
      <c r="AL59" s="28">
        <f t="shared" si="5"/>
        <v>-0.5804019791</v>
      </c>
      <c r="AM59" s="35"/>
      <c r="AN59" s="29"/>
      <c r="AO59" s="48"/>
      <c r="AP59" s="35"/>
      <c r="AQ59" s="35"/>
      <c r="AR59" s="35"/>
      <c r="AS59" s="35"/>
      <c r="AT59" s="35"/>
      <c r="AU59" s="35"/>
      <c r="AV59" s="35"/>
      <c r="AW59" s="35"/>
    </row>
    <row r="60">
      <c r="A60" s="17">
        <v>59.0</v>
      </c>
      <c r="B60" s="17" t="s">
        <v>251</v>
      </c>
      <c r="C60" s="18">
        <v>1776.0</v>
      </c>
      <c r="D60" s="18" t="s">
        <v>249</v>
      </c>
      <c r="E60" s="17"/>
      <c r="F60" s="17" t="s">
        <v>78</v>
      </c>
      <c r="G60" s="17" t="s">
        <v>79</v>
      </c>
      <c r="H60" s="17" t="s">
        <v>80</v>
      </c>
      <c r="I60" s="17" t="s">
        <v>81</v>
      </c>
      <c r="J60" s="19"/>
      <c r="K60" s="19" t="s">
        <v>233</v>
      </c>
      <c r="L60" s="19" t="s">
        <v>252</v>
      </c>
      <c r="M60" s="52"/>
      <c r="N60" s="20">
        <v>45621.0</v>
      </c>
      <c r="O60" s="20">
        <f t="shared" si="14"/>
        <v>45625</v>
      </c>
      <c r="P60" s="20"/>
      <c r="Q60" s="22">
        <v>19.5</v>
      </c>
      <c r="R60" s="22"/>
      <c r="S60" s="23"/>
      <c r="T60" s="24"/>
      <c r="U60" s="25">
        <f t="shared" si="1"/>
        <v>0</v>
      </c>
      <c r="V60" s="26">
        <f>$Q60*('MRV Calcs'!$E$3+'MRV Calcs'!$E$4)</f>
        <v>2.884867782</v>
      </c>
      <c r="W60" s="27">
        <f t="shared" si="2"/>
        <v>2030</v>
      </c>
      <c r="X60" s="26">
        <f>IF($I60="truck",($Q60*$W60*'MRV Calcs'!$E$7)+($W60*'MRV Calcs'!$E$8),0)</f>
        <v>5.252258404</v>
      </c>
      <c r="Y60" s="26">
        <f>IF($I60="train",'MRV Calcs'!$E$24,0)</f>
        <v>0</v>
      </c>
      <c r="Z60" s="26">
        <f>IF($I60="train",($Q60*$Y60*'MRV Calcs'!$E$7)+($Y60*'MRV Calcs'!$E$8),0)</f>
        <v>0</v>
      </c>
      <c r="AA60" s="26">
        <f>IF($I60="train",'MRV Calcs'!$E$25,0)</f>
        <v>0</v>
      </c>
      <c r="AB60" s="26">
        <f>IF($I60="train",($Q60*$AA60*'MRV Calcs'!$E$11)+($AA60*'MRV Calcs'!$E$12),0)</f>
        <v>0</v>
      </c>
      <c r="AC60" s="26">
        <f>IF($I60="train",'MRV Calcs'!$E$26,0)</f>
        <v>0</v>
      </c>
      <c r="AD60" s="26">
        <f>IF($I60="train",($Q60*$AC60*'MRV Calcs'!$E$7)+($AC60*'MRV Calcs'!$E$8),0)</f>
        <v>0</v>
      </c>
      <c r="AE60" s="26">
        <f>($Q60/30)*SUM('MRV Calcs'!$E$15:$E$16)</f>
        <v>2.9518229</v>
      </c>
      <c r="AF60" s="26">
        <f>'MRV Calcs'!$E$27</f>
        <v>71.2</v>
      </c>
      <c r="AG60" s="26">
        <f>(($Q60*1.1)*$AF60*'MRV Calcs'!$E$7)+($AF60*'MRV Calcs'!$E$8)</f>
        <v>0.2020924033</v>
      </c>
      <c r="AH60" s="26">
        <f>(($Q60*1.1)/20)*SUM('MRV Calcs'!$E$19:$E$20)</f>
        <v>0.027456</v>
      </c>
      <c r="AI60" s="26">
        <f t="shared" si="3"/>
        <v>11.31849749</v>
      </c>
      <c r="AJ60" s="26">
        <f t="shared" si="4"/>
        <v>-11.31849749</v>
      </c>
      <c r="AK60" s="25">
        <f t="shared" si="13"/>
        <v>23.56109439</v>
      </c>
      <c r="AL60" s="28">
        <f t="shared" si="5"/>
        <v>-0.5804357687</v>
      </c>
      <c r="AM60" s="35"/>
      <c r="AN60" s="29"/>
      <c r="AO60" s="48"/>
      <c r="AP60" s="35"/>
      <c r="AQ60" s="35"/>
      <c r="AR60" s="35"/>
      <c r="AS60" s="35"/>
      <c r="AT60" s="35"/>
      <c r="AU60" s="35"/>
      <c r="AV60" s="35"/>
      <c r="AW60" s="35"/>
    </row>
    <row r="61">
      <c r="A61" s="17">
        <v>60.0</v>
      </c>
      <c r="B61" s="17" t="s">
        <v>253</v>
      </c>
      <c r="C61" s="18">
        <v>1778.0</v>
      </c>
      <c r="D61" s="18" t="s">
        <v>249</v>
      </c>
      <c r="E61" s="17"/>
      <c r="F61" s="17" t="s">
        <v>78</v>
      </c>
      <c r="G61" s="17" t="s">
        <v>79</v>
      </c>
      <c r="H61" s="17" t="s">
        <v>80</v>
      </c>
      <c r="I61" s="17" t="s">
        <v>81</v>
      </c>
      <c r="J61" s="19"/>
      <c r="K61" s="19" t="s">
        <v>82</v>
      </c>
      <c r="L61" s="19" t="s">
        <v>86</v>
      </c>
      <c r="M61" s="52"/>
      <c r="N61" s="20">
        <v>45623.0</v>
      </c>
      <c r="O61" s="20">
        <f t="shared" si="14"/>
        <v>45627</v>
      </c>
      <c r="P61" s="20"/>
      <c r="Q61" s="22">
        <v>20.54</v>
      </c>
      <c r="R61" s="22"/>
      <c r="S61" s="23"/>
      <c r="T61" s="24"/>
      <c r="U61" s="25">
        <f t="shared" si="1"/>
        <v>0</v>
      </c>
      <c r="V61" s="26">
        <f>$Q61*('MRV Calcs'!$E$3+'MRV Calcs'!$E$4)</f>
        <v>3.038727397</v>
      </c>
      <c r="W61" s="27">
        <f t="shared" si="2"/>
        <v>2030</v>
      </c>
      <c r="X61" s="26">
        <f>IF($I61="truck",($Q61*$W61*'MRV Calcs'!$E$7)+($W61*'MRV Calcs'!$E$8),0)</f>
        <v>5.524069493</v>
      </c>
      <c r="Y61" s="26">
        <f>IF($I61="train",'MRV Calcs'!$E$24,0)</f>
        <v>0</v>
      </c>
      <c r="Z61" s="26">
        <f>IF($I61="train",($Q61*$Y61*'MRV Calcs'!$E$7)+($Y61*'MRV Calcs'!$E$8),0)</f>
        <v>0</v>
      </c>
      <c r="AA61" s="26">
        <f>IF($I61="train",'MRV Calcs'!$E$25,0)</f>
        <v>0</v>
      </c>
      <c r="AB61" s="26">
        <f>IF($I61="train",($Q61*$AA61*'MRV Calcs'!$E$11)+($AA61*'MRV Calcs'!$E$12),0)</f>
        <v>0</v>
      </c>
      <c r="AC61" s="26">
        <f>IF($I61="train",'MRV Calcs'!$E$26,0)</f>
        <v>0</v>
      </c>
      <c r="AD61" s="26">
        <f>IF($I61="train",($Q61*$AC61*'MRV Calcs'!$E$7)+($AC61*'MRV Calcs'!$E$8),0)</f>
        <v>0</v>
      </c>
      <c r="AE61" s="26">
        <f>($Q61/30)*SUM('MRV Calcs'!$E$15:$E$16)</f>
        <v>3.109253455</v>
      </c>
      <c r="AF61" s="26">
        <f>'MRV Calcs'!$E$27</f>
        <v>71.2</v>
      </c>
      <c r="AG61" s="26">
        <f>(($Q61*1.1)*$AF61*'MRV Calcs'!$E$7)+($AF61*'MRV Calcs'!$E$8)</f>
        <v>0.2125792232</v>
      </c>
      <c r="AH61" s="26">
        <f>(($Q61*1.1)/20)*SUM('MRV Calcs'!$E$19:$E$20)</f>
        <v>0.02892032</v>
      </c>
      <c r="AI61" s="26">
        <f t="shared" si="3"/>
        <v>11.91354989</v>
      </c>
      <c r="AJ61" s="26">
        <f t="shared" si="4"/>
        <v>-11.91354989</v>
      </c>
      <c r="AK61" s="25">
        <f t="shared" si="13"/>
        <v>11.6475445</v>
      </c>
      <c r="AL61" s="28">
        <f t="shared" si="5"/>
        <v>-0.5800170345</v>
      </c>
      <c r="AM61" s="35"/>
      <c r="AN61" s="29"/>
      <c r="AO61" s="48"/>
      <c r="AP61" s="35"/>
      <c r="AQ61" s="35"/>
      <c r="AR61" s="35"/>
      <c r="AS61" s="35"/>
      <c r="AT61" s="35"/>
      <c r="AU61" s="35"/>
      <c r="AV61" s="35"/>
      <c r="AW61" s="35"/>
    </row>
    <row r="62">
      <c r="A62" s="17">
        <v>61.0</v>
      </c>
      <c r="B62" s="17" t="s">
        <v>254</v>
      </c>
      <c r="C62" s="18">
        <v>1779.0</v>
      </c>
      <c r="D62" s="18" t="s">
        <v>249</v>
      </c>
      <c r="E62" s="17"/>
      <c r="F62" s="17" t="s">
        <v>78</v>
      </c>
      <c r="G62" s="17" t="s">
        <v>79</v>
      </c>
      <c r="H62" s="17" t="s">
        <v>80</v>
      </c>
      <c r="I62" s="17" t="s">
        <v>81</v>
      </c>
      <c r="J62" s="19"/>
      <c r="K62" s="19" t="s">
        <v>82</v>
      </c>
      <c r="L62" s="19" t="s">
        <v>247</v>
      </c>
      <c r="M62" s="52"/>
      <c r="N62" s="20">
        <v>45623.0</v>
      </c>
      <c r="O62" s="20">
        <f t="shared" si="14"/>
        <v>45627</v>
      </c>
      <c r="P62" s="20"/>
      <c r="Q62" s="22">
        <v>21.29</v>
      </c>
      <c r="R62" s="22"/>
      <c r="S62" s="23"/>
      <c r="T62" s="24"/>
      <c r="U62" s="25">
        <f t="shared" si="1"/>
        <v>0</v>
      </c>
      <c r="V62" s="26">
        <f>$Q62*('MRV Calcs'!$E$3+'MRV Calcs'!$E$4)</f>
        <v>3.14968385</v>
      </c>
      <c r="W62" s="27">
        <f t="shared" si="2"/>
        <v>2030</v>
      </c>
      <c r="X62" s="26">
        <f>IF($I62="truck",($Q62*$W62*'MRV Calcs'!$E$7)+($W62*'MRV Calcs'!$E$8),0)</f>
        <v>5.720087105</v>
      </c>
      <c r="Y62" s="26">
        <f>IF($I62="train",'MRV Calcs'!$E$24,0)</f>
        <v>0</v>
      </c>
      <c r="Z62" s="26">
        <f>IF($I62="train",($Q62*$Y62*'MRV Calcs'!$E$7)+($Y62*'MRV Calcs'!$E$8),0)</f>
        <v>0</v>
      </c>
      <c r="AA62" s="26">
        <f>IF($I62="train",'MRV Calcs'!$E$25,0)</f>
        <v>0</v>
      </c>
      <c r="AB62" s="26">
        <f>IF($I62="train",($Q62*$AA62*'MRV Calcs'!$E$11)+($AA62*'MRV Calcs'!$E$12),0)</f>
        <v>0</v>
      </c>
      <c r="AC62" s="26">
        <f>IF($I62="train",'MRV Calcs'!$E$26,0)</f>
        <v>0</v>
      </c>
      <c r="AD62" s="26">
        <f>IF($I62="train",($Q62*$AC62*'MRV Calcs'!$E$7)+($AC62*'MRV Calcs'!$E$8),0)</f>
        <v>0</v>
      </c>
      <c r="AE62" s="26">
        <f>($Q62/30)*SUM('MRV Calcs'!$E$15:$E$16)</f>
        <v>3.222785105</v>
      </c>
      <c r="AF62" s="26">
        <f>'MRV Calcs'!$E$27</f>
        <v>71.2</v>
      </c>
      <c r="AG62" s="26">
        <f>(($Q62*1.1)*$AF62*'MRV Calcs'!$E$7)+($AF62*'MRV Calcs'!$E$8)</f>
        <v>0.2201418338</v>
      </c>
      <c r="AH62" s="26">
        <f>(($Q62*1.1)/20)*SUM('MRV Calcs'!$E$19:$E$20)</f>
        <v>0.02997632</v>
      </c>
      <c r="AI62" s="26">
        <f t="shared" si="3"/>
        <v>12.34267421</v>
      </c>
      <c r="AJ62" s="26">
        <f t="shared" si="4"/>
        <v>-12.34267421</v>
      </c>
      <c r="AK62" s="25">
        <f t="shared" si="13"/>
        <v>-0.6951297133</v>
      </c>
      <c r="AL62" s="28">
        <f t="shared" si="5"/>
        <v>-0.5797404516</v>
      </c>
      <c r="AM62" s="35"/>
      <c r="AN62" s="29"/>
      <c r="AO62" s="48"/>
      <c r="AP62" s="35"/>
      <c r="AQ62" s="35"/>
      <c r="AR62" s="35"/>
      <c r="AS62" s="35"/>
      <c r="AT62" s="35"/>
      <c r="AU62" s="35"/>
      <c r="AV62" s="35"/>
      <c r="AW62" s="35"/>
    </row>
    <row r="63">
      <c r="A63" s="17">
        <v>62.0</v>
      </c>
      <c r="B63" s="17" t="s">
        <v>255</v>
      </c>
      <c r="C63" s="18">
        <v>1780.0</v>
      </c>
      <c r="D63" s="18" t="s">
        <v>249</v>
      </c>
      <c r="E63" s="17"/>
      <c r="F63" s="17" t="s">
        <v>78</v>
      </c>
      <c r="G63" s="17" t="s">
        <v>79</v>
      </c>
      <c r="H63" s="17" t="s">
        <v>80</v>
      </c>
      <c r="I63" s="17" t="s">
        <v>81</v>
      </c>
      <c r="J63" s="19"/>
      <c r="K63" s="19" t="s">
        <v>233</v>
      </c>
      <c r="L63" s="19" t="s">
        <v>256</v>
      </c>
      <c r="M63" s="52"/>
      <c r="N63" s="20">
        <v>45623.0</v>
      </c>
      <c r="O63" s="20">
        <f t="shared" si="14"/>
        <v>45627</v>
      </c>
      <c r="P63" s="20"/>
      <c r="Q63" s="22">
        <v>20.2</v>
      </c>
      <c r="R63" s="22"/>
      <c r="S63" s="23"/>
      <c r="T63" s="24"/>
      <c r="U63" s="25">
        <f t="shared" si="1"/>
        <v>0</v>
      </c>
      <c r="V63" s="26">
        <f>$Q63*('MRV Calcs'!$E$3+'MRV Calcs'!$E$4)</f>
        <v>2.988427138</v>
      </c>
      <c r="W63" s="27">
        <f t="shared" si="2"/>
        <v>2030</v>
      </c>
      <c r="X63" s="26">
        <f>IF($I63="truck",($Q63*$W63*'MRV Calcs'!$E$7)+($W63*'MRV Calcs'!$E$8),0)</f>
        <v>5.435208176</v>
      </c>
      <c r="Y63" s="26">
        <f>IF($I63="train",'MRV Calcs'!$E$24,0)</f>
        <v>0</v>
      </c>
      <c r="Z63" s="26">
        <f>IF($I63="train",($Q63*$Y63*'MRV Calcs'!$E$7)+($Y63*'MRV Calcs'!$E$8),0)</f>
        <v>0</v>
      </c>
      <c r="AA63" s="26">
        <f>IF($I63="train",'MRV Calcs'!$E$25,0)</f>
        <v>0</v>
      </c>
      <c r="AB63" s="26">
        <f>IF($I63="train",($Q63*$AA63*'MRV Calcs'!$E$11)+($AA63*'MRV Calcs'!$E$12),0)</f>
        <v>0</v>
      </c>
      <c r="AC63" s="26">
        <f>IF($I63="train",'MRV Calcs'!$E$26,0)</f>
        <v>0</v>
      </c>
      <c r="AD63" s="26">
        <f>IF($I63="train",($Q63*$AC63*'MRV Calcs'!$E$7)+($AC63*'MRV Calcs'!$E$8),0)</f>
        <v>0</v>
      </c>
      <c r="AE63" s="26">
        <f>($Q63/30)*SUM('MRV Calcs'!$E$15:$E$16)</f>
        <v>3.057785773</v>
      </c>
      <c r="AF63" s="26">
        <f>'MRV Calcs'!$E$27</f>
        <v>71.2</v>
      </c>
      <c r="AG63" s="26">
        <f>(($Q63*1.1)*$AF63*'MRV Calcs'!$E$7)+($AF63*'MRV Calcs'!$E$8)</f>
        <v>0.2091508398</v>
      </c>
      <c r="AH63" s="26">
        <f>(($Q63*1.1)/20)*SUM('MRV Calcs'!$E$19:$E$20)</f>
        <v>0.0284416</v>
      </c>
      <c r="AI63" s="26">
        <f t="shared" si="3"/>
        <v>11.71901353</v>
      </c>
      <c r="AJ63" s="26">
        <f t="shared" si="4"/>
        <v>-11.71901353</v>
      </c>
      <c r="AK63" s="25">
        <f t="shared" si="13"/>
        <v>-12.41414324</v>
      </c>
      <c r="AL63" s="28">
        <f t="shared" si="5"/>
        <v>-0.5801491845</v>
      </c>
      <c r="AM63" s="35"/>
      <c r="AN63" s="29"/>
      <c r="AO63" s="48"/>
      <c r="AP63" s="35"/>
      <c r="AQ63" s="35"/>
      <c r="AR63" s="35"/>
      <c r="AS63" s="35"/>
      <c r="AT63" s="35"/>
      <c r="AU63" s="35"/>
      <c r="AV63" s="35"/>
      <c r="AW63" s="35"/>
    </row>
    <row r="64">
      <c r="A64" s="17">
        <v>63.0</v>
      </c>
      <c r="B64" s="17" t="s">
        <v>257</v>
      </c>
      <c r="C64" s="18">
        <v>1781.0</v>
      </c>
      <c r="D64" s="18" t="s">
        <v>249</v>
      </c>
      <c r="E64" s="17"/>
      <c r="F64" s="17" t="s">
        <v>78</v>
      </c>
      <c r="G64" s="17" t="s">
        <v>79</v>
      </c>
      <c r="H64" s="17" t="s">
        <v>80</v>
      </c>
      <c r="I64" s="17" t="s">
        <v>81</v>
      </c>
      <c r="J64" s="17"/>
      <c r="K64" s="19" t="s">
        <v>233</v>
      </c>
      <c r="L64" s="17" t="s">
        <v>258</v>
      </c>
      <c r="M64" s="52"/>
      <c r="N64" s="20">
        <v>45624.0</v>
      </c>
      <c r="O64" s="20">
        <f t="shared" si="14"/>
        <v>45628</v>
      </c>
      <c r="P64" s="20"/>
      <c r="Q64" s="22">
        <v>19.83</v>
      </c>
      <c r="R64" s="22"/>
      <c r="S64" s="23"/>
      <c r="T64" s="24"/>
      <c r="U64" s="25">
        <f t="shared" si="1"/>
        <v>0</v>
      </c>
      <c r="V64" s="26">
        <f>$Q64*('MRV Calcs'!$E$3+'MRV Calcs'!$E$4)</f>
        <v>2.933688621</v>
      </c>
      <c r="W64" s="27">
        <f t="shared" si="2"/>
        <v>2030</v>
      </c>
      <c r="X64" s="26">
        <f>IF($I64="truck",($Q64*$W64*'MRV Calcs'!$E$7)+($W64*'MRV Calcs'!$E$8),0)</f>
        <v>5.338506154</v>
      </c>
      <c r="Y64" s="26">
        <f>IF($I64="train",'MRV Calcs'!$E$24,0)</f>
        <v>0</v>
      </c>
      <c r="Z64" s="26">
        <f>IF($I64="train",($Q64*$Y64*'MRV Calcs'!$E$7)+($Y64*'MRV Calcs'!$E$8),0)</f>
        <v>0</v>
      </c>
      <c r="AA64" s="26">
        <f>IF($I64="train",'MRV Calcs'!$E$25,0)</f>
        <v>0</v>
      </c>
      <c r="AB64" s="26">
        <f>IF($I64="train",($Q64*$AA64*'MRV Calcs'!$E$11)+($AA64*'MRV Calcs'!$E$12),0)</f>
        <v>0</v>
      </c>
      <c r="AC64" s="26">
        <f>IF($I64="train",'MRV Calcs'!$E$26,0)</f>
        <v>0</v>
      </c>
      <c r="AD64" s="26">
        <f>IF($I64="train",($Q64*$AC64*'MRV Calcs'!$E$7)+($AC64*'MRV Calcs'!$E$8),0)</f>
        <v>0</v>
      </c>
      <c r="AE64" s="26">
        <f>($Q64/30)*SUM('MRV Calcs'!$E$15:$E$16)</f>
        <v>3.001776826</v>
      </c>
      <c r="AF64" s="26">
        <f>'MRV Calcs'!$E$27</f>
        <v>71.2</v>
      </c>
      <c r="AG64" s="26">
        <f>(($Q64*1.1)*$AF64*'MRV Calcs'!$E$7)+($AF64*'MRV Calcs'!$E$8)</f>
        <v>0.2054199519</v>
      </c>
      <c r="AH64" s="26">
        <f>(($Q64*1.1)/20)*SUM('MRV Calcs'!$E$19:$E$20)</f>
        <v>0.02792064</v>
      </c>
      <c r="AI64" s="26">
        <f t="shared" si="3"/>
        <v>11.50731219</v>
      </c>
      <c r="AJ64" s="26">
        <f t="shared" si="4"/>
        <v>-11.50731219</v>
      </c>
      <c r="AK64" s="25">
        <f t="shared" si="13"/>
        <v>-23.92145543</v>
      </c>
      <c r="AL64" s="28">
        <f t="shared" si="5"/>
        <v>-0.5802981439</v>
      </c>
      <c r="AM64" s="35"/>
      <c r="AN64" s="29"/>
      <c r="AO64" s="48"/>
      <c r="AP64" s="35"/>
      <c r="AQ64" s="35"/>
      <c r="AR64" s="35"/>
      <c r="AS64" s="35"/>
      <c r="AT64" s="35"/>
      <c r="AU64" s="35"/>
      <c r="AV64" s="35"/>
      <c r="AW64" s="35"/>
    </row>
    <row r="65">
      <c r="A65" s="17">
        <v>64.0</v>
      </c>
      <c r="B65" s="17" t="s">
        <v>259</v>
      </c>
      <c r="C65" s="18">
        <v>1785.0</v>
      </c>
      <c r="D65" s="18" t="s">
        <v>260</v>
      </c>
      <c r="E65" s="17"/>
      <c r="F65" s="17" t="s">
        <v>78</v>
      </c>
      <c r="G65" s="17" t="s">
        <v>79</v>
      </c>
      <c r="H65" s="17" t="s">
        <v>80</v>
      </c>
      <c r="I65" s="17" t="s">
        <v>81</v>
      </c>
      <c r="J65" s="19"/>
      <c r="K65" s="19" t="s">
        <v>233</v>
      </c>
      <c r="L65" s="19" t="s">
        <v>261</v>
      </c>
      <c r="M65" s="52"/>
      <c r="N65" s="20">
        <v>45625.0</v>
      </c>
      <c r="O65" s="20">
        <v>45630.0</v>
      </c>
      <c r="P65" s="20"/>
      <c r="Q65" s="22">
        <v>19.86</v>
      </c>
      <c r="R65" s="22"/>
      <c r="S65" s="23"/>
      <c r="T65" s="24"/>
      <c r="U65" s="25">
        <f t="shared" si="1"/>
        <v>0</v>
      </c>
      <c r="V65" s="26">
        <f>$Q65*('MRV Calcs'!$E$3+'MRV Calcs'!$E$4)</f>
        <v>2.938126879</v>
      </c>
      <c r="W65" s="27">
        <f t="shared" si="2"/>
        <v>2030</v>
      </c>
      <c r="X65" s="26">
        <f>IF($I65="truck",($Q65*$W65*'MRV Calcs'!$E$7)+($W65*'MRV Calcs'!$E$8),0)</f>
        <v>5.346346858</v>
      </c>
      <c r="Y65" s="26">
        <f>IF($I65="train",'MRV Calcs'!$E$24,0)</f>
        <v>0</v>
      </c>
      <c r="Z65" s="26">
        <f>IF($I65="train",($Q65*$Y65*'MRV Calcs'!$E$7)+($Y65*'MRV Calcs'!$E$8),0)</f>
        <v>0</v>
      </c>
      <c r="AA65" s="26">
        <f>IF($I65="train",'MRV Calcs'!$E$25,0)</f>
        <v>0</v>
      </c>
      <c r="AB65" s="26">
        <f>IF($I65="train",($Q65*$AA65*'MRV Calcs'!$E$11)+($AA65*'MRV Calcs'!$E$12),0)</f>
        <v>0</v>
      </c>
      <c r="AC65" s="26">
        <f>IF($I65="train",'MRV Calcs'!$E$26,0)</f>
        <v>0</v>
      </c>
      <c r="AD65" s="26">
        <f>IF($I65="train",($Q65*$AC65*'MRV Calcs'!$E$7)+($AC65*'MRV Calcs'!$E$8),0)</f>
        <v>0</v>
      </c>
      <c r="AE65" s="26">
        <f>($Q65/30)*SUM('MRV Calcs'!$E$15:$E$16)</f>
        <v>3.006318092</v>
      </c>
      <c r="AF65" s="26">
        <f>'MRV Calcs'!$E$27</f>
        <v>71.2</v>
      </c>
      <c r="AG65" s="26">
        <f>(($Q65*1.1)*$AF65*'MRV Calcs'!$E$7)+($AF65*'MRV Calcs'!$E$8)</f>
        <v>0.2057224564</v>
      </c>
      <c r="AH65" s="26">
        <f>(($Q65*1.1)/20)*SUM('MRV Calcs'!$E$19:$E$20)</f>
        <v>0.02796288</v>
      </c>
      <c r="AI65" s="26">
        <f t="shared" si="3"/>
        <v>11.52447717</v>
      </c>
      <c r="AJ65" s="26">
        <f t="shared" si="4"/>
        <v>-11.52447717</v>
      </c>
      <c r="AK65" s="25">
        <f t="shared" si="13"/>
        <v>-35.4459326</v>
      </c>
      <c r="AL65" s="28">
        <f t="shared" si="5"/>
        <v>-0.5802858593</v>
      </c>
      <c r="AM65" s="35"/>
      <c r="AN65" s="29"/>
      <c r="AO65" s="48"/>
      <c r="AP65" s="35"/>
      <c r="AQ65" s="35"/>
      <c r="AR65" s="35"/>
      <c r="AS65" s="35"/>
      <c r="AT65" s="35"/>
      <c r="AU65" s="35"/>
      <c r="AV65" s="35"/>
      <c r="AW65" s="35"/>
    </row>
    <row r="66">
      <c r="A66" s="17">
        <v>65.0</v>
      </c>
      <c r="B66" s="17" t="s">
        <v>262</v>
      </c>
      <c r="C66" s="18">
        <v>1786.0</v>
      </c>
      <c r="D66" s="18" t="s">
        <v>260</v>
      </c>
      <c r="E66" s="17"/>
      <c r="F66" s="17" t="s">
        <v>78</v>
      </c>
      <c r="G66" s="17" t="s">
        <v>79</v>
      </c>
      <c r="H66" s="17" t="s">
        <v>80</v>
      </c>
      <c r="I66" s="17" t="s">
        <v>81</v>
      </c>
      <c r="J66" s="19"/>
      <c r="K66" s="19" t="s">
        <v>82</v>
      </c>
      <c r="L66" s="19" t="s">
        <v>242</v>
      </c>
      <c r="M66" s="52"/>
      <c r="N66" s="20">
        <v>45627.0</v>
      </c>
      <c r="O66" s="20">
        <f t="shared" ref="O66:O69" si="15">N66+4</f>
        <v>45631</v>
      </c>
      <c r="P66" s="20"/>
      <c r="Q66" s="22">
        <v>20.18</v>
      </c>
      <c r="R66" s="22"/>
      <c r="S66" s="23"/>
      <c r="T66" s="24"/>
      <c r="U66" s="25">
        <f t="shared" si="1"/>
        <v>0</v>
      </c>
      <c r="V66" s="26">
        <f>$Q66*('MRV Calcs'!$E$3+'MRV Calcs'!$E$4)</f>
        <v>2.985468299</v>
      </c>
      <c r="W66" s="27">
        <f t="shared" si="2"/>
        <v>2030</v>
      </c>
      <c r="X66" s="26">
        <f>IF($I66="truck",($Q66*$W66*'MRV Calcs'!$E$7)+($W66*'MRV Calcs'!$E$8),0)</f>
        <v>5.429981039</v>
      </c>
      <c r="Y66" s="26">
        <f>IF($I66="train",'MRV Calcs'!$E$24,0)</f>
        <v>0</v>
      </c>
      <c r="Z66" s="26">
        <f>IF($I66="train",($Q66*$Y66*'MRV Calcs'!$E$7)+($Y66*'MRV Calcs'!$E$8),0)</f>
        <v>0</v>
      </c>
      <c r="AA66" s="26">
        <f>IF($I66="train",'MRV Calcs'!$E$25,0)</f>
        <v>0</v>
      </c>
      <c r="AB66" s="26">
        <f>IF($I66="train",($Q66*$AA66*'MRV Calcs'!$E$11)+($AA66*'MRV Calcs'!$E$12),0)</f>
        <v>0</v>
      </c>
      <c r="AC66" s="26">
        <f>IF($I66="train",'MRV Calcs'!$E$26,0)</f>
        <v>0</v>
      </c>
      <c r="AD66" s="26">
        <f>IF($I66="train",($Q66*$AC66*'MRV Calcs'!$E$7)+($AC66*'MRV Calcs'!$E$8),0)</f>
        <v>0</v>
      </c>
      <c r="AE66" s="26">
        <f>($Q66/30)*SUM('MRV Calcs'!$E$15:$E$16)</f>
        <v>3.054758263</v>
      </c>
      <c r="AF66" s="26">
        <f>'MRV Calcs'!$E$27</f>
        <v>71.2</v>
      </c>
      <c r="AG66" s="26">
        <f>(($Q66*1.1)*$AF66*'MRV Calcs'!$E$7)+($AF66*'MRV Calcs'!$E$8)</f>
        <v>0.2089491702</v>
      </c>
      <c r="AH66" s="26">
        <f>(($Q66*1.1)/20)*SUM('MRV Calcs'!$E$19:$E$20)</f>
        <v>0.02841344</v>
      </c>
      <c r="AI66" s="26">
        <f t="shared" si="3"/>
        <v>11.70757021</v>
      </c>
      <c r="AJ66" s="26">
        <f t="shared" si="4"/>
        <v>-11.70757021</v>
      </c>
      <c r="AK66" s="25">
        <f t="shared" si="13"/>
        <v>-47.15350281</v>
      </c>
      <c r="AL66" s="28">
        <f t="shared" si="5"/>
        <v>-0.5801570967</v>
      </c>
      <c r="AM66" s="35"/>
      <c r="AN66" s="29"/>
      <c r="AO66" s="48"/>
      <c r="AP66" s="35"/>
      <c r="AQ66" s="35"/>
      <c r="AR66" s="35"/>
      <c r="AS66" s="35"/>
      <c r="AT66" s="35"/>
      <c r="AU66" s="35"/>
      <c r="AV66" s="35"/>
      <c r="AW66" s="35"/>
    </row>
    <row r="67">
      <c r="A67" s="17">
        <v>66.0</v>
      </c>
      <c r="B67" s="17" t="s">
        <v>263</v>
      </c>
      <c r="C67" s="18">
        <v>1788.0</v>
      </c>
      <c r="D67" s="18" t="s">
        <v>260</v>
      </c>
      <c r="E67" s="17"/>
      <c r="F67" s="17" t="s">
        <v>78</v>
      </c>
      <c r="G67" s="17" t="s">
        <v>79</v>
      </c>
      <c r="H67" s="17" t="s">
        <v>80</v>
      </c>
      <c r="I67" s="17" t="s">
        <v>81</v>
      </c>
      <c r="J67" s="19"/>
      <c r="K67" s="19" t="s">
        <v>233</v>
      </c>
      <c r="L67" s="19" t="s">
        <v>264</v>
      </c>
      <c r="M67" s="52"/>
      <c r="N67" s="20">
        <v>45628.0</v>
      </c>
      <c r="O67" s="20">
        <f t="shared" si="15"/>
        <v>45632</v>
      </c>
      <c r="P67" s="20"/>
      <c r="Q67" s="22">
        <v>20.66</v>
      </c>
      <c r="R67" s="22"/>
      <c r="S67" s="23"/>
      <c r="T67" s="24"/>
      <c r="U67" s="25">
        <f t="shared" si="1"/>
        <v>0</v>
      </c>
      <c r="V67" s="26">
        <f>$Q67*('MRV Calcs'!$E$3+'MRV Calcs'!$E$4)</f>
        <v>3.056480429</v>
      </c>
      <c r="W67" s="27">
        <f t="shared" si="2"/>
        <v>2030</v>
      </c>
      <c r="X67" s="26">
        <f>IF($I67="truck",($Q67*$W67*'MRV Calcs'!$E$7)+($W67*'MRV Calcs'!$E$8),0)</f>
        <v>5.555432311</v>
      </c>
      <c r="Y67" s="26">
        <f>IF($I67="train",'MRV Calcs'!$E$24,0)</f>
        <v>0</v>
      </c>
      <c r="Z67" s="26">
        <f>IF($I67="train",($Q67*$Y67*'MRV Calcs'!$E$7)+($Y67*'MRV Calcs'!$E$8),0)</f>
        <v>0</v>
      </c>
      <c r="AA67" s="26">
        <f>IF($I67="train",'MRV Calcs'!$E$25,0)</f>
        <v>0</v>
      </c>
      <c r="AB67" s="26">
        <f>IF($I67="train",($Q67*$AA67*'MRV Calcs'!$E$11)+($AA67*'MRV Calcs'!$E$12),0)</f>
        <v>0</v>
      </c>
      <c r="AC67" s="26">
        <f>IF($I67="train",'MRV Calcs'!$E$26,0)</f>
        <v>0</v>
      </c>
      <c r="AD67" s="26">
        <f>IF($I67="train",($Q67*$AC67*'MRV Calcs'!$E$7)+($AC67*'MRV Calcs'!$E$8),0)</f>
        <v>0</v>
      </c>
      <c r="AE67" s="26">
        <f>($Q67/30)*SUM('MRV Calcs'!$E$15:$E$16)</f>
        <v>3.127418519</v>
      </c>
      <c r="AF67" s="26">
        <f>'MRV Calcs'!$E$27</f>
        <v>71.2</v>
      </c>
      <c r="AG67" s="26">
        <f>(($Q67*1.1)*$AF67*'MRV Calcs'!$E$7)+($AF67*'MRV Calcs'!$E$8)</f>
        <v>0.2137892409</v>
      </c>
      <c r="AH67" s="26">
        <f>(($Q67*1.1)/20)*SUM('MRV Calcs'!$E$19:$E$20)</f>
        <v>0.02908928</v>
      </c>
      <c r="AI67" s="26">
        <f t="shared" si="3"/>
        <v>11.98220978</v>
      </c>
      <c r="AJ67" s="26">
        <f t="shared" si="4"/>
        <v>-11.98220978</v>
      </c>
      <c r="AK67" s="25">
        <f t="shared" ref="AK67:AK69" si="16">AJ67+AK63</f>
        <v>-24.39635302</v>
      </c>
      <c r="AL67" s="28">
        <f t="shared" si="5"/>
        <v>-0.5799714318</v>
      </c>
      <c r="AM67" s="35"/>
      <c r="AN67" s="29"/>
      <c r="AO67" s="48"/>
      <c r="AP67" s="35"/>
      <c r="AQ67" s="35"/>
      <c r="AR67" s="35"/>
      <c r="AS67" s="35"/>
      <c r="AT67" s="35"/>
      <c r="AU67" s="35"/>
      <c r="AV67" s="35"/>
      <c r="AW67" s="35"/>
    </row>
    <row r="68">
      <c r="A68" s="17">
        <v>67.0</v>
      </c>
      <c r="B68" s="17" t="s">
        <v>265</v>
      </c>
      <c r="C68" s="18">
        <v>1790.0</v>
      </c>
      <c r="D68" s="18" t="s">
        <v>266</v>
      </c>
      <c r="E68" s="17"/>
      <c r="F68" s="17" t="s">
        <v>78</v>
      </c>
      <c r="G68" s="17" t="s">
        <v>79</v>
      </c>
      <c r="H68" s="17" t="s">
        <v>80</v>
      </c>
      <c r="I68" s="17" t="s">
        <v>81</v>
      </c>
      <c r="J68" s="19"/>
      <c r="K68" s="19" t="s">
        <v>233</v>
      </c>
      <c r="L68" s="19" t="s">
        <v>236</v>
      </c>
      <c r="M68" s="52"/>
      <c r="N68" s="20">
        <v>45629.0</v>
      </c>
      <c r="O68" s="20">
        <f t="shared" si="15"/>
        <v>45633</v>
      </c>
      <c r="P68" s="20"/>
      <c r="Q68" s="22">
        <v>20.57</v>
      </c>
      <c r="R68" s="22"/>
      <c r="S68" s="23"/>
      <c r="T68" s="24"/>
      <c r="U68" s="25">
        <f t="shared" si="1"/>
        <v>0</v>
      </c>
      <c r="V68" s="26">
        <f>$Q68*('MRV Calcs'!$E$3+'MRV Calcs'!$E$4)</f>
        <v>3.043165655</v>
      </c>
      <c r="W68" s="27">
        <f t="shared" si="2"/>
        <v>2030</v>
      </c>
      <c r="X68" s="26">
        <f>IF($I68="truck",($Q68*$W68*'MRV Calcs'!$E$7)+($W68*'MRV Calcs'!$E$8),0)</f>
        <v>5.531910198</v>
      </c>
      <c r="Y68" s="26">
        <f>IF($I68="train",'MRV Calcs'!$E$24,0)</f>
        <v>0</v>
      </c>
      <c r="Z68" s="26">
        <f>IF($I68="train",($Q68*$Y68*'MRV Calcs'!$E$7)+($Y68*'MRV Calcs'!$E$8),0)</f>
        <v>0</v>
      </c>
      <c r="AA68" s="26">
        <f>IF($I68="train",'MRV Calcs'!$E$25,0)</f>
        <v>0</v>
      </c>
      <c r="AB68" s="26">
        <f>IF($I68="train",($Q68*$AA68*'MRV Calcs'!$E$11)+($AA68*'MRV Calcs'!$E$12),0)</f>
        <v>0</v>
      </c>
      <c r="AC68" s="26">
        <f>IF($I68="train",'MRV Calcs'!$E$26,0)</f>
        <v>0</v>
      </c>
      <c r="AD68" s="26">
        <f>IF($I68="train",($Q68*$AC68*'MRV Calcs'!$E$7)+($AC68*'MRV Calcs'!$E$8),0)</f>
        <v>0</v>
      </c>
      <c r="AE68" s="26">
        <f>($Q68/30)*SUM('MRV Calcs'!$E$15:$E$16)</f>
        <v>3.113794721</v>
      </c>
      <c r="AF68" s="26">
        <f>'MRV Calcs'!$E$27</f>
        <v>71.2</v>
      </c>
      <c r="AG68" s="26">
        <f>(($Q68*1.1)*$AF68*'MRV Calcs'!$E$7)+($AF68*'MRV Calcs'!$E$8)</f>
        <v>0.2128817277</v>
      </c>
      <c r="AH68" s="26">
        <f>(($Q68*1.1)/20)*SUM('MRV Calcs'!$E$19:$E$20)</f>
        <v>0.02896256</v>
      </c>
      <c r="AI68" s="26">
        <f t="shared" si="3"/>
        <v>11.93071486</v>
      </c>
      <c r="AJ68" s="26">
        <f t="shared" si="4"/>
        <v>-11.93071486</v>
      </c>
      <c r="AK68" s="25">
        <f t="shared" si="16"/>
        <v>-35.85217029</v>
      </c>
      <c r="AL68" s="28">
        <f t="shared" si="5"/>
        <v>-0.5800055839</v>
      </c>
      <c r="AM68" s="35"/>
      <c r="AN68" s="29"/>
      <c r="AO68" s="48"/>
      <c r="AP68" s="35"/>
      <c r="AQ68" s="35"/>
      <c r="AR68" s="35"/>
      <c r="AS68" s="35"/>
      <c r="AT68" s="35"/>
      <c r="AU68" s="35"/>
      <c r="AV68" s="35"/>
      <c r="AW68" s="35"/>
    </row>
    <row r="69">
      <c r="A69" s="17">
        <v>68.0</v>
      </c>
      <c r="B69" s="17" t="s">
        <v>267</v>
      </c>
      <c r="C69" s="18">
        <v>1792.0</v>
      </c>
      <c r="D69" s="18" t="s">
        <v>266</v>
      </c>
      <c r="E69" s="17"/>
      <c r="F69" s="17" t="s">
        <v>78</v>
      </c>
      <c r="G69" s="17" t="s">
        <v>79</v>
      </c>
      <c r="H69" s="17" t="s">
        <v>80</v>
      </c>
      <c r="I69" s="17" t="s">
        <v>81</v>
      </c>
      <c r="J69" s="19"/>
      <c r="K69" s="19" t="s">
        <v>233</v>
      </c>
      <c r="L69" s="19" t="s">
        <v>268</v>
      </c>
      <c r="M69" s="52"/>
      <c r="N69" s="20">
        <v>45630.0</v>
      </c>
      <c r="O69" s="20">
        <f t="shared" si="15"/>
        <v>45634</v>
      </c>
      <c r="P69" s="20"/>
      <c r="Q69" s="22">
        <v>20.0</v>
      </c>
      <c r="R69" s="22"/>
      <c r="S69" s="23"/>
      <c r="T69" s="24"/>
      <c r="U69" s="25">
        <f t="shared" si="1"/>
        <v>0</v>
      </c>
      <c r="V69" s="26">
        <f>$Q69*('MRV Calcs'!$E$3+'MRV Calcs'!$E$4)</f>
        <v>2.958838751</v>
      </c>
      <c r="W69" s="27">
        <f t="shared" si="2"/>
        <v>2030</v>
      </c>
      <c r="X69" s="26">
        <f>IF($I69="truck",($Q69*$W69*'MRV Calcs'!$E$7)+($W69*'MRV Calcs'!$E$8),0)</f>
        <v>5.382936812</v>
      </c>
      <c r="Y69" s="26">
        <f>IF($I69="train",'MRV Calcs'!$E$24,0)</f>
        <v>0</v>
      </c>
      <c r="Z69" s="26">
        <f>IF($I69="train",($Q69*$Y69*'MRV Calcs'!$E$7)+($Y69*'MRV Calcs'!$E$8),0)</f>
        <v>0</v>
      </c>
      <c r="AA69" s="26">
        <f>IF($I69="train",'MRV Calcs'!$E$25,0)</f>
        <v>0</v>
      </c>
      <c r="AB69" s="26">
        <f>IF($I69="train",($Q69*$AA69*'MRV Calcs'!$E$11)+($AA69*'MRV Calcs'!$E$12),0)</f>
        <v>0</v>
      </c>
      <c r="AC69" s="26">
        <f>IF($I69="train",'MRV Calcs'!$E$26,0)</f>
        <v>0</v>
      </c>
      <c r="AD69" s="26">
        <f>IF($I69="train",($Q69*$AC69*'MRV Calcs'!$E$7)+($AC69*'MRV Calcs'!$E$8),0)</f>
        <v>0</v>
      </c>
      <c r="AE69" s="26">
        <f>($Q69/30)*SUM('MRV Calcs'!$E$15:$E$16)</f>
        <v>3.027510667</v>
      </c>
      <c r="AF69" s="26">
        <f>'MRV Calcs'!$E$27</f>
        <v>71.2</v>
      </c>
      <c r="AG69" s="26">
        <f>(($Q69*1.1)*$AF69*'MRV Calcs'!$E$7)+($AF69*'MRV Calcs'!$E$8)</f>
        <v>0.2071341437</v>
      </c>
      <c r="AH69" s="26">
        <f>(($Q69*1.1)/20)*SUM('MRV Calcs'!$E$19:$E$20)</f>
        <v>0.02816</v>
      </c>
      <c r="AI69" s="26">
        <f t="shared" si="3"/>
        <v>11.60458037</v>
      </c>
      <c r="AJ69" s="26">
        <f t="shared" si="4"/>
        <v>-11.60458037</v>
      </c>
      <c r="AK69" s="25">
        <f t="shared" si="16"/>
        <v>-47.05051297</v>
      </c>
      <c r="AL69" s="28">
        <f t="shared" si="5"/>
        <v>-0.5802290187</v>
      </c>
      <c r="AM69" s="35"/>
      <c r="AN69" s="29"/>
      <c r="AO69" s="48"/>
      <c r="AP69" s="35"/>
      <c r="AQ69" s="35"/>
      <c r="AR69" s="35"/>
      <c r="AS69" s="35"/>
      <c r="AT69" s="35"/>
      <c r="AU69" s="35"/>
      <c r="AV69" s="35"/>
      <c r="AW69" s="35"/>
    </row>
    <row r="70">
      <c r="A70" s="17">
        <v>69.0</v>
      </c>
      <c r="B70" s="17" t="s">
        <v>269</v>
      </c>
      <c r="C70" s="18">
        <v>1794.0</v>
      </c>
      <c r="D70" s="18" t="s">
        <v>266</v>
      </c>
      <c r="E70" s="17"/>
      <c r="F70" s="17" t="s">
        <v>78</v>
      </c>
      <c r="G70" s="17" t="s">
        <v>79</v>
      </c>
      <c r="H70" s="17" t="s">
        <v>80</v>
      </c>
      <c r="I70" s="17" t="s">
        <v>81</v>
      </c>
      <c r="J70" s="19"/>
      <c r="K70" s="19" t="s">
        <v>82</v>
      </c>
      <c r="L70" s="19" t="s">
        <v>270</v>
      </c>
      <c r="M70" s="52"/>
      <c r="N70" s="20">
        <v>45630.0</v>
      </c>
      <c r="O70" s="20">
        <v>45638.0</v>
      </c>
      <c r="P70" s="20"/>
      <c r="Q70" s="22">
        <v>20.08</v>
      </c>
      <c r="R70" s="22"/>
      <c r="S70" s="23"/>
      <c r="T70" s="24"/>
      <c r="U70" s="25">
        <f t="shared" si="1"/>
        <v>0</v>
      </c>
      <c r="V70" s="26">
        <f>$Q70*('MRV Calcs'!$E$3+'MRV Calcs'!$E$4)</f>
        <v>2.970674106</v>
      </c>
      <c r="W70" s="27">
        <f t="shared" si="2"/>
        <v>2030</v>
      </c>
      <c r="X70" s="26">
        <f>IF($I70="truck",($Q70*$W70*'MRV Calcs'!$E$7)+($W70*'MRV Calcs'!$E$8),0)</f>
        <v>5.403845358</v>
      </c>
      <c r="Y70" s="26">
        <f>IF($I70="train",'MRV Calcs'!$E$24,0)</f>
        <v>0</v>
      </c>
      <c r="Z70" s="26">
        <f>IF($I70="train",($Q70*$Y70*'MRV Calcs'!$E$7)+($Y70*'MRV Calcs'!$E$8),0)</f>
        <v>0</v>
      </c>
      <c r="AA70" s="26">
        <f>IF($I70="train",'MRV Calcs'!$E$25,0)</f>
        <v>0</v>
      </c>
      <c r="AB70" s="26">
        <f>IF($I70="train",($Q70*$AA70*'MRV Calcs'!$E$11)+($AA70*'MRV Calcs'!$E$12),0)</f>
        <v>0</v>
      </c>
      <c r="AC70" s="26">
        <f>IF($I70="train",'MRV Calcs'!$E$26,0)</f>
        <v>0</v>
      </c>
      <c r="AD70" s="26">
        <f>IF($I70="train",($Q70*$AC70*'MRV Calcs'!$E$7)+($AC70*'MRV Calcs'!$E$8),0)</f>
        <v>0</v>
      </c>
      <c r="AE70" s="26">
        <f>($Q70/30)*SUM('MRV Calcs'!$E$15:$E$16)</f>
        <v>3.039620709</v>
      </c>
      <c r="AF70" s="26">
        <f>'MRV Calcs'!$E$27</f>
        <v>71.2</v>
      </c>
      <c r="AG70" s="26">
        <f>(($Q70*1.1)*$AF70*'MRV Calcs'!$E$7)+($AF70*'MRV Calcs'!$E$8)</f>
        <v>0.2079408221</v>
      </c>
      <c r="AH70" s="26">
        <f>(($Q70*1.1)/20)*SUM('MRV Calcs'!$E$19:$E$20)</f>
        <v>0.02827264</v>
      </c>
      <c r="AI70" s="26">
        <f t="shared" si="3"/>
        <v>11.65035363</v>
      </c>
      <c r="AJ70" s="26">
        <f t="shared" si="4"/>
        <v>-11.65035363</v>
      </c>
      <c r="AK70" s="25">
        <f>AJ70+AK67</f>
        <v>-36.04670666</v>
      </c>
      <c r="AL70" s="28">
        <f t="shared" si="5"/>
        <v>-0.5801968942</v>
      </c>
      <c r="AM70" s="35"/>
      <c r="AN70" s="29"/>
      <c r="AO70" s="48"/>
      <c r="AP70" s="35"/>
      <c r="AQ70" s="35"/>
      <c r="AR70" s="35"/>
      <c r="AS70" s="35"/>
      <c r="AT70" s="35"/>
      <c r="AU70" s="35"/>
      <c r="AV70" s="35"/>
      <c r="AW70" s="35"/>
    </row>
    <row r="71">
      <c r="A71" s="17">
        <v>70.0</v>
      </c>
      <c r="B71" s="17" t="s">
        <v>271</v>
      </c>
      <c r="C71" s="18">
        <v>1796.0</v>
      </c>
      <c r="D71" s="18" t="s">
        <v>266</v>
      </c>
      <c r="E71" s="17"/>
      <c r="F71" s="17" t="s">
        <v>78</v>
      </c>
      <c r="G71" s="17" t="s">
        <v>79</v>
      </c>
      <c r="H71" s="17" t="s">
        <v>80</v>
      </c>
      <c r="I71" s="17" t="s">
        <v>81</v>
      </c>
      <c r="J71" s="19"/>
      <c r="K71" s="19" t="s">
        <v>82</v>
      </c>
      <c r="L71" s="19" t="s">
        <v>139</v>
      </c>
      <c r="M71" s="52"/>
      <c r="N71" s="20">
        <v>45630.0</v>
      </c>
      <c r="O71" s="20">
        <v>45637.0</v>
      </c>
      <c r="P71" s="20"/>
      <c r="Q71" s="22">
        <v>21.04</v>
      </c>
      <c r="R71" s="22"/>
      <c r="S71" s="23"/>
      <c r="T71" s="24"/>
      <c r="U71" s="25">
        <f t="shared" si="1"/>
        <v>0</v>
      </c>
      <c r="V71" s="26">
        <f>$Q71*('MRV Calcs'!$E$3+'MRV Calcs'!$E$4)</f>
        <v>3.112698366</v>
      </c>
      <c r="W71" s="27">
        <f t="shared" si="2"/>
        <v>2030</v>
      </c>
      <c r="X71" s="26">
        <f>IF($I71="truck",($Q71*$W71*'MRV Calcs'!$E$7)+($W71*'MRV Calcs'!$E$8),0)</f>
        <v>5.654747901</v>
      </c>
      <c r="Y71" s="26">
        <f>IF($I71="train",'MRV Calcs'!$E$24,0)</f>
        <v>0</v>
      </c>
      <c r="Z71" s="26">
        <f>IF($I71="train",($Q71*$Y71*'MRV Calcs'!$E$7)+($Y71*'MRV Calcs'!$E$8),0)</f>
        <v>0</v>
      </c>
      <c r="AA71" s="26">
        <f>IF($I71="train",'MRV Calcs'!$E$25,0)</f>
        <v>0</v>
      </c>
      <c r="AB71" s="26">
        <f>IF($I71="train",($Q71*$AA71*'MRV Calcs'!$E$11)+($AA71*'MRV Calcs'!$E$12),0)</f>
        <v>0</v>
      </c>
      <c r="AC71" s="26">
        <f>IF($I71="train",'MRV Calcs'!$E$26,0)</f>
        <v>0</v>
      </c>
      <c r="AD71" s="26">
        <f>IF($I71="train",($Q71*$AC71*'MRV Calcs'!$E$7)+($AC71*'MRV Calcs'!$E$8),0)</f>
        <v>0</v>
      </c>
      <c r="AE71" s="26">
        <f>($Q71/30)*SUM('MRV Calcs'!$E$15:$E$16)</f>
        <v>3.184941221</v>
      </c>
      <c r="AF71" s="26">
        <f>'MRV Calcs'!$E$27</f>
        <v>71.2</v>
      </c>
      <c r="AG71" s="26">
        <f>(($Q71*1.1)*$AF71*'MRV Calcs'!$E$7)+($AF71*'MRV Calcs'!$E$8)</f>
        <v>0.2176209636</v>
      </c>
      <c r="AH71" s="26">
        <f>(($Q71*1.1)/20)*SUM('MRV Calcs'!$E$19:$E$20)</f>
        <v>0.02962432</v>
      </c>
      <c r="AI71" s="26">
        <f t="shared" si="3"/>
        <v>12.19963277</v>
      </c>
      <c r="AJ71" s="26">
        <f t="shared" si="4"/>
        <v>-12.19963277</v>
      </c>
      <c r="AK71" s="25">
        <f t="shared" ref="AK71:AK73" si="17">AJ71+AK70</f>
        <v>-48.24633943</v>
      </c>
      <c r="AL71" s="28">
        <f t="shared" si="5"/>
        <v>-0.5798304549</v>
      </c>
      <c r="AM71" s="35"/>
      <c r="AN71" s="29"/>
      <c r="AO71" s="48"/>
      <c r="AP71" s="35"/>
      <c r="AQ71" s="35"/>
      <c r="AR71" s="35"/>
      <c r="AS71" s="35"/>
      <c r="AT71" s="35"/>
      <c r="AU71" s="35"/>
      <c r="AV71" s="35"/>
      <c r="AW71" s="35"/>
    </row>
    <row r="72">
      <c r="A72" s="17">
        <v>71.0</v>
      </c>
      <c r="B72" s="17" t="s">
        <v>272</v>
      </c>
      <c r="C72" s="18">
        <v>1798.0</v>
      </c>
      <c r="D72" s="18" t="s">
        <v>266</v>
      </c>
      <c r="E72" s="17"/>
      <c r="F72" s="17" t="s">
        <v>78</v>
      </c>
      <c r="G72" s="17" t="s">
        <v>79</v>
      </c>
      <c r="H72" s="17" t="s">
        <v>80</v>
      </c>
      <c r="I72" s="17" t="s">
        <v>81</v>
      </c>
      <c r="J72" s="19"/>
      <c r="K72" s="19" t="s">
        <v>82</v>
      </c>
      <c r="L72" s="19" t="s">
        <v>86</v>
      </c>
      <c r="M72" s="52"/>
      <c r="N72" s="20">
        <v>45632.0</v>
      </c>
      <c r="O72" s="20">
        <v>45639.0</v>
      </c>
      <c r="P72" s="20"/>
      <c r="Q72" s="22">
        <v>20.22</v>
      </c>
      <c r="R72" s="22"/>
      <c r="S72" s="23"/>
      <c r="T72" s="24"/>
      <c r="U72" s="25">
        <f t="shared" si="1"/>
        <v>0</v>
      </c>
      <c r="V72" s="26">
        <f>$Q72*('MRV Calcs'!$E$3+'MRV Calcs'!$E$4)</f>
        <v>2.991385977</v>
      </c>
      <c r="W72" s="27">
        <f t="shared" si="2"/>
        <v>2030</v>
      </c>
      <c r="X72" s="26">
        <f>IF($I72="truck",($Q72*$W72*'MRV Calcs'!$E$7)+($W72*'MRV Calcs'!$E$8),0)</f>
        <v>5.440435312</v>
      </c>
      <c r="Y72" s="26">
        <f>IF($I72="train",'MRV Calcs'!$E$24,0)</f>
        <v>0</v>
      </c>
      <c r="Z72" s="26">
        <f>IF($I72="train",($Q72*$Y72*'MRV Calcs'!$E$7)+($Y72*'MRV Calcs'!$E$8),0)</f>
        <v>0</v>
      </c>
      <c r="AA72" s="26">
        <f>IF($I72="train",'MRV Calcs'!$E$25,0)</f>
        <v>0</v>
      </c>
      <c r="AB72" s="26">
        <f>IF($I72="train",($Q72*$AA72*'MRV Calcs'!$E$11)+($AA72*'MRV Calcs'!$E$12),0)</f>
        <v>0</v>
      </c>
      <c r="AC72" s="26">
        <f>IF($I72="train",'MRV Calcs'!$E$26,0)</f>
        <v>0</v>
      </c>
      <c r="AD72" s="26">
        <f>IF($I72="train",($Q72*$AC72*'MRV Calcs'!$E$7)+($AC72*'MRV Calcs'!$E$8),0)</f>
        <v>0</v>
      </c>
      <c r="AE72" s="26">
        <f>($Q72/30)*SUM('MRV Calcs'!$E$15:$E$16)</f>
        <v>3.060813284</v>
      </c>
      <c r="AF72" s="26">
        <f>'MRV Calcs'!$E$27</f>
        <v>71.2</v>
      </c>
      <c r="AG72" s="26">
        <f>(($Q72*1.1)*$AF72*'MRV Calcs'!$E$7)+($AF72*'MRV Calcs'!$E$8)</f>
        <v>0.2093525094</v>
      </c>
      <c r="AH72" s="26">
        <f>(($Q72*1.1)/20)*SUM('MRV Calcs'!$E$19:$E$20)</f>
        <v>0.02846976</v>
      </c>
      <c r="AI72" s="26">
        <f t="shared" si="3"/>
        <v>11.73045684</v>
      </c>
      <c r="AJ72" s="26">
        <f t="shared" si="4"/>
        <v>-11.73045684</v>
      </c>
      <c r="AK72" s="25">
        <f t="shared" si="17"/>
        <v>-59.97679627</v>
      </c>
      <c r="AL72" s="28">
        <f t="shared" si="5"/>
        <v>-0.5801412879</v>
      </c>
      <c r="AM72" s="35"/>
      <c r="AN72" s="29"/>
      <c r="AO72" s="48"/>
      <c r="AP72" s="35"/>
      <c r="AQ72" s="35"/>
      <c r="AR72" s="35"/>
      <c r="AS72" s="35"/>
      <c r="AT72" s="35"/>
      <c r="AU72" s="35"/>
      <c r="AV72" s="35"/>
      <c r="AW72" s="35"/>
    </row>
    <row r="73">
      <c r="A73" s="17">
        <v>72.0</v>
      </c>
      <c r="B73" s="17" t="s">
        <v>273</v>
      </c>
      <c r="C73" s="18">
        <v>1799.0</v>
      </c>
      <c r="D73" s="18" t="s">
        <v>274</v>
      </c>
      <c r="E73" s="17"/>
      <c r="F73" s="17" t="s">
        <v>78</v>
      </c>
      <c r="G73" s="17" t="s">
        <v>79</v>
      </c>
      <c r="H73" s="17" t="s">
        <v>80</v>
      </c>
      <c r="I73" s="17" t="s">
        <v>81</v>
      </c>
      <c r="J73" s="19"/>
      <c r="K73" s="19" t="s">
        <v>82</v>
      </c>
      <c r="L73" s="19" t="s">
        <v>247</v>
      </c>
      <c r="M73" s="52"/>
      <c r="N73" s="20">
        <v>45632.0</v>
      </c>
      <c r="O73" s="20">
        <v>45639.0</v>
      </c>
      <c r="P73" s="20"/>
      <c r="Q73" s="22">
        <v>20.98</v>
      </c>
      <c r="R73" s="22"/>
      <c r="S73" s="23"/>
      <c r="T73" s="24"/>
      <c r="U73" s="25">
        <f t="shared" si="1"/>
        <v>0</v>
      </c>
      <c r="V73" s="26">
        <f>$Q73*('MRV Calcs'!$E$3+'MRV Calcs'!$E$4)</f>
        <v>3.103821849</v>
      </c>
      <c r="W73" s="27">
        <f t="shared" si="2"/>
        <v>2030</v>
      </c>
      <c r="X73" s="26">
        <f>IF($I73="truck",($Q73*$W73*'MRV Calcs'!$E$7)+($W73*'MRV Calcs'!$E$8),0)</f>
        <v>5.639066492</v>
      </c>
      <c r="Y73" s="26">
        <f>IF($I73="train",'MRV Calcs'!$E$24,0)</f>
        <v>0</v>
      </c>
      <c r="Z73" s="26">
        <f>IF($I73="train",($Q73*$Y73*'MRV Calcs'!$E$7)+($Y73*'MRV Calcs'!$E$8),0)</f>
        <v>0</v>
      </c>
      <c r="AA73" s="26">
        <f>IF($I73="train",'MRV Calcs'!$E$25,0)</f>
        <v>0</v>
      </c>
      <c r="AB73" s="26">
        <f>IF($I73="train",($Q73*$AA73*'MRV Calcs'!$E$11)+($AA73*'MRV Calcs'!$E$12),0)</f>
        <v>0</v>
      </c>
      <c r="AC73" s="26">
        <f>IF($I73="train",'MRV Calcs'!$E$26,0)</f>
        <v>0</v>
      </c>
      <c r="AD73" s="26">
        <f>IF($I73="train",($Q73*$AC73*'MRV Calcs'!$E$7)+($AC73*'MRV Calcs'!$E$8),0)</f>
        <v>0</v>
      </c>
      <c r="AE73" s="26">
        <f>($Q73/30)*SUM('MRV Calcs'!$E$15:$E$16)</f>
        <v>3.175858689</v>
      </c>
      <c r="AF73" s="26">
        <f>'MRV Calcs'!$E$27</f>
        <v>71.2</v>
      </c>
      <c r="AG73" s="26">
        <f>(($Q73*1.1)*$AF73*'MRV Calcs'!$E$7)+($AF73*'MRV Calcs'!$E$8)</f>
        <v>0.2170159548</v>
      </c>
      <c r="AH73" s="26">
        <f>(($Q73*1.1)/20)*SUM('MRV Calcs'!$E$19:$E$20)</f>
        <v>0.02953984</v>
      </c>
      <c r="AI73" s="26">
        <f t="shared" si="3"/>
        <v>12.16530283</v>
      </c>
      <c r="AJ73" s="26">
        <f t="shared" si="4"/>
        <v>-12.16530283</v>
      </c>
      <c r="AK73" s="25">
        <f t="shared" si="17"/>
        <v>-72.14209909</v>
      </c>
      <c r="AL73" s="28">
        <f t="shared" si="5"/>
        <v>-0.5798523749</v>
      </c>
      <c r="AM73" s="35"/>
      <c r="AN73" s="29"/>
      <c r="AO73" s="48"/>
      <c r="AP73" s="35"/>
      <c r="AQ73" s="35"/>
      <c r="AR73" s="35"/>
      <c r="AS73" s="35"/>
      <c r="AT73" s="35"/>
      <c r="AU73" s="35"/>
      <c r="AV73" s="35"/>
      <c r="AW73" s="35"/>
    </row>
    <row r="74">
      <c r="A74" s="17">
        <v>73.0</v>
      </c>
      <c r="B74" s="17" t="s">
        <v>275</v>
      </c>
      <c r="C74" s="18">
        <v>1824.0</v>
      </c>
      <c r="D74" s="18" t="s">
        <v>276</v>
      </c>
      <c r="E74" s="39" t="b">
        <v>1</v>
      </c>
      <c r="F74" s="17" t="s">
        <v>78</v>
      </c>
      <c r="G74" s="17" t="s">
        <v>79</v>
      </c>
      <c r="H74" s="17" t="s">
        <v>80</v>
      </c>
      <c r="I74" s="17" t="s">
        <v>81</v>
      </c>
      <c r="J74" s="19"/>
      <c r="K74" s="19" t="s">
        <v>82</v>
      </c>
      <c r="L74" s="19" t="s">
        <v>139</v>
      </c>
      <c r="M74" s="52"/>
      <c r="N74" s="20">
        <v>45649.0</v>
      </c>
      <c r="O74" s="20">
        <v>45654.0</v>
      </c>
      <c r="P74" s="20"/>
      <c r="Q74" s="19">
        <v>20.84</v>
      </c>
      <c r="R74" s="19"/>
      <c r="S74" s="23"/>
      <c r="T74" s="24"/>
      <c r="U74" s="25">
        <f t="shared" si="1"/>
        <v>0</v>
      </c>
      <c r="V74" s="26">
        <f>$Q74*('MRV Calcs'!$E$3+'MRV Calcs'!$E$4)</f>
        <v>3.083109978</v>
      </c>
      <c r="W74" s="27">
        <f t="shared" si="2"/>
        <v>2030</v>
      </c>
      <c r="X74" s="26">
        <f>IF($I74="truck",($Q74*$W74*'MRV Calcs'!$E$7)+($W74*'MRV Calcs'!$E$8),0)</f>
        <v>5.602476538</v>
      </c>
      <c r="Y74" s="26">
        <f>IF($I74="train",'MRV Calcs'!$E$24,0)</f>
        <v>0</v>
      </c>
      <c r="Z74" s="26">
        <f>IF($I74="train",($Q74*$Y74*'MRV Calcs'!$E$7)+($Y74*'MRV Calcs'!$E$8),0)</f>
        <v>0</v>
      </c>
      <c r="AA74" s="26">
        <f>IF($I74="train",'MRV Calcs'!$E$25,0)</f>
        <v>0</v>
      </c>
      <c r="AB74" s="26">
        <f>IF($I74="train",($Q74*$AA74*'MRV Calcs'!$E$11)+($AA74*'MRV Calcs'!$E$12),0)</f>
        <v>0</v>
      </c>
      <c r="AC74" s="26">
        <f>IF($I74="train",'MRV Calcs'!$E$26,0)</f>
        <v>0</v>
      </c>
      <c r="AD74" s="26">
        <f>IF($I74="train",($Q74*$AC74*'MRV Calcs'!$E$7)+($AC74*'MRV Calcs'!$E$8),0)</f>
        <v>0</v>
      </c>
      <c r="AE74" s="26">
        <f>($Q74/30)*SUM('MRV Calcs'!$E$15:$E$16)</f>
        <v>3.154666115</v>
      </c>
      <c r="AF74" s="26">
        <f>'MRV Calcs'!$E$27</f>
        <v>71.2</v>
      </c>
      <c r="AG74" s="26">
        <f>(($Q74*1.1)*$AF74*'MRV Calcs'!$E$7)+($AF74*'MRV Calcs'!$E$8)</f>
        <v>0.2156042675</v>
      </c>
      <c r="AH74" s="26">
        <f>(($Q74*1.1)/20)*SUM('MRV Calcs'!$E$19:$E$20)</f>
        <v>0.02934272</v>
      </c>
      <c r="AI74" s="26">
        <f t="shared" si="3"/>
        <v>12.08519962</v>
      </c>
      <c r="AJ74" s="26">
        <f t="shared" si="4"/>
        <v>-12.08519962</v>
      </c>
      <c r="AK74" s="25">
        <f t="shared" ref="AK74:AK75" si="18">AJ74+AK71</f>
        <v>-60.33153904</v>
      </c>
      <c r="AL74" s="28">
        <f t="shared" si="5"/>
        <v>-0.5799040124</v>
      </c>
      <c r="AM74" s="35"/>
      <c r="AN74" s="29"/>
      <c r="AO74" s="48"/>
      <c r="AP74" s="35"/>
      <c r="AQ74" s="35"/>
      <c r="AR74" s="35"/>
      <c r="AS74" s="35"/>
      <c r="AT74" s="35"/>
      <c r="AU74" s="35"/>
      <c r="AV74" s="35"/>
      <c r="AW74" s="35"/>
    </row>
    <row r="75">
      <c r="A75" s="17">
        <v>74.0</v>
      </c>
      <c r="B75" s="17" t="s">
        <v>277</v>
      </c>
      <c r="C75" s="53" t="s">
        <v>278</v>
      </c>
      <c r="D75" s="17"/>
      <c r="E75" s="17"/>
      <c r="F75" s="17" t="s">
        <v>279</v>
      </c>
      <c r="G75" s="17" t="s">
        <v>280</v>
      </c>
      <c r="H75" s="17" t="s">
        <v>280</v>
      </c>
      <c r="I75" s="17" t="s">
        <v>81</v>
      </c>
      <c r="J75" s="19"/>
      <c r="K75" s="19" t="s">
        <v>280</v>
      </c>
      <c r="L75" s="19"/>
      <c r="M75" s="54"/>
      <c r="N75" s="20"/>
      <c r="O75" s="33">
        <v>45653.0</v>
      </c>
      <c r="P75" s="33"/>
      <c r="Q75" s="22" t="s">
        <v>281</v>
      </c>
      <c r="R75" s="22"/>
      <c r="S75" s="23"/>
      <c r="T75" s="24"/>
      <c r="U75" s="25"/>
      <c r="V75" s="26" t="str">
        <f>$Q75*('MRV Calcs'!$E$3+'MRV Calcs'!$E$4)</f>
        <v>#VALUE!</v>
      </c>
      <c r="W75" s="27" t="str">
        <f t="shared" si="2"/>
        <v>ERROR</v>
      </c>
      <c r="X75" s="26" t="str">
        <f>IF($I75="truck",($Q75*$W75*'MRV Calcs'!$E$7)+($W75*'MRV Calcs'!$E$8),0)</f>
        <v>#VALUE!</v>
      </c>
      <c r="Y75" s="26">
        <f>IF($I75="train",'MRV Calcs'!$E$24,0)</f>
        <v>0</v>
      </c>
      <c r="Z75" s="26">
        <f>IF($I75="train",($Q75*$Y75*'MRV Calcs'!$E$7)+($Y75*'MRV Calcs'!$E$8),0)</f>
        <v>0</v>
      </c>
      <c r="AA75" s="26">
        <f>IF($I75="train",'MRV Calcs'!$E$25,0)</f>
        <v>0</v>
      </c>
      <c r="AB75" s="26">
        <f>IF($I75="train",($Q75*$AA75*'MRV Calcs'!$E$11)+($AA75*'MRV Calcs'!$E$12),0)</f>
        <v>0</v>
      </c>
      <c r="AC75" s="26">
        <f>IF($I75="train",'MRV Calcs'!$E$26,0)</f>
        <v>0</v>
      </c>
      <c r="AD75" s="26">
        <f>IF($I75="train",($Q75*$AC75*'MRV Calcs'!$E$7)+($AC75*'MRV Calcs'!$E$8),0)</f>
        <v>0</v>
      </c>
      <c r="AE75" s="26" t="str">
        <f>($Q75/30)*SUM('MRV Calcs'!$E$15:$E$16)</f>
        <v>#VALUE!</v>
      </c>
      <c r="AF75" s="26">
        <f>'MRV Calcs'!$E$27</f>
        <v>71.2</v>
      </c>
      <c r="AG75" s="26" t="str">
        <f>(($Q75*1.1)*$AF75*'MRV Calcs'!$E$7)+($AF75*'MRV Calcs'!$E$8)</f>
        <v>#VALUE!</v>
      </c>
      <c r="AH75" s="26" t="str">
        <f>(($Q75*1.1)/20)*SUM('MRV Calcs'!$E$19:$E$20)</f>
        <v>#VALUE!</v>
      </c>
      <c r="AI75" s="26" t="str">
        <f t="shared" si="3"/>
        <v>#VALUE!</v>
      </c>
      <c r="AJ75" s="26"/>
      <c r="AK75" s="25">
        <f t="shared" si="18"/>
        <v>-59.97679627</v>
      </c>
      <c r="AL75" s="28"/>
      <c r="AM75" s="35"/>
      <c r="AN75" s="29"/>
      <c r="AO75" s="48"/>
      <c r="AP75" s="35"/>
      <c r="AQ75" s="35"/>
      <c r="AR75" s="35"/>
      <c r="AS75" s="35"/>
      <c r="AT75" s="35"/>
      <c r="AU75" s="35"/>
      <c r="AV75" s="35"/>
      <c r="AW75" s="35"/>
    </row>
    <row r="76">
      <c r="A76" s="17">
        <v>75.0</v>
      </c>
      <c r="B76" s="17" t="s">
        <v>282</v>
      </c>
      <c r="C76" s="18">
        <v>1826.0</v>
      </c>
      <c r="D76" s="18" t="s">
        <v>276</v>
      </c>
      <c r="E76" s="39" t="b">
        <v>1</v>
      </c>
      <c r="F76" s="17" t="s">
        <v>78</v>
      </c>
      <c r="G76" s="17" t="s">
        <v>79</v>
      </c>
      <c r="H76" s="17" t="s">
        <v>80</v>
      </c>
      <c r="I76" s="17" t="s">
        <v>81</v>
      </c>
      <c r="J76" s="19"/>
      <c r="K76" s="19" t="s">
        <v>82</v>
      </c>
      <c r="L76" s="19" t="s">
        <v>86</v>
      </c>
      <c r="M76" s="54"/>
      <c r="N76" s="20">
        <v>45649.0</v>
      </c>
      <c r="O76" s="20">
        <v>45652.0</v>
      </c>
      <c r="P76" s="20"/>
      <c r="Q76" s="22">
        <v>20.55</v>
      </c>
      <c r="R76" s="22"/>
      <c r="S76" s="23"/>
      <c r="T76" s="24"/>
      <c r="U76" s="25">
        <f t="shared" ref="U76:U154" si="19">Q76*T76*(44.01/12.011)</f>
        <v>0</v>
      </c>
      <c r="V76" s="26">
        <f>$Q76*('MRV Calcs'!$E$3+'MRV Calcs'!$E$4)</f>
        <v>3.040206816</v>
      </c>
      <c r="W76" s="27">
        <f t="shared" si="2"/>
        <v>2030</v>
      </c>
      <c r="X76" s="26">
        <f>IF($I76="truck",($Q76*$W76*'MRV Calcs'!$E$7)+($W76*'MRV Calcs'!$E$8),0)</f>
        <v>5.526683061</v>
      </c>
      <c r="Y76" s="26">
        <f>IF($I76="train",'MRV Calcs'!$E$24,0)</f>
        <v>0</v>
      </c>
      <c r="Z76" s="26">
        <f>IF($I76="train",($Q76*$Y76*'MRV Calcs'!$E$7)+($Y76*'MRV Calcs'!$E$8),0)</f>
        <v>0</v>
      </c>
      <c r="AA76" s="26">
        <f>IF($I76="train",'MRV Calcs'!$E$25,0)</f>
        <v>0</v>
      </c>
      <c r="AB76" s="26">
        <f>IF($I76="train",($Q76*$AA76*'MRV Calcs'!$E$11)+($AA76*'MRV Calcs'!$E$12),0)</f>
        <v>0</v>
      </c>
      <c r="AC76" s="26">
        <f>IF($I76="train",'MRV Calcs'!$E$26,0)</f>
        <v>0</v>
      </c>
      <c r="AD76" s="26">
        <f>IF($I76="train",($Q76*$AC76*'MRV Calcs'!$E$7)+($AC76*'MRV Calcs'!$E$8),0)</f>
        <v>0</v>
      </c>
      <c r="AE76" s="26">
        <f>($Q76/30)*SUM('MRV Calcs'!$E$15:$E$16)</f>
        <v>3.11076721</v>
      </c>
      <c r="AF76" s="26">
        <f>'MRV Calcs'!$E$27</f>
        <v>71.2</v>
      </c>
      <c r="AG76" s="26">
        <f>(($Q76*1.1)*$AF76*'MRV Calcs'!$E$7)+($AF76*'MRV Calcs'!$E$8)</f>
        <v>0.2126800581</v>
      </c>
      <c r="AH76" s="26">
        <f>(($Q76*1.1)/20)*SUM('MRV Calcs'!$E$19:$E$20)</f>
        <v>0.0289344</v>
      </c>
      <c r="AI76" s="26">
        <f t="shared" si="3"/>
        <v>11.91927155</v>
      </c>
      <c r="AJ76" s="26">
        <f t="shared" ref="AJ76:AJ154" si="20">U76-AI76</f>
        <v>-11.91927155</v>
      </c>
      <c r="AK76" s="25">
        <f t="shared" ref="AK76:AK78" si="21">AJ76+AK74</f>
        <v>-72.25081059</v>
      </c>
      <c r="AL76" s="28">
        <f t="shared" ref="AL76:AL154" si="22">AJ76/Q76</f>
        <v>-0.5800132139</v>
      </c>
      <c r="AM76" s="35"/>
      <c r="AN76" s="29"/>
      <c r="AO76" s="48"/>
      <c r="AP76" s="35"/>
      <c r="AQ76" s="35"/>
      <c r="AR76" s="35"/>
      <c r="AS76" s="35"/>
      <c r="AT76" s="35"/>
      <c r="AU76" s="35"/>
      <c r="AV76" s="35"/>
      <c r="AW76" s="35"/>
    </row>
    <row r="77">
      <c r="A77" s="17">
        <v>76.0</v>
      </c>
      <c r="B77" s="17" t="s">
        <v>283</v>
      </c>
      <c r="C77" s="18">
        <v>1831.0</v>
      </c>
      <c r="D77" s="18" t="s">
        <v>276</v>
      </c>
      <c r="E77" s="39" t="b">
        <v>1</v>
      </c>
      <c r="F77" s="17" t="s">
        <v>78</v>
      </c>
      <c r="G77" s="17" t="s">
        <v>79</v>
      </c>
      <c r="H77" s="17" t="s">
        <v>80</v>
      </c>
      <c r="I77" s="17" t="s">
        <v>81</v>
      </c>
      <c r="J77" s="19"/>
      <c r="K77" s="19" t="s">
        <v>233</v>
      </c>
      <c r="L77" s="19" t="s">
        <v>284</v>
      </c>
      <c r="M77" s="54"/>
      <c r="N77" s="20">
        <v>45651.0</v>
      </c>
      <c r="O77" s="20">
        <v>45653.0</v>
      </c>
      <c r="P77" s="20"/>
      <c r="Q77" s="22">
        <v>18.56</v>
      </c>
      <c r="R77" s="22"/>
      <c r="S77" s="23"/>
      <c r="T77" s="24"/>
      <c r="U77" s="25">
        <f t="shared" si="19"/>
        <v>0</v>
      </c>
      <c r="V77" s="26">
        <f>$Q77*('MRV Calcs'!$E$3+'MRV Calcs'!$E$4)</f>
        <v>2.745802361</v>
      </c>
      <c r="W77" s="27">
        <f t="shared" si="2"/>
        <v>2030</v>
      </c>
      <c r="X77" s="26">
        <f>IF($I77="truck",($Q77*$W77*'MRV Calcs'!$E$7)+($W77*'MRV Calcs'!$E$8),0)</f>
        <v>5.006582997</v>
      </c>
      <c r="Y77" s="26">
        <f>IF($I77="train",'MRV Calcs'!$E$24,0)</f>
        <v>0</v>
      </c>
      <c r="Z77" s="26">
        <f>IF($I77="train",($Q77*$Y77*'MRV Calcs'!$E$7)+($Y77*'MRV Calcs'!$E$8),0)</f>
        <v>0</v>
      </c>
      <c r="AA77" s="26">
        <f>IF($I77="train",'MRV Calcs'!$E$25,0)</f>
        <v>0</v>
      </c>
      <c r="AB77" s="26">
        <f>IF($I77="train",($Q77*$AA77*'MRV Calcs'!$E$11)+($AA77*'MRV Calcs'!$E$12),0)</f>
        <v>0</v>
      </c>
      <c r="AC77" s="26">
        <f>IF($I77="train",'MRV Calcs'!$E$26,0)</f>
        <v>0</v>
      </c>
      <c r="AD77" s="26">
        <f>IF($I77="train",($Q77*$AC77*'MRV Calcs'!$E$7)+($AC77*'MRV Calcs'!$E$8),0)</f>
        <v>0</v>
      </c>
      <c r="AE77" s="26">
        <f>($Q77/30)*SUM('MRV Calcs'!$E$15:$E$16)</f>
        <v>2.809529899</v>
      </c>
      <c r="AF77" s="26">
        <f>'MRV Calcs'!$E$27</f>
        <v>71.2</v>
      </c>
      <c r="AG77" s="26">
        <f>(($Q77*1.1)*$AF77*'MRV Calcs'!$E$7)+($AF77*'MRV Calcs'!$E$8)</f>
        <v>0.1926139315</v>
      </c>
      <c r="AH77" s="26">
        <f>(($Q77*1.1)/20)*SUM('MRV Calcs'!$E$19:$E$20)</f>
        <v>0.02613248</v>
      </c>
      <c r="AI77" s="26">
        <f t="shared" si="3"/>
        <v>10.78066167</v>
      </c>
      <c r="AJ77" s="26">
        <f t="shared" si="20"/>
        <v>-10.78066167</v>
      </c>
      <c r="AK77" s="25">
        <f t="shared" si="21"/>
        <v>-70.75745794</v>
      </c>
      <c r="AL77" s="28">
        <f t="shared" si="22"/>
        <v>-0.5808546157</v>
      </c>
      <c r="AM77" s="35"/>
      <c r="AN77" s="29"/>
      <c r="AO77" s="48"/>
      <c r="AP77" s="35"/>
      <c r="AQ77" s="35"/>
      <c r="AR77" s="35"/>
      <c r="AS77" s="35"/>
      <c r="AT77" s="35"/>
      <c r="AU77" s="35"/>
      <c r="AV77" s="35"/>
      <c r="AW77" s="35"/>
    </row>
    <row r="78">
      <c r="A78" s="17">
        <v>77.0</v>
      </c>
      <c r="B78" s="17" t="s">
        <v>285</v>
      </c>
      <c r="C78" s="18">
        <v>1838.0</v>
      </c>
      <c r="D78" s="18" t="s">
        <v>286</v>
      </c>
      <c r="E78" s="39" t="b">
        <v>1</v>
      </c>
      <c r="F78" s="17" t="s">
        <v>78</v>
      </c>
      <c r="G78" s="17" t="s">
        <v>79</v>
      </c>
      <c r="H78" s="17" t="s">
        <v>80</v>
      </c>
      <c r="I78" s="17" t="s">
        <v>81</v>
      </c>
      <c r="J78" s="19"/>
      <c r="K78" s="19" t="s">
        <v>233</v>
      </c>
      <c r="L78" s="19" t="s">
        <v>287</v>
      </c>
      <c r="M78" s="54"/>
      <c r="N78" s="20">
        <v>45653.0</v>
      </c>
      <c r="O78" s="20">
        <f t="shared" ref="O78:O79" si="23">N78+4</f>
        <v>45657</v>
      </c>
      <c r="P78" s="20"/>
      <c r="Q78" s="22">
        <v>20.11</v>
      </c>
      <c r="R78" s="22"/>
      <c r="S78" s="23"/>
      <c r="T78" s="24"/>
      <c r="U78" s="25">
        <f t="shared" si="19"/>
        <v>0</v>
      </c>
      <c r="V78" s="26">
        <f>$Q78*('MRV Calcs'!$E$3+'MRV Calcs'!$E$4)</f>
        <v>2.975112364</v>
      </c>
      <c r="W78" s="27">
        <f t="shared" si="2"/>
        <v>2030</v>
      </c>
      <c r="X78" s="26">
        <f>IF($I78="truck",($Q78*$W78*'MRV Calcs'!$E$7)+($W78*'MRV Calcs'!$E$8),0)</f>
        <v>5.411686062</v>
      </c>
      <c r="Y78" s="26">
        <f>IF($I78="train",'MRV Calcs'!$E$24,0)</f>
        <v>0</v>
      </c>
      <c r="Z78" s="26">
        <f>IF($I78="train",($Q78*$Y78*'MRV Calcs'!$E$7)+($Y78*'MRV Calcs'!$E$8),0)</f>
        <v>0</v>
      </c>
      <c r="AA78" s="26">
        <f>IF($I78="train",'MRV Calcs'!$E$25,0)</f>
        <v>0</v>
      </c>
      <c r="AB78" s="26">
        <f>IF($I78="train",($Q78*$AA78*'MRV Calcs'!$E$11)+($AA78*'MRV Calcs'!$E$12),0)</f>
        <v>0</v>
      </c>
      <c r="AC78" s="26">
        <f>IF($I78="train",'MRV Calcs'!$E$26,0)</f>
        <v>0</v>
      </c>
      <c r="AD78" s="26">
        <f>IF($I78="train",($Q78*$AC78*'MRV Calcs'!$E$7)+($AC78*'MRV Calcs'!$E$8),0)</f>
        <v>0</v>
      </c>
      <c r="AE78" s="26">
        <f>($Q78/30)*SUM('MRV Calcs'!$E$15:$E$16)</f>
        <v>3.044161975</v>
      </c>
      <c r="AF78" s="26">
        <f>'MRV Calcs'!$E$27</f>
        <v>71.2</v>
      </c>
      <c r="AG78" s="26">
        <f>(($Q78*1.1)*$AF78*'MRV Calcs'!$E$7)+($AF78*'MRV Calcs'!$E$8)</f>
        <v>0.2082433265</v>
      </c>
      <c r="AH78" s="26">
        <f>(($Q78*1.1)/20)*SUM('MRV Calcs'!$E$19:$E$20)</f>
        <v>0.02831488</v>
      </c>
      <c r="AI78" s="26">
        <f t="shared" si="3"/>
        <v>11.66751861</v>
      </c>
      <c r="AJ78" s="26">
        <f t="shared" si="20"/>
        <v>-11.66751861</v>
      </c>
      <c r="AK78" s="25">
        <f t="shared" si="21"/>
        <v>-83.9183292</v>
      </c>
      <c r="AL78" s="28">
        <f t="shared" si="22"/>
        <v>-0.5801849134</v>
      </c>
      <c r="AM78" s="35"/>
      <c r="AN78" s="29"/>
      <c r="AO78" s="48"/>
      <c r="AP78" s="35"/>
      <c r="AQ78" s="35"/>
      <c r="AR78" s="35"/>
      <c r="AS78" s="35"/>
      <c r="AT78" s="35"/>
      <c r="AU78" s="35"/>
      <c r="AV78" s="35"/>
      <c r="AW78" s="35"/>
    </row>
    <row r="79">
      <c r="A79" s="17">
        <v>78.0</v>
      </c>
      <c r="B79" s="17" t="s">
        <v>288</v>
      </c>
      <c r="C79" s="18">
        <v>1840.0</v>
      </c>
      <c r="D79" s="18" t="s">
        <v>286</v>
      </c>
      <c r="E79" s="39" t="b">
        <v>1</v>
      </c>
      <c r="F79" s="17" t="s">
        <v>78</v>
      </c>
      <c r="G79" s="17" t="s">
        <v>79</v>
      </c>
      <c r="H79" s="17" t="s">
        <v>80</v>
      </c>
      <c r="I79" s="17" t="s">
        <v>81</v>
      </c>
      <c r="J79" s="19"/>
      <c r="K79" s="19" t="s">
        <v>82</v>
      </c>
      <c r="L79" s="19" t="s">
        <v>247</v>
      </c>
      <c r="M79" s="52"/>
      <c r="N79" s="20">
        <v>45653.0</v>
      </c>
      <c r="O79" s="20">
        <f t="shared" si="23"/>
        <v>45657</v>
      </c>
      <c r="P79" s="20"/>
      <c r="Q79" s="22">
        <v>20.43</v>
      </c>
      <c r="R79" s="22"/>
      <c r="S79" s="23"/>
      <c r="T79" s="24"/>
      <c r="U79" s="25">
        <f t="shared" si="19"/>
        <v>0</v>
      </c>
      <c r="V79" s="26">
        <f>$Q79*('MRV Calcs'!$E$3+'MRV Calcs'!$E$4)</f>
        <v>3.022453784</v>
      </c>
      <c r="W79" s="27">
        <f t="shared" si="2"/>
        <v>2030</v>
      </c>
      <c r="X79" s="26">
        <f>IF($I79="truck",($Q79*$W79*'MRV Calcs'!$E$7)+($W79*'MRV Calcs'!$E$8),0)</f>
        <v>5.495320243</v>
      </c>
      <c r="Y79" s="26">
        <f>IF($I79="train",'MRV Calcs'!$E$24,0)</f>
        <v>0</v>
      </c>
      <c r="Z79" s="26">
        <f>IF($I79="train",($Q79*$Y79*'MRV Calcs'!$E$7)+($Y79*'MRV Calcs'!$E$8),0)</f>
        <v>0</v>
      </c>
      <c r="AA79" s="26">
        <f>IF($I79="train",'MRV Calcs'!$E$25,0)</f>
        <v>0</v>
      </c>
      <c r="AB79" s="26">
        <f>IF($I79="train",($Q79*$AA79*'MRV Calcs'!$E$11)+($AA79*'MRV Calcs'!$E$12),0)</f>
        <v>0</v>
      </c>
      <c r="AC79" s="26">
        <f>IF($I79="train",'MRV Calcs'!$E$26,0)</f>
        <v>0</v>
      </c>
      <c r="AD79" s="26">
        <f>IF($I79="train",($Q79*$AC79*'MRV Calcs'!$E$7)+($AC79*'MRV Calcs'!$E$8),0)</f>
        <v>0</v>
      </c>
      <c r="AE79" s="26">
        <f>($Q79/30)*SUM('MRV Calcs'!$E$15:$E$16)</f>
        <v>3.092602146</v>
      </c>
      <c r="AF79" s="26">
        <f>'MRV Calcs'!$E$27</f>
        <v>71.2</v>
      </c>
      <c r="AG79" s="26">
        <f>(($Q79*1.1)*$AF79*'MRV Calcs'!$E$7)+($AF79*'MRV Calcs'!$E$8)</f>
        <v>0.2114700404</v>
      </c>
      <c r="AH79" s="26">
        <f>(($Q79*1.1)/20)*SUM('MRV Calcs'!$E$19:$E$20)</f>
        <v>0.02876544</v>
      </c>
      <c r="AI79" s="26">
        <f t="shared" si="3"/>
        <v>11.85061165</v>
      </c>
      <c r="AJ79" s="26">
        <f t="shared" si="20"/>
        <v>-11.85061165</v>
      </c>
      <c r="AK79" s="25">
        <f>AJ79+AK76</f>
        <v>-84.10142224</v>
      </c>
      <c r="AL79" s="28">
        <f t="shared" si="22"/>
        <v>-0.5800593076</v>
      </c>
      <c r="AM79" s="35"/>
      <c r="AN79" s="29"/>
      <c r="AO79" s="48"/>
      <c r="AP79" s="35"/>
      <c r="AQ79" s="35"/>
      <c r="AR79" s="35"/>
      <c r="AS79" s="35"/>
      <c r="AT79" s="35"/>
      <c r="AU79" s="35"/>
      <c r="AV79" s="35"/>
      <c r="AW79" s="35"/>
    </row>
    <row r="80">
      <c r="A80" s="17">
        <v>79.0</v>
      </c>
      <c r="B80" s="17" t="s">
        <v>289</v>
      </c>
      <c r="C80" s="18">
        <v>1842.0</v>
      </c>
      <c r="D80" s="18" t="s">
        <v>286</v>
      </c>
      <c r="E80" s="39" t="b">
        <v>1</v>
      </c>
      <c r="F80" s="17" t="s">
        <v>78</v>
      </c>
      <c r="G80" s="17" t="s">
        <v>79</v>
      </c>
      <c r="H80" s="17" t="s">
        <v>80</v>
      </c>
      <c r="I80" s="17" t="s">
        <v>81</v>
      </c>
      <c r="J80" s="19"/>
      <c r="K80" s="19" t="s">
        <v>233</v>
      </c>
      <c r="L80" s="19" t="s">
        <v>290</v>
      </c>
      <c r="M80" s="52"/>
      <c r="N80" s="20">
        <v>45654.0</v>
      </c>
      <c r="O80" s="20">
        <v>45657.0</v>
      </c>
      <c r="P80" s="20"/>
      <c r="Q80" s="22">
        <v>19.87</v>
      </c>
      <c r="R80" s="22"/>
      <c r="S80" s="23"/>
      <c r="T80" s="24"/>
      <c r="U80" s="25">
        <f t="shared" si="19"/>
        <v>0</v>
      </c>
      <c r="V80" s="26">
        <f>$Q80*('MRV Calcs'!$E$3+'MRV Calcs'!$E$4)</f>
        <v>2.939606299</v>
      </c>
      <c r="W80" s="27">
        <f t="shared" si="2"/>
        <v>2030</v>
      </c>
      <c r="X80" s="26">
        <f>IF($I80="truck",($Q80*$W80*'MRV Calcs'!$E$7)+($W80*'MRV Calcs'!$E$8),0)</f>
        <v>5.348960426</v>
      </c>
      <c r="Y80" s="26">
        <f>IF($I80="train",'MRV Calcs'!$E$24,0)</f>
        <v>0</v>
      </c>
      <c r="Z80" s="26">
        <f>IF($I80="train",($Q80*$Y80*'MRV Calcs'!$E$7)+($Y80*'MRV Calcs'!$E$8),0)</f>
        <v>0</v>
      </c>
      <c r="AA80" s="26">
        <f>IF($I80="train",'MRV Calcs'!$E$25,0)</f>
        <v>0</v>
      </c>
      <c r="AB80" s="26">
        <f>IF($I80="train",($Q80*$AA80*'MRV Calcs'!$E$11)+($AA80*'MRV Calcs'!$E$12),0)</f>
        <v>0</v>
      </c>
      <c r="AC80" s="26">
        <f>IF($I80="train",'MRV Calcs'!$E$26,0)</f>
        <v>0</v>
      </c>
      <c r="AD80" s="26">
        <f>IF($I80="train",($Q80*$AC80*'MRV Calcs'!$E$7)+($AC80*'MRV Calcs'!$E$8),0)</f>
        <v>0</v>
      </c>
      <c r="AE80" s="26">
        <f>($Q80/30)*SUM('MRV Calcs'!$E$15:$E$16)</f>
        <v>3.007831847</v>
      </c>
      <c r="AF80" s="26">
        <f>'MRV Calcs'!$E$27</f>
        <v>71.2</v>
      </c>
      <c r="AG80" s="26">
        <f>(($Q80*1.1)*$AF80*'MRV Calcs'!$E$7)+($AF80*'MRV Calcs'!$E$8)</f>
        <v>0.2058232912</v>
      </c>
      <c r="AH80" s="26">
        <f>(($Q80*1.1)/20)*SUM('MRV Calcs'!$E$19:$E$20)</f>
        <v>0.02797696</v>
      </c>
      <c r="AI80" s="26">
        <f t="shared" si="3"/>
        <v>11.53019882</v>
      </c>
      <c r="AJ80" s="26">
        <f t="shared" si="20"/>
        <v>-11.53019882</v>
      </c>
      <c r="AK80" s="25">
        <f t="shared" ref="AK80:AK98" si="24">AJ80+AK79</f>
        <v>-95.63162107</v>
      </c>
      <c r="AL80" s="28">
        <f t="shared" si="22"/>
        <v>-0.5802817727</v>
      </c>
      <c r="AM80" s="35"/>
      <c r="AN80" s="29"/>
      <c r="AO80" s="48"/>
      <c r="AP80" s="35"/>
      <c r="AQ80" s="35"/>
      <c r="AR80" s="35"/>
      <c r="AS80" s="35"/>
      <c r="AT80" s="35"/>
      <c r="AU80" s="35"/>
      <c r="AV80" s="35"/>
      <c r="AW80" s="35"/>
    </row>
    <row r="81">
      <c r="A81" s="17">
        <v>80.0</v>
      </c>
      <c r="B81" s="17" t="s">
        <v>291</v>
      </c>
      <c r="C81" s="18">
        <v>1844.0</v>
      </c>
      <c r="D81" s="18" t="s">
        <v>286</v>
      </c>
      <c r="E81" s="39" t="b">
        <v>1</v>
      </c>
      <c r="F81" s="17" t="s">
        <v>78</v>
      </c>
      <c r="G81" s="17" t="s">
        <v>79</v>
      </c>
      <c r="H81" s="17" t="s">
        <v>80</v>
      </c>
      <c r="I81" s="17" t="s">
        <v>81</v>
      </c>
      <c r="J81" s="19"/>
      <c r="K81" s="19" t="s">
        <v>233</v>
      </c>
      <c r="L81" s="19" t="s">
        <v>292</v>
      </c>
      <c r="M81" s="52"/>
      <c r="N81" s="20">
        <v>45654.0</v>
      </c>
      <c r="O81" s="20">
        <v>45657.0</v>
      </c>
      <c r="P81" s="20"/>
      <c r="Q81" s="22">
        <v>18.81</v>
      </c>
      <c r="R81" s="22"/>
      <c r="S81" s="23"/>
      <c r="T81" s="24"/>
      <c r="U81" s="25">
        <f t="shared" si="19"/>
        <v>0</v>
      </c>
      <c r="V81" s="26">
        <f>$Q81*('MRV Calcs'!$E$3+'MRV Calcs'!$E$4)</f>
        <v>2.782787845</v>
      </c>
      <c r="W81" s="27">
        <f t="shared" si="2"/>
        <v>2030</v>
      </c>
      <c r="X81" s="26">
        <f>IF($I81="truck",($Q81*$W81*'MRV Calcs'!$E$7)+($W81*'MRV Calcs'!$E$8),0)</f>
        <v>5.071922201</v>
      </c>
      <c r="Y81" s="26">
        <f>IF($I81="train",'MRV Calcs'!$E$24,0)</f>
        <v>0</v>
      </c>
      <c r="Z81" s="26">
        <f>IF($I81="train",($Q81*$Y81*'MRV Calcs'!$E$7)+($Y81*'MRV Calcs'!$E$8),0)</f>
        <v>0</v>
      </c>
      <c r="AA81" s="26">
        <f>IF($I81="train",'MRV Calcs'!$E$25,0)</f>
        <v>0</v>
      </c>
      <c r="AB81" s="26">
        <f>IF($I81="train",($Q81*$AA81*'MRV Calcs'!$E$11)+($AA81*'MRV Calcs'!$E$12),0)</f>
        <v>0</v>
      </c>
      <c r="AC81" s="26">
        <f>IF($I81="train",'MRV Calcs'!$E$26,0)</f>
        <v>0</v>
      </c>
      <c r="AD81" s="26">
        <f>IF($I81="train",($Q81*$AC81*'MRV Calcs'!$E$7)+($AC81*'MRV Calcs'!$E$8),0)</f>
        <v>0</v>
      </c>
      <c r="AE81" s="26">
        <f>($Q81/30)*SUM('MRV Calcs'!$E$15:$E$16)</f>
        <v>2.847373782</v>
      </c>
      <c r="AF81" s="26">
        <f>'MRV Calcs'!$E$27</f>
        <v>71.2</v>
      </c>
      <c r="AG81" s="26">
        <f>(($Q81*1.1)*$AF81*'MRV Calcs'!$E$7)+($AF81*'MRV Calcs'!$E$8)</f>
        <v>0.1951348016</v>
      </c>
      <c r="AH81" s="26">
        <f>(($Q81*1.1)/20)*SUM('MRV Calcs'!$E$19:$E$20)</f>
        <v>0.02648448</v>
      </c>
      <c r="AI81" s="26">
        <f t="shared" si="3"/>
        <v>10.92370311</v>
      </c>
      <c r="AJ81" s="26">
        <f t="shared" si="20"/>
        <v>-10.92370311</v>
      </c>
      <c r="AK81" s="25">
        <f t="shared" si="24"/>
        <v>-106.5553242</v>
      </c>
      <c r="AL81" s="28">
        <f t="shared" si="22"/>
        <v>-0.580739134</v>
      </c>
      <c r="AM81" s="35"/>
      <c r="AN81" s="29"/>
      <c r="AO81" s="48"/>
      <c r="AP81" s="35"/>
      <c r="AQ81" s="35"/>
      <c r="AR81" s="35"/>
      <c r="AS81" s="35"/>
      <c r="AT81" s="35"/>
      <c r="AU81" s="35"/>
      <c r="AV81" s="35"/>
      <c r="AW81" s="35"/>
    </row>
    <row r="82">
      <c r="A82" s="17">
        <v>81.0</v>
      </c>
      <c r="B82" s="17" t="s">
        <v>293</v>
      </c>
      <c r="C82" s="18">
        <v>1850.0</v>
      </c>
      <c r="D82" s="18" t="s">
        <v>294</v>
      </c>
      <c r="E82" s="39" t="b">
        <v>1</v>
      </c>
      <c r="F82" s="17" t="s">
        <v>78</v>
      </c>
      <c r="G82" s="17" t="s">
        <v>79</v>
      </c>
      <c r="H82" s="17" t="s">
        <v>80</v>
      </c>
      <c r="I82" s="17" t="s">
        <v>81</v>
      </c>
      <c r="J82" s="19"/>
      <c r="K82" s="19" t="s">
        <v>233</v>
      </c>
      <c r="L82" s="19" t="s">
        <v>295</v>
      </c>
      <c r="M82" s="52"/>
      <c r="N82" s="20">
        <v>45655.0</v>
      </c>
      <c r="O82" s="20">
        <v>45658.0</v>
      </c>
      <c r="P82" s="20"/>
      <c r="Q82" s="22">
        <v>19.35</v>
      </c>
      <c r="R82" s="22"/>
      <c r="S82" s="23"/>
      <c r="T82" s="24"/>
      <c r="U82" s="25">
        <f t="shared" si="19"/>
        <v>0</v>
      </c>
      <c r="V82" s="26">
        <f>$Q82*('MRV Calcs'!$E$3+'MRV Calcs'!$E$4)</f>
        <v>2.862676491</v>
      </c>
      <c r="W82" s="27">
        <f t="shared" si="2"/>
        <v>2030</v>
      </c>
      <c r="X82" s="26">
        <f>IF($I82="truck",($Q82*$W82*'MRV Calcs'!$E$7)+($W82*'MRV Calcs'!$E$8),0)</f>
        <v>5.213054882</v>
      </c>
      <c r="Y82" s="26">
        <f>IF($I82="train",'MRV Calcs'!$E$24,0)</f>
        <v>0</v>
      </c>
      <c r="Z82" s="26">
        <f>IF($I82="train",($Q82*$Y82*'MRV Calcs'!$E$7)+($Y82*'MRV Calcs'!$E$8),0)</f>
        <v>0</v>
      </c>
      <c r="AA82" s="26">
        <f>IF($I82="train",'MRV Calcs'!$E$25,0)</f>
        <v>0</v>
      </c>
      <c r="AB82" s="26">
        <f>IF($I82="train",($Q82*$AA82*'MRV Calcs'!$E$11)+($AA82*'MRV Calcs'!$E$12),0)</f>
        <v>0</v>
      </c>
      <c r="AC82" s="26">
        <f>IF($I82="train",'MRV Calcs'!$E$26,0)</f>
        <v>0</v>
      </c>
      <c r="AD82" s="26">
        <f>IF($I82="train",($Q82*$AC82*'MRV Calcs'!$E$7)+($AC82*'MRV Calcs'!$E$8),0)</f>
        <v>0</v>
      </c>
      <c r="AE82" s="26">
        <f>($Q82/30)*SUM('MRV Calcs'!$E$15:$E$16)</f>
        <v>2.92911657</v>
      </c>
      <c r="AF82" s="26">
        <f>'MRV Calcs'!$E$27</f>
        <v>71.2</v>
      </c>
      <c r="AG82" s="26">
        <f>(($Q82*1.1)*$AF82*'MRV Calcs'!$E$7)+($AF82*'MRV Calcs'!$E$8)</f>
        <v>0.2005798812</v>
      </c>
      <c r="AH82" s="26">
        <f>(($Q82*1.1)/20)*SUM('MRV Calcs'!$E$19:$E$20)</f>
        <v>0.0272448</v>
      </c>
      <c r="AI82" s="26">
        <f t="shared" si="3"/>
        <v>11.23267262</v>
      </c>
      <c r="AJ82" s="26">
        <f t="shared" si="20"/>
        <v>-11.23267262</v>
      </c>
      <c r="AK82" s="25">
        <f t="shared" si="24"/>
        <v>-117.7879968</v>
      </c>
      <c r="AL82" s="28">
        <f t="shared" si="22"/>
        <v>-0.5804998772</v>
      </c>
      <c r="AM82" s="35"/>
      <c r="AN82" s="29"/>
      <c r="AO82" s="48"/>
      <c r="AP82" s="35"/>
      <c r="AQ82" s="35"/>
      <c r="AR82" s="35"/>
      <c r="AS82" s="35"/>
      <c r="AT82" s="35"/>
      <c r="AU82" s="35"/>
      <c r="AV82" s="35"/>
      <c r="AW82" s="35"/>
    </row>
    <row r="83">
      <c r="A83" s="17">
        <v>82.0</v>
      </c>
      <c r="B83" s="17" t="s">
        <v>296</v>
      </c>
      <c r="C83" s="18">
        <v>1853.0</v>
      </c>
      <c r="D83" s="18" t="s">
        <v>294</v>
      </c>
      <c r="E83" s="39" t="b">
        <v>1</v>
      </c>
      <c r="F83" s="17" t="s">
        <v>78</v>
      </c>
      <c r="G83" s="17" t="s">
        <v>79</v>
      </c>
      <c r="H83" s="17" t="s">
        <v>80</v>
      </c>
      <c r="I83" s="17" t="s">
        <v>81</v>
      </c>
      <c r="J83" s="19"/>
      <c r="K83" s="19" t="s">
        <v>233</v>
      </c>
      <c r="L83" s="19" t="s">
        <v>297</v>
      </c>
      <c r="M83" s="52"/>
      <c r="N83" s="20">
        <v>45656.0</v>
      </c>
      <c r="O83" s="20">
        <v>45659.0</v>
      </c>
      <c r="P83" s="20"/>
      <c r="Q83" s="22">
        <v>19.34</v>
      </c>
      <c r="R83" s="22"/>
      <c r="S83" s="23"/>
      <c r="T83" s="24"/>
      <c r="U83" s="25">
        <f t="shared" si="19"/>
        <v>0</v>
      </c>
      <c r="V83" s="26">
        <f>$Q83*('MRV Calcs'!$E$3+'MRV Calcs'!$E$4)</f>
        <v>2.861197072</v>
      </c>
      <c r="W83" s="27">
        <f t="shared" si="2"/>
        <v>2030</v>
      </c>
      <c r="X83" s="26">
        <f>IF($I83="truck",($Q83*$W83*'MRV Calcs'!$E$7)+($W83*'MRV Calcs'!$E$8),0)</f>
        <v>5.210441314</v>
      </c>
      <c r="Y83" s="26">
        <f>IF($I83="train",'MRV Calcs'!$E$24,0)</f>
        <v>0</v>
      </c>
      <c r="Z83" s="26">
        <f>IF($I83="train",($Q83*$Y83*'MRV Calcs'!$E$7)+($Y83*'MRV Calcs'!$E$8),0)</f>
        <v>0</v>
      </c>
      <c r="AA83" s="26">
        <f>IF($I83="train",'MRV Calcs'!$E$25,0)</f>
        <v>0</v>
      </c>
      <c r="AB83" s="26">
        <f>IF($I83="train",($Q83*$AA83*'MRV Calcs'!$E$11)+($AA83*'MRV Calcs'!$E$12),0)</f>
        <v>0</v>
      </c>
      <c r="AC83" s="26">
        <f>IF($I83="train",'MRV Calcs'!$E$26,0)</f>
        <v>0</v>
      </c>
      <c r="AD83" s="26">
        <f>IF($I83="train",($Q83*$AC83*'MRV Calcs'!$E$7)+($AC83*'MRV Calcs'!$E$8),0)</f>
        <v>0</v>
      </c>
      <c r="AE83" s="26">
        <f>($Q83/30)*SUM('MRV Calcs'!$E$15:$E$16)</f>
        <v>2.927602815</v>
      </c>
      <c r="AF83" s="26">
        <f>'MRV Calcs'!$E$27</f>
        <v>71.2</v>
      </c>
      <c r="AG83" s="26">
        <f>(($Q83*1.1)*$AF83*'MRV Calcs'!$E$7)+($AF83*'MRV Calcs'!$E$8)</f>
        <v>0.2004790464</v>
      </c>
      <c r="AH83" s="26">
        <f>(($Q83*1.1)/20)*SUM('MRV Calcs'!$E$19:$E$20)</f>
        <v>0.02723072</v>
      </c>
      <c r="AI83" s="26">
        <f t="shared" si="3"/>
        <v>11.22695097</v>
      </c>
      <c r="AJ83" s="26">
        <f t="shared" si="20"/>
        <v>-11.22695097</v>
      </c>
      <c r="AK83" s="25">
        <f t="shared" si="24"/>
        <v>-129.0149478</v>
      </c>
      <c r="AL83" s="28">
        <f t="shared" si="22"/>
        <v>-0.5805041865</v>
      </c>
      <c r="AM83" s="35"/>
      <c r="AN83" s="29"/>
      <c r="AO83" s="48"/>
      <c r="AP83" s="35"/>
      <c r="AQ83" s="35"/>
      <c r="AR83" s="35"/>
      <c r="AS83" s="35"/>
      <c r="AT83" s="35"/>
      <c r="AU83" s="35"/>
      <c r="AV83" s="35"/>
      <c r="AW83" s="35"/>
    </row>
    <row r="84">
      <c r="A84" s="17">
        <v>83.0</v>
      </c>
      <c r="B84" s="17" t="s">
        <v>298</v>
      </c>
      <c r="C84" s="18">
        <v>1863.0</v>
      </c>
      <c r="D84" s="18" t="s">
        <v>299</v>
      </c>
      <c r="E84" s="39" t="b">
        <v>1</v>
      </c>
      <c r="F84" s="17" t="s">
        <v>78</v>
      </c>
      <c r="G84" s="17" t="s">
        <v>79</v>
      </c>
      <c r="H84" s="17" t="s">
        <v>80</v>
      </c>
      <c r="I84" s="17" t="s">
        <v>81</v>
      </c>
      <c r="J84" s="19"/>
      <c r="K84" s="19" t="s">
        <v>233</v>
      </c>
      <c r="L84" s="19" t="s">
        <v>300</v>
      </c>
      <c r="M84" s="52"/>
      <c r="N84" s="20">
        <v>45659.0</v>
      </c>
      <c r="O84" s="20">
        <v>45665.0</v>
      </c>
      <c r="P84" s="20"/>
      <c r="Q84" s="22">
        <v>19.02</v>
      </c>
      <c r="R84" s="22"/>
      <c r="S84" s="23"/>
      <c r="T84" s="24"/>
      <c r="U84" s="25">
        <f t="shared" si="19"/>
        <v>0</v>
      </c>
      <c r="V84" s="26">
        <f>$Q84*('MRV Calcs'!$E$3+'MRV Calcs'!$E$4)</f>
        <v>2.813855652</v>
      </c>
      <c r="W84" s="27">
        <f t="shared" si="2"/>
        <v>2030</v>
      </c>
      <c r="X84" s="26">
        <f>IF($I84="truck",($Q84*$W84*'MRV Calcs'!$E$7)+($W84*'MRV Calcs'!$E$8),0)</f>
        <v>5.126807133</v>
      </c>
      <c r="Y84" s="26">
        <f>IF($I84="train",'MRV Calcs'!$E$24,0)</f>
        <v>0</v>
      </c>
      <c r="Z84" s="26">
        <f>IF($I84="train",($Q84*$Y84*'MRV Calcs'!$E$7)+($Y84*'MRV Calcs'!$E$8),0)</f>
        <v>0</v>
      </c>
      <c r="AA84" s="26">
        <f>IF($I84="train",'MRV Calcs'!$E$25,0)</f>
        <v>0</v>
      </c>
      <c r="AB84" s="26">
        <f>IF($I84="train",($Q84*$AA84*'MRV Calcs'!$E$11)+($AA84*'MRV Calcs'!$E$12),0)</f>
        <v>0</v>
      </c>
      <c r="AC84" s="26">
        <f>IF($I84="train",'MRV Calcs'!$E$26,0)</f>
        <v>0</v>
      </c>
      <c r="AD84" s="26">
        <f>IF($I84="train",($Q84*$AC84*'MRV Calcs'!$E$7)+($AC84*'MRV Calcs'!$E$8),0)</f>
        <v>0</v>
      </c>
      <c r="AE84" s="26">
        <f>($Q84/30)*SUM('MRV Calcs'!$E$15:$E$16)</f>
        <v>2.879162644</v>
      </c>
      <c r="AF84" s="26">
        <f>'MRV Calcs'!$E$27</f>
        <v>71.2</v>
      </c>
      <c r="AG84" s="26">
        <f>(($Q84*1.1)*$AF84*'MRV Calcs'!$E$7)+($AF84*'MRV Calcs'!$E$8)</f>
        <v>0.1972523326</v>
      </c>
      <c r="AH84" s="26">
        <f>(($Q84*1.1)/20)*SUM('MRV Calcs'!$E$19:$E$20)</f>
        <v>0.02678016</v>
      </c>
      <c r="AI84" s="26">
        <f t="shared" si="3"/>
        <v>11.04385792</v>
      </c>
      <c r="AJ84" s="26">
        <f t="shared" si="20"/>
        <v>-11.04385792</v>
      </c>
      <c r="AK84" s="25">
        <f t="shared" si="24"/>
        <v>-140.0588057</v>
      </c>
      <c r="AL84" s="28">
        <f t="shared" si="22"/>
        <v>-0.5806444754</v>
      </c>
      <c r="AM84" s="35"/>
      <c r="AN84" s="29"/>
      <c r="AO84" s="48"/>
      <c r="AP84" s="35"/>
      <c r="AQ84" s="35"/>
      <c r="AR84" s="35"/>
      <c r="AS84" s="35"/>
      <c r="AT84" s="35"/>
      <c r="AU84" s="35"/>
      <c r="AV84" s="35"/>
      <c r="AW84" s="35"/>
    </row>
    <row r="85">
      <c r="A85" s="17">
        <v>84.0</v>
      </c>
      <c r="B85" s="17" t="s">
        <v>277</v>
      </c>
      <c r="C85" s="53" t="s">
        <v>301</v>
      </c>
      <c r="D85" s="17"/>
      <c r="E85" s="40" t="s">
        <v>79</v>
      </c>
      <c r="F85" s="17" t="s">
        <v>279</v>
      </c>
      <c r="G85" s="17" t="s">
        <v>280</v>
      </c>
      <c r="H85" s="17" t="s">
        <v>280</v>
      </c>
      <c r="I85" s="17" t="s">
        <v>81</v>
      </c>
      <c r="J85" s="19"/>
      <c r="K85" s="19" t="s">
        <v>280</v>
      </c>
      <c r="L85" s="19"/>
      <c r="M85" s="54"/>
      <c r="N85" s="20"/>
      <c r="O85" s="20">
        <v>45663.0</v>
      </c>
      <c r="P85" s="20"/>
      <c r="Q85" s="22" t="s">
        <v>281</v>
      </c>
      <c r="R85" s="22"/>
      <c r="S85" s="23"/>
      <c r="T85" s="24"/>
      <c r="U85" s="25" t="str">
        <f t="shared" si="19"/>
        <v>#VALUE!</v>
      </c>
      <c r="V85" s="26" t="str">
        <f>$Q85*('MRV Calcs'!$E$3+'MRV Calcs'!$E$4)</f>
        <v>#VALUE!</v>
      </c>
      <c r="W85" s="27" t="str">
        <f t="shared" si="2"/>
        <v>ERROR</v>
      </c>
      <c r="X85" s="26" t="str">
        <f>IF($I85="truck",($Q85*$W85*'MRV Calcs'!$E$7)+($W85*'MRV Calcs'!$E$8),0)</f>
        <v>#VALUE!</v>
      </c>
      <c r="Y85" s="26">
        <f>IF($I85="train",'MRV Calcs'!$E$24,0)</f>
        <v>0</v>
      </c>
      <c r="Z85" s="26">
        <f>IF($I85="train",($Q85*$Y85*'MRV Calcs'!$E$7)+($Y85*'MRV Calcs'!$E$8),0)</f>
        <v>0</v>
      </c>
      <c r="AA85" s="26">
        <f>IF($I85="train",'MRV Calcs'!$E$25,0)</f>
        <v>0</v>
      </c>
      <c r="AB85" s="26">
        <f>IF($I85="train",($Q85*$AA85*'MRV Calcs'!$E$11)+($AA85*'MRV Calcs'!$E$12),0)</f>
        <v>0</v>
      </c>
      <c r="AC85" s="26">
        <f>IF($I85="train",'MRV Calcs'!$E$26,0)</f>
        <v>0</v>
      </c>
      <c r="AD85" s="26">
        <f>IF($I85="train",($Q85*$AC85*'MRV Calcs'!$E$7)+($AC85*'MRV Calcs'!$E$8),0)</f>
        <v>0</v>
      </c>
      <c r="AE85" s="26" t="str">
        <f>($Q85/30)*SUM('MRV Calcs'!$E$15:$E$16)</f>
        <v>#VALUE!</v>
      </c>
      <c r="AF85" s="26">
        <f>'MRV Calcs'!$E$27</f>
        <v>71.2</v>
      </c>
      <c r="AG85" s="26" t="str">
        <f>(($Q85*1.1)*$AF85*'MRV Calcs'!$E$7)+($AF85*'MRV Calcs'!$E$8)</f>
        <v>#VALUE!</v>
      </c>
      <c r="AH85" s="26" t="str">
        <f>(($Q85*1.1)/20)*SUM('MRV Calcs'!$E$19:$E$20)</f>
        <v>#VALUE!</v>
      </c>
      <c r="AI85" s="26" t="str">
        <f t="shared" si="3"/>
        <v>#VALUE!</v>
      </c>
      <c r="AJ85" s="26" t="str">
        <f t="shared" si="20"/>
        <v>#VALUE!</v>
      </c>
      <c r="AK85" s="25" t="str">
        <f t="shared" si="24"/>
        <v>#VALUE!</v>
      </c>
      <c r="AL85" s="28" t="str">
        <f t="shared" si="22"/>
        <v>#VALUE!</v>
      </c>
      <c r="AM85" s="35"/>
      <c r="AN85" s="29"/>
      <c r="AO85" s="48"/>
      <c r="AP85" s="35"/>
      <c r="AQ85" s="35"/>
      <c r="AR85" s="35"/>
      <c r="AS85" s="35"/>
      <c r="AT85" s="35"/>
      <c r="AU85" s="35"/>
      <c r="AV85" s="35"/>
      <c r="AW85" s="35"/>
    </row>
    <row r="86">
      <c r="A86" s="17">
        <v>85.0</v>
      </c>
      <c r="B86" s="17" t="s">
        <v>302</v>
      </c>
      <c r="C86" s="18">
        <v>1870.0</v>
      </c>
      <c r="D86" s="18" t="s">
        <v>303</v>
      </c>
      <c r="E86" s="39" t="b">
        <v>1</v>
      </c>
      <c r="F86" s="17" t="s">
        <v>78</v>
      </c>
      <c r="G86" s="17" t="s">
        <v>79</v>
      </c>
      <c r="H86" s="17" t="s">
        <v>80</v>
      </c>
      <c r="I86" s="17" t="s">
        <v>81</v>
      </c>
      <c r="J86" s="19"/>
      <c r="K86" s="19" t="s">
        <v>82</v>
      </c>
      <c r="L86" s="19" t="s">
        <v>247</v>
      </c>
      <c r="M86" s="54"/>
      <c r="N86" s="20">
        <v>45661.0</v>
      </c>
      <c r="O86" s="20">
        <v>45666.0</v>
      </c>
      <c r="P86" s="20"/>
      <c r="Q86" s="22">
        <v>19.79</v>
      </c>
      <c r="R86" s="22"/>
      <c r="S86" s="23"/>
      <c r="T86" s="24"/>
      <c r="U86" s="25">
        <f t="shared" si="19"/>
        <v>0</v>
      </c>
      <c r="V86" s="26">
        <f>$Q86*('MRV Calcs'!$E$3+'MRV Calcs'!$E$4)</f>
        <v>2.927770944</v>
      </c>
      <c r="W86" s="27">
        <f t="shared" si="2"/>
        <v>2030</v>
      </c>
      <c r="X86" s="26">
        <f>IF($I86="truck",($Q86*$W86*'MRV Calcs'!$E$7)+($W86*'MRV Calcs'!$E$8),0)</f>
        <v>5.328051881</v>
      </c>
      <c r="Y86" s="26">
        <f>IF($I86="train",'MRV Calcs'!$E$24,0)</f>
        <v>0</v>
      </c>
      <c r="Z86" s="26">
        <f>IF($I86="train",($Q86*$Y86*'MRV Calcs'!$E$7)+($Y86*'MRV Calcs'!$E$8),0)</f>
        <v>0</v>
      </c>
      <c r="AA86" s="26">
        <f>IF($I86="train",'MRV Calcs'!$E$25,0)</f>
        <v>0</v>
      </c>
      <c r="AB86" s="26">
        <f>IF($I86="train",($Q86*$AA86*'MRV Calcs'!$E$11)+($AA86*'MRV Calcs'!$E$12),0)</f>
        <v>0</v>
      </c>
      <c r="AC86" s="26">
        <f>IF($I86="train",'MRV Calcs'!$E$26,0)</f>
        <v>0</v>
      </c>
      <c r="AD86" s="26">
        <f>IF($I86="train",($Q86*$AC86*'MRV Calcs'!$E$7)+($AC86*'MRV Calcs'!$E$8),0)</f>
        <v>0</v>
      </c>
      <c r="AE86" s="26">
        <f>($Q86/30)*SUM('MRV Calcs'!$E$15:$E$16)</f>
        <v>2.995721805</v>
      </c>
      <c r="AF86" s="26">
        <f>'MRV Calcs'!$E$27</f>
        <v>71.2</v>
      </c>
      <c r="AG86" s="26">
        <f>(($Q86*1.1)*$AF86*'MRV Calcs'!$E$7)+($AF86*'MRV Calcs'!$E$8)</f>
        <v>0.2050166127</v>
      </c>
      <c r="AH86" s="26">
        <f>(($Q86*1.1)/20)*SUM('MRV Calcs'!$E$19:$E$20)</f>
        <v>0.02786432</v>
      </c>
      <c r="AI86" s="26">
        <f t="shared" si="3"/>
        <v>11.48442556</v>
      </c>
      <c r="AJ86" s="26">
        <f t="shared" si="20"/>
        <v>-11.48442556</v>
      </c>
      <c r="AK86" s="25" t="str">
        <f t="shared" si="24"/>
        <v>#VALUE!</v>
      </c>
      <c r="AL86" s="28">
        <f t="shared" si="22"/>
        <v>-0.5803145812</v>
      </c>
      <c r="AM86" s="35"/>
      <c r="AN86" s="29"/>
      <c r="AO86" s="48"/>
      <c r="AP86" s="35"/>
      <c r="AQ86" s="35"/>
      <c r="AR86" s="35"/>
      <c r="AS86" s="35"/>
      <c r="AT86" s="35"/>
      <c r="AU86" s="35"/>
      <c r="AV86" s="35"/>
      <c r="AW86" s="35"/>
    </row>
    <row r="87">
      <c r="A87" s="17">
        <v>86.0</v>
      </c>
      <c r="B87" s="17" t="s">
        <v>304</v>
      </c>
      <c r="C87" s="18">
        <v>1874.0</v>
      </c>
      <c r="D87" s="18" t="s">
        <v>303</v>
      </c>
      <c r="E87" s="17" t="b">
        <v>1</v>
      </c>
      <c r="F87" s="17" t="s">
        <v>78</v>
      </c>
      <c r="G87" s="17" t="s">
        <v>79</v>
      </c>
      <c r="H87" s="17" t="s">
        <v>80</v>
      </c>
      <c r="I87" s="17" t="s">
        <v>81</v>
      </c>
      <c r="J87" s="19"/>
      <c r="K87" s="19" t="s">
        <v>82</v>
      </c>
      <c r="L87" s="19" t="s">
        <v>86</v>
      </c>
      <c r="M87" s="49"/>
      <c r="N87" s="20">
        <v>45662.0</v>
      </c>
      <c r="O87" s="20">
        <v>45665.0</v>
      </c>
      <c r="P87" s="20"/>
      <c r="Q87" s="22">
        <v>20.07</v>
      </c>
      <c r="R87" s="22"/>
      <c r="S87" s="23" t="str">
        <f>iferror(if(AN87=1,VLOOKUP(#REF!, Blends!H$4:AK$1004,32,0), ""), "")</f>
        <v/>
      </c>
      <c r="T87" s="24"/>
      <c r="U87" s="25">
        <f t="shared" si="19"/>
        <v>0</v>
      </c>
      <c r="V87" s="26">
        <f>$Q87*('MRV Calcs'!$E$3+'MRV Calcs'!$E$4)</f>
        <v>2.969194686</v>
      </c>
      <c r="W87" s="27">
        <f t="shared" si="2"/>
        <v>2030</v>
      </c>
      <c r="X87" s="26">
        <f>IF($I87="truck",($Q87*$W87*'MRV Calcs'!$E$7)+($W87*'MRV Calcs'!$E$8),0)</f>
        <v>5.40123179</v>
      </c>
      <c r="Y87" s="26">
        <f>IF($I87="train",'MRV Calcs'!$E$24,0)</f>
        <v>0</v>
      </c>
      <c r="Z87" s="26">
        <f>IF($I87="train",($Q87*$Y87*'MRV Calcs'!$E$7)+($Y87*'MRV Calcs'!$E$8),0)</f>
        <v>0</v>
      </c>
      <c r="AA87" s="26">
        <f>IF($I87="train",'MRV Calcs'!$E$25,0)</f>
        <v>0</v>
      </c>
      <c r="AB87" s="26">
        <f>IF($I87="train",($Q87*$AA87*'MRV Calcs'!$E$11)+($AA87*'MRV Calcs'!$E$12),0)</f>
        <v>0</v>
      </c>
      <c r="AC87" s="26">
        <f>IF($I87="train",'MRV Calcs'!$E$26,0)</f>
        <v>0</v>
      </c>
      <c r="AD87" s="26">
        <f>IF($I87="train",($Q87*$AC87*'MRV Calcs'!$E$7)+($AC87*'MRV Calcs'!$E$8),0)</f>
        <v>0</v>
      </c>
      <c r="AE87" s="26">
        <f>($Q87/30)*SUM('MRV Calcs'!$E$15:$E$16)</f>
        <v>3.038106954</v>
      </c>
      <c r="AF87" s="26">
        <f>'MRV Calcs'!$E$27</f>
        <v>71.2</v>
      </c>
      <c r="AG87" s="26">
        <f>(($Q87*1.1)*$AF87*'MRV Calcs'!$E$7)+($AF87*'MRV Calcs'!$E$8)</f>
        <v>0.2078399873</v>
      </c>
      <c r="AH87" s="26">
        <f>(($Q87*1.1)/20)*SUM('MRV Calcs'!$E$19:$E$20)</f>
        <v>0.02825856</v>
      </c>
      <c r="AI87" s="26">
        <f t="shared" si="3"/>
        <v>11.64463198</v>
      </c>
      <c r="AJ87" s="26">
        <f t="shared" si="20"/>
        <v>-11.64463198</v>
      </c>
      <c r="AK87" s="25" t="str">
        <f t="shared" si="24"/>
        <v>#VALUE!</v>
      </c>
      <c r="AL87" s="28">
        <f t="shared" si="22"/>
        <v>-0.5802008957</v>
      </c>
      <c r="AM87" s="29"/>
      <c r="AN87" s="29">
        <f>COUNTIF(Blends!H$4:H$1007,#REF!)+COUNTIF(Blends!J$4:J$1007,#REF!)+COUNTIF(#REF!,#REF!)</f>
        <v>1</v>
      </c>
      <c r="AO87" s="48"/>
      <c r="AP87" s="35"/>
      <c r="AQ87" s="35"/>
      <c r="AR87" s="35"/>
      <c r="AS87" s="35"/>
      <c r="AT87" s="35"/>
      <c r="AU87" s="35"/>
      <c r="AV87" s="35"/>
      <c r="AW87" s="35"/>
    </row>
    <row r="88">
      <c r="A88" s="17">
        <v>87.0</v>
      </c>
      <c r="B88" s="17" t="s">
        <v>305</v>
      </c>
      <c r="C88" s="18">
        <v>1877.0</v>
      </c>
      <c r="D88" s="18" t="s">
        <v>303</v>
      </c>
      <c r="E88" s="17" t="b">
        <v>1</v>
      </c>
      <c r="F88" s="17" t="s">
        <v>78</v>
      </c>
      <c r="G88" s="17" t="s">
        <v>79</v>
      </c>
      <c r="H88" s="17" t="s">
        <v>80</v>
      </c>
      <c r="I88" s="17" t="s">
        <v>81</v>
      </c>
      <c r="J88" s="19"/>
      <c r="K88" s="19" t="s">
        <v>82</v>
      </c>
      <c r="L88" s="19" t="s">
        <v>139</v>
      </c>
      <c r="M88" s="49"/>
      <c r="N88" s="20">
        <v>45663.0</v>
      </c>
      <c r="O88" s="20">
        <v>45666.0</v>
      </c>
      <c r="P88" s="20"/>
      <c r="Q88" s="22">
        <v>20.53</v>
      </c>
      <c r="R88" s="22"/>
      <c r="S88" s="23" t="str">
        <f>iferror(if(AN88=1,VLOOKUP(B89, Blends!H$4:AK$1004,32,0), ""), "")</f>
        <v/>
      </c>
      <c r="T88" s="24"/>
      <c r="U88" s="25">
        <f t="shared" si="19"/>
        <v>0</v>
      </c>
      <c r="V88" s="26">
        <f>$Q88*('MRV Calcs'!$E$3+'MRV Calcs'!$E$4)</f>
        <v>3.037247977</v>
      </c>
      <c r="W88" s="27">
        <f t="shared" si="2"/>
        <v>2030</v>
      </c>
      <c r="X88" s="26">
        <f>IF($I88="truck",($Q88*$W88*'MRV Calcs'!$E$7)+($W88*'MRV Calcs'!$E$8),0)</f>
        <v>5.521455925</v>
      </c>
      <c r="Y88" s="26">
        <f>IF($I88="train",'MRV Calcs'!$E$24,0)</f>
        <v>0</v>
      </c>
      <c r="Z88" s="26">
        <f>IF($I88="train",($Q88*$Y88*'MRV Calcs'!$E$7)+($Y88*'MRV Calcs'!$E$8),0)</f>
        <v>0</v>
      </c>
      <c r="AA88" s="26">
        <f>IF($I88="train",'MRV Calcs'!$E$25,0)</f>
        <v>0</v>
      </c>
      <c r="AB88" s="26">
        <f>IF($I88="train",($Q88*$AA88*'MRV Calcs'!$E$11)+($AA88*'MRV Calcs'!$E$12),0)</f>
        <v>0</v>
      </c>
      <c r="AC88" s="26">
        <f>IF($I88="train",'MRV Calcs'!$E$26,0)</f>
        <v>0</v>
      </c>
      <c r="AD88" s="26">
        <f>IF($I88="train",($Q88*$AC88*'MRV Calcs'!$E$7)+($AC88*'MRV Calcs'!$E$8),0)</f>
        <v>0</v>
      </c>
      <c r="AE88" s="26">
        <f>($Q88/30)*SUM('MRV Calcs'!$E$15:$E$16)</f>
        <v>3.107739699</v>
      </c>
      <c r="AF88" s="26">
        <f>'MRV Calcs'!$E$27</f>
        <v>71.2</v>
      </c>
      <c r="AG88" s="26">
        <f>(($Q88*1.1)*$AF88*'MRV Calcs'!$E$7)+($AF88*'MRV Calcs'!$E$8)</f>
        <v>0.2124783884</v>
      </c>
      <c r="AH88" s="26">
        <f>(($Q88*1.1)/20)*SUM('MRV Calcs'!$E$19:$E$20)</f>
        <v>0.02890624</v>
      </c>
      <c r="AI88" s="26">
        <f t="shared" si="3"/>
        <v>11.90782823</v>
      </c>
      <c r="AJ88" s="26">
        <f t="shared" si="20"/>
        <v>-11.90782823</v>
      </c>
      <c r="AK88" s="25" t="str">
        <f t="shared" si="24"/>
        <v>#VALUE!</v>
      </c>
      <c r="AL88" s="28">
        <f t="shared" si="22"/>
        <v>-0.5800208588</v>
      </c>
      <c r="AM88" s="29"/>
      <c r="AN88" s="29">
        <f>COUNTIF(Blends!H$4:H$1007,B89)+COUNTIF(Blends!J$4:J$1007,B89)+COUNTIF(#REF!,B89)</f>
        <v>1</v>
      </c>
      <c r="AO88" s="48"/>
      <c r="AP88" s="35"/>
      <c r="AQ88" s="35"/>
      <c r="AR88" s="35"/>
      <c r="AS88" s="35"/>
      <c r="AT88" s="35"/>
      <c r="AU88" s="35"/>
      <c r="AV88" s="35"/>
      <c r="AW88" s="35"/>
    </row>
    <row r="89">
      <c r="A89" s="17">
        <v>88.0</v>
      </c>
      <c r="B89" s="17" t="s">
        <v>306</v>
      </c>
      <c r="C89" s="18">
        <v>1902.0</v>
      </c>
      <c r="D89" s="18" t="s">
        <v>307</v>
      </c>
      <c r="E89" s="17" t="b">
        <v>1</v>
      </c>
      <c r="F89" s="17" t="s">
        <v>78</v>
      </c>
      <c r="G89" s="17" t="s">
        <v>79</v>
      </c>
      <c r="H89" s="17" t="s">
        <v>80</v>
      </c>
      <c r="I89" s="17" t="s">
        <v>81</v>
      </c>
      <c r="J89" s="19"/>
      <c r="K89" s="19" t="s">
        <v>82</v>
      </c>
      <c r="L89" s="19" t="s">
        <v>139</v>
      </c>
      <c r="M89" s="49"/>
      <c r="N89" s="20">
        <v>45672.0</v>
      </c>
      <c r="O89" s="20">
        <v>45677.0</v>
      </c>
      <c r="P89" s="20"/>
      <c r="Q89" s="22">
        <v>20.54</v>
      </c>
      <c r="R89" s="22"/>
      <c r="S89" s="23" t="str">
        <f>iferror(if(AN89=1,VLOOKUP(B90, Blends!H$4:AK$1004,32,0), ""), "")</f>
        <v/>
      </c>
      <c r="T89" s="24"/>
      <c r="U89" s="25">
        <f t="shared" si="19"/>
        <v>0</v>
      </c>
      <c r="V89" s="26">
        <f>$Q89*('MRV Calcs'!$E$3+'MRV Calcs'!$E$4)</f>
        <v>3.038727397</v>
      </c>
      <c r="W89" s="27">
        <f t="shared" si="2"/>
        <v>2030</v>
      </c>
      <c r="X89" s="26">
        <f>IF($I89="truck",($Q89*$W89*'MRV Calcs'!$E$7)+($W89*'MRV Calcs'!$E$8),0)</f>
        <v>5.524069493</v>
      </c>
      <c r="Y89" s="26">
        <f>IF($I89="train",'MRV Calcs'!$E$24,0)</f>
        <v>0</v>
      </c>
      <c r="Z89" s="26">
        <f>IF($I89="train",($Q89*$Y89*'MRV Calcs'!$E$7)+($Y89*'MRV Calcs'!$E$8),0)</f>
        <v>0</v>
      </c>
      <c r="AA89" s="26">
        <f>IF($I89="train",'MRV Calcs'!$E$25,0)</f>
        <v>0</v>
      </c>
      <c r="AB89" s="26">
        <f>IF($I89="train",($Q89*$AA89*'MRV Calcs'!$E$11)+($AA89*'MRV Calcs'!$E$12),0)</f>
        <v>0</v>
      </c>
      <c r="AC89" s="26">
        <f>IF($I89="train",'MRV Calcs'!$E$26,0)</f>
        <v>0</v>
      </c>
      <c r="AD89" s="26">
        <f>IF($I89="train",($Q89*$AC89*'MRV Calcs'!$E$7)+($AC89*'MRV Calcs'!$E$8),0)</f>
        <v>0</v>
      </c>
      <c r="AE89" s="26">
        <f>($Q89/30)*SUM('MRV Calcs'!$E$15:$E$16)</f>
        <v>3.109253455</v>
      </c>
      <c r="AF89" s="26">
        <f>'MRV Calcs'!$E$27</f>
        <v>71.2</v>
      </c>
      <c r="AG89" s="26">
        <f>(($Q89*1.1)*$AF89*'MRV Calcs'!$E$7)+($AF89*'MRV Calcs'!$E$8)</f>
        <v>0.2125792232</v>
      </c>
      <c r="AH89" s="26">
        <f>(($Q89*1.1)/20)*SUM('MRV Calcs'!$E$19:$E$20)</f>
        <v>0.02892032</v>
      </c>
      <c r="AI89" s="26">
        <f t="shared" si="3"/>
        <v>11.91354989</v>
      </c>
      <c r="AJ89" s="26">
        <f t="shared" si="20"/>
        <v>-11.91354989</v>
      </c>
      <c r="AK89" s="25" t="str">
        <f t="shared" si="24"/>
        <v>#VALUE!</v>
      </c>
      <c r="AL89" s="28">
        <f t="shared" si="22"/>
        <v>-0.5800170345</v>
      </c>
      <c r="AM89" s="29"/>
      <c r="AN89" s="29">
        <f>COUNTIF(Blends!H$4:H$1007,B90)+COUNTIF(Blends!J$4:J$1007,B90)+COUNTIF(#REF!,B90)</f>
        <v>1</v>
      </c>
      <c r="AO89" s="48"/>
      <c r="AP89" s="35"/>
      <c r="AQ89" s="35"/>
      <c r="AR89" s="35"/>
      <c r="AS89" s="35"/>
      <c r="AT89" s="35"/>
      <c r="AU89" s="35"/>
      <c r="AV89" s="35"/>
      <c r="AW89" s="35"/>
    </row>
    <row r="90">
      <c r="A90" s="17">
        <v>89.0</v>
      </c>
      <c r="B90" s="17" t="s">
        <v>308</v>
      </c>
      <c r="C90" s="18">
        <v>1907.0</v>
      </c>
      <c r="D90" s="18" t="s">
        <v>309</v>
      </c>
      <c r="E90" s="17" t="b">
        <v>1</v>
      </c>
      <c r="F90" s="17" t="s">
        <v>78</v>
      </c>
      <c r="G90" s="17" t="s">
        <v>79</v>
      </c>
      <c r="H90" s="17" t="s">
        <v>80</v>
      </c>
      <c r="I90" s="17" t="s">
        <v>81</v>
      </c>
      <c r="J90" s="19"/>
      <c r="K90" s="19" t="s">
        <v>233</v>
      </c>
      <c r="L90" s="19" t="s">
        <v>310</v>
      </c>
      <c r="M90" s="49"/>
      <c r="N90" s="20">
        <v>45674.0</v>
      </c>
      <c r="O90" s="20">
        <v>45676.0</v>
      </c>
      <c r="P90" s="20"/>
      <c r="Q90" s="22">
        <v>19.95</v>
      </c>
      <c r="R90" s="22"/>
      <c r="S90" s="23" t="str">
        <f>iferror(if(AN90=1,VLOOKUP(B91, Blends!H$4:AK$1004,32,0), ""), "")</f>
        <v/>
      </c>
      <c r="T90" s="24"/>
      <c r="U90" s="25">
        <f t="shared" si="19"/>
        <v>0</v>
      </c>
      <c r="V90" s="26">
        <f>$Q90*('MRV Calcs'!$E$3+'MRV Calcs'!$E$4)</f>
        <v>2.951441654</v>
      </c>
      <c r="W90" s="27">
        <f t="shared" si="2"/>
        <v>2030</v>
      </c>
      <c r="X90" s="26">
        <f>IF($I90="truck",($Q90*$W90*'MRV Calcs'!$E$7)+($W90*'MRV Calcs'!$E$8),0)</f>
        <v>5.369868972</v>
      </c>
      <c r="Y90" s="26">
        <f>IF($I90="train",'MRV Calcs'!$E$24,0)</f>
        <v>0</v>
      </c>
      <c r="Z90" s="26">
        <f>IF($I90="train",($Q90*$Y90*'MRV Calcs'!$E$7)+($Y90*'MRV Calcs'!$E$8),0)</f>
        <v>0</v>
      </c>
      <c r="AA90" s="26">
        <f>IF($I90="train",'MRV Calcs'!$E$25,0)</f>
        <v>0</v>
      </c>
      <c r="AB90" s="26">
        <f>IF($I90="train",($Q90*$AA90*'MRV Calcs'!$E$11)+($AA90*'MRV Calcs'!$E$12),0)</f>
        <v>0</v>
      </c>
      <c r="AC90" s="26">
        <f>IF($I90="train",'MRV Calcs'!$E$26,0)</f>
        <v>0</v>
      </c>
      <c r="AD90" s="26">
        <f>IF($I90="train",($Q90*$AC90*'MRV Calcs'!$E$7)+($AC90*'MRV Calcs'!$E$8),0)</f>
        <v>0</v>
      </c>
      <c r="AE90" s="26">
        <f>($Q90/30)*SUM('MRV Calcs'!$E$15:$E$16)</f>
        <v>3.01994189</v>
      </c>
      <c r="AF90" s="26">
        <f>'MRV Calcs'!$E$27</f>
        <v>71.2</v>
      </c>
      <c r="AG90" s="26">
        <f>(($Q90*1.1)*$AF90*'MRV Calcs'!$E$7)+($AF90*'MRV Calcs'!$E$8)</f>
        <v>0.2066299696</v>
      </c>
      <c r="AH90" s="26">
        <f>(($Q90*1.1)/20)*SUM('MRV Calcs'!$E$19:$E$20)</f>
        <v>0.0280896</v>
      </c>
      <c r="AI90" s="26">
        <f t="shared" si="3"/>
        <v>11.57597209</v>
      </c>
      <c r="AJ90" s="26">
        <f t="shared" si="20"/>
        <v>-11.57597209</v>
      </c>
      <c r="AK90" s="25" t="str">
        <f t="shared" si="24"/>
        <v>#VALUE!</v>
      </c>
      <c r="AL90" s="28">
        <f t="shared" si="22"/>
        <v>-0.5802492273</v>
      </c>
      <c r="AM90" s="35"/>
      <c r="AN90" s="29">
        <f>COUNTIF(Blends!H$4:H$1007,B91)+COUNTIF(Blends!J$4:J$1007,B91)+COUNTIF(#REF!,B91)</f>
        <v>2</v>
      </c>
      <c r="AO90" s="48"/>
      <c r="AP90" s="35"/>
      <c r="AQ90" s="35"/>
      <c r="AR90" s="35"/>
      <c r="AS90" s="35"/>
      <c r="AT90" s="35"/>
      <c r="AU90" s="35"/>
      <c r="AV90" s="35"/>
      <c r="AW90" s="35"/>
    </row>
    <row r="91">
      <c r="A91" s="17">
        <v>90.0</v>
      </c>
      <c r="B91" s="17" t="s">
        <v>311</v>
      </c>
      <c r="C91" s="18">
        <v>1910.0</v>
      </c>
      <c r="D91" s="18" t="s">
        <v>309</v>
      </c>
      <c r="E91" s="17" t="b">
        <v>1</v>
      </c>
      <c r="F91" s="17" t="s">
        <v>78</v>
      </c>
      <c r="G91" s="17" t="s">
        <v>79</v>
      </c>
      <c r="H91" s="17" t="s">
        <v>80</v>
      </c>
      <c r="I91" s="17" t="s">
        <v>81</v>
      </c>
      <c r="J91" s="19"/>
      <c r="K91" s="19" t="s">
        <v>82</v>
      </c>
      <c r="L91" s="19" t="s">
        <v>86</v>
      </c>
      <c r="M91" s="49"/>
      <c r="N91" s="20">
        <v>45674.0</v>
      </c>
      <c r="O91" s="20">
        <v>45679.0</v>
      </c>
      <c r="P91" s="20"/>
      <c r="Q91" s="22">
        <v>20.13</v>
      </c>
      <c r="R91" s="22"/>
      <c r="S91" s="23" t="str">
        <f>iferror(if(AN91=1,VLOOKUP(B92, Blends!H$4:AK$1004,32,0), ""), "")</f>
        <v/>
      </c>
      <c r="T91" s="24"/>
      <c r="U91" s="25">
        <f t="shared" si="19"/>
        <v>0</v>
      </c>
      <c r="V91" s="26">
        <f>$Q91*('MRV Calcs'!$E$3+'MRV Calcs'!$E$4)</f>
        <v>2.978071202</v>
      </c>
      <c r="W91" s="27">
        <f t="shared" si="2"/>
        <v>2030</v>
      </c>
      <c r="X91" s="26">
        <f>IF($I91="truck",($Q91*$W91*'MRV Calcs'!$E$7)+($W91*'MRV Calcs'!$E$8),0)</f>
        <v>5.416913199</v>
      </c>
      <c r="Y91" s="26">
        <f>IF($I91="train",'MRV Calcs'!$E$24,0)</f>
        <v>0</v>
      </c>
      <c r="Z91" s="26">
        <f>IF($I91="train",($Q91*$Y91*'MRV Calcs'!$E$7)+($Y91*'MRV Calcs'!$E$8),0)</f>
        <v>0</v>
      </c>
      <c r="AA91" s="26">
        <f>IF($I91="train",'MRV Calcs'!$E$25,0)</f>
        <v>0</v>
      </c>
      <c r="AB91" s="26">
        <f>IF($I91="train",($Q91*$AA91*'MRV Calcs'!$E$11)+($AA91*'MRV Calcs'!$E$12),0)</f>
        <v>0</v>
      </c>
      <c r="AC91" s="26">
        <f>IF($I91="train",'MRV Calcs'!$E$26,0)</f>
        <v>0</v>
      </c>
      <c r="AD91" s="26">
        <f>IF($I91="train",($Q91*$AC91*'MRV Calcs'!$E$7)+($AC91*'MRV Calcs'!$E$8),0)</f>
        <v>0</v>
      </c>
      <c r="AE91" s="26">
        <f>($Q91/30)*SUM('MRV Calcs'!$E$15:$E$16)</f>
        <v>3.047189486</v>
      </c>
      <c r="AF91" s="26">
        <f>'MRV Calcs'!$E$27</f>
        <v>71.2</v>
      </c>
      <c r="AG91" s="26">
        <f>(($Q91*1.1)*$AF91*'MRV Calcs'!$E$7)+($AF91*'MRV Calcs'!$E$8)</f>
        <v>0.2084449962</v>
      </c>
      <c r="AH91" s="26">
        <f>(($Q91*1.1)/20)*SUM('MRV Calcs'!$E$19:$E$20)</f>
        <v>0.02834304</v>
      </c>
      <c r="AI91" s="26">
        <f t="shared" si="3"/>
        <v>11.67896192</v>
      </c>
      <c r="AJ91" s="26">
        <f t="shared" si="20"/>
        <v>-11.67896192</v>
      </c>
      <c r="AK91" s="25" t="str">
        <f t="shared" si="24"/>
        <v>#VALUE!</v>
      </c>
      <c r="AL91" s="28">
        <f t="shared" si="22"/>
        <v>-0.580176946</v>
      </c>
      <c r="AM91" s="35"/>
      <c r="AN91" s="29">
        <f>COUNTIF(Blends!H$4:H$1007,B92)+COUNTIF(Blends!J$4:J$1007,B92)+COUNTIF(#REF!,B92)</f>
        <v>1</v>
      </c>
      <c r="AO91" s="48"/>
      <c r="AP91" s="35"/>
      <c r="AQ91" s="35"/>
      <c r="AR91" s="35"/>
      <c r="AS91" s="35"/>
      <c r="AT91" s="35"/>
      <c r="AU91" s="35"/>
      <c r="AV91" s="35"/>
      <c r="AW91" s="35"/>
    </row>
    <row r="92">
      <c r="A92" s="17">
        <v>91.0</v>
      </c>
      <c r="B92" s="17" t="s">
        <v>312</v>
      </c>
      <c r="C92" s="18">
        <v>1913.0</v>
      </c>
      <c r="D92" s="18" t="s">
        <v>309</v>
      </c>
      <c r="E92" s="17" t="b">
        <v>1</v>
      </c>
      <c r="F92" s="17" t="s">
        <v>78</v>
      </c>
      <c r="G92" s="17" t="s">
        <v>79</v>
      </c>
      <c r="H92" s="17" t="s">
        <v>80</v>
      </c>
      <c r="I92" s="17" t="s">
        <v>81</v>
      </c>
      <c r="J92" s="19"/>
      <c r="K92" s="19" t="s">
        <v>233</v>
      </c>
      <c r="L92" s="19" t="s">
        <v>287</v>
      </c>
      <c r="M92" s="52"/>
      <c r="N92" s="20">
        <v>45676.0</v>
      </c>
      <c r="O92" s="20">
        <v>45679.0</v>
      </c>
      <c r="P92" s="20"/>
      <c r="Q92" s="22">
        <v>19.86</v>
      </c>
      <c r="R92" s="22"/>
      <c r="S92" s="23" t="str">
        <f>iferror(if(AN92=1,VLOOKUP(B93, Blends!H$4:AK$1004,32,0), ""), "")</f>
        <v/>
      </c>
      <c r="T92" s="24"/>
      <c r="U92" s="25">
        <f t="shared" si="19"/>
        <v>0</v>
      </c>
      <c r="V92" s="26">
        <f>$Q92*('MRV Calcs'!$E$3+'MRV Calcs'!$E$4)</f>
        <v>2.938126879</v>
      </c>
      <c r="W92" s="27">
        <f t="shared" si="2"/>
        <v>2030</v>
      </c>
      <c r="X92" s="26">
        <f>IF($I92="truck",($Q92*$W92*'MRV Calcs'!$E$7)+($W92*'MRV Calcs'!$E$8),0)</f>
        <v>5.346346858</v>
      </c>
      <c r="Y92" s="26">
        <f>IF($I92="train",'MRV Calcs'!$E$24,0)</f>
        <v>0</v>
      </c>
      <c r="Z92" s="26">
        <f>IF($I92="train",($Q92*$Y92*'MRV Calcs'!$E$7)+($Y92*'MRV Calcs'!$E$8),0)</f>
        <v>0</v>
      </c>
      <c r="AA92" s="26">
        <f>IF($I92="train",'MRV Calcs'!$E$25,0)</f>
        <v>0</v>
      </c>
      <c r="AB92" s="26">
        <f>IF($I92="train",($Q92*$AA92*'MRV Calcs'!$E$11)+($AA92*'MRV Calcs'!$E$12),0)</f>
        <v>0</v>
      </c>
      <c r="AC92" s="26">
        <f>IF($I92="train",'MRV Calcs'!$E$26,0)</f>
        <v>0</v>
      </c>
      <c r="AD92" s="26">
        <f>IF($I92="train",($Q92*$AC92*'MRV Calcs'!$E$7)+($AC92*'MRV Calcs'!$E$8),0)</f>
        <v>0</v>
      </c>
      <c r="AE92" s="26">
        <f>($Q92/30)*SUM('MRV Calcs'!$E$15:$E$16)</f>
        <v>3.006318092</v>
      </c>
      <c r="AF92" s="26">
        <f>'MRV Calcs'!$E$27</f>
        <v>71.2</v>
      </c>
      <c r="AG92" s="26">
        <f>(($Q92*1.1)*$AF92*'MRV Calcs'!$E$7)+($AF92*'MRV Calcs'!$E$8)</f>
        <v>0.2057224564</v>
      </c>
      <c r="AH92" s="26">
        <f>(($Q92*1.1)/20)*SUM('MRV Calcs'!$E$19:$E$20)</f>
        <v>0.02796288</v>
      </c>
      <c r="AI92" s="26">
        <f t="shared" si="3"/>
        <v>11.52447717</v>
      </c>
      <c r="AJ92" s="26">
        <f t="shared" si="20"/>
        <v>-11.52447717</v>
      </c>
      <c r="AK92" s="25" t="str">
        <f t="shared" si="24"/>
        <v>#VALUE!</v>
      </c>
      <c r="AL92" s="28">
        <f t="shared" si="22"/>
        <v>-0.5802858593</v>
      </c>
      <c r="AM92" s="35"/>
      <c r="AN92" s="29">
        <f>COUNTIF(Blends!H$4:H$1007,B93)+COUNTIF(Blends!J$4:J$1007,B93)+COUNTIF(#REF!,B93)</f>
        <v>1</v>
      </c>
      <c r="AO92" s="48"/>
      <c r="AP92" s="35"/>
      <c r="AQ92" s="35"/>
      <c r="AR92" s="35"/>
      <c r="AS92" s="35"/>
      <c r="AT92" s="35"/>
      <c r="AU92" s="35"/>
      <c r="AV92" s="35"/>
      <c r="AW92" s="35"/>
    </row>
    <row r="93">
      <c r="A93" s="17">
        <v>92.0</v>
      </c>
      <c r="B93" s="17" t="s">
        <v>313</v>
      </c>
      <c r="C93" s="18">
        <v>1915.0</v>
      </c>
      <c r="D93" s="18" t="s">
        <v>309</v>
      </c>
      <c r="E93" s="17" t="b">
        <v>1</v>
      </c>
      <c r="F93" s="17" t="s">
        <v>78</v>
      </c>
      <c r="G93" s="17" t="s">
        <v>79</v>
      </c>
      <c r="H93" s="17" t="s">
        <v>80</v>
      </c>
      <c r="I93" s="17" t="s">
        <v>81</v>
      </c>
      <c r="J93" s="19"/>
      <c r="K93" s="19" t="s">
        <v>233</v>
      </c>
      <c r="L93" s="19" t="s">
        <v>314</v>
      </c>
      <c r="M93" s="49"/>
      <c r="N93" s="20">
        <v>45676.0</v>
      </c>
      <c r="O93" s="20">
        <v>45680.0</v>
      </c>
      <c r="P93" s="20"/>
      <c r="Q93" s="22">
        <v>20.07</v>
      </c>
      <c r="R93" s="22"/>
      <c r="S93" s="23" t="str">
        <f>iferror(if(AN93=1,VLOOKUP(B94, Blends!H$4:AK$1004,32,0), ""), "")</f>
        <v/>
      </c>
      <c r="T93" s="24"/>
      <c r="U93" s="25">
        <f t="shared" si="19"/>
        <v>0</v>
      </c>
      <c r="V93" s="26">
        <f>$Q93*('MRV Calcs'!$E$3+'MRV Calcs'!$E$4)</f>
        <v>2.969194686</v>
      </c>
      <c r="W93" s="27">
        <f t="shared" si="2"/>
        <v>2030</v>
      </c>
      <c r="X93" s="26">
        <f>IF($I93="truck",($Q93*$W93*'MRV Calcs'!$E$7)+($W93*'MRV Calcs'!$E$8),0)</f>
        <v>5.40123179</v>
      </c>
      <c r="Y93" s="26">
        <f>IF($I93="train",'MRV Calcs'!$E$24,0)</f>
        <v>0</v>
      </c>
      <c r="Z93" s="26">
        <f>IF($I93="train",($Q93*$Y93*'MRV Calcs'!$E$7)+($Y93*'MRV Calcs'!$E$8),0)</f>
        <v>0</v>
      </c>
      <c r="AA93" s="26">
        <f>IF($I93="train",'MRV Calcs'!$E$25,0)</f>
        <v>0</v>
      </c>
      <c r="AB93" s="26">
        <f>IF($I93="train",($Q93*$AA93*'MRV Calcs'!$E$11)+($AA93*'MRV Calcs'!$E$12),0)</f>
        <v>0</v>
      </c>
      <c r="AC93" s="26">
        <f>IF($I93="train",'MRV Calcs'!$E$26,0)</f>
        <v>0</v>
      </c>
      <c r="AD93" s="26">
        <f>IF($I93="train",($Q93*$AC93*'MRV Calcs'!$E$7)+($AC93*'MRV Calcs'!$E$8),0)</f>
        <v>0</v>
      </c>
      <c r="AE93" s="26">
        <f>($Q93/30)*SUM('MRV Calcs'!$E$15:$E$16)</f>
        <v>3.038106954</v>
      </c>
      <c r="AF93" s="26">
        <f>'MRV Calcs'!$E$27</f>
        <v>71.2</v>
      </c>
      <c r="AG93" s="26">
        <f>(($Q93*1.1)*$AF93*'MRV Calcs'!$E$7)+($AF93*'MRV Calcs'!$E$8)</f>
        <v>0.2078399873</v>
      </c>
      <c r="AH93" s="26">
        <f>(($Q93*1.1)/20)*SUM('MRV Calcs'!$E$19:$E$20)</f>
        <v>0.02825856</v>
      </c>
      <c r="AI93" s="26">
        <f t="shared" si="3"/>
        <v>11.64463198</v>
      </c>
      <c r="AJ93" s="26">
        <f t="shared" si="20"/>
        <v>-11.64463198</v>
      </c>
      <c r="AK93" s="25" t="str">
        <f t="shared" si="24"/>
        <v>#VALUE!</v>
      </c>
      <c r="AL93" s="28">
        <f t="shared" si="22"/>
        <v>-0.5802008957</v>
      </c>
      <c r="AM93" s="35"/>
      <c r="AN93" s="29">
        <f>COUNTIF(Blends!H$4:H$1007,B94)+COUNTIF(Blends!J$4:J$1007,B94)+COUNTIF(#REF!,B94)</f>
        <v>1</v>
      </c>
      <c r="AO93" s="48"/>
      <c r="AP93" s="35"/>
      <c r="AQ93" s="35"/>
      <c r="AR93" s="35"/>
      <c r="AS93" s="35"/>
      <c r="AT93" s="35"/>
      <c r="AU93" s="35"/>
      <c r="AV93" s="35"/>
      <c r="AW93" s="35"/>
    </row>
    <row r="94">
      <c r="A94" s="17">
        <v>93.0</v>
      </c>
      <c r="B94" s="17" t="s">
        <v>315</v>
      </c>
      <c r="C94" s="18">
        <v>1917.0</v>
      </c>
      <c r="D94" s="18" t="s">
        <v>316</v>
      </c>
      <c r="E94" s="17" t="b">
        <v>1</v>
      </c>
      <c r="F94" s="17" t="s">
        <v>78</v>
      </c>
      <c r="G94" s="17" t="s">
        <v>79</v>
      </c>
      <c r="H94" s="17" t="s">
        <v>80</v>
      </c>
      <c r="I94" s="17" t="s">
        <v>81</v>
      </c>
      <c r="J94" s="19"/>
      <c r="K94" s="19" t="s">
        <v>233</v>
      </c>
      <c r="L94" s="19" t="s">
        <v>317</v>
      </c>
      <c r="M94" s="49"/>
      <c r="N94" s="20">
        <v>45677.0</v>
      </c>
      <c r="O94" s="20">
        <v>45681.0</v>
      </c>
      <c r="P94" s="20"/>
      <c r="Q94" s="22">
        <v>20.09</v>
      </c>
      <c r="R94" s="22"/>
      <c r="S94" s="23" t="str">
        <f>iferror(if(AN94=1,VLOOKUP(B95, Blends!H$4:AK$1004,32,0), ""), "")</f>
        <v/>
      </c>
      <c r="T94" s="24"/>
      <c r="U94" s="25">
        <f t="shared" si="19"/>
        <v>0</v>
      </c>
      <c r="V94" s="26">
        <f>$Q94*('MRV Calcs'!$E$3+'MRV Calcs'!$E$4)</f>
        <v>2.972153525</v>
      </c>
      <c r="W94" s="27">
        <f t="shared" si="2"/>
        <v>2030</v>
      </c>
      <c r="X94" s="26">
        <f>IF($I94="truck",($Q94*$W94*'MRV Calcs'!$E$7)+($W94*'MRV Calcs'!$E$8),0)</f>
        <v>5.406458926</v>
      </c>
      <c r="Y94" s="26">
        <f>IF($I94="train",'MRV Calcs'!$E$24,0)</f>
        <v>0</v>
      </c>
      <c r="Z94" s="26">
        <f>IF($I94="train",($Q94*$Y94*'MRV Calcs'!$E$7)+($Y94*'MRV Calcs'!$E$8),0)</f>
        <v>0</v>
      </c>
      <c r="AA94" s="26">
        <f>IF($I94="train",'MRV Calcs'!$E$25,0)</f>
        <v>0</v>
      </c>
      <c r="AB94" s="26">
        <f>IF($I94="train",($Q94*$AA94*'MRV Calcs'!$E$11)+($AA94*'MRV Calcs'!$E$12),0)</f>
        <v>0</v>
      </c>
      <c r="AC94" s="26">
        <f>IF($I94="train",'MRV Calcs'!$E$26,0)</f>
        <v>0</v>
      </c>
      <c r="AD94" s="26">
        <f>IF($I94="train",($Q94*$AC94*'MRV Calcs'!$E$7)+($AC94*'MRV Calcs'!$E$8),0)</f>
        <v>0</v>
      </c>
      <c r="AE94" s="26">
        <f>($Q94/30)*SUM('MRV Calcs'!$E$15:$E$16)</f>
        <v>3.041134465</v>
      </c>
      <c r="AF94" s="26">
        <f>'MRV Calcs'!$E$27</f>
        <v>71.2</v>
      </c>
      <c r="AG94" s="26">
        <f>(($Q94*1.1)*$AF94*'MRV Calcs'!$E$7)+($AF94*'MRV Calcs'!$E$8)</f>
        <v>0.2080416569</v>
      </c>
      <c r="AH94" s="26">
        <f>(($Q94*1.1)/20)*SUM('MRV Calcs'!$E$19:$E$20)</f>
        <v>0.02828672</v>
      </c>
      <c r="AI94" s="26">
        <f t="shared" si="3"/>
        <v>11.65607529</v>
      </c>
      <c r="AJ94" s="26">
        <f t="shared" si="20"/>
        <v>-11.65607529</v>
      </c>
      <c r="AK94" s="25" t="str">
        <f t="shared" si="24"/>
        <v>#VALUE!</v>
      </c>
      <c r="AL94" s="28">
        <f t="shared" si="22"/>
        <v>-0.5801928966</v>
      </c>
      <c r="AM94" s="35"/>
      <c r="AN94" s="29">
        <f>COUNTIF(Blends!H$4:H$1007,B95)+COUNTIF(Blends!J$4:J$1007,B95)+COUNTIF(#REF!,B95)</f>
        <v>1</v>
      </c>
      <c r="AO94" s="48"/>
      <c r="AP94" s="35"/>
      <c r="AQ94" s="35"/>
      <c r="AR94" s="35"/>
      <c r="AS94" s="35"/>
      <c r="AT94" s="35"/>
      <c r="AU94" s="35"/>
      <c r="AV94" s="35"/>
      <c r="AW94" s="35"/>
    </row>
    <row r="95">
      <c r="A95" s="17">
        <v>94.0</v>
      </c>
      <c r="B95" s="17" t="s">
        <v>318</v>
      </c>
      <c r="C95" s="18">
        <v>1928.0</v>
      </c>
      <c r="D95" s="18" t="s">
        <v>319</v>
      </c>
      <c r="E95" s="17" t="b">
        <v>1</v>
      </c>
      <c r="F95" s="17" t="s">
        <v>78</v>
      </c>
      <c r="G95" s="17" t="s">
        <v>79</v>
      </c>
      <c r="H95" s="17" t="s">
        <v>80</v>
      </c>
      <c r="I95" s="17" t="s">
        <v>81</v>
      </c>
      <c r="J95" s="22"/>
      <c r="K95" s="19" t="s">
        <v>233</v>
      </c>
      <c r="L95" s="22" t="s">
        <v>320</v>
      </c>
      <c r="M95" s="49"/>
      <c r="N95" s="20">
        <v>45682.0</v>
      </c>
      <c r="O95" s="20">
        <v>45685.0</v>
      </c>
      <c r="P95" s="20"/>
      <c r="Q95" s="22">
        <v>19.84</v>
      </c>
      <c r="R95" s="22"/>
      <c r="S95" s="23" t="str">
        <f>iferror(if(AN95=1,VLOOKUP(B96, Blends!H$4:AK$1004,32,0), ""), "")</f>
        <v/>
      </c>
      <c r="T95" s="24"/>
      <c r="U95" s="25">
        <f t="shared" si="19"/>
        <v>0</v>
      </c>
      <c r="V95" s="26">
        <f>$Q95*('MRV Calcs'!$E$3+'MRV Calcs'!$E$4)</f>
        <v>2.935168041</v>
      </c>
      <c r="W95" s="27">
        <f t="shared" si="2"/>
        <v>2030</v>
      </c>
      <c r="X95" s="26">
        <f>IF($I95="truck",($Q95*$W95*'MRV Calcs'!$E$7)+($W95*'MRV Calcs'!$E$8),0)</f>
        <v>5.341119722</v>
      </c>
      <c r="Y95" s="26">
        <f>IF($I95="train",'MRV Calcs'!$E$24,0)</f>
        <v>0</v>
      </c>
      <c r="Z95" s="26">
        <f>IF($I95="train",($Q95*$Y95*'MRV Calcs'!$E$7)+($Y95*'MRV Calcs'!$E$8),0)</f>
        <v>0</v>
      </c>
      <c r="AA95" s="26">
        <f>IF($I95="train",'MRV Calcs'!$E$25,0)</f>
        <v>0</v>
      </c>
      <c r="AB95" s="26">
        <f>IF($I95="train",($Q95*$AA95*'MRV Calcs'!$E$11)+($AA95*'MRV Calcs'!$E$12),0)</f>
        <v>0</v>
      </c>
      <c r="AC95" s="26">
        <f>IF($I95="train",'MRV Calcs'!$E$26,0)</f>
        <v>0</v>
      </c>
      <c r="AD95" s="26">
        <f>IF($I95="train",($Q95*$AC95*'MRV Calcs'!$E$7)+($AC95*'MRV Calcs'!$E$8),0)</f>
        <v>0</v>
      </c>
      <c r="AE95" s="26">
        <f>($Q95/30)*SUM('MRV Calcs'!$E$15:$E$16)</f>
        <v>3.003290581</v>
      </c>
      <c r="AF95" s="26">
        <f>'MRV Calcs'!$E$27</f>
        <v>71.2</v>
      </c>
      <c r="AG95" s="26">
        <f>(($Q95*1.1)*$AF95*'MRV Calcs'!$E$7)+($AF95*'MRV Calcs'!$E$8)</f>
        <v>0.2055207868</v>
      </c>
      <c r="AH95" s="26">
        <f>(($Q95*1.1)/20)*SUM('MRV Calcs'!$E$19:$E$20)</f>
        <v>0.02793472</v>
      </c>
      <c r="AI95" s="26">
        <f t="shared" si="3"/>
        <v>11.51303385</v>
      </c>
      <c r="AJ95" s="26">
        <f t="shared" si="20"/>
        <v>-11.51303385</v>
      </c>
      <c r="AK95" s="25" t="str">
        <f t="shared" si="24"/>
        <v>#VALUE!</v>
      </c>
      <c r="AL95" s="28">
        <f t="shared" si="22"/>
        <v>-0.5802940449</v>
      </c>
      <c r="AM95" s="35"/>
      <c r="AN95" s="29">
        <f>COUNTIF(Blends!H$4:H$1007,B96)+COUNTIF(Blends!J$4:J$1007,B96)+COUNTIF(#REF!,B96)</f>
        <v>2</v>
      </c>
      <c r="AO95" s="48"/>
      <c r="AP95" s="35"/>
      <c r="AQ95" s="35"/>
      <c r="AR95" s="35"/>
      <c r="AS95" s="35"/>
      <c r="AT95" s="35"/>
      <c r="AU95" s="35"/>
      <c r="AV95" s="35"/>
      <c r="AW95" s="35"/>
    </row>
    <row r="96">
      <c r="A96" s="17">
        <v>95.0</v>
      </c>
      <c r="B96" s="17" t="s">
        <v>321</v>
      </c>
      <c r="C96" s="18">
        <v>1929.0</v>
      </c>
      <c r="D96" s="18" t="s">
        <v>319</v>
      </c>
      <c r="E96" s="17" t="b">
        <v>1</v>
      </c>
      <c r="F96" s="17" t="s">
        <v>78</v>
      </c>
      <c r="G96" s="17" t="s">
        <v>79</v>
      </c>
      <c r="H96" s="17" t="s">
        <v>80</v>
      </c>
      <c r="I96" s="17" t="s">
        <v>81</v>
      </c>
      <c r="J96" s="22"/>
      <c r="K96" s="19" t="s">
        <v>233</v>
      </c>
      <c r="L96" s="22" t="s">
        <v>320</v>
      </c>
      <c r="M96" s="49"/>
      <c r="N96" s="20">
        <v>45682.0</v>
      </c>
      <c r="O96" s="20">
        <v>45686.0</v>
      </c>
      <c r="P96" s="20"/>
      <c r="Q96" s="22">
        <v>19.83</v>
      </c>
      <c r="R96" s="22"/>
      <c r="S96" s="23" t="str">
        <f>iferror(if(AN96=1,VLOOKUP(B97, Blends!H$4:AK$1004,32,0), ""), "")</f>
        <v/>
      </c>
      <c r="T96" s="24"/>
      <c r="U96" s="25">
        <f t="shared" si="19"/>
        <v>0</v>
      </c>
      <c r="V96" s="26">
        <f>$Q96*('MRV Calcs'!$E$3+'MRV Calcs'!$E$4)</f>
        <v>2.933688621</v>
      </c>
      <c r="W96" s="27">
        <f t="shared" si="2"/>
        <v>2030</v>
      </c>
      <c r="X96" s="26">
        <f>IF($I96="truck",($Q96*$W96*'MRV Calcs'!$E$7)+($W96*'MRV Calcs'!$E$8),0)</f>
        <v>5.338506154</v>
      </c>
      <c r="Y96" s="26">
        <f>IF($I96="train",'MRV Calcs'!$E$24,0)</f>
        <v>0</v>
      </c>
      <c r="Z96" s="26">
        <f>IF($I96="train",($Q96*$Y96*'MRV Calcs'!$E$7)+($Y96*'MRV Calcs'!$E$8),0)</f>
        <v>0</v>
      </c>
      <c r="AA96" s="26">
        <f>IF($I96="train",'MRV Calcs'!$E$25,0)</f>
        <v>0</v>
      </c>
      <c r="AB96" s="26">
        <f>IF($I96="train",($Q96*$AA96*'MRV Calcs'!$E$11)+($AA96*'MRV Calcs'!$E$12),0)</f>
        <v>0</v>
      </c>
      <c r="AC96" s="26">
        <f>IF($I96="train",'MRV Calcs'!$E$26,0)</f>
        <v>0</v>
      </c>
      <c r="AD96" s="26">
        <f>IF($I96="train",($Q96*$AC96*'MRV Calcs'!$E$7)+($AC96*'MRV Calcs'!$E$8),0)</f>
        <v>0</v>
      </c>
      <c r="AE96" s="26">
        <f>($Q96/30)*SUM('MRV Calcs'!$E$15:$E$16)</f>
        <v>3.001776826</v>
      </c>
      <c r="AF96" s="26">
        <f>'MRV Calcs'!$E$27</f>
        <v>71.2</v>
      </c>
      <c r="AG96" s="26">
        <f>(($Q96*1.1)*$AF96*'MRV Calcs'!$E$7)+($AF96*'MRV Calcs'!$E$8)</f>
        <v>0.2054199519</v>
      </c>
      <c r="AH96" s="26">
        <f>(($Q96*1.1)/20)*SUM('MRV Calcs'!$E$19:$E$20)</f>
        <v>0.02792064</v>
      </c>
      <c r="AI96" s="26">
        <f t="shared" si="3"/>
        <v>11.50731219</v>
      </c>
      <c r="AJ96" s="26">
        <f t="shared" si="20"/>
        <v>-11.50731219</v>
      </c>
      <c r="AK96" s="25" t="str">
        <f t="shared" si="24"/>
        <v>#VALUE!</v>
      </c>
      <c r="AL96" s="28">
        <f t="shared" si="22"/>
        <v>-0.5802981439</v>
      </c>
      <c r="AM96" s="35"/>
      <c r="AN96" s="29">
        <f>COUNTIF(Blends!H$4:H$1007,B97)+COUNTIF(Blends!J$4:J$1007,B97)+COUNTIF(#REF!,B97)</f>
        <v>1</v>
      </c>
      <c r="AO96" s="48"/>
      <c r="AP96" s="35"/>
      <c r="AQ96" s="35"/>
      <c r="AR96" s="35"/>
      <c r="AS96" s="35"/>
      <c r="AT96" s="35"/>
      <c r="AU96" s="35"/>
      <c r="AV96" s="35"/>
      <c r="AW96" s="35"/>
    </row>
    <row r="97">
      <c r="A97" s="17">
        <v>96.0</v>
      </c>
      <c r="B97" s="17" t="s">
        <v>322</v>
      </c>
      <c r="C97" s="18">
        <v>1930.0</v>
      </c>
      <c r="D97" s="18" t="s">
        <v>319</v>
      </c>
      <c r="E97" s="17" t="b">
        <v>1</v>
      </c>
      <c r="F97" s="17" t="s">
        <v>78</v>
      </c>
      <c r="G97" s="17" t="s">
        <v>79</v>
      </c>
      <c r="H97" s="17" t="s">
        <v>80</v>
      </c>
      <c r="I97" s="17" t="s">
        <v>81</v>
      </c>
      <c r="J97" s="22"/>
      <c r="K97" s="19" t="s">
        <v>82</v>
      </c>
      <c r="L97" s="22" t="s">
        <v>86</v>
      </c>
      <c r="M97" s="49"/>
      <c r="N97" s="20">
        <v>45682.0</v>
      </c>
      <c r="O97" s="20">
        <v>45686.0</v>
      </c>
      <c r="P97" s="20"/>
      <c r="Q97" s="22">
        <v>20.33</v>
      </c>
      <c r="R97" s="22"/>
      <c r="S97" s="23" t="str">
        <f>iferror(if(AN97=1,VLOOKUP(B98, Blends!H$4:AK$1004,32,0), ""), "")</f>
        <v/>
      </c>
      <c r="T97" s="24"/>
      <c r="U97" s="25">
        <f t="shared" si="19"/>
        <v>0</v>
      </c>
      <c r="V97" s="26">
        <f>$Q97*('MRV Calcs'!$E$3+'MRV Calcs'!$E$4)</f>
        <v>3.00765959</v>
      </c>
      <c r="W97" s="27">
        <f t="shared" si="2"/>
        <v>2030</v>
      </c>
      <c r="X97" s="26">
        <f>IF($I97="truck",($Q97*$W97*'MRV Calcs'!$E$7)+($W97*'MRV Calcs'!$E$8),0)</f>
        <v>5.469184562</v>
      </c>
      <c r="Y97" s="26">
        <f>IF($I97="train",'MRV Calcs'!$E$24,0)</f>
        <v>0</v>
      </c>
      <c r="Z97" s="26">
        <f>IF($I97="train",($Q97*$Y97*'MRV Calcs'!$E$7)+($Y97*'MRV Calcs'!$E$8),0)</f>
        <v>0</v>
      </c>
      <c r="AA97" s="26">
        <f>IF($I97="train",'MRV Calcs'!$E$25,0)</f>
        <v>0</v>
      </c>
      <c r="AB97" s="26">
        <f>IF($I97="train",($Q97*$AA97*'MRV Calcs'!$E$11)+($AA97*'MRV Calcs'!$E$12),0)</f>
        <v>0</v>
      </c>
      <c r="AC97" s="26">
        <f>IF($I97="train",'MRV Calcs'!$E$26,0)</f>
        <v>0</v>
      </c>
      <c r="AD97" s="26">
        <f>IF($I97="train",($Q97*$AC97*'MRV Calcs'!$E$7)+($AC97*'MRV Calcs'!$E$8),0)</f>
        <v>0</v>
      </c>
      <c r="AE97" s="26">
        <f>($Q97/30)*SUM('MRV Calcs'!$E$15:$E$16)</f>
        <v>3.077464593</v>
      </c>
      <c r="AF97" s="26">
        <f>'MRV Calcs'!$E$27</f>
        <v>71.2</v>
      </c>
      <c r="AG97" s="26">
        <f>(($Q97*1.1)*$AF97*'MRV Calcs'!$E$7)+($AF97*'MRV Calcs'!$E$8)</f>
        <v>0.2104616923</v>
      </c>
      <c r="AH97" s="26">
        <f>(($Q97*1.1)/20)*SUM('MRV Calcs'!$E$19:$E$20)</f>
        <v>0.02862464</v>
      </c>
      <c r="AI97" s="26">
        <f t="shared" si="3"/>
        <v>11.79339508</v>
      </c>
      <c r="AJ97" s="26">
        <f t="shared" si="20"/>
        <v>-11.79339508</v>
      </c>
      <c r="AK97" s="25" t="str">
        <f t="shared" si="24"/>
        <v>#VALUE!</v>
      </c>
      <c r="AL97" s="28">
        <f t="shared" si="22"/>
        <v>-0.5800981346</v>
      </c>
      <c r="AM97" s="35"/>
      <c r="AN97" s="29">
        <f>COUNTIF(Blends!H$4:H$1007,B98)+COUNTIF(Blends!J$4:J$1007,B98)+COUNTIF(#REF!,B98)</f>
        <v>1</v>
      </c>
      <c r="AO97" s="48"/>
      <c r="AP97" s="35"/>
      <c r="AQ97" s="35"/>
      <c r="AR97" s="35"/>
      <c r="AS97" s="35"/>
      <c r="AT97" s="35"/>
      <c r="AU97" s="35"/>
      <c r="AV97" s="35"/>
      <c r="AW97" s="35"/>
    </row>
    <row r="98">
      <c r="A98" s="17">
        <v>97.0</v>
      </c>
      <c r="B98" s="17" t="s">
        <v>323</v>
      </c>
      <c r="C98" s="18">
        <v>1934.0</v>
      </c>
      <c r="D98" s="18" t="s">
        <v>319</v>
      </c>
      <c r="E98" s="17" t="b">
        <v>1</v>
      </c>
      <c r="F98" s="17" t="s">
        <v>78</v>
      </c>
      <c r="G98" s="17" t="s">
        <v>79</v>
      </c>
      <c r="H98" s="17" t="s">
        <v>80</v>
      </c>
      <c r="I98" s="17" t="s">
        <v>81</v>
      </c>
      <c r="J98" s="40"/>
      <c r="K98" s="40" t="s">
        <v>233</v>
      </c>
      <c r="L98" s="40" t="s">
        <v>324</v>
      </c>
      <c r="M98" s="49"/>
      <c r="N98" s="20">
        <v>45683.0</v>
      </c>
      <c r="O98" s="20">
        <v>45687.0</v>
      </c>
      <c r="P98" s="20"/>
      <c r="Q98" s="22">
        <v>19.97</v>
      </c>
      <c r="R98" s="22"/>
      <c r="S98" s="23" t="str">
        <f>iferror(if(AN98=1,VLOOKUP(#REF!, Blends!H$4:AK$1004,32,0), ""), "")</f>
        <v/>
      </c>
      <c r="T98" s="24"/>
      <c r="U98" s="25">
        <f t="shared" si="19"/>
        <v>0</v>
      </c>
      <c r="V98" s="26">
        <f>$Q98*('MRV Calcs'!$E$3+'MRV Calcs'!$E$4)</f>
        <v>2.954400492</v>
      </c>
      <c r="W98" s="27">
        <f t="shared" si="2"/>
        <v>2030</v>
      </c>
      <c r="X98" s="26">
        <f>IF($I98="truck",($Q98*$W98*'MRV Calcs'!$E$7)+($W98*'MRV Calcs'!$E$8),0)</f>
        <v>5.375096108</v>
      </c>
      <c r="Y98" s="26">
        <f>IF($I98="train",'MRV Calcs'!$E$24,0)</f>
        <v>0</v>
      </c>
      <c r="Z98" s="26">
        <f>IF($I98="train",($Q98*$Y98*'MRV Calcs'!$E$7)+($Y98*'MRV Calcs'!$E$8),0)</f>
        <v>0</v>
      </c>
      <c r="AA98" s="26">
        <f>IF($I98="train",'MRV Calcs'!$E$25,0)</f>
        <v>0</v>
      </c>
      <c r="AB98" s="26">
        <f>IF($I98="train",($Q98*$AA98*'MRV Calcs'!$E$11)+($AA98*'MRV Calcs'!$E$12),0)</f>
        <v>0</v>
      </c>
      <c r="AC98" s="26">
        <f>IF($I98="train",'MRV Calcs'!$E$26,0)</f>
        <v>0</v>
      </c>
      <c r="AD98" s="26">
        <f>IF($I98="train",($Q98*$AC98*'MRV Calcs'!$E$7)+($AC98*'MRV Calcs'!$E$8),0)</f>
        <v>0</v>
      </c>
      <c r="AE98" s="26">
        <f>($Q98/30)*SUM('MRV Calcs'!$E$15:$E$16)</f>
        <v>3.022969401</v>
      </c>
      <c r="AF98" s="26">
        <f>'MRV Calcs'!$E$27</f>
        <v>71.2</v>
      </c>
      <c r="AG98" s="26">
        <f>(($Q98*1.1)*$AF98*'MRV Calcs'!$E$7)+($AF98*'MRV Calcs'!$E$8)</f>
        <v>0.2068316392</v>
      </c>
      <c r="AH98" s="26">
        <f>(($Q98*1.1)/20)*SUM('MRV Calcs'!$E$19:$E$20)</f>
        <v>0.02811776</v>
      </c>
      <c r="AI98" s="26">
        <f t="shared" si="3"/>
        <v>11.5874154</v>
      </c>
      <c r="AJ98" s="26">
        <f t="shared" si="20"/>
        <v>-11.5874154</v>
      </c>
      <c r="AK98" s="25" t="str">
        <f t="shared" si="24"/>
        <v>#VALUE!</v>
      </c>
      <c r="AL98" s="28">
        <f t="shared" si="22"/>
        <v>-0.5802411317</v>
      </c>
      <c r="AM98" s="29"/>
      <c r="AN98" s="29">
        <f>COUNTIF(Blends!H$4:H$1007,#REF!)+COUNTIF(Blends!J$4:J$1007,#REF!)+COUNTIF(#REF!,#REF!)</f>
        <v>1</v>
      </c>
      <c r="AO98" s="48"/>
      <c r="AP98" s="35"/>
      <c r="AQ98" s="35"/>
      <c r="AR98" s="35"/>
      <c r="AS98" s="35"/>
      <c r="AT98" s="35"/>
      <c r="AU98" s="35"/>
      <c r="AV98" s="35"/>
      <c r="AW98" s="35"/>
    </row>
    <row r="99">
      <c r="A99" s="17">
        <v>98.0</v>
      </c>
      <c r="B99" s="17" t="s">
        <v>325</v>
      </c>
      <c r="C99" s="18">
        <v>1937.0</v>
      </c>
      <c r="D99" s="18" t="s">
        <v>319</v>
      </c>
      <c r="E99" s="17" t="b">
        <v>1</v>
      </c>
      <c r="F99" s="17" t="s">
        <v>78</v>
      </c>
      <c r="G99" s="17" t="s">
        <v>79</v>
      </c>
      <c r="H99" s="17" t="s">
        <v>80</v>
      </c>
      <c r="I99" s="17" t="s">
        <v>81</v>
      </c>
      <c r="J99" s="40"/>
      <c r="K99" s="40" t="s">
        <v>233</v>
      </c>
      <c r="L99" s="40" t="s">
        <v>238</v>
      </c>
      <c r="M99" s="49"/>
      <c r="N99" s="20">
        <v>45685.0</v>
      </c>
      <c r="O99" s="20">
        <v>45688.0</v>
      </c>
      <c r="P99" s="20"/>
      <c r="Q99" s="22">
        <v>19.36</v>
      </c>
      <c r="R99" s="22"/>
      <c r="S99" s="23" t="str">
        <f>iferror(if(AN99=1,VLOOKUP(B99, Blends!H$4:AK$1004,32,0), ""), "")</f>
        <v/>
      </c>
      <c r="T99" s="24"/>
      <c r="U99" s="25">
        <f t="shared" si="19"/>
        <v>0</v>
      </c>
      <c r="V99" s="26">
        <f>$Q99*('MRV Calcs'!$E$3+'MRV Calcs'!$E$4)</f>
        <v>2.864155911</v>
      </c>
      <c r="W99" s="27">
        <f t="shared" si="2"/>
        <v>2030</v>
      </c>
      <c r="X99" s="26">
        <f>IF($I99="truck",($Q99*$W99*'MRV Calcs'!$E$7)+($W99*'MRV Calcs'!$E$8),0)</f>
        <v>5.21566845</v>
      </c>
      <c r="Y99" s="26">
        <f>IF($I99="train",'MRV Calcs'!$E$24,0)</f>
        <v>0</v>
      </c>
      <c r="Z99" s="26">
        <f>IF($I99="train",($Q99*$Y99*'MRV Calcs'!$E$7)+($Y99*'MRV Calcs'!$E$8),0)</f>
        <v>0</v>
      </c>
      <c r="AA99" s="26">
        <f>IF($I99="train",'MRV Calcs'!$E$25,0)</f>
        <v>0</v>
      </c>
      <c r="AB99" s="26">
        <f>IF($I99="train",($Q99*$AA99*'MRV Calcs'!$E$11)+($AA99*'MRV Calcs'!$E$12),0)</f>
        <v>0</v>
      </c>
      <c r="AC99" s="26">
        <f>IF($I99="train",'MRV Calcs'!$E$26,0)</f>
        <v>0</v>
      </c>
      <c r="AD99" s="26">
        <f>IF($I99="train",($Q99*$AC99*'MRV Calcs'!$E$7)+($AC99*'MRV Calcs'!$E$8),0)</f>
        <v>0</v>
      </c>
      <c r="AE99" s="26">
        <f>($Q99/30)*SUM('MRV Calcs'!$E$15:$E$16)</f>
        <v>2.930630325</v>
      </c>
      <c r="AF99" s="26">
        <f>'MRV Calcs'!$E$27</f>
        <v>71.2</v>
      </c>
      <c r="AG99" s="26">
        <f>(($Q99*1.1)*$AF99*'MRV Calcs'!$E$7)+($AF99*'MRV Calcs'!$E$8)</f>
        <v>0.200680716</v>
      </c>
      <c r="AH99" s="26">
        <f>(($Q99*1.1)/20)*SUM('MRV Calcs'!$E$19:$E$20)</f>
        <v>0.02725888</v>
      </c>
      <c r="AI99" s="26">
        <f t="shared" si="3"/>
        <v>11.23839428</v>
      </c>
      <c r="AJ99" s="26">
        <f t="shared" si="20"/>
        <v>-11.23839428</v>
      </c>
      <c r="AK99" s="25" t="str">
        <f>AJ99+#REF!</f>
        <v>#REF!</v>
      </c>
      <c r="AL99" s="28">
        <f t="shared" si="22"/>
        <v>-0.5804955724</v>
      </c>
      <c r="AM99" s="29"/>
      <c r="AN99" s="29">
        <f>COUNTIF(Blends!H$4:H$1007,B99)+COUNTIF(Blends!J$4:J$1007,B99)+COUNTIF(#REF!,B99)</f>
        <v>1</v>
      </c>
      <c r="AO99" s="48"/>
      <c r="AP99" s="35"/>
      <c r="AQ99" s="35"/>
      <c r="AR99" s="35"/>
      <c r="AS99" s="35"/>
      <c r="AT99" s="35"/>
      <c r="AU99" s="35"/>
      <c r="AV99" s="35"/>
      <c r="AW99" s="35"/>
    </row>
    <row r="100">
      <c r="A100" s="17">
        <v>99.0</v>
      </c>
      <c r="B100" s="17" t="s">
        <v>326</v>
      </c>
      <c r="C100" s="18" t="s">
        <v>327</v>
      </c>
      <c r="D100" s="18" t="s">
        <v>328</v>
      </c>
      <c r="E100" s="17" t="b">
        <v>1</v>
      </c>
      <c r="F100" s="17" t="s">
        <v>78</v>
      </c>
      <c r="G100" s="17" t="s">
        <v>79</v>
      </c>
      <c r="H100" s="17" t="s">
        <v>80</v>
      </c>
      <c r="I100" s="17" t="s">
        <v>81</v>
      </c>
      <c r="J100" s="22"/>
      <c r="K100" s="19" t="s">
        <v>82</v>
      </c>
      <c r="L100" s="22" t="s">
        <v>86</v>
      </c>
      <c r="M100" s="49"/>
      <c r="N100" s="20">
        <v>45689.0</v>
      </c>
      <c r="O100" s="20">
        <v>45694.0</v>
      </c>
      <c r="P100" s="20"/>
      <c r="Q100" s="22">
        <v>18.86</v>
      </c>
      <c r="R100" s="22"/>
      <c r="S100" s="23" t="str">
        <f>iferror(if(AN100=1,VLOOKUP(B100, Blends!H$4:AK$1004,32,0), ""), "")</f>
        <v/>
      </c>
      <c r="T100" s="24"/>
      <c r="U100" s="25">
        <f t="shared" si="19"/>
        <v>0</v>
      </c>
      <c r="V100" s="26">
        <f>$Q100*('MRV Calcs'!$E$3+'MRV Calcs'!$E$4)</f>
        <v>2.790184942</v>
      </c>
      <c r="W100" s="27">
        <f t="shared" si="2"/>
        <v>2030</v>
      </c>
      <c r="X100" s="26">
        <f>IF($I100="truck",($Q100*$W100*'MRV Calcs'!$E$7)+($W100*'MRV Calcs'!$E$8),0)</f>
        <v>5.084990042</v>
      </c>
      <c r="Y100" s="26">
        <f>IF($I100="train",'MRV Calcs'!$E$24,0)</f>
        <v>0</v>
      </c>
      <c r="Z100" s="26">
        <f>IF($I100="train",($Q100*$Y100*'MRV Calcs'!$E$7)+($Y100*'MRV Calcs'!$E$8),0)</f>
        <v>0</v>
      </c>
      <c r="AA100" s="26">
        <f>IF($I100="train",'MRV Calcs'!$E$25,0)</f>
        <v>0</v>
      </c>
      <c r="AB100" s="26">
        <f>IF($I100="train",($Q100*$AA100*'MRV Calcs'!$E$11)+($AA100*'MRV Calcs'!$E$12),0)</f>
        <v>0</v>
      </c>
      <c r="AC100" s="26">
        <f>IF($I100="train",'MRV Calcs'!$E$26,0)</f>
        <v>0</v>
      </c>
      <c r="AD100" s="26">
        <f>IF($I100="train",($Q100*$AC100*'MRV Calcs'!$E$7)+($AC100*'MRV Calcs'!$E$8),0)</f>
        <v>0</v>
      </c>
      <c r="AE100" s="26">
        <f>($Q100/30)*SUM('MRV Calcs'!$E$15:$E$16)</f>
        <v>2.854942559</v>
      </c>
      <c r="AF100" s="26">
        <f>'MRV Calcs'!$E$27</f>
        <v>71.2</v>
      </c>
      <c r="AG100" s="26">
        <f>(($Q100*1.1)*$AF100*'MRV Calcs'!$E$7)+($AF100*'MRV Calcs'!$E$8)</f>
        <v>0.1956389757</v>
      </c>
      <c r="AH100" s="26">
        <f>(($Q100*1.1)/20)*SUM('MRV Calcs'!$E$19:$E$20)</f>
        <v>0.02655488</v>
      </c>
      <c r="AI100" s="26">
        <f t="shared" si="3"/>
        <v>10.9523114</v>
      </c>
      <c r="AJ100" s="26">
        <f t="shared" si="20"/>
        <v>-10.9523114</v>
      </c>
      <c r="AK100" s="25" t="str">
        <f t="shared" ref="AK100:AK126" si="25">AJ100+AK99</f>
        <v>#REF!</v>
      </c>
      <c r="AL100" s="28">
        <f t="shared" si="22"/>
        <v>-0.580716405</v>
      </c>
      <c r="AM100" s="35"/>
      <c r="AN100" s="29">
        <f>COUNTIF(Blends!H$4:H$1007,B100)+COUNTIF(Blends!J$4:J$1007,B100)+COUNTIF(#REF!,B100)</f>
        <v>1</v>
      </c>
      <c r="AO100" s="48"/>
      <c r="AP100" s="35"/>
      <c r="AQ100" s="35"/>
      <c r="AR100" s="35"/>
      <c r="AS100" s="35"/>
      <c r="AT100" s="35"/>
      <c r="AU100" s="35"/>
      <c r="AV100" s="35"/>
      <c r="AW100" s="35"/>
    </row>
    <row r="101">
      <c r="A101" s="17">
        <v>100.0</v>
      </c>
      <c r="B101" s="17" t="s">
        <v>329</v>
      </c>
      <c r="C101" s="18" t="s">
        <v>330</v>
      </c>
      <c r="D101" s="18" t="s">
        <v>328</v>
      </c>
      <c r="E101" s="17" t="b">
        <v>1</v>
      </c>
      <c r="F101" s="17" t="s">
        <v>78</v>
      </c>
      <c r="G101" s="17" t="s">
        <v>79</v>
      </c>
      <c r="H101" s="17" t="s">
        <v>80</v>
      </c>
      <c r="I101" s="17" t="s">
        <v>81</v>
      </c>
      <c r="J101" s="40"/>
      <c r="K101" s="19" t="s">
        <v>233</v>
      </c>
      <c r="L101" s="40" t="s">
        <v>324</v>
      </c>
      <c r="M101" s="49"/>
      <c r="N101" s="20">
        <v>45689.0</v>
      </c>
      <c r="O101" s="20">
        <f>N101+4</f>
        <v>45693</v>
      </c>
      <c r="P101" s="20"/>
      <c r="Q101" s="22">
        <v>19.95</v>
      </c>
      <c r="R101" s="22"/>
      <c r="S101" s="23" t="str">
        <f>iferror(if(AN101=1,VLOOKUP(B101, Blends!H$4:AK$1004,32,0), ""), "")</f>
        <v/>
      </c>
      <c r="T101" s="24"/>
      <c r="U101" s="25">
        <f t="shared" si="19"/>
        <v>0</v>
      </c>
      <c r="V101" s="26">
        <f>$Q101*('MRV Calcs'!$E$3+'MRV Calcs'!$E$4)</f>
        <v>2.951441654</v>
      </c>
      <c r="W101" s="27">
        <f t="shared" si="2"/>
        <v>2030</v>
      </c>
      <c r="X101" s="26">
        <f>IF($I101="truck",($Q101*$W101*'MRV Calcs'!$E$7)+($W101*'MRV Calcs'!$E$8),0)</f>
        <v>5.369868972</v>
      </c>
      <c r="Y101" s="26">
        <f>IF($I101="train",'MRV Calcs'!$E$24,0)</f>
        <v>0</v>
      </c>
      <c r="Z101" s="26">
        <f>IF($I101="train",($Q101*$Y101*'MRV Calcs'!$E$7)+($Y101*'MRV Calcs'!$E$8),0)</f>
        <v>0</v>
      </c>
      <c r="AA101" s="26">
        <f>IF($I101="train",'MRV Calcs'!$E$25,0)</f>
        <v>0</v>
      </c>
      <c r="AB101" s="26">
        <f>IF($I101="train",($Q101*$AA101*'MRV Calcs'!$E$11)+($AA101*'MRV Calcs'!$E$12),0)</f>
        <v>0</v>
      </c>
      <c r="AC101" s="26">
        <f>IF($I101="train",'MRV Calcs'!$E$26,0)</f>
        <v>0</v>
      </c>
      <c r="AD101" s="26">
        <f>IF($I101="train",($Q101*$AC101*'MRV Calcs'!$E$7)+($AC101*'MRV Calcs'!$E$8),0)</f>
        <v>0</v>
      </c>
      <c r="AE101" s="26">
        <f>($Q101/30)*SUM('MRV Calcs'!$E$15:$E$16)</f>
        <v>3.01994189</v>
      </c>
      <c r="AF101" s="26">
        <f>'MRV Calcs'!$E$27</f>
        <v>71.2</v>
      </c>
      <c r="AG101" s="26">
        <f>(($Q101*1.1)*$AF101*'MRV Calcs'!$E$7)+($AF101*'MRV Calcs'!$E$8)</f>
        <v>0.2066299696</v>
      </c>
      <c r="AH101" s="26">
        <f>(($Q101*1.1)/20)*SUM('MRV Calcs'!$E$19:$E$20)</f>
        <v>0.0280896</v>
      </c>
      <c r="AI101" s="26">
        <f t="shared" si="3"/>
        <v>11.57597209</v>
      </c>
      <c r="AJ101" s="26">
        <f t="shared" si="20"/>
        <v>-11.57597209</v>
      </c>
      <c r="AK101" s="25" t="str">
        <f t="shared" si="25"/>
        <v>#REF!</v>
      </c>
      <c r="AL101" s="28">
        <f t="shared" si="22"/>
        <v>-0.5802492273</v>
      </c>
      <c r="AM101" s="35"/>
      <c r="AN101" s="29">
        <f>COUNTIF(Blends!H$4:H$1007,B101)+COUNTIF(Blends!J$4:J$1007,B101)+COUNTIF(#REF!,B101)</f>
        <v>1</v>
      </c>
      <c r="AO101" s="48"/>
      <c r="AP101" s="35"/>
      <c r="AQ101" s="35"/>
      <c r="AR101" s="35"/>
      <c r="AS101" s="35"/>
      <c r="AT101" s="35"/>
      <c r="AU101" s="35"/>
      <c r="AV101" s="35"/>
      <c r="AW101" s="35"/>
    </row>
    <row r="102">
      <c r="A102" s="17">
        <v>101.0</v>
      </c>
      <c r="B102" s="17" t="s">
        <v>331</v>
      </c>
      <c r="C102" s="18" t="s">
        <v>332</v>
      </c>
      <c r="D102" s="18" t="s">
        <v>333</v>
      </c>
      <c r="E102" s="17" t="b">
        <v>1</v>
      </c>
      <c r="F102" s="17"/>
      <c r="G102" s="17" t="s">
        <v>79</v>
      </c>
      <c r="H102" s="17" t="s">
        <v>80</v>
      </c>
      <c r="I102" s="17" t="s">
        <v>81</v>
      </c>
      <c r="J102" s="19"/>
      <c r="K102" s="19" t="s">
        <v>233</v>
      </c>
      <c r="L102" s="19"/>
      <c r="M102" s="49"/>
      <c r="N102" s="20">
        <v>45692.0</v>
      </c>
      <c r="O102" s="20">
        <v>45695.0</v>
      </c>
      <c r="P102" s="20"/>
      <c r="Q102" s="22">
        <v>19.69</v>
      </c>
      <c r="R102" s="22"/>
      <c r="S102" s="23" t="str">
        <f>iferror(if(AN102=1,VLOOKUP(B102, Blends!H$4:AK$1004,32,0), ""), "")</f>
        <v/>
      </c>
      <c r="T102" s="24"/>
      <c r="U102" s="25">
        <f t="shared" si="19"/>
        <v>0</v>
      </c>
      <c r="V102" s="26">
        <f>$Q102*('MRV Calcs'!$E$3+'MRV Calcs'!$E$4)</f>
        <v>2.91297675</v>
      </c>
      <c r="W102" s="27">
        <f t="shared" si="2"/>
        <v>2030</v>
      </c>
      <c r="X102" s="26">
        <f>IF($I102="truck",($Q102*$W102*'MRV Calcs'!$E$7)+($W102*'MRV Calcs'!$E$8),0)</f>
        <v>5.301916199</v>
      </c>
      <c r="Y102" s="26">
        <f>IF($I102="train",'MRV Calcs'!$E$24,0)</f>
        <v>0</v>
      </c>
      <c r="Z102" s="26">
        <f>IF($I102="train",($Q102*$Y102*'MRV Calcs'!$E$7)+($Y102*'MRV Calcs'!$E$8),0)</f>
        <v>0</v>
      </c>
      <c r="AA102" s="26">
        <f>IF($I102="train",'MRV Calcs'!$E$25,0)</f>
        <v>0</v>
      </c>
      <c r="AB102" s="26">
        <f>IF($I102="train",($Q102*$AA102*'MRV Calcs'!$E$11)+($AA102*'MRV Calcs'!$E$12),0)</f>
        <v>0</v>
      </c>
      <c r="AC102" s="26">
        <f>IF($I102="train",'MRV Calcs'!$E$26,0)</f>
        <v>0</v>
      </c>
      <c r="AD102" s="26">
        <f>IF($I102="train",($Q102*$AC102*'MRV Calcs'!$E$7)+($AC102*'MRV Calcs'!$E$8),0)</f>
        <v>0</v>
      </c>
      <c r="AE102" s="26">
        <f>($Q102/30)*SUM('MRV Calcs'!$E$15:$E$16)</f>
        <v>2.980584251</v>
      </c>
      <c r="AF102" s="26">
        <f>'MRV Calcs'!$E$27</f>
        <v>71.2</v>
      </c>
      <c r="AG102" s="26">
        <f>(($Q102*1.1)*$AF102*'MRV Calcs'!$E$7)+($AF102*'MRV Calcs'!$E$8)</f>
        <v>0.2040082646</v>
      </c>
      <c r="AH102" s="26">
        <f>(($Q102*1.1)/20)*SUM('MRV Calcs'!$E$19:$E$20)</f>
        <v>0.02772352</v>
      </c>
      <c r="AI102" s="26">
        <f t="shared" si="3"/>
        <v>11.42720899</v>
      </c>
      <c r="AJ102" s="26">
        <f t="shared" si="20"/>
        <v>-11.42720899</v>
      </c>
      <c r="AK102" s="25" t="str">
        <f t="shared" si="25"/>
        <v>#REF!</v>
      </c>
      <c r="AL102" s="28">
        <f t="shared" si="22"/>
        <v>-0.5803559668</v>
      </c>
      <c r="AM102" s="35"/>
      <c r="AN102" s="29">
        <f>COUNTIF(Blends!H$4:H$1007,B102)+COUNTIF(Blends!J$4:J$1007,B102)+COUNTIF(#REF!,B102)</f>
        <v>12</v>
      </c>
      <c r="AO102" s="48"/>
      <c r="AP102" s="35"/>
      <c r="AQ102" s="35"/>
      <c r="AR102" s="35"/>
      <c r="AS102" s="35"/>
      <c r="AT102" s="35"/>
      <c r="AU102" s="35"/>
      <c r="AV102" s="35"/>
      <c r="AW102" s="35"/>
    </row>
    <row r="103">
      <c r="A103" s="17">
        <v>102.0</v>
      </c>
      <c r="B103" s="17" t="s">
        <v>331</v>
      </c>
      <c r="C103" s="18" t="s">
        <v>334</v>
      </c>
      <c r="D103" s="18" t="s">
        <v>333</v>
      </c>
      <c r="E103" s="17" t="b">
        <v>1</v>
      </c>
      <c r="F103" s="17"/>
      <c r="G103" s="17" t="s">
        <v>79</v>
      </c>
      <c r="H103" s="17" t="s">
        <v>80</v>
      </c>
      <c r="I103" s="17" t="s">
        <v>81</v>
      </c>
      <c r="J103" s="19"/>
      <c r="K103" s="19" t="s">
        <v>233</v>
      </c>
      <c r="L103" s="19" t="s">
        <v>335</v>
      </c>
      <c r="M103" s="49"/>
      <c r="N103" s="20">
        <v>45692.0</v>
      </c>
      <c r="O103" s="20">
        <f>N103+4</f>
        <v>45696</v>
      </c>
      <c r="P103" s="20"/>
      <c r="Q103" s="22">
        <v>19.87</v>
      </c>
      <c r="R103" s="22"/>
      <c r="S103" s="23" t="str">
        <f>iferror(if(AN103=1,VLOOKUP(B103, Blends!H$4:AK$1004,32,0), ""), "")</f>
        <v/>
      </c>
      <c r="T103" s="24"/>
      <c r="U103" s="25">
        <f t="shared" si="19"/>
        <v>0</v>
      </c>
      <c r="V103" s="26">
        <f>$Q103*('MRV Calcs'!$E$3+'MRV Calcs'!$E$4)</f>
        <v>2.939606299</v>
      </c>
      <c r="W103" s="27">
        <f t="shared" si="2"/>
        <v>2030</v>
      </c>
      <c r="X103" s="26">
        <f>IF($I103="truck",($Q103*$W103*'MRV Calcs'!$E$7)+($W103*'MRV Calcs'!$E$8),0)</f>
        <v>5.348960426</v>
      </c>
      <c r="Y103" s="26">
        <f>IF($I103="train",'MRV Calcs'!$E$24,0)</f>
        <v>0</v>
      </c>
      <c r="Z103" s="26">
        <f>IF($I103="train",($Q103*$Y103*'MRV Calcs'!$E$7)+($Y103*'MRV Calcs'!$E$8),0)</f>
        <v>0</v>
      </c>
      <c r="AA103" s="26">
        <f>IF($I103="train",'MRV Calcs'!$E$25,0)</f>
        <v>0</v>
      </c>
      <c r="AB103" s="26">
        <f>IF($I103="train",($Q103*$AA103*'MRV Calcs'!$E$11)+($AA103*'MRV Calcs'!$E$12),0)</f>
        <v>0</v>
      </c>
      <c r="AC103" s="26">
        <f>IF($I103="train",'MRV Calcs'!$E$26,0)</f>
        <v>0</v>
      </c>
      <c r="AD103" s="26">
        <f>IF($I103="train",($Q103*$AC103*'MRV Calcs'!$E$7)+($AC103*'MRV Calcs'!$E$8),0)</f>
        <v>0</v>
      </c>
      <c r="AE103" s="26">
        <f>($Q103/30)*SUM('MRV Calcs'!$E$15:$E$16)</f>
        <v>3.007831847</v>
      </c>
      <c r="AF103" s="26">
        <f>'MRV Calcs'!$E$27</f>
        <v>71.2</v>
      </c>
      <c r="AG103" s="26">
        <f>(($Q103*1.1)*$AF103*'MRV Calcs'!$E$7)+($AF103*'MRV Calcs'!$E$8)</f>
        <v>0.2058232912</v>
      </c>
      <c r="AH103" s="26">
        <f>(($Q103*1.1)/20)*SUM('MRV Calcs'!$E$19:$E$20)</f>
        <v>0.02797696</v>
      </c>
      <c r="AI103" s="26">
        <f t="shared" si="3"/>
        <v>11.53019882</v>
      </c>
      <c r="AJ103" s="26">
        <f t="shared" si="20"/>
        <v>-11.53019882</v>
      </c>
      <c r="AK103" s="25" t="str">
        <f t="shared" si="25"/>
        <v>#REF!</v>
      </c>
      <c r="AL103" s="28">
        <f t="shared" si="22"/>
        <v>-0.5802817727</v>
      </c>
      <c r="AM103" s="35"/>
      <c r="AN103" s="29">
        <f>COUNTIF(Blends!H$4:H$1007,B103)+COUNTIF(Blends!J$4:J$1007,B103)+COUNTIF(#REF!,B103)</f>
        <v>12</v>
      </c>
      <c r="AO103" s="48"/>
      <c r="AP103" s="35"/>
      <c r="AQ103" s="35"/>
      <c r="AR103" s="35"/>
      <c r="AS103" s="35"/>
      <c r="AT103" s="35"/>
      <c r="AU103" s="35"/>
      <c r="AV103" s="35"/>
      <c r="AW103" s="35"/>
    </row>
    <row r="104">
      <c r="A104" s="17">
        <v>103.0</v>
      </c>
      <c r="B104" s="17" t="s">
        <v>331</v>
      </c>
      <c r="C104" s="18" t="s">
        <v>336</v>
      </c>
      <c r="D104" s="18" t="s">
        <v>337</v>
      </c>
      <c r="E104" s="17" t="b">
        <v>1</v>
      </c>
      <c r="F104" s="17"/>
      <c r="G104" s="17" t="s">
        <v>79</v>
      </c>
      <c r="H104" s="17" t="s">
        <v>80</v>
      </c>
      <c r="I104" s="17" t="s">
        <v>81</v>
      </c>
      <c r="J104" s="19"/>
      <c r="K104" s="19" t="s">
        <v>82</v>
      </c>
      <c r="L104" s="19" t="s">
        <v>139</v>
      </c>
      <c r="M104" s="49"/>
      <c r="N104" s="20">
        <v>45695.0</v>
      </c>
      <c r="O104" s="20">
        <v>45700.0</v>
      </c>
      <c r="P104" s="20"/>
      <c r="Q104" s="22">
        <v>20.31</v>
      </c>
      <c r="R104" s="22"/>
      <c r="S104" s="23" t="str">
        <f>iferror(if(AN104=1,VLOOKUP(B104, Blends!H$4:AK$1004,32,0), ""), "")</f>
        <v/>
      </c>
      <c r="T104" s="24"/>
      <c r="U104" s="25">
        <f t="shared" si="19"/>
        <v>0</v>
      </c>
      <c r="V104" s="26">
        <f>$Q104*('MRV Calcs'!$E$3+'MRV Calcs'!$E$4)</f>
        <v>3.004700751</v>
      </c>
      <c r="W104" s="27">
        <f t="shared" si="2"/>
        <v>2030</v>
      </c>
      <c r="X104" s="26">
        <f>IF($I104="truck",($Q104*$W104*'MRV Calcs'!$E$7)+($W104*'MRV Calcs'!$E$8),0)</f>
        <v>5.463957425</v>
      </c>
      <c r="Y104" s="26">
        <f>IF($I104="train",'MRV Calcs'!$E$24,0)</f>
        <v>0</v>
      </c>
      <c r="Z104" s="26">
        <f>IF($I104="train",($Q104*$Y104*'MRV Calcs'!$E$7)+($Y104*'MRV Calcs'!$E$8),0)</f>
        <v>0</v>
      </c>
      <c r="AA104" s="26">
        <f>IF($I104="train",'MRV Calcs'!$E$25,0)</f>
        <v>0</v>
      </c>
      <c r="AB104" s="26">
        <f>IF($I104="train",($Q104*$AA104*'MRV Calcs'!$E$11)+($AA104*'MRV Calcs'!$E$12),0)</f>
        <v>0</v>
      </c>
      <c r="AC104" s="26">
        <f>IF($I104="train",'MRV Calcs'!$E$26,0)</f>
        <v>0</v>
      </c>
      <c r="AD104" s="26">
        <f>IF($I104="train",($Q104*$AC104*'MRV Calcs'!$E$7)+($AC104*'MRV Calcs'!$E$8),0)</f>
        <v>0</v>
      </c>
      <c r="AE104" s="26">
        <f>($Q104/30)*SUM('MRV Calcs'!$E$15:$E$16)</f>
        <v>3.074437082</v>
      </c>
      <c r="AF104" s="26">
        <f>'MRV Calcs'!$E$27</f>
        <v>71.2</v>
      </c>
      <c r="AG104" s="26">
        <f>(($Q104*1.1)*$AF104*'MRV Calcs'!$E$7)+($AF104*'MRV Calcs'!$E$8)</f>
        <v>0.2102600227</v>
      </c>
      <c r="AH104" s="26">
        <f>(($Q104*1.1)/20)*SUM('MRV Calcs'!$E$19:$E$20)</f>
        <v>0.02859648</v>
      </c>
      <c r="AI104" s="26">
        <f t="shared" si="3"/>
        <v>11.78195176</v>
      </c>
      <c r="AJ104" s="26">
        <f t="shared" si="20"/>
        <v>-11.78195176</v>
      </c>
      <c r="AK104" s="25" t="str">
        <f t="shared" si="25"/>
        <v>#REF!</v>
      </c>
      <c r="AL104" s="28">
        <f t="shared" si="22"/>
        <v>-0.5801059459</v>
      </c>
      <c r="AM104" s="35"/>
      <c r="AN104" s="29">
        <f>COUNTIF(Blends!H$4:H$1007,B104)+COUNTIF(Blends!J$4:J$1007,B104)+COUNTIF(#REF!,B104)</f>
        <v>12</v>
      </c>
      <c r="AO104" s="48"/>
      <c r="AP104" s="35"/>
      <c r="AQ104" s="35"/>
      <c r="AR104" s="35"/>
      <c r="AS104" s="35"/>
      <c r="AT104" s="35"/>
      <c r="AU104" s="35"/>
      <c r="AV104" s="35"/>
      <c r="AW104" s="35"/>
    </row>
    <row r="105">
      <c r="A105" s="17">
        <v>104.0</v>
      </c>
      <c r="B105" s="17" t="s">
        <v>331</v>
      </c>
      <c r="C105" s="18" t="s">
        <v>338</v>
      </c>
      <c r="D105" s="18" t="s">
        <v>337</v>
      </c>
      <c r="E105" s="17" t="b">
        <v>1</v>
      </c>
      <c r="F105" s="17"/>
      <c r="G105" s="17" t="s">
        <v>79</v>
      </c>
      <c r="H105" s="17" t="s">
        <v>80</v>
      </c>
      <c r="I105" s="17" t="s">
        <v>81</v>
      </c>
      <c r="J105" s="19"/>
      <c r="K105" s="19" t="s">
        <v>233</v>
      </c>
      <c r="L105" s="19" t="s">
        <v>339</v>
      </c>
      <c r="M105" s="49"/>
      <c r="N105" s="20">
        <v>45695.0</v>
      </c>
      <c r="O105" s="20">
        <f t="shared" ref="O105:O106" si="26">N105+4</f>
        <v>45699</v>
      </c>
      <c r="P105" s="20"/>
      <c r="Q105" s="22">
        <v>19.86</v>
      </c>
      <c r="R105" s="22"/>
      <c r="S105" s="23" t="str">
        <f>iferror(if(AN105=1,VLOOKUP(B105, Blends!H$4:AK$1004,32,0), ""), "")</f>
        <v/>
      </c>
      <c r="T105" s="24"/>
      <c r="U105" s="25">
        <f t="shared" si="19"/>
        <v>0</v>
      </c>
      <c r="V105" s="26">
        <f>$Q105*('MRV Calcs'!$E$3+'MRV Calcs'!$E$4)</f>
        <v>2.938126879</v>
      </c>
      <c r="W105" s="27">
        <f t="shared" si="2"/>
        <v>2030</v>
      </c>
      <c r="X105" s="26">
        <f>IF($I105="truck",($Q105*$W105*'MRV Calcs'!$E$7)+($W105*'MRV Calcs'!$E$8),0)</f>
        <v>5.346346858</v>
      </c>
      <c r="Y105" s="26">
        <f>IF($I105="train",'MRV Calcs'!$E$24,0)</f>
        <v>0</v>
      </c>
      <c r="Z105" s="26">
        <f>IF($I105="train",($Q105*$Y105*'MRV Calcs'!$E$7)+($Y105*'MRV Calcs'!$E$8),0)</f>
        <v>0</v>
      </c>
      <c r="AA105" s="26">
        <f>IF($I105="train",'MRV Calcs'!$E$25,0)</f>
        <v>0</v>
      </c>
      <c r="AB105" s="26">
        <f>IF($I105="train",($Q105*$AA105*'MRV Calcs'!$E$11)+($AA105*'MRV Calcs'!$E$12),0)</f>
        <v>0</v>
      </c>
      <c r="AC105" s="26">
        <f>IF($I105="train",'MRV Calcs'!$E$26,0)</f>
        <v>0</v>
      </c>
      <c r="AD105" s="26">
        <f>IF($I105="train",($Q105*$AC105*'MRV Calcs'!$E$7)+($AC105*'MRV Calcs'!$E$8),0)</f>
        <v>0</v>
      </c>
      <c r="AE105" s="26">
        <f>($Q105/30)*SUM('MRV Calcs'!$E$15:$E$16)</f>
        <v>3.006318092</v>
      </c>
      <c r="AF105" s="26">
        <f>'MRV Calcs'!$E$27</f>
        <v>71.2</v>
      </c>
      <c r="AG105" s="26">
        <f>(($Q105*1.1)*$AF105*'MRV Calcs'!$E$7)+($AF105*'MRV Calcs'!$E$8)</f>
        <v>0.2057224564</v>
      </c>
      <c r="AH105" s="26">
        <f>(($Q105*1.1)/20)*SUM('MRV Calcs'!$E$19:$E$20)</f>
        <v>0.02796288</v>
      </c>
      <c r="AI105" s="26">
        <f t="shared" si="3"/>
        <v>11.52447717</v>
      </c>
      <c r="AJ105" s="26">
        <f t="shared" si="20"/>
        <v>-11.52447717</v>
      </c>
      <c r="AK105" s="25" t="str">
        <f t="shared" si="25"/>
        <v>#REF!</v>
      </c>
      <c r="AL105" s="28">
        <f t="shared" si="22"/>
        <v>-0.5802858593</v>
      </c>
      <c r="AM105" s="35"/>
      <c r="AN105" s="29">
        <f>COUNTIF(Blends!H$4:H$1007,B105)+COUNTIF(Blends!J$4:J$1007,B105)+COUNTIF(#REF!,B105)</f>
        <v>12</v>
      </c>
      <c r="AO105" s="48"/>
      <c r="AP105" s="35"/>
      <c r="AQ105" s="35"/>
      <c r="AR105" s="35"/>
      <c r="AS105" s="35"/>
      <c r="AT105" s="35"/>
      <c r="AU105" s="35"/>
      <c r="AV105" s="35"/>
      <c r="AW105" s="35"/>
    </row>
    <row r="106">
      <c r="A106" s="17">
        <v>105.0</v>
      </c>
      <c r="B106" s="17" t="s">
        <v>331</v>
      </c>
      <c r="C106" s="18" t="s">
        <v>340</v>
      </c>
      <c r="D106" s="18" t="s">
        <v>341</v>
      </c>
      <c r="E106" s="17" t="b">
        <v>1</v>
      </c>
      <c r="F106" s="17"/>
      <c r="G106" s="17" t="s">
        <v>79</v>
      </c>
      <c r="H106" s="17" t="s">
        <v>80</v>
      </c>
      <c r="I106" s="17" t="s">
        <v>81</v>
      </c>
      <c r="J106" s="19"/>
      <c r="K106" s="19" t="s">
        <v>233</v>
      </c>
      <c r="L106" s="19" t="s">
        <v>240</v>
      </c>
      <c r="M106" s="49"/>
      <c r="N106" s="20">
        <v>45696.0</v>
      </c>
      <c r="O106" s="20">
        <f t="shared" si="26"/>
        <v>45700</v>
      </c>
      <c r="P106" s="20"/>
      <c r="Q106" s="22">
        <v>19.82</v>
      </c>
      <c r="R106" s="22"/>
      <c r="S106" s="23" t="str">
        <f>iferror(if(AN106=1,VLOOKUP(B106, Blends!H$4:AK$1004,32,0), ""), "")</f>
        <v/>
      </c>
      <c r="T106" s="24"/>
      <c r="U106" s="25">
        <f t="shared" si="19"/>
        <v>0</v>
      </c>
      <c r="V106" s="26">
        <f>$Q106*('MRV Calcs'!$E$3+'MRV Calcs'!$E$4)</f>
        <v>2.932209202</v>
      </c>
      <c r="W106" s="27">
        <f t="shared" si="2"/>
        <v>2030</v>
      </c>
      <c r="X106" s="26">
        <f>IF($I106="truck",($Q106*$W106*'MRV Calcs'!$E$7)+($W106*'MRV Calcs'!$E$8),0)</f>
        <v>5.335892586</v>
      </c>
      <c r="Y106" s="26">
        <f>IF($I106="train",'MRV Calcs'!$E$24,0)</f>
        <v>0</v>
      </c>
      <c r="Z106" s="26">
        <f>IF($I106="train",($Q106*$Y106*'MRV Calcs'!$E$7)+($Y106*'MRV Calcs'!$E$8),0)</f>
        <v>0</v>
      </c>
      <c r="AA106" s="26">
        <f>IF($I106="train",'MRV Calcs'!$E$25,0)</f>
        <v>0</v>
      </c>
      <c r="AB106" s="26">
        <f>IF($I106="train",($Q106*$AA106*'MRV Calcs'!$E$11)+($AA106*'MRV Calcs'!$E$12),0)</f>
        <v>0</v>
      </c>
      <c r="AC106" s="26">
        <f>IF($I106="train",'MRV Calcs'!$E$26,0)</f>
        <v>0</v>
      </c>
      <c r="AD106" s="26">
        <f>IF($I106="train",($Q106*$AC106*'MRV Calcs'!$E$7)+($AC106*'MRV Calcs'!$E$8),0)</f>
        <v>0</v>
      </c>
      <c r="AE106" s="26">
        <f>($Q106/30)*SUM('MRV Calcs'!$E$15:$E$16)</f>
        <v>3.000263071</v>
      </c>
      <c r="AF106" s="26">
        <f>'MRV Calcs'!$E$27</f>
        <v>71.2</v>
      </c>
      <c r="AG106" s="26">
        <f>(($Q106*1.1)*$AF106*'MRV Calcs'!$E$7)+($AF106*'MRV Calcs'!$E$8)</f>
        <v>0.2053191171</v>
      </c>
      <c r="AH106" s="26">
        <f>(($Q106*1.1)/20)*SUM('MRV Calcs'!$E$19:$E$20)</f>
        <v>0.02790656</v>
      </c>
      <c r="AI106" s="26">
        <f t="shared" si="3"/>
        <v>11.50159054</v>
      </c>
      <c r="AJ106" s="26">
        <f t="shared" si="20"/>
        <v>-11.50159054</v>
      </c>
      <c r="AK106" s="25" t="str">
        <f t="shared" si="25"/>
        <v>#REF!</v>
      </c>
      <c r="AL106" s="28">
        <f t="shared" si="22"/>
        <v>-0.580302247</v>
      </c>
      <c r="AM106" s="35"/>
      <c r="AN106" s="29">
        <f>COUNTIF(Blends!H$4:H$1007,B106)+COUNTIF(Blends!J$4:J$1007,B106)+COUNTIF(#REF!,B106)</f>
        <v>12</v>
      </c>
      <c r="AO106" s="48"/>
      <c r="AP106" s="35"/>
      <c r="AQ106" s="35"/>
      <c r="AR106" s="35"/>
      <c r="AS106" s="35"/>
      <c r="AT106" s="35"/>
      <c r="AU106" s="35"/>
      <c r="AV106" s="35"/>
      <c r="AW106" s="35"/>
    </row>
    <row r="107">
      <c r="A107" s="17">
        <v>106.0</v>
      </c>
      <c r="B107" s="17" t="s">
        <v>331</v>
      </c>
      <c r="C107" s="18" t="s">
        <v>342</v>
      </c>
      <c r="D107" s="18" t="s">
        <v>343</v>
      </c>
      <c r="E107" s="17" t="b">
        <v>1</v>
      </c>
      <c r="F107" s="17"/>
      <c r="G107" s="17" t="s">
        <v>79</v>
      </c>
      <c r="H107" s="17" t="s">
        <v>80</v>
      </c>
      <c r="I107" s="17" t="s">
        <v>81</v>
      </c>
      <c r="J107" s="40"/>
      <c r="K107" s="19" t="s">
        <v>82</v>
      </c>
      <c r="L107" s="40" t="s">
        <v>86</v>
      </c>
      <c r="M107" s="49"/>
      <c r="N107" s="20">
        <v>45698.0</v>
      </c>
      <c r="O107" s="20">
        <v>45702.0</v>
      </c>
      <c r="P107" s="20"/>
      <c r="Q107" s="22">
        <v>20.49</v>
      </c>
      <c r="R107" s="22"/>
      <c r="S107" s="23" t="str">
        <f>iferror(if(AN107=1,VLOOKUP(B107, Blends!H$4:AK$1004,32,0), ""), "")</f>
        <v/>
      </c>
      <c r="T107" s="24"/>
      <c r="U107" s="25">
        <f t="shared" si="19"/>
        <v>0</v>
      </c>
      <c r="V107" s="26">
        <f>$Q107*('MRV Calcs'!$E$3+'MRV Calcs'!$E$4)</f>
        <v>3.0313303</v>
      </c>
      <c r="W107" s="27">
        <f t="shared" si="2"/>
        <v>2030</v>
      </c>
      <c r="X107" s="26">
        <f>IF($I107="truck",($Q107*$W107*'MRV Calcs'!$E$7)+($W107*'MRV Calcs'!$E$8),0)</f>
        <v>5.511001652</v>
      </c>
      <c r="Y107" s="26">
        <f>IF($I107="train",'MRV Calcs'!$E$24,0)</f>
        <v>0</v>
      </c>
      <c r="Z107" s="26">
        <f>IF($I107="train",($Q107*$Y107*'MRV Calcs'!$E$7)+($Y107*'MRV Calcs'!$E$8),0)</f>
        <v>0</v>
      </c>
      <c r="AA107" s="26">
        <f>IF($I107="train",'MRV Calcs'!$E$25,0)</f>
        <v>0</v>
      </c>
      <c r="AB107" s="26">
        <f>IF($I107="train",($Q107*$AA107*'MRV Calcs'!$E$11)+($AA107*'MRV Calcs'!$E$12),0)</f>
        <v>0</v>
      </c>
      <c r="AC107" s="26">
        <f>IF($I107="train",'MRV Calcs'!$E$26,0)</f>
        <v>0</v>
      </c>
      <c r="AD107" s="26">
        <f>IF($I107="train",($Q107*$AC107*'MRV Calcs'!$E$7)+($AC107*'MRV Calcs'!$E$8),0)</f>
        <v>0</v>
      </c>
      <c r="AE107" s="26">
        <f>($Q107/30)*SUM('MRV Calcs'!$E$15:$E$16)</f>
        <v>3.101684678</v>
      </c>
      <c r="AF107" s="26">
        <f>'MRV Calcs'!$E$27</f>
        <v>71.2</v>
      </c>
      <c r="AG107" s="26">
        <f>(($Q107*1.1)*$AF107*'MRV Calcs'!$E$7)+($AF107*'MRV Calcs'!$E$8)</f>
        <v>0.2120750492</v>
      </c>
      <c r="AH107" s="26">
        <f>(($Q107*1.1)/20)*SUM('MRV Calcs'!$E$19:$E$20)</f>
        <v>0.02884992</v>
      </c>
      <c r="AI107" s="26">
        <f t="shared" si="3"/>
        <v>11.8849416</v>
      </c>
      <c r="AJ107" s="26">
        <f t="shared" si="20"/>
        <v>-11.8849416</v>
      </c>
      <c r="AK107" s="25" t="str">
        <f t="shared" si="25"/>
        <v>#REF!</v>
      </c>
      <c r="AL107" s="28">
        <f t="shared" si="22"/>
        <v>-0.5800361932</v>
      </c>
      <c r="AM107" s="35"/>
      <c r="AN107" s="29">
        <f>COUNTIF(Blends!H$4:H$1007,B107)+COUNTIF(Blends!J$4:J$1007,B107)+COUNTIF(#REF!,B107)</f>
        <v>12</v>
      </c>
      <c r="AO107" s="48"/>
      <c r="AP107" s="35"/>
      <c r="AQ107" s="35"/>
      <c r="AR107" s="35"/>
      <c r="AS107" s="35"/>
      <c r="AT107" s="35"/>
      <c r="AU107" s="35"/>
      <c r="AV107" s="35"/>
      <c r="AW107" s="35"/>
    </row>
    <row r="108">
      <c r="A108" s="17">
        <v>107.0</v>
      </c>
      <c r="B108" s="17" t="s">
        <v>331</v>
      </c>
      <c r="C108" s="18" t="s">
        <v>344</v>
      </c>
      <c r="D108" s="18" t="s">
        <v>343</v>
      </c>
      <c r="E108" s="17" t="b">
        <v>1</v>
      </c>
      <c r="F108" s="17"/>
      <c r="G108" s="17" t="s">
        <v>79</v>
      </c>
      <c r="H108" s="17" t="s">
        <v>80</v>
      </c>
      <c r="I108" s="17" t="s">
        <v>81</v>
      </c>
      <c r="J108" s="19"/>
      <c r="K108" s="19" t="s">
        <v>233</v>
      </c>
      <c r="L108" s="19" t="s">
        <v>314</v>
      </c>
      <c r="M108" s="49"/>
      <c r="N108" s="20">
        <v>45699.0</v>
      </c>
      <c r="O108" s="20">
        <v>45705.0</v>
      </c>
      <c r="P108" s="20"/>
      <c r="Q108" s="22">
        <v>20.28</v>
      </c>
      <c r="R108" s="22"/>
      <c r="S108" s="23" t="str">
        <f>iferror(if(AN108=1,VLOOKUP(B108, Blends!H$4:AK$1004,32,0), ""), "")</f>
        <v/>
      </c>
      <c r="T108" s="24"/>
      <c r="U108" s="25">
        <f t="shared" si="19"/>
        <v>0</v>
      </c>
      <c r="V108" s="26">
        <f>$Q108*('MRV Calcs'!$E$3+'MRV Calcs'!$E$4)</f>
        <v>3.000262493</v>
      </c>
      <c r="W108" s="27">
        <f t="shared" si="2"/>
        <v>2030</v>
      </c>
      <c r="X108" s="26">
        <f>IF($I108="truck",($Q108*$W108*'MRV Calcs'!$E$7)+($W108*'MRV Calcs'!$E$8),0)</f>
        <v>5.456116721</v>
      </c>
      <c r="Y108" s="26">
        <f>IF($I108="train",'MRV Calcs'!$E$24,0)</f>
        <v>0</v>
      </c>
      <c r="Z108" s="26">
        <f>IF($I108="train",($Q108*$Y108*'MRV Calcs'!$E$7)+($Y108*'MRV Calcs'!$E$8),0)</f>
        <v>0</v>
      </c>
      <c r="AA108" s="26">
        <f>IF($I108="train",'MRV Calcs'!$E$25,0)</f>
        <v>0</v>
      </c>
      <c r="AB108" s="26">
        <f>IF($I108="train",($Q108*$AA108*'MRV Calcs'!$E$11)+($AA108*'MRV Calcs'!$E$12),0)</f>
        <v>0</v>
      </c>
      <c r="AC108" s="26">
        <f>IF($I108="train",'MRV Calcs'!$E$26,0)</f>
        <v>0</v>
      </c>
      <c r="AD108" s="26">
        <f>IF($I108="train",($Q108*$AC108*'MRV Calcs'!$E$7)+($AC108*'MRV Calcs'!$E$8),0)</f>
        <v>0</v>
      </c>
      <c r="AE108" s="26">
        <f>($Q108/30)*SUM('MRV Calcs'!$E$15:$E$16)</f>
        <v>3.069895816</v>
      </c>
      <c r="AF108" s="26">
        <f>'MRV Calcs'!$E$27</f>
        <v>71.2</v>
      </c>
      <c r="AG108" s="26">
        <f>(($Q108*1.1)*$AF108*'MRV Calcs'!$E$7)+($AF108*'MRV Calcs'!$E$8)</f>
        <v>0.2099575183</v>
      </c>
      <c r="AH108" s="26">
        <f>(($Q108*1.1)/20)*SUM('MRV Calcs'!$E$19:$E$20)</f>
        <v>0.02855424</v>
      </c>
      <c r="AI108" s="26">
        <f t="shared" si="3"/>
        <v>11.76478679</v>
      </c>
      <c r="AJ108" s="26">
        <f t="shared" si="20"/>
        <v>-11.76478679</v>
      </c>
      <c r="AK108" s="25" t="str">
        <f t="shared" si="25"/>
        <v>#REF!</v>
      </c>
      <c r="AL108" s="28">
        <f t="shared" si="22"/>
        <v>-0.5801176917</v>
      </c>
      <c r="AM108" s="35"/>
      <c r="AN108" s="29">
        <f>COUNTIF(Blends!H$4:H$1007,B108)+COUNTIF(Blends!J$4:J$1007,B108)+COUNTIF(#REF!,B108)</f>
        <v>12</v>
      </c>
      <c r="AO108" s="48"/>
      <c r="AP108" s="35"/>
      <c r="AQ108" s="35"/>
      <c r="AR108" s="35"/>
      <c r="AS108" s="35"/>
      <c r="AT108" s="35"/>
      <c r="AU108" s="35"/>
      <c r="AV108" s="35"/>
      <c r="AW108" s="35"/>
    </row>
    <row r="109">
      <c r="A109" s="17">
        <v>108.0</v>
      </c>
      <c r="B109" s="17" t="s">
        <v>331</v>
      </c>
      <c r="C109" s="18" t="s">
        <v>345</v>
      </c>
      <c r="D109" s="18" t="s">
        <v>346</v>
      </c>
      <c r="E109" s="17" t="b">
        <v>1</v>
      </c>
      <c r="F109" s="17"/>
      <c r="G109" s="17" t="s">
        <v>79</v>
      </c>
      <c r="H109" s="17" t="s">
        <v>80</v>
      </c>
      <c r="I109" s="17" t="s">
        <v>81</v>
      </c>
      <c r="J109" s="40"/>
      <c r="K109" s="40" t="s">
        <v>82</v>
      </c>
      <c r="L109" s="40" t="s">
        <v>139</v>
      </c>
      <c r="M109" s="49"/>
      <c r="N109" s="20">
        <v>45708.0</v>
      </c>
      <c r="O109" s="20">
        <v>45711.0</v>
      </c>
      <c r="P109" s="20"/>
      <c r="Q109" s="22">
        <v>20.46</v>
      </c>
      <c r="R109" s="22"/>
      <c r="S109" s="23" t="str">
        <f>iferror(if(AN109=1,VLOOKUP(B109, Blends!H$4:AK$1004,32,0), ""), "")</f>
        <v/>
      </c>
      <c r="T109" s="24"/>
      <c r="U109" s="25">
        <f t="shared" si="19"/>
        <v>0</v>
      </c>
      <c r="V109" s="26">
        <f>$Q109*('MRV Calcs'!$E$3+'MRV Calcs'!$E$4)</f>
        <v>3.026892042</v>
      </c>
      <c r="W109" s="27">
        <f t="shared" si="2"/>
        <v>2030</v>
      </c>
      <c r="X109" s="26">
        <f>IF($I109="truck",($Q109*$W109*'MRV Calcs'!$E$7)+($W109*'MRV Calcs'!$E$8),0)</f>
        <v>5.503160948</v>
      </c>
      <c r="Y109" s="26">
        <f>IF($I109="train",'MRV Calcs'!$E$24,0)</f>
        <v>0</v>
      </c>
      <c r="Z109" s="26">
        <f>IF($I109="train",($Q109*$Y109*'MRV Calcs'!$E$7)+($Y109*'MRV Calcs'!$E$8),0)</f>
        <v>0</v>
      </c>
      <c r="AA109" s="26">
        <f>IF($I109="train",'MRV Calcs'!$E$25,0)</f>
        <v>0</v>
      </c>
      <c r="AB109" s="26">
        <f>IF($I109="train",($Q109*$AA109*'MRV Calcs'!$E$11)+($AA109*'MRV Calcs'!$E$12),0)</f>
        <v>0</v>
      </c>
      <c r="AC109" s="26">
        <f>IF($I109="train",'MRV Calcs'!$E$26,0)</f>
        <v>0</v>
      </c>
      <c r="AD109" s="26">
        <f>IF($I109="train",($Q109*$AC109*'MRV Calcs'!$E$7)+($AC109*'MRV Calcs'!$E$8),0)</f>
        <v>0</v>
      </c>
      <c r="AE109" s="26">
        <f>($Q109/30)*SUM('MRV Calcs'!$E$15:$E$16)</f>
        <v>3.097143412</v>
      </c>
      <c r="AF109" s="26">
        <f>'MRV Calcs'!$E$27</f>
        <v>71.2</v>
      </c>
      <c r="AG109" s="26">
        <f>(($Q109*1.1)*$AF109*'MRV Calcs'!$E$7)+($AF109*'MRV Calcs'!$E$8)</f>
        <v>0.2117725448</v>
      </c>
      <c r="AH109" s="26">
        <f>(($Q109*1.1)/20)*SUM('MRV Calcs'!$E$19:$E$20)</f>
        <v>0.02880768</v>
      </c>
      <c r="AI109" s="26">
        <f t="shared" si="3"/>
        <v>11.86777663</v>
      </c>
      <c r="AJ109" s="26">
        <f t="shared" si="20"/>
        <v>-11.86777663</v>
      </c>
      <c r="AK109" s="25" t="str">
        <f t="shared" si="25"/>
        <v>#REF!</v>
      </c>
      <c r="AL109" s="28">
        <f t="shared" si="22"/>
        <v>-0.5800477335</v>
      </c>
      <c r="AM109" s="29"/>
      <c r="AN109" s="29">
        <f>COUNTIF(Blends!H$4:H$1007,B109)+COUNTIF(Blends!J$4:J$1007,B109)+COUNTIF(#REF!,B109)</f>
        <v>12</v>
      </c>
      <c r="AO109" s="48"/>
      <c r="AP109" s="35"/>
      <c r="AQ109" s="35"/>
      <c r="AR109" s="35"/>
      <c r="AS109" s="35"/>
      <c r="AT109" s="35"/>
      <c r="AU109" s="35"/>
      <c r="AV109" s="35"/>
      <c r="AW109" s="35"/>
    </row>
    <row r="110">
      <c r="A110" s="17">
        <v>109.0</v>
      </c>
      <c r="B110" s="17" t="s">
        <v>331</v>
      </c>
      <c r="C110" s="18" t="s">
        <v>347</v>
      </c>
      <c r="D110" s="18" t="s">
        <v>348</v>
      </c>
      <c r="E110" s="17" t="b">
        <v>1</v>
      </c>
      <c r="F110" s="17" t="s">
        <v>349</v>
      </c>
      <c r="G110" s="17" t="s">
        <v>79</v>
      </c>
      <c r="H110" s="17" t="s">
        <v>80</v>
      </c>
      <c r="I110" s="17" t="s">
        <v>81</v>
      </c>
      <c r="J110" s="40"/>
      <c r="K110" s="40" t="s">
        <v>82</v>
      </c>
      <c r="L110" s="40" t="s">
        <v>86</v>
      </c>
      <c r="M110" s="49"/>
      <c r="N110" s="20">
        <v>45711.0</v>
      </c>
      <c r="O110" s="20">
        <v>45714.0</v>
      </c>
      <c r="P110" s="20"/>
      <c r="Q110" s="22">
        <v>20.21</v>
      </c>
      <c r="R110" s="22"/>
      <c r="S110" s="23" t="str">
        <f>iferror(if(AN110=1,VLOOKUP(B110, Blends!H$4:AK$1004,32,0), ""), "")</f>
        <v/>
      </c>
      <c r="T110" s="24"/>
      <c r="U110" s="25">
        <f t="shared" si="19"/>
        <v>0</v>
      </c>
      <c r="V110" s="26">
        <f>$Q110*('MRV Calcs'!$E$3+'MRV Calcs'!$E$4)</f>
        <v>2.989906557</v>
      </c>
      <c r="W110" s="27">
        <f t="shared" si="2"/>
        <v>2030</v>
      </c>
      <c r="X110" s="26">
        <f>IF($I110="truck",($Q110*$W110*'MRV Calcs'!$E$7)+($W110*'MRV Calcs'!$E$8),0)</f>
        <v>5.437821744</v>
      </c>
      <c r="Y110" s="26">
        <f>IF($I110="train",'MRV Calcs'!$E$24,0)</f>
        <v>0</v>
      </c>
      <c r="Z110" s="26">
        <f>IF($I110="train",($Q110*$Y110*'MRV Calcs'!$E$7)+($Y110*'MRV Calcs'!$E$8),0)</f>
        <v>0</v>
      </c>
      <c r="AA110" s="26">
        <f>IF($I110="train",'MRV Calcs'!$E$25,0)</f>
        <v>0</v>
      </c>
      <c r="AB110" s="26">
        <f>IF($I110="train",($Q110*$AA110*'MRV Calcs'!$E$11)+($AA110*'MRV Calcs'!$E$12),0)</f>
        <v>0</v>
      </c>
      <c r="AC110" s="26">
        <f>IF($I110="train",'MRV Calcs'!$E$26,0)</f>
        <v>0</v>
      </c>
      <c r="AD110" s="26">
        <f>IF($I110="train",($Q110*$AC110*'MRV Calcs'!$E$7)+($AC110*'MRV Calcs'!$E$8),0)</f>
        <v>0</v>
      </c>
      <c r="AE110" s="26">
        <f>($Q110/30)*SUM('MRV Calcs'!$E$15:$E$16)</f>
        <v>3.059299529</v>
      </c>
      <c r="AF110" s="26">
        <f>'MRV Calcs'!$E$27</f>
        <v>71.2</v>
      </c>
      <c r="AG110" s="26">
        <f>(($Q110*1.1)*$AF110*'MRV Calcs'!$E$7)+($AF110*'MRV Calcs'!$E$8)</f>
        <v>0.2092516746</v>
      </c>
      <c r="AH110" s="26">
        <f>(($Q110*1.1)/20)*SUM('MRV Calcs'!$E$19:$E$20)</f>
        <v>0.02845568</v>
      </c>
      <c r="AI110" s="26">
        <f t="shared" si="3"/>
        <v>11.72473518</v>
      </c>
      <c r="AJ110" s="26">
        <f t="shared" si="20"/>
        <v>-11.72473518</v>
      </c>
      <c r="AK110" s="25" t="str">
        <f t="shared" si="25"/>
        <v>#REF!</v>
      </c>
      <c r="AL110" s="28">
        <f t="shared" si="22"/>
        <v>-0.5801452343</v>
      </c>
      <c r="AM110" s="29"/>
      <c r="AN110" s="29">
        <f>COUNTIF(Blends!H$4:H$1007,B110)+COUNTIF(Blends!J$4:J$1007,B110)+COUNTIF(#REF!,B110)</f>
        <v>12</v>
      </c>
      <c r="AO110" s="48"/>
      <c r="AP110" s="35"/>
      <c r="AQ110" s="35"/>
      <c r="AR110" s="35"/>
      <c r="AS110" s="35"/>
      <c r="AT110" s="35"/>
      <c r="AU110" s="35"/>
      <c r="AV110" s="35"/>
      <c r="AW110" s="35"/>
    </row>
    <row r="111">
      <c r="A111" s="17">
        <v>110.0</v>
      </c>
      <c r="B111" s="17" t="s">
        <v>331</v>
      </c>
      <c r="C111" s="18" t="s">
        <v>350</v>
      </c>
      <c r="D111" s="18" t="s">
        <v>351</v>
      </c>
      <c r="E111" s="17" t="b">
        <v>1</v>
      </c>
      <c r="F111" s="17" t="s">
        <v>349</v>
      </c>
      <c r="G111" s="17" t="s">
        <v>79</v>
      </c>
      <c r="H111" s="17" t="s">
        <v>80</v>
      </c>
      <c r="I111" s="17" t="s">
        <v>81</v>
      </c>
      <c r="J111" s="40"/>
      <c r="K111" s="40" t="s">
        <v>233</v>
      </c>
      <c r="L111" s="40" t="s">
        <v>310</v>
      </c>
      <c r="M111" s="49"/>
      <c r="N111" s="20">
        <v>45713.0</v>
      </c>
      <c r="O111" s="20">
        <f>N111+4</f>
        <v>45717</v>
      </c>
      <c r="P111" s="20"/>
      <c r="Q111" s="22">
        <v>19.91</v>
      </c>
      <c r="R111" s="22"/>
      <c r="S111" s="23" t="str">
        <f>iferror(if(AN111=1,VLOOKUP(B111, Blends!H$4:AK$1004,32,0), ""), "")</f>
        <v/>
      </c>
      <c r="T111" s="24"/>
      <c r="U111" s="25">
        <f t="shared" si="19"/>
        <v>0</v>
      </c>
      <c r="V111" s="26">
        <f>$Q111*('MRV Calcs'!$E$3+'MRV Calcs'!$E$4)</f>
        <v>2.945523976</v>
      </c>
      <c r="W111" s="27">
        <f t="shared" si="2"/>
        <v>2030</v>
      </c>
      <c r="X111" s="26">
        <f>IF($I111="truck",($Q111*$W111*'MRV Calcs'!$E$7)+($W111*'MRV Calcs'!$E$8),0)</f>
        <v>5.359414699</v>
      </c>
      <c r="Y111" s="26">
        <f>IF($I111="train",'MRV Calcs'!$E$24,0)</f>
        <v>0</v>
      </c>
      <c r="Z111" s="26">
        <f>IF($I111="train",($Q111*$Y111*'MRV Calcs'!$E$7)+($Y111*'MRV Calcs'!$E$8),0)</f>
        <v>0</v>
      </c>
      <c r="AA111" s="26">
        <f>IF($I111="train",'MRV Calcs'!$E$25,0)</f>
        <v>0</v>
      </c>
      <c r="AB111" s="26">
        <f>IF($I111="train",($Q111*$AA111*'MRV Calcs'!$E$11)+($AA111*'MRV Calcs'!$E$12),0)</f>
        <v>0</v>
      </c>
      <c r="AC111" s="26">
        <f>IF($I111="train",'MRV Calcs'!$E$26,0)</f>
        <v>0</v>
      </c>
      <c r="AD111" s="26">
        <f>IF($I111="train",($Q111*$AC111*'MRV Calcs'!$E$7)+($AC111*'MRV Calcs'!$E$8),0)</f>
        <v>0</v>
      </c>
      <c r="AE111" s="26">
        <f>($Q111/30)*SUM('MRV Calcs'!$E$15:$E$16)</f>
        <v>3.013886869</v>
      </c>
      <c r="AF111" s="26">
        <f>'MRV Calcs'!$E$27</f>
        <v>71.2</v>
      </c>
      <c r="AG111" s="26">
        <f>(($Q111*1.1)*$AF111*'MRV Calcs'!$E$7)+($AF111*'MRV Calcs'!$E$8)</f>
        <v>0.2062266304</v>
      </c>
      <c r="AH111" s="26">
        <f>(($Q111*1.1)/20)*SUM('MRV Calcs'!$E$19:$E$20)</f>
        <v>0.02803328</v>
      </c>
      <c r="AI111" s="26">
        <f t="shared" si="3"/>
        <v>11.55308545</v>
      </c>
      <c r="AJ111" s="26">
        <f t="shared" si="20"/>
        <v>-11.55308545</v>
      </c>
      <c r="AK111" s="25" t="str">
        <f t="shared" si="25"/>
        <v>#REF!</v>
      </c>
      <c r="AL111" s="28">
        <f t="shared" si="22"/>
        <v>-0.5802654673</v>
      </c>
      <c r="AM111" s="29"/>
      <c r="AN111" s="29">
        <f>COUNTIF(Blends!H$4:H$1007,B111)+COUNTIF(Blends!J$4:J$1007,B111)+COUNTIF(#REF!,B111)</f>
        <v>12</v>
      </c>
      <c r="AO111" s="55" t="s">
        <v>352</v>
      </c>
      <c r="AP111" s="35"/>
      <c r="AQ111" s="35"/>
      <c r="AR111" s="35"/>
      <c r="AS111" s="35"/>
      <c r="AT111" s="35"/>
      <c r="AU111" s="35"/>
      <c r="AV111" s="35"/>
      <c r="AW111" s="35"/>
    </row>
    <row r="112">
      <c r="A112" s="17">
        <v>111.0</v>
      </c>
      <c r="B112" s="17" t="s">
        <v>331</v>
      </c>
      <c r="C112" s="18" t="s">
        <v>353</v>
      </c>
      <c r="D112" s="18" t="s">
        <v>351</v>
      </c>
      <c r="E112" s="17" t="b">
        <v>1</v>
      </c>
      <c r="F112" s="17" t="s">
        <v>349</v>
      </c>
      <c r="G112" s="17" t="s">
        <v>79</v>
      </c>
      <c r="H112" s="17" t="s">
        <v>80</v>
      </c>
      <c r="I112" s="17" t="s">
        <v>81</v>
      </c>
      <c r="J112" s="40"/>
      <c r="K112" s="40" t="s">
        <v>233</v>
      </c>
      <c r="L112" s="40" t="s">
        <v>354</v>
      </c>
      <c r="M112" s="49"/>
      <c r="N112" s="20">
        <v>45715.0</v>
      </c>
      <c r="O112" s="20">
        <v>45720.0</v>
      </c>
      <c r="P112" s="20"/>
      <c r="Q112" s="22">
        <v>19.73</v>
      </c>
      <c r="R112" s="22"/>
      <c r="S112" s="23" t="str">
        <f>iferror(if(AN112=1,VLOOKUP(B112, Blends!H$4:AK$1004,32,0), ""), "")</f>
        <v/>
      </c>
      <c r="T112" s="24"/>
      <c r="U112" s="25">
        <f t="shared" si="19"/>
        <v>0</v>
      </c>
      <c r="V112" s="26">
        <f>$Q112*('MRV Calcs'!$E$3+'MRV Calcs'!$E$4)</f>
        <v>2.918894427</v>
      </c>
      <c r="W112" s="27">
        <f t="shared" si="2"/>
        <v>2030</v>
      </c>
      <c r="X112" s="26">
        <f>IF($I112="truck",($Q112*$W112*'MRV Calcs'!$E$7)+($W112*'MRV Calcs'!$E$8),0)</f>
        <v>5.312370472</v>
      </c>
      <c r="Y112" s="26">
        <f>IF($I112="train",'MRV Calcs'!$E$24,0)</f>
        <v>0</v>
      </c>
      <c r="Z112" s="26">
        <f>IF($I112="train",($Q112*$Y112*'MRV Calcs'!$E$7)+($Y112*'MRV Calcs'!$E$8),0)</f>
        <v>0</v>
      </c>
      <c r="AA112" s="26">
        <f>IF($I112="train",'MRV Calcs'!$E$25,0)</f>
        <v>0</v>
      </c>
      <c r="AB112" s="26">
        <f>IF($I112="train",($Q112*$AA112*'MRV Calcs'!$E$11)+($AA112*'MRV Calcs'!$E$12),0)</f>
        <v>0</v>
      </c>
      <c r="AC112" s="26">
        <f>IF($I112="train",'MRV Calcs'!$E$26,0)</f>
        <v>0</v>
      </c>
      <c r="AD112" s="26">
        <f>IF($I112="train",($Q112*$AC112*'MRV Calcs'!$E$7)+($AC112*'MRV Calcs'!$E$8),0)</f>
        <v>0</v>
      </c>
      <c r="AE112" s="26">
        <f>($Q112/30)*SUM('MRV Calcs'!$E$15:$E$16)</f>
        <v>2.986639273</v>
      </c>
      <c r="AF112" s="26">
        <f>'MRV Calcs'!$E$27</f>
        <v>71.2</v>
      </c>
      <c r="AG112" s="26">
        <f>(($Q112*1.1)*$AF112*'MRV Calcs'!$E$7)+($AF112*'MRV Calcs'!$E$8)</f>
        <v>0.2044116039</v>
      </c>
      <c r="AH112" s="26">
        <f>(($Q112*1.1)/20)*SUM('MRV Calcs'!$E$19:$E$20)</f>
        <v>0.02777984</v>
      </c>
      <c r="AI112" s="26">
        <f t="shared" si="3"/>
        <v>11.45009562</v>
      </c>
      <c r="AJ112" s="26">
        <f t="shared" si="20"/>
        <v>-11.45009562</v>
      </c>
      <c r="AK112" s="25" t="str">
        <f t="shared" si="25"/>
        <v>#REF!</v>
      </c>
      <c r="AL112" s="28">
        <f t="shared" si="22"/>
        <v>-0.5803393622</v>
      </c>
      <c r="AM112" s="29"/>
      <c r="AN112" s="29">
        <f>COUNTIF(Blends!H$4:H$1007,B112)+COUNTIF(Blends!J$4:J$1007,B112)+COUNTIF(#REF!,B112)</f>
        <v>12</v>
      </c>
      <c r="AO112" s="55" t="s">
        <v>355</v>
      </c>
      <c r="AP112" s="35"/>
      <c r="AQ112" s="35"/>
      <c r="AR112" s="35"/>
      <c r="AS112" s="35"/>
      <c r="AT112" s="35"/>
      <c r="AU112" s="35"/>
      <c r="AV112" s="35"/>
      <c r="AW112" s="35"/>
    </row>
    <row r="113">
      <c r="A113" s="17">
        <v>112.0</v>
      </c>
      <c r="B113" s="17" t="s">
        <v>331</v>
      </c>
      <c r="C113" s="18" t="s">
        <v>356</v>
      </c>
      <c r="D113" s="18" t="s">
        <v>357</v>
      </c>
      <c r="E113" s="17" t="b">
        <v>1</v>
      </c>
      <c r="F113" s="17" t="s">
        <v>349</v>
      </c>
      <c r="G113" s="17" t="s">
        <v>79</v>
      </c>
      <c r="H113" s="17" t="s">
        <v>80</v>
      </c>
      <c r="I113" s="17" t="s">
        <v>81</v>
      </c>
      <c r="J113" s="40"/>
      <c r="K113" s="40" t="s">
        <v>233</v>
      </c>
      <c r="L113" s="40" t="s">
        <v>335</v>
      </c>
      <c r="M113" s="49"/>
      <c r="N113" s="20">
        <v>45717.0</v>
      </c>
      <c r="O113" s="20">
        <f>N113+4</f>
        <v>45721</v>
      </c>
      <c r="P113" s="20"/>
      <c r="Q113" s="22">
        <v>20.05</v>
      </c>
      <c r="R113" s="22"/>
      <c r="S113" s="23" t="str">
        <f>iferror(if(AN113=1,VLOOKUP(B113, Blends!H$4:AK$1004,32,0), ""), "")</f>
        <v/>
      </c>
      <c r="T113" s="24"/>
      <c r="U113" s="25">
        <f t="shared" si="19"/>
        <v>0</v>
      </c>
      <c r="V113" s="26">
        <f>$Q113*('MRV Calcs'!$E$3+'MRV Calcs'!$E$4)</f>
        <v>2.966235847</v>
      </c>
      <c r="W113" s="27">
        <f t="shared" si="2"/>
        <v>2030</v>
      </c>
      <c r="X113" s="26">
        <f>IF($I113="truck",($Q113*$W113*'MRV Calcs'!$E$7)+($W113*'MRV Calcs'!$E$8),0)</f>
        <v>5.396004653</v>
      </c>
      <c r="Y113" s="26">
        <f>IF($I113="train",'MRV Calcs'!$E$24,0)</f>
        <v>0</v>
      </c>
      <c r="Z113" s="26">
        <f>IF($I113="train",($Q113*$Y113*'MRV Calcs'!$E$7)+($Y113*'MRV Calcs'!$E$8),0)</f>
        <v>0</v>
      </c>
      <c r="AA113" s="26">
        <f>IF($I113="train",'MRV Calcs'!$E$25,0)</f>
        <v>0</v>
      </c>
      <c r="AB113" s="26">
        <f>IF($I113="train",($Q113*$AA113*'MRV Calcs'!$E$11)+($AA113*'MRV Calcs'!$E$12),0)</f>
        <v>0</v>
      </c>
      <c r="AC113" s="26">
        <f>IF($I113="train",'MRV Calcs'!$E$26,0)</f>
        <v>0</v>
      </c>
      <c r="AD113" s="26">
        <f>IF($I113="train",($Q113*$AC113*'MRV Calcs'!$E$7)+($AC113*'MRV Calcs'!$E$8),0)</f>
        <v>0</v>
      </c>
      <c r="AE113" s="26">
        <f>($Q113/30)*SUM('MRV Calcs'!$E$15:$E$16)</f>
        <v>3.035079443</v>
      </c>
      <c r="AF113" s="26">
        <f>'MRV Calcs'!$E$27</f>
        <v>71.2</v>
      </c>
      <c r="AG113" s="26">
        <f>(($Q113*1.1)*$AF113*'MRV Calcs'!$E$7)+($AF113*'MRV Calcs'!$E$8)</f>
        <v>0.2076383177</v>
      </c>
      <c r="AH113" s="26">
        <f>(($Q113*1.1)/20)*SUM('MRV Calcs'!$E$19:$E$20)</f>
        <v>0.0282304</v>
      </c>
      <c r="AI113" s="26">
        <f t="shared" si="3"/>
        <v>11.63318866</v>
      </c>
      <c r="AJ113" s="26">
        <f t="shared" si="20"/>
        <v>-11.63318866</v>
      </c>
      <c r="AK113" s="25" t="str">
        <f t="shared" si="25"/>
        <v>#REF!</v>
      </c>
      <c r="AL113" s="28">
        <f t="shared" si="22"/>
        <v>-0.5802089108</v>
      </c>
      <c r="AM113" s="35"/>
      <c r="AN113" s="29">
        <f>COUNTIF(Blends!H$4:H$1007,B113)+COUNTIF(Blends!J$4:J$1007,B113)+COUNTIF(#REF!,B113)</f>
        <v>12</v>
      </c>
      <c r="AO113" s="55" t="s">
        <v>358</v>
      </c>
      <c r="AP113" s="35"/>
      <c r="AQ113" s="35"/>
      <c r="AR113" s="35"/>
      <c r="AS113" s="35"/>
      <c r="AT113" s="35"/>
      <c r="AU113" s="35"/>
      <c r="AV113" s="35"/>
      <c r="AW113" s="35"/>
    </row>
    <row r="114">
      <c r="A114" s="17">
        <v>113.0</v>
      </c>
      <c r="B114" s="17" t="s">
        <v>331</v>
      </c>
      <c r="C114" s="18" t="s">
        <v>359</v>
      </c>
      <c r="D114" s="18" t="s">
        <v>357</v>
      </c>
      <c r="E114" s="17" t="b">
        <v>1</v>
      </c>
      <c r="F114" s="17" t="s">
        <v>349</v>
      </c>
      <c r="G114" s="17" t="s">
        <v>79</v>
      </c>
      <c r="H114" s="17" t="s">
        <v>80</v>
      </c>
      <c r="I114" s="17" t="s">
        <v>81</v>
      </c>
      <c r="J114" s="40"/>
      <c r="K114" s="40" t="s">
        <v>360</v>
      </c>
      <c r="L114" s="40" t="s">
        <v>139</v>
      </c>
      <c r="M114" s="49"/>
      <c r="N114" s="20">
        <v>45718.0</v>
      </c>
      <c r="O114" s="20">
        <v>45721.0</v>
      </c>
      <c r="P114" s="20"/>
      <c r="Q114" s="22">
        <v>19.8</v>
      </c>
      <c r="R114" s="22"/>
      <c r="S114" s="23" t="str">
        <f>iferror(if(AN114=1,VLOOKUP(B114, Blends!H$4:AK$1004,32,0), ""), "")</f>
        <v/>
      </c>
      <c r="T114" s="24"/>
      <c r="U114" s="25">
        <f t="shared" si="19"/>
        <v>0</v>
      </c>
      <c r="V114" s="26">
        <f>$Q114*('MRV Calcs'!$E$3+'MRV Calcs'!$E$4)</f>
        <v>2.929250363</v>
      </c>
      <c r="W114" s="27">
        <f t="shared" si="2"/>
        <v>2030</v>
      </c>
      <c r="X114" s="26">
        <f>IF($I114="truck",($Q114*$W114*'MRV Calcs'!$E$7)+($W114*'MRV Calcs'!$E$8),0)</f>
        <v>5.330665449</v>
      </c>
      <c r="Y114" s="26">
        <f>IF($I114="train",'MRV Calcs'!$E$24,0)</f>
        <v>0</v>
      </c>
      <c r="Z114" s="26">
        <f>IF($I114="train",($Q114*$Y114*'MRV Calcs'!$E$7)+($Y114*'MRV Calcs'!$E$8),0)</f>
        <v>0</v>
      </c>
      <c r="AA114" s="26">
        <f>IF($I114="train",'MRV Calcs'!$E$25,0)</f>
        <v>0</v>
      </c>
      <c r="AB114" s="26">
        <f>IF($I114="train",($Q114*$AA114*'MRV Calcs'!$E$11)+($AA114*'MRV Calcs'!$E$12),0)</f>
        <v>0</v>
      </c>
      <c r="AC114" s="26">
        <f>IF($I114="train",'MRV Calcs'!$E$26,0)</f>
        <v>0</v>
      </c>
      <c r="AD114" s="26">
        <f>IF($I114="train",($Q114*$AC114*'MRV Calcs'!$E$7)+($AC114*'MRV Calcs'!$E$8),0)</f>
        <v>0</v>
      </c>
      <c r="AE114" s="26">
        <f>($Q114/30)*SUM('MRV Calcs'!$E$15:$E$16)</f>
        <v>2.99723556</v>
      </c>
      <c r="AF114" s="26">
        <f>'MRV Calcs'!$E$27</f>
        <v>71.2</v>
      </c>
      <c r="AG114" s="26">
        <f>(($Q114*1.1)*$AF114*'MRV Calcs'!$E$7)+($AF114*'MRV Calcs'!$E$8)</f>
        <v>0.2051174475</v>
      </c>
      <c r="AH114" s="26">
        <f>(($Q114*1.1)/20)*SUM('MRV Calcs'!$E$19:$E$20)</f>
        <v>0.0278784</v>
      </c>
      <c r="AI114" s="26">
        <f t="shared" si="3"/>
        <v>11.49014722</v>
      </c>
      <c r="AJ114" s="26">
        <f t="shared" si="20"/>
        <v>-11.49014722</v>
      </c>
      <c r="AK114" s="25" t="str">
        <f t="shared" si="25"/>
        <v>#REF!</v>
      </c>
      <c r="AL114" s="28">
        <f t="shared" si="22"/>
        <v>-0.5803104657</v>
      </c>
      <c r="AM114" s="35"/>
      <c r="AN114" s="29">
        <f>COUNTIF(Blends!H$4:H$1007,B114)+COUNTIF(Blends!J$4:J$1007,B114)+COUNTIF(#REF!,B114)</f>
        <v>12</v>
      </c>
      <c r="AO114" s="55"/>
      <c r="AP114" s="35"/>
      <c r="AQ114" s="35"/>
      <c r="AR114" s="35"/>
      <c r="AS114" s="35"/>
      <c r="AT114" s="35"/>
      <c r="AU114" s="35"/>
      <c r="AV114" s="35"/>
      <c r="AW114" s="35"/>
    </row>
    <row r="115">
      <c r="A115" s="17">
        <v>114.0</v>
      </c>
      <c r="B115" s="17" t="s">
        <v>331</v>
      </c>
      <c r="C115" s="18" t="s">
        <v>361</v>
      </c>
      <c r="D115" s="18" t="s">
        <v>357</v>
      </c>
      <c r="E115" s="17" t="b">
        <v>1</v>
      </c>
      <c r="F115" s="17" t="s">
        <v>349</v>
      </c>
      <c r="G115" s="17" t="s">
        <v>79</v>
      </c>
      <c r="H115" s="17" t="s">
        <v>80</v>
      </c>
      <c r="I115" s="17" t="s">
        <v>81</v>
      </c>
      <c r="J115" s="40"/>
      <c r="K115" s="40" t="s">
        <v>82</v>
      </c>
      <c r="L115" s="40" t="s">
        <v>86</v>
      </c>
      <c r="M115" s="49"/>
      <c r="N115" s="20">
        <v>45719.0</v>
      </c>
      <c r="O115" s="20">
        <v>45721.0</v>
      </c>
      <c r="P115" s="20"/>
      <c r="Q115" s="22">
        <v>20.41</v>
      </c>
      <c r="R115" s="22"/>
      <c r="S115" s="23" t="str">
        <f>iferror(if(AN115=1,VLOOKUP(B115, Blends!H$4:AK$1004,32,0), ""), "")</f>
        <v/>
      </c>
      <c r="T115" s="24"/>
      <c r="U115" s="25">
        <f t="shared" si="19"/>
        <v>0</v>
      </c>
      <c r="V115" s="26">
        <f>$Q115*('MRV Calcs'!$E$3+'MRV Calcs'!$E$4)</f>
        <v>3.019494945</v>
      </c>
      <c r="W115" s="27">
        <f t="shared" si="2"/>
        <v>2030</v>
      </c>
      <c r="X115" s="26">
        <f>IF($I115="truck",($Q115*$W115*'MRV Calcs'!$E$7)+($W115*'MRV Calcs'!$E$8),0)</f>
        <v>5.490093107</v>
      </c>
      <c r="Y115" s="26">
        <f>IF($I115="train",'MRV Calcs'!$E$24,0)</f>
        <v>0</v>
      </c>
      <c r="Z115" s="26">
        <f>IF($I115="train",($Q115*$Y115*'MRV Calcs'!$E$7)+($Y115*'MRV Calcs'!$E$8),0)</f>
        <v>0</v>
      </c>
      <c r="AA115" s="26">
        <f>IF($I115="train",'MRV Calcs'!$E$25,0)</f>
        <v>0</v>
      </c>
      <c r="AB115" s="26">
        <f>IF($I115="train",($Q115*$AA115*'MRV Calcs'!$E$11)+($AA115*'MRV Calcs'!$E$12),0)</f>
        <v>0</v>
      </c>
      <c r="AC115" s="26">
        <f>IF($I115="train",'MRV Calcs'!$E$26,0)</f>
        <v>0</v>
      </c>
      <c r="AD115" s="26">
        <f>IF($I115="train",($Q115*$AC115*'MRV Calcs'!$E$7)+($AC115*'MRV Calcs'!$E$8),0)</f>
        <v>0</v>
      </c>
      <c r="AE115" s="26">
        <f>($Q115/30)*SUM('MRV Calcs'!$E$15:$E$16)</f>
        <v>3.089574635</v>
      </c>
      <c r="AF115" s="26">
        <f>'MRV Calcs'!$E$27</f>
        <v>71.2</v>
      </c>
      <c r="AG115" s="26">
        <f>(($Q115*1.1)*$AF115*'MRV Calcs'!$E$7)+($AF115*'MRV Calcs'!$E$8)</f>
        <v>0.2112683708</v>
      </c>
      <c r="AH115" s="26">
        <f>(($Q115*1.1)/20)*SUM('MRV Calcs'!$E$19:$E$20)</f>
        <v>0.02873728</v>
      </c>
      <c r="AI115" s="26">
        <f t="shared" si="3"/>
        <v>11.83916834</v>
      </c>
      <c r="AJ115" s="26">
        <f t="shared" si="20"/>
        <v>-11.83916834</v>
      </c>
      <c r="AK115" s="25" t="str">
        <f t="shared" si="25"/>
        <v>#REF!</v>
      </c>
      <c r="AL115" s="28">
        <f t="shared" si="22"/>
        <v>-0.5800670425</v>
      </c>
      <c r="AM115" s="35"/>
      <c r="AN115" s="29">
        <f>COUNTIF(Blends!H$4:H$1007,B115)+COUNTIF(Blends!J$4:J$1007,B115)+COUNTIF(#REF!,B115)</f>
        <v>12</v>
      </c>
      <c r="AO115" s="48"/>
      <c r="AP115" s="35"/>
      <c r="AQ115" s="35"/>
      <c r="AR115" s="35"/>
      <c r="AS115" s="35"/>
      <c r="AT115" s="35"/>
      <c r="AU115" s="35"/>
      <c r="AV115" s="35"/>
      <c r="AW115" s="35"/>
    </row>
    <row r="116">
      <c r="A116" s="17">
        <v>115.0</v>
      </c>
      <c r="B116" s="17" t="s">
        <v>331</v>
      </c>
      <c r="C116" s="18" t="s">
        <v>362</v>
      </c>
      <c r="D116" s="18" t="s">
        <v>363</v>
      </c>
      <c r="E116" s="17" t="b">
        <v>1</v>
      </c>
      <c r="F116" s="17" t="s">
        <v>349</v>
      </c>
      <c r="G116" s="17" t="s">
        <v>79</v>
      </c>
      <c r="H116" s="17" t="s">
        <v>80</v>
      </c>
      <c r="I116" s="17" t="s">
        <v>81</v>
      </c>
      <c r="J116" s="40"/>
      <c r="K116" s="19" t="s">
        <v>233</v>
      </c>
      <c r="L116" s="40" t="s">
        <v>335</v>
      </c>
      <c r="M116" s="49"/>
      <c r="N116" s="20">
        <v>45720.0</v>
      </c>
      <c r="O116" s="20">
        <v>45726.0</v>
      </c>
      <c r="P116" s="20"/>
      <c r="Q116" s="22">
        <v>20.09</v>
      </c>
      <c r="R116" s="22"/>
      <c r="S116" s="23" t="str">
        <f>iferror(if(AN116=1,VLOOKUP(B116, Blends!H$4:AK$1004,32,0), ""), "")</f>
        <v/>
      </c>
      <c r="T116" s="24"/>
      <c r="U116" s="25">
        <f t="shared" si="19"/>
        <v>0</v>
      </c>
      <c r="V116" s="26">
        <f>$Q116*('MRV Calcs'!$E$3+'MRV Calcs'!$E$4)</f>
        <v>2.972153525</v>
      </c>
      <c r="W116" s="27">
        <f t="shared" si="2"/>
        <v>2030</v>
      </c>
      <c r="X116" s="26">
        <f>IF($I116="truck",($Q116*$W116*'MRV Calcs'!$E$7)+($W116*'MRV Calcs'!$E$8),0)</f>
        <v>5.406458926</v>
      </c>
      <c r="Y116" s="26">
        <f>IF($I116="train",'MRV Calcs'!$E$24,0)</f>
        <v>0</v>
      </c>
      <c r="Z116" s="26">
        <f>IF($I116="train",($Q116*$Y116*'MRV Calcs'!$E$7)+($Y116*'MRV Calcs'!$E$8),0)</f>
        <v>0</v>
      </c>
      <c r="AA116" s="26">
        <f>IF($I116="train",'MRV Calcs'!$E$25,0)</f>
        <v>0</v>
      </c>
      <c r="AB116" s="26">
        <f>IF($I116="train",($Q116*$AA116*'MRV Calcs'!$E$11)+($AA116*'MRV Calcs'!$E$12),0)</f>
        <v>0</v>
      </c>
      <c r="AC116" s="26">
        <f>IF($I116="train",'MRV Calcs'!$E$26,0)</f>
        <v>0</v>
      </c>
      <c r="AD116" s="26">
        <f>IF($I116="train",($Q116*$AC116*'MRV Calcs'!$E$7)+($AC116*'MRV Calcs'!$E$8),0)</f>
        <v>0</v>
      </c>
      <c r="AE116" s="26">
        <f>($Q116/30)*SUM('MRV Calcs'!$E$15:$E$16)</f>
        <v>3.041134465</v>
      </c>
      <c r="AF116" s="26">
        <f>'MRV Calcs'!$E$27</f>
        <v>71.2</v>
      </c>
      <c r="AG116" s="26">
        <f>(($Q116*1.1)*$AF116*'MRV Calcs'!$E$7)+($AF116*'MRV Calcs'!$E$8)</f>
        <v>0.2080416569</v>
      </c>
      <c r="AH116" s="26">
        <f>(($Q116*1.1)/20)*SUM('MRV Calcs'!$E$19:$E$20)</f>
        <v>0.02828672</v>
      </c>
      <c r="AI116" s="26">
        <f t="shared" si="3"/>
        <v>11.65607529</v>
      </c>
      <c r="AJ116" s="26">
        <f t="shared" si="20"/>
        <v>-11.65607529</v>
      </c>
      <c r="AK116" s="25" t="str">
        <f t="shared" si="25"/>
        <v>#REF!</v>
      </c>
      <c r="AL116" s="28">
        <f t="shared" si="22"/>
        <v>-0.5801928966</v>
      </c>
      <c r="AM116" s="35"/>
      <c r="AN116" s="29">
        <f>COUNTIF(Blends!H$4:H$1007,B116)+COUNTIF(Blends!J$4:J$1007,B116)+COUNTIF(#REF!,B116)</f>
        <v>12</v>
      </c>
      <c r="AO116" s="48"/>
      <c r="AP116" s="35"/>
      <c r="AQ116" s="35"/>
      <c r="AR116" s="35"/>
      <c r="AS116" s="35"/>
      <c r="AT116" s="35"/>
      <c r="AU116" s="35"/>
      <c r="AV116" s="35"/>
      <c r="AW116" s="35"/>
    </row>
    <row r="117">
      <c r="A117" s="17">
        <v>116.0</v>
      </c>
      <c r="B117" s="17" t="s">
        <v>331</v>
      </c>
      <c r="C117" s="18" t="s">
        <v>364</v>
      </c>
      <c r="D117" s="18" t="s">
        <v>365</v>
      </c>
      <c r="E117" s="17" t="b">
        <v>1</v>
      </c>
      <c r="F117" s="17" t="s">
        <v>349</v>
      </c>
      <c r="G117" s="17" t="s">
        <v>79</v>
      </c>
      <c r="H117" s="17" t="s">
        <v>80</v>
      </c>
      <c r="I117" s="17" t="s">
        <v>81</v>
      </c>
      <c r="J117" s="19"/>
      <c r="K117" s="19" t="s">
        <v>233</v>
      </c>
      <c r="L117" s="19" t="s">
        <v>252</v>
      </c>
      <c r="M117" s="49"/>
      <c r="N117" s="20">
        <v>45720.0</v>
      </c>
      <c r="O117" s="20">
        <v>45725.0</v>
      </c>
      <c r="P117" s="20"/>
      <c r="Q117" s="22">
        <v>20.03</v>
      </c>
      <c r="R117" s="22"/>
      <c r="S117" s="23" t="str">
        <f>iferror(if(AN117=1,VLOOKUP(B117, Blends!H$4:AK$1004,32,0), ""), "")</f>
        <v/>
      </c>
      <c r="T117" s="24"/>
      <c r="U117" s="25">
        <f t="shared" si="19"/>
        <v>0</v>
      </c>
      <c r="V117" s="26">
        <f>$Q117*('MRV Calcs'!$E$3+'MRV Calcs'!$E$4)</f>
        <v>2.963277009</v>
      </c>
      <c r="W117" s="27">
        <f t="shared" si="2"/>
        <v>2030</v>
      </c>
      <c r="X117" s="26">
        <f>IF($I117="truck",($Q117*$W117*'MRV Calcs'!$E$7)+($W117*'MRV Calcs'!$E$8),0)</f>
        <v>5.390777517</v>
      </c>
      <c r="Y117" s="26">
        <f>IF($I117="train",'MRV Calcs'!$E$24,0)</f>
        <v>0</v>
      </c>
      <c r="Z117" s="26">
        <f>IF($I117="train",($Q117*$Y117*'MRV Calcs'!$E$7)+($Y117*'MRV Calcs'!$E$8),0)</f>
        <v>0</v>
      </c>
      <c r="AA117" s="26">
        <f>IF($I117="train",'MRV Calcs'!$E$25,0)</f>
        <v>0</v>
      </c>
      <c r="AB117" s="26">
        <f>IF($I117="train",($Q117*$AA117*'MRV Calcs'!$E$11)+($AA117*'MRV Calcs'!$E$12),0)</f>
        <v>0</v>
      </c>
      <c r="AC117" s="26">
        <f>IF($I117="train",'MRV Calcs'!$E$26,0)</f>
        <v>0</v>
      </c>
      <c r="AD117" s="26">
        <f>IF($I117="train",($Q117*$AC117*'MRV Calcs'!$E$7)+($AC117*'MRV Calcs'!$E$8),0)</f>
        <v>0</v>
      </c>
      <c r="AE117" s="26">
        <f>($Q117/30)*SUM('MRV Calcs'!$E$15:$E$16)</f>
        <v>3.032051933</v>
      </c>
      <c r="AF117" s="26">
        <f>'MRV Calcs'!$E$27</f>
        <v>71.2</v>
      </c>
      <c r="AG117" s="26">
        <f>(($Q117*1.1)*$AF117*'MRV Calcs'!$E$7)+($AF117*'MRV Calcs'!$E$8)</f>
        <v>0.2074366481</v>
      </c>
      <c r="AH117" s="26">
        <f>(($Q117*1.1)/20)*SUM('MRV Calcs'!$E$19:$E$20)</f>
        <v>0.02820224</v>
      </c>
      <c r="AI117" s="26">
        <f t="shared" si="3"/>
        <v>11.62174535</v>
      </c>
      <c r="AJ117" s="26">
        <f t="shared" si="20"/>
        <v>-11.62174535</v>
      </c>
      <c r="AK117" s="25" t="str">
        <f t="shared" si="25"/>
        <v>#REF!</v>
      </c>
      <c r="AL117" s="28">
        <f t="shared" si="22"/>
        <v>-0.5802169419</v>
      </c>
      <c r="AM117" s="35"/>
      <c r="AN117" s="29">
        <f>COUNTIF(Blends!H$4:H$1007,B117)+COUNTIF(Blends!J$4:J$1007,B117)+COUNTIF(#REF!,B117)</f>
        <v>12</v>
      </c>
      <c r="AO117" s="48"/>
      <c r="AP117" s="35"/>
      <c r="AQ117" s="35"/>
      <c r="AR117" s="35"/>
      <c r="AS117" s="35"/>
      <c r="AT117" s="35"/>
      <c r="AU117" s="35"/>
      <c r="AV117" s="35"/>
      <c r="AW117" s="35"/>
    </row>
    <row r="118">
      <c r="A118" s="17">
        <v>117.0</v>
      </c>
      <c r="B118" s="17" t="s">
        <v>331</v>
      </c>
      <c r="C118" s="18" t="s">
        <v>366</v>
      </c>
      <c r="D118" s="18" t="s">
        <v>367</v>
      </c>
      <c r="E118" s="17" t="b">
        <v>1</v>
      </c>
      <c r="F118" s="17" t="s">
        <v>349</v>
      </c>
      <c r="G118" s="17" t="s">
        <v>79</v>
      </c>
      <c r="H118" s="17" t="s">
        <v>80</v>
      </c>
      <c r="I118" s="17" t="s">
        <v>81</v>
      </c>
      <c r="J118" s="19"/>
      <c r="K118" s="19" t="s">
        <v>233</v>
      </c>
      <c r="L118" s="19" t="s">
        <v>368</v>
      </c>
      <c r="M118" s="49"/>
      <c r="N118" s="20">
        <v>45721.0</v>
      </c>
      <c r="O118" s="20">
        <v>45726.0</v>
      </c>
      <c r="P118" s="20"/>
      <c r="Q118" s="22">
        <v>20.2</v>
      </c>
      <c r="R118" s="22"/>
      <c r="S118" s="23" t="str">
        <f>iferror(if(AN118=1,VLOOKUP(B118, Blends!H$4:AK$1004,32,0), ""), "")</f>
        <v/>
      </c>
      <c r="T118" s="24"/>
      <c r="U118" s="25">
        <f t="shared" si="19"/>
        <v>0</v>
      </c>
      <c r="V118" s="26">
        <f>$Q118*('MRV Calcs'!$E$3+'MRV Calcs'!$E$4)</f>
        <v>2.988427138</v>
      </c>
      <c r="W118" s="27">
        <f t="shared" si="2"/>
        <v>2030</v>
      </c>
      <c r="X118" s="26">
        <f>IF($I118="truck",($Q118*$W118*'MRV Calcs'!$E$7)+($W118*'MRV Calcs'!$E$8),0)</f>
        <v>5.435208176</v>
      </c>
      <c r="Y118" s="26">
        <f>IF($I118="train",'MRV Calcs'!$E$24,0)</f>
        <v>0</v>
      </c>
      <c r="Z118" s="26">
        <f>IF($I118="train",($Q118*$Y118*'MRV Calcs'!$E$7)+($Y118*'MRV Calcs'!$E$8),0)</f>
        <v>0</v>
      </c>
      <c r="AA118" s="26">
        <f>IF($I118="train",'MRV Calcs'!$E$25,0)</f>
        <v>0</v>
      </c>
      <c r="AB118" s="26">
        <f>IF($I118="train",($Q118*$AA118*'MRV Calcs'!$E$11)+($AA118*'MRV Calcs'!$E$12),0)</f>
        <v>0</v>
      </c>
      <c r="AC118" s="26">
        <f>IF($I118="train",'MRV Calcs'!$E$26,0)</f>
        <v>0</v>
      </c>
      <c r="AD118" s="26">
        <f>IF($I118="train",($Q118*$AC118*'MRV Calcs'!$E$7)+($AC118*'MRV Calcs'!$E$8),0)</f>
        <v>0</v>
      </c>
      <c r="AE118" s="26">
        <f>($Q118/30)*SUM('MRV Calcs'!$E$15:$E$16)</f>
        <v>3.057785773</v>
      </c>
      <c r="AF118" s="26">
        <f>'MRV Calcs'!$E$27</f>
        <v>71.2</v>
      </c>
      <c r="AG118" s="26">
        <f>(($Q118*1.1)*$AF118*'MRV Calcs'!$E$7)+($AF118*'MRV Calcs'!$E$8)</f>
        <v>0.2091508398</v>
      </c>
      <c r="AH118" s="26">
        <f>(($Q118*1.1)/20)*SUM('MRV Calcs'!$E$19:$E$20)</f>
        <v>0.0284416</v>
      </c>
      <c r="AI118" s="26">
        <f t="shared" si="3"/>
        <v>11.71901353</v>
      </c>
      <c r="AJ118" s="26">
        <f t="shared" si="20"/>
        <v>-11.71901353</v>
      </c>
      <c r="AK118" s="25" t="str">
        <f t="shared" si="25"/>
        <v>#REF!</v>
      </c>
      <c r="AL118" s="28">
        <f t="shared" si="22"/>
        <v>-0.5801491845</v>
      </c>
      <c r="AM118" s="35"/>
      <c r="AN118" s="29">
        <f>COUNTIF(Blends!H$4:H$1007,B118)+COUNTIF(Blends!J$4:J$1007,B118)+COUNTIF(#REF!,B118)</f>
        <v>12</v>
      </c>
      <c r="AO118" s="48"/>
      <c r="AP118" s="35"/>
      <c r="AQ118" s="35"/>
      <c r="AR118" s="35"/>
      <c r="AS118" s="35"/>
      <c r="AT118" s="35"/>
      <c r="AU118" s="35"/>
      <c r="AV118" s="35"/>
      <c r="AW118" s="35"/>
    </row>
    <row r="119">
      <c r="A119" s="17">
        <v>118.0</v>
      </c>
      <c r="B119" s="17" t="s">
        <v>331</v>
      </c>
      <c r="C119" s="18" t="s">
        <v>369</v>
      </c>
      <c r="D119" s="18" t="s">
        <v>370</v>
      </c>
      <c r="E119" s="17" t="b">
        <v>1</v>
      </c>
      <c r="F119" s="17" t="s">
        <v>349</v>
      </c>
      <c r="G119" s="17" t="s">
        <v>79</v>
      </c>
      <c r="H119" s="17" t="s">
        <v>80</v>
      </c>
      <c r="I119" s="17" t="s">
        <v>81</v>
      </c>
      <c r="J119" s="19"/>
      <c r="K119" s="19" t="s">
        <v>233</v>
      </c>
      <c r="L119" s="19" t="s">
        <v>371</v>
      </c>
      <c r="M119" s="49"/>
      <c r="N119" s="20">
        <v>45722.0</v>
      </c>
      <c r="O119" s="20">
        <v>45728.0</v>
      </c>
      <c r="P119" s="20"/>
      <c r="Q119" s="22">
        <v>20.09</v>
      </c>
      <c r="R119" s="22"/>
      <c r="S119" s="23" t="str">
        <f>iferror(if(AN119=1,VLOOKUP(B119, Blends!H$4:AK$1004,32,0), ""), "")</f>
        <v/>
      </c>
      <c r="T119" s="24"/>
      <c r="U119" s="25">
        <f t="shared" si="19"/>
        <v>0</v>
      </c>
      <c r="V119" s="26">
        <f>$Q119*('MRV Calcs'!$E$3+'MRV Calcs'!$E$4)</f>
        <v>2.972153525</v>
      </c>
      <c r="W119" s="27">
        <f t="shared" si="2"/>
        <v>2030</v>
      </c>
      <c r="X119" s="26">
        <f>IF($I119="truck",($Q119*$W119*'MRV Calcs'!$E$7)+($W119*'MRV Calcs'!$E$8),0)</f>
        <v>5.406458926</v>
      </c>
      <c r="Y119" s="26">
        <f>IF($I119="train",'MRV Calcs'!$E$24,0)</f>
        <v>0</v>
      </c>
      <c r="Z119" s="26">
        <f>IF($I119="train",($Q119*$Y119*'MRV Calcs'!$E$7)+($Y119*'MRV Calcs'!$E$8),0)</f>
        <v>0</v>
      </c>
      <c r="AA119" s="26">
        <f>IF($I119="train",'MRV Calcs'!$E$25,0)</f>
        <v>0</v>
      </c>
      <c r="AB119" s="26">
        <f>IF($I119="train",($Q119*$AA119*'MRV Calcs'!$E$11)+($AA119*'MRV Calcs'!$E$12),0)</f>
        <v>0</v>
      </c>
      <c r="AC119" s="26">
        <f>IF($I119="train",'MRV Calcs'!$E$26,0)</f>
        <v>0</v>
      </c>
      <c r="AD119" s="26">
        <f>IF($I119="train",($Q119*$AC119*'MRV Calcs'!$E$7)+($AC119*'MRV Calcs'!$E$8),0)</f>
        <v>0</v>
      </c>
      <c r="AE119" s="26">
        <f>($Q119/30)*SUM('MRV Calcs'!$E$15:$E$16)</f>
        <v>3.041134465</v>
      </c>
      <c r="AF119" s="26">
        <f>'MRV Calcs'!$E$27</f>
        <v>71.2</v>
      </c>
      <c r="AG119" s="26">
        <f>(($Q119*1.1)*$AF119*'MRV Calcs'!$E$7)+($AF119*'MRV Calcs'!$E$8)</f>
        <v>0.2080416569</v>
      </c>
      <c r="AH119" s="26">
        <f>(($Q119*1.1)/20)*SUM('MRV Calcs'!$E$19:$E$20)</f>
        <v>0.02828672</v>
      </c>
      <c r="AI119" s="26">
        <f t="shared" si="3"/>
        <v>11.65607529</v>
      </c>
      <c r="AJ119" s="26">
        <f t="shared" si="20"/>
        <v>-11.65607529</v>
      </c>
      <c r="AK119" s="25" t="str">
        <f t="shared" si="25"/>
        <v>#REF!</v>
      </c>
      <c r="AL119" s="28">
        <f t="shared" si="22"/>
        <v>-0.5801928966</v>
      </c>
      <c r="AM119" s="35"/>
      <c r="AN119" s="29">
        <f>COUNTIF(Blends!H$4:H$1007,B119)+COUNTIF(Blends!J$4:J$1007,B119)+COUNTIF(#REF!,B119)</f>
        <v>12</v>
      </c>
      <c r="AO119" s="55" t="s">
        <v>372</v>
      </c>
      <c r="AP119" s="35"/>
      <c r="AQ119" s="35"/>
      <c r="AR119" s="35"/>
      <c r="AS119" s="35"/>
      <c r="AT119" s="35"/>
      <c r="AU119" s="35"/>
      <c r="AV119" s="35"/>
      <c r="AW119" s="35"/>
    </row>
    <row r="120">
      <c r="A120" s="17">
        <v>119.0</v>
      </c>
      <c r="B120" s="17" t="s">
        <v>331</v>
      </c>
      <c r="C120" s="18" t="s">
        <v>373</v>
      </c>
      <c r="D120" s="18" t="s">
        <v>370</v>
      </c>
      <c r="E120" s="17" t="b">
        <v>1</v>
      </c>
      <c r="F120" s="17" t="s">
        <v>349</v>
      </c>
      <c r="G120" s="17" t="s">
        <v>79</v>
      </c>
      <c r="H120" s="17" t="s">
        <v>80</v>
      </c>
      <c r="I120" s="17" t="s">
        <v>81</v>
      </c>
      <c r="J120" s="40"/>
      <c r="K120" s="19" t="s">
        <v>233</v>
      </c>
      <c r="L120" s="40" t="s">
        <v>374</v>
      </c>
      <c r="M120" s="49"/>
      <c r="N120" s="20">
        <v>45723.0</v>
      </c>
      <c r="O120" s="20">
        <v>45729.0</v>
      </c>
      <c r="P120" s="20"/>
      <c r="Q120" s="22">
        <v>20.54</v>
      </c>
      <c r="R120" s="22"/>
      <c r="S120" s="23" t="str">
        <f>iferror(if(AN120=1,VLOOKUP(B120, Blends!H$4:AK$1004,32,0), ""), "")</f>
        <v/>
      </c>
      <c r="T120" s="24"/>
      <c r="U120" s="25">
        <f t="shared" si="19"/>
        <v>0</v>
      </c>
      <c r="V120" s="26">
        <f>$Q120*('MRV Calcs'!$E$3+'MRV Calcs'!$E$4)</f>
        <v>3.038727397</v>
      </c>
      <c r="W120" s="27">
        <f t="shared" si="2"/>
        <v>2030</v>
      </c>
      <c r="X120" s="26">
        <f>IF($I120="truck",($Q120*$W120*'MRV Calcs'!$E$7)+($W120*'MRV Calcs'!$E$8),0)</f>
        <v>5.524069493</v>
      </c>
      <c r="Y120" s="26">
        <f>IF($I120="train",'MRV Calcs'!$E$24,0)</f>
        <v>0</v>
      </c>
      <c r="Z120" s="26">
        <f>IF($I120="train",($Q120*$Y120*'MRV Calcs'!$E$7)+($Y120*'MRV Calcs'!$E$8),0)</f>
        <v>0</v>
      </c>
      <c r="AA120" s="26">
        <f>IF($I120="train",'MRV Calcs'!$E$25,0)</f>
        <v>0</v>
      </c>
      <c r="AB120" s="26">
        <f>IF($I120="train",($Q120*$AA120*'MRV Calcs'!$E$11)+($AA120*'MRV Calcs'!$E$12),0)</f>
        <v>0</v>
      </c>
      <c r="AC120" s="26">
        <f>IF($I120="train",'MRV Calcs'!$E$26,0)</f>
        <v>0</v>
      </c>
      <c r="AD120" s="26">
        <f>IF($I120="train",($Q120*$AC120*'MRV Calcs'!$E$7)+($AC120*'MRV Calcs'!$E$8),0)</f>
        <v>0</v>
      </c>
      <c r="AE120" s="26">
        <f>($Q120/30)*SUM('MRV Calcs'!$E$15:$E$16)</f>
        <v>3.109253455</v>
      </c>
      <c r="AF120" s="26">
        <f>'MRV Calcs'!$E$27</f>
        <v>71.2</v>
      </c>
      <c r="AG120" s="26">
        <f>(($Q120*1.1)*$AF120*'MRV Calcs'!$E$7)+($AF120*'MRV Calcs'!$E$8)</f>
        <v>0.2125792232</v>
      </c>
      <c r="AH120" s="26">
        <f>(($Q120*1.1)/20)*SUM('MRV Calcs'!$E$19:$E$20)</f>
        <v>0.02892032</v>
      </c>
      <c r="AI120" s="26">
        <f t="shared" si="3"/>
        <v>11.91354989</v>
      </c>
      <c r="AJ120" s="26">
        <f t="shared" si="20"/>
        <v>-11.91354989</v>
      </c>
      <c r="AK120" s="25" t="str">
        <f t="shared" si="25"/>
        <v>#REF!</v>
      </c>
      <c r="AL120" s="28">
        <f t="shared" si="22"/>
        <v>-0.5800170345</v>
      </c>
      <c r="AM120" s="35"/>
      <c r="AN120" s="29">
        <f>COUNTIF(Blends!H$4:H$1007,B120)+COUNTIF(Blends!J$4:J$1007,B120)+COUNTIF(#REF!,B120)</f>
        <v>12</v>
      </c>
      <c r="AO120" s="48"/>
      <c r="AP120" s="35"/>
      <c r="AQ120" s="35"/>
      <c r="AR120" s="35"/>
      <c r="AS120" s="35"/>
      <c r="AT120" s="35"/>
      <c r="AU120" s="35"/>
      <c r="AV120" s="35"/>
      <c r="AW120" s="35"/>
    </row>
    <row r="121">
      <c r="A121" s="17">
        <v>120.0</v>
      </c>
      <c r="B121" s="17" t="s">
        <v>331</v>
      </c>
      <c r="C121" s="18" t="s">
        <v>375</v>
      </c>
      <c r="D121" s="18" t="s">
        <v>376</v>
      </c>
      <c r="E121" s="17" t="b">
        <v>1</v>
      </c>
      <c r="F121" s="17" t="s">
        <v>349</v>
      </c>
      <c r="G121" s="17" t="s">
        <v>79</v>
      </c>
      <c r="H121" s="17" t="s">
        <v>80</v>
      </c>
      <c r="I121" s="17" t="s">
        <v>81</v>
      </c>
      <c r="J121" s="40"/>
      <c r="K121" s="19" t="s">
        <v>233</v>
      </c>
      <c r="L121" s="40" t="s">
        <v>238</v>
      </c>
      <c r="M121" s="49"/>
      <c r="N121" s="20">
        <v>45727.0</v>
      </c>
      <c r="O121" s="20">
        <v>45731.0</v>
      </c>
      <c r="P121" s="20"/>
      <c r="Q121" s="22">
        <v>19.29</v>
      </c>
      <c r="R121" s="22"/>
      <c r="S121" s="23" t="str">
        <f>iferror(if(AN121=1,VLOOKUP(B121, Blends!H$4:AK$1004,32,0), ""), "")</f>
        <v/>
      </c>
      <c r="T121" s="24"/>
      <c r="U121" s="25">
        <f t="shared" si="19"/>
        <v>0</v>
      </c>
      <c r="V121" s="26">
        <f>$Q121*('MRV Calcs'!$E$3+'MRV Calcs'!$E$4)</f>
        <v>2.853799975</v>
      </c>
      <c r="W121" s="27">
        <f t="shared" si="2"/>
        <v>2030</v>
      </c>
      <c r="X121" s="26">
        <f>IF($I121="truck",($Q121*$W121*'MRV Calcs'!$E$7)+($W121*'MRV Calcs'!$E$8),0)</f>
        <v>5.197373473</v>
      </c>
      <c r="Y121" s="26">
        <f>IF($I121="train",'MRV Calcs'!$E$24,0)</f>
        <v>0</v>
      </c>
      <c r="Z121" s="26">
        <f>IF($I121="train",($Q121*$Y121*'MRV Calcs'!$E$7)+($Y121*'MRV Calcs'!$E$8),0)</f>
        <v>0</v>
      </c>
      <c r="AA121" s="26">
        <f>IF($I121="train",'MRV Calcs'!$E$25,0)</f>
        <v>0</v>
      </c>
      <c r="AB121" s="26">
        <f>IF($I121="train",($Q121*$AA121*'MRV Calcs'!$E$11)+($AA121*'MRV Calcs'!$E$12),0)</f>
        <v>0</v>
      </c>
      <c r="AC121" s="26">
        <f>IF($I121="train",'MRV Calcs'!$E$26,0)</f>
        <v>0</v>
      </c>
      <c r="AD121" s="26">
        <f>IF($I121="train",($Q121*$AC121*'MRV Calcs'!$E$7)+($AC121*'MRV Calcs'!$E$8),0)</f>
        <v>0</v>
      </c>
      <c r="AE121" s="26">
        <f>($Q121/30)*SUM('MRV Calcs'!$E$15:$E$16)</f>
        <v>2.920034038</v>
      </c>
      <c r="AF121" s="26">
        <f>'MRV Calcs'!$E$27</f>
        <v>71.2</v>
      </c>
      <c r="AG121" s="26">
        <f>(($Q121*1.1)*$AF121*'MRV Calcs'!$E$7)+($AF121*'MRV Calcs'!$E$8)</f>
        <v>0.1999748724</v>
      </c>
      <c r="AH121" s="26">
        <f>(($Q121*1.1)/20)*SUM('MRV Calcs'!$E$19:$E$20)</f>
        <v>0.02716032</v>
      </c>
      <c r="AI121" s="26">
        <f t="shared" si="3"/>
        <v>11.19834268</v>
      </c>
      <c r="AJ121" s="26">
        <f t="shared" si="20"/>
        <v>-11.19834268</v>
      </c>
      <c r="AK121" s="25" t="str">
        <f t="shared" si="25"/>
        <v>#REF!</v>
      </c>
      <c r="AL121" s="28">
        <f t="shared" si="22"/>
        <v>-0.5805257998</v>
      </c>
      <c r="AM121" s="29"/>
      <c r="AN121" s="29">
        <f>COUNTIF(Blends!H$4:H$1007,B121)+COUNTIF(Blends!J$4:J$1007,B121)+COUNTIF(#REF!,B121)</f>
        <v>12</v>
      </c>
      <c r="AO121" s="48"/>
      <c r="AP121" s="35"/>
      <c r="AQ121" s="35"/>
      <c r="AR121" s="35"/>
      <c r="AS121" s="35"/>
      <c r="AT121" s="35"/>
      <c r="AU121" s="35"/>
      <c r="AV121" s="35"/>
      <c r="AW121" s="35"/>
    </row>
    <row r="122">
      <c r="A122" s="17">
        <v>121.0</v>
      </c>
      <c r="B122" s="17" t="s">
        <v>331</v>
      </c>
      <c r="C122" s="18" t="s">
        <v>377</v>
      </c>
      <c r="D122" s="18" t="s">
        <v>378</v>
      </c>
      <c r="E122" s="17" t="b">
        <v>1</v>
      </c>
      <c r="F122" s="17"/>
      <c r="G122" s="17" t="s">
        <v>79</v>
      </c>
      <c r="H122" s="17" t="s">
        <v>80</v>
      </c>
      <c r="I122" s="17" t="s">
        <v>81</v>
      </c>
      <c r="J122" s="40"/>
      <c r="K122" s="19" t="s">
        <v>82</v>
      </c>
      <c r="L122" s="40" t="s">
        <v>96</v>
      </c>
      <c r="M122" s="49"/>
      <c r="N122" s="20">
        <v>45730.0</v>
      </c>
      <c r="O122" s="20">
        <f t="shared" ref="O122:O123" si="27">N122+4</f>
        <v>45734</v>
      </c>
      <c r="P122" s="20"/>
      <c r="Q122" s="22">
        <v>20.65</v>
      </c>
      <c r="R122" s="22"/>
      <c r="S122" s="23" t="str">
        <f>iferror(if(AN122=1,VLOOKUP(B122, Blends!H$4:AK$1004,32,0), ""), "")</f>
        <v/>
      </c>
      <c r="T122" s="24"/>
      <c r="U122" s="25">
        <f t="shared" si="19"/>
        <v>0</v>
      </c>
      <c r="V122" s="26">
        <f>$Q122*('MRV Calcs'!$E$3+'MRV Calcs'!$E$4)</f>
        <v>3.05500101</v>
      </c>
      <c r="W122" s="27">
        <f t="shared" si="2"/>
        <v>2030</v>
      </c>
      <c r="X122" s="26">
        <f>IF($I122="truck",($Q122*$W122*'MRV Calcs'!$E$7)+($W122*'MRV Calcs'!$E$8),0)</f>
        <v>5.552818743</v>
      </c>
      <c r="Y122" s="26">
        <f>IF($I122="train",'MRV Calcs'!$E$24,0)</f>
        <v>0</v>
      </c>
      <c r="Z122" s="26">
        <f>IF($I122="train",($Q122*$Y122*'MRV Calcs'!$E$7)+($Y122*'MRV Calcs'!$E$8),0)</f>
        <v>0</v>
      </c>
      <c r="AA122" s="26">
        <f>IF($I122="train",'MRV Calcs'!$E$25,0)</f>
        <v>0</v>
      </c>
      <c r="AB122" s="26">
        <f>IF($I122="train",($Q122*$AA122*'MRV Calcs'!$E$11)+($AA122*'MRV Calcs'!$E$12),0)</f>
        <v>0</v>
      </c>
      <c r="AC122" s="26">
        <f>IF($I122="train",'MRV Calcs'!$E$26,0)</f>
        <v>0</v>
      </c>
      <c r="AD122" s="26">
        <f>IF($I122="train",($Q122*$AC122*'MRV Calcs'!$E$7)+($AC122*'MRV Calcs'!$E$8),0)</f>
        <v>0</v>
      </c>
      <c r="AE122" s="26">
        <f>($Q122/30)*SUM('MRV Calcs'!$E$15:$E$16)</f>
        <v>3.125904763</v>
      </c>
      <c r="AF122" s="26">
        <f>'MRV Calcs'!$E$27</f>
        <v>71.2</v>
      </c>
      <c r="AG122" s="26">
        <f>(($Q122*1.1)*$AF122*'MRV Calcs'!$E$7)+($AF122*'MRV Calcs'!$E$8)</f>
        <v>0.2136884061</v>
      </c>
      <c r="AH122" s="26">
        <f>(($Q122*1.1)/20)*SUM('MRV Calcs'!$E$19:$E$20)</f>
        <v>0.0290752</v>
      </c>
      <c r="AI122" s="26">
        <f t="shared" si="3"/>
        <v>11.97648812</v>
      </c>
      <c r="AJ122" s="26">
        <f t="shared" si="20"/>
        <v>-11.97648812</v>
      </c>
      <c r="AK122" s="25" t="str">
        <f t="shared" si="25"/>
        <v>#REF!</v>
      </c>
      <c r="AL122" s="28">
        <f t="shared" si="22"/>
        <v>-0.5799752117</v>
      </c>
      <c r="AM122" s="29"/>
      <c r="AN122" s="29">
        <f>COUNTIF(Blends!H$4:H$1007,B122)+COUNTIF(Blends!J$4:J$1007,B122)+COUNTIF(#REF!,B122)</f>
        <v>12</v>
      </c>
      <c r="AO122" s="48"/>
      <c r="AP122" s="35"/>
      <c r="AQ122" s="35"/>
      <c r="AR122" s="35"/>
      <c r="AS122" s="35"/>
      <c r="AT122" s="35"/>
      <c r="AU122" s="35"/>
      <c r="AV122" s="35"/>
      <c r="AW122" s="35"/>
    </row>
    <row r="123">
      <c r="A123" s="17">
        <v>122.0</v>
      </c>
      <c r="B123" s="17" t="s">
        <v>331</v>
      </c>
      <c r="C123" s="18" t="s">
        <v>379</v>
      </c>
      <c r="D123" s="18" t="s">
        <v>378</v>
      </c>
      <c r="E123" s="17" t="b">
        <v>1</v>
      </c>
      <c r="F123" s="17" t="s">
        <v>349</v>
      </c>
      <c r="G123" s="17" t="s">
        <v>79</v>
      </c>
      <c r="H123" s="17" t="s">
        <v>80</v>
      </c>
      <c r="I123" s="17" t="s">
        <v>81</v>
      </c>
      <c r="J123" s="40"/>
      <c r="K123" s="19" t="s">
        <v>82</v>
      </c>
      <c r="L123" s="40" t="s">
        <v>86</v>
      </c>
      <c r="M123" s="49"/>
      <c r="N123" s="20">
        <v>45732.0</v>
      </c>
      <c r="O123" s="20">
        <f t="shared" si="27"/>
        <v>45736</v>
      </c>
      <c r="P123" s="20"/>
      <c r="Q123" s="22">
        <v>20.71</v>
      </c>
      <c r="R123" s="22"/>
      <c r="S123" s="23" t="str">
        <f>iferror(if(AN123=1,VLOOKUP(B123, Blends!H$4:AK$1004,32,0), ""), "")</f>
        <v/>
      </c>
      <c r="T123" s="24"/>
      <c r="U123" s="25">
        <f t="shared" si="19"/>
        <v>0</v>
      </c>
      <c r="V123" s="26">
        <f>$Q123*('MRV Calcs'!$E$3+'MRV Calcs'!$E$4)</f>
        <v>3.063877526</v>
      </c>
      <c r="W123" s="27">
        <f t="shared" si="2"/>
        <v>2030</v>
      </c>
      <c r="X123" s="26">
        <f>IF($I123="truck",($Q123*$W123*'MRV Calcs'!$E$7)+($W123*'MRV Calcs'!$E$8),0)</f>
        <v>5.568500152</v>
      </c>
      <c r="Y123" s="26">
        <f>IF($I123="train",'MRV Calcs'!$E$24,0)</f>
        <v>0</v>
      </c>
      <c r="Z123" s="26">
        <f>IF($I123="train",($Q123*$Y123*'MRV Calcs'!$E$7)+($Y123*'MRV Calcs'!$E$8),0)</f>
        <v>0</v>
      </c>
      <c r="AA123" s="26">
        <f>IF($I123="train",'MRV Calcs'!$E$25,0)</f>
        <v>0</v>
      </c>
      <c r="AB123" s="26">
        <f>IF($I123="train",($Q123*$AA123*'MRV Calcs'!$E$11)+($AA123*'MRV Calcs'!$E$12),0)</f>
        <v>0</v>
      </c>
      <c r="AC123" s="26">
        <f>IF($I123="train",'MRV Calcs'!$E$26,0)</f>
        <v>0</v>
      </c>
      <c r="AD123" s="26">
        <f>IF($I123="train",($Q123*$AC123*'MRV Calcs'!$E$7)+($AC123*'MRV Calcs'!$E$8),0)</f>
        <v>0</v>
      </c>
      <c r="AE123" s="26">
        <f>($Q123/30)*SUM('MRV Calcs'!$E$15:$E$16)</f>
        <v>3.134987295</v>
      </c>
      <c r="AF123" s="26">
        <f>'MRV Calcs'!$E$27</f>
        <v>71.2</v>
      </c>
      <c r="AG123" s="26">
        <f>(($Q123*1.1)*$AF123*'MRV Calcs'!$E$7)+($AF123*'MRV Calcs'!$E$8)</f>
        <v>0.214293415</v>
      </c>
      <c r="AH123" s="26">
        <f>(($Q123*1.1)/20)*SUM('MRV Calcs'!$E$19:$E$20)</f>
        <v>0.02915968</v>
      </c>
      <c r="AI123" s="26">
        <f t="shared" si="3"/>
        <v>12.01081807</v>
      </c>
      <c r="AJ123" s="26">
        <f t="shared" si="20"/>
        <v>-12.01081807</v>
      </c>
      <c r="AK123" s="25" t="str">
        <f t="shared" si="25"/>
        <v>#REF!</v>
      </c>
      <c r="AL123" s="28">
        <f t="shared" si="22"/>
        <v>-0.5799525866</v>
      </c>
      <c r="AM123" s="29"/>
      <c r="AN123" s="29">
        <f>COUNTIF(Blends!H$4:H$1007,B123)+COUNTIF(Blends!J$4:J$1007,B123)+COUNTIF(#REF!,B123)</f>
        <v>12</v>
      </c>
      <c r="AO123" s="48"/>
      <c r="AP123" s="35"/>
      <c r="AQ123" s="35"/>
      <c r="AR123" s="35"/>
      <c r="AS123" s="35"/>
      <c r="AT123" s="35"/>
      <c r="AU123" s="35"/>
      <c r="AV123" s="35"/>
      <c r="AW123" s="35"/>
    </row>
    <row r="124">
      <c r="A124" s="17">
        <v>123.0</v>
      </c>
      <c r="B124" s="17" t="s">
        <v>331</v>
      </c>
      <c r="C124" s="18" t="s">
        <v>380</v>
      </c>
      <c r="D124" s="18" t="s">
        <v>381</v>
      </c>
      <c r="E124" s="17" t="b">
        <v>0</v>
      </c>
      <c r="F124" s="17" t="s">
        <v>349</v>
      </c>
      <c r="G124" s="17" t="s">
        <v>79</v>
      </c>
      <c r="H124" s="17" t="s">
        <v>80</v>
      </c>
      <c r="I124" s="17" t="s">
        <v>81</v>
      </c>
      <c r="J124" s="40"/>
      <c r="K124" s="19" t="s">
        <v>233</v>
      </c>
      <c r="L124" s="40" t="s">
        <v>335</v>
      </c>
      <c r="M124" s="49"/>
      <c r="N124" s="20">
        <v>45733.0</v>
      </c>
      <c r="O124" s="20">
        <v>45736.0</v>
      </c>
      <c r="P124" s="20"/>
      <c r="Q124" s="22">
        <v>20.26</v>
      </c>
      <c r="R124" s="22"/>
      <c r="S124" s="23" t="str">
        <f>iferror(if(AN124=1,VLOOKUP(B124, Blends!H$4:AK$1004,32,0), ""), "")</f>
        <v/>
      </c>
      <c r="T124" s="24"/>
      <c r="U124" s="25">
        <f t="shared" si="19"/>
        <v>0</v>
      </c>
      <c r="V124" s="26">
        <f>$Q124*('MRV Calcs'!$E$3+'MRV Calcs'!$E$4)</f>
        <v>2.997303654</v>
      </c>
      <c r="W124" s="27">
        <f t="shared" si="2"/>
        <v>2030</v>
      </c>
      <c r="X124" s="26">
        <f>IF($I124="truck",($Q124*$W124*'MRV Calcs'!$E$7)+($W124*'MRV Calcs'!$E$8),0)</f>
        <v>5.450889585</v>
      </c>
      <c r="Y124" s="26">
        <f>IF($I124="train",'MRV Calcs'!$E$24,0)</f>
        <v>0</v>
      </c>
      <c r="Z124" s="26">
        <f>IF($I124="train",($Q124*$Y124*'MRV Calcs'!$E$7)+($Y124*'MRV Calcs'!$E$8),0)</f>
        <v>0</v>
      </c>
      <c r="AA124" s="26">
        <f>IF($I124="train",'MRV Calcs'!$E$25,0)</f>
        <v>0</v>
      </c>
      <c r="AB124" s="26">
        <f>IF($I124="train",($Q124*$AA124*'MRV Calcs'!$E$11)+($AA124*'MRV Calcs'!$E$12),0)</f>
        <v>0</v>
      </c>
      <c r="AC124" s="26">
        <f>IF($I124="train",'MRV Calcs'!$E$26,0)</f>
        <v>0</v>
      </c>
      <c r="AD124" s="26">
        <f>IF($I124="train",($Q124*$AC124*'MRV Calcs'!$E$7)+($AC124*'MRV Calcs'!$E$8),0)</f>
        <v>0</v>
      </c>
      <c r="AE124" s="26">
        <f>($Q124/30)*SUM('MRV Calcs'!$E$15:$E$16)</f>
        <v>3.066868305</v>
      </c>
      <c r="AF124" s="26">
        <f>'MRV Calcs'!$E$27</f>
        <v>71.2</v>
      </c>
      <c r="AG124" s="26">
        <f>(($Q124*1.1)*$AF124*'MRV Calcs'!$E$7)+($AF124*'MRV Calcs'!$E$8)</f>
        <v>0.2097558487</v>
      </c>
      <c r="AH124" s="26">
        <f>(($Q124*1.1)/20)*SUM('MRV Calcs'!$E$19:$E$20)</f>
        <v>0.02852608</v>
      </c>
      <c r="AI124" s="26">
        <f t="shared" si="3"/>
        <v>11.75334347</v>
      </c>
      <c r="AJ124" s="26">
        <f t="shared" si="20"/>
        <v>-11.75334347</v>
      </c>
      <c r="AK124" s="25" t="str">
        <f t="shared" si="25"/>
        <v>#REF!</v>
      </c>
      <c r="AL124" s="28">
        <f t="shared" si="22"/>
        <v>-0.5801255416</v>
      </c>
      <c r="AM124" s="29"/>
      <c r="AN124" s="29">
        <f>COUNTIF(Blends!H$4:H$1007,B124)+COUNTIF(Blends!J$4:J$1007,B124)+COUNTIF(#REF!,B124)</f>
        <v>12</v>
      </c>
      <c r="AO124" s="48"/>
      <c r="AP124" s="35"/>
      <c r="AQ124" s="35"/>
      <c r="AR124" s="35"/>
      <c r="AS124" s="35"/>
      <c r="AT124" s="35"/>
      <c r="AU124" s="35"/>
      <c r="AV124" s="35"/>
      <c r="AW124" s="35"/>
    </row>
    <row r="125">
      <c r="A125" s="17">
        <v>124.0</v>
      </c>
      <c r="B125" s="17" t="s">
        <v>331</v>
      </c>
      <c r="C125" s="18" t="s">
        <v>382</v>
      </c>
      <c r="D125" s="18" t="s">
        <v>383</v>
      </c>
      <c r="E125" s="17" t="b">
        <v>1</v>
      </c>
      <c r="F125" s="17" t="s">
        <v>349</v>
      </c>
      <c r="G125" s="17" t="s">
        <v>79</v>
      </c>
      <c r="H125" s="17" t="s">
        <v>80</v>
      </c>
      <c r="I125" s="17" t="s">
        <v>81</v>
      </c>
      <c r="J125" s="40"/>
      <c r="K125" s="19" t="s">
        <v>233</v>
      </c>
      <c r="L125" s="40" t="s">
        <v>240</v>
      </c>
      <c r="M125" s="49"/>
      <c r="N125" s="20">
        <v>45734.0</v>
      </c>
      <c r="O125" s="20">
        <v>45739.0</v>
      </c>
      <c r="P125" s="20"/>
      <c r="Q125" s="22">
        <v>19.73</v>
      </c>
      <c r="R125" s="22"/>
      <c r="S125" s="23" t="str">
        <f>iferror(if(AN125=1,VLOOKUP(B125, Blends!H$4:AK$1004,32,0), ""), "")</f>
        <v/>
      </c>
      <c r="T125" s="24"/>
      <c r="U125" s="25">
        <f t="shared" si="19"/>
        <v>0</v>
      </c>
      <c r="V125" s="26">
        <f>$Q125*('MRV Calcs'!$E$3+'MRV Calcs'!$E$4)</f>
        <v>2.918894427</v>
      </c>
      <c r="W125" s="27">
        <f t="shared" si="2"/>
        <v>2030</v>
      </c>
      <c r="X125" s="26">
        <f>IF($I125="truck",($Q125*$W125*'MRV Calcs'!$E$7)+($W125*'MRV Calcs'!$E$8),0)</f>
        <v>5.312370472</v>
      </c>
      <c r="Y125" s="26">
        <f>IF($I125="train",'MRV Calcs'!$E$24,0)</f>
        <v>0</v>
      </c>
      <c r="Z125" s="26">
        <f>IF($I125="train",($Q125*$Y125*'MRV Calcs'!$E$7)+($Y125*'MRV Calcs'!$E$8),0)</f>
        <v>0</v>
      </c>
      <c r="AA125" s="26">
        <f>IF($I125="train",'MRV Calcs'!$E$25,0)</f>
        <v>0</v>
      </c>
      <c r="AB125" s="26">
        <f>IF($I125="train",($Q125*$AA125*'MRV Calcs'!$E$11)+($AA125*'MRV Calcs'!$E$12),0)</f>
        <v>0</v>
      </c>
      <c r="AC125" s="26">
        <f>IF($I125="train",'MRV Calcs'!$E$26,0)</f>
        <v>0</v>
      </c>
      <c r="AD125" s="26">
        <f>IF($I125="train",($Q125*$AC125*'MRV Calcs'!$E$7)+($AC125*'MRV Calcs'!$E$8),0)</f>
        <v>0</v>
      </c>
      <c r="AE125" s="26">
        <f>($Q125/30)*SUM('MRV Calcs'!$E$15:$E$16)</f>
        <v>2.986639273</v>
      </c>
      <c r="AF125" s="26">
        <f>'MRV Calcs'!$E$27</f>
        <v>71.2</v>
      </c>
      <c r="AG125" s="26">
        <f>(($Q125*1.1)*$AF125*'MRV Calcs'!$E$7)+($AF125*'MRV Calcs'!$E$8)</f>
        <v>0.2044116039</v>
      </c>
      <c r="AH125" s="26">
        <f>(($Q125*1.1)/20)*SUM('MRV Calcs'!$E$19:$E$20)</f>
        <v>0.02777984</v>
      </c>
      <c r="AI125" s="26">
        <f t="shared" si="3"/>
        <v>11.45009562</v>
      </c>
      <c r="AJ125" s="26">
        <f t="shared" si="20"/>
        <v>-11.45009562</v>
      </c>
      <c r="AK125" s="25" t="str">
        <f t="shared" si="25"/>
        <v>#REF!</v>
      </c>
      <c r="AL125" s="28">
        <f t="shared" si="22"/>
        <v>-0.5803393622</v>
      </c>
      <c r="AM125" s="29"/>
      <c r="AN125" s="29">
        <f>COUNTIF(Blends!H$4:H$1007,B125)+COUNTIF(Blends!J$4:J$1007,B125)+COUNTIF(#REF!,B125)</f>
        <v>12</v>
      </c>
      <c r="AO125" s="48"/>
      <c r="AP125" s="35"/>
      <c r="AQ125" s="35"/>
      <c r="AR125" s="35"/>
      <c r="AS125" s="35"/>
      <c r="AT125" s="35"/>
      <c r="AU125" s="35"/>
      <c r="AV125" s="35"/>
      <c r="AW125" s="35"/>
    </row>
    <row r="126">
      <c r="A126" s="17">
        <v>125.0</v>
      </c>
      <c r="B126" s="17" t="s">
        <v>331</v>
      </c>
      <c r="C126" s="18" t="s">
        <v>384</v>
      </c>
      <c r="D126" s="18" t="s">
        <v>383</v>
      </c>
      <c r="E126" s="17" t="b">
        <v>0</v>
      </c>
      <c r="F126" s="17" t="s">
        <v>349</v>
      </c>
      <c r="G126" s="17" t="s">
        <v>79</v>
      </c>
      <c r="H126" s="17" t="s">
        <v>80</v>
      </c>
      <c r="I126" s="17" t="s">
        <v>81</v>
      </c>
      <c r="J126" s="40"/>
      <c r="K126" s="19" t="s">
        <v>233</v>
      </c>
      <c r="L126" s="40" t="s">
        <v>385</v>
      </c>
      <c r="M126" s="49"/>
      <c r="N126" s="20">
        <v>45735.0</v>
      </c>
      <c r="O126" s="20">
        <v>45738.0</v>
      </c>
      <c r="P126" s="20"/>
      <c r="Q126" s="22">
        <v>20.02</v>
      </c>
      <c r="R126" s="22"/>
      <c r="S126" s="23" t="str">
        <f>iferror(if(AN126=1,VLOOKUP(B126, Blends!H$4:AK$1004,32,0), ""), "")</f>
        <v/>
      </c>
      <c r="T126" s="24"/>
      <c r="U126" s="25">
        <f t="shared" si="19"/>
        <v>0</v>
      </c>
      <c r="V126" s="26">
        <f>$Q126*('MRV Calcs'!$E$3+'MRV Calcs'!$E$4)</f>
        <v>2.961797589</v>
      </c>
      <c r="W126" s="27">
        <f t="shared" si="2"/>
        <v>2030</v>
      </c>
      <c r="X126" s="26">
        <f>IF($I126="truck",($Q126*$W126*'MRV Calcs'!$E$7)+($W126*'MRV Calcs'!$E$8),0)</f>
        <v>5.388163949</v>
      </c>
      <c r="Y126" s="26">
        <f>IF($I126="train",'MRV Calcs'!$E$24,0)</f>
        <v>0</v>
      </c>
      <c r="Z126" s="26">
        <f>IF($I126="train",($Q126*$Y126*'MRV Calcs'!$E$7)+($Y126*'MRV Calcs'!$E$8),0)</f>
        <v>0</v>
      </c>
      <c r="AA126" s="26">
        <f>IF($I126="train",'MRV Calcs'!$E$25,0)</f>
        <v>0</v>
      </c>
      <c r="AB126" s="26">
        <f>IF($I126="train",($Q126*$AA126*'MRV Calcs'!$E$11)+($AA126*'MRV Calcs'!$E$12),0)</f>
        <v>0</v>
      </c>
      <c r="AC126" s="26">
        <f>IF($I126="train",'MRV Calcs'!$E$26,0)</f>
        <v>0</v>
      </c>
      <c r="AD126" s="26">
        <f>IF($I126="train",($Q126*$AC126*'MRV Calcs'!$E$7)+($AC126*'MRV Calcs'!$E$8),0)</f>
        <v>0</v>
      </c>
      <c r="AE126" s="26">
        <f>($Q126/30)*SUM('MRV Calcs'!$E$15:$E$16)</f>
        <v>3.030538177</v>
      </c>
      <c r="AF126" s="26">
        <f>'MRV Calcs'!$E$27</f>
        <v>71.2</v>
      </c>
      <c r="AG126" s="26">
        <f>(($Q126*1.1)*$AF126*'MRV Calcs'!$E$7)+($AF126*'MRV Calcs'!$E$8)</f>
        <v>0.2073358133</v>
      </c>
      <c r="AH126" s="26">
        <f>(($Q126*1.1)/20)*SUM('MRV Calcs'!$E$19:$E$20)</f>
        <v>0.02818816</v>
      </c>
      <c r="AI126" s="26">
        <f t="shared" si="3"/>
        <v>11.61602369</v>
      </c>
      <c r="AJ126" s="26">
        <f t="shared" si="20"/>
        <v>-11.61602369</v>
      </c>
      <c r="AK126" s="25" t="str">
        <f t="shared" si="25"/>
        <v>#REF!</v>
      </c>
      <c r="AL126" s="28">
        <f t="shared" si="22"/>
        <v>-0.5802209635</v>
      </c>
      <c r="AM126" s="29"/>
      <c r="AN126" s="29">
        <f>COUNTIF(Blends!H$4:H$1007,B126)+COUNTIF(Blends!J$4:J$1007,B126)+COUNTIF(#REF!,B126)</f>
        <v>12</v>
      </c>
      <c r="AO126" s="48"/>
      <c r="AP126" s="35"/>
      <c r="AQ126" s="35"/>
      <c r="AR126" s="35"/>
      <c r="AS126" s="35"/>
      <c r="AT126" s="35"/>
      <c r="AU126" s="35"/>
      <c r="AV126" s="35"/>
      <c r="AW126" s="35"/>
    </row>
    <row r="127">
      <c r="A127" s="17">
        <v>126.0</v>
      </c>
      <c r="B127" s="17" t="s">
        <v>331</v>
      </c>
      <c r="C127" s="18" t="s">
        <v>386</v>
      </c>
      <c r="D127" s="18" t="s">
        <v>383</v>
      </c>
      <c r="E127" s="17" t="b">
        <v>1</v>
      </c>
      <c r="F127" s="17" t="s">
        <v>349</v>
      </c>
      <c r="G127" s="17" t="s">
        <v>79</v>
      </c>
      <c r="H127" s="17" t="s">
        <v>80</v>
      </c>
      <c r="I127" s="17" t="s">
        <v>81</v>
      </c>
      <c r="J127" s="40"/>
      <c r="K127" s="19" t="s">
        <v>233</v>
      </c>
      <c r="L127" s="40" t="s">
        <v>387</v>
      </c>
      <c r="M127" s="49"/>
      <c r="N127" s="20">
        <v>45736.0</v>
      </c>
      <c r="O127" s="20">
        <v>45740.0</v>
      </c>
      <c r="P127" s="20"/>
      <c r="Q127" s="22">
        <v>19.63</v>
      </c>
      <c r="R127" s="22"/>
      <c r="S127" s="23" t="str">
        <f>iferror(if(AN127=1,VLOOKUP(B127, Blends!H$4:AK$1004,32,0), ""), "")</f>
        <v/>
      </c>
      <c r="T127" s="24"/>
      <c r="U127" s="25">
        <f t="shared" si="19"/>
        <v>0</v>
      </c>
      <c r="V127" s="26">
        <f>$Q127*('MRV Calcs'!$E$3+'MRV Calcs'!$E$4)</f>
        <v>2.904100234</v>
      </c>
      <c r="W127" s="27">
        <f t="shared" si="2"/>
        <v>2030</v>
      </c>
      <c r="X127" s="26">
        <f>IF($I127="truck",($Q127*$W127*'MRV Calcs'!$E$7)+($W127*'MRV Calcs'!$E$8),0)</f>
        <v>5.286234791</v>
      </c>
      <c r="Y127" s="26">
        <f>IF($I127="train",'MRV Calcs'!$E$24,0)</f>
        <v>0</v>
      </c>
      <c r="Z127" s="26">
        <f>IF($I127="train",($Q127*$Y127*'MRV Calcs'!$E$7)+($Y127*'MRV Calcs'!$E$8),0)</f>
        <v>0</v>
      </c>
      <c r="AA127" s="26">
        <f>IF($I127="train",'MRV Calcs'!$E$25,0)</f>
        <v>0</v>
      </c>
      <c r="AB127" s="26">
        <f>IF($I127="train",($Q127*$AA127*'MRV Calcs'!$E$11)+($AA127*'MRV Calcs'!$E$12),0)</f>
        <v>0</v>
      </c>
      <c r="AC127" s="26">
        <f>IF($I127="train",'MRV Calcs'!$E$26,0)</f>
        <v>0</v>
      </c>
      <c r="AD127" s="26">
        <f>IF($I127="train",($Q127*$AC127*'MRV Calcs'!$E$7)+($AC127*'MRV Calcs'!$E$8),0)</f>
        <v>0</v>
      </c>
      <c r="AE127" s="26">
        <f>($Q127/30)*SUM('MRV Calcs'!$E$15:$E$16)</f>
        <v>2.971501719</v>
      </c>
      <c r="AF127" s="26">
        <f>'MRV Calcs'!$E$27</f>
        <v>71.2</v>
      </c>
      <c r="AG127" s="26">
        <f>(($Q127*1.1)*$AF127*'MRV Calcs'!$E$7)+($AF127*'MRV Calcs'!$E$8)</f>
        <v>0.2034032558</v>
      </c>
      <c r="AH127" s="26">
        <f>(($Q127*1.1)/20)*SUM('MRV Calcs'!$E$19:$E$20)</f>
        <v>0.02763904</v>
      </c>
      <c r="AI127" s="26">
        <f t="shared" si="3"/>
        <v>11.39287904</v>
      </c>
      <c r="AJ127" s="26">
        <f t="shared" si="20"/>
        <v>-11.39287904</v>
      </c>
      <c r="AK127" s="25" t="str">
        <f>AJ127+AK125</f>
        <v>#REF!</v>
      </c>
      <c r="AL127" s="28">
        <f t="shared" si="22"/>
        <v>-0.5803810005</v>
      </c>
      <c r="AM127" s="29"/>
      <c r="AN127" s="29">
        <f>COUNTIF(Blends!H$4:H$1007,B127)+COUNTIF(Blends!J$4:J$1007,B127)+COUNTIF(#REF!,B127)</f>
        <v>12</v>
      </c>
      <c r="AO127" s="48"/>
      <c r="AP127" s="35"/>
      <c r="AQ127" s="35"/>
      <c r="AR127" s="35"/>
      <c r="AS127" s="35"/>
      <c r="AT127" s="35"/>
      <c r="AU127" s="35"/>
      <c r="AV127" s="35"/>
      <c r="AW127" s="35"/>
    </row>
    <row r="128">
      <c r="A128" s="17">
        <v>127.0</v>
      </c>
      <c r="B128" s="17" t="s">
        <v>331</v>
      </c>
      <c r="C128" s="18" t="s">
        <v>388</v>
      </c>
      <c r="D128" s="18" t="s">
        <v>383</v>
      </c>
      <c r="E128" s="17" t="b">
        <v>0</v>
      </c>
      <c r="F128" s="17" t="s">
        <v>349</v>
      </c>
      <c r="G128" s="17" t="s">
        <v>79</v>
      </c>
      <c r="H128" s="17" t="s">
        <v>80</v>
      </c>
      <c r="I128" s="17" t="s">
        <v>81</v>
      </c>
      <c r="J128" s="40"/>
      <c r="K128" s="19" t="s">
        <v>233</v>
      </c>
      <c r="L128" s="40" t="s">
        <v>389</v>
      </c>
      <c r="M128" s="49"/>
      <c r="N128" s="20">
        <v>45736.0</v>
      </c>
      <c r="O128" s="20">
        <v>45741.0</v>
      </c>
      <c r="P128" s="20"/>
      <c r="Q128" s="22">
        <v>19.98</v>
      </c>
      <c r="R128" s="22"/>
      <c r="S128" s="23" t="str">
        <f>iferror(if(AN128=1,VLOOKUP(B128, Blends!H$4:AK$1004,32,0), ""), "")</f>
        <v/>
      </c>
      <c r="T128" s="24"/>
      <c r="U128" s="25">
        <f t="shared" si="19"/>
        <v>0</v>
      </c>
      <c r="V128" s="26">
        <f>$Q128*('MRV Calcs'!$E$3+'MRV Calcs'!$E$4)</f>
        <v>2.955879912</v>
      </c>
      <c r="W128" s="27">
        <f t="shared" si="2"/>
        <v>2030</v>
      </c>
      <c r="X128" s="26">
        <f>IF($I128="truck",($Q128*$W128*'MRV Calcs'!$E$7)+($W128*'MRV Calcs'!$E$8),0)</f>
        <v>5.377709676</v>
      </c>
      <c r="Y128" s="26">
        <f>IF($I128="train",'MRV Calcs'!$E$24,0)</f>
        <v>0</v>
      </c>
      <c r="Z128" s="26">
        <f>IF($I128="train",($Q128*$Y128*'MRV Calcs'!$E$7)+($Y128*'MRV Calcs'!$E$8),0)</f>
        <v>0</v>
      </c>
      <c r="AA128" s="26">
        <f>IF($I128="train",'MRV Calcs'!$E$25,0)</f>
        <v>0</v>
      </c>
      <c r="AB128" s="26">
        <f>IF($I128="train",($Q128*$AA128*'MRV Calcs'!$E$11)+($AA128*'MRV Calcs'!$E$12),0)</f>
        <v>0</v>
      </c>
      <c r="AC128" s="26">
        <f>IF($I128="train",'MRV Calcs'!$E$26,0)</f>
        <v>0</v>
      </c>
      <c r="AD128" s="26">
        <f>IF($I128="train",($Q128*$AC128*'MRV Calcs'!$E$7)+($AC128*'MRV Calcs'!$E$8),0)</f>
        <v>0</v>
      </c>
      <c r="AE128" s="26">
        <f>($Q128/30)*SUM('MRV Calcs'!$E$15:$E$16)</f>
        <v>3.024483156</v>
      </c>
      <c r="AF128" s="26">
        <f>'MRV Calcs'!$E$27</f>
        <v>71.2</v>
      </c>
      <c r="AG128" s="26">
        <f>(($Q128*1.1)*$AF128*'MRV Calcs'!$E$7)+($AF128*'MRV Calcs'!$E$8)</f>
        <v>0.2069324741</v>
      </c>
      <c r="AH128" s="26">
        <f>(($Q128*1.1)/20)*SUM('MRV Calcs'!$E$19:$E$20)</f>
        <v>0.02813184</v>
      </c>
      <c r="AI128" s="26">
        <f t="shared" si="3"/>
        <v>11.59313706</v>
      </c>
      <c r="AJ128" s="26">
        <f t="shared" si="20"/>
        <v>-11.59313706</v>
      </c>
      <c r="AK128" s="25" t="str">
        <f t="shared" ref="AK128:AK134" si="28">AJ128+AK127</f>
        <v>#REF!</v>
      </c>
      <c r="AL128" s="28">
        <f t="shared" si="22"/>
        <v>-0.58023709</v>
      </c>
      <c r="AM128" s="29"/>
      <c r="AN128" s="29">
        <f>COUNTIF(Blends!H$4:H$1007,B128)+COUNTIF(Blends!J$4:J$1007,B128)+COUNTIF(#REF!,B128)</f>
        <v>12</v>
      </c>
      <c r="AO128" s="48"/>
      <c r="AP128" s="35"/>
      <c r="AQ128" s="35"/>
      <c r="AR128" s="35"/>
      <c r="AS128" s="35"/>
      <c r="AT128" s="35"/>
      <c r="AU128" s="35"/>
      <c r="AV128" s="35"/>
      <c r="AW128" s="35"/>
    </row>
    <row r="129">
      <c r="A129" s="17">
        <v>128.0</v>
      </c>
      <c r="B129" s="17" t="s">
        <v>331</v>
      </c>
      <c r="C129" s="18" t="s">
        <v>390</v>
      </c>
      <c r="D129" s="18" t="s">
        <v>391</v>
      </c>
      <c r="E129" s="17" t="b">
        <v>0</v>
      </c>
      <c r="F129" s="17" t="s">
        <v>349</v>
      </c>
      <c r="G129" s="17" t="s">
        <v>79</v>
      </c>
      <c r="H129" s="17" t="s">
        <v>80</v>
      </c>
      <c r="I129" s="17" t="s">
        <v>81</v>
      </c>
      <c r="J129" s="40"/>
      <c r="K129" s="19" t="s">
        <v>233</v>
      </c>
      <c r="L129" s="40" t="s">
        <v>354</v>
      </c>
      <c r="M129" s="49"/>
      <c r="N129" s="20">
        <v>45737.0</v>
      </c>
      <c r="O129" s="20">
        <v>45741.0</v>
      </c>
      <c r="P129" s="20"/>
      <c r="Q129" s="22">
        <v>20.04</v>
      </c>
      <c r="R129" s="22"/>
      <c r="S129" s="23" t="str">
        <f>iferror(if(AN129=1,VLOOKUP(B129, Blends!H$4:AK$1004,32,0), ""), "")</f>
        <v/>
      </c>
      <c r="T129" s="24"/>
      <c r="U129" s="25">
        <f t="shared" si="19"/>
        <v>0</v>
      </c>
      <c r="V129" s="26">
        <f>$Q129*('MRV Calcs'!$E$3+'MRV Calcs'!$E$4)</f>
        <v>2.964756428</v>
      </c>
      <c r="W129" s="27">
        <f t="shared" si="2"/>
        <v>2030</v>
      </c>
      <c r="X129" s="26">
        <f>IF($I129="truck",($Q129*$W129*'MRV Calcs'!$E$7)+($W129*'MRV Calcs'!$E$8),0)</f>
        <v>5.393391085</v>
      </c>
      <c r="Y129" s="26">
        <f>IF($I129="train",'MRV Calcs'!$E$24,0)</f>
        <v>0</v>
      </c>
      <c r="Z129" s="26">
        <f>IF($I129="train",($Q129*$Y129*'MRV Calcs'!$E$7)+($Y129*'MRV Calcs'!$E$8),0)</f>
        <v>0</v>
      </c>
      <c r="AA129" s="26">
        <f>IF($I129="train",'MRV Calcs'!$E$25,0)</f>
        <v>0</v>
      </c>
      <c r="AB129" s="26">
        <f>IF($I129="train",($Q129*$AA129*'MRV Calcs'!$E$11)+($AA129*'MRV Calcs'!$E$12),0)</f>
        <v>0</v>
      </c>
      <c r="AC129" s="26">
        <f>IF($I129="train",'MRV Calcs'!$E$26,0)</f>
        <v>0</v>
      </c>
      <c r="AD129" s="26">
        <f>IF($I129="train",($Q129*$AC129*'MRV Calcs'!$E$7)+($AC129*'MRV Calcs'!$E$8),0)</f>
        <v>0</v>
      </c>
      <c r="AE129" s="26">
        <f>($Q129/30)*SUM('MRV Calcs'!$E$15:$E$16)</f>
        <v>3.033565688</v>
      </c>
      <c r="AF129" s="26">
        <f>'MRV Calcs'!$E$27</f>
        <v>71.2</v>
      </c>
      <c r="AG129" s="26">
        <f>(($Q129*1.1)*$AF129*'MRV Calcs'!$E$7)+($AF129*'MRV Calcs'!$E$8)</f>
        <v>0.2075374829</v>
      </c>
      <c r="AH129" s="26">
        <f>(($Q129*1.1)/20)*SUM('MRV Calcs'!$E$19:$E$20)</f>
        <v>0.02821632</v>
      </c>
      <c r="AI129" s="26">
        <f t="shared" si="3"/>
        <v>11.627467</v>
      </c>
      <c r="AJ129" s="26">
        <f t="shared" si="20"/>
        <v>-11.627467</v>
      </c>
      <c r="AK129" s="25" t="str">
        <f t="shared" si="28"/>
        <v>#REF!</v>
      </c>
      <c r="AL129" s="28">
        <f t="shared" si="22"/>
        <v>-0.5802129244</v>
      </c>
      <c r="AM129" s="29"/>
      <c r="AN129" s="29">
        <f>COUNTIF(Blends!H$4:H$1007,B129)+COUNTIF(Blends!J$4:J$1007,B129)+COUNTIF(#REF!,B129)</f>
        <v>12</v>
      </c>
      <c r="AO129" s="48"/>
      <c r="AP129" s="35"/>
      <c r="AQ129" s="35"/>
      <c r="AR129" s="35"/>
      <c r="AS129" s="35"/>
      <c r="AT129" s="35"/>
      <c r="AU129" s="35"/>
      <c r="AV129" s="35"/>
      <c r="AW129" s="35"/>
    </row>
    <row r="130">
      <c r="A130" s="17">
        <v>129.0</v>
      </c>
      <c r="B130" s="17" t="s">
        <v>331</v>
      </c>
      <c r="C130" s="18" t="s">
        <v>392</v>
      </c>
      <c r="D130" s="18" t="s">
        <v>391</v>
      </c>
      <c r="E130" s="17" t="b">
        <v>1</v>
      </c>
      <c r="F130" s="17" t="s">
        <v>349</v>
      </c>
      <c r="G130" s="17" t="s">
        <v>79</v>
      </c>
      <c r="H130" s="17" t="s">
        <v>80</v>
      </c>
      <c r="I130" s="17" t="s">
        <v>81</v>
      </c>
      <c r="J130" s="40"/>
      <c r="K130" s="19" t="s">
        <v>233</v>
      </c>
      <c r="L130" s="40" t="s">
        <v>240</v>
      </c>
      <c r="M130" s="49"/>
      <c r="N130" s="20">
        <v>45738.0</v>
      </c>
      <c r="O130" s="20">
        <v>45742.0</v>
      </c>
      <c r="P130" s="20"/>
      <c r="Q130" s="22">
        <v>19.79</v>
      </c>
      <c r="R130" s="22"/>
      <c r="S130" s="23" t="str">
        <f>iferror(if(AN130=1,VLOOKUP(B130, Blends!H$4:AK$1004,32,0), ""), "")</f>
        <v/>
      </c>
      <c r="T130" s="24"/>
      <c r="U130" s="25">
        <f t="shared" si="19"/>
        <v>0</v>
      </c>
      <c r="V130" s="26">
        <f>$Q130*('MRV Calcs'!$E$3+'MRV Calcs'!$E$4)</f>
        <v>2.927770944</v>
      </c>
      <c r="W130" s="27">
        <f t="shared" si="2"/>
        <v>2030</v>
      </c>
      <c r="X130" s="26">
        <f>IF($I130="truck",($Q130*$W130*'MRV Calcs'!$E$7)+($W130*'MRV Calcs'!$E$8),0)</f>
        <v>5.328051881</v>
      </c>
      <c r="Y130" s="26">
        <f>IF($I130="train",'MRV Calcs'!$E$24,0)</f>
        <v>0</v>
      </c>
      <c r="Z130" s="26">
        <f>IF($I130="train",($Q130*$Y130*'MRV Calcs'!$E$7)+($Y130*'MRV Calcs'!$E$8),0)</f>
        <v>0</v>
      </c>
      <c r="AA130" s="26">
        <f>IF($I130="train",'MRV Calcs'!$E$25,0)</f>
        <v>0</v>
      </c>
      <c r="AB130" s="26">
        <f>IF($I130="train",($Q130*$AA130*'MRV Calcs'!$E$11)+($AA130*'MRV Calcs'!$E$12),0)</f>
        <v>0</v>
      </c>
      <c r="AC130" s="26">
        <f>IF($I130="train",'MRV Calcs'!$E$26,0)</f>
        <v>0</v>
      </c>
      <c r="AD130" s="26">
        <f>IF($I130="train",($Q130*$AC130*'MRV Calcs'!$E$7)+($AC130*'MRV Calcs'!$E$8),0)</f>
        <v>0</v>
      </c>
      <c r="AE130" s="26">
        <f>($Q130/30)*SUM('MRV Calcs'!$E$15:$E$16)</f>
        <v>2.995721805</v>
      </c>
      <c r="AF130" s="26">
        <f>'MRV Calcs'!$E$27</f>
        <v>71.2</v>
      </c>
      <c r="AG130" s="26">
        <f>(($Q130*1.1)*$AF130*'MRV Calcs'!$E$7)+($AF130*'MRV Calcs'!$E$8)</f>
        <v>0.2050166127</v>
      </c>
      <c r="AH130" s="26">
        <f>(($Q130*1.1)/20)*SUM('MRV Calcs'!$E$19:$E$20)</f>
        <v>0.02786432</v>
      </c>
      <c r="AI130" s="26">
        <f t="shared" si="3"/>
        <v>11.48442556</v>
      </c>
      <c r="AJ130" s="26">
        <f t="shared" si="20"/>
        <v>-11.48442556</v>
      </c>
      <c r="AK130" s="25" t="str">
        <f t="shared" si="28"/>
        <v>#REF!</v>
      </c>
      <c r="AL130" s="28">
        <f t="shared" si="22"/>
        <v>-0.5803145812</v>
      </c>
      <c r="AM130" s="29"/>
      <c r="AN130" s="29">
        <f>COUNTIF(Blends!H$4:H$1007,B130)+COUNTIF(Blends!J$4:J$1007,B130)+COUNTIF(#REF!,B130)</f>
        <v>12</v>
      </c>
      <c r="AO130" s="48"/>
      <c r="AP130" s="35"/>
      <c r="AQ130" s="35"/>
      <c r="AR130" s="35"/>
      <c r="AS130" s="35"/>
      <c r="AT130" s="56">
        <v>450.0</v>
      </c>
      <c r="AU130" s="56">
        <v>0.91</v>
      </c>
      <c r="AV130" s="35">
        <f>AT130*AU130</f>
        <v>409.5</v>
      </c>
      <c r="AW130" s="35"/>
    </row>
    <row r="131">
      <c r="A131" s="17">
        <v>130.0</v>
      </c>
      <c r="B131" s="17" t="s">
        <v>331</v>
      </c>
      <c r="C131" s="18" t="s">
        <v>393</v>
      </c>
      <c r="D131" s="18" t="s">
        <v>391</v>
      </c>
      <c r="E131" s="17" t="b">
        <v>0</v>
      </c>
      <c r="F131" s="17" t="s">
        <v>349</v>
      </c>
      <c r="G131" s="17" t="s">
        <v>79</v>
      </c>
      <c r="H131" s="17" t="s">
        <v>80</v>
      </c>
      <c r="I131" s="17" t="s">
        <v>81</v>
      </c>
      <c r="J131" s="40"/>
      <c r="K131" s="19" t="s">
        <v>82</v>
      </c>
      <c r="L131" s="40" t="s">
        <v>96</v>
      </c>
      <c r="M131" s="49"/>
      <c r="N131" s="20">
        <v>45739.0</v>
      </c>
      <c r="O131" s="21">
        <v>45743.0</v>
      </c>
      <c r="P131" s="21"/>
      <c r="Q131" s="22">
        <v>20.74</v>
      </c>
      <c r="R131" s="22"/>
      <c r="S131" s="23" t="str">
        <f>iferror(if(AN131=1,VLOOKUP(B131, Blends!H$4:AK$1004,32,0), ""), "")</f>
        <v/>
      </c>
      <c r="T131" s="24"/>
      <c r="U131" s="25">
        <f t="shared" si="19"/>
        <v>0</v>
      </c>
      <c r="V131" s="26">
        <f>$Q131*('MRV Calcs'!$E$3+'MRV Calcs'!$E$4)</f>
        <v>3.068315784</v>
      </c>
      <c r="W131" s="27">
        <f t="shared" si="2"/>
        <v>2030</v>
      </c>
      <c r="X131" s="26">
        <f>IF($I131="truck",($Q131*$W131*'MRV Calcs'!$E$7)+($W131*'MRV Calcs'!$E$8),0)</f>
        <v>5.576340856</v>
      </c>
      <c r="Y131" s="26">
        <f>IF($I131="train",'MRV Calcs'!$E$24,0)</f>
        <v>0</v>
      </c>
      <c r="Z131" s="26">
        <f>IF($I131="train",($Q131*$Y131*'MRV Calcs'!$E$7)+($Y131*'MRV Calcs'!$E$8),0)</f>
        <v>0</v>
      </c>
      <c r="AA131" s="26">
        <f>IF($I131="train",'MRV Calcs'!$E$25,0)</f>
        <v>0</v>
      </c>
      <c r="AB131" s="26">
        <f>IF($I131="train",($Q131*$AA131*'MRV Calcs'!$E$11)+($AA131*'MRV Calcs'!$E$12),0)</f>
        <v>0</v>
      </c>
      <c r="AC131" s="26">
        <f>IF($I131="train",'MRV Calcs'!$E$26,0)</f>
        <v>0</v>
      </c>
      <c r="AD131" s="26">
        <f>IF($I131="train",($Q131*$AC131*'MRV Calcs'!$E$7)+($AC131*'MRV Calcs'!$E$8),0)</f>
        <v>0</v>
      </c>
      <c r="AE131" s="26">
        <f>($Q131/30)*SUM('MRV Calcs'!$E$15:$E$16)</f>
        <v>3.139528561</v>
      </c>
      <c r="AF131" s="26">
        <f>'MRV Calcs'!$E$27</f>
        <v>71.2</v>
      </c>
      <c r="AG131" s="26">
        <f>(($Q131*1.1)*$AF131*'MRV Calcs'!$E$7)+($AF131*'MRV Calcs'!$E$8)</f>
        <v>0.2145959194</v>
      </c>
      <c r="AH131" s="26">
        <f>(($Q131*1.1)/20)*SUM('MRV Calcs'!$E$19:$E$20)</f>
        <v>0.02920192</v>
      </c>
      <c r="AI131" s="26">
        <f t="shared" si="3"/>
        <v>12.02798304</v>
      </c>
      <c r="AJ131" s="26">
        <f t="shared" si="20"/>
        <v>-12.02798304</v>
      </c>
      <c r="AK131" s="25" t="str">
        <f t="shared" si="28"/>
        <v>#REF!</v>
      </c>
      <c r="AL131" s="28">
        <f t="shared" si="22"/>
        <v>-0.5799413231</v>
      </c>
      <c r="AM131" s="29"/>
      <c r="AN131" s="29">
        <f>COUNTIF(Blends!H$4:H$1007,B131)+COUNTIF(Blends!J$4:J$1007,B131)+COUNTIF(#REF!,B131)</f>
        <v>12</v>
      </c>
      <c r="AO131" s="48"/>
      <c r="AP131" s="35"/>
      <c r="AQ131" s="35"/>
      <c r="AR131" s="35"/>
      <c r="AS131" s="35"/>
      <c r="AT131" s="35"/>
      <c r="AU131" s="35"/>
      <c r="AV131" s="35"/>
      <c r="AW131" s="35"/>
    </row>
    <row r="132">
      <c r="A132" s="17">
        <v>131.0</v>
      </c>
      <c r="B132" s="17" t="s">
        <v>331</v>
      </c>
      <c r="C132" s="18" t="s">
        <v>394</v>
      </c>
      <c r="D132" s="18" t="s">
        <v>395</v>
      </c>
      <c r="E132" s="17" t="b">
        <v>0</v>
      </c>
      <c r="F132" s="17" t="s">
        <v>349</v>
      </c>
      <c r="G132" s="17" t="s">
        <v>79</v>
      </c>
      <c r="H132" s="17" t="s">
        <v>80</v>
      </c>
      <c r="I132" s="17" t="s">
        <v>81</v>
      </c>
      <c r="J132" s="40"/>
      <c r="K132" s="19" t="s">
        <v>233</v>
      </c>
      <c r="L132" s="40" t="s">
        <v>234</v>
      </c>
      <c r="M132" s="49"/>
      <c r="N132" s="20">
        <v>45739.0</v>
      </c>
      <c r="O132" s="20">
        <v>45742.0</v>
      </c>
      <c r="P132" s="20"/>
      <c r="Q132" s="22">
        <v>19.46</v>
      </c>
      <c r="R132" s="22"/>
      <c r="S132" s="23" t="str">
        <f>iferror(if(AN132=1,VLOOKUP(B132, Blends!H$4:AK$1004,32,0), ""), "")</f>
        <v/>
      </c>
      <c r="T132" s="24"/>
      <c r="U132" s="25">
        <f t="shared" si="19"/>
        <v>0</v>
      </c>
      <c r="V132" s="26">
        <f>$Q132*('MRV Calcs'!$E$3+'MRV Calcs'!$E$4)</f>
        <v>2.878950104</v>
      </c>
      <c r="W132" s="27">
        <f t="shared" si="2"/>
        <v>2030</v>
      </c>
      <c r="X132" s="26">
        <f>IF($I132="truck",($Q132*$W132*'MRV Calcs'!$E$7)+($W132*'MRV Calcs'!$E$8),0)</f>
        <v>5.241804132</v>
      </c>
      <c r="Y132" s="26">
        <f>IF($I132="train",'MRV Calcs'!$E$24,0)</f>
        <v>0</v>
      </c>
      <c r="Z132" s="26">
        <f>IF($I132="train",($Q132*$Y132*'MRV Calcs'!$E$7)+($Y132*'MRV Calcs'!$E$8),0)</f>
        <v>0</v>
      </c>
      <c r="AA132" s="26">
        <f>IF($I132="train",'MRV Calcs'!$E$25,0)</f>
        <v>0</v>
      </c>
      <c r="AB132" s="26">
        <f>IF($I132="train",($Q132*$AA132*'MRV Calcs'!$E$11)+($AA132*'MRV Calcs'!$E$12),0)</f>
        <v>0</v>
      </c>
      <c r="AC132" s="26">
        <f>IF($I132="train",'MRV Calcs'!$E$26,0)</f>
        <v>0</v>
      </c>
      <c r="AD132" s="26">
        <f>IF($I132="train",($Q132*$AC132*'MRV Calcs'!$E$7)+($AC132*'MRV Calcs'!$E$8),0)</f>
        <v>0</v>
      </c>
      <c r="AE132" s="26">
        <f>($Q132/30)*SUM('MRV Calcs'!$E$15:$E$16)</f>
        <v>2.945767879</v>
      </c>
      <c r="AF132" s="26">
        <f>'MRV Calcs'!$E$27</f>
        <v>71.2</v>
      </c>
      <c r="AG132" s="26">
        <f>(($Q132*1.1)*$AF132*'MRV Calcs'!$E$7)+($AF132*'MRV Calcs'!$E$8)</f>
        <v>0.2016890641</v>
      </c>
      <c r="AH132" s="26">
        <f>(($Q132*1.1)/20)*SUM('MRV Calcs'!$E$19:$E$20)</f>
        <v>0.02739968</v>
      </c>
      <c r="AI132" s="26">
        <f t="shared" si="3"/>
        <v>11.29561086</v>
      </c>
      <c r="AJ132" s="26">
        <f t="shared" si="20"/>
        <v>-11.29561086</v>
      </c>
      <c r="AK132" s="25" t="str">
        <f t="shared" si="28"/>
        <v>#REF!</v>
      </c>
      <c r="AL132" s="28">
        <f t="shared" si="22"/>
        <v>-0.5804527677</v>
      </c>
      <c r="AM132" s="29"/>
      <c r="AN132" s="29">
        <f>COUNTIF(Blends!H$4:H$1007,B132)+COUNTIF(Blends!J$4:J$1007,B132)+COUNTIF(#REF!,B132)</f>
        <v>12</v>
      </c>
      <c r="AO132" s="48"/>
      <c r="AP132" s="35"/>
      <c r="AQ132" s="35"/>
      <c r="AR132" s="35"/>
      <c r="AS132" s="35"/>
      <c r="AT132" s="35"/>
      <c r="AU132" s="56"/>
      <c r="AV132" s="35">
        <f>SUM(AV129:AV130)</f>
        <v>409.5</v>
      </c>
      <c r="AW132" s="35"/>
    </row>
    <row r="133">
      <c r="A133" s="17">
        <v>132.0</v>
      </c>
      <c r="B133" s="17" t="s">
        <v>331</v>
      </c>
      <c r="C133" s="18" t="s">
        <v>396</v>
      </c>
      <c r="D133" s="18" t="s">
        <v>395</v>
      </c>
      <c r="E133" s="17" t="b">
        <v>1</v>
      </c>
      <c r="F133" s="17" t="s">
        <v>349</v>
      </c>
      <c r="G133" s="17" t="s">
        <v>79</v>
      </c>
      <c r="H133" s="17" t="s">
        <v>80</v>
      </c>
      <c r="I133" s="17" t="s">
        <v>81</v>
      </c>
      <c r="J133" s="40"/>
      <c r="K133" s="19" t="s">
        <v>82</v>
      </c>
      <c r="L133" s="40" t="s">
        <v>86</v>
      </c>
      <c r="M133" s="49"/>
      <c r="N133" s="20">
        <v>45740.0</v>
      </c>
      <c r="O133" s="21">
        <v>45743.0</v>
      </c>
      <c r="P133" s="21"/>
      <c r="Q133" s="22">
        <v>19.71</v>
      </c>
      <c r="R133" s="22"/>
      <c r="S133" s="23" t="str">
        <f>iferror(if(AN133=1,VLOOKUP(B133, Blends!H$4:AK$1004,32,0), ""), "")</f>
        <v/>
      </c>
      <c r="T133" s="24"/>
      <c r="U133" s="25">
        <f t="shared" si="19"/>
        <v>0</v>
      </c>
      <c r="V133" s="26">
        <f>$Q133*('MRV Calcs'!$E$3+'MRV Calcs'!$E$4)</f>
        <v>2.915935589</v>
      </c>
      <c r="W133" s="27">
        <f t="shared" si="2"/>
        <v>2030</v>
      </c>
      <c r="X133" s="26">
        <f>IF($I133="truck",($Q133*$W133*'MRV Calcs'!$E$7)+($W133*'MRV Calcs'!$E$8),0)</f>
        <v>5.307143336</v>
      </c>
      <c r="Y133" s="26">
        <f>IF($I133="train",'MRV Calcs'!$E$24,0)</f>
        <v>0</v>
      </c>
      <c r="Z133" s="26">
        <f>IF($I133="train",($Q133*$Y133*'MRV Calcs'!$E$7)+($Y133*'MRV Calcs'!$E$8),0)</f>
        <v>0</v>
      </c>
      <c r="AA133" s="26">
        <f>IF($I133="train",'MRV Calcs'!$E$25,0)</f>
        <v>0</v>
      </c>
      <c r="AB133" s="26">
        <f>IF($I133="train",($Q133*$AA133*'MRV Calcs'!$E$11)+($AA133*'MRV Calcs'!$E$12),0)</f>
        <v>0</v>
      </c>
      <c r="AC133" s="26">
        <f>IF($I133="train",'MRV Calcs'!$E$26,0)</f>
        <v>0</v>
      </c>
      <c r="AD133" s="26">
        <f>IF($I133="train",($Q133*$AC133*'MRV Calcs'!$E$7)+($AC133*'MRV Calcs'!$E$8),0)</f>
        <v>0</v>
      </c>
      <c r="AE133" s="26">
        <f>($Q133/30)*SUM('MRV Calcs'!$E$15:$E$16)</f>
        <v>2.983611762</v>
      </c>
      <c r="AF133" s="26">
        <f>'MRV Calcs'!$E$27</f>
        <v>71.2</v>
      </c>
      <c r="AG133" s="26">
        <f>(($Q133*1.1)*$AF133*'MRV Calcs'!$E$7)+($AF133*'MRV Calcs'!$E$8)</f>
        <v>0.2042099343</v>
      </c>
      <c r="AH133" s="26">
        <f>(($Q133*1.1)/20)*SUM('MRV Calcs'!$E$19:$E$20)</f>
        <v>0.02775168</v>
      </c>
      <c r="AI133" s="26">
        <f t="shared" si="3"/>
        <v>11.4386523</v>
      </c>
      <c r="AJ133" s="26">
        <f t="shared" si="20"/>
        <v>-11.4386523</v>
      </c>
      <c r="AK133" s="25" t="str">
        <f t="shared" si="28"/>
        <v>#REF!</v>
      </c>
      <c r="AL133" s="28">
        <f t="shared" si="22"/>
        <v>-0.5803476561</v>
      </c>
      <c r="AM133" s="35"/>
      <c r="AN133" s="29">
        <f>COUNTIF(Blends!H$4:H$1007,B133)+COUNTIF(Blends!J$4:J$1007,B133)+COUNTIF(#REF!,B133)</f>
        <v>12</v>
      </c>
      <c r="AO133" s="48"/>
      <c r="AP133" s="35"/>
      <c r="AQ133" s="35"/>
      <c r="AR133" s="35"/>
      <c r="AS133" s="35"/>
      <c r="AT133" s="35"/>
      <c r="AU133" s="35"/>
      <c r="AV133" s="35"/>
      <c r="AW133" s="35"/>
    </row>
    <row r="134">
      <c r="A134" s="17">
        <v>133.0</v>
      </c>
      <c r="B134" s="17" t="s">
        <v>331</v>
      </c>
      <c r="C134" s="18" t="s">
        <v>397</v>
      </c>
      <c r="D134" s="18" t="s">
        <v>398</v>
      </c>
      <c r="E134" s="17" t="b">
        <v>1</v>
      </c>
      <c r="F134" s="17" t="s">
        <v>349</v>
      </c>
      <c r="G134" s="17" t="s">
        <v>79</v>
      </c>
      <c r="H134" s="17" t="s">
        <v>80</v>
      </c>
      <c r="I134" s="17" t="s">
        <v>81</v>
      </c>
      <c r="J134" s="40"/>
      <c r="K134" s="19" t="s">
        <v>82</v>
      </c>
      <c r="L134" s="40" t="s">
        <v>96</v>
      </c>
      <c r="M134" s="49"/>
      <c r="N134" s="20">
        <v>45754.0</v>
      </c>
      <c r="O134" s="20">
        <v>45757.0</v>
      </c>
      <c r="P134" s="20"/>
      <c r="Q134" s="22">
        <v>20.68</v>
      </c>
      <c r="R134" s="22"/>
      <c r="S134" s="23" t="str">
        <f>iferror(if(AN134=1,VLOOKUP(B134, Blends!H$4:AK$1004,32,0), ""), "")</f>
        <v/>
      </c>
      <c r="T134" s="24"/>
      <c r="U134" s="25">
        <f t="shared" si="19"/>
        <v>0</v>
      </c>
      <c r="V134" s="26">
        <f>$Q134*('MRV Calcs'!$E$3+'MRV Calcs'!$E$4)</f>
        <v>3.059439268</v>
      </c>
      <c r="W134" s="27">
        <f t="shared" si="2"/>
        <v>2030</v>
      </c>
      <c r="X134" s="26">
        <f>IF($I134="truck",($Q134*$W134*'MRV Calcs'!$E$7)+($W134*'MRV Calcs'!$E$8),0)</f>
        <v>5.560659447</v>
      </c>
      <c r="Y134" s="26">
        <f>IF($I134="train",'MRV Calcs'!$E$24,0)</f>
        <v>0</v>
      </c>
      <c r="Z134" s="26">
        <f>IF($I134="train",($Q134*$Y134*'MRV Calcs'!$E$7)+($Y134*'MRV Calcs'!$E$8),0)</f>
        <v>0</v>
      </c>
      <c r="AA134" s="26">
        <f>IF($I134="train",'MRV Calcs'!$E$25,0)</f>
        <v>0</v>
      </c>
      <c r="AB134" s="26">
        <f>IF($I134="train",($Q134*$AA134*'MRV Calcs'!$E$11)+($AA134*'MRV Calcs'!$E$12),0)</f>
        <v>0</v>
      </c>
      <c r="AC134" s="26">
        <f>IF($I134="train",'MRV Calcs'!$E$26,0)</f>
        <v>0</v>
      </c>
      <c r="AD134" s="26">
        <f>IF($I134="train",($Q134*$AC134*'MRV Calcs'!$E$7)+($AC134*'MRV Calcs'!$E$8),0)</f>
        <v>0</v>
      </c>
      <c r="AE134" s="26">
        <f>($Q134/30)*SUM('MRV Calcs'!$E$15:$E$16)</f>
        <v>3.130446029</v>
      </c>
      <c r="AF134" s="26">
        <f>'MRV Calcs'!$E$27</f>
        <v>71.2</v>
      </c>
      <c r="AG134" s="26">
        <f>(($Q134*1.1)*$AF134*'MRV Calcs'!$E$7)+($AF134*'MRV Calcs'!$E$8)</f>
        <v>0.2139909105</v>
      </c>
      <c r="AH134" s="26">
        <f>(($Q134*1.1)/20)*SUM('MRV Calcs'!$E$19:$E$20)</f>
        <v>0.02911744</v>
      </c>
      <c r="AI134" s="26">
        <f t="shared" si="3"/>
        <v>11.9936531</v>
      </c>
      <c r="AJ134" s="26">
        <f t="shared" si="20"/>
        <v>-11.9936531</v>
      </c>
      <c r="AK134" s="25" t="str">
        <f t="shared" si="28"/>
        <v>#REF!</v>
      </c>
      <c r="AL134" s="28">
        <f t="shared" si="22"/>
        <v>-0.5799638828</v>
      </c>
      <c r="AM134" s="29"/>
      <c r="AN134" s="29">
        <f>COUNTIF(Blends!H$4:H$1007,B134)+COUNTIF(Blends!J$4:J$1007,B134)+COUNTIF(#REF!,B134)</f>
        <v>12</v>
      </c>
      <c r="AO134" s="48"/>
      <c r="AP134" s="35"/>
      <c r="AQ134" s="35"/>
      <c r="AR134" s="35"/>
      <c r="AS134" s="35"/>
      <c r="AT134" s="35"/>
      <c r="AU134" s="35"/>
      <c r="AV134" s="35"/>
      <c r="AW134" s="35"/>
    </row>
    <row r="135">
      <c r="A135" s="17">
        <v>135.0</v>
      </c>
      <c r="B135" s="17" t="s">
        <v>399</v>
      </c>
      <c r="C135" s="18" t="s">
        <v>400</v>
      </c>
      <c r="D135" s="18" t="s">
        <v>398</v>
      </c>
      <c r="E135" s="17" t="b">
        <v>1</v>
      </c>
      <c r="F135" s="17" t="s">
        <v>349</v>
      </c>
      <c r="G135" s="17" t="s">
        <v>79</v>
      </c>
      <c r="H135" s="17" t="s">
        <v>80</v>
      </c>
      <c r="I135" s="17" t="s">
        <v>81</v>
      </c>
      <c r="J135" s="40"/>
      <c r="K135" s="19" t="s">
        <v>233</v>
      </c>
      <c r="L135" s="40" t="s">
        <v>238</v>
      </c>
      <c r="M135" s="49"/>
      <c r="N135" s="20">
        <v>45755.0</v>
      </c>
      <c r="O135" s="20">
        <v>45758.0</v>
      </c>
      <c r="P135" s="20"/>
      <c r="Q135" s="22">
        <v>20.05</v>
      </c>
      <c r="R135" s="22"/>
      <c r="S135" s="23" t="str">
        <f>iferror(if(AN135=1,VLOOKUP(B135, Blends!H$4:AK$1004,32,0), ""), "")</f>
        <v/>
      </c>
      <c r="T135" s="24"/>
      <c r="U135" s="25">
        <f t="shared" si="19"/>
        <v>0</v>
      </c>
      <c r="V135" s="26">
        <f>$Q135*('MRV Calcs'!$E$3+'MRV Calcs'!$E$4)</f>
        <v>2.966235847</v>
      </c>
      <c r="W135" s="27">
        <f t="shared" si="2"/>
        <v>2030</v>
      </c>
      <c r="X135" s="26">
        <f>IF($I135="truck",($Q135*$W135*'MRV Calcs'!$E$7)+($W135*'MRV Calcs'!$E$8),0)</f>
        <v>5.396004653</v>
      </c>
      <c r="Y135" s="26">
        <f>IF($I135="train",'MRV Calcs'!$E$24,0)</f>
        <v>0</v>
      </c>
      <c r="Z135" s="26">
        <f>IF($I135="train",($Q135*$Y135*'MRV Calcs'!$E$7)+($Y135*'MRV Calcs'!$E$8),0)</f>
        <v>0</v>
      </c>
      <c r="AA135" s="26">
        <f>IF($I135="train",'MRV Calcs'!$E$25,0)</f>
        <v>0</v>
      </c>
      <c r="AB135" s="26">
        <f>IF($I135="train",($Q135*$AA135*'MRV Calcs'!$E$11)+($AA135*'MRV Calcs'!$E$12),0)</f>
        <v>0</v>
      </c>
      <c r="AC135" s="26">
        <f>IF($I135="train",'MRV Calcs'!$E$26,0)</f>
        <v>0</v>
      </c>
      <c r="AD135" s="26">
        <f>IF($I135="train",($Q135*$AC135*'MRV Calcs'!$E$7)+($AC135*'MRV Calcs'!$E$8),0)</f>
        <v>0</v>
      </c>
      <c r="AE135" s="26">
        <f>($Q135/30)*SUM('MRV Calcs'!$E$15:$E$16)</f>
        <v>3.035079443</v>
      </c>
      <c r="AF135" s="26">
        <f>'MRV Calcs'!$E$27</f>
        <v>71.2</v>
      </c>
      <c r="AG135" s="26">
        <f>(($Q135*1.1)*$AF135*'MRV Calcs'!$E$7)+($AF135*'MRV Calcs'!$E$8)</f>
        <v>0.2076383177</v>
      </c>
      <c r="AH135" s="26">
        <f>(($Q135*1.1)/20)*SUM('MRV Calcs'!$E$19:$E$20)</f>
        <v>0.0282304</v>
      </c>
      <c r="AI135" s="26">
        <f t="shared" si="3"/>
        <v>11.63318866</v>
      </c>
      <c r="AJ135" s="26">
        <f t="shared" si="20"/>
        <v>-11.63318866</v>
      </c>
      <c r="AK135" s="25" t="str">
        <f>AJ135+AK137</f>
        <v>#REF!</v>
      </c>
      <c r="AL135" s="28">
        <f t="shared" si="22"/>
        <v>-0.5802089108</v>
      </c>
      <c r="AM135" s="29"/>
      <c r="AN135" s="29">
        <f>COUNTIF(Blends!H$4:H$1007,B135)+COUNTIF(Blends!J$4:J$1007,B135)+COUNTIF(#REF!,B135)</f>
        <v>0</v>
      </c>
      <c r="AO135" s="48"/>
      <c r="AP135" s="35"/>
      <c r="AQ135" s="35"/>
      <c r="AR135" s="35"/>
      <c r="AS135" s="35"/>
      <c r="AT135" s="35"/>
      <c r="AU135" s="35"/>
      <c r="AV135" s="35"/>
      <c r="AW135" s="35"/>
    </row>
    <row r="136">
      <c r="A136" s="17">
        <v>136.0</v>
      </c>
      <c r="B136" s="17" t="s">
        <v>399</v>
      </c>
      <c r="C136" s="18" t="s">
        <v>401</v>
      </c>
      <c r="D136" s="18" t="s">
        <v>402</v>
      </c>
      <c r="E136" s="17" t="b">
        <v>1</v>
      </c>
      <c r="F136" s="17" t="s">
        <v>349</v>
      </c>
      <c r="G136" s="17" t="s">
        <v>79</v>
      </c>
      <c r="H136" s="17" t="s">
        <v>80</v>
      </c>
      <c r="I136" s="17" t="s">
        <v>81</v>
      </c>
      <c r="J136" s="40"/>
      <c r="K136" s="19" t="s">
        <v>233</v>
      </c>
      <c r="L136" s="40" t="s">
        <v>335</v>
      </c>
      <c r="M136" s="49"/>
      <c r="N136" s="20">
        <v>45755.0</v>
      </c>
      <c r="O136" s="20">
        <v>45758.0</v>
      </c>
      <c r="P136" s="20"/>
      <c r="Q136" s="22">
        <v>20.29</v>
      </c>
      <c r="R136" s="22"/>
      <c r="S136" s="23" t="str">
        <f>iferror(if(AN136=1,VLOOKUP(B136, Blends!H$4:AK$1004,32,0), ""), "")</f>
        <v/>
      </c>
      <c r="T136" s="24"/>
      <c r="U136" s="25">
        <f t="shared" si="19"/>
        <v>0</v>
      </c>
      <c r="V136" s="26">
        <f>$Q136*('MRV Calcs'!$E$3+'MRV Calcs'!$E$4)</f>
        <v>3.001741912</v>
      </c>
      <c r="W136" s="27">
        <f t="shared" si="2"/>
        <v>2030</v>
      </c>
      <c r="X136" s="26">
        <f>IF($I136="truck",($Q136*$W136*'MRV Calcs'!$E$7)+($W136*'MRV Calcs'!$E$8),0)</f>
        <v>5.458730289</v>
      </c>
      <c r="Y136" s="26">
        <f>IF($I136="train",'MRV Calcs'!$E$24,0)</f>
        <v>0</v>
      </c>
      <c r="Z136" s="26">
        <f>IF($I136="train",($Q136*$Y136*'MRV Calcs'!$E$7)+($Y136*'MRV Calcs'!$E$8),0)</f>
        <v>0</v>
      </c>
      <c r="AA136" s="26">
        <f>IF($I136="train",'MRV Calcs'!$E$25,0)</f>
        <v>0</v>
      </c>
      <c r="AB136" s="26">
        <f>IF($I136="train",($Q136*$AA136*'MRV Calcs'!$E$11)+($AA136*'MRV Calcs'!$E$12),0)</f>
        <v>0</v>
      </c>
      <c r="AC136" s="26">
        <f>IF($I136="train",'MRV Calcs'!$E$26,0)</f>
        <v>0</v>
      </c>
      <c r="AD136" s="26">
        <f>IF($I136="train",($Q136*$AC136*'MRV Calcs'!$E$7)+($AC136*'MRV Calcs'!$E$8),0)</f>
        <v>0</v>
      </c>
      <c r="AE136" s="26">
        <f>($Q136/30)*SUM('MRV Calcs'!$E$15:$E$16)</f>
        <v>3.071409571</v>
      </c>
      <c r="AF136" s="26">
        <f>'MRV Calcs'!$E$27</f>
        <v>71.2</v>
      </c>
      <c r="AG136" s="26">
        <f>(($Q136*1.1)*$AF136*'MRV Calcs'!$E$7)+($AF136*'MRV Calcs'!$E$8)</f>
        <v>0.2100583531</v>
      </c>
      <c r="AH136" s="26">
        <f>(($Q136*1.1)/20)*SUM('MRV Calcs'!$E$19:$E$20)</f>
        <v>0.02856832</v>
      </c>
      <c r="AI136" s="26">
        <f t="shared" si="3"/>
        <v>11.77050845</v>
      </c>
      <c r="AJ136" s="26">
        <f t="shared" si="20"/>
        <v>-11.77050845</v>
      </c>
      <c r="AK136" s="25" t="str">
        <f>AJ136+AK135</f>
        <v>#REF!</v>
      </c>
      <c r="AL136" s="28">
        <f t="shared" si="22"/>
        <v>-0.5801137726</v>
      </c>
      <c r="AM136" s="29"/>
      <c r="AN136" s="29">
        <f>COUNTIF(Blends!H$4:H$1007,B136)+COUNTIF(Blends!J$4:J$1007,B136)+COUNTIF(#REF!,B136)</f>
        <v>0</v>
      </c>
      <c r="AO136" s="48"/>
      <c r="AP136" s="35"/>
      <c r="AQ136" s="35"/>
      <c r="AR136" s="35"/>
      <c r="AS136" s="35"/>
      <c r="AT136" s="35"/>
      <c r="AU136" s="35"/>
      <c r="AV136" s="35"/>
      <c r="AW136" s="35"/>
    </row>
    <row r="137">
      <c r="A137" s="17">
        <v>134.0</v>
      </c>
      <c r="B137" s="17" t="s">
        <v>399</v>
      </c>
      <c r="C137" s="18" t="s">
        <v>403</v>
      </c>
      <c r="D137" s="18" t="s">
        <v>402</v>
      </c>
      <c r="E137" s="17" t="b">
        <v>1</v>
      </c>
      <c r="F137" s="17" t="s">
        <v>349</v>
      </c>
      <c r="G137" s="17" t="s">
        <v>79</v>
      </c>
      <c r="H137" s="17" t="s">
        <v>80</v>
      </c>
      <c r="I137" s="17" t="s">
        <v>81</v>
      </c>
      <c r="J137" s="40"/>
      <c r="K137" s="19" t="s">
        <v>82</v>
      </c>
      <c r="L137" s="40" t="s">
        <v>374</v>
      </c>
      <c r="M137" s="49"/>
      <c r="N137" s="20">
        <v>45756.0</v>
      </c>
      <c r="O137" s="20">
        <v>45759.0</v>
      </c>
      <c r="P137" s="20"/>
      <c r="Q137" s="22">
        <v>20.45</v>
      </c>
      <c r="R137" s="22"/>
      <c r="S137" s="23" t="str">
        <f>iferror(if(AN137=1,VLOOKUP(B137, Blends!H$4:AK$1004,32,0), ""), "")</f>
        <v/>
      </c>
      <c r="T137" s="24"/>
      <c r="U137" s="25">
        <f t="shared" si="19"/>
        <v>0</v>
      </c>
      <c r="V137" s="26">
        <f>$Q137*('MRV Calcs'!$E$3+'MRV Calcs'!$E$4)</f>
        <v>3.025412622</v>
      </c>
      <c r="W137" s="27">
        <f t="shared" si="2"/>
        <v>2030</v>
      </c>
      <c r="X137" s="26">
        <f>IF($I137="truck",($Q137*$W137*'MRV Calcs'!$E$7)+($W137*'MRV Calcs'!$E$8),0)</f>
        <v>5.50054738</v>
      </c>
      <c r="Y137" s="26">
        <f>IF($I137="train",'MRV Calcs'!$E$24,0)</f>
        <v>0</v>
      </c>
      <c r="Z137" s="26">
        <f>IF($I137="train",($Q137*$Y137*'MRV Calcs'!$E$7)+($Y137*'MRV Calcs'!$E$8),0)</f>
        <v>0</v>
      </c>
      <c r="AA137" s="26">
        <f>IF($I137="train",'MRV Calcs'!$E$25,0)</f>
        <v>0</v>
      </c>
      <c r="AB137" s="26">
        <f>IF($I137="train",($Q137*$AA137*'MRV Calcs'!$E$11)+($AA137*'MRV Calcs'!$E$12),0)</f>
        <v>0</v>
      </c>
      <c r="AC137" s="26">
        <f>IF($I137="train",'MRV Calcs'!$E$26,0)</f>
        <v>0</v>
      </c>
      <c r="AD137" s="26">
        <f>IF($I137="train",($Q137*$AC137*'MRV Calcs'!$E$7)+($AC137*'MRV Calcs'!$E$8),0)</f>
        <v>0</v>
      </c>
      <c r="AE137" s="26">
        <f>($Q137/30)*SUM('MRV Calcs'!$E$15:$E$16)</f>
        <v>3.095629657</v>
      </c>
      <c r="AF137" s="26">
        <f>'MRV Calcs'!$E$27</f>
        <v>71.2</v>
      </c>
      <c r="AG137" s="26">
        <f>(($Q137*1.1)*$AF137*'MRV Calcs'!$E$7)+($AF137*'MRV Calcs'!$E$8)</f>
        <v>0.21167171</v>
      </c>
      <c r="AH137" s="26">
        <f>(($Q137*1.1)/20)*SUM('MRV Calcs'!$E$19:$E$20)</f>
        <v>0.0287936</v>
      </c>
      <c r="AI137" s="26">
        <f t="shared" si="3"/>
        <v>11.86205497</v>
      </c>
      <c r="AJ137" s="26">
        <f t="shared" si="20"/>
        <v>-11.86205497</v>
      </c>
      <c r="AK137" s="25" t="str">
        <f>AJ137+AK134</f>
        <v>#REF!</v>
      </c>
      <c r="AL137" s="28">
        <f t="shared" si="22"/>
        <v>-0.5800515877</v>
      </c>
      <c r="AM137" s="29"/>
      <c r="AN137" s="29">
        <f>COUNTIF(Blends!H$4:H$1007,B137)+COUNTIF(Blends!J$4:J$1007,B137)+COUNTIF(#REF!,B137)</f>
        <v>0</v>
      </c>
      <c r="AO137" s="48"/>
      <c r="AP137" s="35"/>
      <c r="AQ137" s="35"/>
      <c r="AR137" s="35"/>
      <c r="AS137" s="35"/>
      <c r="AT137" s="35"/>
      <c r="AU137" s="35"/>
      <c r="AV137" s="35"/>
      <c r="AW137" s="35"/>
    </row>
    <row r="138">
      <c r="A138" s="17">
        <v>137.0</v>
      </c>
      <c r="B138" s="17" t="s">
        <v>399</v>
      </c>
      <c r="C138" s="18" t="s">
        <v>404</v>
      </c>
      <c r="D138" s="18" t="s">
        <v>402</v>
      </c>
      <c r="E138" s="17" t="b">
        <v>1</v>
      </c>
      <c r="F138" s="17" t="s">
        <v>349</v>
      </c>
      <c r="G138" s="17" t="s">
        <v>79</v>
      </c>
      <c r="H138" s="17" t="s">
        <v>80</v>
      </c>
      <c r="I138" s="17" t="s">
        <v>81</v>
      </c>
      <c r="J138" s="40"/>
      <c r="K138" s="19" t="s">
        <v>233</v>
      </c>
      <c r="L138" s="40" t="s">
        <v>240</v>
      </c>
      <c r="M138" s="49"/>
      <c r="N138" s="20">
        <v>45756.0</v>
      </c>
      <c r="O138" s="20">
        <v>45761.0</v>
      </c>
      <c r="P138" s="20"/>
      <c r="Q138" s="22">
        <v>19.61</v>
      </c>
      <c r="R138" s="22"/>
      <c r="S138" s="23" t="str">
        <f>iferror(if(AN138=1,VLOOKUP(B138, Blends!H$4:AK$1004,32,0), ""), "")</f>
        <v/>
      </c>
      <c r="T138" s="24"/>
      <c r="U138" s="25">
        <f t="shared" si="19"/>
        <v>0</v>
      </c>
      <c r="V138" s="26">
        <f>$Q138*('MRV Calcs'!$E$3+'MRV Calcs'!$E$4)</f>
        <v>2.901141395</v>
      </c>
      <c r="W138" s="27">
        <f t="shared" si="2"/>
        <v>2030</v>
      </c>
      <c r="X138" s="26">
        <f>IF($I138="truck",($Q138*$W138*'MRV Calcs'!$E$7)+($W138*'MRV Calcs'!$E$8),0)</f>
        <v>5.281007654</v>
      </c>
      <c r="Y138" s="26">
        <f>IF($I138="train",'MRV Calcs'!$E$24,0)</f>
        <v>0</v>
      </c>
      <c r="Z138" s="26">
        <f>IF($I138="train",($Q138*$Y138*'MRV Calcs'!$E$7)+($Y138*'MRV Calcs'!$E$8),0)</f>
        <v>0</v>
      </c>
      <c r="AA138" s="26">
        <f>IF($I138="train",'MRV Calcs'!$E$25,0)</f>
        <v>0</v>
      </c>
      <c r="AB138" s="26">
        <f>IF($I138="train",($Q138*$AA138*'MRV Calcs'!$E$11)+($AA138*'MRV Calcs'!$E$12),0)</f>
        <v>0</v>
      </c>
      <c r="AC138" s="26">
        <f>IF($I138="train",'MRV Calcs'!$E$26,0)</f>
        <v>0</v>
      </c>
      <c r="AD138" s="26">
        <f>IF($I138="train",($Q138*$AC138*'MRV Calcs'!$E$7)+($AC138*'MRV Calcs'!$E$8),0)</f>
        <v>0</v>
      </c>
      <c r="AE138" s="26">
        <f>($Q138/30)*SUM('MRV Calcs'!$E$15:$E$16)</f>
        <v>2.968474209</v>
      </c>
      <c r="AF138" s="26">
        <f>'MRV Calcs'!$E$27</f>
        <v>71.2</v>
      </c>
      <c r="AG138" s="26">
        <f>(($Q138*1.1)*$AF138*'MRV Calcs'!$E$7)+($AF138*'MRV Calcs'!$E$8)</f>
        <v>0.2032015862</v>
      </c>
      <c r="AH138" s="26">
        <f>(($Q138*1.1)/20)*SUM('MRV Calcs'!$E$19:$E$20)</f>
        <v>0.02761088</v>
      </c>
      <c r="AI138" s="26">
        <f t="shared" si="3"/>
        <v>11.38143572</v>
      </c>
      <c r="AJ138" s="26">
        <f t="shared" si="20"/>
        <v>-11.38143572</v>
      </c>
      <c r="AK138" s="25" t="str">
        <f>AJ138+AK136</f>
        <v>#REF!</v>
      </c>
      <c r="AL138" s="28">
        <f t="shared" si="22"/>
        <v>-0.5803893791</v>
      </c>
      <c r="AM138" s="29"/>
      <c r="AN138" s="29">
        <f>COUNTIF(Blends!H$4:H$1007,B138)+COUNTIF(Blends!J$4:J$1007,B138)+COUNTIF(#REF!,B138)</f>
        <v>0</v>
      </c>
      <c r="AO138" s="48"/>
      <c r="AP138" s="35"/>
      <c r="AQ138" s="35"/>
      <c r="AR138" s="35"/>
      <c r="AS138" s="35"/>
      <c r="AT138" s="35"/>
      <c r="AU138" s="35"/>
      <c r="AV138" s="35"/>
      <c r="AW138" s="35"/>
    </row>
    <row r="139">
      <c r="A139" s="17">
        <v>138.0</v>
      </c>
      <c r="B139" s="17" t="s">
        <v>399</v>
      </c>
      <c r="C139" s="18" t="s">
        <v>405</v>
      </c>
      <c r="D139" s="18" t="s">
        <v>406</v>
      </c>
      <c r="E139" s="17" t="b">
        <v>1</v>
      </c>
      <c r="F139" s="17" t="s">
        <v>349</v>
      </c>
      <c r="G139" s="17" t="s">
        <v>79</v>
      </c>
      <c r="H139" s="17" t="s">
        <v>80</v>
      </c>
      <c r="I139" s="17" t="s">
        <v>81</v>
      </c>
      <c r="J139" s="40"/>
      <c r="K139" s="19" t="s">
        <v>233</v>
      </c>
      <c r="L139" s="40" t="s">
        <v>407</v>
      </c>
      <c r="M139" s="49"/>
      <c r="N139" s="20">
        <v>45758.0</v>
      </c>
      <c r="O139" s="20">
        <v>45761.0</v>
      </c>
      <c r="P139" s="20"/>
      <c r="Q139" s="22">
        <v>21.46</v>
      </c>
      <c r="R139" s="22"/>
      <c r="S139" s="23" t="str">
        <f>iferror(if(AN139=1,VLOOKUP(B139, Blends!H$4:AK$1004,32,0), ""), "")</f>
        <v/>
      </c>
      <c r="T139" s="24"/>
      <c r="U139" s="25">
        <f t="shared" si="19"/>
        <v>0</v>
      </c>
      <c r="V139" s="26">
        <f>$Q139*('MRV Calcs'!$E$3+'MRV Calcs'!$E$4)</f>
        <v>3.174833979</v>
      </c>
      <c r="W139" s="27">
        <f t="shared" si="2"/>
        <v>2030</v>
      </c>
      <c r="X139" s="26">
        <f>IF($I139="truck",($Q139*$W139*'MRV Calcs'!$E$7)+($W139*'MRV Calcs'!$E$8),0)</f>
        <v>5.764517764</v>
      </c>
      <c r="Y139" s="26">
        <f>IF($I139="train",'MRV Calcs'!$E$24,0)</f>
        <v>0</v>
      </c>
      <c r="Z139" s="26">
        <f>IF($I139="train",($Q139*$Y139*'MRV Calcs'!$E$7)+($Y139*'MRV Calcs'!$E$8),0)</f>
        <v>0</v>
      </c>
      <c r="AA139" s="26">
        <f>IF($I139="train",'MRV Calcs'!$E$25,0)</f>
        <v>0</v>
      </c>
      <c r="AB139" s="26">
        <f>IF($I139="train",($Q139*$AA139*'MRV Calcs'!$E$11)+($AA139*'MRV Calcs'!$E$12),0)</f>
        <v>0</v>
      </c>
      <c r="AC139" s="26">
        <f>IF($I139="train",'MRV Calcs'!$E$26,0)</f>
        <v>0</v>
      </c>
      <c r="AD139" s="26">
        <f>IF($I139="train",($Q139*$AC139*'MRV Calcs'!$E$7)+($AC139*'MRV Calcs'!$E$8),0)</f>
        <v>0</v>
      </c>
      <c r="AE139" s="26">
        <f>($Q139/30)*SUM('MRV Calcs'!$E$15:$E$16)</f>
        <v>3.248518945</v>
      </c>
      <c r="AF139" s="26">
        <f>'MRV Calcs'!$E$27</f>
        <v>71.2</v>
      </c>
      <c r="AG139" s="26">
        <f>(($Q139*1.1)*$AF139*'MRV Calcs'!$E$7)+($AF139*'MRV Calcs'!$E$8)</f>
        <v>0.2218560255</v>
      </c>
      <c r="AH139" s="26">
        <f>(($Q139*1.1)/20)*SUM('MRV Calcs'!$E$19:$E$20)</f>
        <v>0.03021568</v>
      </c>
      <c r="AI139" s="26">
        <f t="shared" si="3"/>
        <v>12.43994239</v>
      </c>
      <c r="AJ139" s="26">
        <f t="shared" si="20"/>
        <v>-12.43994239</v>
      </c>
      <c r="AK139" s="25" t="str">
        <f t="shared" ref="AK139:AK154" si="29">AJ139+AK138</f>
        <v>#REF!</v>
      </c>
      <c r="AL139" s="28">
        <f t="shared" si="22"/>
        <v>-0.5796804471</v>
      </c>
      <c r="AM139" s="29"/>
      <c r="AN139" s="29">
        <f>COUNTIF(Blends!H$4:H$1007,B139)+COUNTIF(Blends!J$4:J$1007,B139)+COUNTIF(#REF!,B139)</f>
        <v>0</v>
      </c>
      <c r="AO139" s="48"/>
      <c r="AP139" s="35"/>
      <c r="AQ139" s="35"/>
      <c r="AR139" s="35"/>
      <c r="AS139" s="35"/>
      <c r="AT139" s="35"/>
      <c r="AU139" s="35"/>
      <c r="AV139" s="35"/>
      <c r="AW139" s="35"/>
    </row>
    <row r="140">
      <c r="A140" s="17">
        <v>139.0</v>
      </c>
      <c r="B140" s="17" t="s">
        <v>399</v>
      </c>
      <c r="C140" s="18" t="s">
        <v>408</v>
      </c>
      <c r="D140" s="18" t="s">
        <v>406</v>
      </c>
      <c r="E140" s="17" t="b">
        <v>1</v>
      </c>
      <c r="F140" s="17" t="s">
        <v>349</v>
      </c>
      <c r="G140" s="17" t="s">
        <v>79</v>
      </c>
      <c r="H140" s="17" t="s">
        <v>80</v>
      </c>
      <c r="I140" s="17" t="s">
        <v>81</v>
      </c>
      <c r="J140" s="19"/>
      <c r="K140" s="19" t="s">
        <v>233</v>
      </c>
      <c r="L140" s="19" t="s">
        <v>409</v>
      </c>
      <c r="M140" s="49"/>
      <c r="N140" s="20">
        <v>45758.0</v>
      </c>
      <c r="O140" s="20">
        <v>45763.0</v>
      </c>
      <c r="P140" s="20"/>
      <c r="Q140" s="22">
        <v>20.15</v>
      </c>
      <c r="R140" s="22"/>
      <c r="S140" s="23" t="str">
        <f>iferror(if(AN140=1,VLOOKUP(B140, Blends!H$4:AK$1004,32,0), ""), "")</f>
        <v/>
      </c>
      <c r="T140" s="24"/>
      <c r="U140" s="25">
        <f t="shared" si="19"/>
        <v>0</v>
      </c>
      <c r="V140" s="26">
        <f>$Q140*('MRV Calcs'!$E$3+'MRV Calcs'!$E$4)</f>
        <v>2.981030041</v>
      </c>
      <c r="W140" s="27">
        <f t="shared" si="2"/>
        <v>2030</v>
      </c>
      <c r="X140" s="26">
        <f>IF($I140="truck",($Q140*$W140*'MRV Calcs'!$E$7)+($W140*'MRV Calcs'!$E$8),0)</f>
        <v>5.422140335</v>
      </c>
      <c r="Y140" s="26">
        <f>IF($I140="train",'MRV Calcs'!$E$24,0)</f>
        <v>0</v>
      </c>
      <c r="Z140" s="26">
        <f>IF($I140="train",($Q140*$Y140*'MRV Calcs'!$E$7)+($Y140*'MRV Calcs'!$E$8),0)</f>
        <v>0</v>
      </c>
      <c r="AA140" s="26">
        <f>IF($I140="train",'MRV Calcs'!$E$25,0)</f>
        <v>0</v>
      </c>
      <c r="AB140" s="26">
        <f>IF($I140="train",($Q140*$AA140*'MRV Calcs'!$E$11)+($AA140*'MRV Calcs'!$E$12),0)</f>
        <v>0</v>
      </c>
      <c r="AC140" s="26">
        <f>IF($I140="train",'MRV Calcs'!$E$26,0)</f>
        <v>0</v>
      </c>
      <c r="AD140" s="26">
        <f>IF($I140="train",($Q140*$AC140*'MRV Calcs'!$E$7)+($AC140*'MRV Calcs'!$E$8),0)</f>
        <v>0</v>
      </c>
      <c r="AE140" s="26">
        <f>($Q140/30)*SUM('MRV Calcs'!$E$15:$E$16)</f>
        <v>3.050216997</v>
      </c>
      <c r="AF140" s="26">
        <f>'MRV Calcs'!$E$27</f>
        <v>71.2</v>
      </c>
      <c r="AG140" s="26">
        <f>(($Q140*1.1)*$AF140*'MRV Calcs'!$E$7)+($AF140*'MRV Calcs'!$E$8)</f>
        <v>0.2086466658</v>
      </c>
      <c r="AH140" s="26">
        <f>(($Q140*1.1)/20)*SUM('MRV Calcs'!$E$19:$E$20)</f>
        <v>0.0283712</v>
      </c>
      <c r="AI140" s="26">
        <f t="shared" si="3"/>
        <v>11.69040524</v>
      </c>
      <c r="AJ140" s="26">
        <f t="shared" si="20"/>
        <v>-11.69040524</v>
      </c>
      <c r="AK140" s="25" t="str">
        <f t="shared" si="29"/>
        <v>#REF!</v>
      </c>
      <c r="AL140" s="28">
        <f t="shared" si="22"/>
        <v>-0.5801689945</v>
      </c>
      <c r="AM140" s="35"/>
      <c r="AN140" s="29">
        <f>COUNTIF(Blends!H$4:H$1007,B140)+COUNTIF(Blends!J$4:J$1007,B140)+COUNTIF(#REF!,B140)</f>
        <v>0</v>
      </c>
      <c r="AO140" s="48"/>
      <c r="AP140" s="35"/>
      <c r="AQ140" s="35"/>
      <c r="AR140" s="35"/>
      <c r="AS140" s="35"/>
      <c r="AT140" s="35"/>
      <c r="AU140" s="35"/>
      <c r="AV140" s="35"/>
      <c r="AW140" s="35"/>
    </row>
    <row r="141">
      <c r="A141" s="17">
        <v>140.0</v>
      </c>
      <c r="B141" s="17" t="s">
        <v>399</v>
      </c>
      <c r="C141" s="18" t="s">
        <v>410</v>
      </c>
      <c r="D141" s="18" t="s">
        <v>406</v>
      </c>
      <c r="E141" s="17" t="b">
        <v>1</v>
      </c>
      <c r="F141" s="17" t="s">
        <v>349</v>
      </c>
      <c r="G141" s="17" t="s">
        <v>79</v>
      </c>
      <c r="H141" s="17" t="s">
        <v>80</v>
      </c>
      <c r="I141" s="17" t="s">
        <v>81</v>
      </c>
      <c r="J141" s="19"/>
      <c r="K141" s="19" t="s">
        <v>233</v>
      </c>
      <c r="L141" s="19" t="s">
        <v>339</v>
      </c>
      <c r="M141" s="49"/>
      <c r="N141" s="20">
        <v>45758.0</v>
      </c>
      <c r="O141" s="20">
        <v>45762.0</v>
      </c>
      <c r="P141" s="20"/>
      <c r="Q141" s="22">
        <v>20.35</v>
      </c>
      <c r="R141" s="22"/>
      <c r="S141" s="23" t="str">
        <f>iferror(if(AN141=1,VLOOKUP(B141, Blends!H$4:AK$1004,32,0), ""), "")</f>
        <v/>
      </c>
      <c r="T141" s="24"/>
      <c r="U141" s="25">
        <f t="shared" si="19"/>
        <v>0</v>
      </c>
      <c r="V141" s="26">
        <f>$Q141*('MRV Calcs'!$E$3+'MRV Calcs'!$E$4)</f>
        <v>3.010618429</v>
      </c>
      <c r="W141" s="27">
        <f t="shared" si="2"/>
        <v>2030</v>
      </c>
      <c r="X141" s="26">
        <f>IF($I141="truck",($Q141*$W141*'MRV Calcs'!$E$7)+($W141*'MRV Calcs'!$E$8),0)</f>
        <v>5.474411698</v>
      </c>
      <c r="Y141" s="26">
        <f>IF($I141="train",'MRV Calcs'!$E$24,0)</f>
        <v>0</v>
      </c>
      <c r="Z141" s="26">
        <f>IF($I141="train",($Q141*$Y141*'MRV Calcs'!$E$7)+($Y141*'MRV Calcs'!$E$8),0)</f>
        <v>0</v>
      </c>
      <c r="AA141" s="26">
        <f>IF($I141="train",'MRV Calcs'!$E$25,0)</f>
        <v>0</v>
      </c>
      <c r="AB141" s="26">
        <f>IF($I141="train",($Q141*$AA141*'MRV Calcs'!$E$11)+($AA141*'MRV Calcs'!$E$12),0)</f>
        <v>0</v>
      </c>
      <c r="AC141" s="26">
        <f>IF($I141="train",'MRV Calcs'!$E$26,0)</f>
        <v>0</v>
      </c>
      <c r="AD141" s="26">
        <f>IF($I141="train",($Q141*$AC141*'MRV Calcs'!$E$7)+($AC141*'MRV Calcs'!$E$8),0)</f>
        <v>0</v>
      </c>
      <c r="AE141" s="26">
        <f>($Q141/30)*SUM('MRV Calcs'!$E$15:$E$16)</f>
        <v>3.080492103</v>
      </c>
      <c r="AF141" s="26">
        <f>'MRV Calcs'!$E$27</f>
        <v>71.2</v>
      </c>
      <c r="AG141" s="26">
        <f>(($Q141*1.1)*$AF141*'MRV Calcs'!$E$7)+($AF141*'MRV Calcs'!$E$8)</f>
        <v>0.2106633619</v>
      </c>
      <c r="AH141" s="26">
        <f>(($Q141*1.1)/20)*SUM('MRV Calcs'!$E$19:$E$20)</f>
        <v>0.0286528</v>
      </c>
      <c r="AI141" s="26">
        <f t="shared" si="3"/>
        <v>11.80483839</v>
      </c>
      <c r="AJ141" s="26">
        <f t="shared" si="20"/>
        <v>-11.80483839</v>
      </c>
      <c r="AK141" s="25" t="str">
        <f t="shared" si="29"/>
        <v>#REF!</v>
      </c>
      <c r="AL141" s="28">
        <f t="shared" si="22"/>
        <v>-0.5800903387</v>
      </c>
      <c r="AM141" s="35"/>
      <c r="AN141" s="29">
        <f>COUNTIF(Blends!H$4:H$1007,B141)+COUNTIF(Blends!J$4:J$1007,B141)+COUNTIF(#REF!,B141)</f>
        <v>0</v>
      </c>
      <c r="AO141" s="48"/>
      <c r="AP141" s="35"/>
      <c r="AQ141" s="35"/>
      <c r="AR141" s="35"/>
      <c r="AS141" s="35"/>
      <c r="AT141" s="35"/>
      <c r="AU141" s="35"/>
      <c r="AV141" s="35"/>
      <c r="AW141" s="35"/>
    </row>
    <row r="142">
      <c r="A142" s="17">
        <v>141.0</v>
      </c>
      <c r="B142" s="17" t="s">
        <v>399</v>
      </c>
      <c r="C142" s="18" t="s">
        <v>411</v>
      </c>
      <c r="D142" s="18" t="s">
        <v>412</v>
      </c>
      <c r="E142" s="17" t="b">
        <v>1</v>
      </c>
      <c r="F142" s="17" t="s">
        <v>349</v>
      </c>
      <c r="G142" s="17" t="s">
        <v>79</v>
      </c>
      <c r="H142" s="17" t="s">
        <v>80</v>
      </c>
      <c r="I142" s="17" t="s">
        <v>81</v>
      </c>
      <c r="J142" s="40"/>
      <c r="K142" s="19" t="s">
        <v>233</v>
      </c>
      <c r="L142" s="40" t="s">
        <v>292</v>
      </c>
      <c r="M142" s="49"/>
      <c r="N142" s="20">
        <v>45759.0</v>
      </c>
      <c r="O142" s="20">
        <v>45763.0</v>
      </c>
      <c r="P142" s="20"/>
      <c r="Q142" s="22">
        <v>20.37</v>
      </c>
      <c r="R142" s="22"/>
      <c r="S142" s="23" t="str">
        <f>iferror(if(AN142=1,VLOOKUP(B142, Blends!H$4:AK$1004,32,0), ""), "")</f>
        <v/>
      </c>
      <c r="T142" s="24"/>
      <c r="U142" s="25">
        <f t="shared" si="19"/>
        <v>0</v>
      </c>
      <c r="V142" s="26">
        <f>$Q142*('MRV Calcs'!$E$3+'MRV Calcs'!$E$4)</f>
        <v>3.013577267</v>
      </c>
      <c r="W142" s="27">
        <f t="shared" si="2"/>
        <v>2030</v>
      </c>
      <c r="X142" s="26">
        <f>IF($I142="truck",($Q142*$W142*'MRV Calcs'!$E$7)+($W142*'MRV Calcs'!$E$8),0)</f>
        <v>5.479638834</v>
      </c>
      <c r="Y142" s="26">
        <f>IF($I142="train",'MRV Calcs'!$E$24,0)</f>
        <v>0</v>
      </c>
      <c r="Z142" s="26">
        <f>IF($I142="train",($Q142*$Y142*'MRV Calcs'!$E$7)+($Y142*'MRV Calcs'!$E$8),0)</f>
        <v>0</v>
      </c>
      <c r="AA142" s="26">
        <f>IF($I142="train",'MRV Calcs'!$E$25,0)</f>
        <v>0</v>
      </c>
      <c r="AB142" s="26">
        <f>IF($I142="train",($Q142*$AA142*'MRV Calcs'!$E$11)+($AA142*'MRV Calcs'!$E$12),0)</f>
        <v>0</v>
      </c>
      <c r="AC142" s="26">
        <f>IF($I142="train",'MRV Calcs'!$E$26,0)</f>
        <v>0</v>
      </c>
      <c r="AD142" s="26">
        <f>IF($I142="train",($Q142*$AC142*'MRV Calcs'!$E$7)+($AC142*'MRV Calcs'!$E$8),0)</f>
        <v>0</v>
      </c>
      <c r="AE142" s="26">
        <f>($Q142/30)*SUM('MRV Calcs'!$E$15:$E$16)</f>
        <v>3.083519614</v>
      </c>
      <c r="AF142" s="26">
        <f>'MRV Calcs'!$E$27</f>
        <v>71.2</v>
      </c>
      <c r="AG142" s="26">
        <f>(($Q142*1.1)*$AF142*'MRV Calcs'!$E$7)+($AF142*'MRV Calcs'!$E$8)</f>
        <v>0.2108650315</v>
      </c>
      <c r="AH142" s="26">
        <f>(($Q142*1.1)/20)*SUM('MRV Calcs'!$E$19:$E$20)</f>
        <v>0.02868096</v>
      </c>
      <c r="AI142" s="26">
        <f t="shared" si="3"/>
        <v>11.81628171</v>
      </c>
      <c r="AJ142" s="26">
        <f t="shared" si="20"/>
        <v>-11.81628171</v>
      </c>
      <c r="AK142" s="25" t="str">
        <f t="shared" si="29"/>
        <v>#REF!</v>
      </c>
      <c r="AL142" s="28">
        <f t="shared" si="22"/>
        <v>-0.580082558</v>
      </c>
      <c r="AM142" s="35"/>
      <c r="AN142" s="29">
        <f>COUNTIF(Blends!H$4:H$1007,B142)+COUNTIF(Blends!J$4:J$1007,B142)+COUNTIF(#REF!,B142)</f>
        <v>0</v>
      </c>
      <c r="AO142" s="48"/>
      <c r="AP142" s="35"/>
      <c r="AQ142" s="35"/>
      <c r="AR142" s="35"/>
      <c r="AS142" s="35"/>
      <c r="AT142" s="35"/>
      <c r="AU142" s="35"/>
      <c r="AV142" s="35"/>
      <c r="AW142" s="35"/>
    </row>
    <row r="143">
      <c r="A143" s="17">
        <v>142.0</v>
      </c>
      <c r="B143" s="17" t="s">
        <v>399</v>
      </c>
      <c r="C143" s="18" t="s">
        <v>413</v>
      </c>
      <c r="D143" s="18" t="s">
        <v>412</v>
      </c>
      <c r="E143" s="17" t="b">
        <v>1</v>
      </c>
      <c r="F143" s="17" t="s">
        <v>349</v>
      </c>
      <c r="G143" s="17" t="s">
        <v>79</v>
      </c>
      <c r="H143" s="17" t="s">
        <v>80</v>
      </c>
      <c r="I143" s="17" t="s">
        <v>81</v>
      </c>
      <c r="J143" s="40"/>
      <c r="K143" s="19" t="s">
        <v>233</v>
      </c>
      <c r="L143" s="40" t="s">
        <v>414</v>
      </c>
      <c r="M143" s="49"/>
      <c r="N143" s="20">
        <v>45760.0</v>
      </c>
      <c r="O143" s="20">
        <v>45763.0</v>
      </c>
      <c r="P143" s="20"/>
      <c r="Q143" s="22">
        <v>20.09</v>
      </c>
      <c r="R143" s="22"/>
      <c r="S143" s="23" t="str">
        <f>iferror(if(AN143=1,VLOOKUP(B143, Blends!H$4:AK$1004,32,0), ""), "")</f>
        <v/>
      </c>
      <c r="T143" s="24"/>
      <c r="U143" s="25">
        <f t="shared" si="19"/>
        <v>0</v>
      </c>
      <c r="V143" s="26">
        <f>$Q143*('MRV Calcs'!$E$3+'MRV Calcs'!$E$4)</f>
        <v>2.972153525</v>
      </c>
      <c r="W143" s="27">
        <f t="shared" si="2"/>
        <v>2030</v>
      </c>
      <c r="X143" s="26">
        <f>IF($I143="truck",($Q143*$W143*'MRV Calcs'!$E$7)+($W143*'MRV Calcs'!$E$8),0)</f>
        <v>5.406458926</v>
      </c>
      <c r="Y143" s="26">
        <f>IF($I143="train",'MRV Calcs'!$E$24,0)</f>
        <v>0</v>
      </c>
      <c r="Z143" s="26">
        <f>IF($I143="train",($Q143*$Y143*'MRV Calcs'!$E$7)+($Y143*'MRV Calcs'!$E$8),0)</f>
        <v>0</v>
      </c>
      <c r="AA143" s="26">
        <f>IF($I143="train",'MRV Calcs'!$E$25,0)</f>
        <v>0</v>
      </c>
      <c r="AB143" s="26">
        <f>IF($I143="train",($Q143*$AA143*'MRV Calcs'!$E$11)+($AA143*'MRV Calcs'!$E$12),0)</f>
        <v>0</v>
      </c>
      <c r="AC143" s="26">
        <f>IF($I143="train",'MRV Calcs'!$E$26,0)</f>
        <v>0</v>
      </c>
      <c r="AD143" s="26">
        <f>IF($I143="train",($Q143*$AC143*'MRV Calcs'!$E$7)+($AC143*'MRV Calcs'!$E$8),0)</f>
        <v>0</v>
      </c>
      <c r="AE143" s="26">
        <f>($Q143/30)*SUM('MRV Calcs'!$E$15:$E$16)</f>
        <v>3.041134465</v>
      </c>
      <c r="AF143" s="26">
        <f>'MRV Calcs'!$E$27</f>
        <v>71.2</v>
      </c>
      <c r="AG143" s="26">
        <f>(($Q143*1.1)*$AF143*'MRV Calcs'!$E$7)+($AF143*'MRV Calcs'!$E$8)</f>
        <v>0.2080416569</v>
      </c>
      <c r="AH143" s="26">
        <f>(($Q143*1.1)/20)*SUM('MRV Calcs'!$E$19:$E$20)</f>
        <v>0.02828672</v>
      </c>
      <c r="AI143" s="26">
        <f t="shared" si="3"/>
        <v>11.65607529</v>
      </c>
      <c r="AJ143" s="26">
        <f t="shared" si="20"/>
        <v>-11.65607529</v>
      </c>
      <c r="AK143" s="25" t="str">
        <f t="shared" si="29"/>
        <v>#REF!</v>
      </c>
      <c r="AL143" s="28">
        <f t="shared" si="22"/>
        <v>-0.5801928966</v>
      </c>
      <c r="AM143" s="35"/>
      <c r="AN143" s="29">
        <f>COUNTIF(Blends!H$4:H$1007,B143)+COUNTIF(Blends!J$4:J$1007,B143)+COUNTIF(#REF!,B143)</f>
        <v>0</v>
      </c>
      <c r="AO143" s="48"/>
      <c r="AP143" s="35"/>
      <c r="AQ143" s="35"/>
      <c r="AR143" s="35"/>
      <c r="AS143" s="35"/>
      <c r="AT143" s="35"/>
      <c r="AU143" s="35"/>
      <c r="AV143" s="35"/>
      <c r="AW143" s="35"/>
    </row>
    <row r="144">
      <c r="A144" s="17">
        <v>143.0</v>
      </c>
      <c r="B144" s="17" t="s">
        <v>399</v>
      </c>
      <c r="C144" s="18" t="s">
        <v>415</v>
      </c>
      <c r="D144" s="18" t="s">
        <v>416</v>
      </c>
      <c r="E144" s="17" t="b">
        <v>1</v>
      </c>
      <c r="F144" s="17" t="s">
        <v>349</v>
      </c>
      <c r="G144" s="17" t="s">
        <v>79</v>
      </c>
      <c r="H144" s="17" t="s">
        <v>80</v>
      </c>
      <c r="I144" s="17" t="s">
        <v>81</v>
      </c>
      <c r="J144" s="40"/>
      <c r="K144" s="19" t="s">
        <v>82</v>
      </c>
      <c r="L144" s="40" t="s">
        <v>96</v>
      </c>
      <c r="M144" s="49"/>
      <c r="N144" s="20">
        <v>45762.0</v>
      </c>
      <c r="O144" s="20">
        <v>45767.0</v>
      </c>
      <c r="P144" s="20"/>
      <c r="Q144" s="22">
        <v>20.71</v>
      </c>
      <c r="R144" s="22"/>
      <c r="S144" s="23" t="str">
        <f>iferror(if(AN144=1,VLOOKUP(B144, Blends!H$4:AK$1004,32,0), ""), "")</f>
        <v/>
      </c>
      <c r="T144" s="24"/>
      <c r="U144" s="25">
        <f t="shared" si="19"/>
        <v>0</v>
      </c>
      <c r="V144" s="26">
        <f>$Q144*('MRV Calcs'!$E$3+'MRV Calcs'!$E$4)</f>
        <v>3.063877526</v>
      </c>
      <c r="W144" s="27">
        <f t="shared" si="2"/>
        <v>2030</v>
      </c>
      <c r="X144" s="26">
        <f>IF($I144="truck",($Q144*$W144*'MRV Calcs'!$E$7)+($W144*'MRV Calcs'!$E$8),0)</f>
        <v>5.568500152</v>
      </c>
      <c r="Y144" s="26">
        <f>IF($I144="train",'MRV Calcs'!$E$24,0)</f>
        <v>0</v>
      </c>
      <c r="Z144" s="26">
        <f>IF($I144="train",($Q144*$Y144*'MRV Calcs'!$E$7)+($Y144*'MRV Calcs'!$E$8),0)</f>
        <v>0</v>
      </c>
      <c r="AA144" s="26">
        <f>IF($I144="train",'MRV Calcs'!$E$25,0)</f>
        <v>0</v>
      </c>
      <c r="AB144" s="26">
        <f>IF($I144="train",($Q144*$AA144*'MRV Calcs'!$E$11)+($AA144*'MRV Calcs'!$E$12),0)</f>
        <v>0</v>
      </c>
      <c r="AC144" s="26">
        <f>IF($I144="train",'MRV Calcs'!$E$26,0)</f>
        <v>0</v>
      </c>
      <c r="AD144" s="26">
        <f>IF($I144="train",($Q144*$AC144*'MRV Calcs'!$E$7)+($AC144*'MRV Calcs'!$E$8),0)</f>
        <v>0</v>
      </c>
      <c r="AE144" s="26">
        <f>($Q144/30)*SUM('MRV Calcs'!$E$15:$E$16)</f>
        <v>3.134987295</v>
      </c>
      <c r="AF144" s="26">
        <f>'MRV Calcs'!$E$27</f>
        <v>71.2</v>
      </c>
      <c r="AG144" s="26">
        <f>(($Q144*1.1)*$AF144*'MRV Calcs'!$E$7)+($AF144*'MRV Calcs'!$E$8)</f>
        <v>0.214293415</v>
      </c>
      <c r="AH144" s="26">
        <f>(($Q144*1.1)/20)*SUM('MRV Calcs'!$E$19:$E$20)</f>
        <v>0.02915968</v>
      </c>
      <c r="AI144" s="26">
        <f t="shared" si="3"/>
        <v>12.01081807</v>
      </c>
      <c r="AJ144" s="26">
        <f t="shared" si="20"/>
        <v>-12.01081807</v>
      </c>
      <c r="AK144" s="25" t="str">
        <f t="shared" si="29"/>
        <v>#REF!</v>
      </c>
      <c r="AL144" s="28">
        <f t="shared" si="22"/>
        <v>-0.5799525866</v>
      </c>
      <c r="AM144" s="35"/>
      <c r="AN144" s="29">
        <f>COUNTIF(Blends!H$4:H$1007,B144)+COUNTIF(Blends!J$4:J$1007,B144)+COUNTIF(#REF!,B144)</f>
        <v>0</v>
      </c>
      <c r="AO144" s="48"/>
      <c r="AP144" s="35"/>
      <c r="AQ144" s="35"/>
      <c r="AR144" s="35"/>
      <c r="AS144" s="35"/>
      <c r="AT144" s="35"/>
      <c r="AU144" s="35"/>
      <c r="AV144" s="35"/>
      <c r="AW144" s="35"/>
    </row>
    <row r="145">
      <c r="A145" s="17">
        <v>144.0</v>
      </c>
      <c r="B145" s="17" t="s">
        <v>399</v>
      </c>
      <c r="C145" s="18" t="s">
        <v>417</v>
      </c>
      <c r="D145" s="18" t="s">
        <v>418</v>
      </c>
      <c r="E145" s="17" t="b">
        <v>1</v>
      </c>
      <c r="F145" s="17" t="s">
        <v>349</v>
      </c>
      <c r="G145" s="17" t="s">
        <v>79</v>
      </c>
      <c r="H145" s="17" t="s">
        <v>80</v>
      </c>
      <c r="I145" s="17" t="s">
        <v>81</v>
      </c>
      <c r="J145" s="40"/>
      <c r="K145" s="19" t="s">
        <v>233</v>
      </c>
      <c r="L145" s="40" t="s">
        <v>335</v>
      </c>
      <c r="M145" s="49"/>
      <c r="N145" s="20">
        <v>45764.0</v>
      </c>
      <c r="O145" s="20">
        <v>45768.0</v>
      </c>
      <c r="P145" s="20"/>
      <c r="Q145" s="22">
        <v>20.3</v>
      </c>
      <c r="R145" s="22"/>
      <c r="S145" s="23" t="str">
        <f>iferror(if(AN145=1,VLOOKUP(B145, Blends!H$4:AK$1004,32,0), ""), "")</f>
        <v/>
      </c>
      <c r="T145" s="24"/>
      <c r="U145" s="25">
        <f t="shared" si="19"/>
        <v>0</v>
      </c>
      <c r="V145" s="26">
        <f>$Q145*('MRV Calcs'!$E$3+'MRV Calcs'!$E$4)</f>
        <v>3.003221332</v>
      </c>
      <c r="W145" s="27">
        <f t="shared" si="2"/>
        <v>2030</v>
      </c>
      <c r="X145" s="26">
        <f>IF($I145="truck",($Q145*$W145*'MRV Calcs'!$E$7)+($W145*'MRV Calcs'!$E$8),0)</f>
        <v>5.461343857</v>
      </c>
      <c r="Y145" s="26">
        <f>IF($I145="train",'MRV Calcs'!$E$24,0)</f>
        <v>0</v>
      </c>
      <c r="Z145" s="26">
        <f>IF($I145="train",($Q145*$Y145*'MRV Calcs'!$E$7)+($Y145*'MRV Calcs'!$E$8),0)</f>
        <v>0</v>
      </c>
      <c r="AA145" s="26">
        <f>IF($I145="train",'MRV Calcs'!$E$25,0)</f>
        <v>0</v>
      </c>
      <c r="AB145" s="26">
        <f>IF($I145="train",($Q145*$AA145*'MRV Calcs'!$E$11)+($AA145*'MRV Calcs'!$E$12),0)</f>
        <v>0</v>
      </c>
      <c r="AC145" s="26">
        <f>IF($I145="train",'MRV Calcs'!$E$26,0)</f>
        <v>0</v>
      </c>
      <c r="AD145" s="26">
        <f>IF($I145="train",($Q145*$AC145*'MRV Calcs'!$E$7)+($AC145*'MRV Calcs'!$E$8),0)</f>
        <v>0</v>
      </c>
      <c r="AE145" s="26">
        <f>($Q145/30)*SUM('MRV Calcs'!$E$15:$E$16)</f>
        <v>3.072923327</v>
      </c>
      <c r="AF145" s="26">
        <f>'MRV Calcs'!$E$27</f>
        <v>71.2</v>
      </c>
      <c r="AG145" s="26">
        <f>(($Q145*1.1)*$AF145*'MRV Calcs'!$E$7)+($AF145*'MRV Calcs'!$E$8)</f>
        <v>0.2101591879</v>
      </c>
      <c r="AH145" s="26">
        <f>(($Q145*1.1)/20)*SUM('MRV Calcs'!$E$19:$E$20)</f>
        <v>0.0285824</v>
      </c>
      <c r="AI145" s="26">
        <f t="shared" si="3"/>
        <v>11.7762301</v>
      </c>
      <c r="AJ145" s="26">
        <f t="shared" si="20"/>
        <v>-11.7762301</v>
      </c>
      <c r="AK145" s="25" t="str">
        <f t="shared" si="29"/>
        <v>#REF!</v>
      </c>
      <c r="AL145" s="28">
        <f t="shared" si="22"/>
        <v>-0.5801098573</v>
      </c>
      <c r="AM145" s="35"/>
      <c r="AN145" s="29">
        <f>COUNTIF(Blends!H$4:H$1007,B145)+COUNTIF(Blends!J$4:J$1007,B145)+COUNTIF(#REF!,B145)</f>
        <v>0</v>
      </c>
      <c r="AO145" s="48"/>
      <c r="AP145" s="35"/>
      <c r="AQ145" s="35"/>
      <c r="AR145" s="35"/>
      <c r="AS145" s="35"/>
      <c r="AT145" s="35"/>
      <c r="AU145" s="35"/>
      <c r="AV145" s="35"/>
      <c r="AW145" s="35"/>
    </row>
    <row r="146">
      <c r="A146" s="17">
        <v>145.0</v>
      </c>
      <c r="B146" s="17" t="s">
        <v>399</v>
      </c>
      <c r="C146" s="18" t="s">
        <v>419</v>
      </c>
      <c r="D146" s="18" t="s">
        <v>418</v>
      </c>
      <c r="E146" s="17" t="b">
        <v>1</v>
      </c>
      <c r="F146" s="17" t="s">
        <v>349</v>
      </c>
      <c r="G146" s="17" t="s">
        <v>79</v>
      </c>
      <c r="H146" s="17" t="s">
        <v>80</v>
      </c>
      <c r="I146" s="17" t="s">
        <v>81</v>
      </c>
      <c r="J146" s="40"/>
      <c r="K146" s="19" t="s">
        <v>82</v>
      </c>
      <c r="L146" s="40" t="s">
        <v>420</v>
      </c>
      <c r="M146" s="49"/>
      <c r="N146" s="20">
        <v>45764.0</v>
      </c>
      <c r="O146" s="20">
        <v>45768.0</v>
      </c>
      <c r="P146" s="20"/>
      <c r="Q146" s="22">
        <v>20.57</v>
      </c>
      <c r="R146" s="22"/>
      <c r="S146" s="23" t="str">
        <f>iferror(if(AN146=1,VLOOKUP(B146, Blends!H$4:AK$1004,32,0), ""), "")</f>
        <v/>
      </c>
      <c r="T146" s="24"/>
      <c r="U146" s="25">
        <f t="shared" si="19"/>
        <v>0</v>
      </c>
      <c r="V146" s="26">
        <f>$Q146*('MRV Calcs'!$E$3+'MRV Calcs'!$E$4)</f>
        <v>3.043165655</v>
      </c>
      <c r="W146" s="27">
        <f t="shared" si="2"/>
        <v>2030</v>
      </c>
      <c r="X146" s="26">
        <f>IF($I146="truck",($Q146*$W146*'MRV Calcs'!$E$7)+($W146*'MRV Calcs'!$E$8),0)</f>
        <v>5.531910198</v>
      </c>
      <c r="Y146" s="26">
        <f>IF($I146="train",'MRV Calcs'!$E$24,0)</f>
        <v>0</v>
      </c>
      <c r="Z146" s="26">
        <f>IF($I146="train",($Q146*$Y146*'MRV Calcs'!$E$7)+($Y146*'MRV Calcs'!$E$8),0)</f>
        <v>0</v>
      </c>
      <c r="AA146" s="26">
        <f>IF($I146="train",'MRV Calcs'!$E$25,0)</f>
        <v>0</v>
      </c>
      <c r="AB146" s="26">
        <f>IF($I146="train",($Q146*$AA146*'MRV Calcs'!$E$11)+($AA146*'MRV Calcs'!$E$12),0)</f>
        <v>0</v>
      </c>
      <c r="AC146" s="26">
        <f>IF($I146="train",'MRV Calcs'!$E$26,0)</f>
        <v>0</v>
      </c>
      <c r="AD146" s="26">
        <f>IF($I146="train",($Q146*$AC146*'MRV Calcs'!$E$7)+($AC146*'MRV Calcs'!$E$8),0)</f>
        <v>0</v>
      </c>
      <c r="AE146" s="26">
        <f>($Q146/30)*SUM('MRV Calcs'!$E$15:$E$16)</f>
        <v>3.113794721</v>
      </c>
      <c r="AF146" s="26">
        <f>'MRV Calcs'!$E$27</f>
        <v>71.2</v>
      </c>
      <c r="AG146" s="26">
        <f>(($Q146*1.1)*$AF146*'MRV Calcs'!$E$7)+($AF146*'MRV Calcs'!$E$8)</f>
        <v>0.2128817277</v>
      </c>
      <c r="AH146" s="26">
        <f>(($Q146*1.1)/20)*SUM('MRV Calcs'!$E$19:$E$20)</f>
        <v>0.02896256</v>
      </c>
      <c r="AI146" s="26">
        <f t="shared" si="3"/>
        <v>11.93071486</v>
      </c>
      <c r="AJ146" s="26">
        <f t="shared" si="20"/>
        <v>-11.93071486</v>
      </c>
      <c r="AK146" s="25" t="str">
        <f t="shared" si="29"/>
        <v>#REF!</v>
      </c>
      <c r="AL146" s="28">
        <f t="shared" si="22"/>
        <v>-0.5800055839</v>
      </c>
      <c r="AM146" s="35"/>
      <c r="AN146" s="29">
        <f>COUNTIF(Blends!H$4:H$1007,B146)+COUNTIF(Blends!J$4:J$1007,B146)+COUNTIF(#REF!,B146)</f>
        <v>0</v>
      </c>
      <c r="AO146" s="48"/>
      <c r="AP146" s="35"/>
      <c r="AQ146" s="35"/>
      <c r="AR146" s="35"/>
      <c r="AS146" s="35"/>
      <c r="AT146" s="35"/>
      <c r="AU146" s="35"/>
      <c r="AV146" s="35"/>
      <c r="AW146" s="35"/>
    </row>
    <row r="147">
      <c r="A147" s="17">
        <v>146.0</v>
      </c>
      <c r="B147" s="17" t="s">
        <v>399</v>
      </c>
      <c r="C147" s="18" t="s">
        <v>421</v>
      </c>
      <c r="D147" s="18" t="s">
        <v>418</v>
      </c>
      <c r="E147" s="17" t="b">
        <v>1</v>
      </c>
      <c r="F147" s="17" t="s">
        <v>349</v>
      </c>
      <c r="G147" s="17" t="s">
        <v>79</v>
      </c>
      <c r="H147" s="17" t="s">
        <v>80</v>
      </c>
      <c r="I147" s="17" t="s">
        <v>81</v>
      </c>
      <c r="J147" s="19"/>
      <c r="K147" s="19" t="s">
        <v>233</v>
      </c>
      <c r="L147" s="19" t="s">
        <v>422</v>
      </c>
      <c r="M147" s="49"/>
      <c r="N147" s="20">
        <v>45765.0</v>
      </c>
      <c r="O147" s="20">
        <v>45769.0</v>
      </c>
      <c r="P147" s="20"/>
      <c r="Q147" s="22">
        <v>20.6</v>
      </c>
      <c r="R147" s="22"/>
      <c r="S147" s="23" t="str">
        <f>iferror(if(AN147=1,VLOOKUP(B147, Blends!H$4:AK$1004,32,0), ""), "")</f>
        <v/>
      </c>
      <c r="T147" s="24"/>
      <c r="U147" s="25">
        <f t="shared" si="19"/>
        <v>0</v>
      </c>
      <c r="V147" s="26">
        <f>$Q147*('MRV Calcs'!$E$3+'MRV Calcs'!$E$4)</f>
        <v>3.047603913</v>
      </c>
      <c r="W147" s="27">
        <f t="shared" si="2"/>
        <v>2030</v>
      </c>
      <c r="X147" s="26">
        <f>IF($I147="truck",($Q147*$W147*'MRV Calcs'!$E$7)+($W147*'MRV Calcs'!$E$8),0)</f>
        <v>5.539750902</v>
      </c>
      <c r="Y147" s="26">
        <f>IF($I147="train",'MRV Calcs'!$E$24,0)</f>
        <v>0</v>
      </c>
      <c r="Z147" s="26">
        <f>IF($I147="train",($Q147*$Y147*'MRV Calcs'!$E$7)+($Y147*'MRV Calcs'!$E$8),0)</f>
        <v>0</v>
      </c>
      <c r="AA147" s="26">
        <f>IF($I147="train",'MRV Calcs'!$E$25,0)</f>
        <v>0</v>
      </c>
      <c r="AB147" s="26">
        <f>IF($I147="train",($Q147*$AA147*'MRV Calcs'!$E$11)+($AA147*'MRV Calcs'!$E$12),0)</f>
        <v>0</v>
      </c>
      <c r="AC147" s="26">
        <f>IF($I147="train",'MRV Calcs'!$E$26,0)</f>
        <v>0</v>
      </c>
      <c r="AD147" s="26">
        <f>IF($I147="train",($Q147*$AC147*'MRV Calcs'!$E$7)+($AC147*'MRV Calcs'!$E$8),0)</f>
        <v>0</v>
      </c>
      <c r="AE147" s="26">
        <f>($Q147/30)*SUM('MRV Calcs'!$E$15:$E$16)</f>
        <v>3.118335987</v>
      </c>
      <c r="AF147" s="26">
        <f>'MRV Calcs'!$E$27</f>
        <v>71.2</v>
      </c>
      <c r="AG147" s="26">
        <f>(($Q147*1.1)*$AF147*'MRV Calcs'!$E$7)+($AF147*'MRV Calcs'!$E$8)</f>
        <v>0.2131842321</v>
      </c>
      <c r="AH147" s="26">
        <f>(($Q147*1.1)/20)*SUM('MRV Calcs'!$E$19:$E$20)</f>
        <v>0.0290048</v>
      </c>
      <c r="AI147" s="26">
        <f t="shared" si="3"/>
        <v>11.94787983</v>
      </c>
      <c r="AJ147" s="26">
        <f t="shared" si="20"/>
        <v>-11.94787983</v>
      </c>
      <c r="AK147" s="25" t="str">
        <f t="shared" si="29"/>
        <v>#REF!</v>
      </c>
      <c r="AL147" s="28">
        <f t="shared" si="22"/>
        <v>-0.5799941667</v>
      </c>
      <c r="AM147" s="35"/>
      <c r="AN147" s="29">
        <f>COUNTIF(Blends!H$4:H$1007,B147)+COUNTIF(Blends!J$4:J$1007,B147)+COUNTIF(#REF!,B147)</f>
        <v>0</v>
      </c>
      <c r="AO147" s="48"/>
      <c r="AP147" s="35"/>
      <c r="AQ147" s="35"/>
      <c r="AR147" s="35"/>
      <c r="AS147" s="35"/>
      <c r="AT147" s="35"/>
      <c r="AU147" s="35"/>
      <c r="AV147" s="35"/>
      <c r="AW147" s="35"/>
    </row>
    <row r="148">
      <c r="A148" s="17">
        <v>147.0</v>
      </c>
      <c r="B148" s="17" t="s">
        <v>399</v>
      </c>
      <c r="C148" s="18" t="s">
        <v>423</v>
      </c>
      <c r="D148" s="18" t="s">
        <v>418</v>
      </c>
      <c r="E148" s="17" t="b">
        <v>1</v>
      </c>
      <c r="F148" s="17" t="s">
        <v>349</v>
      </c>
      <c r="G148" s="17" t="s">
        <v>79</v>
      </c>
      <c r="H148" s="17" t="s">
        <v>80</v>
      </c>
      <c r="I148" s="17" t="s">
        <v>81</v>
      </c>
      <c r="J148" s="19"/>
      <c r="K148" s="19" t="s">
        <v>233</v>
      </c>
      <c r="L148" s="19" t="s">
        <v>424</v>
      </c>
      <c r="M148" s="49"/>
      <c r="N148" s="20">
        <v>45765.0</v>
      </c>
      <c r="O148" s="20">
        <v>45769.0</v>
      </c>
      <c r="P148" s="20"/>
      <c r="Q148" s="22">
        <v>20.02</v>
      </c>
      <c r="R148" s="22"/>
      <c r="S148" s="23" t="str">
        <f>iferror(if(AN148=1,VLOOKUP(B148, Blends!H$4:AK$1004,32,0), ""), "")</f>
        <v/>
      </c>
      <c r="T148" s="24"/>
      <c r="U148" s="25">
        <f t="shared" si="19"/>
        <v>0</v>
      </c>
      <c r="V148" s="26">
        <f>$Q148*('MRV Calcs'!$E$3+'MRV Calcs'!$E$4)</f>
        <v>2.961797589</v>
      </c>
      <c r="W148" s="27">
        <f t="shared" si="2"/>
        <v>2030</v>
      </c>
      <c r="X148" s="26">
        <f>IF($I148="truck",($Q148*$W148*'MRV Calcs'!$E$7)+($W148*'MRV Calcs'!$E$8),0)</f>
        <v>5.388163949</v>
      </c>
      <c r="Y148" s="26">
        <f>IF($I148="train",'MRV Calcs'!$E$24,0)</f>
        <v>0</v>
      </c>
      <c r="Z148" s="26">
        <f>IF($I148="train",($Q148*$Y148*'MRV Calcs'!$E$7)+($Y148*'MRV Calcs'!$E$8),0)</f>
        <v>0</v>
      </c>
      <c r="AA148" s="26">
        <f>IF($I148="train",'MRV Calcs'!$E$25,0)</f>
        <v>0</v>
      </c>
      <c r="AB148" s="26">
        <f>IF($I148="train",($Q148*$AA148*'MRV Calcs'!$E$11)+($AA148*'MRV Calcs'!$E$12),0)</f>
        <v>0</v>
      </c>
      <c r="AC148" s="26">
        <f>IF($I148="train",'MRV Calcs'!$E$26,0)</f>
        <v>0</v>
      </c>
      <c r="AD148" s="26">
        <f>IF($I148="train",($Q148*$AC148*'MRV Calcs'!$E$7)+($AC148*'MRV Calcs'!$E$8),0)</f>
        <v>0</v>
      </c>
      <c r="AE148" s="26">
        <f>($Q148/30)*SUM('MRV Calcs'!$E$15:$E$16)</f>
        <v>3.030538177</v>
      </c>
      <c r="AF148" s="26">
        <f>'MRV Calcs'!$E$27</f>
        <v>71.2</v>
      </c>
      <c r="AG148" s="26">
        <f>(($Q148*1.1)*$AF148*'MRV Calcs'!$E$7)+($AF148*'MRV Calcs'!$E$8)</f>
        <v>0.2073358133</v>
      </c>
      <c r="AH148" s="26">
        <f>(($Q148*1.1)/20)*SUM('MRV Calcs'!$E$19:$E$20)</f>
        <v>0.02818816</v>
      </c>
      <c r="AI148" s="26">
        <f t="shared" si="3"/>
        <v>11.61602369</v>
      </c>
      <c r="AJ148" s="26">
        <f t="shared" si="20"/>
        <v>-11.61602369</v>
      </c>
      <c r="AK148" s="25" t="str">
        <f t="shared" si="29"/>
        <v>#REF!</v>
      </c>
      <c r="AL148" s="28">
        <f t="shared" si="22"/>
        <v>-0.5802209635</v>
      </c>
      <c r="AM148" s="35"/>
      <c r="AN148" s="29">
        <f>COUNTIF(Blends!H$4:H$1007,B148)+COUNTIF(Blends!J$4:J$1007,B148)+COUNTIF(#REF!,B148)</f>
        <v>0</v>
      </c>
      <c r="AO148" s="48"/>
      <c r="AP148" s="35"/>
      <c r="AQ148" s="35"/>
      <c r="AR148" s="35"/>
      <c r="AS148" s="35"/>
      <c r="AT148" s="35"/>
      <c r="AU148" s="35"/>
      <c r="AV148" s="35"/>
      <c r="AW148" s="35"/>
    </row>
    <row r="149">
      <c r="A149" s="17">
        <v>148.0</v>
      </c>
      <c r="B149" s="17" t="s">
        <v>399</v>
      </c>
      <c r="C149" s="18" t="s">
        <v>425</v>
      </c>
      <c r="D149" s="18" t="s">
        <v>418</v>
      </c>
      <c r="E149" s="17" t="b">
        <v>1</v>
      </c>
      <c r="F149" s="17" t="s">
        <v>349</v>
      </c>
      <c r="G149" s="17" t="s">
        <v>79</v>
      </c>
      <c r="H149" s="17" t="s">
        <v>80</v>
      </c>
      <c r="I149" s="17" t="s">
        <v>81</v>
      </c>
      <c r="J149" s="40"/>
      <c r="K149" s="19" t="s">
        <v>233</v>
      </c>
      <c r="L149" s="40" t="s">
        <v>426</v>
      </c>
      <c r="M149" s="49"/>
      <c r="N149" s="20">
        <v>45765.0</v>
      </c>
      <c r="O149" s="20">
        <v>45769.0</v>
      </c>
      <c r="P149" s="20"/>
      <c r="Q149" s="22">
        <v>20.1</v>
      </c>
      <c r="R149" s="22"/>
      <c r="S149" s="23" t="str">
        <f>iferror(if(AN149=1,VLOOKUP(B149, Blends!H$4:AK$1004,32,0), ""), "")</f>
        <v/>
      </c>
      <c r="T149" s="24"/>
      <c r="U149" s="25">
        <f t="shared" si="19"/>
        <v>0</v>
      </c>
      <c r="V149" s="26">
        <f>$Q149*('MRV Calcs'!$E$3+'MRV Calcs'!$E$4)</f>
        <v>2.973632944</v>
      </c>
      <c r="W149" s="27">
        <f t="shared" si="2"/>
        <v>2030</v>
      </c>
      <c r="X149" s="26">
        <f>IF($I149="truck",($Q149*$W149*'MRV Calcs'!$E$7)+($W149*'MRV Calcs'!$E$8),0)</f>
        <v>5.409072494</v>
      </c>
      <c r="Y149" s="26">
        <f>IF($I149="train",'MRV Calcs'!$E$24,0)</f>
        <v>0</v>
      </c>
      <c r="Z149" s="26">
        <f>IF($I149="train",($Q149*$Y149*'MRV Calcs'!$E$7)+($Y149*'MRV Calcs'!$E$8),0)</f>
        <v>0</v>
      </c>
      <c r="AA149" s="26">
        <f>IF($I149="train",'MRV Calcs'!$E$25,0)</f>
        <v>0</v>
      </c>
      <c r="AB149" s="26">
        <f>IF($I149="train",($Q149*$AA149*'MRV Calcs'!$E$11)+($AA149*'MRV Calcs'!$E$12),0)</f>
        <v>0</v>
      </c>
      <c r="AC149" s="26">
        <f>IF($I149="train",'MRV Calcs'!$E$26,0)</f>
        <v>0</v>
      </c>
      <c r="AD149" s="26">
        <f>IF($I149="train",($Q149*$AC149*'MRV Calcs'!$E$7)+($AC149*'MRV Calcs'!$E$8),0)</f>
        <v>0</v>
      </c>
      <c r="AE149" s="26">
        <f>($Q149/30)*SUM('MRV Calcs'!$E$15:$E$16)</f>
        <v>3.04264822</v>
      </c>
      <c r="AF149" s="26">
        <f>'MRV Calcs'!$E$27</f>
        <v>71.2</v>
      </c>
      <c r="AG149" s="26">
        <f>(($Q149*1.1)*$AF149*'MRV Calcs'!$E$7)+($AF149*'MRV Calcs'!$E$8)</f>
        <v>0.2081424917</v>
      </c>
      <c r="AH149" s="26">
        <f>(($Q149*1.1)/20)*SUM('MRV Calcs'!$E$19:$E$20)</f>
        <v>0.0283008</v>
      </c>
      <c r="AI149" s="26">
        <f t="shared" si="3"/>
        <v>11.66179695</v>
      </c>
      <c r="AJ149" s="26">
        <f t="shared" si="20"/>
        <v>-11.66179695</v>
      </c>
      <c r="AK149" s="25" t="str">
        <f t="shared" si="29"/>
        <v>#REF!</v>
      </c>
      <c r="AL149" s="28">
        <f t="shared" si="22"/>
        <v>-0.580188903</v>
      </c>
      <c r="AM149" s="35"/>
      <c r="AN149" s="29">
        <f>COUNTIF(Blends!H$4:H$1007,B149)+COUNTIF(Blends!J$4:J$1007,B149)+COUNTIF(#REF!,B149)</f>
        <v>0</v>
      </c>
      <c r="AO149" s="48"/>
      <c r="AP149" s="35"/>
      <c r="AQ149" s="35"/>
      <c r="AR149" s="35"/>
      <c r="AS149" s="35"/>
      <c r="AT149" s="35"/>
      <c r="AU149" s="35"/>
      <c r="AV149" s="35"/>
      <c r="AW149" s="35"/>
    </row>
    <row r="150">
      <c r="A150" s="17">
        <v>149.0</v>
      </c>
      <c r="B150" s="17" t="s">
        <v>399</v>
      </c>
      <c r="C150" s="18" t="s">
        <v>427</v>
      </c>
      <c r="D150" s="18" t="s">
        <v>428</v>
      </c>
      <c r="E150" s="17" t="b">
        <v>1</v>
      </c>
      <c r="F150" s="17" t="s">
        <v>349</v>
      </c>
      <c r="G150" s="17" t="s">
        <v>79</v>
      </c>
      <c r="H150" s="17" t="s">
        <v>80</v>
      </c>
      <c r="I150" s="17" t="s">
        <v>81</v>
      </c>
      <c r="J150" s="40"/>
      <c r="K150" s="19" t="s">
        <v>233</v>
      </c>
      <c r="L150" s="40" t="s">
        <v>320</v>
      </c>
      <c r="M150" s="49"/>
      <c r="N150" s="20">
        <v>45767.0</v>
      </c>
      <c r="O150" s="20">
        <v>45771.0</v>
      </c>
      <c r="P150" s="20"/>
      <c r="Q150" s="22">
        <v>20.07</v>
      </c>
      <c r="R150" s="22"/>
      <c r="S150" s="23" t="str">
        <f>iferror(if(AN150=1,VLOOKUP(B150, Blends!H$4:AK$1004,32,0), ""), "")</f>
        <v/>
      </c>
      <c r="T150" s="24"/>
      <c r="U150" s="25">
        <f t="shared" si="19"/>
        <v>0</v>
      </c>
      <c r="V150" s="26">
        <f>$Q150*('MRV Calcs'!$E$3+'MRV Calcs'!$E$4)</f>
        <v>2.969194686</v>
      </c>
      <c r="W150" s="27">
        <f t="shared" si="2"/>
        <v>2030</v>
      </c>
      <c r="X150" s="26">
        <f>IF($I150="truck",($Q150*$W150*'MRV Calcs'!$E$7)+($W150*'MRV Calcs'!$E$8),0)</f>
        <v>5.40123179</v>
      </c>
      <c r="Y150" s="26">
        <f>IF($I150="train",'MRV Calcs'!$E$24,0)</f>
        <v>0</v>
      </c>
      <c r="Z150" s="26">
        <f>IF($I150="train",($Q150*$Y150*'MRV Calcs'!$E$7)+($Y150*'MRV Calcs'!$E$8),0)</f>
        <v>0</v>
      </c>
      <c r="AA150" s="26">
        <f>IF($I150="train",'MRV Calcs'!$E$25,0)</f>
        <v>0</v>
      </c>
      <c r="AB150" s="26">
        <f>IF($I150="train",($Q150*$AA150*'MRV Calcs'!$E$11)+($AA150*'MRV Calcs'!$E$12),0)</f>
        <v>0</v>
      </c>
      <c r="AC150" s="26">
        <f>IF($I150="train",'MRV Calcs'!$E$26,0)</f>
        <v>0</v>
      </c>
      <c r="AD150" s="26">
        <f>IF($I150="train",($Q150*$AC150*'MRV Calcs'!$E$7)+($AC150*'MRV Calcs'!$E$8),0)</f>
        <v>0</v>
      </c>
      <c r="AE150" s="26">
        <f>($Q150/30)*SUM('MRV Calcs'!$E$15:$E$16)</f>
        <v>3.038106954</v>
      </c>
      <c r="AF150" s="26">
        <f>'MRV Calcs'!$E$27</f>
        <v>71.2</v>
      </c>
      <c r="AG150" s="26">
        <f>(($Q150*1.1)*$AF150*'MRV Calcs'!$E$7)+($AF150*'MRV Calcs'!$E$8)</f>
        <v>0.2078399873</v>
      </c>
      <c r="AH150" s="26">
        <f>(($Q150*1.1)/20)*SUM('MRV Calcs'!$E$19:$E$20)</f>
        <v>0.02825856</v>
      </c>
      <c r="AI150" s="26">
        <f t="shared" si="3"/>
        <v>11.64463198</v>
      </c>
      <c r="AJ150" s="26">
        <f t="shared" si="20"/>
        <v>-11.64463198</v>
      </c>
      <c r="AK150" s="25" t="str">
        <f t="shared" si="29"/>
        <v>#REF!</v>
      </c>
      <c r="AL150" s="28">
        <f t="shared" si="22"/>
        <v>-0.5802008957</v>
      </c>
      <c r="AM150" s="35"/>
      <c r="AN150" s="29">
        <f>COUNTIF(Blends!H$4:H$1007,B150)+COUNTIF(Blends!J$4:J$1007,B150)+COUNTIF(#REF!,B150)</f>
        <v>0</v>
      </c>
      <c r="AO150" s="48"/>
      <c r="AP150" s="35"/>
      <c r="AQ150" s="35"/>
      <c r="AR150" s="35"/>
      <c r="AS150" s="35"/>
      <c r="AT150" s="35"/>
      <c r="AU150" s="35"/>
      <c r="AV150" s="35"/>
      <c r="AW150" s="35"/>
    </row>
    <row r="151">
      <c r="A151" s="17">
        <v>150.0</v>
      </c>
      <c r="B151" s="17" t="s">
        <v>399</v>
      </c>
      <c r="C151" s="18" t="s">
        <v>429</v>
      </c>
      <c r="D151" s="18" t="s">
        <v>430</v>
      </c>
      <c r="E151" s="17" t="b">
        <v>1</v>
      </c>
      <c r="F151" s="17" t="s">
        <v>349</v>
      </c>
      <c r="G151" s="17" t="s">
        <v>79</v>
      </c>
      <c r="H151" s="17" t="s">
        <v>80</v>
      </c>
      <c r="I151" s="17" t="s">
        <v>81</v>
      </c>
      <c r="J151" s="40"/>
      <c r="K151" s="19" t="s">
        <v>233</v>
      </c>
      <c r="L151" s="40" t="s">
        <v>431</v>
      </c>
      <c r="M151" s="49"/>
      <c r="N151" s="20">
        <v>45769.0</v>
      </c>
      <c r="O151" s="20">
        <v>45772.0</v>
      </c>
      <c r="P151" s="20"/>
      <c r="Q151" s="22">
        <v>20.65</v>
      </c>
      <c r="R151" s="22"/>
      <c r="S151" s="23" t="str">
        <f>iferror(if(AN151=1,VLOOKUP(B151, Blends!H$4:AK$1004,32,0), ""), "")</f>
        <v/>
      </c>
      <c r="T151" s="24"/>
      <c r="U151" s="25">
        <f t="shared" si="19"/>
        <v>0</v>
      </c>
      <c r="V151" s="26">
        <f>$Q151*('MRV Calcs'!$E$3+'MRV Calcs'!$E$4)</f>
        <v>3.05500101</v>
      </c>
      <c r="W151" s="27">
        <f t="shared" si="2"/>
        <v>2030</v>
      </c>
      <c r="X151" s="26">
        <f>IF($I151="truck",($Q151*$W151*'MRV Calcs'!$E$7)+($W151*'MRV Calcs'!$E$8),0)</f>
        <v>5.552818743</v>
      </c>
      <c r="Y151" s="26">
        <f>IF($I151="train",'MRV Calcs'!$E$24,0)</f>
        <v>0</v>
      </c>
      <c r="Z151" s="26">
        <f>IF($I151="train",($Q151*$Y151*'MRV Calcs'!$E$7)+($Y151*'MRV Calcs'!$E$8),0)</f>
        <v>0</v>
      </c>
      <c r="AA151" s="26">
        <f>IF($I151="train",'MRV Calcs'!$E$25,0)</f>
        <v>0</v>
      </c>
      <c r="AB151" s="26">
        <f>IF($I151="train",($Q151*$AA151*'MRV Calcs'!$E$11)+($AA151*'MRV Calcs'!$E$12),0)</f>
        <v>0</v>
      </c>
      <c r="AC151" s="26">
        <f>IF($I151="train",'MRV Calcs'!$E$26,0)</f>
        <v>0</v>
      </c>
      <c r="AD151" s="26">
        <f>IF($I151="train",($Q151*$AC151*'MRV Calcs'!$E$7)+($AC151*'MRV Calcs'!$E$8),0)</f>
        <v>0</v>
      </c>
      <c r="AE151" s="26">
        <f>($Q151/30)*SUM('MRV Calcs'!$E$15:$E$16)</f>
        <v>3.125904763</v>
      </c>
      <c r="AF151" s="26">
        <f>'MRV Calcs'!$E$27</f>
        <v>71.2</v>
      </c>
      <c r="AG151" s="26">
        <f>(($Q151*1.1)*$AF151*'MRV Calcs'!$E$7)+($AF151*'MRV Calcs'!$E$8)</f>
        <v>0.2136884061</v>
      </c>
      <c r="AH151" s="26">
        <f>(($Q151*1.1)/20)*SUM('MRV Calcs'!$E$19:$E$20)</f>
        <v>0.0290752</v>
      </c>
      <c r="AI151" s="26">
        <f t="shared" si="3"/>
        <v>11.97648812</v>
      </c>
      <c r="AJ151" s="26">
        <f t="shared" si="20"/>
        <v>-11.97648812</v>
      </c>
      <c r="AK151" s="25" t="str">
        <f t="shared" si="29"/>
        <v>#REF!</v>
      </c>
      <c r="AL151" s="28">
        <f t="shared" si="22"/>
        <v>-0.5799752117</v>
      </c>
      <c r="AM151" s="35"/>
      <c r="AN151" s="29">
        <f>COUNTIF(Blends!H$4:H$1007,B151)+COUNTIF(Blends!J$4:J$1007,B151)+COUNTIF(#REF!,B151)</f>
        <v>0</v>
      </c>
      <c r="AO151" s="48"/>
      <c r="AP151" s="35"/>
      <c r="AQ151" s="35"/>
      <c r="AR151" s="35"/>
      <c r="AS151" s="35"/>
      <c r="AT151" s="35"/>
      <c r="AU151" s="35"/>
      <c r="AV151" s="35"/>
      <c r="AW151" s="35"/>
    </row>
    <row r="152">
      <c r="A152" s="17">
        <v>151.0</v>
      </c>
      <c r="B152" s="17" t="s">
        <v>399</v>
      </c>
      <c r="C152" s="18" t="s">
        <v>432</v>
      </c>
      <c r="D152" s="18" t="s">
        <v>430</v>
      </c>
      <c r="E152" s="17" t="b">
        <v>1</v>
      </c>
      <c r="F152" s="17" t="s">
        <v>349</v>
      </c>
      <c r="G152" s="17" t="s">
        <v>79</v>
      </c>
      <c r="H152" s="17" t="s">
        <v>80</v>
      </c>
      <c r="I152" s="17" t="s">
        <v>81</v>
      </c>
      <c r="J152" s="19"/>
      <c r="K152" s="19" t="s">
        <v>233</v>
      </c>
      <c r="L152" s="19" t="s">
        <v>433</v>
      </c>
      <c r="M152" s="49"/>
      <c r="N152" s="20">
        <v>45769.0</v>
      </c>
      <c r="O152" s="20">
        <v>45773.0</v>
      </c>
      <c r="P152" s="20"/>
      <c r="Q152" s="22">
        <v>20.71</v>
      </c>
      <c r="R152" s="22"/>
      <c r="S152" s="23" t="str">
        <f>iferror(if(AN152=1,VLOOKUP(B152, Blends!H$4:AK$1004,32,0), ""), "")</f>
        <v/>
      </c>
      <c r="T152" s="24"/>
      <c r="U152" s="25">
        <f t="shared" si="19"/>
        <v>0</v>
      </c>
      <c r="V152" s="26">
        <f>$Q152*('MRV Calcs'!$E$3+'MRV Calcs'!$E$4)</f>
        <v>3.063877526</v>
      </c>
      <c r="W152" s="27">
        <f t="shared" si="2"/>
        <v>2030</v>
      </c>
      <c r="X152" s="26">
        <f>IF($I152="truck",($Q152*$W152*'MRV Calcs'!$E$7)+($W152*'MRV Calcs'!$E$8),0)</f>
        <v>5.568500152</v>
      </c>
      <c r="Y152" s="26">
        <f>IF($I152="train",'MRV Calcs'!$E$24,0)</f>
        <v>0</v>
      </c>
      <c r="Z152" s="26">
        <f>IF($I152="train",($Q152*$Y152*'MRV Calcs'!$E$7)+($Y152*'MRV Calcs'!$E$8),0)</f>
        <v>0</v>
      </c>
      <c r="AA152" s="26">
        <f>IF($I152="train",'MRV Calcs'!$E$25,0)</f>
        <v>0</v>
      </c>
      <c r="AB152" s="26">
        <f>IF($I152="train",($Q152*$AA152*'MRV Calcs'!$E$11)+($AA152*'MRV Calcs'!$E$12),0)</f>
        <v>0</v>
      </c>
      <c r="AC152" s="26">
        <f>IF($I152="train",'MRV Calcs'!$E$26,0)</f>
        <v>0</v>
      </c>
      <c r="AD152" s="26">
        <f>IF($I152="train",($Q152*$AC152*'MRV Calcs'!$E$7)+($AC152*'MRV Calcs'!$E$8),0)</f>
        <v>0</v>
      </c>
      <c r="AE152" s="26">
        <f>($Q152/30)*SUM('MRV Calcs'!$E$15:$E$16)</f>
        <v>3.134987295</v>
      </c>
      <c r="AF152" s="26">
        <f>'MRV Calcs'!$E$27</f>
        <v>71.2</v>
      </c>
      <c r="AG152" s="26">
        <f>(($Q152*1.1)*$AF152*'MRV Calcs'!$E$7)+($AF152*'MRV Calcs'!$E$8)</f>
        <v>0.214293415</v>
      </c>
      <c r="AH152" s="26">
        <f>(($Q152*1.1)/20)*SUM('MRV Calcs'!$E$19:$E$20)</f>
        <v>0.02915968</v>
      </c>
      <c r="AI152" s="26">
        <f t="shared" si="3"/>
        <v>12.01081807</v>
      </c>
      <c r="AJ152" s="26">
        <f t="shared" si="20"/>
        <v>-12.01081807</v>
      </c>
      <c r="AK152" s="25" t="str">
        <f t="shared" si="29"/>
        <v>#REF!</v>
      </c>
      <c r="AL152" s="28">
        <f t="shared" si="22"/>
        <v>-0.5799525866</v>
      </c>
      <c r="AM152" s="35"/>
      <c r="AN152" s="29">
        <f>COUNTIF(Blends!H$4:H$1007,B152)+COUNTIF(Blends!J$4:J$1007,B152)+COUNTIF(#REF!,B152)</f>
        <v>0</v>
      </c>
      <c r="AO152" s="48"/>
      <c r="AP152" s="35"/>
      <c r="AQ152" s="35"/>
      <c r="AR152" s="35"/>
      <c r="AS152" s="35"/>
      <c r="AT152" s="35"/>
      <c r="AU152" s="35"/>
      <c r="AV152" s="35"/>
      <c r="AW152" s="35"/>
    </row>
    <row r="153">
      <c r="A153" s="17">
        <v>152.0</v>
      </c>
      <c r="B153" s="17" t="s">
        <v>399</v>
      </c>
      <c r="C153" s="18" t="s">
        <v>434</v>
      </c>
      <c r="D153" s="18" t="s">
        <v>435</v>
      </c>
      <c r="E153" s="17" t="b">
        <v>1</v>
      </c>
      <c r="F153" s="17" t="s">
        <v>349</v>
      </c>
      <c r="G153" s="17" t="s">
        <v>79</v>
      </c>
      <c r="H153" s="17" t="s">
        <v>80</v>
      </c>
      <c r="I153" s="17" t="s">
        <v>81</v>
      </c>
      <c r="J153" s="40"/>
      <c r="K153" s="19" t="s">
        <v>233</v>
      </c>
      <c r="L153" s="40" t="s">
        <v>436</v>
      </c>
      <c r="M153" s="49"/>
      <c r="N153" s="20">
        <v>45771.0</v>
      </c>
      <c r="O153" s="20">
        <v>45775.0</v>
      </c>
      <c r="P153" s="20"/>
      <c r="Q153" s="22">
        <v>20.4</v>
      </c>
      <c r="R153" s="22"/>
      <c r="S153" s="23" t="str">
        <f>iferror(if(AN153=1,VLOOKUP(B153, Blends!H$4:AK$1004,32,0), ""), "")</f>
        <v/>
      </c>
      <c r="T153" s="24"/>
      <c r="U153" s="25">
        <f t="shared" si="19"/>
        <v>0</v>
      </c>
      <c r="V153" s="26">
        <f>$Q153*('MRV Calcs'!$E$3+'MRV Calcs'!$E$4)</f>
        <v>3.018015526</v>
      </c>
      <c r="W153" s="27">
        <f t="shared" si="2"/>
        <v>2030</v>
      </c>
      <c r="X153" s="26">
        <f>IF($I153="truck",($Q153*$W153*'MRV Calcs'!$E$7)+($W153*'MRV Calcs'!$E$8),0)</f>
        <v>5.487479539</v>
      </c>
      <c r="Y153" s="26">
        <f>IF($I153="train",'MRV Calcs'!$E$24,0)</f>
        <v>0</v>
      </c>
      <c r="Z153" s="26">
        <f>IF($I153="train",($Q153*$Y153*'MRV Calcs'!$E$7)+($Y153*'MRV Calcs'!$E$8),0)</f>
        <v>0</v>
      </c>
      <c r="AA153" s="26">
        <f>IF($I153="train",'MRV Calcs'!$E$25,0)</f>
        <v>0</v>
      </c>
      <c r="AB153" s="26">
        <f>IF($I153="train",($Q153*$AA153*'MRV Calcs'!$E$11)+($AA153*'MRV Calcs'!$E$12),0)</f>
        <v>0</v>
      </c>
      <c r="AC153" s="26">
        <f>IF($I153="train",'MRV Calcs'!$E$26,0)</f>
        <v>0</v>
      </c>
      <c r="AD153" s="26">
        <f>IF($I153="train",($Q153*$AC153*'MRV Calcs'!$E$7)+($AC153*'MRV Calcs'!$E$8),0)</f>
        <v>0</v>
      </c>
      <c r="AE153" s="26">
        <f>($Q153/30)*SUM('MRV Calcs'!$E$15:$E$16)</f>
        <v>3.08806088</v>
      </c>
      <c r="AF153" s="26">
        <f>'MRV Calcs'!$E$27</f>
        <v>71.2</v>
      </c>
      <c r="AG153" s="26">
        <f>(($Q153*1.1)*$AF153*'MRV Calcs'!$E$7)+($AF153*'MRV Calcs'!$E$8)</f>
        <v>0.2111675359</v>
      </c>
      <c r="AH153" s="26">
        <f>(($Q153*1.1)/20)*SUM('MRV Calcs'!$E$19:$E$20)</f>
        <v>0.0287232</v>
      </c>
      <c r="AI153" s="26">
        <f t="shared" si="3"/>
        <v>11.83344668</v>
      </c>
      <c r="AJ153" s="26">
        <f t="shared" si="20"/>
        <v>-11.83344668</v>
      </c>
      <c r="AK153" s="25" t="str">
        <f t="shared" si="29"/>
        <v>#REF!</v>
      </c>
      <c r="AL153" s="28">
        <f t="shared" si="22"/>
        <v>-0.5800709157</v>
      </c>
      <c r="AM153" s="35"/>
      <c r="AN153" s="29">
        <f>COUNTIF(Blends!H$4:H$1007,B153)+COUNTIF(Blends!J$4:J$1007,B153)+COUNTIF(#REF!,B153)</f>
        <v>0</v>
      </c>
      <c r="AO153" s="48"/>
      <c r="AP153" s="35"/>
      <c r="AQ153" s="35"/>
      <c r="AR153" s="35"/>
      <c r="AS153" s="35"/>
      <c r="AT153" s="35"/>
      <c r="AU153" s="35"/>
      <c r="AV153" s="35"/>
      <c r="AW153" s="35"/>
    </row>
    <row r="154">
      <c r="A154" s="17">
        <v>153.0</v>
      </c>
      <c r="B154" s="17" t="s">
        <v>399</v>
      </c>
      <c r="C154" s="18" t="s">
        <v>437</v>
      </c>
      <c r="D154" s="18" t="s">
        <v>435</v>
      </c>
      <c r="E154" s="17" t="b">
        <v>1</v>
      </c>
      <c r="F154" s="17" t="s">
        <v>349</v>
      </c>
      <c r="G154" s="17" t="s">
        <v>79</v>
      </c>
      <c r="H154" s="17" t="s">
        <v>80</v>
      </c>
      <c r="I154" s="17" t="s">
        <v>81</v>
      </c>
      <c r="J154" s="19"/>
      <c r="K154" s="19" t="s">
        <v>233</v>
      </c>
      <c r="L154" s="19" t="s">
        <v>433</v>
      </c>
      <c r="M154" s="49"/>
      <c r="N154" s="20">
        <v>45771.0</v>
      </c>
      <c r="O154" s="20">
        <v>45775.0</v>
      </c>
      <c r="P154" s="20"/>
      <c r="Q154" s="22">
        <v>20.85</v>
      </c>
      <c r="R154" s="22"/>
      <c r="S154" s="23" t="str">
        <f>iferror(if(AN154=1,VLOOKUP(B154, Blends!H$4:AK$1004,32,0), ""), "")</f>
        <v/>
      </c>
      <c r="T154" s="24"/>
      <c r="U154" s="25">
        <f t="shared" si="19"/>
        <v>0</v>
      </c>
      <c r="V154" s="26">
        <f>$Q154*('MRV Calcs'!$E$3+'MRV Calcs'!$E$4)</f>
        <v>3.084589398</v>
      </c>
      <c r="W154" s="27">
        <f t="shared" si="2"/>
        <v>2030</v>
      </c>
      <c r="X154" s="26">
        <f>IF($I154="truck",($Q154*$W154*'MRV Calcs'!$E$7)+($W154*'MRV Calcs'!$E$8),0)</f>
        <v>5.605090106</v>
      </c>
      <c r="Y154" s="26">
        <f>IF($I154="train",'MRV Calcs'!$E$24,0)</f>
        <v>0</v>
      </c>
      <c r="Z154" s="26">
        <f>IF($I154="train",($Q154*$Y154*'MRV Calcs'!$E$7)+($Y154*'MRV Calcs'!$E$8),0)</f>
        <v>0</v>
      </c>
      <c r="AA154" s="26">
        <f>IF($I154="train",'MRV Calcs'!$E$25,0)</f>
        <v>0</v>
      </c>
      <c r="AB154" s="26">
        <f>IF($I154="train",($Q154*$AA154*'MRV Calcs'!$E$11)+($AA154*'MRV Calcs'!$E$12),0)</f>
        <v>0</v>
      </c>
      <c r="AC154" s="26">
        <f>IF($I154="train",'MRV Calcs'!$E$26,0)</f>
        <v>0</v>
      </c>
      <c r="AD154" s="26">
        <f>IF($I154="train",($Q154*$AC154*'MRV Calcs'!$E$7)+($AC154*'MRV Calcs'!$E$8),0)</f>
        <v>0</v>
      </c>
      <c r="AE154" s="26">
        <f>($Q154/30)*SUM('MRV Calcs'!$E$15:$E$16)</f>
        <v>3.15617987</v>
      </c>
      <c r="AF154" s="26">
        <f>'MRV Calcs'!$E$27</f>
        <v>71.2</v>
      </c>
      <c r="AG154" s="26">
        <f>(($Q154*1.1)*$AF154*'MRV Calcs'!$E$7)+($AF154*'MRV Calcs'!$E$8)</f>
        <v>0.2157051023</v>
      </c>
      <c r="AH154" s="26">
        <f>(($Q154*1.1)/20)*SUM('MRV Calcs'!$E$19:$E$20)</f>
        <v>0.0293568</v>
      </c>
      <c r="AI154" s="26">
        <f t="shared" si="3"/>
        <v>12.09092128</v>
      </c>
      <c r="AJ154" s="26">
        <f t="shared" si="20"/>
        <v>-12.09092128</v>
      </c>
      <c r="AK154" s="25" t="str">
        <f t="shared" si="29"/>
        <v>#REF!</v>
      </c>
      <c r="AL154" s="28">
        <f t="shared" si="22"/>
        <v>-0.579900301</v>
      </c>
      <c r="AM154" s="35"/>
      <c r="AN154" s="29">
        <f>COUNTIF(Blends!H$4:H$1007,B154)+COUNTIF(Blends!J$4:J$1007,B154)+COUNTIF(#REF!,B154)</f>
        <v>0</v>
      </c>
      <c r="AO154" s="48"/>
      <c r="AP154" s="35"/>
      <c r="AQ154" s="35"/>
      <c r="AR154" s="35"/>
      <c r="AS154" s="35"/>
      <c r="AT154" s="35"/>
      <c r="AU154" s="35"/>
      <c r="AV154" s="35"/>
      <c r="AW154" s="35"/>
    </row>
    <row r="155">
      <c r="A155" s="17">
        <v>154.0</v>
      </c>
      <c r="B155" s="17" t="s">
        <v>399</v>
      </c>
      <c r="C155" s="18" t="s">
        <v>438</v>
      </c>
      <c r="D155" s="18" t="s">
        <v>435</v>
      </c>
      <c r="E155" s="17" t="b">
        <v>1</v>
      </c>
      <c r="F155" s="17" t="s">
        <v>349</v>
      </c>
      <c r="G155" s="17" t="s">
        <v>79</v>
      </c>
      <c r="H155" s="17" t="s">
        <v>80</v>
      </c>
      <c r="I155" s="17" t="s">
        <v>81</v>
      </c>
      <c r="J155" s="17"/>
      <c r="K155" s="19" t="s">
        <v>82</v>
      </c>
      <c r="L155" s="17" t="s">
        <v>86</v>
      </c>
      <c r="M155" s="57"/>
      <c r="N155" s="20">
        <v>45772.0</v>
      </c>
      <c r="O155" s="20">
        <v>45776.0</v>
      </c>
      <c r="P155" s="20"/>
      <c r="Q155" s="22">
        <v>20.89</v>
      </c>
      <c r="R155" s="22"/>
      <c r="S155" s="23" t="str">
        <f>iferror(if(AN155=1,VLOOKUP(B155, Blends!H$4:AK$1004,32,0), ""), "")</f>
        <v/>
      </c>
      <c r="T155" s="58"/>
      <c r="U155" s="27"/>
      <c r="V155" s="26"/>
      <c r="W155" s="27"/>
      <c r="X155" s="26"/>
      <c r="Y155" s="26"/>
      <c r="Z155" s="26"/>
      <c r="AA155" s="26"/>
      <c r="AB155" s="26"/>
      <c r="AC155" s="26"/>
      <c r="AD155" s="26"/>
      <c r="AE155" s="26"/>
      <c r="AF155" s="26"/>
      <c r="AG155" s="26"/>
      <c r="AH155" s="26"/>
      <c r="AI155" s="26"/>
      <c r="AJ155" s="26"/>
      <c r="AK155" s="25"/>
      <c r="AL155" s="59"/>
      <c r="AM155" s="35"/>
      <c r="AN155" s="35"/>
      <c r="AO155" s="35"/>
      <c r="AP155" s="35"/>
      <c r="AQ155" s="35"/>
      <c r="AR155" s="35"/>
      <c r="AS155" s="35"/>
      <c r="AT155" s="35"/>
      <c r="AU155" s="35"/>
      <c r="AV155" s="35"/>
      <c r="AW155" s="35"/>
    </row>
    <row r="156">
      <c r="A156" s="17">
        <v>155.0</v>
      </c>
      <c r="B156" s="17" t="s">
        <v>399</v>
      </c>
      <c r="C156" s="18" t="s">
        <v>439</v>
      </c>
      <c r="D156" s="18" t="s">
        <v>435</v>
      </c>
      <c r="E156" s="17" t="b">
        <v>1</v>
      </c>
      <c r="F156" s="17" t="s">
        <v>349</v>
      </c>
      <c r="G156" s="17" t="s">
        <v>79</v>
      </c>
      <c r="H156" s="17" t="s">
        <v>80</v>
      </c>
      <c r="I156" s="17" t="s">
        <v>81</v>
      </c>
      <c r="J156" s="17"/>
      <c r="K156" s="19" t="s">
        <v>233</v>
      </c>
      <c r="L156" s="17" t="s">
        <v>440</v>
      </c>
      <c r="M156" s="57"/>
      <c r="N156" s="20">
        <v>45772.0</v>
      </c>
      <c r="O156" s="20">
        <v>45776.0</v>
      </c>
      <c r="P156" s="20"/>
      <c r="Q156" s="22">
        <v>20.38</v>
      </c>
      <c r="R156" s="22"/>
      <c r="S156" s="23" t="str">
        <f>iferror(if(AN156=1,VLOOKUP(B156, Blends!H$4:AK$1004,32,0), ""), "")</f>
        <v/>
      </c>
      <c r="T156" s="58"/>
      <c r="U156" s="27"/>
      <c r="V156" s="26"/>
      <c r="W156" s="27"/>
      <c r="X156" s="26"/>
      <c r="Y156" s="26"/>
      <c r="Z156" s="26"/>
      <c r="AA156" s="26"/>
      <c r="AB156" s="26"/>
      <c r="AC156" s="26"/>
      <c r="AD156" s="26"/>
      <c r="AE156" s="26"/>
      <c r="AF156" s="26"/>
      <c r="AG156" s="26"/>
      <c r="AH156" s="26"/>
      <c r="AI156" s="26"/>
      <c r="AJ156" s="26"/>
      <c r="AK156" s="25"/>
      <c r="AL156" s="59"/>
      <c r="AM156" s="35"/>
      <c r="AN156" s="35"/>
      <c r="AO156" s="35"/>
      <c r="AP156" s="35"/>
      <c r="AQ156" s="35"/>
      <c r="AR156" s="35"/>
      <c r="AS156" s="35"/>
      <c r="AT156" s="35"/>
      <c r="AU156" s="35"/>
      <c r="AV156" s="35"/>
      <c r="AW156" s="35"/>
    </row>
    <row r="157">
      <c r="A157" s="17">
        <v>156.0</v>
      </c>
      <c r="B157" s="17" t="s">
        <v>399</v>
      </c>
      <c r="C157" s="18" t="s">
        <v>441</v>
      </c>
      <c r="D157" s="18" t="s">
        <v>442</v>
      </c>
      <c r="E157" s="17" t="b">
        <v>1</v>
      </c>
      <c r="F157" s="17" t="s">
        <v>349</v>
      </c>
      <c r="G157" s="17" t="s">
        <v>79</v>
      </c>
      <c r="H157" s="17" t="s">
        <v>80</v>
      </c>
      <c r="I157" s="17" t="s">
        <v>81</v>
      </c>
      <c r="J157" s="17"/>
      <c r="K157" s="19" t="s">
        <v>233</v>
      </c>
      <c r="L157" s="17" t="s">
        <v>443</v>
      </c>
      <c r="M157" s="57"/>
      <c r="N157" s="20">
        <v>45774.0</v>
      </c>
      <c r="O157" s="20">
        <v>45778.0</v>
      </c>
      <c r="P157" s="20"/>
      <c r="Q157" s="22">
        <v>20.81</v>
      </c>
      <c r="R157" s="22"/>
      <c r="S157" s="23" t="str">
        <f>iferror(if(AN157=1,VLOOKUP(B157, Blends!H$4:AK$1004,32,0), ""), "")</f>
        <v/>
      </c>
      <c r="T157" s="58"/>
      <c r="U157" s="27"/>
      <c r="V157" s="26"/>
      <c r="W157" s="27"/>
      <c r="X157" s="26"/>
      <c r="Y157" s="26"/>
      <c r="Z157" s="26"/>
      <c r="AA157" s="26"/>
      <c r="AB157" s="26"/>
      <c r="AC157" s="26"/>
      <c r="AD157" s="26"/>
      <c r="AE157" s="26"/>
      <c r="AF157" s="26"/>
      <c r="AG157" s="26"/>
      <c r="AH157" s="26"/>
      <c r="AI157" s="26"/>
      <c r="AJ157" s="26"/>
      <c r="AK157" s="25"/>
      <c r="AL157" s="59"/>
      <c r="AM157" s="35"/>
      <c r="AN157" s="35"/>
      <c r="AO157" s="35"/>
      <c r="AP157" s="35"/>
      <c r="AQ157" s="35"/>
      <c r="AR157" s="35"/>
      <c r="AS157" s="35"/>
      <c r="AT157" s="35"/>
      <c r="AU157" s="35"/>
      <c r="AV157" s="35"/>
      <c r="AW157" s="35"/>
    </row>
    <row r="158">
      <c r="A158" s="17">
        <v>157.0</v>
      </c>
      <c r="B158" s="17" t="s">
        <v>399</v>
      </c>
      <c r="C158" s="18" t="s">
        <v>444</v>
      </c>
      <c r="D158" s="18" t="s">
        <v>442</v>
      </c>
      <c r="E158" s="17" t="b">
        <v>1</v>
      </c>
      <c r="F158" s="17" t="s">
        <v>349</v>
      </c>
      <c r="G158" s="17" t="s">
        <v>79</v>
      </c>
      <c r="H158" s="17" t="s">
        <v>80</v>
      </c>
      <c r="I158" s="17" t="s">
        <v>81</v>
      </c>
      <c r="J158" s="17"/>
      <c r="K158" s="19" t="s">
        <v>233</v>
      </c>
      <c r="L158" s="17" t="s">
        <v>252</v>
      </c>
      <c r="M158" s="57"/>
      <c r="N158" s="20">
        <v>45775.0</v>
      </c>
      <c r="O158" s="20">
        <v>45780.0</v>
      </c>
      <c r="P158" s="20"/>
      <c r="Q158" s="22">
        <v>19.98</v>
      </c>
      <c r="R158" s="22"/>
      <c r="S158" s="23" t="str">
        <f>iferror(if(AN158=1,VLOOKUP(B158, Blends!H$4:AK$1004,32,0), ""), "")</f>
        <v/>
      </c>
      <c r="T158" s="58"/>
      <c r="U158" s="27"/>
      <c r="V158" s="26"/>
      <c r="W158" s="27"/>
      <c r="X158" s="26"/>
      <c r="Y158" s="26"/>
      <c r="Z158" s="26"/>
      <c r="AA158" s="26"/>
      <c r="AB158" s="26"/>
      <c r="AC158" s="26"/>
      <c r="AD158" s="26"/>
      <c r="AE158" s="26"/>
      <c r="AF158" s="26"/>
      <c r="AG158" s="26"/>
      <c r="AH158" s="26"/>
      <c r="AI158" s="26"/>
      <c r="AJ158" s="26"/>
      <c r="AK158" s="25"/>
      <c r="AL158" s="59"/>
      <c r="AM158" s="35"/>
      <c r="AN158" s="35"/>
      <c r="AO158" s="35"/>
      <c r="AP158" s="35"/>
      <c r="AQ158" s="35"/>
      <c r="AR158" s="35"/>
      <c r="AS158" s="35"/>
      <c r="AT158" s="35"/>
      <c r="AU158" s="35"/>
      <c r="AV158" s="35"/>
      <c r="AW158" s="35"/>
    </row>
    <row r="159">
      <c r="A159" s="17">
        <v>158.0</v>
      </c>
      <c r="B159" s="17" t="s">
        <v>399</v>
      </c>
      <c r="C159" s="18" t="s">
        <v>445</v>
      </c>
      <c r="D159" s="18" t="s">
        <v>446</v>
      </c>
      <c r="E159" s="17" t="b">
        <v>1</v>
      </c>
      <c r="F159" s="17" t="s">
        <v>349</v>
      </c>
      <c r="G159" s="17" t="s">
        <v>79</v>
      </c>
      <c r="H159" s="17" t="s">
        <v>80</v>
      </c>
      <c r="I159" s="17" t="s">
        <v>81</v>
      </c>
      <c r="J159" s="40"/>
      <c r="K159" s="19" t="s">
        <v>82</v>
      </c>
      <c r="L159" s="40" t="s">
        <v>96</v>
      </c>
      <c r="M159" s="57"/>
      <c r="N159" s="20">
        <v>45777.0</v>
      </c>
      <c r="O159" s="20">
        <v>45780.0</v>
      </c>
      <c r="P159" s="20"/>
      <c r="Q159" s="22">
        <v>21.37</v>
      </c>
      <c r="R159" s="22"/>
      <c r="S159" s="23" t="str">
        <f>iferror(if(AN159=1,VLOOKUP(B159, Blends!H$4:AK$1004,32,0), ""), "")</f>
        <v/>
      </c>
      <c r="T159" s="58"/>
      <c r="U159" s="27"/>
      <c r="V159" s="26"/>
      <c r="W159" s="27"/>
      <c r="X159" s="26"/>
      <c r="Y159" s="26"/>
      <c r="Z159" s="26"/>
      <c r="AA159" s="26"/>
      <c r="AB159" s="26"/>
      <c r="AC159" s="26"/>
      <c r="AD159" s="26"/>
      <c r="AE159" s="26"/>
      <c r="AF159" s="26"/>
      <c r="AG159" s="26"/>
      <c r="AH159" s="26"/>
      <c r="AI159" s="26"/>
      <c r="AJ159" s="26"/>
      <c r="AK159" s="25"/>
      <c r="AL159" s="59"/>
      <c r="AM159" s="35"/>
      <c r="AN159" s="35"/>
      <c r="AO159" s="35"/>
      <c r="AP159" s="35"/>
      <c r="AQ159" s="35"/>
      <c r="AR159" s="35"/>
      <c r="AS159" s="35"/>
      <c r="AT159" s="35"/>
      <c r="AU159" s="35"/>
      <c r="AV159" s="35"/>
      <c r="AW159" s="35"/>
    </row>
    <row r="160">
      <c r="A160" s="17">
        <v>159.0</v>
      </c>
      <c r="B160" s="17" t="s">
        <v>399</v>
      </c>
      <c r="C160" s="18" t="s">
        <v>447</v>
      </c>
      <c r="D160" s="18" t="s">
        <v>446</v>
      </c>
      <c r="E160" s="17" t="b">
        <v>1</v>
      </c>
      <c r="F160" s="17" t="s">
        <v>349</v>
      </c>
      <c r="G160" s="17" t="s">
        <v>79</v>
      </c>
      <c r="H160" s="17" t="s">
        <v>80</v>
      </c>
      <c r="I160" s="17" t="s">
        <v>81</v>
      </c>
      <c r="J160" s="40"/>
      <c r="K160" s="19" t="s">
        <v>233</v>
      </c>
      <c r="L160" s="40" t="s">
        <v>234</v>
      </c>
      <c r="M160" s="57"/>
      <c r="N160" s="20">
        <v>45777.0</v>
      </c>
      <c r="O160" s="20">
        <v>45780.0</v>
      </c>
      <c r="P160" s="20"/>
      <c r="Q160" s="22">
        <v>20.14</v>
      </c>
      <c r="R160" s="22"/>
      <c r="S160" s="23" t="str">
        <f>iferror(if(AN160=1,VLOOKUP(B160, Blends!H$4:AK$1004,32,0), ""), "")</f>
        <v/>
      </c>
      <c r="T160" s="58"/>
      <c r="U160" s="27"/>
      <c r="V160" s="26"/>
      <c r="W160" s="27"/>
      <c r="X160" s="26"/>
      <c r="Y160" s="26"/>
      <c r="Z160" s="26"/>
      <c r="AA160" s="26"/>
      <c r="AB160" s="26"/>
      <c r="AC160" s="26"/>
      <c r="AD160" s="26"/>
      <c r="AE160" s="26"/>
      <c r="AF160" s="26"/>
      <c r="AG160" s="26"/>
      <c r="AH160" s="26"/>
      <c r="AI160" s="26"/>
      <c r="AJ160" s="26"/>
      <c r="AK160" s="25"/>
      <c r="AL160" s="59"/>
      <c r="AM160" s="35"/>
      <c r="AN160" s="35"/>
      <c r="AO160" s="35"/>
      <c r="AP160" s="35"/>
      <c r="AQ160" s="35"/>
      <c r="AR160" s="35"/>
      <c r="AS160" s="35"/>
      <c r="AT160" s="35"/>
      <c r="AU160" s="35"/>
      <c r="AV160" s="35"/>
      <c r="AW160" s="35"/>
    </row>
    <row r="161">
      <c r="A161" s="17">
        <v>160.0</v>
      </c>
      <c r="B161" s="17" t="s">
        <v>399</v>
      </c>
      <c r="C161" s="18" t="s">
        <v>448</v>
      </c>
      <c r="D161" s="18" t="s">
        <v>449</v>
      </c>
      <c r="E161" s="17" t="b">
        <v>1</v>
      </c>
      <c r="F161" s="17" t="s">
        <v>349</v>
      </c>
      <c r="G161" s="17" t="s">
        <v>79</v>
      </c>
      <c r="H161" s="17" t="s">
        <v>80</v>
      </c>
      <c r="I161" s="17" t="s">
        <v>81</v>
      </c>
      <c r="J161" s="17"/>
      <c r="K161" s="19" t="s">
        <v>82</v>
      </c>
      <c r="L161" s="17" t="s">
        <v>86</v>
      </c>
      <c r="M161" s="57"/>
      <c r="N161" s="20">
        <v>45780.0</v>
      </c>
      <c r="O161" s="60">
        <v>45785.0</v>
      </c>
      <c r="P161" s="60"/>
      <c r="Q161" s="22">
        <v>20.76</v>
      </c>
      <c r="R161" s="22"/>
      <c r="S161" s="23" t="str">
        <f>iferror(if(AN161=1,VLOOKUP(B161, Blends!H$4:AK$1004,32,0), ""), "")</f>
        <v/>
      </c>
      <c r="T161" s="58"/>
      <c r="U161" s="27"/>
      <c r="V161" s="26"/>
      <c r="W161" s="27"/>
      <c r="X161" s="26"/>
      <c r="Y161" s="26"/>
      <c r="Z161" s="26"/>
      <c r="AA161" s="26"/>
      <c r="AB161" s="26"/>
      <c r="AC161" s="26"/>
      <c r="AD161" s="26"/>
      <c r="AE161" s="26"/>
      <c r="AF161" s="26"/>
      <c r="AG161" s="26"/>
      <c r="AH161" s="26"/>
      <c r="AI161" s="26"/>
      <c r="AJ161" s="26"/>
      <c r="AK161" s="25"/>
      <c r="AL161" s="59"/>
      <c r="AM161" s="35"/>
      <c r="AN161" s="35"/>
      <c r="AO161" s="35"/>
      <c r="AP161" s="35"/>
      <c r="AQ161" s="35"/>
      <c r="AR161" s="35"/>
      <c r="AS161" s="35"/>
      <c r="AT161" s="35"/>
      <c r="AU161" s="35"/>
      <c r="AV161" s="35"/>
      <c r="AW161" s="35"/>
    </row>
    <row r="162">
      <c r="A162" s="17">
        <v>161.0</v>
      </c>
      <c r="B162" s="17" t="s">
        <v>399</v>
      </c>
      <c r="C162" s="18" t="s">
        <v>450</v>
      </c>
      <c r="D162" s="18" t="s">
        <v>451</v>
      </c>
      <c r="E162" s="17" t="b">
        <v>1</v>
      </c>
      <c r="F162" s="17" t="s">
        <v>349</v>
      </c>
      <c r="G162" s="17" t="s">
        <v>79</v>
      </c>
      <c r="H162" s="17" t="s">
        <v>80</v>
      </c>
      <c r="I162" s="17" t="s">
        <v>81</v>
      </c>
      <c r="J162" s="17"/>
      <c r="K162" s="19" t="s">
        <v>233</v>
      </c>
      <c r="L162" s="17" t="s">
        <v>443</v>
      </c>
      <c r="M162" s="57"/>
      <c r="N162" s="20">
        <v>45781.0</v>
      </c>
      <c r="O162" s="60">
        <v>45785.0</v>
      </c>
      <c r="P162" s="60"/>
      <c r="Q162" s="22">
        <v>20.77</v>
      </c>
      <c r="R162" s="22"/>
      <c r="S162" s="23" t="str">
        <f>iferror(if(AN162=1,VLOOKUP(B162, Blends!H$4:AK$1004,32,0), ""), "")</f>
        <v/>
      </c>
      <c r="T162" s="58"/>
      <c r="U162" s="27"/>
      <c r="V162" s="26"/>
      <c r="W162" s="27"/>
      <c r="X162" s="26"/>
      <c r="Y162" s="26"/>
      <c r="Z162" s="26"/>
      <c r="AA162" s="26"/>
      <c r="AB162" s="26"/>
      <c r="AC162" s="26"/>
      <c r="AD162" s="26"/>
      <c r="AE162" s="26"/>
      <c r="AF162" s="26"/>
      <c r="AG162" s="26"/>
      <c r="AH162" s="26"/>
      <c r="AI162" s="26"/>
      <c r="AJ162" s="26"/>
      <c r="AK162" s="25"/>
      <c r="AL162" s="59"/>
      <c r="AM162" s="35"/>
      <c r="AN162" s="35"/>
      <c r="AO162" s="35"/>
      <c r="AP162" s="35"/>
      <c r="AQ162" s="35"/>
      <c r="AR162" s="35"/>
      <c r="AS162" s="35"/>
      <c r="AT162" s="35"/>
      <c r="AU162" s="35"/>
      <c r="AV162" s="35"/>
      <c r="AW162" s="35"/>
    </row>
    <row r="163">
      <c r="A163" s="17">
        <v>162.0</v>
      </c>
      <c r="B163" s="17" t="s">
        <v>399</v>
      </c>
      <c r="C163" s="18" t="s">
        <v>452</v>
      </c>
      <c r="D163" s="18" t="s">
        <v>453</v>
      </c>
      <c r="E163" s="17" t="b">
        <v>1</v>
      </c>
      <c r="F163" s="17" t="s">
        <v>349</v>
      </c>
      <c r="G163" s="17" t="s">
        <v>79</v>
      </c>
      <c r="H163" s="17" t="s">
        <v>80</v>
      </c>
      <c r="I163" s="17" t="s">
        <v>81</v>
      </c>
      <c r="J163" s="17"/>
      <c r="K163" s="19" t="s">
        <v>233</v>
      </c>
      <c r="L163" s="17" t="s">
        <v>454</v>
      </c>
      <c r="M163" s="57"/>
      <c r="N163" s="20">
        <v>45782.0</v>
      </c>
      <c r="O163" s="60">
        <v>45786.0</v>
      </c>
      <c r="P163" s="60"/>
      <c r="Q163" s="22">
        <v>18.98</v>
      </c>
      <c r="R163" s="22"/>
      <c r="S163" s="23" t="str">
        <f>iferror(if(AN163=1,VLOOKUP(B163, Blends!H$4:AK$1004,32,0), ""), "")</f>
        <v/>
      </c>
      <c r="T163" s="58"/>
      <c r="U163" s="27"/>
      <c r="V163" s="26"/>
      <c r="W163" s="27"/>
      <c r="X163" s="26"/>
      <c r="Y163" s="26"/>
      <c r="Z163" s="26"/>
      <c r="AA163" s="26"/>
      <c r="AB163" s="26"/>
      <c r="AC163" s="26"/>
      <c r="AD163" s="26"/>
      <c r="AE163" s="26"/>
      <c r="AF163" s="26"/>
      <c r="AG163" s="26"/>
      <c r="AH163" s="26"/>
      <c r="AI163" s="26"/>
      <c r="AJ163" s="26"/>
      <c r="AK163" s="25"/>
      <c r="AL163" s="59"/>
      <c r="AM163" s="35"/>
      <c r="AN163" s="35"/>
      <c r="AO163" s="35"/>
      <c r="AP163" s="35"/>
      <c r="AQ163" s="35"/>
      <c r="AR163" s="35"/>
      <c r="AS163" s="35"/>
      <c r="AT163" s="35"/>
      <c r="AU163" s="35"/>
      <c r="AV163" s="35"/>
      <c r="AW163" s="35"/>
    </row>
    <row r="164">
      <c r="A164" s="17">
        <v>163.0</v>
      </c>
      <c r="B164" s="17" t="s">
        <v>399</v>
      </c>
      <c r="C164" s="18" t="s">
        <v>455</v>
      </c>
      <c r="D164" s="18" t="s">
        <v>453</v>
      </c>
      <c r="E164" s="17" t="b">
        <v>1</v>
      </c>
      <c r="F164" s="17" t="s">
        <v>349</v>
      </c>
      <c r="G164" s="17" t="s">
        <v>79</v>
      </c>
      <c r="H164" s="17" t="s">
        <v>80</v>
      </c>
      <c r="I164" s="17" t="s">
        <v>81</v>
      </c>
      <c r="J164" s="17"/>
      <c r="K164" s="19" t="s">
        <v>233</v>
      </c>
      <c r="L164" s="17" t="s">
        <v>385</v>
      </c>
      <c r="M164" s="57"/>
      <c r="N164" s="20">
        <v>45782.0</v>
      </c>
      <c r="O164" s="60">
        <v>45786.0</v>
      </c>
      <c r="P164" s="60"/>
      <c r="Q164" s="22">
        <v>19.97</v>
      </c>
      <c r="R164" s="22"/>
      <c r="S164" s="23" t="str">
        <f>iferror(if(AN164=1,VLOOKUP(B164, Blends!H$4:AK$1004,32,0), ""), "")</f>
        <v/>
      </c>
      <c r="T164" s="58"/>
      <c r="U164" s="27"/>
      <c r="V164" s="26"/>
      <c r="W164" s="27"/>
      <c r="X164" s="26"/>
      <c r="Y164" s="26"/>
      <c r="Z164" s="26"/>
      <c r="AA164" s="26"/>
      <c r="AB164" s="26"/>
      <c r="AC164" s="26"/>
      <c r="AD164" s="26"/>
      <c r="AE164" s="26"/>
      <c r="AF164" s="26"/>
      <c r="AG164" s="26"/>
      <c r="AH164" s="26"/>
      <c r="AI164" s="26"/>
      <c r="AJ164" s="26"/>
      <c r="AK164" s="25"/>
      <c r="AL164" s="59"/>
      <c r="AM164" s="35"/>
      <c r="AN164" s="35"/>
      <c r="AO164" s="35"/>
      <c r="AP164" s="35"/>
      <c r="AQ164" s="35"/>
      <c r="AR164" s="35"/>
      <c r="AS164" s="35"/>
      <c r="AT164" s="35"/>
      <c r="AU164" s="35"/>
      <c r="AV164" s="35"/>
      <c r="AW164" s="35"/>
    </row>
    <row r="165">
      <c r="A165" s="17">
        <v>164.0</v>
      </c>
      <c r="B165" s="17" t="s">
        <v>399</v>
      </c>
      <c r="C165" s="18" t="s">
        <v>456</v>
      </c>
      <c r="D165" s="18" t="s">
        <v>457</v>
      </c>
      <c r="E165" s="17" t="b">
        <v>1</v>
      </c>
      <c r="F165" s="17" t="s">
        <v>349</v>
      </c>
      <c r="G165" s="17" t="s">
        <v>79</v>
      </c>
      <c r="H165" s="17" t="s">
        <v>80</v>
      </c>
      <c r="I165" s="17" t="s">
        <v>81</v>
      </c>
      <c r="J165" s="40"/>
      <c r="K165" s="19" t="s">
        <v>82</v>
      </c>
      <c r="L165" s="40" t="s">
        <v>96</v>
      </c>
      <c r="M165" s="57"/>
      <c r="N165" s="61">
        <v>45785.0</v>
      </c>
      <c r="O165" s="60">
        <v>45789.0</v>
      </c>
      <c r="P165" s="60"/>
      <c r="Q165" s="22">
        <v>21.26</v>
      </c>
      <c r="R165" s="22"/>
      <c r="S165" s="23" t="str">
        <f>iferror(if(AN165=1,VLOOKUP(B165, Blends!H$4:AK$1004,32,0), ""), "")</f>
        <v/>
      </c>
      <c r="T165" s="58"/>
      <c r="U165" s="27"/>
      <c r="V165" s="26"/>
      <c r="W165" s="27"/>
      <c r="X165" s="26"/>
      <c r="Y165" s="26"/>
      <c r="Z165" s="26"/>
      <c r="AA165" s="26"/>
      <c r="AB165" s="26"/>
      <c r="AC165" s="26"/>
      <c r="AD165" s="26"/>
      <c r="AE165" s="26"/>
      <c r="AF165" s="26"/>
      <c r="AG165" s="26"/>
      <c r="AH165" s="26"/>
      <c r="AI165" s="26"/>
      <c r="AJ165" s="26"/>
      <c r="AK165" s="25"/>
      <c r="AL165" s="59"/>
      <c r="AM165" s="35"/>
      <c r="AN165" s="35"/>
      <c r="AO165" s="35"/>
      <c r="AP165" s="35"/>
      <c r="AQ165" s="35"/>
      <c r="AR165" s="35"/>
      <c r="AS165" s="35"/>
      <c r="AT165" s="35"/>
      <c r="AU165" s="35"/>
      <c r="AV165" s="35"/>
      <c r="AW165" s="35"/>
    </row>
    <row r="166">
      <c r="A166" s="17">
        <v>165.0</v>
      </c>
      <c r="B166" s="17" t="s">
        <v>399</v>
      </c>
      <c r="C166" s="18" t="s">
        <v>458</v>
      </c>
      <c r="D166" s="18" t="s">
        <v>457</v>
      </c>
      <c r="E166" s="17" t="b">
        <v>1</v>
      </c>
      <c r="F166" s="17" t="s">
        <v>349</v>
      </c>
      <c r="G166" s="17" t="s">
        <v>79</v>
      </c>
      <c r="H166" s="17" t="s">
        <v>80</v>
      </c>
      <c r="I166" s="17" t="s">
        <v>81</v>
      </c>
      <c r="J166" s="17"/>
      <c r="K166" s="19" t="s">
        <v>233</v>
      </c>
      <c r="L166" s="17" t="s">
        <v>242</v>
      </c>
      <c r="M166" s="57"/>
      <c r="N166" s="61">
        <v>45786.0</v>
      </c>
      <c r="O166" s="60">
        <v>45791.0</v>
      </c>
      <c r="P166" s="60"/>
      <c r="Q166" s="22">
        <v>20.98</v>
      </c>
      <c r="R166" s="22"/>
      <c r="S166" s="23" t="str">
        <f>iferror(if(AN166=1,VLOOKUP(B166, Blends!H$4:AK$1004,32,0), ""), "")</f>
        <v/>
      </c>
      <c r="T166" s="58"/>
      <c r="U166" s="27"/>
      <c r="V166" s="26"/>
      <c r="W166" s="27"/>
      <c r="X166" s="26"/>
      <c r="Y166" s="26"/>
      <c r="Z166" s="26"/>
      <c r="AA166" s="26"/>
      <c r="AB166" s="26"/>
      <c r="AC166" s="26"/>
      <c r="AD166" s="26"/>
      <c r="AE166" s="26"/>
      <c r="AF166" s="26"/>
      <c r="AG166" s="26"/>
      <c r="AH166" s="26"/>
      <c r="AI166" s="26"/>
      <c r="AJ166" s="26"/>
      <c r="AK166" s="25"/>
      <c r="AL166" s="59"/>
      <c r="AM166" s="35"/>
      <c r="AN166" s="35"/>
      <c r="AO166" s="35"/>
      <c r="AP166" s="35"/>
      <c r="AQ166" s="35"/>
      <c r="AR166" s="35"/>
      <c r="AS166" s="35"/>
      <c r="AT166" s="35"/>
      <c r="AU166" s="35"/>
      <c r="AV166" s="35"/>
      <c r="AW166" s="35"/>
    </row>
    <row r="167">
      <c r="A167" s="17">
        <v>166.0</v>
      </c>
      <c r="B167" s="17" t="s">
        <v>399</v>
      </c>
      <c r="C167" s="18" t="s">
        <v>459</v>
      </c>
      <c r="D167" s="18" t="s">
        <v>460</v>
      </c>
      <c r="E167" s="17" t="b">
        <v>1</v>
      </c>
      <c r="F167" s="17" t="s">
        <v>349</v>
      </c>
      <c r="G167" s="17" t="s">
        <v>79</v>
      </c>
      <c r="H167" s="17" t="s">
        <v>80</v>
      </c>
      <c r="I167" s="17" t="s">
        <v>81</v>
      </c>
      <c r="J167" s="17"/>
      <c r="K167" s="19" t="s">
        <v>82</v>
      </c>
      <c r="L167" s="17" t="s">
        <v>86</v>
      </c>
      <c r="M167" s="57"/>
      <c r="N167" s="61">
        <v>45787.0</v>
      </c>
      <c r="O167" s="60">
        <v>45792.0</v>
      </c>
      <c r="P167" s="60"/>
      <c r="Q167" s="22">
        <v>20.13</v>
      </c>
      <c r="R167" s="22"/>
      <c r="S167" s="23" t="str">
        <f>iferror(if(AN167=1,VLOOKUP(B167, Blends!H$4:AK$1004,32,0), ""), "")</f>
        <v/>
      </c>
      <c r="T167" s="58"/>
      <c r="U167" s="27"/>
      <c r="V167" s="26"/>
      <c r="W167" s="27"/>
      <c r="X167" s="26"/>
      <c r="Y167" s="26"/>
      <c r="Z167" s="26"/>
      <c r="AA167" s="26"/>
      <c r="AB167" s="26"/>
      <c r="AC167" s="26"/>
      <c r="AD167" s="26"/>
      <c r="AE167" s="26"/>
      <c r="AF167" s="26"/>
      <c r="AG167" s="26"/>
      <c r="AH167" s="26"/>
      <c r="AI167" s="26"/>
      <c r="AJ167" s="26"/>
      <c r="AK167" s="25"/>
      <c r="AL167" s="59"/>
      <c r="AM167" s="35"/>
      <c r="AN167" s="35"/>
      <c r="AO167" s="35"/>
      <c r="AP167" s="35"/>
      <c r="AQ167" s="35"/>
      <c r="AR167" s="35"/>
      <c r="AS167" s="35"/>
      <c r="AT167" s="35"/>
      <c r="AU167" s="35"/>
      <c r="AV167" s="35"/>
      <c r="AW167" s="35"/>
    </row>
    <row r="168">
      <c r="A168" s="17">
        <v>167.0</v>
      </c>
      <c r="B168" s="17" t="s">
        <v>399</v>
      </c>
      <c r="C168" s="18" t="s">
        <v>461</v>
      </c>
      <c r="D168" s="18" t="s">
        <v>460</v>
      </c>
      <c r="E168" s="17" t="b">
        <v>1</v>
      </c>
      <c r="F168" s="17" t="s">
        <v>349</v>
      </c>
      <c r="G168" s="17" t="s">
        <v>79</v>
      </c>
      <c r="H168" s="17" t="s">
        <v>80</v>
      </c>
      <c r="I168" s="17" t="s">
        <v>81</v>
      </c>
      <c r="J168" s="17"/>
      <c r="K168" s="19" t="s">
        <v>233</v>
      </c>
      <c r="L168" s="17" t="s">
        <v>431</v>
      </c>
      <c r="M168" s="57"/>
      <c r="N168" s="61">
        <v>45788.0</v>
      </c>
      <c r="O168" s="60">
        <v>45792.0</v>
      </c>
      <c r="P168" s="60"/>
      <c r="Q168" s="22">
        <v>20.09</v>
      </c>
      <c r="R168" s="22"/>
      <c r="S168" s="23" t="str">
        <f>iferror(if(AN168=1,VLOOKUP(B168, Blends!H$4:AK$1004,32,0), ""), "")</f>
        <v/>
      </c>
      <c r="T168" s="58"/>
      <c r="U168" s="27"/>
      <c r="V168" s="26"/>
      <c r="W168" s="27"/>
      <c r="X168" s="26"/>
      <c r="Y168" s="26"/>
      <c r="Z168" s="26"/>
      <c r="AA168" s="26"/>
      <c r="AB168" s="26"/>
      <c r="AC168" s="26"/>
      <c r="AD168" s="26"/>
      <c r="AE168" s="26"/>
      <c r="AF168" s="26"/>
      <c r="AG168" s="26"/>
      <c r="AH168" s="26"/>
      <c r="AI168" s="26"/>
      <c r="AJ168" s="26"/>
      <c r="AK168" s="25"/>
      <c r="AL168" s="59"/>
      <c r="AM168" s="35"/>
      <c r="AN168" s="35"/>
      <c r="AO168" s="35"/>
      <c r="AP168" s="35"/>
      <c r="AQ168" s="35"/>
      <c r="AR168" s="35"/>
      <c r="AS168" s="35"/>
      <c r="AT168" s="35"/>
      <c r="AU168" s="35"/>
      <c r="AV168" s="35"/>
      <c r="AW168" s="35"/>
    </row>
    <row r="169">
      <c r="A169" s="17">
        <v>168.0</v>
      </c>
      <c r="B169" s="17" t="s">
        <v>399</v>
      </c>
      <c r="C169" s="18" t="s">
        <v>462</v>
      </c>
      <c r="D169" s="18" t="s">
        <v>463</v>
      </c>
      <c r="E169" s="17" t="b">
        <v>1</v>
      </c>
      <c r="F169" s="17" t="s">
        <v>349</v>
      </c>
      <c r="G169" s="17" t="s">
        <v>79</v>
      </c>
      <c r="H169" s="17" t="s">
        <v>80</v>
      </c>
      <c r="I169" s="17" t="s">
        <v>81</v>
      </c>
      <c r="J169" s="17"/>
      <c r="K169" s="19" t="s">
        <v>233</v>
      </c>
      <c r="L169" s="17" t="s">
        <v>443</v>
      </c>
      <c r="M169" s="57"/>
      <c r="N169" s="61">
        <v>45791.0</v>
      </c>
      <c r="O169" s="60">
        <v>45796.0</v>
      </c>
      <c r="P169" s="60"/>
      <c r="Q169" s="22">
        <v>20.57</v>
      </c>
      <c r="R169" s="22"/>
      <c r="S169" s="23" t="str">
        <f>iferror(if(AN169=1,VLOOKUP(B169, Blends!H$4:AK$1004,32,0), ""), "")</f>
        <v/>
      </c>
      <c r="T169" s="58"/>
      <c r="U169" s="27"/>
      <c r="V169" s="26"/>
      <c r="W169" s="27"/>
      <c r="X169" s="26"/>
      <c r="Y169" s="26"/>
      <c r="Z169" s="26"/>
      <c r="AA169" s="26"/>
      <c r="AB169" s="26"/>
      <c r="AC169" s="26"/>
      <c r="AD169" s="26"/>
      <c r="AE169" s="26"/>
      <c r="AF169" s="26"/>
      <c r="AG169" s="26"/>
      <c r="AH169" s="26"/>
      <c r="AI169" s="26"/>
      <c r="AJ169" s="26"/>
      <c r="AK169" s="25"/>
      <c r="AL169" s="59"/>
      <c r="AM169" s="35"/>
      <c r="AN169" s="35"/>
      <c r="AO169" s="35"/>
      <c r="AP169" s="35"/>
      <c r="AQ169" s="35"/>
      <c r="AR169" s="35"/>
      <c r="AS169" s="35"/>
      <c r="AT169" s="35"/>
      <c r="AU169" s="35"/>
      <c r="AV169" s="35"/>
      <c r="AW169" s="35"/>
    </row>
    <row r="170">
      <c r="A170" s="17">
        <v>169.0</v>
      </c>
      <c r="B170" s="17" t="s">
        <v>399</v>
      </c>
      <c r="C170" s="18" t="s">
        <v>464</v>
      </c>
      <c r="D170" s="18" t="s">
        <v>465</v>
      </c>
      <c r="E170" s="17" t="b">
        <v>1</v>
      </c>
      <c r="F170" s="17" t="s">
        <v>349</v>
      </c>
      <c r="G170" s="17" t="s">
        <v>79</v>
      </c>
      <c r="H170" s="17" t="s">
        <v>80</v>
      </c>
      <c r="I170" s="17" t="s">
        <v>81</v>
      </c>
      <c r="J170" s="17"/>
      <c r="K170" s="19" t="s">
        <v>233</v>
      </c>
      <c r="L170" s="17" t="s">
        <v>385</v>
      </c>
      <c r="M170" s="57"/>
      <c r="N170" s="61">
        <v>45792.0</v>
      </c>
      <c r="O170" s="60">
        <v>45797.0</v>
      </c>
      <c r="P170" s="60"/>
      <c r="Q170" s="22">
        <v>19.97</v>
      </c>
      <c r="R170" s="22"/>
      <c r="S170" s="23" t="str">
        <f>iferror(if(AN170=1,VLOOKUP(B170, Blends!H$4:AK$1004,32,0), ""), "")</f>
        <v/>
      </c>
      <c r="T170" s="58"/>
      <c r="U170" s="27"/>
      <c r="V170" s="26"/>
      <c r="W170" s="27"/>
      <c r="X170" s="26"/>
      <c r="Y170" s="26"/>
      <c r="Z170" s="26"/>
      <c r="AA170" s="26"/>
      <c r="AB170" s="26"/>
      <c r="AC170" s="26"/>
      <c r="AD170" s="26"/>
      <c r="AE170" s="26"/>
      <c r="AF170" s="26"/>
      <c r="AG170" s="26"/>
      <c r="AH170" s="26"/>
      <c r="AI170" s="26"/>
      <c r="AJ170" s="26"/>
      <c r="AK170" s="25"/>
      <c r="AL170" s="59"/>
      <c r="AM170" s="35"/>
      <c r="AN170" s="35"/>
      <c r="AO170" s="35"/>
      <c r="AP170" s="35"/>
      <c r="AQ170" s="35"/>
      <c r="AR170" s="35"/>
      <c r="AS170" s="35"/>
      <c r="AT170" s="35"/>
      <c r="AU170" s="35"/>
      <c r="AV170" s="35"/>
      <c r="AW170" s="35"/>
    </row>
    <row r="171">
      <c r="A171" s="17">
        <v>170.0</v>
      </c>
      <c r="B171" s="17" t="s">
        <v>399</v>
      </c>
      <c r="C171" s="18" t="s">
        <v>466</v>
      </c>
      <c r="D171" s="18" t="s">
        <v>467</v>
      </c>
      <c r="E171" s="17" t="b">
        <v>1</v>
      </c>
      <c r="F171" s="17" t="s">
        <v>349</v>
      </c>
      <c r="G171" s="17" t="s">
        <v>79</v>
      </c>
      <c r="H171" s="17" t="s">
        <v>80</v>
      </c>
      <c r="I171" s="17" t="s">
        <v>81</v>
      </c>
      <c r="J171" s="17"/>
      <c r="K171" s="19" t="s">
        <v>233</v>
      </c>
      <c r="L171" s="17" t="s">
        <v>468</v>
      </c>
      <c r="M171" s="57"/>
      <c r="N171" s="61">
        <v>45795.0</v>
      </c>
      <c r="O171" s="60">
        <v>45799.0</v>
      </c>
      <c r="P171" s="60"/>
      <c r="Q171" s="22">
        <v>20.84</v>
      </c>
      <c r="R171" s="22"/>
      <c r="S171" s="23" t="str">
        <f>iferror(if(AN171=1,VLOOKUP(B171, Blends!H$4:AK$1004,32,0), ""), "")</f>
        <v/>
      </c>
      <c r="T171" s="58"/>
      <c r="U171" s="27"/>
      <c r="V171" s="26"/>
      <c r="W171" s="27"/>
      <c r="X171" s="26"/>
      <c r="Y171" s="26"/>
      <c r="Z171" s="26"/>
      <c r="AA171" s="26"/>
      <c r="AB171" s="26"/>
      <c r="AC171" s="26"/>
      <c r="AD171" s="26"/>
      <c r="AE171" s="26"/>
      <c r="AF171" s="26"/>
      <c r="AG171" s="26"/>
      <c r="AH171" s="26"/>
      <c r="AI171" s="26"/>
      <c r="AJ171" s="26"/>
      <c r="AK171" s="25"/>
      <c r="AL171" s="59"/>
      <c r="AM171" s="35"/>
      <c r="AN171" s="35"/>
      <c r="AO171" s="35"/>
      <c r="AP171" s="35"/>
      <c r="AQ171" s="35"/>
      <c r="AR171" s="35"/>
      <c r="AS171" s="35"/>
      <c r="AT171" s="35"/>
      <c r="AU171" s="35"/>
      <c r="AV171" s="35"/>
      <c r="AW171" s="35"/>
    </row>
    <row r="172">
      <c r="A172" s="17">
        <v>171.0</v>
      </c>
      <c r="B172" s="17" t="s">
        <v>399</v>
      </c>
      <c r="C172" s="18" t="s">
        <v>469</v>
      </c>
      <c r="D172" s="18" t="s">
        <v>470</v>
      </c>
      <c r="E172" s="17" t="b">
        <v>1</v>
      </c>
      <c r="F172" s="17" t="s">
        <v>349</v>
      </c>
      <c r="G172" s="17" t="s">
        <v>79</v>
      </c>
      <c r="H172" s="17" t="s">
        <v>80</v>
      </c>
      <c r="I172" s="17" t="s">
        <v>81</v>
      </c>
      <c r="J172" s="17"/>
      <c r="K172" s="19" t="s">
        <v>233</v>
      </c>
      <c r="L172" s="17" t="s">
        <v>471</v>
      </c>
      <c r="M172" s="57"/>
      <c r="N172" s="61">
        <v>45797.0</v>
      </c>
      <c r="O172" s="60">
        <v>45801.0</v>
      </c>
      <c r="P172" s="60"/>
      <c r="Q172" s="22">
        <v>20.37</v>
      </c>
      <c r="R172" s="22"/>
      <c r="S172" s="23" t="str">
        <f>iferror(if(AN172=1,VLOOKUP(B172, Blends!H$4:AK$1004,32,0), ""), "")</f>
        <v/>
      </c>
      <c r="T172" s="58"/>
      <c r="U172" s="27"/>
      <c r="V172" s="26"/>
      <c r="W172" s="27"/>
      <c r="X172" s="26"/>
      <c r="Y172" s="26"/>
      <c r="Z172" s="26"/>
      <c r="AA172" s="26"/>
      <c r="AB172" s="26"/>
      <c r="AC172" s="26"/>
      <c r="AD172" s="26"/>
      <c r="AE172" s="26"/>
      <c r="AF172" s="26"/>
      <c r="AG172" s="26"/>
      <c r="AH172" s="26"/>
      <c r="AI172" s="26"/>
      <c r="AJ172" s="26"/>
      <c r="AK172" s="25"/>
      <c r="AL172" s="59"/>
      <c r="AM172" s="35"/>
      <c r="AN172" s="35"/>
      <c r="AO172" s="35"/>
      <c r="AP172" s="35"/>
      <c r="AQ172" s="35"/>
      <c r="AR172" s="35"/>
      <c r="AS172" s="35"/>
      <c r="AT172" s="35"/>
      <c r="AU172" s="35"/>
      <c r="AV172" s="35"/>
      <c r="AW172" s="35"/>
    </row>
    <row r="173">
      <c r="A173" s="17">
        <v>172.0</v>
      </c>
      <c r="B173" s="17" t="s">
        <v>399</v>
      </c>
      <c r="C173" s="18" t="s">
        <v>472</v>
      </c>
      <c r="D173" s="18" t="s">
        <v>470</v>
      </c>
      <c r="E173" s="17" t="b">
        <v>1</v>
      </c>
      <c r="F173" s="17" t="s">
        <v>349</v>
      </c>
      <c r="G173" s="17" t="s">
        <v>79</v>
      </c>
      <c r="H173" s="17" t="s">
        <v>80</v>
      </c>
      <c r="I173" s="17" t="s">
        <v>81</v>
      </c>
      <c r="J173" s="17"/>
      <c r="K173" s="19" t="s">
        <v>82</v>
      </c>
      <c r="L173" s="17" t="s">
        <v>86</v>
      </c>
      <c r="M173" s="57"/>
      <c r="N173" s="61">
        <v>45797.0</v>
      </c>
      <c r="O173" s="60">
        <v>45800.0</v>
      </c>
      <c r="P173" s="60"/>
      <c r="Q173" s="22">
        <v>20.11</v>
      </c>
      <c r="R173" s="22"/>
      <c r="S173" s="23" t="str">
        <f>iferror(if(AN173=1,VLOOKUP(B173, Blends!H$4:AK$1004,32,0), ""), "")</f>
        <v/>
      </c>
      <c r="T173" s="58"/>
      <c r="U173" s="27"/>
      <c r="V173" s="26"/>
      <c r="W173" s="27"/>
      <c r="X173" s="26"/>
      <c r="Y173" s="26"/>
      <c r="Z173" s="26"/>
      <c r="AA173" s="26"/>
      <c r="AB173" s="26"/>
      <c r="AC173" s="26"/>
      <c r="AD173" s="26"/>
      <c r="AE173" s="26"/>
      <c r="AF173" s="26"/>
      <c r="AG173" s="26"/>
      <c r="AH173" s="26"/>
      <c r="AI173" s="26"/>
      <c r="AJ173" s="26"/>
      <c r="AK173" s="25"/>
      <c r="AL173" s="59"/>
      <c r="AM173" s="35"/>
      <c r="AN173" s="35"/>
      <c r="AO173" s="35"/>
      <c r="AP173" s="35"/>
      <c r="AQ173" s="35"/>
      <c r="AR173" s="35"/>
      <c r="AS173" s="35"/>
      <c r="AT173" s="35"/>
      <c r="AU173" s="35"/>
      <c r="AV173" s="35"/>
      <c r="AW173" s="35"/>
    </row>
    <row r="174">
      <c r="A174" s="17">
        <v>173.0</v>
      </c>
      <c r="B174" s="17" t="s">
        <v>399</v>
      </c>
      <c r="C174" s="18" t="s">
        <v>473</v>
      </c>
      <c r="D174" s="18" t="s">
        <v>474</v>
      </c>
      <c r="E174" s="17" t="b">
        <v>1</v>
      </c>
      <c r="F174" s="17" t="s">
        <v>349</v>
      </c>
      <c r="G174" s="17" t="s">
        <v>79</v>
      </c>
      <c r="H174" s="17" t="s">
        <v>80</v>
      </c>
      <c r="I174" s="17" t="s">
        <v>81</v>
      </c>
      <c r="J174" s="17"/>
      <c r="K174" s="19" t="s">
        <v>233</v>
      </c>
      <c r="L174" s="17" t="s">
        <v>475</v>
      </c>
      <c r="M174" s="57"/>
      <c r="N174" s="61">
        <v>45799.0</v>
      </c>
      <c r="O174" s="60">
        <v>45803.0</v>
      </c>
      <c r="P174" s="60"/>
      <c r="Q174" s="22">
        <v>20.58</v>
      </c>
      <c r="R174" s="22"/>
      <c r="S174" s="23" t="str">
        <f>iferror(if(AN174=1,VLOOKUP(B174, Blends!H$4:AK$1004,32,0), ""), "")</f>
        <v/>
      </c>
      <c r="T174" s="58"/>
      <c r="U174" s="27"/>
      <c r="V174" s="26"/>
      <c r="W174" s="27"/>
      <c r="X174" s="26"/>
      <c r="Y174" s="26"/>
      <c r="Z174" s="26"/>
      <c r="AA174" s="26"/>
      <c r="AB174" s="26"/>
      <c r="AC174" s="26"/>
      <c r="AD174" s="26"/>
      <c r="AE174" s="26"/>
      <c r="AF174" s="26"/>
      <c r="AG174" s="26"/>
      <c r="AH174" s="26"/>
      <c r="AI174" s="26"/>
      <c r="AJ174" s="26"/>
      <c r="AK174" s="25"/>
      <c r="AL174" s="59"/>
      <c r="AM174" s="35"/>
      <c r="AN174" s="35"/>
      <c r="AO174" s="35"/>
      <c r="AP174" s="35"/>
      <c r="AQ174" s="35"/>
      <c r="AR174" s="35"/>
      <c r="AS174" s="35"/>
      <c r="AT174" s="35"/>
      <c r="AU174" s="35"/>
      <c r="AV174" s="35"/>
      <c r="AW174" s="35"/>
    </row>
    <row r="175">
      <c r="A175" s="17">
        <v>174.0</v>
      </c>
      <c r="B175" s="17" t="s">
        <v>399</v>
      </c>
      <c r="C175" s="18" t="s">
        <v>476</v>
      </c>
      <c r="D175" s="18" t="s">
        <v>477</v>
      </c>
      <c r="E175" s="17" t="b">
        <v>1</v>
      </c>
      <c r="F175" s="17" t="s">
        <v>349</v>
      </c>
      <c r="G175" s="17" t="s">
        <v>79</v>
      </c>
      <c r="H175" s="17" t="s">
        <v>80</v>
      </c>
      <c r="I175" s="17" t="s">
        <v>81</v>
      </c>
      <c r="J175" s="17"/>
      <c r="K175" s="19" t="s">
        <v>233</v>
      </c>
      <c r="L175" s="17" t="s">
        <v>409</v>
      </c>
      <c r="M175" s="57"/>
      <c r="N175" s="61">
        <v>45810.0</v>
      </c>
      <c r="O175" s="60">
        <v>45814.0</v>
      </c>
      <c r="P175" s="60"/>
      <c r="Q175" s="22">
        <v>20.27</v>
      </c>
      <c r="R175" s="22">
        <v>4475.0</v>
      </c>
      <c r="S175" s="23" t="str">
        <f>iferror(if(AN175=1,VLOOKUP(B175, Blends!H$4:AK$1004,32,0), ""), "")</f>
        <v/>
      </c>
      <c r="T175" s="58"/>
      <c r="U175" s="27"/>
      <c r="V175" s="26"/>
      <c r="W175" s="27"/>
      <c r="X175" s="26"/>
      <c r="Y175" s="26"/>
      <c r="Z175" s="26"/>
      <c r="AA175" s="26"/>
      <c r="AB175" s="26"/>
      <c r="AC175" s="26"/>
      <c r="AD175" s="26"/>
      <c r="AE175" s="26"/>
      <c r="AF175" s="26"/>
      <c r="AG175" s="26"/>
      <c r="AH175" s="26"/>
      <c r="AI175" s="26"/>
      <c r="AJ175" s="26"/>
      <c r="AK175" s="25"/>
      <c r="AL175" s="59"/>
      <c r="AM175" s="35"/>
      <c r="AN175" s="35"/>
      <c r="AO175" s="35"/>
      <c r="AP175" s="35"/>
      <c r="AQ175" s="35"/>
      <c r="AR175" s="35"/>
      <c r="AS175" s="35"/>
      <c r="AT175" s="35"/>
      <c r="AU175" s="35"/>
      <c r="AV175" s="35"/>
      <c r="AW175" s="35"/>
    </row>
    <row r="176">
      <c r="A176" s="17">
        <v>175.0</v>
      </c>
      <c r="B176" s="17" t="s">
        <v>399</v>
      </c>
      <c r="C176" s="18" t="s">
        <v>478</v>
      </c>
      <c r="D176" s="18" t="s">
        <v>479</v>
      </c>
      <c r="E176" s="17" t="b">
        <v>1</v>
      </c>
      <c r="F176" s="17" t="s">
        <v>349</v>
      </c>
      <c r="G176" s="17" t="s">
        <v>79</v>
      </c>
      <c r="H176" s="17" t="s">
        <v>80</v>
      </c>
      <c r="I176" s="17" t="s">
        <v>81</v>
      </c>
      <c r="J176" s="17"/>
      <c r="K176" s="19" t="s">
        <v>233</v>
      </c>
      <c r="L176" s="17" t="s">
        <v>480</v>
      </c>
      <c r="M176" s="57"/>
      <c r="N176" s="61">
        <v>45811.0</v>
      </c>
      <c r="O176" s="60">
        <v>45815.0</v>
      </c>
      <c r="P176" s="60"/>
      <c r="Q176" s="22">
        <v>20.56</v>
      </c>
      <c r="R176" s="22">
        <v>4539.0</v>
      </c>
      <c r="S176" s="23" t="str">
        <f>iferror(if(AN176=1,VLOOKUP(B176, Blends!H$4:AK$1004,32,0), ""), "")</f>
        <v/>
      </c>
      <c r="T176" s="58"/>
      <c r="U176" s="27"/>
      <c r="V176" s="26"/>
      <c r="W176" s="27"/>
      <c r="X176" s="26"/>
      <c r="Y176" s="26"/>
      <c r="Z176" s="26"/>
      <c r="AA176" s="26"/>
      <c r="AB176" s="26"/>
      <c r="AC176" s="26"/>
      <c r="AD176" s="26"/>
      <c r="AE176" s="26"/>
      <c r="AF176" s="26"/>
      <c r="AG176" s="26"/>
      <c r="AH176" s="26"/>
      <c r="AI176" s="26"/>
      <c r="AJ176" s="26"/>
      <c r="AK176" s="25"/>
      <c r="AL176" s="59"/>
      <c r="AM176" s="35"/>
      <c r="AN176" s="35"/>
      <c r="AO176" s="35"/>
      <c r="AP176" s="35"/>
      <c r="AQ176" s="35"/>
      <c r="AR176" s="35"/>
      <c r="AS176" s="35"/>
      <c r="AT176" s="35"/>
      <c r="AU176" s="35"/>
      <c r="AV176" s="35"/>
      <c r="AW176" s="35"/>
    </row>
    <row r="177">
      <c r="A177" s="17">
        <v>176.0</v>
      </c>
      <c r="B177" s="17" t="s">
        <v>399</v>
      </c>
      <c r="C177" s="18" t="s">
        <v>481</v>
      </c>
      <c r="D177" s="18" t="s">
        <v>479</v>
      </c>
      <c r="E177" s="17" t="b">
        <v>1</v>
      </c>
      <c r="F177" s="17" t="s">
        <v>349</v>
      </c>
      <c r="G177" s="17" t="s">
        <v>79</v>
      </c>
      <c r="H177" s="17" t="s">
        <v>80</v>
      </c>
      <c r="I177" s="17" t="s">
        <v>81</v>
      </c>
      <c r="J177" s="17"/>
      <c r="K177" s="19" t="s">
        <v>82</v>
      </c>
      <c r="L177" s="17" t="s">
        <v>482</v>
      </c>
      <c r="M177" s="57"/>
      <c r="N177" s="61">
        <v>45811.0</v>
      </c>
      <c r="O177" s="62">
        <v>45816.0</v>
      </c>
      <c r="P177" s="62"/>
      <c r="Q177" s="22">
        <v>20.61</v>
      </c>
      <c r="R177" s="22">
        <v>4798.0</v>
      </c>
      <c r="S177" s="23" t="str">
        <f>iferror(if(AN177=1,VLOOKUP(B177, Blends!H$4:AK$1004,32,0), ""), "")</f>
        <v/>
      </c>
      <c r="T177" s="58"/>
      <c r="U177" s="27"/>
      <c r="V177" s="26"/>
      <c r="W177" s="27"/>
      <c r="X177" s="26"/>
      <c r="Y177" s="26"/>
      <c r="Z177" s="26"/>
      <c r="AA177" s="26"/>
      <c r="AB177" s="26"/>
      <c r="AC177" s="26"/>
      <c r="AD177" s="26"/>
      <c r="AE177" s="26"/>
      <c r="AF177" s="26"/>
      <c r="AG177" s="26"/>
      <c r="AH177" s="26"/>
      <c r="AI177" s="26"/>
      <c r="AJ177" s="26"/>
      <c r="AK177" s="25"/>
      <c r="AL177" s="59"/>
      <c r="AM177" s="35"/>
      <c r="AN177" s="35"/>
      <c r="AO177" s="35"/>
      <c r="AP177" s="35"/>
      <c r="AQ177" s="35"/>
      <c r="AR177" s="35"/>
      <c r="AS177" s="35"/>
      <c r="AT177" s="35"/>
      <c r="AU177" s="35"/>
      <c r="AV177" s="35"/>
      <c r="AW177" s="35"/>
    </row>
    <row r="178">
      <c r="A178" s="17">
        <v>177.0</v>
      </c>
      <c r="B178" s="17" t="s">
        <v>399</v>
      </c>
      <c r="C178" s="18" t="s">
        <v>483</v>
      </c>
      <c r="D178" s="18" t="s">
        <v>484</v>
      </c>
      <c r="E178" s="17" t="b">
        <v>1</v>
      </c>
      <c r="F178" s="17" t="s">
        <v>349</v>
      </c>
      <c r="G178" s="17" t="s">
        <v>79</v>
      </c>
      <c r="H178" s="17" t="s">
        <v>80</v>
      </c>
      <c r="I178" s="17" t="s">
        <v>81</v>
      </c>
      <c r="J178" s="17"/>
      <c r="K178" s="19" t="s">
        <v>233</v>
      </c>
      <c r="L178" s="17" t="s">
        <v>485</v>
      </c>
      <c r="M178" s="57"/>
      <c r="N178" s="61">
        <v>45812.0</v>
      </c>
      <c r="O178" s="60">
        <v>45816.0</v>
      </c>
      <c r="P178" s="60"/>
      <c r="Q178" s="22">
        <v>20.58</v>
      </c>
      <c r="R178" s="22">
        <v>4532.0</v>
      </c>
      <c r="S178" s="23" t="str">
        <f>iferror(if(AN178=1,VLOOKUP(B178, Blends!H$4:AK$1004,32,0), ""), "")</f>
        <v/>
      </c>
      <c r="T178" s="58"/>
      <c r="U178" s="27"/>
      <c r="V178" s="26"/>
      <c r="W178" s="27"/>
      <c r="X178" s="26"/>
      <c r="Y178" s="26"/>
      <c r="Z178" s="26"/>
      <c r="AA178" s="26"/>
      <c r="AB178" s="26"/>
      <c r="AC178" s="26"/>
      <c r="AD178" s="26"/>
      <c r="AE178" s="26"/>
      <c r="AF178" s="26"/>
      <c r="AG178" s="26"/>
      <c r="AH178" s="26"/>
      <c r="AI178" s="26"/>
      <c r="AJ178" s="26"/>
      <c r="AK178" s="25"/>
      <c r="AL178" s="59"/>
      <c r="AM178" s="35"/>
      <c r="AN178" s="35"/>
      <c r="AO178" s="35"/>
      <c r="AP178" s="35"/>
      <c r="AQ178" s="35"/>
      <c r="AR178" s="35"/>
      <c r="AS178" s="35"/>
      <c r="AT178" s="35"/>
      <c r="AU178" s="35"/>
      <c r="AV178" s="35"/>
      <c r="AW178" s="35"/>
    </row>
    <row r="179">
      <c r="A179" s="17">
        <v>178.0</v>
      </c>
      <c r="B179" s="17" t="s">
        <v>399</v>
      </c>
      <c r="C179" s="18" t="s">
        <v>486</v>
      </c>
      <c r="D179" s="18" t="s">
        <v>484</v>
      </c>
      <c r="E179" s="17" t="b">
        <v>1</v>
      </c>
      <c r="F179" s="17" t="s">
        <v>349</v>
      </c>
      <c r="G179" s="17" t="s">
        <v>79</v>
      </c>
      <c r="H179" s="17" t="s">
        <v>80</v>
      </c>
      <c r="I179" s="17" t="s">
        <v>81</v>
      </c>
      <c r="J179" s="17"/>
      <c r="K179" s="19" t="s">
        <v>233</v>
      </c>
      <c r="L179" s="17" t="s">
        <v>292</v>
      </c>
      <c r="M179" s="57"/>
      <c r="N179" s="61">
        <v>45813.0</v>
      </c>
      <c r="O179" s="62">
        <v>45816.0</v>
      </c>
      <c r="P179" s="62"/>
      <c r="Q179" s="22">
        <v>20.25</v>
      </c>
      <c r="R179" s="22">
        <v>4604.0</v>
      </c>
      <c r="S179" s="23" t="str">
        <f>iferror(if(AN179=1,VLOOKUP(B179, Blends!H$4:AK$1004,32,0), ""), "")</f>
        <v/>
      </c>
      <c r="T179" s="58"/>
      <c r="U179" s="27"/>
      <c r="V179" s="26"/>
      <c r="W179" s="27"/>
      <c r="X179" s="26"/>
      <c r="Y179" s="26"/>
      <c r="Z179" s="26"/>
      <c r="AA179" s="26"/>
      <c r="AB179" s="26"/>
      <c r="AC179" s="26"/>
      <c r="AD179" s="26"/>
      <c r="AE179" s="26"/>
      <c r="AF179" s="26"/>
      <c r="AG179" s="26"/>
      <c r="AH179" s="26"/>
      <c r="AI179" s="26"/>
      <c r="AJ179" s="26"/>
      <c r="AK179" s="25"/>
      <c r="AL179" s="59"/>
      <c r="AM179" s="35"/>
      <c r="AN179" s="35"/>
      <c r="AO179" s="35"/>
      <c r="AP179" s="35"/>
      <c r="AQ179" s="35"/>
      <c r="AR179" s="35"/>
      <c r="AS179" s="35"/>
      <c r="AT179" s="35"/>
      <c r="AU179" s="35"/>
      <c r="AV179" s="35"/>
      <c r="AW179" s="35"/>
    </row>
    <row r="180">
      <c r="A180" s="17">
        <v>179.0</v>
      </c>
      <c r="B180" s="17" t="s">
        <v>399</v>
      </c>
      <c r="C180" s="18" t="s">
        <v>487</v>
      </c>
      <c r="D180" s="18" t="s">
        <v>484</v>
      </c>
      <c r="E180" s="17" t="b">
        <v>1</v>
      </c>
      <c r="F180" s="17" t="s">
        <v>349</v>
      </c>
      <c r="G180" s="17" t="s">
        <v>79</v>
      </c>
      <c r="H180" s="17" t="s">
        <v>80</v>
      </c>
      <c r="I180" s="17" t="s">
        <v>81</v>
      </c>
      <c r="J180" s="17"/>
      <c r="K180" s="19" t="s">
        <v>233</v>
      </c>
      <c r="L180" s="17" t="s">
        <v>324</v>
      </c>
      <c r="M180" s="57"/>
      <c r="N180" s="61">
        <v>45813.0</v>
      </c>
      <c r="O180" s="60">
        <v>45817.0</v>
      </c>
      <c r="P180" s="60"/>
      <c r="Q180" s="22">
        <v>19.93</v>
      </c>
      <c r="R180" s="22">
        <v>4370.0</v>
      </c>
      <c r="S180" s="23" t="str">
        <f>iferror(if(AN180=1,VLOOKUP(B180, Blends!H$4:AK$1004,32,0), ""), "")</f>
        <v/>
      </c>
      <c r="T180" s="58"/>
      <c r="U180" s="27"/>
      <c r="V180" s="26"/>
      <c r="W180" s="27"/>
      <c r="X180" s="26"/>
      <c r="Y180" s="26"/>
      <c r="Z180" s="26"/>
      <c r="AA180" s="26"/>
      <c r="AB180" s="26"/>
      <c r="AC180" s="26"/>
      <c r="AD180" s="26"/>
      <c r="AE180" s="26"/>
      <c r="AF180" s="26"/>
      <c r="AG180" s="26"/>
      <c r="AH180" s="26"/>
      <c r="AI180" s="26"/>
      <c r="AJ180" s="26"/>
      <c r="AK180" s="25"/>
      <c r="AL180" s="59"/>
      <c r="AM180" s="35"/>
      <c r="AN180" s="35"/>
      <c r="AO180" s="35"/>
      <c r="AP180" s="35"/>
      <c r="AQ180" s="35"/>
      <c r="AR180" s="35"/>
      <c r="AS180" s="35"/>
      <c r="AT180" s="35"/>
      <c r="AU180" s="35"/>
      <c r="AV180" s="35"/>
      <c r="AW180" s="35"/>
    </row>
    <row r="181">
      <c r="A181" s="17">
        <v>180.0</v>
      </c>
      <c r="B181" s="17" t="s">
        <v>399</v>
      </c>
      <c r="C181" s="18" t="s">
        <v>488</v>
      </c>
      <c r="D181" s="18" t="s">
        <v>484</v>
      </c>
      <c r="E181" s="17" t="b">
        <v>1</v>
      </c>
      <c r="F181" s="17" t="s">
        <v>349</v>
      </c>
      <c r="G181" s="17" t="s">
        <v>79</v>
      </c>
      <c r="H181" s="17" t="s">
        <v>80</v>
      </c>
      <c r="I181" s="17" t="s">
        <v>81</v>
      </c>
      <c r="J181" s="17"/>
      <c r="K181" s="19" t="s">
        <v>82</v>
      </c>
      <c r="L181" s="17" t="s">
        <v>86</v>
      </c>
      <c r="M181" s="57"/>
      <c r="N181" s="61">
        <v>45813.0</v>
      </c>
      <c r="O181" s="60">
        <v>45816.0</v>
      </c>
      <c r="P181" s="60"/>
      <c r="Q181" s="22">
        <v>20.22</v>
      </c>
      <c r="R181" s="22">
        <v>4645.0</v>
      </c>
      <c r="S181" s="23" t="str">
        <f>iferror(if(AN181=1,VLOOKUP(B181, Blends!H$4:AK$1004,32,0), ""), "")</f>
        <v/>
      </c>
      <c r="T181" s="58"/>
      <c r="U181" s="27"/>
      <c r="V181" s="26"/>
      <c r="W181" s="27"/>
      <c r="X181" s="26"/>
      <c r="Y181" s="26"/>
      <c r="Z181" s="26"/>
      <c r="AA181" s="26"/>
      <c r="AB181" s="26"/>
      <c r="AC181" s="26"/>
      <c r="AD181" s="26"/>
      <c r="AE181" s="26"/>
      <c r="AF181" s="26"/>
      <c r="AG181" s="26"/>
      <c r="AH181" s="26"/>
      <c r="AI181" s="26"/>
      <c r="AJ181" s="26"/>
      <c r="AK181" s="25"/>
      <c r="AL181" s="59"/>
      <c r="AM181" s="35"/>
      <c r="AN181" s="35"/>
      <c r="AO181" s="35"/>
      <c r="AP181" s="35"/>
      <c r="AQ181" s="35"/>
      <c r="AR181" s="35"/>
      <c r="AS181" s="35"/>
      <c r="AT181" s="35"/>
      <c r="AU181" s="35"/>
      <c r="AV181" s="35"/>
      <c r="AW181" s="35"/>
    </row>
    <row r="182">
      <c r="A182" s="17">
        <v>181.0</v>
      </c>
      <c r="B182" s="17" t="s">
        <v>399</v>
      </c>
      <c r="C182" s="18" t="s">
        <v>489</v>
      </c>
      <c r="D182" s="18" t="s">
        <v>490</v>
      </c>
      <c r="E182" s="17" t="b">
        <v>1</v>
      </c>
      <c r="F182" s="17" t="s">
        <v>349</v>
      </c>
      <c r="G182" s="17" t="s">
        <v>79</v>
      </c>
      <c r="H182" s="17" t="s">
        <v>80</v>
      </c>
      <c r="I182" s="17" t="s">
        <v>81</v>
      </c>
      <c r="J182" s="17"/>
      <c r="K182" s="17" t="s">
        <v>491</v>
      </c>
      <c r="L182" s="17" t="s">
        <v>492</v>
      </c>
      <c r="M182" s="57"/>
      <c r="N182" s="61">
        <v>45827.0</v>
      </c>
      <c r="O182" s="60">
        <v>45831.0</v>
      </c>
      <c r="P182" s="60"/>
      <c r="Q182" s="22">
        <v>21.19</v>
      </c>
      <c r="R182" s="22">
        <v>4704.0</v>
      </c>
      <c r="S182" s="23" t="str">
        <f>iferror(if(AN182=1,VLOOKUP(B182, Blends!H$4:AK$1004,32,0), ""), "")</f>
        <v/>
      </c>
      <c r="T182" s="58"/>
      <c r="U182" s="27"/>
      <c r="V182" s="26"/>
      <c r="W182" s="27"/>
      <c r="X182" s="26"/>
      <c r="Y182" s="26"/>
      <c r="Z182" s="26"/>
      <c r="AA182" s="26"/>
      <c r="AB182" s="26"/>
      <c r="AC182" s="26"/>
      <c r="AD182" s="26"/>
      <c r="AE182" s="26"/>
      <c r="AF182" s="26"/>
      <c r="AG182" s="26"/>
      <c r="AH182" s="26"/>
      <c r="AI182" s="26"/>
      <c r="AJ182" s="26"/>
      <c r="AK182" s="25"/>
      <c r="AL182" s="59"/>
      <c r="AM182" s="35"/>
      <c r="AN182" s="35"/>
      <c r="AO182" s="35"/>
      <c r="AP182" s="35"/>
      <c r="AQ182" s="35"/>
      <c r="AR182" s="35"/>
      <c r="AS182" s="35"/>
      <c r="AT182" s="35"/>
      <c r="AU182" s="35"/>
      <c r="AV182" s="35"/>
      <c r="AW182" s="35"/>
    </row>
    <row r="183">
      <c r="A183" s="17">
        <v>182.0</v>
      </c>
      <c r="B183" s="17" t="s">
        <v>399</v>
      </c>
      <c r="C183" s="18" t="s">
        <v>493</v>
      </c>
      <c r="D183" s="18" t="s">
        <v>494</v>
      </c>
      <c r="E183" s="17" t="b">
        <v>1</v>
      </c>
      <c r="F183" s="17" t="s">
        <v>349</v>
      </c>
      <c r="G183" s="17" t="s">
        <v>79</v>
      </c>
      <c r="H183" s="17" t="s">
        <v>80</v>
      </c>
      <c r="I183" s="17" t="s">
        <v>81</v>
      </c>
      <c r="J183" s="17"/>
      <c r="K183" s="19" t="s">
        <v>233</v>
      </c>
      <c r="L183" s="17" t="s">
        <v>409</v>
      </c>
      <c r="M183" s="57"/>
      <c r="N183" s="61">
        <v>45831.0</v>
      </c>
      <c r="O183" s="60">
        <v>45835.0</v>
      </c>
      <c r="P183" s="60"/>
      <c r="Q183" s="22">
        <v>20.32</v>
      </c>
      <c r="R183" s="22">
        <v>4485.0</v>
      </c>
      <c r="S183" s="23" t="str">
        <f>iferror(if(AN183=1,VLOOKUP(B183, Blends!H$4:AK$1004,32,0), ""), "")</f>
        <v/>
      </c>
      <c r="T183" s="58"/>
      <c r="U183" s="27"/>
      <c r="V183" s="26"/>
      <c r="W183" s="27"/>
      <c r="X183" s="26"/>
      <c r="Y183" s="26"/>
      <c r="Z183" s="26"/>
      <c r="AA183" s="26"/>
      <c r="AB183" s="26"/>
      <c r="AC183" s="26"/>
      <c r="AD183" s="26"/>
      <c r="AE183" s="26"/>
      <c r="AF183" s="26"/>
      <c r="AG183" s="26"/>
      <c r="AH183" s="26"/>
      <c r="AI183" s="26"/>
      <c r="AJ183" s="26"/>
      <c r="AK183" s="25"/>
      <c r="AL183" s="59"/>
      <c r="AM183" s="35"/>
      <c r="AN183" s="35"/>
      <c r="AO183" s="35"/>
      <c r="AP183" s="35"/>
      <c r="AQ183" s="35"/>
      <c r="AR183" s="35"/>
      <c r="AS183" s="35"/>
      <c r="AT183" s="35"/>
      <c r="AU183" s="35"/>
      <c r="AV183" s="35"/>
      <c r="AW183" s="35"/>
    </row>
    <row r="184">
      <c r="A184" s="17">
        <v>183.0</v>
      </c>
      <c r="B184" s="17" t="s">
        <v>399</v>
      </c>
      <c r="C184" s="18" t="s">
        <v>495</v>
      </c>
      <c r="D184" s="18" t="s">
        <v>494</v>
      </c>
      <c r="E184" s="17" t="b">
        <v>1</v>
      </c>
      <c r="F184" s="17" t="s">
        <v>349</v>
      </c>
      <c r="G184" s="17" t="s">
        <v>79</v>
      </c>
      <c r="H184" s="17" t="s">
        <v>80</v>
      </c>
      <c r="I184" s="17" t="s">
        <v>81</v>
      </c>
      <c r="J184" s="17"/>
      <c r="K184" s="19" t="s">
        <v>82</v>
      </c>
      <c r="L184" s="17" t="s">
        <v>482</v>
      </c>
      <c r="M184" s="57"/>
      <c r="N184" s="61">
        <v>45831.0</v>
      </c>
      <c r="O184" s="60">
        <v>45836.0</v>
      </c>
      <c r="P184" s="60"/>
      <c r="Q184" s="22">
        <v>20.69</v>
      </c>
      <c r="R184" s="22">
        <v>4542.0</v>
      </c>
      <c r="S184" s="23" t="str">
        <f>iferror(if(AN184=1,VLOOKUP(B184, Blends!H$4:AK$1004,32,0), ""), "")</f>
        <v/>
      </c>
      <c r="T184" s="58"/>
      <c r="U184" s="27"/>
      <c r="V184" s="26"/>
      <c r="W184" s="27"/>
      <c r="X184" s="26"/>
      <c r="Y184" s="26"/>
      <c r="Z184" s="26"/>
      <c r="AA184" s="26"/>
      <c r="AB184" s="26"/>
      <c r="AC184" s="26"/>
      <c r="AD184" s="26"/>
      <c r="AE184" s="26"/>
      <c r="AF184" s="26"/>
      <c r="AG184" s="26"/>
      <c r="AH184" s="26"/>
      <c r="AI184" s="26"/>
      <c r="AJ184" s="26"/>
      <c r="AK184" s="25"/>
      <c r="AL184" s="59"/>
      <c r="AM184" s="35"/>
      <c r="AN184" s="35"/>
      <c r="AO184" s="35"/>
      <c r="AP184" s="35"/>
      <c r="AQ184" s="35"/>
      <c r="AR184" s="35"/>
      <c r="AS184" s="35"/>
      <c r="AT184" s="35"/>
      <c r="AU184" s="35"/>
      <c r="AV184" s="35"/>
      <c r="AW184" s="35"/>
    </row>
    <row r="185">
      <c r="A185" s="17">
        <v>184.0</v>
      </c>
      <c r="B185" s="17" t="s">
        <v>399</v>
      </c>
      <c r="C185" s="18" t="s">
        <v>496</v>
      </c>
      <c r="D185" s="18" t="s">
        <v>494</v>
      </c>
      <c r="E185" s="17" t="b">
        <v>1</v>
      </c>
      <c r="F185" s="17" t="s">
        <v>349</v>
      </c>
      <c r="G185" s="17" t="s">
        <v>79</v>
      </c>
      <c r="H185" s="17" t="s">
        <v>80</v>
      </c>
      <c r="I185" s="17" t="s">
        <v>81</v>
      </c>
      <c r="J185" s="17"/>
      <c r="K185" s="19" t="s">
        <v>233</v>
      </c>
      <c r="L185" s="17" t="s">
        <v>471</v>
      </c>
      <c r="M185" s="57"/>
      <c r="N185" s="61">
        <v>45832.0</v>
      </c>
      <c r="O185" s="60">
        <v>45838.0</v>
      </c>
      <c r="P185" s="60"/>
      <c r="Q185" s="22">
        <v>20.03</v>
      </c>
      <c r="R185" s="22">
        <v>4409.0</v>
      </c>
      <c r="S185" s="23" t="str">
        <f>iferror(if(AN185=1,VLOOKUP(B185, Blends!H$4:AK$1004,32,0), ""), "")</f>
        <v/>
      </c>
      <c r="T185" s="58"/>
      <c r="U185" s="27"/>
      <c r="V185" s="26"/>
      <c r="W185" s="27"/>
      <c r="X185" s="26"/>
      <c r="Y185" s="26"/>
      <c r="Z185" s="26"/>
      <c r="AA185" s="26"/>
      <c r="AB185" s="26"/>
      <c r="AC185" s="26"/>
      <c r="AD185" s="26"/>
      <c r="AE185" s="26"/>
      <c r="AF185" s="26"/>
      <c r="AG185" s="26"/>
      <c r="AH185" s="26"/>
      <c r="AI185" s="26"/>
      <c r="AJ185" s="26"/>
      <c r="AK185" s="25"/>
      <c r="AL185" s="59"/>
      <c r="AM185" s="35"/>
      <c r="AN185" s="35"/>
      <c r="AO185" s="35"/>
      <c r="AP185" s="35"/>
      <c r="AQ185" s="35"/>
      <c r="AR185" s="35"/>
      <c r="AS185" s="35"/>
      <c r="AT185" s="35"/>
      <c r="AU185" s="35"/>
      <c r="AV185" s="35"/>
      <c r="AW185" s="35"/>
    </row>
    <row r="186">
      <c r="A186" s="17">
        <v>185.0</v>
      </c>
      <c r="B186" s="17" t="s">
        <v>399</v>
      </c>
      <c r="C186" s="18" t="s">
        <v>497</v>
      </c>
      <c r="D186" s="18" t="s">
        <v>498</v>
      </c>
      <c r="E186" s="17" t="b">
        <v>1</v>
      </c>
      <c r="F186" s="17" t="s">
        <v>349</v>
      </c>
      <c r="G186" s="17" t="s">
        <v>79</v>
      </c>
      <c r="H186" s="17" t="s">
        <v>80</v>
      </c>
      <c r="I186" s="17" t="s">
        <v>81</v>
      </c>
      <c r="J186" s="17"/>
      <c r="K186" s="19" t="s">
        <v>233</v>
      </c>
      <c r="L186" s="17" t="s">
        <v>485</v>
      </c>
      <c r="M186" s="57"/>
      <c r="N186" s="61">
        <v>45838.0</v>
      </c>
      <c r="O186" s="60">
        <v>45841.0</v>
      </c>
      <c r="P186" s="60"/>
      <c r="Q186" s="22">
        <v>20.59</v>
      </c>
      <c r="R186" s="22">
        <v>4548.0</v>
      </c>
      <c r="S186" s="23" t="str">
        <f>iferror(if(AN186=1,VLOOKUP(B186, Blends!H$4:AK$1004,32,0), ""), "")</f>
        <v/>
      </c>
      <c r="T186" s="58"/>
      <c r="U186" s="27"/>
      <c r="V186" s="26"/>
      <c r="W186" s="27"/>
      <c r="X186" s="26"/>
      <c r="Y186" s="26"/>
      <c r="Z186" s="26"/>
      <c r="AA186" s="26"/>
      <c r="AB186" s="26"/>
      <c r="AC186" s="26"/>
      <c r="AD186" s="26"/>
      <c r="AE186" s="26"/>
      <c r="AF186" s="26"/>
      <c r="AG186" s="26"/>
      <c r="AH186" s="26"/>
      <c r="AI186" s="26"/>
      <c r="AJ186" s="26"/>
      <c r="AK186" s="25"/>
      <c r="AL186" s="59"/>
      <c r="AM186" s="35"/>
      <c r="AN186" s="35"/>
      <c r="AO186" s="35"/>
      <c r="AP186" s="35"/>
      <c r="AQ186" s="35"/>
      <c r="AR186" s="35"/>
      <c r="AS186" s="35"/>
      <c r="AT186" s="35"/>
      <c r="AU186" s="35"/>
      <c r="AV186" s="35"/>
      <c r="AW186" s="35"/>
    </row>
    <row r="187">
      <c r="A187" s="17">
        <v>186.0</v>
      </c>
      <c r="B187" s="17" t="s">
        <v>399</v>
      </c>
      <c r="C187" s="18" t="s">
        <v>499</v>
      </c>
      <c r="D187" s="18" t="s">
        <v>498</v>
      </c>
      <c r="E187" s="17" t="b">
        <v>1</v>
      </c>
      <c r="F187" s="17" t="s">
        <v>349</v>
      </c>
      <c r="G187" s="17" t="s">
        <v>79</v>
      </c>
      <c r="H187" s="17" t="s">
        <v>80</v>
      </c>
      <c r="I187" s="17" t="s">
        <v>81</v>
      </c>
      <c r="J187" s="17"/>
      <c r="K187" s="19" t="s">
        <v>233</v>
      </c>
      <c r="L187" s="17" t="s">
        <v>480</v>
      </c>
      <c r="M187" s="57"/>
      <c r="N187" s="61">
        <v>45838.0</v>
      </c>
      <c r="O187" s="60">
        <v>45842.0</v>
      </c>
      <c r="P187" s="60"/>
      <c r="Q187" s="22">
        <v>20.6</v>
      </c>
      <c r="R187" s="22">
        <v>4541.0</v>
      </c>
      <c r="S187" s="23" t="str">
        <f>iferror(if(AN187=1,VLOOKUP(B187, Blends!H$4:AK$1004,32,0), ""), "")</f>
        <v/>
      </c>
      <c r="T187" s="58"/>
      <c r="U187" s="27"/>
      <c r="V187" s="26"/>
      <c r="W187" s="27"/>
      <c r="X187" s="26"/>
      <c r="Y187" s="26"/>
      <c r="Z187" s="26"/>
      <c r="AA187" s="26"/>
      <c r="AB187" s="26"/>
      <c r="AC187" s="26"/>
      <c r="AD187" s="26"/>
      <c r="AE187" s="26"/>
      <c r="AF187" s="26"/>
      <c r="AG187" s="26"/>
      <c r="AH187" s="26"/>
      <c r="AI187" s="26"/>
      <c r="AJ187" s="26"/>
      <c r="AK187" s="25"/>
      <c r="AL187" s="59"/>
      <c r="AM187" s="35"/>
      <c r="AN187" s="35"/>
      <c r="AO187" s="35"/>
      <c r="AP187" s="35"/>
      <c r="AQ187" s="35"/>
      <c r="AR187" s="35"/>
      <c r="AS187" s="35"/>
      <c r="AT187" s="35"/>
      <c r="AU187" s="35"/>
      <c r="AV187" s="35"/>
      <c r="AW187" s="35"/>
    </row>
    <row r="188">
      <c r="A188" s="17">
        <v>187.0</v>
      </c>
      <c r="B188" s="17" t="s">
        <v>500</v>
      </c>
      <c r="C188" s="18" t="s">
        <v>501</v>
      </c>
      <c r="D188" s="18" t="s">
        <v>502</v>
      </c>
      <c r="E188" s="17" t="b">
        <v>1</v>
      </c>
      <c r="F188" s="17" t="s">
        <v>349</v>
      </c>
      <c r="G188" s="17" t="s">
        <v>79</v>
      </c>
      <c r="H188" s="17" t="s">
        <v>80</v>
      </c>
      <c r="I188" s="17" t="s">
        <v>81</v>
      </c>
      <c r="J188" s="17"/>
      <c r="K188" s="19" t="s">
        <v>233</v>
      </c>
      <c r="L188" s="17" t="s">
        <v>503</v>
      </c>
      <c r="M188" s="57"/>
      <c r="N188" s="61">
        <v>45840.0</v>
      </c>
      <c r="O188" s="60">
        <v>45845.0</v>
      </c>
      <c r="P188" s="60"/>
      <c r="Q188" s="22">
        <v>21.23</v>
      </c>
      <c r="R188" s="22">
        <v>4707.0</v>
      </c>
      <c r="S188" s="23" t="str">
        <f>iferror(if(AN188=1,VLOOKUP(B188, Blends!H$4:AK$1004,32,0), ""), "")</f>
        <v/>
      </c>
      <c r="T188" s="58"/>
      <c r="U188" s="27"/>
      <c r="V188" s="26"/>
      <c r="W188" s="27"/>
      <c r="X188" s="26"/>
      <c r="Y188" s="26"/>
      <c r="Z188" s="26"/>
      <c r="AA188" s="26"/>
      <c r="AB188" s="26"/>
      <c r="AC188" s="26"/>
      <c r="AD188" s="26"/>
      <c r="AE188" s="26"/>
      <c r="AF188" s="26"/>
      <c r="AG188" s="26"/>
      <c r="AH188" s="26"/>
      <c r="AI188" s="26"/>
      <c r="AJ188" s="26"/>
      <c r="AK188" s="25"/>
      <c r="AL188" s="59"/>
      <c r="AM188" s="35"/>
      <c r="AN188" s="35"/>
      <c r="AO188" s="35"/>
      <c r="AP188" s="35"/>
      <c r="AQ188" s="35"/>
      <c r="AR188" s="35"/>
      <c r="AS188" s="35"/>
      <c r="AT188" s="35"/>
      <c r="AU188" s="35"/>
      <c r="AV188" s="35"/>
      <c r="AW188" s="35"/>
    </row>
    <row r="189">
      <c r="A189" s="17">
        <v>188.0</v>
      </c>
      <c r="B189" s="17" t="s">
        <v>500</v>
      </c>
      <c r="C189" s="18" t="s">
        <v>504</v>
      </c>
      <c r="D189" s="18" t="s">
        <v>502</v>
      </c>
      <c r="E189" s="17" t="b">
        <v>1</v>
      </c>
      <c r="F189" s="17" t="s">
        <v>349</v>
      </c>
      <c r="G189" s="17" t="s">
        <v>79</v>
      </c>
      <c r="H189" s="17" t="s">
        <v>80</v>
      </c>
      <c r="I189" s="17" t="s">
        <v>81</v>
      </c>
      <c r="J189" s="17"/>
      <c r="K189" s="17" t="s">
        <v>505</v>
      </c>
      <c r="L189" s="17" t="s">
        <v>506</v>
      </c>
      <c r="M189" s="57"/>
      <c r="N189" s="61">
        <v>45841.0</v>
      </c>
      <c r="O189" s="60">
        <v>45845.0</v>
      </c>
      <c r="P189" s="60"/>
      <c r="Q189" s="22">
        <v>20.75</v>
      </c>
      <c r="R189" s="22">
        <v>4598.0</v>
      </c>
      <c r="S189" s="23" t="str">
        <f>iferror(if(AN189=1,VLOOKUP(B189, Blends!H$4:AK$1004,32,0), ""), "")</f>
        <v/>
      </c>
      <c r="T189" s="58"/>
      <c r="U189" s="27"/>
      <c r="V189" s="26"/>
      <c r="W189" s="27"/>
      <c r="X189" s="26"/>
      <c r="Y189" s="26"/>
      <c r="Z189" s="26"/>
      <c r="AA189" s="26"/>
      <c r="AB189" s="26"/>
      <c r="AC189" s="26"/>
      <c r="AD189" s="26"/>
      <c r="AE189" s="26"/>
      <c r="AF189" s="26"/>
      <c r="AG189" s="26"/>
      <c r="AH189" s="26"/>
      <c r="AI189" s="26"/>
      <c r="AJ189" s="26"/>
      <c r="AK189" s="25"/>
      <c r="AL189" s="59"/>
      <c r="AM189" s="35"/>
      <c r="AN189" s="35"/>
      <c r="AO189" s="35"/>
      <c r="AP189" s="35"/>
      <c r="AQ189" s="35"/>
      <c r="AR189" s="35"/>
      <c r="AS189" s="35"/>
      <c r="AT189" s="35"/>
      <c r="AU189" s="35"/>
      <c r="AV189" s="35"/>
      <c r="AW189" s="35"/>
    </row>
    <row r="190">
      <c r="A190" s="17">
        <v>189.0</v>
      </c>
      <c r="B190" s="17" t="s">
        <v>500</v>
      </c>
      <c r="C190" s="18" t="s">
        <v>507</v>
      </c>
      <c r="D190" s="18" t="s">
        <v>502</v>
      </c>
      <c r="E190" s="17" t="b">
        <v>1</v>
      </c>
      <c r="F190" s="17" t="s">
        <v>349</v>
      </c>
      <c r="G190" s="17" t="s">
        <v>79</v>
      </c>
      <c r="H190" s="17" t="s">
        <v>80</v>
      </c>
      <c r="I190" s="17" t="s">
        <v>81</v>
      </c>
      <c r="J190" s="17"/>
      <c r="K190" s="19" t="s">
        <v>82</v>
      </c>
      <c r="L190" s="17" t="s">
        <v>242</v>
      </c>
      <c r="M190" s="57"/>
      <c r="N190" s="61">
        <v>45842.0</v>
      </c>
      <c r="O190" s="60">
        <v>45847.0</v>
      </c>
      <c r="P190" s="60"/>
      <c r="Q190" s="22">
        <v>20.2</v>
      </c>
      <c r="R190" s="22">
        <v>4460.0</v>
      </c>
      <c r="S190" s="23" t="str">
        <f>iferror(if(AN190=1,VLOOKUP(B190, Blends!H$4:AK$1004,32,0), ""), "")</f>
        <v/>
      </c>
      <c r="T190" s="58"/>
      <c r="U190" s="27"/>
      <c r="V190" s="26"/>
      <c r="W190" s="27"/>
      <c r="X190" s="26"/>
      <c r="Y190" s="26"/>
      <c r="Z190" s="26"/>
      <c r="AA190" s="26"/>
      <c r="AB190" s="26"/>
      <c r="AC190" s="26"/>
      <c r="AD190" s="26"/>
      <c r="AE190" s="26"/>
      <c r="AF190" s="26"/>
      <c r="AG190" s="26"/>
      <c r="AH190" s="26"/>
      <c r="AI190" s="26"/>
      <c r="AJ190" s="26"/>
      <c r="AK190" s="25"/>
      <c r="AL190" s="59"/>
      <c r="AM190" s="35"/>
      <c r="AN190" s="35"/>
      <c r="AO190" s="35"/>
      <c r="AP190" s="35"/>
      <c r="AQ190" s="35"/>
      <c r="AR190" s="35"/>
      <c r="AS190" s="35"/>
      <c r="AT190" s="35"/>
      <c r="AU190" s="35"/>
      <c r="AV190" s="35"/>
      <c r="AW190" s="35"/>
    </row>
    <row r="191">
      <c r="A191" s="17">
        <v>190.0</v>
      </c>
      <c r="B191" s="17" t="s">
        <v>500</v>
      </c>
      <c r="C191" s="18" t="s">
        <v>508</v>
      </c>
      <c r="D191" s="18" t="s">
        <v>509</v>
      </c>
      <c r="E191" s="17" t="b">
        <v>1</v>
      </c>
      <c r="F191" s="17" t="s">
        <v>349</v>
      </c>
      <c r="G191" s="17" t="s">
        <v>79</v>
      </c>
      <c r="H191" s="17" t="s">
        <v>80</v>
      </c>
      <c r="I191" s="17" t="s">
        <v>81</v>
      </c>
      <c r="J191" s="17"/>
      <c r="K191" s="19" t="s">
        <v>82</v>
      </c>
      <c r="L191" s="17" t="s">
        <v>86</v>
      </c>
      <c r="M191" s="57"/>
      <c r="N191" s="61">
        <v>45843.0</v>
      </c>
      <c r="O191" s="60">
        <v>45846.0</v>
      </c>
      <c r="P191" s="60"/>
      <c r="Q191" s="22">
        <v>20.56</v>
      </c>
      <c r="R191" s="22">
        <v>4520.0</v>
      </c>
      <c r="S191" s="23" t="str">
        <f>iferror(if(AN191=1,VLOOKUP(B191, Blends!H$4:AK$1004,32,0), ""), "")</f>
        <v/>
      </c>
      <c r="T191" s="58"/>
      <c r="U191" s="27"/>
      <c r="V191" s="26"/>
      <c r="W191" s="27"/>
      <c r="X191" s="26"/>
      <c r="Y191" s="26"/>
      <c r="Z191" s="26"/>
      <c r="AA191" s="26"/>
      <c r="AB191" s="26"/>
      <c r="AC191" s="26"/>
      <c r="AD191" s="26"/>
      <c r="AE191" s="26"/>
      <c r="AF191" s="26"/>
      <c r="AG191" s="26"/>
      <c r="AH191" s="26"/>
      <c r="AI191" s="26"/>
      <c r="AJ191" s="26"/>
      <c r="AK191" s="25"/>
      <c r="AL191" s="59"/>
      <c r="AM191" s="35"/>
      <c r="AN191" s="35"/>
      <c r="AO191" s="35"/>
      <c r="AP191" s="35"/>
      <c r="AQ191" s="35"/>
      <c r="AR191" s="35"/>
      <c r="AS191" s="35"/>
      <c r="AT191" s="35"/>
      <c r="AU191" s="35"/>
      <c r="AV191" s="35"/>
      <c r="AW191" s="35"/>
    </row>
    <row r="192">
      <c r="A192" s="17">
        <v>191.0</v>
      </c>
      <c r="B192" s="17" t="s">
        <v>500</v>
      </c>
      <c r="C192" s="18" t="s">
        <v>510</v>
      </c>
      <c r="D192" s="18" t="s">
        <v>511</v>
      </c>
      <c r="E192" s="17" t="b">
        <v>1</v>
      </c>
      <c r="F192" s="17" t="s">
        <v>349</v>
      </c>
      <c r="G192" s="17" t="s">
        <v>79</v>
      </c>
      <c r="H192" s="17" t="s">
        <v>80</v>
      </c>
      <c r="I192" s="17" t="s">
        <v>81</v>
      </c>
      <c r="J192" s="17"/>
      <c r="K192" s="19" t="s">
        <v>233</v>
      </c>
      <c r="L192" s="17" t="s">
        <v>512</v>
      </c>
      <c r="M192" s="57"/>
      <c r="N192" s="61">
        <v>45847.0</v>
      </c>
      <c r="O192" s="60">
        <v>45850.0</v>
      </c>
      <c r="P192" s="60"/>
      <c r="Q192" s="22">
        <v>19.95</v>
      </c>
      <c r="R192" s="22">
        <v>4398.0</v>
      </c>
      <c r="S192" s="23" t="str">
        <f>iferror(if(AN192=1,VLOOKUP(B192, Blends!H$4:AK$1004,32,0), ""), "")</f>
        <v/>
      </c>
      <c r="T192" s="58"/>
      <c r="U192" s="27"/>
      <c r="V192" s="26"/>
      <c r="W192" s="27"/>
      <c r="X192" s="26"/>
      <c r="Y192" s="26"/>
      <c r="Z192" s="26"/>
      <c r="AA192" s="26"/>
      <c r="AB192" s="26"/>
      <c r="AC192" s="26"/>
      <c r="AD192" s="26"/>
      <c r="AE192" s="26"/>
      <c r="AF192" s="26"/>
      <c r="AG192" s="26"/>
      <c r="AH192" s="26"/>
      <c r="AI192" s="26"/>
      <c r="AJ192" s="26"/>
      <c r="AK192" s="25"/>
      <c r="AL192" s="59"/>
      <c r="AM192" s="35"/>
      <c r="AN192" s="35"/>
      <c r="AO192" s="35"/>
      <c r="AP192" s="35"/>
      <c r="AQ192" s="35"/>
      <c r="AR192" s="35"/>
      <c r="AS192" s="35"/>
      <c r="AT192" s="35"/>
      <c r="AU192" s="35"/>
      <c r="AV192" s="35"/>
      <c r="AW192" s="35"/>
    </row>
    <row r="193">
      <c r="A193" s="17">
        <v>192.0</v>
      </c>
      <c r="B193" s="17" t="s">
        <v>500</v>
      </c>
      <c r="C193" s="18" t="s">
        <v>513</v>
      </c>
      <c r="D193" s="18" t="s">
        <v>511</v>
      </c>
      <c r="E193" s="17" t="b">
        <v>1</v>
      </c>
      <c r="F193" s="17" t="s">
        <v>349</v>
      </c>
      <c r="G193" s="17" t="s">
        <v>79</v>
      </c>
      <c r="H193" s="17" t="s">
        <v>80</v>
      </c>
      <c r="I193" s="17" t="s">
        <v>81</v>
      </c>
      <c r="J193" s="17"/>
      <c r="K193" s="17" t="s">
        <v>505</v>
      </c>
      <c r="L193" s="17" t="s">
        <v>506</v>
      </c>
      <c r="M193" s="57"/>
      <c r="N193" s="61">
        <v>45847.0</v>
      </c>
      <c r="O193" s="60">
        <v>45850.0</v>
      </c>
      <c r="P193" s="60"/>
      <c r="Q193" s="22">
        <v>20.92</v>
      </c>
      <c r="R193" s="22">
        <v>4625.0</v>
      </c>
      <c r="S193" s="23" t="str">
        <f>iferror(if(AN193=1,VLOOKUP(B193, Blends!H$4:AK$1004,32,0), ""), "")</f>
        <v/>
      </c>
      <c r="T193" s="58"/>
      <c r="U193" s="27"/>
      <c r="V193" s="26"/>
      <c r="W193" s="27"/>
      <c r="X193" s="26"/>
      <c r="Y193" s="26"/>
      <c r="Z193" s="26"/>
      <c r="AA193" s="26"/>
      <c r="AB193" s="26"/>
      <c r="AC193" s="26"/>
      <c r="AD193" s="26"/>
      <c r="AE193" s="26"/>
      <c r="AF193" s="26"/>
      <c r="AG193" s="26"/>
      <c r="AH193" s="26"/>
      <c r="AI193" s="26"/>
      <c r="AJ193" s="26"/>
      <c r="AK193" s="25"/>
      <c r="AL193" s="59"/>
      <c r="AM193" s="35"/>
      <c r="AN193" s="35"/>
      <c r="AO193" s="35"/>
      <c r="AP193" s="35"/>
      <c r="AQ193" s="35"/>
      <c r="AR193" s="35"/>
      <c r="AS193" s="35"/>
      <c r="AT193" s="35"/>
      <c r="AU193" s="35"/>
      <c r="AV193" s="35"/>
      <c r="AW193" s="35"/>
    </row>
    <row r="194">
      <c r="A194" s="17">
        <v>193.0</v>
      </c>
      <c r="B194" s="17" t="s">
        <v>500</v>
      </c>
      <c r="C194" s="18" t="s">
        <v>514</v>
      </c>
      <c r="D194" s="18" t="s">
        <v>515</v>
      </c>
      <c r="E194" s="17" t="b">
        <v>1</v>
      </c>
      <c r="F194" s="17" t="s">
        <v>349</v>
      </c>
      <c r="G194" s="17" t="s">
        <v>79</v>
      </c>
      <c r="H194" s="17" t="s">
        <v>80</v>
      </c>
      <c r="I194" s="17" t="s">
        <v>81</v>
      </c>
      <c r="J194" s="17"/>
      <c r="K194" s="17" t="s">
        <v>491</v>
      </c>
      <c r="L194" s="17" t="s">
        <v>516</v>
      </c>
      <c r="M194" s="57"/>
      <c r="N194" s="61">
        <v>45848.0</v>
      </c>
      <c r="O194" s="60">
        <v>45852.0</v>
      </c>
      <c r="P194" s="60"/>
      <c r="Q194" s="22">
        <v>20.0</v>
      </c>
      <c r="R194" s="22">
        <v>4423.0</v>
      </c>
      <c r="S194" s="23" t="str">
        <f>iferror(if(AN194=1,VLOOKUP(B194, Blends!H$4:AK$1004,32,0), ""), "")</f>
        <v/>
      </c>
      <c r="T194" s="58"/>
      <c r="U194" s="27"/>
      <c r="V194" s="26"/>
      <c r="W194" s="27"/>
      <c r="X194" s="26"/>
      <c r="Y194" s="26"/>
      <c r="Z194" s="26"/>
      <c r="AA194" s="26"/>
      <c r="AB194" s="26"/>
      <c r="AC194" s="26"/>
      <c r="AD194" s="26"/>
      <c r="AE194" s="26"/>
      <c r="AF194" s="26"/>
      <c r="AG194" s="26"/>
      <c r="AH194" s="26"/>
      <c r="AI194" s="26"/>
      <c r="AJ194" s="26"/>
      <c r="AK194" s="25"/>
      <c r="AL194" s="59"/>
      <c r="AM194" s="35"/>
      <c r="AN194" s="35"/>
      <c r="AO194" s="35"/>
      <c r="AP194" s="35"/>
      <c r="AQ194" s="35"/>
      <c r="AR194" s="35"/>
      <c r="AS194" s="35"/>
      <c r="AT194" s="35"/>
      <c r="AU194" s="35"/>
      <c r="AV194" s="35"/>
      <c r="AW194" s="35"/>
    </row>
    <row r="195">
      <c r="A195" s="17">
        <v>194.0</v>
      </c>
      <c r="B195" s="17" t="s">
        <v>500</v>
      </c>
      <c r="C195" s="18" t="s">
        <v>517</v>
      </c>
      <c r="D195" s="18" t="s">
        <v>518</v>
      </c>
      <c r="E195" s="17" t="b">
        <v>1</v>
      </c>
      <c r="F195" s="17" t="s">
        <v>349</v>
      </c>
      <c r="G195" s="17" t="s">
        <v>79</v>
      </c>
      <c r="H195" s="17" t="s">
        <v>80</v>
      </c>
      <c r="I195" s="17" t="s">
        <v>81</v>
      </c>
      <c r="J195" s="17"/>
      <c r="K195" s="17" t="s">
        <v>505</v>
      </c>
      <c r="L195" s="17" t="s">
        <v>519</v>
      </c>
      <c r="M195" s="57"/>
      <c r="N195" s="61">
        <v>45850.0</v>
      </c>
      <c r="O195" s="60">
        <v>45853.0</v>
      </c>
      <c r="P195" s="63"/>
      <c r="Q195" s="22">
        <v>21.36</v>
      </c>
      <c r="R195" s="22">
        <v>4758.0</v>
      </c>
      <c r="S195" s="23" t="str">
        <f>iferror(if(AN195=1,VLOOKUP(B195, Blends!H$4:AK$1004,32,0), ""), "")</f>
        <v/>
      </c>
      <c r="T195" s="17"/>
      <c r="U195" s="64"/>
      <c r="V195" s="26"/>
      <c r="W195" s="27"/>
      <c r="X195" s="26"/>
      <c r="Y195" s="26"/>
      <c r="Z195" s="26"/>
      <c r="AA195" s="26"/>
      <c r="AB195" s="26"/>
      <c r="AC195" s="26"/>
      <c r="AD195" s="26"/>
      <c r="AE195" s="26"/>
      <c r="AF195" s="26"/>
      <c r="AG195" s="26"/>
      <c r="AH195" s="26"/>
      <c r="AI195" s="26"/>
      <c r="AJ195" s="26"/>
      <c r="AK195" s="25"/>
      <c r="AL195" s="59"/>
      <c r="AM195" s="35"/>
      <c r="AN195" s="35"/>
      <c r="AO195" s="35"/>
      <c r="AP195" s="35"/>
      <c r="AQ195" s="35"/>
      <c r="AR195" s="35"/>
      <c r="AS195" s="35"/>
      <c r="AT195" s="35"/>
      <c r="AU195" s="35"/>
      <c r="AV195" s="35"/>
      <c r="AW195" s="35"/>
    </row>
    <row r="196">
      <c r="A196" s="17">
        <v>195.0</v>
      </c>
      <c r="B196" s="17" t="s">
        <v>500</v>
      </c>
      <c r="C196" s="18" t="s">
        <v>520</v>
      </c>
      <c r="D196" s="18" t="s">
        <v>521</v>
      </c>
      <c r="E196" s="17" t="b">
        <v>1</v>
      </c>
      <c r="F196" s="17" t="s">
        <v>349</v>
      </c>
      <c r="G196" s="17" t="s">
        <v>79</v>
      </c>
      <c r="H196" s="17" t="s">
        <v>80</v>
      </c>
      <c r="I196" s="17" t="s">
        <v>81</v>
      </c>
      <c r="J196" s="17"/>
      <c r="K196" s="19" t="s">
        <v>82</v>
      </c>
      <c r="L196" s="17" t="s">
        <v>86</v>
      </c>
      <c r="M196" s="57"/>
      <c r="N196" s="61">
        <v>45851.0</v>
      </c>
      <c r="O196" s="60">
        <v>45855.0</v>
      </c>
      <c r="P196" s="63"/>
      <c r="Q196" s="22">
        <v>20.81</v>
      </c>
      <c r="R196" s="22">
        <v>4599.0</v>
      </c>
      <c r="S196" s="23" t="str">
        <f>iferror(if(AN196=1,VLOOKUP(B196, Blends!H$4:AK$1004,32,0), ""), "")</f>
        <v/>
      </c>
      <c r="T196" s="17"/>
      <c r="U196" s="64"/>
      <c r="V196" s="26"/>
      <c r="W196" s="27"/>
      <c r="X196" s="26"/>
      <c r="Y196" s="26"/>
      <c r="Z196" s="26"/>
      <c r="AA196" s="26"/>
      <c r="AB196" s="26"/>
      <c r="AC196" s="26"/>
      <c r="AD196" s="26"/>
      <c r="AE196" s="26"/>
      <c r="AF196" s="26"/>
      <c r="AG196" s="26"/>
      <c r="AH196" s="26"/>
      <c r="AI196" s="26"/>
      <c r="AJ196" s="26"/>
      <c r="AK196" s="25"/>
      <c r="AL196" s="59"/>
      <c r="AM196" s="35"/>
      <c r="AN196" s="35"/>
      <c r="AO196" s="35"/>
      <c r="AP196" s="35"/>
      <c r="AQ196" s="35"/>
      <c r="AR196" s="35"/>
      <c r="AS196" s="35"/>
      <c r="AT196" s="35"/>
      <c r="AU196" s="35"/>
      <c r="AV196" s="35"/>
      <c r="AW196" s="35"/>
    </row>
    <row r="197">
      <c r="A197" s="17">
        <v>196.0</v>
      </c>
      <c r="B197" s="17" t="s">
        <v>500</v>
      </c>
      <c r="C197" s="18" t="s">
        <v>522</v>
      </c>
      <c r="D197" s="18" t="s">
        <v>521</v>
      </c>
      <c r="E197" s="17" t="b">
        <v>1</v>
      </c>
      <c r="F197" s="17" t="s">
        <v>349</v>
      </c>
      <c r="G197" s="17" t="s">
        <v>79</v>
      </c>
      <c r="H197" s="17" t="s">
        <v>80</v>
      </c>
      <c r="I197" s="17" t="s">
        <v>81</v>
      </c>
      <c r="J197" s="17"/>
      <c r="K197" s="19" t="s">
        <v>233</v>
      </c>
      <c r="L197" s="17" t="s">
        <v>287</v>
      </c>
      <c r="M197" s="57"/>
      <c r="N197" s="61">
        <v>45851.0</v>
      </c>
      <c r="O197" s="60">
        <v>45856.0</v>
      </c>
      <c r="P197" s="63"/>
      <c r="Q197" s="22">
        <v>20.33</v>
      </c>
      <c r="R197" s="22">
        <v>4484.0</v>
      </c>
      <c r="S197" s="23" t="str">
        <f>iferror(if(AN197=1,VLOOKUP(B197, Blends!H$4:AK$1004,32,0), ""), "")</f>
        <v/>
      </c>
      <c r="T197" s="17"/>
      <c r="U197" s="64"/>
      <c r="V197" s="26"/>
      <c r="W197" s="27"/>
      <c r="X197" s="26"/>
      <c r="Y197" s="26"/>
      <c r="Z197" s="26"/>
      <c r="AA197" s="26"/>
      <c r="AB197" s="26"/>
      <c r="AC197" s="26"/>
      <c r="AD197" s="26"/>
      <c r="AE197" s="26"/>
      <c r="AF197" s="26"/>
      <c r="AG197" s="26"/>
      <c r="AH197" s="26"/>
      <c r="AI197" s="26"/>
      <c r="AJ197" s="26"/>
      <c r="AK197" s="25"/>
      <c r="AL197" s="59"/>
      <c r="AM197" s="35"/>
      <c r="AN197" s="35"/>
      <c r="AO197" s="35"/>
      <c r="AP197" s="35"/>
      <c r="AQ197" s="35"/>
      <c r="AR197" s="35"/>
      <c r="AS197" s="35"/>
      <c r="AT197" s="35"/>
      <c r="AU197" s="35"/>
      <c r="AV197" s="35"/>
      <c r="AW197" s="35"/>
    </row>
    <row r="198">
      <c r="A198" s="17">
        <v>197.0</v>
      </c>
      <c r="B198" s="17" t="s">
        <v>500</v>
      </c>
      <c r="C198" s="18" t="s">
        <v>523</v>
      </c>
      <c r="D198" s="18" t="s">
        <v>524</v>
      </c>
      <c r="E198" s="17" t="b">
        <v>1</v>
      </c>
      <c r="F198" s="17" t="s">
        <v>349</v>
      </c>
      <c r="G198" s="17" t="s">
        <v>79</v>
      </c>
      <c r="H198" s="17" t="s">
        <v>80</v>
      </c>
      <c r="I198" s="17" t="s">
        <v>81</v>
      </c>
      <c r="J198" s="17"/>
      <c r="K198" s="19" t="s">
        <v>233</v>
      </c>
      <c r="L198" s="17" t="s">
        <v>525</v>
      </c>
      <c r="M198" s="57"/>
      <c r="N198" s="61">
        <v>45852.0</v>
      </c>
      <c r="O198" s="60">
        <v>45856.0</v>
      </c>
      <c r="P198" s="63"/>
      <c r="Q198" s="22">
        <v>20.84</v>
      </c>
      <c r="R198" s="22">
        <v>4630.0</v>
      </c>
      <c r="S198" s="23" t="str">
        <f>iferror(if(AN198=1,VLOOKUP(B198, Blends!H$4:AK$1004,32,0), ""), "")</f>
        <v/>
      </c>
      <c r="T198" s="17"/>
      <c r="U198" s="64"/>
      <c r="V198" s="26"/>
      <c r="W198" s="27"/>
      <c r="X198" s="26"/>
      <c r="Y198" s="26"/>
      <c r="Z198" s="26"/>
      <c r="AA198" s="26"/>
      <c r="AB198" s="26"/>
      <c r="AC198" s="26"/>
      <c r="AD198" s="26"/>
      <c r="AE198" s="26"/>
      <c r="AF198" s="26"/>
      <c r="AG198" s="26"/>
      <c r="AH198" s="26"/>
      <c r="AI198" s="26"/>
      <c r="AJ198" s="26"/>
      <c r="AK198" s="25"/>
      <c r="AL198" s="59"/>
      <c r="AM198" s="35"/>
      <c r="AN198" s="35"/>
      <c r="AO198" s="35"/>
      <c r="AP198" s="35"/>
      <c r="AQ198" s="35"/>
      <c r="AR198" s="35"/>
      <c r="AS198" s="35"/>
      <c r="AT198" s="35"/>
      <c r="AU198" s="35"/>
      <c r="AV198" s="35"/>
      <c r="AW198" s="35"/>
    </row>
    <row r="199">
      <c r="A199" s="17">
        <v>198.0</v>
      </c>
      <c r="B199" s="17" t="s">
        <v>500</v>
      </c>
      <c r="C199" s="18" t="s">
        <v>526</v>
      </c>
      <c r="D199" s="18" t="s">
        <v>524</v>
      </c>
      <c r="E199" s="17" t="b">
        <v>1</v>
      </c>
      <c r="F199" s="17" t="s">
        <v>349</v>
      </c>
      <c r="G199" s="17" t="s">
        <v>79</v>
      </c>
      <c r="H199" s="17" t="s">
        <v>80</v>
      </c>
      <c r="I199" s="17" t="s">
        <v>81</v>
      </c>
      <c r="J199" s="17"/>
      <c r="K199" s="19" t="s">
        <v>233</v>
      </c>
      <c r="L199" s="17" t="s">
        <v>368</v>
      </c>
      <c r="M199" s="57"/>
      <c r="N199" s="61">
        <v>45852.0</v>
      </c>
      <c r="O199" s="60">
        <v>45856.0</v>
      </c>
      <c r="P199" s="63"/>
      <c r="Q199" s="22">
        <v>20.91</v>
      </c>
      <c r="R199" s="22">
        <v>4632.0</v>
      </c>
      <c r="S199" s="23" t="str">
        <f>iferror(if(AN199=1,VLOOKUP(B199, Blends!H$4:AK$1004,32,0), ""), "")</f>
        <v/>
      </c>
      <c r="T199" s="17"/>
      <c r="U199" s="64"/>
      <c r="V199" s="26"/>
      <c r="W199" s="27"/>
      <c r="X199" s="26"/>
      <c r="Y199" s="26"/>
      <c r="Z199" s="26"/>
      <c r="AA199" s="26"/>
      <c r="AB199" s="26"/>
      <c r="AC199" s="26"/>
      <c r="AD199" s="26"/>
      <c r="AE199" s="26"/>
      <c r="AF199" s="26"/>
      <c r="AG199" s="26"/>
      <c r="AH199" s="26"/>
      <c r="AI199" s="26"/>
      <c r="AJ199" s="26"/>
      <c r="AK199" s="25"/>
      <c r="AL199" s="59"/>
      <c r="AM199" s="35"/>
      <c r="AN199" s="35"/>
      <c r="AO199" s="35"/>
      <c r="AP199" s="35"/>
      <c r="AQ199" s="35"/>
      <c r="AR199" s="35"/>
      <c r="AS199" s="35"/>
      <c r="AT199" s="35"/>
      <c r="AU199" s="35"/>
      <c r="AV199" s="35"/>
      <c r="AW199" s="35"/>
    </row>
    <row r="200">
      <c r="A200" s="17">
        <v>199.0</v>
      </c>
      <c r="B200" s="17" t="s">
        <v>500</v>
      </c>
      <c r="C200" s="18" t="s">
        <v>527</v>
      </c>
      <c r="D200" s="18" t="s">
        <v>528</v>
      </c>
      <c r="E200" s="17" t="b">
        <v>1</v>
      </c>
      <c r="F200" s="17" t="s">
        <v>349</v>
      </c>
      <c r="G200" s="17" t="s">
        <v>79</v>
      </c>
      <c r="H200" s="17" t="s">
        <v>80</v>
      </c>
      <c r="I200" s="17" t="s">
        <v>81</v>
      </c>
      <c r="J200" s="17"/>
      <c r="K200" s="19" t="s">
        <v>233</v>
      </c>
      <c r="L200" s="17" t="s">
        <v>529</v>
      </c>
      <c r="M200" s="57"/>
      <c r="N200" s="61">
        <v>45853.0</v>
      </c>
      <c r="O200" s="60">
        <v>45858.0</v>
      </c>
      <c r="P200" s="57"/>
      <c r="Q200" s="22">
        <v>19.5</v>
      </c>
      <c r="R200" s="22">
        <v>4289.0</v>
      </c>
      <c r="S200" s="23" t="str">
        <f>iferror(if(AN200=1,VLOOKUP(B200, Blends!H$4:AK$1004,32,0), ""), "")</f>
        <v/>
      </c>
      <c r="T200" s="58"/>
      <c r="U200" s="27"/>
      <c r="V200" s="26"/>
      <c r="W200" s="27"/>
      <c r="X200" s="26"/>
      <c r="Y200" s="26"/>
      <c r="Z200" s="26"/>
      <c r="AA200" s="26"/>
      <c r="AB200" s="26"/>
      <c r="AC200" s="26"/>
      <c r="AD200" s="26"/>
      <c r="AE200" s="26"/>
      <c r="AF200" s="26"/>
      <c r="AG200" s="26"/>
      <c r="AH200" s="26"/>
      <c r="AI200" s="26"/>
      <c r="AJ200" s="26"/>
      <c r="AK200" s="25"/>
      <c r="AL200" s="59"/>
      <c r="AM200" s="35"/>
      <c r="AN200" s="35"/>
      <c r="AO200" s="35"/>
      <c r="AP200" s="35"/>
      <c r="AQ200" s="35"/>
      <c r="AR200" s="35"/>
      <c r="AS200" s="35"/>
      <c r="AT200" s="35"/>
      <c r="AU200" s="35"/>
      <c r="AV200" s="35"/>
      <c r="AW200" s="35"/>
    </row>
    <row r="201">
      <c r="A201" s="17">
        <v>200.0</v>
      </c>
      <c r="B201" s="17" t="s">
        <v>500</v>
      </c>
      <c r="C201" s="18" t="s">
        <v>530</v>
      </c>
      <c r="D201" s="18" t="s">
        <v>528</v>
      </c>
      <c r="E201" s="17" t="b">
        <v>1</v>
      </c>
      <c r="F201" s="17" t="s">
        <v>349</v>
      </c>
      <c r="G201" s="17" t="s">
        <v>79</v>
      </c>
      <c r="H201" s="17" t="s">
        <v>80</v>
      </c>
      <c r="I201" s="17" t="s">
        <v>81</v>
      </c>
      <c r="J201" s="17"/>
      <c r="K201" s="19" t="s">
        <v>82</v>
      </c>
      <c r="L201" s="17" t="s">
        <v>242</v>
      </c>
      <c r="M201" s="57"/>
      <c r="N201" s="61">
        <v>45853.0</v>
      </c>
      <c r="O201" s="60">
        <v>45857.0</v>
      </c>
      <c r="P201" s="57"/>
      <c r="Q201" s="22">
        <v>19.41</v>
      </c>
      <c r="R201" s="22">
        <v>4401.0</v>
      </c>
      <c r="S201" s="23" t="str">
        <f>iferror(if(AN201=1,VLOOKUP(B201, Blends!H$4:AK$1004,32,0), ""), "")</f>
        <v/>
      </c>
      <c r="T201" s="58"/>
      <c r="U201" s="27"/>
      <c r="V201" s="26"/>
      <c r="W201" s="27"/>
      <c r="X201" s="26"/>
      <c r="Y201" s="26"/>
      <c r="Z201" s="26"/>
      <c r="AA201" s="26"/>
      <c r="AB201" s="26"/>
      <c r="AC201" s="26"/>
      <c r="AD201" s="26"/>
      <c r="AE201" s="26"/>
      <c r="AF201" s="26"/>
      <c r="AG201" s="26"/>
      <c r="AH201" s="26"/>
      <c r="AI201" s="26"/>
      <c r="AJ201" s="26"/>
      <c r="AK201" s="25"/>
      <c r="AL201" s="59"/>
      <c r="AM201" s="35"/>
      <c r="AN201" s="35"/>
      <c r="AO201" s="35"/>
      <c r="AP201" s="35"/>
      <c r="AQ201" s="35"/>
      <c r="AR201" s="35"/>
      <c r="AS201" s="35"/>
      <c r="AT201" s="35"/>
      <c r="AU201" s="35"/>
      <c r="AV201" s="35"/>
      <c r="AW201" s="35"/>
    </row>
    <row r="202" ht="18.0" customHeight="1">
      <c r="A202" s="17">
        <v>201.0</v>
      </c>
      <c r="B202" s="17" t="s">
        <v>500</v>
      </c>
      <c r="C202" s="18" t="s">
        <v>531</v>
      </c>
      <c r="D202" s="18" t="s">
        <v>528</v>
      </c>
      <c r="E202" s="17" t="b">
        <v>1</v>
      </c>
      <c r="F202" s="17" t="s">
        <v>349</v>
      </c>
      <c r="G202" s="17" t="s">
        <v>79</v>
      </c>
      <c r="H202" s="17" t="s">
        <v>80</v>
      </c>
      <c r="I202" s="17" t="s">
        <v>81</v>
      </c>
      <c r="J202" s="17"/>
      <c r="K202" s="19" t="s">
        <v>233</v>
      </c>
      <c r="L202" s="17" t="s">
        <v>264</v>
      </c>
      <c r="M202" s="57"/>
      <c r="N202" s="61">
        <v>45854.0</v>
      </c>
      <c r="O202" s="60">
        <v>45857.0</v>
      </c>
      <c r="P202" s="57"/>
      <c r="Q202" s="22">
        <v>19.33</v>
      </c>
      <c r="R202" s="22">
        <v>3979.0</v>
      </c>
      <c r="S202" s="23"/>
      <c r="T202" s="58"/>
      <c r="U202" s="27"/>
      <c r="V202" s="26"/>
      <c r="W202" s="27"/>
      <c r="X202" s="26"/>
      <c r="Y202" s="26"/>
      <c r="Z202" s="26"/>
      <c r="AA202" s="26"/>
      <c r="AB202" s="26"/>
      <c r="AC202" s="26"/>
      <c r="AD202" s="26"/>
      <c r="AE202" s="26"/>
      <c r="AF202" s="26"/>
      <c r="AG202" s="26"/>
      <c r="AH202" s="26"/>
      <c r="AI202" s="26"/>
      <c r="AJ202" s="26"/>
      <c r="AK202" s="25"/>
      <c r="AL202" s="59"/>
      <c r="AM202" s="35"/>
      <c r="AN202" s="35"/>
      <c r="AO202" s="35"/>
      <c r="AP202" s="35"/>
      <c r="AQ202" s="35"/>
      <c r="AR202" s="35"/>
      <c r="AS202" s="35"/>
      <c r="AT202" s="35"/>
      <c r="AU202" s="35"/>
      <c r="AV202" s="35"/>
      <c r="AW202" s="35"/>
    </row>
    <row r="203">
      <c r="A203" s="17">
        <v>202.0</v>
      </c>
      <c r="B203" s="17" t="s">
        <v>500</v>
      </c>
      <c r="C203" s="18" t="s">
        <v>532</v>
      </c>
      <c r="D203" s="18" t="s">
        <v>533</v>
      </c>
      <c r="E203" s="17" t="b">
        <v>1</v>
      </c>
      <c r="F203" s="17" t="s">
        <v>349</v>
      </c>
      <c r="G203" s="17" t="s">
        <v>79</v>
      </c>
      <c r="H203" s="17" t="s">
        <v>80</v>
      </c>
      <c r="I203" s="17" t="s">
        <v>81</v>
      </c>
      <c r="J203" s="17"/>
      <c r="K203" s="17" t="s">
        <v>491</v>
      </c>
      <c r="L203" s="17" t="s">
        <v>534</v>
      </c>
      <c r="M203" s="57"/>
      <c r="N203" s="61">
        <v>45856.0</v>
      </c>
      <c r="O203" s="60">
        <v>45863.0</v>
      </c>
      <c r="P203" s="57"/>
      <c r="Q203" s="22">
        <v>19.83</v>
      </c>
      <c r="R203" s="22">
        <v>4351.0</v>
      </c>
      <c r="S203" s="23" t="str">
        <f>iferror(if(AN203=1,VLOOKUP(B203, Blends!H$4:AK$1004,32,0), ""), "")</f>
        <v/>
      </c>
      <c r="T203" s="58"/>
      <c r="U203" s="26"/>
      <c r="V203" s="26"/>
      <c r="W203" s="27"/>
      <c r="X203" s="26"/>
      <c r="Y203" s="26"/>
      <c r="Z203" s="26"/>
      <c r="AA203" s="26"/>
      <c r="AB203" s="26"/>
      <c r="AC203" s="26"/>
      <c r="AD203" s="26"/>
      <c r="AE203" s="26"/>
      <c r="AF203" s="26"/>
      <c r="AG203" s="26"/>
      <c r="AH203" s="26"/>
      <c r="AI203" s="26"/>
      <c r="AJ203" s="26"/>
      <c r="AK203" s="25"/>
      <c r="AL203" s="59"/>
      <c r="AM203" s="35"/>
      <c r="AN203" s="35"/>
      <c r="AO203" s="35"/>
      <c r="AP203" s="35"/>
      <c r="AQ203" s="35"/>
      <c r="AR203" s="35"/>
      <c r="AS203" s="35"/>
      <c r="AT203" s="35"/>
      <c r="AU203" s="35"/>
      <c r="AV203" s="35"/>
      <c r="AW203" s="35"/>
    </row>
    <row r="204">
      <c r="A204" s="17">
        <v>203.0</v>
      </c>
      <c r="B204" s="17" t="s">
        <v>500</v>
      </c>
      <c r="C204" s="18" t="s">
        <v>535</v>
      </c>
      <c r="D204" s="18" t="s">
        <v>536</v>
      </c>
      <c r="E204" s="17" t="b">
        <v>1</v>
      </c>
      <c r="F204" s="17" t="s">
        <v>349</v>
      </c>
      <c r="G204" s="17" t="s">
        <v>79</v>
      </c>
      <c r="H204" s="17" t="s">
        <v>80</v>
      </c>
      <c r="I204" s="17" t="s">
        <v>81</v>
      </c>
      <c r="J204" s="17"/>
      <c r="K204" s="17" t="s">
        <v>505</v>
      </c>
      <c r="L204" s="17" t="s">
        <v>506</v>
      </c>
      <c r="M204" s="57"/>
      <c r="N204" s="61">
        <v>45859.0</v>
      </c>
      <c r="O204" s="60">
        <v>45863.0</v>
      </c>
      <c r="P204" s="57"/>
      <c r="Q204" s="22">
        <v>21.31</v>
      </c>
      <c r="R204" s="22">
        <v>4698.0</v>
      </c>
      <c r="S204" s="23" t="str">
        <f>iferror(if(AN204=1,VLOOKUP(B204, Blends!H$4:AK$1004,32,0), ""), "")</f>
        <v/>
      </c>
      <c r="T204" s="58"/>
      <c r="U204" s="26"/>
      <c r="V204" s="26"/>
      <c r="W204" s="27"/>
      <c r="X204" s="26"/>
      <c r="Y204" s="26"/>
      <c r="Z204" s="26"/>
      <c r="AA204" s="26"/>
      <c r="AB204" s="26"/>
      <c r="AC204" s="26"/>
      <c r="AD204" s="26"/>
      <c r="AE204" s="26"/>
      <c r="AF204" s="26"/>
      <c r="AG204" s="26"/>
      <c r="AH204" s="26"/>
      <c r="AI204" s="26"/>
      <c r="AJ204" s="26"/>
      <c r="AK204" s="25"/>
      <c r="AL204" s="59"/>
      <c r="AM204" s="35"/>
      <c r="AN204" s="35"/>
      <c r="AO204" s="35"/>
      <c r="AP204" s="35"/>
      <c r="AQ204" s="35"/>
      <c r="AR204" s="35"/>
      <c r="AS204" s="35"/>
      <c r="AT204" s="35"/>
      <c r="AU204" s="35"/>
      <c r="AV204" s="35"/>
      <c r="AW204" s="35"/>
    </row>
    <row r="205">
      <c r="A205" s="17">
        <v>204.0</v>
      </c>
      <c r="B205" s="17" t="s">
        <v>500</v>
      </c>
      <c r="C205" s="18" t="s">
        <v>537</v>
      </c>
      <c r="D205" s="18" t="s">
        <v>536</v>
      </c>
      <c r="E205" s="17" t="b">
        <v>1</v>
      </c>
      <c r="F205" s="17" t="s">
        <v>349</v>
      </c>
      <c r="G205" s="17" t="s">
        <v>79</v>
      </c>
      <c r="H205" s="17" t="s">
        <v>80</v>
      </c>
      <c r="I205" s="17" t="s">
        <v>81</v>
      </c>
      <c r="J205" s="17"/>
      <c r="K205" s="17" t="s">
        <v>505</v>
      </c>
      <c r="L205" s="17" t="s">
        <v>506</v>
      </c>
      <c r="M205" s="57"/>
      <c r="N205" s="61">
        <v>45860.0</v>
      </c>
      <c r="O205" s="60">
        <v>45864.0</v>
      </c>
      <c r="P205" s="57"/>
      <c r="Q205" s="22">
        <v>20.75</v>
      </c>
      <c r="R205" s="22">
        <v>4614.0</v>
      </c>
      <c r="S205" s="23"/>
      <c r="T205" s="58"/>
      <c r="U205" s="65"/>
      <c r="V205" s="26"/>
      <c r="W205" s="27"/>
      <c r="X205" s="26"/>
      <c r="Y205" s="26"/>
      <c r="Z205" s="26"/>
      <c r="AA205" s="26"/>
      <c r="AB205" s="26"/>
      <c r="AC205" s="26"/>
      <c r="AD205" s="26"/>
      <c r="AE205" s="26"/>
      <c r="AF205" s="26"/>
      <c r="AG205" s="26"/>
      <c r="AH205" s="26"/>
      <c r="AI205" s="26"/>
      <c r="AJ205" s="26"/>
      <c r="AK205" s="25"/>
      <c r="AL205" s="59"/>
      <c r="AM205" s="35"/>
      <c r="AN205" s="35"/>
      <c r="AO205" s="35"/>
      <c r="AP205" s="35"/>
      <c r="AQ205" s="35"/>
      <c r="AR205" s="35"/>
      <c r="AS205" s="35"/>
      <c r="AT205" s="35"/>
      <c r="AU205" s="35"/>
      <c r="AV205" s="35"/>
      <c r="AW205" s="35"/>
    </row>
    <row r="206">
      <c r="A206" s="17">
        <v>205.0</v>
      </c>
      <c r="B206" s="17" t="s">
        <v>500</v>
      </c>
      <c r="C206" s="18" t="s">
        <v>538</v>
      </c>
      <c r="D206" s="18" t="s">
        <v>536</v>
      </c>
      <c r="E206" s="17" t="b">
        <v>1</v>
      </c>
      <c r="F206" s="17" t="s">
        <v>349</v>
      </c>
      <c r="G206" s="17" t="s">
        <v>79</v>
      </c>
      <c r="H206" s="17" t="s">
        <v>80</v>
      </c>
      <c r="I206" s="17" t="s">
        <v>81</v>
      </c>
      <c r="J206" s="17"/>
      <c r="K206" s="17" t="s">
        <v>491</v>
      </c>
      <c r="L206" s="17" t="s">
        <v>534</v>
      </c>
      <c r="M206" s="57"/>
      <c r="N206" s="61">
        <v>45860.0</v>
      </c>
      <c r="O206" s="60">
        <v>45865.0</v>
      </c>
      <c r="P206" s="57"/>
      <c r="Q206" s="22">
        <v>19.5</v>
      </c>
      <c r="R206" s="22">
        <v>4302.0</v>
      </c>
      <c r="S206" s="23" t="str">
        <f>iferror(if(AN206=1,VLOOKUP(B206, Blends!H$4:AK$1004,32,0), ""), "")</f>
        <v/>
      </c>
      <c r="T206" s="58"/>
      <c r="U206" s="27"/>
      <c r="V206" s="26"/>
      <c r="W206" s="27"/>
      <c r="X206" s="26"/>
      <c r="Y206" s="26"/>
      <c r="Z206" s="26"/>
      <c r="AA206" s="26"/>
      <c r="AB206" s="26"/>
      <c r="AC206" s="26"/>
      <c r="AD206" s="26"/>
      <c r="AE206" s="26"/>
      <c r="AF206" s="26"/>
      <c r="AG206" s="26"/>
      <c r="AH206" s="26"/>
      <c r="AI206" s="26"/>
      <c r="AJ206" s="26"/>
      <c r="AK206" s="25"/>
      <c r="AL206" s="59"/>
      <c r="AM206" s="35"/>
      <c r="AN206" s="35"/>
      <c r="AO206" s="35"/>
      <c r="AP206" s="35"/>
      <c r="AQ206" s="35"/>
      <c r="AR206" s="35"/>
      <c r="AS206" s="35"/>
      <c r="AT206" s="35"/>
      <c r="AU206" s="35"/>
      <c r="AV206" s="35"/>
      <c r="AW206" s="35"/>
    </row>
    <row r="207">
      <c r="A207" s="17">
        <v>206.0</v>
      </c>
      <c r="B207" s="17" t="s">
        <v>500</v>
      </c>
      <c r="C207" s="18" t="s">
        <v>539</v>
      </c>
      <c r="D207" s="18" t="s">
        <v>540</v>
      </c>
      <c r="E207" s="17" t="b">
        <v>1</v>
      </c>
      <c r="F207" s="17" t="s">
        <v>349</v>
      </c>
      <c r="G207" s="17" t="s">
        <v>79</v>
      </c>
      <c r="H207" s="17" t="s">
        <v>80</v>
      </c>
      <c r="I207" s="17" t="s">
        <v>81</v>
      </c>
      <c r="J207" s="17"/>
      <c r="K207" s="19" t="s">
        <v>233</v>
      </c>
      <c r="L207" s="17" t="s">
        <v>284</v>
      </c>
      <c r="M207" s="57"/>
      <c r="N207" s="61">
        <v>45862.0</v>
      </c>
      <c r="O207" s="60">
        <v>45866.0</v>
      </c>
      <c r="P207" s="57"/>
      <c r="Q207" s="22">
        <v>20.44</v>
      </c>
      <c r="R207" s="22">
        <v>4502.0</v>
      </c>
      <c r="S207" s="23" t="str">
        <f>iferror(if(AN207=1,VLOOKUP(B207, Blends!H$4:AK$1004,32,0), ""), "")</f>
        <v/>
      </c>
      <c r="T207" s="58"/>
      <c r="U207" s="27"/>
      <c r="V207" s="26"/>
      <c r="W207" s="27"/>
      <c r="X207" s="26"/>
      <c r="Y207" s="26"/>
      <c r="Z207" s="26"/>
      <c r="AA207" s="26"/>
      <c r="AB207" s="26"/>
      <c r="AC207" s="26"/>
      <c r="AD207" s="26"/>
      <c r="AE207" s="26"/>
      <c r="AF207" s="26"/>
      <c r="AG207" s="26"/>
      <c r="AH207" s="26"/>
      <c r="AI207" s="26"/>
      <c r="AJ207" s="26"/>
      <c r="AK207" s="25"/>
      <c r="AL207" s="59"/>
      <c r="AM207" s="35"/>
      <c r="AN207" s="35"/>
      <c r="AO207" s="35"/>
      <c r="AP207" s="35"/>
      <c r="AQ207" s="35"/>
      <c r="AR207" s="35"/>
      <c r="AS207" s="35"/>
      <c r="AT207" s="35"/>
      <c r="AU207" s="35"/>
      <c r="AV207" s="35"/>
      <c r="AW207" s="35"/>
    </row>
    <row r="208">
      <c r="A208" s="66" t="s">
        <v>541</v>
      </c>
      <c r="B208" s="17" t="s">
        <v>500</v>
      </c>
      <c r="C208" s="18" t="s">
        <v>542</v>
      </c>
      <c r="D208" s="18" t="s">
        <v>540</v>
      </c>
      <c r="E208" s="17" t="b">
        <v>1</v>
      </c>
      <c r="F208" s="17" t="s">
        <v>349</v>
      </c>
      <c r="G208" s="17" t="s">
        <v>79</v>
      </c>
      <c r="H208" s="17" t="s">
        <v>80</v>
      </c>
      <c r="I208" s="17" t="s">
        <v>81</v>
      </c>
      <c r="J208" s="17"/>
      <c r="K208" s="17" t="s">
        <v>491</v>
      </c>
      <c r="L208" s="17" t="s">
        <v>534</v>
      </c>
      <c r="M208" s="57"/>
      <c r="N208" s="61">
        <v>45862.0</v>
      </c>
      <c r="O208" s="60">
        <v>45866.0</v>
      </c>
      <c r="P208" s="57"/>
      <c r="Q208" s="22">
        <v>19.87</v>
      </c>
      <c r="R208" s="22">
        <v>4387.0</v>
      </c>
      <c r="S208" s="23" t="str">
        <f>iferror(if(AN208=1,VLOOKUP(B208, Blends!H$4:AK$1004,32,0), ""), "")</f>
        <v/>
      </c>
      <c r="T208" s="58"/>
      <c r="U208" s="27"/>
      <c r="V208" s="26"/>
      <c r="W208" s="27"/>
      <c r="X208" s="26"/>
      <c r="Y208" s="26"/>
      <c r="Z208" s="26"/>
      <c r="AA208" s="26"/>
      <c r="AB208" s="26"/>
      <c r="AC208" s="26"/>
      <c r="AD208" s="26"/>
      <c r="AE208" s="26"/>
      <c r="AF208" s="26"/>
      <c r="AG208" s="26"/>
      <c r="AH208" s="26"/>
      <c r="AI208" s="26"/>
      <c r="AJ208" s="26"/>
      <c r="AK208" s="25"/>
      <c r="AL208" s="59"/>
      <c r="AM208" s="35"/>
      <c r="AN208" s="35"/>
      <c r="AO208" s="35"/>
      <c r="AP208" s="35"/>
      <c r="AQ208" s="35"/>
      <c r="AR208" s="35"/>
      <c r="AS208" s="35"/>
      <c r="AT208" s="35"/>
      <c r="AU208" s="35"/>
      <c r="AV208" s="35"/>
      <c r="AW208" s="35"/>
    </row>
    <row r="209">
      <c r="A209" s="66" t="s">
        <v>543</v>
      </c>
      <c r="B209" s="17" t="s">
        <v>500</v>
      </c>
      <c r="C209" s="18" t="s">
        <v>544</v>
      </c>
      <c r="D209" s="18" t="s">
        <v>540</v>
      </c>
      <c r="E209" s="17" t="b">
        <v>1</v>
      </c>
      <c r="F209" s="17" t="s">
        <v>349</v>
      </c>
      <c r="G209" s="17" t="s">
        <v>79</v>
      </c>
      <c r="H209" s="17" t="s">
        <v>80</v>
      </c>
      <c r="I209" s="17" t="s">
        <v>81</v>
      </c>
      <c r="J209" s="17"/>
      <c r="K209" s="19" t="s">
        <v>233</v>
      </c>
      <c r="L209" s="17" t="s">
        <v>339</v>
      </c>
      <c r="M209" s="57"/>
      <c r="N209" s="61">
        <v>45862.0</v>
      </c>
      <c r="O209" s="60">
        <v>45868.0</v>
      </c>
      <c r="P209" s="57"/>
      <c r="Q209" s="22">
        <v>20.01</v>
      </c>
      <c r="R209" s="22">
        <v>4412.0</v>
      </c>
      <c r="S209" s="23" t="str">
        <f>iferror(if(AN209=1,VLOOKUP(B209, Blends!H$4:AK$1004,32,0), ""), "")</f>
        <v/>
      </c>
      <c r="T209" s="58"/>
      <c r="U209" s="27"/>
      <c r="V209" s="26"/>
      <c r="W209" s="27"/>
      <c r="X209" s="26"/>
      <c r="Y209" s="26"/>
      <c r="Z209" s="26"/>
      <c r="AA209" s="26"/>
      <c r="AB209" s="26"/>
      <c r="AC209" s="26"/>
      <c r="AD209" s="26"/>
      <c r="AE209" s="26"/>
      <c r="AF209" s="26"/>
      <c r="AG209" s="26"/>
      <c r="AH209" s="26"/>
      <c r="AI209" s="26"/>
      <c r="AJ209" s="26"/>
      <c r="AK209" s="25"/>
      <c r="AL209" s="59"/>
      <c r="AM209" s="35"/>
      <c r="AN209" s="35"/>
      <c r="AO209" s="35"/>
      <c r="AP209" s="35"/>
      <c r="AQ209" s="35"/>
      <c r="AR209" s="35"/>
      <c r="AS209" s="35"/>
      <c r="AT209" s="35"/>
      <c r="AU209" s="35"/>
      <c r="AV209" s="35"/>
      <c r="AW209" s="35"/>
    </row>
    <row r="210">
      <c r="A210" s="66" t="s">
        <v>545</v>
      </c>
      <c r="B210" s="17" t="s">
        <v>500</v>
      </c>
      <c r="C210" s="18" t="s">
        <v>546</v>
      </c>
      <c r="D210" s="18" t="s">
        <v>547</v>
      </c>
      <c r="E210" s="17" t="b">
        <v>1</v>
      </c>
      <c r="F210" s="17" t="s">
        <v>349</v>
      </c>
      <c r="G210" s="17" t="s">
        <v>79</v>
      </c>
      <c r="H210" s="17" t="s">
        <v>80</v>
      </c>
      <c r="I210" s="17" t="s">
        <v>81</v>
      </c>
      <c r="J210" s="17"/>
      <c r="K210" s="17" t="s">
        <v>491</v>
      </c>
      <c r="L210" s="17" t="s">
        <v>534</v>
      </c>
      <c r="M210" s="57"/>
      <c r="N210" s="61">
        <v>45867.0</v>
      </c>
      <c r="O210" s="60">
        <v>45871.0</v>
      </c>
      <c r="P210" s="57"/>
      <c r="Q210" s="22">
        <v>20.02</v>
      </c>
      <c r="R210" s="22">
        <v>4431.0</v>
      </c>
      <c r="S210" s="23" t="str">
        <f>iferror(if(AN210=1,VLOOKUP(B210, Blends!H$4:AK$1004,32,0), ""), "")</f>
        <v/>
      </c>
      <c r="T210" s="58"/>
      <c r="U210" s="27"/>
      <c r="V210" s="26"/>
      <c r="W210" s="27"/>
      <c r="X210" s="26"/>
      <c r="Y210" s="26"/>
      <c r="Z210" s="26"/>
      <c r="AA210" s="26"/>
      <c r="AB210" s="26"/>
      <c r="AC210" s="26"/>
      <c r="AD210" s="26"/>
      <c r="AE210" s="26"/>
      <c r="AF210" s="26"/>
      <c r="AG210" s="26"/>
      <c r="AH210" s="26"/>
      <c r="AI210" s="26"/>
      <c r="AJ210" s="26"/>
      <c r="AK210" s="25"/>
      <c r="AL210" s="59"/>
      <c r="AM210" s="35"/>
      <c r="AN210" s="35"/>
      <c r="AO210" s="35"/>
      <c r="AP210" s="35"/>
      <c r="AQ210" s="35"/>
      <c r="AR210" s="35"/>
      <c r="AS210" s="35"/>
      <c r="AT210" s="35"/>
      <c r="AU210" s="35"/>
      <c r="AV210" s="35"/>
      <c r="AW210" s="35"/>
    </row>
    <row r="211">
      <c r="A211" s="66" t="s">
        <v>548</v>
      </c>
      <c r="B211" s="17" t="s">
        <v>500</v>
      </c>
      <c r="C211" s="18" t="s">
        <v>549</v>
      </c>
      <c r="D211" s="18" t="s">
        <v>550</v>
      </c>
      <c r="E211" s="17" t="b">
        <v>1</v>
      </c>
      <c r="F211" s="17" t="s">
        <v>349</v>
      </c>
      <c r="G211" s="17" t="s">
        <v>79</v>
      </c>
      <c r="H211" s="17" t="s">
        <v>80</v>
      </c>
      <c r="I211" s="17" t="s">
        <v>81</v>
      </c>
      <c r="J211" s="17"/>
      <c r="K211" s="17" t="s">
        <v>505</v>
      </c>
      <c r="L211" s="17" t="s">
        <v>506</v>
      </c>
      <c r="M211" s="57"/>
      <c r="N211" s="61">
        <v>45879.0</v>
      </c>
      <c r="O211" s="61">
        <v>45883.0</v>
      </c>
      <c r="P211" s="57"/>
      <c r="Q211" s="22">
        <v>21.3</v>
      </c>
      <c r="R211" s="22">
        <v>4715.0</v>
      </c>
      <c r="S211" s="23" t="str">
        <f>iferror(if(AN211=1,VLOOKUP(B211, Blends!H$4:AK$1004,32,0), ""), "")</f>
        <v/>
      </c>
      <c r="T211" s="58"/>
      <c r="U211" s="27"/>
      <c r="V211" s="26"/>
      <c r="W211" s="27"/>
      <c r="X211" s="26"/>
      <c r="Y211" s="26"/>
      <c r="Z211" s="26"/>
      <c r="AA211" s="26"/>
      <c r="AB211" s="26"/>
      <c r="AC211" s="26"/>
      <c r="AD211" s="26"/>
      <c r="AE211" s="26"/>
      <c r="AF211" s="26"/>
      <c r="AG211" s="26"/>
      <c r="AH211" s="26"/>
      <c r="AI211" s="26"/>
      <c r="AJ211" s="26"/>
      <c r="AK211" s="25"/>
      <c r="AL211" s="59"/>
      <c r="AM211" s="35"/>
      <c r="AN211" s="35"/>
      <c r="AO211" s="35"/>
      <c r="AP211" s="35"/>
      <c r="AQ211" s="35"/>
      <c r="AR211" s="35"/>
      <c r="AS211" s="35"/>
      <c r="AT211" s="35"/>
      <c r="AU211" s="35"/>
      <c r="AV211" s="35"/>
      <c r="AW211" s="35"/>
    </row>
    <row r="212">
      <c r="A212" s="66" t="s">
        <v>551</v>
      </c>
      <c r="B212" s="17" t="s">
        <v>500</v>
      </c>
      <c r="C212" s="18" t="s">
        <v>552</v>
      </c>
      <c r="D212" s="18" t="s">
        <v>550</v>
      </c>
      <c r="E212" s="17" t="b">
        <v>1</v>
      </c>
      <c r="F212" s="17" t="s">
        <v>349</v>
      </c>
      <c r="G212" s="17" t="s">
        <v>79</v>
      </c>
      <c r="H212" s="17" t="s">
        <v>80</v>
      </c>
      <c r="I212" s="17" t="s">
        <v>81</v>
      </c>
      <c r="J212" s="17"/>
      <c r="K212" s="17" t="s">
        <v>505</v>
      </c>
      <c r="L212" s="17" t="s">
        <v>506</v>
      </c>
      <c r="M212" s="57"/>
      <c r="N212" s="61">
        <v>45881.0</v>
      </c>
      <c r="O212" s="60">
        <v>45884.0</v>
      </c>
      <c r="P212" s="57"/>
      <c r="Q212" s="22">
        <v>20.02</v>
      </c>
      <c r="R212" s="22">
        <v>4652.0</v>
      </c>
      <c r="S212" s="23" t="str">
        <f>iferror(if(AN212=1,VLOOKUP(B212, Blends!H$4:AK$1004,32,0), ""), "")</f>
        <v/>
      </c>
      <c r="T212" s="58"/>
      <c r="U212" s="27"/>
      <c r="V212" s="26"/>
      <c r="W212" s="27"/>
      <c r="X212" s="26"/>
      <c r="Y212" s="26"/>
      <c r="Z212" s="26"/>
      <c r="AA212" s="26"/>
      <c r="AB212" s="26"/>
      <c r="AC212" s="26"/>
      <c r="AD212" s="26"/>
      <c r="AE212" s="26"/>
      <c r="AF212" s="26"/>
      <c r="AG212" s="26"/>
      <c r="AH212" s="26"/>
      <c r="AI212" s="26"/>
      <c r="AJ212" s="26"/>
      <c r="AK212" s="25"/>
      <c r="AL212" s="59"/>
      <c r="AM212" s="35"/>
      <c r="AN212" s="35"/>
      <c r="AO212" s="35"/>
      <c r="AP212" s="35"/>
      <c r="AQ212" s="35"/>
      <c r="AR212" s="35"/>
      <c r="AS212" s="35"/>
      <c r="AT212" s="35"/>
      <c r="AU212" s="35"/>
      <c r="AV212" s="35"/>
      <c r="AW212" s="35"/>
    </row>
    <row r="213">
      <c r="A213" s="66" t="s">
        <v>553</v>
      </c>
      <c r="B213" s="17" t="s">
        <v>500</v>
      </c>
      <c r="C213" s="18" t="s">
        <v>554</v>
      </c>
      <c r="D213" s="18" t="s">
        <v>555</v>
      </c>
      <c r="E213" s="17" t="b">
        <v>1</v>
      </c>
      <c r="F213" s="17" t="s">
        <v>349</v>
      </c>
      <c r="G213" s="17" t="s">
        <v>79</v>
      </c>
      <c r="H213" s="17" t="s">
        <v>80</v>
      </c>
      <c r="I213" s="17" t="s">
        <v>81</v>
      </c>
      <c r="J213" s="17"/>
      <c r="K213" s="19" t="s">
        <v>233</v>
      </c>
      <c r="L213" s="17" t="s">
        <v>525</v>
      </c>
      <c r="M213" s="57"/>
      <c r="N213" s="61">
        <v>45885.0</v>
      </c>
      <c r="O213" s="60">
        <v>45889.0</v>
      </c>
      <c r="P213" s="57"/>
      <c r="Q213" s="22">
        <v>19.91</v>
      </c>
      <c r="R213" s="22">
        <v>4418.0</v>
      </c>
      <c r="S213" s="23" t="str">
        <f>iferror(if(AN213=1,VLOOKUP(B213, Blends!H$4:AK$1004,32,0), ""), "")</f>
        <v/>
      </c>
      <c r="T213" s="58"/>
      <c r="U213" s="27"/>
      <c r="V213" s="26"/>
      <c r="W213" s="27"/>
      <c r="X213" s="26"/>
      <c r="Y213" s="26"/>
      <c r="Z213" s="26"/>
      <c r="AA213" s="26"/>
      <c r="AB213" s="26"/>
      <c r="AC213" s="26"/>
      <c r="AD213" s="26"/>
      <c r="AE213" s="26"/>
      <c r="AF213" s="26"/>
      <c r="AG213" s="26"/>
      <c r="AH213" s="26"/>
      <c r="AI213" s="26"/>
      <c r="AJ213" s="26"/>
      <c r="AK213" s="25"/>
      <c r="AL213" s="59"/>
      <c r="AM213" s="35"/>
      <c r="AN213" s="35"/>
      <c r="AO213" s="35"/>
      <c r="AP213" s="35"/>
      <c r="AQ213" s="35"/>
      <c r="AR213" s="35"/>
      <c r="AS213" s="35"/>
      <c r="AT213" s="35"/>
      <c r="AU213" s="35"/>
      <c r="AV213" s="35"/>
      <c r="AW213" s="35"/>
    </row>
    <row r="214">
      <c r="A214" s="66" t="s">
        <v>556</v>
      </c>
      <c r="B214" s="17" t="s">
        <v>500</v>
      </c>
      <c r="C214" s="18" t="s">
        <v>557</v>
      </c>
      <c r="D214" s="18" t="s">
        <v>558</v>
      </c>
      <c r="E214" s="17" t="b">
        <v>1</v>
      </c>
      <c r="F214" s="17" t="s">
        <v>349</v>
      </c>
      <c r="G214" s="17" t="s">
        <v>79</v>
      </c>
      <c r="H214" s="17" t="s">
        <v>80</v>
      </c>
      <c r="I214" s="17" t="s">
        <v>81</v>
      </c>
      <c r="J214" s="17"/>
      <c r="K214" s="17" t="s">
        <v>505</v>
      </c>
      <c r="L214" s="17" t="s">
        <v>506</v>
      </c>
      <c r="M214" s="57"/>
      <c r="N214" s="61">
        <v>45886.0</v>
      </c>
      <c r="O214" s="60">
        <v>45889.0</v>
      </c>
      <c r="P214" s="57"/>
      <c r="Q214" s="22">
        <v>20.19</v>
      </c>
      <c r="R214" s="22">
        <v>4495.0</v>
      </c>
      <c r="S214" s="23" t="str">
        <f>iferror(if(AN214=1,VLOOKUP(B214, Blends!H$4:AK$1004,32,0), ""), "")</f>
        <v/>
      </c>
      <c r="T214" s="58"/>
      <c r="U214" s="27"/>
      <c r="V214" s="26"/>
      <c r="W214" s="27"/>
      <c r="X214" s="26"/>
      <c r="Y214" s="26"/>
      <c r="Z214" s="26"/>
      <c r="AA214" s="26"/>
      <c r="AB214" s="26"/>
      <c r="AC214" s="26"/>
      <c r="AD214" s="26"/>
      <c r="AE214" s="26"/>
      <c r="AF214" s="26"/>
      <c r="AG214" s="26"/>
      <c r="AH214" s="26"/>
      <c r="AI214" s="26"/>
      <c r="AJ214" s="26"/>
      <c r="AK214" s="25"/>
      <c r="AL214" s="59"/>
      <c r="AM214" s="35"/>
      <c r="AN214" s="35"/>
      <c r="AO214" s="35"/>
      <c r="AP214" s="35"/>
      <c r="AQ214" s="35"/>
      <c r="AR214" s="35"/>
      <c r="AS214" s="35"/>
      <c r="AT214" s="35"/>
      <c r="AU214" s="35"/>
      <c r="AV214" s="35"/>
      <c r="AW214" s="35"/>
    </row>
    <row r="215">
      <c r="A215" s="66" t="s">
        <v>559</v>
      </c>
      <c r="B215" s="17" t="s">
        <v>500</v>
      </c>
      <c r="C215" s="18" t="s">
        <v>560</v>
      </c>
      <c r="D215" s="18" t="s">
        <v>558</v>
      </c>
      <c r="E215" s="17" t="b">
        <v>1</v>
      </c>
      <c r="F215" s="17" t="s">
        <v>349</v>
      </c>
      <c r="G215" s="17" t="s">
        <v>79</v>
      </c>
      <c r="H215" s="17" t="s">
        <v>80</v>
      </c>
      <c r="I215" s="17" t="s">
        <v>81</v>
      </c>
      <c r="J215" s="17"/>
      <c r="K215" s="17" t="s">
        <v>491</v>
      </c>
      <c r="L215" s="17" t="s">
        <v>561</v>
      </c>
      <c r="M215" s="57"/>
      <c r="N215" s="61">
        <v>45888.0</v>
      </c>
      <c r="O215" s="60">
        <v>45893.0</v>
      </c>
      <c r="P215" s="57"/>
      <c r="Q215" s="22">
        <v>20.11</v>
      </c>
      <c r="R215" s="22">
        <v>4464.0</v>
      </c>
      <c r="S215" s="23" t="str">
        <f>iferror(if(AN215=1,VLOOKUP(B215, Blends!H$4:AK$1004,32,0), ""), "")</f>
        <v/>
      </c>
      <c r="T215" s="58"/>
      <c r="U215" s="27"/>
      <c r="V215" s="26"/>
      <c r="W215" s="27"/>
      <c r="X215" s="26"/>
      <c r="Y215" s="26"/>
      <c r="Z215" s="26"/>
      <c r="AA215" s="26"/>
      <c r="AB215" s="26"/>
      <c r="AC215" s="26"/>
      <c r="AD215" s="26"/>
      <c r="AE215" s="26"/>
      <c r="AF215" s="26"/>
      <c r="AG215" s="26"/>
      <c r="AH215" s="26"/>
      <c r="AI215" s="26"/>
      <c r="AJ215" s="26"/>
      <c r="AK215" s="25"/>
      <c r="AL215" s="59"/>
      <c r="AM215" s="35"/>
      <c r="AN215" s="35"/>
      <c r="AO215" s="35"/>
      <c r="AP215" s="35"/>
      <c r="AQ215" s="35"/>
      <c r="AR215" s="35"/>
      <c r="AS215" s="35"/>
      <c r="AT215" s="35"/>
      <c r="AU215" s="35"/>
      <c r="AV215" s="35"/>
      <c r="AW215" s="35"/>
    </row>
    <row r="216">
      <c r="A216" s="66" t="s">
        <v>562</v>
      </c>
      <c r="B216" s="17" t="s">
        <v>500</v>
      </c>
      <c r="C216" s="18" t="s">
        <v>563</v>
      </c>
      <c r="D216" s="18" t="s">
        <v>558</v>
      </c>
      <c r="E216" s="17" t="b">
        <v>1</v>
      </c>
      <c r="F216" s="17" t="s">
        <v>349</v>
      </c>
      <c r="G216" s="17" t="s">
        <v>79</v>
      </c>
      <c r="H216" s="17" t="s">
        <v>80</v>
      </c>
      <c r="I216" s="17" t="s">
        <v>81</v>
      </c>
      <c r="J216" s="17"/>
      <c r="K216" s="17" t="s">
        <v>505</v>
      </c>
      <c r="L216" s="17" t="s">
        <v>564</v>
      </c>
      <c r="M216" s="57"/>
      <c r="N216" s="61">
        <v>45889.0</v>
      </c>
      <c r="O216" s="60">
        <v>45892.0</v>
      </c>
      <c r="P216" s="57"/>
      <c r="Q216" s="22">
        <v>21.13</v>
      </c>
      <c r="R216" s="22">
        <v>4667.0</v>
      </c>
      <c r="S216" s="23" t="str">
        <f>iferror(if(AN216=1,VLOOKUP(B216, Blends!H$4:AK$1004,32,0), ""), "")</f>
        <v/>
      </c>
      <c r="T216" s="58"/>
      <c r="U216" s="27"/>
      <c r="V216" s="26"/>
      <c r="W216" s="27"/>
      <c r="X216" s="26"/>
      <c r="Y216" s="26"/>
      <c r="Z216" s="26"/>
      <c r="AA216" s="26"/>
      <c r="AB216" s="26"/>
      <c r="AC216" s="26"/>
      <c r="AD216" s="26"/>
      <c r="AE216" s="26"/>
      <c r="AF216" s="26"/>
      <c r="AG216" s="26"/>
      <c r="AH216" s="26"/>
      <c r="AI216" s="26"/>
      <c r="AJ216" s="26"/>
      <c r="AK216" s="25"/>
      <c r="AL216" s="59"/>
      <c r="AM216" s="35"/>
      <c r="AN216" s="35"/>
      <c r="AO216" s="35"/>
      <c r="AP216" s="35"/>
      <c r="AQ216" s="35"/>
      <c r="AR216" s="35"/>
      <c r="AS216" s="35"/>
      <c r="AT216" s="35"/>
      <c r="AU216" s="35"/>
      <c r="AV216" s="35"/>
      <c r="AW216" s="35"/>
    </row>
    <row r="217">
      <c r="A217" s="66" t="s">
        <v>565</v>
      </c>
      <c r="B217" s="17" t="s">
        <v>500</v>
      </c>
      <c r="C217" s="18" t="s">
        <v>566</v>
      </c>
      <c r="D217" s="18" t="s">
        <v>567</v>
      </c>
      <c r="E217" s="17" t="b">
        <v>1</v>
      </c>
      <c r="F217" s="17" t="s">
        <v>349</v>
      </c>
      <c r="G217" s="17" t="s">
        <v>79</v>
      </c>
      <c r="H217" s="17" t="s">
        <v>80</v>
      </c>
      <c r="I217" s="17" t="s">
        <v>81</v>
      </c>
      <c r="J217" s="17"/>
      <c r="K217" s="17" t="s">
        <v>491</v>
      </c>
      <c r="L217" s="17" t="s">
        <v>534</v>
      </c>
      <c r="M217" s="57"/>
      <c r="N217" s="61">
        <v>45889.0</v>
      </c>
      <c r="O217" s="60">
        <v>45895.0</v>
      </c>
      <c r="P217" s="57"/>
      <c r="Q217" s="22">
        <v>19.88</v>
      </c>
      <c r="R217" s="22">
        <v>4372.0</v>
      </c>
      <c r="S217" s="23" t="str">
        <f>iferror(if(AN217=1,VLOOKUP(B217, Blends!H$4:AK$1004,32,0), ""), "")</f>
        <v/>
      </c>
      <c r="T217" s="58"/>
      <c r="U217" s="27"/>
      <c r="V217" s="26"/>
      <c r="W217" s="27"/>
      <c r="X217" s="26"/>
      <c r="Y217" s="26"/>
      <c r="Z217" s="26"/>
      <c r="AA217" s="26"/>
      <c r="AB217" s="26"/>
      <c r="AC217" s="26"/>
      <c r="AD217" s="26"/>
      <c r="AE217" s="26"/>
      <c r="AF217" s="26"/>
      <c r="AG217" s="26"/>
      <c r="AH217" s="26"/>
      <c r="AI217" s="26"/>
      <c r="AJ217" s="26"/>
      <c r="AK217" s="25"/>
      <c r="AL217" s="59"/>
      <c r="AM217" s="35"/>
      <c r="AN217" s="35"/>
      <c r="AO217" s="35"/>
      <c r="AP217" s="35"/>
      <c r="AQ217" s="35"/>
      <c r="AR217" s="35"/>
      <c r="AS217" s="35"/>
      <c r="AT217" s="35"/>
      <c r="AU217" s="35"/>
      <c r="AV217" s="35"/>
      <c r="AW217" s="35"/>
    </row>
    <row r="218">
      <c r="A218" s="66" t="s">
        <v>568</v>
      </c>
      <c r="B218" s="17" t="s">
        <v>500</v>
      </c>
      <c r="C218" s="18" t="s">
        <v>569</v>
      </c>
      <c r="D218" s="18" t="s">
        <v>567</v>
      </c>
      <c r="E218" s="17" t="b">
        <v>1</v>
      </c>
      <c r="F218" s="17" t="s">
        <v>349</v>
      </c>
      <c r="G218" s="17" t="s">
        <v>79</v>
      </c>
      <c r="H218" s="17" t="s">
        <v>80</v>
      </c>
      <c r="I218" s="17" t="s">
        <v>81</v>
      </c>
      <c r="J218" s="17"/>
      <c r="K218" s="17" t="s">
        <v>491</v>
      </c>
      <c r="L218" s="17" t="s">
        <v>534</v>
      </c>
      <c r="M218" s="57"/>
      <c r="N218" s="61">
        <v>45890.0</v>
      </c>
      <c r="O218" s="60">
        <v>45896.0</v>
      </c>
      <c r="P218" s="57"/>
      <c r="Q218" s="22">
        <v>19.74</v>
      </c>
      <c r="R218" s="22">
        <v>4450.0</v>
      </c>
      <c r="S218" s="23" t="str">
        <f>iferror(if(AN218=1,VLOOKUP(B218, Blends!H$4:AK$1004,32,0), ""), "")</f>
        <v/>
      </c>
      <c r="T218" s="58"/>
      <c r="U218" s="27"/>
      <c r="V218" s="26"/>
      <c r="W218" s="27"/>
      <c r="X218" s="26"/>
      <c r="Y218" s="26"/>
      <c r="Z218" s="26"/>
      <c r="AA218" s="26"/>
      <c r="AB218" s="26"/>
      <c r="AC218" s="26"/>
      <c r="AD218" s="26"/>
      <c r="AE218" s="26"/>
      <c r="AF218" s="26"/>
      <c r="AG218" s="26"/>
      <c r="AH218" s="26"/>
      <c r="AI218" s="26"/>
      <c r="AJ218" s="26"/>
      <c r="AK218" s="25"/>
      <c r="AL218" s="59"/>
      <c r="AM218" s="35"/>
      <c r="AN218" s="35"/>
      <c r="AO218" s="35"/>
      <c r="AP218" s="35"/>
      <c r="AQ218" s="35"/>
      <c r="AR218" s="35"/>
      <c r="AS218" s="35"/>
      <c r="AT218" s="35"/>
      <c r="AU218" s="35"/>
      <c r="AV218" s="35"/>
      <c r="AW218" s="35"/>
    </row>
    <row r="219">
      <c r="A219" s="66" t="s">
        <v>570</v>
      </c>
      <c r="B219" s="17" t="s">
        <v>500</v>
      </c>
      <c r="C219" s="18" t="s">
        <v>571</v>
      </c>
      <c r="D219" s="18" t="s">
        <v>572</v>
      </c>
      <c r="E219" s="17" t="b">
        <v>1</v>
      </c>
      <c r="F219" s="17" t="s">
        <v>349</v>
      </c>
      <c r="G219" s="17" t="s">
        <v>79</v>
      </c>
      <c r="H219" s="17" t="s">
        <v>80</v>
      </c>
      <c r="I219" s="17" t="s">
        <v>81</v>
      </c>
      <c r="J219" s="17"/>
      <c r="K219" s="17" t="s">
        <v>491</v>
      </c>
      <c r="L219" s="17" t="s">
        <v>534</v>
      </c>
      <c r="M219" s="57"/>
      <c r="N219" s="61">
        <v>45896.0</v>
      </c>
      <c r="O219" s="60">
        <v>45902.0</v>
      </c>
      <c r="P219" s="57"/>
      <c r="Q219" s="22">
        <v>20.25</v>
      </c>
      <c r="R219" s="22">
        <v>4458.0</v>
      </c>
      <c r="S219" s="23" t="str">
        <f>iferror(if(AN219=1,VLOOKUP(B219, Blends!H$4:AK$1004,32,0), ""), "")</f>
        <v/>
      </c>
      <c r="T219" s="58"/>
      <c r="U219" s="27"/>
      <c r="V219" s="26"/>
      <c r="W219" s="27"/>
      <c r="X219" s="26"/>
      <c r="Y219" s="26"/>
      <c r="Z219" s="26"/>
      <c r="AA219" s="26"/>
      <c r="AB219" s="26"/>
      <c r="AC219" s="26"/>
      <c r="AD219" s="26"/>
      <c r="AE219" s="26"/>
      <c r="AF219" s="26"/>
      <c r="AG219" s="26"/>
      <c r="AH219" s="26"/>
      <c r="AI219" s="26"/>
      <c r="AJ219" s="26"/>
      <c r="AK219" s="25"/>
      <c r="AL219" s="59"/>
      <c r="AM219" s="35"/>
      <c r="AN219" s="35"/>
      <c r="AO219" s="35"/>
      <c r="AP219" s="35"/>
      <c r="AQ219" s="35"/>
      <c r="AR219" s="35"/>
      <c r="AS219" s="35"/>
      <c r="AT219" s="35"/>
      <c r="AU219" s="35"/>
      <c r="AV219" s="35"/>
      <c r="AW219" s="35"/>
    </row>
    <row r="220">
      <c r="A220" s="66" t="s">
        <v>573</v>
      </c>
      <c r="B220" s="17" t="s">
        <v>500</v>
      </c>
      <c r="C220" s="18" t="s">
        <v>574</v>
      </c>
      <c r="D220" s="18" t="s">
        <v>572</v>
      </c>
      <c r="E220" s="17" t="b">
        <v>1</v>
      </c>
      <c r="F220" s="17" t="s">
        <v>349</v>
      </c>
      <c r="G220" s="17" t="s">
        <v>79</v>
      </c>
      <c r="H220" s="17" t="s">
        <v>80</v>
      </c>
      <c r="I220" s="17" t="s">
        <v>81</v>
      </c>
      <c r="J220" s="17"/>
      <c r="K220" s="17" t="s">
        <v>491</v>
      </c>
      <c r="L220" s="17" t="s">
        <v>534</v>
      </c>
      <c r="M220" s="57"/>
      <c r="N220" s="61">
        <v>45897.0</v>
      </c>
      <c r="O220" s="60">
        <v>45903.0</v>
      </c>
      <c r="P220" s="57"/>
      <c r="Q220" s="22">
        <v>20.1</v>
      </c>
      <c r="R220" s="22">
        <v>4432.0</v>
      </c>
      <c r="S220" s="23" t="str">
        <f>iferror(if(AN220=1,VLOOKUP(B220, Blends!H$4:AK$1004,32,0), ""), "")</f>
        <v/>
      </c>
      <c r="T220" s="58"/>
      <c r="U220" s="27"/>
      <c r="V220" s="26"/>
      <c r="W220" s="27"/>
      <c r="X220" s="26"/>
      <c r="Y220" s="26"/>
      <c r="Z220" s="26"/>
      <c r="AA220" s="26"/>
      <c r="AB220" s="26"/>
      <c r="AC220" s="26"/>
      <c r="AD220" s="26"/>
      <c r="AE220" s="26"/>
      <c r="AF220" s="26"/>
      <c r="AG220" s="26"/>
      <c r="AH220" s="26"/>
      <c r="AI220" s="26"/>
      <c r="AJ220" s="26"/>
      <c r="AK220" s="25"/>
      <c r="AL220" s="59"/>
      <c r="AM220" s="35"/>
      <c r="AN220" s="35"/>
      <c r="AO220" s="35"/>
      <c r="AP220" s="35"/>
      <c r="AQ220" s="35"/>
      <c r="AR220" s="35"/>
      <c r="AS220" s="35"/>
      <c r="AT220" s="35"/>
      <c r="AU220" s="35"/>
      <c r="AV220" s="35"/>
      <c r="AW220" s="35"/>
    </row>
    <row r="221">
      <c r="A221" s="66" t="s">
        <v>575</v>
      </c>
      <c r="B221" s="17" t="s">
        <v>500</v>
      </c>
      <c r="C221" s="18" t="s">
        <v>576</v>
      </c>
      <c r="D221" s="18" t="s">
        <v>577</v>
      </c>
      <c r="E221" s="17" t="b">
        <v>1</v>
      </c>
      <c r="F221" s="17" t="s">
        <v>349</v>
      </c>
      <c r="G221" s="17" t="s">
        <v>79</v>
      </c>
      <c r="H221" s="17" t="s">
        <v>80</v>
      </c>
      <c r="I221" s="17" t="s">
        <v>81</v>
      </c>
      <c r="J221" s="17"/>
      <c r="K221" s="19" t="s">
        <v>233</v>
      </c>
      <c r="L221" s="17" t="s">
        <v>578</v>
      </c>
      <c r="M221" s="57"/>
      <c r="N221" s="61">
        <v>45909.0</v>
      </c>
      <c r="O221" s="60">
        <v>45914.0</v>
      </c>
      <c r="P221" s="57"/>
      <c r="Q221" s="22">
        <v>20.18</v>
      </c>
      <c r="R221" s="22">
        <v>4454.0</v>
      </c>
      <c r="S221" s="23" t="str">
        <f>iferror(if(AN221=1,VLOOKUP(B221, Blends!H$4:AK$1004,32,0), ""), "")</f>
        <v/>
      </c>
      <c r="T221" s="58"/>
      <c r="U221" s="27"/>
      <c r="V221" s="26"/>
      <c r="W221" s="27"/>
      <c r="X221" s="26"/>
      <c r="Y221" s="26"/>
      <c r="Z221" s="26"/>
      <c r="AA221" s="26"/>
      <c r="AB221" s="26"/>
      <c r="AC221" s="26"/>
      <c r="AD221" s="26"/>
      <c r="AE221" s="26"/>
      <c r="AF221" s="26"/>
      <c r="AG221" s="26"/>
      <c r="AH221" s="26"/>
      <c r="AI221" s="26"/>
      <c r="AJ221" s="26"/>
      <c r="AK221" s="25"/>
      <c r="AL221" s="59"/>
      <c r="AM221" s="35"/>
      <c r="AN221" s="35"/>
      <c r="AO221" s="35"/>
      <c r="AP221" s="35"/>
      <c r="AQ221" s="35"/>
      <c r="AR221" s="35"/>
      <c r="AS221" s="35"/>
      <c r="AT221" s="35"/>
      <c r="AU221" s="35"/>
      <c r="AV221" s="35"/>
      <c r="AW221" s="35"/>
    </row>
    <row r="222">
      <c r="A222" s="66" t="s">
        <v>579</v>
      </c>
      <c r="B222" s="17" t="s">
        <v>500</v>
      </c>
      <c r="C222" s="18" t="s">
        <v>580</v>
      </c>
      <c r="D222" s="18" t="s">
        <v>577</v>
      </c>
      <c r="E222" s="17" t="b">
        <v>1</v>
      </c>
      <c r="F222" s="17" t="s">
        <v>349</v>
      </c>
      <c r="G222" s="17" t="s">
        <v>79</v>
      </c>
      <c r="H222" s="17" t="s">
        <v>80</v>
      </c>
      <c r="I222" s="17" t="s">
        <v>81</v>
      </c>
      <c r="J222" s="17"/>
      <c r="K222" s="19" t="s">
        <v>233</v>
      </c>
      <c r="L222" s="17" t="s">
        <v>471</v>
      </c>
      <c r="M222" s="57"/>
      <c r="N222" s="61">
        <v>45909.0</v>
      </c>
      <c r="O222" s="60">
        <v>45913.0</v>
      </c>
      <c r="P222" s="57"/>
      <c r="Q222" s="22">
        <v>20.14</v>
      </c>
      <c r="R222" s="22">
        <v>4425.0</v>
      </c>
      <c r="S222" s="23" t="str">
        <f>iferror(if(AN222=1,VLOOKUP(B222, Blends!H$4:AK$1004,32,0), ""), "")</f>
        <v/>
      </c>
      <c r="T222" s="58"/>
      <c r="U222" s="27"/>
      <c r="V222" s="26"/>
      <c r="W222" s="27"/>
      <c r="X222" s="26"/>
      <c r="Y222" s="26"/>
      <c r="Z222" s="26"/>
      <c r="AA222" s="26"/>
      <c r="AB222" s="26"/>
      <c r="AC222" s="26"/>
      <c r="AD222" s="26"/>
      <c r="AE222" s="26"/>
      <c r="AF222" s="26"/>
      <c r="AG222" s="26"/>
      <c r="AH222" s="26"/>
      <c r="AI222" s="26"/>
      <c r="AJ222" s="26"/>
      <c r="AK222" s="25"/>
      <c r="AL222" s="59"/>
      <c r="AM222" s="35"/>
      <c r="AN222" s="35"/>
      <c r="AO222" s="35"/>
      <c r="AP222" s="35"/>
      <c r="AQ222" s="35"/>
      <c r="AR222" s="35"/>
      <c r="AS222" s="35"/>
      <c r="AT222" s="35"/>
      <c r="AU222" s="35"/>
      <c r="AV222" s="35"/>
      <c r="AW222" s="35"/>
    </row>
    <row r="223">
      <c r="A223" s="66" t="s">
        <v>581</v>
      </c>
      <c r="B223" s="17" t="s">
        <v>500</v>
      </c>
      <c r="C223" s="18" t="s">
        <v>582</v>
      </c>
      <c r="D223" s="18" t="s">
        <v>583</v>
      </c>
      <c r="E223" s="17" t="b">
        <v>1</v>
      </c>
      <c r="F223" s="17" t="s">
        <v>349</v>
      </c>
      <c r="G223" s="17" t="s">
        <v>79</v>
      </c>
      <c r="H223" s="17" t="s">
        <v>80</v>
      </c>
      <c r="I223" s="17" t="s">
        <v>81</v>
      </c>
      <c r="J223" s="17"/>
      <c r="K223" s="17" t="s">
        <v>505</v>
      </c>
      <c r="L223" s="17" t="s">
        <v>564</v>
      </c>
      <c r="M223" s="57"/>
      <c r="N223" s="61">
        <v>45913.0</v>
      </c>
      <c r="O223" s="60">
        <v>45917.0</v>
      </c>
      <c r="P223" s="57"/>
      <c r="Q223" s="22">
        <v>20.14</v>
      </c>
      <c r="R223" s="22">
        <v>4417.0</v>
      </c>
      <c r="S223" s="23" t="str">
        <f>iferror(if(AN223=1,VLOOKUP(B223, Blends!H$4:AK$1004,32,0), ""), "")</f>
        <v/>
      </c>
      <c r="T223" s="58"/>
      <c r="U223" s="27"/>
      <c r="V223" s="26"/>
      <c r="W223" s="27"/>
      <c r="X223" s="26"/>
      <c r="Y223" s="26"/>
      <c r="Z223" s="26"/>
      <c r="AA223" s="26"/>
      <c r="AB223" s="26"/>
      <c r="AC223" s="26"/>
      <c r="AD223" s="26"/>
      <c r="AE223" s="26"/>
      <c r="AF223" s="26"/>
      <c r="AG223" s="26"/>
      <c r="AH223" s="26"/>
      <c r="AI223" s="26"/>
      <c r="AJ223" s="26"/>
      <c r="AK223" s="25"/>
      <c r="AL223" s="59"/>
      <c r="AM223" s="35"/>
      <c r="AN223" s="35"/>
      <c r="AO223" s="35"/>
      <c r="AP223" s="35"/>
      <c r="AQ223" s="35"/>
      <c r="AR223" s="35"/>
      <c r="AS223" s="35"/>
      <c r="AT223" s="35"/>
      <c r="AU223" s="35"/>
      <c r="AV223" s="35"/>
      <c r="AW223" s="35"/>
    </row>
    <row r="224">
      <c r="A224" s="66" t="s">
        <v>584</v>
      </c>
      <c r="B224" s="17" t="s">
        <v>500</v>
      </c>
      <c r="C224" s="18" t="s">
        <v>585</v>
      </c>
      <c r="D224" s="18" t="s">
        <v>583</v>
      </c>
      <c r="E224" s="17" t="b">
        <v>1</v>
      </c>
      <c r="F224" s="17" t="s">
        <v>349</v>
      </c>
      <c r="G224" s="17" t="s">
        <v>79</v>
      </c>
      <c r="H224" s="17" t="s">
        <v>80</v>
      </c>
      <c r="I224" s="17" t="s">
        <v>81</v>
      </c>
      <c r="J224" s="17"/>
      <c r="K224" s="17" t="s">
        <v>505</v>
      </c>
      <c r="L224" s="17" t="s">
        <v>506</v>
      </c>
      <c r="M224" s="57"/>
      <c r="N224" s="61">
        <v>45913.0</v>
      </c>
      <c r="O224" s="60">
        <v>45917.0</v>
      </c>
      <c r="P224" s="57"/>
      <c r="Q224" s="22">
        <v>18.78</v>
      </c>
      <c r="R224" s="22">
        <v>4111.0</v>
      </c>
      <c r="S224" s="23" t="str">
        <f>iferror(if(AN224=1,VLOOKUP(B224, Blends!H$4:AK$1004,32,0), ""), "")</f>
        <v/>
      </c>
      <c r="T224" s="58"/>
      <c r="U224" s="27"/>
      <c r="V224" s="26"/>
      <c r="W224" s="27"/>
      <c r="X224" s="26"/>
      <c r="Y224" s="26"/>
      <c r="Z224" s="26"/>
      <c r="AA224" s="26"/>
      <c r="AB224" s="26"/>
      <c r="AC224" s="26"/>
      <c r="AD224" s="26"/>
      <c r="AE224" s="26"/>
      <c r="AF224" s="26"/>
      <c r="AG224" s="26"/>
      <c r="AH224" s="26"/>
      <c r="AI224" s="26"/>
      <c r="AJ224" s="26"/>
      <c r="AK224" s="25"/>
      <c r="AL224" s="59"/>
      <c r="AM224" s="35"/>
      <c r="AN224" s="35"/>
      <c r="AO224" s="35"/>
      <c r="AP224" s="35"/>
      <c r="AQ224" s="35"/>
      <c r="AR224" s="35"/>
      <c r="AS224" s="35"/>
      <c r="AT224" s="35"/>
      <c r="AU224" s="35"/>
      <c r="AV224" s="35"/>
      <c r="AW224" s="35"/>
    </row>
    <row r="225">
      <c r="A225" s="66" t="s">
        <v>586</v>
      </c>
      <c r="B225" s="17" t="s">
        <v>500</v>
      </c>
      <c r="C225" s="18" t="s">
        <v>587</v>
      </c>
      <c r="D225" s="18" t="s">
        <v>588</v>
      </c>
      <c r="E225" s="17" t="b">
        <v>1</v>
      </c>
      <c r="F225" s="17" t="s">
        <v>349</v>
      </c>
      <c r="G225" s="17" t="s">
        <v>79</v>
      </c>
      <c r="H225" s="17" t="s">
        <v>80</v>
      </c>
      <c r="I225" s="17" t="s">
        <v>81</v>
      </c>
      <c r="J225" s="17"/>
      <c r="K225" s="17" t="s">
        <v>491</v>
      </c>
      <c r="L225" s="17" t="s">
        <v>534</v>
      </c>
      <c r="M225" s="57"/>
      <c r="N225" s="61">
        <v>45916.0</v>
      </c>
      <c r="O225" s="60">
        <v>45921.0</v>
      </c>
      <c r="P225" s="57"/>
      <c r="Q225" s="22">
        <v>19.99</v>
      </c>
      <c r="R225" s="22">
        <v>4426.0</v>
      </c>
      <c r="S225" s="23" t="str">
        <f>iferror(if(AN225=1,VLOOKUP(B225, Blends!H$4:AK$1004,32,0), ""), "")</f>
        <v/>
      </c>
      <c r="T225" s="58"/>
      <c r="U225" s="27"/>
      <c r="V225" s="26"/>
      <c r="W225" s="27"/>
      <c r="X225" s="26"/>
      <c r="Y225" s="26"/>
      <c r="Z225" s="26"/>
      <c r="AA225" s="26"/>
      <c r="AB225" s="26"/>
      <c r="AC225" s="26"/>
      <c r="AD225" s="26"/>
      <c r="AE225" s="26"/>
      <c r="AF225" s="26"/>
      <c r="AG225" s="26"/>
      <c r="AH225" s="26"/>
      <c r="AI225" s="26"/>
      <c r="AJ225" s="26"/>
      <c r="AK225" s="25"/>
      <c r="AL225" s="59"/>
      <c r="AM225" s="35"/>
      <c r="AN225" s="35"/>
      <c r="AO225" s="35"/>
      <c r="AP225" s="35"/>
      <c r="AQ225" s="35"/>
      <c r="AR225" s="35"/>
      <c r="AS225" s="35"/>
      <c r="AT225" s="35"/>
      <c r="AU225" s="35"/>
      <c r="AV225" s="35"/>
      <c r="AW225" s="35"/>
    </row>
    <row r="226">
      <c r="A226" s="66" t="s">
        <v>589</v>
      </c>
      <c r="B226" s="17" t="s">
        <v>500</v>
      </c>
      <c r="C226" s="18" t="s">
        <v>590</v>
      </c>
      <c r="D226" s="18" t="s">
        <v>588</v>
      </c>
      <c r="E226" s="17" t="b">
        <v>1</v>
      </c>
      <c r="F226" s="17" t="s">
        <v>349</v>
      </c>
      <c r="G226" s="17" t="s">
        <v>79</v>
      </c>
      <c r="H226" s="17" t="s">
        <v>80</v>
      </c>
      <c r="I226" s="17" t="s">
        <v>81</v>
      </c>
      <c r="J226" s="17"/>
      <c r="K226" s="17" t="s">
        <v>491</v>
      </c>
      <c r="L226" s="17" t="s">
        <v>534</v>
      </c>
      <c r="M226" s="57"/>
      <c r="N226" s="61">
        <v>45918.0</v>
      </c>
      <c r="O226" s="60">
        <v>45922.0</v>
      </c>
      <c r="P226" s="57"/>
      <c r="Q226" s="22">
        <v>20.0</v>
      </c>
      <c r="R226" s="22">
        <v>4421.0</v>
      </c>
      <c r="S226" s="23" t="str">
        <f>iferror(if(AN226=1,VLOOKUP(B226, Blends!H$4:AK$1004,32,0), ""), "")</f>
        <v/>
      </c>
      <c r="T226" s="58"/>
      <c r="U226" s="27"/>
      <c r="V226" s="26"/>
      <c r="W226" s="27"/>
      <c r="X226" s="26"/>
      <c r="Y226" s="26"/>
      <c r="Z226" s="26"/>
      <c r="AA226" s="26"/>
      <c r="AB226" s="26"/>
      <c r="AC226" s="26"/>
      <c r="AD226" s="26"/>
      <c r="AE226" s="26"/>
      <c r="AF226" s="26"/>
      <c r="AG226" s="26"/>
      <c r="AH226" s="26"/>
      <c r="AI226" s="26"/>
      <c r="AJ226" s="26"/>
      <c r="AK226" s="25"/>
      <c r="AL226" s="59"/>
      <c r="AM226" s="35"/>
      <c r="AN226" s="35"/>
      <c r="AO226" s="35"/>
      <c r="AP226" s="35"/>
      <c r="AQ226" s="35"/>
      <c r="AR226" s="35"/>
      <c r="AS226" s="35"/>
      <c r="AT226" s="35"/>
      <c r="AU226" s="35"/>
      <c r="AV226" s="35"/>
      <c r="AW226" s="35"/>
    </row>
    <row r="227">
      <c r="A227" s="66" t="s">
        <v>591</v>
      </c>
      <c r="B227" s="17" t="s">
        <v>500</v>
      </c>
      <c r="C227" s="18" t="s">
        <v>592</v>
      </c>
      <c r="D227" s="18" t="s">
        <v>593</v>
      </c>
      <c r="E227" s="17" t="b">
        <v>1</v>
      </c>
      <c r="F227" s="17" t="s">
        <v>349</v>
      </c>
      <c r="G227" s="17" t="s">
        <v>79</v>
      </c>
      <c r="H227" s="17" t="s">
        <v>80</v>
      </c>
      <c r="I227" s="17" t="s">
        <v>81</v>
      </c>
      <c r="J227" s="17"/>
      <c r="K227" s="17" t="s">
        <v>505</v>
      </c>
      <c r="L227" s="17" t="s">
        <v>564</v>
      </c>
      <c r="M227" s="57"/>
      <c r="N227" s="61">
        <v>45923.0</v>
      </c>
      <c r="O227" s="60">
        <v>45926.0</v>
      </c>
      <c r="P227" s="57"/>
      <c r="Q227" s="22">
        <v>20.96</v>
      </c>
      <c r="R227" s="22">
        <v>4632.0</v>
      </c>
      <c r="S227" s="23" t="str">
        <f>iferror(if(AN227=1,VLOOKUP(B227, Blends!H$4:AK$1004,32,0), ""), "")</f>
        <v/>
      </c>
      <c r="T227" s="58"/>
      <c r="U227" s="27"/>
      <c r="V227" s="26"/>
      <c r="W227" s="27"/>
      <c r="X227" s="26"/>
      <c r="Y227" s="26"/>
      <c r="Z227" s="26"/>
      <c r="AA227" s="26"/>
      <c r="AB227" s="26"/>
      <c r="AC227" s="26"/>
      <c r="AD227" s="26"/>
      <c r="AE227" s="26"/>
      <c r="AF227" s="26"/>
      <c r="AG227" s="26"/>
      <c r="AH227" s="26"/>
      <c r="AI227" s="26"/>
      <c r="AJ227" s="26"/>
      <c r="AK227" s="25"/>
      <c r="AL227" s="59"/>
      <c r="AM227" s="35"/>
      <c r="AN227" s="35"/>
      <c r="AO227" s="35"/>
      <c r="AP227" s="35"/>
      <c r="AQ227" s="35"/>
      <c r="AR227" s="35"/>
      <c r="AS227" s="35"/>
      <c r="AT227" s="35"/>
      <c r="AU227" s="35"/>
      <c r="AV227" s="35"/>
      <c r="AW227" s="35"/>
    </row>
    <row r="228">
      <c r="A228" s="66" t="s">
        <v>594</v>
      </c>
      <c r="B228" s="17" t="s">
        <v>500</v>
      </c>
      <c r="C228" s="18" t="s">
        <v>595</v>
      </c>
      <c r="D228" s="67" t="s">
        <v>596</v>
      </c>
      <c r="E228" s="17" t="b">
        <v>1</v>
      </c>
      <c r="F228" s="17" t="s">
        <v>349</v>
      </c>
      <c r="G228" s="17" t="b">
        <v>1</v>
      </c>
      <c r="H228" s="17" t="s">
        <v>80</v>
      </c>
      <c r="I228" s="17" t="s">
        <v>105</v>
      </c>
      <c r="J228" s="17" t="s">
        <v>597</v>
      </c>
      <c r="K228" s="17" t="s">
        <v>177</v>
      </c>
      <c r="L228" s="17" t="s">
        <v>598</v>
      </c>
      <c r="M228" s="57"/>
      <c r="N228" s="61">
        <v>45925.0</v>
      </c>
      <c r="O228" s="60">
        <v>45944.0</v>
      </c>
      <c r="P228" s="57"/>
      <c r="Q228" s="22">
        <f>26.28+26.26+30.19</f>
        <v>82.73</v>
      </c>
      <c r="R228" s="22">
        <v>17416.0</v>
      </c>
      <c r="S228" s="23" t="str">
        <f>iferror(if(AN228=1,VLOOKUP(B228, Blends!H$4:AK$1004,32,0), ""), "")</f>
        <v/>
      </c>
      <c r="T228" s="58"/>
      <c r="U228" s="27"/>
      <c r="V228" s="26"/>
      <c r="W228" s="27"/>
      <c r="X228" s="26"/>
      <c r="Y228" s="26"/>
      <c r="Z228" s="26"/>
      <c r="AA228" s="26"/>
      <c r="AB228" s="26"/>
      <c r="AC228" s="26"/>
      <c r="AD228" s="26"/>
      <c r="AE228" s="26"/>
      <c r="AF228" s="26"/>
      <c r="AG228" s="26"/>
      <c r="AH228" s="26"/>
      <c r="AI228" s="26"/>
      <c r="AJ228" s="26"/>
      <c r="AK228" s="25"/>
      <c r="AL228" s="59"/>
      <c r="AM228" s="35"/>
      <c r="AN228" s="35"/>
      <c r="AO228" s="35"/>
      <c r="AP228" s="35"/>
      <c r="AQ228" s="35"/>
      <c r="AR228" s="35"/>
      <c r="AS228" s="35"/>
      <c r="AT228" s="35"/>
      <c r="AU228" s="35"/>
      <c r="AV228" s="35"/>
      <c r="AW228" s="35"/>
    </row>
    <row r="229">
      <c r="A229" s="66" t="s">
        <v>599</v>
      </c>
      <c r="B229" s="17" t="s">
        <v>500</v>
      </c>
      <c r="C229" s="18" t="s">
        <v>600</v>
      </c>
      <c r="D229" s="67" t="s">
        <v>601</v>
      </c>
      <c r="E229" s="17" t="b">
        <v>1</v>
      </c>
      <c r="F229" s="17" t="s">
        <v>349</v>
      </c>
      <c r="G229" s="17" t="b">
        <v>1</v>
      </c>
      <c r="H229" s="17" t="s">
        <v>80</v>
      </c>
      <c r="I229" s="17" t="s">
        <v>105</v>
      </c>
      <c r="J229" s="17" t="s">
        <v>597</v>
      </c>
      <c r="K229" s="17" t="s">
        <v>177</v>
      </c>
      <c r="L229" s="17" t="s">
        <v>602</v>
      </c>
      <c r="M229" s="57"/>
      <c r="N229" s="61">
        <v>45925.0</v>
      </c>
      <c r="O229" s="60">
        <v>45944.0</v>
      </c>
      <c r="P229" s="57"/>
      <c r="Q229" s="22">
        <f>26.15+26.02+25.97</f>
        <v>78.14</v>
      </c>
      <c r="R229" s="22">
        <v>17545.0</v>
      </c>
      <c r="S229" s="23" t="str">
        <f>iferror(if(AN229=1,VLOOKUP(B229, Blends!H$4:AK$1004,32,0), ""), "")</f>
        <v/>
      </c>
      <c r="T229" s="58"/>
      <c r="U229" s="27"/>
      <c r="V229" s="26"/>
      <c r="W229" s="27"/>
      <c r="X229" s="26"/>
      <c r="Y229" s="26"/>
      <c r="Z229" s="26"/>
      <c r="AA229" s="26"/>
      <c r="AB229" s="26"/>
      <c r="AC229" s="26"/>
      <c r="AD229" s="26"/>
      <c r="AE229" s="26"/>
      <c r="AF229" s="26"/>
      <c r="AG229" s="26"/>
      <c r="AH229" s="26"/>
      <c r="AI229" s="26"/>
      <c r="AJ229" s="26"/>
      <c r="AK229" s="25"/>
      <c r="AL229" s="59"/>
      <c r="AM229" s="35"/>
      <c r="AN229" s="35"/>
      <c r="AO229" s="35"/>
      <c r="AP229" s="35"/>
      <c r="AQ229" s="35"/>
      <c r="AR229" s="35"/>
      <c r="AS229" s="35"/>
      <c r="AT229" s="35"/>
      <c r="AU229" s="35"/>
      <c r="AV229" s="35"/>
      <c r="AW229" s="35"/>
    </row>
    <row r="230">
      <c r="A230" s="66" t="s">
        <v>603</v>
      </c>
      <c r="B230" s="17" t="s">
        <v>500</v>
      </c>
      <c r="C230" s="18" t="s">
        <v>604</v>
      </c>
      <c r="D230" s="18" t="s">
        <v>605</v>
      </c>
      <c r="E230" s="17" t="b">
        <v>1</v>
      </c>
      <c r="F230" s="17" t="s">
        <v>349</v>
      </c>
      <c r="G230" s="17" t="s">
        <v>79</v>
      </c>
      <c r="H230" s="17" t="s">
        <v>80</v>
      </c>
      <c r="I230" s="17" t="s">
        <v>81</v>
      </c>
      <c r="J230" s="17"/>
      <c r="K230" s="19" t="s">
        <v>233</v>
      </c>
      <c r="L230" s="17" t="s">
        <v>385</v>
      </c>
      <c r="M230" s="57"/>
      <c r="N230" s="61">
        <v>45926.0</v>
      </c>
      <c r="O230" s="60">
        <v>45930.0</v>
      </c>
      <c r="P230" s="57"/>
      <c r="Q230" s="22">
        <v>20.64</v>
      </c>
      <c r="R230" s="22">
        <v>4565.0</v>
      </c>
      <c r="S230" s="23" t="str">
        <f>iferror(if(AN230=1,VLOOKUP(B230, Blends!H$4:AK$1004,32,0), ""), "")</f>
        <v/>
      </c>
      <c r="T230" s="58"/>
      <c r="U230" s="27"/>
      <c r="V230" s="26"/>
      <c r="W230" s="27"/>
      <c r="X230" s="26"/>
      <c r="Y230" s="26"/>
      <c r="Z230" s="26"/>
      <c r="AA230" s="26"/>
      <c r="AB230" s="26"/>
      <c r="AC230" s="26"/>
      <c r="AD230" s="26"/>
      <c r="AE230" s="26"/>
      <c r="AF230" s="26"/>
      <c r="AG230" s="26"/>
      <c r="AH230" s="26"/>
      <c r="AI230" s="26"/>
      <c r="AJ230" s="26"/>
      <c r="AK230" s="25"/>
      <c r="AL230" s="59"/>
      <c r="AM230" s="35"/>
      <c r="AN230" s="35"/>
      <c r="AO230" s="35"/>
      <c r="AP230" s="35"/>
      <c r="AQ230" s="35"/>
      <c r="AR230" s="35"/>
      <c r="AS230" s="35"/>
      <c r="AT230" s="35"/>
      <c r="AU230" s="35"/>
      <c r="AV230" s="35"/>
      <c r="AW230" s="35"/>
    </row>
    <row r="231">
      <c r="A231" s="66" t="s">
        <v>606</v>
      </c>
      <c r="B231" s="17" t="s">
        <v>500</v>
      </c>
      <c r="C231" s="18" t="s">
        <v>607</v>
      </c>
      <c r="D231" s="18" t="s">
        <v>605</v>
      </c>
      <c r="E231" s="17" t="b">
        <v>1</v>
      </c>
      <c r="F231" s="17" t="s">
        <v>349</v>
      </c>
      <c r="G231" s="17" t="s">
        <v>79</v>
      </c>
      <c r="H231" s="17" t="s">
        <v>80</v>
      </c>
      <c r="I231" s="17" t="s">
        <v>81</v>
      </c>
      <c r="J231" s="17"/>
      <c r="K231" s="17" t="s">
        <v>491</v>
      </c>
      <c r="L231" s="17" t="s">
        <v>608</v>
      </c>
      <c r="M231" s="57"/>
      <c r="N231" s="61">
        <v>45927.0</v>
      </c>
      <c r="O231" s="60">
        <v>45932.0</v>
      </c>
      <c r="P231" s="57"/>
      <c r="Q231" s="22">
        <v>19.95</v>
      </c>
      <c r="R231" s="22">
        <v>4413.0</v>
      </c>
      <c r="S231" s="23" t="str">
        <f>iferror(if(AN231=1,VLOOKUP(B231, Blends!H$4:AK$1004,32,0), ""), "")</f>
        <v/>
      </c>
      <c r="T231" s="58"/>
      <c r="U231" s="27"/>
      <c r="V231" s="26"/>
      <c r="W231" s="27"/>
      <c r="X231" s="26"/>
      <c r="Y231" s="26"/>
      <c r="Z231" s="26"/>
      <c r="AA231" s="26"/>
      <c r="AB231" s="26"/>
      <c r="AC231" s="26"/>
      <c r="AD231" s="26"/>
      <c r="AE231" s="26"/>
      <c r="AF231" s="26"/>
      <c r="AG231" s="26"/>
      <c r="AH231" s="26"/>
      <c r="AI231" s="26"/>
      <c r="AJ231" s="26"/>
      <c r="AK231" s="25"/>
      <c r="AL231" s="59"/>
      <c r="AM231" s="35"/>
      <c r="AN231" s="35"/>
      <c r="AO231" s="35"/>
      <c r="AP231" s="35"/>
      <c r="AQ231" s="35"/>
      <c r="AR231" s="35"/>
      <c r="AS231" s="35"/>
      <c r="AT231" s="35"/>
      <c r="AU231" s="35"/>
      <c r="AV231" s="35"/>
      <c r="AW231" s="35"/>
    </row>
    <row r="232">
      <c r="A232" s="66" t="s">
        <v>609</v>
      </c>
      <c r="B232" s="17" t="s">
        <v>500</v>
      </c>
      <c r="C232" s="18" t="s">
        <v>610</v>
      </c>
      <c r="D232" s="18" t="s">
        <v>605</v>
      </c>
      <c r="E232" s="17" t="b">
        <v>1</v>
      </c>
      <c r="F232" s="17" t="s">
        <v>349</v>
      </c>
      <c r="G232" s="17" t="s">
        <v>79</v>
      </c>
      <c r="H232" s="17" t="s">
        <v>80</v>
      </c>
      <c r="I232" s="17" t="s">
        <v>81</v>
      </c>
      <c r="J232" s="17"/>
      <c r="K232" s="17" t="s">
        <v>505</v>
      </c>
      <c r="L232" s="17" t="s">
        <v>564</v>
      </c>
      <c r="M232" s="57"/>
      <c r="N232" s="61">
        <v>45927.0</v>
      </c>
      <c r="O232" s="60">
        <v>45930.0</v>
      </c>
      <c r="P232" s="57"/>
      <c r="Q232" s="22">
        <v>19.91</v>
      </c>
      <c r="R232" s="22">
        <v>4510.0</v>
      </c>
      <c r="S232" s="23" t="str">
        <f>iferror(if(AN232=1,VLOOKUP(B232, Blends!H$4:AK$1004,32,0), ""), "")</f>
        <v/>
      </c>
      <c r="T232" s="58"/>
      <c r="U232" s="27"/>
      <c r="V232" s="26"/>
      <c r="W232" s="27"/>
      <c r="X232" s="26"/>
      <c r="Y232" s="26"/>
      <c r="Z232" s="26"/>
      <c r="AA232" s="26"/>
      <c r="AB232" s="26"/>
      <c r="AC232" s="26"/>
      <c r="AD232" s="26"/>
      <c r="AE232" s="26"/>
      <c r="AF232" s="26"/>
      <c r="AG232" s="26"/>
      <c r="AH232" s="26"/>
      <c r="AI232" s="26"/>
      <c r="AJ232" s="26"/>
      <c r="AK232" s="25"/>
      <c r="AL232" s="59"/>
      <c r="AM232" s="35"/>
      <c r="AN232" s="35"/>
      <c r="AO232" s="35"/>
      <c r="AP232" s="35"/>
      <c r="AQ232" s="35"/>
      <c r="AR232" s="35"/>
      <c r="AS232" s="35"/>
      <c r="AT232" s="35"/>
      <c r="AU232" s="35"/>
      <c r="AV232" s="35"/>
      <c r="AW232" s="35"/>
    </row>
    <row r="233">
      <c r="A233" s="66" t="s">
        <v>611</v>
      </c>
      <c r="B233" s="17" t="s">
        <v>612</v>
      </c>
      <c r="C233" s="18" t="s">
        <v>613</v>
      </c>
      <c r="D233" s="18" t="s">
        <v>614</v>
      </c>
      <c r="E233" s="17" t="b">
        <v>1</v>
      </c>
      <c r="F233" s="17" t="s">
        <v>349</v>
      </c>
      <c r="G233" s="17" t="s">
        <v>79</v>
      </c>
      <c r="H233" s="17" t="s">
        <v>80</v>
      </c>
      <c r="I233" s="17" t="s">
        <v>81</v>
      </c>
      <c r="J233" s="17"/>
      <c r="K233" s="17" t="s">
        <v>505</v>
      </c>
      <c r="L233" s="17" t="s">
        <v>615</v>
      </c>
      <c r="M233" s="57"/>
      <c r="N233" s="61">
        <v>45936.0</v>
      </c>
      <c r="O233" s="60">
        <v>45943.0</v>
      </c>
      <c r="P233" s="57"/>
      <c r="Q233" s="22">
        <v>19.78</v>
      </c>
      <c r="R233" s="22">
        <v>4595.0</v>
      </c>
      <c r="S233" s="23" t="str">
        <f>iferror(if(AN233=1,VLOOKUP(B233, Blends!H$4:AK$1004,32,0), ""), "")</f>
        <v/>
      </c>
      <c r="T233" s="58"/>
      <c r="U233" s="27"/>
      <c r="V233" s="26"/>
      <c r="W233" s="27"/>
      <c r="X233" s="26"/>
      <c r="Y233" s="26"/>
      <c r="Z233" s="26"/>
      <c r="AA233" s="26"/>
      <c r="AB233" s="26"/>
      <c r="AC233" s="26"/>
      <c r="AD233" s="26"/>
      <c r="AE233" s="26"/>
      <c r="AF233" s="26"/>
      <c r="AG233" s="26"/>
      <c r="AH233" s="26"/>
      <c r="AI233" s="26"/>
      <c r="AJ233" s="26"/>
      <c r="AK233" s="25"/>
      <c r="AL233" s="59"/>
      <c r="AM233" s="35"/>
      <c r="AN233" s="35"/>
      <c r="AO233" s="35"/>
      <c r="AP233" s="35"/>
      <c r="AQ233" s="35"/>
      <c r="AR233" s="35"/>
      <c r="AS233" s="35"/>
      <c r="AT233" s="35"/>
      <c r="AU233" s="35"/>
      <c r="AV233" s="35"/>
      <c r="AW233" s="35"/>
    </row>
    <row r="234">
      <c r="A234" s="66" t="s">
        <v>616</v>
      </c>
      <c r="B234" s="17" t="s">
        <v>612</v>
      </c>
      <c r="C234" s="18" t="s">
        <v>617</v>
      </c>
      <c r="D234" s="18" t="s">
        <v>614</v>
      </c>
      <c r="E234" s="17" t="b">
        <v>1</v>
      </c>
      <c r="F234" s="17" t="s">
        <v>349</v>
      </c>
      <c r="G234" s="17" t="s">
        <v>79</v>
      </c>
      <c r="H234" s="17" t="s">
        <v>80</v>
      </c>
      <c r="I234" s="17" t="s">
        <v>81</v>
      </c>
      <c r="J234" s="17"/>
      <c r="K234" s="19" t="s">
        <v>233</v>
      </c>
      <c r="L234" s="17" t="s">
        <v>385</v>
      </c>
      <c r="M234" s="57"/>
      <c r="N234" s="61">
        <v>45937.0</v>
      </c>
      <c r="O234" s="60">
        <v>45941.0</v>
      </c>
      <c r="P234" s="57"/>
      <c r="Q234" s="22">
        <v>20.07</v>
      </c>
      <c r="R234" s="22">
        <v>4694.0</v>
      </c>
      <c r="S234" s="23" t="str">
        <f>iferror(if(AN234=1,VLOOKUP(B234, Blends!H$4:AK$1004,32,0), ""), "")</f>
        <v/>
      </c>
      <c r="T234" s="58"/>
      <c r="U234" s="27"/>
      <c r="V234" s="26"/>
      <c r="W234" s="27"/>
      <c r="X234" s="26"/>
      <c r="Y234" s="26"/>
      <c r="Z234" s="26"/>
      <c r="AA234" s="26"/>
      <c r="AB234" s="26"/>
      <c r="AC234" s="26"/>
      <c r="AD234" s="26"/>
      <c r="AE234" s="26"/>
      <c r="AF234" s="26"/>
      <c r="AG234" s="26"/>
      <c r="AH234" s="26"/>
      <c r="AI234" s="26"/>
      <c r="AJ234" s="26"/>
      <c r="AK234" s="25"/>
      <c r="AL234" s="59"/>
      <c r="AM234" s="35"/>
      <c r="AN234" s="35"/>
      <c r="AO234" s="35"/>
      <c r="AP234" s="35"/>
      <c r="AQ234" s="35"/>
      <c r="AR234" s="35"/>
      <c r="AS234" s="35"/>
      <c r="AT234" s="35"/>
      <c r="AU234" s="35"/>
      <c r="AV234" s="35"/>
      <c r="AW234" s="35"/>
    </row>
    <row r="235">
      <c r="A235" s="66" t="s">
        <v>618</v>
      </c>
      <c r="B235" s="17" t="s">
        <v>612</v>
      </c>
      <c r="C235" s="18" t="s">
        <v>619</v>
      </c>
      <c r="D235" s="18" t="s">
        <v>620</v>
      </c>
      <c r="E235" s="17" t="b">
        <v>1</v>
      </c>
      <c r="F235" s="17" t="s">
        <v>349</v>
      </c>
      <c r="G235" s="17" t="s">
        <v>79</v>
      </c>
      <c r="H235" s="17" t="s">
        <v>80</v>
      </c>
      <c r="I235" s="17" t="s">
        <v>81</v>
      </c>
      <c r="J235" s="17"/>
      <c r="K235" s="17" t="s">
        <v>491</v>
      </c>
      <c r="L235" s="17" t="s">
        <v>534</v>
      </c>
      <c r="M235" s="57"/>
      <c r="N235" s="61">
        <v>45940.0</v>
      </c>
      <c r="O235" s="60">
        <v>45945.0</v>
      </c>
      <c r="P235" s="57"/>
      <c r="Q235" s="22">
        <v>20.19</v>
      </c>
      <c r="R235" s="22">
        <v>4432.0</v>
      </c>
      <c r="S235" s="23" t="str">
        <f>iferror(if(AN235=1,VLOOKUP(B235, Blends!H$4:AK$1004,32,0), ""), "")</f>
        <v/>
      </c>
      <c r="T235" s="58"/>
      <c r="U235" s="27"/>
      <c r="V235" s="26"/>
      <c r="W235" s="27"/>
      <c r="X235" s="26"/>
      <c r="Y235" s="26"/>
      <c r="Z235" s="26"/>
      <c r="AA235" s="26"/>
      <c r="AB235" s="26"/>
      <c r="AC235" s="26"/>
      <c r="AD235" s="26"/>
      <c r="AE235" s="26"/>
      <c r="AF235" s="26"/>
      <c r="AG235" s="26"/>
      <c r="AH235" s="26"/>
      <c r="AI235" s="26"/>
      <c r="AJ235" s="26"/>
      <c r="AK235" s="25"/>
      <c r="AL235" s="59"/>
      <c r="AM235" s="35"/>
      <c r="AN235" s="35"/>
      <c r="AO235" s="35"/>
      <c r="AP235" s="35"/>
      <c r="AQ235" s="35"/>
      <c r="AR235" s="35"/>
      <c r="AS235" s="35"/>
      <c r="AT235" s="35"/>
      <c r="AU235" s="35"/>
      <c r="AV235" s="35"/>
      <c r="AW235" s="35"/>
    </row>
    <row r="236">
      <c r="A236" s="66" t="s">
        <v>621</v>
      </c>
      <c r="B236" s="17" t="s">
        <v>612</v>
      </c>
      <c r="C236" s="18" t="s">
        <v>622</v>
      </c>
      <c r="D236" s="18" t="s">
        <v>620</v>
      </c>
      <c r="E236" s="17" t="b">
        <v>1</v>
      </c>
      <c r="F236" s="17" t="s">
        <v>349</v>
      </c>
      <c r="G236" s="17" t="s">
        <v>79</v>
      </c>
      <c r="H236" s="17" t="s">
        <v>80</v>
      </c>
      <c r="I236" s="17" t="s">
        <v>81</v>
      </c>
      <c r="J236" s="17"/>
      <c r="K236" s="17" t="s">
        <v>491</v>
      </c>
      <c r="L236" s="17" t="s">
        <v>431</v>
      </c>
      <c r="M236" s="57"/>
      <c r="N236" s="61">
        <v>45940.0</v>
      </c>
      <c r="O236" s="60">
        <v>45946.0</v>
      </c>
      <c r="P236" s="57"/>
      <c r="Q236" s="22">
        <v>20.09</v>
      </c>
      <c r="R236" s="22">
        <v>4684.0</v>
      </c>
      <c r="S236" s="23" t="str">
        <f>iferror(if(AN236=1,VLOOKUP(B236, Blends!H$4:AK$1004,32,0), ""), "")</f>
        <v/>
      </c>
      <c r="T236" s="58"/>
      <c r="U236" s="27"/>
      <c r="V236" s="26"/>
      <c r="W236" s="27"/>
      <c r="X236" s="26"/>
      <c r="Y236" s="26"/>
      <c r="Z236" s="26"/>
      <c r="AA236" s="26"/>
      <c r="AB236" s="26"/>
      <c r="AC236" s="26"/>
      <c r="AD236" s="26"/>
      <c r="AE236" s="26"/>
      <c r="AF236" s="26"/>
      <c r="AG236" s="26"/>
      <c r="AH236" s="26"/>
      <c r="AI236" s="26"/>
      <c r="AJ236" s="26"/>
      <c r="AK236" s="25"/>
      <c r="AL236" s="59"/>
      <c r="AM236" s="35"/>
      <c r="AN236" s="35"/>
      <c r="AO236" s="35"/>
      <c r="AP236" s="35"/>
      <c r="AQ236" s="35"/>
      <c r="AR236" s="35"/>
      <c r="AS236" s="35"/>
      <c r="AT236" s="35"/>
      <c r="AU236" s="35"/>
      <c r="AV236" s="35"/>
      <c r="AW236" s="35"/>
    </row>
    <row r="237">
      <c r="A237" s="66" t="s">
        <v>623</v>
      </c>
      <c r="B237" s="17" t="s">
        <v>612</v>
      </c>
      <c r="C237" s="18" t="s">
        <v>624</v>
      </c>
      <c r="D237" s="18" t="s">
        <v>625</v>
      </c>
      <c r="E237" s="17" t="b">
        <v>1</v>
      </c>
      <c r="F237" s="17" t="s">
        <v>349</v>
      </c>
      <c r="G237" s="17" t="s">
        <v>79</v>
      </c>
      <c r="H237" s="17" t="s">
        <v>80</v>
      </c>
      <c r="I237" s="17" t="s">
        <v>81</v>
      </c>
      <c r="J237" s="17"/>
      <c r="K237" s="17" t="s">
        <v>491</v>
      </c>
      <c r="L237" s="17" t="s">
        <v>626</v>
      </c>
      <c r="M237" s="57"/>
      <c r="N237" s="61">
        <v>45944.0</v>
      </c>
      <c r="O237" s="60">
        <v>45951.0</v>
      </c>
      <c r="P237" s="57"/>
      <c r="Q237" s="22">
        <v>20.11</v>
      </c>
      <c r="R237" s="22">
        <v>4705.0</v>
      </c>
      <c r="S237" s="23" t="str">
        <f>iferror(if(AN237=1,VLOOKUP(B237, Blends!H$4:AK$1004,32,0), ""), "")</f>
        <v/>
      </c>
      <c r="T237" s="58"/>
      <c r="U237" s="27"/>
      <c r="V237" s="26"/>
      <c r="W237" s="27"/>
      <c r="X237" s="26"/>
      <c r="Y237" s="26"/>
      <c r="Z237" s="26"/>
      <c r="AA237" s="26"/>
      <c r="AB237" s="26"/>
      <c r="AC237" s="26"/>
      <c r="AD237" s="26"/>
      <c r="AE237" s="26"/>
      <c r="AF237" s="26"/>
      <c r="AG237" s="26"/>
      <c r="AH237" s="26"/>
      <c r="AI237" s="26"/>
      <c r="AJ237" s="26"/>
      <c r="AK237" s="25"/>
      <c r="AL237" s="59"/>
      <c r="AM237" s="35"/>
      <c r="AN237" s="35"/>
      <c r="AO237" s="35"/>
      <c r="AP237" s="35"/>
      <c r="AQ237" s="35"/>
      <c r="AR237" s="35"/>
      <c r="AS237" s="35"/>
      <c r="AT237" s="35"/>
      <c r="AU237" s="35"/>
      <c r="AV237" s="35"/>
      <c r="AW237" s="35"/>
    </row>
    <row r="238">
      <c r="A238" s="66" t="s">
        <v>627</v>
      </c>
      <c r="B238" s="17" t="s">
        <v>612</v>
      </c>
      <c r="C238" s="18" t="s">
        <v>628</v>
      </c>
      <c r="D238" s="18" t="s">
        <v>625</v>
      </c>
      <c r="E238" s="17" t="b">
        <v>1</v>
      </c>
      <c r="F238" s="17" t="s">
        <v>349</v>
      </c>
      <c r="G238" s="17" t="s">
        <v>79</v>
      </c>
      <c r="H238" s="17" t="s">
        <v>80</v>
      </c>
      <c r="I238" s="17" t="s">
        <v>81</v>
      </c>
      <c r="J238" s="17"/>
      <c r="K238" s="17" t="s">
        <v>491</v>
      </c>
      <c r="L238" s="17" t="s">
        <v>629</v>
      </c>
      <c r="M238" s="57"/>
      <c r="N238" s="61">
        <v>45946.0</v>
      </c>
      <c r="O238" s="60">
        <v>45951.0</v>
      </c>
      <c r="P238" s="57"/>
      <c r="Q238" s="22">
        <v>18.93</v>
      </c>
      <c r="R238" s="22">
        <v>4571.0</v>
      </c>
      <c r="S238" s="23" t="str">
        <f>iferror(if(AN238=1,VLOOKUP(B238, Blends!H$4:AK$1004,32,0), ""), "")</f>
        <v/>
      </c>
      <c r="T238" s="58"/>
      <c r="U238" s="27"/>
      <c r="V238" s="26"/>
      <c r="W238" s="27"/>
      <c r="X238" s="26"/>
      <c r="Y238" s="26"/>
      <c r="Z238" s="26"/>
      <c r="AA238" s="26"/>
      <c r="AB238" s="26"/>
      <c r="AC238" s="26"/>
      <c r="AD238" s="26"/>
      <c r="AE238" s="26"/>
      <c r="AF238" s="26"/>
      <c r="AG238" s="26"/>
      <c r="AH238" s="26"/>
      <c r="AI238" s="26"/>
      <c r="AJ238" s="26"/>
      <c r="AK238" s="25"/>
      <c r="AL238" s="59"/>
      <c r="AM238" s="35"/>
      <c r="AN238" s="35"/>
      <c r="AO238" s="35"/>
      <c r="AP238" s="35"/>
      <c r="AQ238" s="35"/>
      <c r="AR238" s="35"/>
      <c r="AS238" s="35"/>
      <c r="AT238" s="35"/>
      <c r="AU238" s="35"/>
      <c r="AV238" s="35"/>
      <c r="AW238" s="35"/>
    </row>
    <row r="239">
      <c r="A239" s="66" t="s">
        <v>630</v>
      </c>
      <c r="B239" s="17" t="s">
        <v>612</v>
      </c>
      <c r="C239" s="18" t="s">
        <v>631</v>
      </c>
      <c r="D239" s="18" t="s">
        <v>632</v>
      </c>
      <c r="E239" s="17" t="b">
        <v>1</v>
      </c>
      <c r="F239" s="17" t="s">
        <v>349</v>
      </c>
      <c r="G239" s="17" t="s">
        <v>79</v>
      </c>
      <c r="H239" s="17" t="s">
        <v>80</v>
      </c>
      <c r="I239" s="17" t="s">
        <v>81</v>
      </c>
      <c r="J239" s="17"/>
      <c r="K239" s="17" t="s">
        <v>505</v>
      </c>
      <c r="L239" s="17" t="s">
        <v>564</v>
      </c>
      <c r="M239" s="57"/>
      <c r="N239" s="61">
        <v>45951.0</v>
      </c>
      <c r="O239" s="60">
        <v>45954.0</v>
      </c>
      <c r="P239" s="57"/>
      <c r="Q239" s="22">
        <v>20.88</v>
      </c>
      <c r="R239" s="22">
        <v>4661.0</v>
      </c>
      <c r="S239" s="23" t="str">
        <f>iferror(if(AN239=1,VLOOKUP(B239, Blends!H$4:AK$1004,32,0), ""), "")</f>
        <v/>
      </c>
      <c r="T239" s="58"/>
      <c r="U239" s="27"/>
      <c r="V239" s="26"/>
      <c r="W239" s="27"/>
      <c r="X239" s="26"/>
      <c r="Y239" s="26"/>
      <c r="Z239" s="26"/>
      <c r="AA239" s="26"/>
      <c r="AB239" s="26"/>
      <c r="AC239" s="26"/>
      <c r="AD239" s="26"/>
      <c r="AE239" s="26"/>
      <c r="AF239" s="26"/>
      <c r="AG239" s="26"/>
      <c r="AH239" s="26"/>
      <c r="AI239" s="26"/>
      <c r="AJ239" s="26"/>
      <c r="AK239" s="25"/>
      <c r="AL239" s="59"/>
      <c r="AM239" s="35"/>
      <c r="AN239" s="35"/>
      <c r="AO239" s="35"/>
      <c r="AP239" s="35"/>
      <c r="AQ239" s="35"/>
      <c r="AR239" s="35"/>
      <c r="AS239" s="35"/>
      <c r="AT239" s="35"/>
      <c r="AU239" s="35"/>
      <c r="AV239" s="35"/>
      <c r="AW239" s="35"/>
    </row>
    <row r="240">
      <c r="A240" s="66" t="s">
        <v>633</v>
      </c>
      <c r="B240" s="17" t="s">
        <v>612</v>
      </c>
      <c r="C240" s="18" t="s">
        <v>634</v>
      </c>
      <c r="D240" s="18" t="s">
        <v>632</v>
      </c>
      <c r="E240" s="17" t="b">
        <v>1</v>
      </c>
      <c r="F240" s="17" t="s">
        <v>349</v>
      </c>
      <c r="G240" s="17" t="s">
        <v>79</v>
      </c>
      <c r="H240" s="17" t="s">
        <v>80</v>
      </c>
      <c r="I240" s="17" t="s">
        <v>81</v>
      </c>
      <c r="J240" s="17"/>
      <c r="K240" s="17" t="s">
        <v>505</v>
      </c>
      <c r="L240" s="17" t="s">
        <v>615</v>
      </c>
      <c r="M240" s="57"/>
      <c r="N240" s="61">
        <v>45951.0</v>
      </c>
      <c r="O240" s="60">
        <v>45954.0</v>
      </c>
      <c r="P240" s="57"/>
      <c r="Q240" s="22">
        <v>21.22</v>
      </c>
      <c r="R240" s="22">
        <v>4690.0</v>
      </c>
      <c r="S240" s="23" t="str">
        <f>iferror(if(AN240=1,VLOOKUP(B240, Blends!H$4:AK$1004,32,0), ""), "")</f>
        <v/>
      </c>
      <c r="T240" s="58"/>
      <c r="U240" s="27"/>
      <c r="V240" s="26"/>
      <c r="W240" s="27"/>
      <c r="X240" s="26"/>
      <c r="Y240" s="26"/>
      <c r="Z240" s="26"/>
      <c r="AA240" s="26"/>
      <c r="AB240" s="26"/>
      <c r="AC240" s="26"/>
      <c r="AD240" s="26"/>
      <c r="AE240" s="26"/>
      <c r="AF240" s="26"/>
      <c r="AG240" s="26"/>
      <c r="AH240" s="26"/>
      <c r="AI240" s="26"/>
      <c r="AJ240" s="26"/>
      <c r="AK240" s="25"/>
      <c r="AL240" s="59"/>
      <c r="AM240" s="35"/>
      <c r="AN240" s="35"/>
      <c r="AO240" s="35"/>
      <c r="AP240" s="35"/>
      <c r="AQ240" s="35"/>
      <c r="AR240" s="35"/>
      <c r="AS240" s="35"/>
      <c r="AT240" s="35"/>
      <c r="AU240" s="35"/>
      <c r="AV240" s="35"/>
      <c r="AW240" s="35"/>
    </row>
    <row r="241">
      <c r="A241" s="66" t="s">
        <v>635</v>
      </c>
      <c r="B241" s="17" t="s">
        <v>612</v>
      </c>
      <c r="C241" s="18" t="s">
        <v>636</v>
      </c>
      <c r="D241" s="18" t="s">
        <v>637</v>
      </c>
      <c r="E241" s="17" t="b">
        <v>1</v>
      </c>
      <c r="F241" s="17" t="s">
        <v>349</v>
      </c>
      <c r="G241" s="17" t="s">
        <v>79</v>
      </c>
      <c r="H241" s="17" t="s">
        <v>80</v>
      </c>
      <c r="I241" s="17" t="s">
        <v>81</v>
      </c>
      <c r="J241" s="17" t="s">
        <v>597</v>
      </c>
      <c r="K241" s="17" t="s">
        <v>491</v>
      </c>
      <c r="L241" s="17" t="s">
        <v>638</v>
      </c>
      <c r="M241" s="57"/>
      <c r="N241" s="61">
        <v>45987.0</v>
      </c>
      <c r="O241" s="60">
        <v>45992.0</v>
      </c>
      <c r="P241" s="57"/>
      <c r="Q241" s="22">
        <v>20.37</v>
      </c>
      <c r="R241" s="22">
        <v>4765.0</v>
      </c>
      <c r="S241" s="23" t="str">
        <f>iferror(if(AN241=1,VLOOKUP(B241, Blends!H$4:AK$1004,32,0), ""), "")</f>
        <v/>
      </c>
      <c r="T241" s="58"/>
      <c r="U241" s="27"/>
      <c r="V241" s="26"/>
      <c r="W241" s="27"/>
      <c r="X241" s="26"/>
      <c r="Y241" s="26"/>
      <c r="Z241" s="26"/>
      <c r="AA241" s="26"/>
      <c r="AB241" s="26"/>
      <c r="AC241" s="26"/>
      <c r="AD241" s="26"/>
      <c r="AE241" s="26"/>
      <c r="AF241" s="26"/>
      <c r="AG241" s="26"/>
      <c r="AH241" s="26"/>
      <c r="AI241" s="26"/>
      <c r="AJ241" s="26"/>
      <c r="AK241" s="25"/>
      <c r="AL241" s="59"/>
      <c r="AM241" s="35"/>
      <c r="AN241" s="35"/>
      <c r="AO241" s="35"/>
      <c r="AP241" s="35"/>
      <c r="AQ241" s="35"/>
      <c r="AR241" s="35"/>
      <c r="AS241" s="35"/>
      <c r="AT241" s="35"/>
      <c r="AU241" s="35"/>
      <c r="AV241" s="35"/>
      <c r="AW241" s="35"/>
    </row>
    <row r="242">
      <c r="A242" s="66" t="s">
        <v>639</v>
      </c>
      <c r="B242" s="17" t="s">
        <v>612</v>
      </c>
      <c r="C242" s="18" t="s">
        <v>640</v>
      </c>
      <c r="D242" s="18" t="s">
        <v>637</v>
      </c>
      <c r="E242" s="17" t="b">
        <v>1</v>
      </c>
      <c r="F242" s="17" t="s">
        <v>349</v>
      </c>
      <c r="G242" s="17" t="s">
        <v>79</v>
      </c>
      <c r="H242" s="17" t="s">
        <v>80</v>
      </c>
      <c r="I242" s="17" t="s">
        <v>81</v>
      </c>
      <c r="J242" s="17" t="s">
        <v>597</v>
      </c>
      <c r="K242" s="17" t="s">
        <v>491</v>
      </c>
      <c r="L242" s="17" t="s">
        <v>431</v>
      </c>
      <c r="M242" s="57"/>
      <c r="N242" s="61">
        <v>45988.0</v>
      </c>
      <c r="O242" s="60">
        <v>45992.0</v>
      </c>
      <c r="P242" s="57"/>
      <c r="Q242" s="22">
        <v>19.78</v>
      </c>
      <c r="R242" s="22">
        <v>4662.0</v>
      </c>
      <c r="S242" s="23" t="str">
        <f>iferror(if(AN242=1,VLOOKUP(B242, Blends!H$4:AK$1004,32,0), ""), "")</f>
        <v/>
      </c>
      <c r="T242" s="58"/>
      <c r="U242" s="27"/>
      <c r="V242" s="26"/>
      <c r="W242" s="27"/>
      <c r="X242" s="26"/>
      <c r="Y242" s="26"/>
      <c r="Z242" s="26"/>
      <c r="AA242" s="26"/>
      <c r="AB242" s="26"/>
      <c r="AC242" s="26"/>
      <c r="AD242" s="26"/>
      <c r="AE242" s="26"/>
      <c r="AF242" s="26"/>
      <c r="AG242" s="26"/>
      <c r="AH242" s="26"/>
      <c r="AI242" s="26"/>
      <c r="AJ242" s="26"/>
      <c r="AK242" s="25"/>
      <c r="AL242" s="59"/>
      <c r="AM242" s="35"/>
      <c r="AN242" s="35"/>
      <c r="AO242" s="35"/>
      <c r="AP242" s="35"/>
      <c r="AQ242" s="35"/>
      <c r="AR242" s="35"/>
      <c r="AS242" s="35"/>
      <c r="AT242" s="35"/>
      <c r="AU242" s="35"/>
      <c r="AV242" s="35"/>
      <c r="AW242" s="35"/>
    </row>
    <row r="243" ht="15.0" customHeight="1">
      <c r="A243" s="66" t="s">
        <v>641</v>
      </c>
      <c r="B243" s="17" t="s">
        <v>612</v>
      </c>
      <c r="C243" s="18" t="s">
        <v>642</v>
      </c>
      <c r="D243" s="18" t="s">
        <v>632</v>
      </c>
      <c r="E243" s="17" t="b">
        <v>1</v>
      </c>
      <c r="F243" s="17" t="s">
        <v>349</v>
      </c>
      <c r="G243" s="17" t="s">
        <v>79</v>
      </c>
      <c r="H243" s="17" t="s">
        <v>80</v>
      </c>
      <c r="I243" s="17" t="s">
        <v>81</v>
      </c>
      <c r="J243" s="17" t="s">
        <v>597</v>
      </c>
      <c r="K243" s="17" t="s">
        <v>491</v>
      </c>
      <c r="L243" s="17" t="s">
        <v>431</v>
      </c>
      <c r="M243" s="57"/>
      <c r="N243" s="61">
        <v>45995.0</v>
      </c>
      <c r="O243" s="60">
        <v>46000.0</v>
      </c>
      <c r="P243" s="57"/>
      <c r="Q243" s="22">
        <v>19.61</v>
      </c>
      <c r="R243" s="22">
        <v>4299.0</v>
      </c>
      <c r="S243" s="23" t="str">
        <f>iferror(if(AN243=1,VLOOKUP(B243, Blends!H$4:AK$1004,32,0), ""), "")</f>
        <v/>
      </c>
      <c r="T243" s="58"/>
      <c r="U243" s="27"/>
      <c r="V243" s="26"/>
      <c r="W243" s="27"/>
      <c r="X243" s="26"/>
      <c r="Y243" s="26"/>
      <c r="Z243" s="26"/>
      <c r="AA243" s="26"/>
      <c r="AB243" s="26"/>
      <c r="AC243" s="26"/>
      <c r="AD243" s="26"/>
      <c r="AE243" s="26"/>
      <c r="AF243" s="26"/>
      <c r="AG243" s="26"/>
      <c r="AH243" s="26"/>
      <c r="AI243" s="26"/>
      <c r="AJ243" s="26"/>
      <c r="AK243" s="25"/>
      <c r="AL243" s="59"/>
      <c r="AM243" s="35"/>
      <c r="AN243" s="35"/>
      <c r="AO243" s="35"/>
      <c r="AP243" s="35"/>
      <c r="AQ243" s="35"/>
      <c r="AR243" s="35"/>
      <c r="AS243" s="35"/>
      <c r="AT243" s="35"/>
      <c r="AU243" s="35"/>
      <c r="AV243" s="35"/>
      <c r="AW243" s="35"/>
    </row>
    <row r="244">
      <c r="A244" s="66" t="s">
        <v>643</v>
      </c>
      <c r="B244" s="17" t="s">
        <v>612</v>
      </c>
      <c r="C244" s="18" t="s">
        <v>644</v>
      </c>
      <c r="D244" s="18" t="s">
        <v>632</v>
      </c>
      <c r="E244" s="17" t="b">
        <v>1</v>
      </c>
      <c r="F244" s="17" t="s">
        <v>349</v>
      </c>
      <c r="G244" s="17" t="s">
        <v>79</v>
      </c>
      <c r="H244" s="17" t="s">
        <v>80</v>
      </c>
      <c r="I244" s="17" t="s">
        <v>81</v>
      </c>
      <c r="J244" s="17" t="s">
        <v>597</v>
      </c>
      <c r="K244" s="17" t="s">
        <v>491</v>
      </c>
      <c r="L244" s="17" t="s">
        <v>645</v>
      </c>
      <c r="M244" s="57"/>
      <c r="N244" s="61">
        <v>45996.0</v>
      </c>
      <c r="O244" s="60">
        <v>46000.0</v>
      </c>
      <c r="P244" s="57"/>
      <c r="Q244" s="22">
        <v>19.46</v>
      </c>
      <c r="R244" s="22">
        <v>4258.0</v>
      </c>
      <c r="S244" s="23" t="str">
        <f>iferror(if(AN244=1,VLOOKUP(B244, Blends!H$4:AK$1004,32,0), ""), "")</f>
        <v/>
      </c>
      <c r="T244" s="58"/>
      <c r="U244" s="27"/>
      <c r="V244" s="26"/>
      <c r="W244" s="27"/>
      <c r="X244" s="26"/>
      <c r="Y244" s="26"/>
      <c r="Z244" s="26"/>
      <c r="AA244" s="26"/>
      <c r="AB244" s="26"/>
      <c r="AC244" s="26"/>
      <c r="AD244" s="26"/>
      <c r="AE244" s="26"/>
      <c r="AF244" s="26"/>
      <c r="AG244" s="26"/>
      <c r="AH244" s="26"/>
      <c r="AI244" s="26"/>
      <c r="AJ244" s="26"/>
      <c r="AK244" s="25"/>
      <c r="AL244" s="59"/>
      <c r="AM244" s="35"/>
      <c r="AN244" s="35"/>
      <c r="AO244" s="35"/>
      <c r="AP244" s="35"/>
      <c r="AQ244" s="35"/>
      <c r="AR244" s="35"/>
      <c r="AS244" s="35"/>
      <c r="AT244" s="35"/>
      <c r="AU244" s="35"/>
      <c r="AV244" s="35"/>
      <c r="AW244" s="35"/>
    </row>
    <row r="245">
      <c r="A245" s="66" t="s">
        <v>646</v>
      </c>
      <c r="B245" s="17" t="s">
        <v>647</v>
      </c>
      <c r="C245" s="18" t="s">
        <v>648</v>
      </c>
      <c r="D245" s="18" t="s">
        <v>649</v>
      </c>
      <c r="E245" s="17" t="b">
        <v>1</v>
      </c>
      <c r="F245" s="17" t="s">
        <v>349</v>
      </c>
      <c r="G245" s="17" t="s">
        <v>79</v>
      </c>
      <c r="H245" s="17" t="s">
        <v>80</v>
      </c>
      <c r="I245" s="17" t="s">
        <v>105</v>
      </c>
      <c r="J245" s="17" t="s">
        <v>597</v>
      </c>
      <c r="K245" s="17" t="s">
        <v>177</v>
      </c>
      <c r="L245" s="17" t="s">
        <v>650</v>
      </c>
      <c r="M245" s="57"/>
      <c r="N245" s="61">
        <v>46045.0</v>
      </c>
      <c r="O245" s="60">
        <v>46069.0</v>
      </c>
      <c r="P245" s="17" t="s">
        <v>651</v>
      </c>
      <c r="Q245" s="22">
        <v>75.56</v>
      </c>
      <c r="R245" s="22">
        <v>16679.0</v>
      </c>
      <c r="S245" s="23" t="str">
        <f>iferror(if(AN245=1,VLOOKUP(B245, Blends!H$4:AK$1004,32,0), ""), "")</f>
        <v/>
      </c>
      <c r="T245" s="58"/>
      <c r="U245" s="27"/>
      <c r="V245" s="26"/>
      <c r="W245" s="27"/>
      <c r="X245" s="26"/>
      <c r="Y245" s="26"/>
      <c r="Z245" s="26"/>
      <c r="AA245" s="26"/>
      <c r="AB245" s="26"/>
      <c r="AC245" s="26"/>
      <c r="AD245" s="26"/>
      <c r="AE245" s="26"/>
      <c r="AF245" s="26"/>
      <c r="AG245" s="26"/>
      <c r="AH245" s="26"/>
      <c r="AI245" s="26"/>
      <c r="AJ245" s="26"/>
      <c r="AK245" s="25"/>
      <c r="AL245" s="59"/>
      <c r="AM245" s="35"/>
      <c r="AN245" s="35"/>
      <c r="AO245" s="35"/>
      <c r="AP245" s="35"/>
      <c r="AQ245" s="35"/>
      <c r="AR245" s="35"/>
      <c r="AS245" s="35"/>
      <c r="AT245" s="35"/>
      <c r="AU245" s="35"/>
      <c r="AV245" s="35"/>
      <c r="AW245" s="35"/>
    </row>
    <row r="246">
      <c r="A246" s="66" t="s">
        <v>652</v>
      </c>
      <c r="B246" s="17" t="s">
        <v>647</v>
      </c>
      <c r="C246" s="18" t="s">
        <v>653</v>
      </c>
      <c r="D246" s="18" t="s">
        <v>654</v>
      </c>
      <c r="E246" s="17" t="b">
        <v>1</v>
      </c>
      <c r="F246" s="17" t="s">
        <v>349</v>
      </c>
      <c r="G246" s="17" t="s">
        <v>79</v>
      </c>
      <c r="H246" s="17" t="s">
        <v>80</v>
      </c>
      <c r="I246" s="17" t="s">
        <v>105</v>
      </c>
      <c r="J246" s="17" t="s">
        <v>597</v>
      </c>
      <c r="K246" s="17" t="s">
        <v>177</v>
      </c>
      <c r="L246" s="17" t="s">
        <v>655</v>
      </c>
      <c r="M246" s="57"/>
      <c r="N246" s="61">
        <v>46048.0</v>
      </c>
      <c r="O246" s="60">
        <v>46070.0</v>
      </c>
      <c r="P246" s="17" t="s">
        <v>656</v>
      </c>
      <c r="Q246" s="22">
        <v>77.11</v>
      </c>
      <c r="R246" s="22">
        <v>17335.0</v>
      </c>
      <c r="S246" s="23" t="str">
        <f>iferror(if(AN246=1,VLOOKUP(B246, Blends!H$4:AK$1004,32,0), ""), "")</f>
        <v/>
      </c>
      <c r="T246" s="58"/>
      <c r="U246" s="27"/>
      <c r="V246" s="26"/>
      <c r="W246" s="27"/>
      <c r="X246" s="26"/>
      <c r="Y246" s="26"/>
      <c r="Z246" s="26"/>
      <c r="AA246" s="26"/>
      <c r="AB246" s="26"/>
      <c r="AC246" s="26"/>
      <c r="AD246" s="26"/>
      <c r="AE246" s="26"/>
      <c r="AF246" s="26"/>
      <c r="AG246" s="26"/>
      <c r="AH246" s="26"/>
      <c r="AI246" s="26"/>
      <c r="AJ246" s="26"/>
      <c r="AK246" s="25"/>
      <c r="AL246" s="59"/>
      <c r="AM246" s="35"/>
      <c r="AN246" s="35"/>
      <c r="AO246" s="35"/>
      <c r="AP246" s="35"/>
      <c r="AQ246" s="35"/>
      <c r="AR246" s="35"/>
      <c r="AS246" s="35"/>
      <c r="AT246" s="35"/>
      <c r="AU246" s="35"/>
      <c r="AV246" s="35"/>
      <c r="AW246" s="35"/>
    </row>
    <row r="247">
      <c r="A247" s="66" t="s">
        <v>657</v>
      </c>
      <c r="B247" s="17" t="s">
        <v>647</v>
      </c>
      <c r="C247" s="18" t="s">
        <v>658</v>
      </c>
      <c r="D247" s="18" t="s">
        <v>659</v>
      </c>
      <c r="E247" s="17" t="b">
        <v>1</v>
      </c>
      <c r="F247" s="17" t="s">
        <v>349</v>
      </c>
      <c r="G247" s="17" t="s">
        <v>79</v>
      </c>
      <c r="H247" s="17" t="s">
        <v>80</v>
      </c>
      <c r="I247" s="17" t="s">
        <v>81</v>
      </c>
      <c r="J247" s="17" t="s">
        <v>597</v>
      </c>
      <c r="K247" s="17" t="s">
        <v>491</v>
      </c>
      <c r="L247" s="17" t="s">
        <v>534</v>
      </c>
      <c r="M247" s="57"/>
      <c r="N247" s="60">
        <v>46052.0</v>
      </c>
      <c r="O247" s="60">
        <v>46058.0</v>
      </c>
      <c r="P247" s="17" t="s">
        <v>660</v>
      </c>
      <c r="Q247" s="22">
        <v>19.71</v>
      </c>
      <c r="R247" s="22">
        <v>4640.0</v>
      </c>
      <c r="S247" s="23" t="str">
        <f>iferror(if(AN247=1,VLOOKUP(B247, Blends!H$4:AK$1004,32,0), ""), "")</f>
        <v/>
      </c>
      <c r="T247" s="58"/>
      <c r="U247" s="27"/>
      <c r="V247" s="26"/>
      <c r="W247" s="27"/>
      <c r="X247" s="26"/>
      <c r="Y247" s="26"/>
      <c r="Z247" s="26"/>
      <c r="AA247" s="26"/>
      <c r="AB247" s="26"/>
      <c r="AC247" s="26"/>
      <c r="AD247" s="26"/>
      <c r="AE247" s="26"/>
      <c r="AF247" s="26"/>
      <c r="AG247" s="26"/>
      <c r="AH247" s="26"/>
      <c r="AI247" s="26"/>
      <c r="AJ247" s="26"/>
      <c r="AK247" s="25"/>
      <c r="AL247" s="59"/>
      <c r="AM247" s="35"/>
      <c r="AN247" s="35"/>
      <c r="AO247" s="35"/>
      <c r="AP247" s="35"/>
      <c r="AQ247" s="35"/>
      <c r="AR247" s="35"/>
      <c r="AS247" s="35"/>
      <c r="AT247" s="35"/>
      <c r="AU247" s="35"/>
      <c r="AV247" s="35"/>
      <c r="AW247" s="35"/>
    </row>
    <row r="248">
      <c r="A248" s="66" t="s">
        <v>661</v>
      </c>
      <c r="B248" s="17" t="s">
        <v>647</v>
      </c>
      <c r="C248" s="18" t="s">
        <v>662</v>
      </c>
      <c r="D248" s="18" t="s">
        <v>659</v>
      </c>
      <c r="E248" s="17" t="b">
        <v>1</v>
      </c>
      <c r="F248" s="17" t="s">
        <v>349</v>
      </c>
      <c r="G248" s="17" t="s">
        <v>79</v>
      </c>
      <c r="H248" s="17" t="s">
        <v>80</v>
      </c>
      <c r="I248" s="17" t="s">
        <v>81</v>
      </c>
      <c r="J248" s="17" t="s">
        <v>597</v>
      </c>
      <c r="K248" s="17" t="s">
        <v>491</v>
      </c>
      <c r="L248" s="17" t="s">
        <v>663</v>
      </c>
      <c r="M248" s="57"/>
      <c r="N248" s="60">
        <v>46054.0</v>
      </c>
      <c r="O248" s="60">
        <v>46059.0</v>
      </c>
      <c r="P248" s="17" t="s">
        <v>664</v>
      </c>
      <c r="Q248" s="22">
        <v>19.94</v>
      </c>
      <c r="R248" s="22">
        <v>4419.0</v>
      </c>
      <c r="S248" s="23" t="str">
        <f>iferror(if(AN248=1,VLOOKUP(B248, Blends!H$4:AK$1004,32,0), ""), "")</f>
        <v/>
      </c>
      <c r="T248" s="58"/>
      <c r="U248" s="27"/>
      <c r="V248" s="26"/>
      <c r="W248" s="27"/>
      <c r="X248" s="26"/>
      <c r="Y248" s="26"/>
      <c r="Z248" s="26"/>
      <c r="AA248" s="26"/>
      <c r="AB248" s="26"/>
      <c r="AC248" s="26"/>
      <c r="AD248" s="26"/>
      <c r="AE248" s="26"/>
      <c r="AF248" s="26"/>
      <c r="AG248" s="26"/>
      <c r="AH248" s="26"/>
      <c r="AI248" s="26"/>
      <c r="AJ248" s="26"/>
      <c r="AK248" s="25"/>
      <c r="AL248" s="59"/>
      <c r="AM248" s="35"/>
      <c r="AN248" s="35"/>
      <c r="AO248" s="35"/>
      <c r="AP248" s="35"/>
      <c r="AQ248" s="35"/>
      <c r="AR248" s="35"/>
      <c r="AS248" s="35"/>
      <c r="AT248" s="35"/>
      <c r="AU248" s="35"/>
      <c r="AV248" s="35"/>
      <c r="AW248" s="35"/>
    </row>
    <row r="249">
      <c r="A249" s="66" t="s">
        <v>665</v>
      </c>
      <c r="B249" s="17" t="s">
        <v>647</v>
      </c>
      <c r="C249" s="18" t="s">
        <v>666</v>
      </c>
      <c r="D249" s="18" t="s">
        <v>667</v>
      </c>
      <c r="E249" s="17" t="b">
        <v>1</v>
      </c>
      <c r="F249" s="17" t="s">
        <v>349</v>
      </c>
      <c r="G249" s="17" t="s">
        <v>79</v>
      </c>
      <c r="H249" s="17" t="s">
        <v>80</v>
      </c>
      <c r="I249" s="17" t="s">
        <v>81</v>
      </c>
      <c r="J249" s="17" t="s">
        <v>597</v>
      </c>
      <c r="K249" s="17" t="s">
        <v>491</v>
      </c>
      <c r="L249" s="17" t="s">
        <v>668</v>
      </c>
      <c r="M249" s="57"/>
      <c r="N249" s="60">
        <v>46056.0</v>
      </c>
      <c r="O249" s="60">
        <v>46061.0</v>
      </c>
      <c r="P249" s="17" t="s">
        <v>669</v>
      </c>
      <c r="Q249" s="22">
        <v>19.75</v>
      </c>
      <c r="R249" s="22">
        <v>4829.0</v>
      </c>
      <c r="S249" s="23" t="str">
        <f>iferror(if(AN249=1,VLOOKUP(B249, Blends!H$4:AK$1004,32,0), ""), "")</f>
        <v/>
      </c>
      <c r="T249" s="58"/>
      <c r="U249" s="27"/>
      <c r="V249" s="26"/>
      <c r="W249" s="27"/>
      <c r="X249" s="26"/>
      <c r="Y249" s="26"/>
      <c r="Z249" s="26"/>
      <c r="AA249" s="26"/>
      <c r="AB249" s="26"/>
      <c r="AC249" s="26"/>
      <c r="AD249" s="26"/>
      <c r="AE249" s="26"/>
      <c r="AF249" s="26"/>
      <c r="AG249" s="26"/>
      <c r="AH249" s="26"/>
      <c r="AI249" s="26"/>
      <c r="AJ249" s="26"/>
      <c r="AK249" s="25"/>
      <c r="AL249" s="59"/>
      <c r="AM249" s="35"/>
      <c r="AN249" s="35"/>
      <c r="AO249" s="35"/>
      <c r="AP249" s="35"/>
      <c r="AQ249" s="35"/>
      <c r="AR249" s="35"/>
      <c r="AS249" s="35"/>
      <c r="AT249" s="35"/>
      <c r="AU249" s="35"/>
      <c r="AV249" s="35"/>
      <c r="AW249" s="35"/>
    </row>
    <row r="250">
      <c r="A250" s="66" t="s">
        <v>670</v>
      </c>
      <c r="B250" s="17" t="s">
        <v>647</v>
      </c>
      <c r="C250" s="18" t="s">
        <v>671</v>
      </c>
      <c r="D250" s="18" t="s">
        <v>672</v>
      </c>
      <c r="E250" s="17" t="b">
        <v>1</v>
      </c>
      <c r="F250" s="17" t="s">
        <v>349</v>
      </c>
      <c r="G250" s="17" t="s">
        <v>79</v>
      </c>
      <c r="H250" s="17" t="s">
        <v>80</v>
      </c>
      <c r="I250" s="17" t="s">
        <v>81</v>
      </c>
      <c r="J250" s="17" t="s">
        <v>597</v>
      </c>
      <c r="K250" s="17" t="s">
        <v>491</v>
      </c>
      <c r="L250" s="17" t="s">
        <v>638</v>
      </c>
      <c r="M250" s="57"/>
      <c r="N250" s="60">
        <v>46057.0</v>
      </c>
      <c r="O250" s="60">
        <v>46062.0</v>
      </c>
      <c r="P250" s="17" t="s">
        <v>673</v>
      </c>
      <c r="Q250" s="22">
        <v>19.9</v>
      </c>
      <c r="R250" s="22">
        <v>4648.0</v>
      </c>
      <c r="S250" s="23" t="str">
        <f>iferror(if(AN250=1,VLOOKUP(B250, Blends!H$4:AK$1004,32,0), ""), "")</f>
        <v/>
      </c>
      <c r="T250" s="58"/>
      <c r="U250" s="27"/>
      <c r="V250" s="26"/>
      <c r="W250" s="27"/>
      <c r="X250" s="26"/>
      <c r="Y250" s="26"/>
      <c r="Z250" s="26"/>
      <c r="AA250" s="26"/>
      <c r="AB250" s="26"/>
      <c r="AC250" s="26"/>
      <c r="AD250" s="26"/>
      <c r="AE250" s="26"/>
      <c r="AF250" s="26"/>
      <c r="AG250" s="26"/>
      <c r="AH250" s="26"/>
      <c r="AI250" s="26"/>
      <c r="AJ250" s="26"/>
      <c r="AK250" s="25"/>
      <c r="AL250" s="59"/>
      <c r="AM250" s="35"/>
      <c r="AN250" s="35"/>
      <c r="AO250" s="35"/>
      <c r="AP250" s="35"/>
      <c r="AQ250" s="35"/>
      <c r="AR250" s="35"/>
      <c r="AS250" s="35"/>
      <c r="AT250" s="35"/>
      <c r="AU250" s="35"/>
      <c r="AV250" s="35"/>
      <c r="AW250" s="35"/>
    </row>
    <row r="251">
      <c r="A251" s="66" t="s">
        <v>674</v>
      </c>
      <c r="B251" s="17" t="s">
        <v>647</v>
      </c>
      <c r="C251" s="18" t="s">
        <v>675</v>
      </c>
      <c r="D251" s="18" t="s">
        <v>676</v>
      </c>
      <c r="E251" s="17" t="b">
        <v>1</v>
      </c>
      <c r="F251" s="17" t="s">
        <v>349</v>
      </c>
      <c r="G251" s="17" t="s">
        <v>79</v>
      </c>
      <c r="H251" s="17" t="s">
        <v>80</v>
      </c>
      <c r="I251" s="17" t="s">
        <v>81</v>
      </c>
      <c r="J251" s="17" t="s">
        <v>597</v>
      </c>
      <c r="K251" s="17" t="s">
        <v>491</v>
      </c>
      <c r="L251" s="17" t="s">
        <v>534</v>
      </c>
      <c r="M251" s="57"/>
      <c r="N251" s="60">
        <v>46058.0</v>
      </c>
      <c r="O251" s="60">
        <v>46063.0</v>
      </c>
      <c r="P251" s="17" t="s">
        <v>677</v>
      </c>
      <c r="Q251" s="22">
        <v>19.65</v>
      </c>
      <c r="R251" s="22">
        <v>4637.0</v>
      </c>
      <c r="S251" s="23" t="str">
        <f>iferror(if(AN251=1,VLOOKUP(B251, Blends!H$4:AK$1004,32,0), ""), "")</f>
        <v/>
      </c>
      <c r="T251" s="58"/>
      <c r="U251" s="27"/>
      <c r="V251" s="26"/>
      <c r="W251" s="27"/>
      <c r="X251" s="26"/>
      <c r="Y251" s="26"/>
      <c r="Z251" s="26"/>
      <c r="AA251" s="26"/>
      <c r="AB251" s="26"/>
      <c r="AC251" s="26"/>
      <c r="AD251" s="26"/>
      <c r="AE251" s="26"/>
      <c r="AF251" s="26"/>
      <c r="AG251" s="26"/>
      <c r="AH251" s="26"/>
      <c r="AI251" s="26"/>
      <c r="AJ251" s="26"/>
      <c r="AK251" s="25"/>
      <c r="AL251" s="59"/>
      <c r="AM251" s="35"/>
      <c r="AN251" s="35"/>
      <c r="AO251" s="35"/>
      <c r="AP251" s="35"/>
      <c r="AQ251" s="35"/>
      <c r="AR251" s="35"/>
      <c r="AS251" s="35"/>
      <c r="AT251" s="35"/>
      <c r="AU251" s="35"/>
      <c r="AV251" s="35"/>
      <c r="AW251" s="35"/>
    </row>
    <row r="252">
      <c r="A252" s="66" t="s">
        <v>678</v>
      </c>
      <c r="B252" s="17" t="s">
        <v>647</v>
      </c>
      <c r="C252" s="18" t="s">
        <v>679</v>
      </c>
      <c r="D252" s="18" t="s">
        <v>680</v>
      </c>
      <c r="E252" s="17" t="b">
        <v>1</v>
      </c>
      <c r="F252" s="17" t="s">
        <v>349</v>
      </c>
      <c r="G252" s="17" t="s">
        <v>79</v>
      </c>
      <c r="H252" s="17" t="s">
        <v>80</v>
      </c>
      <c r="I252" s="17" t="s">
        <v>81</v>
      </c>
      <c r="J252" s="17" t="s">
        <v>597</v>
      </c>
      <c r="K252" s="17" t="s">
        <v>491</v>
      </c>
      <c r="L252" s="17" t="s">
        <v>638</v>
      </c>
      <c r="M252" s="57"/>
      <c r="N252" s="60">
        <v>46059.0</v>
      </c>
      <c r="O252" s="60">
        <v>46064.0</v>
      </c>
      <c r="P252" s="17" t="s">
        <v>681</v>
      </c>
      <c r="Q252" s="22">
        <v>19.82</v>
      </c>
      <c r="R252" s="22">
        <v>4885.0</v>
      </c>
      <c r="S252" s="23" t="str">
        <f>iferror(if(AN252=1,VLOOKUP(B252, Blends!H$4:AK$1004,32,0), ""), "")</f>
        <v/>
      </c>
      <c r="T252" s="58"/>
      <c r="U252" s="27"/>
      <c r="V252" s="26"/>
      <c r="W252" s="27"/>
      <c r="X252" s="26"/>
      <c r="Y252" s="26"/>
      <c r="Z252" s="26"/>
      <c r="AA252" s="26"/>
      <c r="AB252" s="26"/>
      <c r="AC252" s="26"/>
      <c r="AD252" s="26"/>
      <c r="AE252" s="26"/>
      <c r="AF252" s="26"/>
      <c r="AG252" s="26"/>
      <c r="AH252" s="26"/>
      <c r="AI252" s="26"/>
      <c r="AJ252" s="26"/>
      <c r="AK252" s="25"/>
      <c r="AL252" s="59"/>
      <c r="AM252" s="35"/>
      <c r="AN252" s="35"/>
      <c r="AO252" s="35"/>
      <c r="AP252" s="35"/>
      <c r="AQ252" s="35"/>
      <c r="AR252" s="35"/>
      <c r="AS252" s="35"/>
      <c r="AT252" s="35"/>
      <c r="AU252" s="35"/>
      <c r="AV252" s="35"/>
      <c r="AW252" s="35"/>
    </row>
    <row r="253">
      <c r="A253" s="66" t="s">
        <v>682</v>
      </c>
      <c r="B253" s="17" t="s">
        <v>647</v>
      </c>
      <c r="C253" s="18" t="s">
        <v>683</v>
      </c>
      <c r="D253" s="18" t="s">
        <v>684</v>
      </c>
      <c r="E253" s="17" t="b">
        <v>1</v>
      </c>
      <c r="F253" s="17" t="s">
        <v>349</v>
      </c>
      <c r="G253" s="17" t="s">
        <v>79</v>
      </c>
      <c r="H253" s="17" t="s">
        <v>80</v>
      </c>
      <c r="I253" s="17" t="s">
        <v>81</v>
      </c>
      <c r="J253" s="17" t="s">
        <v>597</v>
      </c>
      <c r="K253" s="17" t="s">
        <v>505</v>
      </c>
      <c r="L253" s="17" t="s">
        <v>685</v>
      </c>
      <c r="M253" s="68">
        <v>10900.0</v>
      </c>
      <c r="N253" s="60">
        <v>46067.0</v>
      </c>
      <c r="O253" s="60">
        <v>46070.0</v>
      </c>
      <c r="P253" s="17" t="s">
        <v>686</v>
      </c>
      <c r="Q253" s="22">
        <v>20.64</v>
      </c>
      <c r="R253" s="22">
        <v>4867.0</v>
      </c>
      <c r="S253" s="23" t="str">
        <f>iferror(if(AN253=1,VLOOKUP(B253, Blends!H$4:AK$1004,32,0), ""), "")</f>
        <v/>
      </c>
      <c r="T253" s="58"/>
      <c r="U253" s="27"/>
      <c r="V253" s="26"/>
      <c r="W253" s="27"/>
      <c r="X253" s="26"/>
      <c r="Y253" s="26"/>
      <c r="Z253" s="26"/>
      <c r="AA253" s="26"/>
      <c r="AB253" s="26"/>
      <c r="AC253" s="26"/>
      <c r="AD253" s="26"/>
      <c r="AE253" s="26"/>
      <c r="AF253" s="26"/>
      <c r="AG253" s="26"/>
      <c r="AH253" s="26"/>
      <c r="AI253" s="26"/>
      <c r="AJ253" s="26"/>
      <c r="AK253" s="25"/>
      <c r="AL253" s="59"/>
      <c r="AM253" s="35"/>
      <c r="AN253" s="35"/>
      <c r="AO253" s="35"/>
      <c r="AP253" s="35"/>
      <c r="AQ253" s="35"/>
      <c r="AR253" s="35"/>
      <c r="AS253" s="35"/>
      <c r="AT253" s="35"/>
      <c r="AU253" s="35"/>
      <c r="AV253" s="35"/>
      <c r="AW253" s="35"/>
    </row>
    <row r="254">
      <c r="A254" s="66" t="s">
        <v>687</v>
      </c>
      <c r="B254" s="17" t="s">
        <v>647</v>
      </c>
      <c r="C254" s="18" t="s">
        <v>688</v>
      </c>
      <c r="D254" s="18" t="s">
        <v>684</v>
      </c>
      <c r="E254" s="17" t="b">
        <v>1</v>
      </c>
      <c r="F254" s="17" t="s">
        <v>349</v>
      </c>
      <c r="G254" s="17" t="s">
        <v>79</v>
      </c>
      <c r="H254" s="17" t="s">
        <v>80</v>
      </c>
      <c r="I254" s="17" t="s">
        <v>81</v>
      </c>
      <c r="J254" s="17" t="s">
        <v>597</v>
      </c>
      <c r="K254" s="17" t="s">
        <v>505</v>
      </c>
      <c r="L254" s="17" t="s">
        <v>689</v>
      </c>
      <c r="M254" s="68">
        <v>10900.0</v>
      </c>
      <c r="N254" s="60">
        <v>46067.0</v>
      </c>
      <c r="O254" s="60">
        <v>46071.0</v>
      </c>
      <c r="P254" s="17" t="s">
        <v>690</v>
      </c>
      <c r="Q254" s="22">
        <v>20.45</v>
      </c>
      <c r="R254" s="22">
        <v>4660.0</v>
      </c>
      <c r="S254" s="23" t="str">
        <f>iferror(if(AN254=1,VLOOKUP(B254, Blends!H$4:AK$1004,32,0), ""), "")</f>
        <v/>
      </c>
      <c r="T254" s="58"/>
      <c r="U254" s="27"/>
      <c r="V254" s="26"/>
      <c r="W254" s="27"/>
      <c r="X254" s="26"/>
      <c r="Y254" s="26"/>
      <c r="Z254" s="26"/>
      <c r="AA254" s="26"/>
      <c r="AB254" s="26"/>
      <c r="AC254" s="26"/>
      <c r="AD254" s="26"/>
      <c r="AE254" s="26"/>
      <c r="AF254" s="26"/>
      <c r="AG254" s="26"/>
      <c r="AH254" s="26"/>
      <c r="AI254" s="26"/>
      <c r="AJ254" s="26"/>
      <c r="AK254" s="25"/>
      <c r="AL254" s="59"/>
      <c r="AM254" s="35"/>
      <c r="AN254" s="35"/>
      <c r="AO254" s="35"/>
      <c r="AP254" s="35"/>
      <c r="AQ254" s="35"/>
      <c r="AR254" s="35"/>
      <c r="AS254" s="35"/>
      <c r="AT254" s="35"/>
      <c r="AU254" s="35"/>
      <c r="AV254" s="35"/>
      <c r="AW254" s="35"/>
    </row>
    <row r="255">
      <c r="A255" s="66" t="s">
        <v>691</v>
      </c>
      <c r="B255" s="17" t="s">
        <v>647</v>
      </c>
      <c r="C255" s="18" t="s">
        <v>692</v>
      </c>
      <c r="D255" s="18" t="s">
        <v>693</v>
      </c>
      <c r="E255" s="17" t="b">
        <v>1</v>
      </c>
      <c r="F255" s="17" t="s">
        <v>349</v>
      </c>
      <c r="G255" s="17" t="s">
        <v>79</v>
      </c>
      <c r="H255" s="17" t="s">
        <v>80</v>
      </c>
      <c r="I255" s="17" t="s">
        <v>81</v>
      </c>
      <c r="J255" s="17" t="s">
        <v>597</v>
      </c>
      <c r="K255" s="17" t="s">
        <v>491</v>
      </c>
      <c r="L255" s="17" t="s">
        <v>694</v>
      </c>
      <c r="M255" s="68">
        <v>10500.0</v>
      </c>
      <c r="N255" s="60">
        <v>46069.0</v>
      </c>
      <c r="O255" s="60">
        <v>46073.0</v>
      </c>
      <c r="P255" s="17" t="s">
        <v>695</v>
      </c>
      <c r="Q255" s="22">
        <v>20.04</v>
      </c>
      <c r="R255" s="22">
        <v>4587.0</v>
      </c>
      <c r="S255" s="23" t="str">
        <f>iferror(if(AN255=1,VLOOKUP(B255, Blends!H$4:AK$1004,32,0), ""), "")</f>
        <v/>
      </c>
      <c r="T255" s="58"/>
      <c r="U255" s="27"/>
      <c r="V255" s="26"/>
      <c r="W255" s="27"/>
      <c r="X255" s="26"/>
      <c r="Y255" s="26"/>
      <c r="Z255" s="26"/>
      <c r="AA255" s="26"/>
      <c r="AB255" s="26"/>
      <c r="AC255" s="26"/>
      <c r="AD255" s="26"/>
      <c r="AE255" s="26"/>
      <c r="AF255" s="26"/>
      <c r="AG255" s="26"/>
      <c r="AH255" s="26"/>
      <c r="AI255" s="26"/>
      <c r="AJ255" s="26"/>
      <c r="AK255" s="25"/>
      <c r="AL255" s="59"/>
      <c r="AM255" s="35"/>
      <c r="AN255" s="35"/>
      <c r="AO255" s="35"/>
      <c r="AP255" s="35"/>
      <c r="AQ255" s="35"/>
      <c r="AR255" s="35"/>
      <c r="AS255" s="35"/>
      <c r="AT255" s="35"/>
      <c r="AU255" s="35"/>
      <c r="AV255" s="35"/>
      <c r="AW255" s="35"/>
    </row>
    <row r="256">
      <c r="A256" s="66" t="s">
        <v>696</v>
      </c>
      <c r="B256" s="17" t="s">
        <v>647</v>
      </c>
      <c r="C256" s="18" t="s">
        <v>697</v>
      </c>
      <c r="D256" s="18" t="s">
        <v>693</v>
      </c>
      <c r="E256" s="17" t="b">
        <v>1</v>
      </c>
      <c r="F256" s="17" t="s">
        <v>349</v>
      </c>
      <c r="G256" s="17" t="s">
        <v>79</v>
      </c>
      <c r="H256" s="17" t="s">
        <v>80</v>
      </c>
      <c r="I256" s="17" t="s">
        <v>81</v>
      </c>
      <c r="J256" s="17" t="s">
        <v>597</v>
      </c>
      <c r="K256" s="17" t="s">
        <v>505</v>
      </c>
      <c r="L256" s="17" t="s">
        <v>698</v>
      </c>
      <c r="M256" s="68">
        <v>10900.0</v>
      </c>
      <c r="N256" s="60">
        <v>46069.0</v>
      </c>
      <c r="O256" s="60">
        <v>46073.0</v>
      </c>
      <c r="P256" s="17" t="s">
        <v>699</v>
      </c>
      <c r="Q256" s="22">
        <v>20.11</v>
      </c>
      <c r="R256" s="22">
        <v>4514.0</v>
      </c>
      <c r="S256" s="23" t="str">
        <f>iferror(if(AN256=1,VLOOKUP(B256, Blends!H$4:AK$1004,32,0), ""), "")</f>
        <v/>
      </c>
      <c r="T256" s="58"/>
      <c r="U256" s="27"/>
      <c r="V256" s="26"/>
      <c r="W256" s="27"/>
      <c r="X256" s="26"/>
      <c r="Y256" s="26"/>
      <c r="Z256" s="26"/>
      <c r="AA256" s="26"/>
      <c r="AB256" s="26"/>
      <c r="AC256" s="26"/>
      <c r="AD256" s="26"/>
      <c r="AE256" s="26"/>
      <c r="AF256" s="26"/>
      <c r="AG256" s="26"/>
      <c r="AH256" s="26"/>
      <c r="AI256" s="26"/>
      <c r="AJ256" s="26"/>
      <c r="AK256" s="25"/>
      <c r="AL256" s="59"/>
      <c r="AM256" s="35"/>
      <c r="AN256" s="35"/>
      <c r="AO256" s="35"/>
      <c r="AP256" s="35"/>
      <c r="AQ256" s="35"/>
      <c r="AR256" s="35"/>
      <c r="AS256" s="35"/>
      <c r="AT256" s="35"/>
      <c r="AU256" s="35"/>
      <c r="AV256" s="35"/>
      <c r="AW256" s="35"/>
    </row>
    <row r="257">
      <c r="A257" s="66" t="s">
        <v>700</v>
      </c>
      <c r="B257" s="17" t="s">
        <v>647</v>
      </c>
      <c r="C257" s="18" t="s">
        <v>701</v>
      </c>
      <c r="D257" s="18" t="s">
        <v>693</v>
      </c>
      <c r="E257" s="17" t="b">
        <v>1</v>
      </c>
      <c r="F257" s="17" t="s">
        <v>349</v>
      </c>
      <c r="G257" s="17" t="s">
        <v>79</v>
      </c>
      <c r="H257" s="17" t="s">
        <v>80</v>
      </c>
      <c r="I257" s="17" t="s">
        <v>81</v>
      </c>
      <c r="J257" s="17" t="s">
        <v>597</v>
      </c>
      <c r="K257" s="17" t="s">
        <v>505</v>
      </c>
      <c r="L257" s="17" t="s">
        <v>506</v>
      </c>
      <c r="M257" s="68">
        <v>10900.0</v>
      </c>
      <c r="N257" s="60">
        <v>46069.0</v>
      </c>
      <c r="O257" s="60">
        <v>46074.0</v>
      </c>
      <c r="P257" s="17" t="s">
        <v>702</v>
      </c>
      <c r="Q257" s="22">
        <v>19.53</v>
      </c>
      <c r="R257" s="22">
        <v>4696.0</v>
      </c>
      <c r="S257" s="23" t="str">
        <f>iferror(if(AN257=1,VLOOKUP(B257, Blends!H$4:AK$1004,32,0), ""), "")</f>
        <v/>
      </c>
      <c r="T257" s="58"/>
      <c r="U257" s="27"/>
      <c r="V257" s="26"/>
      <c r="W257" s="27"/>
      <c r="X257" s="26"/>
      <c r="Y257" s="26"/>
      <c r="Z257" s="26"/>
      <c r="AA257" s="26"/>
      <c r="AB257" s="26"/>
      <c r="AC257" s="26"/>
      <c r="AD257" s="26"/>
      <c r="AE257" s="26"/>
      <c r="AF257" s="26"/>
      <c r="AG257" s="26"/>
      <c r="AH257" s="26"/>
      <c r="AI257" s="26"/>
      <c r="AJ257" s="26"/>
      <c r="AK257" s="25"/>
      <c r="AL257" s="59"/>
      <c r="AM257" s="35"/>
      <c r="AN257" s="35"/>
      <c r="AO257" s="35"/>
      <c r="AP257" s="35"/>
      <c r="AQ257" s="35"/>
      <c r="AR257" s="35"/>
      <c r="AS257" s="35"/>
      <c r="AT257" s="35"/>
      <c r="AU257" s="35"/>
      <c r="AV257" s="35"/>
      <c r="AW257" s="35"/>
    </row>
    <row r="258">
      <c r="A258" s="66" t="s">
        <v>703</v>
      </c>
      <c r="B258" s="17" t="s">
        <v>647</v>
      </c>
      <c r="C258" s="18" t="s">
        <v>704</v>
      </c>
      <c r="D258" s="18" t="s">
        <v>693</v>
      </c>
      <c r="E258" s="17" t="b">
        <v>1</v>
      </c>
      <c r="F258" s="17" t="s">
        <v>349</v>
      </c>
      <c r="G258" s="17" t="s">
        <v>79</v>
      </c>
      <c r="H258" s="17" t="s">
        <v>80</v>
      </c>
      <c r="I258" s="17" t="s">
        <v>81</v>
      </c>
      <c r="J258" s="17" t="s">
        <v>597</v>
      </c>
      <c r="K258" s="17" t="s">
        <v>505</v>
      </c>
      <c r="L258" s="17" t="s">
        <v>705</v>
      </c>
      <c r="M258" s="57"/>
      <c r="N258" s="60">
        <v>46069.0</v>
      </c>
      <c r="O258" s="60">
        <v>46073.0</v>
      </c>
      <c r="P258" s="17" t="s">
        <v>706</v>
      </c>
      <c r="Q258" s="22">
        <v>18.59</v>
      </c>
      <c r="R258" s="22">
        <v>4282.0</v>
      </c>
      <c r="S258" s="23" t="str">
        <f>iferror(if(AN258=1,VLOOKUP(B258, Blends!H$4:AK$1004,32,0), ""), "")</f>
        <v/>
      </c>
      <c r="T258" s="58"/>
      <c r="U258" s="27"/>
      <c r="V258" s="26"/>
      <c r="W258" s="27"/>
      <c r="X258" s="26"/>
      <c r="Y258" s="26"/>
      <c r="Z258" s="26"/>
      <c r="AA258" s="26"/>
      <c r="AB258" s="26"/>
      <c r="AC258" s="26"/>
      <c r="AD258" s="26"/>
      <c r="AE258" s="26"/>
      <c r="AF258" s="26"/>
      <c r="AG258" s="26"/>
      <c r="AH258" s="26"/>
      <c r="AI258" s="26"/>
      <c r="AJ258" s="26"/>
      <c r="AK258" s="25"/>
      <c r="AL258" s="59"/>
      <c r="AM258" s="35"/>
      <c r="AN258" s="35"/>
      <c r="AO258" s="35"/>
      <c r="AP258" s="35"/>
      <c r="AQ258" s="35"/>
      <c r="AR258" s="35"/>
      <c r="AS258" s="35"/>
      <c r="AT258" s="35"/>
      <c r="AU258" s="35"/>
      <c r="AV258" s="35"/>
      <c r="AW258" s="35"/>
    </row>
    <row r="259">
      <c r="A259" s="66" t="s">
        <v>707</v>
      </c>
      <c r="B259" s="17" t="s">
        <v>647</v>
      </c>
      <c r="C259" s="18" t="s">
        <v>708</v>
      </c>
      <c r="D259" s="18" t="s">
        <v>693</v>
      </c>
      <c r="E259" s="17" t="b">
        <v>1</v>
      </c>
      <c r="F259" s="17" t="s">
        <v>349</v>
      </c>
      <c r="G259" s="17" t="s">
        <v>79</v>
      </c>
      <c r="H259" s="17" t="s">
        <v>80</v>
      </c>
      <c r="I259" s="17" t="s">
        <v>81</v>
      </c>
      <c r="J259" s="17" t="s">
        <v>597</v>
      </c>
      <c r="K259" s="17" t="s">
        <v>491</v>
      </c>
      <c r="L259" s="17" t="s">
        <v>431</v>
      </c>
      <c r="M259" s="57"/>
      <c r="N259" s="60">
        <v>46070.0</v>
      </c>
      <c r="O259" s="60">
        <v>46074.0</v>
      </c>
      <c r="P259" s="17" t="s">
        <v>709</v>
      </c>
      <c r="Q259" s="22">
        <v>19.84</v>
      </c>
      <c r="R259" s="22">
        <v>4666.0</v>
      </c>
      <c r="S259" s="23" t="str">
        <f>iferror(if(AN259=1,VLOOKUP(B259, Blends!H$4:AK$1004,32,0), ""), "")</f>
        <v/>
      </c>
      <c r="T259" s="58"/>
      <c r="U259" s="27"/>
      <c r="V259" s="26"/>
      <c r="W259" s="27"/>
      <c r="X259" s="26"/>
      <c r="Y259" s="26"/>
      <c r="Z259" s="26"/>
      <c r="AA259" s="26"/>
      <c r="AB259" s="26"/>
      <c r="AC259" s="26"/>
      <c r="AD259" s="26"/>
      <c r="AE259" s="26"/>
      <c r="AF259" s="26"/>
      <c r="AG259" s="26"/>
      <c r="AH259" s="26"/>
      <c r="AI259" s="26"/>
      <c r="AJ259" s="26"/>
      <c r="AK259" s="25"/>
      <c r="AL259" s="59"/>
      <c r="AM259" s="35"/>
      <c r="AN259" s="35"/>
      <c r="AO259" s="35"/>
      <c r="AP259" s="35"/>
      <c r="AQ259" s="35"/>
      <c r="AR259" s="35"/>
      <c r="AS259" s="35"/>
      <c r="AT259" s="35"/>
      <c r="AU259" s="35"/>
      <c r="AV259" s="35"/>
      <c r="AW259" s="35"/>
    </row>
    <row r="260">
      <c r="A260" s="66" t="s">
        <v>710</v>
      </c>
      <c r="B260" s="17" t="s">
        <v>647</v>
      </c>
      <c r="C260" s="18" t="s">
        <v>711</v>
      </c>
      <c r="D260" s="18" t="s">
        <v>712</v>
      </c>
      <c r="E260" s="17" t="b">
        <v>1</v>
      </c>
      <c r="F260" s="17" t="s">
        <v>349</v>
      </c>
      <c r="G260" s="17" t="s">
        <v>79</v>
      </c>
      <c r="H260" s="17" t="s">
        <v>80</v>
      </c>
      <c r="I260" s="17" t="s">
        <v>81</v>
      </c>
      <c r="J260" s="17" t="s">
        <v>597</v>
      </c>
      <c r="K260" s="17" t="s">
        <v>491</v>
      </c>
      <c r="L260" s="17" t="s">
        <v>694</v>
      </c>
      <c r="M260" s="57"/>
      <c r="N260" s="60">
        <v>46071.0</v>
      </c>
      <c r="O260" s="60">
        <v>46077.0</v>
      </c>
      <c r="P260" s="17" t="s">
        <v>713</v>
      </c>
      <c r="Q260" s="22">
        <v>19.12</v>
      </c>
      <c r="R260" s="22">
        <v>4249.0</v>
      </c>
      <c r="S260" s="23" t="str">
        <f>iferror(if(AN260=1,VLOOKUP(B260, Blends!H$4:AK$1004,32,0), ""), "")</f>
        <v/>
      </c>
      <c r="T260" s="58"/>
      <c r="U260" s="27"/>
      <c r="V260" s="26"/>
      <c r="W260" s="27"/>
      <c r="X260" s="26"/>
      <c r="Y260" s="26"/>
      <c r="Z260" s="26"/>
      <c r="AA260" s="26"/>
      <c r="AB260" s="26"/>
      <c r="AC260" s="26"/>
      <c r="AD260" s="26"/>
      <c r="AE260" s="26"/>
      <c r="AF260" s="26"/>
      <c r="AG260" s="26"/>
      <c r="AH260" s="26"/>
      <c r="AI260" s="26"/>
      <c r="AJ260" s="26"/>
      <c r="AK260" s="25"/>
      <c r="AL260" s="59"/>
      <c r="AM260" s="35"/>
      <c r="AN260" s="35"/>
      <c r="AO260" s="35"/>
      <c r="AP260" s="35"/>
      <c r="AQ260" s="35"/>
      <c r="AR260" s="35"/>
      <c r="AS260" s="35"/>
      <c r="AT260" s="35"/>
      <c r="AU260" s="35"/>
      <c r="AV260" s="35"/>
      <c r="AW260" s="35"/>
    </row>
    <row r="261">
      <c r="A261" s="66" t="s">
        <v>714</v>
      </c>
      <c r="B261" s="17" t="s">
        <v>647</v>
      </c>
      <c r="C261" s="18" t="s">
        <v>715</v>
      </c>
      <c r="D261" s="18" t="s">
        <v>712</v>
      </c>
      <c r="E261" s="17" t="b">
        <v>1</v>
      </c>
      <c r="F261" s="17" t="s">
        <v>349</v>
      </c>
      <c r="G261" s="17" t="s">
        <v>79</v>
      </c>
      <c r="H261" s="17" t="s">
        <v>80</v>
      </c>
      <c r="I261" s="17" t="s">
        <v>81</v>
      </c>
      <c r="J261" s="17" t="s">
        <v>597</v>
      </c>
      <c r="K261" s="17" t="s">
        <v>491</v>
      </c>
      <c r="L261" s="17" t="s">
        <v>561</v>
      </c>
      <c r="M261" s="57"/>
      <c r="N261" s="60">
        <v>46072.0</v>
      </c>
      <c r="O261" s="60">
        <v>46078.0</v>
      </c>
      <c r="P261" s="17" t="s">
        <v>716</v>
      </c>
      <c r="Q261" s="22">
        <v>18.89</v>
      </c>
      <c r="R261" s="22">
        <v>4689.0</v>
      </c>
      <c r="S261" s="23" t="str">
        <f>iferror(if(AN261=1,VLOOKUP(B261, Blends!H$4:AK$1004,32,0), ""), "")</f>
        <v/>
      </c>
      <c r="T261" s="58"/>
      <c r="U261" s="27"/>
      <c r="V261" s="26"/>
      <c r="W261" s="27"/>
      <c r="X261" s="26"/>
      <c r="Y261" s="26"/>
      <c r="Z261" s="26"/>
      <c r="AA261" s="26"/>
      <c r="AB261" s="26"/>
      <c r="AC261" s="26"/>
      <c r="AD261" s="26"/>
      <c r="AE261" s="26"/>
      <c r="AF261" s="26"/>
      <c r="AG261" s="26"/>
      <c r="AH261" s="26"/>
      <c r="AI261" s="26"/>
      <c r="AJ261" s="26"/>
      <c r="AK261" s="25"/>
      <c r="AL261" s="59"/>
      <c r="AM261" s="35"/>
      <c r="AN261" s="35"/>
      <c r="AO261" s="35"/>
      <c r="AP261" s="35"/>
      <c r="AQ261" s="35"/>
      <c r="AR261" s="35"/>
      <c r="AS261" s="35"/>
      <c r="AT261" s="35"/>
      <c r="AU261" s="35"/>
      <c r="AV261" s="35"/>
      <c r="AW261" s="35"/>
    </row>
    <row r="262">
      <c r="A262" s="66" t="s">
        <v>717</v>
      </c>
      <c r="B262" s="17" t="s">
        <v>647</v>
      </c>
      <c r="C262" s="18" t="s">
        <v>718</v>
      </c>
      <c r="D262" s="18" t="s">
        <v>719</v>
      </c>
      <c r="E262" s="17" t="b">
        <v>1</v>
      </c>
      <c r="F262" s="17" t="s">
        <v>349</v>
      </c>
      <c r="G262" s="17" t="s">
        <v>79</v>
      </c>
      <c r="H262" s="17" t="s">
        <v>80</v>
      </c>
      <c r="I262" s="17" t="s">
        <v>81</v>
      </c>
      <c r="J262" s="17" t="s">
        <v>597</v>
      </c>
      <c r="K262" s="17" t="s">
        <v>491</v>
      </c>
      <c r="L262" s="17" t="s">
        <v>720</v>
      </c>
      <c r="M262" s="57"/>
      <c r="N262" s="60">
        <v>46072.0</v>
      </c>
      <c r="O262" s="60">
        <v>46079.0</v>
      </c>
      <c r="P262" s="17" t="s">
        <v>721</v>
      </c>
      <c r="Q262" s="22">
        <v>19.94</v>
      </c>
      <c r="R262" s="22">
        <v>4855.0</v>
      </c>
      <c r="S262" s="23" t="str">
        <f>iferror(if(AN262=1,VLOOKUP(B262, Blends!H$4:AK$1004,32,0), ""), "")</f>
        <v/>
      </c>
      <c r="T262" s="58"/>
      <c r="U262" s="27"/>
      <c r="V262" s="26"/>
      <c r="W262" s="27"/>
      <c r="X262" s="26"/>
      <c r="Y262" s="26"/>
      <c r="Z262" s="26"/>
      <c r="AA262" s="26"/>
      <c r="AB262" s="26"/>
      <c r="AC262" s="26"/>
      <c r="AD262" s="26"/>
      <c r="AE262" s="26"/>
      <c r="AF262" s="26"/>
      <c r="AG262" s="26"/>
      <c r="AH262" s="26"/>
      <c r="AI262" s="26"/>
      <c r="AJ262" s="26"/>
      <c r="AK262" s="25"/>
      <c r="AL262" s="59"/>
      <c r="AM262" s="35"/>
      <c r="AN262" s="35"/>
      <c r="AO262" s="35"/>
      <c r="AP262" s="35"/>
      <c r="AQ262" s="35"/>
      <c r="AR262" s="35"/>
      <c r="AS262" s="35"/>
      <c r="AT262" s="35"/>
      <c r="AU262" s="35"/>
      <c r="AV262" s="35"/>
      <c r="AW262" s="35"/>
    </row>
    <row r="263">
      <c r="A263" s="66" t="s">
        <v>722</v>
      </c>
      <c r="B263" s="17" t="s">
        <v>647</v>
      </c>
      <c r="C263" s="18" t="s">
        <v>723</v>
      </c>
      <c r="D263" s="18" t="s">
        <v>719</v>
      </c>
      <c r="E263" s="17" t="b">
        <v>1</v>
      </c>
      <c r="F263" s="17" t="s">
        <v>349</v>
      </c>
      <c r="G263" s="17" t="s">
        <v>79</v>
      </c>
      <c r="H263" s="17" t="s">
        <v>80</v>
      </c>
      <c r="I263" s="17" t="s">
        <v>81</v>
      </c>
      <c r="J263" s="17" t="s">
        <v>597</v>
      </c>
      <c r="K263" s="17" t="s">
        <v>491</v>
      </c>
      <c r="L263" s="17" t="s">
        <v>694</v>
      </c>
      <c r="M263" s="57"/>
      <c r="N263" s="60">
        <v>46073.0</v>
      </c>
      <c r="O263" s="60">
        <v>46079.0</v>
      </c>
      <c r="P263" s="17" t="s">
        <v>724</v>
      </c>
      <c r="Q263" s="22">
        <v>19.97</v>
      </c>
      <c r="R263" s="22">
        <v>4443.0</v>
      </c>
      <c r="S263" s="23" t="str">
        <f>iferror(if(AN263=1,VLOOKUP(B263, Blends!H$4:AK$1004,32,0), ""), "")</f>
        <v/>
      </c>
      <c r="T263" s="58"/>
      <c r="U263" s="27"/>
      <c r="V263" s="26"/>
      <c r="W263" s="27"/>
      <c r="X263" s="26"/>
      <c r="Y263" s="26"/>
      <c r="Z263" s="26"/>
      <c r="AA263" s="26"/>
      <c r="AB263" s="26"/>
      <c r="AC263" s="26"/>
      <c r="AD263" s="26"/>
      <c r="AE263" s="26"/>
      <c r="AF263" s="26"/>
      <c r="AG263" s="26"/>
      <c r="AH263" s="26"/>
      <c r="AI263" s="26"/>
      <c r="AJ263" s="26"/>
      <c r="AK263" s="25"/>
      <c r="AL263" s="59"/>
      <c r="AM263" s="35"/>
      <c r="AN263" s="35"/>
      <c r="AO263" s="35"/>
      <c r="AP263" s="35"/>
      <c r="AQ263" s="35"/>
      <c r="AR263" s="35"/>
      <c r="AS263" s="35"/>
      <c r="AT263" s="35"/>
      <c r="AU263" s="35"/>
      <c r="AV263" s="35"/>
      <c r="AW263" s="35"/>
    </row>
    <row r="264">
      <c r="A264" s="66" t="s">
        <v>725</v>
      </c>
      <c r="B264" s="17" t="s">
        <v>647</v>
      </c>
      <c r="C264" s="18" t="s">
        <v>726</v>
      </c>
      <c r="D264" s="18" t="s">
        <v>719</v>
      </c>
      <c r="E264" s="17" t="b">
        <v>1</v>
      </c>
      <c r="F264" s="17" t="s">
        <v>349</v>
      </c>
      <c r="G264" s="17" t="s">
        <v>79</v>
      </c>
      <c r="H264" s="17" t="s">
        <v>80</v>
      </c>
      <c r="I264" s="17" t="s">
        <v>81</v>
      </c>
      <c r="J264" s="17" t="s">
        <v>597</v>
      </c>
      <c r="K264" s="17" t="s">
        <v>491</v>
      </c>
      <c r="L264" s="17" t="s">
        <v>668</v>
      </c>
      <c r="M264" s="57"/>
      <c r="N264" s="60">
        <v>46073.0</v>
      </c>
      <c r="O264" s="60">
        <v>46080.0</v>
      </c>
      <c r="P264" s="17" t="s">
        <v>727</v>
      </c>
      <c r="Q264" s="22">
        <v>19.9</v>
      </c>
      <c r="R264" s="22">
        <v>4885.0</v>
      </c>
      <c r="S264" s="23" t="str">
        <f>iferror(if(AN264=1,VLOOKUP(B264, Blends!H$4:AK$1004,32,0), ""), "")</f>
        <v/>
      </c>
      <c r="T264" s="58"/>
      <c r="U264" s="27"/>
      <c r="V264" s="26"/>
      <c r="W264" s="27"/>
      <c r="X264" s="26"/>
      <c r="Y264" s="26"/>
      <c r="Z264" s="26"/>
      <c r="AA264" s="26"/>
      <c r="AB264" s="26"/>
      <c r="AC264" s="26"/>
      <c r="AD264" s="26"/>
      <c r="AE264" s="26"/>
      <c r="AF264" s="26"/>
      <c r="AG264" s="26"/>
      <c r="AH264" s="26"/>
      <c r="AI264" s="26"/>
      <c r="AJ264" s="26"/>
      <c r="AK264" s="25"/>
      <c r="AL264" s="59"/>
      <c r="AM264" s="35"/>
      <c r="AN264" s="35"/>
      <c r="AO264" s="35"/>
      <c r="AP264" s="35"/>
      <c r="AQ264" s="35"/>
      <c r="AR264" s="35"/>
      <c r="AS264" s="35"/>
      <c r="AT264" s="35"/>
      <c r="AU264" s="35"/>
      <c r="AV264" s="35"/>
      <c r="AW264" s="35"/>
    </row>
    <row r="265">
      <c r="A265" s="66" t="s">
        <v>728</v>
      </c>
      <c r="B265" s="17" t="s">
        <v>647</v>
      </c>
      <c r="C265" s="18" t="s">
        <v>729</v>
      </c>
      <c r="D265" s="18" t="s">
        <v>730</v>
      </c>
      <c r="E265" s="17" t="b">
        <v>1</v>
      </c>
      <c r="F265" s="17" t="s">
        <v>349</v>
      </c>
      <c r="G265" s="17" t="s">
        <v>79</v>
      </c>
      <c r="H265" s="17" t="s">
        <v>80</v>
      </c>
      <c r="I265" s="17" t="s">
        <v>81</v>
      </c>
      <c r="J265" s="17" t="s">
        <v>597</v>
      </c>
      <c r="K265" s="17" t="s">
        <v>505</v>
      </c>
      <c r="L265" s="17" t="s">
        <v>731</v>
      </c>
      <c r="M265" s="68">
        <v>10500.0</v>
      </c>
      <c r="N265" s="60">
        <v>46076.0</v>
      </c>
      <c r="O265" s="60">
        <v>46081.0</v>
      </c>
      <c r="P265" s="17" t="s">
        <v>732</v>
      </c>
      <c r="Q265" s="22">
        <v>19.69</v>
      </c>
      <c r="R265" s="22">
        <v>4520.0</v>
      </c>
      <c r="S265" s="23" t="str">
        <f>iferror(if(AN265=1,VLOOKUP(B265, Blends!H$4:AK$1004,32,0), ""), "")</f>
        <v/>
      </c>
      <c r="T265" s="58"/>
      <c r="U265" s="27"/>
      <c r="V265" s="26"/>
      <c r="W265" s="27"/>
      <c r="X265" s="26"/>
      <c r="Y265" s="26"/>
      <c r="Z265" s="26"/>
      <c r="AA265" s="26"/>
      <c r="AB265" s="26"/>
      <c r="AC265" s="26"/>
      <c r="AD265" s="26"/>
      <c r="AE265" s="26"/>
      <c r="AF265" s="26"/>
      <c r="AG265" s="26"/>
      <c r="AH265" s="26"/>
      <c r="AI265" s="26"/>
      <c r="AJ265" s="26"/>
      <c r="AK265" s="25"/>
      <c r="AL265" s="59"/>
      <c r="AM265" s="35"/>
      <c r="AN265" s="35"/>
      <c r="AO265" s="35"/>
      <c r="AP265" s="35"/>
      <c r="AQ265" s="35"/>
      <c r="AR265" s="35"/>
      <c r="AS265" s="35"/>
      <c r="AT265" s="35"/>
      <c r="AU265" s="35"/>
      <c r="AV265" s="35"/>
      <c r="AW265" s="35"/>
    </row>
    <row r="266">
      <c r="A266" s="66" t="s">
        <v>733</v>
      </c>
      <c r="B266" s="17" t="s">
        <v>647</v>
      </c>
      <c r="C266" s="18" t="s">
        <v>734</v>
      </c>
      <c r="D266" s="18" t="s">
        <v>735</v>
      </c>
      <c r="E266" s="17" t="b">
        <v>1</v>
      </c>
      <c r="F266" s="17" t="s">
        <v>349</v>
      </c>
      <c r="G266" s="17" t="s">
        <v>79</v>
      </c>
      <c r="H266" s="17" t="s">
        <v>80</v>
      </c>
      <c r="I266" s="17" t="s">
        <v>81</v>
      </c>
      <c r="J266" s="17" t="s">
        <v>597</v>
      </c>
      <c r="K266" s="17" t="s">
        <v>505</v>
      </c>
      <c r="L266" s="17" t="s">
        <v>615</v>
      </c>
      <c r="M266" s="68">
        <v>10500.0</v>
      </c>
      <c r="N266" s="60">
        <v>46076.0</v>
      </c>
      <c r="O266" s="60">
        <v>46081.0</v>
      </c>
      <c r="P266" s="17" t="s">
        <v>736</v>
      </c>
      <c r="Q266" s="22">
        <v>18.77</v>
      </c>
      <c r="R266" s="22">
        <v>4618.0</v>
      </c>
      <c r="S266" s="23" t="str">
        <f>iferror(if(AN266=1,VLOOKUP(B266, Blends!H$4:AK$1004,32,0), ""), "")</f>
        <v/>
      </c>
      <c r="T266" s="58"/>
      <c r="U266" s="27"/>
      <c r="V266" s="26"/>
      <c r="W266" s="27"/>
      <c r="X266" s="26"/>
      <c r="Y266" s="26"/>
      <c r="Z266" s="26"/>
      <c r="AA266" s="26"/>
      <c r="AB266" s="26"/>
      <c r="AC266" s="26"/>
      <c r="AD266" s="26"/>
      <c r="AE266" s="26"/>
      <c r="AF266" s="26"/>
      <c r="AG266" s="26"/>
      <c r="AH266" s="26"/>
      <c r="AI266" s="26"/>
      <c r="AJ266" s="26"/>
      <c r="AK266" s="25"/>
      <c r="AL266" s="59"/>
      <c r="AM266" s="35"/>
      <c r="AN266" s="35"/>
      <c r="AO266" s="35"/>
      <c r="AP266" s="35"/>
      <c r="AQ266" s="35"/>
      <c r="AR266" s="35"/>
      <c r="AS266" s="35"/>
      <c r="AT266" s="35"/>
      <c r="AU266" s="35"/>
      <c r="AV266" s="35"/>
      <c r="AW266" s="35"/>
    </row>
    <row r="267">
      <c r="A267" s="66" t="s">
        <v>737</v>
      </c>
      <c r="B267" s="17" t="s">
        <v>647</v>
      </c>
      <c r="C267" s="18" t="s">
        <v>738</v>
      </c>
      <c r="D267" s="18" t="s">
        <v>735</v>
      </c>
      <c r="E267" s="17" t="b">
        <v>1</v>
      </c>
      <c r="F267" s="17" t="s">
        <v>349</v>
      </c>
      <c r="G267" s="17" t="s">
        <v>79</v>
      </c>
      <c r="H267" s="17" t="s">
        <v>80</v>
      </c>
      <c r="I267" s="17" t="s">
        <v>81</v>
      </c>
      <c r="J267" s="17" t="s">
        <v>597</v>
      </c>
      <c r="K267" s="17" t="s">
        <v>505</v>
      </c>
      <c r="L267" s="17" t="s">
        <v>739</v>
      </c>
      <c r="M267" s="68">
        <v>10900.0</v>
      </c>
      <c r="N267" s="60">
        <v>46077.0</v>
      </c>
      <c r="O267" s="60">
        <v>46082.0</v>
      </c>
      <c r="P267" s="17" t="s">
        <v>740</v>
      </c>
      <c r="Q267" s="22">
        <v>20.05</v>
      </c>
      <c r="R267" s="22">
        <v>4414.0</v>
      </c>
      <c r="S267" s="23"/>
      <c r="T267" s="58"/>
      <c r="U267" s="27"/>
      <c r="V267" s="26"/>
      <c r="W267" s="27"/>
      <c r="X267" s="26"/>
      <c r="Y267" s="26"/>
      <c r="Z267" s="26"/>
      <c r="AA267" s="26"/>
      <c r="AB267" s="26"/>
      <c r="AC267" s="26"/>
      <c r="AD267" s="26"/>
      <c r="AE267" s="26"/>
      <c r="AF267" s="26"/>
      <c r="AG267" s="26"/>
      <c r="AH267" s="26"/>
      <c r="AI267" s="26"/>
      <c r="AJ267" s="26"/>
      <c r="AK267" s="25"/>
      <c r="AL267" s="59"/>
      <c r="AM267" s="35"/>
      <c r="AN267" s="35"/>
      <c r="AO267" s="35"/>
      <c r="AP267" s="35"/>
      <c r="AQ267" s="35"/>
      <c r="AR267" s="35"/>
      <c r="AS267" s="35"/>
      <c r="AT267" s="35"/>
      <c r="AU267" s="35"/>
      <c r="AV267" s="35"/>
      <c r="AW267" s="35"/>
    </row>
    <row r="268">
      <c r="A268" s="66" t="s">
        <v>741</v>
      </c>
      <c r="B268" s="17" t="s">
        <v>647</v>
      </c>
      <c r="C268" s="18" t="s">
        <v>742</v>
      </c>
      <c r="D268" s="18" t="s">
        <v>735</v>
      </c>
      <c r="E268" s="17" t="b">
        <v>1</v>
      </c>
      <c r="F268" s="17" t="s">
        <v>349</v>
      </c>
      <c r="G268" s="17" t="s">
        <v>79</v>
      </c>
      <c r="H268" s="17" t="s">
        <v>80</v>
      </c>
      <c r="I268" s="17" t="s">
        <v>81</v>
      </c>
      <c r="J268" s="17" t="s">
        <v>597</v>
      </c>
      <c r="K268" s="17" t="s">
        <v>491</v>
      </c>
      <c r="L268" s="17" t="s">
        <v>534</v>
      </c>
      <c r="M268" s="57"/>
      <c r="N268" s="60">
        <v>46078.0</v>
      </c>
      <c r="O268" s="60">
        <v>46083.0</v>
      </c>
      <c r="P268" s="17" t="s">
        <v>743</v>
      </c>
      <c r="Q268" s="22">
        <v>19.34</v>
      </c>
      <c r="R268" s="22">
        <v>4689.0</v>
      </c>
      <c r="S268" s="23" t="str">
        <f>iferror(if(AN268=1,VLOOKUP(B267, Blends!H$4:AK$1004,32,0), ""), "")</f>
        <v/>
      </c>
      <c r="T268" s="58"/>
      <c r="U268" s="27"/>
      <c r="V268" s="26"/>
      <c r="W268" s="27"/>
      <c r="X268" s="26"/>
      <c r="Y268" s="26"/>
      <c r="Z268" s="26"/>
      <c r="AA268" s="26"/>
      <c r="AB268" s="26"/>
      <c r="AC268" s="26"/>
      <c r="AD268" s="26"/>
      <c r="AE268" s="26"/>
      <c r="AF268" s="26"/>
      <c r="AG268" s="26"/>
      <c r="AH268" s="26"/>
      <c r="AI268" s="26"/>
      <c r="AJ268" s="26"/>
      <c r="AK268" s="25"/>
      <c r="AL268" s="59"/>
      <c r="AM268" s="35"/>
      <c r="AN268" s="35"/>
      <c r="AO268" s="35"/>
      <c r="AP268" s="35"/>
      <c r="AQ268" s="35"/>
      <c r="AR268" s="35"/>
      <c r="AS268" s="35"/>
      <c r="AT268" s="35"/>
      <c r="AU268" s="35"/>
      <c r="AV268" s="35"/>
      <c r="AW268" s="35"/>
    </row>
    <row r="269">
      <c r="A269" s="66" t="s">
        <v>744</v>
      </c>
      <c r="B269" s="17" t="s">
        <v>647</v>
      </c>
      <c r="C269" s="18" t="s">
        <v>745</v>
      </c>
      <c r="D269" s="18" t="s">
        <v>746</v>
      </c>
      <c r="E269" s="17" t="b">
        <v>1</v>
      </c>
      <c r="F269" s="17" t="s">
        <v>349</v>
      </c>
      <c r="G269" s="17" t="s">
        <v>79</v>
      </c>
      <c r="H269" s="17" t="s">
        <v>80</v>
      </c>
      <c r="I269" s="17" t="s">
        <v>81</v>
      </c>
      <c r="J269" s="17" t="s">
        <v>597</v>
      </c>
      <c r="K269" s="17" t="s">
        <v>491</v>
      </c>
      <c r="L269" s="17" t="s">
        <v>663</v>
      </c>
      <c r="M269" s="57"/>
      <c r="N269" s="60">
        <v>46080.0</v>
      </c>
      <c r="O269" s="60">
        <v>46085.0</v>
      </c>
      <c r="P269" s="17" t="s">
        <v>747</v>
      </c>
      <c r="Q269" s="22">
        <v>19.59</v>
      </c>
      <c r="R269" s="22">
        <v>4300.0</v>
      </c>
      <c r="S269" s="23" t="str">
        <f>iferror(if(AN269=1,VLOOKUP(B273, Blends!H$4:AK$1004,32,0), ""), "")</f>
        <v/>
      </c>
      <c r="T269" s="58"/>
      <c r="U269" s="27"/>
      <c r="V269" s="26"/>
      <c r="W269" s="27"/>
      <c r="X269" s="26"/>
      <c r="Y269" s="26"/>
      <c r="Z269" s="26"/>
      <c r="AA269" s="26"/>
      <c r="AB269" s="26"/>
      <c r="AC269" s="26"/>
      <c r="AD269" s="26"/>
      <c r="AE269" s="26"/>
      <c r="AF269" s="26"/>
      <c r="AG269" s="26"/>
      <c r="AH269" s="26"/>
      <c r="AI269" s="26"/>
      <c r="AJ269" s="26"/>
      <c r="AK269" s="25"/>
      <c r="AL269" s="59"/>
      <c r="AM269" s="35"/>
      <c r="AN269" s="35"/>
      <c r="AO269" s="35"/>
      <c r="AP269" s="35"/>
      <c r="AQ269" s="35"/>
      <c r="AR269" s="35"/>
      <c r="AS269" s="35"/>
      <c r="AT269" s="35"/>
      <c r="AU269" s="35"/>
      <c r="AV269" s="35"/>
      <c r="AW269" s="35"/>
    </row>
    <row r="270">
      <c r="A270" s="66" t="s">
        <v>748</v>
      </c>
      <c r="B270" s="17" t="s">
        <v>647</v>
      </c>
      <c r="C270" s="18" t="s">
        <v>749</v>
      </c>
      <c r="D270" s="18" t="s">
        <v>750</v>
      </c>
      <c r="E270" s="17" t="b">
        <v>0</v>
      </c>
      <c r="F270" s="17" t="s">
        <v>349</v>
      </c>
      <c r="G270" s="17" t="s">
        <v>79</v>
      </c>
      <c r="H270" s="17" t="s">
        <v>80</v>
      </c>
      <c r="I270" s="17" t="s">
        <v>105</v>
      </c>
      <c r="J270" s="17" t="s">
        <v>597</v>
      </c>
      <c r="K270" s="17" t="s">
        <v>177</v>
      </c>
      <c r="L270" s="17" t="s">
        <v>751</v>
      </c>
      <c r="M270" s="57"/>
      <c r="N270" s="60">
        <v>46080.0</v>
      </c>
      <c r="O270" s="60">
        <v>46097.0</v>
      </c>
      <c r="P270" s="17" t="s">
        <v>752</v>
      </c>
      <c r="Q270" s="22">
        <f>26.01+26+26.01</f>
        <v>78.02</v>
      </c>
      <c r="R270" s="69">
        <f>6122+6202+6206</f>
        <v>18530</v>
      </c>
      <c r="S270" s="23" t="str">
        <f>iferror(if(AN270=1,VLOOKUP(B269, Blends!H$4:AK$1004,32,0), ""), "")</f>
        <v/>
      </c>
      <c r="T270" s="58"/>
      <c r="U270" s="27"/>
      <c r="V270" s="26"/>
      <c r="W270" s="27"/>
      <c r="X270" s="26"/>
      <c r="Y270" s="26"/>
      <c r="Z270" s="26"/>
      <c r="AA270" s="26"/>
      <c r="AB270" s="26"/>
      <c r="AC270" s="26"/>
      <c r="AD270" s="26"/>
      <c r="AE270" s="26"/>
      <c r="AF270" s="26"/>
      <c r="AG270" s="26"/>
      <c r="AH270" s="26"/>
      <c r="AI270" s="26"/>
      <c r="AJ270" s="26"/>
      <c r="AK270" s="25"/>
      <c r="AL270" s="59"/>
      <c r="AM270" s="35"/>
      <c r="AN270" s="35"/>
      <c r="AO270" s="35"/>
      <c r="AP270" s="35"/>
      <c r="AQ270" s="35"/>
      <c r="AR270" s="35"/>
      <c r="AS270" s="35"/>
      <c r="AT270" s="35"/>
      <c r="AU270" s="35"/>
      <c r="AV270" s="35"/>
      <c r="AW270" s="35"/>
    </row>
    <row r="271">
      <c r="A271" s="66" t="s">
        <v>753</v>
      </c>
      <c r="B271" s="17" t="s">
        <v>647</v>
      </c>
      <c r="C271" s="18" t="s">
        <v>754</v>
      </c>
      <c r="D271" s="18" t="s">
        <v>746</v>
      </c>
      <c r="E271" s="17" t="b">
        <v>1</v>
      </c>
      <c r="F271" s="17"/>
      <c r="G271" s="17" t="s">
        <v>79</v>
      </c>
      <c r="H271" s="17" t="s">
        <v>80</v>
      </c>
      <c r="I271" s="17" t="s">
        <v>105</v>
      </c>
      <c r="J271" s="17" t="s">
        <v>597</v>
      </c>
      <c r="K271" s="17" t="s">
        <v>177</v>
      </c>
      <c r="L271" s="17" t="s">
        <v>755</v>
      </c>
      <c r="M271" s="57"/>
      <c r="N271" s="60">
        <v>46080.0</v>
      </c>
      <c r="O271" s="60">
        <v>46106.0</v>
      </c>
      <c r="P271" s="17" t="s">
        <v>756</v>
      </c>
      <c r="Q271" s="69">
        <f>25.5+29.06+26.05</f>
        <v>80.61</v>
      </c>
      <c r="R271" s="69">
        <f>6208+6861+5519</f>
        <v>18588</v>
      </c>
      <c r="S271" s="23" t="str">
        <f>iferror(if(AN271=1,VLOOKUP(B270, Blends!H$4:AK$1004,32,0), ""), "")</f>
        <v/>
      </c>
      <c r="T271" s="58"/>
      <c r="U271" s="27"/>
      <c r="V271" s="26"/>
      <c r="W271" s="27"/>
      <c r="X271" s="26"/>
      <c r="Y271" s="26"/>
      <c r="Z271" s="26"/>
      <c r="AA271" s="26"/>
      <c r="AB271" s="26"/>
      <c r="AC271" s="26"/>
      <c r="AD271" s="26"/>
      <c r="AE271" s="26"/>
      <c r="AF271" s="26"/>
      <c r="AG271" s="26"/>
      <c r="AH271" s="26"/>
      <c r="AI271" s="26"/>
      <c r="AJ271" s="26"/>
      <c r="AK271" s="25"/>
      <c r="AL271" s="59"/>
      <c r="AM271" s="35"/>
      <c r="AN271" s="35"/>
      <c r="AO271" s="35"/>
      <c r="AP271" s="35"/>
      <c r="AQ271" s="35"/>
      <c r="AR271" s="35"/>
      <c r="AS271" s="35"/>
      <c r="AT271" s="35"/>
      <c r="AU271" s="35"/>
      <c r="AV271" s="35"/>
      <c r="AW271" s="35"/>
    </row>
    <row r="272">
      <c r="A272" s="66" t="s">
        <v>757</v>
      </c>
      <c r="B272" s="17" t="s">
        <v>647</v>
      </c>
      <c r="C272" s="18" t="s">
        <v>758</v>
      </c>
      <c r="D272" s="18" t="s">
        <v>759</v>
      </c>
      <c r="E272" s="17" t="b">
        <v>1</v>
      </c>
      <c r="F272" s="17" t="s">
        <v>349</v>
      </c>
      <c r="G272" s="17" t="s">
        <v>79</v>
      </c>
      <c r="H272" s="17" t="s">
        <v>80</v>
      </c>
      <c r="I272" s="17" t="s">
        <v>81</v>
      </c>
      <c r="J272" s="17" t="s">
        <v>597</v>
      </c>
      <c r="K272" s="17" t="s">
        <v>491</v>
      </c>
      <c r="L272" s="17" t="s">
        <v>663</v>
      </c>
      <c r="M272" s="57"/>
      <c r="N272" s="60">
        <v>46083.0</v>
      </c>
      <c r="O272" s="60">
        <v>46087.0</v>
      </c>
      <c r="P272" s="17" t="s">
        <v>760</v>
      </c>
      <c r="Q272" s="22">
        <v>19.58</v>
      </c>
      <c r="R272" s="22">
        <v>4816.0</v>
      </c>
      <c r="S272" s="23" t="str">
        <f>iferror(if(AN272=1,VLOOKUP(B271, Blends!H$4:AK$1004,32,0), ""), "")</f>
        <v/>
      </c>
      <c r="T272" s="58"/>
      <c r="U272" s="27"/>
      <c r="V272" s="26"/>
      <c r="W272" s="27"/>
      <c r="X272" s="26"/>
      <c r="Y272" s="26"/>
      <c r="Z272" s="26"/>
      <c r="AA272" s="26"/>
      <c r="AB272" s="26"/>
      <c r="AC272" s="26"/>
      <c r="AD272" s="26"/>
      <c r="AE272" s="26"/>
      <c r="AF272" s="26"/>
      <c r="AG272" s="26"/>
      <c r="AH272" s="26"/>
      <c r="AI272" s="26"/>
      <c r="AJ272" s="26"/>
      <c r="AK272" s="25"/>
      <c r="AL272" s="59"/>
      <c r="AM272" s="35"/>
      <c r="AN272" s="35"/>
      <c r="AO272" s="35"/>
      <c r="AP272" s="35"/>
      <c r="AQ272" s="35"/>
      <c r="AR272" s="35"/>
      <c r="AS272" s="35"/>
      <c r="AT272" s="35"/>
      <c r="AU272" s="35"/>
      <c r="AV272" s="35"/>
      <c r="AW272" s="35"/>
    </row>
    <row r="273">
      <c r="A273" s="66" t="s">
        <v>761</v>
      </c>
      <c r="B273" s="17" t="s">
        <v>647</v>
      </c>
      <c r="C273" s="18" t="s">
        <v>762</v>
      </c>
      <c r="D273" s="18" t="s">
        <v>759</v>
      </c>
      <c r="E273" s="17" t="b">
        <v>1</v>
      </c>
      <c r="F273" s="17" t="s">
        <v>349</v>
      </c>
      <c r="G273" s="17" t="s">
        <v>79</v>
      </c>
      <c r="H273" s="17" t="s">
        <v>80</v>
      </c>
      <c r="I273" s="17" t="s">
        <v>81</v>
      </c>
      <c r="J273" s="17" t="s">
        <v>597</v>
      </c>
      <c r="K273" s="17" t="s">
        <v>505</v>
      </c>
      <c r="L273" s="17" t="s">
        <v>698</v>
      </c>
      <c r="M273" s="68">
        <v>9580.0</v>
      </c>
      <c r="N273" s="60">
        <v>46084.0</v>
      </c>
      <c r="O273" s="60">
        <v>46088.0</v>
      </c>
      <c r="P273" s="17" t="s">
        <v>763</v>
      </c>
      <c r="Q273" s="22">
        <v>20.63</v>
      </c>
      <c r="R273" s="22">
        <v>4975.0</v>
      </c>
      <c r="S273" s="23" t="str">
        <f>iferror(if(AN273=1,VLOOKUP(B272, Blends!H$4:AK$1004,32,0), ""), "")</f>
        <v/>
      </c>
      <c r="T273" s="58"/>
      <c r="U273" s="27"/>
      <c r="V273" s="26"/>
      <c r="W273" s="27"/>
      <c r="X273" s="26"/>
      <c r="Y273" s="26"/>
      <c r="Z273" s="26"/>
      <c r="AA273" s="26"/>
      <c r="AB273" s="26"/>
      <c r="AC273" s="26"/>
      <c r="AD273" s="26"/>
      <c r="AE273" s="26"/>
      <c r="AF273" s="26"/>
      <c r="AG273" s="26"/>
      <c r="AH273" s="26"/>
      <c r="AI273" s="26"/>
      <c r="AJ273" s="26"/>
      <c r="AK273" s="25"/>
      <c r="AL273" s="59"/>
      <c r="AM273" s="35"/>
      <c r="AN273" s="35"/>
      <c r="AO273" s="35"/>
      <c r="AP273" s="35"/>
      <c r="AQ273" s="35"/>
      <c r="AR273" s="35"/>
      <c r="AS273" s="35"/>
      <c r="AT273" s="35"/>
      <c r="AU273" s="35"/>
      <c r="AV273" s="35"/>
      <c r="AW273" s="35"/>
    </row>
    <row r="274">
      <c r="A274" s="66" t="s">
        <v>764</v>
      </c>
      <c r="B274" s="17" t="s">
        <v>647</v>
      </c>
      <c r="C274" s="18" t="s">
        <v>765</v>
      </c>
      <c r="D274" s="18" t="s">
        <v>766</v>
      </c>
      <c r="E274" s="17" t="b">
        <v>1</v>
      </c>
      <c r="F274" s="17" t="s">
        <v>349</v>
      </c>
      <c r="G274" s="17" t="s">
        <v>79</v>
      </c>
      <c r="H274" s="17" t="s">
        <v>80</v>
      </c>
      <c r="I274" s="17" t="s">
        <v>81</v>
      </c>
      <c r="J274" s="17" t="s">
        <v>597</v>
      </c>
      <c r="K274" s="17" t="s">
        <v>505</v>
      </c>
      <c r="L274" s="17" t="s">
        <v>767</v>
      </c>
      <c r="M274" s="68">
        <v>9580.0</v>
      </c>
      <c r="N274" s="60">
        <v>46085.0</v>
      </c>
      <c r="O274" s="60">
        <v>46089.0</v>
      </c>
      <c r="P274" s="17" t="s">
        <v>768</v>
      </c>
      <c r="Q274" s="22">
        <v>19.97</v>
      </c>
      <c r="R274" s="22">
        <v>4860.0</v>
      </c>
      <c r="S274" s="23" t="str">
        <f>iferror(if(AN274=1,VLOOKUP(B273, Blends!H$4:AK$1004,32,0), ""), "")</f>
        <v/>
      </c>
      <c r="T274" s="58"/>
      <c r="U274" s="27"/>
      <c r="V274" s="26"/>
      <c r="W274" s="27"/>
      <c r="X274" s="26"/>
      <c r="Y274" s="26"/>
      <c r="Z274" s="26"/>
      <c r="AA274" s="26"/>
      <c r="AB274" s="26"/>
      <c r="AC274" s="26"/>
      <c r="AD274" s="26"/>
      <c r="AE274" s="26"/>
      <c r="AF274" s="26"/>
      <c r="AG274" s="26"/>
      <c r="AH274" s="26"/>
      <c r="AI274" s="26"/>
      <c r="AJ274" s="26"/>
      <c r="AK274" s="25"/>
      <c r="AL274" s="59"/>
      <c r="AM274" s="35"/>
      <c r="AN274" s="35"/>
      <c r="AO274" s="35"/>
      <c r="AP274" s="35"/>
      <c r="AQ274" s="35"/>
      <c r="AR274" s="35"/>
      <c r="AS274" s="35"/>
      <c r="AT274" s="35"/>
      <c r="AU274" s="35"/>
      <c r="AV274" s="35"/>
      <c r="AW274" s="35"/>
    </row>
    <row r="275">
      <c r="A275" s="66" t="s">
        <v>769</v>
      </c>
      <c r="B275" s="17" t="s">
        <v>647</v>
      </c>
      <c r="C275" s="18" t="s">
        <v>770</v>
      </c>
      <c r="D275" s="18" t="s">
        <v>766</v>
      </c>
      <c r="E275" s="17" t="b">
        <v>1</v>
      </c>
      <c r="F275" s="17" t="s">
        <v>349</v>
      </c>
      <c r="G275" s="17" t="s">
        <v>79</v>
      </c>
      <c r="H275" s="17" t="s">
        <v>80</v>
      </c>
      <c r="I275" s="17" t="s">
        <v>81</v>
      </c>
      <c r="J275" s="17" t="s">
        <v>597</v>
      </c>
      <c r="K275" s="17" t="s">
        <v>505</v>
      </c>
      <c r="L275" s="17" t="s">
        <v>685</v>
      </c>
      <c r="M275" s="68">
        <v>10900.0</v>
      </c>
      <c r="N275" s="60">
        <v>46085.0</v>
      </c>
      <c r="O275" s="60">
        <v>46089.0</v>
      </c>
      <c r="P275" s="17" t="s">
        <v>771</v>
      </c>
      <c r="Q275" s="22">
        <v>20.48</v>
      </c>
      <c r="R275" s="22">
        <v>4923.0</v>
      </c>
      <c r="S275" s="23" t="str">
        <f>iferror(if(AN275=1,VLOOKUP(B274, Blends!H$4:AK$1004,32,0), ""), "")</f>
        <v/>
      </c>
      <c r="T275" s="58"/>
      <c r="U275" s="27"/>
      <c r="V275" s="26"/>
      <c r="W275" s="27"/>
      <c r="X275" s="26"/>
      <c r="Y275" s="26"/>
      <c r="Z275" s="26"/>
      <c r="AA275" s="26"/>
      <c r="AB275" s="26"/>
      <c r="AC275" s="26"/>
      <c r="AD275" s="26"/>
      <c r="AE275" s="26"/>
      <c r="AF275" s="26"/>
      <c r="AG275" s="26"/>
      <c r="AH275" s="26"/>
      <c r="AI275" s="26"/>
      <c r="AJ275" s="26"/>
      <c r="AK275" s="25"/>
      <c r="AL275" s="59"/>
      <c r="AM275" s="35"/>
      <c r="AN275" s="35"/>
      <c r="AO275" s="35"/>
      <c r="AP275" s="35"/>
      <c r="AQ275" s="35"/>
      <c r="AR275" s="35"/>
      <c r="AS275" s="35"/>
      <c r="AT275" s="35"/>
      <c r="AU275" s="35"/>
      <c r="AV275" s="35"/>
      <c r="AW275" s="35"/>
    </row>
    <row r="276">
      <c r="A276" s="66" t="s">
        <v>772</v>
      </c>
      <c r="B276" s="17" t="s">
        <v>647</v>
      </c>
      <c r="C276" s="18" t="s">
        <v>773</v>
      </c>
      <c r="D276" s="18" t="s">
        <v>774</v>
      </c>
      <c r="E276" s="17" t="b">
        <v>1</v>
      </c>
      <c r="F276" s="17" t="s">
        <v>349</v>
      </c>
      <c r="G276" s="17" t="s">
        <v>79</v>
      </c>
      <c r="H276" s="17" t="s">
        <v>80</v>
      </c>
      <c r="I276" s="17" t="s">
        <v>81</v>
      </c>
      <c r="J276" s="17" t="s">
        <v>597</v>
      </c>
      <c r="K276" s="17" t="s">
        <v>505</v>
      </c>
      <c r="L276" s="17" t="s">
        <v>615</v>
      </c>
      <c r="M276" s="68">
        <v>10280.0</v>
      </c>
      <c r="N276" s="60">
        <v>46086.0</v>
      </c>
      <c r="O276" s="60">
        <v>46090.0</v>
      </c>
      <c r="P276" s="17" t="s">
        <v>775</v>
      </c>
      <c r="Q276" s="22">
        <v>19.52</v>
      </c>
      <c r="R276" s="22">
        <v>4809.0</v>
      </c>
      <c r="S276" s="23" t="str">
        <f>iferror(if(AN276=1,VLOOKUP(B275, Blends!H$4:AK$1004,32,0), ""), "")</f>
        <v/>
      </c>
      <c r="T276" s="58"/>
      <c r="U276" s="27"/>
      <c r="V276" s="26"/>
      <c r="W276" s="27"/>
      <c r="X276" s="26"/>
      <c r="Y276" s="26"/>
      <c r="Z276" s="26"/>
      <c r="AA276" s="26"/>
      <c r="AB276" s="26"/>
      <c r="AC276" s="26"/>
      <c r="AD276" s="26"/>
      <c r="AE276" s="26"/>
      <c r="AF276" s="26"/>
      <c r="AG276" s="26"/>
      <c r="AH276" s="26"/>
      <c r="AI276" s="26"/>
      <c r="AJ276" s="26"/>
      <c r="AK276" s="25"/>
      <c r="AL276" s="59"/>
      <c r="AM276" s="35"/>
      <c r="AN276" s="35"/>
      <c r="AO276" s="35"/>
      <c r="AP276" s="35"/>
      <c r="AQ276" s="35"/>
      <c r="AR276" s="35"/>
      <c r="AS276" s="35"/>
      <c r="AT276" s="35"/>
      <c r="AU276" s="35"/>
      <c r="AV276" s="35"/>
      <c r="AW276" s="35"/>
    </row>
    <row r="277">
      <c r="A277" s="66" t="s">
        <v>776</v>
      </c>
      <c r="B277" s="17" t="s">
        <v>647</v>
      </c>
      <c r="C277" s="18" t="s">
        <v>777</v>
      </c>
      <c r="D277" s="18" t="s">
        <v>778</v>
      </c>
      <c r="E277" s="17" t="b">
        <v>1</v>
      </c>
      <c r="F277" s="17" t="s">
        <v>349</v>
      </c>
      <c r="G277" s="17" t="s">
        <v>79</v>
      </c>
      <c r="H277" s="17" t="s">
        <v>80</v>
      </c>
      <c r="I277" s="17" t="s">
        <v>81</v>
      </c>
      <c r="J277" s="17" t="s">
        <v>597</v>
      </c>
      <c r="K277" s="17" t="s">
        <v>505</v>
      </c>
      <c r="L277" s="17" t="s">
        <v>731</v>
      </c>
      <c r="M277" s="68">
        <v>9580.0</v>
      </c>
      <c r="N277" s="60">
        <v>46091.0</v>
      </c>
      <c r="O277" s="60">
        <v>46096.0</v>
      </c>
      <c r="P277" s="17" t="s">
        <v>779</v>
      </c>
      <c r="Q277" s="22">
        <v>19.99</v>
      </c>
      <c r="R277" s="22">
        <v>4645.0</v>
      </c>
      <c r="S277" s="23" t="str">
        <f>iferror(if(AN277=1,VLOOKUP(B276, Blends!H$4:AK$1004,32,0), ""), "")</f>
        <v/>
      </c>
      <c r="T277" s="58"/>
      <c r="U277" s="27"/>
      <c r="V277" s="26"/>
      <c r="W277" s="27"/>
      <c r="X277" s="26"/>
      <c r="Y277" s="26"/>
      <c r="Z277" s="26"/>
      <c r="AA277" s="26"/>
      <c r="AB277" s="26"/>
      <c r="AC277" s="26"/>
      <c r="AD277" s="26"/>
      <c r="AE277" s="26"/>
      <c r="AF277" s="26"/>
      <c r="AG277" s="26"/>
      <c r="AH277" s="26"/>
      <c r="AI277" s="26"/>
      <c r="AJ277" s="26"/>
      <c r="AK277" s="25"/>
      <c r="AL277" s="59"/>
      <c r="AM277" s="35"/>
      <c r="AN277" s="35"/>
      <c r="AO277" s="35"/>
      <c r="AP277" s="35"/>
      <c r="AQ277" s="35"/>
      <c r="AR277" s="35"/>
      <c r="AS277" s="35"/>
      <c r="AT277" s="35"/>
      <c r="AU277" s="35"/>
      <c r="AV277" s="35"/>
      <c r="AW277" s="35"/>
    </row>
    <row r="278">
      <c r="A278" s="66" t="s">
        <v>780</v>
      </c>
      <c r="B278" s="17" t="s">
        <v>647</v>
      </c>
      <c r="C278" s="18" t="s">
        <v>781</v>
      </c>
      <c r="D278" s="18" t="s">
        <v>782</v>
      </c>
      <c r="E278" s="17" t="b">
        <v>1</v>
      </c>
      <c r="F278" s="17" t="s">
        <v>349</v>
      </c>
      <c r="G278" s="17" t="s">
        <v>79</v>
      </c>
      <c r="H278" s="17" t="s">
        <v>80</v>
      </c>
      <c r="I278" s="17" t="s">
        <v>81</v>
      </c>
      <c r="J278" s="17" t="s">
        <v>597</v>
      </c>
      <c r="K278" s="17" t="s">
        <v>505</v>
      </c>
      <c r="L278" s="17" t="s">
        <v>783</v>
      </c>
      <c r="M278" s="68">
        <v>9580.0</v>
      </c>
      <c r="N278" s="60">
        <v>46093.0</v>
      </c>
      <c r="O278" s="60">
        <v>46098.0</v>
      </c>
      <c r="P278" s="17" t="s">
        <v>784</v>
      </c>
      <c r="Q278" s="22">
        <v>19.88</v>
      </c>
      <c r="R278" s="22">
        <v>4773.0</v>
      </c>
      <c r="S278" s="23" t="str">
        <f>iferror(if(AN278=1,VLOOKUP(B278, Blends!H$4:AK$1004,32,0), ""), "")</f>
        <v/>
      </c>
      <c r="T278" s="58"/>
      <c r="U278" s="27"/>
      <c r="V278" s="26"/>
      <c r="W278" s="27"/>
      <c r="X278" s="26"/>
      <c r="Y278" s="26"/>
      <c r="Z278" s="26"/>
      <c r="AA278" s="26"/>
      <c r="AB278" s="26"/>
      <c r="AC278" s="26"/>
      <c r="AD278" s="26"/>
      <c r="AE278" s="26"/>
      <c r="AF278" s="26"/>
      <c r="AG278" s="26"/>
      <c r="AH278" s="26"/>
      <c r="AI278" s="26"/>
      <c r="AJ278" s="26"/>
      <c r="AK278" s="25"/>
      <c r="AL278" s="59"/>
      <c r="AM278" s="35"/>
      <c r="AN278" s="35"/>
      <c r="AO278" s="35"/>
      <c r="AP278" s="35"/>
      <c r="AQ278" s="35"/>
      <c r="AR278" s="35"/>
      <c r="AS278" s="35"/>
      <c r="AT278" s="35"/>
      <c r="AU278" s="35"/>
      <c r="AV278" s="35"/>
      <c r="AW278" s="35"/>
    </row>
    <row r="279">
      <c r="A279" s="66" t="s">
        <v>785</v>
      </c>
      <c r="B279" s="17" t="s">
        <v>647</v>
      </c>
      <c r="C279" s="18" t="s">
        <v>786</v>
      </c>
      <c r="D279" s="18" t="s">
        <v>787</v>
      </c>
      <c r="E279" s="17" t="b">
        <v>1</v>
      </c>
      <c r="F279" s="17" t="s">
        <v>349</v>
      </c>
      <c r="G279" s="17" t="s">
        <v>79</v>
      </c>
      <c r="H279" s="17" t="s">
        <v>80</v>
      </c>
      <c r="I279" s="17" t="s">
        <v>81</v>
      </c>
      <c r="J279" s="17" t="s">
        <v>597</v>
      </c>
      <c r="K279" s="17" t="s">
        <v>505</v>
      </c>
      <c r="L279" s="17" t="s">
        <v>788</v>
      </c>
      <c r="M279" s="68">
        <v>10280.0</v>
      </c>
      <c r="N279" s="60">
        <v>46094.0</v>
      </c>
      <c r="O279" s="60">
        <v>46098.0</v>
      </c>
      <c r="P279" s="17" t="s">
        <v>789</v>
      </c>
      <c r="Q279" s="22">
        <v>19.8</v>
      </c>
      <c r="R279" s="22">
        <v>4865.0</v>
      </c>
      <c r="S279" s="23" t="str">
        <f>iferror(if(AN279=1,VLOOKUP(B279, Blends!H$4:AK$1004,32,0), ""), "")</f>
        <v/>
      </c>
      <c r="T279" s="58"/>
      <c r="U279" s="27"/>
      <c r="V279" s="26"/>
      <c r="W279" s="27"/>
      <c r="X279" s="26"/>
      <c r="Y279" s="26"/>
      <c r="Z279" s="26"/>
      <c r="AA279" s="26"/>
      <c r="AB279" s="26"/>
      <c r="AC279" s="26"/>
      <c r="AD279" s="26"/>
      <c r="AE279" s="26"/>
      <c r="AF279" s="26"/>
      <c r="AG279" s="26"/>
      <c r="AH279" s="26"/>
      <c r="AI279" s="26"/>
      <c r="AJ279" s="26"/>
      <c r="AK279" s="25"/>
      <c r="AL279" s="59"/>
      <c r="AM279" s="35"/>
      <c r="AN279" s="35"/>
      <c r="AO279" s="35"/>
      <c r="AP279" s="35"/>
      <c r="AQ279" s="35"/>
      <c r="AR279" s="35"/>
      <c r="AS279" s="35"/>
      <c r="AT279" s="35"/>
      <c r="AU279" s="35"/>
      <c r="AV279" s="35"/>
      <c r="AW279" s="35"/>
    </row>
    <row r="280">
      <c r="A280" s="66" t="s">
        <v>790</v>
      </c>
      <c r="B280" s="17" t="s">
        <v>647</v>
      </c>
      <c r="C280" s="18" t="s">
        <v>791</v>
      </c>
      <c r="D280" s="18" t="s">
        <v>787</v>
      </c>
      <c r="E280" s="17" t="b">
        <v>1</v>
      </c>
      <c r="F280" s="17" t="s">
        <v>349</v>
      </c>
      <c r="G280" s="17" t="s">
        <v>79</v>
      </c>
      <c r="H280" s="17" t="s">
        <v>80</v>
      </c>
      <c r="I280" s="17" t="s">
        <v>81</v>
      </c>
      <c r="J280" s="17" t="s">
        <v>597</v>
      </c>
      <c r="K280" s="17" t="s">
        <v>505</v>
      </c>
      <c r="L280" s="17" t="s">
        <v>615</v>
      </c>
      <c r="M280" s="68">
        <v>10280.0</v>
      </c>
      <c r="N280" s="60">
        <v>46094.0</v>
      </c>
      <c r="O280" s="60">
        <v>46098.0</v>
      </c>
      <c r="P280" s="17" t="s">
        <v>792</v>
      </c>
      <c r="Q280" s="22">
        <v>18.41</v>
      </c>
      <c r="R280" s="22">
        <v>4449.0</v>
      </c>
      <c r="S280" s="23" t="str">
        <f>iferror(if(AN280=1,VLOOKUP(B280, Blends!H$4:AK$1004,32,0), ""), "")</f>
        <v/>
      </c>
      <c r="T280" s="58"/>
      <c r="U280" s="27"/>
      <c r="V280" s="26"/>
      <c r="W280" s="27"/>
      <c r="X280" s="26"/>
      <c r="Y280" s="26"/>
      <c r="Z280" s="26"/>
      <c r="AA280" s="26"/>
      <c r="AB280" s="26"/>
      <c r="AC280" s="26"/>
      <c r="AD280" s="26"/>
      <c r="AE280" s="26"/>
      <c r="AF280" s="26"/>
      <c r="AG280" s="26"/>
      <c r="AH280" s="26"/>
      <c r="AI280" s="26"/>
      <c r="AJ280" s="26"/>
      <c r="AK280" s="25"/>
      <c r="AL280" s="59"/>
      <c r="AM280" s="35"/>
      <c r="AN280" s="35"/>
      <c r="AO280" s="35"/>
      <c r="AP280" s="35"/>
      <c r="AQ280" s="35"/>
      <c r="AR280" s="35"/>
      <c r="AS280" s="35"/>
      <c r="AT280" s="35"/>
      <c r="AU280" s="35"/>
      <c r="AV280" s="35"/>
      <c r="AW280" s="35"/>
    </row>
    <row r="281">
      <c r="A281" s="66" t="s">
        <v>793</v>
      </c>
      <c r="B281" s="17" t="s">
        <v>647</v>
      </c>
      <c r="C281" s="18" t="s">
        <v>794</v>
      </c>
      <c r="D281" s="18" t="s">
        <v>787</v>
      </c>
      <c r="E281" s="17" t="b">
        <v>1</v>
      </c>
      <c r="F281" s="17" t="s">
        <v>349</v>
      </c>
      <c r="G281" s="17" t="s">
        <v>79</v>
      </c>
      <c r="H281" s="17" t="s">
        <v>80</v>
      </c>
      <c r="I281" s="17" t="s">
        <v>81</v>
      </c>
      <c r="J281" s="17" t="s">
        <v>597</v>
      </c>
      <c r="K281" s="17" t="s">
        <v>505</v>
      </c>
      <c r="L281" s="17" t="s">
        <v>564</v>
      </c>
      <c r="M281" s="68">
        <v>9580.0</v>
      </c>
      <c r="N281" s="60">
        <v>46094.0</v>
      </c>
      <c r="O281" s="60">
        <v>46099.0</v>
      </c>
      <c r="P281" s="17" t="s">
        <v>795</v>
      </c>
      <c r="Q281" s="22">
        <v>19.37</v>
      </c>
      <c r="R281" s="22">
        <v>4285.0</v>
      </c>
      <c r="S281" s="23" t="str">
        <f>iferror(if(AN281=1,VLOOKUP(B281, Blends!H$4:AK$1004,32,0), ""), "")</f>
        <v/>
      </c>
      <c r="T281" s="58"/>
      <c r="U281" s="27"/>
      <c r="V281" s="26"/>
      <c r="W281" s="27"/>
      <c r="X281" s="26"/>
      <c r="Y281" s="26"/>
      <c r="Z281" s="26"/>
      <c r="AA281" s="26"/>
      <c r="AB281" s="26"/>
      <c r="AC281" s="26"/>
      <c r="AD281" s="26"/>
      <c r="AE281" s="26"/>
      <c r="AF281" s="26"/>
      <c r="AG281" s="26"/>
      <c r="AH281" s="26"/>
      <c r="AI281" s="26"/>
      <c r="AJ281" s="26"/>
      <c r="AK281" s="25"/>
      <c r="AL281" s="59"/>
      <c r="AM281" s="35"/>
      <c r="AN281" s="35"/>
      <c r="AO281" s="35"/>
      <c r="AP281" s="35"/>
      <c r="AQ281" s="35"/>
      <c r="AR281" s="35"/>
      <c r="AS281" s="35"/>
      <c r="AT281" s="35"/>
      <c r="AU281" s="35"/>
      <c r="AV281" s="35"/>
      <c r="AW281" s="35"/>
    </row>
    <row r="282">
      <c r="A282" s="66" t="s">
        <v>796</v>
      </c>
      <c r="B282" s="17" t="s">
        <v>647</v>
      </c>
      <c r="C282" s="18" t="s">
        <v>797</v>
      </c>
      <c r="D282" s="18" t="s">
        <v>798</v>
      </c>
      <c r="E282" s="17" t="b">
        <v>1</v>
      </c>
      <c r="F282" s="17" t="s">
        <v>349</v>
      </c>
      <c r="G282" s="17" t="s">
        <v>79</v>
      </c>
      <c r="H282" s="17" t="s">
        <v>80</v>
      </c>
      <c r="I282" s="17" t="s">
        <v>81</v>
      </c>
      <c r="J282" s="17" t="s">
        <v>597</v>
      </c>
      <c r="K282" s="17" t="s">
        <v>491</v>
      </c>
      <c r="L282" s="17" t="s">
        <v>799</v>
      </c>
      <c r="M282" s="57"/>
      <c r="N282" s="60">
        <v>46092.0</v>
      </c>
      <c r="O282" s="60">
        <v>46099.0</v>
      </c>
      <c r="P282" s="17" t="s">
        <v>800</v>
      </c>
      <c r="Q282" s="22">
        <v>19.76</v>
      </c>
      <c r="R282" s="22">
        <v>4576.0</v>
      </c>
      <c r="S282" s="23" t="str">
        <f>iferror(if(AN282=1,VLOOKUP(B282, Blends!H$4:AK$1004,32,0), ""), "")</f>
        <v/>
      </c>
      <c r="T282" s="58"/>
      <c r="U282" s="27"/>
      <c r="V282" s="26"/>
      <c r="W282" s="27"/>
      <c r="X282" s="26"/>
      <c r="Y282" s="26"/>
      <c r="Z282" s="26"/>
      <c r="AA282" s="26"/>
      <c r="AB282" s="26"/>
      <c r="AC282" s="26"/>
      <c r="AD282" s="26"/>
      <c r="AE282" s="26"/>
      <c r="AF282" s="26"/>
      <c r="AG282" s="26"/>
      <c r="AH282" s="26"/>
      <c r="AI282" s="26"/>
      <c r="AJ282" s="26"/>
      <c r="AK282" s="25"/>
      <c r="AL282" s="59"/>
      <c r="AM282" s="35"/>
      <c r="AN282" s="35"/>
      <c r="AO282" s="35"/>
      <c r="AP282" s="35"/>
      <c r="AQ282" s="35"/>
      <c r="AR282" s="35"/>
      <c r="AS282" s="35"/>
      <c r="AT282" s="35"/>
      <c r="AU282" s="35"/>
      <c r="AV282" s="35"/>
      <c r="AW282" s="35"/>
    </row>
    <row r="283">
      <c r="A283" s="66" t="s">
        <v>801</v>
      </c>
      <c r="B283" s="17" t="s">
        <v>647</v>
      </c>
      <c r="C283" s="18" t="s">
        <v>802</v>
      </c>
      <c r="D283" s="18" t="s">
        <v>798</v>
      </c>
      <c r="E283" s="17" t="b">
        <v>1</v>
      </c>
      <c r="F283" s="17" t="s">
        <v>349</v>
      </c>
      <c r="G283" s="17" t="s">
        <v>79</v>
      </c>
      <c r="H283" s="17" t="s">
        <v>80</v>
      </c>
      <c r="I283" s="17" t="s">
        <v>81</v>
      </c>
      <c r="J283" s="17" t="s">
        <v>597</v>
      </c>
      <c r="K283" s="17" t="s">
        <v>491</v>
      </c>
      <c r="L283" s="17" t="s">
        <v>803</v>
      </c>
      <c r="M283" s="57"/>
      <c r="N283" s="60">
        <v>46092.0</v>
      </c>
      <c r="O283" s="60">
        <v>46100.0</v>
      </c>
      <c r="P283" s="17" t="s">
        <v>804</v>
      </c>
      <c r="Q283" s="22">
        <v>20.11</v>
      </c>
      <c r="R283" s="22">
        <v>4946.0</v>
      </c>
      <c r="S283" s="23" t="str">
        <f>iferror(if(AN283=1,VLOOKUP(B283, Blends!H$4:AK$1004,32,0), ""), "")</f>
        <v/>
      </c>
      <c r="T283" s="58"/>
      <c r="U283" s="27"/>
      <c r="V283" s="26"/>
      <c r="W283" s="27"/>
      <c r="X283" s="26"/>
      <c r="Y283" s="26"/>
      <c r="Z283" s="26"/>
      <c r="AA283" s="26"/>
      <c r="AB283" s="26"/>
      <c r="AC283" s="26"/>
      <c r="AD283" s="26"/>
      <c r="AE283" s="26"/>
      <c r="AF283" s="26"/>
      <c r="AG283" s="26"/>
      <c r="AH283" s="26"/>
      <c r="AI283" s="26"/>
      <c r="AJ283" s="26"/>
      <c r="AK283" s="25"/>
      <c r="AL283" s="59"/>
      <c r="AM283" s="35"/>
      <c r="AN283" s="35"/>
      <c r="AO283" s="35"/>
      <c r="AP283" s="35"/>
      <c r="AQ283" s="35"/>
      <c r="AR283" s="35"/>
      <c r="AS283" s="35"/>
      <c r="AT283" s="35"/>
      <c r="AU283" s="35"/>
      <c r="AV283" s="35"/>
      <c r="AW283" s="35"/>
    </row>
    <row r="284">
      <c r="A284" s="66" t="s">
        <v>805</v>
      </c>
      <c r="B284" s="17" t="s">
        <v>647</v>
      </c>
      <c r="C284" s="18" t="s">
        <v>806</v>
      </c>
      <c r="D284" s="18" t="s">
        <v>782</v>
      </c>
      <c r="E284" s="17" t="b">
        <v>1</v>
      </c>
      <c r="F284" s="17" t="s">
        <v>349</v>
      </c>
      <c r="G284" s="17" t="s">
        <v>79</v>
      </c>
      <c r="H284" s="17" t="s">
        <v>80</v>
      </c>
      <c r="I284" s="17" t="s">
        <v>81</v>
      </c>
      <c r="J284" s="17" t="s">
        <v>597</v>
      </c>
      <c r="K284" s="17" t="s">
        <v>491</v>
      </c>
      <c r="L284" s="17" t="s">
        <v>807</v>
      </c>
      <c r="M284" s="57"/>
      <c r="N284" s="60">
        <v>46094.0</v>
      </c>
      <c r="O284" s="60">
        <v>46100.0</v>
      </c>
      <c r="P284" s="17" t="s">
        <v>808</v>
      </c>
      <c r="Q284" s="22">
        <v>19.8</v>
      </c>
      <c r="R284" s="22">
        <v>4717.0</v>
      </c>
      <c r="S284" s="23" t="str">
        <f>iferror(if(AN284=1,VLOOKUP(B284, Blends!H$4:AK$1004,32,0), ""), "")</f>
        <v/>
      </c>
      <c r="T284" s="58"/>
      <c r="U284" s="27"/>
      <c r="V284" s="26"/>
      <c r="W284" s="27"/>
      <c r="X284" s="26"/>
      <c r="Y284" s="26"/>
      <c r="Z284" s="26"/>
      <c r="AA284" s="26"/>
      <c r="AB284" s="26"/>
      <c r="AC284" s="26"/>
      <c r="AD284" s="26"/>
      <c r="AE284" s="26"/>
      <c r="AF284" s="26"/>
      <c r="AG284" s="26"/>
      <c r="AH284" s="26"/>
      <c r="AI284" s="26"/>
      <c r="AJ284" s="26"/>
      <c r="AK284" s="25"/>
      <c r="AL284" s="59"/>
      <c r="AM284" s="35"/>
      <c r="AN284" s="35"/>
      <c r="AO284" s="35"/>
      <c r="AP284" s="35"/>
      <c r="AQ284" s="35"/>
      <c r="AR284" s="35"/>
      <c r="AS284" s="35"/>
      <c r="AT284" s="35"/>
      <c r="AU284" s="35"/>
      <c r="AV284" s="35"/>
      <c r="AW284" s="35"/>
    </row>
    <row r="285">
      <c r="A285" s="66" t="s">
        <v>809</v>
      </c>
      <c r="B285" s="17" t="s">
        <v>647</v>
      </c>
      <c r="C285" s="18" t="s">
        <v>810</v>
      </c>
      <c r="D285" s="18" t="s">
        <v>811</v>
      </c>
      <c r="E285" s="17" t="b">
        <v>1</v>
      </c>
      <c r="F285" s="17" t="s">
        <v>349</v>
      </c>
      <c r="G285" s="17" t="s">
        <v>79</v>
      </c>
      <c r="H285" s="17" t="s">
        <v>80</v>
      </c>
      <c r="I285" s="17" t="s">
        <v>81</v>
      </c>
      <c r="J285" s="17" t="s">
        <v>597</v>
      </c>
      <c r="K285" s="17" t="s">
        <v>491</v>
      </c>
      <c r="L285" s="17" t="s">
        <v>534</v>
      </c>
      <c r="M285" s="57"/>
      <c r="N285" s="60">
        <v>46094.0</v>
      </c>
      <c r="O285" s="60">
        <v>46101.0</v>
      </c>
      <c r="P285" s="17" t="s">
        <v>812</v>
      </c>
      <c r="Q285" s="22">
        <v>19.19</v>
      </c>
      <c r="R285" s="22">
        <v>4700.0</v>
      </c>
      <c r="S285" s="23" t="str">
        <f>iferror(if(AN285=1,VLOOKUP(B285, Blends!H$4:AK$1004,32,0), ""), "")</f>
        <v/>
      </c>
      <c r="T285" s="58"/>
      <c r="U285" s="27"/>
      <c r="V285" s="26"/>
      <c r="W285" s="27"/>
      <c r="X285" s="26"/>
      <c r="Y285" s="26"/>
      <c r="Z285" s="26"/>
      <c r="AA285" s="26"/>
      <c r="AB285" s="26"/>
      <c r="AC285" s="26"/>
      <c r="AD285" s="26"/>
      <c r="AE285" s="26"/>
      <c r="AF285" s="26"/>
      <c r="AG285" s="26"/>
      <c r="AH285" s="26"/>
      <c r="AI285" s="26"/>
      <c r="AJ285" s="26"/>
      <c r="AK285" s="25"/>
      <c r="AL285" s="59"/>
      <c r="AM285" s="35"/>
      <c r="AN285" s="35"/>
      <c r="AO285" s="35"/>
      <c r="AP285" s="35"/>
      <c r="AQ285" s="35"/>
      <c r="AR285" s="35"/>
      <c r="AS285" s="35"/>
      <c r="AT285" s="35"/>
      <c r="AU285" s="35"/>
      <c r="AV285" s="35"/>
      <c r="AW285" s="35"/>
    </row>
    <row r="286">
      <c r="A286" s="66" t="s">
        <v>813</v>
      </c>
      <c r="B286" s="17" t="s">
        <v>647</v>
      </c>
      <c r="C286" s="18" t="s">
        <v>814</v>
      </c>
      <c r="D286" s="18" t="s">
        <v>811</v>
      </c>
      <c r="E286" s="17" t="b">
        <v>1</v>
      </c>
      <c r="F286" s="17" t="s">
        <v>349</v>
      </c>
      <c r="G286" s="17" t="s">
        <v>79</v>
      </c>
      <c r="H286" s="17" t="s">
        <v>80</v>
      </c>
      <c r="I286" s="17" t="s">
        <v>81</v>
      </c>
      <c r="J286" s="17" t="s">
        <v>597</v>
      </c>
      <c r="K286" s="17" t="s">
        <v>491</v>
      </c>
      <c r="L286" s="17" t="s">
        <v>638</v>
      </c>
      <c r="M286" s="57"/>
      <c r="N286" s="60">
        <v>46097.0</v>
      </c>
      <c r="O286" s="60">
        <v>46101.0</v>
      </c>
      <c r="P286" s="17" t="s">
        <v>815</v>
      </c>
      <c r="Q286" s="22">
        <v>19.76</v>
      </c>
      <c r="R286" s="22">
        <v>4411.0</v>
      </c>
      <c r="S286" s="23" t="str">
        <f>iferror(if(AN286=1,VLOOKUP(B286, Blends!H$4:AK$1004,32,0), ""), "")</f>
        <v/>
      </c>
      <c r="T286" s="58"/>
      <c r="U286" s="27"/>
      <c r="V286" s="26"/>
      <c r="W286" s="27"/>
      <c r="X286" s="26"/>
      <c r="Y286" s="26"/>
      <c r="Z286" s="26"/>
      <c r="AA286" s="26"/>
      <c r="AB286" s="26"/>
      <c r="AC286" s="26"/>
      <c r="AD286" s="26"/>
      <c r="AE286" s="26"/>
      <c r="AF286" s="26"/>
      <c r="AG286" s="26"/>
      <c r="AH286" s="26"/>
      <c r="AI286" s="26"/>
      <c r="AJ286" s="26"/>
      <c r="AK286" s="25"/>
      <c r="AL286" s="59"/>
      <c r="AM286" s="35"/>
      <c r="AN286" s="35"/>
      <c r="AO286" s="35"/>
      <c r="AP286" s="35"/>
      <c r="AQ286" s="35"/>
      <c r="AR286" s="35"/>
      <c r="AS286" s="35"/>
      <c r="AT286" s="35"/>
      <c r="AU286" s="35"/>
      <c r="AV286" s="35"/>
      <c r="AW286" s="35"/>
    </row>
    <row r="287">
      <c r="A287" s="66" t="s">
        <v>816</v>
      </c>
      <c r="B287" s="17" t="s">
        <v>647</v>
      </c>
      <c r="C287" s="18" t="s">
        <v>817</v>
      </c>
      <c r="D287" s="18" t="s">
        <v>811</v>
      </c>
      <c r="E287" s="17" t="b">
        <v>1</v>
      </c>
      <c r="F287" s="17" t="s">
        <v>349</v>
      </c>
      <c r="G287" s="17" t="s">
        <v>79</v>
      </c>
      <c r="H287" s="17" t="s">
        <v>80</v>
      </c>
      <c r="I287" s="17" t="s">
        <v>81</v>
      </c>
      <c r="J287" s="17" t="s">
        <v>597</v>
      </c>
      <c r="K287" s="17" t="s">
        <v>491</v>
      </c>
      <c r="L287" s="17" t="s">
        <v>818</v>
      </c>
      <c r="M287" s="57"/>
      <c r="N287" s="60">
        <v>46097.0</v>
      </c>
      <c r="O287" s="60">
        <v>46101.0</v>
      </c>
      <c r="P287" s="17" t="s">
        <v>819</v>
      </c>
      <c r="Q287" s="22">
        <v>19.66</v>
      </c>
      <c r="R287" s="22">
        <v>4581.0</v>
      </c>
      <c r="S287" s="23" t="str">
        <f>iferror(if(AN287=1,VLOOKUP(B287, Blends!H$4:AK$1004,32,0), ""), "")</f>
        <v/>
      </c>
      <c r="T287" s="58"/>
      <c r="U287" s="27"/>
      <c r="V287" s="26"/>
      <c r="W287" s="27"/>
      <c r="X287" s="26"/>
      <c r="Y287" s="26"/>
      <c r="Z287" s="26"/>
      <c r="AA287" s="26"/>
      <c r="AB287" s="26"/>
      <c r="AC287" s="26"/>
      <c r="AD287" s="26"/>
      <c r="AE287" s="26"/>
      <c r="AF287" s="26"/>
      <c r="AG287" s="26"/>
      <c r="AH287" s="26"/>
      <c r="AI287" s="26"/>
      <c r="AJ287" s="26"/>
      <c r="AK287" s="25"/>
      <c r="AL287" s="59"/>
      <c r="AM287" s="35"/>
      <c r="AN287" s="35"/>
      <c r="AO287" s="35"/>
      <c r="AP287" s="35"/>
      <c r="AQ287" s="35"/>
      <c r="AR287" s="35"/>
      <c r="AS287" s="35"/>
      <c r="AT287" s="35"/>
      <c r="AU287" s="35"/>
      <c r="AV287" s="35"/>
      <c r="AW287" s="35"/>
    </row>
    <row r="288">
      <c r="A288" s="66" t="s">
        <v>820</v>
      </c>
      <c r="B288" s="17" t="s">
        <v>647</v>
      </c>
      <c r="C288" s="18" t="s">
        <v>821</v>
      </c>
      <c r="D288" s="18" t="s">
        <v>822</v>
      </c>
      <c r="E288" s="17" t="b">
        <v>1</v>
      </c>
      <c r="F288" s="17" t="s">
        <v>349</v>
      </c>
      <c r="G288" s="17" t="s">
        <v>79</v>
      </c>
      <c r="H288" s="17" t="s">
        <v>80</v>
      </c>
      <c r="I288" s="17" t="s">
        <v>81</v>
      </c>
      <c r="J288" s="17" t="s">
        <v>597</v>
      </c>
      <c r="K288" s="17" t="s">
        <v>491</v>
      </c>
      <c r="L288" s="17" t="s">
        <v>799</v>
      </c>
      <c r="M288" s="57"/>
      <c r="N288" s="60">
        <v>46098.0</v>
      </c>
      <c r="O288" s="60">
        <v>46103.0</v>
      </c>
      <c r="P288" s="17" t="s">
        <v>823</v>
      </c>
      <c r="Q288" s="22">
        <v>19.69</v>
      </c>
      <c r="R288" s="22">
        <v>4333.0</v>
      </c>
      <c r="S288" s="23" t="str">
        <f>iferror(if(AN288=1,VLOOKUP(B288, Blends!H$4:AK$1004,32,0), ""), "")</f>
        <v/>
      </c>
      <c r="T288" s="58"/>
      <c r="U288" s="27"/>
      <c r="V288" s="26"/>
      <c r="W288" s="27"/>
      <c r="X288" s="26"/>
      <c r="Y288" s="26"/>
      <c r="Z288" s="26"/>
      <c r="AA288" s="26"/>
      <c r="AB288" s="26"/>
      <c r="AC288" s="26"/>
      <c r="AD288" s="26"/>
      <c r="AE288" s="26"/>
      <c r="AF288" s="26"/>
      <c r="AG288" s="26"/>
      <c r="AH288" s="26"/>
      <c r="AI288" s="26"/>
      <c r="AJ288" s="26"/>
      <c r="AK288" s="25"/>
      <c r="AL288" s="59"/>
      <c r="AM288" s="35"/>
      <c r="AN288" s="35"/>
      <c r="AO288" s="35"/>
      <c r="AP288" s="35"/>
      <c r="AQ288" s="35"/>
      <c r="AR288" s="35"/>
      <c r="AS288" s="35"/>
      <c r="AT288" s="35"/>
      <c r="AU288" s="35"/>
      <c r="AV288" s="35"/>
      <c r="AW288" s="35"/>
    </row>
    <row r="289">
      <c r="A289" s="66" t="s">
        <v>824</v>
      </c>
      <c r="B289" s="17" t="s">
        <v>647</v>
      </c>
      <c r="C289" s="18" t="s">
        <v>825</v>
      </c>
      <c r="D289" s="18" t="s">
        <v>822</v>
      </c>
      <c r="E289" s="17" t="b">
        <v>1</v>
      </c>
      <c r="F289" s="17" t="s">
        <v>349</v>
      </c>
      <c r="G289" s="17" t="s">
        <v>79</v>
      </c>
      <c r="H289" s="17" t="s">
        <v>80</v>
      </c>
      <c r="I289" s="17" t="s">
        <v>81</v>
      </c>
      <c r="J289" s="17" t="s">
        <v>597</v>
      </c>
      <c r="K289" s="17" t="s">
        <v>491</v>
      </c>
      <c r="L289" s="17" t="s">
        <v>694</v>
      </c>
      <c r="M289" s="57"/>
      <c r="N289" s="60">
        <v>46099.0</v>
      </c>
      <c r="O289" s="60">
        <v>46104.0</v>
      </c>
      <c r="P289" s="17" t="s">
        <v>826</v>
      </c>
      <c r="Q289" s="22">
        <v>19.75</v>
      </c>
      <c r="R289" s="22">
        <v>4321.0</v>
      </c>
      <c r="S289" s="23" t="str">
        <f>iferror(if(AN289=1,VLOOKUP(B289, Blends!H$4:AK$1004,32,0), ""), "")</f>
        <v/>
      </c>
      <c r="T289" s="58"/>
      <c r="U289" s="27"/>
      <c r="V289" s="26"/>
      <c r="W289" s="27"/>
      <c r="X289" s="26"/>
      <c r="Y289" s="26"/>
      <c r="Z289" s="26"/>
      <c r="AA289" s="26"/>
      <c r="AB289" s="26"/>
      <c r="AC289" s="26"/>
      <c r="AD289" s="26"/>
      <c r="AE289" s="26"/>
      <c r="AF289" s="26"/>
      <c r="AG289" s="26"/>
      <c r="AH289" s="26"/>
      <c r="AI289" s="26"/>
      <c r="AJ289" s="26"/>
      <c r="AK289" s="25"/>
      <c r="AL289" s="59"/>
      <c r="AM289" s="35"/>
      <c r="AN289" s="35"/>
      <c r="AO289" s="35"/>
      <c r="AP289" s="35"/>
      <c r="AQ289" s="35"/>
      <c r="AR289" s="35"/>
      <c r="AS289" s="35"/>
      <c r="AT289" s="35"/>
      <c r="AU289" s="35"/>
      <c r="AV289" s="35"/>
      <c r="AW289" s="35"/>
    </row>
    <row r="290">
      <c r="A290" s="66" t="s">
        <v>827</v>
      </c>
      <c r="B290" s="17" t="s">
        <v>647</v>
      </c>
      <c r="C290" s="18" t="s">
        <v>828</v>
      </c>
      <c r="D290" s="18" t="s">
        <v>829</v>
      </c>
      <c r="E290" s="17" t="b">
        <v>1</v>
      </c>
      <c r="F290" s="17" t="s">
        <v>349</v>
      </c>
      <c r="G290" s="17" t="s">
        <v>79</v>
      </c>
      <c r="H290" s="17" t="s">
        <v>80</v>
      </c>
      <c r="I290" s="17" t="s">
        <v>81</v>
      </c>
      <c r="J290" s="17" t="s">
        <v>597</v>
      </c>
      <c r="K290" s="17" t="s">
        <v>491</v>
      </c>
      <c r="L290" s="17" t="s">
        <v>534</v>
      </c>
      <c r="M290" s="57"/>
      <c r="N290" s="60">
        <v>46099.0</v>
      </c>
      <c r="O290" s="60">
        <v>46106.0</v>
      </c>
      <c r="P290" s="68" t="s">
        <v>830</v>
      </c>
      <c r="Q290" s="22">
        <v>20.51</v>
      </c>
      <c r="R290" s="22">
        <v>4548.0</v>
      </c>
      <c r="S290" s="23" t="str">
        <f>iferror(if(AN290=1,VLOOKUP(B290, Blends!H$4:AK$1004,32,0), ""), "")</f>
        <v/>
      </c>
      <c r="T290" s="58"/>
      <c r="U290" s="27"/>
      <c r="V290" s="26"/>
      <c r="W290" s="27"/>
      <c r="X290" s="26"/>
      <c r="Y290" s="26"/>
      <c r="Z290" s="26"/>
      <c r="AA290" s="26"/>
      <c r="AB290" s="26"/>
      <c r="AC290" s="26"/>
      <c r="AD290" s="26"/>
      <c r="AE290" s="26"/>
      <c r="AF290" s="26"/>
      <c r="AG290" s="26"/>
      <c r="AH290" s="26"/>
      <c r="AI290" s="26"/>
      <c r="AJ290" s="26"/>
      <c r="AK290" s="25"/>
      <c r="AL290" s="59"/>
      <c r="AM290" s="35"/>
      <c r="AN290" s="35"/>
      <c r="AO290" s="35"/>
      <c r="AP290" s="35"/>
      <c r="AQ290" s="35"/>
      <c r="AR290" s="35"/>
      <c r="AS290" s="35"/>
      <c r="AT290" s="35"/>
      <c r="AU290" s="35"/>
      <c r="AV290" s="35"/>
      <c r="AW290" s="35"/>
    </row>
    <row r="291">
      <c r="A291" s="66" t="s">
        <v>831</v>
      </c>
      <c r="B291" s="17" t="s">
        <v>647</v>
      </c>
      <c r="C291" s="18" t="s">
        <v>832</v>
      </c>
      <c r="D291" s="18" t="s">
        <v>811</v>
      </c>
      <c r="E291" s="17" t="b">
        <v>1</v>
      </c>
      <c r="F291" s="17" t="s">
        <v>349</v>
      </c>
      <c r="G291" s="17" t="s">
        <v>79</v>
      </c>
      <c r="H291" s="17" t="s">
        <v>80</v>
      </c>
      <c r="I291" s="17" t="s">
        <v>81</v>
      </c>
      <c r="J291" s="17" t="s">
        <v>597</v>
      </c>
      <c r="K291" s="17" t="s">
        <v>505</v>
      </c>
      <c r="L291" s="17" t="s">
        <v>833</v>
      </c>
      <c r="M291" s="68">
        <v>9580.0</v>
      </c>
      <c r="N291" s="60">
        <v>46097.0</v>
      </c>
      <c r="O291" s="60">
        <v>46103.0</v>
      </c>
      <c r="P291" s="17" t="s">
        <v>834</v>
      </c>
      <c r="Q291" s="22">
        <v>20.18</v>
      </c>
      <c r="R291" s="22">
        <v>4891.0</v>
      </c>
      <c r="S291" s="23" t="str">
        <f>iferror(if(AN291=1,VLOOKUP(B291, Blends!H$4:AK$1004,32,0), ""), "")</f>
        <v/>
      </c>
      <c r="T291" s="58"/>
      <c r="U291" s="27"/>
      <c r="V291" s="26"/>
      <c r="W291" s="27"/>
      <c r="X291" s="26"/>
      <c r="Y291" s="26"/>
      <c r="Z291" s="26"/>
      <c r="AA291" s="26"/>
      <c r="AB291" s="26"/>
      <c r="AC291" s="26"/>
      <c r="AD291" s="26"/>
      <c r="AE291" s="26"/>
      <c r="AF291" s="26"/>
      <c r="AG291" s="26"/>
      <c r="AH291" s="26"/>
      <c r="AI291" s="26"/>
      <c r="AJ291" s="26"/>
      <c r="AK291" s="25"/>
      <c r="AL291" s="59"/>
      <c r="AM291" s="35"/>
      <c r="AN291" s="35"/>
      <c r="AO291" s="35"/>
      <c r="AP291" s="35"/>
      <c r="AQ291" s="35"/>
      <c r="AR291" s="35"/>
      <c r="AS291" s="35"/>
      <c r="AT291" s="35"/>
      <c r="AU291" s="35"/>
      <c r="AV291" s="35"/>
      <c r="AW291" s="35"/>
    </row>
    <row r="292">
      <c r="A292" s="66" t="s">
        <v>835</v>
      </c>
      <c r="B292" s="17" t="s">
        <v>647</v>
      </c>
      <c r="C292" s="18" t="s">
        <v>836</v>
      </c>
      <c r="D292" s="18" t="s">
        <v>822</v>
      </c>
      <c r="E292" s="17" t="b">
        <v>1</v>
      </c>
      <c r="F292" s="17" t="s">
        <v>349</v>
      </c>
      <c r="G292" s="17" t="s">
        <v>79</v>
      </c>
      <c r="H292" s="17" t="s">
        <v>80</v>
      </c>
      <c r="I292" s="17" t="s">
        <v>81</v>
      </c>
      <c r="J292" s="17" t="s">
        <v>597</v>
      </c>
      <c r="K292" s="17" t="s">
        <v>505</v>
      </c>
      <c r="L292" s="70" t="s">
        <v>685</v>
      </c>
      <c r="M292" s="68">
        <v>9580.0</v>
      </c>
      <c r="N292" s="60">
        <v>46098.0</v>
      </c>
      <c r="O292" s="60">
        <v>46103.0</v>
      </c>
      <c r="P292" s="17" t="s">
        <v>837</v>
      </c>
      <c r="Q292" s="22">
        <v>19.98</v>
      </c>
      <c r="R292" s="22">
        <v>4449.0</v>
      </c>
      <c r="S292" s="23" t="str">
        <f>iferror(if(AN292=1,VLOOKUP(B292, Blends!H$4:AK$1004,32,0), ""), "")</f>
        <v/>
      </c>
      <c r="T292" s="58"/>
      <c r="U292" s="27"/>
      <c r="V292" s="26"/>
      <c r="W292" s="27"/>
      <c r="X292" s="26"/>
      <c r="Y292" s="26"/>
      <c r="Z292" s="26"/>
      <c r="AA292" s="26"/>
      <c r="AB292" s="26"/>
      <c r="AC292" s="26"/>
      <c r="AD292" s="26"/>
      <c r="AE292" s="26"/>
      <c r="AF292" s="26"/>
      <c r="AG292" s="26"/>
      <c r="AH292" s="26"/>
      <c r="AI292" s="26"/>
      <c r="AJ292" s="26"/>
      <c r="AK292" s="25"/>
      <c r="AL292" s="59"/>
      <c r="AM292" s="35"/>
      <c r="AN292" s="35"/>
      <c r="AO292" s="35"/>
      <c r="AP292" s="35"/>
      <c r="AQ292" s="35"/>
      <c r="AR292" s="35"/>
      <c r="AS292" s="35"/>
      <c r="AT292" s="35"/>
      <c r="AU292" s="35"/>
      <c r="AV292" s="35"/>
      <c r="AW292" s="35"/>
    </row>
    <row r="293">
      <c r="A293" s="66" t="s">
        <v>838</v>
      </c>
      <c r="B293" s="17" t="s">
        <v>647</v>
      </c>
      <c r="C293" s="18" t="s">
        <v>839</v>
      </c>
      <c r="D293" s="18" t="s">
        <v>822</v>
      </c>
      <c r="E293" s="17" t="b">
        <v>1</v>
      </c>
      <c r="F293" s="17" t="s">
        <v>349</v>
      </c>
      <c r="G293" s="17" t="s">
        <v>79</v>
      </c>
      <c r="H293" s="17" t="s">
        <v>80</v>
      </c>
      <c r="I293" s="17" t="s">
        <v>81</v>
      </c>
      <c r="J293" s="17" t="s">
        <v>597</v>
      </c>
      <c r="K293" s="17" t="s">
        <v>505</v>
      </c>
      <c r="L293" s="70" t="s">
        <v>698</v>
      </c>
      <c r="M293" s="68">
        <v>9580.0</v>
      </c>
      <c r="N293" s="60">
        <v>46099.0</v>
      </c>
      <c r="O293" s="60">
        <v>46104.0</v>
      </c>
      <c r="P293" s="68" t="s">
        <v>840</v>
      </c>
      <c r="Q293" s="22">
        <v>19.95</v>
      </c>
      <c r="R293" s="22">
        <v>4390.0</v>
      </c>
      <c r="S293" s="23" t="str">
        <f>iferror(if(AN293=1,VLOOKUP(B293, Blends!H$4:AK$1004,32,0), ""), "")</f>
        <v/>
      </c>
      <c r="T293" s="58"/>
      <c r="U293" s="27"/>
      <c r="V293" s="26"/>
      <c r="W293" s="27"/>
      <c r="X293" s="26"/>
      <c r="Y293" s="26"/>
      <c r="Z293" s="26"/>
      <c r="AA293" s="26"/>
      <c r="AB293" s="26"/>
      <c r="AC293" s="26"/>
      <c r="AD293" s="26"/>
      <c r="AE293" s="26"/>
      <c r="AF293" s="26"/>
      <c r="AG293" s="26"/>
      <c r="AH293" s="26"/>
      <c r="AI293" s="26"/>
      <c r="AJ293" s="26"/>
      <c r="AK293" s="25"/>
      <c r="AL293" s="59"/>
      <c r="AM293" s="35"/>
      <c r="AN293" s="35"/>
      <c r="AO293" s="35"/>
      <c r="AP293" s="35"/>
      <c r="AQ293" s="35"/>
      <c r="AR293" s="35"/>
      <c r="AS293" s="35"/>
      <c r="AT293" s="35"/>
      <c r="AU293" s="35"/>
      <c r="AV293" s="35"/>
      <c r="AW293" s="35"/>
    </row>
    <row r="294">
      <c r="A294" s="66" t="s">
        <v>841</v>
      </c>
      <c r="B294" s="17" t="s">
        <v>647</v>
      </c>
      <c r="C294" s="18" t="s">
        <v>842</v>
      </c>
      <c r="D294" s="18" t="s">
        <v>829</v>
      </c>
      <c r="E294" s="17" t="b">
        <v>1</v>
      </c>
      <c r="F294" s="17" t="s">
        <v>349</v>
      </c>
      <c r="G294" s="17" t="s">
        <v>79</v>
      </c>
      <c r="H294" s="17" t="s">
        <v>80</v>
      </c>
      <c r="I294" s="17" t="s">
        <v>81</v>
      </c>
      <c r="J294" s="17" t="s">
        <v>597</v>
      </c>
      <c r="K294" s="17" t="s">
        <v>491</v>
      </c>
      <c r="L294" s="17" t="s">
        <v>818</v>
      </c>
      <c r="M294" s="57"/>
      <c r="N294" s="60">
        <v>46100.0</v>
      </c>
      <c r="O294" s="60">
        <v>46106.0</v>
      </c>
      <c r="P294" s="17" t="s">
        <v>843</v>
      </c>
      <c r="Q294" s="22">
        <v>19.91</v>
      </c>
      <c r="R294" s="22">
        <v>4459.0</v>
      </c>
      <c r="S294" s="23" t="str">
        <f>iferror(if(AN294=1,VLOOKUP(B294, Blends!H$4:AK$1004,32,0), ""), "")</f>
        <v/>
      </c>
      <c r="T294" s="58"/>
      <c r="U294" s="27"/>
      <c r="V294" s="26"/>
      <c r="W294" s="27"/>
      <c r="X294" s="26"/>
      <c r="Y294" s="26"/>
      <c r="Z294" s="26"/>
      <c r="AA294" s="26"/>
      <c r="AB294" s="26"/>
      <c r="AC294" s="26"/>
      <c r="AD294" s="26"/>
      <c r="AE294" s="26"/>
      <c r="AF294" s="26"/>
      <c r="AG294" s="26"/>
      <c r="AH294" s="26"/>
      <c r="AI294" s="26"/>
      <c r="AJ294" s="26"/>
      <c r="AK294" s="25"/>
      <c r="AL294" s="59"/>
      <c r="AM294" s="35"/>
      <c r="AN294" s="35"/>
      <c r="AO294" s="35"/>
      <c r="AP294" s="35"/>
      <c r="AQ294" s="35"/>
      <c r="AR294" s="35"/>
      <c r="AS294" s="35"/>
      <c r="AT294" s="35"/>
      <c r="AU294" s="35"/>
      <c r="AV294" s="35"/>
      <c r="AW294" s="35"/>
    </row>
    <row r="295">
      <c r="A295" s="66" t="s">
        <v>844</v>
      </c>
      <c r="B295" s="17" t="s">
        <v>647</v>
      </c>
      <c r="C295" s="18" t="s">
        <v>845</v>
      </c>
      <c r="D295" s="18" t="s">
        <v>846</v>
      </c>
      <c r="E295" s="17" t="b">
        <v>1</v>
      </c>
      <c r="F295" s="17" t="s">
        <v>349</v>
      </c>
      <c r="G295" s="17" t="s">
        <v>79</v>
      </c>
      <c r="H295" s="17" t="s">
        <v>80</v>
      </c>
      <c r="I295" s="17" t="s">
        <v>105</v>
      </c>
      <c r="J295" s="17" t="s">
        <v>597</v>
      </c>
      <c r="K295" s="17" t="s">
        <v>177</v>
      </c>
      <c r="L295" s="17" t="s">
        <v>847</v>
      </c>
      <c r="N295" s="60">
        <v>46104.0</v>
      </c>
      <c r="O295" s="60">
        <v>46112.0</v>
      </c>
      <c r="P295" s="68" t="s">
        <v>848</v>
      </c>
      <c r="Q295" s="69">
        <f>25.7+25.63+25.94</f>
        <v>77.27</v>
      </c>
      <c r="R295" s="69">
        <f>5654+5703+5738</f>
        <v>17095</v>
      </c>
      <c r="S295" s="23" t="str">
        <f>iferror(if(AN295=1,VLOOKUP(B295, Blends!H$4:AK$1004,32,0), ""), "")</f>
        <v/>
      </c>
      <c r="T295" s="58"/>
      <c r="U295" s="27"/>
      <c r="V295" s="26"/>
      <c r="W295" s="27"/>
      <c r="X295" s="26"/>
      <c r="Y295" s="26"/>
      <c r="Z295" s="26"/>
      <c r="AA295" s="26"/>
      <c r="AB295" s="26"/>
      <c r="AC295" s="26"/>
      <c r="AD295" s="26"/>
      <c r="AE295" s="26"/>
      <c r="AF295" s="26"/>
      <c r="AG295" s="26"/>
      <c r="AH295" s="26"/>
      <c r="AI295" s="26"/>
      <c r="AJ295" s="26"/>
      <c r="AK295" s="25"/>
      <c r="AL295" s="59"/>
      <c r="AM295" s="35"/>
      <c r="AN295" s="35"/>
      <c r="AO295" s="35"/>
      <c r="AP295" s="35"/>
      <c r="AQ295" s="35"/>
      <c r="AR295" s="35"/>
      <c r="AS295" s="35"/>
      <c r="AT295" s="35"/>
      <c r="AU295" s="35"/>
      <c r="AV295" s="35"/>
      <c r="AW295" s="35"/>
    </row>
    <row r="296">
      <c r="A296" s="66" t="s">
        <v>849</v>
      </c>
      <c r="B296" s="17" t="s">
        <v>850</v>
      </c>
      <c r="C296" s="71" t="s">
        <v>851</v>
      </c>
      <c r="D296" s="18" t="s">
        <v>852</v>
      </c>
      <c r="E296" s="17" t="b">
        <v>1</v>
      </c>
      <c r="F296" s="17" t="s">
        <v>349</v>
      </c>
      <c r="G296" s="17" t="s">
        <v>79</v>
      </c>
      <c r="H296" s="17" t="s">
        <v>80</v>
      </c>
      <c r="I296" s="17" t="s">
        <v>81</v>
      </c>
      <c r="J296" s="17" t="s">
        <v>597</v>
      </c>
      <c r="K296" s="17" t="s">
        <v>505</v>
      </c>
      <c r="L296" s="70" t="s">
        <v>698</v>
      </c>
      <c r="M296" s="68">
        <v>9880.0</v>
      </c>
      <c r="N296" s="60">
        <v>46118.0</v>
      </c>
      <c r="O296" s="60">
        <v>46123.0</v>
      </c>
      <c r="P296" s="17" t="s">
        <v>853</v>
      </c>
      <c r="Q296" s="70">
        <v>19.88</v>
      </c>
      <c r="R296" s="17">
        <v>4733.0</v>
      </c>
      <c r="S296" s="23"/>
      <c r="T296" s="58"/>
      <c r="U296" s="27"/>
      <c r="V296" s="26"/>
      <c r="W296" s="27"/>
      <c r="X296" s="26"/>
      <c r="Y296" s="26"/>
      <c r="Z296" s="26"/>
      <c r="AA296" s="26"/>
      <c r="AB296" s="26"/>
      <c r="AC296" s="26"/>
      <c r="AD296" s="26"/>
      <c r="AE296" s="26"/>
      <c r="AF296" s="26"/>
      <c r="AG296" s="26"/>
      <c r="AH296" s="26"/>
      <c r="AI296" s="26"/>
      <c r="AJ296" s="26"/>
      <c r="AK296" s="25"/>
      <c r="AL296" s="59"/>
      <c r="AM296" s="35"/>
      <c r="AN296" s="35"/>
      <c r="AO296" s="35"/>
      <c r="AP296" s="35"/>
      <c r="AQ296" s="35"/>
      <c r="AR296" s="35"/>
      <c r="AS296" s="35"/>
      <c r="AT296" s="35"/>
      <c r="AU296" s="35"/>
      <c r="AV296" s="35"/>
      <c r="AW296" s="35"/>
    </row>
    <row r="297">
      <c r="A297" s="66" t="s">
        <v>854</v>
      </c>
      <c r="B297" s="17" t="s">
        <v>850</v>
      </c>
      <c r="C297" s="18" t="s">
        <v>855</v>
      </c>
      <c r="D297" s="18" t="s">
        <v>856</v>
      </c>
      <c r="E297" s="17" t="b">
        <v>1</v>
      </c>
      <c r="F297" s="17" t="s">
        <v>349</v>
      </c>
      <c r="G297" s="17" t="s">
        <v>79</v>
      </c>
      <c r="H297" s="17" t="s">
        <v>80</v>
      </c>
      <c r="I297" s="17" t="s">
        <v>105</v>
      </c>
      <c r="J297" s="17" t="s">
        <v>597</v>
      </c>
      <c r="K297" s="17" t="s">
        <v>177</v>
      </c>
      <c r="L297" s="17" t="s">
        <v>655</v>
      </c>
      <c r="N297" s="60">
        <v>46114.0</v>
      </c>
      <c r="O297" s="72">
        <v>46142.0</v>
      </c>
      <c r="P297" s="68" t="s">
        <v>857</v>
      </c>
      <c r="Q297" s="73">
        <f>25.57+25.48+25.53</f>
        <v>76.58</v>
      </c>
      <c r="R297" s="74">
        <f>5675+5643+5656</f>
        <v>16974</v>
      </c>
      <c r="S297" s="23" t="str">
        <f>iferror(if(AN297=1,VLOOKUP(B297, Blends!H$4:AK$1004,32,0), ""), "")</f>
        <v/>
      </c>
      <c r="T297" s="58"/>
      <c r="U297" s="27"/>
      <c r="V297" s="26"/>
      <c r="W297" s="27"/>
      <c r="X297" s="26"/>
      <c r="Y297" s="26"/>
      <c r="Z297" s="26"/>
      <c r="AA297" s="26"/>
      <c r="AB297" s="26"/>
      <c r="AC297" s="26"/>
      <c r="AD297" s="26"/>
      <c r="AE297" s="26"/>
      <c r="AF297" s="26"/>
      <c r="AG297" s="26"/>
      <c r="AH297" s="26"/>
      <c r="AI297" s="26"/>
      <c r="AJ297" s="26"/>
      <c r="AK297" s="25"/>
      <c r="AL297" s="59"/>
      <c r="AM297" s="35"/>
      <c r="AN297" s="35"/>
      <c r="AO297" s="35"/>
      <c r="AP297" s="35"/>
      <c r="AQ297" s="35"/>
      <c r="AR297" s="35"/>
      <c r="AS297" s="35"/>
      <c r="AT297" s="35"/>
      <c r="AU297" s="35"/>
      <c r="AV297" s="35"/>
      <c r="AW297" s="35"/>
    </row>
    <row r="298">
      <c r="A298" s="66" t="s">
        <v>858</v>
      </c>
      <c r="B298" s="17" t="s">
        <v>850</v>
      </c>
      <c r="C298" s="71" t="s">
        <v>859</v>
      </c>
      <c r="D298" s="75" t="s">
        <v>860</v>
      </c>
      <c r="E298" s="17" t="b">
        <v>1</v>
      </c>
      <c r="F298" s="17" t="s">
        <v>349</v>
      </c>
      <c r="G298" s="17" t="s">
        <v>79</v>
      </c>
      <c r="H298" s="17" t="s">
        <v>80</v>
      </c>
      <c r="I298" s="17" t="s">
        <v>105</v>
      </c>
      <c r="J298" s="17" t="s">
        <v>597</v>
      </c>
      <c r="K298" s="17" t="s">
        <v>177</v>
      </c>
      <c r="L298" s="17" t="s">
        <v>861</v>
      </c>
      <c r="N298" s="60">
        <v>46115.0</v>
      </c>
      <c r="O298" s="72">
        <v>46141.0</v>
      </c>
      <c r="P298" s="68" t="s">
        <v>862</v>
      </c>
      <c r="Q298" s="73">
        <f>25.62+25.37+25.78</f>
        <v>76.77</v>
      </c>
      <c r="R298" s="73">
        <f>4760+5626+5778</f>
        <v>16164</v>
      </c>
      <c r="S298" s="23" t="str">
        <f>iferror(if(AN298=1,VLOOKUP(B298, Blends!H$4:AK$1004,32,0), ""), "")</f>
        <v/>
      </c>
      <c r="T298" s="58"/>
      <c r="U298" s="27"/>
      <c r="V298" s="26"/>
      <c r="W298" s="27"/>
      <c r="X298" s="26"/>
      <c r="Y298" s="26"/>
      <c r="Z298" s="26"/>
      <c r="AA298" s="26"/>
      <c r="AB298" s="26"/>
      <c r="AC298" s="26"/>
      <c r="AD298" s="26"/>
      <c r="AE298" s="26"/>
      <c r="AF298" s="26"/>
      <c r="AG298" s="26"/>
      <c r="AH298" s="26"/>
      <c r="AI298" s="26"/>
      <c r="AJ298" s="26"/>
      <c r="AK298" s="25"/>
      <c r="AL298" s="59"/>
      <c r="AM298" s="35"/>
      <c r="AN298" s="35"/>
      <c r="AO298" s="35"/>
      <c r="AP298" s="35"/>
      <c r="AQ298" s="35"/>
      <c r="AR298" s="35"/>
      <c r="AS298" s="35"/>
      <c r="AT298" s="35"/>
      <c r="AU298" s="35"/>
      <c r="AV298" s="35"/>
      <c r="AW298" s="35"/>
    </row>
    <row r="299">
      <c r="A299" s="66" t="s">
        <v>863</v>
      </c>
      <c r="B299" s="17" t="s">
        <v>850</v>
      </c>
      <c r="C299" s="18" t="s">
        <v>864</v>
      </c>
      <c r="D299" s="18" t="s">
        <v>865</v>
      </c>
      <c r="E299" s="17" t="b">
        <v>1</v>
      </c>
      <c r="F299" s="17" t="s">
        <v>349</v>
      </c>
      <c r="G299" s="17" t="s">
        <v>79</v>
      </c>
      <c r="H299" s="17" t="s">
        <v>80</v>
      </c>
      <c r="I299" s="17" t="s">
        <v>81</v>
      </c>
      <c r="J299" s="17" t="s">
        <v>597</v>
      </c>
      <c r="K299" s="17" t="s">
        <v>491</v>
      </c>
      <c r="L299" s="17" t="s">
        <v>534</v>
      </c>
      <c r="N299" s="60">
        <v>46119.0</v>
      </c>
      <c r="O299" s="72">
        <v>46124.0</v>
      </c>
      <c r="P299" s="17" t="s">
        <v>866</v>
      </c>
      <c r="Q299" s="22">
        <v>4400.0</v>
      </c>
      <c r="R299" s="22">
        <v>19.24</v>
      </c>
      <c r="S299" s="23" t="str">
        <f>iferror(if(AN299=1,VLOOKUP(B299, Blends!H$4:AK$1004,32,0), ""), "")</f>
        <v/>
      </c>
      <c r="T299" s="58"/>
      <c r="U299" s="27"/>
      <c r="V299" s="26"/>
      <c r="W299" s="27"/>
      <c r="X299" s="26"/>
      <c r="Y299" s="26"/>
      <c r="Z299" s="26"/>
      <c r="AA299" s="26"/>
      <c r="AB299" s="26"/>
      <c r="AC299" s="26"/>
      <c r="AD299" s="26"/>
      <c r="AE299" s="26"/>
      <c r="AF299" s="26"/>
      <c r="AG299" s="26"/>
      <c r="AH299" s="26"/>
      <c r="AI299" s="26"/>
      <c r="AJ299" s="26"/>
      <c r="AK299" s="25"/>
      <c r="AL299" s="59"/>
      <c r="AM299" s="35"/>
      <c r="AN299" s="35"/>
      <c r="AO299" s="35"/>
      <c r="AP299" s="35"/>
      <c r="AQ299" s="35"/>
      <c r="AR299" s="35"/>
      <c r="AS299" s="35"/>
      <c r="AT299" s="35"/>
      <c r="AU299" s="35"/>
      <c r="AV299" s="35"/>
      <c r="AW299" s="35"/>
    </row>
    <row r="300">
      <c r="A300" s="66" t="s">
        <v>867</v>
      </c>
      <c r="B300" s="17" t="s">
        <v>850</v>
      </c>
      <c r="C300" s="18" t="s">
        <v>868</v>
      </c>
      <c r="D300" s="18" t="s">
        <v>869</v>
      </c>
      <c r="E300" s="17" t="b">
        <v>1</v>
      </c>
      <c r="F300" s="17" t="s">
        <v>349</v>
      </c>
      <c r="G300" s="17" t="s">
        <v>79</v>
      </c>
      <c r="H300" s="17" t="s">
        <v>80</v>
      </c>
      <c r="I300" s="17" t="s">
        <v>81</v>
      </c>
      <c r="J300" s="17" t="s">
        <v>597</v>
      </c>
      <c r="K300" s="17" t="s">
        <v>491</v>
      </c>
      <c r="L300" s="70" t="s">
        <v>870</v>
      </c>
      <c r="N300" s="60">
        <v>46122.0</v>
      </c>
      <c r="O300" s="72">
        <v>46128.0</v>
      </c>
      <c r="P300" s="17" t="s">
        <v>871</v>
      </c>
      <c r="Q300" s="22">
        <v>4202.0</v>
      </c>
      <c r="R300" s="22">
        <v>18.08</v>
      </c>
      <c r="S300" s="23" t="str">
        <f>iferror(if(AN300=1,VLOOKUP(B300, Blends!H$4:AK$1004,32,0), ""), "")</f>
        <v/>
      </c>
      <c r="T300" s="58"/>
      <c r="U300" s="27"/>
      <c r="V300" s="26"/>
      <c r="W300" s="27"/>
      <c r="X300" s="26"/>
      <c r="Y300" s="26"/>
      <c r="Z300" s="26"/>
      <c r="AA300" s="26"/>
      <c r="AB300" s="26"/>
      <c r="AC300" s="26"/>
      <c r="AD300" s="26"/>
      <c r="AE300" s="26"/>
      <c r="AF300" s="26"/>
      <c r="AG300" s="26"/>
      <c r="AH300" s="26"/>
      <c r="AI300" s="26"/>
      <c r="AJ300" s="26"/>
      <c r="AK300" s="25"/>
      <c r="AL300" s="59"/>
      <c r="AM300" s="35"/>
      <c r="AN300" s="35"/>
      <c r="AO300" s="35"/>
      <c r="AP300" s="35"/>
      <c r="AQ300" s="35"/>
      <c r="AR300" s="35"/>
      <c r="AS300" s="35"/>
      <c r="AT300" s="35"/>
      <c r="AU300" s="35"/>
      <c r="AV300" s="35"/>
      <c r="AW300" s="35"/>
    </row>
    <row r="301">
      <c r="A301" s="66" t="s">
        <v>872</v>
      </c>
      <c r="B301" s="17" t="s">
        <v>850</v>
      </c>
      <c r="C301" s="18" t="s">
        <v>873</v>
      </c>
      <c r="D301" s="18" t="s">
        <v>874</v>
      </c>
      <c r="E301" s="17" t="b">
        <v>0</v>
      </c>
      <c r="F301" s="17" t="s">
        <v>349</v>
      </c>
      <c r="G301" s="17" t="s">
        <v>79</v>
      </c>
      <c r="H301" s="17" t="s">
        <v>80</v>
      </c>
      <c r="I301" s="17" t="s">
        <v>81</v>
      </c>
      <c r="J301" s="17" t="s">
        <v>597</v>
      </c>
      <c r="K301" s="17" t="s">
        <v>177</v>
      </c>
      <c r="L301" s="17" t="s">
        <v>751</v>
      </c>
      <c r="M301" s="57"/>
      <c r="N301" s="60"/>
      <c r="O301" s="72"/>
      <c r="P301" s="76" t="s">
        <v>875</v>
      </c>
      <c r="Q301" s="69">
        <f>5773+6062+5780</f>
        <v>17615</v>
      </c>
      <c r="R301" s="69">
        <f>25.74+26.05+25.73</f>
        <v>77.52</v>
      </c>
      <c r="S301" s="23" t="str">
        <f>iferror(if(AN301=1,VLOOKUP(B301, Blends!H$4:AK$1004,32,0), ""), "")</f>
        <v/>
      </c>
      <c r="T301" s="58"/>
      <c r="U301" s="27"/>
      <c r="V301" s="26"/>
      <c r="W301" s="27"/>
      <c r="X301" s="26"/>
      <c r="Y301" s="26"/>
      <c r="Z301" s="26"/>
      <c r="AA301" s="26"/>
      <c r="AB301" s="26"/>
      <c r="AC301" s="26"/>
      <c r="AD301" s="26"/>
      <c r="AE301" s="26"/>
      <c r="AF301" s="26"/>
      <c r="AG301" s="26"/>
      <c r="AH301" s="26"/>
      <c r="AI301" s="26"/>
      <c r="AJ301" s="26"/>
      <c r="AK301" s="25"/>
      <c r="AL301" s="59"/>
      <c r="AM301" s="35"/>
      <c r="AN301" s="35"/>
      <c r="AO301" s="35"/>
      <c r="AP301" s="35"/>
      <c r="AQ301" s="35"/>
      <c r="AR301" s="35"/>
      <c r="AS301" s="35"/>
      <c r="AT301" s="35"/>
      <c r="AU301" s="35"/>
      <c r="AV301" s="35"/>
      <c r="AW301" s="35"/>
    </row>
    <row r="302">
      <c r="A302" s="66" t="s">
        <v>876</v>
      </c>
      <c r="B302" s="17" t="s">
        <v>850</v>
      </c>
      <c r="C302" s="17" t="s">
        <v>877</v>
      </c>
      <c r="D302" s="17" t="s">
        <v>878</v>
      </c>
      <c r="E302" s="17" t="b">
        <v>0</v>
      </c>
      <c r="F302" s="17" t="s">
        <v>349</v>
      </c>
      <c r="G302" s="17" t="s">
        <v>79</v>
      </c>
      <c r="H302" s="17" t="s">
        <v>80</v>
      </c>
      <c r="I302" s="17" t="s">
        <v>81</v>
      </c>
      <c r="J302" s="17" t="s">
        <v>597</v>
      </c>
      <c r="K302" s="17" t="s">
        <v>177</v>
      </c>
      <c r="L302" s="57"/>
      <c r="M302" s="57"/>
      <c r="N302" s="60"/>
      <c r="O302" s="72"/>
      <c r="P302" s="57"/>
      <c r="Q302" s="22">
        <f>5944+5760</f>
        <v>11704</v>
      </c>
      <c r="R302" s="69">
        <f>25.82+25.82</f>
        <v>51.64</v>
      </c>
      <c r="S302" s="23" t="str">
        <f>iferror(if(AN302=1,VLOOKUP(B302, Blends!H$4:AK$1004,32,0), ""), "")</f>
        <v/>
      </c>
      <c r="T302" s="58"/>
      <c r="U302" s="27"/>
      <c r="V302" s="26"/>
      <c r="W302" s="27"/>
      <c r="X302" s="26"/>
      <c r="Y302" s="26"/>
      <c r="Z302" s="26"/>
      <c r="AA302" s="26"/>
      <c r="AB302" s="26"/>
      <c r="AC302" s="26"/>
      <c r="AD302" s="26"/>
      <c r="AE302" s="26"/>
      <c r="AF302" s="26"/>
      <c r="AG302" s="26"/>
      <c r="AH302" s="26"/>
      <c r="AI302" s="26"/>
      <c r="AJ302" s="26"/>
      <c r="AK302" s="25"/>
      <c r="AL302" s="59"/>
      <c r="AM302" s="35"/>
      <c r="AN302" s="35"/>
      <c r="AO302" s="35"/>
      <c r="AP302" s="35"/>
      <c r="AQ302" s="35"/>
      <c r="AR302" s="35"/>
      <c r="AS302" s="35"/>
      <c r="AT302" s="35"/>
      <c r="AU302" s="35"/>
      <c r="AV302" s="35"/>
      <c r="AW302" s="35"/>
    </row>
    <row r="303">
      <c r="A303" s="66" t="s">
        <v>879</v>
      </c>
      <c r="B303" s="17" t="s">
        <v>850</v>
      </c>
      <c r="C303" s="74"/>
      <c r="D303" s="74"/>
      <c r="E303" s="17" t="b">
        <v>0</v>
      </c>
      <c r="F303" s="17" t="s">
        <v>349</v>
      </c>
      <c r="G303" s="17" t="s">
        <v>79</v>
      </c>
      <c r="H303" s="17" t="s">
        <v>80</v>
      </c>
      <c r="I303" s="17" t="s">
        <v>81</v>
      </c>
      <c r="J303" s="17" t="s">
        <v>597</v>
      </c>
      <c r="K303" s="17"/>
      <c r="L303" s="57"/>
      <c r="M303" s="57"/>
      <c r="N303" s="60"/>
      <c r="O303" s="72"/>
      <c r="P303" s="57"/>
      <c r="Q303" s="69"/>
      <c r="R303" s="69"/>
      <c r="S303" s="23" t="str">
        <f>iferror(if(AN303=1,VLOOKUP(B303, Blends!H$4:AK$1004,32,0), ""), "")</f>
        <v/>
      </c>
      <c r="T303" s="58"/>
      <c r="U303" s="27"/>
      <c r="V303" s="26"/>
      <c r="W303" s="27"/>
      <c r="X303" s="26"/>
      <c r="Y303" s="26"/>
      <c r="Z303" s="26"/>
      <c r="AA303" s="26"/>
      <c r="AB303" s="26"/>
      <c r="AC303" s="26"/>
      <c r="AD303" s="26"/>
      <c r="AE303" s="26"/>
      <c r="AF303" s="26"/>
      <c r="AG303" s="26"/>
      <c r="AH303" s="26"/>
      <c r="AI303" s="26"/>
      <c r="AJ303" s="26"/>
      <c r="AK303" s="25"/>
      <c r="AL303" s="59"/>
      <c r="AM303" s="35"/>
      <c r="AN303" s="35"/>
      <c r="AO303" s="35"/>
      <c r="AP303" s="35"/>
      <c r="AQ303" s="35"/>
      <c r="AR303" s="35"/>
      <c r="AS303" s="35"/>
      <c r="AT303" s="35"/>
      <c r="AU303" s="35"/>
      <c r="AV303" s="35"/>
      <c r="AW303" s="35"/>
    </row>
    <row r="304">
      <c r="A304" s="66" t="s">
        <v>880</v>
      </c>
      <c r="B304" s="17" t="s">
        <v>850</v>
      </c>
      <c r="C304" s="74"/>
      <c r="D304" s="74"/>
      <c r="E304" s="17" t="b">
        <v>0</v>
      </c>
      <c r="F304" s="17" t="s">
        <v>349</v>
      </c>
      <c r="G304" s="17" t="s">
        <v>79</v>
      </c>
      <c r="H304" s="17" t="s">
        <v>80</v>
      </c>
      <c r="I304" s="17" t="s">
        <v>81</v>
      </c>
      <c r="J304" s="17" t="s">
        <v>597</v>
      </c>
      <c r="K304" s="17"/>
      <c r="L304" s="57"/>
      <c r="M304" s="57"/>
      <c r="N304" s="60"/>
      <c r="O304" s="72"/>
      <c r="P304" s="57"/>
      <c r="Q304" s="69"/>
      <c r="R304" s="69"/>
      <c r="S304" s="23" t="str">
        <f>iferror(if(AN304=1,VLOOKUP(B304, Blends!H$4:AK$1004,32,0), ""), "")</f>
        <v/>
      </c>
      <c r="T304" s="58"/>
      <c r="U304" s="27"/>
      <c r="V304" s="26"/>
      <c r="W304" s="27"/>
      <c r="X304" s="26"/>
      <c r="Y304" s="26"/>
      <c r="Z304" s="26"/>
      <c r="AA304" s="26"/>
      <c r="AB304" s="26"/>
      <c r="AC304" s="26"/>
      <c r="AD304" s="26"/>
      <c r="AE304" s="26"/>
      <c r="AF304" s="26"/>
      <c r="AG304" s="26"/>
      <c r="AH304" s="26"/>
      <c r="AI304" s="26"/>
      <c r="AJ304" s="26"/>
      <c r="AK304" s="25"/>
      <c r="AL304" s="59"/>
      <c r="AM304" s="35"/>
      <c r="AN304" s="35"/>
      <c r="AO304" s="35"/>
      <c r="AP304" s="35"/>
      <c r="AQ304" s="35"/>
      <c r="AR304" s="35"/>
      <c r="AS304" s="35"/>
      <c r="AT304" s="35"/>
      <c r="AU304" s="35"/>
      <c r="AV304" s="35"/>
      <c r="AW304" s="35"/>
    </row>
    <row r="305">
      <c r="A305" s="66"/>
      <c r="B305" s="35"/>
      <c r="C305" s="74"/>
      <c r="D305" s="74"/>
      <c r="E305" s="74"/>
      <c r="F305" s="74"/>
      <c r="G305" s="74"/>
      <c r="H305" s="74"/>
      <c r="I305" s="74"/>
      <c r="P305" s="57"/>
      <c r="Q305" s="69"/>
      <c r="R305" s="69"/>
      <c r="S305" s="23" t="str">
        <f>iferror(if(AN305=1,VLOOKUP(B305, Blends!H$4:AK$1004,32,0), ""), "")</f>
        <v/>
      </c>
      <c r="T305" s="58"/>
      <c r="U305" s="27"/>
      <c r="V305" s="26"/>
      <c r="W305" s="27"/>
      <c r="X305" s="26"/>
      <c r="Y305" s="26"/>
      <c r="Z305" s="26"/>
      <c r="AA305" s="26"/>
      <c r="AB305" s="26"/>
      <c r="AC305" s="26"/>
      <c r="AD305" s="26"/>
      <c r="AE305" s="26"/>
      <c r="AF305" s="26"/>
      <c r="AG305" s="26"/>
      <c r="AH305" s="26"/>
      <c r="AI305" s="26"/>
      <c r="AJ305" s="26"/>
      <c r="AK305" s="25"/>
      <c r="AL305" s="59"/>
      <c r="AM305" s="35"/>
      <c r="AN305" s="35"/>
      <c r="AO305" s="35"/>
      <c r="AP305" s="35"/>
      <c r="AQ305" s="35"/>
      <c r="AR305" s="35"/>
      <c r="AS305" s="35"/>
      <c r="AT305" s="35"/>
      <c r="AU305" s="35"/>
      <c r="AV305" s="35"/>
      <c r="AW305" s="35"/>
    </row>
    <row r="306">
      <c r="A306" s="17"/>
      <c r="B306" s="35"/>
      <c r="C306" s="74"/>
      <c r="D306" s="74"/>
      <c r="E306" s="74"/>
      <c r="F306" s="74"/>
      <c r="G306" s="74"/>
      <c r="H306" s="74"/>
      <c r="I306" s="74"/>
      <c r="J306" s="57"/>
      <c r="K306" s="57"/>
      <c r="L306" s="57"/>
      <c r="M306" s="57"/>
      <c r="N306" s="57"/>
      <c r="O306" s="57"/>
      <c r="P306" s="57"/>
      <c r="Q306" s="69"/>
      <c r="R306" s="69"/>
      <c r="S306" s="23" t="str">
        <f>iferror(if(AN306=1,VLOOKUP(B306, Blends!H$4:AK$1004,32,0), ""), "")</f>
        <v/>
      </c>
      <c r="T306" s="58"/>
      <c r="U306" s="27"/>
      <c r="V306" s="26"/>
      <c r="W306" s="27"/>
      <c r="X306" s="26"/>
      <c r="Y306" s="26"/>
      <c r="Z306" s="26"/>
      <c r="AA306" s="26"/>
      <c r="AB306" s="26"/>
      <c r="AC306" s="26"/>
      <c r="AD306" s="26"/>
      <c r="AE306" s="26"/>
      <c r="AF306" s="26"/>
      <c r="AG306" s="26"/>
      <c r="AH306" s="26"/>
      <c r="AI306" s="26"/>
      <c r="AJ306" s="26"/>
      <c r="AK306" s="25"/>
      <c r="AL306" s="59"/>
      <c r="AM306" s="35"/>
      <c r="AN306" s="35"/>
      <c r="AO306" s="35"/>
      <c r="AP306" s="35"/>
      <c r="AQ306" s="35"/>
      <c r="AR306" s="35"/>
      <c r="AS306" s="35"/>
      <c r="AT306" s="35"/>
      <c r="AU306" s="35"/>
      <c r="AV306" s="35"/>
      <c r="AW306" s="35"/>
    </row>
    <row r="307">
      <c r="A307" s="17"/>
      <c r="B307" s="35"/>
      <c r="C307" s="74"/>
      <c r="D307" s="74"/>
      <c r="E307" s="74"/>
      <c r="F307" s="74"/>
      <c r="G307" s="74"/>
      <c r="H307" s="74"/>
      <c r="I307" s="74"/>
      <c r="J307" s="57"/>
      <c r="K307" s="57"/>
      <c r="L307" s="57"/>
      <c r="M307" s="57"/>
      <c r="N307" s="57"/>
      <c r="O307" s="57"/>
      <c r="P307" s="57"/>
      <c r="Q307" s="69"/>
      <c r="R307" s="69"/>
      <c r="S307" s="23" t="str">
        <f>iferror(if(AN307=1,VLOOKUP(B307, Blends!H$4:AK$1004,32,0), ""), "")</f>
        <v/>
      </c>
      <c r="T307" s="58"/>
      <c r="U307" s="27"/>
      <c r="V307" s="26"/>
      <c r="W307" s="27"/>
      <c r="X307" s="26"/>
      <c r="Y307" s="26"/>
      <c r="Z307" s="26"/>
      <c r="AA307" s="26"/>
      <c r="AB307" s="26"/>
      <c r="AC307" s="26"/>
      <c r="AD307" s="26"/>
      <c r="AE307" s="26"/>
      <c r="AF307" s="26"/>
      <c r="AG307" s="26"/>
      <c r="AH307" s="26"/>
      <c r="AI307" s="26"/>
      <c r="AJ307" s="26"/>
      <c r="AK307" s="25"/>
      <c r="AL307" s="59"/>
      <c r="AM307" s="35"/>
      <c r="AN307" s="35"/>
      <c r="AO307" s="35"/>
      <c r="AP307" s="35"/>
      <c r="AQ307" s="35"/>
      <c r="AR307" s="35"/>
      <c r="AS307" s="35"/>
      <c r="AT307" s="35"/>
      <c r="AU307" s="35"/>
      <c r="AV307" s="35"/>
      <c r="AW307" s="35"/>
    </row>
    <row r="308">
      <c r="A308" s="17"/>
      <c r="B308" s="35"/>
      <c r="C308" s="74"/>
      <c r="D308" s="74"/>
      <c r="E308" s="74"/>
      <c r="F308" s="74"/>
      <c r="G308" s="74"/>
      <c r="H308" s="74"/>
      <c r="I308" s="74"/>
      <c r="J308" s="57"/>
      <c r="K308" s="57"/>
      <c r="L308" s="57"/>
      <c r="M308" s="57"/>
      <c r="N308" s="57"/>
      <c r="O308" s="57"/>
      <c r="P308" s="57"/>
      <c r="Q308" s="69"/>
      <c r="R308" s="69"/>
      <c r="S308" s="23" t="str">
        <f>iferror(if(AN308=1,VLOOKUP(B308, Blends!H$4:AK$1004,32,0), ""), "")</f>
        <v/>
      </c>
      <c r="T308" s="58"/>
      <c r="U308" s="27"/>
      <c r="V308" s="26"/>
      <c r="W308" s="27"/>
      <c r="X308" s="26"/>
      <c r="Y308" s="26"/>
      <c r="Z308" s="26"/>
      <c r="AA308" s="26"/>
      <c r="AB308" s="26"/>
      <c r="AC308" s="26"/>
      <c r="AD308" s="26"/>
      <c r="AE308" s="26"/>
      <c r="AF308" s="26"/>
      <c r="AG308" s="26"/>
      <c r="AH308" s="26"/>
      <c r="AI308" s="26"/>
      <c r="AJ308" s="26"/>
      <c r="AK308" s="25"/>
      <c r="AL308" s="59"/>
      <c r="AM308" s="35"/>
      <c r="AN308" s="35"/>
      <c r="AO308" s="35"/>
      <c r="AP308" s="35"/>
      <c r="AQ308" s="35"/>
      <c r="AR308" s="35"/>
      <c r="AS308" s="35"/>
      <c r="AT308" s="35"/>
      <c r="AU308" s="35"/>
      <c r="AV308" s="35"/>
      <c r="AW308" s="35"/>
    </row>
    <row r="309">
      <c r="A309" s="17"/>
      <c r="B309" s="35"/>
      <c r="C309" s="74"/>
      <c r="D309" s="74"/>
      <c r="E309" s="74"/>
      <c r="F309" s="74"/>
      <c r="G309" s="74"/>
      <c r="H309" s="74"/>
      <c r="I309" s="74"/>
      <c r="J309" s="57"/>
      <c r="K309" s="57"/>
      <c r="L309" s="57"/>
      <c r="M309" s="57"/>
      <c r="N309" s="57"/>
      <c r="O309" s="57"/>
      <c r="P309" s="57"/>
      <c r="Q309" s="69"/>
      <c r="R309" s="69"/>
      <c r="S309" s="23" t="str">
        <f>iferror(if(AN309=1,VLOOKUP(B309, Blends!H$4:AK$1004,32,0), ""), "")</f>
        <v/>
      </c>
      <c r="T309" s="58"/>
      <c r="U309" s="27"/>
      <c r="V309" s="26"/>
      <c r="W309" s="27"/>
      <c r="X309" s="26"/>
      <c r="Y309" s="26"/>
      <c r="Z309" s="26"/>
      <c r="AA309" s="26"/>
      <c r="AB309" s="26"/>
      <c r="AC309" s="26"/>
      <c r="AD309" s="26"/>
      <c r="AE309" s="26"/>
      <c r="AF309" s="26"/>
      <c r="AG309" s="26"/>
      <c r="AH309" s="26"/>
      <c r="AI309" s="26"/>
      <c r="AJ309" s="26"/>
      <c r="AK309" s="25"/>
      <c r="AL309" s="59"/>
      <c r="AM309" s="35"/>
      <c r="AN309" s="35"/>
      <c r="AO309" s="35"/>
      <c r="AP309" s="35"/>
      <c r="AQ309" s="35"/>
      <c r="AR309" s="35"/>
      <c r="AS309" s="35"/>
      <c r="AT309" s="35"/>
      <c r="AU309" s="35"/>
      <c r="AV309" s="35"/>
      <c r="AW309" s="35"/>
    </row>
    <row r="310">
      <c r="A310" s="17"/>
      <c r="B310" s="35"/>
      <c r="C310" s="74"/>
      <c r="D310" s="74"/>
      <c r="E310" s="74"/>
      <c r="F310" s="74"/>
      <c r="G310" s="74"/>
      <c r="H310" s="74"/>
      <c r="I310" s="74"/>
      <c r="J310" s="57"/>
      <c r="K310" s="57"/>
      <c r="L310" s="57"/>
      <c r="M310" s="57"/>
      <c r="N310" s="57"/>
      <c r="O310" s="57"/>
      <c r="P310" s="57"/>
      <c r="Q310" s="69"/>
      <c r="R310" s="69"/>
      <c r="S310" s="23" t="str">
        <f>iferror(if(AN310=1,VLOOKUP(B310, Blends!H$4:AK$1004,32,0), ""), "")</f>
        <v/>
      </c>
      <c r="T310" s="58"/>
      <c r="U310" s="27"/>
      <c r="V310" s="26"/>
      <c r="W310" s="27"/>
      <c r="X310" s="26"/>
      <c r="Y310" s="26"/>
      <c r="Z310" s="26"/>
      <c r="AA310" s="26"/>
      <c r="AB310" s="26"/>
      <c r="AC310" s="26"/>
      <c r="AD310" s="26"/>
      <c r="AE310" s="26"/>
      <c r="AF310" s="26"/>
      <c r="AG310" s="26"/>
      <c r="AH310" s="26"/>
      <c r="AI310" s="26"/>
      <c r="AJ310" s="26"/>
      <c r="AK310" s="25"/>
      <c r="AL310" s="59"/>
      <c r="AM310" s="35"/>
      <c r="AN310" s="35"/>
      <c r="AO310" s="35"/>
      <c r="AP310" s="35"/>
      <c r="AQ310" s="35"/>
      <c r="AR310" s="35"/>
      <c r="AS310" s="35"/>
      <c r="AT310" s="35"/>
      <c r="AU310" s="35"/>
      <c r="AV310" s="35"/>
      <c r="AW310" s="35"/>
    </row>
    <row r="311">
      <c r="A311" s="17"/>
      <c r="B311" s="35"/>
      <c r="C311" s="74"/>
      <c r="D311" s="74"/>
      <c r="E311" s="74"/>
      <c r="F311" s="74"/>
      <c r="G311" s="74"/>
      <c r="H311" s="74"/>
      <c r="I311" s="74"/>
      <c r="J311" s="57"/>
      <c r="K311" s="57"/>
      <c r="L311" s="57"/>
      <c r="M311" s="57"/>
      <c r="N311" s="57"/>
      <c r="O311" s="57"/>
      <c r="P311" s="57"/>
      <c r="Q311" s="69"/>
      <c r="R311" s="69"/>
      <c r="S311" s="23" t="str">
        <f>iferror(if(AN311=1,VLOOKUP(B311, Blends!H$4:AK$1004,32,0), ""), "")</f>
        <v/>
      </c>
      <c r="T311" s="58"/>
      <c r="U311" s="27"/>
      <c r="V311" s="26"/>
      <c r="W311" s="27"/>
      <c r="X311" s="26"/>
      <c r="Y311" s="26"/>
      <c r="Z311" s="26"/>
      <c r="AA311" s="26"/>
      <c r="AB311" s="26"/>
      <c r="AC311" s="26"/>
      <c r="AD311" s="26"/>
      <c r="AE311" s="26"/>
      <c r="AF311" s="26"/>
      <c r="AG311" s="26"/>
      <c r="AH311" s="26"/>
      <c r="AI311" s="26"/>
      <c r="AJ311" s="26"/>
      <c r="AK311" s="25"/>
      <c r="AL311" s="59"/>
      <c r="AM311" s="35"/>
      <c r="AN311" s="35"/>
      <c r="AO311" s="35"/>
      <c r="AP311" s="35"/>
      <c r="AQ311" s="35"/>
      <c r="AR311" s="35"/>
      <c r="AS311" s="35"/>
      <c r="AT311" s="35"/>
      <c r="AU311" s="35"/>
      <c r="AV311" s="35"/>
      <c r="AW311" s="35"/>
    </row>
    <row r="312">
      <c r="A312" s="17"/>
      <c r="B312" s="35"/>
      <c r="C312" s="74"/>
      <c r="D312" s="74"/>
      <c r="E312" s="74"/>
      <c r="F312" s="74"/>
      <c r="G312" s="74"/>
      <c r="H312" s="74"/>
      <c r="I312" s="74"/>
      <c r="J312" s="57"/>
      <c r="K312" s="57"/>
      <c r="L312" s="57"/>
      <c r="M312" s="57"/>
      <c r="N312" s="57"/>
      <c r="O312" s="57"/>
      <c r="P312" s="57"/>
      <c r="Q312" s="69"/>
      <c r="R312" s="69"/>
      <c r="S312" s="23" t="str">
        <f>iferror(if(AN312=1,VLOOKUP(B312, Blends!H$4:AK$1004,32,0), ""), "")</f>
        <v/>
      </c>
      <c r="T312" s="58"/>
      <c r="U312" s="27"/>
      <c r="V312" s="26"/>
      <c r="W312" s="27"/>
      <c r="X312" s="26"/>
      <c r="Y312" s="26"/>
      <c r="Z312" s="26"/>
      <c r="AA312" s="26"/>
      <c r="AB312" s="26"/>
      <c r="AC312" s="26"/>
      <c r="AD312" s="26"/>
      <c r="AE312" s="26"/>
      <c r="AF312" s="26"/>
      <c r="AG312" s="26"/>
      <c r="AH312" s="26"/>
      <c r="AI312" s="26"/>
      <c r="AJ312" s="26"/>
      <c r="AK312" s="25"/>
      <c r="AL312" s="59"/>
      <c r="AM312" s="35"/>
      <c r="AN312" s="35"/>
      <c r="AO312" s="35"/>
      <c r="AP312" s="35"/>
      <c r="AQ312" s="35"/>
      <c r="AR312" s="35"/>
      <c r="AS312" s="35"/>
      <c r="AT312" s="35"/>
      <c r="AU312" s="35"/>
      <c r="AV312" s="35"/>
      <c r="AW312" s="35"/>
    </row>
    <row r="313">
      <c r="A313" s="17"/>
      <c r="B313" s="35"/>
      <c r="C313" s="74"/>
      <c r="D313" s="74"/>
      <c r="E313" s="74"/>
      <c r="F313" s="74"/>
      <c r="G313" s="74"/>
      <c r="H313" s="74"/>
      <c r="I313" s="74"/>
      <c r="J313" s="57"/>
      <c r="K313" s="57"/>
      <c r="L313" s="57"/>
      <c r="M313" s="57"/>
      <c r="N313" s="57"/>
      <c r="O313" s="57"/>
      <c r="P313" s="57"/>
      <c r="Q313" s="69"/>
      <c r="R313" s="69"/>
      <c r="S313" s="23" t="str">
        <f>iferror(if(AN313=1,VLOOKUP(B313, Blends!H$4:AK$1004,32,0), ""), "")</f>
        <v/>
      </c>
      <c r="T313" s="58"/>
      <c r="U313" s="27"/>
      <c r="V313" s="26"/>
      <c r="W313" s="27"/>
      <c r="X313" s="26"/>
      <c r="Y313" s="26"/>
      <c r="Z313" s="26"/>
      <c r="AA313" s="26"/>
      <c r="AB313" s="26"/>
      <c r="AC313" s="26"/>
      <c r="AD313" s="26"/>
      <c r="AE313" s="26"/>
      <c r="AF313" s="26"/>
      <c r="AG313" s="26"/>
      <c r="AH313" s="26"/>
      <c r="AI313" s="26"/>
      <c r="AJ313" s="26"/>
      <c r="AK313" s="25"/>
      <c r="AL313" s="59"/>
      <c r="AM313" s="35"/>
      <c r="AN313" s="35"/>
      <c r="AO313" s="35"/>
      <c r="AP313" s="35"/>
      <c r="AQ313" s="35"/>
      <c r="AR313" s="35"/>
      <c r="AS313" s="35"/>
      <c r="AT313" s="35"/>
      <c r="AU313" s="35"/>
      <c r="AV313" s="35"/>
      <c r="AW313" s="35"/>
    </row>
    <row r="314">
      <c r="A314" s="17"/>
      <c r="B314" s="35"/>
      <c r="C314" s="74"/>
      <c r="D314" s="74"/>
      <c r="E314" s="74"/>
      <c r="F314" s="74"/>
      <c r="G314" s="74"/>
      <c r="H314" s="74"/>
      <c r="I314" s="74"/>
      <c r="J314" s="57"/>
      <c r="K314" s="57"/>
      <c r="L314" s="57"/>
      <c r="M314" s="57"/>
      <c r="N314" s="57"/>
      <c r="O314" s="57"/>
      <c r="P314" s="57"/>
      <c r="Q314" s="69"/>
      <c r="R314" s="69"/>
      <c r="S314" s="23" t="str">
        <f>iferror(if(AN314=1,VLOOKUP(B314, Blends!H$4:AK$1004,32,0), ""), "")</f>
        <v/>
      </c>
      <c r="T314" s="58"/>
      <c r="U314" s="27"/>
      <c r="V314" s="26"/>
      <c r="W314" s="27"/>
      <c r="X314" s="26"/>
      <c r="Y314" s="26"/>
      <c r="Z314" s="26"/>
      <c r="AA314" s="26"/>
      <c r="AB314" s="26"/>
      <c r="AC314" s="26"/>
      <c r="AD314" s="26"/>
      <c r="AE314" s="26"/>
      <c r="AF314" s="26"/>
      <c r="AG314" s="26"/>
      <c r="AH314" s="26"/>
      <c r="AI314" s="26"/>
      <c r="AJ314" s="26"/>
      <c r="AK314" s="25"/>
      <c r="AL314" s="59"/>
      <c r="AM314" s="35"/>
      <c r="AN314" s="35"/>
      <c r="AO314" s="35"/>
      <c r="AP314" s="35"/>
      <c r="AQ314" s="35"/>
      <c r="AR314" s="35"/>
      <c r="AS314" s="35"/>
      <c r="AT314" s="35"/>
      <c r="AU314" s="35"/>
      <c r="AV314" s="35"/>
      <c r="AW314" s="35"/>
    </row>
    <row r="315">
      <c r="A315" s="17"/>
      <c r="B315" s="35"/>
      <c r="C315" s="74"/>
      <c r="D315" s="74"/>
      <c r="E315" s="74"/>
      <c r="F315" s="74"/>
      <c r="G315" s="74"/>
      <c r="H315" s="74"/>
      <c r="I315" s="74"/>
      <c r="J315" s="57"/>
      <c r="K315" s="57"/>
      <c r="L315" s="57"/>
      <c r="M315" s="57"/>
      <c r="N315" s="57"/>
      <c r="O315" s="57"/>
      <c r="P315" s="57"/>
      <c r="Q315" s="69"/>
      <c r="R315" s="69"/>
      <c r="S315" s="23" t="str">
        <f>iferror(if(AN315=1,VLOOKUP(B315, Blends!H$4:AK$1004,32,0), ""), "")</f>
        <v/>
      </c>
      <c r="T315" s="58"/>
      <c r="U315" s="27"/>
      <c r="V315" s="26"/>
      <c r="W315" s="27"/>
      <c r="X315" s="26"/>
      <c r="Y315" s="26"/>
      <c r="Z315" s="26"/>
      <c r="AA315" s="26"/>
      <c r="AB315" s="26"/>
      <c r="AC315" s="26"/>
      <c r="AD315" s="26"/>
      <c r="AE315" s="26"/>
      <c r="AF315" s="26"/>
      <c r="AG315" s="26"/>
      <c r="AH315" s="26"/>
      <c r="AI315" s="26"/>
      <c r="AJ315" s="26"/>
      <c r="AK315" s="25"/>
      <c r="AL315" s="59"/>
      <c r="AM315" s="35"/>
      <c r="AN315" s="35"/>
      <c r="AO315" s="35"/>
      <c r="AP315" s="35"/>
      <c r="AQ315" s="35"/>
      <c r="AR315" s="35"/>
      <c r="AS315" s="35"/>
      <c r="AT315" s="35"/>
      <c r="AU315" s="35"/>
      <c r="AV315" s="35"/>
      <c r="AW315" s="35"/>
    </row>
    <row r="316">
      <c r="A316" s="17"/>
      <c r="B316" s="35"/>
      <c r="C316" s="74"/>
      <c r="D316" s="74"/>
      <c r="E316" s="74"/>
      <c r="F316" s="74"/>
      <c r="G316" s="74"/>
      <c r="H316" s="74"/>
      <c r="I316" s="74"/>
      <c r="J316" s="57"/>
      <c r="K316" s="57"/>
      <c r="L316" s="57"/>
      <c r="M316" s="57"/>
      <c r="N316" s="57"/>
      <c r="O316" s="57"/>
      <c r="P316" s="57"/>
      <c r="Q316" s="69"/>
      <c r="R316" s="69"/>
      <c r="S316" s="23" t="str">
        <f>iferror(if(AN316=1,VLOOKUP(B316, Blends!H$4:AK$1004,32,0), ""), "")</f>
        <v/>
      </c>
      <c r="T316" s="58"/>
      <c r="U316" s="27"/>
      <c r="V316" s="26"/>
      <c r="W316" s="27"/>
      <c r="X316" s="26"/>
      <c r="Y316" s="26"/>
      <c r="Z316" s="26"/>
      <c r="AA316" s="26"/>
      <c r="AB316" s="26"/>
      <c r="AC316" s="26"/>
      <c r="AD316" s="26"/>
      <c r="AE316" s="26"/>
      <c r="AF316" s="26"/>
      <c r="AG316" s="26"/>
      <c r="AH316" s="26"/>
      <c r="AI316" s="26"/>
      <c r="AJ316" s="26"/>
      <c r="AK316" s="25"/>
      <c r="AL316" s="59"/>
      <c r="AM316" s="35"/>
      <c r="AN316" s="35"/>
      <c r="AO316" s="35"/>
      <c r="AP316" s="35"/>
      <c r="AQ316" s="35"/>
      <c r="AR316" s="35"/>
      <c r="AS316" s="35"/>
      <c r="AT316" s="35"/>
      <c r="AU316" s="35"/>
      <c r="AV316" s="35"/>
      <c r="AW316" s="35"/>
    </row>
    <row r="317">
      <c r="A317" s="17"/>
      <c r="B317" s="35"/>
      <c r="C317" s="74"/>
      <c r="D317" s="74"/>
      <c r="E317" s="74"/>
      <c r="F317" s="74"/>
      <c r="G317" s="74"/>
      <c r="H317" s="74"/>
      <c r="I317" s="74"/>
      <c r="J317" s="57"/>
      <c r="K317" s="57"/>
      <c r="L317" s="57"/>
      <c r="M317" s="57"/>
      <c r="N317" s="57"/>
      <c r="O317" s="57"/>
      <c r="P317" s="57"/>
      <c r="Q317" s="69"/>
      <c r="R317" s="69"/>
      <c r="S317" s="23" t="str">
        <f>iferror(if(AN317=1,VLOOKUP(B317, Blends!H$4:AK$1004,32,0), ""), "")</f>
        <v/>
      </c>
      <c r="T317" s="58"/>
      <c r="U317" s="27"/>
      <c r="V317" s="26"/>
      <c r="W317" s="27"/>
      <c r="X317" s="26"/>
      <c r="Y317" s="26"/>
      <c r="Z317" s="26"/>
      <c r="AA317" s="26"/>
      <c r="AB317" s="26"/>
      <c r="AC317" s="26"/>
      <c r="AD317" s="26"/>
      <c r="AE317" s="26"/>
      <c r="AF317" s="26"/>
      <c r="AG317" s="26"/>
      <c r="AH317" s="26"/>
      <c r="AI317" s="26"/>
      <c r="AJ317" s="26"/>
      <c r="AK317" s="25"/>
      <c r="AL317" s="59"/>
      <c r="AM317" s="35"/>
      <c r="AN317" s="35"/>
      <c r="AO317" s="35"/>
      <c r="AP317" s="35"/>
      <c r="AQ317" s="35"/>
      <c r="AR317" s="35"/>
      <c r="AS317" s="35"/>
      <c r="AT317" s="35"/>
      <c r="AU317" s="35"/>
      <c r="AV317" s="35"/>
      <c r="AW317" s="35"/>
    </row>
    <row r="318">
      <c r="A318" s="17"/>
      <c r="B318" s="35"/>
      <c r="C318" s="74"/>
      <c r="D318" s="74"/>
      <c r="E318" s="74"/>
      <c r="F318" s="74"/>
      <c r="G318" s="74"/>
      <c r="H318" s="74"/>
      <c r="I318" s="74"/>
      <c r="J318" s="57"/>
      <c r="K318" s="57"/>
      <c r="L318" s="57"/>
      <c r="M318" s="57"/>
      <c r="N318" s="57"/>
      <c r="O318" s="57"/>
      <c r="P318" s="57"/>
      <c r="Q318" s="69"/>
      <c r="R318" s="69"/>
      <c r="S318" s="23" t="str">
        <f>iferror(if(AN318=1,VLOOKUP(B318, Blends!H$4:AK$1004,32,0), ""), "")</f>
        <v/>
      </c>
      <c r="T318" s="58"/>
      <c r="U318" s="27"/>
      <c r="V318" s="26"/>
      <c r="W318" s="27"/>
      <c r="X318" s="26"/>
      <c r="Y318" s="26"/>
      <c r="Z318" s="26"/>
      <c r="AA318" s="26"/>
      <c r="AB318" s="26"/>
      <c r="AC318" s="26"/>
      <c r="AD318" s="26"/>
      <c r="AE318" s="26"/>
      <c r="AF318" s="26"/>
      <c r="AG318" s="26"/>
      <c r="AH318" s="26"/>
      <c r="AI318" s="26"/>
      <c r="AJ318" s="26"/>
      <c r="AK318" s="25"/>
      <c r="AL318" s="59"/>
      <c r="AM318" s="35"/>
      <c r="AN318" s="35"/>
      <c r="AO318" s="35"/>
      <c r="AP318" s="35"/>
      <c r="AQ318" s="35"/>
      <c r="AR318" s="35"/>
      <c r="AS318" s="35"/>
      <c r="AT318" s="35"/>
      <c r="AU318" s="35"/>
      <c r="AV318" s="35"/>
      <c r="AW318" s="35"/>
    </row>
    <row r="319">
      <c r="A319" s="17"/>
      <c r="B319" s="35"/>
      <c r="C319" s="74"/>
      <c r="D319" s="74"/>
      <c r="E319" s="74"/>
      <c r="F319" s="74"/>
      <c r="G319" s="74"/>
      <c r="H319" s="74"/>
      <c r="I319" s="74"/>
      <c r="J319" s="57"/>
      <c r="K319" s="57"/>
      <c r="L319" s="57"/>
      <c r="M319" s="57"/>
      <c r="N319" s="57"/>
      <c r="O319" s="57"/>
      <c r="P319" s="57"/>
      <c r="Q319" s="69"/>
      <c r="R319" s="69"/>
      <c r="S319" s="23" t="str">
        <f>iferror(if(AN319=1,VLOOKUP(B319, Blends!H$4:AK$1004,32,0), ""), "")</f>
        <v/>
      </c>
      <c r="T319" s="58"/>
      <c r="U319" s="27"/>
      <c r="V319" s="26"/>
      <c r="W319" s="27"/>
      <c r="X319" s="26"/>
      <c r="Y319" s="26"/>
      <c r="Z319" s="26"/>
      <c r="AA319" s="26"/>
      <c r="AB319" s="26"/>
      <c r="AC319" s="26"/>
      <c r="AD319" s="26"/>
      <c r="AE319" s="26"/>
      <c r="AF319" s="26"/>
      <c r="AG319" s="26"/>
      <c r="AH319" s="26"/>
      <c r="AI319" s="26"/>
      <c r="AJ319" s="26"/>
      <c r="AK319" s="25"/>
      <c r="AL319" s="59"/>
      <c r="AM319" s="35"/>
      <c r="AN319" s="35"/>
      <c r="AO319" s="35"/>
      <c r="AP319" s="35"/>
      <c r="AQ319" s="35"/>
      <c r="AR319" s="35"/>
      <c r="AS319" s="35"/>
      <c r="AT319" s="35"/>
      <c r="AU319" s="35"/>
      <c r="AV319" s="35"/>
      <c r="AW319" s="35"/>
    </row>
    <row r="320">
      <c r="A320" s="17"/>
      <c r="B320" s="35"/>
      <c r="C320" s="74"/>
      <c r="D320" s="74"/>
      <c r="E320" s="74"/>
      <c r="F320" s="74"/>
      <c r="G320" s="74"/>
      <c r="H320" s="74"/>
      <c r="I320" s="74"/>
      <c r="J320" s="57"/>
      <c r="K320" s="57"/>
      <c r="L320" s="57"/>
      <c r="M320" s="57"/>
      <c r="N320" s="57"/>
      <c r="O320" s="57"/>
      <c r="P320" s="57"/>
      <c r="Q320" s="69"/>
      <c r="R320" s="69"/>
      <c r="S320" s="23" t="str">
        <f>iferror(if(AN320=1,VLOOKUP(B320, Blends!H$4:AK$1004,32,0), ""), "")</f>
        <v/>
      </c>
      <c r="T320" s="58"/>
      <c r="U320" s="27"/>
      <c r="V320" s="26"/>
      <c r="W320" s="27"/>
      <c r="X320" s="26"/>
      <c r="Y320" s="26"/>
      <c r="Z320" s="26"/>
      <c r="AA320" s="26"/>
      <c r="AB320" s="26"/>
      <c r="AC320" s="26"/>
      <c r="AD320" s="26"/>
      <c r="AE320" s="26"/>
      <c r="AF320" s="26"/>
      <c r="AG320" s="26"/>
      <c r="AH320" s="26"/>
      <c r="AI320" s="26"/>
      <c r="AJ320" s="26"/>
      <c r="AK320" s="25"/>
      <c r="AL320" s="59"/>
      <c r="AM320" s="35"/>
      <c r="AN320" s="35"/>
      <c r="AO320" s="35"/>
      <c r="AP320" s="35"/>
      <c r="AQ320" s="35"/>
      <c r="AR320" s="35"/>
      <c r="AS320" s="35"/>
      <c r="AT320" s="35"/>
      <c r="AU320" s="35"/>
      <c r="AV320" s="35"/>
      <c r="AW320" s="35"/>
    </row>
    <row r="321">
      <c r="A321" s="17"/>
      <c r="B321" s="35"/>
      <c r="C321" s="74"/>
      <c r="D321" s="74"/>
      <c r="E321" s="74"/>
      <c r="F321" s="74"/>
      <c r="G321" s="74"/>
      <c r="H321" s="74"/>
      <c r="I321" s="74"/>
      <c r="J321" s="57"/>
      <c r="K321" s="57"/>
      <c r="L321" s="57"/>
      <c r="M321" s="57"/>
      <c r="N321" s="57"/>
      <c r="O321" s="57"/>
      <c r="P321" s="57"/>
      <c r="Q321" s="69"/>
      <c r="R321" s="69"/>
      <c r="S321" s="23" t="str">
        <f>iferror(if(AN321=1,VLOOKUP(B321, Blends!H$4:AK$1004,32,0), ""), "")</f>
        <v/>
      </c>
      <c r="T321" s="58"/>
      <c r="U321" s="27"/>
      <c r="V321" s="26"/>
      <c r="W321" s="27"/>
      <c r="X321" s="26"/>
      <c r="Y321" s="26"/>
      <c r="Z321" s="26"/>
      <c r="AA321" s="26"/>
      <c r="AB321" s="26"/>
      <c r="AC321" s="26"/>
      <c r="AD321" s="26"/>
      <c r="AE321" s="26"/>
      <c r="AF321" s="26"/>
      <c r="AG321" s="26"/>
      <c r="AH321" s="26"/>
      <c r="AI321" s="26"/>
      <c r="AJ321" s="26"/>
      <c r="AK321" s="25"/>
      <c r="AL321" s="59"/>
      <c r="AM321" s="35"/>
      <c r="AN321" s="35"/>
      <c r="AO321" s="35"/>
      <c r="AP321" s="35"/>
      <c r="AQ321" s="35"/>
      <c r="AR321" s="35"/>
      <c r="AS321" s="35"/>
      <c r="AT321" s="35"/>
      <c r="AU321" s="35"/>
      <c r="AV321" s="35"/>
      <c r="AW321" s="35"/>
    </row>
    <row r="322">
      <c r="A322" s="17"/>
      <c r="B322" s="35"/>
      <c r="C322" s="74"/>
      <c r="D322" s="74"/>
      <c r="E322" s="74"/>
      <c r="F322" s="74"/>
      <c r="G322" s="74"/>
      <c r="H322" s="74"/>
      <c r="I322" s="74"/>
      <c r="J322" s="57"/>
      <c r="K322" s="57"/>
      <c r="L322" s="57"/>
      <c r="M322" s="57"/>
      <c r="N322" s="57"/>
      <c r="O322" s="57"/>
      <c r="P322" s="57"/>
      <c r="Q322" s="69"/>
      <c r="R322" s="69"/>
      <c r="S322" s="23" t="str">
        <f>iferror(if(AN322=1,VLOOKUP(B322, Blends!H$4:AK$1004,32,0), ""), "")</f>
        <v/>
      </c>
      <c r="T322" s="58"/>
      <c r="U322" s="27"/>
      <c r="V322" s="26"/>
      <c r="W322" s="27"/>
      <c r="X322" s="26"/>
      <c r="Y322" s="26"/>
      <c r="Z322" s="26"/>
      <c r="AA322" s="26"/>
      <c r="AB322" s="26"/>
      <c r="AC322" s="26"/>
      <c r="AD322" s="26"/>
      <c r="AE322" s="26"/>
      <c r="AF322" s="26"/>
      <c r="AG322" s="26"/>
      <c r="AH322" s="26"/>
      <c r="AI322" s="26"/>
      <c r="AJ322" s="26"/>
      <c r="AK322" s="25"/>
      <c r="AL322" s="59"/>
      <c r="AM322" s="35"/>
      <c r="AN322" s="35"/>
      <c r="AO322" s="35"/>
      <c r="AP322" s="35"/>
      <c r="AQ322" s="35"/>
      <c r="AR322" s="35"/>
      <c r="AS322" s="35"/>
      <c r="AT322" s="35"/>
      <c r="AU322" s="35"/>
      <c r="AV322" s="35"/>
      <c r="AW322" s="35"/>
    </row>
    <row r="323">
      <c r="A323" s="17"/>
      <c r="B323" s="35"/>
      <c r="C323" s="74"/>
      <c r="D323" s="74"/>
      <c r="E323" s="74"/>
      <c r="F323" s="74"/>
      <c r="G323" s="74"/>
      <c r="H323" s="74"/>
      <c r="I323" s="74"/>
      <c r="J323" s="57"/>
      <c r="K323" s="57"/>
      <c r="L323" s="57"/>
      <c r="M323" s="57"/>
      <c r="N323" s="57"/>
      <c r="O323" s="57"/>
      <c r="P323" s="57"/>
      <c r="Q323" s="69"/>
      <c r="R323" s="69"/>
      <c r="S323" s="23" t="str">
        <f>iferror(if(AN323=1,VLOOKUP(B323, Blends!H$4:AK$1004,32,0), ""), "")</f>
        <v/>
      </c>
      <c r="T323" s="58"/>
      <c r="U323" s="27"/>
      <c r="V323" s="26"/>
      <c r="W323" s="27"/>
      <c r="X323" s="26"/>
      <c r="Y323" s="26"/>
      <c r="Z323" s="26"/>
      <c r="AA323" s="26"/>
      <c r="AB323" s="26"/>
      <c r="AC323" s="26"/>
      <c r="AD323" s="26"/>
      <c r="AE323" s="26"/>
      <c r="AF323" s="26"/>
      <c r="AG323" s="26"/>
      <c r="AH323" s="26"/>
      <c r="AI323" s="26"/>
      <c r="AJ323" s="26"/>
      <c r="AK323" s="25"/>
      <c r="AL323" s="59"/>
      <c r="AM323" s="35"/>
      <c r="AN323" s="35"/>
      <c r="AO323" s="35"/>
      <c r="AP323" s="35"/>
      <c r="AQ323" s="35"/>
      <c r="AR323" s="35"/>
      <c r="AS323" s="35"/>
      <c r="AT323" s="35"/>
      <c r="AU323" s="35"/>
      <c r="AV323" s="35"/>
      <c r="AW323" s="35"/>
    </row>
    <row r="324">
      <c r="A324" s="17"/>
      <c r="B324" s="35"/>
      <c r="C324" s="74"/>
      <c r="D324" s="74"/>
      <c r="E324" s="74"/>
      <c r="F324" s="74"/>
      <c r="G324" s="74"/>
      <c r="H324" s="74"/>
      <c r="I324" s="74"/>
      <c r="J324" s="57"/>
      <c r="K324" s="57"/>
      <c r="L324" s="57"/>
      <c r="M324" s="57"/>
      <c r="N324" s="57"/>
      <c r="O324" s="57"/>
      <c r="P324" s="57"/>
      <c r="Q324" s="69"/>
      <c r="R324" s="69"/>
      <c r="S324" s="23" t="str">
        <f>iferror(if(AN324=1,VLOOKUP(B324, Blends!H$4:AK$1004,32,0), ""), "")</f>
        <v/>
      </c>
      <c r="T324" s="58"/>
      <c r="U324" s="27"/>
      <c r="V324" s="26"/>
      <c r="W324" s="27"/>
      <c r="X324" s="26"/>
      <c r="Y324" s="26"/>
      <c r="Z324" s="26"/>
      <c r="AA324" s="26"/>
      <c r="AB324" s="26"/>
      <c r="AC324" s="26"/>
      <c r="AD324" s="26"/>
      <c r="AE324" s="26"/>
      <c r="AF324" s="26"/>
      <c r="AG324" s="26"/>
      <c r="AH324" s="26"/>
      <c r="AI324" s="26"/>
      <c r="AJ324" s="26"/>
      <c r="AK324" s="25"/>
      <c r="AL324" s="59"/>
      <c r="AM324" s="35"/>
      <c r="AN324" s="35"/>
      <c r="AO324" s="35"/>
      <c r="AP324" s="35"/>
      <c r="AQ324" s="35"/>
      <c r="AR324" s="35"/>
      <c r="AS324" s="35"/>
      <c r="AT324" s="35"/>
      <c r="AU324" s="35"/>
      <c r="AV324" s="35"/>
      <c r="AW324" s="35"/>
    </row>
    <row r="325">
      <c r="A325" s="17"/>
      <c r="B325" s="35"/>
      <c r="C325" s="74"/>
      <c r="D325" s="74"/>
      <c r="E325" s="74"/>
      <c r="F325" s="74"/>
      <c r="G325" s="74"/>
      <c r="H325" s="74"/>
      <c r="I325" s="74"/>
      <c r="J325" s="57"/>
      <c r="K325" s="57"/>
      <c r="L325" s="57"/>
      <c r="M325" s="57"/>
      <c r="N325" s="57"/>
      <c r="O325" s="57"/>
      <c r="P325" s="57"/>
      <c r="Q325" s="69"/>
      <c r="R325" s="69"/>
      <c r="S325" s="23" t="str">
        <f>iferror(if(AN325=1,VLOOKUP(B325, Blends!H$4:AK$1004,32,0), ""), "")</f>
        <v/>
      </c>
      <c r="T325" s="58"/>
      <c r="U325" s="27"/>
      <c r="V325" s="26"/>
      <c r="W325" s="27"/>
      <c r="X325" s="26"/>
      <c r="Y325" s="26"/>
      <c r="Z325" s="26"/>
      <c r="AA325" s="26"/>
      <c r="AB325" s="26"/>
      <c r="AC325" s="26"/>
      <c r="AD325" s="26"/>
      <c r="AE325" s="26"/>
      <c r="AF325" s="26"/>
      <c r="AG325" s="26"/>
      <c r="AH325" s="26"/>
      <c r="AI325" s="26"/>
      <c r="AJ325" s="26"/>
      <c r="AK325" s="25"/>
      <c r="AL325" s="59"/>
      <c r="AM325" s="35"/>
      <c r="AN325" s="35"/>
      <c r="AO325" s="35"/>
      <c r="AP325" s="35"/>
      <c r="AQ325" s="35"/>
      <c r="AR325" s="35"/>
      <c r="AS325" s="35"/>
      <c r="AT325" s="35"/>
      <c r="AU325" s="35"/>
      <c r="AV325" s="35"/>
      <c r="AW325" s="35"/>
    </row>
    <row r="326">
      <c r="A326" s="17"/>
      <c r="B326" s="35"/>
      <c r="C326" s="74"/>
      <c r="D326" s="74"/>
      <c r="E326" s="74"/>
      <c r="F326" s="74"/>
      <c r="G326" s="74"/>
      <c r="H326" s="74"/>
      <c r="I326" s="74"/>
      <c r="J326" s="57"/>
      <c r="K326" s="57"/>
      <c r="L326" s="57"/>
      <c r="M326" s="57"/>
      <c r="N326" s="57"/>
      <c r="O326" s="57"/>
      <c r="P326" s="57"/>
      <c r="Q326" s="69"/>
      <c r="R326" s="69"/>
      <c r="S326" s="23" t="str">
        <f>iferror(if(AN326=1,VLOOKUP(B326, Blends!H$4:AK$1004,32,0), ""), "")</f>
        <v/>
      </c>
      <c r="T326" s="58"/>
      <c r="U326" s="27"/>
      <c r="V326" s="26"/>
      <c r="W326" s="27"/>
      <c r="X326" s="26"/>
      <c r="Y326" s="26"/>
      <c r="Z326" s="26"/>
      <c r="AA326" s="26"/>
      <c r="AB326" s="26"/>
      <c r="AC326" s="26"/>
      <c r="AD326" s="26"/>
      <c r="AE326" s="26"/>
      <c r="AF326" s="26"/>
      <c r="AG326" s="26"/>
      <c r="AH326" s="26"/>
      <c r="AI326" s="26"/>
      <c r="AJ326" s="26"/>
      <c r="AK326" s="25"/>
      <c r="AL326" s="59"/>
      <c r="AM326" s="35"/>
      <c r="AN326" s="35"/>
      <c r="AO326" s="35"/>
      <c r="AP326" s="35"/>
      <c r="AQ326" s="35"/>
      <c r="AR326" s="35"/>
      <c r="AS326" s="35"/>
      <c r="AT326" s="35"/>
      <c r="AU326" s="35"/>
      <c r="AV326" s="35"/>
      <c r="AW326" s="35"/>
    </row>
    <row r="327">
      <c r="A327" s="17"/>
      <c r="B327" s="35"/>
      <c r="C327" s="74"/>
      <c r="D327" s="74"/>
      <c r="E327" s="74"/>
      <c r="F327" s="74"/>
      <c r="G327" s="74"/>
      <c r="H327" s="74"/>
      <c r="I327" s="74"/>
      <c r="J327" s="57"/>
      <c r="K327" s="57"/>
      <c r="L327" s="57"/>
      <c r="M327" s="57"/>
      <c r="N327" s="57"/>
      <c r="O327" s="57"/>
      <c r="P327" s="57"/>
      <c r="Q327" s="69"/>
      <c r="R327" s="69"/>
      <c r="S327" s="23" t="str">
        <f>iferror(if(AN327=1,VLOOKUP(B327, Blends!H$4:AK$1004,32,0), ""), "")</f>
        <v/>
      </c>
      <c r="T327" s="58"/>
      <c r="U327" s="27"/>
      <c r="V327" s="26"/>
      <c r="W327" s="27"/>
      <c r="X327" s="26"/>
      <c r="Y327" s="26"/>
      <c r="Z327" s="26"/>
      <c r="AA327" s="26"/>
      <c r="AB327" s="26"/>
      <c r="AC327" s="26"/>
      <c r="AD327" s="26"/>
      <c r="AE327" s="26"/>
      <c r="AF327" s="26"/>
      <c r="AG327" s="26"/>
      <c r="AH327" s="26"/>
      <c r="AI327" s="26"/>
      <c r="AJ327" s="26"/>
      <c r="AK327" s="25"/>
      <c r="AL327" s="59"/>
      <c r="AM327" s="35"/>
      <c r="AN327" s="35"/>
      <c r="AO327" s="35"/>
      <c r="AP327" s="35"/>
      <c r="AQ327" s="35"/>
      <c r="AR327" s="35"/>
      <c r="AS327" s="35"/>
      <c r="AT327" s="35"/>
      <c r="AU327" s="35"/>
      <c r="AV327" s="35"/>
      <c r="AW327" s="35"/>
    </row>
    <row r="328">
      <c r="A328" s="17"/>
      <c r="B328" s="35"/>
      <c r="C328" s="74"/>
      <c r="D328" s="74"/>
      <c r="E328" s="74"/>
      <c r="F328" s="74"/>
      <c r="G328" s="74"/>
      <c r="H328" s="74"/>
      <c r="I328" s="74"/>
      <c r="J328" s="57"/>
      <c r="K328" s="57"/>
      <c r="L328" s="57"/>
      <c r="M328" s="57"/>
      <c r="N328" s="57"/>
      <c r="O328" s="57"/>
      <c r="P328" s="57"/>
      <c r="Q328" s="69"/>
      <c r="R328" s="69"/>
      <c r="S328" s="23" t="str">
        <f>iferror(if(AN328=1,VLOOKUP(B328, Blends!H$4:AK$1004,32,0), ""), "")</f>
        <v/>
      </c>
      <c r="T328" s="58"/>
      <c r="U328" s="27"/>
      <c r="V328" s="26"/>
      <c r="W328" s="27"/>
      <c r="X328" s="26"/>
      <c r="Y328" s="26"/>
      <c r="Z328" s="26"/>
      <c r="AA328" s="26"/>
      <c r="AB328" s="26"/>
      <c r="AC328" s="26"/>
      <c r="AD328" s="26"/>
      <c r="AE328" s="26"/>
      <c r="AF328" s="26"/>
      <c r="AG328" s="26"/>
      <c r="AH328" s="26"/>
      <c r="AI328" s="26"/>
      <c r="AJ328" s="26"/>
      <c r="AK328" s="25"/>
      <c r="AL328" s="59"/>
      <c r="AM328" s="35"/>
      <c r="AN328" s="35"/>
      <c r="AO328" s="35"/>
      <c r="AP328" s="35"/>
      <c r="AQ328" s="35"/>
      <c r="AR328" s="35"/>
      <c r="AS328" s="35"/>
      <c r="AT328" s="35"/>
      <c r="AU328" s="35"/>
      <c r="AV328" s="35"/>
      <c r="AW328" s="35"/>
    </row>
    <row r="329">
      <c r="A329" s="17"/>
      <c r="B329" s="35"/>
      <c r="C329" s="74"/>
      <c r="D329" s="74"/>
      <c r="E329" s="74"/>
      <c r="F329" s="74"/>
      <c r="G329" s="74"/>
      <c r="H329" s="74"/>
      <c r="I329" s="74"/>
      <c r="J329" s="57"/>
      <c r="K329" s="57"/>
      <c r="L329" s="57"/>
      <c r="M329" s="57"/>
      <c r="N329" s="57"/>
      <c r="O329" s="57"/>
      <c r="P329" s="57"/>
      <c r="Q329" s="69"/>
      <c r="R329" s="69"/>
      <c r="S329" s="23" t="str">
        <f>iferror(if(AN329=1,VLOOKUP(B329, Blends!H$4:AK$1004,32,0), ""), "")</f>
        <v/>
      </c>
      <c r="T329" s="58"/>
      <c r="U329" s="27"/>
      <c r="V329" s="26"/>
      <c r="W329" s="27"/>
      <c r="X329" s="26"/>
      <c r="Y329" s="26"/>
      <c r="Z329" s="26"/>
      <c r="AA329" s="26"/>
      <c r="AB329" s="26"/>
      <c r="AC329" s="26"/>
      <c r="AD329" s="26"/>
      <c r="AE329" s="26"/>
      <c r="AF329" s="26"/>
      <c r="AG329" s="26"/>
      <c r="AH329" s="26"/>
      <c r="AI329" s="26"/>
      <c r="AJ329" s="26"/>
      <c r="AK329" s="25"/>
      <c r="AL329" s="59"/>
      <c r="AM329" s="35"/>
      <c r="AN329" s="35"/>
      <c r="AO329" s="35"/>
      <c r="AP329" s="35"/>
      <c r="AQ329" s="35"/>
      <c r="AR329" s="35"/>
      <c r="AS329" s="35"/>
      <c r="AT329" s="35"/>
      <c r="AU329" s="35"/>
      <c r="AV329" s="35"/>
      <c r="AW329" s="35"/>
    </row>
    <row r="330">
      <c r="A330" s="17"/>
      <c r="B330" s="35"/>
      <c r="C330" s="74"/>
      <c r="D330" s="74"/>
      <c r="E330" s="74"/>
      <c r="F330" s="74"/>
      <c r="G330" s="74"/>
      <c r="H330" s="74"/>
      <c r="I330" s="74"/>
      <c r="J330" s="57"/>
      <c r="K330" s="57"/>
      <c r="L330" s="57"/>
      <c r="M330" s="57"/>
      <c r="N330" s="57"/>
      <c r="O330" s="57"/>
      <c r="P330" s="57"/>
      <c r="Q330" s="69"/>
      <c r="R330" s="69"/>
      <c r="S330" s="23" t="str">
        <f>iferror(if(AN330=1,VLOOKUP(B330, Blends!H$4:AK$1004,32,0), ""), "")</f>
        <v/>
      </c>
      <c r="T330" s="58"/>
      <c r="U330" s="27"/>
      <c r="V330" s="26"/>
      <c r="W330" s="27"/>
      <c r="X330" s="26"/>
      <c r="Y330" s="26"/>
      <c r="Z330" s="26"/>
      <c r="AA330" s="26"/>
      <c r="AB330" s="26"/>
      <c r="AC330" s="26"/>
      <c r="AD330" s="26"/>
      <c r="AE330" s="26"/>
      <c r="AF330" s="26"/>
      <c r="AG330" s="26"/>
      <c r="AH330" s="26"/>
      <c r="AI330" s="26"/>
      <c r="AJ330" s="26"/>
      <c r="AK330" s="25"/>
      <c r="AL330" s="59"/>
      <c r="AM330" s="35"/>
      <c r="AN330" s="35"/>
      <c r="AO330" s="35"/>
      <c r="AP330" s="35"/>
      <c r="AQ330" s="35"/>
      <c r="AR330" s="35"/>
      <c r="AS330" s="35"/>
      <c r="AT330" s="35"/>
      <c r="AU330" s="35"/>
      <c r="AV330" s="35"/>
      <c r="AW330" s="35"/>
    </row>
    <row r="331">
      <c r="A331" s="17"/>
      <c r="B331" s="35"/>
      <c r="C331" s="74"/>
      <c r="D331" s="74"/>
      <c r="E331" s="74"/>
      <c r="F331" s="74"/>
      <c r="G331" s="74"/>
      <c r="H331" s="74"/>
      <c r="I331" s="74"/>
      <c r="J331" s="57"/>
      <c r="K331" s="57"/>
      <c r="L331" s="57"/>
      <c r="M331" s="57"/>
      <c r="N331" s="57"/>
      <c r="O331" s="57"/>
      <c r="P331" s="57"/>
      <c r="Q331" s="69"/>
      <c r="R331" s="69"/>
      <c r="S331" s="23" t="str">
        <f>iferror(if(AN331=1,VLOOKUP(B331, Blends!H$4:AK$1004,32,0), ""), "")</f>
        <v/>
      </c>
      <c r="T331" s="58"/>
      <c r="U331" s="27"/>
      <c r="V331" s="26"/>
      <c r="W331" s="27"/>
      <c r="X331" s="26"/>
      <c r="Y331" s="26"/>
      <c r="Z331" s="26"/>
      <c r="AA331" s="26"/>
      <c r="AB331" s="26"/>
      <c r="AC331" s="26"/>
      <c r="AD331" s="26"/>
      <c r="AE331" s="26"/>
      <c r="AF331" s="26"/>
      <c r="AG331" s="26"/>
      <c r="AH331" s="26"/>
      <c r="AI331" s="26"/>
      <c r="AJ331" s="26"/>
      <c r="AK331" s="25"/>
      <c r="AL331" s="59"/>
      <c r="AM331" s="35"/>
      <c r="AN331" s="35"/>
      <c r="AO331" s="35"/>
      <c r="AP331" s="35"/>
      <c r="AQ331" s="35"/>
      <c r="AR331" s="35"/>
      <c r="AS331" s="35"/>
      <c r="AT331" s="35"/>
      <c r="AU331" s="35"/>
      <c r="AV331" s="35"/>
      <c r="AW331" s="35"/>
    </row>
    <row r="332">
      <c r="A332" s="17"/>
      <c r="B332" s="35"/>
      <c r="C332" s="74"/>
      <c r="D332" s="74"/>
      <c r="E332" s="74"/>
      <c r="F332" s="74"/>
      <c r="G332" s="74"/>
      <c r="H332" s="74"/>
      <c r="I332" s="74"/>
      <c r="J332" s="57"/>
      <c r="K332" s="57"/>
      <c r="L332" s="57"/>
      <c r="M332" s="57"/>
      <c r="N332" s="57"/>
      <c r="O332" s="57"/>
      <c r="P332" s="57"/>
      <c r="Q332" s="69"/>
      <c r="R332" s="69"/>
      <c r="S332" s="23" t="str">
        <f>iferror(if(AN332=1,VLOOKUP(B332, Blends!H$4:AK$1004,32,0), ""), "")</f>
        <v/>
      </c>
      <c r="T332" s="58"/>
      <c r="U332" s="27"/>
      <c r="V332" s="26"/>
      <c r="W332" s="27"/>
      <c r="X332" s="26"/>
      <c r="Y332" s="26"/>
      <c r="Z332" s="26"/>
      <c r="AA332" s="26"/>
      <c r="AB332" s="26"/>
      <c r="AC332" s="26"/>
      <c r="AD332" s="26"/>
      <c r="AE332" s="26"/>
      <c r="AF332" s="26"/>
      <c r="AG332" s="26"/>
      <c r="AH332" s="26"/>
      <c r="AI332" s="26"/>
      <c r="AJ332" s="26"/>
      <c r="AK332" s="25"/>
      <c r="AL332" s="59"/>
      <c r="AM332" s="35"/>
      <c r="AN332" s="35"/>
      <c r="AO332" s="35"/>
      <c r="AP332" s="35"/>
      <c r="AQ332" s="35"/>
      <c r="AR332" s="35"/>
      <c r="AS332" s="35"/>
      <c r="AT332" s="35"/>
      <c r="AU332" s="35"/>
      <c r="AV332" s="35"/>
      <c r="AW332" s="35"/>
    </row>
    <row r="333">
      <c r="A333" s="17"/>
      <c r="B333" s="35"/>
      <c r="C333" s="74"/>
      <c r="D333" s="74"/>
      <c r="E333" s="74"/>
      <c r="F333" s="74"/>
      <c r="G333" s="74"/>
      <c r="H333" s="74"/>
      <c r="I333" s="74"/>
      <c r="J333" s="57"/>
      <c r="K333" s="57"/>
      <c r="L333" s="57"/>
      <c r="M333" s="57"/>
      <c r="N333" s="57"/>
      <c r="O333" s="57"/>
      <c r="P333" s="57"/>
      <c r="Q333" s="69"/>
      <c r="R333" s="69"/>
      <c r="S333" s="23" t="str">
        <f>iferror(if(AN333=1,VLOOKUP(B333, Blends!H$4:AK$1004,32,0), ""), "")</f>
        <v/>
      </c>
      <c r="T333" s="58"/>
      <c r="U333" s="27"/>
      <c r="V333" s="26"/>
      <c r="W333" s="27"/>
      <c r="X333" s="26"/>
      <c r="Y333" s="26"/>
      <c r="Z333" s="26"/>
      <c r="AA333" s="26"/>
      <c r="AB333" s="26"/>
      <c r="AC333" s="26"/>
      <c r="AD333" s="26"/>
      <c r="AE333" s="26"/>
      <c r="AF333" s="26"/>
      <c r="AG333" s="26"/>
      <c r="AH333" s="26"/>
      <c r="AI333" s="26"/>
      <c r="AJ333" s="26"/>
      <c r="AK333" s="25"/>
      <c r="AL333" s="59"/>
      <c r="AM333" s="35"/>
      <c r="AN333" s="35"/>
      <c r="AO333" s="35"/>
      <c r="AP333" s="35"/>
      <c r="AQ333" s="35"/>
      <c r="AR333" s="35"/>
      <c r="AS333" s="35"/>
      <c r="AT333" s="35"/>
      <c r="AU333" s="35"/>
      <c r="AV333" s="35"/>
      <c r="AW333" s="35"/>
    </row>
    <row r="334">
      <c r="A334" s="17"/>
      <c r="B334" s="35"/>
      <c r="C334" s="74"/>
      <c r="D334" s="74"/>
      <c r="E334" s="74"/>
      <c r="F334" s="74"/>
      <c r="G334" s="74"/>
      <c r="H334" s="74"/>
      <c r="I334" s="74"/>
      <c r="J334" s="57"/>
      <c r="K334" s="57"/>
      <c r="L334" s="57"/>
      <c r="M334" s="57"/>
      <c r="N334" s="57"/>
      <c r="O334" s="57"/>
      <c r="P334" s="57"/>
      <c r="Q334" s="69"/>
      <c r="R334" s="69"/>
      <c r="S334" s="23" t="str">
        <f>iferror(if(AN334=1,VLOOKUP(B334, Blends!H$4:AK$1004,32,0), ""), "")</f>
        <v/>
      </c>
      <c r="T334" s="58"/>
      <c r="U334" s="27"/>
      <c r="V334" s="26"/>
      <c r="W334" s="27"/>
      <c r="X334" s="26"/>
      <c r="Y334" s="26"/>
      <c r="Z334" s="26"/>
      <c r="AA334" s="26"/>
      <c r="AB334" s="26"/>
      <c r="AC334" s="26"/>
      <c r="AD334" s="26"/>
      <c r="AE334" s="26"/>
      <c r="AF334" s="26"/>
      <c r="AG334" s="26"/>
      <c r="AH334" s="26"/>
      <c r="AI334" s="26"/>
      <c r="AJ334" s="26"/>
      <c r="AK334" s="25"/>
      <c r="AL334" s="59"/>
      <c r="AM334" s="35"/>
      <c r="AN334" s="35"/>
      <c r="AO334" s="35"/>
      <c r="AP334" s="35"/>
      <c r="AQ334" s="35"/>
      <c r="AR334" s="35"/>
      <c r="AS334" s="35"/>
      <c r="AT334" s="35"/>
      <c r="AU334" s="35"/>
      <c r="AV334" s="35"/>
      <c r="AW334" s="35"/>
    </row>
    <row r="335">
      <c r="A335" s="17"/>
      <c r="B335" s="35"/>
      <c r="C335" s="74"/>
      <c r="D335" s="74"/>
      <c r="E335" s="74"/>
      <c r="F335" s="74"/>
      <c r="G335" s="74"/>
      <c r="H335" s="74"/>
      <c r="I335" s="74"/>
      <c r="J335" s="57"/>
      <c r="K335" s="57"/>
      <c r="L335" s="57"/>
      <c r="M335" s="57"/>
      <c r="N335" s="57"/>
      <c r="O335" s="57"/>
      <c r="P335" s="57"/>
      <c r="Q335" s="69"/>
      <c r="R335" s="69"/>
      <c r="S335" s="23" t="str">
        <f>iferror(if(AN335=1,VLOOKUP(B335, Blends!H$4:AK$1004,32,0), ""), "")</f>
        <v/>
      </c>
      <c r="T335" s="58"/>
      <c r="U335" s="27"/>
      <c r="V335" s="26"/>
      <c r="W335" s="27"/>
      <c r="X335" s="26"/>
      <c r="Y335" s="26"/>
      <c r="Z335" s="26"/>
      <c r="AA335" s="26"/>
      <c r="AB335" s="26"/>
      <c r="AC335" s="26"/>
      <c r="AD335" s="26"/>
      <c r="AE335" s="26"/>
      <c r="AF335" s="26"/>
      <c r="AG335" s="26"/>
      <c r="AH335" s="26"/>
      <c r="AI335" s="26"/>
      <c r="AJ335" s="26"/>
      <c r="AK335" s="25"/>
      <c r="AL335" s="59"/>
      <c r="AM335" s="35"/>
      <c r="AN335" s="35"/>
      <c r="AO335" s="35"/>
      <c r="AP335" s="35"/>
      <c r="AQ335" s="35"/>
      <c r="AR335" s="35"/>
      <c r="AS335" s="35"/>
      <c r="AT335" s="35"/>
      <c r="AU335" s="35"/>
      <c r="AV335" s="35"/>
      <c r="AW335" s="35"/>
    </row>
    <row r="336">
      <c r="A336" s="17"/>
      <c r="B336" s="35"/>
      <c r="C336" s="74"/>
      <c r="D336" s="74"/>
      <c r="E336" s="74"/>
      <c r="F336" s="74"/>
      <c r="G336" s="74"/>
      <c r="H336" s="74"/>
      <c r="I336" s="74"/>
      <c r="J336" s="57"/>
      <c r="K336" s="57"/>
      <c r="L336" s="57"/>
      <c r="M336" s="57"/>
      <c r="N336" s="57"/>
      <c r="O336" s="57"/>
      <c r="P336" s="57"/>
      <c r="Q336" s="69"/>
      <c r="R336" s="69"/>
      <c r="S336" s="23" t="str">
        <f>iferror(if(AN336=1,VLOOKUP(B336, Blends!H$4:AK$1004,32,0), ""), "")</f>
        <v/>
      </c>
      <c r="T336" s="58"/>
      <c r="U336" s="27"/>
      <c r="V336" s="26"/>
      <c r="W336" s="27"/>
      <c r="X336" s="26"/>
      <c r="Y336" s="26"/>
      <c r="Z336" s="26"/>
      <c r="AA336" s="26"/>
      <c r="AB336" s="26"/>
      <c r="AC336" s="26"/>
      <c r="AD336" s="26"/>
      <c r="AE336" s="26"/>
      <c r="AF336" s="26"/>
      <c r="AG336" s="26"/>
      <c r="AH336" s="26"/>
      <c r="AI336" s="26"/>
      <c r="AJ336" s="26"/>
      <c r="AK336" s="25"/>
      <c r="AL336" s="59"/>
      <c r="AM336" s="35"/>
      <c r="AN336" s="35"/>
      <c r="AO336" s="35"/>
      <c r="AP336" s="35"/>
      <c r="AQ336" s="35"/>
      <c r="AR336" s="35"/>
      <c r="AS336" s="35"/>
      <c r="AT336" s="35"/>
      <c r="AU336" s="35"/>
      <c r="AV336" s="35"/>
      <c r="AW336" s="35"/>
    </row>
    <row r="337">
      <c r="A337" s="17"/>
      <c r="B337" s="35"/>
      <c r="C337" s="74"/>
      <c r="D337" s="74"/>
      <c r="E337" s="74"/>
      <c r="F337" s="74"/>
      <c r="G337" s="74"/>
      <c r="H337" s="74"/>
      <c r="I337" s="74"/>
      <c r="J337" s="57"/>
      <c r="K337" s="57"/>
      <c r="L337" s="57"/>
      <c r="M337" s="57"/>
      <c r="N337" s="57"/>
      <c r="O337" s="57"/>
      <c r="P337" s="57"/>
      <c r="Q337" s="69"/>
      <c r="R337" s="69"/>
      <c r="S337" s="23" t="str">
        <f>iferror(if(AN337=1,VLOOKUP(B337, Blends!H$4:AK$1004,32,0), ""), "")</f>
        <v/>
      </c>
      <c r="T337" s="58"/>
      <c r="U337" s="27"/>
      <c r="V337" s="26"/>
      <c r="W337" s="27"/>
      <c r="X337" s="26"/>
      <c r="Y337" s="26"/>
      <c r="Z337" s="26"/>
      <c r="AA337" s="26"/>
      <c r="AB337" s="26"/>
      <c r="AC337" s="26"/>
      <c r="AD337" s="26"/>
      <c r="AE337" s="26"/>
      <c r="AF337" s="26"/>
      <c r="AG337" s="26"/>
      <c r="AH337" s="26"/>
      <c r="AI337" s="26"/>
      <c r="AJ337" s="26"/>
      <c r="AK337" s="25"/>
      <c r="AL337" s="59"/>
      <c r="AM337" s="35"/>
      <c r="AN337" s="35"/>
      <c r="AO337" s="35"/>
      <c r="AP337" s="35"/>
      <c r="AQ337" s="35"/>
      <c r="AR337" s="35"/>
      <c r="AS337" s="35"/>
      <c r="AT337" s="35"/>
      <c r="AU337" s="35"/>
      <c r="AV337" s="35"/>
      <c r="AW337" s="35"/>
    </row>
    <row r="338">
      <c r="A338" s="17"/>
      <c r="B338" s="35"/>
      <c r="C338" s="74"/>
      <c r="D338" s="74"/>
      <c r="E338" s="74"/>
      <c r="F338" s="74"/>
      <c r="G338" s="74"/>
      <c r="H338" s="74"/>
      <c r="I338" s="74"/>
      <c r="J338" s="57"/>
      <c r="K338" s="57"/>
      <c r="L338" s="57"/>
      <c r="M338" s="57"/>
      <c r="N338" s="57"/>
      <c r="O338" s="57"/>
      <c r="P338" s="57"/>
      <c r="Q338" s="69"/>
      <c r="R338" s="69"/>
      <c r="S338" s="23" t="str">
        <f>iferror(if(AN338=1,VLOOKUP(B338, Blends!H$4:AK$1004,32,0), ""), "")</f>
        <v/>
      </c>
      <c r="T338" s="58"/>
      <c r="U338" s="27"/>
      <c r="V338" s="26"/>
      <c r="W338" s="27"/>
      <c r="X338" s="26"/>
      <c r="Y338" s="26"/>
      <c r="Z338" s="26"/>
      <c r="AA338" s="26"/>
      <c r="AB338" s="26"/>
      <c r="AC338" s="26"/>
      <c r="AD338" s="26"/>
      <c r="AE338" s="26"/>
      <c r="AF338" s="26"/>
      <c r="AG338" s="26"/>
      <c r="AH338" s="26"/>
      <c r="AI338" s="26"/>
      <c r="AJ338" s="26"/>
      <c r="AK338" s="25"/>
      <c r="AL338" s="59"/>
      <c r="AM338" s="35"/>
      <c r="AN338" s="35"/>
      <c r="AO338" s="35"/>
      <c r="AP338" s="35"/>
      <c r="AQ338" s="35"/>
      <c r="AR338" s="35"/>
      <c r="AS338" s="35"/>
      <c r="AT338" s="35"/>
      <c r="AU338" s="35"/>
      <c r="AV338" s="35"/>
      <c r="AW338" s="35"/>
    </row>
    <row r="339">
      <c r="A339" s="17"/>
      <c r="B339" s="35"/>
      <c r="C339" s="74"/>
      <c r="D339" s="74"/>
      <c r="E339" s="74"/>
      <c r="F339" s="74"/>
      <c r="G339" s="74"/>
      <c r="H339" s="74"/>
      <c r="I339" s="74"/>
      <c r="J339" s="57"/>
      <c r="K339" s="57"/>
      <c r="L339" s="57"/>
      <c r="M339" s="57"/>
      <c r="N339" s="57"/>
      <c r="O339" s="57"/>
      <c r="P339" s="57"/>
      <c r="Q339" s="69"/>
      <c r="R339" s="69"/>
      <c r="S339" s="23" t="str">
        <f>iferror(if(AN339=1,VLOOKUP(B339, Blends!H$4:AK$1004,32,0), ""), "")</f>
        <v/>
      </c>
      <c r="T339" s="58"/>
      <c r="U339" s="27"/>
      <c r="V339" s="26"/>
      <c r="W339" s="27"/>
      <c r="X339" s="26"/>
      <c r="Y339" s="26"/>
      <c r="Z339" s="26"/>
      <c r="AA339" s="26"/>
      <c r="AB339" s="26"/>
      <c r="AC339" s="26"/>
      <c r="AD339" s="26"/>
      <c r="AE339" s="26"/>
      <c r="AF339" s="26"/>
      <c r="AG339" s="26"/>
      <c r="AH339" s="26"/>
      <c r="AI339" s="26"/>
      <c r="AJ339" s="26"/>
      <c r="AK339" s="25"/>
      <c r="AL339" s="59"/>
      <c r="AM339" s="35"/>
      <c r="AN339" s="35"/>
      <c r="AO339" s="35"/>
      <c r="AP339" s="35"/>
      <c r="AQ339" s="35"/>
      <c r="AR339" s="35"/>
      <c r="AS339" s="35"/>
      <c r="AT339" s="35"/>
      <c r="AU339" s="35"/>
      <c r="AV339" s="35"/>
      <c r="AW339" s="35"/>
    </row>
    <row r="340">
      <c r="A340" s="17"/>
      <c r="B340" s="35"/>
      <c r="C340" s="74"/>
      <c r="D340" s="74"/>
      <c r="E340" s="74"/>
      <c r="F340" s="74"/>
      <c r="G340" s="74"/>
      <c r="H340" s="74"/>
      <c r="I340" s="74"/>
      <c r="J340" s="57"/>
      <c r="K340" s="57"/>
      <c r="L340" s="57"/>
      <c r="M340" s="57"/>
      <c r="N340" s="57"/>
      <c r="O340" s="57"/>
      <c r="P340" s="57"/>
      <c r="Q340" s="69"/>
      <c r="R340" s="69"/>
      <c r="S340" s="23" t="str">
        <f>iferror(if(AN340=1,VLOOKUP(B340, Blends!H$4:AK$1004,32,0), ""), "")</f>
        <v/>
      </c>
      <c r="T340" s="58"/>
      <c r="U340" s="27"/>
      <c r="V340" s="26"/>
      <c r="W340" s="27"/>
      <c r="X340" s="26"/>
      <c r="Y340" s="26"/>
      <c r="Z340" s="26"/>
      <c r="AA340" s="26"/>
      <c r="AB340" s="26"/>
      <c r="AC340" s="26"/>
      <c r="AD340" s="26"/>
      <c r="AE340" s="26"/>
      <c r="AF340" s="26"/>
      <c r="AG340" s="26"/>
      <c r="AH340" s="26"/>
      <c r="AI340" s="26"/>
      <c r="AJ340" s="26"/>
      <c r="AK340" s="25"/>
      <c r="AL340" s="59"/>
      <c r="AM340" s="35"/>
      <c r="AN340" s="35"/>
      <c r="AO340" s="35"/>
      <c r="AP340" s="35"/>
      <c r="AQ340" s="35"/>
      <c r="AR340" s="35"/>
      <c r="AS340" s="35"/>
      <c r="AT340" s="35"/>
      <c r="AU340" s="35"/>
      <c r="AV340" s="35"/>
      <c r="AW340" s="35"/>
    </row>
    <row r="341">
      <c r="A341" s="17"/>
      <c r="B341" s="35"/>
      <c r="C341" s="74"/>
      <c r="D341" s="74"/>
      <c r="E341" s="74"/>
      <c r="F341" s="74"/>
      <c r="G341" s="74"/>
      <c r="H341" s="74"/>
      <c r="I341" s="74"/>
      <c r="J341" s="57"/>
      <c r="K341" s="57"/>
      <c r="L341" s="57"/>
      <c r="M341" s="57"/>
      <c r="N341" s="57"/>
      <c r="O341" s="57"/>
      <c r="P341" s="57"/>
      <c r="Q341" s="69"/>
      <c r="R341" s="69"/>
      <c r="S341" s="23" t="str">
        <f>iferror(if(AN341=1,VLOOKUP(B341, Blends!H$4:AK$1004,32,0), ""), "")</f>
        <v/>
      </c>
      <c r="T341" s="58"/>
      <c r="U341" s="27"/>
      <c r="V341" s="26"/>
      <c r="W341" s="27"/>
      <c r="X341" s="26"/>
      <c r="Y341" s="26"/>
      <c r="Z341" s="26"/>
      <c r="AA341" s="26"/>
      <c r="AB341" s="26"/>
      <c r="AC341" s="26"/>
      <c r="AD341" s="26"/>
      <c r="AE341" s="26"/>
      <c r="AF341" s="26"/>
      <c r="AG341" s="26"/>
      <c r="AH341" s="26"/>
      <c r="AI341" s="26"/>
      <c r="AJ341" s="26"/>
      <c r="AK341" s="25"/>
      <c r="AL341" s="59"/>
      <c r="AM341" s="35"/>
      <c r="AN341" s="35"/>
      <c r="AO341" s="35"/>
      <c r="AP341" s="35"/>
      <c r="AQ341" s="35"/>
      <c r="AR341" s="35"/>
      <c r="AS341" s="35"/>
      <c r="AT341" s="35"/>
      <c r="AU341" s="35"/>
      <c r="AV341" s="35"/>
      <c r="AW341" s="35"/>
    </row>
    <row r="342">
      <c r="A342" s="17"/>
      <c r="B342" s="35"/>
      <c r="C342" s="74"/>
      <c r="D342" s="74"/>
      <c r="E342" s="74"/>
      <c r="F342" s="74"/>
      <c r="G342" s="74"/>
      <c r="H342" s="74"/>
      <c r="I342" s="74"/>
      <c r="J342" s="57"/>
      <c r="K342" s="57"/>
      <c r="L342" s="57"/>
      <c r="M342" s="57"/>
      <c r="N342" s="57"/>
      <c r="O342" s="57"/>
      <c r="P342" s="57"/>
      <c r="Q342" s="69"/>
      <c r="R342" s="69"/>
      <c r="S342" s="23" t="str">
        <f>iferror(if(AN342=1,VLOOKUP(B342, Blends!H$4:AK$1004,32,0), ""), "")</f>
        <v/>
      </c>
      <c r="T342" s="58"/>
      <c r="U342" s="27"/>
      <c r="V342" s="26"/>
      <c r="W342" s="27"/>
      <c r="X342" s="26"/>
      <c r="Y342" s="26"/>
      <c r="Z342" s="26"/>
      <c r="AA342" s="26"/>
      <c r="AB342" s="26"/>
      <c r="AC342" s="26"/>
      <c r="AD342" s="26"/>
      <c r="AE342" s="26"/>
      <c r="AF342" s="26"/>
      <c r="AG342" s="26"/>
      <c r="AH342" s="26"/>
      <c r="AI342" s="26"/>
      <c r="AJ342" s="26"/>
      <c r="AK342" s="25"/>
      <c r="AL342" s="59"/>
      <c r="AM342" s="35"/>
      <c r="AN342" s="35"/>
      <c r="AO342" s="35"/>
      <c r="AP342" s="35"/>
      <c r="AQ342" s="35"/>
      <c r="AR342" s="35"/>
      <c r="AS342" s="35"/>
      <c r="AT342" s="35"/>
      <c r="AU342" s="35"/>
      <c r="AV342" s="35"/>
      <c r="AW342" s="35"/>
    </row>
    <row r="343">
      <c r="A343" s="17"/>
      <c r="B343" s="35"/>
      <c r="C343" s="74"/>
      <c r="D343" s="74"/>
      <c r="E343" s="74"/>
      <c r="F343" s="74"/>
      <c r="G343" s="74"/>
      <c r="H343" s="74"/>
      <c r="I343" s="74"/>
      <c r="J343" s="57"/>
      <c r="K343" s="57"/>
      <c r="L343" s="57"/>
      <c r="M343" s="57"/>
      <c r="N343" s="57"/>
      <c r="O343" s="57"/>
      <c r="P343" s="57"/>
      <c r="Q343" s="69"/>
      <c r="R343" s="69"/>
      <c r="S343" s="23" t="str">
        <f>iferror(if(AN343=1,VLOOKUP(B343, Blends!H$4:AK$1004,32,0), ""), "")</f>
        <v/>
      </c>
      <c r="T343" s="58"/>
      <c r="U343" s="27"/>
      <c r="V343" s="26"/>
      <c r="W343" s="27"/>
      <c r="X343" s="26"/>
      <c r="Y343" s="26"/>
      <c r="Z343" s="26"/>
      <c r="AA343" s="26"/>
      <c r="AB343" s="26"/>
      <c r="AC343" s="26"/>
      <c r="AD343" s="26"/>
      <c r="AE343" s="26"/>
      <c r="AF343" s="26"/>
      <c r="AG343" s="26"/>
      <c r="AH343" s="26"/>
      <c r="AI343" s="26"/>
      <c r="AJ343" s="26"/>
      <c r="AK343" s="25"/>
      <c r="AL343" s="59"/>
      <c r="AM343" s="35"/>
      <c r="AN343" s="35"/>
      <c r="AO343" s="35"/>
      <c r="AP343" s="35"/>
      <c r="AQ343" s="35"/>
      <c r="AR343" s="35"/>
      <c r="AS343" s="35"/>
      <c r="AT343" s="35"/>
      <c r="AU343" s="35"/>
      <c r="AV343" s="35"/>
      <c r="AW343" s="35"/>
    </row>
    <row r="344">
      <c r="A344" s="17"/>
      <c r="B344" s="35"/>
      <c r="C344" s="74"/>
      <c r="D344" s="74"/>
      <c r="E344" s="74"/>
      <c r="F344" s="74"/>
      <c r="G344" s="74"/>
      <c r="H344" s="74"/>
      <c r="I344" s="74"/>
      <c r="J344" s="57"/>
      <c r="K344" s="57"/>
      <c r="L344" s="57"/>
      <c r="M344" s="57"/>
      <c r="N344" s="57"/>
      <c r="O344" s="57"/>
      <c r="P344" s="57"/>
      <c r="Q344" s="69"/>
      <c r="R344" s="69"/>
      <c r="S344" s="23" t="str">
        <f>iferror(if(AN344=1,VLOOKUP(B344, Blends!H$4:AK$1004,32,0), ""), "")</f>
        <v/>
      </c>
      <c r="T344" s="58"/>
      <c r="U344" s="27"/>
      <c r="V344" s="26"/>
      <c r="W344" s="27"/>
      <c r="X344" s="26"/>
      <c r="Y344" s="26"/>
      <c r="Z344" s="26"/>
      <c r="AA344" s="26"/>
      <c r="AB344" s="26"/>
      <c r="AC344" s="26"/>
      <c r="AD344" s="26"/>
      <c r="AE344" s="26"/>
      <c r="AF344" s="26"/>
      <c r="AG344" s="26"/>
      <c r="AH344" s="26"/>
      <c r="AI344" s="26"/>
      <c r="AJ344" s="26"/>
      <c r="AK344" s="25"/>
      <c r="AL344" s="59"/>
      <c r="AM344" s="35"/>
      <c r="AN344" s="35"/>
      <c r="AO344" s="35"/>
      <c r="AP344" s="35"/>
      <c r="AQ344" s="35"/>
      <c r="AR344" s="35"/>
      <c r="AS344" s="35"/>
      <c r="AT344" s="35"/>
      <c r="AU344" s="35"/>
      <c r="AV344" s="35"/>
      <c r="AW344" s="35"/>
    </row>
    <row r="345">
      <c r="A345" s="17"/>
      <c r="B345" s="35"/>
      <c r="C345" s="74"/>
      <c r="D345" s="74"/>
      <c r="E345" s="74"/>
      <c r="F345" s="74"/>
      <c r="G345" s="74"/>
      <c r="H345" s="74"/>
      <c r="I345" s="74"/>
      <c r="J345" s="57"/>
      <c r="K345" s="57"/>
      <c r="L345" s="57"/>
      <c r="M345" s="57"/>
      <c r="N345" s="57"/>
      <c r="O345" s="57"/>
      <c r="P345" s="57"/>
      <c r="Q345" s="69"/>
      <c r="R345" s="69"/>
      <c r="S345" s="23" t="str">
        <f>iferror(if(AN345=1,VLOOKUP(B345, Blends!H$4:AK$1004,32,0), ""), "")</f>
        <v/>
      </c>
      <c r="T345" s="58"/>
      <c r="U345" s="27"/>
      <c r="V345" s="26"/>
      <c r="W345" s="27"/>
      <c r="X345" s="26"/>
      <c r="Y345" s="26"/>
      <c r="Z345" s="26"/>
      <c r="AA345" s="26"/>
      <c r="AB345" s="26"/>
      <c r="AC345" s="26"/>
      <c r="AD345" s="26"/>
      <c r="AE345" s="26"/>
      <c r="AF345" s="26"/>
      <c r="AG345" s="26"/>
      <c r="AH345" s="26"/>
      <c r="AI345" s="26"/>
      <c r="AJ345" s="26"/>
      <c r="AK345" s="25"/>
      <c r="AL345" s="59"/>
      <c r="AM345" s="35"/>
      <c r="AN345" s="35"/>
      <c r="AO345" s="35"/>
      <c r="AP345" s="35"/>
      <c r="AQ345" s="35"/>
      <c r="AR345" s="35"/>
      <c r="AS345" s="35"/>
      <c r="AT345" s="35"/>
      <c r="AU345" s="35"/>
      <c r="AV345" s="35"/>
      <c r="AW345" s="35"/>
    </row>
    <row r="346">
      <c r="A346" s="17"/>
      <c r="B346" s="35"/>
      <c r="C346" s="74"/>
      <c r="D346" s="74"/>
      <c r="E346" s="74"/>
      <c r="F346" s="74"/>
      <c r="G346" s="74"/>
      <c r="H346" s="74"/>
      <c r="I346" s="74"/>
      <c r="J346" s="57"/>
      <c r="K346" s="57"/>
      <c r="L346" s="57"/>
      <c r="M346" s="57"/>
      <c r="N346" s="57"/>
      <c r="O346" s="57"/>
      <c r="P346" s="57"/>
      <c r="Q346" s="69"/>
      <c r="R346" s="69"/>
      <c r="S346" s="23" t="str">
        <f>iferror(if(AN346=1,VLOOKUP(B346, Blends!H$4:AK$1004,32,0), ""), "")</f>
        <v/>
      </c>
      <c r="T346" s="58"/>
      <c r="U346" s="27"/>
      <c r="V346" s="26"/>
      <c r="W346" s="27"/>
      <c r="X346" s="26"/>
      <c r="Y346" s="26"/>
      <c r="Z346" s="26"/>
      <c r="AA346" s="26"/>
      <c r="AB346" s="26"/>
      <c r="AC346" s="26"/>
      <c r="AD346" s="26"/>
      <c r="AE346" s="26"/>
      <c r="AF346" s="26"/>
      <c r="AG346" s="26"/>
      <c r="AH346" s="26"/>
      <c r="AI346" s="26"/>
      <c r="AJ346" s="26"/>
      <c r="AK346" s="25"/>
      <c r="AL346" s="59"/>
      <c r="AM346" s="35"/>
      <c r="AN346" s="35"/>
      <c r="AO346" s="35"/>
      <c r="AP346" s="35"/>
      <c r="AQ346" s="35"/>
      <c r="AR346" s="35"/>
      <c r="AS346" s="35"/>
      <c r="AT346" s="35"/>
      <c r="AU346" s="35"/>
      <c r="AV346" s="35"/>
      <c r="AW346" s="35"/>
    </row>
    <row r="347">
      <c r="A347" s="17"/>
      <c r="B347" s="35"/>
      <c r="C347" s="74"/>
      <c r="D347" s="74"/>
      <c r="E347" s="74"/>
      <c r="F347" s="74"/>
      <c r="G347" s="74"/>
      <c r="H347" s="74"/>
      <c r="I347" s="74"/>
      <c r="J347" s="57"/>
      <c r="K347" s="57"/>
      <c r="L347" s="57"/>
      <c r="M347" s="57"/>
      <c r="N347" s="57"/>
      <c r="O347" s="57"/>
      <c r="P347" s="57"/>
      <c r="Q347" s="69"/>
      <c r="R347" s="69"/>
      <c r="S347" s="23" t="str">
        <f>iferror(if(AN347=1,VLOOKUP(B347, Blends!H$4:AK$1004,32,0), ""), "")</f>
        <v/>
      </c>
      <c r="T347" s="58"/>
      <c r="U347" s="27"/>
      <c r="V347" s="26"/>
      <c r="W347" s="27"/>
      <c r="X347" s="26"/>
      <c r="Y347" s="26"/>
      <c r="Z347" s="26"/>
      <c r="AA347" s="26"/>
      <c r="AB347" s="26"/>
      <c r="AC347" s="26"/>
      <c r="AD347" s="26"/>
      <c r="AE347" s="26"/>
      <c r="AF347" s="26"/>
      <c r="AG347" s="26"/>
      <c r="AH347" s="26"/>
      <c r="AI347" s="26"/>
      <c r="AJ347" s="26"/>
      <c r="AK347" s="25"/>
      <c r="AL347" s="59"/>
      <c r="AM347" s="35"/>
      <c r="AN347" s="35"/>
      <c r="AO347" s="35"/>
      <c r="AP347" s="35"/>
      <c r="AQ347" s="35"/>
      <c r="AR347" s="35"/>
      <c r="AS347" s="35"/>
      <c r="AT347" s="35"/>
      <c r="AU347" s="35"/>
      <c r="AV347" s="35"/>
      <c r="AW347" s="35"/>
    </row>
    <row r="348">
      <c r="A348" s="17"/>
      <c r="B348" s="35"/>
      <c r="C348" s="74"/>
      <c r="D348" s="74"/>
      <c r="E348" s="74"/>
      <c r="F348" s="74"/>
      <c r="G348" s="74"/>
      <c r="H348" s="74"/>
      <c r="I348" s="74"/>
      <c r="J348" s="57"/>
      <c r="K348" s="57"/>
      <c r="L348" s="57"/>
      <c r="M348" s="57"/>
      <c r="N348" s="57"/>
      <c r="O348" s="57"/>
      <c r="P348" s="57"/>
      <c r="Q348" s="69"/>
      <c r="R348" s="69"/>
      <c r="S348" s="23" t="str">
        <f>iferror(if(AN348=1,VLOOKUP(B348, Blends!H$4:AK$1004,32,0), ""), "")</f>
        <v/>
      </c>
      <c r="T348" s="58"/>
      <c r="U348" s="27"/>
      <c r="V348" s="26"/>
      <c r="W348" s="27"/>
      <c r="X348" s="26"/>
      <c r="Y348" s="26"/>
      <c r="Z348" s="26"/>
      <c r="AA348" s="26"/>
      <c r="AB348" s="26"/>
      <c r="AC348" s="26"/>
      <c r="AD348" s="26"/>
      <c r="AE348" s="26"/>
      <c r="AF348" s="26"/>
      <c r="AG348" s="26"/>
      <c r="AH348" s="26"/>
      <c r="AI348" s="26"/>
      <c r="AJ348" s="26"/>
      <c r="AK348" s="25"/>
      <c r="AL348" s="59"/>
      <c r="AM348" s="35"/>
      <c r="AN348" s="35"/>
      <c r="AO348" s="35"/>
      <c r="AP348" s="35"/>
      <c r="AQ348" s="35"/>
      <c r="AR348" s="35"/>
      <c r="AS348" s="35"/>
      <c r="AT348" s="35"/>
      <c r="AU348" s="35"/>
      <c r="AV348" s="35"/>
      <c r="AW348" s="35"/>
    </row>
    <row r="349">
      <c r="A349" s="17"/>
      <c r="B349" s="35"/>
      <c r="C349" s="74"/>
      <c r="D349" s="74"/>
      <c r="E349" s="74"/>
      <c r="F349" s="74"/>
      <c r="G349" s="74"/>
      <c r="H349" s="74"/>
      <c r="I349" s="74"/>
      <c r="J349" s="57"/>
      <c r="K349" s="57"/>
      <c r="L349" s="57"/>
      <c r="M349" s="57"/>
      <c r="N349" s="57"/>
      <c r="O349" s="57"/>
      <c r="P349" s="57"/>
      <c r="Q349" s="69"/>
      <c r="R349" s="69"/>
      <c r="S349" s="23" t="str">
        <f>iferror(if(AN349=1,VLOOKUP(B349, Blends!H$4:AK$1004,32,0), ""), "")</f>
        <v/>
      </c>
      <c r="T349" s="58"/>
      <c r="U349" s="27"/>
      <c r="V349" s="26"/>
      <c r="W349" s="27"/>
      <c r="X349" s="26"/>
      <c r="Y349" s="26"/>
      <c r="Z349" s="26"/>
      <c r="AA349" s="26"/>
      <c r="AB349" s="26"/>
      <c r="AC349" s="26"/>
      <c r="AD349" s="26"/>
      <c r="AE349" s="26"/>
      <c r="AF349" s="26"/>
      <c r="AG349" s="26"/>
      <c r="AH349" s="26"/>
      <c r="AI349" s="26"/>
      <c r="AJ349" s="26"/>
      <c r="AK349" s="25"/>
      <c r="AL349" s="59"/>
      <c r="AM349" s="35"/>
      <c r="AN349" s="35"/>
      <c r="AO349" s="35"/>
      <c r="AP349" s="35"/>
      <c r="AQ349" s="35"/>
      <c r="AR349" s="35"/>
      <c r="AS349" s="35"/>
      <c r="AT349" s="35"/>
      <c r="AU349" s="35"/>
      <c r="AV349" s="35"/>
      <c r="AW349" s="35"/>
    </row>
    <row r="350">
      <c r="A350" s="17"/>
      <c r="B350" s="35"/>
      <c r="C350" s="74"/>
      <c r="D350" s="74"/>
      <c r="E350" s="74"/>
      <c r="F350" s="74"/>
      <c r="G350" s="74"/>
      <c r="H350" s="74"/>
      <c r="I350" s="74"/>
      <c r="J350" s="57"/>
      <c r="K350" s="57"/>
      <c r="L350" s="57"/>
      <c r="M350" s="57"/>
      <c r="N350" s="57"/>
      <c r="O350" s="57"/>
      <c r="P350" s="57"/>
      <c r="Q350" s="69"/>
      <c r="R350" s="69"/>
      <c r="S350" s="23" t="str">
        <f>iferror(if(AN350=1,VLOOKUP(B350, Blends!H$4:AK$1004,32,0), ""), "")</f>
        <v/>
      </c>
      <c r="T350" s="58"/>
      <c r="U350" s="27"/>
      <c r="V350" s="26"/>
      <c r="W350" s="27"/>
      <c r="X350" s="26"/>
      <c r="Y350" s="26"/>
      <c r="Z350" s="26"/>
      <c r="AA350" s="26"/>
      <c r="AB350" s="26"/>
      <c r="AC350" s="26"/>
      <c r="AD350" s="26"/>
      <c r="AE350" s="26"/>
      <c r="AF350" s="26"/>
      <c r="AG350" s="26"/>
      <c r="AH350" s="26"/>
      <c r="AI350" s="26"/>
      <c r="AJ350" s="26"/>
      <c r="AK350" s="25"/>
      <c r="AL350" s="59"/>
      <c r="AM350" s="35"/>
      <c r="AN350" s="35"/>
      <c r="AO350" s="35"/>
      <c r="AP350" s="35"/>
      <c r="AQ350" s="35"/>
      <c r="AR350" s="35"/>
      <c r="AS350" s="35"/>
      <c r="AT350" s="35"/>
      <c r="AU350" s="35"/>
      <c r="AV350" s="35"/>
      <c r="AW350" s="35"/>
    </row>
    <row r="351">
      <c r="A351" s="17"/>
      <c r="B351" s="35"/>
      <c r="C351" s="74"/>
      <c r="D351" s="74"/>
      <c r="E351" s="74"/>
      <c r="F351" s="74"/>
      <c r="G351" s="74"/>
      <c r="H351" s="74"/>
      <c r="I351" s="74"/>
      <c r="J351" s="57"/>
      <c r="K351" s="57"/>
      <c r="L351" s="57"/>
      <c r="M351" s="57"/>
      <c r="N351" s="57"/>
      <c r="O351" s="57"/>
      <c r="P351" s="57"/>
      <c r="Q351" s="69"/>
      <c r="R351" s="69"/>
      <c r="S351" s="23" t="str">
        <f>iferror(if(AN351=1,VLOOKUP(B351, Blends!H$4:AK$1004,32,0), ""), "")</f>
        <v/>
      </c>
      <c r="T351" s="58"/>
      <c r="U351" s="27"/>
      <c r="V351" s="26"/>
      <c r="W351" s="27"/>
      <c r="X351" s="26"/>
      <c r="Y351" s="26"/>
      <c r="Z351" s="26"/>
      <c r="AA351" s="26"/>
      <c r="AB351" s="26"/>
      <c r="AC351" s="26"/>
      <c r="AD351" s="26"/>
      <c r="AE351" s="26"/>
      <c r="AF351" s="26"/>
      <c r="AG351" s="26"/>
      <c r="AH351" s="26"/>
      <c r="AI351" s="26"/>
      <c r="AJ351" s="26"/>
      <c r="AK351" s="25"/>
      <c r="AL351" s="59"/>
      <c r="AM351" s="35"/>
      <c r="AN351" s="35"/>
      <c r="AO351" s="35"/>
      <c r="AP351" s="35"/>
      <c r="AQ351" s="35"/>
      <c r="AR351" s="35"/>
      <c r="AS351" s="35"/>
      <c r="AT351" s="35"/>
      <c r="AU351" s="35"/>
      <c r="AV351" s="35"/>
      <c r="AW351" s="35"/>
    </row>
    <row r="352">
      <c r="A352" s="17"/>
      <c r="B352" s="35"/>
      <c r="C352" s="74"/>
      <c r="D352" s="74"/>
      <c r="E352" s="74"/>
      <c r="F352" s="74"/>
      <c r="G352" s="74"/>
      <c r="H352" s="74"/>
      <c r="I352" s="74"/>
      <c r="J352" s="57"/>
      <c r="K352" s="57"/>
      <c r="L352" s="57"/>
      <c r="M352" s="57"/>
      <c r="N352" s="57"/>
      <c r="O352" s="57"/>
      <c r="P352" s="57"/>
      <c r="Q352" s="69"/>
      <c r="R352" s="69"/>
      <c r="S352" s="23" t="str">
        <f>iferror(if(AN352=1,VLOOKUP(B352, Blends!H$4:AK$1004,32,0), ""), "")</f>
        <v/>
      </c>
      <c r="T352" s="58"/>
      <c r="U352" s="27"/>
      <c r="V352" s="26"/>
      <c r="W352" s="27"/>
      <c r="X352" s="26"/>
      <c r="Y352" s="26"/>
      <c r="Z352" s="26"/>
      <c r="AA352" s="26"/>
      <c r="AB352" s="26"/>
      <c r="AC352" s="26"/>
      <c r="AD352" s="26"/>
      <c r="AE352" s="26"/>
      <c r="AF352" s="26"/>
      <c r="AG352" s="26"/>
      <c r="AH352" s="26"/>
      <c r="AI352" s="26"/>
      <c r="AJ352" s="26"/>
      <c r="AK352" s="25"/>
      <c r="AL352" s="59"/>
      <c r="AM352" s="35"/>
      <c r="AN352" s="35"/>
      <c r="AO352" s="35"/>
      <c r="AP352" s="35"/>
      <c r="AQ352" s="35"/>
      <c r="AR352" s="35"/>
      <c r="AS352" s="35"/>
      <c r="AT352" s="35"/>
      <c r="AU352" s="35"/>
      <c r="AV352" s="35"/>
      <c r="AW352" s="35"/>
    </row>
    <row r="353">
      <c r="A353" s="17"/>
      <c r="B353" s="35"/>
      <c r="C353" s="74"/>
      <c r="D353" s="74"/>
      <c r="E353" s="74"/>
      <c r="F353" s="74"/>
      <c r="G353" s="74"/>
      <c r="H353" s="74"/>
      <c r="I353" s="74"/>
      <c r="J353" s="57"/>
      <c r="K353" s="57"/>
      <c r="L353" s="57"/>
      <c r="M353" s="57"/>
      <c r="N353" s="57"/>
      <c r="O353" s="57"/>
      <c r="P353" s="57"/>
      <c r="Q353" s="69"/>
      <c r="R353" s="69"/>
      <c r="S353" s="23" t="str">
        <f>iferror(if(AN353=1,VLOOKUP(B353, Blends!H$4:AK$1004,32,0), ""), "")</f>
        <v/>
      </c>
      <c r="T353" s="58"/>
      <c r="U353" s="27"/>
      <c r="V353" s="26"/>
      <c r="W353" s="27"/>
      <c r="X353" s="26"/>
      <c r="Y353" s="26"/>
      <c r="Z353" s="26"/>
      <c r="AA353" s="26"/>
      <c r="AB353" s="26"/>
      <c r="AC353" s="26"/>
      <c r="AD353" s="26"/>
      <c r="AE353" s="26"/>
      <c r="AF353" s="26"/>
      <c r="AG353" s="26"/>
      <c r="AH353" s="26"/>
      <c r="AI353" s="26"/>
      <c r="AJ353" s="26"/>
      <c r="AK353" s="25"/>
      <c r="AL353" s="59"/>
      <c r="AM353" s="35"/>
      <c r="AN353" s="35"/>
      <c r="AO353" s="35"/>
      <c r="AP353" s="35"/>
      <c r="AQ353" s="35"/>
      <c r="AR353" s="35"/>
      <c r="AS353" s="35"/>
      <c r="AT353" s="35"/>
      <c r="AU353" s="35"/>
      <c r="AV353" s="35"/>
      <c r="AW353" s="35"/>
    </row>
    <row r="354">
      <c r="A354" s="17"/>
      <c r="B354" s="35"/>
      <c r="C354" s="74"/>
      <c r="D354" s="74"/>
      <c r="E354" s="74"/>
      <c r="F354" s="74"/>
      <c r="G354" s="74"/>
      <c r="H354" s="74"/>
      <c r="I354" s="74"/>
      <c r="J354" s="57"/>
      <c r="K354" s="57"/>
      <c r="L354" s="57"/>
      <c r="M354" s="57"/>
      <c r="N354" s="57"/>
      <c r="O354" s="57"/>
      <c r="P354" s="57"/>
      <c r="Q354" s="69"/>
      <c r="R354" s="69"/>
      <c r="S354" s="23" t="str">
        <f>iferror(if(AN354=1,VLOOKUP(B354, Blends!H$4:AK$1004,32,0), ""), "")</f>
        <v/>
      </c>
      <c r="T354" s="58"/>
      <c r="U354" s="27"/>
      <c r="V354" s="26"/>
      <c r="W354" s="27"/>
      <c r="X354" s="26"/>
      <c r="Y354" s="26"/>
      <c r="Z354" s="26"/>
      <c r="AA354" s="26"/>
      <c r="AB354" s="26"/>
      <c r="AC354" s="26"/>
      <c r="AD354" s="26"/>
      <c r="AE354" s="26"/>
      <c r="AF354" s="26"/>
      <c r="AG354" s="26"/>
      <c r="AH354" s="26"/>
      <c r="AI354" s="26"/>
      <c r="AJ354" s="26"/>
      <c r="AK354" s="25"/>
      <c r="AL354" s="59"/>
      <c r="AM354" s="35"/>
      <c r="AN354" s="35"/>
      <c r="AO354" s="35"/>
      <c r="AP354" s="35"/>
      <c r="AQ354" s="35"/>
      <c r="AR354" s="35"/>
      <c r="AS354" s="35"/>
      <c r="AT354" s="35"/>
      <c r="AU354" s="35"/>
      <c r="AV354" s="35"/>
      <c r="AW354" s="35"/>
    </row>
    <row r="355">
      <c r="A355" s="17"/>
      <c r="B355" s="35"/>
      <c r="C355" s="74"/>
      <c r="D355" s="74"/>
      <c r="E355" s="74"/>
      <c r="F355" s="74"/>
      <c r="G355" s="74"/>
      <c r="H355" s="74"/>
      <c r="I355" s="74"/>
      <c r="J355" s="57"/>
      <c r="K355" s="57"/>
      <c r="L355" s="57"/>
      <c r="M355" s="57"/>
      <c r="N355" s="57"/>
      <c r="O355" s="57"/>
      <c r="P355" s="57"/>
      <c r="Q355" s="69"/>
      <c r="R355" s="69"/>
      <c r="S355" s="23" t="str">
        <f>iferror(if(AN355=1,VLOOKUP(B355, Blends!H$4:AK$1004,32,0), ""), "")</f>
        <v/>
      </c>
      <c r="T355" s="58"/>
      <c r="U355" s="27"/>
      <c r="V355" s="26"/>
      <c r="W355" s="27"/>
      <c r="X355" s="26"/>
      <c r="Y355" s="26"/>
      <c r="Z355" s="26"/>
      <c r="AA355" s="26"/>
      <c r="AB355" s="26"/>
      <c r="AC355" s="26"/>
      <c r="AD355" s="26"/>
      <c r="AE355" s="26"/>
      <c r="AF355" s="26"/>
      <c r="AG355" s="26"/>
      <c r="AH355" s="26"/>
      <c r="AI355" s="26"/>
      <c r="AJ355" s="26"/>
      <c r="AK355" s="25"/>
      <c r="AL355" s="59"/>
      <c r="AM355" s="35"/>
      <c r="AN355" s="35"/>
      <c r="AO355" s="35"/>
      <c r="AP355" s="35"/>
      <c r="AQ355" s="35"/>
      <c r="AR355" s="35"/>
      <c r="AS355" s="35"/>
      <c r="AT355" s="35"/>
      <c r="AU355" s="35"/>
      <c r="AV355" s="35"/>
      <c r="AW355" s="35"/>
    </row>
    <row r="356">
      <c r="A356" s="17"/>
      <c r="B356" s="35"/>
      <c r="C356" s="74"/>
      <c r="D356" s="74"/>
      <c r="E356" s="74"/>
      <c r="F356" s="74"/>
      <c r="G356" s="74"/>
      <c r="H356" s="74"/>
      <c r="I356" s="74"/>
      <c r="J356" s="57"/>
      <c r="K356" s="57"/>
      <c r="L356" s="57"/>
      <c r="M356" s="57"/>
      <c r="N356" s="57"/>
      <c r="O356" s="57"/>
      <c r="P356" s="57"/>
      <c r="Q356" s="69"/>
      <c r="R356" s="69"/>
      <c r="S356" s="23" t="str">
        <f>iferror(if(AN356=1,VLOOKUP(B356, Blends!H$4:AK$1004,32,0), ""), "")</f>
        <v/>
      </c>
      <c r="T356" s="58"/>
      <c r="U356" s="27"/>
      <c r="V356" s="26"/>
      <c r="W356" s="27"/>
      <c r="X356" s="26"/>
      <c r="Y356" s="26"/>
      <c r="Z356" s="26"/>
      <c r="AA356" s="26"/>
      <c r="AB356" s="26"/>
      <c r="AC356" s="26"/>
      <c r="AD356" s="26"/>
      <c r="AE356" s="26"/>
      <c r="AF356" s="26"/>
      <c r="AG356" s="26"/>
      <c r="AH356" s="26"/>
      <c r="AI356" s="26"/>
      <c r="AJ356" s="26"/>
      <c r="AK356" s="25"/>
      <c r="AL356" s="59"/>
      <c r="AM356" s="35"/>
      <c r="AN356" s="35"/>
      <c r="AO356" s="35"/>
      <c r="AP356" s="35"/>
      <c r="AQ356" s="35"/>
      <c r="AR356" s="35"/>
      <c r="AS356" s="35"/>
      <c r="AT356" s="35"/>
      <c r="AU356" s="35"/>
      <c r="AV356" s="35"/>
      <c r="AW356" s="35"/>
    </row>
    <row r="357">
      <c r="A357" s="17"/>
      <c r="B357" s="35"/>
      <c r="C357" s="74"/>
      <c r="D357" s="74"/>
      <c r="E357" s="74"/>
      <c r="F357" s="74"/>
      <c r="G357" s="74"/>
      <c r="H357" s="74"/>
      <c r="I357" s="74"/>
      <c r="J357" s="57"/>
      <c r="K357" s="57"/>
      <c r="L357" s="57"/>
      <c r="M357" s="57"/>
      <c r="N357" s="57"/>
      <c r="O357" s="57"/>
      <c r="P357" s="57"/>
      <c r="Q357" s="69"/>
      <c r="R357" s="69"/>
      <c r="S357" s="23" t="str">
        <f>iferror(if(AN357=1,VLOOKUP(B357, Blends!H$4:AK$1004,32,0), ""), "")</f>
        <v/>
      </c>
      <c r="T357" s="58"/>
      <c r="U357" s="27"/>
      <c r="V357" s="26"/>
      <c r="W357" s="27"/>
      <c r="X357" s="26"/>
      <c r="Y357" s="26"/>
      <c r="Z357" s="26"/>
      <c r="AA357" s="26"/>
      <c r="AB357" s="26"/>
      <c r="AC357" s="26"/>
      <c r="AD357" s="26"/>
      <c r="AE357" s="26"/>
      <c r="AF357" s="26"/>
      <c r="AG357" s="26"/>
      <c r="AH357" s="26"/>
      <c r="AI357" s="26"/>
      <c r="AJ357" s="26"/>
      <c r="AK357" s="25"/>
      <c r="AL357" s="59"/>
      <c r="AM357" s="35"/>
      <c r="AN357" s="35"/>
      <c r="AO357" s="35"/>
      <c r="AP357" s="35"/>
      <c r="AQ357" s="35"/>
      <c r="AR357" s="35"/>
      <c r="AS357" s="35"/>
      <c r="AT357" s="35"/>
      <c r="AU357" s="35"/>
      <c r="AV357" s="35"/>
      <c r="AW357" s="35"/>
    </row>
    <row r="358">
      <c r="A358" s="17"/>
      <c r="B358" s="35"/>
      <c r="C358" s="74"/>
      <c r="D358" s="74"/>
      <c r="E358" s="74"/>
      <c r="F358" s="74"/>
      <c r="G358" s="74"/>
      <c r="H358" s="74"/>
      <c r="I358" s="74"/>
      <c r="J358" s="57"/>
      <c r="K358" s="57"/>
      <c r="L358" s="57"/>
      <c r="M358" s="57"/>
      <c r="N358" s="57"/>
      <c r="O358" s="57"/>
      <c r="P358" s="57"/>
      <c r="Q358" s="69"/>
      <c r="R358" s="69"/>
      <c r="S358" s="23" t="str">
        <f>iferror(if(AN358=1,VLOOKUP(B358, Blends!H$4:AK$1004,32,0), ""), "")</f>
        <v/>
      </c>
      <c r="T358" s="58"/>
      <c r="U358" s="27"/>
      <c r="V358" s="26"/>
      <c r="W358" s="27"/>
      <c r="X358" s="26"/>
      <c r="Y358" s="26"/>
      <c r="Z358" s="26"/>
      <c r="AA358" s="26"/>
      <c r="AB358" s="26"/>
      <c r="AC358" s="26"/>
      <c r="AD358" s="26"/>
      <c r="AE358" s="26"/>
      <c r="AF358" s="26"/>
      <c r="AG358" s="26"/>
      <c r="AH358" s="26"/>
      <c r="AI358" s="26"/>
      <c r="AJ358" s="26"/>
      <c r="AK358" s="25"/>
      <c r="AL358" s="59"/>
      <c r="AM358" s="35"/>
      <c r="AN358" s="35"/>
      <c r="AO358" s="35"/>
      <c r="AP358" s="35"/>
      <c r="AQ358" s="35"/>
      <c r="AR358" s="35"/>
      <c r="AS358" s="35"/>
      <c r="AT358" s="35"/>
      <c r="AU358" s="35"/>
      <c r="AV358" s="35"/>
      <c r="AW358" s="35"/>
    </row>
    <row r="359">
      <c r="A359" s="17"/>
      <c r="B359" s="35"/>
      <c r="C359" s="74"/>
      <c r="D359" s="74"/>
      <c r="E359" s="74"/>
      <c r="F359" s="74"/>
      <c r="G359" s="74"/>
      <c r="H359" s="74"/>
      <c r="I359" s="74"/>
      <c r="J359" s="57"/>
      <c r="K359" s="57"/>
      <c r="L359" s="57"/>
      <c r="M359" s="57"/>
      <c r="N359" s="57"/>
      <c r="O359" s="57"/>
      <c r="P359" s="57"/>
      <c r="Q359" s="69"/>
      <c r="R359" s="69"/>
      <c r="S359" s="23" t="str">
        <f>iferror(if(AN359=1,VLOOKUP(B359, Blends!H$4:AK$1004,32,0), ""), "")</f>
        <v/>
      </c>
      <c r="T359" s="58"/>
      <c r="U359" s="27"/>
      <c r="V359" s="26"/>
      <c r="W359" s="27"/>
      <c r="X359" s="26"/>
      <c r="Y359" s="26"/>
      <c r="Z359" s="26"/>
      <c r="AA359" s="26"/>
      <c r="AB359" s="26"/>
      <c r="AC359" s="26"/>
      <c r="AD359" s="26"/>
      <c r="AE359" s="26"/>
      <c r="AF359" s="26"/>
      <c r="AG359" s="26"/>
      <c r="AH359" s="26"/>
      <c r="AI359" s="26"/>
      <c r="AJ359" s="26"/>
      <c r="AK359" s="25"/>
      <c r="AL359" s="59"/>
      <c r="AM359" s="35"/>
      <c r="AN359" s="35"/>
      <c r="AO359" s="35"/>
      <c r="AP359" s="35"/>
      <c r="AQ359" s="35"/>
      <c r="AR359" s="35"/>
      <c r="AS359" s="35"/>
      <c r="AT359" s="35"/>
      <c r="AU359" s="35"/>
      <c r="AV359" s="35"/>
      <c r="AW359" s="35"/>
    </row>
    <row r="360">
      <c r="A360" s="17"/>
      <c r="B360" s="35"/>
      <c r="C360" s="74"/>
      <c r="D360" s="74"/>
      <c r="E360" s="74"/>
      <c r="F360" s="74"/>
      <c r="G360" s="74"/>
      <c r="H360" s="74"/>
      <c r="I360" s="74"/>
      <c r="J360" s="57"/>
      <c r="K360" s="57"/>
      <c r="L360" s="57"/>
      <c r="M360" s="57"/>
      <c r="N360" s="57"/>
      <c r="O360" s="57"/>
      <c r="P360" s="57"/>
      <c r="Q360" s="69"/>
      <c r="R360" s="69"/>
      <c r="S360" s="23" t="str">
        <f>iferror(if(AN360=1,VLOOKUP(B360, Blends!H$4:AK$1004,32,0), ""), "")</f>
        <v/>
      </c>
      <c r="T360" s="58"/>
      <c r="U360" s="27"/>
      <c r="V360" s="26"/>
      <c r="W360" s="27"/>
      <c r="X360" s="26"/>
      <c r="Y360" s="26"/>
      <c r="Z360" s="26"/>
      <c r="AA360" s="26"/>
      <c r="AB360" s="26"/>
      <c r="AC360" s="26"/>
      <c r="AD360" s="26"/>
      <c r="AE360" s="26"/>
      <c r="AF360" s="26"/>
      <c r="AG360" s="26"/>
      <c r="AH360" s="26"/>
      <c r="AI360" s="26"/>
      <c r="AJ360" s="26"/>
      <c r="AK360" s="25"/>
      <c r="AL360" s="59"/>
      <c r="AM360" s="35"/>
      <c r="AN360" s="35"/>
      <c r="AO360" s="35"/>
      <c r="AP360" s="35"/>
      <c r="AQ360" s="35"/>
      <c r="AR360" s="35"/>
      <c r="AS360" s="35"/>
      <c r="AT360" s="35"/>
      <c r="AU360" s="35"/>
      <c r="AV360" s="35"/>
      <c r="AW360" s="35"/>
    </row>
    <row r="361">
      <c r="A361" s="17"/>
      <c r="B361" s="35"/>
      <c r="C361" s="74"/>
      <c r="D361" s="74"/>
      <c r="E361" s="74"/>
      <c r="F361" s="74"/>
      <c r="G361" s="74"/>
      <c r="H361" s="74"/>
      <c r="I361" s="74"/>
      <c r="J361" s="57"/>
      <c r="K361" s="57"/>
      <c r="L361" s="57"/>
      <c r="M361" s="57"/>
      <c r="N361" s="57"/>
      <c r="O361" s="57"/>
      <c r="P361" s="57"/>
      <c r="Q361" s="69"/>
      <c r="R361" s="69"/>
      <c r="S361" s="23" t="str">
        <f>iferror(if(AN361=1,VLOOKUP(B361, Blends!H$4:AK$1004,32,0), ""), "")</f>
        <v/>
      </c>
      <c r="T361" s="58"/>
      <c r="U361" s="27"/>
      <c r="V361" s="26"/>
      <c r="W361" s="27"/>
      <c r="X361" s="26"/>
      <c r="Y361" s="26"/>
      <c r="Z361" s="26"/>
      <c r="AA361" s="26"/>
      <c r="AB361" s="26"/>
      <c r="AC361" s="26"/>
      <c r="AD361" s="26"/>
      <c r="AE361" s="26"/>
      <c r="AF361" s="26"/>
      <c r="AG361" s="26"/>
      <c r="AH361" s="26"/>
      <c r="AI361" s="26"/>
      <c r="AJ361" s="26"/>
      <c r="AK361" s="25"/>
      <c r="AL361" s="59"/>
      <c r="AM361" s="35"/>
      <c r="AN361" s="35"/>
      <c r="AO361" s="35"/>
      <c r="AP361" s="35"/>
      <c r="AQ361" s="35"/>
      <c r="AR361" s="35"/>
      <c r="AS361" s="35"/>
      <c r="AT361" s="35"/>
      <c r="AU361" s="35"/>
      <c r="AV361" s="35"/>
      <c r="AW361" s="35"/>
    </row>
    <row r="362">
      <c r="A362" s="17"/>
      <c r="B362" s="35"/>
      <c r="C362" s="74"/>
      <c r="D362" s="74"/>
      <c r="E362" s="74"/>
      <c r="F362" s="74"/>
      <c r="G362" s="74"/>
      <c r="H362" s="74"/>
      <c r="I362" s="74"/>
      <c r="J362" s="57"/>
      <c r="K362" s="57"/>
      <c r="L362" s="57"/>
      <c r="M362" s="57"/>
      <c r="N362" s="57"/>
      <c r="O362" s="57"/>
      <c r="P362" s="57"/>
      <c r="Q362" s="69"/>
      <c r="R362" s="69"/>
      <c r="S362" s="23" t="str">
        <f>iferror(if(AN362=1,VLOOKUP(B362, Blends!H$4:AK$1004,32,0), ""), "")</f>
        <v/>
      </c>
      <c r="T362" s="58"/>
      <c r="U362" s="27"/>
      <c r="V362" s="26"/>
      <c r="W362" s="27"/>
      <c r="X362" s="26"/>
      <c r="Y362" s="26"/>
      <c r="Z362" s="26"/>
      <c r="AA362" s="26"/>
      <c r="AB362" s="26"/>
      <c r="AC362" s="26"/>
      <c r="AD362" s="26"/>
      <c r="AE362" s="26"/>
      <c r="AF362" s="26"/>
      <c r="AG362" s="26"/>
      <c r="AH362" s="26"/>
      <c r="AI362" s="26"/>
      <c r="AJ362" s="26"/>
      <c r="AK362" s="25"/>
      <c r="AL362" s="59"/>
      <c r="AM362" s="35"/>
      <c r="AN362" s="35"/>
      <c r="AO362" s="35"/>
      <c r="AP362" s="35"/>
      <c r="AQ362" s="35"/>
      <c r="AR362" s="35"/>
      <c r="AS362" s="35"/>
      <c r="AT362" s="35"/>
      <c r="AU362" s="35"/>
      <c r="AV362" s="35"/>
      <c r="AW362" s="35"/>
    </row>
    <row r="363">
      <c r="A363" s="17"/>
      <c r="B363" s="35"/>
      <c r="C363" s="74"/>
      <c r="D363" s="74"/>
      <c r="E363" s="74"/>
      <c r="F363" s="74"/>
      <c r="G363" s="74"/>
      <c r="H363" s="74"/>
      <c r="I363" s="74"/>
      <c r="J363" s="57"/>
      <c r="K363" s="57"/>
      <c r="L363" s="57"/>
      <c r="M363" s="57"/>
      <c r="N363" s="57"/>
      <c r="O363" s="57"/>
      <c r="P363" s="57"/>
      <c r="Q363" s="69"/>
      <c r="R363" s="69"/>
      <c r="S363" s="23" t="str">
        <f>iferror(if(AN363=1,VLOOKUP(B363, Blends!H$4:AK$1004,32,0), ""), "")</f>
        <v/>
      </c>
      <c r="T363" s="58"/>
      <c r="U363" s="27"/>
      <c r="V363" s="26"/>
      <c r="W363" s="27"/>
      <c r="X363" s="26"/>
      <c r="Y363" s="26"/>
      <c r="Z363" s="26"/>
      <c r="AA363" s="26"/>
      <c r="AB363" s="26"/>
      <c r="AC363" s="26"/>
      <c r="AD363" s="26"/>
      <c r="AE363" s="26"/>
      <c r="AF363" s="26"/>
      <c r="AG363" s="26"/>
      <c r="AH363" s="26"/>
      <c r="AI363" s="26"/>
      <c r="AJ363" s="26"/>
      <c r="AK363" s="25"/>
      <c r="AL363" s="59"/>
      <c r="AM363" s="35"/>
      <c r="AN363" s="35"/>
      <c r="AO363" s="35"/>
      <c r="AP363" s="35"/>
      <c r="AQ363" s="35"/>
      <c r="AR363" s="35"/>
      <c r="AS363" s="35"/>
      <c r="AT363" s="35"/>
      <c r="AU363" s="35"/>
      <c r="AV363" s="35"/>
      <c r="AW363" s="35"/>
    </row>
    <row r="364">
      <c r="A364" s="17"/>
      <c r="B364" s="35"/>
      <c r="C364" s="74"/>
      <c r="D364" s="74"/>
      <c r="E364" s="74"/>
      <c r="F364" s="74"/>
      <c r="G364" s="74"/>
      <c r="H364" s="74"/>
      <c r="I364" s="74"/>
      <c r="J364" s="57"/>
      <c r="K364" s="57"/>
      <c r="L364" s="57"/>
      <c r="M364" s="57"/>
      <c r="N364" s="57"/>
      <c r="O364" s="57"/>
      <c r="P364" s="57"/>
      <c r="Q364" s="69"/>
      <c r="R364" s="69"/>
      <c r="S364" s="23" t="str">
        <f>iferror(if(AN364=1,VLOOKUP(B364, Blends!H$4:AK$1004,32,0), ""), "")</f>
        <v/>
      </c>
      <c r="T364" s="58"/>
      <c r="U364" s="27"/>
      <c r="V364" s="26"/>
      <c r="W364" s="27"/>
      <c r="X364" s="26"/>
      <c r="Y364" s="26"/>
      <c r="Z364" s="26"/>
      <c r="AA364" s="26"/>
      <c r="AB364" s="26"/>
      <c r="AC364" s="26"/>
      <c r="AD364" s="26"/>
      <c r="AE364" s="26"/>
      <c r="AF364" s="26"/>
      <c r="AG364" s="26"/>
      <c r="AH364" s="26"/>
      <c r="AI364" s="26"/>
      <c r="AJ364" s="26"/>
      <c r="AK364" s="25"/>
      <c r="AL364" s="59"/>
      <c r="AM364" s="35"/>
      <c r="AN364" s="35"/>
      <c r="AO364" s="35"/>
      <c r="AP364" s="35"/>
      <c r="AQ364" s="35"/>
      <c r="AR364" s="35"/>
      <c r="AS364" s="35"/>
      <c r="AT364" s="35"/>
      <c r="AU364" s="35"/>
      <c r="AV364" s="35"/>
      <c r="AW364" s="35"/>
    </row>
    <row r="365">
      <c r="A365" s="17"/>
      <c r="B365" s="35"/>
      <c r="C365" s="74"/>
      <c r="D365" s="74"/>
      <c r="E365" s="74"/>
      <c r="F365" s="74"/>
      <c r="G365" s="74"/>
      <c r="H365" s="74"/>
      <c r="I365" s="74"/>
      <c r="J365" s="57"/>
      <c r="K365" s="57"/>
      <c r="L365" s="57"/>
      <c r="M365" s="57"/>
      <c r="N365" s="57"/>
      <c r="O365" s="57"/>
      <c r="P365" s="57"/>
      <c r="Q365" s="69"/>
      <c r="R365" s="69"/>
      <c r="S365" s="23" t="str">
        <f>iferror(if(AN365=1,VLOOKUP(B365, Blends!H$4:AK$1004,32,0), ""), "")</f>
        <v/>
      </c>
      <c r="T365" s="58"/>
      <c r="U365" s="27"/>
      <c r="V365" s="26"/>
      <c r="W365" s="27"/>
      <c r="X365" s="26"/>
      <c r="Y365" s="26"/>
      <c r="Z365" s="26"/>
      <c r="AA365" s="26"/>
      <c r="AB365" s="26"/>
      <c r="AC365" s="26"/>
      <c r="AD365" s="26"/>
      <c r="AE365" s="26"/>
      <c r="AF365" s="26"/>
      <c r="AG365" s="26"/>
      <c r="AH365" s="26"/>
      <c r="AI365" s="26"/>
      <c r="AJ365" s="26"/>
      <c r="AK365" s="25"/>
      <c r="AL365" s="59"/>
      <c r="AM365" s="35"/>
      <c r="AN365" s="35"/>
      <c r="AO365" s="35"/>
      <c r="AP365" s="35"/>
      <c r="AQ365" s="35"/>
      <c r="AR365" s="35"/>
      <c r="AS365" s="35"/>
      <c r="AT365" s="35"/>
      <c r="AU365" s="35"/>
      <c r="AV365" s="35"/>
      <c r="AW365" s="35"/>
    </row>
    <row r="366">
      <c r="A366" s="17"/>
      <c r="B366" s="35"/>
      <c r="C366" s="74"/>
      <c r="D366" s="74"/>
      <c r="E366" s="74"/>
      <c r="F366" s="74"/>
      <c r="G366" s="74"/>
      <c r="H366" s="74"/>
      <c r="I366" s="74"/>
      <c r="J366" s="57"/>
      <c r="K366" s="57"/>
      <c r="L366" s="57"/>
      <c r="M366" s="57"/>
      <c r="N366" s="57"/>
      <c r="O366" s="57"/>
      <c r="P366" s="57"/>
      <c r="Q366" s="69"/>
      <c r="R366" s="69"/>
      <c r="S366" s="23" t="str">
        <f>iferror(if(AN366=1,VLOOKUP(B366, Blends!H$4:AK$1004,32,0), ""), "")</f>
        <v/>
      </c>
      <c r="T366" s="58"/>
      <c r="U366" s="27"/>
      <c r="V366" s="26"/>
      <c r="W366" s="27"/>
      <c r="X366" s="26"/>
      <c r="Y366" s="26"/>
      <c r="Z366" s="26"/>
      <c r="AA366" s="26"/>
      <c r="AB366" s="26"/>
      <c r="AC366" s="26"/>
      <c r="AD366" s="26"/>
      <c r="AE366" s="26"/>
      <c r="AF366" s="26"/>
      <c r="AG366" s="26"/>
      <c r="AH366" s="26"/>
      <c r="AI366" s="26"/>
      <c r="AJ366" s="26"/>
      <c r="AK366" s="25"/>
      <c r="AL366" s="59"/>
      <c r="AM366" s="35"/>
      <c r="AN366" s="35"/>
      <c r="AO366" s="35"/>
      <c r="AP366" s="35"/>
      <c r="AQ366" s="35"/>
      <c r="AR366" s="35"/>
      <c r="AS366" s="35"/>
      <c r="AT366" s="35"/>
      <c r="AU366" s="35"/>
      <c r="AV366" s="35"/>
      <c r="AW366" s="35"/>
    </row>
    <row r="367">
      <c r="A367" s="17"/>
      <c r="B367" s="35"/>
      <c r="C367" s="74"/>
      <c r="D367" s="74"/>
      <c r="E367" s="74"/>
      <c r="F367" s="74"/>
      <c r="G367" s="74"/>
      <c r="H367" s="74"/>
      <c r="I367" s="74"/>
      <c r="J367" s="57"/>
      <c r="K367" s="57"/>
      <c r="L367" s="57"/>
      <c r="M367" s="57"/>
      <c r="N367" s="57"/>
      <c r="O367" s="57"/>
      <c r="P367" s="57"/>
      <c r="Q367" s="69"/>
      <c r="R367" s="69"/>
      <c r="S367" s="23" t="str">
        <f>iferror(if(AN367=1,VLOOKUP(B367, Blends!H$4:AK$1004,32,0), ""), "")</f>
        <v/>
      </c>
      <c r="T367" s="58"/>
      <c r="U367" s="27"/>
      <c r="V367" s="26"/>
      <c r="W367" s="27"/>
      <c r="X367" s="26"/>
      <c r="Y367" s="26"/>
      <c r="Z367" s="26"/>
      <c r="AA367" s="26"/>
      <c r="AB367" s="26"/>
      <c r="AC367" s="26"/>
      <c r="AD367" s="26"/>
      <c r="AE367" s="26"/>
      <c r="AF367" s="26"/>
      <c r="AG367" s="26"/>
      <c r="AH367" s="26"/>
      <c r="AI367" s="26"/>
      <c r="AJ367" s="26"/>
      <c r="AK367" s="25"/>
      <c r="AL367" s="59"/>
      <c r="AM367" s="35"/>
      <c r="AN367" s="35"/>
      <c r="AO367" s="35"/>
      <c r="AP367" s="35"/>
      <c r="AQ367" s="35"/>
      <c r="AR367" s="35"/>
      <c r="AS367" s="35"/>
      <c r="AT367" s="35"/>
      <c r="AU367" s="35"/>
      <c r="AV367" s="35"/>
      <c r="AW367" s="35"/>
    </row>
    <row r="368">
      <c r="A368" s="17"/>
      <c r="B368" s="35"/>
      <c r="C368" s="74"/>
      <c r="D368" s="74"/>
      <c r="E368" s="74"/>
      <c r="F368" s="74"/>
      <c r="G368" s="74"/>
      <c r="H368" s="74"/>
      <c r="I368" s="74"/>
      <c r="J368" s="57"/>
      <c r="K368" s="57"/>
      <c r="L368" s="57"/>
      <c r="M368" s="57"/>
      <c r="N368" s="57"/>
      <c r="O368" s="57"/>
      <c r="P368" s="57"/>
      <c r="Q368" s="69"/>
      <c r="R368" s="69"/>
      <c r="S368" s="23" t="str">
        <f>iferror(if(AN368=1,VLOOKUP(B368, Blends!H$4:AK$1004,32,0), ""), "")</f>
        <v/>
      </c>
      <c r="T368" s="58"/>
      <c r="U368" s="27"/>
      <c r="V368" s="26"/>
      <c r="W368" s="27"/>
      <c r="X368" s="26"/>
      <c r="Y368" s="26"/>
      <c r="Z368" s="26"/>
      <c r="AA368" s="26"/>
      <c r="AB368" s="26"/>
      <c r="AC368" s="26"/>
      <c r="AD368" s="26"/>
      <c r="AE368" s="26"/>
      <c r="AF368" s="26"/>
      <c r="AG368" s="26"/>
      <c r="AH368" s="26"/>
      <c r="AI368" s="26"/>
      <c r="AJ368" s="26"/>
      <c r="AK368" s="25"/>
      <c r="AL368" s="59"/>
      <c r="AM368" s="35"/>
      <c r="AN368" s="35"/>
      <c r="AO368" s="35"/>
      <c r="AP368" s="35"/>
      <c r="AQ368" s="35"/>
      <c r="AR368" s="35"/>
      <c r="AS368" s="35"/>
      <c r="AT368" s="35"/>
      <c r="AU368" s="35"/>
      <c r="AV368" s="35"/>
      <c r="AW368" s="35"/>
    </row>
    <row r="369">
      <c r="A369" s="17"/>
      <c r="B369" s="35"/>
      <c r="C369" s="74"/>
      <c r="D369" s="74"/>
      <c r="E369" s="74"/>
      <c r="F369" s="74"/>
      <c r="G369" s="74"/>
      <c r="H369" s="74"/>
      <c r="I369" s="74"/>
      <c r="J369" s="57"/>
      <c r="K369" s="57"/>
      <c r="L369" s="57"/>
      <c r="M369" s="57"/>
      <c r="N369" s="57"/>
      <c r="O369" s="57"/>
      <c r="P369" s="57"/>
      <c r="Q369" s="69"/>
      <c r="R369" s="69"/>
      <c r="S369" s="23" t="str">
        <f>iferror(if(AN369=1,VLOOKUP(B369, Blends!H$4:AK$1004,32,0), ""), "")</f>
        <v/>
      </c>
      <c r="T369" s="58"/>
      <c r="U369" s="27"/>
      <c r="V369" s="26"/>
      <c r="W369" s="27"/>
      <c r="X369" s="26"/>
      <c r="Y369" s="26"/>
      <c r="Z369" s="26"/>
      <c r="AA369" s="26"/>
      <c r="AB369" s="26"/>
      <c r="AC369" s="26"/>
      <c r="AD369" s="26"/>
      <c r="AE369" s="26"/>
      <c r="AF369" s="26"/>
      <c r="AG369" s="26"/>
      <c r="AH369" s="26"/>
      <c r="AI369" s="26"/>
      <c r="AJ369" s="26"/>
      <c r="AK369" s="25"/>
      <c r="AL369" s="59"/>
      <c r="AM369" s="35"/>
      <c r="AN369" s="35"/>
      <c r="AO369" s="35"/>
      <c r="AP369" s="35"/>
      <c r="AQ369" s="35"/>
      <c r="AR369" s="35"/>
      <c r="AS369" s="35"/>
      <c r="AT369" s="35"/>
      <c r="AU369" s="35"/>
      <c r="AV369" s="35"/>
      <c r="AW369" s="35"/>
    </row>
    <row r="370">
      <c r="A370" s="17"/>
      <c r="B370" s="35"/>
      <c r="C370" s="74"/>
      <c r="D370" s="74"/>
      <c r="E370" s="74"/>
      <c r="F370" s="74"/>
      <c r="G370" s="74"/>
      <c r="H370" s="74"/>
      <c r="I370" s="74"/>
      <c r="J370" s="57"/>
      <c r="K370" s="57"/>
      <c r="L370" s="57"/>
      <c r="M370" s="57"/>
      <c r="N370" s="57"/>
      <c r="O370" s="57"/>
      <c r="P370" s="57"/>
      <c r="Q370" s="69"/>
      <c r="R370" s="69"/>
      <c r="S370" s="23" t="str">
        <f>iferror(if(AN370=1,VLOOKUP(B370, Blends!H$4:AK$1004,32,0), ""), "")</f>
        <v/>
      </c>
      <c r="T370" s="58"/>
      <c r="U370" s="27"/>
      <c r="V370" s="26"/>
      <c r="W370" s="27"/>
      <c r="X370" s="26"/>
      <c r="Y370" s="26"/>
      <c r="Z370" s="26"/>
      <c r="AA370" s="26"/>
      <c r="AB370" s="26"/>
      <c r="AC370" s="26"/>
      <c r="AD370" s="26"/>
      <c r="AE370" s="26"/>
      <c r="AF370" s="26"/>
      <c r="AG370" s="26"/>
      <c r="AH370" s="26"/>
      <c r="AI370" s="26"/>
      <c r="AJ370" s="26"/>
      <c r="AK370" s="25"/>
      <c r="AL370" s="59"/>
      <c r="AM370" s="35"/>
      <c r="AN370" s="35"/>
      <c r="AO370" s="35"/>
      <c r="AP370" s="35"/>
      <c r="AQ370" s="35"/>
      <c r="AR370" s="35"/>
      <c r="AS370" s="35"/>
      <c r="AT370" s="35"/>
      <c r="AU370" s="35"/>
      <c r="AV370" s="35"/>
      <c r="AW370" s="35"/>
    </row>
    <row r="371">
      <c r="A371" s="17"/>
      <c r="B371" s="35"/>
      <c r="C371" s="74"/>
      <c r="D371" s="74"/>
      <c r="E371" s="74"/>
      <c r="F371" s="74"/>
      <c r="G371" s="74"/>
      <c r="H371" s="74"/>
      <c r="I371" s="74"/>
      <c r="J371" s="57"/>
      <c r="K371" s="57"/>
      <c r="L371" s="57"/>
      <c r="M371" s="57"/>
      <c r="N371" s="57"/>
      <c r="O371" s="57"/>
      <c r="P371" s="57"/>
      <c r="Q371" s="69"/>
      <c r="R371" s="69"/>
      <c r="S371" s="23" t="str">
        <f>iferror(if(AN371=1,VLOOKUP(B371, Blends!H$4:AK$1004,32,0), ""), "")</f>
        <v/>
      </c>
      <c r="T371" s="58"/>
      <c r="U371" s="27"/>
      <c r="V371" s="26"/>
      <c r="W371" s="27"/>
      <c r="X371" s="26"/>
      <c r="Y371" s="26"/>
      <c r="Z371" s="26"/>
      <c r="AA371" s="26"/>
      <c r="AB371" s="26"/>
      <c r="AC371" s="26"/>
      <c r="AD371" s="26"/>
      <c r="AE371" s="26"/>
      <c r="AF371" s="26"/>
      <c r="AG371" s="26"/>
      <c r="AH371" s="26"/>
      <c r="AI371" s="26"/>
      <c r="AJ371" s="26"/>
      <c r="AK371" s="25"/>
      <c r="AL371" s="59"/>
      <c r="AM371" s="35"/>
      <c r="AN371" s="35"/>
      <c r="AO371" s="35"/>
      <c r="AP371" s="35"/>
      <c r="AQ371" s="35"/>
      <c r="AR371" s="35"/>
      <c r="AS371" s="35"/>
      <c r="AT371" s="35"/>
      <c r="AU371" s="35"/>
      <c r="AV371" s="35"/>
      <c r="AW371" s="35"/>
    </row>
    <row r="372">
      <c r="A372" s="17"/>
      <c r="B372" s="35"/>
      <c r="C372" s="74"/>
      <c r="D372" s="74"/>
      <c r="E372" s="74"/>
      <c r="F372" s="74"/>
      <c r="G372" s="74"/>
      <c r="H372" s="74"/>
      <c r="I372" s="74"/>
      <c r="J372" s="57"/>
      <c r="K372" s="57"/>
      <c r="L372" s="57"/>
      <c r="M372" s="57"/>
      <c r="N372" s="57"/>
      <c r="O372" s="57"/>
      <c r="P372" s="57"/>
      <c r="Q372" s="69"/>
      <c r="R372" s="69"/>
      <c r="S372" s="23" t="str">
        <f>iferror(if(AN372=1,VLOOKUP(B372, Blends!H$4:AK$1004,32,0), ""), "")</f>
        <v/>
      </c>
      <c r="T372" s="58"/>
      <c r="U372" s="27"/>
      <c r="V372" s="26"/>
      <c r="W372" s="27"/>
      <c r="X372" s="26"/>
      <c r="Y372" s="26"/>
      <c r="Z372" s="26"/>
      <c r="AA372" s="26"/>
      <c r="AB372" s="26"/>
      <c r="AC372" s="26"/>
      <c r="AD372" s="26"/>
      <c r="AE372" s="26"/>
      <c r="AF372" s="26"/>
      <c r="AG372" s="26"/>
      <c r="AH372" s="26"/>
      <c r="AI372" s="26"/>
      <c r="AJ372" s="26"/>
      <c r="AK372" s="25"/>
      <c r="AL372" s="59"/>
      <c r="AM372" s="35"/>
      <c r="AN372" s="35"/>
      <c r="AO372" s="35"/>
      <c r="AP372" s="35"/>
      <c r="AQ372" s="35"/>
      <c r="AR372" s="35"/>
      <c r="AS372" s="35"/>
      <c r="AT372" s="35"/>
      <c r="AU372" s="35"/>
      <c r="AV372" s="35"/>
      <c r="AW372" s="35"/>
    </row>
    <row r="373">
      <c r="A373" s="17"/>
      <c r="B373" s="35"/>
      <c r="C373" s="74"/>
      <c r="D373" s="74"/>
      <c r="E373" s="74"/>
      <c r="F373" s="74"/>
      <c r="G373" s="74"/>
      <c r="H373" s="74"/>
      <c r="I373" s="74"/>
      <c r="J373" s="57"/>
      <c r="K373" s="57"/>
      <c r="L373" s="57"/>
      <c r="M373" s="57"/>
      <c r="N373" s="57"/>
      <c r="O373" s="57"/>
      <c r="P373" s="57"/>
      <c r="Q373" s="69"/>
      <c r="R373" s="69"/>
      <c r="S373" s="23" t="str">
        <f>iferror(if(AN373=1,VLOOKUP(B373, Blends!H$4:AK$1004,32,0), ""), "")</f>
        <v/>
      </c>
      <c r="T373" s="58"/>
      <c r="U373" s="27"/>
      <c r="V373" s="26"/>
      <c r="W373" s="27"/>
      <c r="X373" s="26"/>
      <c r="Y373" s="26"/>
      <c r="Z373" s="26"/>
      <c r="AA373" s="26"/>
      <c r="AB373" s="26"/>
      <c r="AC373" s="26"/>
      <c r="AD373" s="26"/>
      <c r="AE373" s="26"/>
      <c r="AF373" s="26"/>
      <c r="AG373" s="26"/>
      <c r="AH373" s="26"/>
      <c r="AI373" s="26"/>
      <c r="AJ373" s="26"/>
      <c r="AK373" s="25"/>
      <c r="AL373" s="59"/>
      <c r="AM373" s="35"/>
      <c r="AN373" s="35"/>
      <c r="AO373" s="35"/>
      <c r="AP373" s="35"/>
      <c r="AQ373" s="35"/>
      <c r="AR373" s="35"/>
      <c r="AS373" s="35"/>
      <c r="AT373" s="35"/>
      <c r="AU373" s="35"/>
      <c r="AV373" s="35"/>
      <c r="AW373" s="35"/>
    </row>
    <row r="374">
      <c r="A374" s="17"/>
      <c r="B374" s="35"/>
      <c r="C374" s="74"/>
      <c r="D374" s="74"/>
      <c r="E374" s="74"/>
      <c r="F374" s="74"/>
      <c r="G374" s="74"/>
      <c r="H374" s="74"/>
      <c r="I374" s="74"/>
      <c r="J374" s="57"/>
      <c r="K374" s="57"/>
      <c r="L374" s="57"/>
      <c r="M374" s="57"/>
      <c r="N374" s="57"/>
      <c r="O374" s="57"/>
      <c r="P374" s="57"/>
      <c r="Q374" s="69"/>
      <c r="R374" s="69"/>
      <c r="S374" s="23" t="str">
        <f>iferror(if(AN374=1,VLOOKUP(B374, Blends!H$4:AK$1004,32,0), ""), "")</f>
        <v/>
      </c>
      <c r="T374" s="58"/>
      <c r="U374" s="27"/>
      <c r="V374" s="26"/>
      <c r="W374" s="27"/>
      <c r="X374" s="26"/>
      <c r="Y374" s="26"/>
      <c r="Z374" s="26"/>
      <c r="AA374" s="26"/>
      <c r="AB374" s="26"/>
      <c r="AC374" s="26"/>
      <c r="AD374" s="26"/>
      <c r="AE374" s="26"/>
      <c r="AF374" s="26"/>
      <c r="AG374" s="26"/>
      <c r="AH374" s="26"/>
      <c r="AI374" s="26"/>
      <c r="AJ374" s="26"/>
      <c r="AK374" s="25"/>
      <c r="AL374" s="59"/>
      <c r="AM374" s="35"/>
      <c r="AN374" s="35"/>
      <c r="AO374" s="35"/>
      <c r="AP374" s="35"/>
      <c r="AQ374" s="35"/>
      <c r="AR374" s="35"/>
      <c r="AS374" s="35"/>
      <c r="AT374" s="35"/>
      <c r="AU374" s="35"/>
      <c r="AV374" s="35"/>
      <c r="AW374" s="35"/>
    </row>
    <row r="375">
      <c r="A375" s="17"/>
      <c r="B375" s="35"/>
      <c r="C375" s="74"/>
      <c r="D375" s="74"/>
      <c r="E375" s="74"/>
      <c r="F375" s="74"/>
      <c r="G375" s="74"/>
      <c r="H375" s="74"/>
      <c r="I375" s="74"/>
      <c r="J375" s="57"/>
      <c r="K375" s="57"/>
      <c r="L375" s="57"/>
      <c r="M375" s="57"/>
      <c r="N375" s="57"/>
      <c r="O375" s="57"/>
      <c r="P375" s="57"/>
      <c r="Q375" s="69"/>
      <c r="R375" s="69"/>
      <c r="S375" s="23" t="str">
        <f>iferror(if(AN375=1,VLOOKUP(B375, Blends!H$4:AK$1004,32,0), ""), "")</f>
        <v/>
      </c>
      <c r="T375" s="58"/>
      <c r="U375" s="27"/>
      <c r="V375" s="26"/>
      <c r="W375" s="27"/>
      <c r="X375" s="26"/>
      <c r="Y375" s="26"/>
      <c r="Z375" s="26"/>
      <c r="AA375" s="26"/>
      <c r="AB375" s="26"/>
      <c r="AC375" s="26"/>
      <c r="AD375" s="26"/>
      <c r="AE375" s="26"/>
      <c r="AF375" s="26"/>
      <c r="AG375" s="26"/>
      <c r="AH375" s="26"/>
      <c r="AI375" s="26"/>
      <c r="AJ375" s="26"/>
      <c r="AK375" s="25"/>
      <c r="AL375" s="59"/>
      <c r="AM375" s="35"/>
      <c r="AN375" s="35"/>
      <c r="AO375" s="35"/>
      <c r="AP375" s="35"/>
      <c r="AQ375" s="35"/>
      <c r="AR375" s="35"/>
      <c r="AS375" s="35"/>
      <c r="AT375" s="35"/>
      <c r="AU375" s="35"/>
      <c r="AV375" s="35"/>
      <c r="AW375" s="35"/>
    </row>
    <row r="376">
      <c r="A376" s="17"/>
      <c r="B376" s="35"/>
      <c r="C376" s="74"/>
      <c r="D376" s="74"/>
      <c r="E376" s="74"/>
      <c r="F376" s="74"/>
      <c r="G376" s="74"/>
      <c r="H376" s="74"/>
      <c r="I376" s="74"/>
      <c r="J376" s="57"/>
      <c r="K376" s="57"/>
      <c r="L376" s="57"/>
      <c r="M376" s="57"/>
      <c r="N376" s="57"/>
      <c r="O376" s="57"/>
      <c r="P376" s="57"/>
      <c r="Q376" s="69"/>
      <c r="R376" s="69"/>
      <c r="S376" s="23" t="str">
        <f>iferror(if(AN376=1,VLOOKUP(B376, Blends!H$4:AK$1004,32,0), ""), "")</f>
        <v/>
      </c>
      <c r="T376" s="58"/>
      <c r="U376" s="27"/>
      <c r="V376" s="26"/>
      <c r="W376" s="27"/>
      <c r="X376" s="26"/>
      <c r="Y376" s="26"/>
      <c r="Z376" s="26"/>
      <c r="AA376" s="26"/>
      <c r="AB376" s="26"/>
      <c r="AC376" s="26"/>
      <c r="AD376" s="26"/>
      <c r="AE376" s="26"/>
      <c r="AF376" s="26"/>
      <c r="AG376" s="26"/>
      <c r="AH376" s="26"/>
      <c r="AI376" s="26"/>
      <c r="AJ376" s="26"/>
      <c r="AK376" s="25"/>
      <c r="AL376" s="59"/>
      <c r="AM376" s="35"/>
      <c r="AN376" s="35"/>
      <c r="AO376" s="35"/>
      <c r="AP376" s="35"/>
      <c r="AQ376" s="35"/>
      <c r="AR376" s="35"/>
      <c r="AS376" s="35"/>
      <c r="AT376" s="35"/>
      <c r="AU376" s="35"/>
      <c r="AV376" s="35"/>
      <c r="AW376" s="35"/>
    </row>
    <row r="377">
      <c r="A377" s="17"/>
      <c r="B377" s="35"/>
      <c r="C377" s="74"/>
      <c r="D377" s="74"/>
      <c r="E377" s="74"/>
      <c r="F377" s="74"/>
      <c r="G377" s="74"/>
      <c r="H377" s="74"/>
      <c r="I377" s="74"/>
      <c r="J377" s="57"/>
      <c r="K377" s="57"/>
      <c r="L377" s="57"/>
      <c r="M377" s="57"/>
      <c r="N377" s="57"/>
      <c r="O377" s="57"/>
      <c r="P377" s="57"/>
      <c r="Q377" s="69"/>
      <c r="R377" s="69"/>
      <c r="S377" s="23" t="str">
        <f>iferror(if(AN377=1,VLOOKUP(B377, Blends!H$4:AK$1004,32,0), ""), "")</f>
        <v/>
      </c>
      <c r="T377" s="58"/>
      <c r="U377" s="27"/>
      <c r="V377" s="26"/>
      <c r="W377" s="27"/>
      <c r="X377" s="26"/>
      <c r="Y377" s="26"/>
      <c r="Z377" s="26"/>
      <c r="AA377" s="26"/>
      <c r="AB377" s="26"/>
      <c r="AC377" s="26"/>
      <c r="AD377" s="26"/>
      <c r="AE377" s="26"/>
      <c r="AF377" s="26"/>
      <c r="AG377" s="26"/>
      <c r="AH377" s="26"/>
      <c r="AI377" s="26"/>
      <c r="AJ377" s="26"/>
      <c r="AK377" s="25"/>
      <c r="AL377" s="59"/>
      <c r="AM377" s="35"/>
      <c r="AN377" s="35"/>
      <c r="AO377" s="35"/>
      <c r="AP377" s="35"/>
      <c r="AQ377" s="35"/>
      <c r="AR377" s="35"/>
      <c r="AS377" s="35"/>
      <c r="AT377" s="35"/>
      <c r="AU377" s="35"/>
      <c r="AV377" s="35"/>
      <c r="AW377" s="35"/>
    </row>
    <row r="378">
      <c r="A378" s="17"/>
      <c r="B378" s="35"/>
      <c r="C378" s="74"/>
      <c r="D378" s="74"/>
      <c r="E378" s="74"/>
      <c r="F378" s="74"/>
      <c r="G378" s="74"/>
      <c r="H378" s="74"/>
      <c r="I378" s="74"/>
      <c r="J378" s="57"/>
      <c r="K378" s="57"/>
      <c r="L378" s="57"/>
      <c r="M378" s="57"/>
      <c r="N378" s="57"/>
      <c r="O378" s="57"/>
      <c r="P378" s="57"/>
      <c r="Q378" s="69"/>
      <c r="R378" s="69"/>
      <c r="S378" s="23" t="str">
        <f>iferror(if(AN378=1,VLOOKUP(B378, Blends!H$4:AK$1004,32,0), ""), "")</f>
        <v/>
      </c>
      <c r="T378" s="58"/>
      <c r="U378" s="77"/>
      <c r="V378" s="77"/>
      <c r="W378" s="78"/>
      <c r="X378" s="77"/>
      <c r="Y378" s="77"/>
      <c r="Z378" s="77"/>
      <c r="AA378" s="77"/>
      <c r="AB378" s="77"/>
      <c r="AC378" s="77"/>
      <c r="AD378" s="77"/>
      <c r="AE378" s="77"/>
      <c r="AF378" s="77"/>
      <c r="AG378" s="77"/>
      <c r="AH378" s="77"/>
      <c r="AI378" s="77"/>
      <c r="AJ378" s="79"/>
      <c r="AK378" s="25"/>
      <c r="AL378" s="59"/>
      <c r="AM378" s="35"/>
      <c r="AN378" s="35"/>
      <c r="AO378" s="35"/>
      <c r="AP378" s="35"/>
      <c r="AQ378" s="35"/>
      <c r="AR378" s="35"/>
      <c r="AS378" s="35"/>
      <c r="AT378" s="35"/>
      <c r="AU378" s="35"/>
      <c r="AV378" s="35"/>
      <c r="AW378" s="35"/>
    </row>
    <row r="379">
      <c r="A379" s="17"/>
      <c r="B379" s="35"/>
      <c r="C379" s="74"/>
      <c r="D379" s="74"/>
      <c r="E379" s="74"/>
      <c r="F379" s="74"/>
      <c r="G379" s="74"/>
      <c r="H379" s="74"/>
      <c r="I379" s="74"/>
      <c r="J379" s="57"/>
      <c r="K379" s="57"/>
      <c r="L379" s="57"/>
      <c r="M379" s="57"/>
      <c r="N379" s="57"/>
      <c r="O379" s="57"/>
      <c r="P379" s="57"/>
      <c r="Q379" s="69"/>
      <c r="R379" s="69"/>
      <c r="S379" s="23" t="str">
        <f>iferror(if(AN379=1,VLOOKUP(B379, Blends!H$4:AK$1004,32,0), ""), "")</f>
        <v/>
      </c>
      <c r="T379" s="58"/>
      <c r="U379" s="77"/>
      <c r="V379" s="77"/>
      <c r="W379" s="78"/>
      <c r="X379" s="77"/>
      <c r="Y379" s="77"/>
      <c r="Z379" s="77"/>
      <c r="AA379" s="77"/>
      <c r="AB379" s="77"/>
      <c r="AC379" s="77"/>
      <c r="AD379" s="77"/>
      <c r="AE379" s="77"/>
      <c r="AF379" s="77"/>
      <c r="AG379" s="77"/>
      <c r="AH379" s="77"/>
      <c r="AI379" s="77"/>
      <c r="AJ379" s="79"/>
      <c r="AK379" s="25"/>
      <c r="AL379" s="59"/>
      <c r="AM379" s="35"/>
      <c r="AN379" s="35"/>
      <c r="AO379" s="35"/>
      <c r="AP379" s="35"/>
      <c r="AQ379" s="35"/>
      <c r="AR379" s="35"/>
      <c r="AS379" s="35"/>
      <c r="AT379" s="35"/>
      <c r="AU379" s="35"/>
      <c r="AV379" s="35"/>
      <c r="AW379" s="35"/>
    </row>
    <row r="380">
      <c r="A380" s="17"/>
      <c r="B380" s="35"/>
      <c r="C380" s="74"/>
      <c r="D380" s="74"/>
      <c r="E380" s="74"/>
      <c r="F380" s="74"/>
      <c r="G380" s="74"/>
      <c r="H380" s="74"/>
      <c r="I380" s="74"/>
      <c r="J380" s="57"/>
      <c r="K380" s="57"/>
      <c r="L380" s="57"/>
      <c r="M380" s="57"/>
      <c r="N380" s="57"/>
      <c r="O380" s="57"/>
      <c r="P380" s="57"/>
      <c r="Q380" s="69"/>
      <c r="R380" s="69"/>
      <c r="S380" s="23" t="str">
        <f>iferror(if(AN380=1,VLOOKUP(B380, Blends!H$4:AK$1004,32,0), ""), "")</f>
        <v/>
      </c>
      <c r="T380" s="58"/>
      <c r="U380" s="77"/>
      <c r="V380" s="77"/>
      <c r="W380" s="78"/>
      <c r="X380" s="77"/>
      <c r="Y380" s="77"/>
      <c r="Z380" s="77"/>
      <c r="AA380" s="77"/>
      <c r="AB380" s="77"/>
      <c r="AC380" s="77"/>
      <c r="AD380" s="77"/>
      <c r="AE380" s="77"/>
      <c r="AF380" s="77"/>
      <c r="AG380" s="77"/>
      <c r="AH380" s="77"/>
      <c r="AI380" s="77"/>
      <c r="AJ380" s="79"/>
      <c r="AK380" s="80"/>
      <c r="AL380" s="59"/>
      <c r="AM380" s="35"/>
      <c r="AN380" s="35"/>
      <c r="AO380" s="35"/>
      <c r="AP380" s="35"/>
      <c r="AQ380" s="35"/>
      <c r="AR380" s="35"/>
      <c r="AS380" s="35"/>
      <c r="AT380" s="35"/>
      <c r="AU380" s="35"/>
      <c r="AV380" s="35"/>
      <c r="AW380" s="35"/>
    </row>
    <row r="381">
      <c r="A381" s="17"/>
      <c r="B381" s="35"/>
      <c r="C381" s="74"/>
      <c r="D381" s="74"/>
      <c r="E381" s="74"/>
      <c r="F381" s="74"/>
      <c r="G381" s="74"/>
      <c r="H381" s="74"/>
      <c r="I381" s="74"/>
      <c r="J381" s="57"/>
      <c r="K381" s="57"/>
      <c r="L381" s="57"/>
      <c r="M381" s="57"/>
      <c r="N381" s="57"/>
      <c r="O381" s="57"/>
      <c r="P381" s="57"/>
      <c r="Q381" s="69"/>
      <c r="R381" s="69"/>
      <c r="S381" s="23" t="str">
        <f>iferror(if(AN381=1,VLOOKUP(B381, Blends!H$4:AK$1004,32,0), ""), "")</f>
        <v/>
      </c>
      <c r="T381" s="58"/>
      <c r="U381" s="77"/>
      <c r="V381" s="77"/>
      <c r="W381" s="78"/>
      <c r="X381" s="77"/>
      <c r="Y381" s="77"/>
      <c r="Z381" s="77"/>
      <c r="AA381" s="77"/>
      <c r="AB381" s="77"/>
      <c r="AC381" s="77"/>
      <c r="AD381" s="77"/>
      <c r="AE381" s="77"/>
      <c r="AF381" s="77"/>
      <c r="AG381" s="77"/>
      <c r="AH381" s="77"/>
      <c r="AI381" s="77"/>
      <c r="AJ381" s="79"/>
      <c r="AK381" s="80"/>
      <c r="AL381" s="59"/>
      <c r="AM381" s="35"/>
      <c r="AN381" s="35"/>
      <c r="AO381" s="35"/>
      <c r="AP381" s="35"/>
      <c r="AQ381" s="35"/>
      <c r="AR381" s="35"/>
      <c r="AS381" s="35"/>
      <c r="AT381" s="35"/>
      <c r="AU381" s="35"/>
      <c r="AV381" s="35"/>
      <c r="AW381" s="35"/>
    </row>
    <row r="382">
      <c r="A382" s="17"/>
      <c r="B382" s="35"/>
      <c r="C382" s="74"/>
      <c r="D382" s="74"/>
      <c r="E382" s="74"/>
      <c r="F382" s="74"/>
      <c r="G382" s="74"/>
      <c r="H382" s="74"/>
      <c r="I382" s="74"/>
      <c r="J382" s="57"/>
      <c r="K382" s="57"/>
      <c r="L382" s="57"/>
      <c r="M382" s="57"/>
      <c r="N382" s="57"/>
      <c r="O382" s="57"/>
      <c r="P382" s="57"/>
      <c r="Q382" s="69"/>
      <c r="R382" s="69"/>
      <c r="S382" s="23" t="str">
        <f>iferror(if(AN382=1,VLOOKUP(B382, Blends!H$4:AK$1004,32,0), ""), "")</f>
        <v/>
      </c>
      <c r="T382" s="58"/>
      <c r="U382" s="77"/>
      <c r="V382" s="77"/>
      <c r="W382" s="78"/>
      <c r="X382" s="77"/>
      <c r="Y382" s="77"/>
      <c r="Z382" s="77"/>
      <c r="AA382" s="77"/>
      <c r="AB382" s="77"/>
      <c r="AC382" s="77"/>
      <c r="AD382" s="77"/>
      <c r="AE382" s="77"/>
      <c r="AF382" s="77"/>
      <c r="AG382" s="77"/>
      <c r="AH382" s="77"/>
      <c r="AI382" s="77"/>
      <c r="AJ382" s="79"/>
      <c r="AK382" s="80"/>
      <c r="AL382" s="59"/>
      <c r="AM382" s="35"/>
      <c r="AN382" s="35"/>
      <c r="AO382" s="35"/>
      <c r="AP382" s="35"/>
      <c r="AQ382" s="35"/>
      <c r="AR382" s="35"/>
      <c r="AS382" s="35"/>
      <c r="AT382" s="35"/>
      <c r="AU382" s="35"/>
      <c r="AV382" s="35"/>
      <c r="AW382" s="35"/>
    </row>
    <row r="383">
      <c r="A383" s="17"/>
      <c r="B383" s="35"/>
      <c r="C383" s="74"/>
      <c r="D383" s="74"/>
      <c r="E383" s="74"/>
      <c r="F383" s="74"/>
      <c r="G383" s="74"/>
      <c r="H383" s="74"/>
      <c r="I383" s="74"/>
      <c r="J383" s="57"/>
      <c r="K383" s="57"/>
      <c r="L383" s="57"/>
      <c r="M383" s="57"/>
      <c r="N383" s="57"/>
      <c r="O383" s="57"/>
      <c r="P383" s="57"/>
      <c r="Q383" s="69"/>
      <c r="R383" s="69"/>
      <c r="S383" s="23" t="str">
        <f>iferror(if(AN383=1,VLOOKUP(B383, Blends!H$4:AK$1004,32,0), ""), "")</f>
        <v/>
      </c>
      <c r="T383" s="58"/>
      <c r="U383" s="77"/>
      <c r="V383" s="77"/>
      <c r="W383" s="78"/>
      <c r="X383" s="77"/>
      <c r="Y383" s="77"/>
      <c r="Z383" s="77"/>
      <c r="AA383" s="77"/>
      <c r="AB383" s="77"/>
      <c r="AC383" s="77"/>
      <c r="AD383" s="77"/>
      <c r="AE383" s="77"/>
      <c r="AF383" s="77"/>
      <c r="AG383" s="77"/>
      <c r="AH383" s="77"/>
      <c r="AI383" s="77"/>
      <c r="AJ383" s="79"/>
      <c r="AK383" s="80"/>
      <c r="AL383" s="59"/>
      <c r="AM383" s="35"/>
      <c r="AN383" s="35"/>
      <c r="AO383" s="35"/>
      <c r="AP383" s="35"/>
      <c r="AQ383" s="35"/>
      <c r="AR383" s="35"/>
      <c r="AS383" s="35"/>
      <c r="AT383" s="35"/>
      <c r="AU383" s="35"/>
      <c r="AV383" s="35"/>
      <c r="AW383" s="35"/>
    </row>
    <row r="384">
      <c r="A384" s="17"/>
      <c r="B384" s="35"/>
      <c r="C384" s="74"/>
      <c r="D384" s="74"/>
      <c r="E384" s="74"/>
      <c r="F384" s="74"/>
      <c r="G384" s="74"/>
      <c r="H384" s="74"/>
      <c r="I384" s="74"/>
      <c r="J384" s="57"/>
      <c r="K384" s="57"/>
      <c r="L384" s="57"/>
      <c r="M384" s="57"/>
      <c r="N384" s="57"/>
      <c r="O384" s="57"/>
      <c r="P384" s="57"/>
      <c r="Q384" s="69"/>
      <c r="R384" s="69"/>
      <c r="S384" s="23" t="str">
        <f>iferror(if(AN384=1,VLOOKUP(B384, Blends!H$4:AK$1004,32,0), ""), "")</f>
        <v/>
      </c>
      <c r="T384" s="58"/>
      <c r="U384" s="77"/>
      <c r="V384" s="77"/>
      <c r="W384" s="78"/>
      <c r="X384" s="77"/>
      <c r="Y384" s="77"/>
      <c r="Z384" s="77"/>
      <c r="AA384" s="77"/>
      <c r="AB384" s="77"/>
      <c r="AC384" s="77"/>
      <c r="AD384" s="77"/>
      <c r="AE384" s="77"/>
      <c r="AF384" s="77"/>
      <c r="AG384" s="77"/>
      <c r="AH384" s="77"/>
      <c r="AI384" s="77"/>
      <c r="AJ384" s="79"/>
      <c r="AK384" s="80"/>
      <c r="AL384" s="59"/>
      <c r="AM384" s="35"/>
      <c r="AN384" s="35"/>
      <c r="AO384" s="35"/>
      <c r="AP384" s="35"/>
      <c r="AQ384" s="35"/>
      <c r="AR384" s="35"/>
      <c r="AS384" s="35"/>
      <c r="AT384" s="35"/>
      <c r="AU384" s="35"/>
      <c r="AV384" s="35"/>
      <c r="AW384" s="35"/>
    </row>
    <row r="385">
      <c r="A385" s="17"/>
      <c r="B385" s="35"/>
      <c r="C385" s="74"/>
      <c r="D385" s="74"/>
      <c r="E385" s="74"/>
      <c r="F385" s="74"/>
      <c r="G385" s="74"/>
      <c r="H385" s="74"/>
      <c r="I385" s="74"/>
      <c r="J385" s="57"/>
      <c r="K385" s="57"/>
      <c r="L385" s="57"/>
      <c r="M385" s="57"/>
      <c r="N385" s="57"/>
      <c r="O385" s="57"/>
      <c r="P385" s="57"/>
      <c r="Q385" s="69"/>
      <c r="R385" s="69"/>
      <c r="S385" s="23" t="str">
        <f>iferror(if(AN385=1,VLOOKUP(B385, Blends!H$4:AK$1004,32,0), ""), "")</f>
        <v/>
      </c>
      <c r="T385" s="58"/>
      <c r="U385" s="77"/>
      <c r="V385" s="77"/>
      <c r="W385" s="78"/>
      <c r="X385" s="77"/>
      <c r="Y385" s="77"/>
      <c r="Z385" s="77"/>
      <c r="AA385" s="77"/>
      <c r="AB385" s="77"/>
      <c r="AC385" s="77"/>
      <c r="AD385" s="77"/>
      <c r="AE385" s="77"/>
      <c r="AF385" s="77"/>
      <c r="AG385" s="77"/>
      <c r="AH385" s="77"/>
      <c r="AI385" s="77"/>
      <c r="AJ385" s="79"/>
      <c r="AK385" s="80"/>
      <c r="AL385" s="59"/>
      <c r="AM385" s="35"/>
      <c r="AN385" s="35"/>
      <c r="AO385" s="35"/>
      <c r="AP385" s="35"/>
      <c r="AQ385" s="35"/>
      <c r="AR385" s="35"/>
      <c r="AS385" s="35"/>
      <c r="AT385" s="35"/>
      <c r="AU385" s="35"/>
      <c r="AV385" s="35"/>
      <c r="AW385" s="35"/>
    </row>
    <row r="386">
      <c r="A386" s="17"/>
      <c r="B386" s="35"/>
      <c r="C386" s="74"/>
      <c r="D386" s="74"/>
      <c r="E386" s="74"/>
      <c r="F386" s="74"/>
      <c r="G386" s="74"/>
      <c r="H386" s="74"/>
      <c r="I386" s="74"/>
      <c r="J386" s="57"/>
      <c r="K386" s="57"/>
      <c r="L386" s="57"/>
      <c r="M386" s="57"/>
      <c r="N386" s="57"/>
      <c r="O386" s="57"/>
      <c r="P386" s="57"/>
      <c r="Q386" s="69"/>
      <c r="R386" s="69"/>
      <c r="S386" s="23" t="str">
        <f>iferror(if(AN386=1,VLOOKUP(B386, Blends!H$4:AK$1004,32,0), ""), "")</f>
        <v/>
      </c>
      <c r="T386" s="58"/>
      <c r="U386" s="77"/>
      <c r="V386" s="77"/>
      <c r="W386" s="78"/>
      <c r="X386" s="77"/>
      <c r="Y386" s="77"/>
      <c r="Z386" s="77"/>
      <c r="AA386" s="77"/>
      <c r="AB386" s="77"/>
      <c r="AC386" s="77"/>
      <c r="AD386" s="77"/>
      <c r="AE386" s="77"/>
      <c r="AF386" s="77"/>
      <c r="AG386" s="77"/>
      <c r="AH386" s="77"/>
      <c r="AI386" s="77"/>
      <c r="AJ386" s="79"/>
      <c r="AK386" s="80"/>
      <c r="AL386" s="59"/>
      <c r="AM386" s="35"/>
      <c r="AN386" s="35"/>
      <c r="AO386" s="35"/>
      <c r="AP386" s="35"/>
      <c r="AQ386" s="35"/>
      <c r="AR386" s="35"/>
      <c r="AS386" s="35"/>
      <c r="AT386" s="35"/>
      <c r="AU386" s="35"/>
      <c r="AV386" s="35"/>
      <c r="AW386" s="35"/>
    </row>
    <row r="387">
      <c r="A387" s="17"/>
      <c r="B387" s="35"/>
      <c r="C387" s="74"/>
      <c r="D387" s="74"/>
      <c r="E387" s="74"/>
      <c r="F387" s="74"/>
      <c r="G387" s="74"/>
      <c r="H387" s="74"/>
      <c r="I387" s="74"/>
      <c r="J387" s="57"/>
      <c r="K387" s="57"/>
      <c r="L387" s="57"/>
      <c r="M387" s="57"/>
      <c r="N387" s="57"/>
      <c r="O387" s="57"/>
      <c r="P387" s="57"/>
      <c r="Q387" s="69"/>
      <c r="R387" s="69"/>
      <c r="S387" s="23" t="str">
        <f>iferror(if(AN387=1,VLOOKUP(B387, Blends!H$4:AK$1004,32,0), ""), "")</f>
        <v/>
      </c>
      <c r="T387" s="58"/>
      <c r="U387" s="77"/>
      <c r="V387" s="77"/>
      <c r="W387" s="78"/>
      <c r="X387" s="77"/>
      <c r="Y387" s="77"/>
      <c r="Z387" s="77"/>
      <c r="AA387" s="77"/>
      <c r="AB387" s="77"/>
      <c r="AC387" s="77"/>
      <c r="AD387" s="77"/>
      <c r="AE387" s="77"/>
      <c r="AF387" s="77"/>
      <c r="AG387" s="77"/>
      <c r="AH387" s="77"/>
      <c r="AI387" s="77"/>
      <c r="AJ387" s="79"/>
      <c r="AK387" s="80"/>
      <c r="AL387" s="59"/>
      <c r="AM387" s="35"/>
      <c r="AN387" s="35"/>
      <c r="AO387" s="35"/>
      <c r="AP387" s="35"/>
      <c r="AQ387" s="35"/>
      <c r="AR387" s="35"/>
      <c r="AS387" s="35"/>
      <c r="AT387" s="35"/>
      <c r="AU387" s="35"/>
      <c r="AV387" s="35"/>
      <c r="AW387" s="35"/>
    </row>
    <row r="388">
      <c r="A388" s="17"/>
      <c r="B388" s="35"/>
      <c r="C388" s="74"/>
      <c r="D388" s="74"/>
      <c r="E388" s="74"/>
      <c r="F388" s="74"/>
      <c r="G388" s="74"/>
      <c r="H388" s="74"/>
      <c r="I388" s="74"/>
      <c r="J388" s="57"/>
      <c r="K388" s="57"/>
      <c r="L388" s="57"/>
      <c r="M388" s="57"/>
      <c r="N388" s="57"/>
      <c r="O388" s="57"/>
      <c r="P388" s="57"/>
      <c r="Q388" s="69"/>
      <c r="R388" s="69"/>
      <c r="S388" s="23" t="str">
        <f>iferror(if(AN388=1,VLOOKUP(B388, Blends!H$4:AK$1004,32,0), ""), "")</f>
        <v/>
      </c>
      <c r="T388" s="58"/>
      <c r="U388" s="77"/>
      <c r="V388" s="77"/>
      <c r="W388" s="78"/>
      <c r="X388" s="77"/>
      <c r="Y388" s="77"/>
      <c r="Z388" s="77"/>
      <c r="AA388" s="77"/>
      <c r="AB388" s="77"/>
      <c r="AC388" s="77"/>
      <c r="AD388" s="77"/>
      <c r="AE388" s="77"/>
      <c r="AF388" s="77"/>
      <c r="AG388" s="77"/>
      <c r="AH388" s="77"/>
      <c r="AI388" s="77"/>
      <c r="AJ388" s="79"/>
      <c r="AK388" s="80"/>
      <c r="AL388" s="59"/>
      <c r="AM388" s="35"/>
      <c r="AN388" s="35"/>
      <c r="AO388" s="35"/>
      <c r="AP388" s="35"/>
      <c r="AQ388" s="35"/>
      <c r="AR388" s="35"/>
      <c r="AS388" s="35"/>
      <c r="AT388" s="35"/>
      <c r="AU388" s="35"/>
      <c r="AV388" s="35"/>
      <c r="AW388" s="35"/>
    </row>
    <row r="389">
      <c r="A389" s="17"/>
      <c r="B389" s="35"/>
      <c r="C389" s="74"/>
      <c r="D389" s="74"/>
      <c r="E389" s="74"/>
      <c r="F389" s="74"/>
      <c r="G389" s="74"/>
      <c r="H389" s="74"/>
      <c r="I389" s="74"/>
      <c r="J389" s="57"/>
      <c r="K389" s="57"/>
      <c r="L389" s="57"/>
      <c r="M389" s="57"/>
      <c r="N389" s="57"/>
      <c r="O389" s="57"/>
      <c r="P389" s="57"/>
      <c r="Q389" s="69"/>
      <c r="R389" s="69"/>
      <c r="S389" s="23" t="str">
        <f>iferror(if(AN389=1,VLOOKUP(B389, Blends!H$4:AK$1004,32,0), ""), "")</f>
        <v/>
      </c>
      <c r="T389" s="58"/>
      <c r="U389" s="77"/>
      <c r="V389" s="77"/>
      <c r="W389" s="78"/>
      <c r="X389" s="77"/>
      <c r="Y389" s="77"/>
      <c r="Z389" s="77"/>
      <c r="AA389" s="77"/>
      <c r="AB389" s="77"/>
      <c r="AC389" s="77"/>
      <c r="AD389" s="77"/>
      <c r="AE389" s="77"/>
      <c r="AF389" s="77"/>
      <c r="AG389" s="77"/>
      <c r="AH389" s="77"/>
      <c r="AI389" s="77"/>
      <c r="AJ389" s="79"/>
      <c r="AK389" s="80"/>
      <c r="AL389" s="59"/>
      <c r="AM389" s="35"/>
      <c r="AN389" s="35"/>
      <c r="AO389" s="35"/>
      <c r="AP389" s="35"/>
      <c r="AQ389" s="35"/>
      <c r="AR389" s="35"/>
      <c r="AS389" s="35"/>
      <c r="AT389" s="35"/>
      <c r="AU389" s="35"/>
      <c r="AV389" s="35"/>
      <c r="AW389" s="35"/>
    </row>
    <row r="390">
      <c r="A390" s="17"/>
      <c r="B390" s="35"/>
      <c r="C390" s="74"/>
      <c r="D390" s="74"/>
      <c r="E390" s="74"/>
      <c r="F390" s="74"/>
      <c r="G390" s="74"/>
      <c r="H390" s="74"/>
      <c r="I390" s="74"/>
      <c r="J390" s="57"/>
      <c r="K390" s="57"/>
      <c r="L390" s="57"/>
      <c r="M390" s="57"/>
      <c r="N390" s="57"/>
      <c r="O390" s="57"/>
      <c r="P390" s="57"/>
      <c r="Q390" s="69"/>
      <c r="R390" s="69"/>
      <c r="S390" s="23" t="str">
        <f>iferror(if(AN390=1,VLOOKUP(B390, Blends!H$4:AK$1004,32,0), ""), "")</f>
        <v/>
      </c>
      <c r="T390" s="58"/>
      <c r="U390" s="77"/>
      <c r="V390" s="77"/>
      <c r="W390" s="78"/>
      <c r="X390" s="77"/>
      <c r="Y390" s="77"/>
      <c r="Z390" s="77"/>
      <c r="AA390" s="77"/>
      <c r="AB390" s="77"/>
      <c r="AC390" s="77"/>
      <c r="AD390" s="77"/>
      <c r="AE390" s="77"/>
      <c r="AF390" s="77"/>
      <c r="AG390" s="77"/>
      <c r="AH390" s="77"/>
      <c r="AI390" s="77"/>
      <c r="AJ390" s="79"/>
      <c r="AK390" s="80"/>
      <c r="AL390" s="59"/>
      <c r="AM390" s="35"/>
      <c r="AN390" s="35"/>
      <c r="AO390" s="35"/>
      <c r="AP390" s="35"/>
      <c r="AQ390" s="35"/>
      <c r="AR390" s="35"/>
      <c r="AS390" s="35"/>
      <c r="AT390" s="35"/>
      <c r="AU390" s="35"/>
      <c r="AV390" s="35"/>
      <c r="AW390" s="35"/>
    </row>
    <row r="391">
      <c r="A391" s="17"/>
      <c r="B391" s="35"/>
      <c r="C391" s="74"/>
      <c r="D391" s="74"/>
      <c r="E391" s="74"/>
      <c r="F391" s="74"/>
      <c r="G391" s="74"/>
      <c r="H391" s="74"/>
      <c r="I391" s="74"/>
      <c r="J391" s="57"/>
      <c r="K391" s="57"/>
      <c r="L391" s="57"/>
      <c r="M391" s="57"/>
      <c r="N391" s="57"/>
      <c r="O391" s="57"/>
      <c r="P391" s="57"/>
      <c r="Q391" s="69"/>
      <c r="R391" s="69"/>
      <c r="S391" s="23" t="str">
        <f>iferror(if(AN391=1,VLOOKUP(B391, Blends!H$4:AK$1004,32,0), ""), "")</f>
        <v/>
      </c>
      <c r="T391" s="58"/>
      <c r="U391" s="77"/>
      <c r="V391" s="77"/>
      <c r="W391" s="78"/>
      <c r="X391" s="77"/>
      <c r="Y391" s="77"/>
      <c r="Z391" s="77"/>
      <c r="AA391" s="77"/>
      <c r="AB391" s="77"/>
      <c r="AC391" s="77"/>
      <c r="AD391" s="77"/>
      <c r="AE391" s="77"/>
      <c r="AF391" s="77"/>
      <c r="AG391" s="77"/>
      <c r="AH391" s="77"/>
      <c r="AI391" s="77"/>
      <c r="AJ391" s="79"/>
      <c r="AK391" s="80"/>
      <c r="AL391" s="59"/>
      <c r="AM391" s="35"/>
      <c r="AN391" s="35"/>
      <c r="AO391" s="35"/>
      <c r="AP391" s="35"/>
      <c r="AQ391" s="35"/>
      <c r="AR391" s="35"/>
      <c r="AS391" s="35"/>
      <c r="AT391" s="35"/>
      <c r="AU391" s="35"/>
      <c r="AV391" s="35"/>
      <c r="AW391" s="35"/>
    </row>
    <row r="392">
      <c r="A392" s="17"/>
      <c r="B392" s="35"/>
      <c r="C392" s="74"/>
      <c r="D392" s="74"/>
      <c r="E392" s="74"/>
      <c r="F392" s="74"/>
      <c r="G392" s="74"/>
      <c r="H392" s="74"/>
      <c r="I392" s="74"/>
      <c r="J392" s="57"/>
      <c r="K392" s="57"/>
      <c r="L392" s="57"/>
      <c r="M392" s="57"/>
      <c r="N392" s="57"/>
      <c r="O392" s="57"/>
      <c r="P392" s="57"/>
      <c r="Q392" s="69"/>
      <c r="R392" s="69"/>
      <c r="S392" s="23" t="str">
        <f>iferror(if(AN392=1,VLOOKUP(B392, Blends!H$4:AK$1004,32,0), ""), "")</f>
        <v/>
      </c>
      <c r="T392" s="58"/>
      <c r="U392" s="77"/>
      <c r="V392" s="77"/>
      <c r="W392" s="78"/>
      <c r="X392" s="77"/>
      <c r="Y392" s="77"/>
      <c r="Z392" s="77"/>
      <c r="AA392" s="77"/>
      <c r="AB392" s="77"/>
      <c r="AC392" s="77"/>
      <c r="AD392" s="77"/>
      <c r="AE392" s="77"/>
      <c r="AF392" s="77"/>
      <c r="AG392" s="77"/>
      <c r="AH392" s="77"/>
      <c r="AI392" s="77"/>
      <c r="AJ392" s="79"/>
      <c r="AK392" s="80"/>
      <c r="AL392" s="59"/>
      <c r="AM392" s="35"/>
      <c r="AN392" s="35"/>
      <c r="AO392" s="35"/>
      <c r="AP392" s="35"/>
      <c r="AQ392" s="35"/>
      <c r="AR392" s="35"/>
      <c r="AS392" s="35"/>
      <c r="AT392" s="35"/>
      <c r="AU392" s="35"/>
      <c r="AV392" s="35"/>
      <c r="AW392" s="35"/>
    </row>
    <row r="393">
      <c r="A393" s="17"/>
      <c r="B393" s="35"/>
      <c r="C393" s="74"/>
      <c r="D393" s="74"/>
      <c r="E393" s="74"/>
      <c r="F393" s="74"/>
      <c r="G393" s="74"/>
      <c r="H393" s="74"/>
      <c r="I393" s="74"/>
      <c r="J393" s="57"/>
      <c r="K393" s="57"/>
      <c r="L393" s="57"/>
      <c r="M393" s="57"/>
      <c r="N393" s="57"/>
      <c r="O393" s="57"/>
      <c r="P393" s="57"/>
      <c r="Q393" s="69"/>
      <c r="R393" s="69"/>
      <c r="S393" s="23" t="str">
        <f>iferror(if(AN393=1,VLOOKUP(B393, Blends!H$4:AK$1004,32,0), ""), "")</f>
        <v/>
      </c>
      <c r="T393" s="58"/>
      <c r="U393" s="77"/>
      <c r="V393" s="77"/>
      <c r="W393" s="78"/>
      <c r="X393" s="77"/>
      <c r="Y393" s="77"/>
      <c r="Z393" s="77"/>
      <c r="AA393" s="77"/>
      <c r="AB393" s="77"/>
      <c r="AC393" s="77"/>
      <c r="AD393" s="77"/>
      <c r="AE393" s="77"/>
      <c r="AF393" s="77"/>
      <c r="AG393" s="77"/>
      <c r="AH393" s="77"/>
      <c r="AI393" s="77"/>
      <c r="AJ393" s="79"/>
      <c r="AK393" s="80"/>
      <c r="AL393" s="59"/>
      <c r="AM393" s="35"/>
      <c r="AN393" s="35"/>
      <c r="AO393" s="35"/>
      <c r="AP393" s="35"/>
      <c r="AQ393" s="35"/>
      <c r="AR393" s="35"/>
      <c r="AS393" s="35"/>
      <c r="AT393" s="35"/>
      <c r="AU393" s="35"/>
      <c r="AV393" s="35"/>
      <c r="AW393" s="35"/>
    </row>
    <row r="394">
      <c r="A394" s="17"/>
      <c r="B394" s="35"/>
      <c r="C394" s="74"/>
      <c r="D394" s="74"/>
      <c r="E394" s="74"/>
      <c r="F394" s="74"/>
      <c r="G394" s="74"/>
      <c r="H394" s="74"/>
      <c r="I394" s="74"/>
      <c r="J394" s="57"/>
      <c r="K394" s="57"/>
      <c r="L394" s="57"/>
      <c r="M394" s="57"/>
      <c r="N394" s="57"/>
      <c r="O394" s="57"/>
      <c r="P394" s="57"/>
      <c r="Q394" s="69"/>
      <c r="R394" s="69"/>
      <c r="S394" s="23" t="str">
        <f>iferror(if(AN394=1,VLOOKUP(B394, Blends!H$4:AK$1004,32,0), ""), "")</f>
        <v/>
      </c>
      <c r="T394" s="58"/>
      <c r="U394" s="77"/>
      <c r="V394" s="77"/>
      <c r="W394" s="78"/>
      <c r="X394" s="77"/>
      <c r="Y394" s="77"/>
      <c r="Z394" s="77"/>
      <c r="AA394" s="77"/>
      <c r="AB394" s="77"/>
      <c r="AC394" s="77"/>
      <c r="AD394" s="77"/>
      <c r="AE394" s="77"/>
      <c r="AF394" s="77"/>
      <c r="AG394" s="77"/>
      <c r="AH394" s="77"/>
      <c r="AI394" s="77"/>
      <c r="AJ394" s="79"/>
      <c r="AK394" s="80"/>
      <c r="AL394" s="59"/>
      <c r="AM394" s="35"/>
      <c r="AN394" s="35"/>
      <c r="AO394" s="35"/>
      <c r="AP394" s="35"/>
      <c r="AQ394" s="35"/>
      <c r="AR394" s="35"/>
      <c r="AS394" s="35"/>
      <c r="AT394" s="35"/>
      <c r="AU394" s="35"/>
      <c r="AV394" s="35"/>
      <c r="AW394" s="35"/>
    </row>
    <row r="395">
      <c r="A395" s="17"/>
      <c r="B395" s="35"/>
      <c r="C395" s="74"/>
      <c r="D395" s="74"/>
      <c r="E395" s="74"/>
      <c r="F395" s="74"/>
      <c r="G395" s="74"/>
      <c r="H395" s="74"/>
      <c r="I395" s="74"/>
      <c r="J395" s="57"/>
      <c r="K395" s="57"/>
      <c r="L395" s="57"/>
      <c r="M395" s="57"/>
      <c r="N395" s="57"/>
      <c r="O395" s="57"/>
      <c r="P395" s="57"/>
      <c r="Q395" s="69"/>
      <c r="R395" s="69"/>
      <c r="S395" s="23" t="str">
        <f>iferror(if(AN395=1,VLOOKUP(B395, Blends!H$4:AK$1004,32,0), ""), "")</f>
        <v/>
      </c>
      <c r="T395" s="58"/>
      <c r="U395" s="77"/>
      <c r="V395" s="77"/>
      <c r="W395" s="78"/>
      <c r="X395" s="77"/>
      <c r="Y395" s="77"/>
      <c r="Z395" s="77"/>
      <c r="AA395" s="77"/>
      <c r="AB395" s="77"/>
      <c r="AC395" s="77"/>
      <c r="AD395" s="77"/>
      <c r="AE395" s="77"/>
      <c r="AF395" s="77"/>
      <c r="AG395" s="77"/>
      <c r="AH395" s="77"/>
      <c r="AI395" s="77"/>
      <c r="AJ395" s="79"/>
      <c r="AK395" s="80"/>
      <c r="AL395" s="59"/>
      <c r="AM395" s="35"/>
      <c r="AN395" s="35"/>
      <c r="AO395" s="35"/>
      <c r="AP395" s="35"/>
      <c r="AQ395" s="35"/>
      <c r="AR395" s="35"/>
      <c r="AS395" s="35"/>
      <c r="AT395" s="35"/>
      <c r="AU395" s="35"/>
      <c r="AV395" s="35"/>
      <c r="AW395" s="35"/>
    </row>
    <row r="396">
      <c r="A396" s="17"/>
      <c r="B396" s="35"/>
      <c r="C396" s="74"/>
      <c r="D396" s="74"/>
      <c r="E396" s="74"/>
      <c r="F396" s="74"/>
      <c r="G396" s="74"/>
      <c r="H396" s="74"/>
      <c r="I396" s="74"/>
      <c r="J396" s="57"/>
      <c r="K396" s="57"/>
      <c r="L396" s="57"/>
      <c r="M396" s="57"/>
      <c r="N396" s="57"/>
      <c r="O396" s="57"/>
      <c r="P396" s="57"/>
      <c r="Q396" s="69"/>
      <c r="R396" s="69"/>
      <c r="S396" s="23" t="str">
        <f>iferror(if(AN396=1,VLOOKUP(B396, Blends!H$4:AK$1004,32,0), ""), "")</f>
        <v/>
      </c>
      <c r="T396" s="58"/>
      <c r="U396" s="77"/>
      <c r="V396" s="77"/>
      <c r="W396" s="78"/>
      <c r="X396" s="77"/>
      <c r="Y396" s="77"/>
      <c r="Z396" s="77"/>
      <c r="AA396" s="77"/>
      <c r="AB396" s="77"/>
      <c r="AC396" s="77"/>
      <c r="AD396" s="77"/>
      <c r="AE396" s="77"/>
      <c r="AF396" s="77"/>
      <c r="AG396" s="77"/>
      <c r="AH396" s="77"/>
      <c r="AI396" s="77"/>
      <c r="AJ396" s="79"/>
      <c r="AK396" s="80"/>
      <c r="AL396" s="59"/>
      <c r="AM396" s="35"/>
      <c r="AN396" s="35"/>
      <c r="AO396" s="35"/>
      <c r="AP396" s="35"/>
      <c r="AQ396" s="35"/>
      <c r="AR396" s="35"/>
      <c r="AS396" s="35"/>
      <c r="AT396" s="35"/>
      <c r="AU396" s="35"/>
      <c r="AV396" s="35"/>
      <c r="AW396" s="35"/>
    </row>
    <row r="397">
      <c r="A397" s="17"/>
      <c r="B397" s="35"/>
      <c r="C397" s="74"/>
      <c r="D397" s="74"/>
      <c r="E397" s="74"/>
      <c r="F397" s="74"/>
      <c r="G397" s="74"/>
      <c r="H397" s="74"/>
      <c r="I397" s="74"/>
      <c r="J397" s="57"/>
      <c r="K397" s="57"/>
      <c r="L397" s="57"/>
      <c r="M397" s="57"/>
      <c r="N397" s="57"/>
      <c r="O397" s="57"/>
      <c r="P397" s="57"/>
      <c r="Q397" s="69"/>
      <c r="R397" s="69"/>
      <c r="S397" s="23" t="str">
        <f>iferror(if(AN397=1,VLOOKUP(B397, Blends!H$4:AK$1004,32,0), ""), "")</f>
        <v/>
      </c>
      <c r="T397" s="58"/>
      <c r="U397" s="77"/>
      <c r="V397" s="77"/>
      <c r="W397" s="78"/>
      <c r="X397" s="77"/>
      <c r="Y397" s="77"/>
      <c r="Z397" s="77"/>
      <c r="AA397" s="77"/>
      <c r="AB397" s="77"/>
      <c r="AC397" s="77"/>
      <c r="AD397" s="77"/>
      <c r="AE397" s="77"/>
      <c r="AF397" s="77"/>
      <c r="AG397" s="77"/>
      <c r="AH397" s="77"/>
      <c r="AI397" s="77"/>
      <c r="AJ397" s="79"/>
      <c r="AK397" s="80"/>
      <c r="AL397" s="59"/>
      <c r="AM397" s="35"/>
      <c r="AN397" s="35"/>
      <c r="AO397" s="35"/>
      <c r="AP397" s="35"/>
      <c r="AQ397" s="35"/>
      <c r="AR397" s="35"/>
      <c r="AS397" s="35"/>
      <c r="AT397" s="35"/>
      <c r="AU397" s="35"/>
      <c r="AV397" s="35"/>
      <c r="AW397" s="35"/>
    </row>
    <row r="398">
      <c r="A398" s="17"/>
      <c r="B398" s="35"/>
      <c r="C398" s="74"/>
      <c r="D398" s="74"/>
      <c r="E398" s="74"/>
      <c r="F398" s="74"/>
      <c r="G398" s="74"/>
      <c r="H398" s="74"/>
      <c r="I398" s="74"/>
      <c r="J398" s="57"/>
      <c r="K398" s="57"/>
      <c r="L398" s="57"/>
      <c r="M398" s="57"/>
      <c r="N398" s="57"/>
      <c r="O398" s="57"/>
      <c r="P398" s="57"/>
      <c r="Q398" s="69"/>
      <c r="R398" s="69"/>
      <c r="S398" s="23" t="str">
        <f>iferror(if(AN398=1,VLOOKUP(B398, Blends!H$4:AK$1004,32,0), ""), "")</f>
        <v/>
      </c>
      <c r="T398" s="58"/>
      <c r="U398" s="77"/>
      <c r="V398" s="77"/>
      <c r="W398" s="78"/>
      <c r="X398" s="77"/>
      <c r="Y398" s="77"/>
      <c r="Z398" s="77"/>
      <c r="AA398" s="77"/>
      <c r="AB398" s="77"/>
      <c r="AC398" s="77"/>
      <c r="AD398" s="77"/>
      <c r="AE398" s="77"/>
      <c r="AF398" s="77"/>
      <c r="AG398" s="77"/>
      <c r="AH398" s="77"/>
      <c r="AI398" s="77"/>
      <c r="AJ398" s="79"/>
      <c r="AK398" s="80"/>
      <c r="AL398" s="59"/>
      <c r="AM398" s="35"/>
      <c r="AN398" s="35"/>
      <c r="AO398" s="35"/>
      <c r="AP398" s="35"/>
      <c r="AQ398" s="35"/>
      <c r="AR398" s="35"/>
      <c r="AS398" s="35"/>
      <c r="AT398" s="35"/>
      <c r="AU398" s="35"/>
      <c r="AV398" s="35"/>
      <c r="AW398" s="35"/>
    </row>
    <row r="399">
      <c r="A399" s="17"/>
      <c r="B399" s="35"/>
      <c r="C399" s="74"/>
      <c r="D399" s="74"/>
      <c r="E399" s="74"/>
      <c r="F399" s="74"/>
      <c r="G399" s="74"/>
      <c r="H399" s="74"/>
      <c r="I399" s="74"/>
      <c r="J399" s="57"/>
      <c r="K399" s="57"/>
      <c r="L399" s="57"/>
      <c r="M399" s="57"/>
      <c r="N399" s="57"/>
      <c r="O399" s="57"/>
      <c r="P399" s="57"/>
      <c r="Q399" s="69"/>
      <c r="R399" s="69"/>
      <c r="S399" s="23" t="str">
        <f>iferror(if(AN399=1,VLOOKUP(B399, Blends!H$4:AK$1004,32,0), ""), "")</f>
        <v/>
      </c>
      <c r="T399" s="58"/>
      <c r="U399" s="77"/>
      <c r="V399" s="77"/>
      <c r="W399" s="78"/>
      <c r="X399" s="77"/>
      <c r="Y399" s="77"/>
      <c r="Z399" s="77"/>
      <c r="AA399" s="77"/>
      <c r="AB399" s="77"/>
      <c r="AC399" s="77"/>
      <c r="AD399" s="77"/>
      <c r="AE399" s="77"/>
      <c r="AF399" s="77"/>
      <c r="AG399" s="77"/>
      <c r="AH399" s="77"/>
      <c r="AI399" s="77"/>
      <c r="AJ399" s="79"/>
      <c r="AK399" s="80"/>
      <c r="AL399" s="59"/>
      <c r="AM399" s="35"/>
      <c r="AN399" s="35"/>
      <c r="AO399" s="35"/>
      <c r="AP399" s="35"/>
      <c r="AQ399" s="35"/>
      <c r="AR399" s="35"/>
      <c r="AS399" s="35"/>
      <c r="AT399" s="35"/>
      <c r="AU399" s="35"/>
      <c r="AV399" s="35"/>
      <c r="AW399" s="35"/>
    </row>
    <row r="400">
      <c r="A400" s="17"/>
      <c r="B400" s="35"/>
      <c r="C400" s="74"/>
      <c r="D400" s="74"/>
      <c r="E400" s="74"/>
      <c r="F400" s="74"/>
      <c r="G400" s="74"/>
      <c r="H400" s="74"/>
      <c r="I400" s="74"/>
      <c r="J400" s="57"/>
      <c r="K400" s="57"/>
      <c r="L400" s="57"/>
      <c r="M400" s="57"/>
      <c r="N400" s="57"/>
      <c r="O400" s="57"/>
      <c r="P400" s="57"/>
      <c r="Q400" s="69"/>
      <c r="R400" s="69"/>
      <c r="S400" s="23" t="str">
        <f>iferror(if(AN400=1,VLOOKUP(B400, Blends!H$4:AK$1004,32,0), ""), "")</f>
        <v/>
      </c>
      <c r="T400" s="58"/>
      <c r="U400" s="77"/>
      <c r="V400" s="77"/>
      <c r="W400" s="78"/>
      <c r="X400" s="77"/>
      <c r="Y400" s="77"/>
      <c r="Z400" s="77"/>
      <c r="AA400" s="77"/>
      <c r="AB400" s="77"/>
      <c r="AC400" s="77"/>
      <c r="AD400" s="77"/>
      <c r="AE400" s="77"/>
      <c r="AF400" s="77"/>
      <c r="AG400" s="77"/>
      <c r="AH400" s="77"/>
      <c r="AI400" s="77"/>
      <c r="AJ400" s="79"/>
      <c r="AK400" s="80"/>
      <c r="AL400" s="59"/>
      <c r="AM400" s="35"/>
      <c r="AN400" s="35"/>
      <c r="AO400" s="35"/>
      <c r="AP400" s="35"/>
      <c r="AQ400" s="35"/>
      <c r="AR400" s="35"/>
      <c r="AS400" s="35"/>
      <c r="AT400" s="35"/>
      <c r="AU400" s="35"/>
      <c r="AV400" s="35"/>
      <c r="AW400" s="35"/>
    </row>
    <row r="401">
      <c r="A401" s="17"/>
      <c r="B401" s="35"/>
      <c r="C401" s="74"/>
      <c r="D401" s="74"/>
      <c r="E401" s="74"/>
      <c r="F401" s="74"/>
      <c r="G401" s="74"/>
      <c r="H401" s="74"/>
      <c r="I401" s="74"/>
      <c r="J401" s="57"/>
      <c r="K401" s="57"/>
      <c r="L401" s="57"/>
      <c r="M401" s="57"/>
      <c r="N401" s="57"/>
      <c r="O401" s="57"/>
      <c r="P401" s="57"/>
      <c r="Q401" s="69"/>
      <c r="R401" s="69"/>
      <c r="S401" s="23" t="str">
        <f>iferror(if(AN401=1,VLOOKUP(B401, Blends!H$4:AK$1004,32,0), ""), "")</f>
        <v/>
      </c>
      <c r="T401" s="58"/>
      <c r="U401" s="77"/>
      <c r="V401" s="77"/>
      <c r="W401" s="78"/>
      <c r="X401" s="77"/>
      <c r="Y401" s="77"/>
      <c r="Z401" s="77"/>
      <c r="AA401" s="77"/>
      <c r="AB401" s="77"/>
      <c r="AC401" s="77"/>
      <c r="AD401" s="77"/>
      <c r="AE401" s="77"/>
      <c r="AF401" s="77"/>
      <c r="AG401" s="77"/>
      <c r="AH401" s="77"/>
      <c r="AI401" s="77"/>
      <c r="AJ401" s="79"/>
      <c r="AK401" s="80"/>
      <c r="AL401" s="59"/>
      <c r="AM401" s="35"/>
      <c r="AN401" s="35"/>
      <c r="AO401" s="35"/>
      <c r="AP401" s="35"/>
      <c r="AQ401" s="35"/>
      <c r="AR401" s="35"/>
      <c r="AS401" s="35"/>
      <c r="AT401" s="35"/>
      <c r="AU401" s="35"/>
      <c r="AV401" s="35"/>
      <c r="AW401" s="35"/>
    </row>
    <row r="402">
      <c r="A402" s="17"/>
      <c r="B402" s="35"/>
      <c r="C402" s="74"/>
      <c r="D402" s="74"/>
      <c r="E402" s="74"/>
      <c r="F402" s="74"/>
      <c r="G402" s="74"/>
      <c r="H402" s="74"/>
      <c r="I402" s="74"/>
      <c r="J402" s="57"/>
      <c r="K402" s="57"/>
      <c r="L402" s="57"/>
      <c r="M402" s="57"/>
      <c r="N402" s="57"/>
      <c r="O402" s="57"/>
      <c r="P402" s="57"/>
      <c r="Q402" s="69"/>
      <c r="R402" s="69"/>
      <c r="S402" s="23" t="str">
        <f>iferror(if(AN402=1,VLOOKUP(B402, Blends!H$4:AK$1004,32,0), ""), "")</f>
        <v/>
      </c>
      <c r="T402" s="58"/>
      <c r="U402" s="77"/>
      <c r="V402" s="77"/>
      <c r="W402" s="78"/>
      <c r="X402" s="77"/>
      <c r="Y402" s="77"/>
      <c r="Z402" s="77"/>
      <c r="AA402" s="77"/>
      <c r="AB402" s="77"/>
      <c r="AC402" s="77"/>
      <c r="AD402" s="77"/>
      <c r="AE402" s="77"/>
      <c r="AF402" s="77"/>
      <c r="AG402" s="77"/>
      <c r="AH402" s="77"/>
      <c r="AI402" s="77"/>
      <c r="AJ402" s="79"/>
      <c r="AK402" s="80"/>
      <c r="AL402" s="59"/>
      <c r="AM402" s="35"/>
      <c r="AN402" s="35"/>
      <c r="AO402" s="35"/>
      <c r="AP402" s="35"/>
      <c r="AQ402" s="35"/>
      <c r="AR402" s="35"/>
      <c r="AS402" s="35"/>
      <c r="AT402" s="35"/>
      <c r="AU402" s="35"/>
      <c r="AV402" s="35"/>
      <c r="AW402" s="35"/>
    </row>
    <row r="403">
      <c r="A403" s="17"/>
      <c r="B403" s="35"/>
      <c r="C403" s="74"/>
      <c r="D403" s="74"/>
      <c r="E403" s="74"/>
      <c r="F403" s="74"/>
      <c r="G403" s="74"/>
      <c r="H403" s="74"/>
      <c r="I403" s="74"/>
      <c r="J403" s="57"/>
      <c r="K403" s="57"/>
      <c r="L403" s="57"/>
      <c r="M403" s="57"/>
      <c r="N403" s="57"/>
      <c r="O403" s="57"/>
      <c r="P403" s="57"/>
      <c r="Q403" s="69"/>
      <c r="R403" s="69"/>
      <c r="S403" s="23" t="str">
        <f>iferror(if(AN403=1,VLOOKUP(B403, Blends!H$4:AK$1004,32,0), ""), "")</f>
        <v/>
      </c>
      <c r="T403" s="58"/>
      <c r="U403" s="77"/>
      <c r="V403" s="77"/>
      <c r="W403" s="78"/>
      <c r="X403" s="77"/>
      <c r="Y403" s="77"/>
      <c r="Z403" s="77"/>
      <c r="AA403" s="77"/>
      <c r="AB403" s="77"/>
      <c r="AC403" s="77"/>
      <c r="AD403" s="77"/>
      <c r="AE403" s="77"/>
      <c r="AF403" s="77"/>
      <c r="AG403" s="77"/>
      <c r="AH403" s="77"/>
      <c r="AI403" s="77"/>
      <c r="AJ403" s="79"/>
      <c r="AK403" s="80"/>
      <c r="AL403" s="59"/>
      <c r="AM403" s="35"/>
      <c r="AN403" s="35"/>
      <c r="AO403" s="35"/>
      <c r="AP403" s="35"/>
      <c r="AQ403" s="35"/>
      <c r="AR403" s="35"/>
      <c r="AS403" s="35"/>
      <c r="AT403" s="35"/>
      <c r="AU403" s="35"/>
      <c r="AV403" s="35"/>
      <c r="AW403" s="35"/>
    </row>
    <row r="404">
      <c r="A404" s="17"/>
      <c r="B404" s="35"/>
      <c r="C404" s="74"/>
      <c r="D404" s="74"/>
      <c r="E404" s="74"/>
      <c r="F404" s="74"/>
      <c r="G404" s="74"/>
      <c r="H404" s="74"/>
      <c r="I404" s="74"/>
      <c r="J404" s="57"/>
      <c r="K404" s="57"/>
      <c r="L404" s="57"/>
      <c r="M404" s="57"/>
      <c r="N404" s="57"/>
      <c r="O404" s="57"/>
      <c r="P404" s="57"/>
      <c r="Q404" s="69"/>
      <c r="R404" s="69"/>
      <c r="S404" s="23" t="str">
        <f>iferror(if(AN404=1,VLOOKUP(B404, Blends!H$4:AK$1004,32,0), ""), "")</f>
        <v/>
      </c>
      <c r="T404" s="58"/>
      <c r="U404" s="77"/>
      <c r="V404" s="77"/>
      <c r="W404" s="78"/>
      <c r="X404" s="77"/>
      <c r="Y404" s="77"/>
      <c r="Z404" s="77"/>
      <c r="AA404" s="77"/>
      <c r="AB404" s="77"/>
      <c r="AC404" s="77"/>
      <c r="AD404" s="77"/>
      <c r="AE404" s="77"/>
      <c r="AF404" s="77"/>
      <c r="AG404" s="77"/>
      <c r="AH404" s="77"/>
      <c r="AI404" s="77"/>
      <c r="AJ404" s="79"/>
      <c r="AK404" s="80"/>
      <c r="AL404" s="59"/>
      <c r="AM404" s="35"/>
      <c r="AN404" s="35"/>
      <c r="AO404" s="35"/>
      <c r="AP404" s="35"/>
      <c r="AQ404" s="35"/>
      <c r="AR404" s="35"/>
      <c r="AS404" s="35"/>
      <c r="AT404" s="35"/>
      <c r="AU404" s="35"/>
      <c r="AV404" s="35"/>
      <c r="AW404" s="35"/>
    </row>
    <row r="405">
      <c r="A405" s="17"/>
      <c r="B405" s="35"/>
      <c r="C405" s="74"/>
      <c r="D405" s="74"/>
      <c r="E405" s="74"/>
      <c r="F405" s="74"/>
      <c r="G405" s="74"/>
      <c r="H405" s="74"/>
      <c r="I405" s="74"/>
      <c r="J405" s="57"/>
      <c r="K405" s="57"/>
      <c r="L405" s="57"/>
      <c r="M405" s="57"/>
      <c r="N405" s="57"/>
      <c r="O405" s="57"/>
      <c r="P405" s="57"/>
      <c r="Q405" s="69"/>
      <c r="R405" s="69"/>
      <c r="S405" s="23" t="str">
        <f>iferror(if(AN405=1,VLOOKUP(B405, Blends!H$4:AK$1004,32,0), ""), "")</f>
        <v/>
      </c>
      <c r="T405" s="58"/>
      <c r="U405" s="77"/>
      <c r="V405" s="77"/>
      <c r="W405" s="78"/>
      <c r="X405" s="77"/>
      <c r="Y405" s="77"/>
      <c r="Z405" s="77"/>
      <c r="AA405" s="77"/>
      <c r="AB405" s="77"/>
      <c r="AC405" s="77"/>
      <c r="AD405" s="77"/>
      <c r="AE405" s="77"/>
      <c r="AF405" s="77"/>
      <c r="AG405" s="77"/>
      <c r="AH405" s="77"/>
      <c r="AI405" s="77"/>
      <c r="AJ405" s="79"/>
      <c r="AK405" s="80"/>
      <c r="AL405" s="59"/>
      <c r="AM405" s="35"/>
      <c r="AN405" s="35"/>
      <c r="AO405" s="35"/>
      <c r="AP405" s="35"/>
      <c r="AQ405" s="35"/>
      <c r="AR405" s="35"/>
      <c r="AS405" s="35"/>
      <c r="AT405" s="35"/>
      <c r="AU405" s="35"/>
      <c r="AV405" s="35"/>
      <c r="AW405" s="35"/>
    </row>
    <row r="406">
      <c r="A406" s="17"/>
      <c r="B406" s="35"/>
      <c r="C406" s="74"/>
      <c r="D406" s="74"/>
      <c r="E406" s="74"/>
      <c r="F406" s="74"/>
      <c r="G406" s="74"/>
      <c r="H406" s="74"/>
      <c r="I406" s="74"/>
      <c r="J406" s="57"/>
      <c r="K406" s="57"/>
      <c r="L406" s="57"/>
      <c r="M406" s="57"/>
      <c r="N406" s="57"/>
      <c r="O406" s="57"/>
      <c r="P406" s="57"/>
      <c r="Q406" s="69"/>
      <c r="R406" s="69"/>
      <c r="S406" s="23" t="str">
        <f>iferror(if(AN406=1,VLOOKUP(B406, Blends!H$4:AK$1004,32,0), ""), "")</f>
        <v/>
      </c>
      <c r="T406" s="58"/>
      <c r="U406" s="77"/>
      <c r="V406" s="77"/>
      <c r="W406" s="78"/>
      <c r="X406" s="77"/>
      <c r="Y406" s="77"/>
      <c r="Z406" s="77"/>
      <c r="AA406" s="77"/>
      <c r="AB406" s="77"/>
      <c r="AC406" s="77"/>
      <c r="AD406" s="77"/>
      <c r="AE406" s="77"/>
      <c r="AF406" s="77"/>
      <c r="AG406" s="77"/>
      <c r="AH406" s="77"/>
      <c r="AI406" s="77"/>
      <c r="AJ406" s="79"/>
      <c r="AK406" s="80"/>
      <c r="AL406" s="59"/>
      <c r="AM406" s="35"/>
      <c r="AN406" s="35"/>
      <c r="AO406" s="35"/>
      <c r="AP406" s="35"/>
      <c r="AQ406" s="35"/>
      <c r="AR406" s="35"/>
      <c r="AS406" s="35"/>
      <c r="AT406" s="35"/>
      <c r="AU406" s="35"/>
      <c r="AV406" s="35"/>
      <c r="AW406" s="35"/>
    </row>
    <row r="407">
      <c r="A407" s="17"/>
      <c r="B407" s="35"/>
      <c r="C407" s="74"/>
      <c r="D407" s="74"/>
      <c r="E407" s="74"/>
      <c r="F407" s="74"/>
      <c r="G407" s="74"/>
      <c r="H407" s="74"/>
      <c r="I407" s="74"/>
      <c r="J407" s="57"/>
      <c r="K407" s="57"/>
      <c r="L407" s="57"/>
      <c r="M407" s="57"/>
      <c r="N407" s="57"/>
      <c r="O407" s="57"/>
      <c r="P407" s="57"/>
      <c r="Q407" s="69"/>
      <c r="R407" s="69"/>
      <c r="S407" s="23" t="str">
        <f>iferror(if(AN407=1,VLOOKUP(B407, Blends!H$4:AK$1004,32,0), ""), "")</f>
        <v/>
      </c>
      <c r="T407" s="58"/>
      <c r="U407" s="77"/>
      <c r="V407" s="77"/>
      <c r="W407" s="78"/>
      <c r="X407" s="77"/>
      <c r="Y407" s="77"/>
      <c r="Z407" s="77"/>
      <c r="AA407" s="77"/>
      <c r="AB407" s="77"/>
      <c r="AC407" s="77"/>
      <c r="AD407" s="77"/>
      <c r="AE407" s="77"/>
      <c r="AF407" s="77"/>
      <c r="AG407" s="77"/>
      <c r="AH407" s="77"/>
      <c r="AI407" s="77"/>
      <c r="AJ407" s="79"/>
      <c r="AK407" s="80"/>
      <c r="AL407" s="59"/>
      <c r="AM407" s="35"/>
      <c r="AN407" s="35"/>
      <c r="AO407" s="35"/>
      <c r="AP407" s="35"/>
      <c r="AQ407" s="35"/>
      <c r="AR407" s="35"/>
      <c r="AS407" s="35"/>
      <c r="AT407" s="35"/>
      <c r="AU407" s="35"/>
      <c r="AV407" s="35"/>
      <c r="AW407" s="35"/>
    </row>
    <row r="408">
      <c r="A408" s="17"/>
      <c r="B408" s="35"/>
      <c r="C408" s="74"/>
      <c r="D408" s="74"/>
      <c r="E408" s="74"/>
      <c r="F408" s="74"/>
      <c r="G408" s="74"/>
      <c r="H408" s="74"/>
      <c r="I408" s="74"/>
      <c r="J408" s="57"/>
      <c r="K408" s="57"/>
      <c r="L408" s="57"/>
      <c r="M408" s="57"/>
      <c r="N408" s="57"/>
      <c r="O408" s="57"/>
      <c r="P408" s="57"/>
      <c r="Q408" s="69"/>
      <c r="R408" s="69"/>
      <c r="S408" s="23" t="str">
        <f>iferror(if(AN408=1,VLOOKUP(B408, Blends!H$4:AK$1004,32,0), ""), "")</f>
        <v/>
      </c>
      <c r="T408" s="58"/>
      <c r="U408" s="77"/>
      <c r="V408" s="77"/>
      <c r="W408" s="78"/>
      <c r="X408" s="77"/>
      <c r="Y408" s="77"/>
      <c r="Z408" s="77"/>
      <c r="AA408" s="77"/>
      <c r="AB408" s="77"/>
      <c r="AC408" s="77"/>
      <c r="AD408" s="77"/>
      <c r="AE408" s="77"/>
      <c r="AF408" s="77"/>
      <c r="AG408" s="77"/>
      <c r="AH408" s="77"/>
      <c r="AI408" s="77"/>
      <c r="AJ408" s="79"/>
      <c r="AK408" s="80"/>
      <c r="AL408" s="59"/>
      <c r="AM408" s="35"/>
      <c r="AN408" s="35"/>
      <c r="AO408" s="35"/>
      <c r="AP408" s="35"/>
      <c r="AQ408" s="35"/>
      <c r="AR408" s="35"/>
      <c r="AS408" s="35"/>
      <c r="AT408" s="35"/>
      <c r="AU408" s="35"/>
      <c r="AV408" s="35"/>
      <c r="AW408" s="35"/>
    </row>
    <row r="409">
      <c r="A409" s="17"/>
      <c r="B409" s="35"/>
      <c r="C409" s="74"/>
      <c r="D409" s="74"/>
      <c r="E409" s="74"/>
      <c r="F409" s="74"/>
      <c r="G409" s="74"/>
      <c r="H409" s="74"/>
      <c r="I409" s="74"/>
      <c r="J409" s="57"/>
      <c r="K409" s="57"/>
      <c r="L409" s="57"/>
      <c r="M409" s="57"/>
      <c r="N409" s="57"/>
      <c r="O409" s="57"/>
      <c r="P409" s="57"/>
      <c r="Q409" s="69"/>
      <c r="R409" s="69"/>
      <c r="S409" s="23" t="str">
        <f>iferror(if(AN409=1,VLOOKUP(B409, Blends!H$4:AK$1004,32,0), ""), "")</f>
        <v/>
      </c>
      <c r="T409" s="58"/>
      <c r="U409" s="77"/>
      <c r="V409" s="77"/>
      <c r="W409" s="78"/>
      <c r="X409" s="77"/>
      <c r="Y409" s="77"/>
      <c r="Z409" s="77"/>
      <c r="AA409" s="77"/>
      <c r="AB409" s="77"/>
      <c r="AC409" s="77"/>
      <c r="AD409" s="77"/>
      <c r="AE409" s="77"/>
      <c r="AF409" s="77"/>
      <c r="AG409" s="77"/>
      <c r="AH409" s="77"/>
      <c r="AI409" s="77"/>
      <c r="AJ409" s="79"/>
      <c r="AK409" s="80"/>
      <c r="AL409" s="59"/>
      <c r="AM409" s="35"/>
      <c r="AN409" s="35"/>
      <c r="AO409" s="35"/>
      <c r="AP409" s="35"/>
      <c r="AQ409" s="35"/>
      <c r="AR409" s="35"/>
      <c r="AS409" s="35"/>
      <c r="AT409" s="35"/>
      <c r="AU409" s="35"/>
      <c r="AV409" s="35"/>
      <c r="AW409" s="35"/>
    </row>
    <row r="410">
      <c r="A410" s="17"/>
      <c r="B410" s="35"/>
      <c r="C410" s="74"/>
      <c r="D410" s="74"/>
      <c r="E410" s="74"/>
      <c r="F410" s="74"/>
      <c r="G410" s="74"/>
      <c r="H410" s="74"/>
      <c r="I410" s="74"/>
      <c r="J410" s="57"/>
      <c r="K410" s="57"/>
      <c r="L410" s="57"/>
      <c r="M410" s="57"/>
      <c r="N410" s="57"/>
      <c r="O410" s="57"/>
      <c r="P410" s="57"/>
      <c r="Q410" s="69"/>
      <c r="R410" s="69"/>
      <c r="S410" s="23" t="str">
        <f>iferror(if(AN410=1,VLOOKUP(B410, Blends!H$4:AK$1004,32,0), ""), "")</f>
        <v/>
      </c>
      <c r="T410" s="58"/>
      <c r="U410" s="77"/>
      <c r="V410" s="77"/>
      <c r="W410" s="78"/>
      <c r="X410" s="77"/>
      <c r="Y410" s="77"/>
      <c r="Z410" s="77"/>
      <c r="AA410" s="77"/>
      <c r="AB410" s="77"/>
      <c r="AC410" s="77"/>
      <c r="AD410" s="77"/>
      <c r="AE410" s="77"/>
      <c r="AF410" s="77"/>
      <c r="AG410" s="77"/>
      <c r="AH410" s="77"/>
      <c r="AI410" s="77"/>
      <c r="AJ410" s="79"/>
      <c r="AK410" s="80"/>
      <c r="AL410" s="59"/>
      <c r="AM410" s="35"/>
      <c r="AN410" s="35"/>
      <c r="AO410" s="35"/>
      <c r="AP410" s="35"/>
      <c r="AQ410" s="35"/>
      <c r="AR410" s="35"/>
      <c r="AS410" s="35"/>
      <c r="AT410" s="35"/>
      <c r="AU410" s="35"/>
      <c r="AV410" s="35"/>
      <c r="AW410" s="35"/>
    </row>
    <row r="411">
      <c r="A411" s="17"/>
      <c r="B411" s="35"/>
      <c r="C411" s="74"/>
      <c r="D411" s="74"/>
      <c r="E411" s="74"/>
      <c r="F411" s="74"/>
      <c r="G411" s="74"/>
      <c r="H411" s="74"/>
      <c r="I411" s="74"/>
      <c r="J411" s="57"/>
      <c r="K411" s="57"/>
      <c r="L411" s="57"/>
      <c r="M411" s="57"/>
      <c r="N411" s="57"/>
      <c r="O411" s="57"/>
      <c r="P411" s="57"/>
      <c r="Q411" s="69"/>
      <c r="R411" s="69"/>
      <c r="S411" s="23" t="str">
        <f>iferror(if(AN411=1,VLOOKUP(B411, Blends!H$4:AK$1004,32,0), ""), "")</f>
        <v/>
      </c>
      <c r="T411" s="58"/>
      <c r="U411" s="77"/>
      <c r="V411" s="77"/>
      <c r="W411" s="78"/>
      <c r="X411" s="77"/>
      <c r="Y411" s="77"/>
      <c r="Z411" s="77"/>
      <c r="AA411" s="77"/>
      <c r="AB411" s="77"/>
      <c r="AC411" s="77"/>
      <c r="AD411" s="77"/>
      <c r="AE411" s="77"/>
      <c r="AF411" s="77"/>
      <c r="AG411" s="77"/>
      <c r="AH411" s="77"/>
      <c r="AI411" s="77"/>
      <c r="AJ411" s="79"/>
      <c r="AK411" s="80"/>
      <c r="AL411" s="59"/>
      <c r="AM411" s="35"/>
      <c r="AN411" s="35"/>
      <c r="AO411" s="35"/>
      <c r="AP411" s="35"/>
      <c r="AQ411" s="35"/>
      <c r="AR411" s="35"/>
      <c r="AS411" s="35"/>
      <c r="AT411" s="35"/>
      <c r="AU411" s="35"/>
      <c r="AV411" s="35"/>
      <c r="AW411" s="35"/>
    </row>
    <row r="412">
      <c r="A412" s="17"/>
      <c r="B412" s="35"/>
      <c r="C412" s="74"/>
      <c r="D412" s="74"/>
      <c r="E412" s="74"/>
      <c r="F412" s="74"/>
      <c r="G412" s="74"/>
      <c r="H412" s="74"/>
      <c r="I412" s="74"/>
      <c r="J412" s="57"/>
      <c r="K412" s="57"/>
      <c r="L412" s="57"/>
      <c r="M412" s="57"/>
      <c r="N412" s="57"/>
      <c r="O412" s="57"/>
      <c r="P412" s="57"/>
      <c r="Q412" s="69"/>
      <c r="R412" s="69"/>
      <c r="S412" s="23" t="str">
        <f>iferror(if(AN412=1,VLOOKUP(B412, Blends!H$4:AK$1004,32,0), ""), "")</f>
        <v/>
      </c>
      <c r="T412" s="58"/>
      <c r="U412" s="77"/>
      <c r="V412" s="77"/>
      <c r="W412" s="78"/>
      <c r="X412" s="77"/>
      <c r="Y412" s="77"/>
      <c r="Z412" s="77"/>
      <c r="AA412" s="77"/>
      <c r="AB412" s="77"/>
      <c r="AC412" s="77"/>
      <c r="AD412" s="77"/>
      <c r="AE412" s="77"/>
      <c r="AF412" s="77"/>
      <c r="AG412" s="77"/>
      <c r="AH412" s="77"/>
      <c r="AI412" s="77"/>
      <c r="AJ412" s="79"/>
      <c r="AK412" s="80"/>
      <c r="AL412" s="59"/>
      <c r="AM412" s="35"/>
      <c r="AN412" s="35"/>
      <c r="AO412" s="35"/>
      <c r="AP412" s="35"/>
      <c r="AQ412" s="35"/>
      <c r="AR412" s="35"/>
      <c r="AS412" s="35"/>
      <c r="AT412" s="35"/>
      <c r="AU412" s="35"/>
      <c r="AV412" s="35"/>
      <c r="AW412" s="35"/>
    </row>
    <row r="413">
      <c r="A413" s="17"/>
      <c r="B413" s="35"/>
      <c r="C413" s="74"/>
      <c r="D413" s="74"/>
      <c r="E413" s="74"/>
      <c r="F413" s="74"/>
      <c r="G413" s="74"/>
      <c r="H413" s="74"/>
      <c r="I413" s="74"/>
      <c r="J413" s="57"/>
      <c r="K413" s="57"/>
      <c r="L413" s="57"/>
      <c r="M413" s="57"/>
      <c r="N413" s="57"/>
      <c r="O413" s="57"/>
      <c r="P413" s="57"/>
      <c r="Q413" s="69"/>
      <c r="R413" s="69"/>
      <c r="S413" s="23" t="str">
        <f>iferror(if(AN413=1,VLOOKUP(B413, Blends!H$4:AK$1004,32,0), ""), "")</f>
        <v/>
      </c>
      <c r="T413" s="58"/>
      <c r="U413" s="77"/>
      <c r="V413" s="77"/>
      <c r="W413" s="78"/>
      <c r="X413" s="77"/>
      <c r="Y413" s="77"/>
      <c r="Z413" s="77"/>
      <c r="AA413" s="77"/>
      <c r="AB413" s="77"/>
      <c r="AC413" s="77"/>
      <c r="AD413" s="77"/>
      <c r="AE413" s="77"/>
      <c r="AF413" s="77"/>
      <c r="AG413" s="77"/>
      <c r="AH413" s="77"/>
      <c r="AI413" s="77"/>
      <c r="AJ413" s="79"/>
      <c r="AK413" s="80"/>
      <c r="AL413" s="59"/>
      <c r="AM413" s="35"/>
      <c r="AN413" s="35"/>
      <c r="AO413" s="35"/>
      <c r="AP413" s="35"/>
      <c r="AQ413" s="35"/>
      <c r="AR413" s="35"/>
      <c r="AS413" s="35"/>
      <c r="AT413" s="35"/>
      <c r="AU413" s="35"/>
      <c r="AV413" s="35"/>
      <c r="AW413" s="35"/>
    </row>
    <row r="414">
      <c r="A414" s="17"/>
      <c r="B414" s="35"/>
      <c r="C414" s="74"/>
      <c r="D414" s="74"/>
      <c r="E414" s="74"/>
      <c r="F414" s="74"/>
      <c r="G414" s="74"/>
      <c r="H414" s="74"/>
      <c r="I414" s="74"/>
      <c r="J414" s="57"/>
      <c r="K414" s="57"/>
      <c r="L414" s="57"/>
      <c r="M414" s="57"/>
      <c r="N414" s="57"/>
      <c r="O414" s="57"/>
      <c r="P414" s="57"/>
      <c r="Q414" s="69"/>
      <c r="R414" s="69"/>
      <c r="S414" s="23" t="str">
        <f>iferror(if(AN414=1,VLOOKUP(B414, Blends!H$4:AK$1004,32,0), ""), "")</f>
        <v/>
      </c>
      <c r="T414" s="58"/>
      <c r="U414" s="77"/>
      <c r="V414" s="77"/>
      <c r="W414" s="78"/>
      <c r="X414" s="77"/>
      <c r="Y414" s="77"/>
      <c r="Z414" s="77"/>
      <c r="AA414" s="77"/>
      <c r="AB414" s="77"/>
      <c r="AC414" s="77"/>
      <c r="AD414" s="77"/>
      <c r="AE414" s="77"/>
      <c r="AF414" s="77"/>
      <c r="AG414" s="77"/>
      <c r="AH414" s="77"/>
      <c r="AI414" s="77"/>
      <c r="AJ414" s="79"/>
      <c r="AK414" s="80"/>
      <c r="AL414" s="59"/>
      <c r="AM414" s="35"/>
      <c r="AN414" s="35"/>
      <c r="AO414" s="35"/>
      <c r="AP414" s="35"/>
      <c r="AQ414" s="35"/>
      <c r="AR414" s="35"/>
      <c r="AS414" s="35"/>
      <c r="AT414" s="35"/>
      <c r="AU414" s="35"/>
      <c r="AV414" s="35"/>
      <c r="AW414" s="35"/>
    </row>
    <row r="415">
      <c r="A415" s="17"/>
      <c r="B415" s="35"/>
      <c r="C415" s="74"/>
      <c r="D415" s="74"/>
      <c r="E415" s="74"/>
      <c r="F415" s="74"/>
      <c r="G415" s="74"/>
      <c r="H415" s="74"/>
      <c r="I415" s="74"/>
      <c r="J415" s="57"/>
      <c r="K415" s="57"/>
      <c r="L415" s="57"/>
      <c r="M415" s="57"/>
      <c r="N415" s="57"/>
      <c r="O415" s="57"/>
      <c r="P415" s="57"/>
      <c r="Q415" s="69"/>
      <c r="R415" s="69"/>
      <c r="S415" s="23" t="str">
        <f>iferror(if(AN415=1,VLOOKUP(B415, Blends!H$4:AK$1004,32,0), ""), "")</f>
        <v/>
      </c>
      <c r="T415" s="58"/>
      <c r="U415" s="77"/>
      <c r="V415" s="77"/>
      <c r="W415" s="78"/>
      <c r="X415" s="77"/>
      <c r="Y415" s="77"/>
      <c r="Z415" s="77"/>
      <c r="AA415" s="77"/>
      <c r="AB415" s="77"/>
      <c r="AC415" s="77"/>
      <c r="AD415" s="77"/>
      <c r="AE415" s="77"/>
      <c r="AF415" s="77"/>
      <c r="AG415" s="77"/>
      <c r="AH415" s="77"/>
      <c r="AI415" s="77"/>
      <c r="AJ415" s="79"/>
      <c r="AK415" s="80"/>
      <c r="AL415" s="59"/>
      <c r="AM415" s="35"/>
      <c r="AN415" s="35"/>
      <c r="AO415" s="35"/>
      <c r="AP415" s="35"/>
      <c r="AQ415" s="35"/>
      <c r="AR415" s="35"/>
      <c r="AS415" s="35"/>
      <c r="AT415" s="35"/>
      <c r="AU415" s="35"/>
      <c r="AV415" s="35"/>
      <c r="AW415" s="35"/>
    </row>
    <row r="416">
      <c r="A416" s="17"/>
      <c r="B416" s="35"/>
      <c r="C416" s="74"/>
      <c r="D416" s="74"/>
      <c r="E416" s="74"/>
      <c r="F416" s="74"/>
      <c r="G416" s="74"/>
      <c r="H416" s="74"/>
      <c r="I416" s="74"/>
      <c r="J416" s="57"/>
      <c r="K416" s="57"/>
      <c r="L416" s="57"/>
      <c r="M416" s="57"/>
      <c r="N416" s="57"/>
      <c r="O416" s="57"/>
      <c r="P416" s="57"/>
      <c r="Q416" s="69"/>
      <c r="R416" s="69"/>
      <c r="S416" s="23" t="str">
        <f>iferror(if(AN416=1,VLOOKUP(B416, Blends!H$4:AK$1004,32,0), ""), "")</f>
        <v/>
      </c>
      <c r="T416" s="58"/>
      <c r="U416" s="77"/>
      <c r="V416" s="77"/>
      <c r="W416" s="78"/>
      <c r="X416" s="77"/>
      <c r="Y416" s="77"/>
      <c r="Z416" s="77"/>
      <c r="AA416" s="77"/>
      <c r="AB416" s="77"/>
      <c r="AC416" s="77"/>
      <c r="AD416" s="77"/>
      <c r="AE416" s="77"/>
      <c r="AF416" s="77"/>
      <c r="AG416" s="77"/>
      <c r="AH416" s="77"/>
      <c r="AI416" s="77"/>
      <c r="AJ416" s="79"/>
      <c r="AK416" s="80"/>
      <c r="AL416" s="59"/>
      <c r="AM416" s="35"/>
      <c r="AN416" s="35"/>
      <c r="AO416" s="35"/>
      <c r="AP416" s="35"/>
      <c r="AQ416" s="35"/>
      <c r="AR416" s="35"/>
      <c r="AS416" s="35"/>
      <c r="AT416" s="35"/>
      <c r="AU416" s="35"/>
      <c r="AV416" s="35"/>
      <c r="AW416" s="35"/>
    </row>
    <row r="417">
      <c r="A417" s="17"/>
      <c r="B417" s="35"/>
      <c r="C417" s="74"/>
      <c r="D417" s="74"/>
      <c r="E417" s="74"/>
      <c r="F417" s="74"/>
      <c r="G417" s="74"/>
      <c r="H417" s="74"/>
      <c r="I417" s="74"/>
      <c r="J417" s="57"/>
      <c r="K417" s="57"/>
      <c r="L417" s="57"/>
      <c r="M417" s="57"/>
      <c r="N417" s="57"/>
      <c r="O417" s="57"/>
      <c r="P417" s="57"/>
      <c r="Q417" s="69"/>
      <c r="R417" s="69"/>
      <c r="S417" s="23" t="str">
        <f>iferror(if(AN417=1,VLOOKUP(B417, Blends!H$4:AK$1004,32,0), ""), "")</f>
        <v/>
      </c>
      <c r="T417" s="58"/>
      <c r="U417" s="77"/>
      <c r="V417" s="77"/>
      <c r="W417" s="78"/>
      <c r="X417" s="77"/>
      <c r="Y417" s="77"/>
      <c r="Z417" s="77"/>
      <c r="AA417" s="77"/>
      <c r="AB417" s="77"/>
      <c r="AC417" s="77"/>
      <c r="AD417" s="77"/>
      <c r="AE417" s="77"/>
      <c r="AF417" s="77"/>
      <c r="AG417" s="77"/>
      <c r="AH417" s="77"/>
      <c r="AI417" s="77"/>
      <c r="AJ417" s="79"/>
      <c r="AK417" s="80"/>
      <c r="AL417" s="59"/>
      <c r="AM417" s="35"/>
      <c r="AN417" s="35"/>
      <c r="AO417" s="35"/>
      <c r="AP417" s="35"/>
      <c r="AQ417" s="35"/>
      <c r="AR417" s="35"/>
      <c r="AS417" s="35"/>
      <c r="AT417" s="35"/>
      <c r="AU417" s="35"/>
      <c r="AV417" s="35"/>
      <c r="AW417" s="35"/>
    </row>
    <row r="418">
      <c r="A418" s="17"/>
      <c r="B418" s="35"/>
      <c r="C418" s="74"/>
      <c r="D418" s="74"/>
      <c r="E418" s="74"/>
      <c r="F418" s="74"/>
      <c r="G418" s="74"/>
      <c r="H418" s="74"/>
      <c r="I418" s="74"/>
      <c r="J418" s="57"/>
      <c r="K418" s="57"/>
      <c r="L418" s="57"/>
      <c r="M418" s="57"/>
      <c r="N418" s="57"/>
      <c r="O418" s="57"/>
      <c r="P418" s="57"/>
      <c r="Q418" s="69"/>
      <c r="R418" s="69"/>
      <c r="S418" s="23" t="str">
        <f>iferror(if(AN418=1,VLOOKUP(B418, Blends!H$4:AK$1004,32,0), ""), "")</f>
        <v/>
      </c>
      <c r="T418" s="58"/>
      <c r="U418" s="77"/>
      <c r="V418" s="77"/>
      <c r="W418" s="78"/>
      <c r="X418" s="77"/>
      <c r="Y418" s="77"/>
      <c r="Z418" s="77"/>
      <c r="AA418" s="77"/>
      <c r="AB418" s="77"/>
      <c r="AC418" s="77"/>
      <c r="AD418" s="77"/>
      <c r="AE418" s="77"/>
      <c r="AF418" s="77"/>
      <c r="AG418" s="77"/>
      <c r="AH418" s="77"/>
      <c r="AI418" s="77"/>
      <c r="AJ418" s="79"/>
      <c r="AK418" s="80"/>
      <c r="AL418" s="59"/>
      <c r="AM418" s="35"/>
      <c r="AN418" s="35"/>
      <c r="AO418" s="35"/>
      <c r="AP418" s="35"/>
      <c r="AQ418" s="35"/>
      <c r="AR418" s="35"/>
      <c r="AS418" s="35"/>
      <c r="AT418" s="35"/>
      <c r="AU418" s="35"/>
      <c r="AV418" s="35"/>
      <c r="AW418" s="35"/>
    </row>
    <row r="419">
      <c r="A419" s="17"/>
      <c r="B419" s="35"/>
      <c r="C419" s="74"/>
      <c r="D419" s="74"/>
      <c r="E419" s="74"/>
      <c r="F419" s="74"/>
      <c r="G419" s="74"/>
      <c r="H419" s="74"/>
      <c r="I419" s="74"/>
      <c r="J419" s="57"/>
      <c r="K419" s="57"/>
      <c r="L419" s="57"/>
      <c r="M419" s="57"/>
      <c r="N419" s="57"/>
      <c r="O419" s="57"/>
      <c r="P419" s="57"/>
      <c r="Q419" s="69"/>
      <c r="R419" s="69"/>
      <c r="S419" s="23" t="str">
        <f>iferror(if(AN419=1,VLOOKUP(B419, Blends!H$4:AK$1004,32,0), ""), "")</f>
        <v/>
      </c>
      <c r="T419" s="58"/>
      <c r="U419" s="77"/>
      <c r="V419" s="77"/>
      <c r="W419" s="78"/>
      <c r="X419" s="77"/>
      <c r="Y419" s="77"/>
      <c r="Z419" s="77"/>
      <c r="AA419" s="77"/>
      <c r="AB419" s="77"/>
      <c r="AC419" s="77"/>
      <c r="AD419" s="77"/>
      <c r="AE419" s="77"/>
      <c r="AF419" s="77"/>
      <c r="AG419" s="77"/>
      <c r="AH419" s="77"/>
      <c r="AI419" s="77"/>
      <c r="AJ419" s="79"/>
      <c r="AK419" s="80"/>
      <c r="AL419" s="59"/>
      <c r="AM419" s="35"/>
      <c r="AN419" s="35"/>
      <c r="AO419" s="35"/>
      <c r="AP419" s="35"/>
      <c r="AQ419" s="35"/>
      <c r="AR419" s="35"/>
      <c r="AS419" s="35"/>
      <c r="AT419" s="35"/>
      <c r="AU419" s="35"/>
      <c r="AV419" s="35"/>
      <c r="AW419" s="35"/>
    </row>
    <row r="420">
      <c r="A420" s="17"/>
      <c r="B420" s="35"/>
      <c r="C420" s="74"/>
      <c r="D420" s="74"/>
      <c r="E420" s="74"/>
      <c r="F420" s="74"/>
      <c r="G420" s="74"/>
      <c r="H420" s="74"/>
      <c r="I420" s="74"/>
      <c r="J420" s="57"/>
      <c r="K420" s="57"/>
      <c r="L420" s="57"/>
      <c r="M420" s="57"/>
      <c r="N420" s="57"/>
      <c r="O420" s="57"/>
      <c r="P420" s="57"/>
      <c r="Q420" s="69"/>
      <c r="R420" s="69"/>
      <c r="S420" s="23" t="str">
        <f>iferror(if(AN420=1,VLOOKUP(B420, Blends!H$4:AK$1004,32,0), ""), "")</f>
        <v/>
      </c>
      <c r="T420" s="58"/>
      <c r="U420" s="77"/>
      <c r="V420" s="77"/>
      <c r="W420" s="78"/>
      <c r="X420" s="77"/>
      <c r="Y420" s="77"/>
      <c r="Z420" s="77"/>
      <c r="AA420" s="77"/>
      <c r="AB420" s="77"/>
      <c r="AC420" s="77"/>
      <c r="AD420" s="77"/>
      <c r="AE420" s="77"/>
      <c r="AF420" s="77"/>
      <c r="AG420" s="77"/>
      <c r="AH420" s="77"/>
      <c r="AI420" s="77"/>
      <c r="AJ420" s="79"/>
      <c r="AK420" s="80"/>
      <c r="AL420" s="59"/>
      <c r="AM420" s="35"/>
      <c r="AN420" s="35"/>
      <c r="AO420" s="35"/>
      <c r="AP420" s="35"/>
      <c r="AQ420" s="35"/>
      <c r="AR420" s="35"/>
      <c r="AS420" s="35"/>
      <c r="AT420" s="35"/>
      <c r="AU420" s="35"/>
      <c r="AV420" s="35"/>
      <c r="AW420" s="35"/>
    </row>
    <row r="421">
      <c r="A421" s="17"/>
      <c r="B421" s="35"/>
      <c r="C421" s="74"/>
      <c r="D421" s="74"/>
      <c r="E421" s="74"/>
      <c r="F421" s="74"/>
      <c r="G421" s="74"/>
      <c r="H421" s="74"/>
      <c r="I421" s="74"/>
      <c r="J421" s="57"/>
      <c r="K421" s="57"/>
      <c r="L421" s="57"/>
      <c r="M421" s="57"/>
      <c r="N421" s="57"/>
      <c r="O421" s="57"/>
      <c r="P421" s="57"/>
      <c r="Q421" s="69"/>
      <c r="R421" s="69"/>
      <c r="S421" s="23" t="str">
        <f>iferror(if(AN421=1,VLOOKUP(B421, Blends!H$4:AK$1004,32,0), ""), "")</f>
        <v/>
      </c>
      <c r="T421" s="58"/>
      <c r="U421" s="77"/>
      <c r="V421" s="77"/>
      <c r="W421" s="78"/>
      <c r="X421" s="77"/>
      <c r="Y421" s="77"/>
      <c r="Z421" s="77"/>
      <c r="AA421" s="77"/>
      <c r="AB421" s="77"/>
      <c r="AC421" s="77"/>
      <c r="AD421" s="77"/>
      <c r="AE421" s="77"/>
      <c r="AF421" s="77"/>
      <c r="AG421" s="77"/>
      <c r="AH421" s="77"/>
      <c r="AI421" s="77"/>
      <c r="AJ421" s="79"/>
      <c r="AK421" s="80"/>
      <c r="AL421" s="59"/>
      <c r="AM421" s="35"/>
      <c r="AN421" s="35"/>
      <c r="AO421" s="35"/>
      <c r="AP421" s="35"/>
      <c r="AQ421" s="35"/>
      <c r="AR421" s="35"/>
      <c r="AS421" s="35"/>
      <c r="AT421" s="35"/>
      <c r="AU421" s="35"/>
      <c r="AV421" s="35"/>
      <c r="AW421" s="35"/>
    </row>
    <row r="422">
      <c r="A422" s="17"/>
      <c r="B422" s="35"/>
      <c r="C422" s="74"/>
      <c r="D422" s="74"/>
      <c r="E422" s="74"/>
      <c r="F422" s="74"/>
      <c r="G422" s="74"/>
      <c r="H422" s="74"/>
      <c r="I422" s="74"/>
      <c r="J422" s="57"/>
      <c r="K422" s="57"/>
      <c r="L422" s="57"/>
      <c r="M422" s="57"/>
      <c r="N422" s="57"/>
      <c r="O422" s="57"/>
      <c r="P422" s="57"/>
      <c r="Q422" s="69"/>
      <c r="R422" s="69"/>
      <c r="S422" s="23" t="str">
        <f>iferror(if(AN422=1,VLOOKUP(B422, Blends!H$4:AK$1004,32,0), ""), "")</f>
        <v/>
      </c>
      <c r="T422" s="58"/>
      <c r="U422" s="77"/>
      <c r="V422" s="77"/>
      <c r="W422" s="78"/>
      <c r="X422" s="77"/>
      <c r="Y422" s="77"/>
      <c r="Z422" s="77"/>
      <c r="AA422" s="77"/>
      <c r="AB422" s="77"/>
      <c r="AC422" s="77"/>
      <c r="AD422" s="77"/>
      <c r="AE422" s="77"/>
      <c r="AF422" s="77"/>
      <c r="AG422" s="77"/>
      <c r="AH422" s="77"/>
      <c r="AI422" s="77"/>
      <c r="AJ422" s="79"/>
      <c r="AK422" s="80"/>
      <c r="AL422" s="59"/>
      <c r="AM422" s="35"/>
      <c r="AN422" s="35"/>
      <c r="AO422" s="35"/>
      <c r="AP422" s="35"/>
      <c r="AQ422" s="35"/>
      <c r="AR422" s="35"/>
      <c r="AS422" s="35"/>
      <c r="AT422" s="35"/>
      <c r="AU422" s="35"/>
      <c r="AV422" s="35"/>
      <c r="AW422" s="35"/>
    </row>
    <row r="423">
      <c r="A423" s="17"/>
      <c r="B423" s="35"/>
      <c r="C423" s="74"/>
      <c r="D423" s="74"/>
      <c r="E423" s="74"/>
      <c r="F423" s="74"/>
      <c r="G423" s="74"/>
      <c r="H423" s="74"/>
      <c r="I423" s="74"/>
      <c r="J423" s="57"/>
      <c r="K423" s="57"/>
      <c r="L423" s="57"/>
      <c r="M423" s="57"/>
      <c r="N423" s="57"/>
      <c r="O423" s="57"/>
      <c r="P423" s="57"/>
      <c r="Q423" s="69"/>
      <c r="R423" s="69"/>
      <c r="S423" s="23" t="str">
        <f>iferror(if(AN423=1,VLOOKUP(B423, Blends!H$4:AK$1004,32,0), ""), "")</f>
        <v/>
      </c>
      <c r="T423" s="58"/>
      <c r="U423" s="77"/>
      <c r="V423" s="77"/>
      <c r="W423" s="78"/>
      <c r="X423" s="77"/>
      <c r="Y423" s="77"/>
      <c r="Z423" s="77"/>
      <c r="AA423" s="77"/>
      <c r="AB423" s="77"/>
      <c r="AC423" s="77"/>
      <c r="AD423" s="77"/>
      <c r="AE423" s="77"/>
      <c r="AF423" s="77"/>
      <c r="AG423" s="77"/>
      <c r="AH423" s="77"/>
      <c r="AI423" s="77"/>
      <c r="AJ423" s="79"/>
      <c r="AK423" s="80"/>
      <c r="AL423" s="59"/>
      <c r="AM423" s="35"/>
      <c r="AN423" s="35"/>
      <c r="AO423" s="35"/>
      <c r="AP423" s="35"/>
      <c r="AQ423" s="35"/>
      <c r="AR423" s="35"/>
      <c r="AS423" s="35"/>
      <c r="AT423" s="35"/>
      <c r="AU423" s="35"/>
      <c r="AV423" s="35"/>
      <c r="AW423" s="35"/>
    </row>
    <row r="424">
      <c r="A424" s="17"/>
      <c r="B424" s="35"/>
      <c r="C424" s="74"/>
      <c r="D424" s="74"/>
      <c r="E424" s="74"/>
      <c r="F424" s="74"/>
      <c r="G424" s="74"/>
      <c r="H424" s="74"/>
      <c r="I424" s="74"/>
      <c r="J424" s="57"/>
      <c r="K424" s="57"/>
      <c r="L424" s="57"/>
      <c r="M424" s="57"/>
      <c r="N424" s="57"/>
      <c r="O424" s="57"/>
      <c r="P424" s="57"/>
      <c r="Q424" s="69"/>
      <c r="R424" s="69"/>
      <c r="S424" s="23" t="str">
        <f>iferror(if(AN424=1,VLOOKUP(B424, Blends!H$4:AK$1004,32,0), ""), "")</f>
        <v/>
      </c>
      <c r="T424" s="58"/>
      <c r="U424" s="77"/>
      <c r="V424" s="77"/>
      <c r="W424" s="78"/>
      <c r="X424" s="77"/>
      <c r="Y424" s="77"/>
      <c r="Z424" s="77"/>
      <c r="AA424" s="77"/>
      <c r="AB424" s="77"/>
      <c r="AC424" s="77"/>
      <c r="AD424" s="77"/>
      <c r="AE424" s="77"/>
      <c r="AF424" s="77"/>
      <c r="AG424" s="77"/>
      <c r="AH424" s="77"/>
      <c r="AI424" s="77"/>
      <c r="AJ424" s="79"/>
      <c r="AK424" s="80"/>
      <c r="AL424" s="59"/>
      <c r="AM424" s="35"/>
      <c r="AN424" s="35"/>
      <c r="AO424" s="35"/>
      <c r="AP424" s="35"/>
      <c r="AQ424" s="35"/>
      <c r="AR424" s="35"/>
      <c r="AS424" s="35"/>
      <c r="AT424" s="35"/>
      <c r="AU424" s="35"/>
      <c r="AV424" s="35"/>
      <c r="AW424" s="35"/>
    </row>
    <row r="425">
      <c r="A425" s="17"/>
      <c r="B425" s="35"/>
      <c r="C425" s="74"/>
      <c r="D425" s="74"/>
      <c r="E425" s="74"/>
      <c r="F425" s="74"/>
      <c r="G425" s="74"/>
      <c r="H425" s="74"/>
      <c r="I425" s="74"/>
      <c r="J425" s="57"/>
      <c r="K425" s="57"/>
      <c r="L425" s="57"/>
      <c r="M425" s="57"/>
      <c r="N425" s="57"/>
      <c r="O425" s="57"/>
      <c r="P425" s="57"/>
      <c r="Q425" s="69"/>
      <c r="R425" s="69"/>
      <c r="S425" s="23" t="str">
        <f>iferror(if(AN425=1,VLOOKUP(B425, Blends!H$4:AK$1004,32,0), ""), "")</f>
        <v/>
      </c>
      <c r="T425" s="58"/>
      <c r="U425" s="77"/>
      <c r="V425" s="77"/>
      <c r="W425" s="78"/>
      <c r="X425" s="77"/>
      <c r="Y425" s="77"/>
      <c r="Z425" s="77"/>
      <c r="AA425" s="77"/>
      <c r="AB425" s="77"/>
      <c r="AC425" s="77"/>
      <c r="AD425" s="77"/>
      <c r="AE425" s="77"/>
      <c r="AF425" s="77"/>
      <c r="AG425" s="77"/>
      <c r="AH425" s="77"/>
      <c r="AI425" s="77"/>
      <c r="AJ425" s="79"/>
      <c r="AK425" s="80"/>
      <c r="AL425" s="59"/>
      <c r="AM425" s="35"/>
      <c r="AN425" s="35"/>
      <c r="AO425" s="35"/>
      <c r="AP425" s="35"/>
      <c r="AQ425" s="35"/>
      <c r="AR425" s="35"/>
      <c r="AS425" s="35"/>
      <c r="AT425" s="35"/>
      <c r="AU425" s="35"/>
      <c r="AV425" s="35"/>
      <c r="AW425" s="35"/>
    </row>
    <row r="426">
      <c r="A426" s="17"/>
      <c r="B426" s="35"/>
      <c r="C426" s="74"/>
      <c r="D426" s="74"/>
      <c r="E426" s="74"/>
      <c r="F426" s="74"/>
      <c r="G426" s="74"/>
      <c r="H426" s="74"/>
      <c r="I426" s="74"/>
      <c r="J426" s="57"/>
      <c r="K426" s="57"/>
      <c r="L426" s="57"/>
      <c r="M426" s="57"/>
      <c r="N426" s="57"/>
      <c r="O426" s="57"/>
      <c r="P426" s="57"/>
      <c r="Q426" s="69"/>
      <c r="R426" s="69"/>
      <c r="S426" s="23" t="str">
        <f>iferror(if(AN426=1,VLOOKUP(B426, Blends!H$4:AK$1004,32,0), ""), "")</f>
        <v/>
      </c>
      <c r="T426" s="58"/>
      <c r="U426" s="77"/>
      <c r="V426" s="77"/>
      <c r="W426" s="78"/>
      <c r="X426" s="77"/>
      <c r="Y426" s="77"/>
      <c r="Z426" s="77"/>
      <c r="AA426" s="77"/>
      <c r="AB426" s="77"/>
      <c r="AC426" s="77"/>
      <c r="AD426" s="77"/>
      <c r="AE426" s="77"/>
      <c r="AF426" s="77"/>
      <c r="AG426" s="77"/>
      <c r="AH426" s="77"/>
      <c r="AI426" s="77"/>
      <c r="AJ426" s="79"/>
      <c r="AK426" s="80"/>
      <c r="AL426" s="59"/>
      <c r="AM426" s="35"/>
      <c r="AN426" s="35"/>
      <c r="AO426" s="35"/>
      <c r="AP426" s="35"/>
      <c r="AQ426" s="35"/>
      <c r="AR426" s="35"/>
      <c r="AS426" s="35"/>
      <c r="AT426" s="35"/>
      <c r="AU426" s="35"/>
      <c r="AV426" s="35"/>
      <c r="AW426" s="35"/>
    </row>
    <row r="427">
      <c r="A427" s="17"/>
      <c r="B427" s="35"/>
      <c r="C427" s="74"/>
      <c r="D427" s="74"/>
      <c r="E427" s="74"/>
      <c r="F427" s="74"/>
      <c r="G427" s="74"/>
      <c r="H427" s="74"/>
      <c r="I427" s="74"/>
      <c r="J427" s="57"/>
      <c r="K427" s="57"/>
      <c r="L427" s="57"/>
      <c r="M427" s="57"/>
      <c r="N427" s="57"/>
      <c r="O427" s="57"/>
      <c r="P427" s="57"/>
      <c r="Q427" s="69"/>
      <c r="R427" s="69"/>
      <c r="S427" s="23" t="str">
        <f>iferror(if(AN427=1,VLOOKUP(B427, Blends!H$4:AK$1004,32,0), ""), "")</f>
        <v/>
      </c>
      <c r="T427" s="58"/>
      <c r="U427" s="77"/>
      <c r="V427" s="77"/>
      <c r="W427" s="78"/>
      <c r="X427" s="77"/>
      <c r="Y427" s="77"/>
      <c r="Z427" s="77"/>
      <c r="AA427" s="77"/>
      <c r="AB427" s="77"/>
      <c r="AC427" s="77"/>
      <c r="AD427" s="77"/>
      <c r="AE427" s="77"/>
      <c r="AF427" s="77"/>
      <c r="AG427" s="77"/>
      <c r="AH427" s="77"/>
      <c r="AI427" s="77"/>
      <c r="AJ427" s="79"/>
      <c r="AK427" s="80"/>
      <c r="AL427" s="59"/>
      <c r="AM427" s="35"/>
      <c r="AN427" s="35"/>
      <c r="AO427" s="35"/>
      <c r="AP427" s="35"/>
      <c r="AQ427" s="35"/>
      <c r="AR427" s="35"/>
      <c r="AS427" s="35"/>
      <c r="AT427" s="35"/>
      <c r="AU427" s="35"/>
      <c r="AV427" s="35"/>
      <c r="AW427" s="35"/>
    </row>
    <row r="428">
      <c r="A428" s="17"/>
      <c r="B428" s="35"/>
      <c r="C428" s="74"/>
      <c r="D428" s="74"/>
      <c r="E428" s="74"/>
      <c r="F428" s="74"/>
      <c r="G428" s="74"/>
      <c r="H428" s="74"/>
      <c r="I428" s="74"/>
      <c r="J428" s="57"/>
      <c r="K428" s="57"/>
      <c r="L428" s="57"/>
      <c r="M428" s="57"/>
      <c r="N428" s="57"/>
      <c r="O428" s="57"/>
      <c r="P428" s="57"/>
      <c r="Q428" s="69"/>
      <c r="R428" s="69"/>
      <c r="S428" s="23" t="str">
        <f>iferror(if(AN428=1,VLOOKUP(B428, Blends!H$4:AK$1004,32,0), ""), "")</f>
        <v/>
      </c>
      <c r="T428" s="58"/>
      <c r="U428" s="77"/>
      <c r="V428" s="77"/>
      <c r="W428" s="78"/>
      <c r="X428" s="77"/>
      <c r="Y428" s="77"/>
      <c r="Z428" s="77"/>
      <c r="AA428" s="77"/>
      <c r="AB428" s="77"/>
      <c r="AC428" s="77"/>
      <c r="AD428" s="77"/>
      <c r="AE428" s="77"/>
      <c r="AF428" s="77"/>
      <c r="AG428" s="77"/>
      <c r="AH428" s="77"/>
      <c r="AI428" s="77"/>
      <c r="AJ428" s="79"/>
      <c r="AK428" s="80"/>
      <c r="AL428" s="59"/>
      <c r="AM428" s="35"/>
      <c r="AN428" s="35"/>
      <c r="AO428" s="35"/>
      <c r="AP428" s="35"/>
      <c r="AQ428" s="35"/>
      <c r="AR428" s="35"/>
      <c r="AS428" s="35"/>
      <c r="AT428" s="35"/>
      <c r="AU428" s="35"/>
      <c r="AV428" s="35"/>
      <c r="AW428" s="35"/>
    </row>
    <row r="429">
      <c r="A429" s="17"/>
      <c r="B429" s="35"/>
      <c r="C429" s="74"/>
      <c r="D429" s="74"/>
      <c r="E429" s="74"/>
      <c r="F429" s="74"/>
      <c r="G429" s="74"/>
      <c r="H429" s="74"/>
      <c r="I429" s="74"/>
      <c r="J429" s="57"/>
      <c r="K429" s="57"/>
      <c r="L429" s="57"/>
      <c r="M429" s="57"/>
      <c r="N429" s="57"/>
      <c r="O429" s="57"/>
      <c r="P429" s="57"/>
      <c r="Q429" s="69"/>
      <c r="R429" s="69"/>
      <c r="S429" s="23" t="str">
        <f>iferror(if(AN429=1,VLOOKUP(B429, Blends!H$4:AK$1004,32,0), ""), "")</f>
        <v/>
      </c>
      <c r="T429" s="58"/>
      <c r="U429" s="77"/>
      <c r="V429" s="77"/>
      <c r="W429" s="78"/>
      <c r="X429" s="77"/>
      <c r="Y429" s="77"/>
      <c r="Z429" s="77"/>
      <c r="AA429" s="77"/>
      <c r="AB429" s="77"/>
      <c r="AC429" s="77"/>
      <c r="AD429" s="77"/>
      <c r="AE429" s="77"/>
      <c r="AF429" s="77"/>
      <c r="AG429" s="77"/>
      <c r="AH429" s="77"/>
      <c r="AI429" s="77"/>
      <c r="AJ429" s="79"/>
      <c r="AK429" s="80"/>
      <c r="AL429" s="59"/>
      <c r="AM429" s="35"/>
      <c r="AN429" s="35"/>
      <c r="AO429" s="35"/>
      <c r="AP429" s="35"/>
      <c r="AQ429" s="35"/>
      <c r="AR429" s="35"/>
      <c r="AS429" s="35"/>
      <c r="AT429" s="35"/>
      <c r="AU429" s="35"/>
      <c r="AV429" s="35"/>
      <c r="AW429" s="35"/>
    </row>
    <row r="430">
      <c r="A430" s="17"/>
      <c r="B430" s="35"/>
      <c r="C430" s="74"/>
      <c r="D430" s="74"/>
      <c r="E430" s="74"/>
      <c r="F430" s="74"/>
      <c r="G430" s="74"/>
      <c r="H430" s="74"/>
      <c r="I430" s="74"/>
      <c r="J430" s="57"/>
      <c r="K430" s="57"/>
      <c r="L430" s="57"/>
      <c r="M430" s="57"/>
      <c r="N430" s="57"/>
      <c r="O430" s="57"/>
      <c r="P430" s="57"/>
      <c r="Q430" s="69"/>
      <c r="R430" s="69"/>
      <c r="S430" s="23" t="str">
        <f>iferror(if(AN430=1,VLOOKUP(B430, Blends!H$4:AK$1004,32,0), ""), "")</f>
        <v/>
      </c>
      <c r="T430" s="58"/>
      <c r="U430" s="77"/>
      <c r="V430" s="77"/>
      <c r="W430" s="78"/>
      <c r="X430" s="77"/>
      <c r="Y430" s="77"/>
      <c r="Z430" s="77"/>
      <c r="AA430" s="77"/>
      <c r="AB430" s="77"/>
      <c r="AC430" s="77"/>
      <c r="AD430" s="77"/>
      <c r="AE430" s="77"/>
      <c r="AF430" s="77"/>
      <c r="AG430" s="77"/>
      <c r="AH430" s="77"/>
      <c r="AI430" s="77"/>
      <c r="AJ430" s="79"/>
      <c r="AK430" s="80"/>
      <c r="AL430" s="59"/>
      <c r="AM430" s="35"/>
      <c r="AN430" s="35"/>
      <c r="AO430" s="35"/>
      <c r="AP430" s="35"/>
      <c r="AQ430" s="35"/>
      <c r="AR430" s="35"/>
      <c r="AS430" s="35"/>
      <c r="AT430" s="35"/>
      <c r="AU430" s="35"/>
      <c r="AV430" s="35"/>
      <c r="AW430" s="35"/>
    </row>
    <row r="431">
      <c r="A431" s="17"/>
      <c r="B431" s="35"/>
      <c r="C431" s="74"/>
      <c r="D431" s="74"/>
      <c r="E431" s="74"/>
      <c r="F431" s="74"/>
      <c r="G431" s="74"/>
      <c r="H431" s="74"/>
      <c r="I431" s="74"/>
      <c r="J431" s="57"/>
      <c r="K431" s="57"/>
      <c r="L431" s="57"/>
      <c r="M431" s="57"/>
      <c r="N431" s="57"/>
      <c r="O431" s="57"/>
      <c r="P431" s="57"/>
      <c r="Q431" s="69"/>
      <c r="R431" s="69"/>
      <c r="S431" s="23" t="str">
        <f>iferror(if(AN431=1,VLOOKUP(B431, Blends!H$4:AK$1004,32,0), ""), "")</f>
        <v/>
      </c>
      <c r="T431" s="58"/>
      <c r="U431" s="77"/>
      <c r="V431" s="77"/>
      <c r="W431" s="78"/>
      <c r="X431" s="77"/>
      <c r="Y431" s="77"/>
      <c r="Z431" s="77"/>
      <c r="AA431" s="77"/>
      <c r="AB431" s="77"/>
      <c r="AC431" s="77"/>
      <c r="AD431" s="77"/>
      <c r="AE431" s="77"/>
      <c r="AF431" s="77"/>
      <c r="AG431" s="77"/>
      <c r="AH431" s="77"/>
      <c r="AI431" s="77"/>
      <c r="AJ431" s="79"/>
      <c r="AK431" s="80"/>
      <c r="AL431" s="59"/>
      <c r="AM431" s="35"/>
      <c r="AN431" s="35"/>
      <c r="AO431" s="35"/>
      <c r="AP431" s="35"/>
      <c r="AQ431" s="35"/>
      <c r="AR431" s="35"/>
      <c r="AS431" s="35"/>
      <c r="AT431" s="35"/>
      <c r="AU431" s="35"/>
      <c r="AV431" s="35"/>
      <c r="AW431" s="35"/>
    </row>
    <row r="432">
      <c r="A432" s="17"/>
      <c r="B432" s="35"/>
      <c r="C432" s="74"/>
      <c r="D432" s="74"/>
      <c r="E432" s="74"/>
      <c r="F432" s="74"/>
      <c r="G432" s="74"/>
      <c r="H432" s="74"/>
      <c r="I432" s="74"/>
      <c r="J432" s="57"/>
      <c r="K432" s="57"/>
      <c r="L432" s="57"/>
      <c r="M432" s="57"/>
      <c r="N432" s="57"/>
      <c r="O432" s="57"/>
      <c r="P432" s="57"/>
      <c r="Q432" s="69"/>
      <c r="R432" s="69"/>
      <c r="S432" s="23" t="str">
        <f>iferror(if(AN432=1,VLOOKUP(B432, Blends!H$4:AK$1004,32,0), ""), "")</f>
        <v/>
      </c>
      <c r="T432" s="58"/>
      <c r="U432" s="77"/>
      <c r="V432" s="77"/>
      <c r="W432" s="78"/>
      <c r="X432" s="77"/>
      <c r="Y432" s="77"/>
      <c r="Z432" s="77"/>
      <c r="AA432" s="77"/>
      <c r="AB432" s="77"/>
      <c r="AC432" s="77"/>
      <c r="AD432" s="77"/>
      <c r="AE432" s="77"/>
      <c r="AF432" s="77"/>
      <c r="AG432" s="77"/>
      <c r="AH432" s="77"/>
      <c r="AI432" s="77"/>
      <c r="AJ432" s="79"/>
      <c r="AK432" s="80"/>
      <c r="AL432" s="59"/>
      <c r="AM432" s="35"/>
      <c r="AN432" s="35"/>
      <c r="AO432" s="35"/>
      <c r="AP432" s="35"/>
      <c r="AQ432" s="35"/>
      <c r="AR432" s="35"/>
      <c r="AS432" s="35"/>
      <c r="AT432" s="35"/>
      <c r="AU432" s="35"/>
      <c r="AV432" s="35"/>
      <c r="AW432" s="35"/>
    </row>
    <row r="433">
      <c r="A433" s="17"/>
      <c r="B433" s="35"/>
      <c r="C433" s="74"/>
      <c r="D433" s="74"/>
      <c r="E433" s="74"/>
      <c r="F433" s="74"/>
      <c r="G433" s="74"/>
      <c r="H433" s="74"/>
      <c r="I433" s="74"/>
      <c r="J433" s="57"/>
      <c r="K433" s="57"/>
      <c r="L433" s="57"/>
      <c r="M433" s="57"/>
      <c r="N433" s="57"/>
      <c r="O433" s="57"/>
      <c r="P433" s="57"/>
      <c r="Q433" s="69"/>
      <c r="R433" s="69"/>
      <c r="S433" s="23" t="str">
        <f>iferror(if(AN433=1,VLOOKUP(B433, Blends!H$4:AK$1004,32,0), ""), "")</f>
        <v/>
      </c>
      <c r="T433" s="58"/>
      <c r="U433" s="77"/>
      <c r="V433" s="77"/>
      <c r="W433" s="78"/>
      <c r="X433" s="77"/>
      <c r="Y433" s="77"/>
      <c r="Z433" s="77"/>
      <c r="AA433" s="77"/>
      <c r="AB433" s="77"/>
      <c r="AC433" s="77"/>
      <c r="AD433" s="77"/>
      <c r="AE433" s="77"/>
      <c r="AF433" s="77"/>
      <c r="AG433" s="77"/>
      <c r="AH433" s="77"/>
      <c r="AI433" s="77"/>
      <c r="AJ433" s="79"/>
      <c r="AK433" s="80"/>
      <c r="AL433" s="59"/>
      <c r="AM433" s="35"/>
      <c r="AN433" s="35"/>
      <c r="AO433" s="35"/>
      <c r="AP433" s="35"/>
      <c r="AQ433" s="35"/>
      <c r="AR433" s="35"/>
      <c r="AS433" s="35"/>
      <c r="AT433" s="35"/>
      <c r="AU433" s="35"/>
      <c r="AV433" s="35"/>
      <c r="AW433" s="35"/>
    </row>
    <row r="434">
      <c r="A434" s="17"/>
      <c r="B434" s="35"/>
      <c r="C434" s="74"/>
      <c r="D434" s="74"/>
      <c r="E434" s="74"/>
      <c r="F434" s="74"/>
      <c r="G434" s="74"/>
      <c r="H434" s="74"/>
      <c r="I434" s="74"/>
      <c r="J434" s="57"/>
      <c r="K434" s="57"/>
      <c r="L434" s="57"/>
      <c r="M434" s="57"/>
      <c r="N434" s="57"/>
      <c r="O434" s="57"/>
      <c r="P434" s="57"/>
      <c r="Q434" s="69"/>
      <c r="R434" s="69"/>
      <c r="S434" s="23" t="str">
        <f>iferror(if(AN434=1,VLOOKUP(B434, Blends!H$4:AK$1004,32,0), ""), "")</f>
        <v/>
      </c>
      <c r="T434" s="58"/>
      <c r="U434" s="77"/>
      <c r="V434" s="77"/>
      <c r="W434" s="78"/>
      <c r="X434" s="77"/>
      <c r="Y434" s="77"/>
      <c r="Z434" s="77"/>
      <c r="AA434" s="77"/>
      <c r="AB434" s="77"/>
      <c r="AC434" s="77"/>
      <c r="AD434" s="77"/>
      <c r="AE434" s="77"/>
      <c r="AF434" s="77"/>
      <c r="AG434" s="77"/>
      <c r="AH434" s="77"/>
      <c r="AI434" s="77"/>
      <c r="AJ434" s="79"/>
      <c r="AK434" s="80"/>
      <c r="AL434" s="59"/>
      <c r="AM434" s="35"/>
      <c r="AN434" s="35"/>
      <c r="AO434" s="35"/>
      <c r="AP434" s="35"/>
      <c r="AQ434" s="35"/>
      <c r="AR434" s="35"/>
      <c r="AS434" s="35"/>
      <c r="AT434" s="35"/>
      <c r="AU434" s="35"/>
      <c r="AV434" s="35"/>
      <c r="AW434" s="35"/>
    </row>
    <row r="435">
      <c r="A435" s="17"/>
      <c r="B435" s="35"/>
      <c r="C435" s="74"/>
      <c r="D435" s="74"/>
      <c r="E435" s="74"/>
      <c r="F435" s="74"/>
      <c r="G435" s="74"/>
      <c r="H435" s="74"/>
      <c r="I435" s="74"/>
      <c r="J435" s="57"/>
      <c r="K435" s="57"/>
      <c r="L435" s="57"/>
      <c r="M435" s="57"/>
      <c r="N435" s="57"/>
      <c r="O435" s="57"/>
      <c r="P435" s="57"/>
      <c r="Q435" s="69"/>
      <c r="R435" s="69"/>
      <c r="S435" s="23" t="str">
        <f>iferror(if(AN435=1,VLOOKUP(B435, Blends!H$4:AK$1004,32,0), ""), "")</f>
        <v/>
      </c>
      <c r="T435" s="58"/>
      <c r="U435" s="77"/>
      <c r="V435" s="77"/>
      <c r="W435" s="78"/>
      <c r="X435" s="77"/>
      <c r="Y435" s="77"/>
      <c r="Z435" s="77"/>
      <c r="AA435" s="77"/>
      <c r="AB435" s="77"/>
      <c r="AC435" s="77"/>
      <c r="AD435" s="77"/>
      <c r="AE435" s="77"/>
      <c r="AF435" s="77"/>
      <c r="AG435" s="77"/>
      <c r="AH435" s="77"/>
      <c r="AI435" s="77"/>
      <c r="AJ435" s="79"/>
      <c r="AK435" s="80"/>
      <c r="AL435" s="59"/>
      <c r="AM435" s="35"/>
      <c r="AN435" s="35"/>
      <c r="AO435" s="35"/>
      <c r="AP435" s="35"/>
      <c r="AQ435" s="35"/>
      <c r="AR435" s="35"/>
      <c r="AS435" s="35"/>
      <c r="AT435" s="35"/>
      <c r="AU435" s="35"/>
      <c r="AV435" s="35"/>
      <c r="AW435" s="35"/>
    </row>
    <row r="436">
      <c r="A436" s="17"/>
      <c r="B436" s="35"/>
      <c r="C436" s="74"/>
      <c r="D436" s="74"/>
      <c r="E436" s="74"/>
      <c r="F436" s="74"/>
      <c r="G436" s="74"/>
      <c r="H436" s="74"/>
      <c r="I436" s="74"/>
      <c r="J436" s="57"/>
      <c r="K436" s="57"/>
      <c r="L436" s="57"/>
      <c r="M436" s="57"/>
      <c r="N436" s="57"/>
      <c r="O436" s="57"/>
      <c r="P436" s="57"/>
      <c r="Q436" s="69"/>
      <c r="R436" s="69"/>
      <c r="S436" s="23" t="str">
        <f>iferror(if(AN436=1,VLOOKUP(B436, Blends!H$4:AK$1004,32,0), ""), "")</f>
        <v/>
      </c>
      <c r="T436" s="58"/>
      <c r="U436" s="77"/>
      <c r="V436" s="77"/>
      <c r="W436" s="78"/>
      <c r="X436" s="77"/>
      <c r="Y436" s="77"/>
      <c r="Z436" s="77"/>
      <c r="AA436" s="77"/>
      <c r="AB436" s="77"/>
      <c r="AC436" s="77"/>
      <c r="AD436" s="77"/>
      <c r="AE436" s="77"/>
      <c r="AF436" s="77"/>
      <c r="AG436" s="77"/>
      <c r="AH436" s="77"/>
      <c r="AI436" s="77"/>
      <c r="AJ436" s="79"/>
      <c r="AK436" s="80"/>
      <c r="AL436" s="59"/>
      <c r="AM436" s="35"/>
      <c r="AN436" s="35"/>
      <c r="AO436" s="35"/>
      <c r="AP436" s="35"/>
      <c r="AQ436" s="35"/>
      <c r="AR436" s="35"/>
      <c r="AS436" s="35"/>
      <c r="AT436" s="35"/>
      <c r="AU436" s="35"/>
      <c r="AV436" s="35"/>
      <c r="AW436" s="35"/>
    </row>
    <row r="437">
      <c r="A437" s="17"/>
      <c r="B437" s="35"/>
      <c r="C437" s="74"/>
      <c r="D437" s="74"/>
      <c r="E437" s="74"/>
      <c r="F437" s="74"/>
      <c r="G437" s="74"/>
      <c r="H437" s="74"/>
      <c r="I437" s="74"/>
      <c r="J437" s="57"/>
      <c r="K437" s="57"/>
      <c r="L437" s="57"/>
      <c r="M437" s="57"/>
      <c r="N437" s="57"/>
      <c r="O437" s="57"/>
      <c r="P437" s="57"/>
      <c r="Q437" s="69"/>
      <c r="R437" s="69"/>
      <c r="S437" s="23" t="str">
        <f>iferror(if(AN437=1,VLOOKUP(B437, Blends!H$4:AK$1004,32,0), ""), "")</f>
        <v/>
      </c>
      <c r="T437" s="58"/>
      <c r="U437" s="77"/>
      <c r="V437" s="77"/>
      <c r="W437" s="78"/>
      <c r="X437" s="77"/>
      <c r="Y437" s="77"/>
      <c r="Z437" s="77"/>
      <c r="AA437" s="77"/>
      <c r="AB437" s="77"/>
      <c r="AC437" s="77"/>
      <c r="AD437" s="77"/>
      <c r="AE437" s="77"/>
      <c r="AF437" s="77"/>
      <c r="AG437" s="77"/>
      <c r="AH437" s="77"/>
      <c r="AI437" s="77"/>
      <c r="AJ437" s="79"/>
      <c r="AK437" s="80"/>
      <c r="AL437" s="59"/>
      <c r="AM437" s="35"/>
      <c r="AN437" s="35"/>
      <c r="AO437" s="35"/>
      <c r="AP437" s="35"/>
      <c r="AQ437" s="35"/>
      <c r="AR437" s="35"/>
      <c r="AS437" s="35"/>
      <c r="AT437" s="35"/>
      <c r="AU437" s="35"/>
      <c r="AV437" s="35"/>
      <c r="AW437" s="35"/>
    </row>
    <row r="438">
      <c r="A438" s="17"/>
      <c r="B438" s="35"/>
      <c r="C438" s="74"/>
      <c r="D438" s="74"/>
      <c r="E438" s="74"/>
      <c r="F438" s="74"/>
      <c r="G438" s="74"/>
      <c r="H438" s="74"/>
      <c r="I438" s="74"/>
      <c r="J438" s="57"/>
      <c r="K438" s="57"/>
      <c r="L438" s="57"/>
      <c r="M438" s="57"/>
      <c r="N438" s="57"/>
      <c r="O438" s="57"/>
      <c r="P438" s="57"/>
      <c r="Q438" s="69"/>
      <c r="R438" s="69"/>
      <c r="S438" s="23" t="str">
        <f>iferror(if(AN438=1,VLOOKUP(B438, Blends!H$4:AK$1004,32,0), ""), "")</f>
        <v/>
      </c>
      <c r="T438" s="58"/>
      <c r="U438" s="77"/>
      <c r="V438" s="77"/>
      <c r="W438" s="78"/>
      <c r="X438" s="77"/>
      <c r="Y438" s="77"/>
      <c r="Z438" s="77"/>
      <c r="AA438" s="77"/>
      <c r="AB438" s="77"/>
      <c r="AC438" s="77"/>
      <c r="AD438" s="77"/>
      <c r="AE438" s="77"/>
      <c r="AF438" s="77"/>
      <c r="AG438" s="77"/>
      <c r="AH438" s="77"/>
      <c r="AI438" s="77"/>
      <c r="AJ438" s="79"/>
      <c r="AK438" s="80"/>
      <c r="AL438" s="59"/>
      <c r="AM438" s="35"/>
      <c r="AN438" s="35"/>
      <c r="AO438" s="35"/>
      <c r="AP438" s="35"/>
      <c r="AQ438" s="35"/>
      <c r="AR438" s="35"/>
      <c r="AS438" s="35"/>
      <c r="AT438" s="35"/>
      <c r="AU438" s="35"/>
      <c r="AV438" s="35"/>
      <c r="AW438" s="35"/>
    </row>
    <row r="439">
      <c r="A439" s="17"/>
      <c r="B439" s="35"/>
      <c r="C439" s="74"/>
      <c r="D439" s="74"/>
      <c r="E439" s="74"/>
      <c r="F439" s="74"/>
      <c r="G439" s="74"/>
      <c r="H439" s="74"/>
      <c r="I439" s="74"/>
      <c r="J439" s="57"/>
      <c r="K439" s="57"/>
      <c r="L439" s="57"/>
      <c r="M439" s="57"/>
      <c r="N439" s="57"/>
      <c r="O439" s="57"/>
      <c r="P439" s="57"/>
      <c r="Q439" s="69"/>
      <c r="R439" s="69"/>
      <c r="S439" s="23" t="str">
        <f>iferror(if(AN439=1,VLOOKUP(B439, Blends!H$4:AK$1004,32,0), ""), "")</f>
        <v/>
      </c>
      <c r="T439" s="58"/>
      <c r="U439" s="77"/>
      <c r="V439" s="77"/>
      <c r="W439" s="78"/>
      <c r="X439" s="77"/>
      <c r="Y439" s="77"/>
      <c r="Z439" s="77"/>
      <c r="AA439" s="77"/>
      <c r="AB439" s="77"/>
      <c r="AC439" s="77"/>
      <c r="AD439" s="77"/>
      <c r="AE439" s="77"/>
      <c r="AF439" s="77"/>
      <c r="AG439" s="77"/>
      <c r="AH439" s="77"/>
      <c r="AI439" s="77"/>
      <c r="AJ439" s="79"/>
      <c r="AK439" s="80"/>
      <c r="AL439" s="59"/>
      <c r="AM439" s="35"/>
      <c r="AN439" s="35"/>
      <c r="AO439" s="35"/>
      <c r="AP439" s="35"/>
      <c r="AQ439" s="35"/>
      <c r="AR439" s="35"/>
      <c r="AS439" s="35"/>
      <c r="AT439" s="35"/>
      <c r="AU439" s="35"/>
      <c r="AV439" s="35"/>
      <c r="AW439" s="35"/>
    </row>
    <row r="440">
      <c r="A440" s="17"/>
      <c r="B440" s="35"/>
      <c r="C440" s="74"/>
      <c r="D440" s="74"/>
      <c r="E440" s="74"/>
      <c r="F440" s="74"/>
      <c r="G440" s="74"/>
      <c r="H440" s="74"/>
      <c r="I440" s="74"/>
      <c r="J440" s="57"/>
      <c r="K440" s="57"/>
      <c r="L440" s="57"/>
      <c r="M440" s="57"/>
      <c r="N440" s="57"/>
      <c r="O440" s="57"/>
      <c r="P440" s="57"/>
      <c r="Q440" s="69"/>
      <c r="R440" s="69"/>
      <c r="S440" s="23" t="str">
        <f>iferror(if(AN440=1,VLOOKUP(B440, Blends!H$4:AK$1004,32,0), ""), "")</f>
        <v/>
      </c>
      <c r="T440" s="58"/>
      <c r="U440" s="77"/>
      <c r="V440" s="77"/>
      <c r="W440" s="78"/>
      <c r="X440" s="77"/>
      <c r="Y440" s="77"/>
      <c r="Z440" s="77"/>
      <c r="AA440" s="77"/>
      <c r="AB440" s="77"/>
      <c r="AC440" s="77"/>
      <c r="AD440" s="77"/>
      <c r="AE440" s="77"/>
      <c r="AF440" s="77"/>
      <c r="AG440" s="77"/>
      <c r="AH440" s="77"/>
      <c r="AI440" s="77"/>
      <c r="AJ440" s="79"/>
      <c r="AK440" s="80"/>
      <c r="AL440" s="59"/>
      <c r="AM440" s="35"/>
      <c r="AN440" s="35"/>
      <c r="AO440" s="35"/>
      <c r="AP440" s="35"/>
      <c r="AQ440" s="35"/>
      <c r="AR440" s="35"/>
      <c r="AS440" s="35"/>
      <c r="AT440" s="35"/>
      <c r="AU440" s="35"/>
      <c r="AV440" s="35"/>
      <c r="AW440" s="35"/>
    </row>
    <row r="441">
      <c r="A441" s="17"/>
      <c r="B441" s="35"/>
      <c r="C441" s="74"/>
      <c r="D441" s="74"/>
      <c r="E441" s="74"/>
      <c r="F441" s="74"/>
      <c r="G441" s="74"/>
      <c r="H441" s="74"/>
      <c r="I441" s="74"/>
      <c r="J441" s="57"/>
      <c r="K441" s="57"/>
      <c r="L441" s="57"/>
      <c r="M441" s="57"/>
      <c r="N441" s="57"/>
      <c r="O441" s="57"/>
      <c r="P441" s="57"/>
      <c r="Q441" s="69"/>
      <c r="R441" s="69"/>
      <c r="S441" s="23" t="str">
        <f>iferror(if(AN441=1,VLOOKUP(B441, Blends!H$4:AK$1004,32,0), ""), "")</f>
        <v/>
      </c>
      <c r="T441" s="58"/>
      <c r="U441" s="77"/>
      <c r="V441" s="77"/>
      <c r="W441" s="78"/>
      <c r="X441" s="77"/>
      <c r="Y441" s="77"/>
      <c r="Z441" s="77"/>
      <c r="AA441" s="77"/>
      <c r="AB441" s="77"/>
      <c r="AC441" s="77"/>
      <c r="AD441" s="77"/>
      <c r="AE441" s="77"/>
      <c r="AF441" s="77"/>
      <c r="AG441" s="77"/>
      <c r="AH441" s="77"/>
      <c r="AI441" s="77"/>
      <c r="AJ441" s="79"/>
      <c r="AK441" s="80"/>
      <c r="AL441" s="59"/>
      <c r="AM441" s="35"/>
      <c r="AN441" s="35"/>
      <c r="AO441" s="35"/>
      <c r="AP441" s="35"/>
      <c r="AQ441" s="35"/>
      <c r="AR441" s="35"/>
      <c r="AS441" s="35"/>
      <c r="AT441" s="35"/>
      <c r="AU441" s="35"/>
      <c r="AV441" s="35"/>
      <c r="AW441" s="35"/>
    </row>
    <row r="442">
      <c r="A442" s="17"/>
      <c r="B442" s="35"/>
      <c r="C442" s="74"/>
      <c r="D442" s="74"/>
      <c r="E442" s="74"/>
      <c r="F442" s="74"/>
      <c r="G442" s="74"/>
      <c r="H442" s="74"/>
      <c r="I442" s="74"/>
      <c r="J442" s="57"/>
      <c r="K442" s="57"/>
      <c r="L442" s="57"/>
      <c r="M442" s="57"/>
      <c r="N442" s="57"/>
      <c r="O442" s="57"/>
      <c r="P442" s="57"/>
      <c r="Q442" s="69"/>
      <c r="R442" s="69"/>
      <c r="S442" s="23" t="str">
        <f>iferror(if(AN442=1,VLOOKUP(B442, Blends!H$4:AK$1004,32,0), ""), "")</f>
        <v/>
      </c>
      <c r="T442" s="58"/>
      <c r="U442" s="77"/>
      <c r="V442" s="77"/>
      <c r="W442" s="78"/>
      <c r="X442" s="77"/>
      <c r="Y442" s="77"/>
      <c r="Z442" s="77"/>
      <c r="AA442" s="77"/>
      <c r="AB442" s="77"/>
      <c r="AC442" s="77"/>
      <c r="AD442" s="77"/>
      <c r="AE442" s="77"/>
      <c r="AF442" s="77"/>
      <c r="AG442" s="77"/>
      <c r="AH442" s="77"/>
      <c r="AI442" s="77"/>
      <c r="AJ442" s="79"/>
      <c r="AK442" s="80"/>
      <c r="AL442" s="59"/>
      <c r="AM442" s="35"/>
      <c r="AN442" s="35"/>
      <c r="AO442" s="35"/>
      <c r="AP442" s="35"/>
      <c r="AQ442" s="35"/>
      <c r="AR442" s="35"/>
      <c r="AS442" s="35"/>
      <c r="AT442" s="35"/>
      <c r="AU442" s="35"/>
      <c r="AV442" s="35"/>
      <c r="AW442" s="35"/>
    </row>
    <row r="443">
      <c r="A443" s="17"/>
      <c r="B443" s="35"/>
      <c r="C443" s="74"/>
      <c r="D443" s="74"/>
      <c r="E443" s="74"/>
      <c r="F443" s="74"/>
      <c r="G443" s="74"/>
      <c r="H443" s="74"/>
      <c r="I443" s="74"/>
      <c r="J443" s="57"/>
      <c r="K443" s="57"/>
      <c r="L443" s="57"/>
      <c r="M443" s="57"/>
      <c r="N443" s="57"/>
      <c r="O443" s="57"/>
      <c r="P443" s="57"/>
      <c r="Q443" s="69"/>
      <c r="R443" s="69"/>
      <c r="S443" s="23" t="str">
        <f>iferror(if(AN443=1,VLOOKUP(B443, Blends!H$4:AK$1004,32,0), ""), "")</f>
        <v/>
      </c>
      <c r="T443" s="58"/>
      <c r="U443" s="77"/>
      <c r="V443" s="77"/>
      <c r="W443" s="78"/>
      <c r="X443" s="77"/>
      <c r="Y443" s="77"/>
      <c r="Z443" s="77"/>
      <c r="AA443" s="77"/>
      <c r="AB443" s="77"/>
      <c r="AC443" s="77"/>
      <c r="AD443" s="77"/>
      <c r="AE443" s="77"/>
      <c r="AF443" s="77"/>
      <c r="AG443" s="77"/>
      <c r="AH443" s="77"/>
      <c r="AI443" s="77"/>
      <c r="AJ443" s="79"/>
      <c r="AK443" s="80"/>
      <c r="AL443" s="59"/>
      <c r="AM443" s="35"/>
      <c r="AN443" s="35"/>
      <c r="AO443" s="35"/>
      <c r="AP443" s="35"/>
      <c r="AQ443" s="35"/>
      <c r="AR443" s="35"/>
      <c r="AS443" s="35"/>
      <c r="AT443" s="35"/>
      <c r="AU443" s="35"/>
      <c r="AV443" s="35"/>
      <c r="AW443" s="35"/>
    </row>
    <row r="444">
      <c r="A444" s="17"/>
      <c r="B444" s="35"/>
      <c r="C444" s="74"/>
      <c r="D444" s="74"/>
      <c r="E444" s="74"/>
      <c r="F444" s="74"/>
      <c r="G444" s="74"/>
      <c r="H444" s="74"/>
      <c r="I444" s="74"/>
      <c r="J444" s="57"/>
      <c r="K444" s="57"/>
      <c r="L444" s="57"/>
      <c r="M444" s="57"/>
      <c r="N444" s="57"/>
      <c r="O444" s="57"/>
      <c r="P444" s="57"/>
      <c r="Q444" s="69"/>
      <c r="R444" s="69"/>
      <c r="S444" s="23" t="str">
        <f>iferror(if(AN444=1,VLOOKUP(B444, Blends!H$4:AK$1004,32,0), ""), "")</f>
        <v/>
      </c>
      <c r="T444" s="58"/>
      <c r="U444" s="77"/>
      <c r="V444" s="77"/>
      <c r="W444" s="78"/>
      <c r="X444" s="77"/>
      <c r="Y444" s="77"/>
      <c r="Z444" s="77"/>
      <c r="AA444" s="77"/>
      <c r="AB444" s="77"/>
      <c r="AC444" s="77"/>
      <c r="AD444" s="77"/>
      <c r="AE444" s="77"/>
      <c r="AF444" s="77"/>
      <c r="AG444" s="77"/>
      <c r="AH444" s="77"/>
      <c r="AI444" s="77"/>
      <c r="AJ444" s="79"/>
      <c r="AK444" s="80"/>
      <c r="AL444" s="59"/>
      <c r="AM444" s="35"/>
      <c r="AN444" s="35"/>
      <c r="AO444" s="35"/>
      <c r="AP444" s="35"/>
      <c r="AQ444" s="35"/>
      <c r="AR444" s="35"/>
      <c r="AS444" s="35"/>
      <c r="AT444" s="35"/>
      <c r="AU444" s="35"/>
      <c r="AV444" s="35"/>
      <c r="AW444" s="35"/>
    </row>
    <row r="445">
      <c r="A445" s="17"/>
      <c r="B445" s="35"/>
      <c r="C445" s="74"/>
      <c r="D445" s="74"/>
      <c r="E445" s="74"/>
      <c r="F445" s="74"/>
      <c r="G445" s="74"/>
      <c r="H445" s="74"/>
      <c r="I445" s="74"/>
      <c r="J445" s="57"/>
      <c r="K445" s="57"/>
      <c r="L445" s="57"/>
      <c r="M445" s="57"/>
      <c r="N445" s="57"/>
      <c r="O445" s="57"/>
      <c r="P445" s="57"/>
      <c r="Q445" s="69"/>
      <c r="R445" s="69"/>
      <c r="S445" s="23" t="str">
        <f>iferror(if(AN445=1,VLOOKUP(B445, Blends!H$4:AK$1004,32,0), ""), "")</f>
        <v/>
      </c>
      <c r="T445" s="58"/>
      <c r="U445" s="77"/>
      <c r="V445" s="77"/>
      <c r="W445" s="78"/>
      <c r="X445" s="77"/>
      <c r="Y445" s="77"/>
      <c r="Z445" s="77"/>
      <c r="AA445" s="77"/>
      <c r="AB445" s="77"/>
      <c r="AC445" s="77"/>
      <c r="AD445" s="77"/>
      <c r="AE445" s="77"/>
      <c r="AF445" s="77"/>
      <c r="AG445" s="77"/>
      <c r="AH445" s="77"/>
      <c r="AI445" s="77"/>
      <c r="AJ445" s="79"/>
      <c r="AK445" s="80"/>
      <c r="AL445" s="59"/>
      <c r="AM445" s="35"/>
      <c r="AN445" s="35"/>
      <c r="AO445" s="35"/>
      <c r="AP445" s="35"/>
      <c r="AQ445" s="35"/>
      <c r="AR445" s="35"/>
      <c r="AS445" s="35"/>
      <c r="AT445" s="35"/>
      <c r="AU445" s="35"/>
      <c r="AV445" s="35"/>
      <c r="AW445" s="35"/>
    </row>
    <row r="446">
      <c r="A446" s="17"/>
      <c r="B446" s="35"/>
      <c r="C446" s="74"/>
      <c r="D446" s="74"/>
      <c r="E446" s="74"/>
      <c r="F446" s="74"/>
      <c r="G446" s="74"/>
      <c r="H446" s="74"/>
      <c r="I446" s="74"/>
      <c r="J446" s="57"/>
      <c r="K446" s="57"/>
      <c r="L446" s="57"/>
      <c r="M446" s="57"/>
      <c r="N446" s="57"/>
      <c r="O446" s="57"/>
      <c r="P446" s="57"/>
      <c r="Q446" s="69"/>
      <c r="R446" s="69"/>
      <c r="S446" s="23" t="str">
        <f>iferror(if(AN446=1,VLOOKUP(B446, Blends!H$4:AK$1004,32,0), ""), "")</f>
        <v/>
      </c>
      <c r="T446" s="58"/>
      <c r="U446" s="77"/>
      <c r="V446" s="77"/>
      <c r="W446" s="78"/>
      <c r="X446" s="77"/>
      <c r="Y446" s="77"/>
      <c r="Z446" s="77"/>
      <c r="AA446" s="77"/>
      <c r="AB446" s="77"/>
      <c r="AC446" s="77"/>
      <c r="AD446" s="77"/>
      <c r="AE446" s="77"/>
      <c r="AF446" s="77"/>
      <c r="AG446" s="77"/>
      <c r="AH446" s="77"/>
      <c r="AI446" s="77"/>
      <c r="AJ446" s="79"/>
      <c r="AK446" s="80"/>
      <c r="AL446" s="59"/>
      <c r="AM446" s="35"/>
      <c r="AN446" s="35"/>
      <c r="AO446" s="35"/>
      <c r="AP446" s="35"/>
      <c r="AQ446" s="35"/>
      <c r="AR446" s="35"/>
      <c r="AS446" s="35"/>
      <c r="AT446" s="35"/>
      <c r="AU446" s="35"/>
      <c r="AV446" s="35"/>
      <c r="AW446" s="35"/>
    </row>
    <row r="447">
      <c r="A447" s="17"/>
      <c r="B447" s="35"/>
      <c r="C447" s="74"/>
      <c r="D447" s="74"/>
      <c r="E447" s="74"/>
      <c r="F447" s="74"/>
      <c r="G447" s="74"/>
      <c r="H447" s="74"/>
      <c r="I447" s="74"/>
      <c r="J447" s="57"/>
      <c r="K447" s="57"/>
      <c r="L447" s="57"/>
      <c r="M447" s="57"/>
      <c r="N447" s="57"/>
      <c r="O447" s="57"/>
      <c r="P447" s="57"/>
      <c r="Q447" s="69"/>
      <c r="R447" s="69"/>
      <c r="S447" s="23" t="str">
        <f>iferror(if(AN447=1,VLOOKUP(B447, Blends!H$4:AK$1004,32,0), ""), "")</f>
        <v/>
      </c>
      <c r="T447" s="58"/>
      <c r="U447" s="77"/>
      <c r="V447" s="77"/>
      <c r="W447" s="78"/>
      <c r="X447" s="77"/>
      <c r="Y447" s="77"/>
      <c r="Z447" s="77"/>
      <c r="AA447" s="77"/>
      <c r="AB447" s="77"/>
      <c r="AC447" s="77"/>
      <c r="AD447" s="77"/>
      <c r="AE447" s="77"/>
      <c r="AF447" s="77"/>
      <c r="AG447" s="77"/>
      <c r="AH447" s="77"/>
      <c r="AI447" s="77"/>
      <c r="AJ447" s="79"/>
      <c r="AK447" s="80"/>
      <c r="AL447" s="59"/>
      <c r="AM447" s="35"/>
      <c r="AN447" s="35"/>
      <c r="AO447" s="35"/>
      <c r="AP447" s="35"/>
      <c r="AQ447" s="35"/>
      <c r="AR447" s="35"/>
      <c r="AS447" s="35"/>
      <c r="AT447" s="35"/>
      <c r="AU447" s="35"/>
      <c r="AV447" s="35"/>
      <c r="AW447" s="35"/>
    </row>
    <row r="448">
      <c r="A448" s="17"/>
      <c r="B448" s="35"/>
      <c r="C448" s="74"/>
      <c r="D448" s="74"/>
      <c r="E448" s="74"/>
      <c r="F448" s="74"/>
      <c r="G448" s="74"/>
      <c r="H448" s="74"/>
      <c r="I448" s="74"/>
      <c r="J448" s="57"/>
      <c r="K448" s="57"/>
      <c r="L448" s="57"/>
      <c r="M448" s="57"/>
      <c r="N448" s="57"/>
      <c r="O448" s="57"/>
      <c r="P448" s="57"/>
      <c r="Q448" s="69"/>
      <c r="R448" s="69"/>
      <c r="S448" s="23" t="str">
        <f>iferror(if(AN448=1,VLOOKUP(B448, Blends!H$4:AK$1004,32,0), ""), "")</f>
        <v/>
      </c>
      <c r="T448" s="58"/>
      <c r="U448" s="77"/>
      <c r="V448" s="77"/>
      <c r="W448" s="78"/>
      <c r="X448" s="77"/>
      <c r="Y448" s="77"/>
      <c r="Z448" s="77"/>
      <c r="AA448" s="77"/>
      <c r="AB448" s="77"/>
      <c r="AC448" s="77"/>
      <c r="AD448" s="77"/>
      <c r="AE448" s="77"/>
      <c r="AF448" s="77"/>
      <c r="AG448" s="77"/>
      <c r="AH448" s="77"/>
      <c r="AI448" s="77"/>
      <c r="AJ448" s="79"/>
      <c r="AK448" s="80"/>
      <c r="AL448" s="59"/>
      <c r="AM448" s="35"/>
      <c r="AN448" s="35"/>
      <c r="AO448" s="35"/>
      <c r="AP448" s="35"/>
      <c r="AQ448" s="35"/>
      <c r="AR448" s="35"/>
      <c r="AS448" s="35"/>
      <c r="AT448" s="35"/>
      <c r="AU448" s="35"/>
      <c r="AV448" s="35"/>
      <c r="AW448" s="35"/>
    </row>
    <row r="449">
      <c r="A449" s="17"/>
      <c r="B449" s="35"/>
      <c r="C449" s="74"/>
      <c r="D449" s="74"/>
      <c r="E449" s="74"/>
      <c r="F449" s="74"/>
      <c r="G449" s="74"/>
      <c r="H449" s="74"/>
      <c r="I449" s="74"/>
      <c r="J449" s="57"/>
      <c r="K449" s="57"/>
      <c r="L449" s="57"/>
      <c r="M449" s="57"/>
      <c r="N449" s="57"/>
      <c r="O449" s="57"/>
      <c r="P449" s="57"/>
      <c r="Q449" s="69"/>
      <c r="R449" s="69"/>
      <c r="S449" s="23" t="str">
        <f>iferror(if(AN449=1,VLOOKUP(B449, Blends!H$4:AK$1004,32,0), ""), "")</f>
        <v/>
      </c>
      <c r="T449" s="58"/>
      <c r="U449" s="77"/>
      <c r="V449" s="77"/>
      <c r="W449" s="78"/>
      <c r="X449" s="77"/>
      <c r="Y449" s="77"/>
      <c r="Z449" s="77"/>
      <c r="AA449" s="77"/>
      <c r="AB449" s="77"/>
      <c r="AC449" s="77"/>
      <c r="AD449" s="77"/>
      <c r="AE449" s="77"/>
      <c r="AF449" s="77"/>
      <c r="AG449" s="77"/>
      <c r="AH449" s="77"/>
      <c r="AI449" s="77"/>
      <c r="AJ449" s="79"/>
      <c r="AK449" s="80"/>
      <c r="AL449" s="59"/>
      <c r="AM449" s="35"/>
      <c r="AN449" s="35"/>
      <c r="AO449" s="35"/>
      <c r="AP449" s="35"/>
      <c r="AQ449" s="35"/>
      <c r="AR449" s="35"/>
      <c r="AS449" s="35"/>
      <c r="AT449" s="35"/>
      <c r="AU449" s="35"/>
      <c r="AV449" s="35"/>
      <c r="AW449" s="35"/>
    </row>
    <row r="450">
      <c r="A450" s="17"/>
      <c r="B450" s="35"/>
      <c r="C450" s="74"/>
      <c r="D450" s="74"/>
      <c r="E450" s="74"/>
      <c r="F450" s="74"/>
      <c r="G450" s="74"/>
      <c r="H450" s="74"/>
      <c r="I450" s="74"/>
      <c r="J450" s="57"/>
      <c r="K450" s="57"/>
      <c r="L450" s="57"/>
      <c r="M450" s="57"/>
      <c r="N450" s="57"/>
      <c r="O450" s="57"/>
      <c r="P450" s="57"/>
      <c r="Q450" s="69"/>
      <c r="R450" s="69"/>
      <c r="S450" s="23" t="str">
        <f>iferror(if(AN450=1,VLOOKUP(B450, Blends!H$4:AK$1004,32,0), ""), "")</f>
        <v/>
      </c>
      <c r="T450" s="58"/>
      <c r="U450" s="77"/>
      <c r="V450" s="77"/>
      <c r="W450" s="78"/>
      <c r="X450" s="77"/>
      <c r="Y450" s="77"/>
      <c r="Z450" s="77"/>
      <c r="AA450" s="77"/>
      <c r="AB450" s="77"/>
      <c r="AC450" s="77"/>
      <c r="AD450" s="77"/>
      <c r="AE450" s="77"/>
      <c r="AF450" s="77"/>
      <c r="AG450" s="77"/>
      <c r="AH450" s="77"/>
      <c r="AI450" s="77"/>
      <c r="AJ450" s="79"/>
      <c r="AK450" s="80"/>
      <c r="AL450" s="59"/>
      <c r="AM450" s="35"/>
      <c r="AN450" s="35"/>
      <c r="AO450" s="35"/>
      <c r="AP450" s="35"/>
      <c r="AQ450" s="35"/>
      <c r="AR450" s="35"/>
      <c r="AS450" s="35"/>
      <c r="AT450" s="35"/>
      <c r="AU450" s="35"/>
      <c r="AV450" s="35"/>
      <c r="AW450" s="35"/>
    </row>
    <row r="451">
      <c r="A451" s="17"/>
      <c r="B451" s="35"/>
      <c r="C451" s="74"/>
      <c r="D451" s="74"/>
      <c r="E451" s="74"/>
      <c r="F451" s="74"/>
      <c r="G451" s="74"/>
      <c r="H451" s="74"/>
      <c r="I451" s="74"/>
      <c r="J451" s="57"/>
      <c r="K451" s="57"/>
      <c r="L451" s="57"/>
      <c r="M451" s="57"/>
      <c r="N451" s="57"/>
      <c r="O451" s="57"/>
      <c r="P451" s="57"/>
      <c r="Q451" s="69"/>
      <c r="R451" s="69"/>
      <c r="S451" s="23" t="str">
        <f>iferror(if(AN451=1,VLOOKUP(B451, Blends!H$4:AK$1004,32,0), ""), "")</f>
        <v/>
      </c>
      <c r="T451" s="58"/>
      <c r="U451" s="77"/>
      <c r="V451" s="77"/>
      <c r="W451" s="78"/>
      <c r="X451" s="77"/>
      <c r="Y451" s="77"/>
      <c r="Z451" s="77"/>
      <c r="AA451" s="77"/>
      <c r="AB451" s="77"/>
      <c r="AC451" s="77"/>
      <c r="AD451" s="77"/>
      <c r="AE451" s="77"/>
      <c r="AF451" s="77"/>
      <c r="AG451" s="77"/>
      <c r="AH451" s="77"/>
      <c r="AI451" s="77"/>
      <c r="AJ451" s="79"/>
      <c r="AK451" s="80"/>
      <c r="AL451" s="59"/>
      <c r="AM451" s="35"/>
      <c r="AN451" s="35"/>
      <c r="AO451" s="35"/>
      <c r="AP451" s="35"/>
      <c r="AQ451" s="35"/>
      <c r="AR451" s="35"/>
      <c r="AS451" s="35"/>
      <c r="AT451" s="35"/>
      <c r="AU451" s="35"/>
      <c r="AV451" s="35"/>
      <c r="AW451" s="35"/>
    </row>
    <row r="452">
      <c r="A452" s="17"/>
      <c r="B452" s="35"/>
      <c r="C452" s="74"/>
      <c r="D452" s="74"/>
      <c r="E452" s="74"/>
      <c r="F452" s="74"/>
      <c r="G452" s="74"/>
      <c r="H452" s="74"/>
      <c r="I452" s="74"/>
      <c r="J452" s="57"/>
      <c r="K452" s="57"/>
      <c r="L452" s="57"/>
      <c r="M452" s="57"/>
      <c r="N452" s="57"/>
      <c r="O452" s="57"/>
      <c r="P452" s="57"/>
      <c r="Q452" s="69"/>
      <c r="R452" s="69"/>
      <c r="S452" s="23" t="str">
        <f>iferror(if(AN452=1,VLOOKUP(B452, Blends!H$4:AK$1004,32,0), ""), "")</f>
        <v/>
      </c>
      <c r="T452" s="58"/>
      <c r="U452" s="77"/>
      <c r="V452" s="77"/>
      <c r="W452" s="78"/>
      <c r="X452" s="77"/>
      <c r="Y452" s="77"/>
      <c r="Z452" s="77"/>
      <c r="AA452" s="77"/>
      <c r="AB452" s="77"/>
      <c r="AC452" s="77"/>
      <c r="AD452" s="77"/>
      <c r="AE452" s="77"/>
      <c r="AF452" s="77"/>
      <c r="AG452" s="77"/>
      <c r="AH452" s="77"/>
      <c r="AI452" s="77"/>
      <c r="AJ452" s="79"/>
      <c r="AK452" s="80"/>
      <c r="AL452" s="59"/>
      <c r="AM452" s="35"/>
      <c r="AN452" s="35"/>
      <c r="AO452" s="35"/>
      <c r="AP452" s="35"/>
      <c r="AQ452" s="35"/>
      <c r="AR452" s="35"/>
      <c r="AS452" s="35"/>
      <c r="AT452" s="35"/>
      <c r="AU452" s="35"/>
      <c r="AV452" s="35"/>
      <c r="AW452" s="35"/>
    </row>
    <row r="453">
      <c r="A453" s="17"/>
      <c r="B453" s="35"/>
      <c r="C453" s="74"/>
      <c r="D453" s="74"/>
      <c r="E453" s="74"/>
      <c r="F453" s="74"/>
      <c r="G453" s="74"/>
      <c r="H453" s="74"/>
      <c r="I453" s="74"/>
      <c r="J453" s="57"/>
      <c r="K453" s="57"/>
      <c r="L453" s="57"/>
      <c r="M453" s="57"/>
      <c r="N453" s="57"/>
      <c r="O453" s="57"/>
      <c r="P453" s="57"/>
      <c r="Q453" s="69"/>
      <c r="R453" s="69"/>
      <c r="S453" s="23" t="str">
        <f>iferror(if(AN453=1,VLOOKUP(B453, Blends!H$4:AK$1004,32,0), ""), "")</f>
        <v/>
      </c>
      <c r="T453" s="58"/>
      <c r="U453" s="77"/>
      <c r="V453" s="77"/>
      <c r="W453" s="78"/>
      <c r="X453" s="77"/>
      <c r="Y453" s="77"/>
      <c r="Z453" s="77"/>
      <c r="AA453" s="77"/>
      <c r="AB453" s="77"/>
      <c r="AC453" s="77"/>
      <c r="AD453" s="77"/>
      <c r="AE453" s="77"/>
      <c r="AF453" s="77"/>
      <c r="AG453" s="77"/>
      <c r="AH453" s="77"/>
      <c r="AI453" s="77"/>
      <c r="AJ453" s="79"/>
      <c r="AK453" s="80"/>
      <c r="AL453" s="59"/>
      <c r="AM453" s="35"/>
      <c r="AN453" s="35"/>
      <c r="AO453" s="35"/>
      <c r="AP453" s="35"/>
      <c r="AQ453" s="35"/>
      <c r="AR453" s="35"/>
      <c r="AS453" s="35"/>
      <c r="AT453" s="35"/>
      <c r="AU453" s="35"/>
      <c r="AV453" s="35"/>
      <c r="AW453" s="35"/>
    </row>
    <row r="454">
      <c r="A454" s="17"/>
      <c r="B454" s="35"/>
      <c r="C454" s="74"/>
      <c r="D454" s="74"/>
      <c r="E454" s="74"/>
      <c r="F454" s="74"/>
      <c r="G454" s="74"/>
      <c r="H454" s="74"/>
      <c r="I454" s="74"/>
      <c r="J454" s="57"/>
      <c r="K454" s="57"/>
      <c r="L454" s="57"/>
      <c r="M454" s="57"/>
      <c r="N454" s="57"/>
      <c r="O454" s="57"/>
      <c r="P454" s="57"/>
      <c r="Q454" s="69"/>
      <c r="R454" s="69"/>
      <c r="S454" s="23" t="str">
        <f>iferror(if(AN454=1,VLOOKUP(B454, Blends!H$4:AK$1004,32,0), ""), "")</f>
        <v/>
      </c>
      <c r="T454" s="58"/>
      <c r="U454" s="77"/>
      <c r="V454" s="77"/>
      <c r="W454" s="78"/>
      <c r="X454" s="77"/>
      <c r="Y454" s="77"/>
      <c r="Z454" s="77"/>
      <c r="AA454" s="77"/>
      <c r="AB454" s="77"/>
      <c r="AC454" s="77"/>
      <c r="AD454" s="77"/>
      <c r="AE454" s="77"/>
      <c r="AF454" s="77"/>
      <c r="AG454" s="77"/>
      <c r="AH454" s="77"/>
      <c r="AI454" s="77"/>
      <c r="AJ454" s="79"/>
      <c r="AK454" s="80"/>
      <c r="AL454" s="59"/>
      <c r="AM454" s="35"/>
      <c r="AN454" s="35"/>
      <c r="AO454" s="35"/>
      <c r="AP454" s="35"/>
      <c r="AQ454" s="35"/>
      <c r="AR454" s="35"/>
      <c r="AS454" s="35"/>
      <c r="AT454" s="35"/>
      <c r="AU454" s="35"/>
      <c r="AV454" s="35"/>
      <c r="AW454" s="35"/>
    </row>
    <row r="455">
      <c r="A455" s="17"/>
      <c r="B455" s="35"/>
      <c r="C455" s="74"/>
      <c r="D455" s="74"/>
      <c r="E455" s="74"/>
      <c r="F455" s="74"/>
      <c r="G455" s="74"/>
      <c r="H455" s="74"/>
      <c r="I455" s="74"/>
      <c r="J455" s="57"/>
      <c r="K455" s="57"/>
      <c r="L455" s="57"/>
      <c r="M455" s="57"/>
      <c r="N455" s="57"/>
      <c r="O455" s="57"/>
      <c r="P455" s="57"/>
      <c r="Q455" s="69"/>
      <c r="R455" s="69"/>
      <c r="S455" s="23" t="str">
        <f>iferror(if(AN455=1,VLOOKUP(B455, Blends!H$4:AK$1004,32,0), ""), "")</f>
        <v/>
      </c>
      <c r="T455" s="58"/>
      <c r="U455" s="77"/>
      <c r="V455" s="77"/>
      <c r="W455" s="78"/>
      <c r="X455" s="77"/>
      <c r="Y455" s="77"/>
      <c r="Z455" s="77"/>
      <c r="AA455" s="77"/>
      <c r="AB455" s="77"/>
      <c r="AC455" s="77"/>
      <c r="AD455" s="77"/>
      <c r="AE455" s="77"/>
      <c r="AF455" s="77"/>
      <c r="AG455" s="77"/>
      <c r="AH455" s="77"/>
      <c r="AI455" s="77"/>
      <c r="AJ455" s="79"/>
      <c r="AK455" s="80"/>
      <c r="AL455" s="59"/>
      <c r="AM455" s="35"/>
      <c r="AN455" s="35"/>
      <c r="AO455" s="35"/>
      <c r="AP455" s="35"/>
      <c r="AQ455" s="35"/>
      <c r="AR455" s="35"/>
      <c r="AS455" s="35"/>
      <c r="AT455" s="35"/>
      <c r="AU455" s="35"/>
      <c r="AV455" s="35"/>
      <c r="AW455" s="35"/>
    </row>
    <row r="456">
      <c r="A456" s="17"/>
      <c r="B456" s="35"/>
      <c r="C456" s="74"/>
      <c r="D456" s="74"/>
      <c r="E456" s="74"/>
      <c r="F456" s="74"/>
      <c r="G456" s="74"/>
      <c r="H456" s="74"/>
      <c r="I456" s="74"/>
      <c r="J456" s="57"/>
      <c r="K456" s="57"/>
      <c r="L456" s="57"/>
      <c r="M456" s="57"/>
      <c r="N456" s="57"/>
      <c r="O456" s="57"/>
      <c r="P456" s="57"/>
      <c r="Q456" s="69"/>
      <c r="R456" s="69"/>
      <c r="S456" s="23" t="str">
        <f>iferror(if(AN456=1,VLOOKUP(B456, Blends!H$4:AK$1004,32,0), ""), "")</f>
        <v/>
      </c>
      <c r="T456" s="58"/>
      <c r="U456" s="77"/>
      <c r="V456" s="77"/>
      <c r="W456" s="78"/>
      <c r="X456" s="77"/>
      <c r="Y456" s="77"/>
      <c r="Z456" s="77"/>
      <c r="AA456" s="77"/>
      <c r="AB456" s="77"/>
      <c r="AC456" s="77"/>
      <c r="AD456" s="77"/>
      <c r="AE456" s="77"/>
      <c r="AF456" s="77"/>
      <c r="AG456" s="77"/>
      <c r="AH456" s="77"/>
      <c r="AI456" s="77"/>
      <c r="AJ456" s="79"/>
      <c r="AK456" s="80"/>
      <c r="AL456" s="59"/>
      <c r="AM456" s="35"/>
      <c r="AN456" s="35"/>
      <c r="AO456" s="35"/>
      <c r="AP456" s="35"/>
      <c r="AQ456" s="35"/>
      <c r="AR456" s="35"/>
      <c r="AS456" s="35"/>
      <c r="AT456" s="35"/>
      <c r="AU456" s="35"/>
      <c r="AV456" s="35"/>
      <c r="AW456" s="35"/>
    </row>
    <row r="457">
      <c r="A457" s="17"/>
      <c r="B457" s="35"/>
      <c r="C457" s="74"/>
      <c r="D457" s="74"/>
      <c r="E457" s="74"/>
      <c r="F457" s="74"/>
      <c r="G457" s="74"/>
      <c r="H457" s="74"/>
      <c r="I457" s="74"/>
      <c r="J457" s="57"/>
      <c r="K457" s="57"/>
      <c r="L457" s="57"/>
      <c r="M457" s="57"/>
      <c r="N457" s="57"/>
      <c r="O457" s="57"/>
      <c r="P457" s="57"/>
      <c r="Q457" s="69"/>
      <c r="R457" s="69"/>
      <c r="S457" s="23" t="str">
        <f>iferror(if(AN457=1,VLOOKUP(B457, Blends!H$4:AK$1004,32,0), ""), "")</f>
        <v/>
      </c>
      <c r="T457" s="58"/>
      <c r="U457" s="77"/>
      <c r="V457" s="77"/>
      <c r="W457" s="78"/>
      <c r="X457" s="77"/>
      <c r="Y457" s="77"/>
      <c r="Z457" s="77"/>
      <c r="AA457" s="77"/>
      <c r="AB457" s="77"/>
      <c r="AC457" s="77"/>
      <c r="AD457" s="77"/>
      <c r="AE457" s="77"/>
      <c r="AF457" s="77"/>
      <c r="AG457" s="77"/>
      <c r="AH457" s="77"/>
      <c r="AI457" s="77"/>
      <c r="AJ457" s="79"/>
      <c r="AK457" s="80"/>
      <c r="AL457" s="59"/>
      <c r="AM457" s="35"/>
      <c r="AN457" s="35"/>
      <c r="AO457" s="35"/>
      <c r="AP457" s="35"/>
      <c r="AQ457" s="35"/>
      <c r="AR457" s="35"/>
      <c r="AS457" s="35"/>
      <c r="AT457" s="35"/>
      <c r="AU457" s="35"/>
      <c r="AV457" s="35"/>
      <c r="AW457" s="35"/>
    </row>
    <row r="458">
      <c r="A458" s="17"/>
      <c r="B458" s="35"/>
      <c r="C458" s="74"/>
      <c r="D458" s="74"/>
      <c r="E458" s="74"/>
      <c r="F458" s="74"/>
      <c r="G458" s="74"/>
      <c r="H458" s="74"/>
      <c r="I458" s="74"/>
      <c r="J458" s="57"/>
      <c r="K458" s="57"/>
      <c r="L458" s="57"/>
      <c r="M458" s="57"/>
      <c r="N458" s="57"/>
      <c r="O458" s="57"/>
      <c r="P458" s="57"/>
      <c r="Q458" s="69"/>
      <c r="R458" s="69"/>
      <c r="S458" s="23" t="str">
        <f>iferror(if(AN458=1,VLOOKUP(B458, Blends!H$4:AK$1004,32,0), ""), "")</f>
        <v/>
      </c>
      <c r="T458" s="58"/>
      <c r="U458" s="77"/>
      <c r="V458" s="77"/>
      <c r="W458" s="78"/>
      <c r="X458" s="77"/>
      <c r="Y458" s="77"/>
      <c r="Z458" s="77"/>
      <c r="AA458" s="77"/>
      <c r="AB458" s="77"/>
      <c r="AC458" s="77"/>
      <c r="AD458" s="77"/>
      <c r="AE458" s="77"/>
      <c r="AF458" s="77"/>
      <c r="AG458" s="77"/>
      <c r="AH458" s="77"/>
      <c r="AI458" s="77"/>
      <c r="AJ458" s="79"/>
      <c r="AK458" s="80"/>
      <c r="AL458" s="59"/>
      <c r="AM458" s="35"/>
      <c r="AN458" s="35"/>
      <c r="AO458" s="35"/>
      <c r="AP458" s="35"/>
      <c r="AQ458" s="35"/>
      <c r="AR458" s="35"/>
      <c r="AS458" s="35"/>
      <c r="AT458" s="35"/>
      <c r="AU458" s="35"/>
      <c r="AV458" s="35"/>
      <c r="AW458" s="35"/>
    </row>
    <row r="459">
      <c r="A459" s="17"/>
      <c r="B459" s="35"/>
      <c r="C459" s="74"/>
      <c r="D459" s="74"/>
      <c r="E459" s="74"/>
      <c r="F459" s="74"/>
      <c r="G459" s="74"/>
      <c r="H459" s="74"/>
      <c r="I459" s="74"/>
      <c r="J459" s="57"/>
      <c r="K459" s="57"/>
      <c r="L459" s="57"/>
      <c r="M459" s="57"/>
      <c r="N459" s="57"/>
      <c r="O459" s="57"/>
      <c r="P459" s="57"/>
      <c r="Q459" s="69"/>
      <c r="R459" s="69"/>
      <c r="S459" s="23" t="str">
        <f>iferror(if(AN459=1,VLOOKUP(B459, Blends!H$4:AK$1004,32,0), ""), "")</f>
        <v/>
      </c>
      <c r="T459" s="58"/>
      <c r="U459" s="77"/>
      <c r="V459" s="77"/>
      <c r="W459" s="78"/>
      <c r="X459" s="77"/>
      <c r="Y459" s="77"/>
      <c r="Z459" s="77"/>
      <c r="AA459" s="77"/>
      <c r="AB459" s="77"/>
      <c r="AC459" s="77"/>
      <c r="AD459" s="77"/>
      <c r="AE459" s="77"/>
      <c r="AF459" s="77"/>
      <c r="AG459" s="77"/>
      <c r="AH459" s="77"/>
      <c r="AI459" s="77"/>
      <c r="AJ459" s="79"/>
      <c r="AK459" s="80"/>
      <c r="AL459" s="59"/>
      <c r="AM459" s="35"/>
      <c r="AN459" s="35"/>
      <c r="AO459" s="35"/>
      <c r="AP459" s="35"/>
      <c r="AQ459" s="35"/>
      <c r="AR459" s="35"/>
      <c r="AS459" s="35"/>
      <c r="AT459" s="35"/>
      <c r="AU459" s="35"/>
      <c r="AV459" s="35"/>
      <c r="AW459" s="35"/>
    </row>
    <row r="460">
      <c r="A460" s="17"/>
      <c r="B460" s="35"/>
      <c r="C460" s="74"/>
      <c r="D460" s="74"/>
      <c r="E460" s="74"/>
      <c r="F460" s="74"/>
      <c r="G460" s="74"/>
      <c r="H460" s="74"/>
      <c r="I460" s="74"/>
      <c r="J460" s="57"/>
      <c r="K460" s="57"/>
      <c r="L460" s="57"/>
      <c r="M460" s="57"/>
      <c r="N460" s="57"/>
      <c r="O460" s="57"/>
      <c r="P460" s="57"/>
      <c r="Q460" s="69"/>
      <c r="R460" s="69"/>
      <c r="S460" s="23" t="str">
        <f>iferror(if(AN460=1,VLOOKUP(B460, Blends!H$4:AK$1004,32,0), ""), "")</f>
        <v/>
      </c>
      <c r="T460" s="58"/>
      <c r="U460" s="77"/>
      <c r="V460" s="77"/>
      <c r="W460" s="78"/>
      <c r="X460" s="77"/>
      <c r="Y460" s="77"/>
      <c r="Z460" s="77"/>
      <c r="AA460" s="77"/>
      <c r="AB460" s="77"/>
      <c r="AC460" s="77"/>
      <c r="AD460" s="77"/>
      <c r="AE460" s="77"/>
      <c r="AF460" s="77"/>
      <c r="AG460" s="77"/>
      <c r="AH460" s="77"/>
      <c r="AI460" s="77"/>
      <c r="AJ460" s="79"/>
      <c r="AK460" s="80"/>
      <c r="AL460" s="59"/>
      <c r="AM460" s="35"/>
      <c r="AN460" s="35"/>
      <c r="AO460" s="35"/>
      <c r="AP460" s="35"/>
      <c r="AQ460" s="35"/>
      <c r="AR460" s="35"/>
      <c r="AS460" s="35"/>
      <c r="AT460" s="35"/>
      <c r="AU460" s="35"/>
      <c r="AV460" s="35"/>
      <c r="AW460" s="35"/>
    </row>
    <row r="461">
      <c r="A461" s="17"/>
      <c r="B461" s="35"/>
      <c r="C461" s="74"/>
      <c r="D461" s="74"/>
      <c r="E461" s="74"/>
      <c r="F461" s="74"/>
      <c r="G461" s="74"/>
      <c r="H461" s="74"/>
      <c r="I461" s="74"/>
      <c r="J461" s="57"/>
      <c r="K461" s="57"/>
      <c r="L461" s="57"/>
      <c r="M461" s="57"/>
      <c r="N461" s="57"/>
      <c r="O461" s="57"/>
      <c r="P461" s="57"/>
      <c r="Q461" s="69"/>
      <c r="R461" s="69"/>
      <c r="S461" s="23" t="str">
        <f>iferror(if(AN461=1,VLOOKUP(B461, Blends!H$4:AK$1004,32,0), ""), "")</f>
        <v/>
      </c>
      <c r="T461" s="58"/>
      <c r="U461" s="77"/>
      <c r="V461" s="77"/>
      <c r="W461" s="78"/>
      <c r="X461" s="77"/>
      <c r="Y461" s="77"/>
      <c r="Z461" s="77"/>
      <c r="AA461" s="77"/>
      <c r="AB461" s="77"/>
      <c r="AC461" s="77"/>
      <c r="AD461" s="77"/>
      <c r="AE461" s="77"/>
      <c r="AF461" s="77"/>
      <c r="AG461" s="77"/>
      <c r="AH461" s="77"/>
      <c r="AI461" s="77"/>
      <c r="AJ461" s="79"/>
      <c r="AK461" s="80"/>
      <c r="AL461" s="59"/>
      <c r="AM461" s="35"/>
      <c r="AN461" s="35"/>
      <c r="AO461" s="35"/>
      <c r="AP461" s="35"/>
      <c r="AQ461" s="35"/>
      <c r="AR461" s="35"/>
      <c r="AS461" s="35"/>
      <c r="AT461" s="35"/>
      <c r="AU461" s="35"/>
      <c r="AV461" s="35"/>
      <c r="AW461" s="35"/>
    </row>
    <row r="462">
      <c r="A462" s="17"/>
      <c r="B462" s="35"/>
      <c r="C462" s="74"/>
      <c r="D462" s="74"/>
      <c r="E462" s="74"/>
      <c r="F462" s="74"/>
      <c r="G462" s="74"/>
      <c r="H462" s="74"/>
      <c r="I462" s="74"/>
      <c r="J462" s="57"/>
      <c r="K462" s="57"/>
      <c r="L462" s="57"/>
      <c r="M462" s="57"/>
      <c r="N462" s="57"/>
      <c r="O462" s="57"/>
      <c r="P462" s="57"/>
      <c r="Q462" s="69"/>
      <c r="R462" s="69"/>
      <c r="S462" s="23" t="str">
        <f>iferror(if(AN462=1,VLOOKUP(B462, Blends!H$4:AK$1004,32,0), ""), "")</f>
        <v/>
      </c>
      <c r="T462" s="58"/>
      <c r="U462" s="77"/>
      <c r="V462" s="77"/>
      <c r="W462" s="78"/>
      <c r="X462" s="77"/>
      <c r="Y462" s="77"/>
      <c r="Z462" s="77"/>
      <c r="AA462" s="77"/>
      <c r="AB462" s="77"/>
      <c r="AC462" s="77"/>
      <c r="AD462" s="77"/>
      <c r="AE462" s="77"/>
      <c r="AF462" s="77"/>
      <c r="AG462" s="77"/>
      <c r="AH462" s="77"/>
      <c r="AI462" s="77"/>
      <c r="AJ462" s="79"/>
      <c r="AK462" s="80"/>
      <c r="AL462" s="59"/>
      <c r="AM462" s="35"/>
      <c r="AN462" s="35"/>
      <c r="AO462" s="35"/>
      <c r="AP462" s="35"/>
      <c r="AQ462" s="35"/>
      <c r="AR462" s="35"/>
      <c r="AS462" s="35"/>
      <c r="AT462" s="35"/>
      <c r="AU462" s="35"/>
      <c r="AV462" s="35"/>
      <c r="AW462" s="35"/>
    </row>
    <row r="463">
      <c r="A463" s="17"/>
      <c r="B463" s="35"/>
      <c r="C463" s="74"/>
      <c r="D463" s="74"/>
      <c r="E463" s="74"/>
      <c r="F463" s="74"/>
      <c r="G463" s="74"/>
      <c r="H463" s="74"/>
      <c r="I463" s="74"/>
      <c r="J463" s="57"/>
      <c r="K463" s="57"/>
      <c r="L463" s="57"/>
      <c r="M463" s="57"/>
      <c r="N463" s="57"/>
      <c r="O463" s="57"/>
      <c r="P463" s="57"/>
      <c r="Q463" s="69"/>
      <c r="R463" s="69"/>
      <c r="S463" s="23" t="str">
        <f>iferror(if(AN463=1,VLOOKUP(B463, Blends!H$4:AK$1004,32,0), ""), "")</f>
        <v/>
      </c>
      <c r="T463" s="58"/>
      <c r="U463" s="77"/>
      <c r="V463" s="77"/>
      <c r="W463" s="78"/>
      <c r="X463" s="77"/>
      <c r="Y463" s="77"/>
      <c r="Z463" s="77"/>
      <c r="AA463" s="77"/>
      <c r="AB463" s="77"/>
      <c r="AC463" s="77"/>
      <c r="AD463" s="77"/>
      <c r="AE463" s="77"/>
      <c r="AF463" s="77"/>
      <c r="AG463" s="77"/>
      <c r="AH463" s="77"/>
      <c r="AI463" s="77"/>
      <c r="AJ463" s="79"/>
      <c r="AK463" s="80"/>
      <c r="AL463" s="59"/>
      <c r="AM463" s="35"/>
      <c r="AN463" s="35"/>
      <c r="AO463" s="35"/>
      <c r="AP463" s="35"/>
      <c r="AQ463" s="35"/>
      <c r="AR463" s="35"/>
      <c r="AS463" s="35"/>
      <c r="AT463" s="35"/>
      <c r="AU463" s="35"/>
      <c r="AV463" s="35"/>
      <c r="AW463" s="35"/>
    </row>
    <row r="464">
      <c r="A464" s="17"/>
      <c r="B464" s="35"/>
      <c r="C464" s="74"/>
      <c r="D464" s="74"/>
      <c r="E464" s="74"/>
      <c r="F464" s="74"/>
      <c r="G464" s="74"/>
      <c r="H464" s="74"/>
      <c r="I464" s="74"/>
      <c r="J464" s="57"/>
      <c r="K464" s="57"/>
      <c r="L464" s="57"/>
      <c r="M464" s="57"/>
      <c r="N464" s="57"/>
      <c r="O464" s="57"/>
      <c r="P464" s="57"/>
      <c r="Q464" s="69"/>
      <c r="R464" s="69"/>
      <c r="S464" s="23" t="str">
        <f>iferror(if(AN464=1,VLOOKUP(B464, Blends!H$4:AK$1004,32,0), ""), "")</f>
        <v/>
      </c>
      <c r="T464" s="58"/>
      <c r="U464" s="77"/>
      <c r="V464" s="77"/>
      <c r="W464" s="78"/>
      <c r="X464" s="77"/>
      <c r="Y464" s="77"/>
      <c r="Z464" s="77"/>
      <c r="AA464" s="77"/>
      <c r="AB464" s="77"/>
      <c r="AC464" s="77"/>
      <c r="AD464" s="77"/>
      <c r="AE464" s="77"/>
      <c r="AF464" s="77"/>
      <c r="AG464" s="77"/>
      <c r="AH464" s="77"/>
      <c r="AI464" s="77"/>
      <c r="AJ464" s="79"/>
      <c r="AK464" s="80"/>
      <c r="AL464" s="59"/>
      <c r="AM464" s="35"/>
      <c r="AN464" s="35"/>
      <c r="AO464" s="35"/>
      <c r="AP464" s="35"/>
      <c r="AQ464" s="35"/>
      <c r="AR464" s="35"/>
      <c r="AS464" s="35"/>
      <c r="AT464" s="35"/>
      <c r="AU464" s="35"/>
      <c r="AV464" s="35"/>
      <c r="AW464" s="35"/>
    </row>
    <row r="465">
      <c r="A465" s="17"/>
      <c r="B465" s="35"/>
      <c r="C465" s="74"/>
      <c r="D465" s="74"/>
      <c r="E465" s="74"/>
      <c r="F465" s="74"/>
      <c r="G465" s="74"/>
      <c r="H465" s="74"/>
      <c r="I465" s="74"/>
      <c r="J465" s="57"/>
      <c r="K465" s="57"/>
      <c r="L465" s="57"/>
      <c r="M465" s="57"/>
      <c r="N465" s="57"/>
      <c r="O465" s="57"/>
      <c r="P465" s="57"/>
      <c r="Q465" s="69"/>
      <c r="R465" s="69"/>
      <c r="S465" s="23" t="str">
        <f>iferror(if(AN465=1,VLOOKUP(B465, Blends!H$4:AK$1004,32,0), ""), "")</f>
        <v/>
      </c>
      <c r="T465" s="58"/>
      <c r="U465" s="77"/>
      <c r="V465" s="77"/>
      <c r="W465" s="78"/>
      <c r="X465" s="77"/>
      <c r="Y465" s="77"/>
      <c r="Z465" s="77"/>
      <c r="AA465" s="77"/>
      <c r="AB465" s="77"/>
      <c r="AC465" s="77"/>
      <c r="AD465" s="77"/>
      <c r="AE465" s="77"/>
      <c r="AF465" s="77"/>
      <c r="AG465" s="77"/>
      <c r="AH465" s="77"/>
      <c r="AI465" s="77"/>
      <c r="AJ465" s="79"/>
      <c r="AK465" s="80"/>
      <c r="AL465" s="59"/>
      <c r="AM465" s="35"/>
      <c r="AN465" s="35"/>
      <c r="AO465" s="35"/>
      <c r="AP465" s="35"/>
      <c r="AQ465" s="35"/>
      <c r="AR465" s="35"/>
      <c r="AS465" s="35"/>
      <c r="AT465" s="35"/>
      <c r="AU465" s="35"/>
      <c r="AV465" s="35"/>
      <c r="AW465" s="35"/>
    </row>
    <row r="466">
      <c r="A466" s="17"/>
      <c r="B466" s="35"/>
      <c r="C466" s="74"/>
      <c r="D466" s="74"/>
      <c r="E466" s="74"/>
      <c r="F466" s="74"/>
      <c r="G466" s="74"/>
      <c r="H466" s="74"/>
      <c r="I466" s="74"/>
      <c r="J466" s="57"/>
      <c r="K466" s="57"/>
      <c r="L466" s="57"/>
      <c r="M466" s="57"/>
      <c r="N466" s="57"/>
      <c r="O466" s="57"/>
      <c r="P466" s="57"/>
      <c r="Q466" s="69"/>
      <c r="R466" s="69"/>
      <c r="S466" s="23" t="str">
        <f>iferror(if(AN466=1,VLOOKUP(B466, Blends!H$4:AK$1004,32,0), ""), "")</f>
        <v/>
      </c>
      <c r="T466" s="58"/>
      <c r="U466" s="77"/>
      <c r="V466" s="77"/>
      <c r="W466" s="78"/>
      <c r="X466" s="77"/>
      <c r="Y466" s="77"/>
      <c r="Z466" s="77"/>
      <c r="AA466" s="77"/>
      <c r="AB466" s="77"/>
      <c r="AC466" s="77"/>
      <c r="AD466" s="77"/>
      <c r="AE466" s="77"/>
      <c r="AF466" s="77"/>
      <c r="AG466" s="77"/>
      <c r="AH466" s="77"/>
      <c r="AI466" s="77"/>
      <c r="AJ466" s="79"/>
      <c r="AK466" s="80"/>
      <c r="AL466" s="59"/>
      <c r="AM466" s="35"/>
      <c r="AN466" s="35"/>
      <c r="AO466" s="35"/>
      <c r="AP466" s="35"/>
      <c r="AQ466" s="35"/>
      <c r="AR466" s="35"/>
      <c r="AS466" s="35"/>
      <c r="AT466" s="35"/>
      <c r="AU466" s="35"/>
      <c r="AV466" s="35"/>
      <c r="AW466" s="35"/>
    </row>
    <row r="467">
      <c r="A467" s="17"/>
      <c r="B467" s="35"/>
      <c r="C467" s="74"/>
      <c r="D467" s="74"/>
      <c r="E467" s="74"/>
      <c r="F467" s="74"/>
      <c r="G467" s="74"/>
      <c r="H467" s="74"/>
      <c r="I467" s="74"/>
      <c r="J467" s="57"/>
      <c r="K467" s="57"/>
      <c r="L467" s="57"/>
      <c r="M467" s="57"/>
      <c r="N467" s="57"/>
      <c r="O467" s="57"/>
      <c r="P467" s="57"/>
      <c r="Q467" s="69"/>
      <c r="R467" s="69"/>
      <c r="S467" s="23" t="str">
        <f>iferror(if(AN467=1,VLOOKUP(B467, Blends!H$4:AK$1004,32,0), ""), "")</f>
        <v/>
      </c>
      <c r="T467" s="58"/>
      <c r="U467" s="77"/>
      <c r="V467" s="77"/>
      <c r="W467" s="78"/>
      <c r="X467" s="77"/>
      <c r="Y467" s="77"/>
      <c r="Z467" s="77"/>
      <c r="AA467" s="77"/>
      <c r="AB467" s="77"/>
      <c r="AC467" s="77"/>
      <c r="AD467" s="77"/>
      <c r="AE467" s="77"/>
      <c r="AF467" s="77"/>
      <c r="AG467" s="77"/>
      <c r="AH467" s="77"/>
      <c r="AI467" s="77"/>
      <c r="AJ467" s="79"/>
      <c r="AK467" s="80"/>
      <c r="AL467" s="59"/>
      <c r="AM467" s="35"/>
      <c r="AN467" s="35"/>
      <c r="AO467" s="35"/>
      <c r="AP467" s="35"/>
      <c r="AQ467" s="35"/>
      <c r="AR467" s="35"/>
      <c r="AS467" s="35"/>
      <c r="AT467" s="35"/>
      <c r="AU467" s="35"/>
      <c r="AV467" s="35"/>
      <c r="AW467" s="35"/>
    </row>
    <row r="468">
      <c r="A468" s="17"/>
      <c r="B468" s="35"/>
      <c r="C468" s="74"/>
      <c r="D468" s="74"/>
      <c r="E468" s="74"/>
      <c r="F468" s="74"/>
      <c r="G468" s="74"/>
      <c r="H468" s="74"/>
      <c r="I468" s="74"/>
      <c r="J468" s="57"/>
      <c r="K468" s="57"/>
      <c r="L468" s="57"/>
      <c r="M468" s="57"/>
      <c r="N468" s="57"/>
      <c r="O468" s="57"/>
      <c r="P468" s="57"/>
      <c r="Q468" s="69"/>
      <c r="R468" s="69"/>
      <c r="S468" s="23" t="str">
        <f>iferror(if(AN468=1,VLOOKUP(B468, Blends!H$4:AK$1004,32,0), ""), "")</f>
        <v/>
      </c>
      <c r="T468" s="58"/>
      <c r="U468" s="77"/>
      <c r="V468" s="77"/>
      <c r="W468" s="78"/>
      <c r="X468" s="77"/>
      <c r="Y468" s="77"/>
      <c r="Z468" s="77"/>
      <c r="AA468" s="77"/>
      <c r="AB468" s="77"/>
      <c r="AC468" s="77"/>
      <c r="AD468" s="77"/>
      <c r="AE468" s="77"/>
      <c r="AF468" s="77"/>
      <c r="AG468" s="77"/>
      <c r="AH468" s="77"/>
      <c r="AI468" s="77"/>
      <c r="AJ468" s="79"/>
      <c r="AK468" s="80"/>
      <c r="AL468" s="59"/>
      <c r="AM468" s="35"/>
      <c r="AN468" s="35"/>
      <c r="AO468" s="35"/>
      <c r="AP468" s="35"/>
      <c r="AQ468" s="35"/>
      <c r="AR468" s="35"/>
      <c r="AS468" s="35"/>
      <c r="AT468" s="35"/>
      <c r="AU468" s="35"/>
      <c r="AV468" s="35"/>
      <c r="AW468" s="35"/>
    </row>
    <row r="469">
      <c r="A469" s="17"/>
      <c r="B469" s="35"/>
      <c r="C469" s="74"/>
      <c r="D469" s="74"/>
      <c r="E469" s="74"/>
      <c r="F469" s="74"/>
      <c r="G469" s="74"/>
      <c r="H469" s="74"/>
      <c r="I469" s="74"/>
      <c r="J469" s="57"/>
      <c r="K469" s="57"/>
      <c r="L469" s="57"/>
      <c r="M469" s="57"/>
      <c r="N469" s="57"/>
      <c r="O469" s="57"/>
      <c r="P469" s="57"/>
      <c r="Q469" s="69"/>
      <c r="R469" s="69"/>
      <c r="S469" s="23" t="str">
        <f>iferror(if(AN469=1,VLOOKUP(B469, Blends!H$4:AK$1004,32,0), ""), "")</f>
        <v/>
      </c>
      <c r="T469" s="58"/>
      <c r="U469" s="77"/>
      <c r="V469" s="77"/>
      <c r="W469" s="78"/>
      <c r="X469" s="77"/>
      <c r="Y469" s="77"/>
      <c r="Z469" s="77"/>
      <c r="AA469" s="77"/>
      <c r="AB469" s="77"/>
      <c r="AC469" s="77"/>
      <c r="AD469" s="77"/>
      <c r="AE469" s="77"/>
      <c r="AF469" s="77"/>
      <c r="AG469" s="77"/>
      <c r="AH469" s="77"/>
      <c r="AI469" s="77"/>
      <c r="AJ469" s="79"/>
      <c r="AK469" s="80"/>
      <c r="AL469" s="59"/>
      <c r="AM469" s="35"/>
      <c r="AN469" s="35"/>
      <c r="AO469" s="35"/>
      <c r="AP469" s="35"/>
      <c r="AQ469" s="35"/>
      <c r="AR469" s="35"/>
      <c r="AS469" s="35"/>
      <c r="AT469" s="35"/>
      <c r="AU469" s="35"/>
      <c r="AV469" s="35"/>
      <c r="AW469" s="35"/>
    </row>
    <row r="470">
      <c r="A470" s="17"/>
      <c r="B470" s="35"/>
      <c r="C470" s="74"/>
      <c r="D470" s="74"/>
      <c r="E470" s="74"/>
      <c r="F470" s="74"/>
      <c r="G470" s="74"/>
      <c r="H470" s="74"/>
      <c r="I470" s="74"/>
      <c r="J470" s="57"/>
      <c r="K470" s="57"/>
      <c r="L470" s="57"/>
      <c r="M470" s="57"/>
      <c r="N470" s="57"/>
      <c r="O470" s="57"/>
      <c r="P470" s="57"/>
      <c r="Q470" s="69"/>
      <c r="R470" s="69"/>
      <c r="S470" s="23" t="str">
        <f>iferror(if(AN470=1,VLOOKUP(B470, Blends!H$4:AK$1004,32,0), ""), "")</f>
        <v/>
      </c>
      <c r="T470" s="58"/>
      <c r="U470" s="77"/>
      <c r="V470" s="77"/>
      <c r="W470" s="78"/>
      <c r="X470" s="77"/>
      <c r="Y470" s="77"/>
      <c r="Z470" s="77"/>
      <c r="AA470" s="77"/>
      <c r="AB470" s="77"/>
      <c r="AC470" s="77"/>
      <c r="AD470" s="77"/>
      <c r="AE470" s="77"/>
      <c r="AF470" s="77"/>
      <c r="AG470" s="77"/>
      <c r="AH470" s="77"/>
      <c r="AI470" s="77"/>
      <c r="AJ470" s="79"/>
      <c r="AK470" s="80"/>
      <c r="AL470" s="59"/>
      <c r="AM470" s="35"/>
      <c r="AN470" s="35"/>
      <c r="AO470" s="35"/>
      <c r="AP470" s="35"/>
      <c r="AQ470" s="35"/>
      <c r="AR470" s="35"/>
      <c r="AS470" s="35"/>
      <c r="AT470" s="35"/>
      <c r="AU470" s="35"/>
      <c r="AV470" s="35"/>
      <c r="AW470" s="35"/>
    </row>
    <row r="471">
      <c r="A471" s="17"/>
      <c r="B471" s="35"/>
      <c r="C471" s="74"/>
      <c r="D471" s="74"/>
      <c r="E471" s="74"/>
      <c r="F471" s="74"/>
      <c r="G471" s="74"/>
      <c r="H471" s="74"/>
      <c r="I471" s="74"/>
      <c r="J471" s="57"/>
      <c r="K471" s="57"/>
      <c r="L471" s="57"/>
      <c r="M471" s="57"/>
      <c r="N471" s="57"/>
      <c r="O471" s="57"/>
      <c r="P471" s="57"/>
      <c r="Q471" s="69"/>
      <c r="R471" s="69"/>
      <c r="S471" s="23" t="str">
        <f>iferror(if(AN471=1,VLOOKUP(B471, Blends!H$4:AK$1004,32,0), ""), "")</f>
        <v/>
      </c>
      <c r="T471" s="58"/>
      <c r="U471" s="77"/>
      <c r="V471" s="77"/>
      <c r="W471" s="78"/>
      <c r="X471" s="77"/>
      <c r="Y471" s="77"/>
      <c r="Z471" s="77"/>
      <c r="AA471" s="77"/>
      <c r="AB471" s="77"/>
      <c r="AC471" s="77"/>
      <c r="AD471" s="77"/>
      <c r="AE471" s="77"/>
      <c r="AF471" s="77"/>
      <c r="AG471" s="77"/>
      <c r="AH471" s="77"/>
      <c r="AI471" s="77"/>
      <c r="AJ471" s="79"/>
      <c r="AK471" s="80"/>
      <c r="AL471" s="59"/>
      <c r="AM471" s="35"/>
      <c r="AN471" s="35"/>
      <c r="AO471" s="35"/>
      <c r="AP471" s="35"/>
      <c r="AQ471" s="35"/>
      <c r="AR471" s="35"/>
      <c r="AS471" s="35"/>
      <c r="AT471" s="35"/>
      <c r="AU471" s="35"/>
      <c r="AV471" s="35"/>
      <c r="AW471" s="35"/>
    </row>
    <row r="472">
      <c r="A472" s="17"/>
      <c r="B472" s="35"/>
      <c r="C472" s="74"/>
      <c r="D472" s="74"/>
      <c r="E472" s="74"/>
      <c r="F472" s="74"/>
      <c r="G472" s="74"/>
      <c r="H472" s="74"/>
      <c r="I472" s="74"/>
      <c r="J472" s="57"/>
      <c r="K472" s="57"/>
      <c r="L472" s="57"/>
      <c r="M472" s="57"/>
      <c r="N472" s="57"/>
      <c r="O472" s="57"/>
      <c r="P472" s="57"/>
      <c r="Q472" s="69"/>
      <c r="R472" s="69"/>
      <c r="S472" s="23" t="str">
        <f>iferror(if(AN472=1,VLOOKUP(B472, Blends!H$4:AK$1004,32,0), ""), "")</f>
        <v/>
      </c>
      <c r="T472" s="58"/>
      <c r="U472" s="77"/>
      <c r="V472" s="77"/>
      <c r="W472" s="78"/>
      <c r="X472" s="77"/>
      <c r="Y472" s="77"/>
      <c r="Z472" s="77"/>
      <c r="AA472" s="77"/>
      <c r="AB472" s="77"/>
      <c r="AC472" s="77"/>
      <c r="AD472" s="77"/>
      <c r="AE472" s="77"/>
      <c r="AF472" s="77"/>
      <c r="AG472" s="77"/>
      <c r="AH472" s="77"/>
      <c r="AI472" s="77"/>
      <c r="AJ472" s="79"/>
      <c r="AK472" s="80"/>
      <c r="AL472" s="59"/>
      <c r="AM472" s="35"/>
      <c r="AN472" s="35"/>
      <c r="AO472" s="35"/>
      <c r="AP472" s="35"/>
      <c r="AQ472" s="35"/>
      <c r="AR472" s="35"/>
      <c r="AS472" s="35"/>
      <c r="AT472" s="35"/>
      <c r="AU472" s="35"/>
      <c r="AV472" s="35"/>
      <c r="AW472" s="35"/>
    </row>
    <row r="473">
      <c r="A473" s="17"/>
      <c r="B473" s="35"/>
      <c r="C473" s="74"/>
      <c r="D473" s="74"/>
      <c r="E473" s="74"/>
      <c r="F473" s="74"/>
      <c r="G473" s="74"/>
      <c r="H473" s="74"/>
      <c r="I473" s="74"/>
      <c r="J473" s="57"/>
      <c r="K473" s="57"/>
      <c r="L473" s="57"/>
      <c r="M473" s="57"/>
      <c r="N473" s="57"/>
      <c r="O473" s="57"/>
      <c r="P473" s="57"/>
      <c r="Q473" s="69"/>
      <c r="R473" s="69"/>
      <c r="S473" s="23" t="str">
        <f>iferror(if(AN473=1,VLOOKUP(B473, Blends!H$4:AK$1004,32,0), ""), "")</f>
        <v/>
      </c>
      <c r="T473" s="58"/>
      <c r="U473" s="77"/>
      <c r="V473" s="77"/>
      <c r="W473" s="78"/>
      <c r="X473" s="77"/>
      <c r="Y473" s="77"/>
      <c r="Z473" s="77"/>
      <c r="AA473" s="77"/>
      <c r="AB473" s="77"/>
      <c r="AC473" s="77"/>
      <c r="AD473" s="77"/>
      <c r="AE473" s="77"/>
      <c r="AF473" s="77"/>
      <c r="AG473" s="77"/>
      <c r="AH473" s="77"/>
      <c r="AI473" s="77"/>
      <c r="AJ473" s="79"/>
      <c r="AK473" s="80"/>
      <c r="AL473" s="59"/>
      <c r="AM473" s="35"/>
      <c r="AN473" s="35"/>
      <c r="AO473" s="35"/>
      <c r="AP473" s="35"/>
      <c r="AQ473" s="35"/>
      <c r="AR473" s="35"/>
      <c r="AS473" s="35"/>
      <c r="AT473" s="35"/>
      <c r="AU473" s="35"/>
      <c r="AV473" s="35"/>
      <c r="AW473" s="35"/>
    </row>
    <row r="474">
      <c r="A474" s="17"/>
      <c r="B474" s="35"/>
      <c r="C474" s="74"/>
      <c r="D474" s="74"/>
      <c r="E474" s="74"/>
      <c r="F474" s="74"/>
      <c r="G474" s="74"/>
      <c r="H474" s="74"/>
      <c r="I474" s="74"/>
      <c r="J474" s="57"/>
      <c r="K474" s="57"/>
      <c r="L474" s="57"/>
      <c r="M474" s="57"/>
      <c r="N474" s="57"/>
      <c r="O474" s="57"/>
      <c r="P474" s="57"/>
      <c r="Q474" s="69"/>
      <c r="R474" s="69"/>
      <c r="S474" s="23" t="str">
        <f>iferror(if(AN474=1,VLOOKUP(B474, Blends!H$4:AK$1004,32,0), ""), "")</f>
        <v/>
      </c>
      <c r="T474" s="58"/>
      <c r="U474" s="77"/>
      <c r="V474" s="77"/>
      <c r="W474" s="78"/>
      <c r="X474" s="77"/>
      <c r="Y474" s="77"/>
      <c r="Z474" s="77"/>
      <c r="AA474" s="77"/>
      <c r="AB474" s="77"/>
      <c r="AC474" s="77"/>
      <c r="AD474" s="77"/>
      <c r="AE474" s="77"/>
      <c r="AF474" s="77"/>
      <c r="AG474" s="77"/>
      <c r="AH474" s="77"/>
      <c r="AI474" s="77"/>
      <c r="AJ474" s="79"/>
      <c r="AK474" s="80"/>
      <c r="AL474" s="59"/>
      <c r="AM474" s="35"/>
      <c r="AN474" s="35"/>
      <c r="AO474" s="35"/>
      <c r="AP474" s="35"/>
      <c r="AQ474" s="35"/>
      <c r="AR474" s="35"/>
      <c r="AS474" s="35"/>
      <c r="AT474" s="35"/>
      <c r="AU474" s="35"/>
      <c r="AV474" s="35"/>
      <c r="AW474" s="35"/>
    </row>
    <row r="475">
      <c r="A475" s="17"/>
      <c r="B475" s="35"/>
      <c r="C475" s="74"/>
      <c r="D475" s="74"/>
      <c r="E475" s="74"/>
      <c r="F475" s="74"/>
      <c r="G475" s="74"/>
      <c r="H475" s="74"/>
      <c r="I475" s="74"/>
      <c r="J475" s="57"/>
      <c r="K475" s="57"/>
      <c r="L475" s="57"/>
      <c r="M475" s="57"/>
      <c r="N475" s="57"/>
      <c r="O475" s="57"/>
      <c r="P475" s="57"/>
      <c r="Q475" s="69"/>
      <c r="R475" s="69"/>
      <c r="S475" s="23" t="str">
        <f>iferror(if(AN475=1,VLOOKUP(B475, Blends!H$4:AK$1004,32,0), ""), "")</f>
        <v/>
      </c>
      <c r="T475" s="58"/>
      <c r="U475" s="77"/>
      <c r="V475" s="77"/>
      <c r="W475" s="78"/>
      <c r="X475" s="77"/>
      <c r="Y475" s="77"/>
      <c r="Z475" s="77"/>
      <c r="AA475" s="77"/>
      <c r="AB475" s="77"/>
      <c r="AC475" s="77"/>
      <c r="AD475" s="77"/>
      <c r="AE475" s="77"/>
      <c r="AF475" s="77"/>
      <c r="AG475" s="77"/>
      <c r="AH475" s="77"/>
      <c r="AI475" s="77"/>
      <c r="AJ475" s="79"/>
      <c r="AK475" s="80"/>
      <c r="AL475" s="59"/>
      <c r="AM475" s="35"/>
      <c r="AN475" s="35"/>
      <c r="AO475" s="35"/>
      <c r="AP475" s="35"/>
      <c r="AQ475" s="35"/>
      <c r="AR475" s="35"/>
      <c r="AS475" s="35"/>
      <c r="AT475" s="35"/>
      <c r="AU475" s="35"/>
      <c r="AV475" s="35"/>
      <c r="AW475" s="35"/>
    </row>
    <row r="476">
      <c r="A476" s="17"/>
      <c r="B476" s="35"/>
      <c r="C476" s="74"/>
      <c r="D476" s="74"/>
      <c r="E476" s="74"/>
      <c r="F476" s="74"/>
      <c r="G476" s="74"/>
      <c r="H476" s="74"/>
      <c r="I476" s="74"/>
      <c r="J476" s="57"/>
      <c r="K476" s="57"/>
      <c r="L476" s="57"/>
      <c r="M476" s="57"/>
      <c r="N476" s="57"/>
      <c r="O476" s="57"/>
      <c r="P476" s="57"/>
      <c r="Q476" s="69"/>
      <c r="R476" s="69"/>
      <c r="S476" s="23" t="str">
        <f>iferror(if(AN476=1,VLOOKUP(B476, Blends!H$4:AK$1004,32,0), ""), "")</f>
        <v/>
      </c>
      <c r="T476" s="58"/>
      <c r="U476" s="77"/>
      <c r="V476" s="77"/>
      <c r="W476" s="78"/>
      <c r="X476" s="77"/>
      <c r="Y476" s="77"/>
      <c r="Z476" s="77"/>
      <c r="AA476" s="77"/>
      <c r="AB476" s="77"/>
      <c r="AC476" s="77"/>
      <c r="AD476" s="77"/>
      <c r="AE476" s="77"/>
      <c r="AF476" s="77"/>
      <c r="AG476" s="77"/>
      <c r="AH476" s="77"/>
      <c r="AI476" s="77"/>
      <c r="AJ476" s="79"/>
      <c r="AK476" s="80"/>
      <c r="AL476" s="59"/>
      <c r="AM476" s="35"/>
      <c r="AN476" s="35"/>
      <c r="AO476" s="35"/>
      <c r="AP476" s="35"/>
      <c r="AQ476" s="35"/>
      <c r="AR476" s="35"/>
      <c r="AS476" s="35"/>
      <c r="AT476" s="35"/>
      <c r="AU476" s="35"/>
      <c r="AV476" s="35"/>
      <c r="AW476" s="35"/>
    </row>
    <row r="477">
      <c r="A477" s="17"/>
      <c r="B477" s="35"/>
      <c r="C477" s="74"/>
      <c r="D477" s="74"/>
      <c r="E477" s="74"/>
      <c r="F477" s="74"/>
      <c r="G477" s="74"/>
      <c r="H477" s="74"/>
      <c r="I477" s="74"/>
      <c r="J477" s="57"/>
      <c r="K477" s="57"/>
      <c r="L477" s="57"/>
      <c r="M477" s="57"/>
      <c r="N477" s="57"/>
      <c r="O477" s="57"/>
      <c r="P477" s="57"/>
      <c r="Q477" s="69"/>
      <c r="R477" s="69"/>
      <c r="S477" s="23" t="str">
        <f>iferror(if(AN477=1,VLOOKUP(B477, Blends!H$4:AK$1004,32,0), ""), "")</f>
        <v/>
      </c>
      <c r="T477" s="58"/>
      <c r="U477" s="77"/>
      <c r="V477" s="77"/>
      <c r="W477" s="78"/>
      <c r="X477" s="77"/>
      <c r="Y477" s="77"/>
      <c r="Z477" s="77"/>
      <c r="AA477" s="77"/>
      <c r="AB477" s="77"/>
      <c r="AC477" s="77"/>
      <c r="AD477" s="77"/>
      <c r="AE477" s="77"/>
      <c r="AF477" s="77"/>
      <c r="AG477" s="77"/>
      <c r="AH477" s="77"/>
      <c r="AI477" s="77"/>
      <c r="AJ477" s="79"/>
      <c r="AK477" s="80"/>
      <c r="AL477" s="59"/>
      <c r="AM477" s="35"/>
      <c r="AN477" s="35"/>
      <c r="AO477" s="35"/>
      <c r="AP477" s="35"/>
      <c r="AQ477" s="35"/>
      <c r="AR477" s="35"/>
      <c r="AS477" s="35"/>
      <c r="AT477" s="35"/>
      <c r="AU477" s="35"/>
      <c r="AV477" s="35"/>
      <c r="AW477" s="35"/>
    </row>
    <row r="478">
      <c r="A478" s="17"/>
      <c r="B478" s="35"/>
      <c r="C478" s="74"/>
      <c r="D478" s="74"/>
      <c r="E478" s="74"/>
      <c r="F478" s="74"/>
      <c r="G478" s="74"/>
      <c r="H478" s="74"/>
      <c r="I478" s="74"/>
      <c r="J478" s="57"/>
      <c r="K478" s="57"/>
      <c r="L478" s="57"/>
      <c r="M478" s="57"/>
      <c r="N478" s="57"/>
      <c r="O478" s="57"/>
      <c r="P478" s="57"/>
      <c r="Q478" s="69"/>
      <c r="R478" s="69"/>
      <c r="S478" s="23" t="str">
        <f>iferror(if(AN478=1,VLOOKUP(B478, Blends!H$4:AK$1004,32,0), ""), "")</f>
        <v/>
      </c>
      <c r="T478" s="58"/>
      <c r="U478" s="77"/>
      <c r="V478" s="77"/>
      <c r="W478" s="78"/>
      <c r="X478" s="77"/>
      <c r="Y478" s="77"/>
      <c r="Z478" s="77"/>
      <c r="AA478" s="77"/>
      <c r="AB478" s="77"/>
      <c r="AC478" s="77"/>
      <c r="AD478" s="77"/>
      <c r="AE478" s="77"/>
      <c r="AF478" s="77"/>
      <c r="AG478" s="77"/>
      <c r="AH478" s="77"/>
      <c r="AI478" s="77"/>
      <c r="AJ478" s="79"/>
      <c r="AK478" s="80"/>
      <c r="AL478" s="59"/>
      <c r="AM478" s="35"/>
      <c r="AN478" s="35"/>
      <c r="AO478" s="35"/>
      <c r="AP478" s="35"/>
      <c r="AQ478" s="35"/>
      <c r="AR478" s="35"/>
      <c r="AS478" s="35"/>
      <c r="AT478" s="35"/>
      <c r="AU478" s="35"/>
      <c r="AV478" s="35"/>
      <c r="AW478" s="35"/>
    </row>
    <row r="479">
      <c r="A479" s="17"/>
      <c r="B479" s="35"/>
      <c r="C479" s="74"/>
      <c r="D479" s="74"/>
      <c r="E479" s="74"/>
      <c r="F479" s="74"/>
      <c r="G479" s="74"/>
      <c r="H479" s="74"/>
      <c r="I479" s="74"/>
      <c r="J479" s="57"/>
      <c r="K479" s="57"/>
      <c r="L479" s="57"/>
      <c r="M479" s="57"/>
      <c r="N479" s="57"/>
      <c r="O479" s="57"/>
      <c r="P479" s="57"/>
      <c r="Q479" s="69"/>
      <c r="R479" s="69"/>
      <c r="S479" s="23" t="str">
        <f>iferror(if(AN479=1,VLOOKUP(B479, Blends!H$4:AK$1004,32,0), ""), "")</f>
        <v/>
      </c>
      <c r="T479" s="58"/>
      <c r="U479" s="77"/>
      <c r="V479" s="77"/>
      <c r="W479" s="78"/>
      <c r="X479" s="77"/>
      <c r="Y479" s="77"/>
      <c r="Z479" s="77"/>
      <c r="AA479" s="77"/>
      <c r="AB479" s="77"/>
      <c r="AC479" s="77"/>
      <c r="AD479" s="77"/>
      <c r="AE479" s="77"/>
      <c r="AF479" s="77"/>
      <c r="AG479" s="77"/>
      <c r="AH479" s="77"/>
      <c r="AI479" s="77"/>
      <c r="AJ479" s="79"/>
      <c r="AK479" s="80"/>
      <c r="AL479" s="59"/>
      <c r="AM479" s="35"/>
      <c r="AN479" s="35"/>
      <c r="AO479" s="35"/>
      <c r="AP479" s="35"/>
      <c r="AQ479" s="35"/>
      <c r="AR479" s="35"/>
      <c r="AS479" s="35"/>
      <c r="AT479" s="35"/>
      <c r="AU479" s="35"/>
      <c r="AV479" s="35"/>
      <c r="AW479" s="35"/>
    </row>
    <row r="480">
      <c r="A480" s="17"/>
      <c r="B480" s="35"/>
      <c r="C480" s="74"/>
      <c r="D480" s="74"/>
      <c r="E480" s="74"/>
      <c r="F480" s="74"/>
      <c r="G480" s="74"/>
      <c r="H480" s="74"/>
      <c r="I480" s="74"/>
      <c r="J480" s="57"/>
      <c r="K480" s="57"/>
      <c r="L480" s="57"/>
      <c r="M480" s="57"/>
      <c r="N480" s="57"/>
      <c r="O480" s="57"/>
      <c r="P480" s="57"/>
      <c r="Q480" s="69"/>
      <c r="R480" s="69"/>
      <c r="S480" s="23" t="str">
        <f>iferror(if(AN480=1,VLOOKUP(B480, Blends!H$4:AK$1004,32,0), ""), "")</f>
        <v/>
      </c>
      <c r="T480" s="58"/>
      <c r="U480" s="77"/>
      <c r="V480" s="77"/>
      <c r="W480" s="78"/>
      <c r="X480" s="77"/>
      <c r="Y480" s="77"/>
      <c r="Z480" s="77"/>
      <c r="AA480" s="77"/>
      <c r="AB480" s="77"/>
      <c r="AC480" s="77"/>
      <c r="AD480" s="77"/>
      <c r="AE480" s="77"/>
      <c r="AF480" s="77"/>
      <c r="AG480" s="77"/>
      <c r="AH480" s="77"/>
      <c r="AI480" s="77"/>
      <c r="AJ480" s="79"/>
      <c r="AK480" s="80"/>
      <c r="AL480" s="59"/>
      <c r="AM480" s="35"/>
      <c r="AN480" s="35"/>
      <c r="AO480" s="35"/>
      <c r="AP480" s="35"/>
      <c r="AQ480" s="35"/>
      <c r="AR480" s="35"/>
      <c r="AS480" s="35"/>
      <c r="AT480" s="35"/>
      <c r="AU480" s="35"/>
      <c r="AV480" s="35"/>
      <c r="AW480" s="35"/>
    </row>
    <row r="481">
      <c r="A481" s="17"/>
      <c r="B481" s="35"/>
      <c r="C481" s="74"/>
      <c r="D481" s="74"/>
      <c r="E481" s="74"/>
      <c r="F481" s="74"/>
      <c r="G481" s="74"/>
      <c r="H481" s="74"/>
      <c r="I481" s="74"/>
      <c r="J481" s="57"/>
      <c r="K481" s="57"/>
      <c r="L481" s="57"/>
      <c r="M481" s="57"/>
      <c r="N481" s="57"/>
      <c r="O481" s="57"/>
      <c r="P481" s="57"/>
      <c r="Q481" s="69"/>
      <c r="R481" s="69"/>
      <c r="S481" s="23" t="str">
        <f>iferror(if(AN481=1,VLOOKUP(B481, Blends!H$4:AK$1004,32,0), ""), "")</f>
        <v/>
      </c>
      <c r="T481" s="58"/>
      <c r="U481" s="77"/>
      <c r="V481" s="77"/>
      <c r="W481" s="78"/>
      <c r="X481" s="77"/>
      <c r="Y481" s="77"/>
      <c r="Z481" s="77"/>
      <c r="AA481" s="77"/>
      <c r="AB481" s="77"/>
      <c r="AC481" s="77"/>
      <c r="AD481" s="77"/>
      <c r="AE481" s="77"/>
      <c r="AF481" s="77"/>
      <c r="AG481" s="77"/>
      <c r="AH481" s="77"/>
      <c r="AI481" s="77"/>
      <c r="AJ481" s="79"/>
      <c r="AK481" s="80"/>
      <c r="AL481" s="59"/>
      <c r="AM481" s="35"/>
      <c r="AN481" s="35"/>
      <c r="AO481" s="35"/>
      <c r="AP481" s="35"/>
      <c r="AQ481" s="35"/>
      <c r="AR481" s="35"/>
      <c r="AS481" s="35"/>
      <c r="AT481" s="35"/>
      <c r="AU481" s="35"/>
      <c r="AV481" s="35"/>
      <c r="AW481" s="35"/>
    </row>
    <row r="482">
      <c r="A482" s="17"/>
      <c r="B482" s="35"/>
      <c r="C482" s="74"/>
      <c r="D482" s="74"/>
      <c r="E482" s="74"/>
      <c r="F482" s="74"/>
      <c r="G482" s="74"/>
      <c r="H482" s="74"/>
      <c r="I482" s="74"/>
      <c r="J482" s="57"/>
      <c r="K482" s="57"/>
      <c r="L482" s="57"/>
      <c r="M482" s="57"/>
      <c r="N482" s="57"/>
      <c r="O482" s="57"/>
      <c r="P482" s="57"/>
      <c r="Q482" s="69"/>
      <c r="R482" s="69"/>
      <c r="S482" s="23" t="str">
        <f>iferror(if(AN482=1,VLOOKUP(B482, Blends!H$4:AK$1004,32,0), ""), "")</f>
        <v/>
      </c>
      <c r="T482" s="58"/>
      <c r="U482" s="77"/>
      <c r="V482" s="77"/>
      <c r="W482" s="78"/>
      <c r="X482" s="77"/>
      <c r="Y482" s="77"/>
      <c r="Z482" s="77"/>
      <c r="AA482" s="77"/>
      <c r="AB482" s="77"/>
      <c r="AC482" s="77"/>
      <c r="AD482" s="77"/>
      <c r="AE482" s="77"/>
      <c r="AF482" s="77"/>
      <c r="AG482" s="77"/>
      <c r="AH482" s="77"/>
      <c r="AI482" s="77"/>
      <c r="AJ482" s="79"/>
      <c r="AK482" s="80"/>
      <c r="AL482" s="59"/>
      <c r="AM482" s="35"/>
      <c r="AN482" s="35"/>
      <c r="AO482" s="35"/>
      <c r="AP482" s="35"/>
      <c r="AQ482" s="35"/>
      <c r="AR482" s="35"/>
      <c r="AS482" s="35"/>
      <c r="AT482" s="35"/>
      <c r="AU482" s="35"/>
      <c r="AV482" s="35"/>
      <c r="AW482" s="35"/>
    </row>
    <row r="483">
      <c r="A483" s="17"/>
      <c r="B483" s="35"/>
      <c r="C483" s="74"/>
      <c r="D483" s="74"/>
      <c r="E483" s="74"/>
      <c r="F483" s="74"/>
      <c r="G483" s="74"/>
      <c r="H483" s="74"/>
      <c r="I483" s="74"/>
      <c r="J483" s="57"/>
      <c r="K483" s="57"/>
      <c r="L483" s="57"/>
      <c r="M483" s="57"/>
      <c r="N483" s="57"/>
      <c r="O483" s="57"/>
      <c r="P483" s="57"/>
      <c r="Q483" s="69"/>
      <c r="R483" s="69"/>
      <c r="S483" s="23" t="str">
        <f>iferror(if(AN483=1,VLOOKUP(B483, Blends!H$4:AK$1004,32,0), ""), "")</f>
        <v/>
      </c>
      <c r="T483" s="58"/>
      <c r="U483" s="77"/>
      <c r="V483" s="77"/>
      <c r="W483" s="78"/>
      <c r="X483" s="77"/>
      <c r="Y483" s="77"/>
      <c r="Z483" s="77"/>
      <c r="AA483" s="77"/>
      <c r="AB483" s="77"/>
      <c r="AC483" s="77"/>
      <c r="AD483" s="77"/>
      <c r="AE483" s="77"/>
      <c r="AF483" s="77"/>
      <c r="AG483" s="77"/>
      <c r="AH483" s="77"/>
      <c r="AI483" s="77"/>
      <c r="AJ483" s="79"/>
      <c r="AK483" s="80"/>
      <c r="AL483" s="59"/>
      <c r="AM483" s="35"/>
      <c r="AN483" s="35"/>
      <c r="AO483" s="35"/>
      <c r="AP483" s="35"/>
      <c r="AQ483" s="35"/>
      <c r="AR483" s="35"/>
      <c r="AS483" s="35"/>
      <c r="AT483" s="35"/>
      <c r="AU483" s="35"/>
      <c r="AV483" s="35"/>
      <c r="AW483" s="35"/>
    </row>
    <row r="484">
      <c r="A484" s="17"/>
      <c r="B484" s="35"/>
      <c r="C484" s="74"/>
      <c r="D484" s="74"/>
      <c r="E484" s="74"/>
      <c r="F484" s="74"/>
      <c r="G484" s="74"/>
      <c r="H484" s="74"/>
      <c r="I484" s="74"/>
      <c r="J484" s="57"/>
      <c r="K484" s="57"/>
      <c r="L484" s="57"/>
      <c r="M484" s="57"/>
      <c r="N484" s="57"/>
      <c r="O484" s="57"/>
      <c r="P484" s="57"/>
      <c r="Q484" s="69"/>
      <c r="R484" s="69"/>
      <c r="S484" s="23" t="str">
        <f>iferror(if(AN484=1,VLOOKUP(B484, Blends!H$4:AK$1004,32,0), ""), "")</f>
        <v/>
      </c>
      <c r="T484" s="58"/>
      <c r="U484" s="77"/>
      <c r="V484" s="77"/>
      <c r="W484" s="78"/>
      <c r="X484" s="77"/>
      <c r="Y484" s="77"/>
      <c r="Z484" s="77"/>
      <c r="AA484" s="77"/>
      <c r="AB484" s="77"/>
      <c r="AC484" s="77"/>
      <c r="AD484" s="77"/>
      <c r="AE484" s="77"/>
      <c r="AF484" s="77"/>
      <c r="AG484" s="77"/>
      <c r="AH484" s="77"/>
      <c r="AI484" s="77"/>
      <c r="AJ484" s="79"/>
      <c r="AK484" s="80"/>
      <c r="AL484" s="59"/>
      <c r="AM484" s="35"/>
      <c r="AN484" s="35"/>
      <c r="AO484" s="35"/>
      <c r="AP484" s="35"/>
      <c r="AQ484" s="35"/>
      <c r="AR484" s="35"/>
      <c r="AS484" s="35"/>
      <c r="AT484" s="35"/>
      <c r="AU484" s="35"/>
      <c r="AV484" s="35"/>
      <c r="AW484" s="35"/>
    </row>
    <row r="485">
      <c r="A485" s="17"/>
      <c r="B485" s="35"/>
      <c r="C485" s="74"/>
      <c r="D485" s="74"/>
      <c r="E485" s="74"/>
      <c r="F485" s="74"/>
      <c r="G485" s="74"/>
      <c r="H485" s="74"/>
      <c r="I485" s="74"/>
      <c r="J485" s="57"/>
      <c r="K485" s="57"/>
      <c r="L485" s="57"/>
      <c r="M485" s="57"/>
      <c r="N485" s="57"/>
      <c r="O485" s="57"/>
      <c r="P485" s="57"/>
      <c r="Q485" s="69"/>
      <c r="R485" s="69"/>
      <c r="S485" s="23" t="str">
        <f>iferror(if(AN485=1,VLOOKUP(B485, Blends!H$4:AK$1004,32,0), ""), "")</f>
        <v/>
      </c>
      <c r="T485" s="58"/>
      <c r="U485" s="77"/>
      <c r="V485" s="77"/>
      <c r="W485" s="78"/>
      <c r="X485" s="77"/>
      <c r="Y485" s="77"/>
      <c r="Z485" s="77"/>
      <c r="AA485" s="77"/>
      <c r="AB485" s="77"/>
      <c r="AC485" s="77"/>
      <c r="AD485" s="77"/>
      <c r="AE485" s="77"/>
      <c r="AF485" s="77"/>
      <c r="AG485" s="77"/>
      <c r="AH485" s="77"/>
      <c r="AI485" s="77"/>
      <c r="AJ485" s="79"/>
      <c r="AK485" s="80"/>
      <c r="AL485" s="59"/>
      <c r="AM485" s="35"/>
      <c r="AN485" s="35"/>
      <c r="AO485" s="35"/>
      <c r="AP485" s="35"/>
      <c r="AQ485" s="35"/>
      <c r="AR485" s="35"/>
      <c r="AS485" s="35"/>
      <c r="AT485" s="35"/>
      <c r="AU485" s="35"/>
      <c r="AV485" s="35"/>
      <c r="AW485" s="35"/>
    </row>
    <row r="486">
      <c r="A486" s="17"/>
      <c r="B486" s="35"/>
      <c r="C486" s="74"/>
      <c r="D486" s="74"/>
      <c r="E486" s="74"/>
      <c r="F486" s="74"/>
      <c r="G486" s="74"/>
      <c r="H486" s="74"/>
      <c r="I486" s="74"/>
      <c r="J486" s="57"/>
      <c r="K486" s="57"/>
      <c r="L486" s="57"/>
      <c r="M486" s="57"/>
      <c r="N486" s="57"/>
      <c r="O486" s="57"/>
      <c r="P486" s="57"/>
      <c r="Q486" s="69"/>
      <c r="R486" s="69"/>
      <c r="S486" s="23" t="str">
        <f>iferror(if(AN486=1,VLOOKUP(B486, Blends!H$4:AK$1004,32,0), ""), "")</f>
        <v/>
      </c>
      <c r="T486" s="58"/>
      <c r="U486" s="77"/>
      <c r="V486" s="77"/>
      <c r="W486" s="78"/>
      <c r="X486" s="77"/>
      <c r="Y486" s="77"/>
      <c r="Z486" s="77"/>
      <c r="AA486" s="77"/>
      <c r="AB486" s="77"/>
      <c r="AC486" s="77"/>
      <c r="AD486" s="77"/>
      <c r="AE486" s="77"/>
      <c r="AF486" s="77"/>
      <c r="AG486" s="77"/>
      <c r="AH486" s="77"/>
      <c r="AI486" s="77"/>
      <c r="AJ486" s="79"/>
      <c r="AK486" s="80"/>
      <c r="AL486" s="59"/>
      <c r="AM486" s="35"/>
      <c r="AN486" s="35"/>
      <c r="AO486" s="35"/>
      <c r="AP486" s="35"/>
      <c r="AQ486" s="35"/>
      <c r="AR486" s="35"/>
      <c r="AS486" s="35"/>
      <c r="AT486" s="35"/>
      <c r="AU486" s="35"/>
      <c r="AV486" s="35"/>
      <c r="AW486" s="35"/>
    </row>
    <row r="487">
      <c r="A487" s="17"/>
      <c r="B487" s="35"/>
      <c r="C487" s="74"/>
      <c r="D487" s="74"/>
      <c r="E487" s="74"/>
      <c r="F487" s="74"/>
      <c r="G487" s="74"/>
      <c r="H487" s="74"/>
      <c r="I487" s="74"/>
      <c r="J487" s="57"/>
      <c r="K487" s="57"/>
      <c r="L487" s="57"/>
      <c r="M487" s="57"/>
      <c r="N487" s="57"/>
      <c r="O487" s="57"/>
      <c r="P487" s="57"/>
      <c r="Q487" s="69"/>
      <c r="R487" s="69"/>
      <c r="S487" s="23" t="str">
        <f>iferror(if(AN487=1,VLOOKUP(B487, Blends!H$4:AK$1004,32,0), ""), "")</f>
        <v/>
      </c>
      <c r="T487" s="58"/>
      <c r="U487" s="77"/>
      <c r="V487" s="77"/>
      <c r="W487" s="78"/>
      <c r="X487" s="77"/>
      <c r="Y487" s="77"/>
      <c r="Z487" s="77"/>
      <c r="AA487" s="77"/>
      <c r="AB487" s="77"/>
      <c r="AC487" s="77"/>
      <c r="AD487" s="77"/>
      <c r="AE487" s="77"/>
      <c r="AF487" s="77"/>
      <c r="AG487" s="77"/>
      <c r="AH487" s="77"/>
      <c r="AI487" s="77"/>
      <c r="AJ487" s="79"/>
      <c r="AK487" s="80"/>
      <c r="AL487" s="59"/>
      <c r="AM487" s="35"/>
      <c r="AN487" s="35"/>
      <c r="AO487" s="35"/>
      <c r="AP487" s="35"/>
      <c r="AQ487" s="35"/>
      <c r="AR487" s="35"/>
      <c r="AS487" s="35"/>
      <c r="AT487" s="35"/>
      <c r="AU487" s="35"/>
      <c r="AV487" s="35"/>
      <c r="AW487" s="35"/>
    </row>
    <row r="488">
      <c r="A488" s="17"/>
      <c r="B488" s="35"/>
      <c r="C488" s="74"/>
      <c r="D488" s="74"/>
      <c r="E488" s="74"/>
      <c r="F488" s="74"/>
      <c r="G488" s="74"/>
      <c r="H488" s="74"/>
      <c r="I488" s="74"/>
      <c r="J488" s="57"/>
      <c r="K488" s="57"/>
      <c r="L488" s="57"/>
      <c r="M488" s="57"/>
      <c r="N488" s="57"/>
      <c r="O488" s="57"/>
      <c r="P488" s="57"/>
      <c r="Q488" s="69"/>
      <c r="R488" s="69"/>
      <c r="S488" s="23" t="str">
        <f>iferror(if(AN488=1,VLOOKUP(B488, Blends!H$4:AK$1004,32,0), ""), "")</f>
        <v/>
      </c>
      <c r="T488" s="58"/>
      <c r="U488" s="77"/>
      <c r="V488" s="77"/>
      <c r="W488" s="78"/>
      <c r="X488" s="77"/>
      <c r="Y488" s="77"/>
      <c r="Z488" s="77"/>
      <c r="AA488" s="77"/>
      <c r="AB488" s="77"/>
      <c r="AC488" s="77"/>
      <c r="AD488" s="77"/>
      <c r="AE488" s="77"/>
      <c r="AF488" s="77"/>
      <c r="AG488" s="77"/>
      <c r="AH488" s="77"/>
      <c r="AI488" s="77"/>
      <c r="AJ488" s="79"/>
      <c r="AK488" s="80"/>
      <c r="AL488" s="59"/>
      <c r="AM488" s="35"/>
      <c r="AN488" s="35"/>
      <c r="AO488" s="35"/>
      <c r="AP488" s="35"/>
      <c r="AQ488" s="35"/>
      <c r="AR488" s="35"/>
      <c r="AS488" s="35"/>
      <c r="AT488" s="35"/>
      <c r="AU488" s="35"/>
      <c r="AV488" s="35"/>
      <c r="AW488" s="35"/>
    </row>
    <row r="489">
      <c r="A489" s="17"/>
      <c r="B489" s="35"/>
      <c r="C489" s="74"/>
      <c r="D489" s="74"/>
      <c r="E489" s="74"/>
      <c r="F489" s="74"/>
      <c r="G489" s="74"/>
      <c r="H489" s="74"/>
      <c r="I489" s="74"/>
      <c r="J489" s="57"/>
      <c r="K489" s="57"/>
      <c r="L489" s="57"/>
      <c r="M489" s="57"/>
      <c r="N489" s="57"/>
      <c r="O489" s="57"/>
      <c r="P489" s="57"/>
      <c r="Q489" s="69"/>
      <c r="R489" s="69"/>
      <c r="S489" s="23" t="str">
        <f>iferror(if(AN489=1,VLOOKUP(B489, Blends!H$4:AK$1004,32,0), ""), "")</f>
        <v/>
      </c>
      <c r="T489" s="58"/>
      <c r="U489" s="77"/>
      <c r="V489" s="77"/>
      <c r="W489" s="78"/>
      <c r="X489" s="77"/>
      <c r="Y489" s="77"/>
      <c r="Z489" s="77"/>
      <c r="AA489" s="77"/>
      <c r="AB489" s="77"/>
      <c r="AC489" s="77"/>
      <c r="AD489" s="77"/>
      <c r="AE489" s="77"/>
      <c r="AF489" s="77"/>
      <c r="AG489" s="77"/>
      <c r="AH489" s="77"/>
      <c r="AI489" s="77"/>
      <c r="AJ489" s="79"/>
      <c r="AK489" s="80"/>
      <c r="AL489" s="59"/>
      <c r="AM489" s="35"/>
      <c r="AN489" s="35"/>
      <c r="AO489" s="35"/>
      <c r="AP489" s="35"/>
      <c r="AQ489" s="35"/>
      <c r="AR489" s="35"/>
      <c r="AS489" s="35"/>
      <c r="AT489" s="35"/>
      <c r="AU489" s="35"/>
      <c r="AV489" s="35"/>
      <c r="AW489" s="35"/>
    </row>
    <row r="490">
      <c r="A490" s="17"/>
      <c r="B490" s="35"/>
      <c r="C490" s="74"/>
      <c r="D490" s="74"/>
      <c r="E490" s="74"/>
      <c r="F490" s="74"/>
      <c r="G490" s="74"/>
      <c r="H490" s="74"/>
      <c r="I490" s="74"/>
      <c r="J490" s="57"/>
      <c r="K490" s="57"/>
      <c r="L490" s="57"/>
      <c r="M490" s="57"/>
      <c r="N490" s="57"/>
      <c r="O490" s="57"/>
      <c r="P490" s="57"/>
      <c r="Q490" s="69"/>
      <c r="R490" s="69"/>
      <c r="S490" s="23" t="str">
        <f>iferror(if(AN490=1,VLOOKUP(B490, Blends!H$4:AK$1004,32,0), ""), "")</f>
        <v/>
      </c>
      <c r="T490" s="58"/>
      <c r="U490" s="77"/>
      <c r="V490" s="77"/>
      <c r="W490" s="78"/>
      <c r="X490" s="77"/>
      <c r="Y490" s="77"/>
      <c r="Z490" s="77"/>
      <c r="AA490" s="77"/>
      <c r="AB490" s="77"/>
      <c r="AC490" s="77"/>
      <c r="AD490" s="77"/>
      <c r="AE490" s="77"/>
      <c r="AF490" s="77"/>
      <c r="AG490" s="77"/>
      <c r="AH490" s="77"/>
      <c r="AI490" s="77"/>
      <c r="AJ490" s="79"/>
      <c r="AK490" s="80"/>
      <c r="AL490" s="59"/>
      <c r="AM490" s="35"/>
      <c r="AN490" s="35"/>
      <c r="AO490" s="35"/>
      <c r="AP490" s="35"/>
      <c r="AQ490" s="35"/>
      <c r="AR490" s="35"/>
      <c r="AS490" s="35"/>
      <c r="AT490" s="35"/>
      <c r="AU490" s="35"/>
      <c r="AV490" s="35"/>
      <c r="AW490" s="35"/>
    </row>
    <row r="491">
      <c r="A491" s="17"/>
      <c r="B491" s="35"/>
      <c r="C491" s="74"/>
      <c r="D491" s="74"/>
      <c r="E491" s="74"/>
      <c r="F491" s="74"/>
      <c r="G491" s="74"/>
      <c r="H491" s="74"/>
      <c r="I491" s="74"/>
      <c r="J491" s="57"/>
      <c r="K491" s="57"/>
      <c r="L491" s="57"/>
      <c r="M491" s="57"/>
      <c r="N491" s="57"/>
      <c r="O491" s="57"/>
      <c r="P491" s="57"/>
      <c r="Q491" s="69"/>
      <c r="R491" s="69"/>
      <c r="S491" s="23" t="str">
        <f>iferror(if(AN491=1,VLOOKUP(B491, Blends!H$4:AK$1004,32,0), ""), "")</f>
        <v/>
      </c>
      <c r="T491" s="58"/>
      <c r="U491" s="77"/>
      <c r="V491" s="77"/>
      <c r="W491" s="78"/>
      <c r="X491" s="77"/>
      <c r="Y491" s="77"/>
      <c r="Z491" s="77"/>
      <c r="AA491" s="77"/>
      <c r="AB491" s="77"/>
      <c r="AC491" s="77"/>
      <c r="AD491" s="77"/>
      <c r="AE491" s="77"/>
      <c r="AF491" s="77"/>
      <c r="AG491" s="77"/>
      <c r="AH491" s="77"/>
      <c r="AI491" s="77"/>
      <c r="AJ491" s="79"/>
      <c r="AK491" s="80"/>
      <c r="AL491" s="59"/>
      <c r="AM491" s="35"/>
      <c r="AN491" s="35"/>
      <c r="AO491" s="35"/>
      <c r="AP491" s="35"/>
      <c r="AQ491" s="35"/>
      <c r="AR491" s="35"/>
      <c r="AS491" s="35"/>
      <c r="AT491" s="35"/>
      <c r="AU491" s="35"/>
      <c r="AV491" s="35"/>
      <c r="AW491" s="35"/>
    </row>
    <row r="492">
      <c r="A492" s="17"/>
      <c r="B492" s="35"/>
      <c r="C492" s="74"/>
      <c r="D492" s="74"/>
      <c r="E492" s="74"/>
      <c r="F492" s="74"/>
      <c r="G492" s="74"/>
      <c r="H492" s="74"/>
      <c r="I492" s="74"/>
      <c r="J492" s="57"/>
      <c r="K492" s="57"/>
      <c r="L492" s="57"/>
      <c r="M492" s="57"/>
      <c r="N492" s="57"/>
      <c r="O492" s="57"/>
      <c r="P492" s="57"/>
      <c r="Q492" s="69"/>
      <c r="R492" s="69"/>
      <c r="S492" s="23" t="str">
        <f>iferror(if(AN492=1,VLOOKUP(B492, Blends!H$4:AK$1004,32,0), ""), "")</f>
        <v/>
      </c>
      <c r="T492" s="58"/>
      <c r="U492" s="77"/>
      <c r="V492" s="77"/>
      <c r="W492" s="78"/>
      <c r="X492" s="77"/>
      <c r="Y492" s="77"/>
      <c r="Z492" s="77"/>
      <c r="AA492" s="77"/>
      <c r="AB492" s="77"/>
      <c r="AC492" s="77"/>
      <c r="AD492" s="77"/>
      <c r="AE492" s="77"/>
      <c r="AF492" s="77"/>
      <c r="AG492" s="77"/>
      <c r="AH492" s="77"/>
      <c r="AI492" s="77"/>
      <c r="AJ492" s="79"/>
      <c r="AK492" s="80"/>
      <c r="AL492" s="59"/>
      <c r="AM492" s="35"/>
      <c r="AN492" s="35"/>
      <c r="AO492" s="35"/>
      <c r="AP492" s="35"/>
      <c r="AQ492" s="35"/>
      <c r="AR492" s="35"/>
      <c r="AS492" s="35"/>
      <c r="AT492" s="35"/>
      <c r="AU492" s="35"/>
      <c r="AV492" s="35"/>
      <c r="AW492" s="35"/>
    </row>
    <row r="493">
      <c r="A493" s="17"/>
      <c r="B493" s="35"/>
      <c r="C493" s="74"/>
      <c r="D493" s="74"/>
      <c r="E493" s="74"/>
      <c r="F493" s="74"/>
      <c r="G493" s="74"/>
      <c r="H493" s="74"/>
      <c r="I493" s="74"/>
      <c r="J493" s="57"/>
      <c r="K493" s="57"/>
      <c r="L493" s="57"/>
      <c r="M493" s="57"/>
      <c r="N493" s="57"/>
      <c r="O493" s="57"/>
      <c r="P493" s="57"/>
      <c r="Q493" s="69"/>
      <c r="R493" s="69"/>
      <c r="S493" s="23" t="str">
        <f>iferror(if(AN493=1,VLOOKUP(B493, Blends!H$4:AK$1004,32,0), ""), "")</f>
        <v/>
      </c>
      <c r="T493" s="58"/>
      <c r="U493" s="77"/>
      <c r="V493" s="77"/>
      <c r="W493" s="78"/>
      <c r="X493" s="77"/>
      <c r="Y493" s="77"/>
      <c r="Z493" s="77"/>
      <c r="AA493" s="77"/>
      <c r="AB493" s="77"/>
      <c r="AC493" s="77"/>
      <c r="AD493" s="77"/>
      <c r="AE493" s="77"/>
      <c r="AF493" s="77"/>
      <c r="AG493" s="77"/>
      <c r="AH493" s="77"/>
      <c r="AI493" s="77"/>
      <c r="AJ493" s="79"/>
      <c r="AK493" s="80"/>
      <c r="AL493" s="59"/>
      <c r="AM493" s="35"/>
      <c r="AN493" s="35"/>
      <c r="AO493" s="35"/>
      <c r="AP493" s="35"/>
      <c r="AQ493" s="35"/>
      <c r="AR493" s="35"/>
      <c r="AS493" s="35"/>
      <c r="AT493" s="35"/>
      <c r="AU493" s="35"/>
      <c r="AV493" s="35"/>
      <c r="AW493" s="35"/>
    </row>
    <row r="494">
      <c r="A494" s="17"/>
      <c r="B494" s="35"/>
      <c r="C494" s="74"/>
      <c r="D494" s="74"/>
      <c r="E494" s="74"/>
      <c r="F494" s="74"/>
      <c r="G494" s="74"/>
      <c r="H494" s="74"/>
      <c r="I494" s="74"/>
      <c r="J494" s="57"/>
      <c r="K494" s="57"/>
      <c r="L494" s="57"/>
      <c r="M494" s="57"/>
      <c r="N494" s="57"/>
      <c r="O494" s="57"/>
      <c r="P494" s="57"/>
      <c r="Q494" s="69"/>
      <c r="R494" s="69"/>
      <c r="S494" s="23" t="str">
        <f>iferror(if(AN494=1,VLOOKUP(B494, Blends!H$4:AK$1004,32,0), ""), "")</f>
        <v/>
      </c>
      <c r="T494" s="58"/>
      <c r="U494" s="77"/>
      <c r="V494" s="77"/>
      <c r="W494" s="78"/>
      <c r="X494" s="77"/>
      <c r="Y494" s="77"/>
      <c r="Z494" s="77"/>
      <c r="AA494" s="77"/>
      <c r="AB494" s="77"/>
      <c r="AC494" s="77"/>
      <c r="AD494" s="77"/>
      <c r="AE494" s="77"/>
      <c r="AF494" s="77"/>
      <c r="AG494" s="77"/>
      <c r="AH494" s="77"/>
      <c r="AI494" s="77"/>
      <c r="AJ494" s="79"/>
      <c r="AK494" s="80"/>
      <c r="AL494" s="59"/>
      <c r="AM494" s="35"/>
      <c r="AN494" s="35"/>
      <c r="AO494" s="35"/>
      <c r="AP494" s="35"/>
      <c r="AQ494" s="35"/>
      <c r="AR494" s="35"/>
      <c r="AS494" s="35"/>
      <c r="AT494" s="35"/>
      <c r="AU494" s="35"/>
      <c r="AV494" s="35"/>
      <c r="AW494" s="35"/>
    </row>
    <row r="495">
      <c r="A495" s="17"/>
      <c r="B495" s="35"/>
      <c r="C495" s="74"/>
      <c r="D495" s="74"/>
      <c r="E495" s="74"/>
      <c r="F495" s="74"/>
      <c r="G495" s="74"/>
      <c r="H495" s="74"/>
      <c r="I495" s="74"/>
      <c r="J495" s="57"/>
      <c r="K495" s="57"/>
      <c r="L495" s="57"/>
      <c r="M495" s="57"/>
      <c r="N495" s="57"/>
      <c r="O495" s="57"/>
      <c r="P495" s="57"/>
      <c r="Q495" s="69"/>
      <c r="R495" s="69"/>
      <c r="S495" s="23" t="str">
        <f>iferror(if(AN495=1,VLOOKUP(B495, Blends!H$4:AK$1004,32,0), ""), "")</f>
        <v/>
      </c>
      <c r="T495" s="58"/>
      <c r="U495" s="77"/>
      <c r="V495" s="77"/>
      <c r="W495" s="78"/>
      <c r="X495" s="77"/>
      <c r="Y495" s="77"/>
      <c r="Z495" s="77"/>
      <c r="AA495" s="77"/>
      <c r="AB495" s="77"/>
      <c r="AC495" s="77"/>
      <c r="AD495" s="77"/>
      <c r="AE495" s="77"/>
      <c r="AF495" s="77"/>
      <c r="AG495" s="77"/>
      <c r="AH495" s="77"/>
      <c r="AI495" s="77"/>
      <c r="AJ495" s="79"/>
      <c r="AK495" s="80"/>
      <c r="AL495" s="59"/>
      <c r="AM495" s="35"/>
      <c r="AN495" s="35"/>
      <c r="AO495" s="35"/>
      <c r="AP495" s="35"/>
      <c r="AQ495" s="35"/>
      <c r="AR495" s="35"/>
      <c r="AS495" s="35"/>
      <c r="AT495" s="35"/>
      <c r="AU495" s="35"/>
      <c r="AV495" s="35"/>
      <c r="AW495" s="35"/>
    </row>
    <row r="496">
      <c r="A496" s="17"/>
      <c r="B496" s="35"/>
      <c r="C496" s="74"/>
      <c r="D496" s="74"/>
      <c r="E496" s="74"/>
      <c r="F496" s="74"/>
      <c r="G496" s="74"/>
      <c r="H496" s="74"/>
      <c r="I496" s="74"/>
      <c r="J496" s="57"/>
      <c r="K496" s="57"/>
      <c r="L496" s="57"/>
      <c r="M496" s="57"/>
      <c r="N496" s="57"/>
      <c r="O496" s="57"/>
      <c r="P496" s="57"/>
      <c r="Q496" s="69"/>
      <c r="R496" s="69"/>
      <c r="S496" s="23" t="str">
        <f>iferror(if(AN496=1,VLOOKUP(B496, Blends!H$4:AK$1004,32,0), ""), "")</f>
        <v/>
      </c>
      <c r="T496" s="58"/>
      <c r="U496" s="77"/>
      <c r="V496" s="77"/>
      <c r="W496" s="78"/>
      <c r="X496" s="77"/>
      <c r="Y496" s="77"/>
      <c r="Z496" s="77"/>
      <c r="AA496" s="77"/>
      <c r="AB496" s="77"/>
      <c r="AC496" s="77"/>
      <c r="AD496" s="77"/>
      <c r="AE496" s="77"/>
      <c r="AF496" s="77"/>
      <c r="AG496" s="77"/>
      <c r="AH496" s="77"/>
      <c r="AI496" s="77"/>
      <c r="AJ496" s="79"/>
      <c r="AK496" s="80"/>
      <c r="AL496" s="59"/>
      <c r="AM496" s="35"/>
      <c r="AN496" s="35"/>
      <c r="AO496" s="35"/>
      <c r="AP496" s="35"/>
      <c r="AQ496" s="35"/>
      <c r="AR496" s="35"/>
      <c r="AS496" s="35"/>
      <c r="AT496" s="35"/>
      <c r="AU496" s="35"/>
      <c r="AV496" s="35"/>
      <c r="AW496" s="35"/>
    </row>
    <row r="497">
      <c r="A497" s="17"/>
      <c r="B497" s="35"/>
      <c r="C497" s="74"/>
      <c r="D497" s="74"/>
      <c r="E497" s="74"/>
      <c r="F497" s="74"/>
      <c r="G497" s="74"/>
      <c r="H497" s="74"/>
      <c r="I497" s="74"/>
      <c r="J497" s="57"/>
      <c r="K497" s="57"/>
      <c r="L497" s="57"/>
      <c r="M497" s="57"/>
      <c r="N497" s="57"/>
      <c r="O497" s="57"/>
      <c r="P497" s="57"/>
      <c r="Q497" s="69"/>
      <c r="R497" s="69"/>
      <c r="S497" s="23" t="str">
        <f>iferror(if(AN497=1,VLOOKUP(B497, Blends!H$4:AK$1004,32,0), ""), "")</f>
        <v/>
      </c>
      <c r="T497" s="58"/>
      <c r="U497" s="77"/>
      <c r="V497" s="77"/>
      <c r="W497" s="78"/>
      <c r="X497" s="77"/>
      <c r="Y497" s="77"/>
      <c r="Z497" s="77"/>
      <c r="AA497" s="77"/>
      <c r="AB497" s="77"/>
      <c r="AC497" s="77"/>
      <c r="AD497" s="77"/>
      <c r="AE497" s="77"/>
      <c r="AF497" s="77"/>
      <c r="AG497" s="77"/>
      <c r="AH497" s="77"/>
      <c r="AI497" s="77"/>
      <c r="AJ497" s="79"/>
      <c r="AK497" s="80"/>
      <c r="AL497" s="59"/>
      <c r="AM497" s="35"/>
      <c r="AN497" s="35"/>
      <c r="AO497" s="35"/>
      <c r="AP497" s="35"/>
      <c r="AQ497" s="35"/>
      <c r="AR497" s="35"/>
      <c r="AS497" s="35"/>
      <c r="AT497" s="35"/>
      <c r="AU497" s="35"/>
      <c r="AV497" s="35"/>
      <c r="AW497" s="35"/>
    </row>
    <row r="498">
      <c r="A498" s="17"/>
      <c r="B498" s="35"/>
      <c r="C498" s="74"/>
      <c r="D498" s="74"/>
      <c r="E498" s="74"/>
      <c r="F498" s="74"/>
      <c r="G498" s="74"/>
      <c r="H498" s="74"/>
      <c r="I498" s="74"/>
      <c r="J498" s="57"/>
      <c r="K498" s="57"/>
      <c r="L498" s="57"/>
      <c r="M498" s="57"/>
      <c r="N498" s="57"/>
      <c r="O498" s="57"/>
      <c r="P498" s="57"/>
      <c r="Q498" s="69"/>
      <c r="R498" s="69"/>
      <c r="S498" s="23" t="str">
        <f>iferror(if(AN498=1,VLOOKUP(B498, Blends!H$4:AK$1004,32,0), ""), "")</f>
        <v/>
      </c>
      <c r="T498" s="58"/>
      <c r="U498" s="77"/>
      <c r="V498" s="77"/>
      <c r="W498" s="78"/>
      <c r="X498" s="77"/>
      <c r="Y498" s="77"/>
      <c r="Z498" s="77"/>
      <c r="AA498" s="77"/>
      <c r="AB498" s="77"/>
      <c r="AC498" s="77"/>
      <c r="AD498" s="77"/>
      <c r="AE498" s="77"/>
      <c r="AF498" s="77"/>
      <c r="AG498" s="77"/>
      <c r="AH498" s="77"/>
      <c r="AI498" s="77"/>
      <c r="AJ498" s="79"/>
      <c r="AK498" s="80"/>
      <c r="AL498" s="59"/>
      <c r="AM498" s="35"/>
      <c r="AN498" s="35"/>
      <c r="AO498" s="35"/>
      <c r="AP498" s="35"/>
      <c r="AQ498" s="35"/>
      <c r="AR498" s="35"/>
      <c r="AS498" s="35"/>
      <c r="AT498" s="35"/>
      <c r="AU498" s="35"/>
      <c r="AV498" s="35"/>
      <c r="AW498" s="35"/>
    </row>
    <row r="499">
      <c r="A499" s="17"/>
      <c r="B499" s="35"/>
      <c r="C499" s="74"/>
      <c r="D499" s="74"/>
      <c r="E499" s="74"/>
      <c r="F499" s="74"/>
      <c r="G499" s="74"/>
      <c r="H499" s="74"/>
      <c r="I499" s="74"/>
      <c r="J499" s="57"/>
      <c r="K499" s="57"/>
      <c r="L499" s="57"/>
      <c r="M499" s="57"/>
      <c r="N499" s="57"/>
      <c r="O499" s="57"/>
      <c r="P499" s="57"/>
      <c r="Q499" s="69"/>
      <c r="R499" s="69"/>
      <c r="S499" s="23" t="str">
        <f>iferror(if(AN499=1,VLOOKUP(B499, Blends!H$4:AK$1004,32,0), ""), "")</f>
        <v/>
      </c>
      <c r="T499" s="58"/>
      <c r="U499" s="77"/>
      <c r="V499" s="77"/>
      <c r="W499" s="78"/>
      <c r="X499" s="77"/>
      <c r="Y499" s="77"/>
      <c r="Z499" s="77"/>
      <c r="AA499" s="77"/>
      <c r="AB499" s="77"/>
      <c r="AC499" s="77"/>
      <c r="AD499" s="77"/>
      <c r="AE499" s="77"/>
      <c r="AF499" s="77"/>
      <c r="AG499" s="77"/>
      <c r="AH499" s="77"/>
      <c r="AI499" s="77"/>
      <c r="AJ499" s="79"/>
      <c r="AK499" s="80"/>
      <c r="AL499" s="59"/>
      <c r="AM499" s="35"/>
      <c r="AN499" s="35"/>
      <c r="AO499" s="35"/>
      <c r="AP499" s="35"/>
      <c r="AQ499" s="35"/>
      <c r="AR499" s="35"/>
      <c r="AS499" s="35"/>
      <c r="AT499" s="35"/>
      <c r="AU499" s="35"/>
      <c r="AV499" s="35"/>
      <c r="AW499" s="35"/>
    </row>
    <row r="500">
      <c r="A500" s="17"/>
      <c r="B500" s="35"/>
      <c r="C500" s="74"/>
      <c r="D500" s="74"/>
      <c r="E500" s="74"/>
      <c r="F500" s="74"/>
      <c r="G500" s="74"/>
      <c r="H500" s="74"/>
      <c r="I500" s="74"/>
      <c r="J500" s="57"/>
      <c r="K500" s="57"/>
      <c r="L500" s="57"/>
      <c r="M500" s="57"/>
      <c r="N500" s="57"/>
      <c r="O500" s="57"/>
      <c r="P500" s="57"/>
      <c r="Q500" s="69"/>
      <c r="R500" s="69"/>
      <c r="S500" s="23" t="str">
        <f>iferror(if(AN500=1,VLOOKUP(B500, Blends!H$4:AK$1004,32,0), ""), "")</f>
        <v/>
      </c>
      <c r="T500" s="58"/>
      <c r="U500" s="77"/>
      <c r="V500" s="77"/>
      <c r="W500" s="78"/>
      <c r="X500" s="77"/>
      <c r="Y500" s="77"/>
      <c r="Z500" s="77"/>
      <c r="AA500" s="77"/>
      <c r="AB500" s="77"/>
      <c r="AC500" s="77"/>
      <c r="AD500" s="77"/>
      <c r="AE500" s="77"/>
      <c r="AF500" s="77"/>
      <c r="AG500" s="77"/>
      <c r="AH500" s="77"/>
      <c r="AI500" s="77"/>
      <c r="AJ500" s="79"/>
      <c r="AK500" s="80"/>
      <c r="AL500" s="59"/>
      <c r="AM500" s="35"/>
      <c r="AN500" s="35"/>
      <c r="AO500" s="35"/>
      <c r="AP500" s="35"/>
      <c r="AQ500" s="35"/>
      <c r="AR500" s="35"/>
      <c r="AS500" s="35"/>
      <c r="AT500" s="35"/>
      <c r="AU500" s="35"/>
      <c r="AV500" s="35"/>
      <c r="AW500" s="35"/>
    </row>
    <row r="501">
      <c r="A501" s="17"/>
      <c r="B501" s="35"/>
      <c r="C501" s="74"/>
      <c r="D501" s="74"/>
      <c r="E501" s="74"/>
      <c r="F501" s="74"/>
      <c r="G501" s="74"/>
      <c r="H501" s="74"/>
      <c r="I501" s="74"/>
      <c r="J501" s="57"/>
      <c r="K501" s="57"/>
      <c r="L501" s="57"/>
      <c r="M501" s="57"/>
      <c r="N501" s="57"/>
      <c r="O501" s="57"/>
      <c r="P501" s="57"/>
      <c r="Q501" s="69"/>
      <c r="R501" s="69"/>
      <c r="S501" s="23" t="str">
        <f>iferror(if(AN501=1,VLOOKUP(B501, Blends!H$4:AK$1004,32,0), ""), "")</f>
        <v/>
      </c>
      <c r="T501" s="58"/>
      <c r="U501" s="77"/>
      <c r="V501" s="77"/>
      <c r="W501" s="78"/>
      <c r="X501" s="77"/>
      <c r="Y501" s="77"/>
      <c r="Z501" s="77"/>
      <c r="AA501" s="77"/>
      <c r="AB501" s="77"/>
      <c r="AC501" s="77"/>
      <c r="AD501" s="77"/>
      <c r="AE501" s="77"/>
      <c r="AF501" s="77"/>
      <c r="AG501" s="77"/>
      <c r="AH501" s="77"/>
      <c r="AI501" s="77"/>
      <c r="AJ501" s="79"/>
      <c r="AK501" s="80"/>
      <c r="AL501" s="59"/>
      <c r="AM501" s="35"/>
      <c r="AN501" s="35"/>
      <c r="AO501" s="35"/>
      <c r="AP501" s="35"/>
      <c r="AQ501" s="35"/>
      <c r="AR501" s="35"/>
      <c r="AS501" s="35"/>
      <c r="AT501" s="35"/>
      <c r="AU501" s="35"/>
      <c r="AV501" s="35"/>
      <c r="AW501" s="35"/>
    </row>
    <row r="502">
      <c r="A502" s="17"/>
      <c r="B502" s="35"/>
      <c r="C502" s="74"/>
      <c r="D502" s="74"/>
      <c r="E502" s="74"/>
      <c r="F502" s="74"/>
      <c r="G502" s="74"/>
      <c r="H502" s="74"/>
      <c r="I502" s="74"/>
      <c r="J502" s="57"/>
      <c r="K502" s="57"/>
      <c r="L502" s="57"/>
      <c r="M502" s="57"/>
      <c r="N502" s="57"/>
      <c r="O502" s="57"/>
      <c r="P502" s="57"/>
      <c r="Q502" s="69"/>
      <c r="R502" s="69"/>
      <c r="S502" s="23" t="str">
        <f>iferror(if(AN502=1,VLOOKUP(B502, Blends!H$4:AK$1004,32,0), ""), "")</f>
        <v/>
      </c>
      <c r="T502" s="58"/>
      <c r="U502" s="77"/>
      <c r="V502" s="77"/>
      <c r="W502" s="78"/>
      <c r="X502" s="77"/>
      <c r="Y502" s="77"/>
      <c r="Z502" s="77"/>
      <c r="AA502" s="77"/>
      <c r="AB502" s="77"/>
      <c r="AC502" s="77"/>
      <c r="AD502" s="77"/>
      <c r="AE502" s="77"/>
      <c r="AF502" s="77"/>
      <c r="AG502" s="77"/>
      <c r="AH502" s="77"/>
      <c r="AI502" s="77"/>
      <c r="AJ502" s="79"/>
      <c r="AK502" s="80"/>
      <c r="AL502" s="59"/>
      <c r="AM502" s="35"/>
      <c r="AN502" s="35"/>
      <c r="AO502" s="35"/>
      <c r="AP502" s="35"/>
      <c r="AQ502" s="35"/>
      <c r="AR502" s="35"/>
      <c r="AS502" s="35"/>
      <c r="AT502" s="35"/>
      <c r="AU502" s="35"/>
      <c r="AV502" s="35"/>
      <c r="AW502" s="35"/>
    </row>
    <row r="503">
      <c r="A503" s="17"/>
      <c r="B503" s="35"/>
      <c r="C503" s="74"/>
      <c r="D503" s="74"/>
      <c r="E503" s="74"/>
      <c r="F503" s="74"/>
      <c r="G503" s="74"/>
      <c r="H503" s="74"/>
      <c r="I503" s="74"/>
      <c r="J503" s="57"/>
      <c r="K503" s="57"/>
      <c r="L503" s="57"/>
      <c r="M503" s="57"/>
      <c r="N503" s="57"/>
      <c r="O503" s="57"/>
      <c r="P503" s="57"/>
      <c r="Q503" s="69"/>
      <c r="R503" s="69"/>
      <c r="S503" s="23" t="str">
        <f>iferror(if(AN503=1,VLOOKUP(B503, Blends!H$4:AK$1004,32,0), ""), "")</f>
        <v/>
      </c>
      <c r="T503" s="58"/>
      <c r="U503" s="77"/>
      <c r="V503" s="77"/>
      <c r="W503" s="78"/>
      <c r="X503" s="77"/>
      <c r="Y503" s="77"/>
      <c r="Z503" s="77"/>
      <c r="AA503" s="77"/>
      <c r="AB503" s="77"/>
      <c r="AC503" s="77"/>
      <c r="AD503" s="77"/>
      <c r="AE503" s="77"/>
      <c r="AF503" s="77"/>
      <c r="AG503" s="77"/>
      <c r="AH503" s="77"/>
      <c r="AI503" s="77"/>
      <c r="AJ503" s="79"/>
      <c r="AK503" s="80"/>
      <c r="AL503" s="59"/>
      <c r="AM503" s="35"/>
      <c r="AN503" s="35"/>
      <c r="AO503" s="35"/>
      <c r="AP503" s="35"/>
      <c r="AQ503" s="35"/>
      <c r="AR503" s="35"/>
      <c r="AS503" s="35"/>
      <c r="AT503" s="35"/>
      <c r="AU503" s="35"/>
      <c r="AV503" s="35"/>
      <c r="AW503" s="35"/>
    </row>
    <row r="504">
      <c r="A504" s="17"/>
      <c r="B504" s="35"/>
      <c r="C504" s="74"/>
      <c r="D504" s="74"/>
      <c r="E504" s="74"/>
      <c r="F504" s="74"/>
      <c r="G504" s="74"/>
      <c r="H504" s="74"/>
      <c r="I504" s="74"/>
      <c r="J504" s="57"/>
      <c r="K504" s="57"/>
      <c r="L504" s="57"/>
      <c r="M504" s="57"/>
      <c r="N504" s="57"/>
      <c r="O504" s="57"/>
      <c r="P504" s="57"/>
      <c r="Q504" s="69"/>
      <c r="R504" s="69"/>
      <c r="S504" s="23" t="str">
        <f>iferror(if(AN504=1,VLOOKUP(B504, Blends!H$4:AK$1004,32,0), ""), "")</f>
        <v/>
      </c>
      <c r="T504" s="58"/>
      <c r="U504" s="77"/>
      <c r="V504" s="77"/>
      <c r="W504" s="78"/>
      <c r="X504" s="77"/>
      <c r="Y504" s="77"/>
      <c r="Z504" s="77"/>
      <c r="AA504" s="77"/>
      <c r="AB504" s="77"/>
      <c r="AC504" s="77"/>
      <c r="AD504" s="77"/>
      <c r="AE504" s="77"/>
      <c r="AF504" s="77"/>
      <c r="AG504" s="77"/>
      <c r="AH504" s="77"/>
      <c r="AI504" s="77"/>
      <c r="AJ504" s="79"/>
      <c r="AK504" s="80"/>
      <c r="AL504" s="59"/>
      <c r="AM504" s="35"/>
      <c r="AN504" s="35"/>
      <c r="AO504" s="35"/>
      <c r="AP504" s="35"/>
      <c r="AQ504" s="35"/>
      <c r="AR504" s="35"/>
      <c r="AS504" s="35"/>
      <c r="AT504" s="35"/>
      <c r="AU504" s="35"/>
      <c r="AV504" s="35"/>
      <c r="AW504" s="35"/>
    </row>
    <row r="505">
      <c r="A505" s="17"/>
      <c r="B505" s="35"/>
      <c r="C505" s="74"/>
      <c r="D505" s="74"/>
      <c r="E505" s="74"/>
      <c r="F505" s="74"/>
      <c r="G505" s="74"/>
      <c r="H505" s="74"/>
      <c r="I505" s="74"/>
      <c r="J505" s="57"/>
      <c r="K505" s="57"/>
      <c r="L505" s="57"/>
      <c r="M505" s="57"/>
      <c r="N505" s="57"/>
      <c r="O505" s="57"/>
      <c r="P505" s="57"/>
      <c r="Q505" s="69"/>
      <c r="R505" s="69"/>
      <c r="S505" s="23" t="str">
        <f>iferror(if(AN505=1,VLOOKUP(B505, Blends!H$4:AK$1004,32,0), ""), "")</f>
        <v/>
      </c>
      <c r="T505" s="58"/>
      <c r="U505" s="77"/>
      <c r="V505" s="77"/>
      <c r="W505" s="78"/>
      <c r="X505" s="77"/>
      <c r="Y505" s="77"/>
      <c r="Z505" s="77"/>
      <c r="AA505" s="77"/>
      <c r="AB505" s="77"/>
      <c r="AC505" s="77"/>
      <c r="AD505" s="77"/>
      <c r="AE505" s="77"/>
      <c r="AF505" s="77"/>
      <c r="AG505" s="77"/>
      <c r="AH505" s="77"/>
      <c r="AI505" s="77"/>
      <c r="AJ505" s="79"/>
      <c r="AK505" s="80"/>
      <c r="AL505" s="59"/>
      <c r="AM505" s="35"/>
      <c r="AN505" s="35"/>
      <c r="AO505" s="35"/>
      <c r="AP505" s="35"/>
      <c r="AQ505" s="35"/>
      <c r="AR505" s="35"/>
      <c r="AS505" s="35"/>
      <c r="AT505" s="35"/>
      <c r="AU505" s="35"/>
      <c r="AV505" s="35"/>
      <c r="AW505" s="35"/>
    </row>
    <row r="506">
      <c r="A506" s="17"/>
      <c r="B506" s="35"/>
      <c r="C506" s="74"/>
      <c r="D506" s="74"/>
      <c r="E506" s="74"/>
      <c r="F506" s="74"/>
      <c r="G506" s="74"/>
      <c r="H506" s="74"/>
      <c r="I506" s="74"/>
      <c r="J506" s="57"/>
      <c r="K506" s="57"/>
      <c r="L506" s="57"/>
      <c r="M506" s="57"/>
      <c r="N506" s="57"/>
      <c r="O506" s="57"/>
      <c r="P506" s="57"/>
      <c r="Q506" s="69"/>
      <c r="R506" s="69"/>
      <c r="S506" s="23" t="str">
        <f>iferror(if(AN506=1,VLOOKUP(B506, Blends!H$4:AK$1004,32,0), ""), "")</f>
        <v/>
      </c>
      <c r="T506" s="58"/>
      <c r="U506" s="77"/>
      <c r="V506" s="77"/>
      <c r="W506" s="78"/>
      <c r="X506" s="77"/>
      <c r="Y506" s="77"/>
      <c r="Z506" s="77"/>
      <c r="AA506" s="77"/>
      <c r="AB506" s="77"/>
      <c r="AC506" s="77"/>
      <c r="AD506" s="77"/>
      <c r="AE506" s="77"/>
      <c r="AF506" s="77"/>
      <c r="AG506" s="77"/>
      <c r="AH506" s="77"/>
      <c r="AI506" s="77"/>
      <c r="AJ506" s="79"/>
      <c r="AK506" s="80"/>
      <c r="AL506" s="59"/>
      <c r="AM506" s="35"/>
      <c r="AN506" s="35"/>
      <c r="AO506" s="35"/>
      <c r="AP506" s="35"/>
      <c r="AQ506" s="35"/>
      <c r="AR506" s="35"/>
      <c r="AS506" s="35"/>
      <c r="AT506" s="35"/>
      <c r="AU506" s="35"/>
      <c r="AV506" s="35"/>
      <c r="AW506" s="35"/>
    </row>
    <row r="507">
      <c r="A507" s="17"/>
      <c r="B507" s="35"/>
      <c r="C507" s="74"/>
      <c r="D507" s="74"/>
      <c r="E507" s="74"/>
      <c r="F507" s="74"/>
      <c r="G507" s="74"/>
      <c r="H507" s="74"/>
      <c r="I507" s="74"/>
      <c r="J507" s="57"/>
      <c r="K507" s="57"/>
      <c r="L507" s="57"/>
      <c r="M507" s="57"/>
      <c r="N507" s="57"/>
      <c r="O507" s="57"/>
      <c r="P507" s="57"/>
      <c r="Q507" s="69"/>
      <c r="R507" s="69"/>
      <c r="S507" s="23" t="str">
        <f>iferror(if(AN507=1,VLOOKUP(B507, Blends!H$4:AK$1004,32,0), ""), "")</f>
        <v/>
      </c>
      <c r="T507" s="58"/>
      <c r="U507" s="77"/>
      <c r="V507" s="77"/>
      <c r="W507" s="78"/>
      <c r="X507" s="77"/>
      <c r="Y507" s="77"/>
      <c r="Z507" s="77"/>
      <c r="AA507" s="77"/>
      <c r="AB507" s="77"/>
      <c r="AC507" s="77"/>
      <c r="AD507" s="77"/>
      <c r="AE507" s="77"/>
      <c r="AF507" s="77"/>
      <c r="AG507" s="77"/>
      <c r="AH507" s="77"/>
      <c r="AI507" s="77"/>
      <c r="AJ507" s="79"/>
      <c r="AK507" s="80"/>
      <c r="AL507" s="59"/>
      <c r="AM507" s="35"/>
      <c r="AN507" s="35"/>
      <c r="AO507" s="35"/>
      <c r="AP507" s="35"/>
      <c r="AQ507" s="35"/>
      <c r="AR507" s="35"/>
      <c r="AS507" s="35"/>
      <c r="AT507" s="35"/>
      <c r="AU507" s="35"/>
      <c r="AV507" s="35"/>
      <c r="AW507" s="35"/>
    </row>
    <row r="508">
      <c r="A508" s="17"/>
      <c r="B508" s="35"/>
      <c r="C508" s="74"/>
      <c r="D508" s="74"/>
      <c r="E508" s="74"/>
      <c r="F508" s="74"/>
      <c r="G508" s="74"/>
      <c r="H508" s="74"/>
      <c r="I508" s="74"/>
      <c r="J508" s="57"/>
      <c r="K508" s="57"/>
      <c r="L508" s="57"/>
      <c r="M508" s="57"/>
      <c r="N508" s="57"/>
      <c r="O508" s="57"/>
      <c r="P508" s="57"/>
      <c r="Q508" s="69"/>
      <c r="R508" s="69"/>
      <c r="S508" s="23" t="str">
        <f>iferror(if(AN508=1,VLOOKUP(B508, Blends!H$4:AK$1004,32,0), ""), "")</f>
        <v/>
      </c>
      <c r="T508" s="58"/>
      <c r="U508" s="77"/>
      <c r="V508" s="77"/>
      <c r="W508" s="78"/>
      <c r="X508" s="77"/>
      <c r="Y508" s="77"/>
      <c r="Z508" s="77"/>
      <c r="AA508" s="77"/>
      <c r="AB508" s="77"/>
      <c r="AC508" s="77"/>
      <c r="AD508" s="77"/>
      <c r="AE508" s="77"/>
      <c r="AF508" s="77"/>
      <c r="AG508" s="77"/>
      <c r="AH508" s="77"/>
      <c r="AI508" s="77"/>
      <c r="AJ508" s="79"/>
      <c r="AK508" s="80"/>
      <c r="AL508" s="59"/>
      <c r="AM508" s="35"/>
      <c r="AN508" s="35"/>
      <c r="AO508" s="35"/>
      <c r="AP508" s="35"/>
      <c r="AQ508" s="35"/>
      <c r="AR508" s="35"/>
      <c r="AS508" s="35"/>
      <c r="AT508" s="35"/>
      <c r="AU508" s="35"/>
      <c r="AV508" s="35"/>
      <c r="AW508" s="35"/>
    </row>
    <row r="509">
      <c r="A509" s="17"/>
      <c r="B509" s="35"/>
      <c r="C509" s="74"/>
      <c r="D509" s="74"/>
      <c r="E509" s="74"/>
      <c r="F509" s="74"/>
      <c r="G509" s="74"/>
      <c r="H509" s="74"/>
      <c r="I509" s="74"/>
      <c r="J509" s="57"/>
      <c r="K509" s="57"/>
      <c r="L509" s="57"/>
      <c r="M509" s="57"/>
      <c r="N509" s="57"/>
      <c r="O509" s="57"/>
      <c r="P509" s="57"/>
      <c r="Q509" s="69"/>
      <c r="R509" s="69"/>
      <c r="S509" s="23" t="str">
        <f>iferror(if(AN509=1,VLOOKUP(B509, Blends!H$4:AK$1004,32,0), ""), "")</f>
        <v/>
      </c>
      <c r="T509" s="58"/>
      <c r="U509" s="77"/>
      <c r="V509" s="77"/>
      <c r="W509" s="78"/>
      <c r="X509" s="77"/>
      <c r="Y509" s="77"/>
      <c r="Z509" s="77"/>
      <c r="AA509" s="77"/>
      <c r="AB509" s="77"/>
      <c r="AC509" s="77"/>
      <c r="AD509" s="77"/>
      <c r="AE509" s="77"/>
      <c r="AF509" s="77"/>
      <c r="AG509" s="77"/>
      <c r="AH509" s="77"/>
      <c r="AI509" s="77"/>
      <c r="AJ509" s="79"/>
      <c r="AK509" s="80"/>
      <c r="AL509" s="59"/>
      <c r="AM509" s="35"/>
      <c r="AN509" s="35"/>
      <c r="AO509" s="35"/>
      <c r="AP509" s="35"/>
      <c r="AQ509" s="35"/>
      <c r="AR509" s="35"/>
      <c r="AS509" s="35"/>
      <c r="AT509" s="35"/>
      <c r="AU509" s="35"/>
      <c r="AV509" s="35"/>
      <c r="AW509" s="35"/>
    </row>
    <row r="510">
      <c r="A510" s="17"/>
      <c r="B510" s="35"/>
      <c r="C510" s="74"/>
      <c r="D510" s="74"/>
      <c r="E510" s="74"/>
      <c r="F510" s="74"/>
      <c r="G510" s="74"/>
      <c r="H510" s="74"/>
      <c r="I510" s="74"/>
      <c r="J510" s="57"/>
      <c r="K510" s="57"/>
      <c r="L510" s="57"/>
      <c r="M510" s="57"/>
      <c r="N510" s="57"/>
      <c r="O510" s="57"/>
      <c r="P510" s="57"/>
      <c r="Q510" s="69"/>
      <c r="R510" s="69"/>
      <c r="S510" s="23" t="str">
        <f>iferror(if(AN510=1,VLOOKUP(B510, Blends!H$4:AK$1004,32,0), ""), "")</f>
        <v/>
      </c>
      <c r="T510" s="58"/>
      <c r="U510" s="77"/>
      <c r="V510" s="77"/>
      <c r="W510" s="78"/>
      <c r="X510" s="77"/>
      <c r="Y510" s="77"/>
      <c r="Z510" s="77"/>
      <c r="AA510" s="77"/>
      <c r="AB510" s="77"/>
      <c r="AC510" s="77"/>
      <c r="AD510" s="77"/>
      <c r="AE510" s="77"/>
      <c r="AF510" s="77"/>
      <c r="AG510" s="77"/>
      <c r="AH510" s="77"/>
      <c r="AI510" s="77"/>
      <c r="AJ510" s="79"/>
      <c r="AK510" s="80"/>
      <c r="AL510" s="59"/>
      <c r="AM510" s="35"/>
      <c r="AN510" s="35"/>
      <c r="AO510" s="35"/>
      <c r="AP510" s="35"/>
      <c r="AQ510" s="35"/>
      <c r="AR510" s="35"/>
      <c r="AS510" s="35"/>
      <c r="AT510" s="35"/>
      <c r="AU510" s="35"/>
      <c r="AV510" s="35"/>
      <c r="AW510" s="35"/>
    </row>
    <row r="511">
      <c r="A511" s="17"/>
      <c r="B511" s="35"/>
      <c r="C511" s="74"/>
      <c r="D511" s="74"/>
      <c r="E511" s="74"/>
      <c r="F511" s="74"/>
      <c r="G511" s="74"/>
      <c r="H511" s="74"/>
      <c r="I511" s="74"/>
      <c r="J511" s="57"/>
      <c r="K511" s="57"/>
      <c r="L511" s="57"/>
      <c r="M511" s="57"/>
      <c r="N511" s="57"/>
      <c r="O511" s="57"/>
      <c r="P511" s="57"/>
      <c r="Q511" s="69"/>
      <c r="R511" s="69"/>
      <c r="S511" s="23" t="str">
        <f>iferror(if(AN511=1,VLOOKUP(B511, Blends!H$4:AK$1004,32,0), ""), "")</f>
        <v/>
      </c>
      <c r="T511" s="58"/>
      <c r="U511" s="77"/>
      <c r="V511" s="77"/>
      <c r="W511" s="78"/>
      <c r="X511" s="77"/>
      <c r="Y511" s="77"/>
      <c r="Z511" s="77"/>
      <c r="AA511" s="77"/>
      <c r="AB511" s="77"/>
      <c r="AC511" s="77"/>
      <c r="AD511" s="77"/>
      <c r="AE511" s="77"/>
      <c r="AF511" s="77"/>
      <c r="AG511" s="77"/>
      <c r="AH511" s="77"/>
      <c r="AI511" s="77"/>
      <c r="AJ511" s="79"/>
      <c r="AK511" s="80"/>
      <c r="AL511" s="59"/>
      <c r="AM511" s="35"/>
      <c r="AN511" s="35"/>
      <c r="AO511" s="35"/>
      <c r="AP511" s="35"/>
      <c r="AQ511" s="35"/>
      <c r="AR511" s="35"/>
      <c r="AS511" s="35"/>
      <c r="AT511" s="35"/>
      <c r="AU511" s="35"/>
      <c r="AV511" s="35"/>
      <c r="AW511" s="35"/>
    </row>
    <row r="512">
      <c r="A512" s="17"/>
      <c r="B512" s="35"/>
      <c r="C512" s="74"/>
      <c r="D512" s="74"/>
      <c r="E512" s="74"/>
      <c r="F512" s="74"/>
      <c r="G512" s="74"/>
      <c r="H512" s="74"/>
      <c r="I512" s="74"/>
      <c r="J512" s="57"/>
      <c r="K512" s="57"/>
      <c r="L512" s="57"/>
      <c r="M512" s="57"/>
      <c r="N512" s="57"/>
      <c r="O512" s="57"/>
      <c r="P512" s="57"/>
      <c r="Q512" s="69"/>
      <c r="R512" s="69"/>
      <c r="S512" s="23" t="str">
        <f>iferror(if(AN512=1,VLOOKUP(B512, Blends!H$4:AK$1004,32,0), ""), "")</f>
        <v/>
      </c>
      <c r="T512" s="58"/>
      <c r="U512" s="77"/>
      <c r="V512" s="77"/>
      <c r="W512" s="78"/>
      <c r="X512" s="77"/>
      <c r="Y512" s="77"/>
      <c r="Z512" s="77"/>
      <c r="AA512" s="77"/>
      <c r="AB512" s="77"/>
      <c r="AC512" s="77"/>
      <c r="AD512" s="77"/>
      <c r="AE512" s="77"/>
      <c r="AF512" s="77"/>
      <c r="AG512" s="77"/>
      <c r="AH512" s="77"/>
      <c r="AI512" s="77"/>
      <c r="AJ512" s="79"/>
      <c r="AK512" s="80"/>
      <c r="AL512" s="59"/>
      <c r="AM512" s="35"/>
      <c r="AN512" s="35"/>
      <c r="AO512" s="35"/>
      <c r="AP512" s="35"/>
      <c r="AQ512" s="35"/>
      <c r="AR512" s="35"/>
      <c r="AS512" s="35"/>
      <c r="AT512" s="35"/>
      <c r="AU512" s="35"/>
      <c r="AV512" s="35"/>
      <c r="AW512" s="35"/>
    </row>
    <row r="513">
      <c r="A513" s="17"/>
      <c r="B513" s="35"/>
      <c r="C513" s="74"/>
      <c r="D513" s="74"/>
      <c r="E513" s="74"/>
      <c r="F513" s="74"/>
      <c r="G513" s="74"/>
      <c r="H513" s="74"/>
      <c r="I513" s="74"/>
      <c r="J513" s="57"/>
      <c r="K513" s="57"/>
      <c r="L513" s="57"/>
      <c r="M513" s="57"/>
      <c r="N513" s="57"/>
      <c r="O513" s="57"/>
      <c r="P513" s="57"/>
      <c r="Q513" s="69"/>
      <c r="R513" s="69"/>
      <c r="S513" s="23" t="str">
        <f>iferror(if(AN513=1,VLOOKUP(B513, Blends!H$4:AK$1004,32,0), ""), "")</f>
        <v/>
      </c>
      <c r="T513" s="58"/>
      <c r="U513" s="77"/>
      <c r="V513" s="77"/>
      <c r="W513" s="78"/>
      <c r="X513" s="77"/>
      <c r="Y513" s="77"/>
      <c r="Z513" s="77"/>
      <c r="AA513" s="77"/>
      <c r="AB513" s="77"/>
      <c r="AC513" s="77"/>
      <c r="AD513" s="77"/>
      <c r="AE513" s="77"/>
      <c r="AF513" s="77"/>
      <c r="AG513" s="77"/>
      <c r="AH513" s="77"/>
      <c r="AI513" s="77"/>
      <c r="AJ513" s="79"/>
      <c r="AK513" s="80"/>
      <c r="AL513" s="59"/>
      <c r="AM513" s="35"/>
      <c r="AN513" s="35"/>
      <c r="AO513" s="35"/>
      <c r="AP513" s="35"/>
      <c r="AQ513" s="35"/>
      <c r="AR513" s="35"/>
      <c r="AS513" s="35"/>
      <c r="AT513" s="35"/>
      <c r="AU513" s="35"/>
      <c r="AV513" s="35"/>
      <c r="AW513" s="35"/>
    </row>
    <row r="514">
      <c r="A514" s="17"/>
      <c r="B514" s="35"/>
      <c r="C514" s="74"/>
      <c r="D514" s="74"/>
      <c r="E514" s="74"/>
      <c r="F514" s="74"/>
      <c r="G514" s="74"/>
      <c r="H514" s="74"/>
      <c r="I514" s="74"/>
      <c r="J514" s="57"/>
      <c r="K514" s="57"/>
      <c r="L514" s="57"/>
      <c r="M514" s="57"/>
      <c r="N514" s="57"/>
      <c r="O514" s="57"/>
      <c r="P514" s="57"/>
      <c r="Q514" s="69"/>
      <c r="R514" s="69"/>
      <c r="S514" s="23" t="str">
        <f>iferror(if(AN514=1,VLOOKUP(B514, Blends!H$4:AK$1004,32,0), ""), "")</f>
        <v/>
      </c>
      <c r="T514" s="58"/>
      <c r="U514" s="77"/>
      <c r="V514" s="77"/>
      <c r="W514" s="78"/>
      <c r="X514" s="77"/>
      <c r="Y514" s="77"/>
      <c r="Z514" s="77"/>
      <c r="AA514" s="77"/>
      <c r="AB514" s="77"/>
      <c r="AC514" s="77"/>
      <c r="AD514" s="77"/>
      <c r="AE514" s="77"/>
      <c r="AF514" s="77"/>
      <c r="AG514" s="77"/>
      <c r="AH514" s="77"/>
      <c r="AI514" s="77"/>
      <c r="AJ514" s="79"/>
      <c r="AK514" s="80"/>
      <c r="AL514" s="59"/>
      <c r="AM514" s="35"/>
      <c r="AN514" s="35"/>
      <c r="AO514" s="35"/>
      <c r="AP514" s="35"/>
      <c r="AQ514" s="35"/>
      <c r="AR514" s="35"/>
      <c r="AS514" s="35"/>
      <c r="AT514" s="35"/>
      <c r="AU514" s="35"/>
      <c r="AV514" s="35"/>
      <c r="AW514" s="35"/>
    </row>
    <row r="515">
      <c r="A515" s="17"/>
      <c r="B515" s="35"/>
      <c r="C515" s="74"/>
      <c r="D515" s="74"/>
      <c r="E515" s="74"/>
      <c r="F515" s="74"/>
      <c r="G515" s="74"/>
      <c r="H515" s="74"/>
      <c r="I515" s="74"/>
      <c r="J515" s="57"/>
      <c r="K515" s="57"/>
      <c r="L515" s="57"/>
      <c r="M515" s="57"/>
      <c r="N515" s="57"/>
      <c r="O515" s="57"/>
      <c r="P515" s="57"/>
      <c r="Q515" s="69"/>
      <c r="R515" s="69"/>
      <c r="S515" s="23" t="str">
        <f>iferror(if(AN515=1,VLOOKUP(B515, Blends!H$4:AK$1004,32,0), ""), "")</f>
        <v/>
      </c>
      <c r="T515" s="58"/>
      <c r="U515" s="77"/>
      <c r="V515" s="77"/>
      <c r="W515" s="78"/>
      <c r="X515" s="77"/>
      <c r="Y515" s="77"/>
      <c r="Z515" s="77"/>
      <c r="AA515" s="77"/>
      <c r="AB515" s="77"/>
      <c r="AC515" s="77"/>
      <c r="AD515" s="77"/>
      <c r="AE515" s="77"/>
      <c r="AF515" s="77"/>
      <c r="AG515" s="77"/>
      <c r="AH515" s="77"/>
      <c r="AI515" s="77"/>
      <c r="AJ515" s="79"/>
      <c r="AK515" s="80"/>
      <c r="AL515" s="59"/>
      <c r="AM515" s="35"/>
      <c r="AN515" s="35"/>
      <c r="AO515" s="35"/>
      <c r="AP515" s="35"/>
      <c r="AQ515" s="35"/>
      <c r="AR515" s="35"/>
      <c r="AS515" s="35"/>
      <c r="AT515" s="35"/>
      <c r="AU515" s="35"/>
      <c r="AV515" s="35"/>
      <c r="AW515" s="35"/>
    </row>
    <row r="516">
      <c r="A516" s="17"/>
      <c r="B516" s="35"/>
      <c r="C516" s="74"/>
      <c r="D516" s="74"/>
      <c r="E516" s="74"/>
      <c r="F516" s="74"/>
      <c r="G516" s="74"/>
      <c r="H516" s="74"/>
      <c r="I516" s="74"/>
      <c r="J516" s="57"/>
      <c r="K516" s="57"/>
      <c r="L516" s="57"/>
      <c r="M516" s="57"/>
      <c r="N516" s="57"/>
      <c r="O516" s="57"/>
      <c r="P516" s="57"/>
      <c r="Q516" s="69"/>
      <c r="R516" s="69"/>
      <c r="S516" s="23" t="str">
        <f>iferror(if(AN516=1,VLOOKUP(B516, Blends!H$4:AK$1004,32,0), ""), "")</f>
        <v/>
      </c>
      <c r="T516" s="58"/>
      <c r="U516" s="77"/>
      <c r="V516" s="77"/>
      <c r="W516" s="78"/>
      <c r="X516" s="77"/>
      <c r="Y516" s="77"/>
      <c r="Z516" s="77"/>
      <c r="AA516" s="77"/>
      <c r="AB516" s="77"/>
      <c r="AC516" s="77"/>
      <c r="AD516" s="77"/>
      <c r="AE516" s="77"/>
      <c r="AF516" s="77"/>
      <c r="AG516" s="77"/>
      <c r="AH516" s="77"/>
      <c r="AI516" s="77"/>
      <c r="AJ516" s="79"/>
      <c r="AK516" s="80"/>
      <c r="AL516" s="59"/>
      <c r="AM516" s="35"/>
      <c r="AN516" s="35"/>
      <c r="AO516" s="35"/>
      <c r="AP516" s="35"/>
      <c r="AQ516" s="35"/>
      <c r="AR516" s="35"/>
      <c r="AS516" s="35"/>
      <c r="AT516" s="35"/>
      <c r="AU516" s="35"/>
      <c r="AV516" s="35"/>
      <c r="AW516" s="35"/>
    </row>
    <row r="517">
      <c r="A517" s="17"/>
      <c r="B517" s="35"/>
      <c r="C517" s="74"/>
      <c r="D517" s="74"/>
      <c r="E517" s="74"/>
      <c r="F517" s="74"/>
      <c r="G517" s="74"/>
      <c r="H517" s="74"/>
      <c r="I517" s="74"/>
      <c r="J517" s="57"/>
      <c r="K517" s="57"/>
      <c r="L517" s="57"/>
      <c r="M517" s="57"/>
      <c r="N517" s="57"/>
      <c r="O517" s="57"/>
      <c r="P517" s="57"/>
      <c r="Q517" s="69"/>
      <c r="R517" s="69"/>
      <c r="S517" s="23" t="str">
        <f>iferror(if(AN517=1,VLOOKUP(B517, Blends!H$4:AK$1004,32,0), ""), "")</f>
        <v/>
      </c>
      <c r="T517" s="58"/>
      <c r="U517" s="77"/>
      <c r="V517" s="77"/>
      <c r="W517" s="78"/>
      <c r="X517" s="77"/>
      <c r="Y517" s="77"/>
      <c r="Z517" s="77"/>
      <c r="AA517" s="77"/>
      <c r="AB517" s="77"/>
      <c r="AC517" s="77"/>
      <c r="AD517" s="77"/>
      <c r="AE517" s="77"/>
      <c r="AF517" s="77"/>
      <c r="AG517" s="77"/>
      <c r="AH517" s="77"/>
      <c r="AI517" s="77"/>
      <c r="AJ517" s="79"/>
      <c r="AK517" s="80"/>
      <c r="AL517" s="59"/>
      <c r="AM517" s="35"/>
      <c r="AN517" s="35"/>
      <c r="AO517" s="35"/>
      <c r="AP517" s="35"/>
      <c r="AQ517" s="35"/>
      <c r="AR517" s="35"/>
      <c r="AS517" s="35"/>
      <c r="AT517" s="35"/>
      <c r="AU517" s="35"/>
      <c r="AV517" s="35"/>
      <c r="AW517" s="35"/>
    </row>
    <row r="518">
      <c r="A518" s="17"/>
      <c r="B518" s="35"/>
      <c r="C518" s="74"/>
      <c r="D518" s="74"/>
      <c r="E518" s="74"/>
      <c r="F518" s="74"/>
      <c r="G518" s="74"/>
      <c r="H518" s="74"/>
      <c r="I518" s="74"/>
      <c r="J518" s="57"/>
      <c r="K518" s="57"/>
      <c r="L518" s="57"/>
      <c r="M518" s="57"/>
      <c r="N518" s="57"/>
      <c r="O518" s="57"/>
      <c r="P518" s="57"/>
      <c r="Q518" s="69"/>
      <c r="R518" s="69"/>
      <c r="S518" s="23" t="str">
        <f>iferror(if(AN518=1,VLOOKUP(B518, Blends!H$4:AK$1004,32,0), ""), "")</f>
        <v/>
      </c>
      <c r="T518" s="58"/>
      <c r="U518" s="77"/>
      <c r="V518" s="77"/>
      <c r="W518" s="78"/>
      <c r="X518" s="77"/>
      <c r="Y518" s="77"/>
      <c r="Z518" s="77"/>
      <c r="AA518" s="77"/>
      <c r="AB518" s="77"/>
      <c r="AC518" s="77"/>
      <c r="AD518" s="77"/>
      <c r="AE518" s="77"/>
      <c r="AF518" s="77"/>
      <c r="AG518" s="77"/>
      <c r="AH518" s="77"/>
      <c r="AI518" s="77"/>
      <c r="AJ518" s="79"/>
      <c r="AK518" s="80"/>
      <c r="AL518" s="59"/>
      <c r="AM518" s="35"/>
      <c r="AN518" s="35"/>
      <c r="AO518" s="35"/>
      <c r="AP518" s="35"/>
      <c r="AQ518" s="35"/>
      <c r="AR518" s="35"/>
      <c r="AS518" s="35"/>
      <c r="AT518" s="35"/>
      <c r="AU518" s="35"/>
      <c r="AV518" s="35"/>
      <c r="AW518" s="35"/>
    </row>
    <row r="519">
      <c r="A519" s="17"/>
      <c r="B519" s="35"/>
      <c r="C519" s="74"/>
      <c r="D519" s="74"/>
      <c r="E519" s="74"/>
      <c r="F519" s="74"/>
      <c r="G519" s="74"/>
      <c r="H519" s="74"/>
      <c r="I519" s="74"/>
      <c r="J519" s="57"/>
      <c r="K519" s="57"/>
      <c r="L519" s="57"/>
      <c r="M519" s="57"/>
      <c r="N519" s="57"/>
      <c r="O519" s="57"/>
      <c r="P519" s="57"/>
      <c r="Q519" s="69"/>
      <c r="R519" s="69"/>
      <c r="S519" s="23" t="str">
        <f>iferror(if(AN519=1,VLOOKUP(B519, Blends!H$4:AK$1004,32,0), ""), "")</f>
        <v/>
      </c>
      <c r="T519" s="58"/>
      <c r="U519" s="77"/>
      <c r="V519" s="77"/>
      <c r="W519" s="78"/>
      <c r="X519" s="77"/>
      <c r="Y519" s="77"/>
      <c r="Z519" s="77"/>
      <c r="AA519" s="77"/>
      <c r="AB519" s="77"/>
      <c r="AC519" s="77"/>
      <c r="AD519" s="77"/>
      <c r="AE519" s="77"/>
      <c r="AF519" s="77"/>
      <c r="AG519" s="77"/>
      <c r="AH519" s="77"/>
      <c r="AI519" s="77"/>
      <c r="AJ519" s="79"/>
      <c r="AK519" s="80"/>
      <c r="AL519" s="59"/>
      <c r="AM519" s="35"/>
      <c r="AN519" s="35"/>
      <c r="AO519" s="35"/>
      <c r="AP519" s="35"/>
      <c r="AQ519" s="35"/>
      <c r="AR519" s="35"/>
      <c r="AS519" s="35"/>
      <c r="AT519" s="35"/>
      <c r="AU519" s="35"/>
      <c r="AV519" s="35"/>
      <c r="AW519" s="35"/>
    </row>
    <row r="520">
      <c r="A520" s="17"/>
      <c r="B520" s="35"/>
      <c r="C520" s="74"/>
      <c r="D520" s="74"/>
      <c r="E520" s="74"/>
      <c r="F520" s="74"/>
      <c r="G520" s="74"/>
      <c r="H520" s="74"/>
      <c r="I520" s="74"/>
      <c r="J520" s="57"/>
      <c r="K520" s="57"/>
      <c r="L520" s="57"/>
      <c r="M520" s="57"/>
      <c r="N520" s="57"/>
      <c r="O520" s="57"/>
      <c r="P520" s="57"/>
      <c r="Q520" s="69"/>
      <c r="R520" s="69"/>
      <c r="S520" s="23" t="str">
        <f>iferror(if(AN520=1,VLOOKUP(B520, Blends!H$4:AK$1004,32,0), ""), "")</f>
        <v/>
      </c>
      <c r="T520" s="58"/>
      <c r="U520" s="77"/>
      <c r="V520" s="77"/>
      <c r="W520" s="78"/>
      <c r="X520" s="77"/>
      <c r="Y520" s="77"/>
      <c r="Z520" s="77"/>
      <c r="AA520" s="77"/>
      <c r="AB520" s="77"/>
      <c r="AC520" s="77"/>
      <c r="AD520" s="77"/>
      <c r="AE520" s="77"/>
      <c r="AF520" s="77"/>
      <c r="AG520" s="77"/>
      <c r="AH520" s="77"/>
      <c r="AI520" s="77"/>
      <c r="AJ520" s="79"/>
      <c r="AK520" s="80"/>
      <c r="AL520" s="59"/>
      <c r="AM520" s="35"/>
      <c r="AN520" s="35"/>
      <c r="AO520" s="35"/>
      <c r="AP520" s="35"/>
      <c r="AQ520" s="35"/>
      <c r="AR520" s="35"/>
      <c r="AS520" s="35"/>
      <c r="AT520" s="35"/>
      <c r="AU520" s="35"/>
      <c r="AV520" s="35"/>
      <c r="AW520" s="35"/>
    </row>
    <row r="521">
      <c r="A521" s="17"/>
      <c r="B521" s="35"/>
      <c r="C521" s="74"/>
      <c r="D521" s="74"/>
      <c r="E521" s="74"/>
      <c r="F521" s="74"/>
      <c r="G521" s="74"/>
      <c r="H521" s="74"/>
      <c r="I521" s="74"/>
      <c r="J521" s="57"/>
      <c r="K521" s="57"/>
      <c r="L521" s="57"/>
      <c r="M521" s="57"/>
      <c r="N521" s="57"/>
      <c r="O521" s="57"/>
      <c r="P521" s="57"/>
      <c r="Q521" s="69"/>
      <c r="R521" s="69"/>
      <c r="S521" s="23" t="str">
        <f>iferror(if(AN521=1,VLOOKUP(B521, Blends!H$4:AK$1004,32,0), ""), "")</f>
        <v/>
      </c>
      <c r="T521" s="58"/>
      <c r="U521" s="77"/>
      <c r="V521" s="77"/>
      <c r="W521" s="78"/>
      <c r="X521" s="77"/>
      <c r="Y521" s="77"/>
      <c r="Z521" s="77"/>
      <c r="AA521" s="77"/>
      <c r="AB521" s="77"/>
      <c r="AC521" s="77"/>
      <c r="AD521" s="77"/>
      <c r="AE521" s="77"/>
      <c r="AF521" s="77"/>
      <c r="AG521" s="77"/>
      <c r="AH521" s="77"/>
      <c r="AI521" s="77"/>
      <c r="AJ521" s="79"/>
      <c r="AK521" s="80"/>
      <c r="AL521" s="59"/>
      <c r="AM521" s="35"/>
      <c r="AN521" s="35"/>
      <c r="AO521" s="35"/>
      <c r="AP521" s="35"/>
      <c r="AQ521" s="35"/>
      <c r="AR521" s="35"/>
      <c r="AS521" s="35"/>
      <c r="AT521" s="35"/>
      <c r="AU521" s="35"/>
      <c r="AV521" s="35"/>
      <c r="AW521" s="35"/>
    </row>
    <row r="522">
      <c r="A522" s="17"/>
      <c r="B522" s="35"/>
      <c r="C522" s="74"/>
      <c r="D522" s="74"/>
      <c r="E522" s="74"/>
      <c r="F522" s="74"/>
      <c r="G522" s="74"/>
      <c r="H522" s="74"/>
      <c r="I522" s="74"/>
      <c r="J522" s="57"/>
      <c r="K522" s="57"/>
      <c r="L522" s="57"/>
      <c r="M522" s="57"/>
      <c r="N522" s="57"/>
      <c r="O522" s="57"/>
      <c r="P522" s="57"/>
      <c r="Q522" s="69"/>
      <c r="R522" s="69"/>
      <c r="S522" s="23" t="str">
        <f>iferror(if(AN522=1,VLOOKUP(B522, Blends!H$4:AK$1004,32,0), ""), "")</f>
        <v/>
      </c>
      <c r="T522" s="58"/>
      <c r="U522" s="77"/>
      <c r="V522" s="77"/>
      <c r="W522" s="78"/>
      <c r="X522" s="77"/>
      <c r="Y522" s="77"/>
      <c r="Z522" s="77"/>
      <c r="AA522" s="77"/>
      <c r="AB522" s="77"/>
      <c r="AC522" s="77"/>
      <c r="AD522" s="77"/>
      <c r="AE522" s="77"/>
      <c r="AF522" s="77"/>
      <c r="AG522" s="77"/>
      <c r="AH522" s="77"/>
      <c r="AI522" s="77"/>
      <c r="AJ522" s="79"/>
      <c r="AK522" s="80"/>
      <c r="AL522" s="59"/>
      <c r="AM522" s="35"/>
      <c r="AN522" s="35"/>
      <c r="AO522" s="35"/>
      <c r="AP522" s="35"/>
      <c r="AQ522" s="35"/>
      <c r="AR522" s="35"/>
      <c r="AS522" s="35"/>
      <c r="AT522" s="35"/>
      <c r="AU522" s="35"/>
      <c r="AV522" s="35"/>
      <c r="AW522" s="35"/>
    </row>
    <row r="523">
      <c r="A523" s="17"/>
      <c r="B523" s="35"/>
      <c r="C523" s="74"/>
      <c r="D523" s="74"/>
      <c r="E523" s="74"/>
      <c r="F523" s="74"/>
      <c r="G523" s="74"/>
      <c r="H523" s="74"/>
      <c r="I523" s="74"/>
      <c r="J523" s="57"/>
      <c r="K523" s="57"/>
      <c r="L523" s="57"/>
      <c r="M523" s="57"/>
      <c r="N523" s="57"/>
      <c r="O523" s="57"/>
      <c r="P523" s="57"/>
      <c r="Q523" s="69"/>
      <c r="R523" s="69"/>
      <c r="S523" s="23" t="str">
        <f>iferror(if(AN523=1,VLOOKUP(B523, Blends!H$4:AK$1004,32,0), ""), "")</f>
        <v/>
      </c>
      <c r="T523" s="58"/>
      <c r="U523" s="77"/>
      <c r="V523" s="77"/>
      <c r="W523" s="78"/>
      <c r="X523" s="77"/>
      <c r="Y523" s="77"/>
      <c r="Z523" s="77"/>
      <c r="AA523" s="77"/>
      <c r="AB523" s="77"/>
      <c r="AC523" s="77"/>
      <c r="AD523" s="77"/>
      <c r="AE523" s="77"/>
      <c r="AF523" s="77"/>
      <c r="AG523" s="77"/>
      <c r="AH523" s="77"/>
      <c r="AI523" s="77"/>
      <c r="AJ523" s="79"/>
      <c r="AK523" s="80"/>
      <c r="AL523" s="59"/>
      <c r="AM523" s="35"/>
      <c r="AN523" s="35"/>
      <c r="AO523" s="35"/>
      <c r="AP523" s="35"/>
      <c r="AQ523" s="35"/>
      <c r="AR523" s="35"/>
      <c r="AS523" s="35"/>
      <c r="AT523" s="35"/>
      <c r="AU523" s="35"/>
      <c r="AV523" s="35"/>
      <c r="AW523" s="35"/>
    </row>
    <row r="524">
      <c r="A524" s="17"/>
      <c r="B524" s="35"/>
      <c r="C524" s="74"/>
      <c r="D524" s="74"/>
      <c r="E524" s="74"/>
      <c r="F524" s="74"/>
      <c r="G524" s="74"/>
      <c r="H524" s="74"/>
      <c r="I524" s="74"/>
      <c r="J524" s="57"/>
      <c r="K524" s="57"/>
      <c r="L524" s="57"/>
      <c r="M524" s="57"/>
      <c r="N524" s="57"/>
      <c r="O524" s="57"/>
      <c r="P524" s="57"/>
      <c r="Q524" s="69"/>
      <c r="R524" s="69"/>
      <c r="S524" s="23" t="str">
        <f>iferror(if(AN524=1,VLOOKUP(B524, Blends!H$4:AK$1004,32,0), ""), "")</f>
        <v/>
      </c>
      <c r="T524" s="58"/>
      <c r="U524" s="77"/>
      <c r="V524" s="77"/>
      <c r="W524" s="78"/>
      <c r="X524" s="77"/>
      <c r="Y524" s="77"/>
      <c r="Z524" s="77"/>
      <c r="AA524" s="77"/>
      <c r="AB524" s="77"/>
      <c r="AC524" s="77"/>
      <c r="AD524" s="77"/>
      <c r="AE524" s="77"/>
      <c r="AF524" s="77"/>
      <c r="AG524" s="77"/>
      <c r="AH524" s="77"/>
      <c r="AI524" s="77"/>
      <c r="AJ524" s="79"/>
      <c r="AK524" s="80"/>
      <c r="AL524" s="59"/>
      <c r="AM524" s="35"/>
      <c r="AN524" s="35"/>
      <c r="AO524" s="35"/>
      <c r="AP524" s="35"/>
      <c r="AQ524" s="35"/>
      <c r="AR524" s="35"/>
      <c r="AS524" s="35"/>
      <c r="AT524" s="35"/>
      <c r="AU524" s="35"/>
      <c r="AV524" s="35"/>
      <c r="AW524" s="35"/>
    </row>
    <row r="525">
      <c r="A525" s="17"/>
      <c r="B525" s="35"/>
      <c r="C525" s="74"/>
      <c r="D525" s="74"/>
      <c r="E525" s="74"/>
      <c r="F525" s="74"/>
      <c r="G525" s="74"/>
      <c r="H525" s="74"/>
      <c r="I525" s="74"/>
      <c r="J525" s="57"/>
      <c r="K525" s="57"/>
      <c r="L525" s="57"/>
      <c r="M525" s="57"/>
      <c r="N525" s="57"/>
      <c r="O525" s="57"/>
      <c r="P525" s="57"/>
      <c r="Q525" s="69"/>
      <c r="R525" s="69"/>
      <c r="S525" s="23" t="str">
        <f>iferror(if(AN525=1,VLOOKUP(B525, Blends!H$4:AK$1004,32,0), ""), "")</f>
        <v/>
      </c>
      <c r="T525" s="58"/>
      <c r="U525" s="77"/>
      <c r="V525" s="77"/>
      <c r="W525" s="78"/>
      <c r="X525" s="77"/>
      <c r="Y525" s="77"/>
      <c r="Z525" s="77"/>
      <c r="AA525" s="77"/>
      <c r="AB525" s="77"/>
      <c r="AC525" s="77"/>
      <c r="AD525" s="77"/>
      <c r="AE525" s="77"/>
      <c r="AF525" s="77"/>
      <c r="AG525" s="77"/>
      <c r="AH525" s="77"/>
      <c r="AI525" s="77"/>
      <c r="AJ525" s="79"/>
      <c r="AK525" s="80"/>
      <c r="AL525" s="59"/>
      <c r="AM525" s="35"/>
      <c r="AN525" s="35"/>
      <c r="AO525" s="35"/>
      <c r="AP525" s="35"/>
      <c r="AQ525" s="35"/>
      <c r="AR525" s="35"/>
      <c r="AS525" s="35"/>
      <c r="AT525" s="35"/>
      <c r="AU525" s="35"/>
      <c r="AV525" s="35"/>
      <c r="AW525" s="35"/>
    </row>
    <row r="526">
      <c r="A526" s="17"/>
      <c r="B526" s="35"/>
      <c r="C526" s="74"/>
      <c r="D526" s="74"/>
      <c r="E526" s="74"/>
      <c r="F526" s="74"/>
      <c r="G526" s="74"/>
      <c r="H526" s="74"/>
      <c r="I526" s="74"/>
      <c r="J526" s="57"/>
      <c r="K526" s="57"/>
      <c r="L526" s="57"/>
      <c r="M526" s="57"/>
      <c r="N526" s="57"/>
      <c r="O526" s="57"/>
      <c r="P526" s="57"/>
      <c r="Q526" s="69"/>
      <c r="R526" s="69"/>
      <c r="S526" s="23" t="str">
        <f>iferror(if(AN526=1,VLOOKUP(B526, Blends!H$4:AK$1004,32,0), ""), "")</f>
        <v/>
      </c>
      <c r="T526" s="58"/>
      <c r="U526" s="77"/>
      <c r="V526" s="77"/>
      <c r="W526" s="78"/>
      <c r="X526" s="77"/>
      <c r="Y526" s="77"/>
      <c r="Z526" s="77"/>
      <c r="AA526" s="77"/>
      <c r="AB526" s="77"/>
      <c r="AC526" s="77"/>
      <c r="AD526" s="77"/>
      <c r="AE526" s="77"/>
      <c r="AF526" s="77"/>
      <c r="AG526" s="77"/>
      <c r="AH526" s="77"/>
      <c r="AI526" s="77"/>
      <c r="AJ526" s="79"/>
      <c r="AK526" s="80"/>
      <c r="AL526" s="59"/>
      <c r="AM526" s="35"/>
      <c r="AN526" s="35"/>
      <c r="AO526" s="35"/>
      <c r="AP526" s="35"/>
      <c r="AQ526" s="35"/>
      <c r="AR526" s="35"/>
      <c r="AS526" s="35"/>
      <c r="AT526" s="35"/>
      <c r="AU526" s="35"/>
      <c r="AV526" s="35"/>
      <c r="AW526" s="35"/>
    </row>
    <row r="527">
      <c r="A527" s="17"/>
      <c r="B527" s="35"/>
      <c r="C527" s="74"/>
      <c r="D527" s="74"/>
      <c r="E527" s="74"/>
      <c r="F527" s="74"/>
      <c r="G527" s="74"/>
      <c r="H527" s="74"/>
      <c r="I527" s="74"/>
      <c r="J527" s="57"/>
      <c r="K527" s="57"/>
      <c r="L527" s="57"/>
      <c r="M527" s="57"/>
      <c r="N527" s="57"/>
      <c r="O527" s="57"/>
      <c r="P527" s="57"/>
      <c r="Q527" s="69"/>
      <c r="R527" s="69"/>
      <c r="S527" s="23" t="str">
        <f>iferror(if(AN527=1,VLOOKUP(B527, Blends!H$4:AK$1004,32,0), ""), "")</f>
        <v/>
      </c>
      <c r="T527" s="58"/>
      <c r="U527" s="77"/>
      <c r="V527" s="77"/>
      <c r="W527" s="78"/>
      <c r="X527" s="77"/>
      <c r="Y527" s="77"/>
      <c r="Z527" s="77"/>
      <c r="AA527" s="77"/>
      <c r="AB527" s="77"/>
      <c r="AC527" s="77"/>
      <c r="AD527" s="77"/>
      <c r="AE527" s="77"/>
      <c r="AF527" s="77"/>
      <c r="AG527" s="77"/>
      <c r="AH527" s="77"/>
      <c r="AI527" s="77"/>
      <c r="AJ527" s="79"/>
      <c r="AK527" s="80"/>
      <c r="AL527" s="59"/>
      <c r="AM527" s="35"/>
      <c r="AN527" s="35"/>
      <c r="AO527" s="35"/>
      <c r="AP527" s="35"/>
      <c r="AQ527" s="35"/>
      <c r="AR527" s="35"/>
      <c r="AS527" s="35"/>
      <c r="AT527" s="35"/>
      <c r="AU527" s="35"/>
      <c r="AV527" s="35"/>
      <c r="AW527" s="35"/>
    </row>
    <row r="528">
      <c r="A528" s="17"/>
      <c r="B528" s="35"/>
      <c r="C528" s="74"/>
      <c r="D528" s="74"/>
      <c r="E528" s="74"/>
      <c r="F528" s="74"/>
      <c r="G528" s="74"/>
      <c r="H528" s="74"/>
      <c r="I528" s="74"/>
      <c r="J528" s="57"/>
      <c r="K528" s="57"/>
      <c r="L528" s="57"/>
      <c r="M528" s="57"/>
      <c r="N528" s="57"/>
      <c r="O528" s="57"/>
      <c r="P528" s="57"/>
      <c r="Q528" s="69"/>
      <c r="R528" s="69"/>
      <c r="S528" s="23" t="str">
        <f>iferror(if(AN528=1,VLOOKUP(B528, Blends!H$4:AK$1004,32,0), ""), "")</f>
        <v/>
      </c>
      <c r="T528" s="58"/>
      <c r="U528" s="77"/>
      <c r="V528" s="77"/>
      <c r="W528" s="78"/>
      <c r="X528" s="77"/>
      <c r="Y528" s="77"/>
      <c r="Z528" s="77"/>
      <c r="AA528" s="77"/>
      <c r="AB528" s="77"/>
      <c r="AC528" s="77"/>
      <c r="AD528" s="77"/>
      <c r="AE528" s="77"/>
      <c r="AF528" s="77"/>
      <c r="AG528" s="77"/>
      <c r="AH528" s="77"/>
      <c r="AI528" s="77"/>
      <c r="AJ528" s="79"/>
      <c r="AK528" s="80"/>
      <c r="AL528" s="59"/>
      <c r="AM528" s="35"/>
      <c r="AN528" s="35"/>
      <c r="AO528" s="35"/>
      <c r="AP528" s="35"/>
      <c r="AQ528" s="35"/>
      <c r="AR528" s="35"/>
      <c r="AS528" s="35"/>
      <c r="AT528" s="35"/>
      <c r="AU528" s="35"/>
      <c r="AV528" s="35"/>
      <c r="AW528" s="35"/>
    </row>
    <row r="529">
      <c r="A529" s="17"/>
      <c r="B529" s="35"/>
      <c r="C529" s="74"/>
      <c r="D529" s="74"/>
      <c r="E529" s="74"/>
      <c r="F529" s="74"/>
      <c r="G529" s="74"/>
      <c r="H529" s="74"/>
      <c r="I529" s="74"/>
      <c r="J529" s="57"/>
      <c r="K529" s="57"/>
      <c r="L529" s="57"/>
      <c r="M529" s="57"/>
      <c r="N529" s="57"/>
      <c r="O529" s="57"/>
      <c r="P529" s="57"/>
      <c r="Q529" s="69"/>
      <c r="R529" s="69"/>
      <c r="S529" s="23" t="str">
        <f>iferror(if(AN529=1,VLOOKUP(B529, Blends!H$4:AK$1004,32,0), ""), "")</f>
        <v/>
      </c>
      <c r="T529" s="58"/>
      <c r="U529" s="77"/>
      <c r="V529" s="77"/>
      <c r="W529" s="78"/>
      <c r="X529" s="77"/>
      <c r="Y529" s="77"/>
      <c r="Z529" s="77"/>
      <c r="AA529" s="77"/>
      <c r="AB529" s="77"/>
      <c r="AC529" s="77"/>
      <c r="AD529" s="77"/>
      <c r="AE529" s="77"/>
      <c r="AF529" s="77"/>
      <c r="AG529" s="77"/>
      <c r="AH529" s="77"/>
      <c r="AI529" s="77"/>
      <c r="AJ529" s="79"/>
      <c r="AK529" s="80"/>
      <c r="AL529" s="59"/>
      <c r="AM529" s="35"/>
      <c r="AN529" s="35"/>
      <c r="AO529" s="35"/>
      <c r="AP529" s="35"/>
      <c r="AQ529" s="35"/>
      <c r="AR529" s="35"/>
      <c r="AS529" s="35"/>
      <c r="AT529" s="35"/>
      <c r="AU529" s="35"/>
      <c r="AV529" s="35"/>
      <c r="AW529" s="35"/>
    </row>
    <row r="530">
      <c r="A530" s="17"/>
      <c r="B530" s="35"/>
      <c r="C530" s="74"/>
      <c r="D530" s="74"/>
      <c r="E530" s="74"/>
      <c r="F530" s="74"/>
      <c r="G530" s="74"/>
      <c r="H530" s="74"/>
      <c r="I530" s="74"/>
      <c r="J530" s="57"/>
      <c r="K530" s="57"/>
      <c r="L530" s="57"/>
      <c r="M530" s="57"/>
      <c r="N530" s="57"/>
      <c r="O530" s="57"/>
      <c r="P530" s="57"/>
      <c r="Q530" s="69"/>
      <c r="R530" s="69"/>
      <c r="S530" s="23" t="str">
        <f>iferror(if(AN530=1,VLOOKUP(B530, Blends!H$4:AK$1004,32,0), ""), "")</f>
        <v/>
      </c>
      <c r="T530" s="58"/>
      <c r="U530" s="77"/>
      <c r="V530" s="77"/>
      <c r="W530" s="78"/>
      <c r="X530" s="77"/>
      <c r="Y530" s="77"/>
      <c r="Z530" s="77"/>
      <c r="AA530" s="77"/>
      <c r="AB530" s="77"/>
      <c r="AC530" s="77"/>
      <c r="AD530" s="77"/>
      <c r="AE530" s="77"/>
      <c r="AF530" s="77"/>
      <c r="AG530" s="77"/>
      <c r="AH530" s="77"/>
      <c r="AI530" s="77"/>
      <c r="AJ530" s="79"/>
      <c r="AK530" s="80"/>
      <c r="AL530" s="59"/>
      <c r="AM530" s="35"/>
      <c r="AN530" s="35"/>
      <c r="AO530" s="35"/>
      <c r="AP530" s="35"/>
      <c r="AQ530" s="35"/>
      <c r="AR530" s="35"/>
      <c r="AS530" s="35"/>
      <c r="AT530" s="35"/>
      <c r="AU530" s="35"/>
      <c r="AV530" s="35"/>
      <c r="AW530" s="35"/>
    </row>
    <row r="531">
      <c r="A531" s="17"/>
      <c r="B531" s="35"/>
      <c r="C531" s="74"/>
      <c r="D531" s="74"/>
      <c r="E531" s="74"/>
      <c r="F531" s="74"/>
      <c r="G531" s="74"/>
      <c r="H531" s="74"/>
      <c r="I531" s="74"/>
      <c r="J531" s="57"/>
      <c r="K531" s="57"/>
      <c r="L531" s="57"/>
      <c r="M531" s="57"/>
      <c r="N531" s="57"/>
      <c r="O531" s="57"/>
      <c r="P531" s="57"/>
      <c r="Q531" s="69"/>
      <c r="R531" s="69"/>
      <c r="S531" s="23" t="str">
        <f>iferror(if(AN531=1,VLOOKUP(B531, Blends!H$4:AK$1004,32,0), ""), "")</f>
        <v/>
      </c>
      <c r="T531" s="58"/>
      <c r="U531" s="77"/>
      <c r="V531" s="77"/>
      <c r="W531" s="78"/>
      <c r="X531" s="77"/>
      <c r="Y531" s="77"/>
      <c r="Z531" s="77"/>
      <c r="AA531" s="77"/>
      <c r="AB531" s="77"/>
      <c r="AC531" s="77"/>
      <c r="AD531" s="77"/>
      <c r="AE531" s="77"/>
      <c r="AF531" s="77"/>
      <c r="AG531" s="77"/>
      <c r="AH531" s="77"/>
      <c r="AI531" s="77"/>
      <c r="AJ531" s="79"/>
      <c r="AK531" s="80"/>
      <c r="AL531" s="59"/>
      <c r="AM531" s="35"/>
      <c r="AN531" s="35"/>
      <c r="AO531" s="35"/>
      <c r="AP531" s="35"/>
      <c r="AQ531" s="35"/>
      <c r="AR531" s="35"/>
      <c r="AS531" s="35"/>
      <c r="AT531" s="35"/>
      <c r="AU531" s="35"/>
      <c r="AV531" s="35"/>
      <c r="AW531" s="35"/>
    </row>
    <row r="532">
      <c r="A532" s="17"/>
      <c r="B532" s="35"/>
      <c r="C532" s="74"/>
      <c r="D532" s="74"/>
      <c r="E532" s="74"/>
      <c r="F532" s="74"/>
      <c r="G532" s="74"/>
      <c r="H532" s="74"/>
      <c r="I532" s="74"/>
      <c r="J532" s="57"/>
      <c r="K532" s="57"/>
      <c r="L532" s="57"/>
      <c r="M532" s="57"/>
      <c r="N532" s="57"/>
      <c r="O532" s="57"/>
      <c r="P532" s="57"/>
      <c r="Q532" s="69"/>
      <c r="R532" s="69"/>
      <c r="S532" s="23" t="str">
        <f>iferror(if(AN532=1,VLOOKUP(B532, Blends!H$4:AK$1004,32,0), ""), "")</f>
        <v/>
      </c>
      <c r="T532" s="58"/>
      <c r="U532" s="77"/>
      <c r="V532" s="77"/>
      <c r="W532" s="78"/>
      <c r="X532" s="77"/>
      <c r="Y532" s="77"/>
      <c r="Z532" s="77"/>
      <c r="AA532" s="77"/>
      <c r="AB532" s="77"/>
      <c r="AC532" s="77"/>
      <c r="AD532" s="77"/>
      <c r="AE532" s="77"/>
      <c r="AF532" s="77"/>
      <c r="AG532" s="77"/>
      <c r="AH532" s="77"/>
      <c r="AI532" s="77"/>
      <c r="AJ532" s="79"/>
      <c r="AK532" s="80"/>
      <c r="AL532" s="59"/>
      <c r="AM532" s="35"/>
      <c r="AN532" s="35"/>
      <c r="AO532" s="35"/>
      <c r="AP532" s="35"/>
      <c r="AQ532" s="35"/>
      <c r="AR532" s="35"/>
      <c r="AS532" s="35"/>
      <c r="AT532" s="35"/>
      <c r="AU532" s="35"/>
      <c r="AV532" s="35"/>
      <c r="AW532" s="35"/>
    </row>
    <row r="533">
      <c r="A533" s="17"/>
      <c r="B533" s="35"/>
      <c r="C533" s="74"/>
      <c r="D533" s="74"/>
      <c r="E533" s="74"/>
      <c r="F533" s="74"/>
      <c r="G533" s="74"/>
      <c r="H533" s="74"/>
      <c r="I533" s="74"/>
      <c r="J533" s="57"/>
      <c r="K533" s="57"/>
      <c r="L533" s="57"/>
      <c r="M533" s="57"/>
      <c r="N533" s="57"/>
      <c r="O533" s="57"/>
      <c r="P533" s="57"/>
      <c r="Q533" s="69"/>
      <c r="R533" s="69"/>
      <c r="S533" s="23" t="str">
        <f>iferror(if(AN533=1,VLOOKUP(B533, Blends!H$4:AK$1004,32,0), ""), "")</f>
        <v/>
      </c>
      <c r="T533" s="58"/>
      <c r="U533" s="77"/>
      <c r="V533" s="77"/>
      <c r="W533" s="78"/>
      <c r="X533" s="77"/>
      <c r="Y533" s="77"/>
      <c r="Z533" s="77"/>
      <c r="AA533" s="77"/>
      <c r="AB533" s="77"/>
      <c r="AC533" s="77"/>
      <c r="AD533" s="77"/>
      <c r="AE533" s="77"/>
      <c r="AF533" s="77"/>
      <c r="AG533" s="77"/>
      <c r="AH533" s="77"/>
      <c r="AI533" s="77"/>
      <c r="AJ533" s="79"/>
      <c r="AK533" s="80"/>
      <c r="AL533" s="59"/>
      <c r="AM533" s="35"/>
      <c r="AN533" s="35"/>
      <c r="AO533" s="35"/>
      <c r="AP533" s="35"/>
      <c r="AQ533" s="35"/>
      <c r="AR533" s="35"/>
      <c r="AS533" s="35"/>
      <c r="AT533" s="35"/>
      <c r="AU533" s="35"/>
      <c r="AV533" s="35"/>
      <c r="AW533" s="35"/>
    </row>
    <row r="534">
      <c r="A534" s="17"/>
      <c r="B534" s="35"/>
      <c r="C534" s="74"/>
      <c r="D534" s="74"/>
      <c r="E534" s="74"/>
      <c r="F534" s="74"/>
      <c r="G534" s="74"/>
      <c r="H534" s="74"/>
      <c r="I534" s="74"/>
      <c r="J534" s="57"/>
      <c r="K534" s="57"/>
      <c r="L534" s="57"/>
      <c r="M534" s="57"/>
      <c r="N534" s="57"/>
      <c r="O534" s="57"/>
      <c r="P534" s="57"/>
      <c r="Q534" s="69"/>
      <c r="R534" s="69"/>
      <c r="S534" s="23" t="str">
        <f>iferror(if(AN534=1,VLOOKUP(B534, Blends!H$4:AK$1004,32,0), ""), "")</f>
        <v/>
      </c>
      <c r="T534" s="58"/>
      <c r="U534" s="77"/>
      <c r="V534" s="77"/>
      <c r="W534" s="78"/>
      <c r="X534" s="77"/>
      <c r="Y534" s="77"/>
      <c r="Z534" s="77"/>
      <c r="AA534" s="77"/>
      <c r="AB534" s="77"/>
      <c r="AC534" s="77"/>
      <c r="AD534" s="77"/>
      <c r="AE534" s="77"/>
      <c r="AF534" s="77"/>
      <c r="AG534" s="77"/>
      <c r="AH534" s="77"/>
      <c r="AI534" s="77"/>
      <c r="AJ534" s="79"/>
      <c r="AK534" s="80"/>
      <c r="AL534" s="59"/>
      <c r="AM534" s="35"/>
      <c r="AN534" s="35"/>
      <c r="AO534" s="35"/>
      <c r="AP534" s="35"/>
      <c r="AQ534" s="35"/>
      <c r="AR534" s="35"/>
      <c r="AS534" s="35"/>
      <c r="AT534" s="35"/>
      <c r="AU534" s="35"/>
      <c r="AV534" s="35"/>
      <c r="AW534" s="35"/>
    </row>
    <row r="535">
      <c r="A535" s="17"/>
      <c r="B535" s="35"/>
      <c r="C535" s="74"/>
      <c r="D535" s="74"/>
      <c r="E535" s="74"/>
      <c r="F535" s="74"/>
      <c r="G535" s="74"/>
      <c r="H535" s="74"/>
      <c r="I535" s="74"/>
      <c r="J535" s="57"/>
      <c r="K535" s="57"/>
      <c r="L535" s="57"/>
      <c r="M535" s="57"/>
      <c r="N535" s="57"/>
      <c r="O535" s="57"/>
      <c r="P535" s="57"/>
      <c r="Q535" s="69"/>
      <c r="R535" s="69"/>
      <c r="S535" s="23" t="str">
        <f>iferror(if(AN535=1,VLOOKUP(B535, Blends!H$4:AK$1004,32,0), ""), "")</f>
        <v/>
      </c>
      <c r="T535" s="58"/>
      <c r="U535" s="77"/>
      <c r="V535" s="77"/>
      <c r="W535" s="78"/>
      <c r="X535" s="77"/>
      <c r="Y535" s="77"/>
      <c r="Z535" s="77"/>
      <c r="AA535" s="77"/>
      <c r="AB535" s="77"/>
      <c r="AC535" s="77"/>
      <c r="AD535" s="77"/>
      <c r="AE535" s="77"/>
      <c r="AF535" s="77"/>
      <c r="AG535" s="77"/>
      <c r="AH535" s="77"/>
      <c r="AI535" s="77"/>
      <c r="AJ535" s="79"/>
      <c r="AK535" s="80"/>
      <c r="AL535" s="59"/>
      <c r="AM535" s="35"/>
      <c r="AN535" s="35"/>
      <c r="AO535" s="35"/>
      <c r="AP535" s="35"/>
      <c r="AQ535" s="35"/>
      <c r="AR535" s="35"/>
      <c r="AS535" s="35"/>
      <c r="AT535" s="35"/>
      <c r="AU535" s="35"/>
      <c r="AV535" s="35"/>
      <c r="AW535" s="35"/>
    </row>
    <row r="536">
      <c r="A536" s="17"/>
      <c r="B536" s="35"/>
      <c r="C536" s="74"/>
      <c r="D536" s="74"/>
      <c r="E536" s="74"/>
      <c r="F536" s="74"/>
      <c r="G536" s="74"/>
      <c r="H536" s="74"/>
      <c r="I536" s="74"/>
      <c r="J536" s="57"/>
      <c r="K536" s="57"/>
      <c r="L536" s="57"/>
      <c r="M536" s="57"/>
      <c r="N536" s="57"/>
      <c r="O536" s="57"/>
      <c r="P536" s="57"/>
      <c r="Q536" s="69"/>
      <c r="R536" s="69"/>
      <c r="S536" s="23" t="str">
        <f>iferror(if(AN536=1,VLOOKUP(B536, Blends!H$4:AK$1004,32,0), ""), "")</f>
        <v/>
      </c>
      <c r="T536" s="58"/>
      <c r="U536" s="77"/>
      <c r="V536" s="77"/>
      <c r="W536" s="78"/>
      <c r="X536" s="77"/>
      <c r="Y536" s="77"/>
      <c r="Z536" s="77"/>
      <c r="AA536" s="77"/>
      <c r="AB536" s="77"/>
      <c r="AC536" s="77"/>
      <c r="AD536" s="77"/>
      <c r="AE536" s="77"/>
      <c r="AF536" s="77"/>
      <c r="AG536" s="77"/>
      <c r="AH536" s="77"/>
      <c r="AI536" s="77"/>
      <c r="AJ536" s="79"/>
      <c r="AK536" s="80"/>
      <c r="AL536" s="59"/>
      <c r="AM536" s="35"/>
      <c r="AN536" s="35"/>
      <c r="AO536" s="35"/>
      <c r="AP536" s="35"/>
      <c r="AQ536" s="35"/>
      <c r="AR536" s="35"/>
      <c r="AS536" s="35"/>
      <c r="AT536" s="35"/>
      <c r="AU536" s="35"/>
      <c r="AV536" s="35"/>
      <c r="AW536" s="35"/>
    </row>
    <row r="537">
      <c r="A537" s="17"/>
      <c r="B537" s="35"/>
      <c r="C537" s="74"/>
      <c r="D537" s="74"/>
      <c r="E537" s="74"/>
      <c r="F537" s="74"/>
      <c r="G537" s="74"/>
      <c r="H537" s="74"/>
      <c r="I537" s="74"/>
      <c r="J537" s="57"/>
      <c r="K537" s="57"/>
      <c r="L537" s="57"/>
      <c r="M537" s="57"/>
      <c r="N537" s="57"/>
      <c r="O537" s="57"/>
      <c r="P537" s="57"/>
      <c r="Q537" s="69"/>
      <c r="R537" s="69"/>
      <c r="S537" s="23" t="str">
        <f>iferror(if(AN537=1,VLOOKUP(B537, Blends!H$4:AK$1004,32,0), ""), "")</f>
        <v/>
      </c>
      <c r="T537" s="58"/>
      <c r="U537" s="77"/>
      <c r="V537" s="77"/>
      <c r="W537" s="78"/>
      <c r="X537" s="77"/>
      <c r="Y537" s="77"/>
      <c r="Z537" s="77"/>
      <c r="AA537" s="77"/>
      <c r="AB537" s="77"/>
      <c r="AC537" s="77"/>
      <c r="AD537" s="77"/>
      <c r="AE537" s="77"/>
      <c r="AF537" s="77"/>
      <c r="AG537" s="77"/>
      <c r="AH537" s="77"/>
      <c r="AI537" s="77"/>
      <c r="AJ537" s="79"/>
      <c r="AK537" s="80"/>
      <c r="AL537" s="59"/>
      <c r="AM537" s="35"/>
      <c r="AN537" s="35"/>
      <c r="AO537" s="35"/>
      <c r="AP537" s="35"/>
      <c r="AQ537" s="35"/>
      <c r="AR537" s="35"/>
      <c r="AS537" s="35"/>
      <c r="AT537" s="35"/>
      <c r="AU537" s="35"/>
      <c r="AV537" s="35"/>
      <c r="AW537" s="35"/>
    </row>
    <row r="538">
      <c r="A538" s="17"/>
      <c r="B538" s="35"/>
      <c r="C538" s="74"/>
      <c r="D538" s="74"/>
      <c r="E538" s="74"/>
      <c r="F538" s="74"/>
      <c r="G538" s="74"/>
      <c r="H538" s="74"/>
      <c r="I538" s="74"/>
      <c r="J538" s="57"/>
      <c r="K538" s="57"/>
      <c r="L538" s="57"/>
      <c r="M538" s="57"/>
      <c r="N538" s="57"/>
      <c r="O538" s="57"/>
      <c r="P538" s="57"/>
      <c r="Q538" s="69"/>
      <c r="R538" s="69"/>
      <c r="S538" s="23" t="str">
        <f>iferror(if(AN538=1,VLOOKUP(B538, Blends!H$4:AK$1004,32,0), ""), "")</f>
        <v/>
      </c>
      <c r="T538" s="58"/>
      <c r="U538" s="77"/>
      <c r="V538" s="77"/>
      <c r="W538" s="78"/>
      <c r="X538" s="77"/>
      <c r="Y538" s="77"/>
      <c r="Z538" s="77"/>
      <c r="AA538" s="77"/>
      <c r="AB538" s="77"/>
      <c r="AC538" s="77"/>
      <c r="AD538" s="77"/>
      <c r="AE538" s="77"/>
      <c r="AF538" s="77"/>
      <c r="AG538" s="77"/>
      <c r="AH538" s="77"/>
      <c r="AI538" s="77"/>
      <c r="AJ538" s="79"/>
      <c r="AK538" s="80"/>
      <c r="AL538" s="59"/>
      <c r="AM538" s="35"/>
      <c r="AN538" s="35"/>
      <c r="AO538" s="35"/>
      <c r="AP538" s="35"/>
      <c r="AQ538" s="35"/>
      <c r="AR538" s="35"/>
      <c r="AS538" s="35"/>
      <c r="AT538" s="35"/>
      <c r="AU538" s="35"/>
      <c r="AV538" s="35"/>
      <c r="AW538" s="35"/>
    </row>
    <row r="539">
      <c r="A539" s="17"/>
      <c r="B539" s="35"/>
      <c r="C539" s="74"/>
      <c r="D539" s="74"/>
      <c r="E539" s="74"/>
      <c r="F539" s="74"/>
      <c r="G539" s="74"/>
      <c r="H539" s="74"/>
      <c r="I539" s="74"/>
      <c r="J539" s="57"/>
      <c r="K539" s="57"/>
      <c r="L539" s="57"/>
      <c r="M539" s="57"/>
      <c r="N539" s="57"/>
      <c r="O539" s="57"/>
      <c r="P539" s="57"/>
      <c r="Q539" s="69"/>
      <c r="R539" s="69"/>
      <c r="S539" s="23" t="str">
        <f>iferror(if(AN539=1,VLOOKUP(B539, Blends!H$4:AK$1004,32,0), ""), "")</f>
        <v/>
      </c>
      <c r="T539" s="58"/>
      <c r="U539" s="77"/>
      <c r="V539" s="77"/>
      <c r="W539" s="78"/>
      <c r="X539" s="77"/>
      <c r="Y539" s="77"/>
      <c r="Z539" s="77"/>
      <c r="AA539" s="77"/>
      <c r="AB539" s="77"/>
      <c r="AC539" s="77"/>
      <c r="AD539" s="77"/>
      <c r="AE539" s="77"/>
      <c r="AF539" s="77"/>
      <c r="AG539" s="77"/>
      <c r="AH539" s="77"/>
      <c r="AI539" s="77"/>
      <c r="AJ539" s="79"/>
      <c r="AK539" s="80"/>
      <c r="AL539" s="59"/>
      <c r="AM539" s="35"/>
      <c r="AN539" s="35"/>
      <c r="AO539" s="35"/>
      <c r="AP539" s="35"/>
      <c r="AQ539" s="35"/>
      <c r="AR539" s="35"/>
      <c r="AS539" s="35"/>
      <c r="AT539" s="35"/>
      <c r="AU539" s="35"/>
      <c r="AV539" s="35"/>
      <c r="AW539" s="35"/>
    </row>
    <row r="540">
      <c r="A540" s="17"/>
      <c r="B540" s="35"/>
      <c r="C540" s="74"/>
      <c r="D540" s="74"/>
      <c r="E540" s="74"/>
      <c r="F540" s="74"/>
      <c r="G540" s="74"/>
      <c r="H540" s="74"/>
      <c r="I540" s="74"/>
      <c r="J540" s="57"/>
      <c r="K540" s="57"/>
      <c r="L540" s="57"/>
      <c r="M540" s="57"/>
      <c r="N540" s="57"/>
      <c r="O540" s="57"/>
      <c r="P540" s="57"/>
      <c r="Q540" s="69"/>
      <c r="R540" s="69"/>
      <c r="S540" s="23" t="str">
        <f>iferror(if(AN540=1,VLOOKUP(B540, Blends!H$4:AK$1004,32,0), ""), "")</f>
        <v/>
      </c>
      <c r="T540" s="58"/>
      <c r="U540" s="77"/>
      <c r="V540" s="77"/>
      <c r="W540" s="78"/>
      <c r="X540" s="77"/>
      <c r="Y540" s="77"/>
      <c r="Z540" s="77"/>
      <c r="AA540" s="77"/>
      <c r="AB540" s="77"/>
      <c r="AC540" s="77"/>
      <c r="AD540" s="77"/>
      <c r="AE540" s="77"/>
      <c r="AF540" s="77"/>
      <c r="AG540" s="77"/>
      <c r="AH540" s="77"/>
      <c r="AI540" s="77"/>
      <c r="AJ540" s="79"/>
      <c r="AK540" s="80"/>
      <c r="AL540" s="59"/>
      <c r="AM540" s="35"/>
      <c r="AN540" s="35"/>
      <c r="AO540" s="35"/>
      <c r="AP540" s="35"/>
      <c r="AQ540" s="35"/>
      <c r="AR540" s="35"/>
      <c r="AS540" s="35"/>
      <c r="AT540" s="35"/>
      <c r="AU540" s="35"/>
      <c r="AV540" s="35"/>
      <c r="AW540" s="35"/>
    </row>
    <row r="541">
      <c r="A541" s="17"/>
      <c r="B541" s="35"/>
      <c r="C541" s="74"/>
      <c r="D541" s="74"/>
      <c r="E541" s="74"/>
      <c r="F541" s="74"/>
      <c r="G541" s="74"/>
      <c r="H541" s="74"/>
      <c r="I541" s="74"/>
      <c r="J541" s="57"/>
      <c r="K541" s="57"/>
      <c r="L541" s="57"/>
      <c r="M541" s="57"/>
      <c r="N541" s="57"/>
      <c r="O541" s="57"/>
      <c r="P541" s="57"/>
      <c r="Q541" s="69"/>
      <c r="R541" s="69"/>
      <c r="S541" s="23" t="str">
        <f>iferror(if(AN541=1,VLOOKUP(B541, Blends!H$4:AK$1004,32,0), ""), "")</f>
        <v/>
      </c>
      <c r="T541" s="58"/>
      <c r="U541" s="77"/>
      <c r="V541" s="77"/>
      <c r="W541" s="78"/>
      <c r="X541" s="77"/>
      <c r="Y541" s="77"/>
      <c r="Z541" s="77"/>
      <c r="AA541" s="77"/>
      <c r="AB541" s="77"/>
      <c r="AC541" s="77"/>
      <c r="AD541" s="77"/>
      <c r="AE541" s="77"/>
      <c r="AF541" s="77"/>
      <c r="AG541" s="77"/>
      <c r="AH541" s="77"/>
      <c r="AI541" s="77"/>
      <c r="AJ541" s="79"/>
      <c r="AK541" s="80"/>
      <c r="AL541" s="59"/>
      <c r="AM541" s="35"/>
      <c r="AN541" s="35"/>
      <c r="AO541" s="35"/>
      <c r="AP541" s="35"/>
      <c r="AQ541" s="35"/>
      <c r="AR541" s="35"/>
      <c r="AS541" s="35"/>
      <c r="AT541" s="35"/>
      <c r="AU541" s="35"/>
      <c r="AV541" s="35"/>
      <c r="AW541" s="35"/>
    </row>
    <row r="542">
      <c r="A542" s="17"/>
      <c r="B542" s="35"/>
      <c r="C542" s="74"/>
      <c r="D542" s="74"/>
      <c r="E542" s="74"/>
      <c r="F542" s="74"/>
      <c r="G542" s="74"/>
      <c r="H542" s="74"/>
      <c r="I542" s="74"/>
      <c r="J542" s="57"/>
      <c r="K542" s="57"/>
      <c r="L542" s="57"/>
      <c r="M542" s="57"/>
      <c r="N542" s="57"/>
      <c r="O542" s="57"/>
      <c r="P542" s="57"/>
      <c r="Q542" s="69"/>
      <c r="R542" s="69"/>
      <c r="S542" s="23" t="str">
        <f>iferror(if(AN542=1,VLOOKUP(B542, Blends!H$4:AK$1004,32,0), ""), "")</f>
        <v/>
      </c>
      <c r="T542" s="58"/>
      <c r="U542" s="77"/>
      <c r="V542" s="77"/>
      <c r="W542" s="78"/>
      <c r="X542" s="77"/>
      <c r="Y542" s="77"/>
      <c r="Z542" s="77"/>
      <c r="AA542" s="77"/>
      <c r="AB542" s="77"/>
      <c r="AC542" s="77"/>
      <c r="AD542" s="77"/>
      <c r="AE542" s="77"/>
      <c r="AF542" s="77"/>
      <c r="AG542" s="77"/>
      <c r="AH542" s="77"/>
      <c r="AI542" s="77"/>
      <c r="AJ542" s="79"/>
      <c r="AK542" s="80"/>
      <c r="AL542" s="59"/>
      <c r="AM542" s="35"/>
      <c r="AN542" s="35"/>
      <c r="AO542" s="35"/>
      <c r="AP542" s="35"/>
      <c r="AQ542" s="35"/>
      <c r="AR542" s="35"/>
      <c r="AS542" s="35"/>
      <c r="AT542" s="35"/>
      <c r="AU542" s="35"/>
      <c r="AV542" s="35"/>
      <c r="AW542" s="35"/>
    </row>
    <row r="543">
      <c r="A543" s="17"/>
      <c r="B543" s="35"/>
      <c r="C543" s="74"/>
      <c r="D543" s="74"/>
      <c r="E543" s="74"/>
      <c r="F543" s="74"/>
      <c r="G543" s="74"/>
      <c r="H543" s="74"/>
      <c r="I543" s="74"/>
      <c r="J543" s="57"/>
      <c r="K543" s="57"/>
      <c r="L543" s="57"/>
      <c r="M543" s="57"/>
      <c r="N543" s="57"/>
      <c r="O543" s="57"/>
      <c r="P543" s="57"/>
      <c r="Q543" s="69"/>
      <c r="R543" s="69"/>
      <c r="S543" s="23" t="str">
        <f>iferror(if(AN543=1,VLOOKUP(B543, Blends!H$4:AK$1004,32,0), ""), "")</f>
        <v/>
      </c>
      <c r="T543" s="58"/>
      <c r="U543" s="77"/>
      <c r="V543" s="77"/>
      <c r="W543" s="78"/>
      <c r="X543" s="77"/>
      <c r="Y543" s="77"/>
      <c r="Z543" s="77"/>
      <c r="AA543" s="77"/>
      <c r="AB543" s="77"/>
      <c r="AC543" s="77"/>
      <c r="AD543" s="77"/>
      <c r="AE543" s="77"/>
      <c r="AF543" s="77"/>
      <c r="AG543" s="77"/>
      <c r="AH543" s="77"/>
      <c r="AI543" s="77"/>
      <c r="AJ543" s="79"/>
      <c r="AK543" s="80"/>
      <c r="AL543" s="59"/>
      <c r="AM543" s="35"/>
      <c r="AN543" s="35"/>
      <c r="AO543" s="35"/>
      <c r="AP543" s="35"/>
      <c r="AQ543" s="35"/>
      <c r="AR543" s="35"/>
      <c r="AS543" s="35"/>
      <c r="AT543" s="35"/>
      <c r="AU543" s="35"/>
      <c r="AV543" s="35"/>
      <c r="AW543" s="35"/>
    </row>
    <row r="544">
      <c r="A544" s="17"/>
      <c r="B544" s="35"/>
      <c r="C544" s="74"/>
      <c r="D544" s="74"/>
      <c r="E544" s="74"/>
      <c r="F544" s="74"/>
      <c r="G544" s="74"/>
      <c r="H544" s="74"/>
      <c r="I544" s="74"/>
      <c r="J544" s="57"/>
      <c r="K544" s="57"/>
      <c r="L544" s="57"/>
      <c r="M544" s="57"/>
      <c r="N544" s="57"/>
      <c r="O544" s="57"/>
      <c r="P544" s="57"/>
      <c r="Q544" s="69"/>
      <c r="R544" s="69"/>
      <c r="S544" s="23" t="str">
        <f>iferror(if(AN544=1,VLOOKUP(B544, Blends!H$4:AK$1004,32,0), ""), "")</f>
        <v/>
      </c>
      <c r="T544" s="58"/>
      <c r="U544" s="77"/>
      <c r="V544" s="77"/>
      <c r="W544" s="78"/>
      <c r="X544" s="77"/>
      <c r="Y544" s="77"/>
      <c r="Z544" s="77"/>
      <c r="AA544" s="77"/>
      <c r="AB544" s="77"/>
      <c r="AC544" s="77"/>
      <c r="AD544" s="77"/>
      <c r="AE544" s="77"/>
      <c r="AF544" s="77"/>
      <c r="AG544" s="77"/>
      <c r="AH544" s="77"/>
      <c r="AI544" s="77"/>
      <c r="AJ544" s="79"/>
      <c r="AK544" s="80"/>
      <c r="AL544" s="59"/>
      <c r="AM544" s="35"/>
      <c r="AN544" s="35"/>
      <c r="AO544" s="35"/>
      <c r="AP544" s="35"/>
      <c r="AQ544" s="35"/>
      <c r="AR544" s="35"/>
      <c r="AS544" s="35"/>
      <c r="AT544" s="35"/>
      <c r="AU544" s="35"/>
      <c r="AV544" s="35"/>
      <c r="AW544" s="35"/>
    </row>
    <row r="545">
      <c r="A545" s="17"/>
      <c r="B545" s="35"/>
      <c r="C545" s="74"/>
      <c r="D545" s="74"/>
      <c r="E545" s="74"/>
      <c r="F545" s="74"/>
      <c r="G545" s="74"/>
      <c r="H545" s="74"/>
      <c r="I545" s="74"/>
      <c r="J545" s="57"/>
      <c r="K545" s="57"/>
      <c r="L545" s="57"/>
      <c r="M545" s="57"/>
      <c r="N545" s="57"/>
      <c r="O545" s="57"/>
      <c r="P545" s="57"/>
      <c r="Q545" s="69"/>
      <c r="R545" s="69"/>
      <c r="S545" s="23" t="str">
        <f>iferror(if(AN545=1,VLOOKUP(B545, Blends!H$4:AK$1004,32,0), ""), "")</f>
        <v/>
      </c>
      <c r="T545" s="58"/>
      <c r="U545" s="77"/>
      <c r="V545" s="77"/>
      <c r="W545" s="78"/>
      <c r="X545" s="77"/>
      <c r="Y545" s="77"/>
      <c r="Z545" s="77"/>
      <c r="AA545" s="77"/>
      <c r="AB545" s="77"/>
      <c r="AC545" s="77"/>
      <c r="AD545" s="77"/>
      <c r="AE545" s="77"/>
      <c r="AF545" s="77"/>
      <c r="AG545" s="77"/>
      <c r="AH545" s="77"/>
      <c r="AI545" s="77"/>
      <c r="AJ545" s="79"/>
      <c r="AK545" s="80"/>
      <c r="AL545" s="59"/>
      <c r="AM545" s="35"/>
      <c r="AN545" s="35"/>
      <c r="AO545" s="35"/>
      <c r="AP545" s="35"/>
      <c r="AQ545" s="35"/>
      <c r="AR545" s="35"/>
      <c r="AS545" s="35"/>
      <c r="AT545" s="35"/>
      <c r="AU545" s="35"/>
      <c r="AV545" s="35"/>
      <c r="AW545" s="35"/>
    </row>
    <row r="546">
      <c r="A546" s="17"/>
      <c r="B546" s="35"/>
      <c r="C546" s="74"/>
      <c r="D546" s="74"/>
      <c r="E546" s="74"/>
      <c r="F546" s="74"/>
      <c r="G546" s="74"/>
      <c r="H546" s="74"/>
      <c r="I546" s="74"/>
      <c r="J546" s="57"/>
      <c r="K546" s="57"/>
      <c r="L546" s="57"/>
      <c r="M546" s="57"/>
      <c r="N546" s="57"/>
      <c r="O546" s="57"/>
      <c r="P546" s="57"/>
      <c r="Q546" s="69"/>
      <c r="R546" s="69"/>
      <c r="S546" s="23" t="str">
        <f>iferror(if(AN546=1,VLOOKUP(B546, Blends!H$4:AK$1004,32,0), ""), "")</f>
        <v/>
      </c>
      <c r="T546" s="58"/>
      <c r="U546" s="77"/>
      <c r="V546" s="77"/>
      <c r="W546" s="78"/>
      <c r="X546" s="77"/>
      <c r="Y546" s="77"/>
      <c r="Z546" s="77"/>
      <c r="AA546" s="77"/>
      <c r="AB546" s="77"/>
      <c r="AC546" s="77"/>
      <c r="AD546" s="77"/>
      <c r="AE546" s="77"/>
      <c r="AF546" s="77"/>
      <c r="AG546" s="77"/>
      <c r="AH546" s="77"/>
      <c r="AI546" s="77"/>
      <c r="AJ546" s="79"/>
      <c r="AK546" s="80"/>
      <c r="AL546" s="59"/>
      <c r="AM546" s="35"/>
      <c r="AN546" s="35"/>
      <c r="AO546" s="35"/>
      <c r="AP546" s="35"/>
      <c r="AQ546" s="35"/>
      <c r="AR546" s="35"/>
      <c r="AS546" s="35"/>
      <c r="AT546" s="35"/>
      <c r="AU546" s="35"/>
      <c r="AV546" s="35"/>
      <c r="AW546" s="35"/>
    </row>
    <row r="547">
      <c r="A547" s="17"/>
      <c r="B547" s="35"/>
      <c r="C547" s="74"/>
      <c r="D547" s="74"/>
      <c r="E547" s="74"/>
      <c r="F547" s="74"/>
      <c r="G547" s="74"/>
      <c r="H547" s="74"/>
      <c r="I547" s="74"/>
      <c r="J547" s="57"/>
      <c r="K547" s="57"/>
      <c r="L547" s="57"/>
      <c r="M547" s="57"/>
      <c r="N547" s="57"/>
      <c r="O547" s="57"/>
      <c r="P547" s="57"/>
      <c r="Q547" s="69"/>
      <c r="R547" s="69"/>
      <c r="S547" s="23" t="str">
        <f>iferror(if(AN547=1,VLOOKUP(B547, Blends!H$4:AK$1004,32,0), ""), "")</f>
        <v/>
      </c>
      <c r="T547" s="58"/>
      <c r="U547" s="77"/>
      <c r="V547" s="77"/>
      <c r="W547" s="78"/>
      <c r="X547" s="77"/>
      <c r="Y547" s="77"/>
      <c r="Z547" s="77"/>
      <c r="AA547" s="77"/>
      <c r="AB547" s="77"/>
      <c r="AC547" s="77"/>
      <c r="AD547" s="77"/>
      <c r="AE547" s="77"/>
      <c r="AF547" s="77"/>
      <c r="AG547" s="77"/>
      <c r="AH547" s="77"/>
      <c r="AI547" s="77"/>
      <c r="AJ547" s="79"/>
      <c r="AK547" s="80"/>
      <c r="AL547" s="59"/>
      <c r="AM547" s="35"/>
      <c r="AN547" s="35"/>
      <c r="AO547" s="35"/>
      <c r="AP547" s="35"/>
      <c r="AQ547" s="35"/>
      <c r="AR547" s="35"/>
      <c r="AS547" s="35"/>
      <c r="AT547" s="35"/>
      <c r="AU547" s="35"/>
      <c r="AV547" s="35"/>
      <c r="AW547" s="35"/>
    </row>
    <row r="548">
      <c r="A548" s="17"/>
      <c r="B548" s="35"/>
      <c r="C548" s="74"/>
      <c r="D548" s="74"/>
      <c r="E548" s="74"/>
      <c r="F548" s="74"/>
      <c r="G548" s="74"/>
      <c r="H548" s="74"/>
      <c r="I548" s="74"/>
      <c r="J548" s="57"/>
      <c r="K548" s="57"/>
      <c r="L548" s="57"/>
      <c r="M548" s="57"/>
      <c r="N548" s="57"/>
      <c r="O548" s="57"/>
      <c r="P548" s="57"/>
      <c r="Q548" s="69"/>
      <c r="R548" s="69"/>
      <c r="S548" s="23" t="str">
        <f>iferror(if(AN548=1,VLOOKUP(B548, Blends!H$4:AK$1004,32,0), ""), "")</f>
        <v/>
      </c>
      <c r="T548" s="58"/>
      <c r="U548" s="77"/>
      <c r="V548" s="77"/>
      <c r="W548" s="78"/>
      <c r="X548" s="77"/>
      <c r="Y548" s="77"/>
      <c r="Z548" s="77"/>
      <c r="AA548" s="77"/>
      <c r="AB548" s="77"/>
      <c r="AC548" s="77"/>
      <c r="AD548" s="77"/>
      <c r="AE548" s="77"/>
      <c r="AF548" s="77"/>
      <c r="AG548" s="77"/>
      <c r="AH548" s="77"/>
      <c r="AI548" s="77"/>
      <c r="AJ548" s="79"/>
      <c r="AK548" s="80"/>
      <c r="AL548" s="59"/>
      <c r="AM548" s="35"/>
      <c r="AN548" s="35"/>
      <c r="AO548" s="35"/>
      <c r="AP548" s="35"/>
      <c r="AQ548" s="35"/>
      <c r="AR548" s="35"/>
      <c r="AS548" s="35"/>
      <c r="AT548" s="35"/>
      <c r="AU548" s="35"/>
      <c r="AV548" s="35"/>
      <c r="AW548" s="35"/>
    </row>
    <row r="549">
      <c r="A549" s="17"/>
      <c r="B549" s="35"/>
      <c r="C549" s="74"/>
      <c r="D549" s="74"/>
      <c r="E549" s="74"/>
      <c r="F549" s="74"/>
      <c r="G549" s="74"/>
      <c r="H549" s="74"/>
      <c r="I549" s="74"/>
      <c r="J549" s="57"/>
      <c r="K549" s="57"/>
      <c r="L549" s="57"/>
      <c r="M549" s="57"/>
      <c r="N549" s="57"/>
      <c r="O549" s="57"/>
      <c r="P549" s="57"/>
      <c r="Q549" s="69"/>
      <c r="R549" s="69"/>
      <c r="S549" s="23" t="str">
        <f>iferror(if(AN549=1,VLOOKUP(B549, Blends!H$4:AK$1004,32,0), ""), "")</f>
        <v/>
      </c>
      <c r="T549" s="58"/>
      <c r="U549" s="77"/>
      <c r="V549" s="77"/>
      <c r="W549" s="78"/>
      <c r="X549" s="77"/>
      <c r="Y549" s="77"/>
      <c r="Z549" s="77"/>
      <c r="AA549" s="77"/>
      <c r="AB549" s="77"/>
      <c r="AC549" s="77"/>
      <c r="AD549" s="77"/>
      <c r="AE549" s="77"/>
      <c r="AF549" s="77"/>
      <c r="AG549" s="77"/>
      <c r="AH549" s="77"/>
      <c r="AI549" s="77"/>
      <c r="AJ549" s="79"/>
      <c r="AK549" s="80"/>
      <c r="AL549" s="59"/>
      <c r="AM549" s="35"/>
      <c r="AN549" s="35"/>
      <c r="AO549" s="35"/>
      <c r="AP549" s="35"/>
      <c r="AQ549" s="35"/>
      <c r="AR549" s="35"/>
      <c r="AS549" s="35"/>
      <c r="AT549" s="35"/>
      <c r="AU549" s="35"/>
      <c r="AV549" s="35"/>
      <c r="AW549" s="35"/>
    </row>
    <row r="550">
      <c r="A550" s="17"/>
      <c r="B550" s="35"/>
      <c r="C550" s="74"/>
      <c r="D550" s="74"/>
      <c r="E550" s="74"/>
      <c r="F550" s="74"/>
      <c r="G550" s="74"/>
      <c r="H550" s="74"/>
      <c r="I550" s="74"/>
      <c r="J550" s="57"/>
      <c r="K550" s="57"/>
      <c r="L550" s="57"/>
      <c r="M550" s="57"/>
      <c r="N550" s="57"/>
      <c r="O550" s="57"/>
      <c r="P550" s="57"/>
      <c r="Q550" s="69"/>
      <c r="R550" s="69"/>
      <c r="S550" s="23" t="str">
        <f>iferror(if(AN550=1,VLOOKUP(B550, Blends!H$4:AK$1004,32,0), ""), "")</f>
        <v/>
      </c>
      <c r="T550" s="58"/>
      <c r="U550" s="77"/>
      <c r="V550" s="77"/>
      <c r="W550" s="78"/>
      <c r="X550" s="77"/>
      <c r="Y550" s="77"/>
      <c r="Z550" s="77"/>
      <c r="AA550" s="77"/>
      <c r="AB550" s="77"/>
      <c r="AC550" s="77"/>
      <c r="AD550" s="77"/>
      <c r="AE550" s="77"/>
      <c r="AF550" s="77"/>
      <c r="AG550" s="77"/>
      <c r="AH550" s="77"/>
      <c r="AI550" s="77"/>
      <c r="AJ550" s="79"/>
      <c r="AK550" s="80"/>
      <c r="AL550" s="59"/>
      <c r="AM550" s="35"/>
      <c r="AN550" s="35"/>
      <c r="AO550" s="35"/>
      <c r="AP550" s="35"/>
      <c r="AQ550" s="35"/>
      <c r="AR550" s="35"/>
      <c r="AS550" s="35"/>
      <c r="AT550" s="35"/>
      <c r="AU550" s="35"/>
      <c r="AV550" s="35"/>
      <c r="AW550" s="35"/>
    </row>
    <row r="551">
      <c r="A551" s="17"/>
      <c r="B551" s="35"/>
      <c r="C551" s="74"/>
      <c r="D551" s="74"/>
      <c r="E551" s="74"/>
      <c r="F551" s="74"/>
      <c r="G551" s="74"/>
      <c r="H551" s="74"/>
      <c r="I551" s="74"/>
      <c r="J551" s="57"/>
      <c r="K551" s="57"/>
      <c r="L551" s="57"/>
      <c r="M551" s="57"/>
      <c r="N551" s="57"/>
      <c r="O551" s="57"/>
      <c r="P551" s="57"/>
      <c r="Q551" s="69"/>
      <c r="R551" s="69"/>
      <c r="S551" s="23" t="str">
        <f>iferror(if(AN551=1,VLOOKUP(B551, Blends!H$4:AK$1004,32,0), ""), "")</f>
        <v/>
      </c>
      <c r="T551" s="58"/>
      <c r="U551" s="77"/>
      <c r="V551" s="77"/>
      <c r="W551" s="78"/>
      <c r="X551" s="77"/>
      <c r="Y551" s="77"/>
      <c r="Z551" s="77"/>
      <c r="AA551" s="77"/>
      <c r="AB551" s="77"/>
      <c r="AC551" s="77"/>
      <c r="AD551" s="77"/>
      <c r="AE551" s="77"/>
      <c r="AF551" s="77"/>
      <c r="AG551" s="77"/>
      <c r="AH551" s="77"/>
      <c r="AI551" s="77"/>
      <c r="AJ551" s="79"/>
      <c r="AK551" s="80"/>
      <c r="AL551" s="59"/>
      <c r="AM551" s="35"/>
      <c r="AN551" s="35"/>
      <c r="AO551" s="35"/>
      <c r="AP551" s="35"/>
      <c r="AQ551" s="35"/>
      <c r="AR551" s="35"/>
      <c r="AS551" s="35"/>
      <c r="AT551" s="35"/>
      <c r="AU551" s="35"/>
      <c r="AV551" s="35"/>
      <c r="AW551" s="35"/>
    </row>
    <row r="552">
      <c r="A552" s="17"/>
      <c r="B552" s="35"/>
      <c r="C552" s="74"/>
      <c r="D552" s="74"/>
      <c r="E552" s="74"/>
      <c r="F552" s="74"/>
      <c r="G552" s="74"/>
      <c r="H552" s="74"/>
      <c r="I552" s="74"/>
      <c r="J552" s="57"/>
      <c r="K552" s="57"/>
      <c r="L552" s="57"/>
      <c r="M552" s="57"/>
      <c r="N552" s="57"/>
      <c r="O552" s="57"/>
      <c r="P552" s="57"/>
      <c r="Q552" s="69"/>
      <c r="R552" s="69"/>
      <c r="S552" s="23" t="str">
        <f>iferror(if(AN552=1,VLOOKUP(B552, Blends!H$4:AK$1004,32,0), ""), "")</f>
        <v/>
      </c>
      <c r="T552" s="58"/>
      <c r="U552" s="77"/>
      <c r="V552" s="77"/>
      <c r="W552" s="78"/>
      <c r="X552" s="77"/>
      <c r="Y552" s="77"/>
      <c r="Z552" s="77"/>
      <c r="AA552" s="77"/>
      <c r="AB552" s="77"/>
      <c r="AC552" s="77"/>
      <c r="AD552" s="77"/>
      <c r="AE552" s="77"/>
      <c r="AF552" s="77"/>
      <c r="AG552" s="77"/>
      <c r="AH552" s="77"/>
      <c r="AI552" s="77"/>
      <c r="AJ552" s="79"/>
      <c r="AK552" s="80"/>
      <c r="AL552" s="59"/>
      <c r="AM552" s="35"/>
      <c r="AN552" s="35"/>
      <c r="AO552" s="35"/>
      <c r="AP552" s="35"/>
      <c r="AQ552" s="35"/>
      <c r="AR552" s="35"/>
      <c r="AS552" s="35"/>
      <c r="AT552" s="35"/>
      <c r="AU552" s="35"/>
      <c r="AV552" s="35"/>
      <c r="AW552" s="35"/>
    </row>
    <row r="553">
      <c r="A553" s="17"/>
      <c r="B553" s="35"/>
      <c r="C553" s="74"/>
      <c r="D553" s="74"/>
      <c r="E553" s="74"/>
      <c r="F553" s="74"/>
      <c r="G553" s="74"/>
      <c r="H553" s="74"/>
      <c r="I553" s="74"/>
      <c r="J553" s="57"/>
      <c r="K553" s="57"/>
      <c r="L553" s="57"/>
      <c r="M553" s="57"/>
      <c r="N553" s="57"/>
      <c r="O553" s="57"/>
      <c r="P553" s="57"/>
      <c r="Q553" s="69"/>
      <c r="R553" s="69"/>
      <c r="S553" s="23" t="str">
        <f>iferror(if(AN553=1,VLOOKUP(B553, Blends!H$4:AK$1004,32,0), ""), "")</f>
        <v/>
      </c>
      <c r="T553" s="58"/>
      <c r="U553" s="77"/>
      <c r="V553" s="77"/>
      <c r="W553" s="78"/>
      <c r="X553" s="77"/>
      <c r="Y553" s="77"/>
      <c r="Z553" s="77"/>
      <c r="AA553" s="77"/>
      <c r="AB553" s="77"/>
      <c r="AC553" s="77"/>
      <c r="AD553" s="77"/>
      <c r="AE553" s="77"/>
      <c r="AF553" s="77"/>
      <c r="AG553" s="77"/>
      <c r="AH553" s="77"/>
      <c r="AI553" s="77"/>
      <c r="AJ553" s="79"/>
      <c r="AK553" s="80"/>
      <c r="AL553" s="59"/>
      <c r="AM553" s="35"/>
      <c r="AN553" s="35"/>
      <c r="AO553" s="35"/>
      <c r="AP553" s="35"/>
      <c r="AQ553" s="35"/>
      <c r="AR553" s="35"/>
      <c r="AS553" s="35"/>
      <c r="AT553" s="35"/>
      <c r="AU553" s="35"/>
      <c r="AV553" s="35"/>
      <c r="AW553" s="35"/>
    </row>
    <row r="554">
      <c r="A554" s="17"/>
      <c r="B554" s="35"/>
      <c r="C554" s="74"/>
      <c r="D554" s="74"/>
      <c r="E554" s="74"/>
      <c r="F554" s="74"/>
      <c r="G554" s="74"/>
      <c r="H554" s="74"/>
      <c r="I554" s="74"/>
      <c r="J554" s="57"/>
      <c r="K554" s="57"/>
      <c r="L554" s="57"/>
      <c r="M554" s="57"/>
      <c r="N554" s="57"/>
      <c r="O554" s="57"/>
      <c r="P554" s="57"/>
      <c r="Q554" s="69"/>
      <c r="R554" s="69"/>
      <c r="S554" s="23" t="str">
        <f>iferror(if(AN554=1,VLOOKUP(B554, Blends!H$4:AK$1004,32,0), ""), "")</f>
        <v/>
      </c>
      <c r="T554" s="58"/>
      <c r="U554" s="77"/>
      <c r="V554" s="77"/>
      <c r="W554" s="78"/>
      <c r="X554" s="77"/>
      <c r="Y554" s="77"/>
      <c r="Z554" s="77"/>
      <c r="AA554" s="77"/>
      <c r="AB554" s="77"/>
      <c r="AC554" s="77"/>
      <c r="AD554" s="77"/>
      <c r="AE554" s="77"/>
      <c r="AF554" s="77"/>
      <c r="AG554" s="77"/>
      <c r="AH554" s="77"/>
      <c r="AI554" s="77"/>
      <c r="AJ554" s="79"/>
      <c r="AK554" s="80"/>
      <c r="AL554" s="59"/>
      <c r="AM554" s="35"/>
      <c r="AN554" s="35"/>
      <c r="AO554" s="35"/>
      <c r="AP554" s="35"/>
      <c r="AQ554" s="35"/>
      <c r="AR554" s="35"/>
      <c r="AS554" s="35"/>
      <c r="AT554" s="35"/>
      <c r="AU554" s="35"/>
      <c r="AV554" s="35"/>
      <c r="AW554" s="35"/>
    </row>
    <row r="555">
      <c r="A555" s="17"/>
      <c r="B555" s="35"/>
      <c r="C555" s="74"/>
      <c r="D555" s="74"/>
      <c r="E555" s="74"/>
      <c r="F555" s="74"/>
      <c r="G555" s="74"/>
      <c r="H555" s="74"/>
      <c r="I555" s="74"/>
      <c r="J555" s="57"/>
      <c r="K555" s="57"/>
      <c r="L555" s="57"/>
      <c r="M555" s="57"/>
      <c r="N555" s="57"/>
      <c r="O555" s="57"/>
      <c r="P555" s="57"/>
      <c r="Q555" s="69"/>
      <c r="R555" s="69"/>
      <c r="S555" s="23" t="str">
        <f>iferror(if(AN555=1,VLOOKUP(B555, Blends!H$4:AK$1004,32,0), ""), "")</f>
        <v/>
      </c>
      <c r="T555" s="58"/>
      <c r="U555" s="77"/>
      <c r="V555" s="77"/>
      <c r="W555" s="78"/>
      <c r="X555" s="77"/>
      <c r="Y555" s="77"/>
      <c r="Z555" s="77"/>
      <c r="AA555" s="77"/>
      <c r="AB555" s="77"/>
      <c r="AC555" s="77"/>
      <c r="AD555" s="77"/>
      <c r="AE555" s="77"/>
      <c r="AF555" s="77"/>
      <c r="AG555" s="77"/>
      <c r="AH555" s="77"/>
      <c r="AI555" s="77"/>
      <c r="AJ555" s="79"/>
      <c r="AK555" s="80"/>
      <c r="AL555" s="59"/>
      <c r="AM555" s="35"/>
      <c r="AN555" s="35"/>
      <c r="AO555" s="35"/>
      <c r="AP555" s="35"/>
      <c r="AQ555" s="35"/>
      <c r="AR555" s="35"/>
      <c r="AS555" s="35"/>
      <c r="AT555" s="35"/>
      <c r="AU555" s="35"/>
      <c r="AV555" s="35"/>
      <c r="AW555" s="35"/>
    </row>
    <row r="556">
      <c r="A556" s="17"/>
      <c r="B556" s="35"/>
      <c r="C556" s="74"/>
      <c r="D556" s="74"/>
      <c r="E556" s="74"/>
      <c r="F556" s="74"/>
      <c r="G556" s="74"/>
      <c r="H556" s="74"/>
      <c r="I556" s="74"/>
      <c r="J556" s="57"/>
      <c r="K556" s="57"/>
      <c r="L556" s="57"/>
      <c r="M556" s="57"/>
      <c r="N556" s="57"/>
      <c r="O556" s="57"/>
      <c r="P556" s="57"/>
      <c r="Q556" s="69"/>
      <c r="R556" s="69"/>
      <c r="S556" s="23" t="str">
        <f>iferror(if(AN556=1,VLOOKUP(B556, Blends!H$4:AK$1004,32,0), ""), "")</f>
        <v/>
      </c>
      <c r="T556" s="58"/>
      <c r="U556" s="77"/>
      <c r="V556" s="77"/>
      <c r="W556" s="78"/>
      <c r="X556" s="77"/>
      <c r="Y556" s="77"/>
      <c r="Z556" s="77"/>
      <c r="AA556" s="77"/>
      <c r="AB556" s="77"/>
      <c r="AC556" s="77"/>
      <c r="AD556" s="77"/>
      <c r="AE556" s="77"/>
      <c r="AF556" s="77"/>
      <c r="AG556" s="77"/>
      <c r="AH556" s="77"/>
      <c r="AI556" s="77"/>
      <c r="AJ556" s="79"/>
      <c r="AK556" s="80"/>
      <c r="AL556" s="59"/>
      <c r="AM556" s="35"/>
      <c r="AN556" s="35"/>
      <c r="AO556" s="35"/>
      <c r="AP556" s="35"/>
      <c r="AQ556" s="35"/>
      <c r="AR556" s="35"/>
      <c r="AS556" s="35"/>
      <c r="AT556" s="35"/>
      <c r="AU556" s="35"/>
      <c r="AV556" s="35"/>
      <c r="AW556" s="35"/>
    </row>
    <row r="557">
      <c r="A557" s="17"/>
      <c r="B557" s="35"/>
      <c r="C557" s="74"/>
      <c r="D557" s="74"/>
      <c r="E557" s="74"/>
      <c r="F557" s="74"/>
      <c r="G557" s="74"/>
      <c r="H557" s="74"/>
      <c r="I557" s="74"/>
      <c r="J557" s="57"/>
      <c r="K557" s="57"/>
      <c r="L557" s="57"/>
      <c r="M557" s="57"/>
      <c r="N557" s="57"/>
      <c r="O557" s="57"/>
      <c r="P557" s="57"/>
      <c r="Q557" s="69"/>
      <c r="R557" s="69"/>
      <c r="S557" s="23" t="str">
        <f>iferror(if(AN557=1,VLOOKUP(B557, Blends!H$4:AK$1004,32,0), ""), "")</f>
        <v/>
      </c>
      <c r="T557" s="58"/>
      <c r="U557" s="77"/>
      <c r="V557" s="77"/>
      <c r="W557" s="78"/>
      <c r="X557" s="77"/>
      <c r="Y557" s="77"/>
      <c r="Z557" s="77"/>
      <c r="AA557" s="77"/>
      <c r="AB557" s="77"/>
      <c r="AC557" s="77"/>
      <c r="AD557" s="77"/>
      <c r="AE557" s="77"/>
      <c r="AF557" s="77"/>
      <c r="AG557" s="77"/>
      <c r="AH557" s="77"/>
      <c r="AI557" s="77"/>
      <c r="AJ557" s="79"/>
      <c r="AK557" s="80"/>
      <c r="AL557" s="59"/>
      <c r="AM557" s="35"/>
      <c r="AN557" s="35"/>
      <c r="AO557" s="35"/>
      <c r="AP557" s="35"/>
      <c r="AQ557" s="35"/>
      <c r="AR557" s="35"/>
      <c r="AS557" s="35"/>
      <c r="AT557" s="35"/>
      <c r="AU557" s="35"/>
      <c r="AV557" s="35"/>
      <c r="AW557" s="35"/>
    </row>
    <row r="558">
      <c r="A558" s="17"/>
      <c r="B558" s="35"/>
      <c r="C558" s="74"/>
      <c r="D558" s="74"/>
      <c r="E558" s="74"/>
      <c r="F558" s="74"/>
      <c r="G558" s="74"/>
      <c r="H558" s="74"/>
      <c r="I558" s="74"/>
      <c r="J558" s="57"/>
      <c r="K558" s="57"/>
      <c r="L558" s="57"/>
      <c r="M558" s="57"/>
      <c r="N558" s="57"/>
      <c r="O558" s="57"/>
      <c r="P558" s="57"/>
      <c r="Q558" s="69"/>
      <c r="R558" s="69"/>
      <c r="S558" s="23" t="str">
        <f>iferror(if(AN558=1,VLOOKUP(B558, Blends!H$4:AK$1004,32,0), ""), "")</f>
        <v/>
      </c>
      <c r="T558" s="58"/>
      <c r="U558" s="77"/>
      <c r="V558" s="77"/>
      <c r="W558" s="78"/>
      <c r="X558" s="77"/>
      <c r="Y558" s="77"/>
      <c r="Z558" s="77"/>
      <c r="AA558" s="77"/>
      <c r="AB558" s="77"/>
      <c r="AC558" s="77"/>
      <c r="AD558" s="77"/>
      <c r="AE558" s="77"/>
      <c r="AF558" s="77"/>
      <c r="AG558" s="77"/>
      <c r="AH558" s="77"/>
      <c r="AI558" s="77"/>
      <c r="AJ558" s="79"/>
      <c r="AK558" s="80"/>
      <c r="AL558" s="59"/>
      <c r="AM558" s="35"/>
      <c r="AN558" s="35"/>
      <c r="AO558" s="35"/>
      <c r="AP558" s="35"/>
      <c r="AQ558" s="35"/>
      <c r="AR558" s="35"/>
      <c r="AS558" s="35"/>
      <c r="AT558" s="35"/>
      <c r="AU558" s="35"/>
      <c r="AV558" s="35"/>
      <c r="AW558" s="35"/>
    </row>
    <row r="559">
      <c r="A559" s="17"/>
      <c r="B559" s="35"/>
      <c r="C559" s="74"/>
      <c r="D559" s="74"/>
      <c r="E559" s="74"/>
      <c r="F559" s="74"/>
      <c r="G559" s="74"/>
      <c r="H559" s="74"/>
      <c r="I559" s="74"/>
      <c r="J559" s="57"/>
      <c r="K559" s="57"/>
      <c r="L559" s="57"/>
      <c r="M559" s="57"/>
      <c r="N559" s="57"/>
      <c r="O559" s="57"/>
      <c r="P559" s="57"/>
      <c r="Q559" s="69"/>
      <c r="R559" s="69"/>
      <c r="S559" s="23" t="str">
        <f>iferror(if(AN559=1,VLOOKUP(B559, Blends!H$4:AK$1004,32,0), ""), "")</f>
        <v/>
      </c>
      <c r="T559" s="58"/>
      <c r="U559" s="77"/>
      <c r="V559" s="77"/>
      <c r="W559" s="78"/>
      <c r="X559" s="77"/>
      <c r="Y559" s="77"/>
      <c r="Z559" s="77"/>
      <c r="AA559" s="77"/>
      <c r="AB559" s="77"/>
      <c r="AC559" s="77"/>
      <c r="AD559" s="77"/>
      <c r="AE559" s="77"/>
      <c r="AF559" s="77"/>
      <c r="AG559" s="77"/>
      <c r="AH559" s="77"/>
      <c r="AI559" s="77"/>
      <c r="AJ559" s="79"/>
      <c r="AK559" s="80"/>
      <c r="AL559" s="59"/>
      <c r="AM559" s="35"/>
      <c r="AN559" s="35"/>
      <c r="AO559" s="35"/>
      <c r="AP559" s="35"/>
      <c r="AQ559" s="35"/>
      <c r="AR559" s="35"/>
      <c r="AS559" s="35"/>
      <c r="AT559" s="35"/>
      <c r="AU559" s="35"/>
      <c r="AV559" s="35"/>
      <c r="AW559" s="35"/>
    </row>
    <row r="560">
      <c r="A560" s="17"/>
      <c r="B560" s="35"/>
      <c r="C560" s="74"/>
      <c r="D560" s="74"/>
      <c r="E560" s="74"/>
      <c r="F560" s="74"/>
      <c r="G560" s="74"/>
      <c r="H560" s="74"/>
      <c r="I560" s="74"/>
      <c r="J560" s="57"/>
      <c r="K560" s="57"/>
      <c r="L560" s="57"/>
      <c r="M560" s="57"/>
      <c r="N560" s="57"/>
      <c r="O560" s="57"/>
      <c r="P560" s="57"/>
      <c r="Q560" s="69"/>
      <c r="R560" s="69"/>
      <c r="S560" s="23" t="str">
        <f>iferror(if(AN560=1,VLOOKUP(B560, Blends!H$4:AK$1004,32,0), ""), "")</f>
        <v/>
      </c>
      <c r="T560" s="58"/>
      <c r="U560" s="77"/>
      <c r="V560" s="77"/>
      <c r="W560" s="78"/>
      <c r="X560" s="77"/>
      <c r="Y560" s="77"/>
      <c r="Z560" s="77"/>
      <c r="AA560" s="77"/>
      <c r="AB560" s="77"/>
      <c r="AC560" s="77"/>
      <c r="AD560" s="77"/>
      <c r="AE560" s="77"/>
      <c r="AF560" s="77"/>
      <c r="AG560" s="77"/>
      <c r="AH560" s="77"/>
      <c r="AI560" s="77"/>
      <c r="AJ560" s="79"/>
      <c r="AK560" s="80"/>
      <c r="AL560" s="59"/>
      <c r="AM560" s="35"/>
      <c r="AN560" s="35"/>
      <c r="AO560" s="35"/>
      <c r="AP560" s="35"/>
      <c r="AQ560" s="35"/>
      <c r="AR560" s="35"/>
      <c r="AS560" s="35"/>
      <c r="AT560" s="35"/>
      <c r="AU560" s="35"/>
      <c r="AV560" s="35"/>
      <c r="AW560" s="35"/>
    </row>
    <row r="561">
      <c r="A561" s="17"/>
      <c r="B561" s="35"/>
      <c r="C561" s="74"/>
      <c r="D561" s="74"/>
      <c r="E561" s="74"/>
      <c r="F561" s="74"/>
      <c r="G561" s="74"/>
      <c r="H561" s="74"/>
      <c r="I561" s="74"/>
      <c r="J561" s="57"/>
      <c r="K561" s="57"/>
      <c r="L561" s="57"/>
      <c r="M561" s="57"/>
      <c r="N561" s="57"/>
      <c r="O561" s="57"/>
      <c r="P561" s="57"/>
      <c r="Q561" s="69"/>
      <c r="R561" s="69"/>
      <c r="S561" s="23" t="str">
        <f>iferror(if(AN561=1,VLOOKUP(B561, Blends!H$4:AK$1004,32,0), ""), "")</f>
        <v/>
      </c>
      <c r="T561" s="58"/>
      <c r="U561" s="77"/>
      <c r="V561" s="77"/>
      <c r="W561" s="78"/>
      <c r="X561" s="77"/>
      <c r="Y561" s="77"/>
      <c r="Z561" s="77"/>
      <c r="AA561" s="77"/>
      <c r="AB561" s="77"/>
      <c r="AC561" s="77"/>
      <c r="AD561" s="77"/>
      <c r="AE561" s="77"/>
      <c r="AF561" s="77"/>
      <c r="AG561" s="77"/>
      <c r="AH561" s="77"/>
      <c r="AI561" s="77"/>
      <c r="AJ561" s="79"/>
      <c r="AK561" s="80"/>
      <c r="AL561" s="59"/>
      <c r="AM561" s="35"/>
      <c r="AN561" s="35"/>
      <c r="AO561" s="35"/>
      <c r="AP561" s="35"/>
      <c r="AQ561" s="35"/>
      <c r="AR561" s="35"/>
      <c r="AS561" s="35"/>
      <c r="AT561" s="35"/>
      <c r="AU561" s="35"/>
      <c r="AV561" s="35"/>
      <c r="AW561" s="35"/>
    </row>
    <row r="562">
      <c r="A562" s="17"/>
      <c r="B562" s="35"/>
      <c r="C562" s="74"/>
      <c r="D562" s="74"/>
      <c r="E562" s="74"/>
      <c r="F562" s="74"/>
      <c r="G562" s="74"/>
      <c r="H562" s="74"/>
      <c r="I562" s="74"/>
      <c r="J562" s="57"/>
      <c r="K562" s="57"/>
      <c r="L562" s="57"/>
      <c r="M562" s="57"/>
      <c r="N562" s="57"/>
      <c r="O562" s="57"/>
      <c r="P562" s="57"/>
      <c r="Q562" s="69"/>
      <c r="R562" s="69"/>
      <c r="S562" s="23" t="str">
        <f>iferror(if(AN562=1,VLOOKUP(B562, Blends!H$4:AK$1004,32,0), ""), "")</f>
        <v/>
      </c>
      <c r="T562" s="58"/>
      <c r="U562" s="77"/>
      <c r="V562" s="77"/>
      <c r="W562" s="78"/>
      <c r="X562" s="77"/>
      <c r="Y562" s="77"/>
      <c r="Z562" s="77"/>
      <c r="AA562" s="77"/>
      <c r="AB562" s="77"/>
      <c r="AC562" s="77"/>
      <c r="AD562" s="77"/>
      <c r="AE562" s="77"/>
      <c r="AF562" s="77"/>
      <c r="AG562" s="77"/>
      <c r="AH562" s="77"/>
      <c r="AI562" s="77"/>
      <c r="AJ562" s="79"/>
      <c r="AK562" s="80"/>
      <c r="AL562" s="59"/>
      <c r="AM562" s="35"/>
      <c r="AN562" s="35"/>
      <c r="AO562" s="35"/>
      <c r="AP562" s="35"/>
      <c r="AQ562" s="35"/>
      <c r="AR562" s="35"/>
      <c r="AS562" s="35"/>
      <c r="AT562" s="35"/>
      <c r="AU562" s="35"/>
      <c r="AV562" s="35"/>
      <c r="AW562" s="35"/>
    </row>
    <row r="563">
      <c r="A563" s="17"/>
      <c r="B563" s="35"/>
      <c r="C563" s="74"/>
      <c r="D563" s="74"/>
      <c r="E563" s="74"/>
      <c r="F563" s="74"/>
      <c r="G563" s="74"/>
      <c r="H563" s="74"/>
      <c r="I563" s="74"/>
      <c r="J563" s="57"/>
      <c r="K563" s="57"/>
      <c r="L563" s="57"/>
      <c r="M563" s="57"/>
      <c r="N563" s="57"/>
      <c r="O563" s="57"/>
      <c r="P563" s="57"/>
      <c r="Q563" s="69"/>
      <c r="R563" s="69"/>
      <c r="S563" s="23" t="str">
        <f>iferror(if(AN563=1,VLOOKUP(B563, Blends!H$4:AK$1004,32,0), ""), "")</f>
        <v/>
      </c>
      <c r="T563" s="58"/>
      <c r="U563" s="77"/>
      <c r="V563" s="77"/>
      <c r="W563" s="78"/>
      <c r="X563" s="77"/>
      <c r="Y563" s="77"/>
      <c r="Z563" s="77"/>
      <c r="AA563" s="77"/>
      <c r="AB563" s="77"/>
      <c r="AC563" s="77"/>
      <c r="AD563" s="77"/>
      <c r="AE563" s="77"/>
      <c r="AF563" s="77"/>
      <c r="AG563" s="77"/>
      <c r="AH563" s="77"/>
      <c r="AI563" s="77"/>
      <c r="AJ563" s="79"/>
      <c r="AK563" s="80"/>
      <c r="AL563" s="59"/>
      <c r="AM563" s="35"/>
      <c r="AN563" s="35"/>
      <c r="AO563" s="35"/>
      <c r="AP563" s="35"/>
      <c r="AQ563" s="35"/>
      <c r="AR563" s="35"/>
      <c r="AS563" s="35"/>
      <c r="AT563" s="35"/>
      <c r="AU563" s="35"/>
      <c r="AV563" s="35"/>
      <c r="AW563" s="35"/>
    </row>
    <row r="564">
      <c r="A564" s="17"/>
      <c r="B564" s="35"/>
      <c r="C564" s="74"/>
      <c r="D564" s="74"/>
      <c r="E564" s="74"/>
      <c r="F564" s="74"/>
      <c r="G564" s="74"/>
      <c r="H564" s="74"/>
      <c r="I564" s="74"/>
      <c r="J564" s="57"/>
      <c r="K564" s="57"/>
      <c r="L564" s="57"/>
      <c r="M564" s="57"/>
      <c r="N564" s="57"/>
      <c r="O564" s="57"/>
      <c r="P564" s="57"/>
      <c r="Q564" s="69"/>
      <c r="R564" s="69"/>
      <c r="S564" s="23" t="str">
        <f>iferror(if(AN564=1,VLOOKUP(B564, Blends!H$4:AK$1004,32,0), ""), "")</f>
        <v/>
      </c>
      <c r="T564" s="58"/>
      <c r="U564" s="77"/>
      <c r="V564" s="77"/>
      <c r="W564" s="78"/>
      <c r="X564" s="77"/>
      <c r="Y564" s="77"/>
      <c r="Z564" s="77"/>
      <c r="AA564" s="77"/>
      <c r="AB564" s="77"/>
      <c r="AC564" s="77"/>
      <c r="AD564" s="77"/>
      <c r="AE564" s="77"/>
      <c r="AF564" s="77"/>
      <c r="AG564" s="77"/>
      <c r="AH564" s="77"/>
      <c r="AI564" s="77"/>
      <c r="AJ564" s="79"/>
      <c r="AK564" s="80"/>
      <c r="AL564" s="59"/>
      <c r="AM564" s="35"/>
      <c r="AN564" s="35"/>
      <c r="AO564" s="35"/>
      <c r="AP564" s="35"/>
      <c r="AQ564" s="35"/>
      <c r="AR564" s="35"/>
      <c r="AS564" s="35"/>
      <c r="AT564" s="35"/>
      <c r="AU564" s="35"/>
      <c r="AV564" s="35"/>
      <c r="AW564" s="35"/>
    </row>
    <row r="565">
      <c r="A565" s="17"/>
      <c r="B565" s="35"/>
      <c r="C565" s="74"/>
      <c r="D565" s="74"/>
      <c r="E565" s="74"/>
      <c r="F565" s="74"/>
      <c r="G565" s="74"/>
      <c r="H565" s="74"/>
      <c r="I565" s="74"/>
      <c r="J565" s="57"/>
      <c r="K565" s="57"/>
      <c r="L565" s="57"/>
      <c r="M565" s="57"/>
      <c r="N565" s="57"/>
      <c r="O565" s="57"/>
      <c r="P565" s="57"/>
      <c r="Q565" s="69"/>
      <c r="R565" s="69"/>
      <c r="S565" s="23" t="str">
        <f>iferror(if(AN565=1,VLOOKUP(B565, Blends!H$4:AK$1004,32,0), ""), "")</f>
        <v/>
      </c>
      <c r="T565" s="58"/>
      <c r="U565" s="77"/>
      <c r="V565" s="77"/>
      <c r="W565" s="78"/>
      <c r="X565" s="77"/>
      <c r="Y565" s="77"/>
      <c r="Z565" s="77"/>
      <c r="AA565" s="77"/>
      <c r="AB565" s="77"/>
      <c r="AC565" s="77"/>
      <c r="AD565" s="77"/>
      <c r="AE565" s="77"/>
      <c r="AF565" s="77"/>
      <c r="AG565" s="77"/>
      <c r="AH565" s="77"/>
      <c r="AI565" s="77"/>
      <c r="AJ565" s="79"/>
      <c r="AK565" s="80"/>
      <c r="AL565" s="59"/>
      <c r="AM565" s="35"/>
      <c r="AN565" s="35"/>
      <c r="AO565" s="35"/>
      <c r="AP565" s="35"/>
      <c r="AQ565" s="35"/>
      <c r="AR565" s="35"/>
      <c r="AS565" s="35"/>
      <c r="AT565" s="35"/>
      <c r="AU565" s="35"/>
      <c r="AV565" s="35"/>
      <c r="AW565" s="35"/>
    </row>
    <row r="566">
      <c r="A566" s="17"/>
      <c r="B566" s="35"/>
      <c r="C566" s="74"/>
      <c r="D566" s="74"/>
      <c r="E566" s="74"/>
      <c r="F566" s="74"/>
      <c r="G566" s="74"/>
      <c r="H566" s="74"/>
      <c r="I566" s="74"/>
      <c r="J566" s="57"/>
      <c r="K566" s="57"/>
      <c r="L566" s="57"/>
      <c r="M566" s="57"/>
      <c r="N566" s="57"/>
      <c r="O566" s="57"/>
      <c r="P566" s="57"/>
      <c r="Q566" s="69"/>
      <c r="R566" s="69"/>
      <c r="S566" s="23" t="str">
        <f>iferror(if(AN566=1,VLOOKUP(B566, Blends!H$4:AK$1004,32,0), ""), "")</f>
        <v/>
      </c>
      <c r="T566" s="58"/>
      <c r="U566" s="77"/>
      <c r="V566" s="77"/>
      <c r="W566" s="78"/>
      <c r="X566" s="77"/>
      <c r="Y566" s="77"/>
      <c r="Z566" s="77"/>
      <c r="AA566" s="77"/>
      <c r="AB566" s="77"/>
      <c r="AC566" s="77"/>
      <c r="AD566" s="77"/>
      <c r="AE566" s="77"/>
      <c r="AF566" s="77"/>
      <c r="AG566" s="77"/>
      <c r="AH566" s="77"/>
      <c r="AI566" s="77"/>
      <c r="AJ566" s="79"/>
      <c r="AK566" s="80"/>
      <c r="AL566" s="59"/>
      <c r="AM566" s="35"/>
      <c r="AN566" s="35"/>
      <c r="AO566" s="35"/>
      <c r="AP566" s="35"/>
      <c r="AQ566" s="35"/>
      <c r="AR566" s="35"/>
      <c r="AS566" s="35"/>
      <c r="AT566" s="35"/>
      <c r="AU566" s="35"/>
      <c r="AV566" s="35"/>
      <c r="AW566" s="35"/>
    </row>
    <row r="567">
      <c r="A567" s="17"/>
      <c r="B567" s="35"/>
      <c r="C567" s="74"/>
      <c r="D567" s="74"/>
      <c r="E567" s="74"/>
      <c r="F567" s="74"/>
      <c r="G567" s="74"/>
      <c r="H567" s="74"/>
      <c r="I567" s="74"/>
      <c r="J567" s="57"/>
      <c r="K567" s="57"/>
      <c r="L567" s="57"/>
      <c r="M567" s="57"/>
      <c r="N567" s="57"/>
      <c r="O567" s="57"/>
      <c r="P567" s="57"/>
      <c r="Q567" s="69"/>
      <c r="R567" s="69"/>
      <c r="S567" s="23" t="str">
        <f>iferror(if(AN567=1,VLOOKUP(B567, Blends!H$4:AK$1004,32,0), ""), "")</f>
        <v/>
      </c>
      <c r="T567" s="58"/>
      <c r="U567" s="77"/>
      <c r="V567" s="77"/>
      <c r="W567" s="78"/>
      <c r="X567" s="77"/>
      <c r="Y567" s="77"/>
      <c r="Z567" s="77"/>
      <c r="AA567" s="77"/>
      <c r="AB567" s="77"/>
      <c r="AC567" s="77"/>
      <c r="AD567" s="77"/>
      <c r="AE567" s="77"/>
      <c r="AF567" s="77"/>
      <c r="AG567" s="77"/>
      <c r="AH567" s="77"/>
      <c r="AI567" s="77"/>
      <c r="AJ567" s="79"/>
      <c r="AK567" s="80"/>
      <c r="AL567" s="59"/>
      <c r="AM567" s="35"/>
      <c r="AN567" s="35"/>
      <c r="AO567" s="35"/>
      <c r="AP567" s="35"/>
      <c r="AQ567" s="35"/>
      <c r="AR567" s="35"/>
      <c r="AS567" s="35"/>
      <c r="AT567" s="35"/>
      <c r="AU567" s="35"/>
      <c r="AV567" s="35"/>
      <c r="AW567" s="35"/>
    </row>
    <row r="568">
      <c r="A568" s="17"/>
      <c r="B568" s="35"/>
      <c r="C568" s="74"/>
      <c r="D568" s="74"/>
      <c r="E568" s="74"/>
      <c r="F568" s="74"/>
      <c r="G568" s="74"/>
      <c r="H568" s="74"/>
      <c r="I568" s="74"/>
      <c r="J568" s="57"/>
      <c r="K568" s="57"/>
      <c r="L568" s="57"/>
      <c r="M568" s="57"/>
      <c r="N568" s="57"/>
      <c r="O568" s="57"/>
      <c r="P568" s="57"/>
      <c r="Q568" s="69"/>
      <c r="R568" s="69"/>
      <c r="S568" s="23" t="str">
        <f>iferror(if(AN568=1,VLOOKUP(B568, Blends!H$4:AK$1004,32,0), ""), "")</f>
        <v/>
      </c>
      <c r="T568" s="58"/>
      <c r="U568" s="77"/>
      <c r="V568" s="77"/>
      <c r="W568" s="78"/>
      <c r="X568" s="77"/>
      <c r="Y568" s="77"/>
      <c r="Z568" s="77"/>
      <c r="AA568" s="77"/>
      <c r="AB568" s="77"/>
      <c r="AC568" s="77"/>
      <c r="AD568" s="77"/>
      <c r="AE568" s="77"/>
      <c r="AF568" s="77"/>
      <c r="AG568" s="77"/>
      <c r="AH568" s="77"/>
      <c r="AI568" s="77"/>
      <c r="AJ568" s="79"/>
      <c r="AK568" s="80"/>
      <c r="AL568" s="59"/>
      <c r="AM568" s="35"/>
      <c r="AN568" s="35"/>
      <c r="AO568" s="35"/>
      <c r="AP568" s="35"/>
      <c r="AQ568" s="35"/>
      <c r="AR568" s="35"/>
      <c r="AS568" s="35"/>
      <c r="AT568" s="35"/>
      <c r="AU568" s="35"/>
      <c r="AV568" s="35"/>
      <c r="AW568" s="35"/>
    </row>
    <row r="569">
      <c r="A569" s="17"/>
      <c r="B569" s="35"/>
      <c r="C569" s="74"/>
      <c r="D569" s="74"/>
      <c r="E569" s="74"/>
      <c r="F569" s="74"/>
      <c r="G569" s="74"/>
      <c r="H569" s="74"/>
      <c r="I569" s="74"/>
      <c r="J569" s="57"/>
      <c r="K569" s="57"/>
      <c r="L569" s="57"/>
      <c r="M569" s="57"/>
      <c r="N569" s="57"/>
      <c r="O569" s="57"/>
      <c r="P569" s="57"/>
      <c r="Q569" s="69"/>
      <c r="R569" s="69"/>
      <c r="S569" s="23" t="str">
        <f>iferror(if(AN569=1,VLOOKUP(B569, Blends!H$4:AK$1004,32,0), ""), "")</f>
        <v/>
      </c>
      <c r="T569" s="58"/>
      <c r="U569" s="77"/>
      <c r="V569" s="77"/>
      <c r="W569" s="78"/>
      <c r="X569" s="77"/>
      <c r="Y569" s="77"/>
      <c r="Z569" s="77"/>
      <c r="AA569" s="77"/>
      <c r="AB569" s="77"/>
      <c r="AC569" s="77"/>
      <c r="AD569" s="77"/>
      <c r="AE569" s="77"/>
      <c r="AF569" s="77"/>
      <c r="AG569" s="77"/>
      <c r="AH569" s="77"/>
      <c r="AI569" s="77"/>
      <c r="AJ569" s="79"/>
      <c r="AK569" s="80"/>
      <c r="AL569" s="59"/>
      <c r="AM569" s="35"/>
      <c r="AN569" s="35"/>
      <c r="AO569" s="35"/>
      <c r="AP569" s="35"/>
      <c r="AQ569" s="35"/>
      <c r="AR569" s="35"/>
      <c r="AS569" s="35"/>
      <c r="AT569" s="35"/>
      <c r="AU569" s="35"/>
      <c r="AV569" s="35"/>
      <c r="AW569" s="35"/>
    </row>
    <row r="570">
      <c r="A570" s="17"/>
      <c r="B570" s="35"/>
      <c r="C570" s="74"/>
      <c r="D570" s="74"/>
      <c r="E570" s="74"/>
      <c r="F570" s="74"/>
      <c r="G570" s="74"/>
      <c r="H570" s="74"/>
      <c r="I570" s="74"/>
      <c r="J570" s="57"/>
      <c r="K570" s="57"/>
      <c r="L570" s="57"/>
      <c r="M570" s="57"/>
      <c r="N570" s="57"/>
      <c r="O570" s="57"/>
      <c r="P570" s="57"/>
      <c r="Q570" s="69"/>
      <c r="R570" s="69"/>
      <c r="S570" s="23" t="str">
        <f>iferror(if(AN570=1,VLOOKUP(B570, Blends!H$4:AK$1004,32,0), ""), "")</f>
        <v/>
      </c>
      <c r="T570" s="58"/>
      <c r="U570" s="77"/>
      <c r="V570" s="77"/>
      <c r="W570" s="78"/>
      <c r="X570" s="77"/>
      <c r="Y570" s="77"/>
      <c r="Z570" s="77"/>
      <c r="AA570" s="77"/>
      <c r="AB570" s="77"/>
      <c r="AC570" s="77"/>
      <c r="AD570" s="77"/>
      <c r="AE570" s="77"/>
      <c r="AF570" s="77"/>
      <c r="AG570" s="77"/>
      <c r="AH570" s="77"/>
      <c r="AI570" s="77"/>
      <c r="AJ570" s="79"/>
      <c r="AK570" s="80"/>
      <c r="AL570" s="59"/>
      <c r="AM570" s="35"/>
      <c r="AN570" s="35"/>
      <c r="AO570" s="35"/>
      <c r="AP570" s="35"/>
      <c r="AQ570" s="35"/>
      <c r="AR570" s="35"/>
      <c r="AS570" s="35"/>
      <c r="AT570" s="35"/>
      <c r="AU570" s="35"/>
      <c r="AV570" s="35"/>
      <c r="AW570" s="35"/>
    </row>
    <row r="571">
      <c r="A571" s="17"/>
      <c r="B571" s="35"/>
      <c r="C571" s="74"/>
      <c r="D571" s="74"/>
      <c r="E571" s="74"/>
      <c r="F571" s="74"/>
      <c r="G571" s="74"/>
      <c r="H571" s="74"/>
      <c r="I571" s="74"/>
      <c r="J571" s="57"/>
      <c r="K571" s="57"/>
      <c r="L571" s="57"/>
      <c r="M571" s="57"/>
      <c r="N571" s="57"/>
      <c r="O571" s="57"/>
      <c r="P571" s="57"/>
      <c r="Q571" s="69"/>
      <c r="R571" s="69"/>
      <c r="S571" s="23" t="str">
        <f>iferror(if(AN571=1,VLOOKUP(B571, Blends!H$4:AK$1004,32,0), ""), "")</f>
        <v/>
      </c>
      <c r="T571" s="58"/>
      <c r="U571" s="77"/>
      <c r="V571" s="77"/>
      <c r="W571" s="78"/>
      <c r="X571" s="77"/>
      <c r="Y571" s="77"/>
      <c r="Z571" s="77"/>
      <c r="AA571" s="77"/>
      <c r="AB571" s="77"/>
      <c r="AC571" s="77"/>
      <c r="AD571" s="77"/>
      <c r="AE571" s="77"/>
      <c r="AF571" s="77"/>
      <c r="AG571" s="77"/>
      <c r="AH571" s="77"/>
      <c r="AI571" s="77"/>
      <c r="AJ571" s="79"/>
      <c r="AK571" s="80"/>
      <c r="AL571" s="59"/>
      <c r="AM571" s="35"/>
      <c r="AN571" s="35"/>
      <c r="AO571" s="35"/>
      <c r="AP571" s="35"/>
      <c r="AQ571" s="35"/>
      <c r="AR571" s="35"/>
      <c r="AS571" s="35"/>
      <c r="AT571" s="35"/>
      <c r="AU571" s="35"/>
      <c r="AV571" s="35"/>
      <c r="AW571" s="35"/>
    </row>
    <row r="572">
      <c r="A572" s="17"/>
      <c r="B572" s="35"/>
      <c r="C572" s="74"/>
      <c r="D572" s="74"/>
      <c r="E572" s="74"/>
      <c r="F572" s="74"/>
      <c r="G572" s="74"/>
      <c r="H572" s="74"/>
      <c r="I572" s="74"/>
      <c r="J572" s="57"/>
      <c r="K572" s="57"/>
      <c r="L572" s="57"/>
      <c r="M572" s="57"/>
      <c r="N572" s="57"/>
      <c r="O572" s="57"/>
      <c r="P572" s="57"/>
      <c r="Q572" s="69"/>
      <c r="R572" s="69"/>
      <c r="S572" s="23" t="str">
        <f>iferror(if(AN572=1,VLOOKUP(B572, Blends!H$4:AK$1004,32,0), ""), "")</f>
        <v/>
      </c>
      <c r="T572" s="58"/>
      <c r="U572" s="77"/>
      <c r="V572" s="77"/>
      <c r="W572" s="78"/>
      <c r="X572" s="77"/>
      <c r="Y572" s="77"/>
      <c r="Z572" s="77"/>
      <c r="AA572" s="77"/>
      <c r="AB572" s="77"/>
      <c r="AC572" s="77"/>
      <c r="AD572" s="77"/>
      <c r="AE572" s="77"/>
      <c r="AF572" s="77"/>
      <c r="AG572" s="77"/>
      <c r="AH572" s="77"/>
      <c r="AI572" s="77"/>
      <c r="AJ572" s="79"/>
      <c r="AK572" s="80"/>
      <c r="AL572" s="59"/>
      <c r="AM572" s="35"/>
      <c r="AN572" s="35"/>
      <c r="AO572" s="35"/>
      <c r="AP572" s="35"/>
      <c r="AQ572" s="35"/>
      <c r="AR572" s="35"/>
      <c r="AS572" s="35"/>
      <c r="AT572" s="35"/>
      <c r="AU572" s="35"/>
      <c r="AV572" s="35"/>
      <c r="AW572" s="35"/>
    </row>
    <row r="573">
      <c r="A573" s="17"/>
      <c r="B573" s="35"/>
      <c r="C573" s="74"/>
      <c r="D573" s="74"/>
      <c r="E573" s="74"/>
      <c r="F573" s="74"/>
      <c r="G573" s="74"/>
      <c r="H573" s="74"/>
      <c r="I573" s="74"/>
      <c r="J573" s="57"/>
      <c r="K573" s="57"/>
      <c r="L573" s="57"/>
      <c r="M573" s="57"/>
      <c r="N573" s="57"/>
      <c r="O573" s="57"/>
      <c r="P573" s="57"/>
      <c r="Q573" s="69"/>
      <c r="R573" s="69"/>
      <c r="S573" s="23" t="str">
        <f>iferror(if(AN573=1,VLOOKUP(B573, Blends!H$4:AK$1004,32,0), ""), "")</f>
        <v/>
      </c>
      <c r="T573" s="58"/>
      <c r="U573" s="77"/>
      <c r="V573" s="77"/>
      <c r="W573" s="78"/>
      <c r="X573" s="77"/>
      <c r="Y573" s="77"/>
      <c r="Z573" s="77"/>
      <c r="AA573" s="77"/>
      <c r="AB573" s="77"/>
      <c r="AC573" s="77"/>
      <c r="AD573" s="77"/>
      <c r="AE573" s="77"/>
      <c r="AF573" s="77"/>
      <c r="AG573" s="77"/>
      <c r="AH573" s="77"/>
      <c r="AI573" s="77"/>
      <c r="AJ573" s="79"/>
      <c r="AK573" s="80"/>
      <c r="AL573" s="59"/>
      <c r="AM573" s="35"/>
      <c r="AN573" s="35"/>
      <c r="AO573" s="35"/>
      <c r="AP573" s="35"/>
      <c r="AQ573" s="35"/>
      <c r="AR573" s="35"/>
      <c r="AS573" s="35"/>
      <c r="AT573" s="35"/>
      <c r="AU573" s="35"/>
      <c r="AV573" s="35"/>
      <c r="AW573" s="35"/>
    </row>
    <row r="574">
      <c r="A574" s="17"/>
      <c r="B574" s="35"/>
      <c r="C574" s="74"/>
      <c r="D574" s="74"/>
      <c r="E574" s="74"/>
      <c r="F574" s="74"/>
      <c r="G574" s="74"/>
      <c r="H574" s="74"/>
      <c r="I574" s="74"/>
      <c r="J574" s="57"/>
      <c r="K574" s="57"/>
      <c r="L574" s="57"/>
      <c r="M574" s="57"/>
      <c r="N574" s="57"/>
      <c r="O574" s="57"/>
      <c r="P574" s="57"/>
      <c r="Q574" s="69"/>
      <c r="R574" s="69"/>
      <c r="S574" s="23" t="str">
        <f>iferror(if(AN574=1,VLOOKUP(B574, Blends!H$4:AK$1004,32,0), ""), "")</f>
        <v/>
      </c>
      <c r="T574" s="58"/>
      <c r="U574" s="77"/>
      <c r="V574" s="77"/>
      <c r="W574" s="78"/>
      <c r="X574" s="77"/>
      <c r="Y574" s="77"/>
      <c r="Z574" s="77"/>
      <c r="AA574" s="77"/>
      <c r="AB574" s="77"/>
      <c r="AC574" s="77"/>
      <c r="AD574" s="77"/>
      <c r="AE574" s="77"/>
      <c r="AF574" s="77"/>
      <c r="AG574" s="77"/>
      <c r="AH574" s="77"/>
      <c r="AI574" s="77"/>
      <c r="AJ574" s="79"/>
      <c r="AK574" s="80"/>
      <c r="AL574" s="59"/>
      <c r="AM574" s="35"/>
      <c r="AN574" s="35"/>
      <c r="AO574" s="35"/>
      <c r="AP574" s="35"/>
      <c r="AQ574" s="35"/>
      <c r="AR574" s="35"/>
      <c r="AS574" s="35"/>
      <c r="AT574" s="35"/>
      <c r="AU574" s="35"/>
      <c r="AV574" s="35"/>
      <c r="AW574" s="35"/>
    </row>
    <row r="575">
      <c r="A575" s="17"/>
      <c r="B575" s="35"/>
      <c r="C575" s="74"/>
      <c r="D575" s="74"/>
      <c r="E575" s="74"/>
      <c r="F575" s="74"/>
      <c r="G575" s="74"/>
      <c r="H575" s="74"/>
      <c r="I575" s="74"/>
      <c r="J575" s="57"/>
      <c r="K575" s="57"/>
      <c r="L575" s="57"/>
      <c r="M575" s="57"/>
      <c r="N575" s="57"/>
      <c r="O575" s="57"/>
      <c r="P575" s="57"/>
      <c r="Q575" s="69"/>
      <c r="R575" s="69"/>
      <c r="S575" s="23" t="str">
        <f>iferror(if(AN575=1,VLOOKUP(B575, Blends!H$4:AK$1004,32,0), ""), "")</f>
        <v/>
      </c>
      <c r="T575" s="58"/>
      <c r="U575" s="77"/>
      <c r="V575" s="77"/>
      <c r="W575" s="78"/>
      <c r="X575" s="77"/>
      <c r="Y575" s="77"/>
      <c r="Z575" s="77"/>
      <c r="AA575" s="77"/>
      <c r="AB575" s="77"/>
      <c r="AC575" s="77"/>
      <c r="AD575" s="77"/>
      <c r="AE575" s="77"/>
      <c r="AF575" s="77"/>
      <c r="AG575" s="77"/>
      <c r="AH575" s="77"/>
      <c r="AI575" s="77"/>
      <c r="AJ575" s="79"/>
      <c r="AK575" s="80"/>
      <c r="AL575" s="59"/>
      <c r="AM575" s="35"/>
      <c r="AN575" s="35"/>
      <c r="AO575" s="35"/>
      <c r="AP575" s="35"/>
      <c r="AQ575" s="35"/>
      <c r="AR575" s="35"/>
      <c r="AS575" s="35"/>
      <c r="AT575" s="35"/>
      <c r="AU575" s="35"/>
      <c r="AV575" s="35"/>
      <c r="AW575" s="35"/>
    </row>
    <row r="576">
      <c r="A576" s="17"/>
      <c r="B576" s="35"/>
      <c r="C576" s="74"/>
      <c r="D576" s="74"/>
      <c r="E576" s="74"/>
      <c r="F576" s="74"/>
      <c r="G576" s="74"/>
      <c r="H576" s="74"/>
      <c r="I576" s="74"/>
      <c r="J576" s="57"/>
      <c r="K576" s="57"/>
      <c r="L576" s="57"/>
      <c r="M576" s="57"/>
      <c r="N576" s="57"/>
      <c r="O576" s="57"/>
      <c r="P576" s="57"/>
      <c r="Q576" s="69"/>
      <c r="R576" s="69"/>
      <c r="S576" s="23" t="str">
        <f>iferror(if(AN576=1,VLOOKUP(B576, Blends!H$4:AK$1004,32,0), ""), "")</f>
        <v/>
      </c>
      <c r="T576" s="58"/>
      <c r="U576" s="77"/>
      <c r="V576" s="77"/>
      <c r="W576" s="78"/>
      <c r="X576" s="77"/>
      <c r="Y576" s="77"/>
      <c r="Z576" s="77"/>
      <c r="AA576" s="77"/>
      <c r="AB576" s="77"/>
      <c r="AC576" s="77"/>
      <c r="AD576" s="77"/>
      <c r="AE576" s="77"/>
      <c r="AF576" s="77"/>
      <c r="AG576" s="77"/>
      <c r="AH576" s="77"/>
      <c r="AI576" s="77"/>
      <c r="AJ576" s="79"/>
      <c r="AK576" s="80"/>
      <c r="AL576" s="59"/>
      <c r="AM576" s="35"/>
      <c r="AN576" s="35"/>
      <c r="AO576" s="35"/>
      <c r="AP576" s="35"/>
      <c r="AQ576" s="35"/>
      <c r="AR576" s="35"/>
      <c r="AS576" s="35"/>
      <c r="AT576" s="35"/>
      <c r="AU576" s="35"/>
      <c r="AV576" s="35"/>
      <c r="AW576" s="35"/>
    </row>
    <row r="577">
      <c r="A577" s="17"/>
      <c r="B577" s="35"/>
      <c r="C577" s="74"/>
      <c r="D577" s="74"/>
      <c r="E577" s="74"/>
      <c r="F577" s="74"/>
      <c r="G577" s="74"/>
      <c r="H577" s="74"/>
      <c r="I577" s="74"/>
      <c r="J577" s="57"/>
      <c r="K577" s="57"/>
      <c r="L577" s="57"/>
      <c r="M577" s="57"/>
      <c r="N577" s="57"/>
      <c r="O577" s="57"/>
      <c r="P577" s="57"/>
      <c r="Q577" s="69"/>
      <c r="R577" s="69"/>
      <c r="S577" s="23" t="str">
        <f>iferror(if(AN577=1,VLOOKUP(B577, Blends!H$4:AK$1004,32,0), ""), "")</f>
        <v/>
      </c>
      <c r="T577" s="58"/>
      <c r="U577" s="77"/>
      <c r="V577" s="77"/>
      <c r="W577" s="78"/>
      <c r="X577" s="77"/>
      <c r="Y577" s="77"/>
      <c r="Z577" s="77"/>
      <c r="AA577" s="77"/>
      <c r="AB577" s="77"/>
      <c r="AC577" s="77"/>
      <c r="AD577" s="77"/>
      <c r="AE577" s="77"/>
      <c r="AF577" s="77"/>
      <c r="AG577" s="77"/>
      <c r="AH577" s="77"/>
      <c r="AI577" s="77"/>
      <c r="AJ577" s="79"/>
      <c r="AK577" s="80"/>
      <c r="AL577" s="59"/>
      <c r="AM577" s="35"/>
      <c r="AN577" s="35"/>
      <c r="AO577" s="35"/>
      <c r="AP577" s="35"/>
      <c r="AQ577" s="35"/>
      <c r="AR577" s="35"/>
      <c r="AS577" s="35"/>
      <c r="AT577" s="35"/>
      <c r="AU577" s="35"/>
      <c r="AV577" s="35"/>
      <c r="AW577" s="35"/>
    </row>
    <row r="578">
      <c r="A578" s="17"/>
      <c r="B578" s="35"/>
      <c r="C578" s="74"/>
      <c r="D578" s="74"/>
      <c r="E578" s="74"/>
      <c r="F578" s="74"/>
      <c r="G578" s="74"/>
      <c r="H578" s="74"/>
      <c r="I578" s="74"/>
      <c r="J578" s="57"/>
      <c r="K578" s="57"/>
      <c r="L578" s="57"/>
      <c r="M578" s="57"/>
      <c r="N578" s="57"/>
      <c r="O578" s="57"/>
      <c r="P578" s="57"/>
      <c r="Q578" s="69"/>
      <c r="R578" s="69"/>
      <c r="S578" s="23" t="str">
        <f>iferror(if(AN578=1,VLOOKUP(B578, Blends!H$4:AK$1004,32,0), ""), "")</f>
        <v/>
      </c>
      <c r="T578" s="58"/>
      <c r="U578" s="77"/>
      <c r="V578" s="77"/>
      <c r="W578" s="78"/>
      <c r="X578" s="77"/>
      <c r="Y578" s="77"/>
      <c r="Z578" s="77"/>
      <c r="AA578" s="77"/>
      <c r="AB578" s="77"/>
      <c r="AC578" s="77"/>
      <c r="AD578" s="77"/>
      <c r="AE578" s="77"/>
      <c r="AF578" s="77"/>
      <c r="AG578" s="77"/>
      <c r="AH578" s="77"/>
      <c r="AI578" s="77"/>
      <c r="AJ578" s="79"/>
      <c r="AK578" s="80"/>
      <c r="AL578" s="59"/>
      <c r="AM578" s="35"/>
      <c r="AN578" s="35"/>
      <c r="AO578" s="35"/>
      <c r="AP578" s="35"/>
      <c r="AQ578" s="35"/>
      <c r="AR578" s="35"/>
      <c r="AS578" s="35"/>
      <c r="AT578" s="35"/>
      <c r="AU578" s="35"/>
      <c r="AV578" s="35"/>
      <c r="AW578" s="35"/>
    </row>
    <row r="579">
      <c r="A579" s="17"/>
      <c r="B579" s="35"/>
      <c r="C579" s="74"/>
      <c r="D579" s="74"/>
      <c r="E579" s="74"/>
      <c r="F579" s="74"/>
      <c r="G579" s="74"/>
      <c r="H579" s="74"/>
      <c r="I579" s="74"/>
      <c r="J579" s="57"/>
      <c r="K579" s="57"/>
      <c r="L579" s="57"/>
      <c r="M579" s="57"/>
      <c r="N579" s="57"/>
      <c r="O579" s="57"/>
      <c r="P579" s="57"/>
      <c r="Q579" s="69"/>
      <c r="R579" s="69"/>
      <c r="S579" s="23" t="str">
        <f>iferror(if(AN579=1,VLOOKUP(B579, Blends!H$4:AK$1004,32,0), ""), "")</f>
        <v/>
      </c>
      <c r="T579" s="58"/>
      <c r="U579" s="77"/>
      <c r="V579" s="77"/>
      <c r="W579" s="78"/>
      <c r="X579" s="77"/>
      <c r="Y579" s="77"/>
      <c r="Z579" s="77"/>
      <c r="AA579" s="77"/>
      <c r="AB579" s="77"/>
      <c r="AC579" s="77"/>
      <c r="AD579" s="77"/>
      <c r="AE579" s="77"/>
      <c r="AF579" s="77"/>
      <c r="AG579" s="77"/>
      <c r="AH579" s="77"/>
      <c r="AI579" s="77"/>
      <c r="AJ579" s="79"/>
      <c r="AK579" s="80"/>
      <c r="AL579" s="59"/>
      <c r="AM579" s="35"/>
      <c r="AN579" s="35"/>
      <c r="AO579" s="35"/>
      <c r="AP579" s="35"/>
      <c r="AQ579" s="35"/>
      <c r="AR579" s="35"/>
      <c r="AS579" s="35"/>
      <c r="AT579" s="35"/>
      <c r="AU579" s="35"/>
      <c r="AV579" s="35"/>
      <c r="AW579" s="35"/>
    </row>
    <row r="580">
      <c r="A580" s="17"/>
      <c r="B580" s="35"/>
      <c r="C580" s="74"/>
      <c r="D580" s="74"/>
      <c r="E580" s="74"/>
      <c r="F580" s="74"/>
      <c r="G580" s="74"/>
      <c r="H580" s="74"/>
      <c r="I580" s="74"/>
      <c r="J580" s="57"/>
      <c r="K580" s="57"/>
      <c r="L580" s="57"/>
      <c r="M580" s="57"/>
      <c r="N580" s="57"/>
      <c r="O580" s="57"/>
      <c r="P580" s="57"/>
      <c r="Q580" s="69"/>
      <c r="R580" s="69"/>
      <c r="S580" s="23" t="str">
        <f>iferror(if(AN580=1,VLOOKUP(B580, Blends!H$4:AK$1004,32,0), ""), "")</f>
        <v/>
      </c>
      <c r="T580" s="58"/>
      <c r="U580" s="77"/>
      <c r="V580" s="77"/>
      <c r="W580" s="78"/>
      <c r="X580" s="77"/>
      <c r="Y580" s="77"/>
      <c r="Z580" s="77"/>
      <c r="AA580" s="77"/>
      <c r="AB580" s="77"/>
      <c r="AC580" s="77"/>
      <c r="AD580" s="77"/>
      <c r="AE580" s="77"/>
      <c r="AF580" s="77"/>
      <c r="AG580" s="77"/>
      <c r="AH580" s="77"/>
      <c r="AI580" s="77"/>
      <c r="AJ580" s="79"/>
      <c r="AK580" s="80"/>
      <c r="AL580" s="59"/>
      <c r="AM580" s="35"/>
      <c r="AN580" s="35"/>
      <c r="AO580" s="35"/>
      <c r="AP580" s="35"/>
      <c r="AQ580" s="35"/>
      <c r="AR580" s="35"/>
      <c r="AS580" s="35"/>
      <c r="AT580" s="35"/>
      <c r="AU580" s="35"/>
      <c r="AV580" s="35"/>
      <c r="AW580" s="35"/>
    </row>
    <row r="581">
      <c r="A581" s="17"/>
      <c r="B581" s="35"/>
      <c r="C581" s="74"/>
      <c r="D581" s="74"/>
      <c r="E581" s="74"/>
      <c r="F581" s="74"/>
      <c r="G581" s="74"/>
      <c r="H581" s="74"/>
      <c r="I581" s="74"/>
      <c r="J581" s="57"/>
      <c r="K581" s="57"/>
      <c r="L581" s="57"/>
      <c r="M581" s="57"/>
      <c r="N581" s="57"/>
      <c r="O581" s="57"/>
      <c r="P581" s="57"/>
      <c r="Q581" s="69"/>
      <c r="R581" s="69"/>
      <c r="S581" s="23" t="str">
        <f>iferror(if(AN581=1,VLOOKUP(B581, Blends!H$4:AK$1004,32,0), ""), "")</f>
        <v/>
      </c>
      <c r="T581" s="58"/>
      <c r="U581" s="77"/>
      <c r="V581" s="77"/>
      <c r="W581" s="78"/>
      <c r="X581" s="77"/>
      <c r="Y581" s="77"/>
      <c r="Z581" s="77"/>
      <c r="AA581" s="77"/>
      <c r="AB581" s="77"/>
      <c r="AC581" s="77"/>
      <c r="AD581" s="77"/>
      <c r="AE581" s="77"/>
      <c r="AF581" s="77"/>
      <c r="AG581" s="77"/>
      <c r="AH581" s="77"/>
      <c r="AI581" s="77"/>
      <c r="AJ581" s="79"/>
      <c r="AK581" s="80"/>
      <c r="AL581" s="59"/>
      <c r="AM581" s="35"/>
      <c r="AN581" s="35"/>
      <c r="AO581" s="35"/>
      <c r="AP581" s="35"/>
      <c r="AQ581" s="35"/>
      <c r="AR581" s="35"/>
      <c r="AS581" s="35"/>
      <c r="AT581" s="35"/>
      <c r="AU581" s="35"/>
      <c r="AV581" s="35"/>
      <c r="AW581" s="35"/>
    </row>
    <row r="582">
      <c r="A582" s="17"/>
      <c r="B582" s="35"/>
      <c r="C582" s="74"/>
      <c r="D582" s="74"/>
      <c r="E582" s="74"/>
      <c r="F582" s="74"/>
      <c r="G582" s="74"/>
      <c r="H582" s="74"/>
      <c r="I582" s="74"/>
      <c r="J582" s="57"/>
      <c r="K582" s="57"/>
      <c r="L582" s="57"/>
      <c r="M582" s="57"/>
      <c r="N582" s="57"/>
      <c r="O582" s="57"/>
      <c r="P582" s="57"/>
      <c r="Q582" s="69"/>
      <c r="R582" s="69"/>
      <c r="S582" s="23" t="str">
        <f>iferror(if(AN582=1,VLOOKUP(B582, Blends!H$4:AK$1004,32,0), ""), "")</f>
        <v/>
      </c>
      <c r="T582" s="58"/>
      <c r="U582" s="77"/>
      <c r="V582" s="77"/>
      <c r="W582" s="78"/>
      <c r="X582" s="77"/>
      <c r="Y582" s="77"/>
      <c r="Z582" s="77"/>
      <c r="AA582" s="77"/>
      <c r="AB582" s="77"/>
      <c r="AC582" s="77"/>
      <c r="AD582" s="77"/>
      <c r="AE582" s="77"/>
      <c r="AF582" s="77"/>
      <c r="AG582" s="77"/>
      <c r="AH582" s="77"/>
      <c r="AI582" s="77"/>
      <c r="AJ582" s="79"/>
      <c r="AK582" s="80"/>
      <c r="AL582" s="59"/>
      <c r="AM582" s="35"/>
      <c r="AN582" s="35"/>
      <c r="AO582" s="35"/>
      <c r="AP582" s="35"/>
      <c r="AQ582" s="35"/>
      <c r="AR582" s="35"/>
      <c r="AS582" s="35"/>
      <c r="AT582" s="35"/>
      <c r="AU582" s="35"/>
      <c r="AV582" s="35"/>
      <c r="AW582" s="35"/>
    </row>
    <row r="583">
      <c r="A583" s="17"/>
      <c r="B583" s="35"/>
      <c r="C583" s="74"/>
      <c r="D583" s="74"/>
      <c r="E583" s="74"/>
      <c r="F583" s="74"/>
      <c r="G583" s="74"/>
      <c r="H583" s="74"/>
      <c r="I583" s="74"/>
      <c r="J583" s="57"/>
      <c r="K583" s="57"/>
      <c r="L583" s="57"/>
      <c r="M583" s="57"/>
      <c r="N583" s="57"/>
      <c r="O583" s="57"/>
      <c r="P583" s="57"/>
      <c r="Q583" s="69"/>
      <c r="R583" s="69"/>
      <c r="S583" s="23" t="str">
        <f>iferror(if(AN583=1,VLOOKUP(B583, Blends!H$4:AK$1004,32,0), ""), "")</f>
        <v/>
      </c>
      <c r="T583" s="58"/>
      <c r="U583" s="77"/>
      <c r="V583" s="77"/>
      <c r="W583" s="78"/>
      <c r="X583" s="77"/>
      <c r="Y583" s="77"/>
      <c r="Z583" s="77"/>
      <c r="AA583" s="77"/>
      <c r="AB583" s="77"/>
      <c r="AC583" s="77"/>
      <c r="AD583" s="77"/>
      <c r="AE583" s="77"/>
      <c r="AF583" s="77"/>
      <c r="AG583" s="77"/>
      <c r="AH583" s="77"/>
      <c r="AI583" s="77"/>
      <c r="AJ583" s="79"/>
      <c r="AK583" s="80"/>
      <c r="AL583" s="59"/>
      <c r="AM583" s="35"/>
      <c r="AN583" s="35"/>
      <c r="AO583" s="35"/>
      <c r="AP583" s="35"/>
      <c r="AQ583" s="35"/>
      <c r="AR583" s="35"/>
      <c r="AS583" s="35"/>
      <c r="AT583" s="35"/>
      <c r="AU583" s="35"/>
      <c r="AV583" s="35"/>
      <c r="AW583" s="35"/>
    </row>
    <row r="584">
      <c r="A584" s="17"/>
      <c r="B584" s="35"/>
      <c r="C584" s="74"/>
      <c r="D584" s="74"/>
      <c r="E584" s="74"/>
      <c r="F584" s="74"/>
      <c r="G584" s="74"/>
      <c r="H584" s="74"/>
      <c r="I584" s="74"/>
      <c r="J584" s="57"/>
      <c r="K584" s="57"/>
      <c r="L584" s="57"/>
      <c r="M584" s="57"/>
      <c r="N584" s="57"/>
      <c r="O584" s="57"/>
      <c r="P584" s="57"/>
      <c r="Q584" s="69"/>
      <c r="R584" s="69"/>
      <c r="S584" s="23" t="str">
        <f>iferror(if(AN584=1,VLOOKUP(B584, Blends!H$4:AK$1004,32,0), ""), "")</f>
        <v/>
      </c>
      <c r="T584" s="58"/>
      <c r="U584" s="77"/>
      <c r="V584" s="77"/>
      <c r="W584" s="78"/>
      <c r="X584" s="77"/>
      <c r="Y584" s="77"/>
      <c r="Z584" s="77"/>
      <c r="AA584" s="77"/>
      <c r="AB584" s="77"/>
      <c r="AC584" s="77"/>
      <c r="AD584" s="77"/>
      <c r="AE584" s="77"/>
      <c r="AF584" s="77"/>
      <c r="AG584" s="77"/>
      <c r="AH584" s="77"/>
      <c r="AI584" s="77"/>
      <c r="AJ584" s="79"/>
      <c r="AK584" s="80"/>
      <c r="AL584" s="59"/>
      <c r="AM584" s="35"/>
      <c r="AN584" s="35"/>
      <c r="AO584" s="35"/>
      <c r="AP584" s="35"/>
      <c r="AQ584" s="35"/>
      <c r="AR584" s="35"/>
      <c r="AS584" s="35"/>
      <c r="AT584" s="35"/>
      <c r="AU584" s="35"/>
      <c r="AV584" s="35"/>
      <c r="AW584" s="35"/>
    </row>
    <row r="585">
      <c r="A585" s="17"/>
      <c r="B585" s="35"/>
      <c r="C585" s="74"/>
      <c r="D585" s="74"/>
      <c r="E585" s="74"/>
      <c r="F585" s="74"/>
      <c r="G585" s="74"/>
      <c r="H585" s="74"/>
      <c r="I585" s="74"/>
      <c r="J585" s="57"/>
      <c r="K585" s="57"/>
      <c r="L585" s="57"/>
      <c r="M585" s="57"/>
      <c r="N585" s="57"/>
      <c r="O585" s="57"/>
      <c r="P585" s="57"/>
      <c r="Q585" s="69"/>
      <c r="R585" s="69"/>
      <c r="S585" s="23" t="str">
        <f>iferror(if(AN585=1,VLOOKUP(B585, Blends!H$4:AK$1004,32,0), ""), "")</f>
        <v/>
      </c>
      <c r="T585" s="58"/>
      <c r="U585" s="77"/>
      <c r="V585" s="77"/>
      <c r="W585" s="78"/>
      <c r="X585" s="77"/>
      <c r="Y585" s="77"/>
      <c r="Z585" s="77"/>
      <c r="AA585" s="77"/>
      <c r="AB585" s="77"/>
      <c r="AC585" s="77"/>
      <c r="AD585" s="77"/>
      <c r="AE585" s="77"/>
      <c r="AF585" s="77"/>
      <c r="AG585" s="77"/>
      <c r="AH585" s="77"/>
      <c r="AI585" s="77"/>
      <c r="AJ585" s="79"/>
      <c r="AK585" s="80"/>
      <c r="AL585" s="59"/>
      <c r="AM585" s="35"/>
      <c r="AN585" s="35"/>
      <c r="AO585" s="35"/>
      <c r="AP585" s="35"/>
      <c r="AQ585" s="35"/>
      <c r="AR585" s="35"/>
      <c r="AS585" s="35"/>
      <c r="AT585" s="35"/>
      <c r="AU585" s="35"/>
      <c r="AV585" s="35"/>
      <c r="AW585" s="35"/>
    </row>
    <row r="586">
      <c r="A586" s="17"/>
      <c r="B586" s="35"/>
      <c r="C586" s="74"/>
      <c r="D586" s="74"/>
      <c r="E586" s="74"/>
      <c r="F586" s="74"/>
      <c r="G586" s="74"/>
      <c r="H586" s="74"/>
      <c r="I586" s="74"/>
      <c r="J586" s="57"/>
      <c r="K586" s="57"/>
      <c r="L586" s="57"/>
      <c r="M586" s="57"/>
      <c r="N586" s="57"/>
      <c r="O586" s="57"/>
      <c r="P586" s="57"/>
      <c r="Q586" s="69"/>
      <c r="R586" s="69"/>
      <c r="S586" s="23" t="str">
        <f>iferror(if(AN586=1,VLOOKUP(B586, Blends!H$4:AK$1004,32,0), ""), "")</f>
        <v/>
      </c>
      <c r="T586" s="58"/>
      <c r="U586" s="77"/>
      <c r="V586" s="77"/>
      <c r="W586" s="78"/>
      <c r="X586" s="77"/>
      <c r="Y586" s="77"/>
      <c r="Z586" s="77"/>
      <c r="AA586" s="77"/>
      <c r="AB586" s="77"/>
      <c r="AC586" s="77"/>
      <c r="AD586" s="77"/>
      <c r="AE586" s="77"/>
      <c r="AF586" s="77"/>
      <c r="AG586" s="77"/>
      <c r="AH586" s="77"/>
      <c r="AI586" s="77"/>
      <c r="AJ586" s="79"/>
      <c r="AK586" s="80"/>
      <c r="AL586" s="59"/>
      <c r="AM586" s="35"/>
      <c r="AN586" s="35"/>
      <c r="AO586" s="35"/>
      <c r="AP586" s="35"/>
      <c r="AQ586" s="35"/>
      <c r="AR586" s="35"/>
      <c r="AS586" s="35"/>
      <c r="AT586" s="35"/>
      <c r="AU586" s="35"/>
      <c r="AV586" s="35"/>
      <c r="AW586" s="35"/>
    </row>
    <row r="587">
      <c r="A587" s="17"/>
      <c r="B587" s="35"/>
      <c r="C587" s="74"/>
      <c r="D587" s="74"/>
      <c r="E587" s="74"/>
      <c r="F587" s="74"/>
      <c r="G587" s="74"/>
      <c r="H587" s="74"/>
      <c r="I587" s="74"/>
      <c r="J587" s="57"/>
      <c r="K587" s="57"/>
      <c r="L587" s="57"/>
      <c r="M587" s="57"/>
      <c r="N587" s="57"/>
      <c r="O587" s="57"/>
      <c r="P587" s="57"/>
      <c r="Q587" s="69"/>
      <c r="R587" s="69"/>
      <c r="S587" s="23" t="str">
        <f>iferror(if(AN587=1,VLOOKUP(B587, Blends!H$4:AK$1004,32,0), ""), "")</f>
        <v/>
      </c>
      <c r="T587" s="58"/>
      <c r="U587" s="77"/>
      <c r="V587" s="77"/>
      <c r="W587" s="78"/>
      <c r="X587" s="77"/>
      <c r="Y587" s="77"/>
      <c r="Z587" s="77"/>
      <c r="AA587" s="77"/>
      <c r="AB587" s="77"/>
      <c r="AC587" s="77"/>
      <c r="AD587" s="77"/>
      <c r="AE587" s="77"/>
      <c r="AF587" s="77"/>
      <c r="AG587" s="77"/>
      <c r="AH587" s="77"/>
      <c r="AI587" s="77"/>
      <c r="AJ587" s="79"/>
      <c r="AK587" s="80"/>
      <c r="AL587" s="59"/>
      <c r="AM587" s="35"/>
      <c r="AN587" s="35"/>
      <c r="AO587" s="35"/>
      <c r="AP587" s="35"/>
      <c r="AQ587" s="35"/>
      <c r="AR587" s="35"/>
      <c r="AS587" s="35"/>
      <c r="AT587" s="35"/>
      <c r="AU587" s="35"/>
      <c r="AV587" s="35"/>
      <c r="AW587" s="35"/>
    </row>
    <row r="588">
      <c r="A588" s="17"/>
      <c r="B588" s="35"/>
      <c r="C588" s="74"/>
      <c r="D588" s="74"/>
      <c r="E588" s="74"/>
      <c r="F588" s="74"/>
      <c r="G588" s="74"/>
      <c r="H588" s="74"/>
      <c r="I588" s="74"/>
      <c r="J588" s="57"/>
      <c r="K588" s="57"/>
      <c r="L588" s="57"/>
      <c r="M588" s="57"/>
      <c r="N588" s="57"/>
      <c r="O588" s="57"/>
      <c r="P588" s="57"/>
      <c r="Q588" s="69"/>
      <c r="R588" s="69"/>
      <c r="S588" s="23" t="str">
        <f>iferror(if(AN588=1,VLOOKUP(B588, Blends!H$4:AK$1004,32,0), ""), "")</f>
        <v/>
      </c>
      <c r="T588" s="58"/>
      <c r="U588" s="77"/>
      <c r="V588" s="77"/>
      <c r="W588" s="78"/>
      <c r="X588" s="77"/>
      <c r="Y588" s="77"/>
      <c r="Z588" s="77"/>
      <c r="AA588" s="77"/>
      <c r="AB588" s="77"/>
      <c r="AC588" s="77"/>
      <c r="AD588" s="77"/>
      <c r="AE588" s="77"/>
      <c r="AF588" s="77"/>
      <c r="AG588" s="77"/>
      <c r="AH588" s="77"/>
      <c r="AI588" s="77"/>
      <c r="AJ588" s="79"/>
      <c r="AK588" s="80"/>
      <c r="AL588" s="59"/>
      <c r="AM588" s="35"/>
      <c r="AN588" s="35"/>
      <c r="AO588" s="35"/>
      <c r="AP588" s="35"/>
      <c r="AQ588" s="35"/>
      <c r="AR588" s="35"/>
      <c r="AS588" s="35"/>
      <c r="AT588" s="35"/>
      <c r="AU588" s="35"/>
      <c r="AV588" s="35"/>
      <c r="AW588" s="35"/>
    </row>
    <row r="589">
      <c r="A589" s="17"/>
      <c r="B589" s="35"/>
      <c r="C589" s="74"/>
      <c r="D589" s="74"/>
      <c r="E589" s="74"/>
      <c r="F589" s="74"/>
      <c r="G589" s="74"/>
      <c r="H589" s="74"/>
      <c r="I589" s="74"/>
      <c r="J589" s="57"/>
      <c r="K589" s="57"/>
      <c r="L589" s="57"/>
      <c r="M589" s="57"/>
      <c r="N589" s="57"/>
      <c r="O589" s="57"/>
      <c r="P589" s="57"/>
      <c r="Q589" s="69"/>
      <c r="R589" s="69"/>
      <c r="S589" s="23" t="str">
        <f>iferror(if(AN589=1,VLOOKUP(B589, Blends!H$4:AK$1004,32,0), ""), "")</f>
        <v/>
      </c>
      <c r="T589" s="58"/>
      <c r="U589" s="77"/>
      <c r="V589" s="77"/>
      <c r="W589" s="78"/>
      <c r="X589" s="77"/>
      <c r="Y589" s="77"/>
      <c r="Z589" s="77"/>
      <c r="AA589" s="77"/>
      <c r="AB589" s="77"/>
      <c r="AC589" s="77"/>
      <c r="AD589" s="77"/>
      <c r="AE589" s="77"/>
      <c r="AF589" s="77"/>
      <c r="AG589" s="77"/>
      <c r="AH589" s="77"/>
      <c r="AI589" s="77"/>
      <c r="AJ589" s="79"/>
      <c r="AK589" s="80"/>
      <c r="AL589" s="59"/>
      <c r="AM589" s="35"/>
      <c r="AN589" s="35"/>
      <c r="AO589" s="35"/>
      <c r="AP589" s="35"/>
      <c r="AQ589" s="35"/>
      <c r="AR589" s="35"/>
      <c r="AS589" s="35"/>
      <c r="AT589" s="35"/>
      <c r="AU589" s="35"/>
      <c r="AV589" s="35"/>
      <c r="AW589" s="35"/>
    </row>
    <row r="590">
      <c r="A590" s="17"/>
      <c r="B590" s="35"/>
      <c r="C590" s="74"/>
      <c r="D590" s="74"/>
      <c r="E590" s="74"/>
      <c r="F590" s="74"/>
      <c r="G590" s="74"/>
      <c r="H590" s="74"/>
      <c r="I590" s="74"/>
      <c r="J590" s="57"/>
      <c r="K590" s="57"/>
      <c r="L590" s="57"/>
      <c r="M590" s="57"/>
      <c r="N590" s="57"/>
      <c r="O590" s="57"/>
      <c r="P590" s="57"/>
      <c r="Q590" s="69"/>
      <c r="R590" s="69"/>
      <c r="S590" s="23" t="str">
        <f>iferror(if(AN590=1,VLOOKUP(B590, Blends!H$4:AK$1004,32,0), ""), "")</f>
        <v/>
      </c>
      <c r="T590" s="58"/>
      <c r="U590" s="77"/>
      <c r="V590" s="77"/>
      <c r="W590" s="78"/>
      <c r="X590" s="77"/>
      <c r="Y590" s="77"/>
      <c r="Z590" s="77"/>
      <c r="AA590" s="77"/>
      <c r="AB590" s="77"/>
      <c r="AC590" s="77"/>
      <c r="AD590" s="77"/>
      <c r="AE590" s="77"/>
      <c r="AF590" s="77"/>
      <c r="AG590" s="77"/>
      <c r="AH590" s="77"/>
      <c r="AI590" s="77"/>
      <c r="AJ590" s="79"/>
      <c r="AK590" s="80"/>
      <c r="AL590" s="59"/>
      <c r="AM590" s="35"/>
      <c r="AN590" s="35"/>
      <c r="AO590" s="35"/>
      <c r="AP590" s="35"/>
      <c r="AQ590" s="35"/>
      <c r="AR590" s="35"/>
      <c r="AS590" s="35"/>
      <c r="AT590" s="35"/>
      <c r="AU590" s="35"/>
      <c r="AV590" s="35"/>
      <c r="AW590" s="35"/>
    </row>
    <row r="591">
      <c r="A591" s="17"/>
      <c r="B591" s="35"/>
      <c r="C591" s="74"/>
      <c r="D591" s="74"/>
      <c r="E591" s="74"/>
      <c r="F591" s="74"/>
      <c r="G591" s="74"/>
      <c r="H591" s="74"/>
      <c r="I591" s="74"/>
      <c r="J591" s="57"/>
      <c r="K591" s="57"/>
      <c r="L591" s="57"/>
      <c r="M591" s="57"/>
      <c r="N591" s="57"/>
      <c r="O591" s="57"/>
      <c r="P591" s="57"/>
      <c r="Q591" s="69"/>
      <c r="R591" s="69"/>
      <c r="S591" s="23" t="str">
        <f>iferror(if(AN591=1,VLOOKUP(B591, Blends!H$4:AK$1004,32,0), ""), "")</f>
        <v/>
      </c>
      <c r="T591" s="58"/>
      <c r="U591" s="77"/>
      <c r="V591" s="77"/>
      <c r="W591" s="78"/>
      <c r="X591" s="77"/>
      <c r="Y591" s="77"/>
      <c r="Z591" s="77"/>
      <c r="AA591" s="77"/>
      <c r="AB591" s="77"/>
      <c r="AC591" s="77"/>
      <c r="AD591" s="77"/>
      <c r="AE591" s="77"/>
      <c r="AF591" s="77"/>
      <c r="AG591" s="77"/>
      <c r="AH591" s="77"/>
      <c r="AI591" s="77"/>
      <c r="AJ591" s="79"/>
      <c r="AK591" s="80"/>
      <c r="AL591" s="59"/>
      <c r="AM591" s="35"/>
      <c r="AN591" s="35"/>
      <c r="AO591" s="35"/>
      <c r="AP591" s="35"/>
      <c r="AQ591" s="35"/>
      <c r="AR591" s="35"/>
      <c r="AS591" s="35"/>
      <c r="AT591" s="35"/>
      <c r="AU591" s="35"/>
      <c r="AV591" s="35"/>
      <c r="AW591" s="35"/>
    </row>
    <row r="592">
      <c r="A592" s="17"/>
      <c r="B592" s="35"/>
      <c r="C592" s="74"/>
      <c r="D592" s="74"/>
      <c r="E592" s="74"/>
      <c r="F592" s="74"/>
      <c r="G592" s="74"/>
      <c r="H592" s="74"/>
      <c r="I592" s="74"/>
      <c r="J592" s="57"/>
      <c r="K592" s="57"/>
      <c r="L592" s="57"/>
      <c r="M592" s="57"/>
      <c r="N592" s="57"/>
      <c r="O592" s="57"/>
      <c r="P592" s="57"/>
      <c r="Q592" s="69"/>
      <c r="R592" s="69"/>
      <c r="S592" s="23" t="str">
        <f>iferror(if(AN592=1,VLOOKUP(B592, Blends!H$4:AK$1004,32,0), ""), "")</f>
        <v/>
      </c>
      <c r="T592" s="58"/>
      <c r="U592" s="77"/>
      <c r="V592" s="77"/>
      <c r="W592" s="78"/>
      <c r="X592" s="77"/>
      <c r="Y592" s="77"/>
      <c r="Z592" s="77"/>
      <c r="AA592" s="77"/>
      <c r="AB592" s="77"/>
      <c r="AC592" s="77"/>
      <c r="AD592" s="77"/>
      <c r="AE592" s="77"/>
      <c r="AF592" s="77"/>
      <c r="AG592" s="77"/>
      <c r="AH592" s="77"/>
      <c r="AI592" s="77"/>
      <c r="AJ592" s="79"/>
      <c r="AK592" s="80"/>
      <c r="AL592" s="59"/>
      <c r="AM592" s="35"/>
      <c r="AN592" s="35"/>
      <c r="AO592" s="35"/>
      <c r="AP592" s="35"/>
      <c r="AQ592" s="35"/>
      <c r="AR592" s="35"/>
      <c r="AS592" s="35"/>
      <c r="AT592" s="35"/>
      <c r="AU592" s="35"/>
      <c r="AV592" s="35"/>
      <c r="AW592" s="35"/>
    </row>
    <row r="593">
      <c r="A593" s="17"/>
      <c r="B593" s="35"/>
      <c r="C593" s="74"/>
      <c r="D593" s="74"/>
      <c r="E593" s="74"/>
      <c r="F593" s="74"/>
      <c r="G593" s="74"/>
      <c r="H593" s="74"/>
      <c r="I593" s="74"/>
      <c r="J593" s="57"/>
      <c r="K593" s="57"/>
      <c r="L593" s="57"/>
      <c r="M593" s="57"/>
      <c r="N593" s="57"/>
      <c r="O593" s="57"/>
      <c r="P593" s="57"/>
      <c r="Q593" s="69"/>
      <c r="R593" s="69"/>
      <c r="S593" s="23" t="str">
        <f>iferror(if(AN593=1,VLOOKUP(B593, Blends!H$4:AK$1004,32,0), ""), "")</f>
        <v/>
      </c>
      <c r="T593" s="58"/>
      <c r="U593" s="77"/>
      <c r="V593" s="77"/>
      <c r="W593" s="78"/>
      <c r="X593" s="77"/>
      <c r="Y593" s="77"/>
      <c r="Z593" s="77"/>
      <c r="AA593" s="77"/>
      <c r="AB593" s="77"/>
      <c r="AC593" s="77"/>
      <c r="AD593" s="77"/>
      <c r="AE593" s="77"/>
      <c r="AF593" s="77"/>
      <c r="AG593" s="77"/>
      <c r="AH593" s="77"/>
      <c r="AI593" s="77"/>
      <c r="AJ593" s="79"/>
      <c r="AK593" s="80"/>
      <c r="AL593" s="59"/>
      <c r="AM593" s="35"/>
      <c r="AN593" s="35"/>
      <c r="AO593" s="35"/>
      <c r="AP593" s="35"/>
      <c r="AQ593" s="35"/>
      <c r="AR593" s="35"/>
      <c r="AS593" s="35"/>
      <c r="AT593" s="35"/>
      <c r="AU593" s="35"/>
      <c r="AV593" s="35"/>
      <c r="AW593" s="35"/>
    </row>
    <row r="594">
      <c r="A594" s="17"/>
      <c r="B594" s="35"/>
      <c r="C594" s="74"/>
      <c r="D594" s="74"/>
      <c r="E594" s="74"/>
      <c r="F594" s="74"/>
      <c r="G594" s="74"/>
      <c r="H594" s="74"/>
      <c r="I594" s="74"/>
      <c r="J594" s="57"/>
      <c r="K594" s="57"/>
      <c r="L594" s="57"/>
      <c r="M594" s="57"/>
      <c r="N594" s="57"/>
      <c r="O594" s="57"/>
      <c r="P594" s="57"/>
      <c r="Q594" s="69"/>
      <c r="R594" s="69"/>
      <c r="S594" s="23" t="str">
        <f>iferror(if(AN594=1,VLOOKUP(B594, Blends!H$4:AK$1004,32,0), ""), "")</f>
        <v/>
      </c>
      <c r="T594" s="58"/>
      <c r="U594" s="77"/>
      <c r="V594" s="77"/>
      <c r="W594" s="78"/>
      <c r="X594" s="77"/>
      <c r="Y594" s="77"/>
      <c r="Z594" s="77"/>
      <c r="AA594" s="77"/>
      <c r="AB594" s="77"/>
      <c r="AC594" s="77"/>
      <c r="AD594" s="77"/>
      <c r="AE594" s="77"/>
      <c r="AF594" s="77"/>
      <c r="AG594" s="77"/>
      <c r="AH594" s="77"/>
      <c r="AI594" s="77"/>
      <c r="AJ594" s="79"/>
      <c r="AK594" s="80"/>
      <c r="AL594" s="59"/>
      <c r="AM594" s="35"/>
      <c r="AN594" s="35"/>
      <c r="AO594" s="35"/>
      <c r="AP594" s="35"/>
      <c r="AQ594" s="35"/>
      <c r="AR594" s="35"/>
      <c r="AS594" s="35"/>
      <c r="AT594" s="35"/>
      <c r="AU594" s="35"/>
      <c r="AV594" s="35"/>
      <c r="AW594" s="35"/>
    </row>
    <row r="595">
      <c r="A595" s="17"/>
      <c r="B595" s="35"/>
      <c r="C595" s="74"/>
      <c r="D595" s="74"/>
      <c r="E595" s="74"/>
      <c r="F595" s="74"/>
      <c r="G595" s="74"/>
      <c r="H595" s="74"/>
      <c r="I595" s="74"/>
      <c r="J595" s="57"/>
      <c r="K595" s="57"/>
      <c r="L595" s="57"/>
      <c r="M595" s="57"/>
      <c r="N595" s="57"/>
      <c r="O595" s="57"/>
      <c r="P595" s="57"/>
      <c r="Q595" s="69"/>
      <c r="R595" s="69"/>
      <c r="S595" s="23" t="str">
        <f>iferror(if(AN595=1,VLOOKUP(B595, Blends!H$4:AK$1004,32,0), ""), "")</f>
        <v/>
      </c>
      <c r="T595" s="58"/>
      <c r="U595" s="77"/>
      <c r="V595" s="77"/>
      <c r="W595" s="78"/>
      <c r="X595" s="77"/>
      <c r="Y595" s="77"/>
      <c r="Z595" s="77"/>
      <c r="AA595" s="77"/>
      <c r="AB595" s="77"/>
      <c r="AC595" s="77"/>
      <c r="AD595" s="77"/>
      <c r="AE595" s="77"/>
      <c r="AF595" s="77"/>
      <c r="AG595" s="77"/>
      <c r="AH595" s="77"/>
      <c r="AI595" s="77"/>
      <c r="AJ595" s="79"/>
      <c r="AK595" s="80"/>
      <c r="AL595" s="59"/>
      <c r="AM595" s="35"/>
      <c r="AN595" s="35"/>
      <c r="AO595" s="35"/>
      <c r="AP595" s="35"/>
      <c r="AQ595" s="35"/>
      <c r="AR595" s="35"/>
      <c r="AS595" s="35"/>
      <c r="AT595" s="35"/>
      <c r="AU595" s="35"/>
      <c r="AV595" s="35"/>
      <c r="AW595" s="35"/>
    </row>
    <row r="596">
      <c r="A596" s="17"/>
      <c r="B596" s="35"/>
      <c r="C596" s="74"/>
      <c r="D596" s="74"/>
      <c r="E596" s="74"/>
      <c r="F596" s="74"/>
      <c r="G596" s="74"/>
      <c r="H596" s="74"/>
      <c r="I596" s="74"/>
      <c r="J596" s="57"/>
      <c r="K596" s="57"/>
      <c r="L596" s="57"/>
      <c r="M596" s="57"/>
      <c r="N596" s="57"/>
      <c r="O596" s="57"/>
      <c r="P596" s="57"/>
      <c r="Q596" s="69"/>
      <c r="R596" s="69"/>
      <c r="S596" s="23" t="str">
        <f>iferror(if(AN596=1,VLOOKUP(B596, Blends!H$4:AK$1004,32,0), ""), "")</f>
        <v/>
      </c>
      <c r="T596" s="58"/>
      <c r="U596" s="77"/>
      <c r="V596" s="77"/>
      <c r="W596" s="78"/>
      <c r="X596" s="77"/>
      <c r="Y596" s="77"/>
      <c r="Z596" s="77"/>
      <c r="AA596" s="77"/>
      <c r="AB596" s="77"/>
      <c r="AC596" s="77"/>
      <c r="AD596" s="77"/>
      <c r="AE596" s="77"/>
      <c r="AF596" s="77"/>
      <c r="AG596" s="77"/>
      <c r="AH596" s="77"/>
      <c r="AI596" s="77"/>
      <c r="AJ596" s="79"/>
      <c r="AK596" s="80"/>
      <c r="AL596" s="59"/>
      <c r="AM596" s="35"/>
      <c r="AN596" s="35"/>
      <c r="AO596" s="35"/>
      <c r="AP596" s="35"/>
      <c r="AQ596" s="35"/>
      <c r="AR596" s="35"/>
      <c r="AS596" s="35"/>
      <c r="AT596" s="35"/>
      <c r="AU596" s="35"/>
      <c r="AV596" s="35"/>
      <c r="AW596" s="35"/>
    </row>
    <row r="597">
      <c r="A597" s="17"/>
      <c r="B597" s="35"/>
      <c r="C597" s="74"/>
      <c r="D597" s="74"/>
      <c r="E597" s="74"/>
      <c r="F597" s="74"/>
      <c r="G597" s="74"/>
      <c r="H597" s="74"/>
      <c r="I597" s="74"/>
      <c r="J597" s="57"/>
      <c r="K597" s="57"/>
      <c r="L597" s="57"/>
      <c r="M597" s="57"/>
      <c r="N597" s="57"/>
      <c r="O597" s="57"/>
      <c r="P597" s="57"/>
      <c r="Q597" s="69"/>
      <c r="R597" s="69"/>
      <c r="S597" s="23" t="str">
        <f>iferror(if(AN597=1,VLOOKUP(B597, Blends!H$4:AK$1004,32,0), ""), "")</f>
        <v/>
      </c>
      <c r="T597" s="58"/>
      <c r="U597" s="77"/>
      <c r="V597" s="77"/>
      <c r="W597" s="78"/>
      <c r="X597" s="77"/>
      <c r="Y597" s="77"/>
      <c r="Z597" s="77"/>
      <c r="AA597" s="77"/>
      <c r="AB597" s="77"/>
      <c r="AC597" s="77"/>
      <c r="AD597" s="77"/>
      <c r="AE597" s="77"/>
      <c r="AF597" s="77"/>
      <c r="AG597" s="77"/>
      <c r="AH597" s="77"/>
      <c r="AI597" s="77"/>
      <c r="AJ597" s="79"/>
      <c r="AK597" s="80"/>
      <c r="AL597" s="59"/>
      <c r="AM597" s="35"/>
      <c r="AN597" s="35"/>
      <c r="AO597" s="35"/>
      <c r="AP597" s="35"/>
      <c r="AQ597" s="35"/>
      <c r="AR597" s="35"/>
      <c r="AS597" s="35"/>
      <c r="AT597" s="35"/>
      <c r="AU597" s="35"/>
      <c r="AV597" s="35"/>
      <c r="AW597" s="35"/>
    </row>
    <row r="598">
      <c r="A598" s="17"/>
      <c r="B598" s="35"/>
      <c r="C598" s="74"/>
      <c r="D598" s="74"/>
      <c r="E598" s="74"/>
      <c r="F598" s="74"/>
      <c r="G598" s="74"/>
      <c r="H598" s="74"/>
      <c r="I598" s="74"/>
      <c r="J598" s="57"/>
      <c r="K598" s="57"/>
      <c r="L598" s="57"/>
      <c r="M598" s="57"/>
      <c r="N598" s="57"/>
      <c r="O598" s="57"/>
      <c r="P598" s="57"/>
      <c r="Q598" s="69"/>
      <c r="R598" s="69"/>
      <c r="S598" s="23" t="str">
        <f>iferror(if(AN598=1,VLOOKUP(B598, Blends!H$4:AK$1004,32,0), ""), "")</f>
        <v/>
      </c>
      <c r="T598" s="58"/>
      <c r="U598" s="77"/>
      <c r="V598" s="77"/>
      <c r="W598" s="78"/>
      <c r="X598" s="77"/>
      <c r="Y598" s="77"/>
      <c r="Z598" s="77"/>
      <c r="AA598" s="77"/>
      <c r="AB598" s="77"/>
      <c r="AC598" s="77"/>
      <c r="AD598" s="77"/>
      <c r="AE598" s="77"/>
      <c r="AF598" s="77"/>
      <c r="AG598" s="77"/>
      <c r="AH598" s="77"/>
      <c r="AI598" s="77"/>
      <c r="AJ598" s="79"/>
      <c r="AK598" s="80"/>
      <c r="AL598" s="59"/>
      <c r="AM598" s="35"/>
      <c r="AN598" s="35"/>
      <c r="AO598" s="35"/>
      <c r="AP598" s="35"/>
      <c r="AQ598" s="35"/>
      <c r="AR598" s="35"/>
      <c r="AS598" s="35"/>
      <c r="AT598" s="35"/>
      <c r="AU598" s="35"/>
      <c r="AV598" s="35"/>
      <c r="AW598" s="35"/>
    </row>
    <row r="599">
      <c r="A599" s="17"/>
      <c r="B599" s="35"/>
      <c r="C599" s="74"/>
      <c r="D599" s="74"/>
      <c r="E599" s="74"/>
      <c r="F599" s="74"/>
      <c r="G599" s="74"/>
      <c r="H599" s="74"/>
      <c r="I599" s="74"/>
      <c r="J599" s="57"/>
      <c r="K599" s="57"/>
      <c r="L599" s="57"/>
      <c r="M599" s="57"/>
      <c r="N599" s="57"/>
      <c r="O599" s="57"/>
      <c r="P599" s="57"/>
      <c r="Q599" s="69"/>
      <c r="R599" s="69"/>
      <c r="S599" s="23" t="str">
        <f>iferror(if(AN599=1,VLOOKUP(B599, Blends!H$4:AK$1004,32,0), ""), "")</f>
        <v/>
      </c>
      <c r="T599" s="58"/>
      <c r="U599" s="77"/>
      <c r="V599" s="77"/>
      <c r="W599" s="78"/>
      <c r="X599" s="77"/>
      <c r="Y599" s="77"/>
      <c r="Z599" s="77"/>
      <c r="AA599" s="77"/>
      <c r="AB599" s="77"/>
      <c r="AC599" s="77"/>
      <c r="AD599" s="77"/>
      <c r="AE599" s="77"/>
      <c r="AF599" s="77"/>
      <c r="AG599" s="77"/>
      <c r="AH599" s="77"/>
      <c r="AI599" s="77"/>
      <c r="AJ599" s="79"/>
      <c r="AK599" s="80"/>
      <c r="AL599" s="59"/>
      <c r="AM599" s="35"/>
      <c r="AN599" s="35"/>
      <c r="AO599" s="35"/>
      <c r="AP599" s="35"/>
      <c r="AQ599" s="35"/>
      <c r="AR599" s="35"/>
      <c r="AS599" s="35"/>
      <c r="AT599" s="35"/>
      <c r="AU599" s="35"/>
      <c r="AV599" s="35"/>
      <c r="AW599" s="35"/>
    </row>
    <row r="600">
      <c r="A600" s="17"/>
      <c r="B600" s="35"/>
      <c r="C600" s="74"/>
      <c r="D600" s="74"/>
      <c r="E600" s="74"/>
      <c r="F600" s="74"/>
      <c r="G600" s="74"/>
      <c r="H600" s="74"/>
      <c r="I600" s="74"/>
      <c r="J600" s="57"/>
      <c r="K600" s="57"/>
      <c r="L600" s="57"/>
      <c r="M600" s="57"/>
      <c r="N600" s="57"/>
      <c r="O600" s="57"/>
      <c r="P600" s="57"/>
      <c r="Q600" s="69"/>
      <c r="R600" s="69"/>
      <c r="S600" s="23" t="str">
        <f>iferror(if(AN600=1,VLOOKUP(B600, Blends!H$4:AK$1004,32,0), ""), "")</f>
        <v/>
      </c>
      <c r="T600" s="58"/>
      <c r="U600" s="77"/>
      <c r="V600" s="77"/>
      <c r="W600" s="78"/>
      <c r="X600" s="77"/>
      <c r="Y600" s="77"/>
      <c r="Z600" s="77"/>
      <c r="AA600" s="77"/>
      <c r="AB600" s="77"/>
      <c r="AC600" s="77"/>
      <c r="AD600" s="77"/>
      <c r="AE600" s="77"/>
      <c r="AF600" s="77"/>
      <c r="AG600" s="77"/>
      <c r="AH600" s="77"/>
      <c r="AI600" s="77"/>
      <c r="AJ600" s="79"/>
      <c r="AK600" s="80"/>
      <c r="AL600" s="59"/>
      <c r="AM600" s="35"/>
      <c r="AN600" s="35"/>
      <c r="AO600" s="35"/>
      <c r="AP600" s="35"/>
      <c r="AQ600" s="35"/>
      <c r="AR600" s="35"/>
      <c r="AS600" s="35"/>
      <c r="AT600" s="35"/>
      <c r="AU600" s="35"/>
      <c r="AV600" s="35"/>
      <c r="AW600" s="35"/>
    </row>
    <row r="601">
      <c r="A601" s="17"/>
      <c r="B601" s="35"/>
      <c r="C601" s="74"/>
      <c r="D601" s="74"/>
      <c r="E601" s="74"/>
      <c r="F601" s="74"/>
      <c r="G601" s="74"/>
      <c r="H601" s="74"/>
      <c r="I601" s="74"/>
      <c r="J601" s="57"/>
      <c r="K601" s="57"/>
      <c r="L601" s="57"/>
      <c r="M601" s="57"/>
      <c r="N601" s="57"/>
      <c r="O601" s="57"/>
      <c r="P601" s="57"/>
      <c r="Q601" s="69"/>
      <c r="R601" s="69"/>
      <c r="S601" s="23" t="str">
        <f>iferror(if(AN601=1,VLOOKUP(B601, Blends!H$4:AK$1004,32,0), ""), "")</f>
        <v/>
      </c>
      <c r="T601" s="58"/>
      <c r="U601" s="77"/>
      <c r="V601" s="77"/>
      <c r="W601" s="78"/>
      <c r="X601" s="77"/>
      <c r="Y601" s="77"/>
      <c r="Z601" s="77"/>
      <c r="AA601" s="77"/>
      <c r="AB601" s="77"/>
      <c r="AC601" s="77"/>
      <c r="AD601" s="77"/>
      <c r="AE601" s="77"/>
      <c r="AF601" s="77"/>
      <c r="AG601" s="77"/>
      <c r="AH601" s="77"/>
      <c r="AI601" s="77"/>
      <c r="AJ601" s="79"/>
      <c r="AK601" s="80"/>
      <c r="AL601" s="59"/>
      <c r="AM601" s="35"/>
      <c r="AN601" s="35"/>
      <c r="AO601" s="35"/>
      <c r="AP601" s="35"/>
      <c r="AQ601" s="35"/>
      <c r="AR601" s="35"/>
      <c r="AS601" s="35"/>
      <c r="AT601" s="35"/>
      <c r="AU601" s="35"/>
      <c r="AV601" s="35"/>
      <c r="AW601" s="35"/>
    </row>
    <row r="602">
      <c r="A602" s="17"/>
      <c r="B602" s="35"/>
      <c r="C602" s="74"/>
      <c r="D602" s="74"/>
      <c r="E602" s="74"/>
      <c r="F602" s="74"/>
      <c r="G602" s="74"/>
      <c r="H602" s="74"/>
      <c r="I602" s="74"/>
      <c r="J602" s="57"/>
      <c r="K602" s="57"/>
      <c r="L602" s="57"/>
      <c r="M602" s="57"/>
      <c r="N602" s="57"/>
      <c r="O602" s="57"/>
      <c r="P602" s="57"/>
      <c r="Q602" s="69"/>
      <c r="R602" s="69"/>
      <c r="S602" s="23" t="str">
        <f>iferror(if(AN602=1,VLOOKUP(B602, Blends!H$4:AK$1004,32,0), ""), "")</f>
        <v/>
      </c>
      <c r="T602" s="58"/>
      <c r="U602" s="77"/>
      <c r="V602" s="77"/>
      <c r="W602" s="78"/>
      <c r="X602" s="77"/>
      <c r="Y602" s="77"/>
      <c r="Z602" s="77"/>
      <c r="AA602" s="77"/>
      <c r="AB602" s="77"/>
      <c r="AC602" s="77"/>
      <c r="AD602" s="77"/>
      <c r="AE602" s="77"/>
      <c r="AF602" s="77"/>
      <c r="AG602" s="77"/>
      <c r="AH602" s="77"/>
      <c r="AI602" s="77"/>
      <c r="AJ602" s="79"/>
      <c r="AK602" s="80"/>
      <c r="AL602" s="59"/>
      <c r="AM602" s="35"/>
      <c r="AN602" s="35"/>
      <c r="AO602" s="35"/>
      <c r="AP602" s="35"/>
      <c r="AQ602" s="35"/>
      <c r="AR602" s="35"/>
      <c r="AS602" s="35"/>
      <c r="AT602" s="35"/>
      <c r="AU602" s="35"/>
      <c r="AV602" s="35"/>
      <c r="AW602" s="35"/>
    </row>
    <row r="603">
      <c r="A603" s="17"/>
      <c r="B603" s="35"/>
      <c r="C603" s="74"/>
      <c r="D603" s="74"/>
      <c r="E603" s="74"/>
      <c r="F603" s="74"/>
      <c r="G603" s="74"/>
      <c r="H603" s="74"/>
      <c r="I603" s="74"/>
      <c r="J603" s="57"/>
      <c r="K603" s="57"/>
      <c r="L603" s="57"/>
      <c r="M603" s="57"/>
      <c r="N603" s="57"/>
      <c r="O603" s="57"/>
      <c r="P603" s="57"/>
      <c r="Q603" s="69"/>
      <c r="R603" s="69"/>
      <c r="S603" s="23" t="str">
        <f>iferror(if(AN603=1,VLOOKUP(B603, Blends!H$4:AK$1004,32,0), ""), "")</f>
        <v/>
      </c>
      <c r="T603" s="58"/>
      <c r="U603" s="77"/>
      <c r="V603" s="77"/>
      <c r="W603" s="78"/>
      <c r="X603" s="77"/>
      <c r="Y603" s="77"/>
      <c r="Z603" s="77"/>
      <c r="AA603" s="77"/>
      <c r="AB603" s="77"/>
      <c r="AC603" s="77"/>
      <c r="AD603" s="77"/>
      <c r="AE603" s="77"/>
      <c r="AF603" s="77"/>
      <c r="AG603" s="77"/>
      <c r="AH603" s="77"/>
      <c r="AI603" s="77"/>
      <c r="AJ603" s="79"/>
      <c r="AK603" s="80"/>
      <c r="AL603" s="59"/>
      <c r="AM603" s="35"/>
      <c r="AN603" s="35"/>
      <c r="AO603" s="35"/>
      <c r="AP603" s="35"/>
      <c r="AQ603" s="35"/>
      <c r="AR603" s="35"/>
      <c r="AS603" s="35"/>
      <c r="AT603" s="35"/>
      <c r="AU603" s="35"/>
      <c r="AV603" s="35"/>
      <c r="AW603" s="35"/>
    </row>
    <row r="604">
      <c r="A604" s="17"/>
      <c r="B604" s="35"/>
      <c r="C604" s="74"/>
      <c r="D604" s="74"/>
      <c r="E604" s="74"/>
      <c r="F604" s="74"/>
      <c r="G604" s="74"/>
      <c r="H604" s="74"/>
      <c r="I604" s="74"/>
      <c r="J604" s="57"/>
      <c r="K604" s="57"/>
      <c r="L604" s="57"/>
      <c r="M604" s="57"/>
      <c r="N604" s="57"/>
      <c r="O604" s="57"/>
      <c r="P604" s="57"/>
      <c r="Q604" s="69"/>
      <c r="R604" s="69"/>
      <c r="S604" s="23" t="str">
        <f>iferror(if(AN604=1,VLOOKUP(B604, Blends!H$4:AK$1004,32,0), ""), "")</f>
        <v/>
      </c>
      <c r="T604" s="58"/>
      <c r="U604" s="77"/>
      <c r="V604" s="77"/>
      <c r="W604" s="78"/>
      <c r="X604" s="77"/>
      <c r="Y604" s="77"/>
      <c r="Z604" s="77"/>
      <c r="AA604" s="77"/>
      <c r="AB604" s="77"/>
      <c r="AC604" s="77"/>
      <c r="AD604" s="77"/>
      <c r="AE604" s="77"/>
      <c r="AF604" s="77"/>
      <c r="AG604" s="77"/>
      <c r="AH604" s="77"/>
      <c r="AI604" s="77"/>
      <c r="AJ604" s="79"/>
      <c r="AK604" s="80"/>
      <c r="AL604" s="59"/>
      <c r="AM604" s="35"/>
      <c r="AN604" s="35"/>
      <c r="AO604" s="35"/>
      <c r="AP604" s="35"/>
      <c r="AQ604" s="35"/>
      <c r="AR604" s="35"/>
      <c r="AS604" s="35"/>
      <c r="AT604" s="35"/>
      <c r="AU604" s="35"/>
      <c r="AV604" s="35"/>
      <c r="AW604" s="35"/>
    </row>
    <row r="605">
      <c r="A605" s="17"/>
      <c r="B605" s="35"/>
      <c r="C605" s="74"/>
      <c r="D605" s="74"/>
      <c r="E605" s="74"/>
      <c r="F605" s="74"/>
      <c r="G605" s="74"/>
      <c r="H605" s="74"/>
      <c r="I605" s="74"/>
      <c r="J605" s="57"/>
      <c r="K605" s="57"/>
      <c r="L605" s="57"/>
      <c r="M605" s="57"/>
      <c r="N605" s="57"/>
      <c r="O605" s="57"/>
      <c r="P605" s="57"/>
      <c r="Q605" s="69"/>
      <c r="R605" s="69"/>
      <c r="S605" s="23" t="str">
        <f>iferror(if(AN605=1,VLOOKUP(B605, Blends!H$4:AK$1004,32,0), ""), "")</f>
        <v/>
      </c>
      <c r="T605" s="58"/>
      <c r="U605" s="77"/>
      <c r="V605" s="77"/>
      <c r="W605" s="78"/>
      <c r="X605" s="77"/>
      <c r="Y605" s="77"/>
      <c r="Z605" s="77"/>
      <c r="AA605" s="77"/>
      <c r="AB605" s="77"/>
      <c r="AC605" s="77"/>
      <c r="AD605" s="77"/>
      <c r="AE605" s="77"/>
      <c r="AF605" s="77"/>
      <c r="AG605" s="77"/>
      <c r="AH605" s="77"/>
      <c r="AI605" s="77"/>
      <c r="AJ605" s="79"/>
      <c r="AK605" s="80"/>
      <c r="AL605" s="59"/>
      <c r="AM605" s="35"/>
      <c r="AN605" s="35"/>
      <c r="AO605" s="35"/>
      <c r="AP605" s="35"/>
      <c r="AQ605" s="35"/>
      <c r="AR605" s="35"/>
      <c r="AS605" s="35"/>
      <c r="AT605" s="35"/>
      <c r="AU605" s="35"/>
      <c r="AV605" s="35"/>
      <c r="AW605" s="35"/>
    </row>
    <row r="606">
      <c r="A606" s="17"/>
      <c r="B606" s="35"/>
      <c r="C606" s="74"/>
      <c r="D606" s="74"/>
      <c r="E606" s="74"/>
      <c r="F606" s="74"/>
      <c r="G606" s="74"/>
      <c r="H606" s="74"/>
      <c r="I606" s="74"/>
      <c r="J606" s="57"/>
      <c r="K606" s="57"/>
      <c r="L606" s="57"/>
      <c r="M606" s="57"/>
      <c r="N606" s="57"/>
      <c r="O606" s="57"/>
      <c r="P606" s="57"/>
      <c r="Q606" s="69"/>
      <c r="R606" s="69"/>
      <c r="S606" s="23" t="str">
        <f>iferror(if(AN606=1,VLOOKUP(B606, Blends!H$4:AK$1004,32,0), ""), "")</f>
        <v/>
      </c>
      <c r="T606" s="58"/>
      <c r="U606" s="77"/>
      <c r="V606" s="77"/>
      <c r="W606" s="78"/>
      <c r="X606" s="77"/>
      <c r="Y606" s="77"/>
      <c r="Z606" s="77"/>
      <c r="AA606" s="77"/>
      <c r="AB606" s="77"/>
      <c r="AC606" s="77"/>
      <c r="AD606" s="77"/>
      <c r="AE606" s="77"/>
      <c r="AF606" s="77"/>
      <c r="AG606" s="77"/>
      <c r="AH606" s="77"/>
      <c r="AI606" s="77"/>
      <c r="AJ606" s="79"/>
      <c r="AK606" s="80"/>
      <c r="AL606" s="59"/>
      <c r="AM606" s="35"/>
      <c r="AN606" s="35"/>
      <c r="AO606" s="35"/>
      <c r="AP606" s="35"/>
      <c r="AQ606" s="35"/>
      <c r="AR606" s="35"/>
      <c r="AS606" s="35"/>
      <c r="AT606" s="35"/>
      <c r="AU606" s="35"/>
      <c r="AV606" s="35"/>
      <c r="AW606" s="35"/>
    </row>
    <row r="607">
      <c r="A607" s="17"/>
      <c r="B607" s="35"/>
      <c r="C607" s="74"/>
      <c r="D607" s="74"/>
      <c r="E607" s="74"/>
      <c r="F607" s="74"/>
      <c r="G607" s="74"/>
      <c r="H607" s="74"/>
      <c r="I607" s="74"/>
      <c r="J607" s="57"/>
      <c r="K607" s="57"/>
      <c r="L607" s="57"/>
      <c r="M607" s="57"/>
      <c r="N607" s="57"/>
      <c r="O607" s="57"/>
      <c r="P607" s="57"/>
      <c r="Q607" s="69"/>
      <c r="R607" s="69"/>
      <c r="S607" s="23" t="str">
        <f>iferror(if(AN607=1,VLOOKUP(B607, Blends!H$4:AK$1004,32,0), ""), "")</f>
        <v/>
      </c>
      <c r="T607" s="58"/>
      <c r="U607" s="77"/>
      <c r="V607" s="77"/>
      <c r="W607" s="78"/>
      <c r="X607" s="77"/>
      <c r="Y607" s="77"/>
      <c r="Z607" s="77"/>
      <c r="AA607" s="77"/>
      <c r="AB607" s="77"/>
      <c r="AC607" s="77"/>
      <c r="AD607" s="77"/>
      <c r="AE607" s="77"/>
      <c r="AF607" s="77"/>
      <c r="AG607" s="77"/>
      <c r="AH607" s="77"/>
      <c r="AI607" s="77"/>
      <c r="AJ607" s="79"/>
      <c r="AK607" s="80"/>
      <c r="AL607" s="59"/>
      <c r="AM607" s="35"/>
      <c r="AN607" s="35"/>
      <c r="AO607" s="35"/>
      <c r="AP607" s="35"/>
      <c r="AQ607" s="35"/>
      <c r="AR607" s="35"/>
      <c r="AS607" s="35"/>
      <c r="AT607" s="35"/>
      <c r="AU607" s="35"/>
      <c r="AV607" s="35"/>
      <c r="AW607" s="35"/>
    </row>
    <row r="608">
      <c r="A608" s="17"/>
      <c r="B608" s="35"/>
      <c r="C608" s="74"/>
      <c r="D608" s="74"/>
      <c r="E608" s="74"/>
      <c r="F608" s="74"/>
      <c r="G608" s="74"/>
      <c r="H608" s="74"/>
      <c r="I608" s="74"/>
      <c r="J608" s="57"/>
      <c r="K608" s="57"/>
      <c r="L608" s="57"/>
      <c r="M608" s="57"/>
      <c r="N608" s="57"/>
      <c r="O608" s="57"/>
      <c r="P608" s="57"/>
      <c r="Q608" s="69"/>
      <c r="R608" s="69"/>
      <c r="S608" s="23" t="str">
        <f>iferror(if(AN608=1,VLOOKUP(B608, Blends!H$4:AK$1004,32,0), ""), "")</f>
        <v/>
      </c>
      <c r="T608" s="58"/>
      <c r="U608" s="77"/>
      <c r="V608" s="77"/>
      <c r="W608" s="78"/>
      <c r="X608" s="77"/>
      <c r="Y608" s="77"/>
      <c r="Z608" s="77"/>
      <c r="AA608" s="77"/>
      <c r="AB608" s="77"/>
      <c r="AC608" s="77"/>
      <c r="AD608" s="77"/>
      <c r="AE608" s="77"/>
      <c r="AF608" s="77"/>
      <c r="AG608" s="77"/>
      <c r="AH608" s="77"/>
      <c r="AI608" s="77"/>
      <c r="AJ608" s="79"/>
      <c r="AK608" s="80"/>
      <c r="AL608" s="59"/>
      <c r="AM608" s="35"/>
      <c r="AN608" s="35"/>
      <c r="AO608" s="35"/>
      <c r="AP608" s="35"/>
      <c r="AQ608" s="35"/>
      <c r="AR608" s="35"/>
      <c r="AS608" s="35"/>
      <c r="AT608" s="35"/>
      <c r="AU608" s="35"/>
      <c r="AV608" s="35"/>
      <c r="AW608" s="35"/>
    </row>
    <row r="609">
      <c r="A609" s="17"/>
      <c r="B609" s="35"/>
      <c r="C609" s="74"/>
      <c r="D609" s="74"/>
      <c r="E609" s="74"/>
      <c r="F609" s="74"/>
      <c r="G609" s="74"/>
      <c r="H609" s="74"/>
      <c r="I609" s="74"/>
      <c r="J609" s="57"/>
      <c r="K609" s="57"/>
      <c r="L609" s="57"/>
      <c r="M609" s="57"/>
      <c r="N609" s="57"/>
      <c r="O609" s="57"/>
      <c r="P609" s="57"/>
      <c r="Q609" s="69"/>
      <c r="R609" s="69"/>
      <c r="S609" s="23" t="str">
        <f>iferror(if(AN609=1,VLOOKUP(B609, Blends!H$4:AK$1004,32,0), ""), "")</f>
        <v/>
      </c>
      <c r="T609" s="58"/>
      <c r="U609" s="77"/>
      <c r="V609" s="77"/>
      <c r="W609" s="78"/>
      <c r="X609" s="77"/>
      <c r="Y609" s="77"/>
      <c r="Z609" s="77"/>
      <c r="AA609" s="77"/>
      <c r="AB609" s="77"/>
      <c r="AC609" s="77"/>
      <c r="AD609" s="77"/>
      <c r="AE609" s="77"/>
      <c r="AF609" s="77"/>
      <c r="AG609" s="77"/>
      <c r="AH609" s="77"/>
      <c r="AI609" s="77"/>
      <c r="AJ609" s="79"/>
      <c r="AK609" s="80"/>
      <c r="AL609" s="59"/>
      <c r="AM609" s="35"/>
      <c r="AN609" s="35"/>
      <c r="AO609" s="35"/>
      <c r="AP609" s="35"/>
      <c r="AQ609" s="35"/>
      <c r="AR609" s="35"/>
      <c r="AS609" s="35"/>
      <c r="AT609" s="35"/>
      <c r="AU609" s="35"/>
      <c r="AV609" s="35"/>
      <c r="AW609" s="35"/>
    </row>
    <row r="610">
      <c r="A610" s="17"/>
      <c r="B610" s="35"/>
      <c r="C610" s="74"/>
      <c r="D610" s="74"/>
      <c r="E610" s="74"/>
      <c r="F610" s="74"/>
      <c r="G610" s="74"/>
      <c r="H610" s="74"/>
      <c r="I610" s="74"/>
      <c r="J610" s="57"/>
      <c r="K610" s="57"/>
      <c r="L610" s="57"/>
      <c r="M610" s="57"/>
      <c r="N610" s="57"/>
      <c r="O610" s="57"/>
      <c r="P610" s="57"/>
      <c r="Q610" s="69"/>
      <c r="R610" s="69"/>
      <c r="S610" s="23" t="str">
        <f>iferror(if(AN610=1,VLOOKUP(B610, Blends!H$4:AK$1004,32,0), ""), "")</f>
        <v/>
      </c>
      <c r="T610" s="58"/>
      <c r="U610" s="77"/>
      <c r="V610" s="77"/>
      <c r="W610" s="78"/>
      <c r="X610" s="77"/>
      <c r="Y610" s="77"/>
      <c r="Z610" s="77"/>
      <c r="AA610" s="77"/>
      <c r="AB610" s="77"/>
      <c r="AC610" s="77"/>
      <c r="AD610" s="77"/>
      <c r="AE610" s="77"/>
      <c r="AF610" s="77"/>
      <c r="AG610" s="77"/>
      <c r="AH610" s="77"/>
      <c r="AI610" s="77"/>
      <c r="AJ610" s="79"/>
      <c r="AK610" s="80"/>
      <c r="AL610" s="59"/>
      <c r="AM610" s="35"/>
      <c r="AN610" s="35"/>
      <c r="AO610" s="35"/>
      <c r="AP610" s="35"/>
      <c r="AQ610" s="35"/>
      <c r="AR610" s="35"/>
      <c r="AS610" s="35"/>
      <c r="AT610" s="35"/>
      <c r="AU610" s="35"/>
      <c r="AV610" s="35"/>
      <c r="AW610" s="35"/>
    </row>
    <row r="611">
      <c r="A611" s="17"/>
      <c r="B611" s="35"/>
      <c r="C611" s="74"/>
      <c r="D611" s="74"/>
      <c r="E611" s="74"/>
      <c r="F611" s="74"/>
      <c r="G611" s="74"/>
      <c r="H611" s="74"/>
      <c r="I611" s="74"/>
      <c r="J611" s="57"/>
      <c r="K611" s="57"/>
      <c r="L611" s="57"/>
      <c r="M611" s="57"/>
      <c r="N611" s="57"/>
      <c r="O611" s="57"/>
      <c r="P611" s="57"/>
      <c r="Q611" s="69"/>
      <c r="R611" s="69"/>
      <c r="S611" s="23" t="str">
        <f>iferror(if(AN611=1,VLOOKUP(B611, Blends!H$4:AK$1004,32,0), ""), "")</f>
        <v/>
      </c>
      <c r="T611" s="58"/>
      <c r="U611" s="77"/>
      <c r="V611" s="77"/>
      <c r="W611" s="78"/>
      <c r="X611" s="77"/>
      <c r="Y611" s="77"/>
      <c r="Z611" s="77"/>
      <c r="AA611" s="77"/>
      <c r="AB611" s="77"/>
      <c r="AC611" s="77"/>
      <c r="AD611" s="77"/>
      <c r="AE611" s="77"/>
      <c r="AF611" s="77"/>
      <c r="AG611" s="77"/>
      <c r="AH611" s="77"/>
      <c r="AI611" s="77"/>
      <c r="AJ611" s="79"/>
      <c r="AK611" s="80"/>
      <c r="AL611" s="59"/>
      <c r="AM611" s="35"/>
      <c r="AN611" s="35"/>
      <c r="AO611" s="35"/>
      <c r="AP611" s="35"/>
      <c r="AQ611" s="35"/>
      <c r="AR611" s="35"/>
      <c r="AS611" s="35"/>
      <c r="AT611" s="35"/>
      <c r="AU611" s="35"/>
      <c r="AV611" s="35"/>
      <c r="AW611" s="35"/>
    </row>
    <row r="612">
      <c r="A612" s="17"/>
      <c r="B612" s="35"/>
      <c r="C612" s="74"/>
      <c r="D612" s="74"/>
      <c r="E612" s="74"/>
      <c r="F612" s="74"/>
      <c r="G612" s="74"/>
      <c r="H612" s="74"/>
      <c r="I612" s="74"/>
      <c r="J612" s="57"/>
      <c r="K612" s="57"/>
      <c r="L612" s="57"/>
      <c r="M612" s="57"/>
      <c r="N612" s="57"/>
      <c r="O612" s="57"/>
      <c r="P612" s="57"/>
      <c r="Q612" s="69"/>
      <c r="R612" s="69"/>
      <c r="S612" s="23" t="str">
        <f>iferror(if(AN612=1,VLOOKUP(B612, Blends!H$4:AK$1004,32,0), ""), "")</f>
        <v/>
      </c>
      <c r="T612" s="58"/>
      <c r="U612" s="77"/>
      <c r="V612" s="77"/>
      <c r="W612" s="78"/>
      <c r="X612" s="77"/>
      <c r="Y612" s="77"/>
      <c r="Z612" s="77"/>
      <c r="AA612" s="77"/>
      <c r="AB612" s="77"/>
      <c r="AC612" s="77"/>
      <c r="AD612" s="77"/>
      <c r="AE612" s="77"/>
      <c r="AF612" s="77"/>
      <c r="AG612" s="77"/>
      <c r="AH612" s="77"/>
      <c r="AI612" s="77"/>
      <c r="AJ612" s="79"/>
      <c r="AK612" s="80"/>
      <c r="AL612" s="59"/>
      <c r="AM612" s="35"/>
      <c r="AN612" s="35"/>
      <c r="AO612" s="35"/>
      <c r="AP612" s="35"/>
      <c r="AQ612" s="35"/>
      <c r="AR612" s="35"/>
      <c r="AS612" s="35"/>
      <c r="AT612" s="35"/>
      <c r="AU612" s="35"/>
      <c r="AV612" s="35"/>
      <c r="AW612" s="35"/>
    </row>
    <row r="613">
      <c r="A613" s="17"/>
      <c r="B613" s="35"/>
      <c r="C613" s="74"/>
      <c r="D613" s="74"/>
      <c r="E613" s="74"/>
      <c r="F613" s="74"/>
      <c r="G613" s="74"/>
      <c r="H613" s="74"/>
      <c r="I613" s="74"/>
      <c r="J613" s="57"/>
      <c r="K613" s="57"/>
      <c r="L613" s="57"/>
      <c r="M613" s="57"/>
      <c r="N613" s="57"/>
      <c r="O613" s="57"/>
      <c r="P613" s="57"/>
      <c r="Q613" s="69"/>
      <c r="R613" s="69"/>
      <c r="S613" s="23" t="str">
        <f>iferror(if(AN613=1,VLOOKUP(B613, Blends!H$4:AK$1004,32,0), ""), "")</f>
        <v/>
      </c>
      <c r="T613" s="58"/>
      <c r="U613" s="77"/>
      <c r="V613" s="77"/>
      <c r="W613" s="78"/>
      <c r="X613" s="77"/>
      <c r="Y613" s="77"/>
      <c r="Z613" s="77"/>
      <c r="AA613" s="77"/>
      <c r="AB613" s="77"/>
      <c r="AC613" s="77"/>
      <c r="AD613" s="77"/>
      <c r="AE613" s="77"/>
      <c r="AF613" s="77"/>
      <c r="AG613" s="77"/>
      <c r="AH613" s="77"/>
      <c r="AI613" s="77"/>
      <c r="AJ613" s="79"/>
      <c r="AK613" s="80"/>
      <c r="AL613" s="59"/>
      <c r="AM613" s="35"/>
      <c r="AN613" s="35"/>
      <c r="AO613" s="35"/>
      <c r="AP613" s="35"/>
      <c r="AQ613" s="35"/>
      <c r="AR613" s="35"/>
      <c r="AS613" s="35"/>
      <c r="AT613" s="35"/>
      <c r="AU613" s="35"/>
      <c r="AV613" s="35"/>
      <c r="AW613" s="35"/>
    </row>
    <row r="614">
      <c r="A614" s="17"/>
      <c r="B614" s="35"/>
      <c r="C614" s="74"/>
      <c r="D614" s="74"/>
      <c r="E614" s="74"/>
      <c r="F614" s="74"/>
      <c r="G614" s="74"/>
      <c r="H614" s="74"/>
      <c r="I614" s="74"/>
      <c r="J614" s="57"/>
      <c r="K614" s="57"/>
      <c r="L614" s="57"/>
      <c r="M614" s="57"/>
      <c r="N614" s="57"/>
      <c r="O614" s="57"/>
      <c r="P614" s="57"/>
      <c r="Q614" s="69"/>
      <c r="R614" s="69"/>
      <c r="S614" s="23" t="str">
        <f>iferror(if(AN614=1,VLOOKUP(B614, Blends!H$4:AK$1004,32,0), ""), "")</f>
        <v/>
      </c>
      <c r="T614" s="58"/>
      <c r="U614" s="77"/>
      <c r="V614" s="77"/>
      <c r="W614" s="78"/>
      <c r="X614" s="77"/>
      <c r="Y614" s="77"/>
      <c r="Z614" s="77"/>
      <c r="AA614" s="77"/>
      <c r="AB614" s="77"/>
      <c r="AC614" s="77"/>
      <c r="AD614" s="77"/>
      <c r="AE614" s="77"/>
      <c r="AF614" s="77"/>
      <c r="AG614" s="77"/>
      <c r="AH614" s="77"/>
      <c r="AI614" s="77"/>
      <c r="AJ614" s="79"/>
      <c r="AK614" s="80"/>
      <c r="AL614" s="59"/>
      <c r="AM614" s="35"/>
      <c r="AN614" s="35"/>
      <c r="AO614" s="35"/>
      <c r="AP614" s="35"/>
      <c r="AQ614" s="35"/>
      <c r="AR614" s="35"/>
      <c r="AS614" s="35"/>
      <c r="AT614" s="35"/>
      <c r="AU614" s="35"/>
      <c r="AV614" s="35"/>
      <c r="AW614" s="35"/>
    </row>
    <row r="615">
      <c r="A615" s="17"/>
      <c r="B615" s="35"/>
      <c r="C615" s="74"/>
      <c r="D615" s="74"/>
      <c r="E615" s="74"/>
      <c r="F615" s="74"/>
      <c r="G615" s="74"/>
      <c r="H615" s="74"/>
      <c r="I615" s="74"/>
      <c r="J615" s="57"/>
      <c r="K615" s="57"/>
      <c r="L615" s="57"/>
      <c r="M615" s="57"/>
      <c r="N615" s="57"/>
      <c r="O615" s="57"/>
      <c r="P615" s="57"/>
      <c r="Q615" s="69"/>
      <c r="R615" s="69"/>
      <c r="S615" s="23" t="str">
        <f>iferror(if(AN615=1,VLOOKUP(B615, Blends!H$4:AK$1004,32,0), ""), "")</f>
        <v/>
      </c>
      <c r="T615" s="58"/>
      <c r="U615" s="77"/>
      <c r="V615" s="77"/>
      <c r="W615" s="78"/>
      <c r="X615" s="77"/>
      <c r="Y615" s="77"/>
      <c r="Z615" s="77"/>
      <c r="AA615" s="77"/>
      <c r="AB615" s="77"/>
      <c r="AC615" s="77"/>
      <c r="AD615" s="77"/>
      <c r="AE615" s="77"/>
      <c r="AF615" s="77"/>
      <c r="AG615" s="77"/>
      <c r="AH615" s="77"/>
      <c r="AI615" s="77"/>
      <c r="AJ615" s="79"/>
      <c r="AK615" s="80"/>
      <c r="AL615" s="59"/>
      <c r="AM615" s="35"/>
      <c r="AN615" s="35"/>
      <c r="AO615" s="35"/>
      <c r="AP615" s="35"/>
      <c r="AQ615" s="35"/>
      <c r="AR615" s="35"/>
      <c r="AS615" s="35"/>
      <c r="AT615" s="35"/>
      <c r="AU615" s="35"/>
      <c r="AV615" s="35"/>
      <c r="AW615" s="35"/>
    </row>
    <row r="616">
      <c r="A616" s="17"/>
      <c r="B616" s="35"/>
      <c r="C616" s="74"/>
      <c r="D616" s="74"/>
      <c r="E616" s="74"/>
      <c r="F616" s="74"/>
      <c r="G616" s="74"/>
      <c r="H616" s="74"/>
      <c r="I616" s="74"/>
      <c r="J616" s="57"/>
      <c r="K616" s="57"/>
      <c r="L616" s="57"/>
      <c r="M616" s="57"/>
      <c r="N616" s="57"/>
      <c r="O616" s="57"/>
      <c r="P616" s="57"/>
      <c r="Q616" s="69"/>
      <c r="R616" s="69"/>
      <c r="S616" s="23" t="str">
        <f>iferror(if(AN616=1,VLOOKUP(B616, Blends!H$4:AK$1004,32,0), ""), "")</f>
        <v/>
      </c>
      <c r="T616" s="58"/>
      <c r="U616" s="77"/>
      <c r="V616" s="77"/>
      <c r="W616" s="78"/>
      <c r="X616" s="77"/>
      <c r="Y616" s="77"/>
      <c r="Z616" s="77"/>
      <c r="AA616" s="77"/>
      <c r="AB616" s="77"/>
      <c r="AC616" s="77"/>
      <c r="AD616" s="77"/>
      <c r="AE616" s="77"/>
      <c r="AF616" s="77"/>
      <c r="AG616" s="77"/>
      <c r="AH616" s="77"/>
      <c r="AI616" s="77"/>
      <c r="AJ616" s="79"/>
      <c r="AK616" s="80"/>
      <c r="AL616" s="59"/>
      <c r="AM616" s="35"/>
      <c r="AN616" s="35"/>
      <c r="AO616" s="35"/>
      <c r="AP616" s="35"/>
      <c r="AQ616" s="35"/>
      <c r="AR616" s="35"/>
      <c r="AS616" s="35"/>
      <c r="AT616" s="35"/>
      <c r="AU616" s="35"/>
      <c r="AV616" s="35"/>
      <c r="AW616" s="35"/>
    </row>
    <row r="617">
      <c r="A617" s="17"/>
      <c r="B617" s="35"/>
      <c r="C617" s="74"/>
      <c r="D617" s="74"/>
      <c r="E617" s="74"/>
      <c r="F617" s="74"/>
      <c r="G617" s="74"/>
      <c r="H617" s="74"/>
      <c r="I617" s="74"/>
      <c r="J617" s="57"/>
      <c r="K617" s="57"/>
      <c r="L617" s="57"/>
      <c r="M617" s="57"/>
      <c r="N617" s="57"/>
      <c r="O617" s="57"/>
      <c r="P617" s="57"/>
      <c r="Q617" s="69"/>
      <c r="R617" s="69"/>
      <c r="S617" s="23" t="str">
        <f>iferror(if(AN617=1,VLOOKUP(B617, Blends!H$4:AK$1004,32,0), ""), "")</f>
        <v/>
      </c>
      <c r="T617" s="58"/>
      <c r="U617" s="77"/>
      <c r="V617" s="77"/>
      <c r="W617" s="78"/>
      <c r="X617" s="77"/>
      <c r="Y617" s="77"/>
      <c r="Z617" s="77"/>
      <c r="AA617" s="77"/>
      <c r="AB617" s="77"/>
      <c r="AC617" s="77"/>
      <c r="AD617" s="77"/>
      <c r="AE617" s="77"/>
      <c r="AF617" s="77"/>
      <c r="AG617" s="77"/>
      <c r="AH617" s="77"/>
      <c r="AI617" s="77"/>
      <c r="AJ617" s="79"/>
      <c r="AK617" s="80"/>
      <c r="AL617" s="59"/>
      <c r="AM617" s="35"/>
      <c r="AN617" s="35"/>
      <c r="AO617" s="35"/>
      <c r="AP617" s="35"/>
      <c r="AQ617" s="35"/>
      <c r="AR617" s="35"/>
      <c r="AS617" s="35"/>
      <c r="AT617" s="35"/>
      <c r="AU617" s="35"/>
      <c r="AV617" s="35"/>
      <c r="AW617" s="35"/>
    </row>
    <row r="618">
      <c r="A618" s="17"/>
      <c r="B618" s="35"/>
      <c r="C618" s="74"/>
      <c r="D618" s="74"/>
      <c r="E618" s="74"/>
      <c r="F618" s="74"/>
      <c r="G618" s="74"/>
      <c r="H618" s="74"/>
      <c r="I618" s="74"/>
      <c r="J618" s="57"/>
      <c r="K618" s="57"/>
      <c r="L618" s="57"/>
      <c r="M618" s="57"/>
      <c r="N618" s="57"/>
      <c r="O618" s="57"/>
      <c r="P618" s="57"/>
      <c r="Q618" s="69"/>
      <c r="R618" s="69"/>
      <c r="S618" s="23" t="str">
        <f>iferror(if(AN618=1,VLOOKUP(B618, Blends!H$4:AK$1004,32,0), ""), "")</f>
        <v/>
      </c>
      <c r="T618" s="58"/>
      <c r="U618" s="77"/>
      <c r="V618" s="77"/>
      <c r="W618" s="78"/>
      <c r="X618" s="77"/>
      <c r="Y618" s="77"/>
      <c r="Z618" s="77"/>
      <c r="AA618" s="77"/>
      <c r="AB618" s="77"/>
      <c r="AC618" s="77"/>
      <c r="AD618" s="77"/>
      <c r="AE618" s="77"/>
      <c r="AF618" s="77"/>
      <c r="AG618" s="77"/>
      <c r="AH618" s="77"/>
      <c r="AI618" s="77"/>
      <c r="AJ618" s="79"/>
      <c r="AK618" s="80"/>
      <c r="AL618" s="59"/>
      <c r="AM618" s="35"/>
      <c r="AN618" s="35"/>
      <c r="AO618" s="35"/>
      <c r="AP618" s="35"/>
      <c r="AQ618" s="35"/>
      <c r="AR618" s="35"/>
      <c r="AS618" s="35"/>
      <c r="AT618" s="35"/>
      <c r="AU618" s="35"/>
      <c r="AV618" s="35"/>
      <c r="AW618" s="35"/>
    </row>
    <row r="619">
      <c r="A619" s="17"/>
      <c r="B619" s="35"/>
      <c r="C619" s="74"/>
      <c r="D619" s="74"/>
      <c r="E619" s="74"/>
      <c r="F619" s="74"/>
      <c r="G619" s="74"/>
      <c r="H619" s="74"/>
      <c r="I619" s="74"/>
      <c r="J619" s="57"/>
      <c r="K619" s="57"/>
      <c r="L619" s="57"/>
      <c r="M619" s="57"/>
      <c r="N619" s="57"/>
      <c r="O619" s="57"/>
      <c r="P619" s="57"/>
      <c r="Q619" s="69"/>
      <c r="R619" s="69"/>
      <c r="S619" s="23" t="str">
        <f>iferror(if(AN619=1,VLOOKUP(B619, Blends!H$4:AK$1004,32,0), ""), "")</f>
        <v/>
      </c>
      <c r="T619" s="58"/>
      <c r="U619" s="77"/>
      <c r="V619" s="77"/>
      <c r="W619" s="78"/>
      <c r="X619" s="77"/>
      <c r="Y619" s="77"/>
      <c r="Z619" s="77"/>
      <c r="AA619" s="77"/>
      <c r="AB619" s="77"/>
      <c r="AC619" s="77"/>
      <c r="AD619" s="77"/>
      <c r="AE619" s="77"/>
      <c r="AF619" s="77"/>
      <c r="AG619" s="77"/>
      <c r="AH619" s="77"/>
      <c r="AI619" s="77"/>
      <c r="AJ619" s="79"/>
      <c r="AK619" s="80"/>
      <c r="AL619" s="59"/>
      <c r="AM619" s="35"/>
      <c r="AN619" s="35"/>
      <c r="AO619" s="35"/>
      <c r="AP619" s="35"/>
      <c r="AQ619" s="35"/>
      <c r="AR619" s="35"/>
      <c r="AS619" s="35"/>
      <c r="AT619" s="35"/>
      <c r="AU619" s="35"/>
      <c r="AV619" s="35"/>
      <c r="AW619" s="35"/>
    </row>
    <row r="620">
      <c r="A620" s="17"/>
      <c r="B620" s="35"/>
      <c r="C620" s="74"/>
      <c r="D620" s="74"/>
      <c r="E620" s="74"/>
      <c r="F620" s="74"/>
      <c r="G620" s="74"/>
      <c r="H620" s="74"/>
      <c r="I620" s="74"/>
      <c r="J620" s="57"/>
      <c r="K620" s="57"/>
      <c r="L620" s="57"/>
      <c r="M620" s="57"/>
      <c r="N620" s="57"/>
      <c r="O620" s="57"/>
      <c r="P620" s="57"/>
      <c r="Q620" s="69"/>
      <c r="R620" s="69"/>
      <c r="S620" s="23" t="str">
        <f>iferror(if(AN620=1,VLOOKUP(B620, Blends!H$4:AK$1004,32,0), ""), "")</f>
        <v/>
      </c>
      <c r="T620" s="58"/>
      <c r="U620" s="77"/>
      <c r="V620" s="77"/>
      <c r="W620" s="78"/>
      <c r="X620" s="77"/>
      <c r="Y620" s="77"/>
      <c r="Z620" s="77"/>
      <c r="AA620" s="77"/>
      <c r="AB620" s="77"/>
      <c r="AC620" s="77"/>
      <c r="AD620" s="77"/>
      <c r="AE620" s="77"/>
      <c r="AF620" s="77"/>
      <c r="AG620" s="77"/>
      <c r="AH620" s="77"/>
      <c r="AI620" s="77"/>
      <c r="AJ620" s="79"/>
      <c r="AK620" s="80"/>
      <c r="AL620" s="59"/>
      <c r="AM620" s="35"/>
      <c r="AN620" s="35"/>
      <c r="AO620" s="35"/>
      <c r="AP620" s="35"/>
      <c r="AQ620" s="35"/>
      <c r="AR620" s="35"/>
      <c r="AS620" s="35"/>
      <c r="AT620" s="35"/>
      <c r="AU620" s="35"/>
      <c r="AV620" s="35"/>
      <c r="AW620" s="35"/>
    </row>
    <row r="621">
      <c r="A621" s="17"/>
      <c r="B621" s="35"/>
      <c r="C621" s="74"/>
      <c r="D621" s="74"/>
      <c r="E621" s="74"/>
      <c r="F621" s="74"/>
      <c r="G621" s="74"/>
      <c r="H621" s="74"/>
      <c r="I621" s="74"/>
      <c r="J621" s="57"/>
      <c r="K621" s="57"/>
      <c r="L621" s="57"/>
      <c r="M621" s="57"/>
      <c r="N621" s="57"/>
      <c r="O621" s="57"/>
      <c r="P621" s="57"/>
      <c r="Q621" s="69"/>
      <c r="R621" s="69"/>
      <c r="S621" s="23" t="str">
        <f>iferror(if(AN621=1,VLOOKUP(B621, Blends!H$4:AK$1004,32,0), ""), "")</f>
        <v/>
      </c>
      <c r="T621" s="58"/>
      <c r="U621" s="77"/>
      <c r="V621" s="77"/>
      <c r="W621" s="78"/>
      <c r="X621" s="77"/>
      <c r="Y621" s="77"/>
      <c r="Z621" s="77"/>
      <c r="AA621" s="77"/>
      <c r="AB621" s="77"/>
      <c r="AC621" s="77"/>
      <c r="AD621" s="77"/>
      <c r="AE621" s="77"/>
      <c r="AF621" s="77"/>
      <c r="AG621" s="77"/>
      <c r="AH621" s="77"/>
      <c r="AI621" s="77"/>
      <c r="AJ621" s="79"/>
      <c r="AK621" s="80"/>
      <c r="AL621" s="59"/>
      <c r="AM621" s="35"/>
      <c r="AN621" s="35"/>
      <c r="AO621" s="35"/>
      <c r="AP621" s="35"/>
      <c r="AQ621" s="35"/>
      <c r="AR621" s="35"/>
      <c r="AS621" s="35"/>
      <c r="AT621" s="35"/>
      <c r="AU621" s="35"/>
      <c r="AV621" s="35"/>
      <c r="AW621" s="35"/>
    </row>
    <row r="622">
      <c r="A622" s="17"/>
      <c r="B622" s="35"/>
      <c r="C622" s="74"/>
      <c r="D622" s="74"/>
      <c r="E622" s="74"/>
      <c r="F622" s="74"/>
      <c r="G622" s="74"/>
      <c r="H622" s="74"/>
      <c r="I622" s="74"/>
      <c r="J622" s="57"/>
      <c r="K622" s="57"/>
      <c r="L622" s="57"/>
      <c r="M622" s="57"/>
      <c r="N622" s="57"/>
      <c r="O622" s="57"/>
      <c r="P622" s="57"/>
      <c r="Q622" s="69"/>
      <c r="R622" s="69"/>
      <c r="S622" s="23" t="str">
        <f>iferror(if(AN622=1,VLOOKUP(B622, Blends!H$4:AK$1004,32,0), ""), "")</f>
        <v/>
      </c>
      <c r="T622" s="58"/>
      <c r="U622" s="77"/>
      <c r="V622" s="77"/>
      <c r="W622" s="78"/>
      <c r="X622" s="77"/>
      <c r="Y622" s="77"/>
      <c r="Z622" s="77"/>
      <c r="AA622" s="77"/>
      <c r="AB622" s="77"/>
      <c r="AC622" s="77"/>
      <c r="AD622" s="77"/>
      <c r="AE622" s="77"/>
      <c r="AF622" s="77"/>
      <c r="AG622" s="77"/>
      <c r="AH622" s="77"/>
      <c r="AI622" s="77"/>
      <c r="AJ622" s="79"/>
      <c r="AK622" s="80"/>
      <c r="AL622" s="59"/>
      <c r="AM622" s="35"/>
      <c r="AN622" s="35"/>
      <c r="AO622" s="35"/>
      <c r="AP622" s="35"/>
      <c r="AQ622" s="35"/>
      <c r="AR622" s="35"/>
      <c r="AS622" s="35"/>
      <c r="AT622" s="35"/>
      <c r="AU622" s="35"/>
      <c r="AV622" s="35"/>
      <c r="AW622" s="35"/>
    </row>
    <row r="623">
      <c r="A623" s="17"/>
      <c r="B623" s="35"/>
      <c r="C623" s="74"/>
      <c r="D623" s="74"/>
      <c r="E623" s="74"/>
      <c r="F623" s="74"/>
      <c r="G623" s="74"/>
      <c r="H623" s="74"/>
      <c r="I623" s="74"/>
      <c r="J623" s="57"/>
      <c r="K623" s="57"/>
      <c r="L623" s="57"/>
      <c r="M623" s="57"/>
      <c r="N623" s="57"/>
      <c r="O623" s="57"/>
      <c r="P623" s="57"/>
      <c r="Q623" s="69"/>
      <c r="R623" s="69"/>
      <c r="S623" s="23" t="str">
        <f>iferror(if(AN623=1,VLOOKUP(B623, Blends!H$4:AK$1004,32,0), ""), "")</f>
        <v/>
      </c>
      <c r="T623" s="58"/>
      <c r="U623" s="77"/>
      <c r="V623" s="77"/>
      <c r="W623" s="78"/>
      <c r="X623" s="77"/>
      <c r="Y623" s="77"/>
      <c r="Z623" s="77"/>
      <c r="AA623" s="77"/>
      <c r="AB623" s="77"/>
      <c r="AC623" s="77"/>
      <c r="AD623" s="77"/>
      <c r="AE623" s="77"/>
      <c r="AF623" s="77"/>
      <c r="AG623" s="77"/>
      <c r="AH623" s="77"/>
      <c r="AI623" s="77"/>
      <c r="AJ623" s="79"/>
      <c r="AK623" s="80"/>
      <c r="AL623" s="59"/>
      <c r="AM623" s="35"/>
      <c r="AN623" s="35"/>
      <c r="AO623" s="35"/>
      <c r="AP623" s="35"/>
      <c r="AQ623" s="35"/>
      <c r="AR623" s="35"/>
      <c r="AS623" s="35"/>
      <c r="AT623" s="35"/>
      <c r="AU623" s="35"/>
      <c r="AV623" s="35"/>
      <c r="AW623" s="35"/>
    </row>
    <row r="624">
      <c r="A624" s="17"/>
      <c r="B624" s="35"/>
      <c r="C624" s="74"/>
      <c r="D624" s="74"/>
      <c r="E624" s="74"/>
      <c r="F624" s="74"/>
      <c r="G624" s="74"/>
      <c r="H624" s="74"/>
      <c r="I624" s="74"/>
      <c r="J624" s="57"/>
      <c r="K624" s="57"/>
      <c r="L624" s="57"/>
      <c r="M624" s="57"/>
      <c r="N624" s="57"/>
      <c r="O624" s="57"/>
      <c r="P624" s="57"/>
      <c r="Q624" s="69"/>
      <c r="R624" s="69"/>
      <c r="S624" s="23" t="str">
        <f>iferror(if(AN624=1,VLOOKUP(B624, Blends!H$4:AK$1004,32,0), ""), "")</f>
        <v/>
      </c>
      <c r="T624" s="58"/>
      <c r="U624" s="77"/>
      <c r="V624" s="77"/>
      <c r="W624" s="78"/>
      <c r="X624" s="77"/>
      <c r="Y624" s="77"/>
      <c r="Z624" s="77"/>
      <c r="AA624" s="77"/>
      <c r="AB624" s="77"/>
      <c r="AC624" s="77"/>
      <c r="AD624" s="77"/>
      <c r="AE624" s="77"/>
      <c r="AF624" s="77"/>
      <c r="AG624" s="77"/>
      <c r="AH624" s="77"/>
      <c r="AI624" s="77"/>
      <c r="AJ624" s="79"/>
      <c r="AK624" s="80"/>
      <c r="AL624" s="59"/>
      <c r="AM624" s="35"/>
      <c r="AN624" s="35"/>
      <c r="AO624" s="35"/>
      <c r="AP624" s="35"/>
      <c r="AQ624" s="35"/>
      <c r="AR624" s="35"/>
      <c r="AS624" s="35"/>
      <c r="AT624" s="35"/>
      <c r="AU624" s="35"/>
      <c r="AV624" s="35"/>
      <c r="AW624" s="35"/>
    </row>
    <row r="625">
      <c r="A625" s="17"/>
      <c r="B625" s="35"/>
      <c r="C625" s="74"/>
      <c r="D625" s="74"/>
      <c r="E625" s="74"/>
      <c r="F625" s="74"/>
      <c r="G625" s="74"/>
      <c r="H625" s="74"/>
      <c r="I625" s="74"/>
      <c r="J625" s="57"/>
      <c r="K625" s="57"/>
      <c r="L625" s="57"/>
      <c r="M625" s="57"/>
      <c r="N625" s="57"/>
      <c r="O625" s="57"/>
      <c r="P625" s="57"/>
      <c r="Q625" s="69"/>
      <c r="R625" s="69"/>
      <c r="S625" s="23" t="str">
        <f>iferror(if(AN625=1,VLOOKUP(B625, Blends!H$4:AK$1004,32,0), ""), "")</f>
        <v/>
      </c>
      <c r="T625" s="58"/>
      <c r="U625" s="77"/>
      <c r="V625" s="77"/>
      <c r="W625" s="78"/>
      <c r="X625" s="77"/>
      <c r="Y625" s="77"/>
      <c r="Z625" s="77"/>
      <c r="AA625" s="77"/>
      <c r="AB625" s="77"/>
      <c r="AC625" s="77"/>
      <c r="AD625" s="77"/>
      <c r="AE625" s="77"/>
      <c r="AF625" s="77"/>
      <c r="AG625" s="77"/>
      <c r="AH625" s="77"/>
      <c r="AI625" s="77"/>
      <c r="AJ625" s="79"/>
      <c r="AK625" s="80"/>
      <c r="AL625" s="59"/>
      <c r="AM625" s="35"/>
      <c r="AN625" s="35"/>
      <c r="AO625" s="35"/>
      <c r="AP625" s="35"/>
      <c r="AQ625" s="35"/>
      <c r="AR625" s="35"/>
      <c r="AS625" s="35"/>
      <c r="AT625" s="35"/>
      <c r="AU625" s="35"/>
      <c r="AV625" s="35"/>
      <c r="AW625" s="35"/>
    </row>
    <row r="626">
      <c r="A626" s="17"/>
      <c r="B626" s="35"/>
      <c r="C626" s="74"/>
      <c r="D626" s="74"/>
      <c r="E626" s="74"/>
      <c r="F626" s="74"/>
      <c r="G626" s="74"/>
      <c r="H626" s="74"/>
      <c r="I626" s="74"/>
      <c r="J626" s="57"/>
      <c r="K626" s="57"/>
      <c r="L626" s="57"/>
      <c r="M626" s="57"/>
      <c r="N626" s="57"/>
      <c r="O626" s="57"/>
      <c r="P626" s="57"/>
      <c r="Q626" s="69"/>
      <c r="R626" s="69"/>
      <c r="S626" s="23" t="str">
        <f>iferror(if(AN626=1,VLOOKUP(B626, Blends!H$4:AK$1004,32,0), ""), "")</f>
        <v/>
      </c>
      <c r="T626" s="58"/>
      <c r="U626" s="77"/>
      <c r="V626" s="77"/>
      <c r="W626" s="78"/>
      <c r="X626" s="77"/>
      <c r="Y626" s="77"/>
      <c r="Z626" s="77"/>
      <c r="AA626" s="77"/>
      <c r="AB626" s="77"/>
      <c r="AC626" s="77"/>
      <c r="AD626" s="77"/>
      <c r="AE626" s="77"/>
      <c r="AF626" s="77"/>
      <c r="AG626" s="77"/>
      <c r="AH626" s="77"/>
      <c r="AI626" s="77"/>
      <c r="AJ626" s="79"/>
      <c r="AK626" s="80"/>
      <c r="AL626" s="59"/>
      <c r="AM626" s="35"/>
      <c r="AN626" s="35"/>
      <c r="AO626" s="35"/>
      <c r="AP626" s="35"/>
      <c r="AQ626" s="35"/>
      <c r="AR626" s="35"/>
      <c r="AS626" s="35"/>
      <c r="AT626" s="35"/>
      <c r="AU626" s="35"/>
      <c r="AV626" s="35"/>
      <c r="AW626" s="35"/>
    </row>
    <row r="627">
      <c r="A627" s="17"/>
      <c r="B627" s="35"/>
      <c r="C627" s="74"/>
      <c r="D627" s="74"/>
      <c r="E627" s="74"/>
      <c r="F627" s="74"/>
      <c r="G627" s="74"/>
      <c r="H627" s="74"/>
      <c r="I627" s="74"/>
      <c r="J627" s="57"/>
      <c r="K627" s="57"/>
      <c r="L627" s="57"/>
      <c r="M627" s="57"/>
      <c r="N627" s="57"/>
      <c r="O627" s="57"/>
      <c r="P627" s="57"/>
      <c r="Q627" s="69"/>
      <c r="R627" s="69"/>
      <c r="S627" s="23" t="str">
        <f>iferror(if(AN627=1,VLOOKUP(B627, Blends!H$4:AK$1004,32,0), ""), "")</f>
        <v/>
      </c>
      <c r="T627" s="58"/>
      <c r="U627" s="77"/>
      <c r="V627" s="77"/>
      <c r="W627" s="78"/>
      <c r="X627" s="77"/>
      <c r="Y627" s="77"/>
      <c r="Z627" s="77"/>
      <c r="AA627" s="77"/>
      <c r="AB627" s="77"/>
      <c r="AC627" s="77"/>
      <c r="AD627" s="77"/>
      <c r="AE627" s="77"/>
      <c r="AF627" s="77"/>
      <c r="AG627" s="77"/>
      <c r="AH627" s="77"/>
      <c r="AI627" s="77"/>
      <c r="AJ627" s="79"/>
      <c r="AK627" s="80"/>
      <c r="AL627" s="59"/>
      <c r="AM627" s="35"/>
      <c r="AN627" s="35"/>
      <c r="AO627" s="35"/>
      <c r="AP627" s="35"/>
      <c r="AQ627" s="35"/>
      <c r="AR627" s="35"/>
      <c r="AS627" s="35"/>
      <c r="AT627" s="35"/>
      <c r="AU627" s="35"/>
      <c r="AV627" s="35"/>
      <c r="AW627" s="35"/>
    </row>
    <row r="628">
      <c r="A628" s="17"/>
      <c r="B628" s="35"/>
      <c r="C628" s="74"/>
      <c r="D628" s="74"/>
      <c r="E628" s="74"/>
      <c r="F628" s="74"/>
      <c r="G628" s="74"/>
      <c r="H628" s="74"/>
      <c r="I628" s="74"/>
      <c r="J628" s="57"/>
      <c r="K628" s="57"/>
      <c r="L628" s="57"/>
      <c r="M628" s="57"/>
      <c r="N628" s="57"/>
      <c r="O628" s="57"/>
      <c r="P628" s="57"/>
      <c r="Q628" s="69"/>
      <c r="R628" s="69"/>
      <c r="S628" s="23" t="str">
        <f>iferror(if(AN628=1,VLOOKUP(B628, Blends!H$4:AK$1004,32,0), ""), "")</f>
        <v/>
      </c>
      <c r="T628" s="58"/>
      <c r="U628" s="77"/>
      <c r="V628" s="77"/>
      <c r="W628" s="78"/>
      <c r="X628" s="77"/>
      <c r="Y628" s="77"/>
      <c r="Z628" s="77"/>
      <c r="AA628" s="77"/>
      <c r="AB628" s="77"/>
      <c r="AC628" s="77"/>
      <c r="AD628" s="77"/>
      <c r="AE628" s="77"/>
      <c r="AF628" s="77"/>
      <c r="AG628" s="77"/>
      <c r="AH628" s="77"/>
      <c r="AI628" s="77"/>
      <c r="AJ628" s="79"/>
      <c r="AK628" s="80"/>
      <c r="AL628" s="59"/>
      <c r="AM628" s="35"/>
      <c r="AN628" s="35"/>
      <c r="AO628" s="35"/>
      <c r="AP628" s="35"/>
      <c r="AQ628" s="35"/>
      <c r="AR628" s="35"/>
      <c r="AS628" s="35"/>
      <c r="AT628" s="35"/>
      <c r="AU628" s="35"/>
      <c r="AV628" s="35"/>
      <c r="AW628" s="35"/>
    </row>
    <row r="629">
      <c r="A629" s="17"/>
      <c r="B629" s="35"/>
      <c r="C629" s="74"/>
      <c r="D629" s="74"/>
      <c r="E629" s="74"/>
      <c r="F629" s="74"/>
      <c r="G629" s="74"/>
      <c r="H629" s="74"/>
      <c r="I629" s="74"/>
      <c r="J629" s="57"/>
      <c r="K629" s="57"/>
      <c r="L629" s="57"/>
      <c r="M629" s="57"/>
      <c r="N629" s="57"/>
      <c r="O629" s="57"/>
      <c r="P629" s="57"/>
      <c r="Q629" s="69"/>
      <c r="R629" s="69"/>
      <c r="S629" s="23" t="str">
        <f>iferror(if(AN629=1,VLOOKUP(B629, Blends!H$4:AK$1004,32,0), ""), "")</f>
        <v/>
      </c>
      <c r="T629" s="58"/>
      <c r="U629" s="77"/>
      <c r="V629" s="77"/>
      <c r="W629" s="78"/>
      <c r="X629" s="77"/>
      <c r="Y629" s="77"/>
      <c r="Z629" s="77"/>
      <c r="AA629" s="77"/>
      <c r="AB629" s="77"/>
      <c r="AC629" s="77"/>
      <c r="AD629" s="77"/>
      <c r="AE629" s="77"/>
      <c r="AF629" s="77"/>
      <c r="AG629" s="77"/>
      <c r="AH629" s="77"/>
      <c r="AI629" s="77"/>
      <c r="AJ629" s="79"/>
      <c r="AK629" s="80"/>
      <c r="AL629" s="59"/>
      <c r="AM629" s="35"/>
      <c r="AN629" s="35"/>
      <c r="AO629" s="35"/>
      <c r="AP629" s="35"/>
      <c r="AQ629" s="35"/>
      <c r="AR629" s="35"/>
      <c r="AS629" s="35"/>
      <c r="AT629" s="35"/>
      <c r="AU629" s="35"/>
      <c r="AV629" s="35"/>
      <c r="AW629" s="35"/>
    </row>
    <row r="630">
      <c r="A630" s="17"/>
      <c r="B630" s="35"/>
      <c r="C630" s="74"/>
      <c r="D630" s="74"/>
      <c r="E630" s="74"/>
      <c r="F630" s="74"/>
      <c r="G630" s="74"/>
      <c r="H630" s="74"/>
      <c r="I630" s="74"/>
      <c r="J630" s="57"/>
      <c r="K630" s="57"/>
      <c r="L630" s="57"/>
      <c r="M630" s="57"/>
      <c r="N630" s="57"/>
      <c r="O630" s="57"/>
      <c r="P630" s="57"/>
      <c r="Q630" s="69"/>
      <c r="R630" s="69"/>
      <c r="S630" s="23" t="str">
        <f>iferror(if(AN630=1,VLOOKUP(B630, Blends!H$4:AK$1004,32,0), ""), "")</f>
        <v/>
      </c>
      <c r="T630" s="58"/>
      <c r="U630" s="77"/>
      <c r="V630" s="77"/>
      <c r="W630" s="78"/>
      <c r="X630" s="77"/>
      <c r="Y630" s="77"/>
      <c r="Z630" s="77"/>
      <c r="AA630" s="77"/>
      <c r="AB630" s="77"/>
      <c r="AC630" s="77"/>
      <c r="AD630" s="77"/>
      <c r="AE630" s="77"/>
      <c r="AF630" s="77"/>
      <c r="AG630" s="77"/>
      <c r="AH630" s="77"/>
      <c r="AI630" s="77"/>
      <c r="AJ630" s="79"/>
      <c r="AK630" s="80"/>
      <c r="AL630" s="59"/>
      <c r="AM630" s="35"/>
      <c r="AN630" s="35"/>
      <c r="AO630" s="35"/>
      <c r="AP630" s="35"/>
      <c r="AQ630" s="35"/>
      <c r="AR630" s="35"/>
      <c r="AS630" s="35"/>
      <c r="AT630" s="35"/>
      <c r="AU630" s="35"/>
      <c r="AV630" s="35"/>
      <c r="AW630" s="35"/>
    </row>
    <row r="631">
      <c r="A631" s="17"/>
      <c r="B631" s="35"/>
      <c r="C631" s="74"/>
      <c r="D631" s="74"/>
      <c r="E631" s="74"/>
      <c r="F631" s="74"/>
      <c r="G631" s="74"/>
      <c r="H631" s="74"/>
      <c r="I631" s="74"/>
      <c r="J631" s="57"/>
      <c r="K631" s="57"/>
      <c r="L631" s="57"/>
      <c r="M631" s="57"/>
      <c r="N631" s="57"/>
      <c r="O631" s="57"/>
      <c r="P631" s="57"/>
      <c r="Q631" s="69"/>
      <c r="R631" s="69"/>
      <c r="S631" s="23" t="str">
        <f>iferror(if(AN631=1,VLOOKUP(B631, Blends!H$4:AK$1004,32,0), ""), "")</f>
        <v/>
      </c>
      <c r="T631" s="58"/>
      <c r="U631" s="77"/>
      <c r="V631" s="77"/>
      <c r="W631" s="78"/>
      <c r="X631" s="77"/>
      <c r="Y631" s="77"/>
      <c r="Z631" s="77"/>
      <c r="AA631" s="77"/>
      <c r="AB631" s="77"/>
      <c r="AC631" s="77"/>
      <c r="AD631" s="77"/>
      <c r="AE631" s="77"/>
      <c r="AF631" s="77"/>
      <c r="AG631" s="77"/>
      <c r="AH631" s="77"/>
      <c r="AI631" s="77"/>
      <c r="AJ631" s="79"/>
      <c r="AK631" s="80"/>
      <c r="AL631" s="59"/>
      <c r="AM631" s="35"/>
      <c r="AN631" s="35"/>
      <c r="AO631" s="35"/>
      <c r="AP631" s="35"/>
      <c r="AQ631" s="35"/>
      <c r="AR631" s="35"/>
      <c r="AS631" s="35"/>
      <c r="AT631" s="35"/>
      <c r="AU631" s="35"/>
      <c r="AV631" s="35"/>
      <c r="AW631" s="35"/>
    </row>
    <row r="632">
      <c r="A632" s="17"/>
      <c r="B632" s="35"/>
      <c r="C632" s="74"/>
      <c r="D632" s="74"/>
      <c r="E632" s="74"/>
      <c r="F632" s="74"/>
      <c r="G632" s="74"/>
      <c r="H632" s="74"/>
      <c r="I632" s="74"/>
      <c r="J632" s="57"/>
      <c r="K632" s="57"/>
      <c r="L632" s="57"/>
      <c r="M632" s="57"/>
      <c r="N632" s="57"/>
      <c r="O632" s="57"/>
      <c r="P632" s="57"/>
      <c r="Q632" s="69"/>
      <c r="R632" s="69"/>
      <c r="S632" s="23" t="str">
        <f>iferror(if(AN632=1,VLOOKUP(B632, Blends!H$4:AK$1004,32,0), ""), "")</f>
        <v/>
      </c>
      <c r="T632" s="58"/>
      <c r="U632" s="77"/>
      <c r="V632" s="77"/>
      <c r="W632" s="78"/>
      <c r="X632" s="77"/>
      <c r="Y632" s="77"/>
      <c r="Z632" s="77"/>
      <c r="AA632" s="77"/>
      <c r="AB632" s="77"/>
      <c r="AC632" s="77"/>
      <c r="AD632" s="77"/>
      <c r="AE632" s="77"/>
      <c r="AF632" s="77"/>
      <c r="AG632" s="77"/>
      <c r="AH632" s="77"/>
      <c r="AI632" s="77"/>
      <c r="AJ632" s="79"/>
      <c r="AK632" s="80"/>
      <c r="AL632" s="59"/>
      <c r="AM632" s="35"/>
      <c r="AN632" s="35"/>
      <c r="AO632" s="35"/>
      <c r="AP632" s="35"/>
      <c r="AQ632" s="35"/>
      <c r="AR632" s="35"/>
      <c r="AS632" s="35"/>
      <c r="AT632" s="35"/>
      <c r="AU632" s="35"/>
      <c r="AV632" s="35"/>
      <c r="AW632" s="35"/>
    </row>
    <row r="633">
      <c r="A633" s="17"/>
      <c r="B633" s="35"/>
      <c r="C633" s="74"/>
      <c r="D633" s="74"/>
      <c r="E633" s="74"/>
      <c r="F633" s="74"/>
      <c r="G633" s="74"/>
      <c r="H633" s="74"/>
      <c r="I633" s="74"/>
      <c r="J633" s="57"/>
      <c r="K633" s="57"/>
      <c r="L633" s="57"/>
      <c r="M633" s="57"/>
      <c r="N633" s="57"/>
      <c r="O633" s="57"/>
      <c r="P633" s="57"/>
      <c r="Q633" s="69"/>
      <c r="R633" s="69"/>
      <c r="S633" s="23" t="str">
        <f>iferror(if(AN633=1,VLOOKUP(B633, Blends!H$4:AK$1004,32,0), ""), "")</f>
        <v/>
      </c>
      <c r="T633" s="58"/>
      <c r="U633" s="77"/>
      <c r="V633" s="77"/>
      <c r="W633" s="78"/>
      <c r="X633" s="77"/>
      <c r="Y633" s="77"/>
      <c r="Z633" s="77"/>
      <c r="AA633" s="77"/>
      <c r="AB633" s="77"/>
      <c r="AC633" s="77"/>
      <c r="AD633" s="77"/>
      <c r="AE633" s="77"/>
      <c r="AF633" s="77"/>
      <c r="AG633" s="77"/>
      <c r="AH633" s="77"/>
      <c r="AI633" s="77"/>
      <c r="AJ633" s="79"/>
      <c r="AK633" s="80"/>
      <c r="AL633" s="59"/>
      <c r="AM633" s="35"/>
      <c r="AN633" s="35"/>
      <c r="AO633" s="35"/>
      <c r="AP633" s="35"/>
      <c r="AQ633" s="35"/>
      <c r="AR633" s="35"/>
      <c r="AS633" s="35"/>
      <c r="AT633" s="35"/>
      <c r="AU633" s="35"/>
      <c r="AV633" s="35"/>
      <c r="AW633" s="35"/>
    </row>
    <row r="634">
      <c r="A634" s="17"/>
      <c r="B634" s="35"/>
      <c r="C634" s="74"/>
      <c r="D634" s="74"/>
      <c r="E634" s="74"/>
      <c r="F634" s="74"/>
      <c r="G634" s="74"/>
      <c r="H634" s="74"/>
      <c r="I634" s="74"/>
      <c r="J634" s="57"/>
      <c r="K634" s="57"/>
      <c r="L634" s="57"/>
      <c r="M634" s="57"/>
      <c r="N634" s="57"/>
      <c r="O634" s="57"/>
      <c r="P634" s="57"/>
      <c r="Q634" s="69"/>
      <c r="R634" s="69"/>
      <c r="S634" s="23" t="str">
        <f>iferror(if(AN634=1,VLOOKUP(B634, Blends!H$4:AK$1004,32,0), ""), "")</f>
        <v/>
      </c>
      <c r="T634" s="58"/>
      <c r="U634" s="77"/>
      <c r="V634" s="77"/>
      <c r="W634" s="78"/>
      <c r="X634" s="77"/>
      <c r="Y634" s="77"/>
      <c r="Z634" s="77"/>
      <c r="AA634" s="77"/>
      <c r="AB634" s="77"/>
      <c r="AC634" s="77"/>
      <c r="AD634" s="77"/>
      <c r="AE634" s="77"/>
      <c r="AF634" s="77"/>
      <c r="AG634" s="77"/>
      <c r="AH634" s="77"/>
      <c r="AI634" s="77"/>
      <c r="AJ634" s="79"/>
      <c r="AK634" s="80"/>
      <c r="AL634" s="59"/>
      <c r="AM634" s="35"/>
      <c r="AN634" s="35"/>
      <c r="AO634" s="35"/>
      <c r="AP634" s="35"/>
      <c r="AQ634" s="35"/>
      <c r="AR634" s="35"/>
      <c r="AS634" s="35"/>
      <c r="AT634" s="35"/>
      <c r="AU634" s="35"/>
      <c r="AV634" s="35"/>
      <c r="AW634" s="35"/>
    </row>
    <row r="635">
      <c r="A635" s="17"/>
      <c r="B635" s="35"/>
      <c r="C635" s="74"/>
      <c r="D635" s="74"/>
      <c r="E635" s="74"/>
      <c r="F635" s="74"/>
      <c r="G635" s="74"/>
      <c r="H635" s="74"/>
      <c r="I635" s="74"/>
      <c r="J635" s="57"/>
      <c r="K635" s="57"/>
      <c r="L635" s="57"/>
      <c r="M635" s="57"/>
      <c r="N635" s="57"/>
      <c r="O635" s="57"/>
      <c r="P635" s="57"/>
      <c r="Q635" s="69"/>
      <c r="R635" s="69"/>
      <c r="S635" s="23" t="str">
        <f>iferror(if(AN635=1,VLOOKUP(B635, Blends!H$4:AK$1004,32,0), ""), "")</f>
        <v/>
      </c>
      <c r="T635" s="58"/>
      <c r="U635" s="77"/>
      <c r="V635" s="77"/>
      <c r="W635" s="78"/>
      <c r="X635" s="77"/>
      <c r="Y635" s="77"/>
      <c r="Z635" s="77"/>
      <c r="AA635" s="77"/>
      <c r="AB635" s="77"/>
      <c r="AC635" s="77"/>
      <c r="AD635" s="77"/>
      <c r="AE635" s="77"/>
      <c r="AF635" s="77"/>
      <c r="AG635" s="77"/>
      <c r="AH635" s="77"/>
      <c r="AI635" s="77"/>
      <c r="AJ635" s="79"/>
      <c r="AK635" s="80"/>
      <c r="AL635" s="59"/>
      <c r="AM635" s="35"/>
      <c r="AN635" s="35"/>
      <c r="AO635" s="35"/>
      <c r="AP635" s="35"/>
      <c r="AQ635" s="35"/>
      <c r="AR635" s="35"/>
      <c r="AS635" s="35"/>
      <c r="AT635" s="35"/>
      <c r="AU635" s="35"/>
      <c r="AV635" s="35"/>
      <c r="AW635" s="35"/>
    </row>
    <row r="636">
      <c r="A636" s="17"/>
      <c r="B636" s="35"/>
      <c r="C636" s="74"/>
      <c r="D636" s="74"/>
      <c r="E636" s="74"/>
      <c r="F636" s="74"/>
      <c r="G636" s="74"/>
      <c r="H636" s="74"/>
      <c r="I636" s="74"/>
      <c r="J636" s="57"/>
      <c r="K636" s="57"/>
      <c r="L636" s="57"/>
      <c r="M636" s="57"/>
      <c r="N636" s="57"/>
      <c r="O636" s="57"/>
      <c r="P636" s="57"/>
      <c r="Q636" s="69"/>
      <c r="R636" s="69"/>
      <c r="S636" s="23" t="str">
        <f>iferror(if(AN636=1,VLOOKUP(B636, Blends!H$4:AK$1004,32,0), ""), "")</f>
        <v/>
      </c>
      <c r="T636" s="58"/>
      <c r="U636" s="77"/>
      <c r="V636" s="77"/>
      <c r="W636" s="78"/>
      <c r="X636" s="77"/>
      <c r="Y636" s="77"/>
      <c r="Z636" s="77"/>
      <c r="AA636" s="77"/>
      <c r="AB636" s="77"/>
      <c r="AC636" s="77"/>
      <c r="AD636" s="77"/>
      <c r="AE636" s="77"/>
      <c r="AF636" s="77"/>
      <c r="AG636" s="77"/>
      <c r="AH636" s="77"/>
      <c r="AI636" s="77"/>
      <c r="AJ636" s="79"/>
      <c r="AK636" s="80"/>
      <c r="AL636" s="59"/>
      <c r="AM636" s="35"/>
      <c r="AN636" s="35"/>
      <c r="AO636" s="35"/>
      <c r="AP636" s="35"/>
      <c r="AQ636" s="35"/>
      <c r="AR636" s="35"/>
      <c r="AS636" s="35"/>
      <c r="AT636" s="35"/>
      <c r="AU636" s="35"/>
      <c r="AV636" s="35"/>
      <c r="AW636" s="35"/>
    </row>
    <row r="637">
      <c r="A637" s="17"/>
      <c r="B637" s="35"/>
      <c r="C637" s="74"/>
      <c r="D637" s="74"/>
      <c r="E637" s="74"/>
      <c r="F637" s="74"/>
      <c r="G637" s="74"/>
      <c r="H637" s="74"/>
      <c r="I637" s="74"/>
      <c r="J637" s="57"/>
      <c r="K637" s="57"/>
      <c r="L637" s="57"/>
      <c r="M637" s="57"/>
      <c r="N637" s="57"/>
      <c r="O637" s="57"/>
      <c r="P637" s="57"/>
      <c r="Q637" s="69"/>
      <c r="R637" s="69"/>
      <c r="S637" s="23" t="str">
        <f>iferror(if(AN637=1,VLOOKUP(B637, Blends!H$4:AK$1004,32,0), ""), "")</f>
        <v/>
      </c>
      <c r="T637" s="58"/>
      <c r="U637" s="77"/>
      <c r="V637" s="77"/>
      <c r="W637" s="78"/>
      <c r="X637" s="77"/>
      <c r="Y637" s="77"/>
      <c r="Z637" s="77"/>
      <c r="AA637" s="77"/>
      <c r="AB637" s="77"/>
      <c r="AC637" s="77"/>
      <c r="AD637" s="77"/>
      <c r="AE637" s="77"/>
      <c r="AF637" s="77"/>
      <c r="AG637" s="77"/>
      <c r="AH637" s="77"/>
      <c r="AI637" s="77"/>
      <c r="AJ637" s="79"/>
      <c r="AK637" s="80"/>
      <c r="AL637" s="59"/>
      <c r="AM637" s="35"/>
      <c r="AN637" s="35"/>
      <c r="AO637" s="35"/>
      <c r="AP637" s="35"/>
      <c r="AQ637" s="35"/>
      <c r="AR637" s="35"/>
      <c r="AS637" s="35"/>
      <c r="AT637" s="35"/>
      <c r="AU637" s="35"/>
      <c r="AV637" s="35"/>
      <c r="AW637" s="35"/>
    </row>
    <row r="638">
      <c r="A638" s="17"/>
      <c r="B638" s="35"/>
      <c r="C638" s="74"/>
      <c r="D638" s="74"/>
      <c r="E638" s="74"/>
      <c r="F638" s="74"/>
      <c r="G638" s="74"/>
      <c r="H638" s="74"/>
      <c r="I638" s="74"/>
      <c r="J638" s="57"/>
      <c r="K638" s="57"/>
      <c r="L638" s="57"/>
      <c r="M638" s="57"/>
      <c r="N638" s="57"/>
      <c r="O638" s="57"/>
      <c r="P638" s="57"/>
      <c r="Q638" s="69"/>
      <c r="R638" s="69"/>
      <c r="S638" s="23" t="str">
        <f>iferror(if(AN638=1,VLOOKUP(B638, Blends!H$4:AK$1004,32,0), ""), "")</f>
        <v/>
      </c>
      <c r="T638" s="58"/>
      <c r="U638" s="77"/>
      <c r="V638" s="77"/>
      <c r="W638" s="78"/>
      <c r="X638" s="77"/>
      <c r="Y638" s="77"/>
      <c r="Z638" s="77"/>
      <c r="AA638" s="77"/>
      <c r="AB638" s="77"/>
      <c r="AC638" s="77"/>
      <c r="AD638" s="77"/>
      <c r="AE638" s="77"/>
      <c r="AF638" s="77"/>
      <c r="AG638" s="77"/>
      <c r="AH638" s="77"/>
      <c r="AI638" s="77"/>
      <c r="AJ638" s="79"/>
      <c r="AK638" s="80"/>
      <c r="AL638" s="59"/>
      <c r="AM638" s="35"/>
      <c r="AN638" s="35"/>
      <c r="AO638" s="35"/>
      <c r="AP638" s="35"/>
      <c r="AQ638" s="35"/>
      <c r="AR638" s="35"/>
      <c r="AS638" s="35"/>
      <c r="AT638" s="35"/>
      <c r="AU638" s="35"/>
      <c r="AV638" s="35"/>
      <c r="AW638" s="35"/>
    </row>
    <row r="639">
      <c r="A639" s="17"/>
      <c r="B639" s="35"/>
      <c r="C639" s="74"/>
      <c r="D639" s="74"/>
      <c r="E639" s="74"/>
      <c r="F639" s="74"/>
      <c r="G639" s="74"/>
      <c r="H639" s="74"/>
      <c r="I639" s="74"/>
      <c r="J639" s="57"/>
      <c r="K639" s="57"/>
      <c r="L639" s="57"/>
      <c r="M639" s="57"/>
      <c r="N639" s="57"/>
      <c r="O639" s="57"/>
      <c r="P639" s="57"/>
      <c r="Q639" s="69"/>
      <c r="R639" s="69"/>
      <c r="S639" s="23" t="str">
        <f>iferror(if(AN639=1,VLOOKUP(B639, Blends!H$4:AK$1004,32,0), ""), "")</f>
        <v/>
      </c>
      <c r="T639" s="58"/>
      <c r="U639" s="77"/>
      <c r="V639" s="77"/>
      <c r="W639" s="78"/>
      <c r="X639" s="77"/>
      <c r="Y639" s="77"/>
      <c r="Z639" s="77"/>
      <c r="AA639" s="77"/>
      <c r="AB639" s="77"/>
      <c r="AC639" s="77"/>
      <c r="AD639" s="77"/>
      <c r="AE639" s="77"/>
      <c r="AF639" s="77"/>
      <c r="AG639" s="77"/>
      <c r="AH639" s="77"/>
      <c r="AI639" s="77"/>
      <c r="AJ639" s="79"/>
      <c r="AK639" s="80"/>
      <c r="AL639" s="59"/>
      <c r="AM639" s="35"/>
      <c r="AN639" s="35"/>
      <c r="AO639" s="35"/>
      <c r="AP639" s="35"/>
      <c r="AQ639" s="35"/>
      <c r="AR639" s="35"/>
      <c r="AS639" s="35"/>
      <c r="AT639" s="35"/>
      <c r="AU639" s="35"/>
      <c r="AV639" s="35"/>
      <c r="AW639" s="35"/>
    </row>
    <row r="640">
      <c r="A640" s="17"/>
      <c r="B640" s="35"/>
      <c r="C640" s="74"/>
      <c r="D640" s="74"/>
      <c r="E640" s="74"/>
      <c r="F640" s="74"/>
      <c r="G640" s="74"/>
      <c r="H640" s="74"/>
      <c r="I640" s="74"/>
      <c r="J640" s="57"/>
      <c r="K640" s="57"/>
      <c r="L640" s="57"/>
      <c r="M640" s="57"/>
      <c r="N640" s="57"/>
      <c r="O640" s="57"/>
      <c r="P640" s="57"/>
      <c r="Q640" s="69"/>
      <c r="R640" s="69"/>
      <c r="S640" s="23" t="str">
        <f>iferror(if(AN640=1,VLOOKUP(B640, Blends!H$4:AK$1004,32,0), ""), "")</f>
        <v/>
      </c>
      <c r="T640" s="58"/>
      <c r="U640" s="77"/>
      <c r="V640" s="77"/>
      <c r="W640" s="78"/>
      <c r="X640" s="77"/>
      <c r="Y640" s="77"/>
      <c r="Z640" s="77"/>
      <c r="AA640" s="77"/>
      <c r="AB640" s="77"/>
      <c r="AC640" s="77"/>
      <c r="AD640" s="77"/>
      <c r="AE640" s="77"/>
      <c r="AF640" s="77"/>
      <c r="AG640" s="77"/>
      <c r="AH640" s="77"/>
      <c r="AI640" s="77"/>
      <c r="AJ640" s="79"/>
      <c r="AK640" s="80"/>
      <c r="AL640" s="59"/>
      <c r="AM640" s="35"/>
      <c r="AN640" s="35"/>
      <c r="AO640" s="35"/>
      <c r="AP640" s="35"/>
      <c r="AQ640" s="35"/>
      <c r="AR640" s="35"/>
      <c r="AS640" s="35"/>
      <c r="AT640" s="35"/>
      <c r="AU640" s="35"/>
      <c r="AV640" s="35"/>
      <c r="AW640" s="35"/>
    </row>
    <row r="641">
      <c r="A641" s="17"/>
      <c r="B641" s="35"/>
      <c r="C641" s="74"/>
      <c r="D641" s="74"/>
      <c r="E641" s="74"/>
      <c r="F641" s="74"/>
      <c r="G641" s="74"/>
      <c r="H641" s="74"/>
      <c r="I641" s="74"/>
      <c r="J641" s="57"/>
      <c r="K641" s="57"/>
      <c r="L641" s="57"/>
      <c r="M641" s="57"/>
      <c r="N641" s="57"/>
      <c r="O641" s="57"/>
      <c r="P641" s="57"/>
      <c r="Q641" s="69"/>
      <c r="R641" s="69"/>
      <c r="S641" s="23" t="str">
        <f>iferror(if(AN641=1,VLOOKUP(B641, Blends!H$4:AK$1004,32,0), ""), "")</f>
        <v/>
      </c>
      <c r="T641" s="58"/>
      <c r="U641" s="77"/>
      <c r="V641" s="77"/>
      <c r="W641" s="78"/>
      <c r="X641" s="77"/>
      <c r="Y641" s="77"/>
      <c r="Z641" s="77"/>
      <c r="AA641" s="77"/>
      <c r="AB641" s="77"/>
      <c r="AC641" s="77"/>
      <c r="AD641" s="77"/>
      <c r="AE641" s="77"/>
      <c r="AF641" s="77"/>
      <c r="AG641" s="77"/>
      <c r="AH641" s="77"/>
      <c r="AI641" s="77"/>
      <c r="AJ641" s="79"/>
      <c r="AK641" s="80"/>
      <c r="AL641" s="59"/>
      <c r="AM641" s="35"/>
      <c r="AN641" s="35"/>
      <c r="AO641" s="35"/>
      <c r="AP641" s="35"/>
      <c r="AQ641" s="35"/>
      <c r="AR641" s="35"/>
      <c r="AS641" s="35"/>
      <c r="AT641" s="35"/>
      <c r="AU641" s="35"/>
      <c r="AV641" s="35"/>
      <c r="AW641" s="35"/>
    </row>
    <row r="642">
      <c r="A642" s="17"/>
      <c r="B642" s="35"/>
      <c r="C642" s="74"/>
      <c r="D642" s="74"/>
      <c r="E642" s="74"/>
      <c r="F642" s="74"/>
      <c r="G642" s="74"/>
      <c r="H642" s="74"/>
      <c r="I642" s="74"/>
      <c r="J642" s="57"/>
      <c r="K642" s="57"/>
      <c r="L642" s="57"/>
      <c r="M642" s="57"/>
      <c r="N642" s="57"/>
      <c r="O642" s="57"/>
      <c r="P642" s="57"/>
      <c r="Q642" s="69"/>
      <c r="R642" s="69"/>
      <c r="S642" s="23" t="str">
        <f>iferror(if(AN642=1,VLOOKUP(B642, Blends!H$4:AK$1004,32,0), ""), "")</f>
        <v/>
      </c>
      <c r="T642" s="58"/>
      <c r="U642" s="77"/>
      <c r="V642" s="77"/>
      <c r="W642" s="78"/>
      <c r="X642" s="77"/>
      <c r="Y642" s="77"/>
      <c r="Z642" s="77"/>
      <c r="AA642" s="77"/>
      <c r="AB642" s="77"/>
      <c r="AC642" s="77"/>
      <c r="AD642" s="77"/>
      <c r="AE642" s="77"/>
      <c r="AF642" s="77"/>
      <c r="AG642" s="77"/>
      <c r="AH642" s="77"/>
      <c r="AI642" s="77"/>
      <c r="AJ642" s="79"/>
      <c r="AK642" s="80"/>
      <c r="AL642" s="59"/>
      <c r="AM642" s="35"/>
      <c r="AN642" s="35"/>
      <c r="AO642" s="35"/>
      <c r="AP642" s="35"/>
      <c r="AQ642" s="35"/>
      <c r="AR642" s="35"/>
      <c r="AS642" s="35"/>
      <c r="AT642" s="35"/>
      <c r="AU642" s="35"/>
      <c r="AV642" s="35"/>
      <c r="AW642" s="35"/>
    </row>
    <row r="643">
      <c r="A643" s="17"/>
      <c r="B643" s="35"/>
      <c r="C643" s="74"/>
      <c r="D643" s="74"/>
      <c r="E643" s="74"/>
      <c r="F643" s="74"/>
      <c r="G643" s="74"/>
      <c r="H643" s="74"/>
      <c r="I643" s="74"/>
      <c r="J643" s="57"/>
      <c r="K643" s="57"/>
      <c r="L643" s="57"/>
      <c r="M643" s="57"/>
      <c r="N643" s="57"/>
      <c r="O643" s="57"/>
      <c r="P643" s="57"/>
      <c r="Q643" s="69"/>
      <c r="R643" s="69"/>
      <c r="S643" s="23" t="str">
        <f>iferror(if(AN643=1,VLOOKUP(B643, Blends!H$4:AK$1004,32,0), ""), "")</f>
        <v/>
      </c>
      <c r="T643" s="58"/>
      <c r="U643" s="77"/>
      <c r="V643" s="77"/>
      <c r="W643" s="78"/>
      <c r="X643" s="77"/>
      <c r="Y643" s="77"/>
      <c r="Z643" s="77"/>
      <c r="AA643" s="77"/>
      <c r="AB643" s="77"/>
      <c r="AC643" s="77"/>
      <c r="AD643" s="77"/>
      <c r="AE643" s="77"/>
      <c r="AF643" s="77"/>
      <c r="AG643" s="77"/>
      <c r="AH643" s="77"/>
      <c r="AI643" s="77"/>
      <c r="AJ643" s="79"/>
      <c r="AK643" s="80"/>
      <c r="AL643" s="59"/>
      <c r="AM643" s="35"/>
      <c r="AN643" s="35"/>
      <c r="AO643" s="35"/>
      <c r="AP643" s="35"/>
      <c r="AQ643" s="35"/>
      <c r="AR643" s="35"/>
      <c r="AS643" s="35"/>
      <c r="AT643" s="35"/>
      <c r="AU643" s="35"/>
      <c r="AV643" s="35"/>
      <c r="AW643" s="35"/>
    </row>
    <row r="644">
      <c r="A644" s="17"/>
      <c r="B644" s="35"/>
      <c r="C644" s="74"/>
      <c r="D644" s="74"/>
      <c r="E644" s="74"/>
      <c r="F644" s="74"/>
      <c r="G644" s="74"/>
      <c r="H644" s="74"/>
      <c r="I644" s="74"/>
      <c r="J644" s="57"/>
      <c r="K644" s="57"/>
      <c r="L644" s="57"/>
      <c r="M644" s="57"/>
      <c r="N644" s="57"/>
      <c r="O644" s="57"/>
      <c r="P644" s="57"/>
      <c r="Q644" s="69"/>
      <c r="R644" s="69"/>
      <c r="S644" s="23" t="str">
        <f>iferror(if(AN644=1,VLOOKUP(B644, Blends!H$4:AK$1004,32,0), ""), "")</f>
        <v/>
      </c>
      <c r="T644" s="58"/>
      <c r="U644" s="77"/>
      <c r="V644" s="77"/>
      <c r="W644" s="78"/>
      <c r="X644" s="77"/>
      <c r="Y644" s="77"/>
      <c r="Z644" s="77"/>
      <c r="AA644" s="77"/>
      <c r="AB644" s="77"/>
      <c r="AC644" s="77"/>
      <c r="AD644" s="77"/>
      <c r="AE644" s="77"/>
      <c r="AF644" s="77"/>
      <c r="AG644" s="77"/>
      <c r="AH644" s="77"/>
      <c r="AI644" s="77"/>
      <c r="AJ644" s="79"/>
      <c r="AK644" s="80"/>
      <c r="AL644" s="59"/>
      <c r="AM644" s="35"/>
      <c r="AN644" s="35"/>
      <c r="AO644" s="35"/>
      <c r="AP644" s="35"/>
      <c r="AQ644" s="35"/>
      <c r="AR644" s="35"/>
      <c r="AS644" s="35"/>
      <c r="AT644" s="35"/>
      <c r="AU644" s="35"/>
      <c r="AV644" s="35"/>
      <c r="AW644" s="35"/>
    </row>
    <row r="645">
      <c r="A645" s="17"/>
      <c r="B645" s="35"/>
      <c r="C645" s="74"/>
      <c r="D645" s="74"/>
      <c r="E645" s="74"/>
      <c r="F645" s="74"/>
      <c r="G645" s="74"/>
      <c r="H645" s="74"/>
      <c r="I645" s="74"/>
      <c r="J645" s="57"/>
      <c r="K645" s="57"/>
      <c r="L645" s="57"/>
      <c r="M645" s="57"/>
      <c r="N645" s="57"/>
      <c r="O645" s="57"/>
      <c r="P645" s="57"/>
      <c r="Q645" s="69"/>
      <c r="R645" s="69"/>
      <c r="S645" s="23" t="str">
        <f>iferror(if(AN645=1,VLOOKUP(B645, Blends!H$4:AK$1004,32,0), ""), "")</f>
        <v/>
      </c>
      <c r="T645" s="58"/>
      <c r="U645" s="77"/>
      <c r="V645" s="77"/>
      <c r="W645" s="78"/>
      <c r="X645" s="77"/>
      <c r="Y645" s="77"/>
      <c r="Z645" s="77"/>
      <c r="AA645" s="77"/>
      <c r="AB645" s="77"/>
      <c r="AC645" s="77"/>
      <c r="AD645" s="77"/>
      <c r="AE645" s="77"/>
      <c r="AF645" s="77"/>
      <c r="AG645" s="77"/>
      <c r="AH645" s="77"/>
      <c r="AI645" s="77"/>
      <c r="AJ645" s="79"/>
      <c r="AK645" s="80"/>
      <c r="AL645" s="59"/>
      <c r="AM645" s="35"/>
      <c r="AN645" s="35"/>
      <c r="AO645" s="35"/>
      <c r="AP645" s="35"/>
      <c r="AQ645" s="35"/>
      <c r="AR645" s="35"/>
      <c r="AS645" s="35"/>
      <c r="AT645" s="35"/>
      <c r="AU645" s="35"/>
      <c r="AV645" s="35"/>
      <c r="AW645" s="35"/>
    </row>
    <row r="646">
      <c r="A646" s="17"/>
      <c r="B646" s="35"/>
      <c r="C646" s="74"/>
      <c r="D646" s="74"/>
      <c r="E646" s="74"/>
      <c r="F646" s="74"/>
      <c r="G646" s="74"/>
      <c r="H646" s="74"/>
      <c r="I646" s="74"/>
      <c r="J646" s="57"/>
      <c r="K646" s="57"/>
      <c r="L646" s="57"/>
      <c r="M646" s="57"/>
      <c r="N646" s="57"/>
      <c r="O646" s="57"/>
      <c r="P646" s="57"/>
      <c r="Q646" s="69"/>
      <c r="R646" s="69"/>
      <c r="S646" s="23" t="str">
        <f>iferror(if(AN646=1,VLOOKUP(B646, Blends!H$4:AK$1004,32,0), ""), "")</f>
        <v/>
      </c>
      <c r="T646" s="58"/>
      <c r="U646" s="77"/>
      <c r="V646" s="77"/>
      <c r="W646" s="78"/>
      <c r="X646" s="77"/>
      <c r="Y646" s="77"/>
      <c r="Z646" s="77"/>
      <c r="AA646" s="77"/>
      <c r="AB646" s="77"/>
      <c r="AC646" s="77"/>
      <c r="AD646" s="77"/>
      <c r="AE646" s="77"/>
      <c r="AF646" s="77"/>
      <c r="AG646" s="77"/>
      <c r="AH646" s="77"/>
      <c r="AI646" s="77"/>
      <c r="AJ646" s="79"/>
      <c r="AK646" s="80"/>
      <c r="AL646" s="59"/>
      <c r="AM646" s="35"/>
      <c r="AN646" s="35"/>
      <c r="AO646" s="35"/>
      <c r="AP646" s="35"/>
      <c r="AQ646" s="35"/>
      <c r="AR646" s="35"/>
      <c r="AS646" s="35"/>
      <c r="AT646" s="35"/>
      <c r="AU646" s="35"/>
      <c r="AV646" s="35"/>
      <c r="AW646" s="35"/>
    </row>
    <row r="647">
      <c r="A647" s="17"/>
      <c r="B647" s="35"/>
      <c r="C647" s="74"/>
      <c r="D647" s="74"/>
      <c r="E647" s="74"/>
      <c r="F647" s="74"/>
      <c r="G647" s="74"/>
      <c r="H647" s="74"/>
      <c r="I647" s="74"/>
      <c r="J647" s="57"/>
      <c r="K647" s="57"/>
      <c r="L647" s="57"/>
      <c r="M647" s="57"/>
      <c r="N647" s="57"/>
      <c r="O647" s="57"/>
      <c r="P647" s="57"/>
      <c r="Q647" s="69"/>
      <c r="R647" s="69"/>
      <c r="S647" s="23" t="str">
        <f>iferror(if(AN647=1,VLOOKUP(B647, Blends!H$4:AK$1004,32,0), ""), "")</f>
        <v/>
      </c>
      <c r="T647" s="58"/>
      <c r="U647" s="77"/>
      <c r="V647" s="77"/>
      <c r="W647" s="78"/>
      <c r="X647" s="77"/>
      <c r="Y647" s="77"/>
      <c r="Z647" s="77"/>
      <c r="AA647" s="77"/>
      <c r="AB647" s="77"/>
      <c r="AC647" s="77"/>
      <c r="AD647" s="77"/>
      <c r="AE647" s="77"/>
      <c r="AF647" s="77"/>
      <c r="AG647" s="77"/>
      <c r="AH647" s="77"/>
      <c r="AI647" s="77"/>
      <c r="AJ647" s="79"/>
      <c r="AK647" s="80"/>
      <c r="AL647" s="59"/>
      <c r="AM647" s="35"/>
      <c r="AN647" s="35"/>
      <c r="AO647" s="35"/>
      <c r="AP647" s="35"/>
      <c r="AQ647" s="35"/>
      <c r="AR647" s="35"/>
      <c r="AS647" s="35"/>
      <c r="AT647" s="35"/>
      <c r="AU647" s="35"/>
      <c r="AV647" s="35"/>
      <c r="AW647" s="35"/>
    </row>
    <row r="648">
      <c r="A648" s="17"/>
      <c r="B648" s="35"/>
      <c r="C648" s="74"/>
      <c r="D648" s="74"/>
      <c r="E648" s="74"/>
      <c r="F648" s="74"/>
      <c r="G648" s="74"/>
      <c r="H648" s="74"/>
      <c r="I648" s="74"/>
      <c r="J648" s="57"/>
      <c r="K648" s="57"/>
      <c r="L648" s="57"/>
      <c r="M648" s="57"/>
      <c r="N648" s="57"/>
      <c r="O648" s="57"/>
      <c r="P648" s="57"/>
      <c r="Q648" s="69"/>
      <c r="R648" s="69"/>
      <c r="S648" s="23" t="str">
        <f>iferror(if(AN648=1,VLOOKUP(B648, Blends!H$4:AK$1004,32,0), ""), "")</f>
        <v/>
      </c>
      <c r="T648" s="58"/>
      <c r="U648" s="77"/>
      <c r="V648" s="77"/>
      <c r="W648" s="78"/>
      <c r="X648" s="77"/>
      <c r="Y648" s="77"/>
      <c r="Z648" s="77"/>
      <c r="AA648" s="77"/>
      <c r="AB648" s="77"/>
      <c r="AC648" s="77"/>
      <c r="AD648" s="77"/>
      <c r="AE648" s="77"/>
      <c r="AF648" s="77"/>
      <c r="AG648" s="77"/>
      <c r="AH648" s="77"/>
      <c r="AI648" s="77"/>
      <c r="AJ648" s="79"/>
      <c r="AK648" s="80"/>
      <c r="AL648" s="59"/>
      <c r="AM648" s="35"/>
      <c r="AN648" s="35"/>
      <c r="AO648" s="35"/>
      <c r="AP648" s="35"/>
      <c r="AQ648" s="35"/>
      <c r="AR648" s="35"/>
      <c r="AS648" s="35"/>
      <c r="AT648" s="35"/>
      <c r="AU648" s="35"/>
      <c r="AV648" s="35"/>
      <c r="AW648" s="35"/>
    </row>
    <row r="649">
      <c r="A649" s="17"/>
      <c r="B649" s="35"/>
      <c r="C649" s="74"/>
      <c r="D649" s="74"/>
      <c r="E649" s="74"/>
      <c r="F649" s="74"/>
      <c r="G649" s="74"/>
      <c r="H649" s="74"/>
      <c r="I649" s="74"/>
      <c r="J649" s="57"/>
      <c r="K649" s="57"/>
      <c r="L649" s="57"/>
      <c r="M649" s="57"/>
      <c r="N649" s="57"/>
      <c r="O649" s="57"/>
      <c r="P649" s="57"/>
      <c r="Q649" s="69"/>
      <c r="R649" s="69"/>
      <c r="S649" s="23" t="str">
        <f>iferror(if(AN649=1,VLOOKUP(B649, Blends!H$4:AK$1004,32,0), ""), "")</f>
        <v/>
      </c>
      <c r="T649" s="58"/>
      <c r="U649" s="77"/>
      <c r="V649" s="77"/>
      <c r="W649" s="78"/>
      <c r="X649" s="77"/>
      <c r="Y649" s="77"/>
      <c r="Z649" s="77"/>
      <c r="AA649" s="77"/>
      <c r="AB649" s="77"/>
      <c r="AC649" s="77"/>
      <c r="AD649" s="77"/>
      <c r="AE649" s="77"/>
      <c r="AF649" s="77"/>
      <c r="AG649" s="77"/>
      <c r="AH649" s="77"/>
      <c r="AI649" s="77"/>
      <c r="AJ649" s="79"/>
      <c r="AK649" s="80"/>
      <c r="AL649" s="59"/>
      <c r="AM649" s="35"/>
      <c r="AN649" s="35"/>
      <c r="AO649" s="35"/>
      <c r="AP649" s="35"/>
      <c r="AQ649" s="35"/>
      <c r="AR649" s="35"/>
      <c r="AS649" s="35"/>
      <c r="AT649" s="35"/>
      <c r="AU649" s="35"/>
      <c r="AV649" s="35"/>
      <c r="AW649" s="35"/>
    </row>
    <row r="650">
      <c r="A650" s="17"/>
      <c r="B650" s="35"/>
      <c r="C650" s="74"/>
      <c r="D650" s="74"/>
      <c r="E650" s="74"/>
      <c r="F650" s="74"/>
      <c r="G650" s="74"/>
      <c r="H650" s="74"/>
      <c r="I650" s="74"/>
      <c r="J650" s="57"/>
      <c r="K650" s="57"/>
      <c r="L650" s="57"/>
      <c r="M650" s="57"/>
      <c r="N650" s="57"/>
      <c r="O650" s="57"/>
      <c r="P650" s="57"/>
      <c r="Q650" s="69"/>
      <c r="R650" s="69"/>
      <c r="S650" s="23" t="str">
        <f>iferror(if(AN650=1,VLOOKUP(B650, Blends!H$4:AK$1004,32,0), ""), "")</f>
        <v/>
      </c>
      <c r="T650" s="58"/>
      <c r="U650" s="77"/>
      <c r="V650" s="77"/>
      <c r="W650" s="78"/>
      <c r="X650" s="77"/>
      <c r="Y650" s="77"/>
      <c r="Z650" s="77"/>
      <c r="AA650" s="77"/>
      <c r="AB650" s="77"/>
      <c r="AC650" s="77"/>
      <c r="AD650" s="77"/>
      <c r="AE650" s="77"/>
      <c r="AF650" s="77"/>
      <c r="AG650" s="77"/>
      <c r="AH650" s="77"/>
      <c r="AI650" s="77"/>
      <c r="AJ650" s="79"/>
      <c r="AK650" s="80"/>
      <c r="AL650" s="59"/>
      <c r="AM650" s="35"/>
      <c r="AN650" s="35"/>
      <c r="AO650" s="35"/>
      <c r="AP650" s="35"/>
      <c r="AQ650" s="35"/>
      <c r="AR650" s="35"/>
      <c r="AS650" s="35"/>
      <c r="AT650" s="35"/>
      <c r="AU650" s="35"/>
      <c r="AV650" s="35"/>
      <c r="AW650" s="35"/>
    </row>
    <row r="651">
      <c r="A651" s="17"/>
      <c r="B651" s="35"/>
      <c r="C651" s="74"/>
      <c r="D651" s="74"/>
      <c r="E651" s="74"/>
      <c r="F651" s="74"/>
      <c r="G651" s="74"/>
      <c r="H651" s="74"/>
      <c r="I651" s="74"/>
      <c r="J651" s="57"/>
      <c r="K651" s="57"/>
      <c r="L651" s="57"/>
      <c r="M651" s="57"/>
      <c r="N651" s="57"/>
      <c r="O651" s="57"/>
      <c r="P651" s="57"/>
      <c r="Q651" s="69"/>
      <c r="R651" s="69"/>
      <c r="S651" s="23" t="str">
        <f>iferror(if(AN651=1,VLOOKUP(B651, Blends!H$4:AK$1004,32,0), ""), "")</f>
        <v/>
      </c>
      <c r="T651" s="58"/>
      <c r="U651" s="77"/>
      <c r="V651" s="77"/>
      <c r="W651" s="78"/>
      <c r="X651" s="77"/>
      <c r="Y651" s="77"/>
      <c r="Z651" s="77"/>
      <c r="AA651" s="77"/>
      <c r="AB651" s="77"/>
      <c r="AC651" s="77"/>
      <c r="AD651" s="77"/>
      <c r="AE651" s="77"/>
      <c r="AF651" s="77"/>
      <c r="AG651" s="77"/>
      <c r="AH651" s="77"/>
      <c r="AI651" s="77"/>
      <c r="AJ651" s="79"/>
      <c r="AK651" s="80"/>
      <c r="AL651" s="59"/>
      <c r="AM651" s="35"/>
      <c r="AN651" s="35"/>
      <c r="AO651" s="35"/>
      <c r="AP651" s="35"/>
      <c r="AQ651" s="35"/>
      <c r="AR651" s="35"/>
      <c r="AS651" s="35"/>
      <c r="AT651" s="35"/>
      <c r="AU651" s="35"/>
      <c r="AV651" s="35"/>
      <c r="AW651" s="35"/>
    </row>
    <row r="652">
      <c r="A652" s="17"/>
      <c r="B652" s="35"/>
      <c r="C652" s="74"/>
      <c r="D652" s="74"/>
      <c r="E652" s="74"/>
      <c r="F652" s="74"/>
      <c r="G652" s="74"/>
      <c r="H652" s="74"/>
      <c r="I652" s="74"/>
      <c r="J652" s="57"/>
      <c r="K652" s="57"/>
      <c r="L652" s="57"/>
      <c r="M652" s="57"/>
      <c r="N652" s="57"/>
      <c r="O652" s="57"/>
      <c r="P652" s="57"/>
      <c r="Q652" s="69"/>
      <c r="R652" s="69"/>
      <c r="S652" s="23" t="str">
        <f>iferror(if(AN652=1,VLOOKUP(B652, Blends!H$4:AK$1004,32,0), ""), "")</f>
        <v/>
      </c>
      <c r="T652" s="58"/>
      <c r="U652" s="77"/>
      <c r="V652" s="77"/>
      <c r="W652" s="78"/>
      <c r="X652" s="77"/>
      <c r="Y652" s="77"/>
      <c r="Z652" s="77"/>
      <c r="AA652" s="77"/>
      <c r="AB652" s="77"/>
      <c r="AC652" s="77"/>
      <c r="AD652" s="77"/>
      <c r="AE652" s="77"/>
      <c r="AF652" s="77"/>
      <c r="AG652" s="77"/>
      <c r="AH652" s="77"/>
      <c r="AI652" s="77"/>
      <c r="AJ652" s="79"/>
      <c r="AK652" s="80"/>
      <c r="AL652" s="59"/>
      <c r="AM652" s="35"/>
      <c r="AN652" s="35"/>
      <c r="AO652" s="35"/>
      <c r="AP652" s="35"/>
      <c r="AQ652" s="35"/>
      <c r="AR652" s="35"/>
      <c r="AS652" s="35"/>
      <c r="AT652" s="35"/>
      <c r="AU652" s="35"/>
      <c r="AV652" s="35"/>
      <c r="AW652" s="35"/>
    </row>
    <row r="653">
      <c r="A653" s="17"/>
      <c r="B653" s="35"/>
      <c r="C653" s="74"/>
      <c r="D653" s="74"/>
      <c r="E653" s="74"/>
      <c r="F653" s="74"/>
      <c r="G653" s="74"/>
      <c r="H653" s="74"/>
      <c r="I653" s="74"/>
      <c r="J653" s="57"/>
      <c r="K653" s="57"/>
      <c r="L653" s="57"/>
      <c r="M653" s="57"/>
      <c r="N653" s="57"/>
      <c r="O653" s="57"/>
      <c r="P653" s="57"/>
      <c r="Q653" s="69"/>
      <c r="R653" s="69"/>
      <c r="S653" s="23" t="str">
        <f>iferror(if(AN653=1,VLOOKUP(B653, Blends!H$4:AK$1004,32,0), ""), "")</f>
        <v/>
      </c>
      <c r="T653" s="58"/>
      <c r="U653" s="77"/>
      <c r="V653" s="77"/>
      <c r="W653" s="78"/>
      <c r="X653" s="77"/>
      <c r="Y653" s="77"/>
      <c r="Z653" s="77"/>
      <c r="AA653" s="77"/>
      <c r="AB653" s="77"/>
      <c r="AC653" s="77"/>
      <c r="AD653" s="77"/>
      <c r="AE653" s="77"/>
      <c r="AF653" s="77"/>
      <c r="AG653" s="77"/>
      <c r="AH653" s="77"/>
      <c r="AI653" s="77"/>
      <c r="AJ653" s="79"/>
      <c r="AK653" s="80"/>
      <c r="AL653" s="59"/>
      <c r="AM653" s="35"/>
      <c r="AN653" s="35"/>
      <c r="AO653" s="35"/>
      <c r="AP653" s="35"/>
      <c r="AQ653" s="35"/>
      <c r="AR653" s="35"/>
      <c r="AS653" s="35"/>
      <c r="AT653" s="35"/>
      <c r="AU653" s="35"/>
      <c r="AV653" s="35"/>
      <c r="AW653" s="35"/>
    </row>
    <row r="654">
      <c r="A654" s="17"/>
      <c r="B654" s="35"/>
      <c r="C654" s="74"/>
      <c r="D654" s="74"/>
      <c r="E654" s="74"/>
      <c r="F654" s="74"/>
      <c r="G654" s="74"/>
      <c r="H654" s="74"/>
      <c r="I654" s="74"/>
      <c r="J654" s="57"/>
      <c r="K654" s="57"/>
      <c r="L654" s="57"/>
      <c r="M654" s="57"/>
      <c r="N654" s="57"/>
      <c r="O654" s="57"/>
      <c r="P654" s="57"/>
      <c r="Q654" s="69"/>
      <c r="R654" s="69"/>
      <c r="S654" s="23" t="str">
        <f>iferror(if(AN654=1,VLOOKUP(B654, Blends!H$4:AK$1004,32,0), ""), "")</f>
        <v/>
      </c>
      <c r="T654" s="58"/>
      <c r="U654" s="77"/>
      <c r="V654" s="77"/>
      <c r="W654" s="78"/>
      <c r="X654" s="77"/>
      <c r="Y654" s="77"/>
      <c r="Z654" s="77"/>
      <c r="AA654" s="77"/>
      <c r="AB654" s="77"/>
      <c r="AC654" s="77"/>
      <c r="AD654" s="77"/>
      <c r="AE654" s="77"/>
      <c r="AF654" s="77"/>
      <c r="AG654" s="77"/>
      <c r="AH654" s="77"/>
      <c r="AI654" s="77"/>
      <c r="AJ654" s="79"/>
      <c r="AK654" s="80"/>
      <c r="AL654" s="59"/>
      <c r="AM654" s="35"/>
      <c r="AN654" s="35"/>
      <c r="AO654" s="35"/>
      <c r="AP654" s="35"/>
      <c r="AQ654" s="35"/>
      <c r="AR654" s="35"/>
      <c r="AS654" s="35"/>
      <c r="AT654" s="35"/>
      <c r="AU654" s="35"/>
      <c r="AV654" s="35"/>
      <c r="AW654" s="35"/>
    </row>
    <row r="655">
      <c r="A655" s="17"/>
      <c r="B655" s="35"/>
      <c r="C655" s="74"/>
      <c r="D655" s="74"/>
      <c r="E655" s="74"/>
      <c r="F655" s="74"/>
      <c r="G655" s="74"/>
      <c r="H655" s="74"/>
      <c r="I655" s="74"/>
      <c r="J655" s="57"/>
      <c r="K655" s="57"/>
      <c r="L655" s="57"/>
      <c r="M655" s="57"/>
      <c r="N655" s="57"/>
      <c r="O655" s="57"/>
      <c r="P655" s="57"/>
      <c r="Q655" s="69"/>
      <c r="R655" s="69"/>
      <c r="S655" s="23" t="str">
        <f>iferror(if(AN655=1,VLOOKUP(B655, Blends!H$4:AK$1004,32,0), ""), "")</f>
        <v/>
      </c>
      <c r="T655" s="58"/>
      <c r="U655" s="77"/>
      <c r="V655" s="77"/>
      <c r="W655" s="78"/>
      <c r="X655" s="77"/>
      <c r="Y655" s="77"/>
      <c r="Z655" s="77"/>
      <c r="AA655" s="77"/>
      <c r="AB655" s="77"/>
      <c r="AC655" s="77"/>
      <c r="AD655" s="77"/>
      <c r="AE655" s="77"/>
      <c r="AF655" s="77"/>
      <c r="AG655" s="77"/>
      <c r="AH655" s="77"/>
      <c r="AI655" s="77"/>
      <c r="AJ655" s="79"/>
      <c r="AK655" s="80"/>
      <c r="AL655" s="59"/>
      <c r="AM655" s="35"/>
      <c r="AN655" s="35"/>
      <c r="AO655" s="35"/>
      <c r="AP655" s="35"/>
      <c r="AQ655" s="35"/>
      <c r="AR655" s="35"/>
      <c r="AS655" s="35"/>
      <c r="AT655" s="35"/>
      <c r="AU655" s="35"/>
      <c r="AV655" s="35"/>
      <c r="AW655" s="35"/>
    </row>
    <row r="656">
      <c r="A656" s="17"/>
      <c r="B656" s="35"/>
      <c r="C656" s="74"/>
      <c r="D656" s="74"/>
      <c r="E656" s="74"/>
      <c r="F656" s="74"/>
      <c r="G656" s="74"/>
      <c r="H656" s="74"/>
      <c r="I656" s="74"/>
      <c r="J656" s="57"/>
      <c r="K656" s="57"/>
      <c r="L656" s="57"/>
      <c r="M656" s="57"/>
      <c r="N656" s="57"/>
      <c r="O656" s="57"/>
      <c r="P656" s="57"/>
      <c r="Q656" s="69"/>
      <c r="R656" s="69"/>
      <c r="S656" s="23" t="str">
        <f>iferror(if(AN656=1,VLOOKUP(B656, Blends!H$4:AK$1004,32,0), ""), "")</f>
        <v/>
      </c>
      <c r="T656" s="58"/>
      <c r="U656" s="77"/>
      <c r="V656" s="77"/>
      <c r="W656" s="78"/>
      <c r="X656" s="77"/>
      <c r="Y656" s="77"/>
      <c r="Z656" s="77"/>
      <c r="AA656" s="77"/>
      <c r="AB656" s="77"/>
      <c r="AC656" s="77"/>
      <c r="AD656" s="77"/>
      <c r="AE656" s="77"/>
      <c r="AF656" s="77"/>
      <c r="AG656" s="77"/>
      <c r="AH656" s="77"/>
      <c r="AI656" s="77"/>
      <c r="AJ656" s="79"/>
      <c r="AK656" s="80"/>
      <c r="AL656" s="59"/>
      <c r="AM656" s="35"/>
      <c r="AN656" s="35"/>
      <c r="AO656" s="35"/>
      <c r="AP656" s="35"/>
      <c r="AQ656" s="35"/>
      <c r="AR656" s="35"/>
      <c r="AS656" s="35"/>
      <c r="AT656" s="35"/>
      <c r="AU656" s="35"/>
      <c r="AV656" s="35"/>
      <c r="AW656" s="35"/>
    </row>
    <row r="657">
      <c r="A657" s="17"/>
      <c r="B657" s="35"/>
      <c r="C657" s="74"/>
      <c r="D657" s="74"/>
      <c r="E657" s="74"/>
      <c r="F657" s="74"/>
      <c r="G657" s="74"/>
      <c r="H657" s="74"/>
      <c r="I657" s="74"/>
      <c r="J657" s="57"/>
      <c r="K657" s="57"/>
      <c r="L657" s="57"/>
      <c r="M657" s="57"/>
      <c r="N657" s="57"/>
      <c r="O657" s="57"/>
      <c r="P657" s="57"/>
      <c r="Q657" s="69"/>
      <c r="R657" s="69"/>
      <c r="S657" s="23" t="str">
        <f>iferror(if(AN657=1,VLOOKUP(B657, Blends!H$4:AK$1004,32,0), ""), "")</f>
        <v/>
      </c>
      <c r="T657" s="58"/>
      <c r="U657" s="77"/>
      <c r="V657" s="77"/>
      <c r="W657" s="78"/>
      <c r="X657" s="77"/>
      <c r="Y657" s="77"/>
      <c r="Z657" s="77"/>
      <c r="AA657" s="77"/>
      <c r="AB657" s="77"/>
      <c r="AC657" s="77"/>
      <c r="AD657" s="77"/>
      <c r="AE657" s="77"/>
      <c r="AF657" s="77"/>
      <c r="AG657" s="77"/>
      <c r="AH657" s="77"/>
      <c r="AI657" s="77"/>
      <c r="AJ657" s="79"/>
      <c r="AK657" s="80"/>
      <c r="AL657" s="59"/>
      <c r="AM657" s="35"/>
      <c r="AN657" s="35"/>
      <c r="AO657" s="35"/>
      <c r="AP657" s="35"/>
      <c r="AQ657" s="35"/>
      <c r="AR657" s="35"/>
      <c r="AS657" s="35"/>
      <c r="AT657" s="35"/>
      <c r="AU657" s="35"/>
      <c r="AV657" s="35"/>
      <c r="AW657" s="35"/>
    </row>
    <row r="658">
      <c r="A658" s="17"/>
      <c r="B658" s="35"/>
      <c r="C658" s="74"/>
      <c r="D658" s="74"/>
      <c r="E658" s="74"/>
      <c r="F658" s="74"/>
      <c r="G658" s="74"/>
      <c r="H658" s="74"/>
      <c r="I658" s="74"/>
      <c r="J658" s="57"/>
      <c r="K658" s="57"/>
      <c r="L658" s="57"/>
      <c r="M658" s="57"/>
      <c r="N658" s="57"/>
      <c r="O658" s="57"/>
      <c r="P658" s="57"/>
      <c r="Q658" s="69"/>
      <c r="R658" s="69"/>
      <c r="S658" s="23" t="str">
        <f>iferror(if(AN658=1,VLOOKUP(B658, Blends!H$4:AK$1004,32,0), ""), "")</f>
        <v/>
      </c>
      <c r="T658" s="58"/>
      <c r="U658" s="77"/>
      <c r="V658" s="77"/>
      <c r="W658" s="78"/>
      <c r="X658" s="77"/>
      <c r="Y658" s="77"/>
      <c r="Z658" s="77"/>
      <c r="AA658" s="77"/>
      <c r="AB658" s="77"/>
      <c r="AC658" s="77"/>
      <c r="AD658" s="77"/>
      <c r="AE658" s="77"/>
      <c r="AF658" s="77"/>
      <c r="AG658" s="77"/>
      <c r="AH658" s="77"/>
      <c r="AI658" s="77"/>
      <c r="AJ658" s="79"/>
      <c r="AK658" s="80"/>
      <c r="AL658" s="59"/>
      <c r="AM658" s="35"/>
      <c r="AN658" s="35"/>
      <c r="AO658" s="35"/>
      <c r="AP658" s="35"/>
      <c r="AQ658" s="35"/>
      <c r="AR658" s="35"/>
      <c r="AS658" s="35"/>
      <c r="AT658" s="35"/>
      <c r="AU658" s="35"/>
      <c r="AV658" s="35"/>
      <c r="AW658" s="35"/>
    </row>
    <row r="659">
      <c r="A659" s="17"/>
      <c r="B659" s="35"/>
      <c r="C659" s="74"/>
      <c r="D659" s="74"/>
      <c r="E659" s="74"/>
      <c r="F659" s="74"/>
      <c r="G659" s="74"/>
      <c r="H659" s="74"/>
      <c r="I659" s="74"/>
      <c r="J659" s="57"/>
      <c r="K659" s="57"/>
      <c r="L659" s="57"/>
      <c r="M659" s="57"/>
      <c r="N659" s="57"/>
      <c r="O659" s="57"/>
      <c r="P659" s="57"/>
      <c r="Q659" s="69"/>
      <c r="R659" s="69"/>
      <c r="S659" s="23" t="str">
        <f>iferror(if(AN659=1,VLOOKUP(B659, Blends!H$4:AK$1004,32,0), ""), "")</f>
        <v/>
      </c>
      <c r="T659" s="58"/>
      <c r="U659" s="77"/>
      <c r="V659" s="77"/>
      <c r="W659" s="78"/>
      <c r="X659" s="77"/>
      <c r="Y659" s="77"/>
      <c r="Z659" s="77"/>
      <c r="AA659" s="77"/>
      <c r="AB659" s="77"/>
      <c r="AC659" s="77"/>
      <c r="AD659" s="77"/>
      <c r="AE659" s="77"/>
      <c r="AF659" s="77"/>
      <c r="AG659" s="77"/>
      <c r="AH659" s="77"/>
      <c r="AI659" s="77"/>
      <c r="AJ659" s="79"/>
      <c r="AK659" s="80"/>
      <c r="AL659" s="59"/>
      <c r="AM659" s="35"/>
      <c r="AN659" s="35"/>
      <c r="AO659" s="35"/>
      <c r="AP659" s="35"/>
      <c r="AQ659" s="35"/>
      <c r="AR659" s="35"/>
      <c r="AS659" s="35"/>
      <c r="AT659" s="35"/>
      <c r="AU659" s="35"/>
      <c r="AV659" s="35"/>
      <c r="AW659" s="35"/>
    </row>
    <row r="660">
      <c r="A660" s="17"/>
      <c r="B660" s="35"/>
      <c r="C660" s="74"/>
      <c r="D660" s="74"/>
      <c r="E660" s="74"/>
      <c r="F660" s="74"/>
      <c r="G660" s="74"/>
      <c r="H660" s="74"/>
      <c r="I660" s="74"/>
      <c r="J660" s="57"/>
      <c r="K660" s="57"/>
      <c r="L660" s="57"/>
      <c r="M660" s="57"/>
      <c r="N660" s="57"/>
      <c r="O660" s="57"/>
      <c r="P660" s="57"/>
      <c r="Q660" s="69"/>
      <c r="R660" s="69"/>
      <c r="S660" s="23" t="str">
        <f>iferror(if(AN660=1,VLOOKUP(B660, Blends!H$4:AK$1004,32,0), ""), "")</f>
        <v/>
      </c>
      <c r="T660" s="58"/>
      <c r="U660" s="77"/>
      <c r="V660" s="77"/>
      <c r="W660" s="78"/>
      <c r="X660" s="77"/>
      <c r="Y660" s="77"/>
      <c r="Z660" s="77"/>
      <c r="AA660" s="77"/>
      <c r="AB660" s="77"/>
      <c r="AC660" s="77"/>
      <c r="AD660" s="77"/>
      <c r="AE660" s="77"/>
      <c r="AF660" s="77"/>
      <c r="AG660" s="77"/>
      <c r="AH660" s="77"/>
      <c r="AI660" s="77"/>
      <c r="AJ660" s="79"/>
      <c r="AK660" s="80"/>
      <c r="AL660" s="59"/>
      <c r="AM660" s="35"/>
      <c r="AN660" s="35"/>
      <c r="AO660" s="35"/>
      <c r="AP660" s="35"/>
      <c r="AQ660" s="35"/>
      <c r="AR660" s="35"/>
      <c r="AS660" s="35"/>
      <c r="AT660" s="35"/>
      <c r="AU660" s="35"/>
      <c r="AV660" s="35"/>
      <c r="AW660" s="35"/>
    </row>
    <row r="661">
      <c r="A661" s="17"/>
      <c r="B661" s="35"/>
      <c r="C661" s="74"/>
      <c r="D661" s="74"/>
      <c r="E661" s="74"/>
      <c r="F661" s="74"/>
      <c r="G661" s="74"/>
      <c r="H661" s="74"/>
      <c r="I661" s="74"/>
      <c r="J661" s="57"/>
      <c r="K661" s="57"/>
      <c r="L661" s="57"/>
      <c r="M661" s="57"/>
      <c r="N661" s="57"/>
      <c r="O661" s="57"/>
      <c r="P661" s="57"/>
      <c r="Q661" s="69"/>
      <c r="R661" s="69"/>
      <c r="S661" s="23" t="str">
        <f>iferror(if(AN661=1,VLOOKUP(B661, Blends!H$4:AK$1004,32,0), ""), "")</f>
        <v/>
      </c>
      <c r="T661" s="58"/>
      <c r="U661" s="77"/>
      <c r="V661" s="77"/>
      <c r="W661" s="78"/>
      <c r="X661" s="77"/>
      <c r="Y661" s="77"/>
      <c r="Z661" s="77"/>
      <c r="AA661" s="77"/>
      <c r="AB661" s="77"/>
      <c r="AC661" s="77"/>
      <c r="AD661" s="77"/>
      <c r="AE661" s="77"/>
      <c r="AF661" s="77"/>
      <c r="AG661" s="77"/>
      <c r="AH661" s="77"/>
      <c r="AI661" s="77"/>
      <c r="AJ661" s="79"/>
      <c r="AK661" s="80"/>
      <c r="AL661" s="59"/>
      <c r="AM661" s="35"/>
      <c r="AN661" s="35"/>
      <c r="AO661" s="35"/>
      <c r="AP661" s="35"/>
      <c r="AQ661" s="35"/>
      <c r="AR661" s="35"/>
      <c r="AS661" s="35"/>
      <c r="AT661" s="35"/>
      <c r="AU661" s="35"/>
      <c r="AV661" s="35"/>
      <c r="AW661" s="35"/>
    </row>
    <row r="662">
      <c r="A662" s="17"/>
      <c r="B662" s="35"/>
      <c r="C662" s="74"/>
      <c r="D662" s="74"/>
      <c r="E662" s="74"/>
      <c r="F662" s="74"/>
      <c r="G662" s="74"/>
      <c r="H662" s="74"/>
      <c r="I662" s="74"/>
      <c r="J662" s="57"/>
      <c r="K662" s="57"/>
      <c r="L662" s="57"/>
      <c r="M662" s="57"/>
      <c r="N662" s="57"/>
      <c r="O662" s="57"/>
      <c r="P662" s="57"/>
      <c r="Q662" s="69"/>
      <c r="R662" s="69"/>
      <c r="S662" s="23" t="str">
        <f>iferror(if(AN662=1,VLOOKUP(B662, Blends!H$4:AK$1004,32,0), ""), "")</f>
        <v/>
      </c>
      <c r="T662" s="58"/>
      <c r="U662" s="77"/>
      <c r="V662" s="77"/>
      <c r="W662" s="78"/>
      <c r="X662" s="77"/>
      <c r="Y662" s="77"/>
      <c r="Z662" s="77"/>
      <c r="AA662" s="77"/>
      <c r="AB662" s="77"/>
      <c r="AC662" s="77"/>
      <c r="AD662" s="77"/>
      <c r="AE662" s="77"/>
      <c r="AF662" s="77"/>
      <c r="AG662" s="77"/>
      <c r="AH662" s="77"/>
      <c r="AI662" s="77"/>
      <c r="AJ662" s="79"/>
      <c r="AK662" s="80"/>
      <c r="AL662" s="59"/>
      <c r="AM662" s="35"/>
      <c r="AN662" s="35"/>
      <c r="AO662" s="35"/>
      <c r="AP662" s="35"/>
      <c r="AQ662" s="35"/>
      <c r="AR662" s="35"/>
      <c r="AS662" s="35"/>
      <c r="AT662" s="35"/>
      <c r="AU662" s="35"/>
      <c r="AV662" s="35"/>
      <c r="AW662" s="35"/>
    </row>
    <row r="663">
      <c r="A663" s="17"/>
      <c r="B663" s="35"/>
      <c r="C663" s="74"/>
      <c r="D663" s="74"/>
      <c r="E663" s="74"/>
      <c r="F663" s="74"/>
      <c r="G663" s="74"/>
      <c r="H663" s="74"/>
      <c r="I663" s="74"/>
      <c r="J663" s="57"/>
      <c r="K663" s="57"/>
      <c r="L663" s="57"/>
      <c r="M663" s="57"/>
      <c r="N663" s="57"/>
      <c r="O663" s="57"/>
      <c r="P663" s="57"/>
      <c r="Q663" s="69"/>
      <c r="R663" s="69"/>
      <c r="S663" s="23" t="str">
        <f>iferror(if(AN663=1,VLOOKUP(B663, Blends!H$4:AK$1004,32,0), ""), "")</f>
        <v/>
      </c>
      <c r="T663" s="58"/>
      <c r="U663" s="77"/>
      <c r="V663" s="77"/>
      <c r="W663" s="78"/>
      <c r="X663" s="77"/>
      <c r="Y663" s="77"/>
      <c r="Z663" s="77"/>
      <c r="AA663" s="77"/>
      <c r="AB663" s="77"/>
      <c r="AC663" s="77"/>
      <c r="AD663" s="77"/>
      <c r="AE663" s="77"/>
      <c r="AF663" s="77"/>
      <c r="AG663" s="77"/>
      <c r="AH663" s="77"/>
      <c r="AI663" s="77"/>
      <c r="AJ663" s="79"/>
      <c r="AK663" s="80"/>
      <c r="AL663" s="59"/>
      <c r="AM663" s="35"/>
      <c r="AN663" s="35"/>
      <c r="AO663" s="35"/>
      <c r="AP663" s="35"/>
      <c r="AQ663" s="35"/>
      <c r="AR663" s="35"/>
      <c r="AS663" s="35"/>
      <c r="AT663" s="35"/>
      <c r="AU663" s="35"/>
      <c r="AV663" s="35"/>
      <c r="AW663" s="35"/>
    </row>
    <row r="664">
      <c r="A664" s="17"/>
      <c r="B664" s="35"/>
      <c r="C664" s="74"/>
      <c r="D664" s="74"/>
      <c r="E664" s="74"/>
      <c r="F664" s="74"/>
      <c r="G664" s="74"/>
      <c r="H664" s="74"/>
      <c r="I664" s="74"/>
      <c r="J664" s="57"/>
      <c r="K664" s="57"/>
      <c r="L664" s="57"/>
      <c r="M664" s="57"/>
      <c r="N664" s="57"/>
      <c r="O664" s="57"/>
      <c r="P664" s="57"/>
      <c r="Q664" s="69"/>
      <c r="R664" s="69"/>
      <c r="S664" s="23" t="str">
        <f>iferror(if(AN664=1,VLOOKUP(B664, Blends!H$4:AK$1004,32,0), ""), "")</f>
        <v/>
      </c>
      <c r="T664" s="58"/>
      <c r="U664" s="77"/>
      <c r="V664" s="77"/>
      <c r="W664" s="78"/>
      <c r="X664" s="77"/>
      <c r="Y664" s="77"/>
      <c r="Z664" s="77"/>
      <c r="AA664" s="77"/>
      <c r="AB664" s="77"/>
      <c r="AC664" s="77"/>
      <c r="AD664" s="77"/>
      <c r="AE664" s="77"/>
      <c r="AF664" s="77"/>
      <c r="AG664" s="77"/>
      <c r="AH664" s="77"/>
      <c r="AI664" s="77"/>
      <c r="AJ664" s="79"/>
      <c r="AK664" s="80"/>
      <c r="AL664" s="59"/>
      <c r="AM664" s="35"/>
      <c r="AN664" s="35"/>
      <c r="AO664" s="35"/>
      <c r="AP664" s="35"/>
      <c r="AQ664" s="35"/>
      <c r="AR664" s="35"/>
      <c r="AS664" s="35"/>
      <c r="AT664" s="35"/>
      <c r="AU664" s="35"/>
      <c r="AV664" s="35"/>
      <c r="AW664" s="35"/>
    </row>
    <row r="665">
      <c r="A665" s="17"/>
      <c r="B665" s="35"/>
      <c r="C665" s="74"/>
      <c r="D665" s="74"/>
      <c r="E665" s="74"/>
      <c r="F665" s="74"/>
      <c r="G665" s="74"/>
      <c r="H665" s="74"/>
      <c r="I665" s="74"/>
      <c r="J665" s="57"/>
      <c r="K665" s="57"/>
      <c r="L665" s="57"/>
      <c r="M665" s="57"/>
      <c r="N665" s="57"/>
      <c r="O665" s="57"/>
      <c r="P665" s="57"/>
      <c r="Q665" s="69"/>
      <c r="R665" s="69"/>
      <c r="S665" s="23" t="str">
        <f>iferror(if(AN665=1,VLOOKUP(B665, Blends!H$4:AK$1004,32,0), ""), "")</f>
        <v/>
      </c>
      <c r="T665" s="58"/>
      <c r="U665" s="77"/>
      <c r="V665" s="77"/>
      <c r="W665" s="78"/>
      <c r="X665" s="77"/>
      <c r="Y665" s="77"/>
      <c r="Z665" s="77"/>
      <c r="AA665" s="77"/>
      <c r="AB665" s="77"/>
      <c r="AC665" s="77"/>
      <c r="AD665" s="77"/>
      <c r="AE665" s="77"/>
      <c r="AF665" s="77"/>
      <c r="AG665" s="77"/>
      <c r="AH665" s="77"/>
      <c r="AI665" s="77"/>
      <c r="AJ665" s="79"/>
      <c r="AK665" s="80"/>
      <c r="AL665" s="59"/>
      <c r="AM665" s="35"/>
      <c r="AN665" s="35"/>
      <c r="AO665" s="35"/>
      <c r="AP665" s="35"/>
      <c r="AQ665" s="35"/>
      <c r="AR665" s="35"/>
      <c r="AS665" s="35"/>
      <c r="AT665" s="35"/>
      <c r="AU665" s="35"/>
      <c r="AV665" s="35"/>
      <c r="AW665" s="35"/>
    </row>
    <row r="666">
      <c r="A666" s="17"/>
      <c r="B666" s="35"/>
      <c r="C666" s="74"/>
      <c r="D666" s="74"/>
      <c r="E666" s="74"/>
      <c r="F666" s="74"/>
      <c r="G666" s="74"/>
      <c r="H666" s="74"/>
      <c r="I666" s="74"/>
      <c r="J666" s="57"/>
      <c r="K666" s="57"/>
      <c r="L666" s="57"/>
      <c r="M666" s="57"/>
      <c r="N666" s="57"/>
      <c r="O666" s="57"/>
      <c r="P666" s="57"/>
      <c r="Q666" s="69"/>
      <c r="R666" s="69"/>
      <c r="S666" s="23" t="str">
        <f>iferror(if(AN666=1,VLOOKUP(B666, Blends!H$4:AK$1004,32,0), ""), "")</f>
        <v/>
      </c>
      <c r="T666" s="58"/>
      <c r="U666" s="77"/>
      <c r="V666" s="77"/>
      <c r="W666" s="78"/>
      <c r="X666" s="77"/>
      <c r="Y666" s="77"/>
      <c r="Z666" s="77"/>
      <c r="AA666" s="77"/>
      <c r="AB666" s="77"/>
      <c r="AC666" s="77"/>
      <c r="AD666" s="77"/>
      <c r="AE666" s="77"/>
      <c r="AF666" s="77"/>
      <c r="AG666" s="77"/>
      <c r="AH666" s="77"/>
      <c r="AI666" s="77"/>
      <c r="AJ666" s="79"/>
      <c r="AK666" s="80"/>
      <c r="AL666" s="59"/>
      <c r="AM666" s="35"/>
      <c r="AN666" s="35"/>
      <c r="AO666" s="35"/>
      <c r="AP666" s="35"/>
      <c r="AQ666" s="35"/>
      <c r="AR666" s="35"/>
      <c r="AS666" s="35"/>
      <c r="AT666" s="35"/>
      <c r="AU666" s="35"/>
      <c r="AV666" s="35"/>
      <c r="AW666" s="35"/>
    </row>
    <row r="667">
      <c r="A667" s="17"/>
      <c r="B667" s="35"/>
      <c r="C667" s="74"/>
      <c r="D667" s="74"/>
      <c r="E667" s="74"/>
      <c r="F667" s="74"/>
      <c r="G667" s="74"/>
      <c r="H667" s="74"/>
      <c r="I667" s="74"/>
      <c r="J667" s="57"/>
      <c r="K667" s="57"/>
      <c r="L667" s="57"/>
      <c r="M667" s="57"/>
      <c r="N667" s="57"/>
      <c r="O667" s="57"/>
      <c r="P667" s="57"/>
      <c r="Q667" s="69"/>
      <c r="R667" s="69"/>
      <c r="S667" s="23" t="str">
        <f>iferror(if(AN667=1,VLOOKUP(B667, Blends!H$4:AK$1004,32,0), ""), "")</f>
        <v/>
      </c>
      <c r="T667" s="58"/>
      <c r="U667" s="77"/>
      <c r="V667" s="77"/>
      <c r="W667" s="78"/>
      <c r="X667" s="77"/>
      <c r="Y667" s="77"/>
      <c r="Z667" s="77"/>
      <c r="AA667" s="77"/>
      <c r="AB667" s="77"/>
      <c r="AC667" s="77"/>
      <c r="AD667" s="77"/>
      <c r="AE667" s="77"/>
      <c r="AF667" s="77"/>
      <c r="AG667" s="77"/>
      <c r="AH667" s="77"/>
      <c r="AI667" s="77"/>
      <c r="AJ667" s="79"/>
      <c r="AK667" s="80"/>
      <c r="AL667" s="59"/>
      <c r="AM667" s="35"/>
      <c r="AN667" s="35"/>
      <c r="AO667" s="35"/>
      <c r="AP667" s="35"/>
      <c r="AQ667" s="35"/>
      <c r="AR667" s="35"/>
      <c r="AS667" s="35"/>
      <c r="AT667" s="35"/>
      <c r="AU667" s="35"/>
      <c r="AV667" s="35"/>
      <c r="AW667" s="35"/>
    </row>
    <row r="668">
      <c r="A668" s="17"/>
      <c r="B668" s="35"/>
      <c r="C668" s="74"/>
      <c r="D668" s="74"/>
      <c r="E668" s="74"/>
      <c r="F668" s="74"/>
      <c r="G668" s="74"/>
      <c r="H668" s="74"/>
      <c r="I668" s="74"/>
      <c r="J668" s="57"/>
      <c r="K668" s="57"/>
      <c r="L668" s="57"/>
      <c r="M668" s="57"/>
      <c r="N668" s="57"/>
      <c r="O668" s="57"/>
      <c r="P668" s="57"/>
      <c r="Q668" s="69"/>
      <c r="R668" s="69"/>
      <c r="S668" s="23" t="str">
        <f>iferror(if(AN668=1,VLOOKUP(B668, Blends!H$4:AK$1004,32,0), ""), "")</f>
        <v/>
      </c>
      <c r="T668" s="58"/>
      <c r="U668" s="77"/>
      <c r="V668" s="77"/>
      <c r="W668" s="78"/>
      <c r="X668" s="77"/>
      <c r="Y668" s="77"/>
      <c r="Z668" s="77"/>
      <c r="AA668" s="77"/>
      <c r="AB668" s="77"/>
      <c r="AC668" s="77"/>
      <c r="AD668" s="77"/>
      <c r="AE668" s="77"/>
      <c r="AF668" s="77"/>
      <c r="AG668" s="77"/>
      <c r="AH668" s="77"/>
      <c r="AI668" s="77"/>
      <c r="AJ668" s="79"/>
      <c r="AK668" s="80"/>
      <c r="AL668" s="59"/>
      <c r="AM668" s="35"/>
      <c r="AN668" s="35"/>
      <c r="AO668" s="35"/>
      <c r="AP668" s="35"/>
      <c r="AQ668" s="35"/>
      <c r="AR668" s="35"/>
      <c r="AS668" s="35"/>
      <c r="AT668" s="35"/>
      <c r="AU668" s="35"/>
      <c r="AV668" s="35"/>
      <c r="AW668" s="35"/>
    </row>
    <row r="669">
      <c r="A669" s="17"/>
      <c r="B669" s="35"/>
      <c r="C669" s="74"/>
      <c r="D669" s="74"/>
      <c r="E669" s="74"/>
      <c r="F669" s="74"/>
      <c r="G669" s="74"/>
      <c r="H669" s="74"/>
      <c r="I669" s="74"/>
      <c r="J669" s="57"/>
      <c r="K669" s="57"/>
      <c r="L669" s="57"/>
      <c r="M669" s="57"/>
      <c r="N669" s="57"/>
      <c r="O669" s="57"/>
      <c r="P669" s="57"/>
      <c r="Q669" s="69"/>
      <c r="R669" s="69"/>
      <c r="S669" s="23" t="str">
        <f>iferror(if(AN669=1,VLOOKUP(B669, Blends!H$4:AK$1004,32,0), ""), "")</f>
        <v/>
      </c>
      <c r="T669" s="58"/>
      <c r="U669" s="77"/>
      <c r="V669" s="77"/>
      <c r="W669" s="78"/>
      <c r="X669" s="77"/>
      <c r="Y669" s="77"/>
      <c r="Z669" s="77"/>
      <c r="AA669" s="77"/>
      <c r="AB669" s="77"/>
      <c r="AC669" s="77"/>
      <c r="AD669" s="77"/>
      <c r="AE669" s="77"/>
      <c r="AF669" s="77"/>
      <c r="AG669" s="77"/>
      <c r="AH669" s="77"/>
      <c r="AI669" s="77"/>
      <c r="AJ669" s="79"/>
      <c r="AK669" s="80"/>
      <c r="AL669" s="59"/>
      <c r="AM669" s="35"/>
      <c r="AN669" s="35"/>
      <c r="AO669" s="35"/>
      <c r="AP669" s="35"/>
      <c r="AQ669" s="35"/>
      <c r="AR669" s="35"/>
      <c r="AS669" s="35"/>
      <c r="AT669" s="35"/>
      <c r="AU669" s="35"/>
      <c r="AV669" s="35"/>
      <c r="AW669" s="35"/>
    </row>
    <row r="670">
      <c r="A670" s="17"/>
      <c r="B670" s="35"/>
      <c r="C670" s="74"/>
      <c r="D670" s="74"/>
      <c r="E670" s="74"/>
      <c r="F670" s="74"/>
      <c r="G670" s="74"/>
      <c r="H670" s="74"/>
      <c r="I670" s="74"/>
      <c r="J670" s="57"/>
      <c r="K670" s="57"/>
      <c r="L670" s="57"/>
      <c r="M670" s="57"/>
      <c r="N670" s="57"/>
      <c r="O670" s="57"/>
      <c r="P670" s="57"/>
      <c r="Q670" s="69"/>
      <c r="R670" s="69"/>
      <c r="S670" s="23" t="str">
        <f>iferror(if(AN670=1,VLOOKUP(B670, Blends!H$4:AK$1004,32,0), ""), "")</f>
        <v/>
      </c>
      <c r="T670" s="58"/>
      <c r="U670" s="77"/>
      <c r="V670" s="77"/>
      <c r="W670" s="78"/>
      <c r="X670" s="77"/>
      <c r="Y670" s="77"/>
      <c r="Z670" s="77"/>
      <c r="AA670" s="77"/>
      <c r="AB670" s="77"/>
      <c r="AC670" s="77"/>
      <c r="AD670" s="77"/>
      <c r="AE670" s="77"/>
      <c r="AF670" s="77"/>
      <c r="AG670" s="77"/>
      <c r="AH670" s="77"/>
      <c r="AI670" s="77"/>
      <c r="AJ670" s="79"/>
      <c r="AK670" s="80"/>
      <c r="AL670" s="59"/>
      <c r="AM670" s="35"/>
      <c r="AN670" s="35"/>
      <c r="AO670" s="35"/>
      <c r="AP670" s="35"/>
      <c r="AQ670" s="35"/>
      <c r="AR670" s="35"/>
      <c r="AS670" s="35"/>
      <c r="AT670" s="35"/>
      <c r="AU670" s="35"/>
      <c r="AV670" s="35"/>
      <c r="AW670" s="35"/>
    </row>
    <row r="671">
      <c r="A671" s="17"/>
      <c r="B671" s="35"/>
      <c r="C671" s="74"/>
      <c r="D671" s="74"/>
      <c r="E671" s="74"/>
      <c r="F671" s="74"/>
      <c r="G671" s="74"/>
      <c r="H671" s="74"/>
      <c r="I671" s="74"/>
      <c r="J671" s="57"/>
      <c r="K671" s="57"/>
      <c r="L671" s="57"/>
      <c r="M671" s="57"/>
      <c r="N671" s="57"/>
      <c r="O671" s="57"/>
      <c r="P671" s="57"/>
      <c r="Q671" s="69"/>
      <c r="R671" s="69"/>
      <c r="S671" s="23" t="str">
        <f>iferror(if(AN671=1,VLOOKUP(B671, Blends!H$4:AK$1004,32,0), ""), "")</f>
        <v/>
      </c>
      <c r="T671" s="58"/>
      <c r="U671" s="77"/>
      <c r="V671" s="77"/>
      <c r="W671" s="78"/>
      <c r="X671" s="77"/>
      <c r="Y671" s="77"/>
      <c r="Z671" s="77"/>
      <c r="AA671" s="77"/>
      <c r="AB671" s="77"/>
      <c r="AC671" s="77"/>
      <c r="AD671" s="77"/>
      <c r="AE671" s="77"/>
      <c r="AF671" s="77"/>
      <c r="AG671" s="77"/>
      <c r="AH671" s="77"/>
      <c r="AI671" s="77"/>
      <c r="AJ671" s="79"/>
      <c r="AK671" s="80"/>
      <c r="AL671" s="59"/>
      <c r="AM671" s="35"/>
      <c r="AN671" s="35"/>
      <c r="AO671" s="35"/>
      <c r="AP671" s="35"/>
      <c r="AQ671" s="35"/>
      <c r="AR671" s="35"/>
      <c r="AS671" s="35"/>
      <c r="AT671" s="35"/>
      <c r="AU671" s="35"/>
      <c r="AV671" s="35"/>
      <c r="AW671" s="35"/>
    </row>
    <row r="672">
      <c r="A672" s="17"/>
      <c r="B672" s="35"/>
      <c r="C672" s="74"/>
      <c r="D672" s="74"/>
      <c r="E672" s="74"/>
      <c r="F672" s="74"/>
      <c r="G672" s="74"/>
      <c r="H672" s="74"/>
      <c r="I672" s="74"/>
      <c r="J672" s="57"/>
      <c r="K672" s="57"/>
      <c r="L672" s="57"/>
      <c r="M672" s="57"/>
      <c r="N672" s="57"/>
      <c r="O672" s="57"/>
      <c r="P672" s="57"/>
      <c r="Q672" s="69"/>
      <c r="R672" s="69"/>
      <c r="S672" s="23" t="str">
        <f>iferror(if(AN672=1,VLOOKUP(B672, Blends!H$4:AK$1004,32,0), ""), "")</f>
        <v/>
      </c>
      <c r="T672" s="58"/>
      <c r="U672" s="77"/>
      <c r="V672" s="77"/>
      <c r="W672" s="78"/>
      <c r="X672" s="77"/>
      <c r="Y672" s="77"/>
      <c r="Z672" s="77"/>
      <c r="AA672" s="77"/>
      <c r="AB672" s="77"/>
      <c r="AC672" s="77"/>
      <c r="AD672" s="77"/>
      <c r="AE672" s="77"/>
      <c r="AF672" s="77"/>
      <c r="AG672" s="77"/>
      <c r="AH672" s="77"/>
      <c r="AI672" s="77"/>
      <c r="AJ672" s="79"/>
      <c r="AK672" s="80"/>
      <c r="AL672" s="59"/>
      <c r="AM672" s="35"/>
      <c r="AN672" s="35"/>
      <c r="AO672" s="35"/>
      <c r="AP672" s="35"/>
      <c r="AQ672" s="35"/>
      <c r="AR672" s="35"/>
      <c r="AS672" s="35"/>
      <c r="AT672" s="35"/>
      <c r="AU672" s="35"/>
      <c r="AV672" s="35"/>
      <c r="AW672" s="35"/>
    </row>
    <row r="673">
      <c r="A673" s="17"/>
      <c r="B673" s="35"/>
      <c r="C673" s="74"/>
      <c r="D673" s="74"/>
      <c r="E673" s="74"/>
      <c r="F673" s="74"/>
      <c r="G673" s="74"/>
      <c r="H673" s="74"/>
      <c r="I673" s="74"/>
      <c r="J673" s="57"/>
      <c r="K673" s="57"/>
      <c r="L673" s="57"/>
      <c r="M673" s="57"/>
      <c r="N673" s="57"/>
      <c r="O673" s="57"/>
      <c r="P673" s="57"/>
      <c r="Q673" s="69"/>
      <c r="R673" s="69"/>
      <c r="S673" s="23" t="str">
        <f>iferror(if(AN673=1,VLOOKUP(B673, Blends!H$4:AK$1004,32,0), ""), "")</f>
        <v/>
      </c>
      <c r="T673" s="58"/>
      <c r="U673" s="77"/>
      <c r="V673" s="77"/>
      <c r="W673" s="78"/>
      <c r="X673" s="77"/>
      <c r="Y673" s="77"/>
      <c r="Z673" s="77"/>
      <c r="AA673" s="77"/>
      <c r="AB673" s="77"/>
      <c r="AC673" s="77"/>
      <c r="AD673" s="77"/>
      <c r="AE673" s="77"/>
      <c r="AF673" s="77"/>
      <c r="AG673" s="77"/>
      <c r="AH673" s="77"/>
      <c r="AI673" s="77"/>
      <c r="AJ673" s="79"/>
      <c r="AK673" s="80"/>
      <c r="AL673" s="59"/>
      <c r="AM673" s="35"/>
      <c r="AN673" s="35"/>
      <c r="AO673" s="35"/>
      <c r="AP673" s="35"/>
      <c r="AQ673" s="35"/>
      <c r="AR673" s="35"/>
      <c r="AS673" s="35"/>
      <c r="AT673" s="35"/>
      <c r="AU673" s="35"/>
      <c r="AV673" s="35"/>
      <c r="AW673" s="35"/>
    </row>
    <row r="674">
      <c r="A674" s="17"/>
      <c r="B674" s="35"/>
      <c r="C674" s="74"/>
      <c r="D674" s="74"/>
      <c r="E674" s="74"/>
      <c r="F674" s="74"/>
      <c r="G674" s="74"/>
      <c r="H674" s="74"/>
      <c r="I674" s="74"/>
      <c r="J674" s="57"/>
      <c r="K674" s="57"/>
      <c r="L674" s="57"/>
      <c r="M674" s="57"/>
      <c r="N674" s="57"/>
      <c r="O674" s="57"/>
      <c r="P674" s="57"/>
      <c r="Q674" s="69"/>
      <c r="R674" s="69"/>
      <c r="S674" s="23" t="str">
        <f>iferror(if(AN674=1,VLOOKUP(B674, Blends!H$4:AK$1004,32,0), ""), "")</f>
        <v/>
      </c>
      <c r="T674" s="58"/>
      <c r="U674" s="77"/>
      <c r="V674" s="77"/>
      <c r="W674" s="78"/>
      <c r="X674" s="77"/>
      <c r="Y674" s="77"/>
      <c r="Z674" s="77"/>
      <c r="AA674" s="77"/>
      <c r="AB674" s="77"/>
      <c r="AC674" s="77"/>
      <c r="AD674" s="77"/>
      <c r="AE674" s="77"/>
      <c r="AF674" s="77"/>
      <c r="AG674" s="77"/>
      <c r="AH674" s="77"/>
      <c r="AI674" s="77"/>
      <c r="AJ674" s="79"/>
      <c r="AK674" s="80"/>
      <c r="AL674" s="59"/>
      <c r="AM674" s="35"/>
      <c r="AN674" s="35"/>
      <c r="AO674" s="35"/>
      <c r="AP674" s="35"/>
      <c r="AQ674" s="35"/>
      <c r="AR674" s="35"/>
      <c r="AS674" s="35"/>
      <c r="AT674" s="35"/>
      <c r="AU674" s="35"/>
      <c r="AV674" s="35"/>
      <c r="AW674" s="35"/>
    </row>
    <row r="675">
      <c r="A675" s="17"/>
      <c r="B675" s="35"/>
      <c r="C675" s="74"/>
      <c r="D675" s="74"/>
      <c r="E675" s="74"/>
      <c r="F675" s="74"/>
      <c r="G675" s="74"/>
      <c r="H675" s="74"/>
      <c r="I675" s="74"/>
      <c r="J675" s="57"/>
      <c r="K675" s="57"/>
      <c r="L675" s="57"/>
      <c r="M675" s="57"/>
      <c r="N675" s="57"/>
      <c r="O675" s="57"/>
      <c r="P675" s="57"/>
      <c r="Q675" s="69"/>
      <c r="R675" s="69"/>
      <c r="S675" s="23" t="str">
        <f>iferror(if(AN675=1,VLOOKUP(B675, Blends!H$4:AK$1004,32,0), ""), "")</f>
        <v/>
      </c>
      <c r="T675" s="58"/>
      <c r="U675" s="77"/>
      <c r="V675" s="77"/>
      <c r="W675" s="78"/>
      <c r="X675" s="77"/>
      <c r="Y675" s="77"/>
      <c r="Z675" s="77"/>
      <c r="AA675" s="77"/>
      <c r="AB675" s="77"/>
      <c r="AC675" s="77"/>
      <c r="AD675" s="77"/>
      <c r="AE675" s="77"/>
      <c r="AF675" s="77"/>
      <c r="AG675" s="77"/>
      <c r="AH675" s="77"/>
      <c r="AI675" s="77"/>
      <c r="AJ675" s="79"/>
      <c r="AK675" s="80"/>
      <c r="AL675" s="59"/>
      <c r="AM675" s="35"/>
      <c r="AN675" s="35"/>
      <c r="AO675" s="35"/>
      <c r="AP675" s="35"/>
      <c r="AQ675" s="35"/>
      <c r="AR675" s="35"/>
      <c r="AS675" s="35"/>
      <c r="AT675" s="35"/>
      <c r="AU675" s="35"/>
      <c r="AV675" s="35"/>
      <c r="AW675" s="35"/>
    </row>
    <row r="676">
      <c r="A676" s="17"/>
      <c r="B676" s="35"/>
      <c r="C676" s="74"/>
      <c r="D676" s="74"/>
      <c r="E676" s="74"/>
      <c r="F676" s="74"/>
      <c r="G676" s="74"/>
      <c r="H676" s="74"/>
      <c r="I676" s="74"/>
      <c r="J676" s="57"/>
      <c r="K676" s="57"/>
      <c r="L676" s="57"/>
      <c r="M676" s="57"/>
      <c r="N676" s="57"/>
      <c r="O676" s="57"/>
      <c r="P676" s="57"/>
      <c r="Q676" s="69"/>
      <c r="R676" s="69"/>
      <c r="S676" s="23" t="str">
        <f>iferror(if(AN676=1,VLOOKUP(B676, Blends!H$4:AK$1004,32,0), ""), "")</f>
        <v/>
      </c>
      <c r="T676" s="58"/>
      <c r="U676" s="77"/>
      <c r="V676" s="77"/>
      <c r="W676" s="78"/>
      <c r="X676" s="77"/>
      <c r="Y676" s="77"/>
      <c r="Z676" s="77"/>
      <c r="AA676" s="77"/>
      <c r="AB676" s="77"/>
      <c r="AC676" s="77"/>
      <c r="AD676" s="77"/>
      <c r="AE676" s="77"/>
      <c r="AF676" s="77"/>
      <c r="AG676" s="77"/>
      <c r="AH676" s="77"/>
      <c r="AI676" s="77"/>
      <c r="AJ676" s="79"/>
      <c r="AK676" s="80"/>
      <c r="AL676" s="59"/>
      <c r="AM676" s="35"/>
      <c r="AN676" s="35"/>
      <c r="AO676" s="35"/>
      <c r="AP676" s="35"/>
      <c r="AQ676" s="35"/>
      <c r="AR676" s="35"/>
      <c r="AS676" s="35"/>
      <c r="AT676" s="35"/>
      <c r="AU676" s="35"/>
      <c r="AV676" s="35"/>
      <c r="AW676" s="35"/>
    </row>
    <row r="677">
      <c r="A677" s="17"/>
      <c r="B677" s="35"/>
      <c r="C677" s="74"/>
      <c r="D677" s="74"/>
      <c r="E677" s="74"/>
      <c r="F677" s="74"/>
      <c r="G677" s="74"/>
      <c r="H677" s="74"/>
      <c r="I677" s="74"/>
      <c r="J677" s="57"/>
      <c r="K677" s="57"/>
      <c r="L677" s="57"/>
      <c r="M677" s="57"/>
      <c r="N677" s="57"/>
      <c r="O677" s="57"/>
      <c r="P677" s="57"/>
      <c r="Q677" s="69"/>
      <c r="R677" s="69"/>
      <c r="S677" s="23" t="str">
        <f>iferror(if(AN677=1,VLOOKUP(B677, Blends!H$4:AK$1004,32,0), ""), "")</f>
        <v/>
      </c>
      <c r="T677" s="58"/>
      <c r="U677" s="77"/>
      <c r="V677" s="77"/>
      <c r="W677" s="78"/>
      <c r="X677" s="77"/>
      <c r="Y677" s="77"/>
      <c r="Z677" s="77"/>
      <c r="AA677" s="77"/>
      <c r="AB677" s="77"/>
      <c r="AC677" s="77"/>
      <c r="AD677" s="77"/>
      <c r="AE677" s="77"/>
      <c r="AF677" s="77"/>
      <c r="AG677" s="77"/>
      <c r="AH677" s="77"/>
      <c r="AI677" s="77"/>
      <c r="AJ677" s="79"/>
      <c r="AK677" s="80"/>
      <c r="AL677" s="59"/>
      <c r="AM677" s="35"/>
      <c r="AN677" s="35"/>
      <c r="AO677" s="35"/>
      <c r="AP677" s="35"/>
      <c r="AQ677" s="35"/>
      <c r="AR677" s="35"/>
      <c r="AS677" s="35"/>
      <c r="AT677" s="35"/>
      <c r="AU677" s="35"/>
      <c r="AV677" s="35"/>
      <c r="AW677" s="35"/>
    </row>
    <row r="678">
      <c r="A678" s="17"/>
      <c r="B678" s="35"/>
      <c r="C678" s="74"/>
      <c r="D678" s="74"/>
      <c r="E678" s="74"/>
      <c r="F678" s="74"/>
      <c r="G678" s="74"/>
      <c r="H678" s="74"/>
      <c r="I678" s="74"/>
      <c r="J678" s="57"/>
      <c r="K678" s="57"/>
      <c r="L678" s="57"/>
      <c r="M678" s="57"/>
      <c r="N678" s="57"/>
      <c r="O678" s="57"/>
      <c r="P678" s="57"/>
      <c r="Q678" s="69"/>
      <c r="R678" s="69"/>
      <c r="S678" s="23" t="str">
        <f>iferror(if(AN678=1,VLOOKUP(B678, Blends!H$4:AK$1004,32,0), ""), "")</f>
        <v/>
      </c>
      <c r="T678" s="58"/>
      <c r="U678" s="77"/>
      <c r="V678" s="77"/>
      <c r="W678" s="78"/>
      <c r="X678" s="77"/>
      <c r="Y678" s="77"/>
      <c r="Z678" s="77"/>
      <c r="AA678" s="77"/>
      <c r="AB678" s="77"/>
      <c r="AC678" s="77"/>
      <c r="AD678" s="77"/>
      <c r="AE678" s="77"/>
      <c r="AF678" s="77"/>
      <c r="AG678" s="77"/>
      <c r="AH678" s="77"/>
      <c r="AI678" s="77"/>
      <c r="AJ678" s="79"/>
      <c r="AK678" s="80"/>
      <c r="AL678" s="59"/>
      <c r="AM678" s="35"/>
      <c r="AN678" s="35"/>
      <c r="AO678" s="35"/>
      <c r="AP678" s="35"/>
      <c r="AQ678" s="35"/>
      <c r="AR678" s="35"/>
      <c r="AS678" s="35"/>
      <c r="AT678" s="35"/>
      <c r="AU678" s="35"/>
      <c r="AV678" s="35"/>
      <c r="AW678" s="35"/>
    </row>
    <row r="679">
      <c r="A679" s="17"/>
      <c r="B679" s="35"/>
      <c r="C679" s="74"/>
      <c r="D679" s="74"/>
      <c r="E679" s="74"/>
      <c r="F679" s="74"/>
      <c r="G679" s="74"/>
      <c r="H679" s="74"/>
      <c r="I679" s="74"/>
      <c r="J679" s="57"/>
      <c r="K679" s="57"/>
      <c r="L679" s="57"/>
      <c r="M679" s="57"/>
      <c r="N679" s="57"/>
      <c r="O679" s="57"/>
      <c r="P679" s="57"/>
      <c r="Q679" s="69"/>
      <c r="R679" s="69"/>
      <c r="S679" s="23" t="str">
        <f>iferror(if(AN679=1,VLOOKUP(B679, Blends!H$4:AK$1004,32,0), ""), "")</f>
        <v/>
      </c>
      <c r="T679" s="58"/>
      <c r="U679" s="77"/>
      <c r="V679" s="77"/>
      <c r="W679" s="78"/>
      <c r="X679" s="77"/>
      <c r="Y679" s="77"/>
      <c r="Z679" s="77"/>
      <c r="AA679" s="77"/>
      <c r="AB679" s="77"/>
      <c r="AC679" s="77"/>
      <c r="AD679" s="77"/>
      <c r="AE679" s="77"/>
      <c r="AF679" s="77"/>
      <c r="AG679" s="77"/>
      <c r="AH679" s="77"/>
      <c r="AI679" s="77"/>
      <c r="AJ679" s="79"/>
      <c r="AK679" s="80"/>
      <c r="AL679" s="59"/>
      <c r="AM679" s="35"/>
      <c r="AN679" s="35"/>
      <c r="AO679" s="35"/>
      <c r="AP679" s="35"/>
      <c r="AQ679" s="35"/>
      <c r="AR679" s="35"/>
      <c r="AS679" s="35"/>
      <c r="AT679" s="35"/>
      <c r="AU679" s="35"/>
      <c r="AV679" s="35"/>
      <c r="AW679" s="35"/>
    </row>
    <row r="680">
      <c r="A680" s="17"/>
      <c r="B680" s="35"/>
      <c r="C680" s="74"/>
      <c r="D680" s="74"/>
      <c r="E680" s="74"/>
      <c r="F680" s="74"/>
      <c r="G680" s="74"/>
      <c r="H680" s="74"/>
      <c r="I680" s="74"/>
      <c r="J680" s="57"/>
      <c r="K680" s="57"/>
      <c r="L680" s="57"/>
      <c r="M680" s="57"/>
      <c r="N680" s="57"/>
      <c r="O680" s="57"/>
      <c r="P680" s="57"/>
      <c r="Q680" s="69"/>
      <c r="R680" s="69"/>
      <c r="S680" s="23" t="str">
        <f>iferror(if(AN680=1,VLOOKUP(B680, Blends!H$4:AK$1004,32,0), ""), "")</f>
        <v/>
      </c>
      <c r="T680" s="58"/>
      <c r="U680" s="77"/>
      <c r="V680" s="77"/>
      <c r="W680" s="78"/>
      <c r="X680" s="77"/>
      <c r="Y680" s="77"/>
      <c r="Z680" s="77"/>
      <c r="AA680" s="77"/>
      <c r="AB680" s="77"/>
      <c r="AC680" s="77"/>
      <c r="AD680" s="77"/>
      <c r="AE680" s="77"/>
      <c r="AF680" s="77"/>
      <c r="AG680" s="77"/>
      <c r="AH680" s="77"/>
      <c r="AI680" s="77"/>
      <c r="AJ680" s="79"/>
      <c r="AK680" s="80"/>
      <c r="AL680" s="59"/>
      <c r="AM680" s="35"/>
      <c r="AN680" s="35"/>
      <c r="AO680" s="35"/>
      <c r="AP680" s="35"/>
      <c r="AQ680" s="35"/>
      <c r="AR680" s="35"/>
      <c r="AS680" s="35"/>
      <c r="AT680" s="35"/>
      <c r="AU680" s="35"/>
      <c r="AV680" s="35"/>
      <c r="AW680" s="35"/>
    </row>
    <row r="681">
      <c r="A681" s="17"/>
      <c r="B681" s="35"/>
      <c r="C681" s="74"/>
      <c r="D681" s="74"/>
      <c r="E681" s="74"/>
      <c r="F681" s="74"/>
      <c r="G681" s="74"/>
      <c r="H681" s="74"/>
      <c r="I681" s="74"/>
      <c r="J681" s="57"/>
      <c r="K681" s="57"/>
      <c r="L681" s="57"/>
      <c r="M681" s="57"/>
      <c r="N681" s="57"/>
      <c r="O681" s="57"/>
      <c r="P681" s="57"/>
      <c r="Q681" s="69"/>
      <c r="R681" s="69"/>
      <c r="S681" s="23" t="str">
        <f>iferror(if(AN681=1,VLOOKUP(B681, Blends!H$4:AK$1004,32,0), ""), "")</f>
        <v/>
      </c>
      <c r="T681" s="58"/>
      <c r="U681" s="77"/>
      <c r="V681" s="77"/>
      <c r="W681" s="78"/>
      <c r="X681" s="77"/>
      <c r="Y681" s="77"/>
      <c r="Z681" s="77"/>
      <c r="AA681" s="77"/>
      <c r="AB681" s="77"/>
      <c r="AC681" s="77"/>
      <c r="AD681" s="77"/>
      <c r="AE681" s="77"/>
      <c r="AF681" s="77"/>
      <c r="AG681" s="77"/>
      <c r="AH681" s="77"/>
      <c r="AI681" s="77"/>
      <c r="AJ681" s="79"/>
      <c r="AK681" s="80"/>
      <c r="AL681" s="59"/>
      <c r="AM681" s="35"/>
      <c r="AN681" s="35"/>
      <c r="AO681" s="35"/>
      <c r="AP681" s="35"/>
      <c r="AQ681" s="35"/>
      <c r="AR681" s="35"/>
      <c r="AS681" s="35"/>
      <c r="AT681" s="35"/>
      <c r="AU681" s="35"/>
      <c r="AV681" s="35"/>
      <c r="AW681" s="35"/>
    </row>
    <row r="682">
      <c r="A682" s="17"/>
      <c r="B682" s="35"/>
      <c r="C682" s="74"/>
      <c r="D682" s="74"/>
      <c r="E682" s="74"/>
      <c r="F682" s="74"/>
      <c r="G682" s="74"/>
      <c r="H682" s="74"/>
      <c r="I682" s="74"/>
      <c r="J682" s="57"/>
      <c r="K682" s="57"/>
      <c r="L682" s="57"/>
      <c r="M682" s="57"/>
      <c r="N682" s="57"/>
      <c r="O682" s="57"/>
      <c r="P682" s="57"/>
      <c r="Q682" s="69"/>
      <c r="R682" s="69"/>
      <c r="S682" s="23" t="str">
        <f>iferror(if(AN682=1,VLOOKUP(B682, Blends!H$4:AK$1004,32,0), ""), "")</f>
        <v/>
      </c>
      <c r="T682" s="58"/>
      <c r="U682" s="77"/>
      <c r="V682" s="77"/>
      <c r="W682" s="78"/>
      <c r="X682" s="77"/>
      <c r="Y682" s="77"/>
      <c r="Z682" s="77"/>
      <c r="AA682" s="77"/>
      <c r="AB682" s="77"/>
      <c r="AC682" s="77"/>
      <c r="AD682" s="77"/>
      <c r="AE682" s="77"/>
      <c r="AF682" s="77"/>
      <c r="AG682" s="77"/>
      <c r="AH682" s="77"/>
      <c r="AI682" s="77"/>
      <c r="AJ682" s="79"/>
      <c r="AK682" s="80"/>
      <c r="AL682" s="59"/>
      <c r="AM682" s="35"/>
      <c r="AN682" s="35"/>
      <c r="AO682" s="35"/>
      <c r="AP682" s="35"/>
      <c r="AQ682" s="35"/>
      <c r="AR682" s="35"/>
      <c r="AS682" s="35"/>
      <c r="AT682" s="35"/>
      <c r="AU682" s="35"/>
      <c r="AV682" s="35"/>
      <c r="AW682" s="35"/>
    </row>
    <row r="683">
      <c r="A683" s="17"/>
      <c r="B683" s="35"/>
      <c r="C683" s="74"/>
      <c r="D683" s="74"/>
      <c r="E683" s="74"/>
      <c r="F683" s="74"/>
      <c r="G683" s="74"/>
      <c r="H683" s="74"/>
      <c r="I683" s="74"/>
      <c r="J683" s="57"/>
      <c r="K683" s="57"/>
      <c r="L683" s="57"/>
      <c r="M683" s="57"/>
      <c r="N683" s="57"/>
      <c r="O683" s="57"/>
      <c r="P683" s="57"/>
      <c r="Q683" s="69"/>
      <c r="R683" s="69"/>
      <c r="S683" s="23" t="str">
        <f>iferror(if(AN683=1,VLOOKUP(B683, Blends!H$4:AK$1004,32,0), ""), "")</f>
        <v/>
      </c>
      <c r="T683" s="58"/>
      <c r="U683" s="77"/>
      <c r="V683" s="77"/>
      <c r="W683" s="78"/>
      <c r="X683" s="77"/>
      <c r="Y683" s="77"/>
      <c r="Z683" s="77"/>
      <c r="AA683" s="77"/>
      <c r="AB683" s="77"/>
      <c r="AC683" s="77"/>
      <c r="AD683" s="77"/>
      <c r="AE683" s="77"/>
      <c r="AF683" s="77"/>
      <c r="AG683" s="77"/>
      <c r="AH683" s="77"/>
      <c r="AI683" s="77"/>
      <c r="AJ683" s="79"/>
      <c r="AK683" s="80"/>
      <c r="AL683" s="59"/>
      <c r="AM683" s="35"/>
      <c r="AN683" s="35"/>
      <c r="AO683" s="35"/>
      <c r="AP683" s="35"/>
      <c r="AQ683" s="35"/>
      <c r="AR683" s="35"/>
      <c r="AS683" s="35"/>
      <c r="AT683" s="35"/>
      <c r="AU683" s="35"/>
      <c r="AV683" s="35"/>
      <c r="AW683" s="35"/>
    </row>
    <row r="684">
      <c r="A684" s="17"/>
      <c r="B684" s="35"/>
      <c r="C684" s="74"/>
      <c r="D684" s="74"/>
      <c r="E684" s="74"/>
      <c r="F684" s="74"/>
      <c r="G684" s="74"/>
      <c r="H684" s="74"/>
      <c r="I684" s="74"/>
      <c r="J684" s="57"/>
      <c r="K684" s="57"/>
      <c r="L684" s="57"/>
      <c r="M684" s="57"/>
      <c r="N684" s="57"/>
      <c r="O684" s="57"/>
      <c r="P684" s="57"/>
      <c r="Q684" s="69"/>
      <c r="R684" s="69"/>
      <c r="S684" s="23" t="str">
        <f>iferror(if(AN684=1,VLOOKUP(B684, Blends!H$4:AK$1004,32,0), ""), "")</f>
        <v/>
      </c>
      <c r="T684" s="58"/>
      <c r="U684" s="77"/>
      <c r="V684" s="77"/>
      <c r="W684" s="78"/>
      <c r="X684" s="77"/>
      <c r="Y684" s="77"/>
      <c r="Z684" s="77"/>
      <c r="AA684" s="77"/>
      <c r="AB684" s="77"/>
      <c r="AC684" s="77"/>
      <c r="AD684" s="77"/>
      <c r="AE684" s="77"/>
      <c r="AF684" s="77"/>
      <c r="AG684" s="77"/>
      <c r="AH684" s="77"/>
      <c r="AI684" s="77"/>
      <c r="AJ684" s="79"/>
      <c r="AK684" s="80"/>
      <c r="AL684" s="59"/>
      <c r="AM684" s="35"/>
      <c r="AN684" s="35"/>
      <c r="AO684" s="35"/>
      <c r="AP684" s="35"/>
      <c r="AQ684" s="35"/>
      <c r="AR684" s="35"/>
      <c r="AS684" s="35"/>
      <c r="AT684" s="35"/>
      <c r="AU684" s="35"/>
      <c r="AV684" s="35"/>
      <c r="AW684" s="35"/>
    </row>
    <row r="685">
      <c r="A685" s="17"/>
      <c r="B685" s="35"/>
      <c r="C685" s="74"/>
      <c r="D685" s="74"/>
      <c r="E685" s="74"/>
      <c r="F685" s="74"/>
      <c r="G685" s="74"/>
      <c r="H685" s="74"/>
      <c r="I685" s="74"/>
      <c r="J685" s="57"/>
      <c r="K685" s="57"/>
      <c r="L685" s="57"/>
      <c r="M685" s="57"/>
      <c r="N685" s="57"/>
      <c r="O685" s="57"/>
      <c r="P685" s="57"/>
      <c r="Q685" s="69"/>
      <c r="R685" s="69"/>
      <c r="S685" s="23" t="str">
        <f>iferror(if(AN685=1,VLOOKUP(B685, Blends!H$4:AK$1004,32,0), ""), "")</f>
        <v/>
      </c>
      <c r="T685" s="58"/>
      <c r="U685" s="77"/>
      <c r="V685" s="77"/>
      <c r="W685" s="78"/>
      <c r="X685" s="77"/>
      <c r="Y685" s="77"/>
      <c r="Z685" s="77"/>
      <c r="AA685" s="77"/>
      <c r="AB685" s="77"/>
      <c r="AC685" s="77"/>
      <c r="AD685" s="77"/>
      <c r="AE685" s="77"/>
      <c r="AF685" s="77"/>
      <c r="AG685" s="77"/>
      <c r="AH685" s="77"/>
      <c r="AI685" s="77"/>
      <c r="AJ685" s="79"/>
      <c r="AK685" s="80"/>
      <c r="AL685" s="59"/>
      <c r="AM685" s="35"/>
      <c r="AN685" s="35"/>
      <c r="AO685" s="35"/>
      <c r="AP685" s="35"/>
      <c r="AQ685" s="35"/>
      <c r="AR685" s="35"/>
      <c r="AS685" s="35"/>
      <c r="AT685" s="35"/>
      <c r="AU685" s="35"/>
      <c r="AV685" s="35"/>
      <c r="AW685" s="35"/>
    </row>
    <row r="686">
      <c r="A686" s="17"/>
      <c r="B686" s="35"/>
      <c r="C686" s="74"/>
      <c r="D686" s="74"/>
      <c r="E686" s="74"/>
      <c r="F686" s="74"/>
      <c r="G686" s="74"/>
      <c r="H686" s="74"/>
      <c r="I686" s="74"/>
      <c r="J686" s="57"/>
      <c r="K686" s="57"/>
      <c r="L686" s="57"/>
      <c r="M686" s="57"/>
      <c r="N686" s="57"/>
      <c r="O686" s="57"/>
      <c r="P686" s="57"/>
      <c r="Q686" s="69"/>
      <c r="R686" s="69"/>
      <c r="S686" s="23" t="str">
        <f>iferror(if(AN686=1,VLOOKUP(B686, Blends!H$4:AK$1004,32,0), ""), "")</f>
        <v/>
      </c>
      <c r="T686" s="58"/>
      <c r="U686" s="77"/>
      <c r="V686" s="77"/>
      <c r="W686" s="78"/>
      <c r="X686" s="77"/>
      <c r="Y686" s="77"/>
      <c r="Z686" s="77"/>
      <c r="AA686" s="77"/>
      <c r="AB686" s="77"/>
      <c r="AC686" s="77"/>
      <c r="AD686" s="77"/>
      <c r="AE686" s="77"/>
      <c r="AF686" s="77"/>
      <c r="AG686" s="77"/>
      <c r="AH686" s="77"/>
      <c r="AI686" s="77"/>
      <c r="AJ686" s="79"/>
      <c r="AK686" s="80"/>
      <c r="AL686" s="59"/>
      <c r="AM686" s="35"/>
      <c r="AN686" s="35"/>
      <c r="AO686" s="35"/>
      <c r="AP686" s="35"/>
      <c r="AQ686" s="35"/>
      <c r="AR686" s="35"/>
      <c r="AS686" s="35"/>
      <c r="AT686" s="35"/>
      <c r="AU686" s="35"/>
      <c r="AV686" s="35"/>
      <c r="AW686" s="35"/>
    </row>
    <row r="687">
      <c r="A687" s="17"/>
      <c r="B687" s="35"/>
      <c r="C687" s="74"/>
      <c r="D687" s="74"/>
      <c r="E687" s="74"/>
      <c r="F687" s="74"/>
      <c r="G687" s="74"/>
      <c r="H687" s="74"/>
      <c r="I687" s="74"/>
      <c r="J687" s="57"/>
      <c r="K687" s="57"/>
      <c r="L687" s="57"/>
      <c r="M687" s="57"/>
      <c r="N687" s="57"/>
      <c r="O687" s="57"/>
      <c r="P687" s="57"/>
      <c r="Q687" s="69"/>
      <c r="R687" s="69"/>
      <c r="S687" s="23" t="str">
        <f>iferror(if(AN687=1,VLOOKUP(B687, Blends!H$4:AK$1004,32,0), ""), "")</f>
        <v/>
      </c>
      <c r="T687" s="58"/>
      <c r="U687" s="77"/>
      <c r="V687" s="77"/>
      <c r="W687" s="78"/>
      <c r="X687" s="77"/>
      <c r="Y687" s="77"/>
      <c r="Z687" s="77"/>
      <c r="AA687" s="77"/>
      <c r="AB687" s="77"/>
      <c r="AC687" s="77"/>
      <c r="AD687" s="77"/>
      <c r="AE687" s="77"/>
      <c r="AF687" s="77"/>
      <c r="AG687" s="77"/>
      <c r="AH687" s="77"/>
      <c r="AI687" s="77"/>
      <c r="AJ687" s="79"/>
      <c r="AK687" s="80"/>
      <c r="AL687" s="59"/>
      <c r="AM687" s="35"/>
      <c r="AN687" s="35"/>
      <c r="AO687" s="35"/>
      <c r="AP687" s="35"/>
      <c r="AQ687" s="35"/>
      <c r="AR687" s="35"/>
      <c r="AS687" s="35"/>
      <c r="AT687" s="35"/>
      <c r="AU687" s="35"/>
      <c r="AV687" s="35"/>
      <c r="AW687" s="35"/>
    </row>
    <row r="688">
      <c r="A688" s="17"/>
      <c r="B688" s="35"/>
      <c r="C688" s="74"/>
      <c r="D688" s="74"/>
      <c r="E688" s="74"/>
      <c r="F688" s="74"/>
      <c r="G688" s="74"/>
      <c r="H688" s="74"/>
      <c r="I688" s="74"/>
      <c r="J688" s="57"/>
      <c r="K688" s="57"/>
      <c r="L688" s="57"/>
      <c r="M688" s="57"/>
      <c r="N688" s="57"/>
      <c r="O688" s="57"/>
      <c r="P688" s="57"/>
      <c r="Q688" s="69"/>
      <c r="R688" s="69"/>
      <c r="S688" s="23" t="str">
        <f>iferror(if(AN688=1,VLOOKUP(B688, Blends!H$4:AK$1004,32,0), ""), "")</f>
        <v/>
      </c>
      <c r="T688" s="58"/>
      <c r="U688" s="77"/>
      <c r="V688" s="77"/>
      <c r="W688" s="78"/>
      <c r="X688" s="77"/>
      <c r="Y688" s="77"/>
      <c r="Z688" s="77"/>
      <c r="AA688" s="77"/>
      <c r="AB688" s="77"/>
      <c r="AC688" s="77"/>
      <c r="AD688" s="77"/>
      <c r="AE688" s="77"/>
      <c r="AF688" s="77"/>
      <c r="AG688" s="77"/>
      <c r="AH688" s="77"/>
      <c r="AI688" s="77"/>
      <c r="AJ688" s="79"/>
      <c r="AK688" s="80"/>
      <c r="AL688" s="59"/>
      <c r="AM688" s="35"/>
      <c r="AN688" s="35"/>
      <c r="AO688" s="35"/>
      <c r="AP688" s="35"/>
      <c r="AQ688" s="35"/>
      <c r="AR688" s="35"/>
      <c r="AS688" s="35"/>
      <c r="AT688" s="35"/>
      <c r="AU688" s="35"/>
      <c r="AV688" s="35"/>
      <c r="AW688" s="35"/>
    </row>
    <row r="689">
      <c r="A689" s="17"/>
      <c r="B689" s="35"/>
      <c r="C689" s="74"/>
      <c r="D689" s="74"/>
      <c r="E689" s="74"/>
      <c r="F689" s="74"/>
      <c r="G689" s="74"/>
      <c r="H689" s="74"/>
      <c r="I689" s="74"/>
      <c r="J689" s="57"/>
      <c r="K689" s="57"/>
      <c r="L689" s="57"/>
      <c r="M689" s="57"/>
      <c r="N689" s="57"/>
      <c r="O689" s="57"/>
      <c r="P689" s="57"/>
      <c r="Q689" s="69"/>
      <c r="R689" s="69"/>
      <c r="S689" s="23" t="str">
        <f>iferror(if(AN689=1,VLOOKUP(B689, Blends!H$4:AK$1004,32,0), ""), "")</f>
        <v/>
      </c>
      <c r="T689" s="58"/>
      <c r="U689" s="77"/>
      <c r="V689" s="77"/>
      <c r="W689" s="78"/>
      <c r="X689" s="77"/>
      <c r="Y689" s="77"/>
      <c r="Z689" s="77"/>
      <c r="AA689" s="77"/>
      <c r="AB689" s="77"/>
      <c r="AC689" s="77"/>
      <c r="AD689" s="77"/>
      <c r="AE689" s="77"/>
      <c r="AF689" s="77"/>
      <c r="AG689" s="77"/>
      <c r="AH689" s="77"/>
      <c r="AI689" s="77"/>
      <c r="AJ689" s="79"/>
      <c r="AK689" s="80"/>
      <c r="AL689" s="59"/>
      <c r="AM689" s="35"/>
      <c r="AN689" s="35"/>
      <c r="AO689" s="35"/>
      <c r="AP689" s="35"/>
      <c r="AQ689" s="35"/>
      <c r="AR689" s="35"/>
      <c r="AS689" s="35"/>
      <c r="AT689" s="35"/>
      <c r="AU689" s="35"/>
      <c r="AV689" s="35"/>
      <c r="AW689" s="35"/>
    </row>
    <row r="690">
      <c r="A690" s="17"/>
      <c r="B690" s="35"/>
      <c r="C690" s="74"/>
      <c r="D690" s="74"/>
      <c r="E690" s="74"/>
      <c r="F690" s="74"/>
      <c r="G690" s="74"/>
      <c r="H690" s="74"/>
      <c r="I690" s="74"/>
      <c r="J690" s="57"/>
      <c r="K690" s="57"/>
      <c r="L690" s="57"/>
      <c r="M690" s="57"/>
      <c r="N690" s="57"/>
      <c r="O690" s="57"/>
      <c r="P690" s="57"/>
      <c r="Q690" s="69"/>
      <c r="R690" s="69"/>
      <c r="S690" s="23" t="str">
        <f>iferror(if(AN690=1,VLOOKUP(B690, Blends!H$4:AK$1004,32,0), ""), "")</f>
        <v/>
      </c>
      <c r="T690" s="58"/>
      <c r="U690" s="77"/>
      <c r="V690" s="77"/>
      <c r="W690" s="78"/>
      <c r="X690" s="77"/>
      <c r="Y690" s="77"/>
      <c r="Z690" s="77"/>
      <c r="AA690" s="77"/>
      <c r="AB690" s="77"/>
      <c r="AC690" s="77"/>
      <c r="AD690" s="77"/>
      <c r="AE690" s="77"/>
      <c r="AF690" s="77"/>
      <c r="AG690" s="77"/>
      <c r="AH690" s="77"/>
      <c r="AI690" s="77"/>
      <c r="AJ690" s="79"/>
      <c r="AK690" s="80"/>
      <c r="AL690" s="59"/>
      <c r="AM690" s="35"/>
      <c r="AN690" s="35"/>
      <c r="AO690" s="35"/>
      <c r="AP690" s="35"/>
      <c r="AQ690" s="35"/>
      <c r="AR690" s="35"/>
      <c r="AS690" s="35"/>
      <c r="AT690" s="35"/>
      <c r="AU690" s="35"/>
      <c r="AV690" s="35"/>
      <c r="AW690" s="35"/>
    </row>
    <row r="691">
      <c r="A691" s="17"/>
      <c r="B691" s="35"/>
      <c r="C691" s="74"/>
      <c r="D691" s="74"/>
      <c r="E691" s="74"/>
      <c r="F691" s="74"/>
      <c r="G691" s="74"/>
      <c r="H691" s="74"/>
      <c r="I691" s="74"/>
      <c r="J691" s="57"/>
      <c r="K691" s="57"/>
      <c r="L691" s="57"/>
      <c r="M691" s="57"/>
      <c r="N691" s="57"/>
      <c r="O691" s="57"/>
      <c r="P691" s="57"/>
      <c r="Q691" s="69"/>
      <c r="R691" s="69"/>
      <c r="S691" s="23" t="str">
        <f>iferror(if(AN691=1,VLOOKUP(B691, Blends!H$4:AK$1004,32,0), ""), "")</f>
        <v/>
      </c>
      <c r="T691" s="58"/>
      <c r="U691" s="77"/>
      <c r="V691" s="77"/>
      <c r="W691" s="78"/>
      <c r="X691" s="77"/>
      <c r="Y691" s="77"/>
      <c r="Z691" s="77"/>
      <c r="AA691" s="77"/>
      <c r="AB691" s="77"/>
      <c r="AC691" s="77"/>
      <c r="AD691" s="77"/>
      <c r="AE691" s="77"/>
      <c r="AF691" s="77"/>
      <c r="AG691" s="77"/>
      <c r="AH691" s="77"/>
      <c r="AI691" s="77"/>
      <c r="AJ691" s="79"/>
      <c r="AK691" s="80"/>
      <c r="AL691" s="59"/>
      <c r="AM691" s="35"/>
      <c r="AN691" s="35"/>
      <c r="AO691" s="35"/>
      <c r="AP691" s="35"/>
      <c r="AQ691" s="35"/>
      <c r="AR691" s="35"/>
      <c r="AS691" s="35"/>
      <c r="AT691" s="35"/>
      <c r="AU691" s="35"/>
      <c r="AV691" s="35"/>
      <c r="AW691" s="35"/>
    </row>
    <row r="692">
      <c r="A692" s="17"/>
      <c r="B692" s="35"/>
      <c r="C692" s="74"/>
      <c r="D692" s="74"/>
      <c r="E692" s="74"/>
      <c r="F692" s="74"/>
      <c r="G692" s="74"/>
      <c r="H692" s="74"/>
      <c r="I692" s="74"/>
      <c r="J692" s="57"/>
      <c r="K692" s="57"/>
      <c r="L692" s="57"/>
      <c r="M692" s="57"/>
      <c r="N692" s="57"/>
      <c r="O692" s="57"/>
      <c r="P692" s="57"/>
      <c r="Q692" s="69"/>
      <c r="R692" s="69"/>
      <c r="S692" s="23" t="str">
        <f>iferror(if(AN692=1,VLOOKUP(B692, Blends!H$4:AK$1004,32,0), ""), "")</f>
        <v/>
      </c>
      <c r="T692" s="58"/>
      <c r="U692" s="77"/>
      <c r="V692" s="77"/>
      <c r="W692" s="78"/>
      <c r="X692" s="77"/>
      <c r="Y692" s="77"/>
      <c r="Z692" s="77"/>
      <c r="AA692" s="77"/>
      <c r="AB692" s="77"/>
      <c r="AC692" s="77"/>
      <c r="AD692" s="77"/>
      <c r="AE692" s="77"/>
      <c r="AF692" s="77"/>
      <c r="AG692" s="77"/>
      <c r="AH692" s="77"/>
      <c r="AI692" s="77"/>
      <c r="AJ692" s="79"/>
      <c r="AK692" s="80"/>
      <c r="AL692" s="59"/>
      <c r="AM692" s="35"/>
      <c r="AN692" s="35"/>
      <c r="AO692" s="35"/>
      <c r="AP692" s="35"/>
      <c r="AQ692" s="35"/>
      <c r="AR692" s="35"/>
      <c r="AS692" s="35"/>
      <c r="AT692" s="35"/>
      <c r="AU692" s="35"/>
      <c r="AV692" s="35"/>
      <c r="AW692" s="35"/>
    </row>
    <row r="693">
      <c r="A693" s="17"/>
      <c r="B693" s="35"/>
      <c r="C693" s="74"/>
      <c r="D693" s="74"/>
      <c r="E693" s="74"/>
      <c r="F693" s="74"/>
      <c r="G693" s="74"/>
      <c r="H693" s="74"/>
      <c r="I693" s="74"/>
      <c r="J693" s="57"/>
      <c r="K693" s="57"/>
      <c r="L693" s="57"/>
      <c r="M693" s="57"/>
      <c r="N693" s="57"/>
      <c r="O693" s="57"/>
      <c r="P693" s="57"/>
      <c r="Q693" s="69"/>
      <c r="R693" s="69"/>
      <c r="S693" s="23" t="str">
        <f>iferror(if(AN693=1,VLOOKUP(B693, Blends!H$4:AK$1004,32,0), ""), "")</f>
        <v/>
      </c>
      <c r="T693" s="58"/>
      <c r="U693" s="77"/>
      <c r="V693" s="77"/>
      <c r="W693" s="78"/>
      <c r="X693" s="77"/>
      <c r="Y693" s="77"/>
      <c r="Z693" s="77"/>
      <c r="AA693" s="77"/>
      <c r="AB693" s="77"/>
      <c r="AC693" s="77"/>
      <c r="AD693" s="77"/>
      <c r="AE693" s="77"/>
      <c r="AF693" s="77"/>
      <c r="AG693" s="77"/>
      <c r="AH693" s="77"/>
      <c r="AI693" s="77"/>
      <c r="AJ693" s="79"/>
      <c r="AK693" s="80"/>
      <c r="AL693" s="59"/>
      <c r="AM693" s="35"/>
      <c r="AN693" s="35"/>
      <c r="AO693" s="35"/>
      <c r="AP693" s="35"/>
      <c r="AQ693" s="35"/>
      <c r="AR693" s="35"/>
      <c r="AS693" s="35"/>
      <c r="AT693" s="35"/>
      <c r="AU693" s="35"/>
      <c r="AV693" s="35"/>
      <c r="AW693" s="35"/>
    </row>
    <row r="694">
      <c r="A694" s="17"/>
      <c r="B694" s="35"/>
      <c r="C694" s="74"/>
      <c r="D694" s="74"/>
      <c r="E694" s="74"/>
      <c r="F694" s="74"/>
      <c r="G694" s="74"/>
      <c r="H694" s="74"/>
      <c r="I694" s="74"/>
      <c r="J694" s="57"/>
      <c r="K694" s="57"/>
      <c r="L694" s="57"/>
      <c r="M694" s="57"/>
      <c r="N694" s="57"/>
      <c r="O694" s="57"/>
      <c r="P694" s="57"/>
      <c r="Q694" s="69"/>
      <c r="R694" s="69"/>
      <c r="S694" s="23" t="str">
        <f>iferror(if(AN694=1,VLOOKUP(B694, Blends!H$4:AK$1004,32,0), ""), "")</f>
        <v/>
      </c>
      <c r="T694" s="58"/>
      <c r="U694" s="77"/>
      <c r="V694" s="77"/>
      <c r="W694" s="78"/>
      <c r="X694" s="77"/>
      <c r="Y694" s="77"/>
      <c r="Z694" s="77"/>
      <c r="AA694" s="77"/>
      <c r="AB694" s="77"/>
      <c r="AC694" s="77"/>
      <c r="AD694" s="77"/>
      <c r="AE694" s="77"/>
      <c r="AF694" s="77"/>
      <c r="AG694" s="77"/>
      <c r="AH694" s="77"/>
      <c r="AI694" s="77"/>
      <c r="AJ694" s="79"/>
      <c r="AK694" s="80"/>
      <c r="AL694" s="59"/>
      <c r="AM694" s="35"/>
      <c r="AN694" s="35"/>
      <c r="AO694" s="35"/>
      <c r="AP694" s="35"/>
      <c r="AQ694" s="35"/>
      <c r="AR694" s="35"/>
      <c r="AS694" s="35"/>
      <c r="AT694" s="35"/>
      <c r="AU694" s="35"/>
      <c r="AV694" s="35"/>
      <c r="AW694" s="35"/>
    </row>
    <row r="695">
      <c r="A695" s="17"/>
      <c r="B695" s="35"/>
      <c r="C695" s="74"/>
      <c r="D695" s="74"/>
      <c r="E695" s="74"/>
      <c r="F695" s="74"/>
      <c r="G695" s="74"/>
      <c r="H695" s="74"/>
      <c r="I695" s="74"/>
      <c r="J695" s="57"/>
      <c r="K695" s="57"/>
      <c r="L695" s="57"/>
      <c r="M695" s="57"/>
      <c r="N695" s="57"/>
      <c r="O695" s="57"/>
      <c r="P695" s="57"/>
      <c r="Q695" s="69"/>
      <c r="R695" s="69"/>
      <c r="S695" s="23" t="str">
        <f>iferror(if(AN695=1,VLOOKUP(B695, Blends!H$4:AK$1004,32,0), ""), "")</f>
        <v/>
      </c>
      <c r="T695" s="58"/>
      <c r="U695" s="77"/>
      <c r="V695" s="77"/>
      <c r="W695" s="78"/>
      <c r="X695" s="77"/>
      <c r="Y695" s="77"/>
      <c r="Z695" s="77"/>
      <c r="AA695" s="77"/>
      <c r="AB695" s="77"/>
      <c r="AC695" s="77"/>
      <c r="AD695" s="77"/>
      <c r="AE695" s="77"/>
      <c r="AF695" s="77"/>
      <c r="AG695" s="77"/>
      <c r="AH695" s="77"/>
      <c r="AI695" s="77"/>
      <c r="AJ695" s="79"/>
      <c r="AK695" s="80"/>
      <c r="AL695" s="59"/>
      <c r="AM695" s="35"/>
      <c r="AN695" s="35"/>
      <c r="AO695" s="35"/>
      <c r="AP695" s="35"/>
      <c r="AQ695" s="35"/>
      <c r="AR695" s="35"/>
      <c r="AS695" s="35"/>
      <c r="AT695" s="35"/>
      <c r="AU695" s="35"/>
      <c r="AV695" s="35"/>
      <c r="AW695" s="35"/>
    </row>
    <row r="696">
      <c r="A696" s="17"/>
      <c r="B696" s="35"/>
      <c r="C696" s="74"/>
      <c r="D696" s="74"/>
      <c r="E696" s="74"/>
      <c r="F696" s="74"/>
      <c r="G696" s="74"/>
      <c r="H696" s="74"/>
      <c r="I696" s="74"/>
      <c r="J696" s="57"/>
      <c r="K696" s="57"/>
      <c r="L696" s="57"/>
      <c r="M696" s="57"/>
      <c r="N696" s="57"/>
      <c r="O696" s="57"/>
      <c r="P696" s="57"/>
      <c r="Q696" s="69"/>
      <c r="R696" s="69"/>
      <c r="S696" s="23" t="str">
        <f>iferror(if(AN696=1,VLOOKUP(B696, Blends!H$4:AK$1004,32,0), ""), "")</f>
        <v/>
      </c>
      <c r="T696" s="58"/>
      <c r="U696" s="77"/>
      <c r="V696" s="77"/>
      <c r="W696" s="78"/>
      <c r="X696" s="77"/>
      <c r="Y696" s="77"/>
      <c r="Z696" s="77"/>
      <c r="AA696" s="77"/>
      <c r="AB696" s="77"/>
      <c r="AC696" s="77"/>
      <c r="AD696" s="77"/>
      <c r="AE696" s="77"/>
      <c r="AF696" s="77"/>
      <c r="AG696" s="77"/>
      <c r="AH696" s="77"/>
      <c r="AI696" s="77"/>
      <c r="AJ696" s="79"/>
      <c r="AK696" s="80"/>
      <c r="AL696" s="59"/>
      <c r="AM696" s="35"/>
      <c r="AN696" s="35"/>
      <c r="AO696" s="35"/>
      <c r="AP696" s="35"/>
      <c r="AQ696" s="35"/>
      <c r="AR696" s="35"/>
      <c r="AS696" s="35"/>
      <c r="AT696" s="35"/>
      <c r="AU696" s="35"/>
      <c r="AV696" s="35"/>
      <c r="AW696" s="35"/>
    </row>
    <row r="697">
      <c r="A697" s="17"/>
      <c r="B697" s="35"/>
      <c r="C697" s="74"/>
      <c r="D697" s="74"/>
      <c r="E697" s="74"/>
      <c r="F697" s="74"/>
      <c r="G697" s="74"/>
      <c r="H697" s="74"/>
      <c r="I697" s="74"/>
      <c r="J697" s="57"/>
      <c r="K697" s="57"/>
      <c r="L697" s="57"/>
      <c r="M697" s="57"/>
      <c r="N697" s="57"/>
      <c r="O697" s="57"/>
      <c r="P697" s="57"/>
      <c r="Q697" s="69"/>
      <c r="R697" s="69"/>
      <c r="S697" s="23" t="str">
        <f>iferror(if(AN697=1,VLOOKUP(B697, Blends!H$4:AK$1004,32,0), ""), "")</f>
        <v/>
      </c>
      <c r="T697" s="58"/>
      <c r="U697" s="77"/>
      <c r="V697" s="77"/>
      <c r="W697" s="78"/>
      <c r="X697" s="77"/>
      <c r="Y697" s="77"/>
      <c r="Z697" s="77"/>
      <c r="AA697" s="77"/>
      <c r="AB697" s="77"/>
      <c r="AC697" s="77"/>
      <c r="AD697" s="77"/>
      <c r="AE697" s="77"/>
      <c r="AF697" s="77"/>
      <c r="AG697" s="77"/>
      <c r="AH697" s="77"/>
      <c r="AI697" s="77"/>
      <c r="AJ697" s="79"/>
      <c r="AK697" s="80"/>
      <c r="AL697" s="59"/>
      <c r="AM697" s="35"/>
      <c r="AN697" s="35"/>
      <c r="AO697" s="35"/>
      <c r="AP697" s="35"/>
      <c r="AQ697" s="35"/>
      <c r="AR697" s="35"/>
      <c r="AS697" s="35"/>
      <c r="AT697" s="35"/>
      <c r="AU697" s="35"/>
      <c r="AV697" s="35"/>
      <c r="AW697" s="35"/>
    </row>
    <row r="698">
      <c r="A698" s="17"/>
      <c r="B698" s="35"/>
      <c r="C698" s="74"/>
      <c r="D698" s="74"/>
      <c r="E698" s="74"/>
      <c r="F698" s="74"/>
      <c r="G698" s="74"/>
      <c r="H698" s="74"/>
      <c r="I698" s="74"/>
      <c r="J698" s="57"/>
      <c r="K698" s="57"/>
      <c r="L698" s="57"/>
      <c r="M698" s="57"/>
      <c r="N698" s="57"/>
      <c r="O698" s="57"/>
      <c r="P698" s="57"/>
      <c r="Q698" s="69"/>
      <c r="R698" s="69"/>
      <c r="S698" s="23" t="str">
        <f>iferror(if(AN698=1,VLOOKUP(B698, Blends!H$4:AK$1004,32,0), ""), "")</f>
        <v/>
      </c>
      <c r="T698" s="58"/>
      <c r="U698" s="77"/>
      <c r="V698" s="77"/>
      <c r="W698" s="78"/>
      <c r="X698" s="77"/>
      <c r="Y698" s="77"/>
      <c r="Z698" s="77"/>
      <c r="AA698" s="77"/>
      <c r="AB698" s="77"/>
      <c r="AC698" s="77"/>
      <c r="AD698" s="77"/>
      <c r="AE698" s="77"/>
      <c r="AF698" s="77"/>
      <c r="AG698" s="77"/>
      <c r="AH698" s="77"/>
      <c r="AI698" s="77"/>
      <c r="AJ698" s="79"/>
      <c r="AK698" s="80"/>
      <c r="AL698" s="59"/>
      <c r="AM698" s="35"/>
      <c r="AN698" s="35"/>
      <c r="AO698" s="35"/>
      <c r="AP698" s="35"/>
      <c r="AQ698" s="35"/>
      <c r="AR698" s="35"/>
      <c r="AS698" s="35"/>
      <c r="AT698" s="35"/>
      <c r="AU698" s="35"/>
      <c r="AV698" s="35"/>
      <c r="AW698" s="35"/>
    </row>
    <row r="699">
      <c r="A699" s="17"/>
      <c r="B699" s="35"/>
      <c r="C699" s="74"/>
      <c r="D699" s="74"/>
      <c r="E699" s="74"/>
      <c r="F699" s="74"/>
      <c r="G699" s="74"/>
      <c r="H699" s="74"/>
      <c r="I699" s="74"/>
      <c r="J699" s="57"/>
      <c r="K699" s="57"/>
      <c r="L699" s="57"/>
      <c r="M699" s="57"/>
      <c r="N699" s="57"/>
      <c r="O699" s="57"/>
      <c r="P699" s="57"/>
      <c r="Q699" s="69"/>
      <c r="R699" s="69"/>
      <c r="S699" s="23" t="str">
        <f>iferror(if(AN699=1,VLOOKUP(B699, Blends!H$4:AK$1004,32,0), ""), "")</f>
        <v/>
      </c>
      <c r="T699" s="58"/>
      <c r="U699" s="77"/>
      <c r="V699" s="77"/>
      <c r="W699" s="78"/>
      <c r="X699" s="77"/>
      <c r="Y699" s="77"/>
      <c r="Z699" s="77"/>
      <c r="AA699" s="77"/>
      <c r="AB699" s="77"/>
      <c r="AC699" s="77"/>
      <c r="AD699" s="77"/>
      <c r="AE699" s="77"/>
      <c r="AF699" s="77"/>
      <c r="AG699" s="77"/>
      <c r="AH699" s="77"/>
      <c r="AI699" s="77"/>
      <c r="AJ699" s="79"/>
      <c r="AK699" s="80"/>
      <c r="AL699" s="59"/>
      <c r="AM699" s="35"/>
      <c r="AN699" s="35"/>
      <c r="AO699" s="35"/>
      <c r="AP699" s="35"/>
      <c r="AQ699" s="35"/>
      <c r="AR699" s="35"/>
      <c r="AS699" s="35"/>
      <c r="AT699" s="35"/>
      <c r="AU699" s="35"/>
      <c r="AV699" s="35"/>
      <c r="AW699" s="35"/>
    </row>
    <row r="700">
      <c r="A700" s="17"/>
      <c r="B700" s="35"/>
      <c r="C700" s="74"/>
      <c r="D700" s="74"/>
      <c r="E700" s="74"/>
      <c r="F700" s="74"/>
      <c r="G700" s="74"/>
      <c r="H700" s="74"/>
      <c r="I700" s="74"/>
      <c r="J700" s="57"/>
      <c r="K700" s="57"/>
      <c r="L700" s="57"/>
      <c r="M700" s="57"/>
      <c r="N700" s="57"/>
      <c r="O700" s="57"/>
      <c r="P700" s="57"/>
      <c r="Q700" s="69"/>
      <c r="R700" s="69"/>
      <c r="S700" s="23" t="str">
        <f>iferror(if(AN700=1,VLOOKUP(B700, Blends!H$4:AK$1004,32,0), ""), "")</f>
        <v/>
      </c>
      <c r="T700" s="58"/>
      <c r="U700" s="77"/>
      <c r="V700" s="77"/>
      <c r="W700" s="78"/>
      <c r="X700" s="77"/>
      <c r="Y700" s="77"/>
      <c r="Z700" s="77"/>
      <c r="AA700" s="77"/>
      <c r="AB700" s="77"/>
      <c r="AC700" s="77"/>
      <c r="AD700" s="77"/>
      <c r="AE700" s="77"/>
      <c r="AF700" s="77"/>
      <c r="AG700" s="77"/>
      <c r="AH700" s="77"/>
      <c r="AI700" s="77"/>
      <c r="AJ700" s="79"/>
      <c r="AK700" s="80"/>
      <c r="AL700" s="59"/>
      <c r="AM700" s="35"/>
      <c r="AN700" s="35"/>
      <c r="AO700" s="35"/>
      <c r="AP700" s="35"/>
      <c r="AQ700" s="35"/>
      <c r="AR700" s="35"/>
      <c r="AS700" s="35"/>
      <c r="AT700" s="35"/>
      <c r="AU700" s="35"/>
      <c r="AV700" s="35"/>
      <c r="AW700" s="35"/>
    </row>
    <row r="701">
      <c r="A701" s="17"/>
      <c r="B701" s="35"/>
      <c r="C701" s="74"/>
      <c r="D701" s="74"/>
      <c r="E701" s="74"/>
      <c r="F701" s="74"/>
      <c r="G701" s="74"/>
      <c r="H701" s="74"/>
      <c r="I701" s="74"/>
      <c r="J701" s="57"/>
      <c r="K701" s="57"/>
      <c r="L701" s="57"/>
      <c r="M701" s="57"/>
      <c r="N701" s="57"/>
      <c r="O701" s="57"/>
      <c r="P701" s="57"/>
      <c r="Q701" s="69"/>
      <c r="R701" s="69"/>
      <c r="S701" s="23" t="str">
        <f>iferror(if(AN701=1,VLOOKUP(B701, Blends!H$4:AK$1004,32,0), ""), "")</f>
        <v/>
      </c>
      <c r="T701" s="58"/>
      <c r="U701" s="77"/>
      <c r="V701" s="77"/>
      <c r="W701" s="78"/>
      <c r="X701" s="77"/>
      <c r="Y701" s="77"/>
      <c r="Z701" s="77"/>
      <c r="AA701" s="77"/>
      <c r="AB701" s="77"/>
      <c r="AC701" s="77"/>
      <c r="AD701" s="77"/>
      <c r="AE701" s="77"/>
      <c r="AF701" s="77"/>
      <c r="AG701" s="77"/>
      <c r="AH701" s="77"/>
      <c r="AI701" s="77"/>
      <c r="AJ701" s="79"/>
      <c r="AK701" s="80"/>
      <c r="AL701" s="59"/>
      <c r="AM701" s="35"/>
      <c r="AN701" s="35"/>
      <c r="AO701" s="35"/>
      <c r="AP701" s="35"/>
      <c r="AQ701" s="35"/>
      <c r="AR701" s="35"/>
      <c r="AS701" s="35"/>
      <c r="AT701" s="35"/>
      <c r="AU701" s="35"/>
      <c r="AV701" s="35"/>
      <c r="AW701" s="35"/>
    </row>
    <row r="702">
      <c r="A702" s="17"/>
      <c r="B702" s="35"/>
      <c r="C702" s="74"/>
      <c r="D702" s="74"/>
      <c r="E702" s="74"/>
      <c r="F702" s="74"/>
      <c r="G702" s="74"/>
      <c r="H702" s="74"/>
      <c r="I702" s="74"/>
      <c r="J702" s="57"/>
      <c r="K702" s="57"/>
      <c r="L702" s="57"/>
      <c r="M702" s="57"/>
      <c r="N702" s="57"/>
      <c r="O702" s="57"/>
      <c r="P702" s="57"/>
      <c r="Q702" s="69"/>
      <c r="R702" s="69"/>
      <c r="S702" s="23" t="str">
        <f>iferror(if(AN702=1,VLOOKUP(B702, Blends!H$4:AK$1004,32,0), ""), "")</f>
        <v/>
      </c>
      <c r="T702" s="58"/>
      <c r="U702" s="77"/>
      <c r="V702" s="77"/>
      <c r="W702" s="78"/>
      <c r="X702" s="77"/>
      <c r="Y702" s="77"/>
      <c r="Z702" s="77"/>
      <c r="AA702" s="77"/>
      <c r="AB702" s="77"/>
      <c r="AC702" s="77"/>
      <c r="AD702" s="77"/>
      <c r="AE702" s="77"/>
      <c r="AF702" s="77"/>
      <c r="AG702" s="77"/>
      <c r="AH702" s="77"/>
      <c r="AI702" s="77"/>
      <c r="AJ702" s="79"/>
      <c r="AK702" s="80"/>
      <c r="AL702" s="59"/>
      <c r="AM702" s="35"/>
      <c r="AN702" s="35"/>
      <c r="AO702" s="35"/>
      <c r="AP702" s="35"/>
      <c r="AQ702" s="35"/>
      <c r="AR702" s="35"/>
      <c r="AS702" s="35"/>
      <c r="AT702" s="35"/>
      <c r="AU702" s="35"/>
      <c r="AV702" s="35"/>
      <c r="AW702" s="35"/>
    </row>
    <row r="703">
      <c r="A703" s="17"/>
      <c r="B703" s="35"/>
      <c r="C703" s="74"/>
      <c r="D703" s="74"/>
      <c r="E703" s="74"/>
      <c r="F703" s="74"/>
      <c r="G703" s="74"/>
      <c r="H703" s="74"/>
      <c r="I703" s="74"/>
      <c r="J703" s="57"/>
      <c r="K703" s="57"/>
      <c r="L703" s="57"/>
      <c r="M703" s="57"/>
      <c r="N703" s="57"/>
      <c r="O703" s="57"/>
      <c r="P703" s="57"/>
      <c r="Q703" s="69"/>
      <c r="R703" s="69"/>
      <c r="S703" s="23" t="str">
        <f>iferror(if(AN703=1,VLOOKUP(B703, Blends!H$4:AK$1004,32,0), ""), "")</f>
        <v/>
      </c>
      <c r="T703" s="58"/>
      <c r="U703" s="77"/>
      <c r="V703" s="77"/>
      <c r="W703" s="78"/>
      <c r="X703" s="77"/>
      <c r="Y703" s="77"/>
      <c r="Z703" s="77"/>
      <c r="AA703" s="77"/>
      <c r="AB703" s="77"/>
      <c r="AC703" s="77"/>
      <c r="AD703" s="77"/>
      <c r="AE703" s="77"/>
      <c r="AF703" s="77"/>
      <c r="AG703" s="77"/>
      <c r="AH703" s="77"/>
      <c r="AI703" s="77"/>
      <c r="AJ703" s="79"/>
      <c r="AK703" s="80"/>
      <c r="AL703" s="59"/>
      <c r="AM703" s="35"/>
      <c r="AN703" s="35"/>
      <c r="AO703" s="35"/>
      <c r="AP703" s="35"/>
      <c r="AQ703" s="35"/>
      <c r="AR703" s="35"/>
      <c r="AS703" s="35"/>
      <c r="AT703" s="35"/>
      <c r="AU703" s="35"/>
      <c r="AV703" s="35"/>
      <c r="AW703" s="35"/>
    </row>
    <row r="704">
      <c r="A704" s="17"/>
      <c r="B704" s="35"/>
      <c r="C704" s="74"/>
      <c r="D704" s="74"/>
      <c r="E704" s="74"/>
      <c r="F704" s="74"/>
      <c r="G704" s="74"/>
      <c r="H704" s="74"/>
      <c r="I704" s="74"/>
      <c r="J704" s="57"/>
      <c r="K704" s="57"/>
      <c r="L704" s="57"/>
      <c r="M704" s="57"/>
      <c r="N704" s="57"/>
      <c r="O704" s="57"/>
      <c r="P704" s="57"/>
      <c r="Q704" s="69"/>
      <c r="R704" s="69"/>
      <c r="S704" s="23" t="str">
        <f>iferror(if(AN704=1,VLOOKUP(B704, Blends!H$4:AK$1004,32,0), ""), "")</f>
        <v/>
      </c>
      <c r="T704" s="58"/>
      <c r="U704" s="77"/>
      <c r="V704" s="77"/>
      <c r="W704" s="78"/>
      <c r="X704" s="77"/>
      <c r="Y704" s="77"/>
      <c r="Z704" s="77"/>
      <c r="AA704" s="77"/>
      <c r="AB704" s="77"/>
      <c r="AC704" s="77"/>
      <c r="AD704" s="77"/>
      <c r="AE704" s="77"/>
      <c r="AF704" s="77"/>
      <c r="AG704" s="77"/>
      <c r="AH704" s="77"/>
      <c r="AI704" s="77"/>
      <c r="AJ704" s="79"/>
      <c r="AK704" s="80"/>
      <c r="AL704" s="59"/>
      <c r="AM704" s="35"/>
      <c r="AN704" s="35"/>
      <c r="AO704" s="35"/>
      <c r="AP704" s="35"/>
      <c r="AQ704" s="35"/>
      <c r="AR704" s="35"/>
      <c r="AS704" s="35"/>
      <c r="AT704" s="35"/>
      <c r="AU704" s="35"/>
      <c r="AV704" s="35"/>
      <c r="AW704" s="35"/>
    </row>
    <row r="705">
      <c r="A705" s="17"/>
      <c r="B705" s="35"/>
      <c r="C705" s="74"/>
      <c r="D705" s="74"/>
      <c r="E705" s="74"/>
      <c r="F705" s="74"/>
      <c r="G705" s="74"/>
      <c r="H705" s="74"/>
      <c r="I705" s="74"/>
      <c r="J705" s="57"/>
      <c r="K705" s="57"/>
      <c r="L705" s="57"/>
      <c r="M705" s="57"/>
      <c r="N705" s="57"/>
      <c r="O705" s="57"/>
      <c r="P705" s="57"/>
      <c r="Q705" s="69"/>
      <c r="R705" s="69"/>
      <c r="S705" s="23" t="str">
        <f>iferror(if(AN705=1,VLOOKUP(B705, Blends!H$4:AK$1004,32,0), ""), "")</f>
        <v/>
      </c>
      <c r="T705" s="58"/>
      <c r="U705" s="77"/>
      <c r="V705" s="77"/>
      <c r="W705" s="78"/>
      <c r="X705" s="77"/>
      <c r="Y705" s="77"/>
      <c r="Z705" s="77"/>
      <c r="AA705" s="77"/>
      <c r="AB705" s="77"/>
      <c r="AC705" s="77"/>
      <c r="AD705" s="77"/>
      <c r="AE705" s="77"/>
      <c r="AF705" s="77"/>
      <c r="AG705" s="77"/>
      <c r="AH705" s="77"/>
      <c r="AI705" s="77"/>
      <c r="AJ705" s="79"/>
      <c r="AK705" s="80"/>
      <c r="AL705" s="59"/>
      <c r="AM705" s="35"/>
      <c r="AN705" s="35"/>
      <c r="AO705" s="35"/>
      <c r="AP705" s="35"/>
      <c r="AQ705" s="35"/>
      <c r="AR705" s="35"/>
      <c r="AS705" s="35"/>
      <c r="AT705" s="35"/>
      <c r="AU705" s="35"/>
      <c r="AV705" s="35"/>
      <c r="AW705" s="35"/>
    </row>
    <row r="706">
      <c r="A706" s="17"/>
      <c r="B706" s="35"/>
      <c r="C706" s="74"/>
      <c r="D706" s="74"/>
      <c r="E706" s="74"/>
      <c r="F706" s="74"/>
      <c r="G706" s="74"/>
      <c r="H706" s="74"/>
      <c r="I706" s="74"/>
      <c r="J706" s="57"/>
      <c r="K706" s="57"/>
      <c r="L706" s="57"/>
      <c r="M706" s="57"/>
      <c r="N706" s="57"/>
      <c r="O706" s="57"/>
      <c r="P706" s="57"/>
      <c r="Q706" s="69"/>
      <c r="R706" s="69"/>
      <c r="S706" s="23" t="str">
        <f>iferror(if(AN706=1,VLOOKUP(B706, Blends!H$4:AK$1004,32,0), ""), "")</f>
        <v/>
      </c>
      <c r="T706" s="58"/>
      <c r="U706" s="77"/>
      <c r="V706" s="77"/>
      <c r="W706" s="78"/>
      <c r="X706" s="77"/>
      <c r="Y706" s="77"/>
      <c r="Z706" s="77"/>
      <c r="AA706" s="77"/>
      <c r="AB706" s="77"/>
      <c r="AC706" s="77"/>
      <c r="AD706" s="77"/>
      <c r="AE706" s="77"/>
      <c r="AF706" s="77"/>
      <c r="AG706" s="77"/>
      <c r="AH706" s="77"/>
      <c r="AI706" s="77"/>
      <c r="AJ706" s="79"/>
      <c r="AK706" s="80"/>
      <c r="AL706" s="59"/>
      <c r="AM706" s="35"/>
      <c r="AN706" s="35"/>
      <c r="AO706" s="35"/>
      <c r="AP706" s="35"/>
      <c r="AQ706" s="35"/>
      <c r="AR706" s="35"/>
      <c r="AS706" s="35"/>
      <c r="AT706" s="35"/>
      <c r="AU706" s="35"/>
      <c r="AV706" s="35"/>
      <c r="AW706" s="35"/>
    </row>
    <row r="707">
      <c r="A707" s="17"/>
      <c r="B707" s="35"/>
      <c r="C707" s="74"/>
      <c r="D707" s="74"/>
      <c r="E707" s="74"/>
      <c r="F707" s="74"/>
      <c r="G707" s="74"/>
      <c r="H707" s="74"/>
      <c r="I707" s="74"/>
      <c r="J707" s="57"/>
      <c r="K707" s="57"/>
      <c r="L707" s="57"/>
      <c r="M707" s="57"/>
      <c r="N707" s="57"/>
      <c r="O707" s="57"/>
      <c r="P707" s="57"/>
      <c r="Q707" s="69"/>
      <c r="R707" s="69"/>
      <c r="S707" s="23" t="str">
        <f>iferror(if(AN707=1,VLOOKUP(B707, Blends!H$4:AK$1004,32,0), ""), "")</f>
        <v/>
      </c>
      <c r="T707" s="58"/>
      <c r="U707" s="77"/>
      <c r="V707" s="77"/>
      <c r="W707" s="78"/>
      <c r="X707" s="77"/>
      <c r="Y707" s="77"/>
      <c r="Z707" s="77"/>
      <c r="AA707" s="77"/>
      <c r="AB707" s="77"/>
      <c r="AC707" s="77"/>
      <c r="AD707" s="77"/>
      <c r="AE707" s="77"/>
      <c r="AF707" s="77"/>
      <c r="AG707" s="77"/>
      <c r="AH707" s="77"/>
      <c r="AI707" s="77"/>
      <c r="AJ707" s="79"/>
      <c r="AK707" s="80"/>
      <c r="AL707" s="59"/>
      <c r="AM707" s="35"/>
      <c r="AN707" s="35"/>
      <c r="AO707" s="35"/>
      <c r="AP707" s="35"/>
      <c r="AQ707" s="35"/>
      <c r="AR707" s="35"/>
      <c r="AS707" s="35"/>
      <c r="AT707" s="35"/>
      <c r="AU707" s="35"/>
      <c r="AV707" s="35"/>
      <c r="AW707" s="35"/>
    </row>
    <row r="708">
      <c r="A708" s="17"/>
      <c r="B708" s="35"/>
      <c r="C708" s="74"/>
      <c r="D708" s="74"/>
      <c r="E708" s="74"/>
      <c r="F708" s="74"/>
      <c r="G708" s="74"/>
      <c r="H708" s="74"/>
      <c r="I708" s="74"/>
      <c r="J708" s="57"/>
      <c r="K708" s="57"/>
      <c r="L708" s="57"/>
      <c r="M708" s="57"/>
      <c r="N708" s="57"/>
      <c r="O708" s="57"/>
      <c r="P708" s="57"/>
      <c r="Q708" s="69"/>
      <c r="R708" s="69"/>
      <c r="S708" s="23" t="str">
        <f>iferror(if(AN708=1,VLOOKUP(B708, Blends!H$4:AK$1004,32,0), ""), "")</f>
        <v/>
      </c>
      <c r="T708" s="58"/>
      <c r="U708" s="77"/>
      <c r="V708" s="77"/>
      <c r="W708" s="78"/>
      <c r="X708" s="77"/>
      <c r="Y708" s="77"/>
      <c r="Z708" s="77"/>
      <c r="AA708" s="77"/>
      <c r="AB708" s="77"/>
      <c r="AC708" s="77"/>
      <c r="AD708" s="77"/>
      <c r="AE708" s="77"/>
      <c r="AF708" s="77"/>
      <c r="AG708" s="77"/>
      <c r="AH708" s="77"/>
      <c r="AI708" s="77"/>
      <c r="AJ708" s="79"/>
      <c r="AK708" s="80"/>
      <c r="AL708" s="59"/>
      <c r="AM708" s="35"/>
      <c r="AN708" s="35"/>
      <c r="AO708" s="35"/>
      <c r="AP708" s="35"/>
      <c r="AQ708" s="35"/>
      <c r="AR708" s="35"/>
      <c r="AS708" s="35"/>
      <c r="AT708" s="35"/>
      <c r="AU708" s="35"/>
      <c r="AV708" s="35"/>
      <c r="AW708" s="35"/>
    </row>
    <row r="709">
      <c r="A709" s="17"/>
      <c r="B709" s="35"/>
      <c r="C709" s="74"/>
      <c r="D709" s="74"/>
      <c r="E709" s="74"/>
      <c r="F709" s="74"/>
      <c r="G709" s="74"/>
      <c r="H709" s="74"/>
      <c r="I709" s="74"/>
      <c r="J709" s="57"/>
      <c r="K709" s="57"/>
      <c r="L709" s="57"/>
      <c r="M709" s="57"/>
      <c r="N709" s="57"/>
      <c r="O709" s="57"/>
      <c r="P709" s="57"/>
      <c r="Q709" s="69"/>
      <c r="R709" s="69"/>
      <c r="S709" s="23" t="str">
        <f>iferror(if(AN709=1,VLOOKUP(B709, Blends!H$4:AK$1004,32,0), ""), "")</f>
        <v/>
      </c>
      <c r="T709" s="58"/>
      <c r="U709" s="77"/>
      <c r="V709" s="77"/>
      <c r="W709" s="78"/>
      <c r="X709" s="77"/>
      <c r="Y709" s="77"/>
      <c r="Z709" s="77"/>
      <c r="AA709" s="77"/>
      <c r="AB709" s="77"/>
      <c r="AC709" s="77"/>
      <c r="AD709" s="77"/>
      <c r="AE709" s="77"/>
      <c r="AF709" s="77"/>
      <c r="AG709" s="77"/>
      <c r="AH709" s="77"/>
      <c r="AI709" s="77"/>
      <c r="AJ709" s="79"/>
      <c r="AK709" s="80"/>
      <c r="AL709" s="59"/>
      <c r="AM709" s="35"/>
      <c r="AN709" s="35"/>
      <c r="AO709" s="35"/>
      <c r="AP709" s="35"/>
      <c r="AQ709" s="35"/>
      <c r="AR709" s="35"/>
      <c r="AS709" s="35"/>
      <c r="AT709" s="35"/>
      <c r="AU709" s="35"/>
      <c r="AV709" s="35"/>
      <c r="AW709" s="35"/>
    </row>
    <row r="710">
      <c r="A710" s="17"/>
      <c r="B710" s="35"/>
      <c r="C710" s="74"/>
      <c r="D710" s="74"/>
      <c r="E710" s="74"/>
      <c r="F710" s="74"/>
      <c r="G710" s="74"/>
      <c r="H710" s="74"/>
      <c r="I710" s="74"/>
      <c r="J710" s="57"/>
      <c r="K710" s="57"/>
      <c r="L710" s="57"/>
      <c r="M710" s="57"/>
      <c r="N710" s="57"/>
      <c r="O710" s="57"/>
      <c r="P710" s="57"/>
      <c r="Q710" s="69"/>
      <c r="R710" s="69"/>
      <c r="S710" s="23" t="str">
        <f>iferror(if(AN710=1,VLOOKUP(B710, Blends!H$4:AK$1004,32,0), ""), "")</f>
        <v/>
      </c>
      <c r="T710" s="58"/>
      <c r="U710" s="77"/>
      <c r="V710" s="77"/>
      <c r="W710" s="78"/>
      <c r="X710" s="77"/>
      <c r="Y710" s="77"/>
      <c r="Z710" s="77"/>
      <c r="AA710" s="77"/>
      <c r="AB710" s="77"/>
      <c r="AC710" s="77"/>
      <c r="AD710" s="77"/>
      <c r="AE710" s="77"/>
      <c r="AF710" s="77"/>
      <c r="AG710" s="77"/>
      <c r="AH710" s="77"/>
      <c r="AI710" s="77"/>
      <c r="AJ710" s="79"/>
      <c r="AK710" s="80"/>
      <c r="AL710" s="59"/>
      <c r="AM710" s="35"/>
      <c r="AN710" s="35"/>
      <c r="AO710" s="35"/>
      <c r="AP710" s="35"/>
      <c r="AQ710" s="35"/>
      <c r="AR710" s="35"/>
      <c r="AS710" s="35"/>
      <c r="AT710" s="35"/>
      <c r="AU710" s="35"/>
      <c r="AV710" s="35"/>
      <c r="AW710" s="35"/>
    </row>
    <row r="711">
      <c r="A711" s="17"/>
      <c r="B711" s="35"/>
      <c r="C711" s="74"/>
      <c r="D711" s="74"/>
      <c r="E711" s="74"/>
      <c r="F711" s="74"/>
      <c r="G711" s="74"/>
      <c r="H711" s="74"/>
      <c r="I711" s="74"/>
      <c r="J711" s="57"/>
      <c r="K711" s="57"/>
      <c r="L711" s="57"/>
      <c r="M711" s="57"/>
      <c r="N711" s="57"/>
      <c r="O711" s="57"/>
      <c r="P711" s="57"/>
      <c r="Q711" s="69"/>
      <c r="R711" s="69"/>
      <c r="S711" s="23" t="str">
        <f>iferror(if(AN711=1,VLOOKUP(B711, Blends!H$4:AK$1004,32,0), ""), "")</f>
        <v/>
      </c>
      <c r="T711" s="58"/>
      <c r="U711" s="77"/>
      <c r="V711" s="77"/>
      <c r="W711" s="78"/>
      <c r="X711" s="77"/>
      <c r="Y711" s="77"/>
      <c r="Z711" s="77"/>
      <c r="AA711" s="77"/>
      <c r="AB711" s="77"/>
      <c r="AC711" s="77"/>
      <c r="AD711" s="77"/>
      <c r="AE711" s="77"/>
      <c r="AF711" s="77"/>
      <c r="AG711" s="77"/>
      <c r="AH711" s="77"/>
      <c r="AI711" s="77"/>
      <c r="AJ711" s="79"/>
      <c r="AK711" s="80"/>
      <c r="AL711" s="59"/>
      <c r="AM711" s="35"/>
      <c r="AN711" s="35"/>
      <c r="AO711" s="35"/>
      <c r="AP711" s="35"/>
      <c r="AQ711" s="35"/>
      <c r="AR711" s="35"/>
      <c r="AS711" s="35"/>
      <c r="AT711" s="35"/>
      <c r="AU711" s="35"/>
      <c r="AV711" s="35"/>
      <c r="AW711" s="35"/>
    </row>
    <row r="712">
      <c r="A712" s="17"/>
      <c r="B712" s="35"/>
      <c r="C712" s="74"/>
      <c r="D712" s="74"/>
      <c r="E712" s="74"/>
      <c r="F712" s="74"/>
      <c r="G712" s="74"/>
      <c r="H712" s="74"/>
      <c r="I712" s="74"/>
      <c r="J712" s="57"/>
      <c r="K712" s="57"/>
      <c r="L712" s="57"/>
      <c r="M712" s="57"/>
      <c r="N712" s="57"/>
      <c r="O712" s="57"/>
      <c r="P712" s="57"/>
      <c r="Q712" s="69"/>
      <c r="R712" s="69"/>
      <c r="S712" s="23" t="str">
        <f>iferror(if(AN712=1,VLOOKUP(B712, Blends!H$4:AK$1004,32,0), ""), "")</f>
        <v/>
      </c>
      <c r="T712" s="58"/>
      <c r="U712" s="77"/>
      <c r="V712" s="77"/>
      <c r="W712" s="78"/>
      <c r="X712" s="77"/>
      <c r="Y712" s="77"/>
      <c r="Z712" s="77"/>
      <c r="AA712" s="77"/>
      <c r="AB712" s="77"/>
      <c r="AC712" s="77"/>
      <c r="AD712" s="77"/>
      <c r="AE712" s="77"/>
      <c r="AF712" s="77"/>
      <c r="AG712" s="77"/>
      <c r="AH712" s="77"/>
      <c r="AI712" s="77"/>
      <c r="AJ712" s="79"/>
      <c r="AK712" s="80"/>
      <c r="AL712" s="59"/>
      <c r="AM712" s="35"/>
      <c r="AN712" s="35"/>
      <c r="AO712" s="35"/>
      <c r="AP712" s="35"/>
      <c r="AQ712" s="35"/>
      <c r="AR712" s="35"/>
      <c r="AS712" s="35"/>
      <c r="AT712" s="35"/>
      <c r="AU712" s="35"/>
      <c r="AV712" s="35"/>
      <c r="AW712" s="35"/>
    </row>
    <row r="713">
      <c r="A713" s="17"/>
      <c r="B713" s="35"/>
      <c r="C713" s="74"/>
      <c r="D713" s="74"/>
      <c r="E713" s="74"/>
      <c r="F713" s="74"/>
      <c r="G713" s="74"/>
      <c r="H713" s="74"/>
      <c r="I713" s="74"/>
      <c r="J713" s="57"/>
      <c r="K713" s="57"/>
      <c r="L713" s="57"/>
      <c r="M713" s="57"/>
      <c r="N713" s="57"/>
      <c r="O713" s="57"/>
      <c r="P713" s="57"/>
      <c r="Q713" s="69"/>
      <c r="R713" s="69"/>
      <c r="S713" s="23" t="str">
        <f>iferror(if(AN713=1,VLOOKUP(B713, Blends!H$4:AK$1004,32,0), ""), "")</f>
        <v/>
      </c>
      <c r="T713" s="58"/>
      <c r="U713" s="77"/>
      <c r="V713" s="77"/>
      <c r="W713" s="78"/>
      <c r="X713" s="77"/>
      <c r="Y713" s="77"/>
      <c r="Z713" s="77"/>
      <c r="AA713" s="77"/>
      <c r="AB713" s="77"/>
      <c r="AC713" s="77"/>
      <c r="AD713" s="77"/>
      <c r="AE713" s="77"/>
      <c r="AF713" s="77"/>
      <c r="AG713" s="77"/>
      <c r="AH713" s="77"/>
      <c r="AI713" s="77"/>
      <c r="AJ713" s="79"/>
      <c r="AK713" s="80"/>
      <c r="AL713" s="59"/>
      <c r="AM713" s="35"/>
      <c r="AN713" s="35"/>
      <c r="AO713" s="35"/>
      <c r="AP713" s="35"/>
      <c r="AQ713" s="35"/>
      <c r="AR713" s="35"/>
      <c r="AS713" s="35"/>
      <c r="AT713" s="35"/>
      <c r="AU713" s="35"/>
      <c r="AV713" s="35"/>
      <c r="AW713" s="35"/>
    </row>
    <row r="714">
      <c r="A714" s="17"/>
      <c r="B714" s="35"/>
      <c r="C714" s="74"/>
      <c r="D714" s="74"/>
      <c r="E714" s="74"/>
      <c r="F714" s="74"/>
      <c r="G714" s="74"/>
      <c r="H714" s="74"/>
      <c r="I714" s="74"/>
      <c r="J714" s="57"/>
      <c r="K714" s="57"/>
      <c r="L714" s="57"/>
      <c r="M714" s="57"/>
      <c r="N714" s="57"/>
      <c r="O714" s="57"/>
      <c r="P714" s="57"/>
      <c r="Q714" s="69"/>
      <c r="R714" s="69"/>
      <c r="S714" s="23" t="str">
        <f>iferror(if(AN714=1,VLOOKUP(B714, Blends!H$4:AK$1004,32,0), ""), "")</f>
        <v/>
      </c>
      <c r="T714" s="58"/>
      <c r="U714" s="77"/>
      <c r="V714" s="77"/>
      <c r="W714" s="78"/>
      <c r="X714" s="77"/>
      <c r="Y714" s="77"/>
      <c r="Z714" s="77"/>
      <c r="AA714" s="77"/>
      <c r="AB714" s="77"/>
      <c r="AC714" s="77"/>
      <c r="AD714" s="77"/>
      <c r="AE714" s="77"/>
      <c r="AF714" s="77"/>
      <c r="AG714" s="77"/>
      <c r="AH714" s="77"/>
      <c r="AI714" s="77"/>
      <c r="AJ714" s="79"/>
      <c r="AK714" s="80"/>
      <c r="AL714" s="59"/>
      <c r="AM714" s="35"/>
      <c r="AN714" s="35"/>
      <c r="AO714" s="35"/>
      <c r="AP714" s="35"/>
      <c r="AQ714" s="35"/>
      <c r="AR714" s="35"/>
      <c r="AS714" s="35"/>
      <c r="AT714" s="35"/>
      <c r="AU714" s="35"/>
      <c r="AV714" s="35"/>
      <c r="AW714" s="35"/>
    </row>
    <row r="715">
      <c r="A715" s="17"/>
      <c r="B715" s="35"/>
      <c r="C715" s="74"/>
      <c r="D715" s="74"/>
      <c r="E715" s="74"/>
      <c r="F715" s="74"/>
      <c r="G715" s="74"/>
      <c r="H715" s="74"/>
      <c r="I715" s="74"/>
      <c r="J715" s="57"/>
      <c r="K715" s="57"/>
      <c r="L715" s="57"/>
      <c r="M715" s="57"/>
      <c r="N715" s="57"/>
      <c r="O715" s="57"/>
      <c r="P715" s="57"/>
      <c r="Q715" s="69"/>
      <c r="R715" s="69"/>
      <c r="S715" s="23" t="str">
        <f>iferror(if(AN715=1,VLOOKUP(B715, Blends!H$4:AK$1004,32,0), ""), "")</f>
        <v/>
      </c>
      <c r="T715" s="58"/>
      <c r="U715" s="77"/>
      <c r="V715" s="77"/>
      <c r="W715" s="78"/>
      <c r="X715" s="77"/>
      <c r="Y715" s="77"/>
      <c r="Z715" s="77"/>
      <c r="AA715" s="77"/>
      <c r="AB715" s="77"/>
      <c r="AC715" s="77"/>
      <c r="AD715" s="77"/>
      <c r="AE715" s="77"/>
      <c r="AF715" s="77"/>
      <c r="AG715" s="77"/>
      <c r="AH715" s="77"/>
      <c r="AI715" s="77"/>
      <c r="AJ715" s="79"/>
      <c r="AK715" s="80"/>
      <c r="AL715" s="59"/>
      <c r="AM715" s="35"/>
      <c r="AN715" s="35"/>
      <c r="AO715" s="35"/>
      <c r="AP715" s="35"/>
      <c r="AQ715" s="35"/>
      <c r="AR715" s="35"/>
      <c r="AS715" s="35"/>
      <c r="AT715" s="35"/>
      <c r="AU715" s="35"/>
      <c r="AV715" s="35"/>
      <c r="AW715" s="35"/>
    </row>
    <row r="716">
      <c r="A716" s="17"/>
      <c r="B716" s="35"/>
      <c r="C716" s="74"/>
      <c r="D716" s="74"/>
      <c r="E716" s="74"/>
      <c r="F716" s="74"/>
      <c r="G716" s="74"/>
      <c r="H716" s="74"/>
      <c r="I716" s="74"/>
      <c r="J716" s="57"/>
      <c r="K716" s="57"/>
      <c r="L716" s="57"/>
      <c r="M716" s="57"/>
      <c r="N716" s="57"/>
      <c r="O716" s="57"/>
      <c r="P716" s="57"/>
      <c r="Q716" s="69"/>
      <c r="R716" s="69"/>
      <c r="S716" s="23" t="str">
        <f>iferror(if(AN716=1,VLOOKUP(B716, Blends!H$4:AK$1004,32,0), ""), "")</f>
        <v/>
      </c>
      <c r="T716" s="58"/>
      <c r="U716" s="77"/>
      <c r="V716" s="77"/>
      <c r="W716" s="78"/>
      <c r="X716" s="77"/>
      <c r="Y716" s="77"/>
      <c r="Z716" s="77"/>
      <c r="AA716" s="77"/>
      <c r="AB716" s="77"/>
      <c r="AC716" s="77"/>
      <c r="AD716" s="77"/>
      <c r="AE716" s="77"/>
      <c r="AF716" s="77"/>
      <c r="AG716" s="77"/>
      <c r="AH716" s="77"/>
      <c r="AI716" s="77"/>
      <c r="AJ716" s="79"/>
      <c r="AK716" s="80"/>
      <c r="AL716" s="59"/>
      <c r="AM716" s="35"/>
      <c r="AN716" s="35"/>
      <c r="AO716" s="35"/>
      <c r="AP716" s="35"/>
      <c r="AQ716" s="35"/>
      <c r="AR716" s="35"/>
      <c r="AS716" s="35"/>
      <c r="AT716" s="35"/>
      <c r="AU716" s="35"/>
      <c r="AV716" s="35"/>
      <c r="AW716" s="35"/>
    </row>
    <row r="717">
      <c r="A717" s="17"/>
      <c r="B717" s="35"/>
      <c r="C717" s="74"/>
      <c r="D717" s="74"/>
      <c r="E717" s="74"/>
      <c r="F717" s="74"/>
      <c r="G717" s="74"/>
      <c r="H717" s="74"/>
      <c r="I717" s="74"/>
      <c r="J717" s="57"/>
      <c r="K717" s="57"/>
      <c r="L717" s="57"/>
      <c r="M717" s="57"/>
      <c r="N717" s="57"/>
      <c r="O717" s="57"/>
      <c r="P717" s="57"/>
      <c r="Q717" s="69"/>
      <c r="R717" s="69"/>
      <c r="S717" s="23" t="str">
        <f>iferror(if(AN717=1,VLOOKUP(B717, Blends!H$4:AK$1004,32,0), ""), "")</f>
        <v/>
      </c>
      <c r="T717" s="58"/>
      <c r="U717" s="77"/>
      <c r="V717" s="77"/>
      <c r="W717" s="78"/>
      <c r="X717" s="77"/>
      <c r="Y717" s="77"/>
      <c r="Z717" s="77"/>
      <c r="AA717" s="77"/>
      <c r="AB717" s="77"/>
      <c r="AC717" s="77"/>
      <c r="AD717" s="77"/>
      <c r="AE717" s="77"/>
      <c r="AF717" s="77"/>
      <c r="AG717" s="77"/>
      <c r="AH717" s="77"/>
      <c r="AI717" s="77"/>
      <c r="AJ717" s="79"/>
      <c r="AK717" s="80"/>
      <c r="AL717" s="59"/>
      <c r="AM717" s="35"/>
      <c r="AN717" s="35"/>
      <c r="AO717" s="35"/>
      <c r="AP717" s="35"/>
      <c r="AQ717" s="35"/>
      <c r="AR717" s="35"/>
      <c r="AS717" s="35"/>
      <c r="AT717" s="35"/>
      <c r="AU717" s="35"/>
      <c r="AV717" s="35"/>
      <c r="AW717" s="35"/>
    </row>
    <row r="718">
      <c r="A718" s="17"/>
      <c r="B718" s="35"/>
      <c r="C718" s="74"/>
      <c r="D718" s="74"/>
      <c r="E718" s="74"/>
      <c r="F718" s="74"/>
      <c r="G718" s="74"/>
      <c r="H718" s="74"/>
      <c r="I718" s="74"/>
      <c r="J718" s="57"/>
      <c r="K718" s="57"/>
      <c r="L718" s="57"/>
      <c r="M718" s="57"/>
      <c r="N718" s="57"/>
      <c r="O718" s="57"/>
      <c r="P718" s="57"/>
      <c r="Q718" s="69"/>
      <c r="R718" s="69"/>
      <c r="S718" s="23" t="str">
        <f>iferror(if(AN718=1,VLOOKUP(B718, Blends!H$4:AK$1004,32,0), ""), "")</f>
        <v/>
      </c>
      <c r="T718" s="58"/>
      <c r="U718" s="77"/>
      <c r="V718" s="77"/>
      <c r="W718" s="78"/>
      <c r="X718" s="77"/>
      <c r="Y718" s="77"/>
      <c r="Z718" s="77"/>
      <c r="AA718" s="77"/>
      <c r="AB718" s="77"/>
      <c r="AC718" s="77"/>
      <c r="AD718" s="77"/>
      <c r="AE718" s="77"/>
      <c r="AF718" s="77"/>
      <c r="AG718" s="77"/>
      <c r="AH718" s="77"/>
      <c r="AI718" s="77"/>
      <c r="AJ718" s="79"/>
      <c r="AK718" s="80"/>
      <c r="AL718" s="59"/>
      <c r="AM718" s="35"/>
      <c r="AN718" s="35"/>
      <c r="AO718" s="35"/>
      <c r="AP718" s="35"/>
      <c r="AQ718" s="35"/>
      <c r="AR718" s="35"/>
      <c r="AS718" s="35"/>
      <c r="AT718" s="35"/>
      <c r="AU718" s="35"/>
      <c r="AV718" s="35"/>
      <c r="AW718" s="35"/>
    </row>
    <row r="719">
      <c r="A719" s="17"/>
      <c r="B719" s="35"/>
      <c r="C719" s="74"/>
      <c r="D719" s="74"/>
      <c r="E719" s="74"/>
      <c r="F719" s="74"/>
      <c r="G719" s="74"/>
      <c r="H719" s="74"/>
      <c r="I719" s="74"/>
      <c r="J719" s="57"/>
      <c r="K719" s="57"/>
      <c r="L719" s="57"/>
      <c r="M719" s="57"/>
      <c r="N719" s="57"/>
      <c r="O719" s="57"/>
      <c r="P719" s="57"/>
      <c r="Q719" s="69"/>
      <c r="R719" s="69"/>
      <c r="S719" s="23" t="str">
        <f>iferror(if(AN719=1,VLOOKUP(B719, Blends!H$4:AK$1004,32,0), ""), "")</f>
        <v/>
      </c>
      <c r="T719" s="58"/>
      <c r="U719" s="77"/>
      <c r="V719" s="77"/>
      <c r="W719" s="78"/>
      <c r="X719" s="77"/>
      <c r="Y719" s="77"/>
      <c r="Z719" s="77"/>
      <c r="AA719" s="77"/>
      <c r="AB719" s="77"/>
      <c r="AC719" s="77"/>
      <c r="AD719" s="77"/>
      <c r="AE719" s="77"/>
      <c r="AF719" s="77"/>
      <c r="AG719" s="77"/>
      <c r="AH719" s="77"/>
      <c r="AI719" s="77"/>
      <c r="AJ719" s="79"/>
      <c r="AK719" s="80"/>
      <c r="AL719" s="59"/>
      <c r="AM719" s="35"/>
      <c r="AN719" s="35"/>
      <c r="AO719" s="35"/>
      <c r="AP719" s="35"/>
      <c r="AQ719" s="35"/>
      <c r="AR719" s="35"/>
      <c r="AS719" s="35"/>
      <c r="AT719" s="35"/>
      <c r="AU719" s="35"/>
      <c r="AV719" s="35"/>
      <c r="AW719" s="35"/>
    </row>
    <row r="720">
      <c r="A720" s="17"/>
      <c r="B720" s="35"/>
      <c r="C720" s="74"/>
      <c r="D720" s="74"/>
      <c r="E720" s="74"/>
      <c r="F720" s="74"/>
      <c r="G720" s="74"/>
      <c r="H720" s="74"/>
      <c r="I720" s="74"/>
      <c r="J720" s="57"/>
      <c r="K720" s="57"/>
      <c r="L720" s="57"/>
      <c r="M720" s="57"/>
      <c r="N720" s="57"/>
      <c r="O720" s="57"/>
      <c r="P720" s="57"/>
      <c r="Q720" s="69"/>
      <c r="R720" s="69"/>
      <c r="S720" s="23" t="str">
        <f>iferror(if(AN720=1,VLOOKUP(B720, Blends!H$4:AK$1004,32,0), ""), "")</f>
        <v/>
      </c>
      <c r="T720" s="58"/>
      <c r="U720" s="77"/>
      <c r="V720" s="77"/>
      <c r="W720" s="78"/>
      <c r="X720" s="77"/>
      <c r="Y720" s="77"/>
      <c r="Z720" s="77"/>
      <c r="AA720" s="77"/>
      <c r="AB720" s="77"/>
      <c r="AC720" s="77"/>
      <c r="AD720" s="77"/>
      <c r="AE720" s="77"/>
      <c r="AF720" s="77"/>
      <c r="AG720" s="77"/>
      <c r="AH720" s="77"/>
      <c r="AI720" s="77"/>
      <c r="AJ720" s="79"/>
      <c r="AK720" s="80"/>
      <c r="AL720" s="59"/>
      <c r="AM720" s="35"/>
      <c r="AN720" s="35"/>
      <c r="AO720" s="35"/>
      <c r="AP720" s="35"/>
      <c r="AQ720" s="35"/>
      <c r="AR720" s="35"/>
      <c r="AS720" s="35"/>
      <c r="AT720" s="35"/>
      <c r="AU720" s="35"/>
      <c r="AV720" s="35"/>
      <c r="AW720" s="35"/>
    </row>
    <row r="721">
      <c r="A721" s="17"/>
      <c r="B721" s="35"/>
      <c r="C721" s="74"/>
      <c r="D721" s="74"/>
      <c r="E721" s="74"/>
      <c r="F721" s="74"/>
      <c r="G721" s="74"/>
      <c r="H721" s="74"/>
      <c r="I721" s="74"/>
      <c r="J721" s="57"/>
      <c r="K721" s="57"/>
      <c r="L721" s="57"/>
      <c r="M721" s="57"/>
      <c r="N721" s="57"/>
      <c r="O721" s="57"/>
      <c r="P721" s="57"/>
      <c r="Q721" s="69"/>
      <c r="R721" s="69"/>
      <c r="S721" s="23" t="str">
        <f>iferror(if(AN721=1,VLOOKUP(B721, Blends!H$4:AK$1004,32,0), ""), "")</f>
        <v/>
      </c>
      <c r="T721" s="58"/>
      <c r="U721" s="77"/>
      <c r="V721" s="77"/>
      <c r="W721" s="78"/>
      <c r="X721" s="77"/>
      <c r="Y721" s="77"/>
      <c r="Z721" s="77"/>
      <c r="AA721" s="77"/>
      <c r="AB721" s="77"/>
      <c r="AC721" s="77"/>
      <c r="AD721" s="77"/>
      <c r="AE721" s="77"/>
      <c r="AF721" s="77"/>
      <c r="AG721" s="77"/>
      <c r="AH721" s="77"/>
      <c r="AI721" s="77"/>
      <c r="AJ721" s="79"/>
      <c r="AK721" s="80"/>
      <c r="AL721" s="59"/>
      <c r="AM721" s="35"/>
      <c r="AN721" s="35"/>
      <c r="AO721" s="35"/>
      <c r="AP721" s="35"/>
      <c r="AQ721" s="35"/>
      <c r="AR721" s="35"/>
      <c r="AS721" s="35"/>
      <c r="AT721" s="35"/>
      <c r="AU721" s="35"/>
      <c r="AV721" s="35"/>
      <c r="AW721" s="35"/>
    </row>
    <row r="722">
      <c r="A722" s="17"/>
      <c r="B722" s="35"/>
      <c r="C722" s="74"/>
      <c r="D722" s="74"/>
      <c r="E722" s="74"/>
      <c r="F722" s="74"/>
      <c r="G722" s="74"/>
      <c r="H722" s="74"/>
      <c r="I722" s="74"/>
      <c r="J722" s="57"/>
      <c r="K722" s="57"/>
      <c r="L722" s="57"/>
      <c r="M722" s="57"/>
      <c r="N722" s="57"/>
      <c r="O722" s="57"/>
      <c r="P722" s="57"/>
      <c r="Q722" s="69"/>
      <c r="R722" s="69"/>
      <c r="S722" s="23" t="str">
        <f>iferror(if(AN722=1,VLOOKUP(B722, Blends!H$4:AK$1004,32,0), ""), "")</f>
        <v/>
      </c>
      <c r="T722" s="58"/>
      <c r="U722" s="77"/>
      <c r="V722" s="77"/>
      <c r="W722" s="78"/>
      <c r="X722" s="77"/>
      <c r="Y722" s="77"/>
      <c r="Z722" s="77"/>
      <c r="AA722" s="77"/>
      <c r="AB722" s="77"/>
      <c r="AC722" s="77"/>
      <c r="AD722" s="77"/>
      <c r="AE722" s="77"/>
      <c r="AF722" s="77"/>
      <c r="AG722" s="77"/>
      <c r="AH722" s="77"/>
      <c r="AI722" s="77"/>
      <c r="AJ722" s="79"/>
      <c r="AK722" s="80"/>
      <c r="AL722" s="59"/>
      <c r="AM722" s="35"/>
      <c r="AN722" s="35"/>
      <c r="AO722" s="35"/>
      <c r="AP722" s="35"/>
      <c r="AQ722" s="35"/>
      <c r="AR722" s="35"/>
      <c r="AS722" s="35"/>
      <c r="AT722" s="35"/>
      <c r="AU722" s="35"/>
      <c r="AV722" s="35"/>
      <c r="AW722" s="35"/>
    </row>
    <row r="723">
      <c r="A723" s="17"/>
      <c r="B723" s="35"/>
      <c r="C723" s="74"/>
      <c r="D723" s="74"/>
      <c r="E723" s="74"/>
      <c r="F723" s="74"/>
      <c r="G723" s="74"/>
      <c r="H723" s="74"/>
      <c r="I723" s="74"/>
      <c r="J723" s="57"/>
      <c r="K723" s="57"/>
      <c r="L723" s="57"/>
      <c r="M723" s="57"/>
      <c r="N723" s="57"/>
      <c r="O723" s="57"/>
      <c r="P723" s="57"/>
      <c r="Q723" s="69"/>
      <c r="R723" s="69"/>
      <c r="S723" s="23" t="str">
        <f>iferror(if(AN723=1,VLOOKUP(B723, Blends!H$4:AK$1004,32,0), ""), "")</f>
        <v/>
      </c>
      <c r="T723" s="58"/>
      <c r="U723" s="77"/>
      <c r="V723" s="77"/>
      <c r="W723" s="78"/>
      <c r="X723" s="77"/>
      <c r="Y723" s="77"/>
      <c r="Z723" s="77"/>
      <c r="AA723" s="77"/>
      <c r="AB723" s="77"/>
      <c r="AC723" s="77"/>
      <c r="AD723" s="77"/>
      <c r="AE723" s="77"/>
      <c r="AF723" s="77"/>
      <c r="AG723" s="77"/>
      <c r="AH723" s="77"/>
      <c r="AI723" s="77"/>
      <c r="AJ723" s="79"/>
      <c r="AK723" s="80"/>
      <c r="AL723" s="59"/>
      <c r="AM723" s="35"/>
      <c r="AN723" s="35"/>
      <c r="AO723" s="35"/>
      <c r="AP723" s="35"/>
      <c r="AQ723" s="35"/>
      <c r="AR723" s="35"/>
      <c r="AS723" s="35"/>
      <c r="AT723" s="35"/>
      <c r="AU723" s="35"/>
      <c r="AV723" s="35"/>
      <c r="AW723" s="35"/>
    </row>
    <row r="724">
      <c r="A724" s="17"/>
      <c r="B724" s="35"/>
      <c r="C724" s="74"/>
      <c r="D724" s="74"/>
      <c r="E724" s="74"/>
      <c r="F724" s="74"/>
      <c r="G724" s="74"/>
      <c r="H724" s="74"/>
      <c r="I724" s="74"/>
      <c r="J724" s="57"/>
      <c r="K724" s="57"/>
      <c r="L724" s="57"/>
      <c r="M724" s="57"/>
      <c r="N724" s="57"/>
      <c r="O724" s="57"/>
      <c r="P724" s="57"/>
      <c r="Q724" s="69"/>
      <c r="R724" s="69"/>
      <c r="S724" s="23" t="str">
        <f>iferror(if(AN724=1,VLOOKUP(B724, Blends!H$4:AK$1004,32,0), ""), "")</f>
        <v/>
      </c>
      <c r="T724" s="58"/>
      <c r="U724" s="77"/>
      <c r="V724" s="77"/>
      <c r="W724" s="78"/>
      <c r="X724" s="77"/>
      <c r="Y724" s="77"/>
      <c r="Z724" s="77"/>
      <c r="AA724" s="77"/>
      <c r="AB724" s="77"/>
      <c r="AC724" s="77"/>
      <c r="AD724" s="77"/>
      <c r="AE724" s="77"/>
      <c r="AF724" s="77"/>
      <c r="AG724" s="77"/>
      <c r="AH724" s="77"/>
      <c r="AI724" s="77"/>
      <c r="AJ724" s="79"/>
      <c r="AK724" s="80"/>
      <c r="AL724" s="59"/>
      <c r="AM724" s="35"/>
      <c r="AN724" s="35"/>
      <c r="AO724" s="35"/>
      <c r="AP724" s="35"/>
      <c r="AQ724" s="35"/>
      <c r="AR724" s="35"/>
      <c r="AS724" s="35"/>
      <c r="AT724" s="35"/>
      <c r="AU724" s="35"/>
      <c r="AV724" s="35"/>
      <c r="AW724" s="35"/>
    </row>
    <row r="725">
      <c r="A725" s="17"/>
      <c r="B725" s="35"/>
      <c r="C725" s="74"/>
      <c r="D725" s="74"/>
      <c r="E725" s="74"/>
      <c r="F725" s="74"/>
      <c r="G725" s="74"/>
      <c r="H725" s="74"/>
      <c r="I725" s="74"/>
      <c r="J725" s="57"/>
      <c r="K725" s="57"/>
      <c r="L725" s="57"/>
      <c r="M725" s="57"/>
      <c r="N725" s="57"/>
      <c r="O725" s="57"/>
      <c r="P725" s="57"/>
      <c r="Q725" s="69"/>
      <c r="R725" s="69"/>
      <c r="S725" s="23" t="str">
        <f>iferror(if(AN725=1,VLOOKUP(B725, Blends!H$4:AK$1004,32,0), ""), "")</f>
        <v/>
      </c>
      <c r="T725" s="58"/>
      <c r="U725" s="77"/>
      <c r="V725" s="77"/>
      <c r="W725" s="78"/>
      <c r="X725" s="77"/>
      <c r="Y725" s="77"/>
      <c r="Z725" s="77"/>
      <c r="AA725" s="77"/>
      <c r="AB725" s="77"/>
      <c r="AC725" s="77"/>
      <c r="AD725" s="77"/>
      <c r="AE725" s="77"/>
      <c r="AF725" s="77"/>
      <c r="AG725" s="77"/>
      <c r="AH725" s="77"/>
      <c r="AI725" s="77"/>
      <c r="AJ725" s="79"/>
      <c r="AK725" s="80"/>
      <c r="AL725" s="59"/>
      <c r="AM725" s="35"/>
      <c r="AN725" s="35"/>
      <c r="AO725" s="35"/>
      <c r="AP725" s="35"/>
      <c r="AQ725" s="35"/>
      <c r="AR725" s="35"/>
      <c r="AS725" s="35"/>
      <c r="AT725" s="35"/>
      <c r="AU725" s="35"/>
      <c r="AV725" s="35"/>
      <c r="AW725" s="35"/>
    </row>
    <row r="726">
      <c r="A726" s="17"/>
      <c r="B726" s="35"/>
      <c r="C726" s="74"/>
      <c r="D726" s="74"/>
      <c r="E726" s="74"/>
      <c r="F726" s="74"/>
      <c r="G726" s="74"/>
      <c r="H726" s="74"/>
      <c r="I726" s="74"/>
      <c r="J726" s="57"/>
      <c r="K726" s="57"/>
      <c r="L726" s="57"/>
      <c r="M726" s="57"/>
      <c r="N726" s="57"/>
      <c r="O726" s="57"/>
      <c r="P726" s="57"/>
      <c r="Q726" s="69"/>
      <c r="R726" s="69"/>
      <c r="S726" s="23" t="str">
        <f>iferror(if(AN726=1,VLOOKUP(B726, Blends!H$4:AK$1004,32,0), ""), "")</f>
        <v/>
      </c>
      <c r="T726" s="58"/>
      <c r="U726" s="77"/>
      <c r="V726" s="77"/>
      <c r="W726" s="78"/>
      <c r="X726" s="77"/>
      <c r="Y726" s="77"/>
      <c r="Z726" s="77"/>
      <c r="AA726" s="77"/>
      <c r="AB726" s="77"/>
      <c r="AC726" s="77"/>
      <c r="AD726" s="77"/>
      <c r="AE726" s="77"/>
      <c r="AF726" s="77"/>
      <c r="AG726" s="77"/>
      <c r="AH726" s="77"/>
      <c r="AI726" s="77"/>
      <c r="AJ726" s="79"/>
      <c r="AK726" s="80"/>
      <c r="AL726" s="59"/>
      <c r="AM726" s="35"/>
      <c r="AN726" s="35"/>
      <c r="AO726" s="35"/>
      <c r="AP726" s="35"/>
      <c r="AQ726" s="35"/>
      <c r="AR726" s="35"/>
      <c r="AS726" s="35"/>
      <c r="AT726" s="35"/>
      <c r="AU726" s="35"/>
      <c r="AV726" s="35"/>
      <c r="AW726" s="35"/>
    </row>
    <row r="727">
      <c r="A727" s="17"/>
      <c r="B727" s="35"/>
      <c r="C727" s="74"/>
      <c r="D727" s="74"/>
      <c r="E727" s="74"/>
      <c r="F727" s="74"/>
      <c r="G727" s="74"/>
      <c r="H727" s="74"/>
      <c r="I727" s="74"/>
      <c r="J727" s="57"/>
      <c r="K727" s="57"/>
      <c r="L727" s="57"/>
      <c r="M727" s="57"/>
      <c r="N727" s="57"/>
      <c r="O727" s="57"/>
      <c r="P727" s="57"/>
      <c r="Q727" s="69"/>
      <c r="R727" s="69"/>
      <c r="S727" s="23" t="str">
        <f>iferror(if(AN727=1,VLOOKUP(B727, Blends!H$4:AK$1004,32,0), ""), "")</f>
        <v/>
      </c>
      <c r="T727" s="58"/>
      <c r="U727" s="77"/>
      <c r="V727" s="77"/>
      <c r="W727" s="78"/>
      <c r="X727" s="77"/>
      <c r="Y727" s="77"/>
      <c r="Z727" s="77"/>
      <c r="AA727" s="77"/>
      <c r="AB727" s="77"/>
      <c r="AC727" s="77"/>
      <c r="AD727" s="77"/>
      <c r="AE727" s="77"/>
      <c r="AF727" s="77"/>
      <c r="AG727" s="77"/>
      <c r="AH727" s="77"/>
      <c r="AI727" s="77"/>
      <c r="AJ727" s="79"/>
      <c r="AK727" s="80"/>
      <c r="AL727" s="59"/>
      <c r="AM727" s="35"/>
      <c r="AN727" s="35"/>
      <c r="AO727" s="35"/>
      <c r="AP727" s="35"/>
      <c r="AQ727" s="35"/>
      <c r="AR727" s="35"/>
      <c r="AS727" s="35"/>
      <c r="AT727" s="35"/>
      <c r="AU727" s="35"/>
      <c r="AV727" s="35"/>
      <c r="AW727" s="35"/>
    </row>
    <row r="728">
      <c r="A728" s="17"/>
      <c r="B728" s="35"/>
      <c r="C728" s="74"/>
      <c r="D728" s="74"/>
      <c r="E728" s="74"/>
      <c r="F728" s="74"/>
      <c r="G728" s="74"/>
      <c r="H728" s="74"/>
      <c r="I728" s="74"/>
      <c r="J728" s="57"/>
      <c r="K728" s="57"/>
      <c r="L728" s="57"/>
      <c r="M728" s="57"/>
      <c r="N728" s="57"/>
      <c r="O728" s="57"/>
      <c r="P728" s="57"/>
      <c r="Q728" s="69"/>
      <c r="R728" s="69"/>
      <c r="S728" s="23" t="str">
        <f>iferror(if(AN728=1,VLOOKUP(B728, Blends!H$4:AK$1004,32,0), ""), "")</f>
        <v/>
      </c>
      <c r="T728" s="58"/>
      <c r="U728" s="77"/>
      <c r="V728" s="77"/>
      <c r="W728" s="78"/>
      <c r="X728" s="77"/>
      <c r="Y728" s="77"/>
      <c r="Z728" s="77"/>
      <c r="AA728" s="77"/>
      <c r="AB728" s="77"/>
      <c r="AC728" s="77"/>
      <c r="AD728" s="77"/>
      <c r="AE728" s="77"/>
      <c r="AF728" s="77"/>
      <c r="AG728" s="77"/>
      <c r="AH728" s="77"/>
      <c r="AI728" s="77"/>
      <c r="AJ728" s="79"/>
      <c r="AK728" s="80"/>
      <c r="AL728" s="59"/>
      <c r="AM728" s="35"/>
      <c r="AN728" s="35"/>
      <c r="AO728" s="35"/>
      <c r="AP728" s="35"/>
      <c r="AQ728" s="35"/>
      <c r="AR728" s="35"/>
      <c r="AS728" s="35"/>
      <c r="AT728" s="35"/>
      <c r="AU728" s="35"/>
      <c r="AV728" s="35"/>
      <c r="AW728" s="35"/>
    </row>
    <row r="729">
      <c r="A729" s="17"/>
      <c r="B729" s="35"/>
      <c r="C729" s="74"/>
      <c r="D729" s="74"/>
      <c r="E729" s="74"/>
      <c r="F729" s="74"/>
      <c r="G729" s="74"/>
      <c r="H729" s="74"/>
      <c r="I729" s="74"/>
      <c r="J729" s="57"/>
      <c r="K729" s="57"/>
      <c r="L729" s="57"/>
      <c r="M729" s="57"/>
      <c r="N729" s="57"/>
      <c r="O729" s="57"/>
      <c r="P729" s="57"/>
      <c r="Q729" s="69"/>
      <c r="R729" s="69"/>
      <c r="S729" s="23" t="str">
        <f>iferror(if(AN729=1,VLOOKUP(B729, Blends!H$4:AK$1004,32,0), ""), "")</f>
        <v/>
      </c>
      <c r="T729" s="58"/>
      <c r="U729" s="77"/>
      <c r="V729" s="77"/>
      <c r="W729" s="78"/>
      <c r="X729" s="77"/>
      <c r="Y729" s="77"/>
      <c r="Z729" s="77"/>
      <c r="AA729" s="77"/>
      <c r="AB729" s="77"/>
      <c r="AC729" s="77"/>
      <c r="AD729" s="77"/>
      <c r="AE729" s="77"/>
      <c r="AF729" s="77"/>
      <c r="AG729" s="77"/>
      <c r="AH729" s="77"/>
      <c r="AI729" s="77"/>
      <c r="AJ729" s="79"/>
      <c r="AK729" s="80"/>
      <c r="AL729" s="59"/>
      <c r="AM729" s="35"/>
      <c r="AN729" s="35"/>
      <c r="AO729" s="35"/>
      <c r="AP729" s="35"/>
      <c r="AQ729" s="35"/>
      <c r="AR729" s="35"/>
      <c r="AS729" s="35"/>
      <c r="AT729" s="35"/>
      <c r="AU729" s="35"/>
      <c r="AV729" s="35"/>
      <c r="AW729" s="35"/>
    </row>
    <row r="730">
      <c r="A730" s="17"/>
      <c r="B730" s="35"/>
      <c r="C730" s="74"/>
      <c r="D730" s="74"/>
      <c r="E730" s="74"/>
      <c r="F730" s="74"/>
      <c r="G730" s="74"/>
      <c r="H730" s="74"/>
      <c r="I730" s="74"/>
      <c r="J730" s="57"/>
      <c r="K730" s="57"/>
      <c r="L730" s="57"/>
      <c r="M730" s="57"/>
      <c r="N730" s="57"/>
      <c r="O730" s="57"/>
      <c r="P730" s="57"/>
      <c r="Q730" s="69"/>
      <c r="R730" s="69"/>
      <c r="S730" s="23" t="str">
        <f>iferror(if(AN730=1,VLOOKUP(B730, Blends!H$4:AK$1004,32,0), ""), "")</f>
        <v/>
      </c>
      <c r="T730" s="58"/>
      <c r="U730" s="77"/>
      <c r="V730" s="77"/>
      <c r="W730" s="78"/>
      <c r="X730" s="77"/>
      <c r="Y730" s="77"/>
      <c r="Z730" s="77"/>
      <c r="AA730" s="77"/>
      <c r="AB730" s="77"/>
      <c r="AC730" s="77"/>
      <c r="AD730" s="77"/>
      <c r="AE730" s="77"/>
      <c r="AF730" s="77"/>
      <c r="AG730" s="77"/>
      <c r="AH730" s="77"/>
      <c r="AI730" s="77"/>
      <c r="AJ730" s="79"/>
      <c r="AK730" s="80"/>
      <c r="AL730" s="59"/>
      <c r="AM730" s="35"/>
      <c r="AN730" s="35"/>
      <c r="AO730" s="35"/>
      <c r="AP730" s="35"/>
      <c r="AQ730" s="35"/>
      <c r="AR730" s="35"/>
      <c r="AS730" s="35"/>
      <c r="AT730" s="35"/>
      <c r="AU730" s="35"/>
      <c r="AV730" s="35"/>
      <c r="AW730" s="35"/>
    </row>
    <row r="731">
      <c r="A731" s="17"/>
      <c r="B731" s="35"/>
      <c r="C731" s="74"/>
      <c r="D731" s="74"/>
      <c r="E731" s="74"/>
      <c r="F731" s="74"/>
      <c r="G731" s="74"/>
      <c r="H731" s="74"/>
      <c r="I731" s="74"/>
      <c r="J731" s="57"/>
      <c r="K731" s="57"/>
      <c r="L731" s="57"/>
      <c r="M731" s="57"/>
      <c r="N731" s="57"/>
      <c r="O731" s="57"/>
      <c r="P731" s="57"/>
      <c r="Q731" s="69"/>
      <c r="R731" s="69"/>
      <c r="S731" s="23" t="str">
        <f>iferror(if(AN731=1,VLOOKUP(B731, Blends!H$4:AK$1004,32,0), ""), "")</f>
        <v/>
      </c>
      <c r="T731" s="58"/>
      <c r="U731" s="77"/>
      <c r="V731" s="77"/>
      <c r="W731" s="78"/>
      <c r="X731" s="77"/>
      <c r="Y731" s="77"/>
      <c r="Z731" s="77"/>
      <c r="AA731" s="77"/>
      <c r="AB731" s="77"/>
      <c r="AC731" s="77"/>
      <c r="AD731" s="77"/>
      <c r="AE731" s="77"/>
      <c r="AF731" s="77"/>
      <c r="AG731" s="77"/>
      <c r="AH731" s="77"/>
      <c r="AI731" s="77"/>
      <c r="AJ731" s="79"/>
      <c r="AK731" s="80"/>
      <c r="AL731" s="59"/>
      <c r="AM731" s="35"/>
      <c r="AN731" s="35"/>
      <c r="AO731" s="35"/>
      <c r="AP731" s="35"/>
      <c r="AQ731" s="35"/>
      <c r="AR731" s="35"/>
      <c r="AS731" s="35"/>
      <c r="AT731" s="35"/>
      <c r="AU731" s="35"/>
      <c r="AV731" s="35"/>
      <c r="AW731" s="35"/>
    </row>
    <row r="732">
      <c r="A732" s="17"/>
      <c r="B732" s="35"/>
      <c r="C732" s="74"/>
      <c r="D732" s="74"/>
      <c r="E732" s="74"/>
      <c r="F732" s="74"/>
      <c r="G732" s="74"/>
      <c r="H732" s="74"/>
      <c r="I732" s="74"/>
      <c r="J732" s="57"/>
      <c r="K732" s="57"/>
      <c r="L732" s="57"/>
      <c r="M732" s="57"/>
      <c r="N732" s="57"/>
      <c r="O732" s="57"/>
      <c r="P732" s="57"/>
      <c r="Q732" s="69"/>
      <c r="R732" s="69"/>
      <c r="S732" s="23" t="str">
        <f>iferror(if(AN732=1,VLOOKUP(B732, Blends!H$4:AK$1004,32,0), ""), "")</f>
        <v/>
      </c>
      <c r="T732" s="58"/>
      <c r="U732" s="77"/>
      <c r="V732" s="77"/>
      <c r="W732" s="78"/>
      <c r="X732" s="77"/>
      <c r="Y732" s="77"/>
      <c r="Z732" s="77"/>
      <c r="AA732" s="77"/>
      <c r="AB732" s="77"/>
      <c r="AC732" s="77"/>
      <c r="AD732" s="77"/>
      <c r="AE732" s="77"/>
      <c r="AF732" s="77"/>
      <c r="AG732" s="77"/>
      <c r="AH732" s="77"/>
      <c r="AI732" s="77"/>
      <c r="AJ732" s="79"/>
      <c r="AK732" s="80"/>
      <c r="AL732" s="59"/>
      <c r="AM732" s="35"/>
      <c r="AN732" s="35"/>
      <c r="AO732" s="35"/>
      <c r="AP732" s="35"/>
      <c r="AQ732" s="35"/>
      <c r="AR732" s="35"/>
      <c r="AS732" s="35"/>
      <c r="AT732" s="35"/>
      <c r="AU732" s="35"/>
      <c r="AV732" s="35"/>
      <c r="AW732" s="35"/>
    </row>
    <row r="733">
      <c r="A733" s="17"/>
      <c r="B733" s="35"/>
      <c r="C733" s="74"/>
      <c r="D733" s="74"/>
      <c r="E733" s="74"/>
      <c r="F733" s="74"/>
      <c r="G733" s="74"/>
      <c r="H733" s="74"/>
      <c r="I733" s="74"/>
      <c r="J733" s="57"/>
      <c r="K733" s="57"/>
      <c r="L733" s="57"/>
      <c r="M733" s="57"/>
      <c r="N733" s="57"/>
      <c r="O733" s="57"/>
      <c r="P733" s="57"/>
      <c r="Q733" s="69"/>
      <c r="R733" s="69"/>
      <c r="S733" s="23" t="str">
        <f>iferror(if(AN733=1,VLOOKUP(B733, Blends!H$4:AK$1004,32,0), ""), "")</f>
        <v/>
      </c>
      <c r="T733" s="58"/>
      <c r="U733" s="77"/>
      <c r="V733" s="77"/>
      <c r="W733" s="78"/>
      <c r="X733" s="77"/>
      <c r="Y733" s="77"/>
      <c r="Z733" s="77"/>
      <c r="AA733" s="77"/>
      <c r="AB733" s="77"/>
      <c r="AC733" s="77"/>
      <c r="AD733" s="77"/>
      <c r="AE733" s="77"/>
      <c r="AF733" s="77"/>
      <c r="AG733" s="77"/>
      <c r="AH733" s="77"/>
      <c r="AI733" s="77"/>
      <c r="AJ733" s="79"/>
      <c r="AK733" s="80"/>
      <c r="AL733" s="59"/>
      <c r="AM733" s="35"/>
      <c r="AN733" s="35"/>
      <c r="AO733" s="35"/>
      <c r="AP733" s="35"/>
      <c r="AQ733" s="35"/>
      <c r="AR733" s="35"/>
      <c r="AS733" s="35"/>
      <c r="AT733" s="35"/>
      <c r="AU733" s="35"/>
      <c r="AV733" s="35"/>
      <c r="AW733" s="35"/>
    </row>
    <row r="734">
      <c r="A734" s="17"/>
      <c r="B734" s="35"/>
      <c r="C734" s="74"/>
      <c r="D734" s="74"/>
      <c r="E734" s="74"/>
      <c r="F734" s="74"/>
      <c r="G734" s="74"/>
      <c r="H734" s="74"/>
      <c r="I734" s="74"/>
      <c r="J734" s="57"/>
      <c r="K734" s="57"/>
      <c r="L734" s="57"/>
      <c r="M734" s="57"/>
      <c r="N734" s="57"/>
      <c r="O734" s="57"/>
      <c r="P734" s="57"/>
      <c r="Q734" s="69"/>
      <c r="R734" s="69"/>
      <c r="S734" s="23" t="str">
        <f>iferror(if(AN734=1,VLOOKUP(B734, Blends!H$4:AK$1004,32,0), ""), "")</f>
        <v/>
      </c>
      <c r="T734" s="58"/>
      <c r="U734" s="77"/>
      <c r="V734" s="77"/>
      <c r="W734" s="78"/>
      <c r="X734" s="77"/>
      <c r="Y734" s="77"/>
      <c r="Z734" s="77"/>
      <c r="AA734" s="77"/>
      <c r="AB734" s="77"/>
      <c r="AC734" s="77"/>
      <c r="AD734" s="77"/>
      <c r="AE734" s="77"/>
      <c r="AF734" s="77"/>
      <c r="AG734" s="77"/>
      <c r="AH734" s="77"/>
      <c r="AI734" s="77"/>
      <c r="AJ734" s="79"/>
      <c r="AK734" s="80"/>
      <c r="AL734" s="59"/>
      <c r="AM734" s="35"/>
      <c r="AN734" s="35"/>
      <c r="AO734" s="35"/>
      <c r="AP734" s="35"/>
      <c r="AQ734" s="35"/>
      <c r="AR734" s="35"/>
      <c r="AS734" s="35"/>
      <c r="AT734" s="35"/>
      <c r="AU734" s="35"/>
      <c r="AV734" s="35"/>
      <c r="AW734" s="35"/>
    </row>
    <row r="735">
      <c r="A735" s="17"/>
      <c r="B735" s="35"/>
      <c r="C735" s="74"/>
      <c r="D735" s="74"/>
      <c r="E735" s="74"/>
      <c r="F735" s="74"/>
      <c r="G735" s="74"/>
      <c r="H735" s="74"/>
      <c r="I735" s="74"/>
      <c r="J735" s="57"/>
      <c r="K735" s="57"/>
      <c r="L735" s="57"/>
      <c r="M735" s="57"/>
      <c r="N735" s="57"/>
      <c r="O735" s="57"/>
      <c r="P735" s="57"/>
      <c r="Q735" s="69"/>
      <c r="R735" s="69"/>
      <c r="S735" s="23" t="str">
        <f>iferror(if(AN735=1,VLOOKUP(B735, Blends!H$4:AK$1004,32,0), ""), "")</f>
        <v/>
      </c>
      <c r="T735" s="58"/>
      <c r="U735" s="77"/>
      <c r="V735" s="77"/>
      <c r="W735" s="78"/>
      <c r="X735" s="77"/>
      <c r="Y735" s="77"/>
      <c r="Z735" s="77"/>
      <c r="AA735" s="77"/>
      <c r="AB735" s="77"/>
      <c r="AC735" s="77"/>
      <c r="AD735" s="77"/>
      <c r="AE735" s="77"/>
      <c r="AF735" s="77"/>
      <c r="AG735" s="77"/>
      <c r="AH735" s="77"/>
      <c r="AI735" s="77"/>
      <c r="AJ735" s="79"/>
      <c r="AK735" s="80"/>
      <c r="AL735" s="59"/>
      <c r="AM735" s="35"/>
      <c r="AN735" s="35"/>
      <c r="AO735" s="35"/>
      <c r="AP735" s="35"/>
      <c r="AQ735" s="35"/>
      <c r="AR735" s="35"/>
      <c r="AS735" s="35"/>
      <c r="AT735" s="35"/>
      <c r="AU735" s="35"/>
      <c r="AV735" s="35"/>
      <c r="AW735" s="35"/>
    </row>
    <row r="736">
      <c r="A736" s="17"/>
      <c r="B736" s="35"/>
      <c r="C736" s="74"/>
      <c r="D736" s="74"/>
      <c r="E736" s="74"/>
      <c r="F736" s="74"/>
      <c r="G736" s="74"/>
      <c r="H736" s="74"/>
      <c r="I736" s="74"/>
      <c r="J736" s="57"/>
      <c r="K736" s="57"/>
      <c r="L736" s="57"/>
      <c r="M736" s="57"/>
      <c r="N736" s="57"/>
      <c r="O736" s="57"/>
      <c r="P736" s="57"/>
      <c r="Q736" s="69"/>
      <c r="R736" s="69"/>
      <c r="S736" s="23" t="str">
        <f>iferror(if(AN736=1,VLOOKUP(B736, Blends!H$4:AK$1004,32,0), ""), "")</f>
        <v/>
      </c>
      <c r="T736" s="58"/>
      <c r="U736" s="77"/>
      <c r="V736" s="77"/>
      <c r="W736" s="78"/>
      <c r="X736" s="77"/>
      <c r="Y736" s="77"/>
      <c r="Z736" s="77"/>
      <c r="AA736" s="77"/>
      <c r="AB736" s="77"/>
      <c r="AC736" s="77"/>
      <c r="AD736" s="77"/>
      <c r="AE736" s="77"/>
      <c r="AF736" s="77"/>
      <c r="AG736" s="77"/>
      <c r="AH736" s="77"/>
      <c r="AI736" s="77"/>
      <c r="AJ736" s="79"/>
      <c r="AK736" s="80"/>
      <c r="AL736" s="59"/>
      <c r="AM736" s="35"/>
      <c r="AN736" s="35"/>
      <c r="AO736" s="35"/>
      <c r="AP736" s="35"/>
      <c r="AQ736" s="35"/>
      <c r="AR736" s="35"/>
      <c r="AS736" s="35"/>
      <c r="AT736" s="35"/>
      <c r="AU736" s="35"/>
      <c r="AV736" s="35"/>
      <c r="AW736" s="35"/>
    </row>
    <row r="737">
      <c r="A737" s="17"/>
      <c r="B737" s="35"/>
      <c r="C737" s="74"/>
      <c r="D737" s="74"/>
      <c r="E737" s="74"/>
      <c r="F737" s="74"/>
      <c r="G737" s="74"/>
      <c r="H737" s="74"/>
      <c r="I737" s="74"/>
      <c r="J737" s="57"/>
      <c r="K737" s="57"/>
      <c r="L737" s="57"/>
      <c r="M737" s="57"/>
      <c r="N737" s="57"/>
      <c r="O737" s="57"/>
      <c r="P737" s="57"/>
      <c r="Q737" s="69"/>
      <c r="R737" s="69"/>
      <c r="S737" s="23" t="str">
        <f>iferror(if(AN737=1,VLOOKUP(B737, Blends!H$4:AK$1004,32,0), ""), "")</f>
        <v/>
      </c>
      <c r="T737" s="58"/>
      <c r="U737" s="77"/>
      <c r="V737" s="77"/>
      <c r="W737" s="78"/>
      <c r="X737" s="77"/>
      <c r="Y737" s="77"/>
      <c r="Z737" s="77"/>
      <c r="AA737" s="77"/>
      <c r="AB737" s="77"/>
      <c r="AC737" s="77"/>
      <c r="AD737" s="77"/>
      <c r="AE737" s="77"/>
      <c r="AF737" s="77"/>
      <c r="AG737" s="77"/>
      <c r="AH737" s="77"/>
      <c r="AI737" s="77"/>
      <c r="AJ737" s="79"/>
      <c r="AK737" s="80"/>
      <c r="AL737" s="59"/>
      <c r="AM737" s="35"/>
      <c r="AN737" s="35"/>
      <c r="AO737" s="35"/>
      <c r="AP737" s="35"/>
      <c r="AQ737" s="35"/>
      <c r="AR737" s="35"/>
      <c r="AS737" s="35"/>
      <c r="AT737" s="35"/>
      <c r="AU737" s="35"/>
      <c r="AV737" s="35"/>
      <c r="AW737" s="35"/>
    </row>
    <row r="738">
      <c r="A738" s="17"/>
      <c r="B738" s="35"/>
      <c r="C738" s="74"/>
      <c r="D738" s="74"/>
      <c r="E738" s="74"/>
      <c r="F738" s="74"/>
      <c r="G738" s="74"/>
      <c r="H738" s="74"/>
      <c r="I738" s="74"/>
      <c r="J738" s="57"/>
      <c r="K738" s="57"/>
      <c r="L738" s="57"/>
      <c r="M738" s="57"/>
      <c r="N738" s="57"/>
      <c r="O738" s="57"/>
      <c r="P738" s="57"/>
      <c r="Q738" s="69"/>
      <c r="R738" s="69"/>
      <c r="S738" s="23" t="str">
        <f>iferror(if(AN738=1,VLOOKUP(B738, Blends!H$4:AK$1004,32,0), ""), "")</f>
        <v/>
      </c>
      <c r="T738" s="58"/>
      <c r="U738" s="77"/>
      <c r="V738" s="77"/>
      <c r="W738" s="78"/>
      <c r="X738" s="77"/>
      <c r="Y738" s="77"/>
      <c r="Z738" s="77"/>
      <c r="AA738" s="77"/>
      <c r="AB738" s="77"/>
      <c r="AC738" s="77"/>
      <c r="AD738" s="77"/>
      <c r="AE738" s="77"/>
      <c r="AF738" s="77"/>
      <c r="AG738" s="77"/>
      <c r="AH738" s="77"/>
      <c r="AI738" s="77"/>
      <c r="AJ738" s="79"/>
      <c r="AK738" s="80"/>
      <c r="AL738" s="59"/>
      <c r="AM738" s="35"/>
      <c r="AN738" s="35"/>
      <c r="AO738" s="35"/>
      <c r="AP738" s="35"/>
      <c r="AQ738" s="35"/>
      <c r="AR738" s="35"/>
      <c r="AS738" s="35"/>
      <c r="AT738" s="35"/>
      <c r="AU738" s="35"/>
      <c r="AV738" s="35"/>
      <c r="AW738" s="35"/>
    </row>
    <row r="739">
      <c r="A739" s="17"/>
      <c r="B739" s="35"/>
      <c r="C739" s="74"/>
      <c r="D739" s="74"/>
      <c r="E739" s="74"/>
      <c r="F739" s="74"/>
      <c r="G739" s="74"/>
      <c r="H739" s="74"/>
      <c r="I739" s="74"/>
      <c r="J739" s="57"/>
      <c r="K739" s="57"/>
      <c r="L739" s="57"/>
      <c r="M739" s="57"/>
      <c r="N739" s="57"/>
      <c r="O739" s="57"/>
      <c r="P739" s="57"/>
      <c r="Q739" s="69"/>
      <c r="R739" s="69"/>
      <c r="S739" s="23" t="str">
        <f>iferror(if(AN739=1,VLOOKUP(B739, Blends!H$4:AK$1004,32,0), ""), "")</f>
        <v/>
      </c>
      <c r="T739" s="58"/>
      <c r="U739" s="77"/>
      <c r="V739" s="77"/>
      <c r="W739" s="78"/>
      <c r="X739" s="77"/>
      <c r="Y739" s="77"/>
      <c r="Z739" s="77"/>
      <c r="AA739" s="77"/>
      <c r="AB739" s="77"/>
      <c r="AC739" s="77"/>
      <c r="AD739" s="77"/>
      <c r="AE739" s="77"/>
      <c r="AF739" s="77"/>
      <c r="AG739" s="77"/>
      <c r="AH739" s="77"/>
      <c r="AI739" s="77"/>
      <c r="AJ739" s="79"/>
      <c r="AK739" s="80"/>
      <c r="AL739" s="59"/>
      <c r="AM739" s="35"/>
      <c r="AN739" s="35"/>
      <c r="AO739" s="35"/>
      <c r="AP739" s="35"/>
      <c r="AQ739" s="35"/>
      <c r="AR739" s="35"/>
      <c r="AS739" s="35"/>
      <c r="AT739" s="35"/>
      <c r="AU739" s="35"/>
      <c r="AV739" s="35"/>
      <c r="AW739" s="35"/>
    </row>
    <row r="740">
      <c r="A740" s="17"/>
      <c r="B740" s="35"/>
      <c r="C740" s="74"/>
      <c r="D740" s="74"/>
      <c r="E740" s="74"/>
      <c r="F740" s="74"/>
      <c r="G740" s="74"/>
      <c r="H740" s="74"/>
      <c r="I740" s="74"/>
      <c r="J740" s="57"/>
      <c r="K740" s="57"/>
      <c r="L740" s="57"/>
      <c r="M740" s="57"/>
      <c r="N740" s="57"/>
      <c r="O740" s="57"/>
      <c r="P740" s="57"/>
      <c r="Q740" s="69"/>
      <c r="R740" s="69"/>
      <c r="S740" s="23" t="str">
        <f>iferror(if(AN740=1,VLOOKUP(B740, Blends!H$4:AK$1004,32,0), ""), "")</f>
        <v/>
      </c>
      <c r="T740" s="58"/>
      <c r="U740" s="77"/>
      <c r="V740" s="77"/>
      <c r="W740" s="78"/>
      <c r="X740" s="77"/>
      <c r="Y740" s="77"/>
      <c r="Z740" s="77"/>
      <c r="AA740" s="77"/>
      <c r="AB740" s="77"/>
      <c r="AC740" s="77"/>
      <c r="AD740" s="77"/>
      <c r="AE740" s="77"/>
      <c r="AF740" s="77"/>
      <c r="AG740" s="77"/>
      <c r="AH740" s="77"/>
      <c r="AI740" s="77"/>
      <c r="AJ740" s="79"/>
      <c r="AK740" s="80"/>
      <c r="AL740" s="59"/>
      <c r="AM740" s="35"/>
      <c r="AN740" s="35"/>
      <c r="AO740" s="35"/>
      <c r="AP740" s="35"/>
      <c r="AQ740" s="35"/>
      <c r="AR740" s="35"/>
      <c r="AS740" s="35"/>
      <c r="AT740" s="35"/>
      <c r="AU740" s="35"/>
      <c r="AV740" s="35"/>
      <c r="AW740" s="35"/>
    </row>
    <row r="741">
      <c r="A741" s="17"/>
      <c r="B741" s="35"/>
      <c r="C741" s="74"/>
      <c r="D741" s="74"/>
      <c r="E741" s="74"/>
      <c r="F741" s="74"/>
      <c r="G741" s="74"/>
      <c r="H741" s="74"/>
      <c r="I741" s="74"/>
      <c r="J741" s="57"/>
      <c r="K741" s="57"/>
      <c r="L741" s="57"/>
      <c r="M741" s="57"/>
      <c r="N741" s="57"/>
      <c r="O741" s="57"/>
      <c r="P741" s="57"/>
      <c r="Q741" s="69"/>
      <c r="R741" s="69"/>
      <c r="S741" s="23" t="str">
        <f>iferror(if(AN741=1,VLOOKUP(B741, Blends!H$4:AK$1004,32,0), ""), "")</f>
        <v/>
      </c>
      <c r="T741" s="58"/>
      <c r="U741" s="77"/>
      <c r="V741" s="77"/>
      <c r="W741" s="78"/>
      <c r="X741" s="77"/>
      <c r="Y741" s="77"/>
      <c r="Z741" s="77"/>
      <c r="AA741" s="77"/>
      <c r="AB741" s="77"/>
      <c r="AC741" s="77"/>
      <c r="AD741" s="77"/>
      <c r="AE741" s="77"/>
      <c r="AF741" s="77"/>
      <c r="AG741" s="77"/>
      <c r="AH741" s="77"/>
      <c r="AI741" s="77"/>
      <c r="AJ741" s="79"/>
      <c r="AK741" s="80"/>
      <c r="AL741" s="59"/>
      <c r="AM741" s="35"/>
      <c r="AN741" s="35"/>
      <c r="AO741" s="35"/>
      <c r="AP741" s="35"/>
      <c r="AQ741" s="35"/>
      <c r="AR741" s="35"/>
      <c r="AS741" s="35"/>
      <c r="AT741" s="35"/>
      <c r="AU741" s="35"/>
      <c r="AV741" s="35"/>
      <c r="AW741" s="35"/>
    </row>
    <row r="742">
      <c r="A742" s="17"/>
      <c r="B742" s="35"/>
      <c r="C742" s="74"/>
      <c r="D742" s="74"/>
      <c r="E742" s="74"/>
      <c r="F742" s="74"/>
      <c r="G742" s="74"/>
      <c r="H742" s="74"/>
      <c r="I742" s="74"/>
      <c r="J742" s="57"/>
      <c r="K742" s="57"/>
      <c r="L742" s="57"/>
      <c r="M742" s="57"/>
      <c r="N742" s="57"/>
      <c r="O742" s="57"/>
      <c r="P742" s="57"/>
      <c r="Q742" s="69"/>
      <c r="R742" s="69"/>
      <c r="S742" s="23" t="str">
        <f>iferror(if(AN742=1,VLOOKUP(B742, Blends!H$4:AK$1004,32,0), ""), "")</f>
        <v/>
      </c>
      <c r="T742" s="58"/>
      <c r="U742" s="77"/>
      <c r="V742" s="77"/>
      <c r="W742" s="78"/>
      <c r="X742" s="77"/>
      <c r="Y742" s="77"/>
      <c r="Z742" s="77"/>
      <c r="AA742" s="77"/>
      <c r="AB742" s="77"/>
      <c r="AC742" s="77"/>
      <c r="AD742" s="77"/>
      <c r="AE742" s="77"/>
      <c r="AF742" s="77"/>
      <c r="AG742" s="77"/>
      <c r="AH742" s="77"/>
      <c r="AI742" s="77"/>
      <c r="AJ742" s="79"/>
      <c r="AK742" s="80"/>
      <c r="AL742" s="59"/>
      <c r="AM742" s="35"/>
      <c r="AN742" s="35"/>
      <c r="AO742" s="35"/>
      <c r="AP742" s="35"/>
      <c r="AQ742" s="35"/>
      <c r="AR742" s="35"/>
      <c r="AS742" s="35"/>
      <c r="AT742" s="35"/>
      <c r="AU742" s="35"/>
      <c r="AV742" s="35"/>
      <c r="AW742" s="35"/>
    </row>
    <row r="743">
      <c r="A743" s="17"/>
      <c r="B743" s="35"/>
      <c r="C743" s="74"/>
      <c r="D743" s="74"/>
      <c r="E743" s="74"/>
      <c r="F743" s="74"/>
      <c r="G743" s="74"/>
      <c r="H743" s="74"/>
      <c r="I743" s="74"/>
      <c r="J743" s="57"/>
      <c r="K743" s="57"/>
      <c r="L743" s="57"/>
      <c r="M743" s="57"/>
      <c r="N743" s="57"/>
      <c r="O743" s="57"/>
      <c r="P743" s="57"/>
      <c r="Q743" s="69"/>
      <c r="R743" s="69"/>
      <c r="S743" s="23" t="str">
        <f>iferror(if(AN743=1,VLOOKUP(B743, Blends!H$4:AK$1004,32,0), ""), "")</f>
        <v/>
      </c>
      <c r="T743" s="58"/>
      <c r="U743" s="77"/>
      <c r="V743" s="77"/>
      <c r="W743" s="78"/>
      <c r="X743" s="77"/>
      <c r="Y743" s="77"/>
      <c r="Z743" s="77"/>
      <c r="AA743" s="77"/>
      <c r="AB743" s="77"/>
      <c r="AC743" s="77"/>
      <c r="AD743" s="77"/>
      <c r="AE743" s="77"/>
      <c r="AF743" s="77"/>
      <c r="AG743" s="77"/>
      <c r="AH743" s="77"/>
      <c r="AI743" s="77"/>
      <c r="AJ743" s="79"/>
      <c r="AK743" s="80"/>
      <c r="AL743" s="59"/>
      <c r="AM743" s="35"/>
      <c r="AN743" s="35"/>
      <c r="AO743" s="35"/>
      <c r="AP743" s="35"/>
      <c r="AQ743" s="35"/>
      <c r="AR743" s="35"/>
      <c r="AS743" s="35"/>
      <c r="AT743" s="35"/>
      <c r="AU743" s="35"/>
      <c r="AV743" s="35"/>
      <c r="AW743" s="35"/>
    </row>
    <row r="744">
      <c r="A744" s="17"/>
      <c r="B744" s="35"/>
      <c r="C744" s="74"/>
      <c r="D744" s="74"/>
      <c r="E744" s="74"/>
      <c r="F744" s="74"/>
      <c r="G744" s="74"/>
      <c r="H744" s="74"/>
      <c r="I744" s="74"/>
      <c r="J744" s="57"/>
      <c r="K744" s="57"/>
      <c r="L744" s="57"/>
      <c r="M744" s="57"/>
      <c r="N744" s="57"/>
      <c r="O744" s="57"/>
      <c r="P744" s="57"/>
      <c r="Q744" s="69"/>
      <c r="R744" s="69"/>
      <c r="S744" s="23" t="str">
        <f>iferror(if(AN744=1,VLOOKUP(B744, Blends!H$4:AK$1004,32,0), ""), "")</f>
        <v/>
      </c>
      <c r="T744" s="58"/>
      <c r="U744" s="77"/>
      <c r="V744" s="77"/>
      <c r="W744" s="78"/>
      <c r="X744" s="77"/>
      <c r="Y744" s="77"/>
      <c r="Z744" s="77"/>
      <c r="AA744" s="77"/>
      <c r="AB744" s="77"/>
      <c r="AC744" s="77"/>
      <c r="AD744" s="77"/>
      <c r="AE744" s="77"/>
      <c r="AF744" s="77"/>
      <c r="AG744" s="77"/>
      <c r="AH744" s="77"/>
      <c r="AI744" s="77"/>
      <c r="AJ744" s="79"/>
      <c r="AK744" s="80"/>
      <c r="AL744" s="59"/>
      <c r="AM744" s="35"/>
      <c r="AN744" s="35"/>
      <c r="AO744" s="35"/>
      <c r="AP744" s="35"/>
      <c r="AQ744" s="35"/>
      <c r="AR744" s="35"/>
      <c r="AS744" s="35"/>
      <c r="AT744" s="35"/>
      <c r="AU744" s="35"/>
      <c r="AV744" s="35"/>
      <c r="AW744" s="35"/>
    </row>
    <row r="745">
      <c r="A745" s="17"/>
      <c r="B745" s="35"/>
      <c r="C745" s="74"/>
      <c r="D745" s="74"/>
      <c r="E745" s="74"/>
      <c r="F745" s="74"/>
      <c r="G745" s="74"/>
      <c r="H745" s="74"/>
      <c r="I745" s="74"/>
      <c r="J745" s="57"/>
      <c r="K745" s="57"/>
      <c r="L745" s="57"/>
      <c r="M745" s="57"/>
      <c r="N745" s="57"/>
      <c r="O745" s="57"/>
      <c r="P745" s="57"/>
      <c r="Q745" s="69"/>
      <c r="R745" s="69"/>
      <c r="S745" s="23" t="str">
        <f>iferror(if(AN745=1,VLOOKUP(B745, Blends!H$4:AK$1004,32,0), ""), "")</f>
        <v/>
      </c>
      <c r="T745" s="58"/>
      <c r="U745" s="77"/>
      <c r="V745" s="77"/>
      <c r="W745" s="78"/>
      <c r="X745" s="77"/>
      <c r="Y745" s="77"/>
      <c r="Z745" s="77"/>
      <c r="AA745" s="77"/>
      <c r="AB745" s="77"/>
      <c r="AC745" s="77"/>
      <c r="AD745" s="77"/>
      <c r="AE745" s="77"/>
      <c r="AF745" s="77"/>
      <c r="AG745" s="77"/>
      <c r="AH745" s="77"/>
      <c r="AI745" s="77"/>
      <c r="AJ745" s="79"/>
      <c r="AK745" s="80"/>
      <c r="AL745" s="59"/>
      <c r="AM745" s="35"/>
      <c r="AN745" s="35"/>
      <c r="AO745" s="35"/>
      <c r="AP745" s="35"/>
      <c r="AQ745" s="35"/>
      <c r="AR745" s="35"/>
      <c r="AS745" s="35"/>
      <c r="AT745" s="35"/>
      <c r="AU745" s="35"/>
      <c r="AV745" s="35"/>
      <c r="AW745" s="35"/>
    </row>
    <row r="746">
      <c r="A746" s="17"/>
      <c r="B746" s="35"/>
      <c r="C746" s="74"/>
      <c r="D746" s="74"/>
      <c r="E746" s="74"/>
      <c r="F746" s="74"/>
      <c r="G746" s="74"/>
      <c r="H746" s="74"/>
      <c r="I746" s="74"/>
      <c r="J746" s="57"/>
      <c r="K746" s="57"/>
      <c r="L746" s="57"/>
      <c r="M746" s="57"/>
      <c r="N746" s="57"/>
      <c r="O746" s="57"/>
      <c r="P746" s="57"/>
      <c r="Q746" s="69"/>
      <c r="R746" s="69"/>
      <c r="S746" s="23" t="str">
        <f>iferror(if(AN746=1,VLOOKUP(B746, Blends!H$4:AK$1004,32,0), ""), "")</f>
        <v/>
      </c>
      <c r="T746" s="58"/>
      <c r="U746" s="77"/>
      <c r="V746" s="77"/>
      <c r="W746" s="78"/>
      <c r="X746" s="77"/>
      <c r="Y746" s="77"/>
      <c r="Z746" s="77"/>
      <c r="AA746" s="77"/>
      <c r="AB746" s="77"/>
      <c r="AC746" s="77"/>
      <c r="AD746" s="77"/>
      <c r="AE746" s="77"/>
      <c r="AF746" s="77"/>
      <c r="AG746" s="77"/>
      <c r="AH746" s="77"/>
      <c r="AI746" s="77"/>
      <c r="AJ746" s="79"/>
      <c r="AK746" s="80"/>
      <c r="AL746" s="59"/>
      <c r="AM746" s="35"/>
      <c r="AN746" s="35"/>
      <c r="AO746" s="35"/>
      <c r="AP746" s="35"/>
      <c r="AQ746" s="35"/>
      <c r="AR746" s="35"/>
      <c r="AS746" s="35"/>
      <c r="AT746" s="35"/>
      <c r="AU746" s="35"/>
      <c r="AV746" s="35"/>
      <c r="AW746" s="35"/>
    </row>
    <row r="747">
      <c r="A747" s="17"/>
      <c r="B747" s="35"/>
      <c r="C747" s="74"/>
      <c r="D747" s="74"/>
      <c r="E747" s="74"/>
      <c r="F747" s="74"/>
      <c r="G747" s="74"/>
      <c r="H747" s="74"/>
      <c r="I747" s="74"/>
      <c r="J747" s="57"/>
      <c r="K747" s="57"/>
      <c r="L747" s="57"/>
      <c r="M747" s="57"/>
      <c r="N747" s="57"/>
      <c r="O747" s="57"/>
      <c r="P747" s="57"/>
      <c r="Q747" s="69"/>
      <c r="R747" s="69"/>
      <c r="S747" s="23" t="str">
        <f>iferror(if(AN747=1,VLOOKUP(B747, Blends!H$4:AK$1004,32,0), ""), "")</f>
        <v/>
      </c>
      <c r="T747" s="58"/>
      <c r="U747" s="77"/>
      <c r="V747" s="77"/>
      <c r="W747" s="78"/>
      <c r="X747" s="77"/>
      <c r="Y747" s="77"/>
      <c r="Z747" s="77"/>
      <c r="AA747" s="77"/>
      <c r="AB747" s="77"/>
      <c r="AC747" s="77"/>
      <c r="AD747" s="77"/>
      <c r="AE747" s="77"/>
      <c r="AF747" s="77"/>
      <c r="AG747" s="77"/>
      <c r="AH747" s="77"/>
      <c r="AI747" s="77"/>
      <c r="AJ747" s="79"/>
      <c r="AK747" s="80"/>
      <c r="AL747" s="59"/>
      <c r="AM747" s="35"/>
      <c r="AN747" s="35"/>
      <c r="AO747" s="35"/>
      <c r="AP747" s="35"/>
      <c r="AQ747" s="35"/>
      <c r="AR747" s="35"/>
      <c r="AS747" s="35"/>
      <c r="AT747" s="35"/>
      <c r="AU747" s="35"/>
      <c r="AV747" s="35"/>
      <c r="AW747" s="35"/>
    </row>
    <row r="748">
      <c r="A748" s="17"/>
      <c r="B748" s="35"/>
      <c r="C748" s="74"/>
      <c r="D748" s="74"/>
      <c r="E748" s="74"/>
      <c r="F748" s="74"/>
      <c r="G748" s="74"/>
      <c r="H748" s="74"/>
      <c r="I748" s="74"/>
      <c r="J748" s="57"/>
      <c r="K748" s="57"/>
      <c r="L748" s="57"/>
      <c r="M748" s="57"/>
      <c r="N748" s="57"/>
      <c r="O748" s="57"/>
      <c r="P748" s="57"/>
      <c r="Q748" s="69"/>
      <c r="R748" s="69"/>
      <c r="S748" s="23" t="str">
        <f>iferror(if(AN748=1,VLOOKUP(B748, Blends!H$4:AK$1004,32,0), ""), "")</f>
        <v/>
      </c>
      <c r="T748" s="58"/>
      <c r="U748" s="77"/>
      <c r="V748" s="77"/>
      <c r="W748" s="78"/>
      <c r="X748" s="77"/>
      <c r="Y748" s="77"/>
      <c r="Z748" s="77"/>
      <c r="AA748" s="77"/>
      <c r="AB748" s="77"/>
      <c r="AC748" s="77"/>
      <c r="AD748" s="77"/>
      <c r="AE748" s="77"/>
      <c r="AF748" s="77"/>
      <c r="AG748" s="77"/>
      <c r="AH748" s="77"/>
      <c r="AI748" s="77"/>
      <c r="AJ748" s="79"/>
      <c r="AK748" s="80"/>
      <c r="AL748" s="59"/>
      <c r="AM748" s="35"/>
      <c r="AN748" s="35"/>
      <c r="AO748" s="35"/>
      <c r="AP748" s="35"/>
      <c r="AQ748" s="35"/>
      <c r="AR748" s="35"/>
      <c r="AS748" s="35"/>
      <c r="AT748" s="35"/>
      <c r="AU748" s="35"/>
      <c r="AV748" s="35"/>
      <c r="AW748" s="35"/>
    </row>
    <row r="749">
      <c r="A749" s="17"/>
      <c r="B749" s="35"/>
      <c r="C749" s="74"/>
      <c r="D749" s="74"/>
      <c r="E749" s="74"/>
      <c r="F749" s="74"/>
      <c r="G749" s="74"/>
      <c r="H749" s="74"/>
      <c r="I749" s="74"/>
      <c r="J749" s="57"/>
      <c r="K749" s="57"/>
      <c r="L749" s="57"/>
      <c r="M749" s="57"/>
      <c r="N749" s="57"/>
      <c r="O749" s="57"/>
      <c r="P749" s="57"/>
      <c r="Q749" s="69"/>
      <c r="R749" s="69"/>
      <c r="S749" s="23" t="str">
        <f>iferror(if(AN749=1,VLOOKUP(B749, Blends!H$4:AK$1004,32,0), ""), "")</f>
        <v/>
      </c>
      <c r="T749" s="58"/>
      <c r="U749" s="77"/>
      <c r="V749" s="77"/>
      <c r="W749" s="78"/>
      <c r="X749" s="77"/>
      <c r="Y749" s="77"/>
      <c r="Z749" s="77"/>
      <c r="AA749" s="77"/>
      <c r="AB749" s="77"/>
      <c r="AC749" s="77"/>
      <c r="AD749" s="77"/>
      <c r="AE749" s="77"/>
      <c r="AF749" s="77"/>
      <c r="AG749" s="77"/>
      <c r="AH749" s="77"/>
      <c r="AI749" s="77"/>
      <c r="AJ749" s="79"/>
      <c r="AK749" s="80"/>
      <c r="AL749" s="59"/>
      <c r="AM749" s="35"/>
      <c r="AN749" s="35"/>
      <c r="AO749" s="35"/>
      <c r="AP749" s="35"/>
      <c r="AQ749" s="35"/>
      <c r="AR749" s="35"/>
      <c r="AS749" s="35"/>
      <c r="AT749" s="35"/>
      <c r="AU749" s="35"/>
      <c r="AV749" s="35"/>
      <c r="AW749" s="35"/>
    </row>
    <row r="750">
      <c r="A750" s="17"/>
      <c r="B750" s="35"/>
      <c r="C750" s="74"/>
      <c r="D750" s="74"/>
      <c r="E750" s="74"/>
      <c r="F750" s="74"/>
      <c r="G750" s="74"/>
      <c r="H750" s="74"/>
      <c r="I750" s="74"/>
      <c r="J750" s="57"/>
      <c r="K750" s="57"/>
      <c r="L750" s="57"/>
      <c r="M750" s="57"/>
      <c r="N750" s="57"/>
      <c r="O750" s="57"/>
      <c r="P750" s="57"/>
      <c r="Q750" s="69"/>
      <c r="R750" s="69"/>
      <c r="S750" s="23" t="str">
        <f>iferror(if(AN750=1,VLOOKUP(B750, Blends!H$4:AK$1004,32,0), ""), "")</f>
        <v/>
      </c>
      <c r="T750" s="58"/>
      <c r="U750" s="77"/>
      <c r="V750" s="77"/>
      <c r="W750" s="78"/>
      <c r="X750" s="77"/>
      <c r="Y750" s="77"/>
      <c r="Z750" s="77"/>
      <c r="AA750" s="77"/>
      <c r="AB750" s="77"/>
      <c r="AC750" s="77"/>
      <c r="AD750" s="77"/>
      <c r="AE750" s="77"/>
      <c r="AF750" s="77"/>
      <c r="AG750" s="77"/>
      <c r="AH750" s="77"/>
      <c r="AI750" s="77"/>
      <c r="AJ750" s="79"/>
      <c r="AK750" s="80"/>
      <c r="AL750" s="59"/>
      <c r="AM750" s="35"/>
      <c r="AN750" s="35"/>
      <c r="AO750" s="35"/>
      <c r="AP750" s="35"/>
      <c r="AQ750" s="35"/>
      <c r="AR750" s="35"/>
      <c r="AS750" s="35"/>
      <c r="AT750" s="35"/>
      <c r="AU750" s="35"/>
      <c r="AV750" s="35"/>
      <c r="AW750" s="35"/>
    </row>
    <row r="751">
      <c r="A751" s="17"/>
      <c r="B751" s="35"/>
      <c r="C751" s="74"/>
      <c r="D751" s="74"/>
      <c r="E751" s="74"/>
      <c r="F751" s="74"/>
      <c r="G751" s="74"/>
      <c r="H751" s="74"/>
      <c r="I751" s="74"/>
      <c r="J751" s="57"/>
      <c r="K751" s="57"/>
      <c r="L751" s="57"/>
      <c r="M751" s="57"/>
      <c r="N751" s="57"/>
      <c r="O751" s="57"/>
      <c r="P751" s="57"/>
      <c r="Q751" s="69"/>
      <c r="R751" s="69"/>
      <c r="S751" s="23" t="str">
        <f>iferror(if(AN751=1,VLOOKUP(B751, Blends!H$4:AK$1004,32,0), ""), "")</f>
        <v/>
      </c>
      <c r="T751" s="58"/>
      <c r="U751" s="77"/>
      <c r="V751" s="77"/>
      <c r="W751" s="78"/>
      <c r="X751" s="77"/>
      <c r="Y751" s="77"/>
      <c r="Z751" s="77"/>
      <c r="AA751" s="77"/>
      <c r="AB751" s="77"/>
      <c r="AC751" s="77"/>
      <c r="AD751" s="77"/>
      <c r="AE751" s="77"/>
      <c r="AF751" s="77"/>
      <c r="AG751" s="77"/>
      <c r="AH751" s="77"/>
      <c r="AI751" s="77"/>
      <c r="AJ751" s="79"/>
      <c r="AK751" s="80"/>
      <c r="AL751" s="59"/>
      <c r="AM751" s="35"/>
      <c r="AN751" s="35"/>
      <c r="AO751" s="35"/>
      <c r="AP751" s="35"/>
      <c r="AQ751" s="35"/>
      <c r="AR751" s="35"/>
      <c r="AS751" s="35"/>
      <c r="AT751" s="35"/>
      <c r="AU751" s="35"/>
      <c r="AV751" s="35"/>
      <c r="AW751" s="35"/>
    </row>
    <row r="752">
      <c r="A752" s="17"/>
      <c r="B752" s="35"/>
      <c r="C752" s="74"/>
      <c r="D752" s="74"/>
      <c r="E752" s="74"/>
      <c r="F752" s="74"/>
      <c r="G752" s="74"/>
      <c r="H752" s="74"/>
      <c r="I752" s="74"/>
      <c r="J752" s="57"/>
      <c r="K752" s="57"/>
      <c r="L752" s="57"/>
      <c r="M752" s="57"/>
      <c r="N752" s="57"/>
      <c r="O752" s="57"/>
      <c r="P752" s="57"/>
      <c r="Q752" s="69"/>
      <c r="R752" s="69"/>
      <c r="S752" s="23" t="str">
        <f>iferror(if(AN752=1,VLOOKUP(B752, Blends!H$4:AK$1004,32,0), ""), "")</f>
        <v/>
      </c>
      <c r="T752" s="58"/>
      <c r="U752" s="77"/>
      <c r="V752" s="77"/>
      <c r="W752" s="78"/>
      <c r="X752" s="77"/>
      <c r="Y752" s="77"/>
      <c r="Z752" s="77"/>
      <c r="AA752" s="77"/>
      <c r="AB752" s="77"/>
      <c r="AC752" s="77"/>
      <c r="AD752" s="77"/>
      <c r="AE752" s="77"/>
      <c r="AF752" s="77"/>
      <c r="AG752" s="77"/>
      <c r="AH752" s="77"/>
      <c r="AI752" s="77"/>
      <c r="AJ752" s="79"/>
      <c r="AK752" s="80"/>
      <c r="AL752" s="59"/>
      <c r="AM752" s="35"/>
      <c r="AN752" s="35"/>
      <c r="AO752" s="35"/>
      <c r="AP752" s="35"/>
      <c r="AQ752" s="35"/>
      <c r="AR752" s="35"/>
      <c r="AS752" s="35"/>
      <c r="AT752" s="35"/>
      <c r="AU752" s="35"/>
      <c r="AV752" s="35"/>
      <c r="AW752" s="35"/>
    </row>
    <row r="753">
      <c r="A753" s="17"/>
      <c r="B753" s="35"/>
      <c r="C753" s="74"/>
      <c r="D753" s="74"/>
      <c r="E753" s="74"/>
      <c r="F753" s="74"/>
      <c r="G753" s="74"/>
      <c r="H753" s="74"/>
      <c r="I753" s="74"/>
      <c r="J753" s="57"/>
      <c r="K753" s="57"/>
      <c r="L753" s="57"/>
      <c r="M753" s="57"/>
      <c r="N753" s="57"/>
      <c r="O753" s="57"/>
      <c r="P753" s="57"/>
      <c r="Q753" s="69"/>
      <c r="R753" s="69"/>
      <c r="S753" s="23" t="str">
        <f>iferror(if(AN753=1,VLOOKUP(B753, Blends!H$4:AK$1004,32,0), ""), "")</f>
        <v/>
      </c>
      <c r="T753" s="58"/>
      <c r="U753" s="77"/>
      <c r="V753" s="77"/>
      <c r="W753" s="78"/>
      <c r="X753" s="77"/>
      <c r="Y753" s="77"/>
      <c r="Z753" s="77"/>
      <c r="AA753" s="77"/>
      <c r="AB753" s="77"/>
      <c r="AC753" s="77"/>
      <c r="AD753" s="77"/>
      <c r="AE753" s="77"/>
      <c r="AF753" s="77"/>
      <c r="AG753" s="77"/>
      <c r="AH753" s="77"/>
      <c r="AI753" s="77"/>
      <c r="AJ753" s="79"/>
      <c r="AK753" s="80"/>
      <c r="AL753" s="59"/>
      <c r="AM753" s="35"/>
      <c r="AN753" s="35"/>
      <c r="AO753" s="35"/>
      <c r="AP753" s="35"/>
      <c r="AQ753" s="35"/>
      <c r="AR753" s="35"/>
      <c r="AS753" s="35"/>
      <c r="AT753" s="35"/>
      <c r="AU753" s="35"/>
      <c r="AV753" s="35"/>
      <c r="AW753" s="35"/>
    </row>
    <row r="754">
      <c r="A754" s="17"/>
      <c r="B754" s="35"/>
      <c r="C754" s="74"/>
      <c r="D754" s="74"/>
      <c r="E754" s="74"/>
      <c r="F754" s="74"/>
      <c r="G754" s="74"/>
      <c r="H754" s="74"/>
      <c r="I754" s="74"/>
      <c r="J754" s="57"/>
      <c r="K754" s="57"/>
      <c r="L754" s="57"/>
      <c r="M754" s="57"/>
      <c r="N754" s="57"/>
      <c r="O754" s="57"/>
      <c r="P754" s="57"/>
      <c r="Q754" s="69"/>
      <c r="R754" s="69"/>
      <c r="S754" s="23" t="str">
        <f>iferror(if(AN754=1,VLOOKUP(B754, Blends!H$4:AK$1004,32,0), ""), "")</f>
        <v/>
      </c>
      <c r="T754" s="58"/>
      <c r="U754" s="77"/>
      <c r="V754" s="77"/>
      <c r="W754" s="78"/>
      <c r="X754" s="77"/>
      <c r="Y754" s="77"/>
      <c r="Z754" s="77"/>
      <c r="AA754" s="77"/>
      <c r="AB754" s="77"/>
      <c r="AC754" s="77"/>
      <c r="AD754" s="77"/>
      <c r="AE754" s="77"/>
      <c r="AF754" s="77"/>
      <c r="AG754" s="77"/>
      <c r="AH754" s="77"/>
      <c r="AI754" s="77"/>
      <c r="AJ754" s="79"/>
      <c r="AK754" s="80"/>
      <c r="AL754" s="59"/>
      <c r="AM754" s="35"/>
      <c r="AN754" s="35"/>
      <c r="AO754" s="35"/>
      <c r="AP754" s="35"/>
      <c r="AQ754" s="35"/>
      <c r="AR754" s="35"/>
      <c r="AS754" s="35"/>
      <c r="AT754" s="35"/>
      <c r="AU754" s="35"/>
      <c r="AV754" s="35"/>
      <c r="AW754" s="35"/>
    </row>
    <row r="755">
      <c r="A755" s="17"/>
      <c r="B755" s="35"/>
      <c r="C755" s="74"/>
      <c r="D755" s="74"/>
      <c r="E755" s="74"/>
      <c r="F755" s="74"/>
      <c r="G755" s="74"/>
      <c r="H755" s="74"/>
      <c r="I755" s="74"/>
      <c r="J755" s="57"/>
      <c r="K755" s="57"/>
      <c r="L755" s="57"/>
      <c r="M755" s="57"/>
      <c r="N755" s="57"/>
      <c r="O755" s="57"/>
      <c r="P755" s="57"/>
      <c r="Q755" s="69"/>
      <c r="R755" s="69"/>
      <c r="S755" s="23" t="str">
        <f>iferror(if(AN755=1,VLOOKUP(B755, Blends!H$4:AK$1004,32,0), ""), "")</f>
        <v/>
      </c>
      <c r="T755" s="58"/>
      <c r="U755" s="77"/>
      <c r="V755" s="77"/>
      <c r="W755" s="78"/>
      <c r="X755" s="77"/>
      <c r="Y755" s="77"/>
      <c r="Z755" s="77"/>
      <c r="AA755" s="77"/>
      <c r="AB755" s="77"/>
      <c r="AC755" s="77"/>
      <c r="AD755" s="77"/>
      <c r="AE755" s="77"/>
      <c r="AF755" s="77"/>
      <c r="AG755" s="77"/>
      <c r="AH755" s="77"/>
      <c r="AI755" s="77"/>
      <c r="AJ755" s="79"/>
      <c r="AK755" s="80"/>
      <c r="AL755" s="59"/>
      <c r="AM755" s="35"/>
      <c r="AN755" s="35"/>
      <c r="AO755" s="35"/>
      <c r="AP755" s="35"/>
      <c r="AQ755" s="35"/>
      <c r="AR755" s="35"/>
      <c r="AS755" s="35"/>
      <c r="AT755" s="35"/>
      <c r="AU755" s="35"/>
      <c r="AV755" s="35"/>
      <c r="AW755" s="35"/>
    </row>
    <row r="756">
      <c r="A756" s="17"/>
      <c r="B756" s="35"/>
      <c r="C756" s="74"/>
      <c r="D756" s="74"/>
      <c r="E756" s="74"/>
      <c r="F756" s="74"/>
      <c r="G756" s="74"/>
      <c r="H756" s="74"/>
      <c r="I756" s="74"/>
      <c r="J756" s="57"/>
      <c r="K756" s="57"/>
      <c r="L756" s="57"/>
      <c r="M756" s="57"/>
      <c r="N756" s="57"/>
      <c r="O756" s="57"/>
      <c r="P756" s="57"/>
      <c r="Q756" s="69"/>
      <c r="R756" s="69"/>
      <c r="S756" s="23" t="str">
        <f>iferror(if(AN756=1,VLOOKUP(B756, Blends!H$4:AK$1004,32,0), ""), "")</f>
        <v/>
      </c>
      <c r="T756" s="58"/>
      <c r="U756" s="77"/>
      <c r="V756" s="77"/>
      <c r="W756" s="78"/>
      <c r="X756" s="77"/>
      <c r="Y756" s="77"/>
      <c r="Z756" s="77"/>
      <c r="AA756" s="77"/>
      <c r="AB756" s="77"/>
      <c r="AC756" s="77"/>
      <c r="AD756" s="77"/>
      <c r="AE756" s="77"/>
      <c r="AF756" s="77"/>
      <c r="AG756" s="77"/>
      <c r="AH756" s="77"/>
      <c r="AI756" s="77"/>
      <c r="AJ756" s="79"/>
      <c r="AK756" s="80"/>
      <c r="AL756" s="59"/>
      <c r="AM756" s="35"/>
      <c r="AN756" s="35"/>
      <c r="AO756" s="35"/>
      <c r="AP756" s="35"/>
      <c r="AQ756" s="35"/>
      <c r="AR756" s="35"/>
      <c r="AS756" s="35"/>
      <c r="AT756" s="35"/>
      <c r="AU756" s="35"/>
      <c r="AV756" s="35"/>
      <c r="AW756" s="35"/>
    </row>
    <row r="757">
      <c r="A757" s="17"/>
      <c r="B757" s="35"/>
      <c r="C757" s="74"/>
      <c r="D757" s="74"/>
      <c r="E757" s="74"/>
      <c r="F757" s="74"/>
      <c r="G757" s="74"/>
      <c r="H757" s="74"/>
      <c r="I757" s="74"/>
      <c r="J757" s="57"/>
      <c r="K757" s="57"/>
      <c r="L757" s="57"/>
      <c r="M757" s="57"/>
      <c r="N757" s="57"/>
      <c r="O757" s="57"/>
      <c r="P757" s="57"/>
      <c r="Q757" s="69"/>
      <c r="R757" s="69"/>
      <c r="S757" s="23" t="str">
        <f>iferror(if(AN757=1,VLOOKUP(B757, Blends!H$4:AK$1004,32,0), ""), "")</f>
        <v/>
      </c>
      <c r="T757" s="58"/>
      <c r="U757" s="77"/>
      <c r="V757" s="77"/>
      <c r="W757" s="78"/>
      <c r="X757" s="77"/>
      <c r="Y757" s="77"/>
      <c r="Z757" s="77"/>
      <c r="AA757" s="77"/>
      <c r="AB757" s="77"/>
      <c r="AC757" s="77"/>
      <c r="AD757" s="77"/>
      <c r="AE757" s="77"/>
      <c r="AF757" s="77"/>
      <c r="AG757" s="77"/>
      <c r="AH757" s="77"/>
      <c r="AI757" s="77"/>
      <c r="AJ757" s="79"/>
      <c r="AK757" s="80"/>
      <c r="AL757" s="59"/>
      <c r="AM757" s="35"/>
      <c r="AN757" s="35"/>
      <c r="AO757" s="35"/>
      <c r="AP757" s="35"/>
      <c r="AQ757" s="35"/>
      <c r="AR757" s="35"/>
      <c r="AS757" s="35"/>
      <c r="AT757" s="35"/>
      <c r="AU757" s="35"/>
      <c r="AV757" s="35"/>
      <c r="AW757" s="35"/>
    </row>
    <row r="758">
      <c r="A758" s="17"/>
      <c r="B758" s="35"/>
      <c r="C758" s="74"/>
      <c r="D758" s="74"/>
      <c r="E758" s="74"/>
      <c r="F758" s="74"/>
      <c r="G758" s="74"/>
      <c r="H758" s="74"/>
      <c r="I758" s="74"/>
      <c r="J758" s="57"/>
      <c r="K758" s="57"/>
      <c r="L758" s="57"/>
      <c r="M758" s="57"/>
      <c r="N758" s="57"/>
      <c r="O758" s="57"/>
      <c r="P758" s="57"/>
      <c r="Q758" s="69"/>
      <c r="R758" s="69"/>
      <c r="S758" s="23" t="str">
        <f>iferror(if(AN758=1,VLOOKUP(B758, Blends!H$4:AK$1004,32,0), ""), "")</f>
        <v/>
      </c>
      <c r="T758" s="58"/>
      <c r="U758" s="77"/>
      <c r="V758" s="77"/>
      <c r="W758" s="78"/>
      <c r="X758" s="77"/>
      <c r="Y758" s="77"/>
      <c r="Z758" s="77"/>
      <c r="AA758" s="77"/>
      <c r="AB758" s="77"/>
      <c r="AC758" s="77"/>
      <c r="AD758" s="77"/>
      <c r="AE758" s="77"/>
      <c r="AF758" s="77"/>
      <c r="AG758" s="77"/>
      <c r="AH758" s="77"/>
      <c r="AI758" s="77"/>
      <c r="AJ758" s="79"/>
      <c r="AK758" s="80"/>
      <c r="AL758" s="59"/>
      <c r="AM758" s="35"/>
      <c r="AN758" s="35"/>
      <c r="AO758" s="35"/>
      <c r="AP758" s="35"/>
      <c r="AQ758" s="35"/>
      <c r="AR758" s="35"/>
      <c r="AS758" s="35"/>
      <c r="AT758" s="35"/>
      <c r="AU758" s="35"/>
      <c r="AV758" s="35"/>
      <c r="AW758" s="35"/>
    </row>
    <row r="759">
      <c r="A759" s="17"/>
      <c r="B759" s="35"/>
      <c r="C759" s="74"/>
      <c r="D759" s="74"/>
      <c r="E759" s="74"/>
      <c r="F759" s="74"/>
      <c r="G759" s="74"/>
      <c r="H759" s="74"/>
      <c r="I759" s="74"/>
      <c r="J759" s="57"/>
      <c r="K759" s="57"/>
      <c r="L759" s="57"/>
      <c r="M759" s="57"/>
      <c r="N759" s="57"/>
      <c r="O759" s="57"/>
      <c r="P759" s="57"/>
      <c r="Q759" s="69"/>
      <c r="R759" s="69"/>
      <c r="S759" s="23" t="str">
        <f>iferror(if(AN759=1,VLOOKUP(B759, Blends!H$4:AK$1004,32,0), ""), "")</f>
        <v/>
      </c>
      <c r="T759" s="58"/>
      <c r="U759" s="77"/>
      <c r="V759" s="77"/>
      <c r="W759" s="78"/>
      <c r="X759" s="77"/>
      <c r="Y759" s="77"/>
      <c r="Z759" s="77"/>
      <c r="AA759" s="77"/>
      <c r="AB759" s="77"/>
      <c r="AC759" s="77"/>
      <c r="AD759" s="77"/>
      <c r="AE759" s="77"/>
      <c r="AF759" s="77"/>
      <c r="AG759" s="77"/>
      <c r="AH759" s="77"/>
      <c r="AI759" s="77"/>
      <c r="AJ759" s="79"/>
      <c r="AK759" s="80"/>
      <c r="AL759" s="59"/>
      <c r="AM759" s="35"/>
      <c r="AN759" s="35"/>
      <c r="AO759" s="35"/>
      <c r="AP759" s="35"/>
      <c r="AQ759" s="35"/>
      <c r="AR759" s="35"/>
      <c r="AS759" s="35"/>
      <c r="AT759" s="35"/>
      <c r="AU759" s="35"/>
      <c r="AV759" s="35"/>
      <c r="AW759" s="35"/>
    </row>
    <row r="760">
      <c r="A760" s="17"/>
      <c r="B760" s="35"/>
      <c r="C760" s="74"/>
      <c r="D760" s="74"/>
      <c r="E760" s="74"/>
      <c r="F760" s="74"/>
      <c r="G760" s="74"/>
      <c r="H760" s="74"/>
      <c r="I760" s="74"/>
      <c r="J760" s="57"/>
      <c r="K760" s="57"/>
      <c r="L760" s="57"/>
      <c r="M760" s="57"/>
      <c r="N760" s="57"/>
      <c r="O760" s="57"/>
      <c r="P760" s="57"/>
      <c r="Q760" s="69"/>
      <c r="R760" s="69"/>
      <c r="S760" s="23" t="str">
        <f>iferror(if(AN760=1,VLOOKUP(B760, Blends!H$4:AK$1004,32,0), ""), "")</f>
        <v/>
      </c>
      <c r="T760" s="58"/>
      <c r="U760" s="77"/>
      <c r="V760" s="77"/>
      <c r="W760" s="78"/>
      <c r="X760" s="77"/>
      <c r="Y760" s="77"/>
      <c r="Z760" s="77"/>
      <c r="AA760" s="77"/>
      <c r="AB760" s="77"/>
      <c r="AC760" s="77"/>
      <c r="AD760" s="77"/>
      <c r="AE760" s="77"/>
      <c r="AF760" s="77"/>
      <c r="AG760" s="77"/>
      <c r="AH760" s="77"/>
      <c r="AI760" s="77"/>
      <c r="AJ760" s="79"/>
      <c r="AK760" s="80"/>
      <c r="AL760" s="59"/>
      <c r="AM760" s="35"/>
      <c r="AN760" s="35"/>
      <c r="AO760" s="35"/>
      <c r="AP760" s="35"/>
      <c r="AQ760" s="35"/>
      <c r="AR760" s="35"/>
      <c r="AS760" s="35"/>
      <c r="AT760" s="35"/>
      <c r="AU760" s="35"/>
      <c r="AV760" s="35"/>
      <c r="AW760" s="35"/>
    </row>
    <row r="761">
      <c r="A761" s="17"/>
      <c r="B761" s="35"/>
      <c r="C761" s="74"/>
      <c r="D761" s="74"/>
      <c r="E761" s="74"/>
      <c r="F761" s="74"/>
      <c r="G761" s="74"/>
      <c r="H761" s="74"/>
      <c r="I761" s="74"/>
      <c r="J761" s="57"/>
      <c r="K761" s="57"/>
      <c r="L761" s="57"/>
      <c r="M761" s="57"/>
      <c r="N761" s="57"/>
      <c r="O761" s="57"/>
      <c r="P761" s="57"/>
      <c r="Q761" s="69"/>
      <c r="R761" s="69"/>
      <c r="S761" s="23" t="str">
        <f>iferror(if(AN761=1,VLOOKUP(B761, Blends!H$4:AK$1004,32,0), ""), "")</f>
        <v/>
      </c>
      <c r="T761" s="58"/>
      <c r="U761" s="77"/>
      <c r="V761" s="77"/>
      <c r="W761" s="78"/>
      <c r="X761" s="77"/>
      <c r="Y761" s="77"/>
      <c r="Z761" s="77"/>
      <c r="AA761" s="77"/>
      <c r="AB761" s="77"/>
      <c r="AC761" s="77"/>
      <c r="AD761" s="77"/>
      <c r="AE761" s="77"/>
      <c r="AF761" s="77"/>
      <c r="AG761" s="77"/>
      <c r="AH761" s="77"/>
      <c r="AI761" s="77"/>
      <c r="AJ761" s="79"/>
      <c r="AK761" s="80"/>
      <c r="AL761" s="59"/>
      <c r="AM761" s="35"/>
      <c r="AN761" s="35"/>
      <c r="AO761" s="35"/>
      <c r="AP761" s="35"/>
      <c r="AQ761" s="35"/>
      <c r="AR761" s="35"/>
      <c r="AS761" s="35"/>
      <c r="AT761" s="35"/>
      <c r="AU761" s="35"/>
      <c r="AV761" s="35"/>
      <c r="AW761" s="35"/>
    </row>
    <row r="762">
      <c r="A762" s="17"/>
      <c r="B762" s="35"/>
      <c r="C762" s="74"/>
      <c r="D762" s="74"/>
      <c r="E762" s="74"/>
      <c r="F762" s="74"/>
      <c r="G762" s="74"/>
      <c r="H762" s="74"/>
      <c r="I762" s="74"/>
      <c r="J762" s="57"/>
      <c r="K762" s="57"/>
      <c r="L762" s="57"/>
      <c r="M762" s="57"/>
      <c r="N762" s="57"/>
      <c r="O762" s="57"/>
      <c r="P762" s="57"/>
      <c r="Q762" s="69"/>
      <c r="R762" s="69"/>
      <c r="S762" s="23" t="str">
        <f>iferror(if(AN762=1,VLOOKUP(B762, Blends!H$4:AK$1004,32,0), ""), "")</f>
        <v/>
      </c>
      <c r="T762" s="58"/>
      <c r="U762" s="77"/>
      <c r="V762" s="77"/>
      <c r="W762" s="78"/>
      <c r="X762" s="77"/>
      <c r="Y762" s="77"/>
      <c r="Z762" s="77"/>
      <c r="AA762" s="77"/>
      <c r="AB762" s="77"/>
      <c r="AC762" s="77"/>
      <c r="AD762" s="77"/>
      <c r="AE762" s="77"/>
      <c r="AF762" s="77"/>
      <c r="AG762" s="77"/>
      <c r="AH762" s="77"/>
      <c r="AI762" s="77"/>
      <c r="AJ762" s="79"/>
      <c r="AK762" s="80"/>
      <c r="AL762" s="59"/>
      <c r="AM762" s="35"/>
      <c r="AN762" s="35"/>
      <c r="AO762" s="35"/>
      <c r="AP762" s="35"/>
      <c r="AQ762" s="35"/>
      <c r="AR762" s="35"/>
      <c r="AS762" s="35"/>
      <c r="AT762" s="35"/>
      <c r="AU762" s="35"/>
      <c r="AV762" s="35"/>
      <c r="AW762" s="35"/>
    </row>
    <row r="763">
      <c r="A763" s="17"/>
      <c r="B763" s="35"/>
      <c r="C763" s="74"/>
      <c r="D763" s="74"/>
      <c r="E763" s="74"/>
      <c r="F763" s="74"/>
      <c r="G763" s="74"/>
      <c r="H763" s="74"/>
      <c r="I763" s="74"/>
      <c r="J763" s="57"/>
      <c r="K763" s="57"/>
      <c r="L763" s="57"/>
      <c r="M763" s="57"/>
      <c r="N763" s="57"/>
      <c r="O763" s="57"/>
      <c r="P763" s="57"/>
      <c r="Q763" s="69"/>
      <c r="R763" s="69"/>
      <c r="S763" s="23" t="str">
        <f>iferror(if(AN763=1,VLOOKUP(B763, Blends!H$4:AK$1004,32,0), ""), "")</f>
        <v/>
      </c>
      <c r="T763" s="58"/>
      <c r="U763" s="77"/>
      <c r="V763" s="77"/>
      <c r="W763" s="78"/>
      <c r="X763" s="77"/>
      <c r="Y763" s="77"/>
      <c r="Z763" s="77"/>
      <c r="AA763" s="77"/>
      <c r="AB763" s="77"/>
      <c r="AC763" s="77"/>
      <c r="AD763" s="77"/>
      <c r="AE763" s="77"/>
      <c r="AF763" s="77"/>
      <c r="AG763" s="77"/>
      <c r="AH763" s="77"/>
      <c r="AI763" s="77"/>
      <c r="AJ763" s="79"/>
      <c r="AK763" s="80"/>
      <c r="AL763" s="59"/>
      <c r="AM763" s="35"/>
      <c r="AN763" s="35"/>
      <c r="AO763" s="35"/>
      <c r="AP763" s="35"/>
      <c r="AQ763" s="35"/>
      <c r="AR763" s="35"/>
      <c r="AS763" s="35"/>
      <c r="AT763" s="35"/>
      <c r="AU763" s="35"/>
      <c r="AV763" s="35"/>
      <c r="AW763" s="35"/>
    </row>
    <row r="764">
      <c r="A764" s="17"/>
      <c r="B764" s="35"/>
      <c r="C764" s="74"/>
      <c r="D764" s="74"/>
      <c r="E764" s="74"/>
      <c r="F764" s="74"/>
      <c r="G764" s="74"/>
      <c r="H764" s="74"/>
      <c r="I764" s="74"/>
      <c r="J764" s="57"/>
      <c r="K764" s="57"/>
      <c r="L764" s="57"/>
      <c r="M764" s="57"/>
      <c r="N764" s="57"/>
      <c r="O764" s="57"/>
      <c r="P764" s="57"/>
      <c r="Q764" s="69"/>
      <c r="R764" s="69"/>
      <c r="S764" s="23" t="str">
        <f>iferror(if(AN764=1,VLOOKUP(B764, Blends!H$4:AK$1004,32,0), ""), "")</f>
        <v/>
      </c>
      <c r="T764" s="58"/>
      <c r="U764" s="77"/>
      <c r="V764" s="77"/>
      <c r="W764" s="78"/>
      <c r="X764" s="77"/>
      <c r="Y764" s="77"/>
      <c r="Z764" s="77"/>
      <c r="AA764" s="77"/>
      <c r="AB764" s="77"/>
      <c r="AC764" s="77"/>
      <c r="AD764" s="77"/>
      <c r="AE764" s="77"/>
      <c r="AF764" s="77"/>
      <c r="AG764" s="77"/>
      <c r="AH764" s="77"/>
      <c r="AI764" s="77"/>
      <c r="AJ764" s="79"/>
      <c r="AK764" s="80"/>
      <c r="AL764" s="59"/>
      <c r="AM764" s="35"/>
      <c r="AN764" s="35"/>
      <c r="AO764" s="35"/>
      <c r="AP764" s="35"/>
      <c r="AQ764" s="35"/>
      <c r="AR764" s="35"/>
      <c r="AS764" s="35"/>
      <c r="AT764" s="35"/>
      <c r="AU764" s="35"/>
      <c r="AV764" s="35"/>
      <c r="AW764" s="35"/>
    </row>
    <row r="765">
      <c r="A765" s="17"/>
      <c r="B765" s="35"/>
      <c r="C765" s="74"/>
      <c r="D765" s="74"/>
      <c r="E765" s="74"/>
      <c r="F765" s="74"/>
      <c r="G765" s="74"/>
      <c r="H765" s="74"/>
      <c r="I765" s="74"/>
      <c r="J765" s="57"/>
      <c r="K765" s="57"/>
      <c r="L765" s="57"/>
      <c r="M765" s="57"/>
      <c r="N765" s="57"/>
      <c r="O765" s="57"/>
      <c r="P765" s="57"/>
      <c r="Q765" s="69"/>
      <c r="R765" s="69"/>
      <c r="S765" s="23" t="str">
        <f>iferror(if(AN765=1,VLOOKUP(B765, Blends!H$4:AK$1004,32,0), ""), "")</f>
        <v/>
      </c>
      <c r="T765" s="58"/>
      <c r="U765" s="77"/>
      <c r="V765" s="77"/>
      <c r="W765" s="78"/>
      <c r="X765" s="77"/>
      <c r="Y765" s="77"/>
      <c r="Z765" s="77"/>
      <c r="AA765" s="77"/>
      <c r="AB765" s="77"/>
      <c r="AC765" s="77"/>
      <c r="AD765" s="77"/>
      <c r="AE765" s="77"/>
      <c r="AF765" s="77"/>
      <c r="AG765" s="77"/>
      <c r="AH765" s="77"/>
      <c r="AI765" s="77"/>
      <c r="AJ765" s="79"/>
      <c r="AK765" s="80"/>
      <c r="AL765" s="59"/>
      <c r="AM765" s="35"/>
      <c r="AN765" s="35"/>
      <c r="AO765" s="35"/>
      <c r="AP765" s="35"/>
      <c r="AQ765" s="35"/>
      <c r="AR765" s="35"/>
      <c r="AS765" s="35"/>
      <c r="AT765" s="35"/>
      <c r="AU765" s="35"/>
      <c r="AV765" s="35"/>
      <c r="AW765" s="35"/>
    </row>
    <row r="766">
      <c r="A766" s="17"/>
      <c r="B766" s="35"/>
      <c r="C766" s="74"/>
      <c r="D766" s="74"/>
      <c r="E766" s="74"/>
      <c r="F766" s="74"/>
      <c r="G766" s="74"/>
      <c r="H766" s="74"/>
      <c r="I766" s="74"/>
      <c r="J766" s="57"/>
      <c r="K766" s="57"/>
      <c r="L766" s="57"/>
      <c r="M766" s="57"/>
      <c r="N766" s="57"/>
      <c r="O766" s="57"/>
      <c r="P766" s="57"/>
      <c r="Q766" s="69"/>
      <c r="R766" s="69"/>
      <c r="S766" s="23" t="str">
        <f>iferror(if(AN766=1,VLOOKUP(B766, Blends!H$4:AK$1004,32,0), ""), "")</f>
        <v/>
      </c>
      <c r="T766" s="58"/>
      <c r="U766" s="77"/>
      <c r="V766" s="77"/>
      <c r="W766" s="78"/>
      <c r="X766" s="77"/>
      <c r="Y766" s="77"/>
      <c r="Z766" s="77"/>
      <c r="AA766" s="77"/>
      <c r="AB766" s="77"/>
      <c r="AC766" s="77"/>
      <c r="AD766" s="77"/>
      <c r="AE766" s="77"/>
      <c r="AF766" s="77"/>
      <c r="AG766" s="77"/>
      <c r="AH766" s="77"/>
      <c r="AI766" s="77"/>
      <c r="AJ766" s="79"/>
      <c r="AK766" s="80"/>
      <c r="AL766" s="59"/>
      <c r="AM766" s="35"/>
      <c r="AN766" s="35"/>
      <c r="AO766" s="35"/>
      <c r="AP766" s="35"/>
      <c r="AQ766" s="35"/>
      <c r="AR766" s="35"/>
      <c r="AS766" s="35"/>
      <c r="AT766" s="35"/>
      <c r="AU766" s="35"/>
      <c r="AV766" s="35"/>
      <c r="AW766" s="35"/>
    </row>
    <row r="767">
      <c r="A767" s="17"/>
      <c r="B767" s="35"/>
      <c r="C767" s="74"/>
      <c r="D767" s="74"/>
      <c r="E767" s="74"/>
      <c r="F767" s="74"/>
      <c r="G767" s="74"/>
      <c r="H767" s="74"/>
      <c r="I767" s="74"/>
      <c r="J767" s="57"/>
      <c r="K767" s="57"/>
      <c r="L767" s="57"/>
      <c r="M767" s="57"/>
      <c r="N767" s="57"/>
      <c r="O767" s="57"/>
      <c r="P767" s="57"/>
      <c r="Q767" s="69"/>
      <c r="R767" s="69"/>
      <c r="S767" s="23" t="str">
        <f>iferror(if(AN767=1,VLOOKUP(B767, Blends!H$4:AK$1004,32,0), ""), "")</f>
        <v/>
      </c>
      <c r="T767" s="58"/>
      <c r="U767" s="77"/>
      <c r="V767" s="77"/>
      <c r="W767" s="78"/>
      <c r="X767" s="77"/>
      <c r="Y767" s="77"/>
      <c r="Z767" s="77"/>
      <c r="AA767" s="77"/>
      <c r="AB767" s="77"/>
      <c r="AC767" s="77"/>
      <c r="AD767" s="77"/>
      <c r="AE767" s="77"/>
      <c r="AF767" s="77"/>
      <c r="AG767" s="77"/>
      <c r="AH767" s="77"/>
      <c r="AI767" s="77"/>
      <c r="AJ767" s="79"/>
      <c r="AK767" s="80"/>
      <c r="AL767" s="59"/>
      <c r="AM767" s="35"/>
      <c r="AN767" s="35"/>
      <c r="AO767" s="35"/>
      <c r="AP767" s="35"/>
      <c r="AQ767" s="35"/>
      <c r="AR767" s="35"/>
      <c r="AS767" s="35"/>
      <c r="AT767" s="35"/>
      <c r="AU767" s="35"/>
      <c r="AV767" s="35"/>
      <c r="AW767" s="35"/>
    </row>
    <row r="768">
      <c r="A768" s="17"/>
      <c r="B768" s="35"/>
      <c r="C768" s="74"/>
      <c r="D768" s="74"/>
      <c r="E768" s="74"/>
      <c r="F768" s="74"/>
      <c r="G768" s="74"/>
      <c r="H768" s="74"/>
      <c r="I768" s="74"/>
      <c r="J768" s="57"/>
      <c r="K768" s="57"/>
      <c r="L768" s="57"/>
      <c r="M768" s="57"/>
      <c r="N768" s="57"/>
      <c r="O768" s="57"/>
      <c r="P768" s="57"/>
      <c r="Q768" s="69"/>
      <c r="R768" s="69"/>
      <c r="S768" s="23" t="str">
        <f>iferror(if(AN768=1,VLOOKUP(B768, Blends!H$4:AK$1004,32,0), ""), "")</f>
        <v/>
      </c>
      <c r="T768" s="58"/>
      <c r="U768" s="77"/>
      <c r="V768" s="77"/>
      <c r="W768" s="78"/>
      <c r="X768" s="77"/>
      <c r="Y768" s="77"/>
      <c r="Z768" s="77"/>
      <c r="AA768" s="77"/>
      <c r="AB768" s="77"/>
      <c r="AC768" s="77"/>
      <c r="AD768" s="77"/>
      <c r="AE768" s="77"/>
      <c r="AF768" s="77"/>
      <c r="AG768" s="77"/>
      <c r="AH768" s="77"/>
      <c r="AI768" s="77"/>
      <c r="AJ768" s="79"/>
      <c r="AK768" s="80"/>
      <c r="AL768" s="59"/>
      <c r="AM768" s="35"/>
      <c r="AN768" s="35"/>
      <c r="AO768" s="35"/>
      <c r="AP768" s="35"/>
      <c r="AQ768" s="35"/>
      <c r="AR768" s="35"/>
      <c r="AS768" s="35"/>
      <c r="AT768" s="35"/>
      <c r="AU768" s="35"/>
      <c r="AV768" s="35"/>
      <c r="AW768" s="35"/>
    </row>
    <row r="769">
      <c r="A769" s="17"/>
      <c r="B769" s="35"/>
      <c r="C769" s="74"/>
      <c r="D769" s="74"/>
      <c r="E769" s="74"/>
      <c r="F769" s="74"/>
      <c r="G769" s="74"/>
      <c r="H769" s="74"/>
      <c r="I769" s="74"/>
      <c r="J769" s="57"/>
      <c r="K769" s="57"/>
      <c r="L769" s="57"/>
      <c r="M769" s="57"/>
      <c r="N769" s="57"/>
      <c r="O769" s="57"/>
      <c r="P769" s="57"/>
      <c r="Q769" s="69"/>
      <c r="R769" s="69"/>
      <c r="S769" s="23" t="str">
        <f>iferror(if(AN769=1,VLOOKUP(B769, Blends!H$4:AK$1004,32,0), ""), "")</f>
        <v/>
      </c>
      <c r="T769" s="58"/>
      <c r="U769" s="77"/>
      <c r="V769" s="77"/>
      <c r="W769" s="78"/>
      <c r="X769" s="77"/>
      <c r="Y769" s="77"/>
      <c r="Z769" s="77"/>
      <c r="AA769" s="77"/>
      <c r="AB769" s="77"/>
      <c r="AC769" s="77"/>
      <c r="AD769" s="77"/>
      <c r="AE769" s="77"/>
      <c r="AF769" s="77"/>
      <c r="AG769" s="77"/>
      <c r="AH769" s="77"/>
      <c r="AI769" s="77"/>
      <c r="AJ769" s="79"/>
      <c r="AK769" s="80"/>
      <c r="AL769" s="59"/>
      <c r="AM769" s="35"/>
      <c r="AN769" s="35"/>
      <c r="AO769" s="35"/>
      <c r="AP769" s="35"/>
      <c r="AQ769" s="35"/>
      <c r="AR769" s="35"/>
      <c r="AS769" s="35"/>
      <c r="AT769" s="35"/>
      <c r="AU769" s="35"/>
      <c r="AV769" s="35"/>
      <c r="AW769" s="35"/>
    </row>
    <row r="770">
      <c r="A770" s="17"/>
      <c r="B770" s="35"/>
      <c r="C770" s="74"/>
      <c r="D770" s="74"/>
      <c r="E770" s="74"/>
      <c r="F770" s="74"/>
      <c r="G770" s="74"/>
      <c r="H770" s="74"/>
      <c r="I770" s="74"/>
      <c r="J770" s="57"/>
      <c r="K770" s="57"/>
      <c r="L770" s="57"/>
      <c r="M770" s="57"/>
      <c r="N770" s="57"/>
      <c r="O770" s="57"/>
      <c r="P770" s="57"/>
      <c r="Q770" s="69"/>
      <c r="R770" s="69"/>
      <c r="S770" s="23" t="str">
        <f>iferror(if(AN770=1,VLOOKUP(B770, Blends!H$4:AK$1004,32,0), ""), "")</f>
        <v/>
      </c>
      <c r="T770" s="58"/>
      <c r="U770" s="77"/>
      <c r="V770" s="77"/>
      <c r="W770" s="78"/>
      <c r="X770" s="77"/>
      <c r="Y770" s="77"/>
      <c r="Z770" s="77"/>
      <c r="AA770" s="77"/>
      <c r="AB770" s="77"/>
      <c r="AC770" s="77"/>
      <c r="AD770" s="77"/>
      <c r="AE770" s="77"/>
      <c r="AF770" s="77"/>
      <c r="AG770" s="77"/>
      <c r="AH770" s="77"/>
      <c r="AI770" s="77"/>
      <c r="AJ770" s="79"/>
      <c r="AK770" s="80"/>
      <c r="AL770" s="59"/>
      <c r="AM770" s="35"/>
      <c r="AN770" s="35"/>
      <c r="AO770" s="35"/>
      <c r="AP770" s="35"/>
      <c r="AQ770" s="35"/>
      <c r="AR770" s="35"/>
      <c r="AS770" s="35"/>
      <c r="AT770" s="35"/>
      <c r="AU770" s="35"/>
      <c r="AV770" s="35"/>
      <c r="AW770" s="35"/>
    </row>
    <row r="771">
      <c r="A771" s="17"/>
      <c r="B771" s="35"/>
      <c r="C771" s="74"/>
      <c r="D771" s="74"/>
      <c r="E771" s="74"/>
      <c r="F771" s="74"/>
      <c r="G771" s="74"/>
      <c r="H771" s="74"/>
      <c r="I771" s="74"/>
      <c r="J771" s="57"/>
      <c r="K771" s="57"/>
      <c r="L771" s="57"/>
      <c r="M771" s="57"/>
      <c r="N771" s="57"/>
      <c r="O771" s="57"/>
      <c r="P771" s="57"/>
      <c r="Q771" s="69"/>
      <c r="R771" s="69"/>
      <c r="S771" s="23" t="str">
        <f>iferror(if(AN771=1,VLOOKUP(B771, Blends!H$4:AK$1004,32,0), ""), "")</f>
        <v/>
      </c>
      <c r="T771" s="58"/>
      <c r="U771" s="77"/>
      <c r="V771" s="77"/>
      <c r="W771" s="78"/>
      <c r="X771" s="77"/>
      <c r="Y771" s="77"/>
      <c r="Z771" s="77"/>
      <c r="AA771" s="77"/>
      <c r="AB771" s="77"/>
      <c r="AC771" s="77"/>
      <c r="AD771" s="77"/>
      <c r="AE771" s="77"/>
      <c r="AF771" s="77"/>
      <c r="AG771" s="77"/>
      <c r="AH771" s="77"/>
      <c r="AI771" s="77"/>
      <c r="AJ771" s="79"/>
      <c r="AK771" s="80"/>
      <c r="AL771" s="59"/>
      <c r="AM771" s="35"/>
      <c r="AN771" s="35"/>
      <c r="AO771" s="35"/>
      <c r="AP771" s="35"/>
      <c r="AQ771" s="35"/>
      <c r="AR771" s="35"/>
      <c r="AS771" s="35"/>
      <c r="AT771" s="35"/>
      <c r="AU771" s="35"/>
      <c r="AV771" s="35"/>
      <c r="AW771" s="35"/>
    </row>
    <row r="772">
      <c r="A772" s="17"/>
      <c r="B772" s="35"/>
      <c r="C772" s="74"/>
      <c r="D772" s="74"/>
      <c r="E772" s="74"/>
      <c r="F772" s="74"/>
      <c r="G772" s="74"/>
      <c r="H772" s="74"/>
      <c r="I772" s="74"/>
      <c r="J772" s="57"/>
      <c r="K772" s="57"/>
      <c r="L772" s="57"/>
      <c r="M772" s="57"/>
      <c r="N772" s="57"/>
      <c r="O772" s="57"/>
      <c r="P772" s="57"/>
      <c r="Q772" s="69"/>
      <c r="R772" s="69"/>
      <c r="S772" s="23" t="str">
        <f>iferror(if(AN772=1,VLOOKUP(B772, Blends!H$4:AK$1004,32,0), ""), "")</f>
        <v/>
      </c>
      <c r="T772" s="58"/>
      <c r="U772" s="77"/>
      <c r="V772" s="77"/>
      <c r="W772" s="78"/>
      <c r="X772" s="77"/>
      <c r="Y772" s="77"/>
      <c r="Z772" s="77"/>
      <c r="AA772" s="77"/>
      <c r="AB772" s="77"/>
      <c r="AC772" s="77"/>
      <c r="AD772" s="77"/>
      <c r="AE772" s="77"/>
      <c r="AF772" s="77"/>
      <c r="AG772" s="77"/>
      <c r="AH772" s="77"/>
      <c r="AI772" s="77"/>
      <c r="AJ772" s="79"/>
      <c r="AK772" s="80"/>
      <c r="AL772" s="59"/>
      <c r="AM772" s="35"/>
      <c r="AN772" s="35"/>
      <c r="AO772" s="35"/>
      <c r="AP772" s="35"/>
      <c r="AQ772" s="35"/>
      <c r="AR772" s="35"/>
      <c r="AS772" s="35"/>
      <c r="AT772" s="35"/>
      <c r="AU772" s="35"/>
      <c r="AV772" s="35"/>
      <c r="AW772" s="35"/>
    </row>
    <row r="773">
      <c r="A773" s="17"/>
      <c r="B773" s="35"/>
      <c r="C773" s="74"/>
      <c r="D773" s="74"/>
      <c r="E773" s="74"/>
      <c r="F773" s="74"/>
      <c r="G773" s="74"/>
      <c r="H773" s="74"/>
      <c r="I773" s="74"/>
      <c r="J773" s="57"/>
      <c r="K773" s="57"/>
      <c r="L773" s="57"/>
      <c r="M773" s="57"/>
      <c r="N773" s="57"/>
      <c r="O773" s="57"/>
      <c r="P773" s="57"/>
      <c r="Q773" s="69"/>
      <c r="R773" s="69"/>
      <c r="S773" s="23" t="str">
        <f>iferror(if(AN773=1,VLOOKUP(B773, Blends!H$4:AK$1004,32,0), ""), "")</f>
        <v/>
      </c>
      <c r="T773" s="58"/>
      <c r="U773" s="77"/>
      <c r="V773" s="77"/>
      <c r="W773" s="78"/>
      <c r="X773" s="77"/>
      <c r="Y773" s="77"/>
      <c r="Z773" s="77"/>
      <c r="AA773" s="77"/>
      <c r="AB773" s="77"/>
      <c r="AC773" s="77"/>
      <c r="AD773" s="77"/>
      <c r="AE773" s="77"/>
      <c r="AF773" s="77"/>
      <c r="AG773" s="77"/>
      <c r="AH773" s="77"/>
      <c r="AI773" s="77"/>
      <c r="AJ773" s="79"/>
      <c r="AK773" s="80"/>
      <c r="AL773" s="59"/>
      <c r="AM773" s="35"/>
      <c r="AN773" s="35"/>
      <c r="AO773" s="35"/>
      <c r="AP773" s="35"/>
      <c r="AQ773" s="35"/>
      <c r="AR773" s="35"/>
      <c r="AS773" s="35"/>
      <c r="AT773" s="35"/>
      <c r="AU773" s="35"/>
      <c r="AV773" s="35"/>
      <c r="AW773" s="35"/>
    </row>
    <row r="774">
      <c r="A774" s="17"/>
      <c r="B774" s="35"/>
      <c r="C774" s="74"/>
      <c r="D774" s="74"/>
      <c r="E774" s="74"/>
      <c r="F774" s="74"/>
      <c r="G774" s="74"/>
      <c r="H774" s="74"/>
      <c r="I774" s="74"/>
      <c r="J774" s="57"/>
      <c r="K774" s="57"/>
      <c r="L774" s="57"/>
      <c r="M774" s="57"/>
      <c r="N774" s="57"/>
      <c r="O774" s="57"/>
      <c r="P774" s="57"/>
      <c r="Q774" s="69"/>
      <c r="R774" s="69"/>
      <c r="S774" s="23" t="str">
        <f>iferror(if(AN774=1,VLOOKUP(B774, Blends!H$4:AK$1004,32,0), ""), "")</f>
        <v/>
      </c>
      <c r="T774" s="58"/>
      <c r="U774" s="77"/>
      <c r="V774" s="77"/>
      <c r="W774" s="78"/>
      <c r="X774" s="77"/>
      <c r="Y774" s="77"/>
      <c r="Z774" s="77"/>
      <c r="AA774" s="77"/>
      <c r="AB774" s="77"/>
      <c r="AC774" s="77"/>
      <c r="AD774" s="77"/>
      <c r="AE774" s="77"/>
      <c r="AF774" s="77"/>
      <c r="AG774" s="77"/>
      <c r="AH774" s="77"/>
      <c r="AI774" s="77"/>
      <c r="AJ774" s="79"/>
      <c r="AK774" s="80"/>
      <c r="AL774" s="59"/>
      <c r="AM774" s="35"/>
      <c r="AN774" s="35"/>
      <c r="AO774" s="35"/>
      <c r="AP774" s="35"/>
      <c r="AQ774" s="35"/>
      <c r="AR774" s="35"/>
      <c r="AS774" s="35"/>
      <c r="AT774" s="35"/>
      <c r="AU774" s="35"/>
      <c r="AV774" s="35"/>
      <c r="AW774" s="35"/>
    </row>
    <row r="775">
      <c r="A775" s="17"/>
      <c r="B775" s="35"/>
      <c r="C775" s="74"/>
      <c r="D775" s="74"/>
      <c r="E775" s="74"/>
      <c r="F775" s="74"/>
      <c r="G775" s="74"/>
      <c r="H775" s="74"/>
      <c r="I775" s="74"/>
      <c r="J775" s="57"/>
      <c r="K775" s="57"/>
      <c r="L775" s="57"/>
      <c r="M775" s="57"/>
      <c r="N775" s="57"/>
      <c r="O775" s="57"/>
      <c r="P775" s="57"/>
      <c r="Q775" s="69"/>
      <c r="R775" s="69"/>
      <c r="S775" s="23" t="str">
        <f>iferror(if(AN775=1,VLOOKUP(B775, Blends!H$4:AK$1004,32,0), ""), "")</f>
        <v/>
      </c>
      <c r="T775" s="58"/>
      <c r="U775" s="77"/>
      <c r="V775" s="77"/>
      <c r="W775" s="78"/>
      <c r="X775" s="77"/>
      <c r="Y775" s="77"/>
      <c r="Z775" s="77"/>
      <c r="AA775" s="77"/>
      <c r="AB775" s="77"/>
      <c r="AC775" s="77"/>
      <c r="AD775" s="77"/>
      <c r="AE775" s="77"/>
      <c r="AF775" s="77"/>
      <c r="AG775" s="77"/>
      <c r="AH775" s="77"/>
      <c r="AI775" s="77"/>
      <c r="AJ775" s="79"/>
      <c r="AK775" s="80"/>
      <c r="AL775" s="59"/>
      <c r="AM775" s="35"/>
      <c r="AN775" s="35"/>
      <c r="AO775" s="35"/>
      <c r="AP775" s="35"/>
      <c r="AQ775" s="35"/>
      <c r="AR775" s="35"/>
      <c r="AS775" s="35"/>
      <c r="AT775" s="35"/>
      <c r="AU775" s="35"/>
      <c r="AV775" s="35"/>
      <c r="AW775" s="35"/>
    </row>
    <row r="776">
      <c r="A776" s="17"/>
      <c r="B776" s="35"/>
      <c r="C776" s="74"/>
      <c r="D776" s="74"/>
      <c r="E776" s="74"/>
      <c r="F776" s="74"/>
      <c r="G776" s="74"/>
      <c r="H776" s="74"/>
      <c r="I776" s="74"/>
      <c r="J776" s="57"/>
      <c r="K776" s="57"/>
      <c r="L776" s="57"/>
      <c r="M776" s="57"/>
      <c r="N776" s="57"/>
      <c r="O776" s="57"/>
      <c r="P776" s="57"/>
      <c r="Q776" s="69"/>
      <c r="R776" s="69"/>
      <c r="S776" s="23" t="str">
        <f>iferror(if(AN776=1,VLOOKUP(B776, Blends!H$4:AK$1004,32,0), ""), "")</f>
        <v/>
      </c>
      <c r="T776" s="58"/>
      <c r="U776" s="77"/>
      <c r="V776" s="77"/>
      <c r="W776" s="78"/>
      <c r="X776" s="77"/>
      <c r="Y776" s="77"/>
      <c r="Z776" s="77"/>
      <c r="AA776" s="77"/>
      <c r="AB776" s="77"/>
      <c r="AC776" s="77"/>
      <c r="AD776" s="77"/>
      <c r="AE776" s="77"/>
      <c r="AF776" s="77"/>
      <c r="AG776" s="77"/>
      <c r="AH776" s="77"/>
      <c r="AI776" s="77"/>
      <c r="AJ776" s="79"/>
      <c r="AK776" s="80"/>
      <c r="AL776" s="59"/>
      <c r="AM776" s="35"/>
      <c r="AN776" s="35"/>
      <c r="AO776" s="35"/>
      <c r="AP776" s="35"/>
      <c r="AQ776" s="35"/>
      <c r="AR776" s="35"/>
      <c r="AS776" s="35"/>
      <c r="AT776" s="35"/>
      <c r="AU776" s="35"/>
      <c r="AV776" s="35"/>
      <c r="AW776" s="35"/>
    </row>
    <row r="777">
      <c r="A777" s="17"/>
      <c r="B777" s="35"/>
      <c r="C777" s="74"/>
      <c r="D777" s="74"/>
      <c r="E777" s="74"/>
      <c r="F777" s="74"/>
      <c r="G777" s="74"/>
      <c r="H777" s="74"/>
      <c r="I777" s="74"/>
      <c r="J777" s="57"/>
      <c r="K777" s="57"/>
      <c r="L777" s="57"/>
      <c r="M777" s="57"/>
      <c r="N777" s="57"/>
      <c r="O777" s="57"/>
      <c r="P777" s="57"/>
      <c r="Q777" s="69"/>
      <c r="R777" s="69"/>
      <c r="S777" s="23" t="str">
        <f>iferror(if(AN777=1,VLOOKUP(B777, Blends!H$4:AK$1004,32,0), ""), "")</f>
        <v/>
      </c>
      <c r="T777" s="58"/>
      <c r="U777" s="77"/>
      <c r="V777" s="77"/>
      <c r="W777" s="78"/>
      <c r="X777" s="77"/>
      <c r="Y777" s="77"/>
      <c r="Z777" s="77"/>
      <c r="AA777" s="77"/>
      <c r="AB777" s="77"/>
      <c r="AC777" s="77"/>
      <c r="AD777" s="77"/>
      <c r="AE777" s="77"/>
      <c r="AF777" s="77"/>
      <c r="AG777" s="77"/>
      <c r="AH777" s="77"/>
      <c r="AI777" s="77"/>
      <c r="AJ777" s="79"/>
      <c r="AK777" s="80"/>
      <c r="AL777" s="59"/>
      <c r="AM777" s="35"/>
      <c r="AN777" s="35"/>
      <c r="AO777" s="35"/>
      <c r="AP777" s="35"/>
      <c r="AQ777" s="35"/>
      <c r="AR777" s="35"/>
      <c r="AS777" s="35"/>
      <c r="AT777" s="35"/>
      <c r="AU777" s="35"/>
      <c r="AV777" s="35"/>
      <c r="AW777" s="35"/>
    </row>
    <row r="778">
      <c r="A778" s="17"/>
      <c r="B778" s="35"/>
      <c r="C778" s="74"/>
      <c r="D778" s="74"/>
      <c r="E778" s="74"/>
      <c r="F778" s="74"/>
      <c r="G778" s="74"/>
      <c r="H778" s="74"/>
      <c r="I778" s="74"/>
      <c r="J778" s="57"/>
      <c r="K778" s="57"/>
      <c r="L778" s="57"/>
      <c r="M778" s="57"/>
      <c r="N778" s="57"/>
      <c r="O778" s="57"/>
      <c r="P778" s="57"/>
      <c r="Q778" s="69"/>
      <c r="R778" s="69"/>
      <c r="S778" s="23" t="str">
        <f>iferror(if(AN778=1,VLOOKUP(B778, Blends!H$4:AK$1004,32,0), ""), "")</f>
        <v/>
      </c>
      <c r="T778" s="58"/>
      <c r="U778" s="77"/>
      <c r="V778" s="77"/>
      <c r="W778" s="78"/>
      <c r="X778" s="77"/>
      <c r="Y778" s="77"/>
      <c r="Z778" s="77"/>
      <c r="AA778" s="77"/>
      <c r="AB778" s="77"/>
      <c r="AC778" s="77"/>
      <c r="AD778" s="77"/>
      <c r="AE778" s="77"/>
      <c r="AF778" s="77"/>
      <c r="AG778" s="77"/>
      <c r="AH778" s="77"/>
      <c r="AI778" s="77"/>
      <c r="AJ778" s="79"/>
      <c r="AK778" s="80"/>
      <c r="AL778" s="59"/>
      <c r="AM778" s="35"/>
      <c r="AN778" s="35"/>
      <c r="AO778" s="35"/>
      <c r="AP778" s="35"/>
      <c r="AQ778" s="35"/>
      <c r="AR778" s="35"/>
      <c r="AS778" s="35"/>
      <c r="AT778" s="35"/>
      <c r="AU778" s="35"/>
      <c r="AV778" s="35"/>
      <c r="AW778" s="35"/>
    </row>
    <row r="779">
      <c r="A779" s="17"/>
      <c r="B779" s="35"/>
      <c r="C779" s="74"/>
      <c r="D779" s="74"/>
      <c r="E779" s="74"/>
      <c r="F779" s="74"/>
      <c r="G779" s="74"/>
      <c r="H779" s="74"/>
      <c r="I779" s="74"/>
      <c r="J779" s="57"/>
      <c r="K779" s="57"/>
      <c r="L779" s="57"/>
      <c r="M779" s="57"/>
      <c r="N779" s="57"/>
      <c r="O779" s="57"/>
      <c r="P779" s="57"/>
      <c r="Q779" s="69"/>
      <c r="R779" s="69"/>
      <c r="S779" s="23" t="str">
        <f>iferror(if(AN779=1,VLOOKUP(B779, Blends!H$4:AK$1004,32,0), ""), "")</f>
        <v/>
      </c>
      <c r="T779" s="58"/>
      <c r="U779" s="77"/>
      <c r="V779" s="77"/>
      <c r="W779" s="78"/>
      <c r="X779" s="77"/>
      <c r="Y779" s="77"/>
      <c r="Z779" s="77"/>
      <c r="AA779" s="77"/>
      <c r="AB779" s="77"/>
      <c r="AC779" s="77"/>
      <c r="AD779" s="77"/>
      <c r="AE779" s="77"/>
      <c r="AF779" s="77"/>
      <c r="AG779" s="77"/>
      <c r="AH779" s="77"/>
      <c r="AI779" s="77"/>
      <c r="AJ779" s="79"/>
      <c r="AK779" s="80"/>
      <c r="AL779" s="59"/>
      <c r="AM779" s="35"/>
      <c r="AN779" s="35"/>
      <c r="AO779" s="35"/>
      <c r="AP779" s="35"/>
      <c r="AQ779" s="35"/>
      <c r="AR779" s="35"/>
      <c r="AS779" s="35"/>
      <c r="AT779" s="35"/>
      <c r="AU779" s="35"/>
      <c r="AV779" s="35"/>
      <c r="AW779" s="35"/>
    </row>
    <row r="780">
      <c r="A780" s="17"/>
      <c r="B780" s="35"/>
      <c r="C780" s="74"/>
      <c r="D780" s="74"/>
      <c r="E780" s="74"/>
      <c r="F780" s="74"/>
      <c r="G780" s="74"/>
      <c r="H780" s="74"/>
      <c r="I780" s="74"/>
      <c r="J780" s="57"/>
      <c r="K780" s="57"/>
      <c r="L780" s="57"/>
      <c r="M780" s="57"/>
      <c r="N780" s="57"/>
      <c r="O780" s="57"/>
      <c r="P780" s="57"/>
      <c r="Q780" s="69"/>
      <c r="R780" s="69"/>
      <c r="S780" s="23" t="str">
        <f>iferror(if(AN780=1,VLOOKUP(B780, Blends!H$4:AK$1004,32,0), ""), "")</f>
        <v/>
      </c>
      <c r="T780" s="58"/>
      <c r="U780" s="77"/>
      <c r="V780" s="77"/>
      <c r="W780" s="78"/>
      <c r="X780" s="77"/>
      <c r="Y780" s="77"/>
      <c r="Z780" s="77"/>
      <c r="AA780" s="77"/>
      <c r="AB780" s="77"/>
      <c r="AC780" s="77"/>
      <c r="AD780" s="77"/>
      <c r="AE780" s="77"/>
      <c r="AF780" s="77"/>
      <c r="AG780" s="77"/>
      <c r="AH780" s="77"/>
      <c r="AI780" s="77"/>
      <c r="AJ780" s="79"/>
      <c r="AK780" s="80"/>
      <c r="AL780" s="59"/>
      <c r="AM780" s="35"/>
      <c r="AN780" s="35"/>
      <c r="AO780" s="35"/>
      <c r="AP780" s="35"/>
      <c r="AQ780" s="35"/>
      <c r="AR780" s="35"/>
      <c r="AS780" s="35"/>
      <c r="AT780" s="35"/>
      <c r="AU780" s="35"/>
      <c r="AV780" s="35"/>
      <c r="AW780" s="35"/>
    </row>
    <row r="781">
      <c r="A781" s="17"/>
      <c r="B781" s="35"/>
      <c r="C781" s="74"/>
      <c r="D781" s="74"/>
      <c r="E781" s="74"/>
      <c r="F781" s="74"/>
      <c r="G781" s="74"/>
      <c r="H781" s="74"/>
      <c r="I781" s="74"/>
      <c r="J781" s="57"/>
      <c r="K781" s="57"/>
      <c r="L781" s="57"/>
      <c r="M781" s="57"/>
      <c r="N781" s="57"/>
      <c r="O781" s="57"/>
      <c r="P781" s="57"/>
      <c r="Q781" s="69"/>
      <c r="R781" s="69"/>
      <c r="S781" s="23" t="str">
        <f>iferror(if(AN781=1,VLOOKUP(B781, Blends!H$4:AK$1004,32,0), ""), "")</f>
        <v/>
      </c>
      <c r="T781" s="58"/>
      <c r="U781" s="77"/>
      <c r="V781" s="77"/>
      <c r="W781" s="78"/>
      <c r="X781" s="77"/>
      <c r="Y781" s="77"/>
      <c r="Z781" s="77"/>
      <c r="AA781" s="77"/>
      <c r="AB781" s="77"/>
      <c r="AC781" s="77"/>
      <c r="AD781" s="77"/>
      <c r="AE781" s="77"/>
      <c r="AF781" s="77"/>
      <c r="AG781" s="77"/>
      <c r="AH781" s="77"/>
      <c r="AI781" s="77"/>
      <c r="AJ781" s="79"/>
      <c r="AK781" s="80"/>
      <c r="AL781" s="59"/>
      <c r="AM781" s="35"/>
      <c r="AN781" s="35"/>
      <c r="AO781" s="35"/>
      <c r="AP781" s="35"/>
      <c r="AQ781" s="35"/>
      <c r="AR781" s="35"/>
      <c r="AS781" s="35"/>
      <c r="AT781" s="35"/>
      <c r="AU781" s="35"/>
      <c r="AV781" s="35"/>
      <c r="AW781" s="35"/>
    </row>
    <row r="782">
      <c r="A782" s="17"/>
      <c r="B782" s="35"/>
      <c r="C782" s="74"/>
      <c r="D782" s="74"/>
      <c r="E782" s="74"/>
      <c r="F782" s="74"/>
      <c r="G782" s="74"/>
      <c r="H782" s="74"/>
      <c r="I782" s="74"/>
      <c r="J782" s="57"/>
      <c r="K782" s="57"/>
      <c r="L782" s="57"/>
      <c r="M782" s="57"/>
      <c r="N782" s="57"/>
      <c r="O782" s="57"/>
      <c r="P782" s="57"/>
      <c r="Q782" s="69"/>
      <c r="R782" s="69"/>
      <c r="S782" s="23" t="str">
        <f>iferror(if(AN782=1,VLOOKUP(B782, Blends!H$4:AK$1004,32,0), ""), "")</f>
        <v/>
      </c>
      <c r="T782" s="58"/>
      <c r="U782" s="77"/>
      <c r="V782" s="77"/>
      <c r="W782" s="78"/>
      <c r="X782" s="77"/>
      <c r="Y782" s="77"/>
      <c r="Z782" s="77"/>
      <c r="AA782" s="77"/>
      <c r="AB782" s="77"/>
      <c r="AC782" s="77"/>
      <c r="AD782" s="77"/>
      <c r="AE782" s="77"/>
      <c r="AF782" s="77"/>
      <c r="AG782" s="77"/>
      <c r="AH782" s="77"/>
      <c r="AI782" s="77"/>
      <c r="AJ782" s="79"/>
      <c r="AK782" s="80"/>
      <c r="AL782" s="59"/>
      <c r="AM782" s="35"/>
      <c r="AN782" s="35"/>
      <c r="AO782" s="35"/>
      <c r="AP782" s="35"/>
      <c r="AQ782" s="35"/>
      <c r="AR782" s="35"/>
      <c r="AS782" s="35"/>
      <c r="AT782" s="35"/>
      <c r="AU782" s="35"/>
      <c r="AV782" s="35"/>
      <c r="AW782" s="35"/>
    </row>
    <row r="783">
      <c r="A783" s="17"/>
      <c r="B783" s="35"/>
      <c r="C783" s="74"/>
      <c r="D783" s="74"/>
      <c r="E783" s="74"/>
      <c r="F783" s="74"/>
      <c r="G783" s="74"/>
      <c r="H783" s="74"/>
      <c r="I783" s="74"/>
      <c r="J783" s="57"/>
      <c r="K783" s="57"/>
      <c r="L783" s="57"/>
      <c r="M783" s="57"/>
      <c r="N783" s="57"/>
      <c r="O783" s="57"/>
      <c r="P783" s="57"/>
      <c r="Q783" s="69"/>
      <c r="R783" s="69"/>
      <c r="S783" s="23" t="str">
        <f>iferror(if(AN783=1,VLOOKUP(B783, Blends!H$4:AK$1004,32,0), ""), "")</f>
        <v/>
      </c>
      <c r="T783" s="58"/>
      <c r="U783" s="77"/>
      <c r="V783" s="77"/>
      <c r="W783" s="78"/>
      <c r="X783" s="77"/>
      <c r="Y783" s="77"/>
      <c r="Z783" s="77"/>
      <c r="AA783" s="77"/>
      <c r="AB783" s="77"/>
      <c r="AC783" s="77"/>
      <c r="AD783" s="77"/>
      <c r="AE783" s="77"/>
      <c r="AF783" s="77"/>
      <c r="AG783" s="77"/>
      <c r="AH783" s="77"/>
      <c r="AI783" s="77"/>
      <c r="AJ783" s="79"/>
      <c r="AK783" s="80"/>
      <c r="AL783" s="59"/>
      <c r="AM783" s="35"/>
      <c r="AN783" s="35"/>
      <c r="AO783" s="35"/>
      <c r="AP783" s="35"/>
      <c r="AQ783" s="35"/>
      <c r="AR783" s="35"/>
      <c r="AS783" s="35"/>
      <c r="AT783" s="35"/>
      <c r="AU783" s="35"/>
      <c r="AV783" s="35"/>
      <c r="AW783" s="35"/>
    </row>
    <row r="784">
      <c r="A784" s="17"/>
      <c r="B784" s="35"/>
      <c r="C784" s="74"/>
      <c r="D784" s="74"/>
      <c r="E784" s="74"/>
      <c r="F784" s="74"/>
      <c r="G784" s="74"/>
      <c r="H784" s="74"/>
      <c r="I784" s="74"/>
      <c r="J784" s="57"/>
      <c r="K784" s="57"/>
      <c r="L784" s="57"/>
      <c r="M784" s="57"/>
      <c r="N784" s="57"/>
      <c r="O784" s="57"/>
      <c r="P784" s="57"/>
      <c r="Q784" s="69"/>
      <c r="R784" s="69"/>
      <c r="S784" s="23" t="str">
        <f>iferror(if(AN784=1,VLOOKUP(B784, Blends!H$4:AK$1004,32,0), ""), "")</f>
        <v/>
      </c>
      <c r="T784" s="58"/>
      <c r="U784" s="77"/>
      <c r="V784" s="77"/>
      <c r="W784" s="78"/>
      <c r="X784" s="77"/>
      <c r="Y784" s="77"/>
      <c r="Z784" s="77"/>
      <c r="AA784" s="77"/>
      <c r="AB784" s="77"/>
      <c r="AC784" s="77"/>
      <c r="AD784" s="77"/>
      <c r="AE784" s="77"/>
      <c r="AF784" s="77"/>
      <c r="AG784" s="77"/>
      <c r="AH784" s="77"/>
      <c r="AI784" s="77"/>
      <c r="AJ784" s="79"/>
      <c r="AK784" s="80"/>
      <c r="AL784" s="59"/>
      <c r="AM784" s="35"/>
      <c r="AN784" s="35"/>
      <c r="AO784" s="35"/>
      <c r="AP784" s="35"/>
      <c r="AQ784" s="35"/>
      <c r="AR784" s="35"/>
      <c r="AS784" s="35"/>
      <c r="AT784" s="35"/>
      <c r="AU784" s="35"/>
      <c r="AV784" s="35"/>
      <c r="AW784" s="35"/>
    </row>
    <row r="785">
      <c r="A785" s="17"/>
      <c r="B785" s="35"/>
      <c r="C785" s="74"/>
      <c r="D785" s="74"/>
      <c r="E785" s="74"/>
      <c r="F785" s="74"/>
      <c r="G785" s="74"/>
      <c r="H785" s="74"/>
      <c r="I785" s="74"/>
      <c r="J785" s="57"/>
      <c r="K785" s="57"/>
      <c r="L785" s="57"/>
      <c r="M785" s="57"/>
      <c r="N785" s="57"/>
      <c r="O785" s="57"/>
      <c r="P785" s="57"/>
      <c r="Q785" s="69"/>
      <c r="R785" s="69"/>
      <c r="S785" s="23" t="str">
        <f>iferror(if(AN785=1,VLOOKUP(B785, Blends!H$4:AK$1004,32,0), ""), "")</f>
        <v/>
      </c>
      <c r="T785" s="58"/>
      <c r="U785" s="77"/>
      <c r="V785" s="77"/>
      <c r="W785" s="78"/>
      <c r="X785" s="77"/>
      <c r="Y785" s="77"/>
      <c r="Z785" s="77"/>
      <c r="AA785" s="77"/>
      <c r="AB785" s="77"/>
      <c r="AC785" s="77"/>
      <c r="AD785" s="77"/>
      <c r="AE785" s="77"/>
      <c r="AF785" s="77"/>
      <c r="AG785" s="77"/>
      <c r="AH785" s="77"/>
      <c r="AI785" s="77"/>
      <c r="AJ785" s="79"/>
      <c r="AK785" s="80"/>
      <c r="AL785" s="59"/>
      <c r="AM785" s="35"/>
      <c r="AN785" s="35"/>
      <c r="AO785" s="35"/>
      <c r="AP785" s="35"/>
      <c r="AQ785" s="35"/>
      <c r="AR785" s="35"/>
      <c r="AS785" s="35"/>
      <c r="AT785" s="35"/>
      <c r="AU785" s="35"/>
      <c r="AV785" s="35"/>
      <c r="AW785" s="35"/>
    </row>
    <row r="786">
      <c r="A786" s="17"/>
      <c r="B786" s="35"/>
      <c r="C786" s="74"/>
      <c r="D786" s="74"/>
      <c r="E786" s="74"/>
      <c r="F786" s="74"/>
      <c r="G786" s="74"/>
      <c r="H786" s="74"/>
      <c r="I786" s="74"/>
      <c r="J786" s="57"/>
      <c r="K786" s="57"/>
      <c r="L786" s="57"/>
      <c r="M786" s="57"/>
      <c r="N786" s="57"/>
      <c r="O786" s="57"/>
      <c r="P786" s="57"/>
      <c r="Q786" s="69"/>
      <c r="R786" s="69"/>
      <c r="S786" s="23" t="str">
        <f>iferror(if(AN786=1,VLOOKUP(B786, Blends!H$4:AK$1004,32,0), ""), "")</f>
        <v/>
      </c>
      <c r="T786" s="58"/>
      <c r="U786" s="77"/>
      <c r="V786" s="77"/>
      <c r="W786" s="78"/>
      <c r="X786" s="77"/>
      <c r="Y786" s="77"/>
      <c r="Z786" s="77"/>
      <c r="AA786" s="77"/>
      <c r="AB786" s="77"/>
      <c r="AC786" s="77"/>
      <c r="AD786" s="77"/>
      <c r="AE786" s="77"/>
      <c r="AF786" s="77"/>
      <c r="AG786" s="77"/>
      <c r="AH786" s="77"/>
      <c r="AI786" s="77"/>
      <c r="AJ786" s="79"/>
      <c r="AK786" s="80"/>
      <c r="AL786" s="59"/>
      <c r="AM786" s="35"/>
      <c r="AN786" s="35"/>
      <c r="AO786" s="35"/>
      <c r="AP786" s="35"/>
      <c r="AQ786" s="35"/>
      <c r="AR786" s="35"/>
      <c r="AS786" s="35"/>
      <c r="AT786" s="35"/>
      <c r="AU786" s="35"/>
      <c r="AV786" s="35"/>
      <c r="AW786" s="35"/>
    </row>
    <row r="787">
      <c r="A787" s="17"/>
      <c r="B787" s="35"/>
      <c r="C787" s="74"/>
      <c r="D787" s="74"/>
      <c r="E787" s="74"/>
      <c r="F787" s="74"/>
      <c r="G787" s="74"/>
      <c r="H787" s="74"/>
      <c r="I787" s="74"/>
      <c r="J787" s="57"/>
      <c r="K787" s="57"/>
      <c r="L787" s="57"/>
      <c r="M787" s="57"/>
      <c r="N787" s="57"/>
      <c r="O787" s="57"/>
      <c r="P787" s="57"/>
      <c r="Q787" s="69"/>
      <c r="R787" s="69"/>
      <c r="S787" s="23" t="str">
        <f>iferror(if(AN787=1,VLOOKUP(B787, Blends!H$4:AK$1004,32,0), ""), "")</f>
        <v/>
      </c>
      <c r="T787" s="58"/>
      <c r="U787" s="77"/>
      <c r="V787" s="77"/>
      <c r="W787" s="78"/>
      <c r="X787" s="77"/>
      <c r="Y787" s="77"/>
      <c r="Z787" s="77"/>
      <c r="AA787" s="77"/>
      <c r="AB787" s="77"/>
      <c r="AC787" s="77"/>
      <c r="AD787" s="77"/>
      <c r="AE787" s="77"/>
      <c r="AF787" s="77"/>
      <c r="AG787" s="77"/>
      <c r="AH787" s="77"/>
      <c r="AI787" s="77"/>
      <c r="AJ787" s="79"/>
      <c r="AK787" s="80"/>
      <c r="AL787" s="59"/>
      <c r="AM787" s="35"/>
      <c r="AN787" s="35"/>
      <c r="AO787" s="35"/>
      <c r="AP787" s="35"/>
      <c r="AQ787" s="35"/>
      <c r="AR787" s="35"/>
      <c r="AS787" s="35"/>
      <c r="AT787" s="35"/>
      <c r="AU787" s="35"/>
      <c r="AV787" s="35"/>
      <c r="AW787" s="35"/>
    </row>
    <row r="788">
      <c r="A788" s="17"/>
      <c r="B788" s="35"/>
      <c r="C788" s="74"/>
      <c r="D788" s="74"/>
      <c r="E788" s="74"/>
      <c r="F788" s="74"/>
      <c r="G788" s="74"/>
      <c r="H788" s="74"/>
      <c r="I788" s="74"/>
      <c r="J788" s="57"/>
      <c r="K788" s="57"/>
      <c r="L788" s="57"/>
      <c r="M788" s="57"/>
      <c r="N788" s="57"/>
      <c r="O788" s="57"/>
      <c r="P788" s="57"/>
      <c r="Q788" s="69"/>
      <c r="R788" s="69"/>
      <c r="S788" s="23" t="str">
        <f>iferror(if(AN788=1,VLOOKUP(B788, Blends!H$4:AK$1004,32,0), ""), "")</f>
        <v/>
      </c>
      <c r="T788" s="58"/>
      <c r="U788" s="77"/>
      <c r="V788" s="77"/>
      <c r="W788" s="78"/>
      <c r="X788" s="77"/>
      <c r="Y788" s="77"/>
      <c r="Z788" s="77"/>
      <c r="AA788" s="77"/>
      <c r="AB788" s="77"/>
      <c r="AC788" s="77"/>
      <c r="AD788" s="77"/>
      <c r="AE788" s="77"/>
      <c r="AF788" s="77"/>
      <c r="AG788" s="77"/>
      <c r="AH788" s="77"/>
      <c r="AI788" s="77"/>
      <c r="AJ788" s="79"/>
      <c r="AK788" s="80"/>
      <c r="AL788" s="59"/>
      <c r="AM788" s="35"/>
      <c r="AN788" s="35"/>
      <c r="AO788" s="35"/>
      <c r="AP788" s="35"/>
      <c r="AQ788" s="35"/>
      <c r="AR788" s="35"/>
      <c r="AS788" s="35"/>
      <c r="AT788" s="35"/>
      <c r="AU788" s="35"/>
      <c r="AV788" s="35"/>
      <c r="AW788" s="35"/>
    </row>
    <row r="789">
      <c r="A789" s="17"/>
      <c r="B789" s="35"/>
      <c r="C789" s="74"/>
      <c r="D789" s="74"/>
      <c r="E789" s="74"/>
      <c r="F789" s="74"/>
      <c r="G789" s="74"/>
      <c r="H789" s="74"/>
      <c r="I789" s="74"/>
      <c r="J789" s="57"/>
      <c r="K789" s="57"/>
      <c r="L789" s="57"/>
      <c r="M789" s="57"/>
      <c r="N789" s="57"/>
      <c r="O789" s="57"/>
      <c r="P789" s="57"/>
      <c r="Q789" s="69"/>
      <c r="R789" s="69"/>
      <c r="S789" s="23" t="str">
        <f>iferror(if(AN789=1,VLOOKUP(B789, Blends!H$4:AK$1004,32,0), ""), "")</f>
        <v/>
      </c>
      <c r="T789" s="58"/>
      <c r="U789" s="77"/>
      <c r="V789" s="77"/>
      <c r="W789" s="78"/>
      <c r="X789" s="77"/>
      <c r="Y789" s="77"/>
      <c r="Z789" s="77"/>
      <c r="AA789" s="77"/>
      <c r="AB789" s="77"/>
      <c r="AC789" s="77"/>
      <c r="AD789" s="77"/>
      <c r="AE789" s="77"/>
      <c r="AF789" s="77"/>
      <c r="AG789" s="77"/>
      <c r="AH789" s="77"/>
      <c r="AI789" s="77"/>
      <c r="AJ789" s="79"/>
      <c r="AK789" s="80"/>
      <c r="AL789" s="59"/>
      <c r="AM789" s="35"/>
      <c r="AN789" s="35"/>
      <c r="AO789" s="35"/>
      <c r="AP789" s="35"/>
      <c r="AQ789" s="35"/>
      <c r="AR789" s="35"/>
      <c r="AS789" s="35"/>
      <c r="AT789" s="35"/>
      <c r="AU789" s="35"/>
      <c r="AV789" s="35"/>
      <c r="AW789" s="35"/>
    </row>
    <row r="790">
      <c r="A790" s="17"/>
      <c r="B790" s="35"/>
      <c r="C790" s="74"/>
      <c r="D790" s="74"/>
      <c r="E790" s="74"/>
      <c r="F790" s="74"/>
      <c r="G790" s="74"/>
      <c r="H790" s="74"/>
      <c r="I790" s="74"/>
      <c r="J790" s="57"/>
      <c r="K790" s="57"/>
      <c r="L790" s="57"/>
      <c r="M790" s="57"/>
      <c r="N790" s="57"/>
      <c r="O790" s="57"/>
      <c r="P790" s="57"/>
      <c r="Q790" s="69"/>
      <c r="R790" s="69"/>
      <c r="S790" s="23" t="str">
        <f>iferror(if(AN790=1,VLOOKUP(B790, Blends!H$4:AK$1004,32,0), ""), "")</f>
        <v/>
      </c>
      <c r="T790" s="58"/>
      <c r="U790" s="77"/>
      <c r="V790" s="77"/>
      <c r="W790" s="78"/>
      <c r="X790" s="77"/>
      <c r="Y790" s="77"/>
      <c r="Z790" s="77"/>
      <c r="AA790" s="77"/>
      <c r="AB790" s="77"/>
      <c r="AC790" s="77"/>
      <c r="AD790" s="77"/>
      <c r="AE790" s="77"/>
      <c r="AF790" s="77"/>
      <c r="AG790" s="77"/>
      <c r="AH790" s="77"/>
      <c r="AI790" s="77"/>
      <c r="AJ790" s="79"/>
      <c r="AK790" s="80"/>
      <c r="AL790" s="59"/>
      <c r="AM790" s="35"/>
      <c r="AN790" s="35"/>
      <c r="AO790" s="35"/>
      <c r="AP790" s="35"/>
      <c r="AQ790" s="35"/>
      <c r="AR790" s="35"/>
      <c r="AS790" s="35"/>
      <c r="AT790" s="35"/>
      <c r="AU790" s="35"/>
      <c r="AV790" s="35"/>
      <c r="AW790" s="35"/>
    </row>
    <row r="791">
      <c r="A791" s="17"/>
      <c r="B791" s="35"/>
      <c r="C791" s="74"/>
      <c r="D791" s="74"/>
      <c r="E791" s="74"/>
      <c r="F791" s="74"/>
      <c r="G791" s="74"/>
      <c r="H791" s="74"/>
      <c r="I791" s="74"/>
      <c r="J791" s="57"/>
      <c r="K791" s="57"/>
      <c r="L791" s="57"/>
      <c r="M791" s="57"/>
      <c r="N791" s="57"/>
      <c r="O791" s="57"/>
      <c r="P791" s="57"/>
      <c r="Q791" s="69"/>
      <c r="R791" s="69"/>
      <c r="S791" s="23" t="str">
        <f>iferror(if(AN791=1,VLOOKUP(B791, Blends!H$4:AK$1004,32,0), ""), "")</f>
        <v/>
      </c>
      <c r="T791" s="58"/>
      <c r="U791" s="77"/>
      <c r="V791" s="77"/>
      <c r="W791" s="78"/>
      <c r="X791" s="77"/>
      <c r="Y791" s="77"/>
      <c r="Z791" s="77"/>
      <c r="AA791" s="77"/>
      <c r="AB791" s="77"/>
      <c r="AC791" s="77"/>
      <c r="AD791" s="77"/>
      <c r="AE791" s="77"/>
      <c r="AF791" s="77"/>
      <c r="AG791" s="77"/>
      <c r="AH791" s="77"/>
      <c r="AI791" s="77"/>
      <c r="AJ791" s="79"/>
      <c r="AK791" s="80"/>
      <c r="AL791" s="59"/>
      <c r="AM791" s="35"/>
      <c r="AN791" s="35"/>
      <c r="AO791" s="35"/>
      <c r="AP791" s="35"/>
      <c r="AQ791" s="35"/>
      <c r="AR791" s="35"/>
      <c r="AS791" s="35"/>
      <c r="AT791" s="35"/>
      <c r="AU791" s="35"/>
      <c r="AV791" s="35"/>
      <c r="AW791" s="35"/>
    </row>
    <row r="792">
      <c r="A792" s="17"/>
      <c r="B792" s="35"/>
      <c r="C792" s="74"/>
      <c r="D792" s="74"/>
      <c r="E792" s="74"/>
      <c r="F792" s="74"/>
      <c r="G792" s="74"/>
      <c r="H792" s="74"/>
      <c r="I792" s="74"/>
      <c r="J792" s="57"/>
      <c r="K792" s="57"/>
      <c r="L792" s="57"/>
      <c r="M792" s="57"/>
      <c r="N792" s="57"/>
      <c r="O792" s="57"/>
      <c r="P792" s="57"/>
      <c r="Q792" s="69"/>
      <c r="R792" s="69"/>
      <c r="S792" s="23" t="str">
        <f>iferror(if(AN792=1,VLOOKUP(B792, Blends!H$4:AK$1004,32,0), ""), "")</f>
        <v/>
      </c>
      <c r="T792" s="58"/>
      <c r="U792" s="77"/>
      <c r="V792" s="77"/>
      <c r="W792" s="78"/>
      <c r="X792" s="77"/>
      <c r="Y792" s="77"/>
      <c r="Z792" s="77"/>
      <c r="AA792" s="77"/>
      <c r="AB792" s="77"/>
      <c r="AC792" s="77"/>
      <c r="AD792" s="77"/>
      <c r="AE792" s="77"/>
      <c r="AF792" s="77"/>
      <c r="AG792" s="77"/>
      <c r="AH792" s="77"/>
      <c r="AI792" s="77"/>
      <c r="AJ792" s="79"/>
      <c r="AK792" s="80"/>
      <c r="AL792" s="59"/>
      <c r="AM792" s="35"/>
      <c r="AN792" s="35"/>
      <c r="AO792" s="35"/>
      <c r="AP792" s="35"/>
      <c r="AQ792" s="35"/>
      <c r="AR792" s="35"/>
      <c r="AS792" s="35"/>
      <c r="AT792" s="35"/>
      <c r="AU792" s="35"/>
      <c r="AV792" s="35"/>
      <c r="AW792" s="35"/>
    </row>
    <row r="793">
      <c r="A793" s="17"/>
      <c r="B793" s="35"/>
      <c r="C793" s="74"/>
      <c r="D793" s="74"/>
      <c r="E793" s="74"/>
      <c r="F793" s="74"/>
      <c r="G793" s="74"/>
      <c r="H793" s="74"/>
      <c r="I793" s="74"/>
      <c r="J793" s="57"/>
      <c r="K793" s="57"/>
      <c r="L793" s="57"/>
      <c r="M793" s="57"/>
      <c r="N793" s="57"/>
      <c r="O793" s="57"/>
      <c r="P793" s="57"/>
      <c r="Q793" s="69"/>
      <c r="R793" s="69"/>
      <c r="S793" s="23" t="str">
        <f>iferror(if(AN793=1,VLOOKUP(B793, Blends!H$4:AK$1004,32,0), ""), "")</f>
        <v/>
      </c>
      <c r="T793" s="58"/>
      <c r="U793" s="77"/>
      <c r="V793" s="77"/>
      <c r="W793" s="78"/>
      <c r="X793" s="77"/>
      <c r="Y793" s="77"/>
      <c r="Z793" s="77"/>
      <c r="AA793" s="77"/>
      <c r="AB793" s="77"/>
      <c r="AC793" s="77"/>
      <c r="AD793" s="77"/>
      <c r="AE793" s="77"/>
      <c r="AF793" s="77"/>
      <c r="AG793" s="77"/>
      <c r="AH793" s="77"/>
      <c r="AI793" s="77"/>
      <c r="AJ793" s="79"/>
      <c r="AK793" s="80"/>
      <c r="AL793" s="59"/>
      <c r="AM793" s="35"/>
      <c r="AN793" s="35"/>
      <c r="AO793" s="35"/>
      <c r="AP793" s="35"/>
      <c r="AQ793" s="35"/>
      <c r="AR793" s="35"/>
      <c r="AS793" s="35"/>
      <c r="AT793" s="35"/>
      <c r="AU793" s="35"/>
      <c r="AV793" s="35"/>
      <c r="AW793" s="35"/>
    </row>
    <row r="794">
      <c r="A794" s="17"/>
      <c r="B794" s="35"/>
      <c r="C794" s="74"/>
      <c r="D794" s="74"/>
      <c r="E794" s="74"/>
      <c r="F794" s="74"/>
      <c r="G794" s="74"/>
      <c r="H794" s="74"/>
      <c r="I794" s="74"/>
      <c r="J794" s="57"/>
      <c r="K794" s="57"/>
      <c r="L794" s="57"/>
      <c r="M794" s="57"/>
      <c r="N794" s="57"/>
      <c r="O794" s="57"/>
      <c r="P794" s="57"/>
      <c r="Q794" s="69"/>
      <c r="R794" s="69"/>
      <c r="S794" s="23" t="str">
        <f>iferror(if(AN794=1,VLOOKUP(B794, Blends!H$4:AK$1004,32,0), ""), "")</f>
        <v/>
      </c>
      <c r="T794" s="58"/>
      <c r="U794" s="77"/>
      <c r="V794" s="77"/>
      <c r="W794" s="78"/>
      <c r="X794" s="77"/>
      <c r="Y794" s="77"/>
      <c r="Z794" s="77"/>
      <c r="AA794" s="77"/>
      <c r="AB794" s="77"/>
      <c r="AC794" s="77"/>
      <c r="AD794" s="77"/>
      <c r="AE794" s="77"/>
      <c r="AF794" s="77"/>
      <c r="AG794" s="77"/>
      <c r="AH794" s="77"/>
      <c r="AI794" s="77"/>
      <c r="AJ794" s="79"/>
      <c r="AK794" s="80"/>
      <c r="AL794" s="59"/>
      <c r="AM794" s="35"/>
      <c r="AN794" s="35"/>
      <c r="AO794" s="35"/>
      <c r="AP794" s="35"/>
      <c r="AQ794" s="35"/>
      <c r="AR794" s="35"/>
      <c r="AS794" s="35"/>
      <c r="AT794" s="35"/>
      <c r="AU794" s="35"/>
      <c r="AV794" s="35"/>
      <c r="AW794" s="35"/>
    </row>
    <row r="795">
      <c r="A795" s="17"/>
      <c r="B795" s="35"/>
      <c r="C795" s="74"/>
      <c r="D795" s="74"/>
      <c r="E795" s="74"/>
      <c r="F795" s="74"/>
      <c r="G795" s="74"/>
      <c r="H795" s="74"/>
      <c r="I795" s="74"/>
      <c r="J795" s="57"/>
      <c r="K795" s="57"/>
      <c r="L795" s="57"/>
      <c r="M795" s="57"/>
      <c r="N795" s="57"/>
      <c r="O795" s="57"/>
      <c r="P795" s="57"/>
      <c r="Q795" s="69"/>
      <c r="R795" s="69"/>
      <c r="S795" s="23" t="str">
        <f>iferror(if(AN795=1,VLOOKUP(B795, Blends!H$4:AK$1004,32,0), ""), "")</f>
        <v/>
      </c>
      <c r="T795" s="58"/>
      <c r="U795" s="77"/>
      <c r="V795" s="77"/>
      <c r="W795" s="78"/>
      <c r="X795" s="77"/>
      <c r="Y795" s="77"/>
      <c r="Z795" s="77"/>
      <c r="AA795" s="77"/>
      <c r="AB795" s="77"/>
      <c r="AC795" s="77"/>
      <c r="AD795" s="77"/>
      <c r="AE795" s="77"/>
      <c r="AF795" s="77"/>
      <c r="AG795" s="77"/>
      <c r="AH795" s="77"/>
      <c r="AI795" s="77"/>
      <c r="AJ795" s="79"/>
      <c r="AK795" s="80"/>
      <c r="AL795" s="59"/>
      <c r="AM795" s="35"/>
      <c r="AN795" s="35"/>
      <c r="AO795" s="35"/>
      <c r="AP795" s="35"/>
      <c r="AQ795" s="35"/>
      <c r="AR795" s="35"/>
      <c r="AS795" s="35"/>
      <c r="AT795" s="35"/>
      <c r="AU795" s="35"/>
      <c r="AV795" s="35"/>
      <c r="AW795" s="35"/>
    </row>
    <row r="796">
      <c r="A796" s="17"/>
      <c r="B796" s="35"/>
      <c r="C796" s="74"/>
      <c r="D796" s="74"/>
      <c r="E796" s="74"/>
      <c r="F796" s="74"/>
      <c r="G796" s="74"/>
      <c r="H796" s="74"/>
      <c r="I796" s="74"/>
      <c r="J796" s="57"/>
      <c r="K796" s="57"/>
      <c r="L796" s="57"/>
      <c r="M796" s="57"/>
      <c r="N796" s="57"/>
      <c r="O796" s="57"/>
      <c r="P796" s="57"/>
      <c r="Q796" s="69"/>
      <c r="R796" s="69"/>
      <c r="S796" s="23" t="str">
        <f>iferror(if(AN796=1,VLOOKUP(B796, Blends!H$4:AK$1004,32,0), ""), "")</f>
        <v/>
      </c>
      <c r="T796" s="58"/>
      <c r="U796" s="77"/>
      <c r="V796" s="77"/>
      <c r="W796" s="78"/>
      <c r="X796" s="77"/>
      <c r="Y796" s="77"/>
      <c r="Z796" s="77"/>
      <c r="AA796" s="77"/>
      <c r="AB796" s="77"/>
      <c r="AC796" s="77"/>
      <c r="AD796" s="77"/>
      <c r="AE796" s="77"/>
      <c r="AF796" s="77"/>
      <c r="AG796" s="77"/>
      <c r="AH796" s="77"/>
      <c r="AI796" s="77"/>
      <c r="AJ796" s="79"/>
      <c r="AK796" s="80"/>
      <c r="AL796" s="59"/>
      <c r="AM796" s="35"/>
      <c r="AN796" s="35"/>
      <c r="AO796" s="35"/>
      <c r="AP796" s="35"/>
      <c r="AQ796" s="35"/>
      <c r="AR796" s="35"/>
      <c r="AS796" s="35"/>
      <c r="AT796" s="35"/>
      <c r="AU796" s="35"/>
      <c r="AV796" s="35"/>
      <c r="AW796" s="35"/>
    </row>
    <row r="797">
      <c r="A797" s="17"/>
      <c r="B797" s="35"/>
      <c r="C797" s="74"/>
      <c r="D797" s="74"/>
      <c r="E797" s="74"/>
      <c r="F797" s="74"/>
      <c r="G797" s="74"/>
      <c r="H797" s="74"/>
      <c r="I797" s="74"/>
      <c r="J797" s="57"/>
      <c r="K797" s="57"/>
      <c r="L797" s="57"/>
      <c r="M797" s="57"/>
      <c r="N797" s="57"/>
      <c r="O797" s="57"/>
      <c r="P797" s="57"/>
      <c r="Q797" s="69"/>
      <c r="R797" s="69"/>
      <c r="S797" s="23" t="str">
        <f>iferror(if(AN797=1,VLOOKUP(B797, Blends!H$4:AK$1004,32,0), ""), "")</f>
        <v/>
      </c>
      <c r="T797" s="58"/>
      <c r="U797" s="77"/>
      <c r="V797" s="77"/>
      <c r="W797" s="78"/>
      <c r="X797" s="77"/>
      <c r="Y797" s="77"/>
      <c r="Z797" s="77"/>
      <c r="AA797" s="77"/>
      <c r="AB797" s="77"/>
      <c r="AC797" s="77"/>
      <c r="AD797" s="77"/>
      <c r="AE797" s="77"/>
      <c r="AF797" s="77"/>
      <c r="AG797" s="77"/>
      <c r="AH797" s="77"/>
      <c r="AI797" s="77"/>
      <c r="AJ797" s="79"/>
      <c r="AK797" s="80"/>
      <c r="AL797" s="59"/>
      <c r="AM797" s="35"/>
      <c r="AN797" s="35"/>
      <c r="AO797" s="35"/>
      <c r="AP797" s="35"/>
      <c r="AQ797" s="35"/>
      <c r="AR797" s="35"/>
      <c r="AS797" s="35"/>
      <c r="AT797" s="35"/>
      <c r="AU797" s="35"/>
      <c r="AV797" s="35"/>
      <c r="AW797" s="35"/>
    </row>
    <row r="798">
      <c r="A798" s="17"/>
      <c r="B798" s="35"/>
      <c r="C798" s="74"/>
      <c r="D798" s="74"/>
      <c r="E798" s="74"/>
      <c r="F798" s="74"/>
      <c r="G798" s="74"/>
      <c r="H798" s="74"/>
      <c r="I798" s="74"/>
      <c r="J798" s="57"/>
      <c r="K798" s="57"/>
      <c r="L798" s="57"/>
      <c r="M798" s="57"/>
      <c r="N798" s="57"/>
      <c r="O798" s="57"/>
      <c r="P798" s="57"/>
      <c r="Q798" s="69"/>
      <c r="R798" s="69"/>
      <c r="S798" s="23" t="str">
        <f>iferror(if(AN798=1,VLOOKUP(B798, Blends!H$4:AK$1004,32,0), ""), "")</f>
        <v/>
      </c>
      <c r="T798" s="58"/>
      <c r="U798" s="77"/>
      <c r="V798" s="77"/>
      <c r="W798" s="78"/>
      <c r="X798" s="77"/>
      <c r="Y798" s="77"/>
      <c r="Z798" s="77"/>
      <c r="AA798" s="77"/>
      <c r="AB798" s="77"/>
      <c r="AC798" s="77"/>
      <c r="AD798" s="77"/>
      <c r="AE798" s="77"/>
      <c r="AF798" s="77"/>
      <c r="AG798" s="77"/>
      <c r="AH798" s="77"/>
      <c r="AI798" s="77"/>
      <c r="AJ798" s="79"/>
      <c r="AK798" s="80"/>
      <c r="AL798" s="59"/>
      <c r="AM798" s="35"/>
      <c r="AN798" s="35"/>
      <c r="AO798" s="35"/>
      <c r="AP798" s="35"/>
      <c r="AQ798" s="35"/>
      <c r="AR798" s="35"/>
      <c r="AS798" s="35"/>
      <c r="AT798" s="35"/>
      <c r="AU798" s="35"/>
      <c r="AV798" s="35"/>
      <c r="AW798" s="35"/>
    </row>
    <row r="799">
      <c r="A799" s="17"/>
      <c r="B799" s="35"/>
      <c r="C799" s="74"/>
      <c r="D799" s="74"/>
      <c r="E799" s="74"/>
      <c r="F799" s="74"/>
      <c r="G799" s="74"/>
      <c r="H799" s="74"/>
      <c r="I799" s="74"/>
      <c r="J799" s="57"/>
      <c r="K799" s="57"/>
      <c r="L799" s="57"/>
      <c r="M799" s="57"/>
      <c r="N799" s="57"/>
      <c r="O799" s="57"/>
      <c r="P799" s="57"/>
      <c r="Q799" s="69"/>
      <c r="R799" s="69"/>
      <c r="S799" s="23" t="str">
        <f>iferror(if(AN799=1,VLOOKUP(B799, Blends!H$4:AK$1004,32,0), ""), "")</f>
        <v/>
      </c>
      <c r="T799" s="58"/>
      <c r="U799" s="77"/>
      <c r="V799" s="77"/>
      <c r="W799" s="78"/>
      <c r="X799" s="77"/>
      <c r="Y799" s="77"/>
      <c r="Z799" s="77"/>
      <c r="AA799" s="77"/>
      <c r="AB799" s="77"/>
      <c r="AC799" s="77"/>
      <c r="AD799" s="77"/>
      <c r="AE799" s="77"/>
      <c r="AF799" s="77"/>
      <c r="AG799" s="77"/>
      <c r="AH799" s="77"/>
      <c r="AI799" s="77"/>
      <c r="AJ799" s="79"/>
      <c r="AK799" s="80"/>
      <c r="AL799" s="59"/>
      <c r="AM799" s="35"/>
      <c r="AN799" s="35"/>
      <c r="AO799" s="35"/>
      <c r="AP799" s="35"/>
      <c r="AQ799" s="35"/>
      <c r="AR799" s="35"/>
      <c r="AS799" s="35"/>
      <c r="AT799" s="35"/>
      <c r="AU799" s="35"/>
      <c r="AV799" s="35"/>
      <c r="AW799" s="35"/>
    </row>
    <row r="800">
      <c r="A800" s="17"/>
      <c r="B800" s="35"/>
      <c r="C800" s="74"/>
      <c r="D800" s="74"/>
      <c r="E800" s="74"/>
      <c r="F800" s="74"/>
      <c r="G800" s="74"/>
      <c r="H800" s="74"/>
      <c r="I800" s="74"/>
      <c r="J800" s="57"/>
      <c r="K800" s="57"/>
      <c r="L800" s="57"/>
      <c r="M800" s="57"/>
      <c r="N800" s="57"/>
      <c r="O800" s="57"/>
      <c r="P800" s="57"/>
      <c r="Q800" s="69"/>
      <c r="R800" s="69"/>
      <c r="S800" s="23" t="str">
        <f>iferror(if(AN800=1,VLOOKUP(B800, Blends!H$4:AK$1004,32,0), ""), "")</f>
        <v/>
      </c>
      <c r="T800" s="58"/>
      <c r="U800" s="77"/>
      <c r="V800" s="77"/>
      <c r="W800" s="78"/>
      <c r="X800" s="77"/>
      <c r="Y800" s="77"/>
      <c r="Z800" s="77"/>
      <c r="AA800" s="77"/>
      <c r="AB800" s="77"/>
      <c r="AC800" s="77"/>
      <c r="AD800" s="77"/>
      <c r="AE800" s="77"/>
      <c r="AF800" s="77"/>
      <c r="AG800" s="77"/>
      <c r="AH800" s="77"/>
      <c r="AI800" s="77"/>
      <c r="AJ800" s="79"/>
      <c r="AK800" s="80"/>
      <c r="AL800" s="59"/>
      <c r="AM800" s="35"/>
      <c r="AN800" s="35"/>
      <c r="AO800" s="35"/>
      <c r="AP800" s="35"/>
      <c r="AQ800" s="35"/>
      <c r="AR800" s="35"/>
      <c r="AS800" s="35"/>
      <c r="AT800" s="35"/>
      <c r="AU800" s="35"/>
      <c r="AV800" s="35"/>
      <c r="AW800" s="35"/>
    </row>
    <row r="801">
      <c r="A801" s="17"/>
      <c r="B801" s="35"/>
      <c r="C801" s="74"/>
      <c r="D801" s="74"/>
      <c r="E801" s="74"/>
      <c r="F801" s="74"/>
      <c r="G801" s="74"/>
      <c r="H801" s="74"/>
      <c r="I801" s="74"/>
      <c r="J801" s="57"/>
      <c r="K801" s="57"/>
      <c r="L801" s="57"/>
      <c r="M801" s="57"/>
      <c r="N801" s="57"/>
      <c r="O801" s="57"/>
      <c r="P801" s="57"/>
      <c r="Q801" s="69"/>
      <c r="R801" s="69"/>
      <c r="S801" s="23" t="str">
        <f>iferror(if(AN801=1,VLOOKUP(B801, Blends!H$4:AK$1004,32,0), ""), "")</f>
        <v/>
      </c>
      <c r="T801" s="58"/>
      <c r="U801" s="77"/>
      <c r="V801" s="77"/>
      <c r="W801" s="78"/>
      <c r="X801" s="77"/>
      <c r="Y801" s="77"/>
      <c r="Z801" s="77"/>
      <c r="AA801" s="77"/>
      <c r="AB801" s="77"/>
      <c r="AC801" s="77"/>
      <c r="AD801" s="77"/>
      <c r="AE801" s="77"/>
      <c r="AF801" s="77"/>
      <c r="AG801" s="77"/>
      <c r="AH801" s="77"/>
      <c r="AI801" s="77"/>
      <c r="AJ801" s="79"/>
      <c r="AK801" s="80"/>
      <c r="AL801" s="59"/>
      <c r="AM801" s="35"/>
      <c r="AN801" s="35"/>
      <c r="AO801" s="35"/>
      <c r="AP801" s="35"/>
      <c r="AQ801" s="35"/>
      <c r="AR801" s="35"/>
      <c r="AS801" s="35"/>
      <c r="AT801" s="35"/>
      <c r="AU801" s="35"/>
      <c r="AV801" s="35"/>
      <c r="AW801" s="35"/>
    </row>
    <row r="802">
      <c r="A802" s="17"/>
      <c r="B802" s="35"/>
      <c r="C802" s="74"/>
      <c r="D802" s="74"/>
      <c r="E802" s="74"/>
      <c r="F802" s="74"/>
      <c r="G802" s="74"/>
      <c r="H802" s="74"/>
      <c r="I802" s="74"/>
      <c r="J802" s="57"/>
      <c r="K802" s="57"/>
      <c r="L802" s="57"/>
      <c r="M802" s="57"/>
      <c r="N802" s="57"/>
      <c r="O802" s="57"/>
      <c r="P802" s="57"/>
      <c r="Q802" s="69"/>
      <c r="R802" s="69"/>
      <c r="S802" s="23" t="str">
        <f>iferror(if(AN802=1,VLOOKUP(B802, Blends!H$4:AK$1004,32,0), ""), "")</f>
        <v/>
      </c>
      <c r="T802" s="58"/>
      <c r="U802" s="77"/>
      <c r="V802" s="77"/>
      <c r="W802" s="78"/>
      <c r="X802" s="77"/>
      <c r="Y802" s="77"/>
      <c r="Z802" s="77"/>
      <c r="AA802" s="77"/>
      <c r="AB802" s="77"/>
      <c r="AC802" s="77"/>
      <c r="AD802" s="77"/>
      <c r="AE802" s="77"/>
      <c r="AF802" s="77"/>
      <c r="AG802" s="77"/>
      <c r="AH802" s="77"/>
      <c r="AI802" s="77"/>
      <c r="AJ802" s="79"/>
      <c r="AK802" s="80"/>
      <c r="AL802" s="59"/>
      <c r="AM802" s="35"/>
      <c r="AN802" s="35"/>
      <c r="AO802" s="35"/>
      <c r="AP802" s="35"/>
      <c r="AQ802" s="35"/>
      <c r="AR802" s="35"/>
      <c r="AS802" s="35"/>
      <c r="AT802" s="35"/>
      <c r="AU802" s="35"/>
      <c r="AV802" s="35"/>
      <c r="AW802" s="35"/>
    </row>
    <row r="803">
      <c r="A803" s="17"/>
      <c r="B803" s="35"/>
      <c r="C803" s="74"/>
      <c r="D803" s="74"/>
      <c r="E803" s="74"/>
      <c r="F803" s="74"/>
      <c r="G803" s="74"/>
      <c r="H803" s="74"/>
      <c r="I803" s="74"/>
      <c r="J803" s="57"/>
      <c r="K803" s="57"/>
      <c r="L803" s="57"/>
      <c r="M803" s="57"/>
      <c r="N803" s="57"/>
      <c r="O803" s="57"/>
      <c r="P803" s="57"/>
      <c r="Q803" s="69"/>
      <c r="R803" s="69"/>
      <c r="S803" s="23" t="str">
        <f>iferror(if(AN803=1,VLOOKUP(B803, Blends!H$4:AK$1004,32,0), ""), "")</f>
        <v/>
      </c>
      <c r="T803" s="58"/>
      <c r="U803" s="77"/>
      <c r="V803" s="77"/>
      <c r="W803" s="78"/>
      <c r="X803" s="77"/>
      <c r="Y803" s="77"/>
      <c r="Z803" s="77"/>
      <c r="AA803" s="77"/>
      <c r="AB803" s="77"/>
      <c r="AC803" s="77"/>
      <c r="AD803" s="77"/>
      <c r="AE803" s="77"/>
      <c r="AF803" s="77"/>
      <c r="AG803" s="77"/>
      <c r="AH803" s="77"/>
      <c r="AI803" s="77"/>
      <c r="AJ803" s="79"/>
      <c r="AK803" s="80"/>
      <c r="AL803" s="59"/>
      <c r="AM803" s="35"/>
      <c r="AN803" s="35"/>
      <c r="AO803" s="35"/>
      <c r="AP803" s="35"/>
      <c r="AQ803" s="35"/>
      <c r="AR803" s="35"/>
      <c r="AS803" s="35"/>
      <c r="AT803" s="35"/>
      <c r="AU803" s="35"/>
      <c r="AV803" s="35"/>
      <c r="AW803" s="35"/>
    </row>
    <row r="804">
      <c r="A804" s="17"/>
      <c r="B804" s="35"/>
      <c r="C804" s="74"/>
      <c r="D804" s="74"/>
      <c r="E804" s="74"/>
      <c r="F804" s="74"/>
      <c r="G804" s="74"/>
      <c r="H804" s="74"/>
      <c r="I804" s="74"/>
      <c r="J804" s="57"/>
      <c r="K804" s="57"/>
      <c r="L804" s="57"/>
      <c r="M804" s="57"/>
      <c r="N804" s="57"/>
      <c r="O804" s="57"/>
      <c r="P804" s="57"/>
      <c r="Q804" s="69"/>
      <c r="R804" s="69"/>
      <c r="S804" s="23" t="str">
        <f>iferror(if(AN804=1,VLOOKUP(B804, Blends!H$4:AK$1004,32,0), ""), "")</f>
        <v/>
      </c>
      <c r="T804" s="58"/>
      <c r="U804" s="77"/>
      <c r="V804" s="77"/>
      <c r="W804" s="78"/>
      <c r="X804" s="77"/>
      <c r="Y804" s="77"/>
      <c r="Z804" s="77"/>
      <c r="AA804" s="77"/>
      <c r="AB804" s="77"/>
      <c r="AC804" s="77"/>
      <c r="AD804" s="77"/>
      <c r="AE804" s="77"/>
      <c r="AF804" s="77"/>
      <c r="AG804" s="77"/>
      <c r="AH804" s="77"/>
      <c r="AI804" s="77"/>
      <c r="AJ804" s="79"/>
      <c r="AK804" s="80"/>
      <c r="AL804" s="59"/>
      <c r="AM804" s="35"/>
      <c r="AN804" s="35"/>
      <c r="AO804" s="35"/>
      <c r="AP804" s="35"/>
      <c r="AQ804" s="35"/>
      <c r="AR804" s="35"/>
      <c r="AS804" s="35"/>
      <c r="AT804" s="35"/>
      <c r="AU804" s="35"/>
      <c r="AV804" s="35"/>
      <c r="AW804" s="35"/>
    </row>
    <row r="805">
      <c r="A805" s="17"/>
      <c r="B805" s="35"/>
      <c r="C805" s="74"/>
      <c r="D805" s="74"/>
      <c r="E805" s="74"/>
      <c r="F805" s="74"/>
      <c r="G805" s="74"/>
      <c r="H805" s="74"/>
      <c r="I805" s="74"/>
      <c r="J805" s="57"/>
      <c r="K805" s="57"/>
      <c r="L805" s="57"/>
      <c r="M805" s="57"/>
      <c r="N805" s="57"/>
      <c r="O805" s="57"/>
      <c r="P805" s="57"/>
      <c r="Q805" s="69"/>
      <c r="R805" s="69"/>
      <c r="S805" s="23" t="str">
        <f>iferror(if(AN805=1,VLOOKUP(B805, Blends!H$4:AK$1004,32,0), ""), "")</f>
        <v/>
      </c>
      <c r="T805" s="58"/>
      <c r="U805" s="77"/>
      <c r="V805" s="77"/>
      <c r="W805" s="78"/>
      <c r="X805" s="77"/>
      <c r="Y805" s="77"/>
      <c r="Z805" s="77"/>
      <c r="AA805" s="77"/>
      <c r="AB805" s="77"/>
      <c r="AC805" s="77"/>
      <c r="AD805" s="77"/>
      <c r="AE805" s="77"/>
      <c r="AF805" s="77"/>
      <c r="AG805" s="77"/>
      <c r="AH805" s="77"/>
      <c r="AI805" s="77"/>
      <c r="AJ805" s="79"/>
      <c r="AK805" s="80"/>
      <c r="AL805" s="59"/>
      <c r="AM805" s="35"/>
      <c r="AN805" s="35"/>
      <c r="AO805" s="35"/>
      <c r="AP805" s="35"/>
      <c r="AQ805" s="35"/>
      <c r="AR805" s="35"/>
      <c r="AS805" s="35"/>
      <c r="AT805" s="35"/>
      <c r="AU805" s="35"/>
      <c r="AV805" s="35"/>
      <c r="AW805" s="35"/>
    </row>
    <row r="806">
      <c r="A806" s="17"/>
      <c r="B806" s="35"/>
      <c r="C806" s="74"/>
      <c r="D806" s="74"/>
      <c r="E806" s="74"/>
      <c r="F806" s="74"/>
      <c r="G806" s="74"/>
      <c r="H806" s="74"/>
      <c r="I806" s="74"/>
      <c r="J806" s="57"/>
      <c r="K806" s="57"/>
      <c r="L806" s="57"/>
      <c r="M806" s="57"/>
      <c r="N806" s="57"/>
      <c r="O806" s="57"/>
      <c r="P806" s="57"/>
      <c r="Q806" s="69"/>
      <c r="R806" s="69"/>
      <c r="S806" s="23" t="str">
        <f>iferror(if(AN806=1,VLOOKUP(B806, Blends!H$4:AK$1004,32,0), ""), "")</f>
        <v/>
      </c>
      <c r="T806" s="58"/>
      <c r="U806" s="77"/>
      <c r="V806" s="77"/>
      <c r="W806" s="78"/>
      <c r="X806" s="77"/>
      <c r="Y806" s="77"/>
      <c r="Z806" s="77"/>
      <c r="AA806" s="77"/>
      <c r="AB806" s="77"/>
      <c r="AC806" s="77"/>
      <c r="AD806" s="77"/>
      <c r="AE806" s="77"/>
      <c r="AF806" s="77"/>
      <c r="AG806" s="77"/>
      <c r="AH806" s="77"/>
      <c r="AI806" s="77"/>
      <c r="AJ806" s="79"/>
      <c r="AK806" s="80"/>
      <c r="AL806" s="59"/>
      <c r="AM806" s="35"/>
      <c r="AN806" s="35"/>
      <c r="AO806" s="35"/>
      <c r="AP806" s="35"/>
      <c r="AQ806" s="35"/>
      <c r="AR806" s="35"/>
      <c r="AS806" s="35"/>
      <c r="AT806" s="35"/>
      <c r="AU806" s="35"/>
      <c r="AV806" s="35"/>
      <c r="AW806" s="35"/>
    </row>
    <row r="807">
      <c r="A807" s="17"/>
      <c r="B807" s="35"/>
      <c r="C807" s="74"/>
      <c r="D807" s="74"/>
      <c r="E807" s="74"/>
      <c r="F807" s="74"/>
      <c r="G807" s="74"/>
      <c r="H807" s="74"/>
      <c r="I807" s="74"/>
      <c r="J807" s="57"/>
      <c r="K807" s="57"/>
      <c r="L807" s="57"/>
      <c r="M807" s="57"/>
      <c r="N807" s="57"/>
      <c r="O807" s="57"/>
      <c r="P807" s="57"/>
      <c r="Q807" s="69"/>
      <c r="R807" s="69"/>
      <c r="S807" s="23" t="str">
        <f>iferror(if(AN807=1,VLOOKUP(B807, Blends!H$4:AK$1004,32,0), ""), "")</f>
        <v/>
      </c>
      <c r="T807" s="58"/>
      <c r="U807" s="77"/>
      <c r="V807" s="77"/>
      <c r="W807" s="78"/>
      <c r="X807" s="77"/>
      <c r="Y807" s="77"/>
      <c r="Z807" s="77"/>
      <c r="AA807" s="77"/>
      <c r="AB807" s="77"/>
      <c r="AC807" s="77"/>
      <c r="AD807" s="77"/>
      <c r="AE807" s="77"/>
      <c r="AF807" s="77"/>
      <c r="AG807" s="77"/>
      <c r="AH807" s="77"/>
      <c r="AI807" s="77"/>
      <c r="AJ807" s="79"/>
      <c r="AK807" s="80"/>
      <c r="AL807" s="59"/>
      <c r="AM807" s="35"/>
      <c r="AN807" s="35"/>
      <c r="AO807" s="35"/>
      <c r="AP807" s="35"/>
      <c r="AQ807" s="35"/>
      <c r="AR807" s="35"/>
      <c r="AS807" s="35"/>
      <c r="AT807" s="35"/>
      <c r="AU807" s="35"/>
      <c r="AV807" s="35"/>
      <c r="AW807" s="35"/>
    </row>
    <row r="808">
      <c r="A808" s="17"/>
      <c r="B808" s="35"/>
      <c r="C808" s="74"/>
      <c r="D808" s="74"/>
      <c r="E808" s="74"/>
      <c r="F808" s="74"/>
      <c r="G808" s="74"/>
      <c r="H808" s="74"/>
      <c r="I808" s="74"/>
      <c r="J808" s="57"/>
      <c r="K808" s="57"/>
      <c r="L808" s="57"/>
      <c r="M808" s="57"/>
      <c r="N808" s="57"/>
      <c r="O808" s="57"/>
      <c r="P808" s="57"/>
      <c r="Q808" s="69"/>
      <c r="R808" s="69"/>
      <c r="S808" s="23" t="str">
        <f>iferror(if(AN808=1,VLOOKUP(B808, Blends!H$4:AK$1004,32,0), ""), "")</f>
        <v/>
      </c>
      <c r="T808" s="58"/>
      <c r="U808" s="77"/>
      <c r="V808" s="77"/>
      <c r="W808" s="78"/>
      <c r="X808" s="77"/>
      <c r="Y808" s="77"/>
      <c r="Z808" s="77"/>
      <c r="AA808" s="77"/>
      <c r="AB808" s="77"/>
      <c r="AC808" s="77"/>
      <c r="AD808" s="77"/>
      <c r="AE808" s="77"/>
      <c r="AF808" s="77"/>
      <c r="AG808" s="77"/>
      <c r="AH808" s="77"/>
      <c r="AI808" s="77"/>
      <c r="AJ808" s="79"/>
      <c r="AK808" s="80"/>
      <c r="AL808" s="59"/>
      <c r="AM808" s="35"/>
      <c r="AN808" s="35"/>
      <c r="AO808" s="35"/>
      <c r="AP808" s="35"/>
      <c r="AQ808" s="35"/>
      <c r="AR808" s="35"/>
      <c r="AS808" s="35"/>
      <c r="AT808" s="35"/>
      <c r="AU808" s="35"/>
      <c r="AV808" s="35"/>
      <c r="AW808" s="35"/>
    </row>
    <row r="809">
      <c r="A809" s="17"/>
      <c r="B809" s="35"/>
      <c r="C809" s="74"/>
      <c r="D809" s="74"/>
      <c r="E809" s="74"/>
      <c r="F809" s="74"/>
      <c r="G809" s="74"/>
      <c r="H809" s="74"/>
      <c r="I809" s="74"/>
      <c r="J809" s="57"/>
      <c r="K809" s="57"/>
      <c r="L809" s="57"/>
      <c r="M809" s="57"/>
      <c r="N809" s="57"/>
      <c r="O809" s="57"/>
      <c r="P809" s="57"/>
      <c r="Q809" s="69"/>
      <c r="R809" s="69"/>
      <c r="S809" s="23" t="str">
        <f>iferror(if(AN809=1,VLOOKUP(B809, Blends!H$4:AK$1004,32,0), ""), "")</f>
        <v/>
      </c>
      <c r="T809" s="58"/>
      <c r="U809" s="77"/>
      <c r="V809" s="77"/>
      <c r="W809" s="78"/>
      <c r="X809" s="77"/>
      <c r="Y809" s="77"/>
      <c r="Z809" s="77"/>
      <c r="AA809" s="77"/>
      <c r="AB809" s="77"/>
      <c r="AC809" s="77"/>
      <c r="AD809" s="77"/>
      <c r="AE809" s="77"/>
      <c r="AF809" s="77"/>
      <c r="AG809" s="77"/>
      <c r="AH809" s="77"/>
      <c r="AI809" s="77"/>
      <c r="AJ809" s="79"/>
      <c r="AK809" s="80"/>
      <c r="AL809" s="59"/>
      <c r="AM809" s="35"/>
      <c r="AN809" s="35"/>
      <c r="AO809" s="35"/>
      <c r="AP809" s="35"/>
      <c r="AQ809" s="35"/>
      <c r="AR809" s="35"/>
      <c r="AS809" s="35"/>
      <c r="AT809" s="35"/>
      <c r="AU809" s="35"/>
      <c r="AV809" s="35"/>
      <c r="AW809" s="35"/>
    </row>
    <row r="810">
      <c r="A810" s="17"/>
      <c r="B810" s="35"/>
      <c r="C810" s="74"/>
      <c r="D810" s="74"/>
      <c r="E810" s="74"/>
      <c r="F810" s="74"/>
      <c r="G810" s="74"/>
      <c r="H810" s="74"/>
      <c r="I810" s="74"/>
      <c r="J810" s="57"/>
      <c r="K810" s="57"/>
      <c r="L810" s="57"/>
      <c r="M810" s="57"/>
      <c r="N810" s="57"/>
      <c r="O810" s="57"/>
      <c r="P810" s="57"/>
      <c r="Q810" s="69"/>
      <c r="R810" s="69"/>
      <c r="S810" s="23" t="str">
        <f>iferror(if(AN810=1,VLOOKUP(B810, Blends!H$4:AK$1004,32,0), ""), "")</f>
        <v/>
      </c>
      <c r="T810" s="58"/>
      <c r="U810" s="77"/>
      <c r="V810" s="77"/>
      <c r="W810" s="78"/>
      <c r="X810" s="77"/>
      <c r="Y810" s="77"/>
      <c r="Z810" s="77"/>
      <c r="AA810" s="77"/>
      <c r="AB810" s="77"/>
      <c r="AC810" s="77"/>
      <c r="AD810" s="77"/>
      <c r="AE810" s="77"/>
      <c r="AF810" s="77"/>
      <c r="AG810" s="77"/>
      <c r="AH810" s="77"/>
      <c r="AI810" s="77"/>
      <c r="AJ810" s="79"/>
      <c r="AK810" s="80"/>
      <c r="AL810" s="59"/>
      <c r="AM810" s="35"/>
      <c r="AN810" s="35"/>
      <c r="AO810" s="35"/>
      <c r="AP810" s="35"/>
      <c r="AQ810" s="35"/>
      <c r="AR810" s="35"/>
      <c r="AS810" s="35"/>
      <c r="AT810" s="35"/>
      <c r="AU810" s="35"/>
      <c r="AV810" s="35"/>
      <c r="AW810" s="35"/>
    </row>
    <row r="811">
      <c r="A811" s="17"/>
      <c r="B811" s="35"/>
      <c r="C811" s="74"/>
      <c r="D811" s="74"/>
      <c r="E811" s="74"/>
      <c r="F811" s="74"/>
      <c r="G811" s="74"/>
      <c r="H811" s="74"/>
      <c r="I811" s="74"/>
      <c r="J811" s="57"/>
      <c r="K811" s="57"/>
      <c r="L811" s="57"/>
      <c r="M811" s="57"/>
      <c r="N811" s="57"/>
      <c r="O811" s="57"/>
      <c r="P811" s="57"/>
      <c r="Q811" s="69"/>
      <c r="R811" s="69"/>
      <c r="S811" s="23" t="str">
        <f>iferror(if(AN811=1,VLOOKUP(B811, Blends!H$4:AK$1004,32,0), ""), "")</f>
        <v/>
      </c>
      <c r="T811" s="58"/>
      <c r="U811" s="77"/>
      <c r="V811" s="77"/>
      <c r="W811" s="78"/>
      <c r="X811" s="77"/>
      <c r="Y811" s="77"/>
      <c r="Z811" s="77"/>
      <c r="AA811" s="77"/>
      <c r="AB811" s="77"/>
      <c r="AC811" s="77"/>
      <c r="AD811" s="77"/>
      <c r="AE811" s="77"/>
      <c r="AF811" s="77"/>
      <c r="AG811" s="77"/>
      <c r="AH811" s="77"/>
      <c r="AI811" s="77"/>
      <c r="AJ811" s="79"/>
      <c r="AK811" s="80"/>
      <c r="AL811" s="59"/>
      <c r="AM811" s="35"/>
      <c r="AN811" s="35"/>
      <c r="AO811" s="35"/>
      <c r="AP811" s="35"/>
      <c r="AQ811" s="35"/>
      <c r="AR811" s="35"/>
      <c r="AS811" s="35"/>
      <c r="AT811" s="35"/>
      <c r="AU811" s="35"/>
      <c r="AV811" s="35"/>
      <c r="AW811" s="35"/>
    </row>
    <row r="812">
      <c r="A812" s="17"/>
      <c r="B812" s="35"/>
      <c r="C812" s="74"/>
      <c r="D812" s="74"/>
      <c r="E812" s="74"/>
      <c r="F812" s="74"/>
      <c r="G812" s="74"/>
      <c r="H812" s="74"/>
      <c r="I812" s="74"/>
      <c r="J812" s="57"/>
      <c r="K812" s="57"/>
      <c r="L812" s="57"/>
      <c r="M812" s="57"/>
      <c r="N812" s="57"/>
      <c r="O812" s="57"/>
      <c r="P812" s="57"/>
      <c r="Q812" s="69"/>
      <c r="R812" s="69"/>
      <c r="S812" s="23" t="str">
        <f>iferror(if(AN812=1,VLOOKUP(B812, Blends!H$4:AK$1004,32,0), ""), "")</f>
        <v/>
      </c>
      <c r="T812" s="58"/>
      <c r="U812" s="77"/>
      <c r="V812" s="77"/>
      <c r="W812" s="78"/>
      <c r="X812" s="77"/>
      <c r="Y812" s="77"/>
      <c r="Z812" s="77"/>
      <c r="AA812" s="77"/>
      <c r="AB812" s="77"/>
      <c r="AC812" s="77"/>
      <c r="AD812" s="77"/>
      <c r="AE812" s="77"/>
      <c r="AF812" s="77"/>
      <c r="AG812" s="77"/>
      <c r="AH812" s="77"/>
      <c r="AI812" s="77"/>
      <c r="AJ812" s="79"/>
      <c r="AK812" s="80"/>
      <c r="AL812" s="59"/>
      <c r="AM812" s="35"/>
      <c r="AN812" s="35"/>
      <c r="AO812" s="35"/>
      <c r="AP812" s="35"/>
      <c r="AQ812" s="35"/>
      <c r="AR812" s="35"/>
      <c r="AS812" s="35"/>
      <c r="AT812" s="35"/>
      <c r="AU812" s="35"/>
      <c r="AV812" s="35"/>
      <c r="AW812" s="35"/>
    </row>
    <row r="813">
      <c r="A813" s="17"/>
      <c r="B813" s="35"/>
      <c r="C813" s="74"/>
      <c r="D813" s="74"/>
      <c r="E813" s="74"/>
      <c r="F813" s="74"/>
      <c r="G813" s="74"/>
      <c r="H813" s="74"/>
      <c r="I813" s="74"/>
      <c r="J813" s="57"/>
      <c r="K813" s="57"/>
      <c r="L813" s="57"/>
      <c r="M813" s="57"/>
      <c r="N813" s="57"/>
      <c r="O813" s="57"/>
      <c r="P813" s="57"/>
      <c r="Q813" s="69"/>
      <c r="R813" s="69"/>
      <c r="S813" s="23" t="str">
        <f>iferror(if(AN813=1,VLOOKUP(B813, Blends!H$4:AK$1004,32,0), ""), "")</f>
        <v/>
      </c>
      <c r="T813" s="58"/>
      <c r="U813" s="77"/>
      <c r="V813" s="77"/>
      <c r="W813" s="78"/>
      <c r="X813" s="77"/>
      <c r="Y813" s="77"/>
      <c r="Z813" s="77"/>
      <c r="AA813" s="77"/>
      <c r="AB813" s="77"/>
      <c r="AC813" s="77"/>
      <c r="AD813" s="77"/>
      <c r="AE813" s="77"/>
      <c r="AF813" s="77"/>
      <c r="AG813" s="77"/>
      <c r="AH813" s="77"/>
      <c r="AI813" s="77"/>
      <c r="AJ813" s="79"/>
      <c r="AK813" s="80"/>
      <c r="AL813" s="59"/>
      <c r="AM813" s="35"/>
      <c r="AN813" s="35"/>
      <c r="AO813" s="35"/>
      <c r="AP813" s="35"/>
      <c r="AQ813" s="35"/>
      <c r="AR813" s="35"/>
      <c r="AS813" s="35"/>
      <c r="AT813" s="35"/>
      <c r="AU813" s="35"/>
      <c r="AV813" s="35"/>
      <c r="AW813" s="35"/>
    </row>
    <row r="814">
      <c r="A814" s="17"/>
      <c r="B814" s="35"/>
      <c r="C814" s="74"/>
      <c r="D814" s="74"/>
      <c r="E814" s="74"/>
      <c r="F814" s="74"/>
      <c r="G814" s="74"/>
      <c r="H814" s="74"/>
      <c r="I814" s="74"/>
      <c r="J814" s="57"/>
      <c r="K814" s="57"/>
      <c r="L814" s="57"/>
      <c r="M814" s="57"/>
      <c r="N814" s="57"/>
      <c r="O814" s="57"/>
      <c r="P814" s="57"/>
      <c r="Q814" s="69"/>
      <c r="R814" s="69"/>
      <c r="S814" s="23" t="str">
        <f>iferror(if(AN814=1,VLOOKUP(B814, Blends!H$4:AK$1004,32,0), ""), "")</f>
        <v/>
      </c>
      <c r="T814" s="58"/>
      <c r="U814" s="77"/>
      <c r="V814" s="77"/>
      <c r="W814" s="78"/>
      <c r="X814" s="77"/>
      <c r="Y814" s="77"/>
      <c r="Z814" s="77"/>
      <c r="AA814" s="77"/>
      <c r="AB814" s="77"/>
      <c r="AC814" s="77"/>
      <c r="AD814" s="77"/>
      <c r="AE814" s="77"/>
      <c r="AF814" s="77"/>
      <c r="AG814" s="77"/>
      <c r="AH814" s="77"/>
      <c r="AI814" s="77"/>
      <c r="AJ814" s="79"/>
      <c r="AK814" s="80"/>
      <c r="AL814" s="59"/>
      <c r="AM814" s="35"/>
      <c r="AN814" s="35"/>
      <c r="AO814" s="35"/>
      <c r="AP814" s="35"/>
      <c r="AQ814" s="35"/>
      <c r="AR814" s="35"/>
      <c r="AS814" s="35"/>
      <c r="AT814" s="35"/>
      <c r="AU814" s="35"/>
      <c r="AV814" s="35"/>
      <c r="AW814" s="35"/>
    </row>
    <row r="815">
      <c r="A815" s="17"/>
      <c r="B815" s="35"/>
      <c r="C815" s="74"/>
      <c r="D815" s="74"/>
      <c r="E815" s="74"/>
      <c r="F815" s="74"/>
      <c r="G815" s="74"/>
      <c r="H815" s="74"/>
      <c r="I815" s="74"/>
      <c r="J815" s="57"/>
      <c r="K815" s="57"/>
      <c r="L815" s="57"/>
      <c r="M815" s="57"/>
      <c r="N815" s="57"/>
      <c r="O815" s="57"/>
      <c r="P815" s="57"/>
      <c r="Q815" s="69"/>
      <c r="R815" s="69"/>
      <c r="S815" s="23" t="str">
        <f>iferror(if(AN815=1,VLOOKUP(B815, Blends!H$4:AK$1004,32,0), ""), "")</f>
        <v/>
      </c>
      <c r="T815" s="58"/>
      <c r="U815" s="77"/>
      <c r="V815" s="77"/>
      <c r="W815" s="78"/>
      <c r="X815" s="77"/>
      <c r="Y815" s="77"/>
      <c r="Z815" s="77"/>
      <c r="AA815" s="77"/>
      <c r="AB815" s="77"/>
      <c r="AC815" s="77"/>
      <c r="AD815" s="77"/>
      <c r="AE815" s="77"/>
      <c r="AF815" s="77"/>
      <c r="AG815" s="77"/>
      <c r="AH815" s="77"/>
      <c r="AI815" s="77"/>
      <c r="AJ815" s="79"/>
      <c r="AK815" s="80"/>
      <c r="AL815" s="59"/>
      <c r="AM815" s="35"/>
      <c r="AN815" s="35"/>
      <c r="AO815" s="35"/>
      <c r="AP815" s="35"/>
      <c r="AQ815" s="35"/>
      <c r="AR815" s="35"/>
      <c r="AS815" s="35"/>
      <c r="AT815" s="35"/>
      <c r="AU815" s="35"/>
      <c r="AV815" s="35"/>
      <c r="AW815" s="35"/>
    </row>
    <row r="816">
      <c r="A816" s="17"/>
      <c r="B816" s="35"/>
      <c r="C816" s="74"/>
      <c r="D816" s="74"/>
      <c r="E816" s="74"/>
      <c r="F816" s="74"/>
      <c r="G816" s="74"/>
      <c r="H816" s="74"/>
      <c r="I816" s="74"/>
      <c r="J816" s="57"/>
      <c r="K816" s="57"/>
      <c r="L816" s="57"/>
      <c r="M816" s="57"/>
      <c r="N816" s="57"/>
      <c r="O816" s="57"/>
      <c r="P816" s="57"/>
      <c r="Q816" s="69"/>
      <c r="R816" s="69"/>
      <c r="S816" s="23" t="str">
        <f>iferror(if(AN816=1,VLOOKUP(B816, Blends!H$4:AK$1004,32,0), ""), "")</f>
        <v/>
      </c>
      <c r="T816" s="58"/>
      <c r="U816" s="77"/>
      <c r="V816" s="77"/>
      <c r="W816" s="78"/>
      <c r="X816" s="77"/>
      <c r="Y816" s="77"/>
      <c r="Z816" s="77"/>
      <c r="AA816" s="77"/>
      <c r="AB816" s="77"/>
      <c r="AC816" s="77"/>
      <c r="AD816" s="77"/>
      <c r="AE816" s="77"/>
      <c r="AF816" s="77"/>
      <c r="AG816" s="77"/>
      <c r="AH816" s="77"/>
      <c r="AI816" s="77"/>
      <c r="AJ816" s="79"/>
      <c r="AK816" s="80"/>
      <c r="AL816" s="59"/>
      <c r="AM816" s="35"/>
      <c r="AN816" s="35"/>
      <c r="AO816" s="35"/>
      <c r="AP816" s="35"/>
      <c r="AQ816" s="35"/>
      <c r="AR816" s="35"/>
      <c r="AS816" s="35"/>
      <c r="AT816" s="35"/>
      <c r="AU816" s="35"/>
      <c r="AV816" s="35"/>
      <c r="AW816" s="35"/>
    </row>
    <row r="817">
      <c r="A817" s="17"/>
      <c r="B817" s="35"/>
      <c r="C817" s="74"/>
      <c r="D817" s="74"/>
      <c r="E817" s="74"/>
      <c r="F817" s="74"/>
      <c r="G817" s="74"/>
      <c r="H817" s="74"/>
      <c r="I817" s="74"/>
      <c r="J817" s="57"/>
      <c r="K817" s="57"/>
      <c r="L817" s="57"/>
      <c r="M817" s="57"/>
      <c r="N817" s="57"/>
      <c r="O817" s="57"/>
      <c r="P817" s="57"/>
      <c r="Q817" s="69"/>
      <c r="R817" s="69"/>
      <c r="S817" s="23" t="str">
        <f>iferror(if(AN817=1,VLOOKUP(B817, Blends!H$4:AK$1004,32,0), ""), "")</f>
        <v/>
      </c>
      <c r="T817" s="58"/>
      <c r="U817" s="77"/>
      <c r="V817" s="77"/>
      <c r="W817" s="78"/>
      <c r="X817" s="77"/>
      <c r="Y817" s="77"/>
      <c r="Z817" s="77"/>
      <c r="AA817" s="77"/>
      <c r="AB817" s="77"/>
      <c r="AC817" s="77"/>
      <c r="AD817" s="77"/>
      <c r="AE817" s="77"/>
      <c r="AF817" s="77"/>
      <c r="AG817" s="77"/>
      <c r="AH817" s="77"/>
      <c r="AI817" s="77"/>
      <c r="AJ817" s="79"/>
      <c r="AK817" s="80"/>
      <c r="AL817" s="59"/>
      <c r="AM817" s="35"/>
      <c r="AN817" s="35"/>
      <c r="AO817" s="35"/>
      <c r="AP817" s="35"/>
      <c r="AQ817" s="35"/>
      <c r="AR817" s="35"/>
      <c r="AS817" s="35"/>
      <c r="AT817" s="35"/>
      <c r="AU817" s="35"/>
      <c r="AV817" s="35"/>
      <c r="AW817" s="35"/>
    </row>
    <row r="818">
      <c r="A818" s="17"/>
      <c r="B818" s="35"/>
      <c r="C818" s="74"/>
      <c r="D818" s="74"/>
      <c r="E818" s="74"/>
      <c r="F818" s="74"/>
      <c r="G818" s="74"/>
      <c r="H818" s="74"/>
      <c r="I818" s="74"/>
      <c r="J818" s="57"/>
      <c r="K818" s="57"/>
      <c r="L818" s="57"/>
      <c r="M818" s="57"/>
      <c r="N818" s="57"/>
      <c r="O818" s="57"/>
      <c r="P818" s="57"/>
      <c r="Q818" s="69"/>
      <c r="R818" s="69"/>
      <c r="S818" s="23" t="str">
        <f>iferror(if(AN818=1,VLOOKUP(B818, Blends!H$4:AK$1004,32,0), ""), "")</f>
        <v/>
      </c>
      <c r="T818" s="58"/>
      <c r="U818" s="77"/>
      <c r="V818" s="77"/>
      <c r="W818" s="78"/>
      <c r="X818" s="77"/>
      <c r="Y818" s="77"/>
      <c r="Z818" s="77"/>
      <c r="AA818" s="77"/>
      <c r="AB818" s="77"/>
      <c r="AC818" s="77"/>
      <c r="AD818" s="77"/>
      <c r="AE818" s="77"/>
      <c r="AF818" s="77"/>
      <c r="AG818" s="77"/>
      <c r="AH818" s="77"/>
      <c r="AI818" s="77"/>
      <c r="AJ818" s="79"/>
      <c r="AK818" s="80"/>
      <c r="AL818" s="59"/>
      <c r="AM818" s="35"/>
      <c r="AN818" s="35"/>
      <c r="AO818" s="35"/>
      <c r="AP818" s="35"/>
      <c r="AQ818" s="35"/>
      <c r="AR818" s="35"/>
      <c r="AS818" s="35"/>
      <c r="AT818" s="35"/>
      <c r="AU818" s="35"/>
      <c r="AV818" s="35"/>
      <c r="AW818" s="35"/>
    </row>
    <row r="819">
      <c r="A819" s="17"/>
      <c r="B819" s="35"/>
      <c r="C819" s="74"/>
      <c r="D819" s="74"/>
      <c r="E819" s="74"/>
      <c r="F819" s="74"/>
      <c r="G819" s="74"/>
      <c r="H819" s="74"/>
      <c r="I819" s="74"/>
      <c r="J819" s="57"/>
      <c r="K819" s="57"/>
      <c r="L819" s="57"/>
      <c r="M819" s="57"/>
      <c r="N819" s="57"/>
      <c r="O819" s="57"/>
      <c r="P819" s="57"/>
      <c r="Q819" s="69"/>
      <c r="R819" s="69"/>
      <c r="S819" s="23" t="str">
        <f>iferror(if(AN819=1,VLOOKUP(B819, Blends!H$4:AK$1004,32,0), ""), "")</f>
        <v/>
      </c>
      <c r="T819" s="58"/>
      <c r="U819" s="77"/>
      <c r="V819" s="77"/>
      <c r="W819" s="78"/>
      <c r="X819" s="77"/>
      <c r="Y819" s="77"/>
      <c r="Z819" s="77"/>
      <c r="AA819" s="77"/>
      <c r="AB819" s="77"/>
      <c r="AC819" s="77"/>
      <c r="AD819" s="77"/>
      <c r="AE819" s="77"/>
      <c r="AF819" s="77"/>
      <c r="AG819" s="77"/>
      <c r="AH819" s="77"/>
      <c r="AI819" s="77"/>
      <c r="AJ819" s="79"/>
      <c r="AK819" s="80"/>
      <c r="AL819" s="59"/>
      <c r="AM819" s="35"/>
      <c r="AN819" s="35"/>
      <c r="AO819" s="35"/>
      <c r="AP819" s="35"/>
      <c r="AQ819" s="35"/>
      <c r="AR819" s="35"/>
      <c r="AS819" s="35"/>
      <c r="AT819" s="35"/>
      <c r="AU819" s="35"/>
      <c r="AV819" s="35"/>
      <c r="AW819" s="35"/>
    </row>
    <row r="820">
      <c r="A820" s="17"/>
      <c r="B820" s="35"/>
      <c r="C820" s="74"/>
      <c r="D820" s="74"/>
      <c r="E820" s="74"/>
      <c r="F820" s="74"/>
      <c r="G820" s="74"/>
      <c r="H820" s="74"/>
      <c r="I820" s="74"/>
      <c r="J820" s="57"/>
      <c r="K820" s="57"/>
      <c r="L820" s="57"/>
      <c r="M820" s="57"/>
      <c r="N820" s="57"/>
      <c r="O820" s="57"/>
      <c r="P820" s="57"/>
      <c r="Q820" s="69"/>
      <c r="R820" s="69"/>
      <c r="S820" s="23" t="str">
        <f>iferror(if(AN820=1,VLOOKUP(B820, Blends!H$4:AK$1004,32,0), ""), "")</f>
        <v/>
      </c>
      <c r="T820" s="58"/>
      <c r="U820" s="77"/>
      <c r="V820" s="77"/>
      <c r="W820" s="78"/>
      <c r="X820" s="77"/>
      <c r="Y820" s="77"/>
      <c r="Z820" s="77"/>
      <c r="AA820" s="77"/>
      <c r="AB820" s="77"/>
      <c r="AC820" s="77"/>
      <c r="AD820" s="77"/>
      <c r="AE820" s="77"/>
      <c r="AF820" s="77"/>
      <c r="AG820" s="77"/>
      <c r="AH820" s="77"/>
      <c r="AI820" s="77"/>
      <c r="AJ820" s="79"/>
      <c r="AK820" s="80"/>
      <c r="AL820" s="59"/>
      <c r="AM820" s="35"/>
      <c r="AN820" s="35"/>
      <c r="AO820" s="35"/>
      <c r="AP820" s="35"/>
      <c r="AQ820" s="35"/>
      <c r="AR820" s="35"/>
      <c r="AS820" s="35"/>
      <c r="AT820" s="35"/>
      <c r="AU820" s="35"/>
      <c r="AV820" s="35"/>
      <c r="AW820" s="35"/>
    </row>
    <row r="821">
      <c r="A821" s="17"/>
      <c r="B821" s="35"/>
      <c r="C821" s="74"/>
      <c r="D821" s="74"/>
      <c r="E821" s="74"/>
      <c r="F821" s="74"/>
      <c r="G821" s="74"/>
      <c r="H821" s="74"/>
      <c r="I821" s="74"/>
      <c r="J821" s="57"/>
      <c r="K821" s="57"/>
      <c r="L821" s="57"/>
      <c r="M821" s="57"/>
      <c r="N821" s="57"/>
      <c r="O821" s="57"/>
      <c r="P821" s="57"/>
      <c r="Q821" s="69"/>
      <c r="R821" s="69"/>
      <c r="S821" s="23" t="str">
        <f>iferror(if(AN821=1,VLOOKUP(B821, Blends!H$4:AK$1004,32,0), ""), "")</f>
        <v/>
      </c>
      <c r="T821" s="58"/>
      <c r="U821" s="77"/>
      <c r="V821" s="77"/>
      <c r="W821" s="78"/>
      <c r="X821" s="77"/>
      <c r="Y821" s="77"/>
      <c r="Z821" s="77"/>
      <c r="AA821" s="77"/>
      <c r="AB821" s="77"/>
      <c r="AC821" s="77"/>
      <c r="AD821" s="77"/>
      <c r="AE821" s="77"/>
      <c r="AF821" s="77"/>
      <c r="AG821" s="77"/>
      <c r="AH821" s="77"/>
      <c r="AI821" s="77"/>
      <c r="AJ821" s="79"/>
      <c r="AK821" s="80"/>
      <c r="AL821" s="59"/>
      <c r="AM821" s="35"/>
      <c r="AN821" s="35"/>
      <c r="AO821" s="35"/>
      <c r="AP821" s="35"/>
      <c r="AQ821" s="35"/>
      <c r="AR821" s="35"/>
      <c r="AS821" s="35"/>
      <c r="AT821" s="35"/>
      <c r="AU821" s="35"/>
      <c r="AV821" s="35"/>
      <c r="AW821" s="35"/>
    </row>
    <row r="822">
      <c r="A822" s="17"/>
      <c r="B822" s="35"/>
      <c r="C822" s="74"/>
      <c r="D822" s="74"/>
      <c r="E822" s="74"/>
      <c r="F822" s="74"/>
      <c r="G822" s="74"/>
      <c r="H822" s="74"/>
      <c r="I822" s="74"/>
      <c r="J822" s="57"/>
      <c r="K822" s="57"/>
      <c r="L822" s="57"/>
      <c r="M822" s="57"/>
      <c r="N822" s="57"/>
      <c r="O822" s="57"/>
      <c r="P822" s="57"/>
      <c r="Q822" s="69"/>
      <c r="R822" s="69"/>
      <c r="S822" s="23" t="str">
        <f>iferror(if(AN822=1,VLOOKUP(B822, Blends!H$4:AK$1004,32,0), ""), "")</f>
        <v/>
      </c>
      <c r="T822" s="58"/>
      <c r="U822" s="77"/>
      <c r="V822" s="77"/>
      <c r="W822" s="78"/>
      <c r="X822" s="77"/>
      <c r="Y822" s="77"/>
      <c r="Z822" s="77"/>
      <c r="AA822" s="77"/>
      <c r="AB822" s="77"/>
      <c r="AC822" s="77"/>
      <c r="AD822" s="77"/>
      <c r="AE822" s="77"/>
      <c r="AF822" s="77"/>
      <c r="AG822" s="77"/>
      <c r="AH822" s="77"/>
      <c r="AI822" s="77"/>
      <c r="AJ822" s="79"/>
      <c r="AK822" s="80"/>
      <c r="AL822" s="59"/>
      <c r="AM822" s="35"/>
      <c r="AN822" s="35"/>
      <c r="AO822" s="35"/>
      <c r="AP822" s="35"/>
      <c r="AQ822" s="35"/>
      <c r="AR822" s="35"/>
      <c r="AS822" s="35"/>
      <c r="AT822" s="35"/>
      <c r="AU822" s="35"/>
      <c r="AV822" s="35"/>
      <c r="AW822" s="35"/>
    </row>
    <row r="823">
      <c r="A823" s="17"/>
      <c r="B823" s="35"/>
      <c r="C823" s="74"/>
      <c r="D823" s="74"/>
      <c r="E823" s="74"/>
      <c r="F823" s="74"/>
      <c r="G823" s="74"/>
      <c r="H823" s="74"/>
      <c r="I823" s="74"/>
      <c r="J823" s="57"/>
      <c r="K823" s="57"/>
      <c r="L823" s="57"/>
      <c r="M823" s="57"/>
      <c r="N823" s="57"/>
      <c r="O823" s="57"/>
      <c r="P823" s="57"/>
      <c r="Q823" s="69"/>
      <c r="R823" s="69"/>
      <c r="S823" s="23" t="str">
        <f>iferror(if(AN823=1,VLOOKUP(B823, Blends!H$4:AK$1004,32,0), ""), "")</f>
        <v/>
      </c>
      <c r="T823" s="58"/>
      <c r="U823" s="77"/>
      <c r="V823" s="77"/>
      <c r="W823" s="78"/>
      <c r="X823" s="77"/>
      <c r="Y823" s="77"/>
      <c r="Z823" s="77"/>
      <c r="AA823" s="77"/>
      <c r="AB823" s="77"/>
      <c r="AC823" s="77"/>
      <c r="AD823" s="77"/>
      <c r="AE823" s="77"/>
      <c r="AF823" s="77"/>
      <c r="AG823" s="77"/>
      <c r="AH823" s="77"/>
      <c r="AI823" s="77"/>
      <c r="AJ823" s="79"/>
      <c r="AK823" s="80"/>
      <c r="AL823" s="59"/>
      <c r="AM823" s="35"/>
      <c r="AN823" s="35"/>
      <c r="AO823" s="35"/>
      <c r="AP823" s="35"/>
      <c r="AQ823" s="35"/>
      <c r="AR823" s="35"/>
      <c r="AS823" s="35"/>
      <c r="AT823" s="35"/>
      <c r="AU823" s="35"/>
      <c r="AV823" s="35"/>
      <c r="AW823" s="35"/>
    </row>
    <row r="824">
      <c r="A824" s="17"/>
      <c r="B824" s="35"/>
      <c r="C824" s="74"/>
      <c r="D824" s="74"/>
      <c r="E824" s="74"/>
      <c r="F824" s="74"/>
      <c r="G824" s="74"/>
      <c r="H824" s="74"/>
      <c r="I824" s="74"/>
      <c r="J824" s="57"/>
      <c r="K824" s="57"/>
      <c r="L824" s="57"/>
      <c r="M824" s="57"/>
      <c r="N824" s="57"/>
      <c r="O824" s="57"/>
      <c r="P824" s="57"/>
      <c r="Q824" s="69"/>
      <c r="R824" s="69"/>
      <c r="S824" s="23" t="str">
        <f>iferror(if(AN824=1,VLOOKUP(B824, Blends!H$4:AK$1004,32,0), ""), "")</f>
        <v/>
      </c>
      <c r="T824" s="58"/>
      <c r="U824" s="77"/>
      <c r="V824" s="77"/>
      <c r="W824" s="78"/>
      <c r="X824" s="77"/>
      <c r="Y824" s="77"/>
      <c r="Z824" s="77"/>
      <c r="AA824" s="77"/>
      <c r="AB824" s="77"/>
      <c r="AC824" s="77"/>
      <c r="AD824" s="77"/>
      <c r="AE824" s="77"/>
      <c r="AF824" s="77"/>
      <c r="AG824" s="77"/>
      <c r="AH824" s="77"/>
      <c r="AI824" s="77"/>
      <c r="AJ824" s="79"/>
      <c r="AK824" s="80"/>
      <c r="AL824" s="59"/>
      <c r="AM824" s="35"/>
      <c r="AN824" s="35"/>
      <c r="AO824" s="35"/>
      <c r="AP824" s="35"/>
      <c r="AQ824" s="35"/>
      <c r="AR824" s="35"/>
      <c r="AS824" s="35"/>
      <c r="AT824" s="35"/>
      <c r="AU824" s="35"/>
      <c r="AV824" s="35"/>
      <c r="AW824" s="35"/>
    </row>
    <row r="825">
      <c r="A825" s="17"/>
      <c r="B825" s="35"/>
      <c r="C825" s="74"/>
      <c r="D825" s="74"/>
      <c r="E825" s="74"/>
      <c r="F825" s="74"/>
      <c r="G825" s="74"/>
      <c r="H825" s="74"/>
      <c r="I825" s="74"/>
      <c r="J825" s="57"/>
      <c r="K825" s="57"/>
      <c r="L825" s="57"/>
      <c r="M825" s="57"/>
      <c r="N825" s="57"/>
      <c r="O825" s="57"/>
      <c r="P825" s="57"/>
      <c r="Q825" s="69"/>
      <c r="R825" s="69"/>
      <c r="S825" s="23" t="str">
        <f>iferror(if(AN825=1,VLOOKUP(B825, Blends!H$4:AK$1004,32,0), ""), "")</f>
        <v/>
      </c>
      <c r="T825" s="58"/>
      <c r="U825" s="77"/>
      <c r="V825" s="77"/>
      <c r="W825" s="78"/>
      <c r="X825" s="77"/>
      <c r="Y825" s="77"/>
      <c r="Z825" s="77"/>
      <c r="AA825" s="77"/>
      <c r="AB825" s="77"/>
      <c r="AC825" s="77"/>
      <c r="AD825" s="77"/>
      <c r="AE825" s="77"/>
      <c r="AF825" s="77"/>
      <c r="AG825" s="77"/>
      <c r="AH825" s="77"/>
      <c r="AI825" s="77"/>
      <c r="AJ825" s="79"/>
      <c r="AK825" s="80"/>
      <c r="AL825" s="59"/>
      <c r="AM825" s="35"/>
      <c r="AN825" s="35"/>
      <c r="AO825" s="35"/>
      <c r="AP825" s="35"/>
      <c r="AQ825" s="35"/>
      <c r="AR825" s="35"/>
      <c r="AS825" s="35"/>
      <c r="AT825" s="35"/>
      <c r="AU825" s="35"/>
      <c r="AV825" s="35"/>
      <c r="AW825" s="35"/>
    </row>
    <row r="826">
      <c r="A826" s="17"/>
      <c r="B826" s="35"/>
      <c r="C826" s="74"/>
      <c r="D826" s="74"/>
      <c r="E826" s="74"/>
      <c r="F826" s="74"/>
      <c r="G826" s="74"/>
      <c r="H826" s="74"/>
      <c r="I826" s="74"/>
      <c r="J826" s="57"/>
      <c r="K826" s="57"/>
      <c r="L826" s="57"/>
      <c r="M826" s="57"/>
      <c r="N826" s="57"/>
      <c r="O826" s="57"/>
      <c r="P826" s="57"/>
      <c r="Q826" s="69"/>
      <c r="R826" s="69"/>
      <c r="S826" s="23" t="str">
        <f>iferror(if(AN826=1,VLOOKUP(B826, Blends!H$4:AK$1004,32,0), ""), "")</f>
        <v/>
      </c>
      <c r="T826" s="58"/>
      <c r="U826" s="77"/>
      <c r="V826" s="77"/>
      <c r="W826" s="78"/>
      <c r="X826" s="77"/>
      <c r="Y826" s="77"/>
      <c r="Z826" s="77"/>
      <c r="AA826" s="77"/>
      <c r="AB826" s="77"/>
      <c r="AC826" s="77"/>
      <c r="AD826" s="77"/>
      <c r="AE826" s="77"/>
      <c r="AF826" s="77"/>
      <c r="AG826" s="77"/>
      <c r="AH826" s="77"/>
      <c r="AI826" s="77"/>
      <c r="AJ826" s="79"/>
      <c r="AK826" s="80"/>
      <c r="AL826" s="59"/>
      <c r="AM826" s="35"/>
      <c r="AN826" s="35"/>
      <c r="AO826" s="35"/>
      <c r="AP826" s="35"/>
      <c r="AQ826" s="35"/>
      <c r="AR826" s="35"/>
      <c r="AS826" s="35"/>
      <c r="AT826" s="35"/>
      <c r="AU826" s="35"/>
      <c r="AV826" s="35"/>
      <c r="AW826" s="35"/>
    </row>
    <row r="827">
      <c r="A827" s="17"/>
      <c r="B827" s="35"/>
      <c r="C827" s="74"/>
      <c r="D827" s="74"/>
      <c r="E827" s="74"/>
      <c r="F827" s="74"/>
      <c r="G827" s="74"/>
      <c r="H827" s="74"/>
      <c r="I827" s="74"/>
      <c r="J827" s="57"/>
      <c r="K827" s="57"/>
      <c r="L827" s="57"/>
      <c r="M827" s="57"/>
      <c r="N827" s="57"/>
      <c r="O827" s="57"/>
      <c r="P827" s="57"/>
      <c r="Q827" s="69"/>
      <c r="R827" s="69"/>
      <c r="S827" s="23" t="str">
        <f>iferror(if(AN827=1,VLOOKUP(B827, Blends!H$4:AK$1004,32,0), ""), "")</f>
        <v/>
      </c>
      <c r="T827" s="58"/>
      <c r="U827" s="77"/>
      <c r="V827" s="77"/>
      <c r="W827" s="78"/>
      <c r="X827" s="77"/>
      <c r="Y827" s="77"/>
      <c r="Z827" s="77"/>
      <c r="AA827" s="77"/>
      <c r="AB827" s="77"/>
      <c r="AC827" s="77"/>
      <c r="AD827" s="77"/>
      <c r="AE827" s="77"/>
      <c r="AF827" s="77"/>
      <c r="AG827" s="77"/>
      <c r="AH827" s="77"/>
      <c r="AI827" s="77"/>
      <c r="AJ827" s="79"/>
      <c r="AK827" s="80"/>
      <c r="AL827" s="59"/>
      <c r="AM827" s="35"/>
      <c r="AN827" s="35"/>
      <c r="AO827" s="35"/>
      <c r="AP827" s="35"/>
      <c r="AQ827" s="35"/>
      <c r="AR827" s="35"/>
      <c r="AS827" s="35"/>
      <c r="AT827" s="35"/>
      <c r="AU827" s="35"/>
      <c r="AV827" s="35"/>
      <c r="AW827" s="35"/>
    </row>
    <row r="828">
      <c r="A828" s="17"/>
      <c r="B828" s="35"/>
      <c r="C828" s="74"/>
      <c r="D828" s="74"/>
      <c r="E828" s="74"/>
      <c r="F828" s="74"/>
      <c r="G828" s="74"/>
      <c r="H828" s="74"/>
      <c r="I828" s="74"/>
      <c r="J828" s="57"/>
      <c r="K828" s="57"/>
      <c r="L828" s="57"/>
      <c r="M828" s="57"/>
      <c r="N828" s="57"/>
      <c r="O828" s="57"/>
      <c r="P828" s="57"/>
      <c r="Q828" s="69"/>
      <c r="R828" s="69"/>
      <c r="S828" s="23" t="str">
        <f>iferror(if(AN828=1,VLOOKUP(B828, Blends!H$4:AK$1004,32,0), ""), "")</f>
        <v/>
      </c>
      <c r="T828" s="58"/>
      <c r="U828" s="77"/>
      <c r="V828" s="77"/>
      <c r="W828" s="78"/>
      <c r="X828" s="77"/>
      <c r="Y828" s="77"/>
      <c r="Z828" s="77"/>
      <c r="AA828" s="77"/>
      <c r="AB828" s="77"/>
      <c r="AC828" s="77"/>
      <c r="AD828" s="77"/>
      <c r="AE828" s="77"/>
      <c r="AF828" s="77"/>
      <c r="AG828" s="77"/>
      <c r="AH828" s="77"/>
      <c r="AI828" s="77"/>
      <c r="AJ828" s="79"/>
      <c r="AK828" s="80"/>
      <c r="AL828" s="59"/>
      <c r="AM828" s="35"/>
      <c r="AN828" s="35"/>
      <c r="AO828" s="35"/>
      <c r="AP828" s="35"/>
      <c r="AQ828" s="35"/>
      <c r="AR828" s="35"/>
      <c r="AS828" s="35"/>
      <c r="AT828" s="35"/>
      <c r="AU828" s="35"/>
      <c r="AV828" s="35"/>
      <c r="AW828" s="35"/>
    </row>
    <row r="829">
      <c r="A829" s="17"/>
      <c r="B829" s="35"/>
      <c r="C829" s="74"/>
      <c r="D829" s="74"/>
      <c r="E829" s="74"/>
      <c r="F829" s="74"/>
      <c r="G829" s="74"/>
      <c r="H829" s="74"/>
      <c r="I829" s="74"/>
      <c r="J829" s="57"/>
      <c r="K829" s="57"/>
      <c r="L829" s="57"/>
      <c r="M829" s="57"/>
      <c r="N829" s="57"/>
      <c r="O829" s="57"/>
      <c r="P829" s="57"/>
      <c r="Q829" s="69"/>
      <c r="R829" s="69"/>
      <c r="S829" s="23" t="str">
        <f>iferror(if(AN829=1,VLOOKUP(B829, Blends!H$4:AK$1004,32,0), ""), "")</f>
        <v/>
      </c>
      <c r="T829" s="58"/>
      <c r="U829" s="77"/>
      <c r="V829" s="77"/>
      <c r="W829" s="78"/>
      <c r="X829" s="77"/>
      <c r="Y829" s="77"/>
      <c r="Z829" s="77"/>
      <c r="AA829" s="77"/>
      <c r="AB829" s="77"/>
      <c r="AC829" s="77"/>
      <c r="AD829" s="77"/>
      <c r="AE829" s="77"/>
      <c r="AF829" s="77"/>
      <c r="AG829" s="77"/>
      <c r="AH829" s="77"/>
      <c r="AI829" s="77"/>
      <c r="AJ829" s="79"/>
      <c r="AK829" s="80"/>
      <c r="AL829" s="59"/>
      <c r="AM829" s="35"/>
      <c r="AN829" s="35"/>
      <c r="AO829" s="35"/>
      <c r="AP829" s="35"/>
      <c r="AQ829" s="35"/>
      <c r="AR829" s="35"/>
      <c r="AS829" s="35"/>
      <c r="AT829" s="35"/>
      <c r="AU829" s="35"/>
      <c r="AV829" s="35"/>
      <c r="AW829" s="35"/>
    </row>
    <row r="830">
      <c r="A830" s="17"/>
      <c r="B830" s="35"/>
      <c r="C830" s="74"/>
      <c r="D830" s="74"/>
      <c r="E830" s="74"/>
      <c r="F830" s="74"/>
      <c r="G830" s="74"/>
      <c r="H830" s="74"/>
      <c r="I830" s="74"/>
      <c r="J830" s="57"/>
      <c r="K830" s="57"/>
      <c r="L830" s="57"/>
      <c r="M830" s="57"/>
      <c r="N830" s="57"/>
      <c r="O830" s="57"/>
      <c r="P830" s="57"/>
      <c r="Q830" s="69"/>
      <c r="R830" s="69"/>
      <c r="S830" s="23" t="str">
        <f>iferror(if(AN830=1,VLOOKUP(B830, Blends!H$4:AK$1004,32,0), ""), "")</f>
        <v/>
      </c>
      <c r="T830" s="58"/>
      <c r="U830" s="77"/>
      <c r="V830" s="77"/>
      <c r="W830" s="78"/>
      <c r="X830" s="77"/>
      <c r="Y830" s="77"/>
      <c r="Z830" s="77"/>
      <c r="AA830" s="77"/>
      <c r="AB830" s="77"/>
      <c r="AC830" s="77"/>
      <c r="AD830" s="77"/>
      <c r="AE830" s="77"/>
      <c r="AF830" s="77"/>
      <c r="AG830" s="77"/>
      <c r="AH830" s="77"/>
      <c r="AI830" s="77"/>
      <c r="AJ830" s="79"/>
      <c r="AK830" s="80"/>
      <c r="AL830" s="59"/>
      <c r="AM830" s="35"/>
      <c r="AN830" s="35"/>
      <c r="AO830" s="35"/>
      <c r="AP830" s="35"/>
      <c r="AQ830" s="35"/>
      <c r="AR830" s="35"/>
      <c r="AS830" s="35"/>
      <c r="AT830" s="35"/>
      <c r="AU830" s="35"/>
      <c r="AV830" s="35"/>
      <c r="AW830" s="35"/>
    </row>
    <row r="831">
      <c r="A831" s="17"/>
      <c r="B831" s="35"/>
      <c r="C831" s="74"/>
      <c r="D831" s="74"/>
      <c r="E831" s="74"/>
      <c r="F831" s="74"/>
      <c r="G831" s="74"/>
      <c r="H831" s="74"/>
      <c r="I831" s="74"/>
      <c r="J831" s="57"/>
      <c r="K831" s="57"/>
      <c r="L831" s="57"/>
      <c r="M831" s="57"/>
      <c r="N831" s="57"/>
      <c r="O831" s="57"/>
      <c r="P831" s="57"/>
      <c r="Q831" s="69"/>
      <c r="R831" s="69"/>
      <c r="S831" s="23" t="str">
        <f>iferror(if(AN831=1,VLOOKUP(B831, Blends!H$4:AK$1004,32,0), ""), "")</f>
        <v/>
      </c>
      <c r="T831" s="58"/>
      <c r="U831" s="77"/>
      <c r="V831" s="77"/>
      <c r="W831" s="78"/>
      <c r="X831" s="77"/>
      <c r="Y831" s="77"/>
      <c r="Z831" s="77"/>
      <c r="AA831" s="77"/>
      <c r="AB831" s="77"/>
      <c r="AC831" s="77"/>
      <c r="AD831" s="77"/>
      <c r="AE831" s="77"/>
      <c r="AF831" s="77"/>
      <c r="AG831" s="77"/>
      <c r="AH831" s="77"/>
      <c r="AI831" s="77"/>
      <c r="AJ831" s="79"/>
      <c r="AK831" s="80"/>
      <c r="AL831" s="59"/>
      <c r="AM831" s="35"/>
      <c r="AN831" s="35"/>
      <c r="AO831" s="35"/>
      <c r="AP831" s="35"/>
      <c r="AQ831" s="35"/>
      <c r="AR831" s="35"/>
      <c r="AS831" s="35"/>
      <c r="AT831" s="35"/>
      <c r="AU831" s="35"/>
      <c r="AV831" s="35"/>
      <c r="AW831" s="35"/>
    </row>
    <row r="832">
      <c r="A832" s="17"/>
      <c r="B832" s="35"/>
      <c r="C832" s="74"/>
      <c r="D832" s="74"/>
      <c r="E832" s="74"/>
      <c r="F832" s="74"/>
      <c r="G832" s="74"/>
      <c r="H832" s="74"/>
      <c r="I832" s="74"/>
      <c r="J832" s="57"/>
      <c r="K832" s="57"/>
      <c r="L832" s="57"/>
      <c r="M832" s="57"/>
      <c r="N832" s="57"/>
      <c r="O832" s="57"/>
      <c r="P832" s="57"/>
      <c r="Q832" s="69"/>
      <c r="R832" s="69"/>
      <c r="S832" s="23" t="str">
        <f>iferror(if(AN832=1,VLOOKUP(B832, Blends!H$4:AK$1004,32,0), ""), "")</f>
        <v/>
      </c>
      <c r="T832" s="58"/>
      <c r="U832" s="77"/>
      <c r="V832" s="77"/>
      <c r="W832" s="78"/>
      <c r="X832" s="77"/>
      <c r="Y832" s="77"/>
      <c r="Z832" s="77"/>
      <c r="AA832" s="77"/>
      <c r="AB832" s="77"/>
      <c r="AC832" s="77"/>
      <c r="AD832" s="77"/>
      <c r="AE832" s="77"/>
      <c r="AF832" s="77"/>
      <c r="AG832" s="77"/>
      <c r="AH832" s="77"/>
      <c r="AI832" s="77"/>
      <c r="AJ832" s="79"/>
      <c r="AK832" s="80"/>
      <c r="AL832" s="59"/>
      <c r="AM832" s="35"/>
      <c r="AN832" s="35"/>
      <c r="AO832" s="35"/>
      <c r="AP832" s="35"/>
      <c r="AQ832" s="35"/>
      <c r="AR832" s="35"/>
      <c r="AS832" s="35"/>
      <c r="AT832" s="35"/>
      <c r="AU832" s="35"/>
      <c r="AV832" s="35"/>
      <c r="AW832" s="35"/>
    </row>
    <row r="833">
      <c r="A833" s="17"/>
      <c r="B833" s="35"/>
      <c r="C833" s="74"/>
      <c r="D833" s="74"/>
      <c r="E833" s="74"/>
      <c r="F833" s="74"/>
      <c r="G833" s="74"/>
      <c r="H833" s="74"/>
      <c r="I833" s="74"/>
      <c r="J833" s="57"/>
      <c r="K833" s="57"/>
      <c r="L833" s="57"/>
      <c r="M833" s="57"/>
      <c r="N833" s="57"/>
      <c r="O833" s="57"/>
      <c r="P833" s="57"/>
      <c r="Q833" s="69"/>
      <c r="R833" s="69"/>
      <c r="S833" s="23" t="str">
        <f>iferror(if(AN833=1,VLOOKUP(B833, Blends!H$4:AK$1004,32,0), ""), "")</f>
        <v/>
      </c>
      <c r="T833" s="58"/>
      <c r="U833" s="77"/>
      <c r="V833" s="77"/>
      <c r="W833" s="78"/>
      <c r="X833" s="77"/>
      <c r="Y833" s="77"/>
      <c r="Z833" s="77"/>
      <c r="AA833" s="77"/>
      <c r="AB833" s="77"/>
      <c r="AC833" s="77"/>
      <c r="AD833" s="77"/>
      <c r="AE833" s="77"/>
      <c r="AF833" s="77"/>
      <c r="AG833" s="77"/>
      <c r="AH833" s="77"/>
      <c r="AI833" s="77"/>
      <c r="AJ833" s="79"/>
      <c r="AK833" s="80"/>
      <c r="AL833" s="59"/>
      <c r="AM833" s="35"/>
      <c r="AN833" s="35"/>
      <c r="AO833" s="35"/>
      <c r="AP833" s="35"/>
      <c r="AQ833" s="35"/>
      <c r="AR833" s="35"/>
      <c r="AS833" s="35"/>
      <c r="AT833" s="35"/>
      <c r="AU833" s="35"/>
      <c r="AV833" s="35"/>
      <c r="AW833" s="35"/>
    </row>
    <row r="834">
      <c r="A834" s="17"/>
      <c r="B834" s="35"/>
      <c r="C834" s="74"/>
      <c r="D834" s="74"/>
      <c r="E834" s="74"/>
      <c r="F834" s="74"/>
      <c r="G834" s="74"/>
      <c r="H834" s="74"/>
      <c r="I834" s="74"/>
      <c r="J834" s="57"/>
      <c r="K834" s="57"/>
      <c r="L834" s="57"/>
      <c r="M834" s="57"/>
      <c r="N834" s="57"/>
      <c r="O834" s="57"/>
      <c r="P834" s="57"/>
      <c r="Q834" s="69"/>
      <c r="R834" s="69"/>
      <c r="S834" s="23" t="str">
        <f>iferror(if(AN834=1,VLOOKUP(B834, Blends!H$4:AK$1004,32,0), ""), "")</f>
        <v/>
      </c>
      <c r="T834" s="58"/>
      <c r="U834" s="77"/>
      <c r="V834" s="77"/>
      <c r="W834" s="78"/>
      <c r="X834" s="77"/>
      <c r="Y834" s="77"/>
      <c r="Z834" s="77"/>
      <c r="AA834" s="77"/>
      <c r="AB834" s="77"/>
      <c r="AC834" s="77"/>
      <c r="AD834" s="77"/>
      <c r="AE834" s="77"/>
      <c r="AF834" s="77"/>
      <c r="AG834" s="77"/>
      <c r="AH834" s="77"/>
      <c r="AI834" s="77"/>
      <c r="AJ834" s="79"/>
      <c r="AK834" s="80"/>
      <c r="AL834" s="59"/>
      <c r="AM834" s="35"/>
      <c r="AN834" s="35"/>
      <c r="AO834" s="35"/>
      <c r="AP834" s="35"/>
      <c r="AQ834" s="35"/>
      <c r="AR834" s="35"/>
      <c r="AS834" s="35"/>
      <c r="AT834" s="35"/>
      <c r="AU834" s="35"/>
      <c r="AV834" s="35"/>
      <c r="AW834" s="35"/>
    </row>
    <row r="835">
      <c r="A835" s="17"/>
      <c r="B835" s="35"/>
      <c r="C835" s="74"/>
      <c r="D835" s="74"/>
      <c r="E835" s="74"/>
      <c r="F835" s="74"/>
      <c r="G835" s="74"/>
      <c r="H835" s="74"/>
      <c r="I835" s="74"/>
      <c r="J835" s="57"/>
      <c r="K835" s="57"/>
      <c r="L835" s="57"/>
      <c r="M835" s="57"/>
      <c r="N835" s="57"/>
      <c r="O835" s="57"/>
      <c r="P835" s="57"/>
      <c r="Q835" s="69"/>
      <c r="R835" s="69"/>
      <c r="S835" s="23" t="str">
        <f>iferror(if(AN835=1,VLOOKUP(B835, Blends!H$4:AK$1004,32,0), ""), "")</f>
        <v/>
      </c>
      <c r="T835" s="58"/>
      <c r="U835" s="77"/>
      <c r="V835" s="77"/>
      <c r="W835" s="78"/>
      <c r="X835" s="77"/>
      <c r="Y835" s="77"/>
      <c r="Z835" s="77"/>
      <c r="AA835" s="77"/>
      <c r="AB835" s="77"/>
      <c r="AC835" s="77"/>
      <c r="AD835" s="77"/>
      <c r="AE835" s="77"/>
      <c r="AF835" s="77"/>
      <c r="AG835" s="77"/>
      <c r="AH835" s="77"/>
      <c r="AI835" s="77"/>
      <c r="AJ835" s="79"/>
      <c r="AK835" s="80"/>
      <c r="AL835" s="59"/>
      <c r="AM835" s="35"/>
      <c r="AN835" s="35"/>
      <c r="AO835" s="35"/>
      <c r="AP835" s="35"/>
      <c r="AQ835" s="35"/>
      <c r="AR835" s="35"/>
      <c r="AS835" s="35"/>
      <c r="AT835" s="35"/>
      <c r="AU835" s="35"/>
      <c r="AV835" s="35"/>
      <c r="AW835" s="35"/>
    </row>
    <row r="836">
      <c r="A836" s="17"/>
      <c r="B836" s="35"/>
      <c r="C836" s="74"/>
      <c r="D836" s="74"/>
      <c r="E836" s="74"/>
      <c r="F836" s="74"/>
      <c r="G836" s="74"/>
      <c r="H836" s="74"/>
      <c r="I836" s="74"/>
      <c r="J836" s="57"/>
      <c r="K836" s="57"/>
      <c r="L836" s="57"/>
      <c r="M836" s="57"/>
      <c r="N836" s="57"/>
      <c r="O836" s="57"/>
      <c r="P836" s="57"/>
      <c r="Q836" s="69"/>
      <c r="R836" s="69"/>
      <c r="S836" s="23" t="str">
        <f>iferror(if(AN836=1,VLOOKUP(B836, Blends!H$4:AK$1004,32,0), ""), "")</f>
        <v/>
      </c>
      <c r="T836" s="58"/>
      <c r="U836" s="77"/>
      <c r="V836" s="77"/>
      <c r="W836" s="78"/>
      <c r="X836" s="77"/>
      <c r="Y836" s="77"/>
      <c r="Z836" s="77"/>
      <c r="AA836" s="77"/>
      <c r="AB836" s="77"/>
      <c r="AC836" s="77"/>
      <c r="AD836" s="77"/>
      <c r="AE836" s="77"/>
      <c r="AF836" s="77"/>
      <c r="AG836" s="77"/>
      <c r="AH836" s="77"/>
      <c r="AI836" s="77"/>
      <c r="AJ836" s="79"/>
      <c r="AK836" s="80"/>
      <c r="AL836" s="59"/>
      <c r="AM836" s="35"/>
      <c r="AN836" s="35"/>
      <c r="AO836" s="35"/>
      <c r="AP836" s="35"/>
      <c r="AQ836" s="35"/>
      <c r="AR836" s="35"/>
      <c r="AS836" s="35"/>
      <c r="AT836" s="35"/>
      <c r="AU836" s="35"/>
      <c r="AV836" s="35"/>
      <c r="AW836" s="35"/>
    </row>
    <row r="837">
      <c r="A837" s="17"/>
      <c r="B837" s="35"/>
      <c r="C837" s="74"/>
      <c r="D837" s="74"/>
      <c r="E837" s="74"/>
      <c r="F837" s="74"/>
      <c r="G837" s="74"/>
      <c r="H837" s="74"/>
      <c r="I837" s="74"/>
      <c r="J837" s="57"/>
      <c r="K837" s="57"/>
      <c r="L837" s="57"/>
      <c r="M837" s="57"/>
      <c r="N837" s="57"/>
      <c r="O837" s="57"/>
      <c r="P837" s="57"/>
      <c r="Q837" s="69"/>
      <c r="R837" s="69"/>
      <c r="S837" s="23" t="str">
        <f>iferror(if(AN837=1,VLOOKUP(B837, Blends!H$4:AK$1004,32,0), ""), "")</f>
        <v/>
      </c>
      <c r="T837" s="58"/>
      <c r="U837" s="77"/>
      <c r="V837" s="77"/>
      <c r="W837" s="78"/>
      <c r="X837" s="77"/>
      <c r="Y837" s="77"/>
      <c r="Z837" s="77"/>
      <c r="AA837" s="77"/>
      <c r="AB837" s="77"/>
      <c r="AC837" s="77"/>
      <c r="AD837" s="77"/>
      <c r="AE837" s="77"/>
      <c r="AF837" s="77"/>
      <c r="AG837" s="77"/>
      <c r="AH837" s="77"/>
      <c r="AI837" s="77"/>
      <c r="AJ837" s="79"/>
      <c r="AK837" s="80"/>
      <c r="AL837" s="59"/>
      <c r="AM837" s="35"/>
      <c r="AN837" s="35"/>
      <c r="AO837" s="35"/>
      <c r="AP837" s="35"/>
      <c r="AQ837" s="35"/>
      <c r="AR837" s="35"/>
      <c r="AS837" s="35"/>
      <c r="AT837" s="35"/>
      <c r="AU837" s="35"/>
      <c r="AV837" s="35"/>
      <c r="AW837" s="35"/>
    </row>
    <row r="838">
      <c r="A838" s="17"/>
      <c r="B838" s="35"/>
      <c r="C838" s="74"/>
      <c r="D838" s="74"/>
      <c r="E838" s="74"/>
      <c r="F838" s="74"/>
      <c r="G838" s="74"/>
      <c r="H838" s="74"/>
      <c r="I838" s="74"/>
      <c r="J838" s="57"/>
      <c r="K838" s="57"/>
      <c r="L838" s="57"/>
      <c r="M838" s="57"/>
      <c r="N838" s="57"/>
      <c r="O838" s="57"/>
      <c r="P838" s="57"/>
      <c r="Q838" s="69"/>
      <c r="R838" s="69"/>
      <c r="S838" s="23" t="str">
        <f>iferror(if(AN838=1,VLOOKUP(B838, Blends!H$4:AK$1004,32,0), ""), "")</f>
        <v/>
      </c>
      <c r="T838" s="58"/>
      <c r="U838" s="77"/>
      <c r="V838" s="77"/>
      <c r="W838" s="78"/>
      <c r="X838" s="77"/>
      <c r="Y838" s="77"/>
      <c r="Z838" s="77"/>
      <c r="AA838" s="77"/>
      <c r="AB838" s="77"/>
      <c r="AC838" s="77"/>
      <c r="AD838" s="77"/>
      <c r="AE838" s="77"/>
      <c r="AF838" s="77"/>
      <c r="AG838" s="77"/>
      <c r="AH838" s="77"/>
      <c r="AI838" s="77"/>
      <c r="AJ838" s="79"/>
      <c r="AK838" s="80"/>
      <c r="AL838" s="59"/>
      <c r="AM838" s="35"/>
      <c r="AN838" s="35"/>
      <c r="AO838" s="35"/>
      <c r="AP838" s="35"/>
      <c r="AQ838" s="35"/>
      <c r="AR838" s="35"/>
      <c r="AS838" s="35"/>
      <c r="AT838" s="35"/>
      <c r="AU838" s="35"/>
      <c r="AV838" s="35"/>
      <c r="AW838" s="35"/>
    </row>
    <row r="839">
      <c r="A839" s="17"/>
      <c r="B839" s="35"/>
      <c r="C839" s="74"/>
      <c r="D839" s="74"/>
      <c r="E839" s="74"/>
      <c r="F839" s="74"/>
      <c r="G839" s="74"/>
      <c r="H839" s="74"/>
      <c r="I839" s="74"/>
      <c r="J839" s="57"/>
      <c r="K839" s="57"/>
      <c r="L839" s="57"/>
      <c r="M839" s="57"/>
      <c r="N839" s="57"/>
      <c r="O839" s="57"/>
      <c r="P839" s="57"/>
      <c r="Q839" s="69"/>
      <c r="R839" s="69"/>
      <c r="S839" s="23" t="str">
        <f>iferror(if(AN839=1,VLOOKUP(B839, Blends!H$4:AK$1004,32,0), ""), "")</f>
        <v/>
      </c>
      <c r="T839" s="58"/>
      <c r="U839" s="77"/>
      <c r="V839" s="77"/>
      <c r="W839" s="78"/>
      <c r="X839" s="77"/>
      <c r="Y839" s="77"/>
      <c r="Z839" s="77"/>
      <c r="AA839" s="77"/>
      <c r="AB839" s="77"/>
      <c r="AC839" s="77"/>
      <c r="AD839" s="77"/>
      <c r="AE839" s="77"/>
      <c r="AF839" s="77"/>
      <c r="AG839" s="77"/>
      <c r="AH839" s="77"/>
      <c r="AI839" s="77"/>
      <c r="AJ839" s="79"/>
      <c r="AK839" s="80"/>
      <c r="AL839" s="59"/>
      <c r="AM839" s="35"/>
      <c r="AN839" s="35"/>
      <c r="AO839" s="35"/>
      <c r="AP839" s="35"/>
      <c r="AQ839" s="35"/>
      <c r="AR839" s="35"/>
      <c r="AS839" s="35"/>
      <c r="AT839" s="35"/>
      <c r="AU839" s="35"/>
      <c r="AV839" s="35"/>
      <c r="AW839" s="35"/>
    </row>
    <row r="840">
      <c r="A840" s="17"/>
      <c r="B840" s="35"/>
      <c r="C840" s="74"/>
      <c r="D840" s="74"/>
      <c r="E840" s="74"/>
      <c r="F840" s="74"/>
      <c r="G840" s="74"/>
      <c r="H840" s="74"/>
      <c r="I840" s="74"/>
      <c r="J840" s="57"/>
      <c r="K840" s="57"/>
      <c r="L840" s="57"/>
      <c r="M840" s="57"/>
      <c r="N840" s="57"/>
      <c r="O840" s="57"/>
      <c r="P840" s="57"/>
      <c r="Q840" s="69"/>
      <c r="R840" s="69"/>
      <c r="S840" s="23" t="str">
        <f>iferror(if(AN840=1,VLOOKUP(B840, Blends!H$4:AK$1004,32,0), ""), "")</f>
        <v/>
      </c>
      <c r="T840" s="58"/>
      <c r="U840" s="77"/>
      <c r="V840" s="77"/>
      <c r="W840" s="78"/>
      <c r="X840" s="77"/>
      <c r="Y840" s="77"/>
      <c r="Z840" s="77"/>
      <c r="AA840" s="77"/>
      <c r="AB840" s="77"/>
      <c r="AC840" s="77"/>
      <c r="AD840" s="77"/>
      <c r="AE840" s="77"/>
      <c r="AF840" s="77"/>
      <c r="AG840" s="77"/>
      <c r="AH840" s="77"/>
      <c r="AI840" s="77"/>
      <c r="AJ840" s="79"/>
      <c r="AK840" s="80"/>
      <c r="AL840" s="59"/>
      <c r="AM840" s="35"/>
      <c r="AN840" s="35"/>
      <c r="AO840" s="35"/>
      <c r="AP840" s="35"/>
      <c r="AQ840" s="35"/>
      <c r="AR840" s="35"/>
      <c r="AS840" s="35"/>
      <c r="AT840" s="35"/>
      <c r="AU840" s="35"/>
      <c r="AV840" s="35"/>
      <c r="AW840" s="35"/>
    </row>
    <row r="841">
      <c r="A841" s="17"/>
      <c r="B841" s="35"/>
      <c r="C841" s="74"/>
      <c r="D841" s="74"/>
      <c r="E841" s="74"/>
      <c r="F841" s="74"/>
      <c r="G841" s="74"/>
      <c r="H841" s="74"/>
      <c r="I841" s="74"/>
      <c r="J841" s="57"/>
      <c r="K841" s="57"/>
      <c r="L841" s="57"/>
      <c r="M841" s="57"/>
      <c r="N841" s="57"/>
      <c r="O841" s="57"/>
      <c r="P841" s="57"/>
      <c r="Q841" s="69"/>
      <c r="R841" s="69"/>
      <c r="S841" s="23" t="str">
        <f>iferror(if(AN841=1,VLOOKUP(B841, Blends!H$4:AK$1004,32,0), ""), "")</f>
        <v/>
      </c>
      <c r="T841" s="58"/>
      <c r="U841" s="77"/>
      <c r="V841" s="77"/>
      <c r="W841" s="78"/>
      <c r="X841" s="77"/>
      <c r="Y841" s="77"/>
      <c r="Z841" s="77"/>
      <c r="AA841" s="77"/>
      <c r="AB841" s="77"/>
      <c r="AC841" s="77"/>
      <c r="AD841" s="77"/>
      <c r="AE841" s="77"/>
      <c r="AF841" s="77"/>
      <c r="AG841" s="77"/>
      <c r="AH841" s="77"/>
      <c r="AI841" s="77"/>
      <c r="AJ841" s="79"/>
      <c r="AK841" s="80"/>
      <c r="AL841" s="59"/>
      <c r="AM841" s="35"/>
      <c r="AN841" s="35"/>
      <c r="AO841" s="35"/>
      <c r="AP841" s="35"/>
      <c r="AQ841" s="35"/>
      <c r="AR841" s="35"/>
      <c r="AS841" s="35"/>
      <c r="AT841" s="35"/>
      <c r="AU841" s="35"/>
      <c r="AV841" s="35"/>
      <c r="AW841" s="35"/>
    </row>
    <row r="842">
      <c r="A842" s="17"/>
      <c r="B842" s="35"/>
      <c r="C842" s="74"/>
      <c r="D842" s="74"/>
      <c r="E842" s="74"/>
      <c r="F842" s="74"/>
      <c r="G842" s="74"/>
      <c r="H842" s="74"/>
      <c r="I842" s="74"/>
      <c r="J842" s="57"/>
      <c r="K842" s="57"/>
      <c r="L842" s="57"/>
      <c r="M842" s="57"/>
      <c r="N842" s="57"/>
      <c r="O842" s="57"/>
      <c r="P842" s="57"/>
      <c r="Q842" s="69"/>
      <c r="R842" s="69"/>
      <c r="S842" s="23" t="str">
        <f>iferror(if(AN842=1,VLOOKUP(B842, Blends!H$4:AK$1004,32,0), ""), "")</f>
        <v/>
      </c>
      <c r="T842" s="58"/>
      <c r="U842" s="77"/>
      <c r="V842" s="77"/>
      <c r="W842" s="78"/>
      <c r="X842" s="77"/>
      <c r="Y842" s="77"/>
      <c r="Z842" s="77"/>
      <c r="AA842" s="77"/>
      <c r="AB842" s="77"/>
      <c r="AC842" s="77"/>
      <c r="AD842" s="77"/>
      <c r="AE842" s="77"/>
      <c r="AF842" s="77"/>
      <c r="AG842" s="77"/>
      <c r="AH842" s="77"/>
      <c r="AI842" s="77"/>
      <c r="AJ842" s="79"/>
      <c r="AK842" s="80"/>
      <c r="AL842" s="59"/>
      <c r="AM842" s="35"/>
      <c r="AN842" s="35"/>
      <c r="AO842" s="35"/>
      <c r="AP842" s="35"/>
      <c r="AQ842" s="35"/>
      <c r="AR842" s="35"/>
      <c r="AS842" s="35"/>
      <c r="AT842" s="35"/>
      <c r="AU842" s="35"/>
      <c r="AV842" s="35"/>
      <c r="AW842" s="35"/>
    </row>
    <row r="843">
      <c r="A843" s="17"/>
      <c r="B843" s="35"/>
      <c r="C843" s="74"/>
      <c r="D843" s="74"/>
      <c r="E843" s="74"/>
      <c r="F843" s="74"/>
      <c r="G843" s="74"/>
      <c r="H843" s="74"/>
      <c r="I843" s="74"/>
      <c r="J843" s="57"/>
      <c r="K843" s="57"/>
      <c r="L843" s="57"/>
      <c r="M843" s="57"/>
      <c r="N843" s="57"/>
      <c r="O843" s="57"/>
      <c r="P843" s="57"/>
      <c r="Q843" s="69"/>
      <c r="R843" s="69"/>
      <c r="S843" s="23" t="str">
        <f>iferror(if(AN843=1,VLOOKUP(B843, Blends!H$4:AK$1004,32,0), ""), "")</f>
        <v/>
      </c>
      <c r="T843" s="58"/>
      <c r="U843" s="77"/>
      <c r="V843" s="77"/>
      <c r="W843" s="78"/>
      <c r="X843" s="77"/>
      <c r="Y843" s="77"/>
      <c r="Z843" s="77"/>
      <c r="AA843" s="77"/>
      <c r="AB843" s="77"/>
      <c r="AC843" s="77"/>
      <c r="AD843" s="77"/>
      <c r="AE843" s="77"/>
      <c r="AF843" s="77"/>
      <c r="AG843" s="77"/>
      <c r="AH843" s="77"/>
      <c r="AI843" s="77"/>
      <c r="AJ843" s="79"/>
      <c r="AK843" s="80"/>
      <c r="AL843" s="59"/>
      <c r="AM843" s="35"/>
      <c r="AN843" s="35"/>
      <c r="AO843" s="35"/>
      <c r="AP843" s="35"/>
      <c r="AQ843" s="35"/>
      <c r="AR843" s="35"/>
      <c r="AS843" s="35"/>
      <c r="AT843" s="35"/>
      <c r="AU843" s="35"/>
      <c r="AV843" s="35"/>
      <c r="AW843" s="35"/>
    </row>
    <row r="844">
      <c r="A844" s="17"/>
      <c r="B844" s="35"/>
      <c r="C844" s="74"/>
      <c r="D844" s="74"/>
      <c r="E844" s="74"/>
      <c r="F844" s="74"/>
      <c r="G844" s="74"/>
      <c r="H844" s="74"/>
      <c r="I844" s="74"/>
      <c r="J844" s="57"/>
      <c r="K844" s="57"/>
      <c r="L844" s="57"/>
      <c r="M844" s="57"/>
      <c r="N844" s="57"/>
      <c r="O844" s="57"/>
      <c r="P844" s="57"/>
      <c r="Q844" s="69"/>
      <c r="R844" s="69"/>
      <c r="S844" s="23" t="str">
        <f>iferror(if(AN844=1,VLOOKUP(B844, Blends!H$4:AK$1004,32,0), ""), "")</f>
        <v/>
      </c>
      <c r="T844" s="58"/>
      <c r="U844" s="77"/>
      <c r="V844" s="77"/>
      <c r="W844" s="78"/>
      <c r="X844" s="77"/>
      <c r="Y844" s="77"/>
      <c r="Z844" s="77"/>
      <c r="AA844" s="77"/>
      <c r="AB844" s="77"/>
      <c r="AC844" s="77"/>
      <c r="AD844" s="77"/>
      <c r="AE844" s="77"/>
      <c r="AF844" s="77"/>
      <c r="AG844" s="77"/>
      <c r="AH844" s="77"/>
      <c r="AI844" s="77"/>
      <c r="AJ844" s="79"/>
      <c r="AK844" s="80"/>
      <c r="AL844" s="59"/>
      <c r="AM844" s="35"/>
      <c r="AN844" s="35"/>
      <c r="AO844" s="35"/>
      <c r="AP844" s="35"/>
      <c r="AQ844" s="35"/>
      <c r="AR844" s="35"/>
      <c r="AS844" s="35"/>
      <c r="AT844" s="35"/>
      <c r="AU844" s="35"/>
      <c r="AV844" s="35"/>
      <c r="AW844" s="35"/>
    </row>
    <row r="845">
      <c r="A845" s="17"/>
      <c r="B845" s="35"/>
      <c r="C845" s="74"/>
      <c r="D845" s="74"/>
      <c r="E845" s="74"/>
      <c r="F845" s="74"/>
      <c r="G845" s="74"/>
      <c r="H845" s="74"/>
      <c r="I845" s="74"/>
      <c r="J845" s="57"/>
      <c r="K845" s="57"/>
      <c r="L845" s="57"/>
      <c r="M845" s="57"/>
      <c r="N845" s="57"/>
      <c r="O845" s="57"/>
      <c r="P845" s="57"/>
      <c r="Q845" s="69"/>
      <c r="R845" s="69"/>
      <c r="S845" s="23" t="str">
        <f>iferror(if(AN845=1,VLOOKUP(B845, Blends!H$4:AK$1004,32,0), ""), "")</f>
        <v/>
      </c>
      <c r="T845" s="58"/>
      <c r="U845" s="77"/>
      <c r="V845" s="77"/>
      <c r="W845" s="78"/>
      <c r="X845" s="77"/>
      <c r="Y845" s="77"/>
      <c r="Z845" s="77"/>
      <c r="AA845" s="77"/>
      <c r="AB845" s="77"/>
      <c r="AC845" s="77"/>
      <c r="AD845" s="77"/>
      <c r="AE845" s="77"/>
      <c r="AF845" s="77"/>
      <c r="AG845" s="77"/>
      <c r="AH845" s="77"/>
      <c r="AI845" s="77"/>
      <c r="AJ845" s="79"/>
      <c r="AK845" s="80"/>
      <c r="AL845" s="59"/>
      <c r="AM845" s="35"/>
      <c r="AN845" s="35"/>
      <c r="AO845" s="35"/>
      <c r="AP845" s="35"/>
      <c r="AQ845" s="35"/>
      <c r="AR845" s="35"/>
      <c r="AS845" s="35"/>
      <c r="AT845" s="35"/>
      <c r="AU845" s="35"/>
      <c r="AV845" s="35"/>
      <c r="AW845" s="35"/>
    </row>
    <row r="846">
      <c r="A846" s="17"/>
      <c r="B846" s="35"/>
      <c r="C846" s="74"/>
      <c r="D846" s="74"/>
      <c r="E846" s="74"/>
      <c r="F846" s="74"/>
      <c r="G846" s="74"/>
      <c r="H846" s="74"/>
      <c r="I846" s="74"/>
      <c r="J846" s="57"/>
      <c r="K846" s="57"/>
      <c r="L846" s="57"/>
      <c r="M846" s="57"/>
      <c r="N846" s="57"/>
      <c r="O846" s="57"/>
      <c r="P846" s="57"/>
      <c r="Q846" s="69"/>
      <c r="R846" s="69"/>
      <c r="S846" s="23" t="str">
        <f>iferror(if(AN846=1,VLOOKUP(B846, Blends!H$4:AK$1004,32,0), ""), "")</f>
        <v/>
      </c>
      <c r="T846" s="58"/>
      <c r="U846" s="77"/>
      <c r="V846" s="77"/>
      <c r="W846" s="78"/>
      <c r="X846" s="77"/>
      <c r="Y846" s="77"/>
      <c r="Z846" s="77"/>
      <c r="AA846" s="77"/>
      <c r="AB846" s="77"/>
      <c r="AC846" s="77"/>
      <c r="AD846" s="77"/>
      <c r="AE846" s="77"/>
      <c r="AF846" s="77"/>
      <c r="AG846" s="77"/>
      <c r="AH846" s="77"/>
      <c r="AI846" s="77"/>
      <c r="AJ846" s="79"/>
      <c r="AK846" s="80"/>
      <c r="AL846" s="59"/>
      <c r="AM846" s="35"/>
      <c r="AN846" s="35"/>
      <c r="AO846" s="35"/>
      <c r="AP846" s="35"/>
      <c r="AQ846" s="35"/>
      <c r="AR846" s="35"/>
      <c r="AS846" s="35"/>
      <c r="AT846" s="35"/>
      <c r="AU846" s="35"/>
      <c r="AV846" s="35"/>
      <c r="AW846" s="35"/>
    </row>
    <row r="847">
      <c r="A847" s="17"/>
      <c r="B847" s="35"/>
      <c r="C847" s="74"/>
      <c r="D847" s="74"/>
      <c r="E847" s="74"/>
      <c r="F847" s="74"/>
      <c r="G847" s="74"/>
      <c r="H847" s="74"/>
      <c r="I847" s="74"/>
      <c r="J847" s="57"/>
      <c r="K847" s="57"/>
      <c r="L847" s="57"/>
      <c r="M847" s="57"/>
      <c r="N847" s="57"/>
      <c r="O847" s="57"/>
      <c r="P847" s="57"/>
      <c r="Q847" s="69"/>
      <c r="R847" s="69"/>
      <c r="S847" s="23" t="str">
        <f>iferror(if(AN847=1,VLOOKUP(B847, Blends!H$4:AK$1004,32,0), ""), "")</f>
        <v/>
      </c>
      <c r="T847" s="58"/>
      <c r="U847" s="77"/>
      <c r="V847" s="77"/>
      <c r="W847" s="78"/>
      <c r="X847" s="77"/>
      <c r="Y847" s="77"/>
      <c r="Z847" s="77"/>
      <c r="AA847" s="77"/>
      <c r="AB847" s="77"/>
      <c r="AC847" s="77"/>
      <c r="AD847" s="77"/>
      <c r="AE847" s="77"/>
      <c r="AF847" s="77"/>
      <c r="AG847" s="77"/>
      <c r="AH847" s="77"/>
      <c r="AI847" s="77"/>
      <c r="AJ847" s="79"/>
      <c r="AK847" s="80"/>
      <c r="AL847" s="59"/>
      <c r="AM847" s="35"/>
      <c r="AN847" s="35"/>
      <c r="AO847" s="35"/>
      <c r="AP847" s="35"/>
      <c r="AQ847" s="35"/>
      <c r="AR847" s="35"/>
      <c r="AS847" s="35"/>
      <c r="AT847" s="35"/>
      <c r="AU847" s="35"/>
      <c r="AV847" s="35"/>
      <c r="AW847" s="35"/>
    </row>
    <row r="848">
      <c r="A848" s="17"/>
      <c r="B848" s="35"/>
      <c r="C848" s="74"/>
      <c r="D848" s="74"/>
      <c r="E848" s="74"/>
      <c r="F848" s="74"/>
      <c r="G848" s="74"/>
      <c r="H848" s="74"/>
      <c r="I848" s="74"/>
      <c r="J848" s="57"/>
      <c r="K848" s="57"/>
      <c r="L848" s="57"/>
      <c r="M848" s="57"/>
      <c r="N848" s="57"/>
      <c r="O848" s="57"/>
      <c r="P848" s="57"/>
      <c r="Q848" s="69"/>
      <c r="R848" s="69"/>
      <c r="S848" s="23" t="str">
        <f>iferror(if(AN848=1,VLOOKUP(B848, Blends!H$4:AK$1004,32,0), ""), "")</f>
        <v/>
      </c>
      <c r="T848" s="58"/>
      <c r="U848" s="77"/>
      <c r="V848" s="77"/>
      <c r="W848" s="78"/>
      <c r="X848" s="77"/>
      <c r="Y848" s="77"/>
      <c r="Z848" s="77"/>
      <c r="AA848" s="77"/>
      <c r="AB848" s="77"/>
      <c r="AC848" s="77"/>
      <c r="AD848" s="77"/>
      <c r="AE848" s="77"/>
      <c r="AF848" s="77"/>
      <c r="AG848" s="77"/>
      <c r="AH848" s="77"/>
      <c r="AI848" s="77"/>
      <c r="AJ848" s="79"/>
      <c r="AK848" s="80"/>
      <c r="AL848" s="59"/>
      <c r="AM848" s="35"/>
      <c r="AN848" s="35"/>
      <c r="AO848" s="35"/>
      <c r="AP848" s="35"/>
      <c r="AQ848" s="35"/>
      <c r="AR848" s="35"/>
      <c r="AS848" s="35"/>
      <c r="AT848" s="35"/>
      <c r="AU848" s="35"/>
      <c r="AV848" s="35"/>
      <c r="AW848" s="35"/>
    </row>
    <row r="849">
      <c r="A849" s="17"/>
      <c r="B849" s="35"/>
      <c r="C849" s="74"/>
      <c r="D849" s="74"/>
      <c r="E849" s="74"/>
      <c r="F849" s="74"/>
      <c r="G849" s="74"/>
      <c r="H849" s="74"/>
      <c r="I849" s="74"/>
      <c r="J849" s="57"/>
      <c r="K849" s="57"/>
      <c r="L849" s="57"/>
      <c r="M849" s="57"/>
      <c r="N849" s="57"/>
      <c r="O849" s="57"/>
      <c r="P849" s="57"/>
      <c r="Q849" s="69"/>
      <c r="R849" s="69"/>
      <c r="S849" s="23" t="str">
        <f>iferror(if(AN849=1,VLOOKUP(B849, Blends!H$4:AK$1004,32,0), ""), "")</f>
        <v/>
      </c>
      <c r="T849" s="58"/>
      <c r="U849" s="77"/>
      <c r="V849" s="77"/>
      <c r="W849" s="78"/>
      <c r="X849" s="77"/>
      <c r="Y849" s="77"/>
      <c r="Z849" s="77"/>
      <c r="AA849" s="77"/>
      <c r="AB849" s="77"/>
      <c r="AC849" s="77"/>
      <c r="AD849" s="77"/>
      <c r="AE849" s="77"/>
      <c r="AF849" s="77"/>
      <c r="AG849" s="77"/>
      <c r="AH849" s="77"/>
      <c r="AI849" s="77"/>
      <c r="AJ849" s="79"/>
      <c r="AK849" s="80"/>
      <c r="AL849" s="59"/>
      <c r="AM849" s="35"/>
      <c r="AN849" s="35"/>
      <c r="AO849" s="35"/>
      <c r="AP849" s="35"/>
      <c r="AQ849" s="35"/>
      <c r="AR849" s="35"/>
      <c r="AS849" s="35"/>
      <c r="AT849" s="35"/>
      <c r="AU849" s="35"/>
      <c r="AV849" s="35"/>
      <c r="AW849" s="35"/>
    </row>
    <row r="850">
      <c r="A850" s="17"/>
      <c r="B850" s="35"/>
      <c r="C850" s="74"/>
      <c r="D850" s="74"/>
      <c r="E850" s="74"/>
      <c r="F850" s="74"/>
      <c r="G850" s="74"/>
      <c r="H850" s="74"/>
      <c r="I850" s="74"/>
      <c r="J850" s="57"/>
      <c r="K850" s="57"/>
      <c r="L850" s="57"/>
      <c r="M850" s="57"/>
      <c r="N850" s="57"/>
      <c r="O850" s="57"/>
      <c r="P850" s="57"/>
      <c r="Q850" s="69"/>
      <c r="R850" s="69"/>
      <c r="S850" s="23" t="str">
        <f>iferror(if(AN850=1,VLOOKUP(B850, Blends!H$4:AK$1004,32,0), ""), "")</f>
        <v/>
      </c>
      <c r="T850" s="58"/>
      <c r="U850" s="77"/>
      <c r="V850" s="77"/>
      <c r="W850" s="78"/>
      <c r="X850" s="77"/>
      <c r="Y850" s="77"/>
      <c r="Z850" s="77"/>
      <c r="AA850" s="77"/>
      <c r="AB850" s="77"/>
      <c r="AC850" s="77"/>
      <c r="AD850" s="77"/>
      <c r="AE850" s="77"/>
      <c r="AF850" s="77"/>
      <c r="AG850" s="77"/>
      <c r="AH850" s="77"/>
      <c r="AI850" s="77"/>
      <c r="AJ850" s="79"/>
      <c r="AK850" s="80"/>
      <c r="AL850" s="59"/>
      <c r="AM850" s="35"/>
      <c r="AN850" s="35"/>
      <c r="AO850" s="35"/>
      <c r="AP850" s="35"/>
      <c r="AQ850" s="35"/>
      <c r="AR850" s="35"/>
      <c r="AS850" s="35"/>
      <c r="AT850" s="35"/>
      <c r="AU850" s="35"/>
      <c r="AV850" s="35"/>
      <c r="AW850" s="35"/>
    </row>
    <row r="851">
      <c r="A851" s="17"/>
      <c r="B851" s="35"/>
      <c r="C851" s="74"/>
      <c r="D851" s="74"/>
      <c r="E851" s="74"/>
      <c r="F851" s="74"/>
      <c r="G851" s="74"/>
      <c r="H851" s="74"/>
      <c r="I851" s="74"/>
      <c r="J851" s="57"/>
      <c r="K851" s="57"/>
      <c r="L851" s="57"/>
      <c r="M851" s="57"/>
      <c r="N851" s="57"/>
      <c r="O851" s="57"/>
      <c r="P851" s="57"/>
      <c r="Q851" s="69"/>
      <c r="R851" s="69"/>
      <c r="S851" s="23" t="str">
        <f>iferror(if(AN851=1,VLOOKUP(B851, Blends!H$4:AK$1004,32,0), ""), "")</f>
        <v/>
      </c>
      <c r="T851" s="58"/>
      <c r="U851" s="77"/>
      <c r="V851" s="77"/>
      <c r="W851" s="78"/>
      <c r="X851" s="77"/>
      <c r="Y851" s="77"/>
      <c r="Z851" s="77"/>
      <c r="AA851" s="77"/>
      <c r="AB851" s="77"/>
      <c r="AC851" s="77"/>
      <c r="AD851" s="77"/>
      <c r="AE851" s="77"/>
      <c r="AF851" s="77"/>
      <c r="AG851" s="77"/>
      <c r="AH851" s="77"/>
      <c r="AI851" s="77"/>
      <c r="AJ851" s="79"/>
      <c r="AK851" s="80"/>
      <c r="AL851" s="59"/>
      <c r="AM851" s="35"/>
      <c r="AN851" s="35"/>
      <c r="AO851" s="35"/>
      <c r="AP851" s="35"/>
      <c r="AQ851" s="35"/>
      <c r="AR851" s="35"/>
      <c r="AS851" s="35"/>
      <c r="AT851" s="35"/>
      <c r="AU851" s="35"/>
      <c r="AV851" s="35"/>
      <c r="AW851" s="35"/>
    </row>
    <row r="852">
      <c r="A852" s="17"/>
      <c r="B852" s="35"/>
      <c r="C852" s="74"/>
      <c r="D852" s="74"/>
      <c r="E852" s="74"/>
      <c r="F852" s="74"/>
      <c r="G852" s="74"/>
      <c r="H852" s="74"/>
      <c r="I852" s="74"/>
      <c r="J852" s="57"/>
      <c r="K852" s="57"/>
      <c r="L852" s="57"/>
      <c r="M852" s="57"/>
      <c r="N852" s="57"/>
      <c r="O852" s="57"/>
      <c r="P852" s="57"/>
      <c r="Q852" s="69"/>
      <c r="R852" s="69"/>
      <c r="S852" s="23" t="str">
        <f>iferror(if(AN852=1,VLOOKUP(B852, Blends!H$4:AK$1004,32,0), ""), "")</f>
        <v/>
      </c>
      <c r="T852" s="58"/>
      <c r="U852" s="77"/>
      <c r="V852" s="77"/>
      <c r="W852" s="78"/>
      <c r="X852" s="77"/>
      <c r="Y852" s="77"/>
      <c r="Z852" s="77"/>
      <c r="AA852" s="77"/>
      <c r="AB852" s="77"/>
      <c r="AC852" s="77"/>
      <c r="AD852" s="77"/>
      <c r="AE852" s="77"/>
      <c r="AF852" s="77"/>
      <c r="AG852" s="77"/>
      <c r="AH852" s="77"/>
      <c r="AI852" s="77"/>
      <c r="AJ852" s="79"/>
      <c r="AK852" s="80"/>
      <c r="AL852" s="59"/>
      <c r="AM852" s="35"/>
      <c r="AN852" s="35"/>
      <c r="AO852" s="35"/>
      <c r="AP852" s="35"/>
      <c r="AQ852" s="35"/>
      <c r="AR852" s="35"/>
      <c r="AS852" s="35"/>
      <c r="AT852" s="35"/>
      <c r="AU852" s="35"/>
      <c r="AV852" s="35"/>
      <c r="AW852" s="35"/>
    </row>
    <row r="853">
      <c r="A853" s="17"/>
      <c r="B853" s="35"/>
      <c r="C853" s="74"/>
      <c r="D853" s="74"/>
      <c r="E853" s="74"/>
      <c r="F853" s="74"/>
      <c r="G853" s="74"/>
      <c r="H853" s="74"/>
      <c r="I853" s="74"/>
      <c r="J853" s="57"/>
      <c r="K853" s="57"/>
      <c r="L853" s="57"/>
      <c r="M853" s="57"/>
      <c r="N853" s="57"/>
      <c r="O853" s="57"/>
      <c r="P853" s="57"/>
      <c r="Q853" s="69"/>
      <c r="R853" s="69"/>
      <c r="S853" s="23" t="str">
        <f>iferror(if(AN853=1,VLOOKUP(B853, Blends!H$4:AK$1004,32,0), ""), "")</f>
        <v/>
      </c>
      <c r="T853" s="58"/>
      <c r="U853" s="77"/>
      <c r="V853" s="77"/>
      <c r="W853" s="78"/>
      <c r="X853" s="77"/>
      <c r="Y853" s="77"/>
      <c r="Z853" s="77"/>
      <c r="AA853" s="77"/>
      <c r="AB853" s="77"/>
      <c r="AC853" s="77"/>
      <c r="AD853" s="77"/>
      <c r="AE853" s="77"/>
      <c r="AF853" s="77"/>
      <c r="AG853" s="77"/>
      <c r="AH853" s="77"/>
      <c r="AI853" s="77"/>
      <c r="AJ853" s="79"/>
      <c r="AK853" s="80"/>
      <c r="AL853" s="59"/>
      <c r="AM853" s="35"/>
      <c r="AN853" s="35"/>
      <c r="AO853" s="35"/>
      <c r="AP853" s="35"/>
      <c r="AQ853" s="35"/>
      <c r="AR853" s="35"/>
      <c r="AS853" s="35"/>
      <c r="AT853" s="35"/>
      <c r="AU853" s="35"/>
      <c r="AV853" s="35"/>
      <c r="AW853" s="35"/>
    </row>
    <row r="854">
      <c r="A854" s="17"/>
      <c r="B854" s="35"/>
      <c r="C854" s="74"/>
      <c r="D854" s="74"/>
      <c r="E854" s="74"/>
      <c r="F854" s="74"/>
      <c r="G854" s="74"/>
      <c r="H854" s="74"/>
      <c r="I854" s="74"/>
      <c r="J854" s="57"/>
      <c r="K854" s="57"/>
      <c r="L854" s="57"/>
      <c r="M854" s="57"/>
      <c r="N854" s="57"/>
      <c r="O854" s="57"/>
      <c r="P854" s="57"/>
      <c r="Q854" s="69"/>
      <c r="R854" s="69"/>
      <c r="S854" s="23" t="str">
        <f>iferror(if(AN854=1,VLOOKUP(B854, Blends!H$4:AK$1004,32,0), ""), "")</f>
        <v/>
      </c>
      <c r="T854" s="58"/>
      <c r="U854" s="77"/>
      <c r="V854" s="77"/>
      <c r="W854" s="78"/>
      <c r="X854" s="77"/>
      <c r="Y854" s="77"/>
      <c r="Z854" s="77"/>
      <c r="AA854" s="77"/>
      <c r="AB854" s="77"/>
      <c r="AC854" s="77"/>
      <c r="AD854" s="77"/>
      <c r="AE854" s="77"/>
      <c r="AF854" s="77"/>
      <c r="AG854" s="77"/>
      <c r="AH854" s="77"/>
      <c r="AI854" s="77"/>
      <c r="AJ854" s="79"/>
      <c r="AK854" s="80"/>
      <c r="AL854" s="59"/>
      <c r="AM854" s="35"/>
      <c r="AN854" s="35"/>
      <c r="AO854" s="35"/>
      <c r="AP854" s="35"/>
      <c r="AQ854" s="35"/>
      <c r="AR854" s="35"/>
      <c r="AS854" s="35"/>
      <c r="AT854" s="35"/>
      <c r="AU854" s="35"/>
      <c r="AV854" s="35"/>
      <c r="AW854" s="35"/>
    </row>
    <row r="855">
      <c r="A855" s="17"/>
      <c r="B855" s="35"/>
      <c r="C855" s="74"/>
      <c r="D855" s="74"/>
      <c r="E855" s="74"/>
      <c r="F855" s="74"/>
      <c r="G855" s="74"/>
      <c r="H855" s="74"/>
      <c r="I855" s="74"/>
      <c r="J855" s="57"/>
      <c r="K855" s="57"/>
      <c r="L855" s="57"/>
      <c r="M855" s="57"/>
      <c r="N855" s="57"/>
      <c r="O855" s="57"/>
      <c r="P855" s="57"/>
      <c r="Q855" s="69"/>
      <c r="R855" s="69"/>
      <c r="S855" s="23" t="str">
        <f>iferror(if(AN855=1,VLOOKUP(B855, Blends!H$4:AK$1004,32,0), ""), "")</f>
        <v/>
      </c>
      <c r="T855" s="58"/>
      <c r="U855" s="77"/>
      <c r="V855" s="77"/>
      <c r="W855" s="78"/>
      <c r="X855" s="77"/>
      <c r="Y855" s="77"/>
      <c r="Z855" s="77"/>
      <c r="AA855" s="77"/>
      <c r="AB855" s="77"/>
      <c r="AC855" s="77"/>
      <c r="AD855" s="77"/>
      <c r="AE855" s="77"/>
      <c r="AF855" s="77"/>
      <c r="AG855" s="77"/>
      <c r="AH855" s="77"/>
      <c r="AI855" s="77"/>
      <c r="AJ855" s="79"/>
      <c r="AK855" s="80"/>
      <c r="AL855" s="59"/>
      <c r="AM855" s="35"/>
      <c r="AN855" s="35"/>
      <c r="AO855" s="35"/>
      <c r="AP855" s="35"/>
      <c r="AQ855" s="35"/>
      <c r="AR855" s="35"/>
      <c r="AS855" s="35"/>
      <c r="AT855" s="35"/>
      <c r="AU855" s="35"/>
      <c r="AV855" s="35"/>
      <c r="AW855" s="35"/>
    </row>
    <row r="856">
      <c r="A856" s="17"/>
      <c r="B856" s="35"/>
      <c r="C856" s="74"/>
      <c r="D856" s="74"/>
      <c r="E856" s="74"/>
      <c r="F856" s="74"/>
      <c r="G856" s="74"/>
      <c r="H856" s="74"/>
      <c r="I856" s="74"/>
      <c r="J856" s="57"/>
      <c r="K856" s="57"/>
      <c r="L856" s="57"/>
      <c r="M856" s="57"/>
      <c r="N856" s="57"/>
      <c r="O856" s="57"/>
      <c r="P856" s="57"/>
      <c r="Q856" s="69"/>
      <c r="R856" s="69"/>
      <c r="S856" s="23" t="str">
        <f>iferror(if(AN856=1,VLOOKUP(B856, Blends!H$4:AK$1004,32,0), ""), "")</f>
        <v/>
      </c>
      <c r="T856" s="58"/>
      <c r="U856" s="77"/>
      <c r="V856" s="77"/>
      <c r="W856" s="78"/>
      <c r="X856" s="77"/>
      <c r="Y856" s="77"/>
      <c r="Z856" s="77"/>
      <c r="AA856" s="77"/>
      <c r="AB856" s="77"/>
      <c r="AC856" s="77"/>
      <c r="AD856" s="77"/>
      <c r="AE856" s="77"/>
      <c r="AF856" s="77"/>
      <c r="AG856" s="77"/>
      <c r="AH856" s="77"/>
      <c r="AI856" s="77"/>
      <c r="AJ856" s="79"/>
      <c r="AK856" s="80"/>
      <c r="AL856" s="59"/>
      <c r="AM856" s="35"/>
      <c r="AN856" s="35"/>
      <c r="AO856" s="35"/>
      <c r="AP856" s="35"/>
      <c r="AQ856" s="35"/>
      <c r="AR856" s="35"/>
      <c r="AS856" s="35"/>
      <c r="AT856" s="35"/>
      <c r="AU856" s="35"/>
      <c r="AV856" s="35"/>
      <c r="AW856" s="35"/>
    </row>
    <row r="857">
      <c r="A857" s="17"/>
      <c r="B857" s="35"/>
      <c r="C857" s="74"/>
      <c r="D857" s="74"/>
      <c r="E857" s="74"/>
      <c r="F857" s="74"/>
      <c r="G857" s="74"/>
      <c r="H857" s="74"/>
      <c r="I857" s="74"/>
      <c r="J857" s="57"/>
      <c r="K857" s="57"/>
      <c r="L857" s="57"/>
      <c r="M857" s="57"/>
      <c r="N857" s="57"/>
      <c r="O857" s="57"/>
      <c r="P857" s="57"/>
      <c r="Q857" s="69"/>
      <c r="R857" s="69"/>
      <c r="S857" s="23" t="str">
        <f>iferror(if(AN857=1,VLOOKUP(B857, Blends!H$4:AK$1004,32,0), ""), "")</f>
        <v/>
      </c>
      <c r="T857" s="58"/>
      <c r="U857" s="77"/>
      <c r="V857" s="77"/>
      <c r="W857" s="78"/>
      <c r="X857" s="77"/>
      <c r="Y857" s="77"/>
      <c r="Z857" s="77"/>
      <c r="AA857" s="77"/>
      <c r="AB857" s="77"/>
      <c r="AC857" s="77"/>
      <c r="AD857" s="77"/>
      <c r="AE857" s="77"/>
      <c r="AF857" s="77"/>
      <c r="AG857" s="77"/>
      <c r="AH857" s="77"/>
      <c r="AI857" s="77"/>
      <c r="AJ857" s="79"/>
      <c r="AK857" s="80"/>
      <c r="AL857" s="59"/>
      <c r="AM857" s="35"/>
      <c r="AN857" s="35"/>
      <c r="AO857" s="35"/>
      <c r="AP857" s="35"/>
      <c r="AQ857" s="35"/>
      <c r="AR857" s="35"/>
      <c r="AS857" s="35"/>
      <c r="AT857" s="35"/>
      <c r="AU857" s="35"/>
      <c r="AV857" s="35"/>
      <c r="AW857" s="35"/>
    </row>
    <row r="858">
      <c r="A858" s="17"/>
      <c r="B858" s="35"/>
      <c r="C858" s="74"/>
      <c r="D858" s="74"/>
      <c r="E858" s="74"/>
      <c r="F858" s="74"/>
      <c r="G858" s="74"/>
      <c r="H858" s="74"/>
      <c r="I858" s="74"/>
      <c r="J858" s="57"/>
      <c r="K858" s="57"/>
      <c r="L858" s="57"/>
      <c r="M858" s="57"/>
      <c r="N858" s="57"/>
      <c r="O858" s="57"/>
      <c r="P858" s="57"/>
      <c r="Q858" s="69"/>
      <c r="R858" s="69"/>
      <c r="S858" s="23" t="str">
        <f>iferror(if(AN858=1,VLOOKUP(B858, Blends!H$4:AK$1004,32,0), ""), "")</f>
        <v/>
      </c>
      <c r="T858" s="58"/>
      <c r="U858" s="77"/>
      <c r="V858" s="77"/>
      <c r="W858" s="78"/>
      <c r="X858" s="77"/>
      <c r="Y858" s="77"/>
      <c r="Z858" s="77"/>
      <c r="AA858" s="77"/>
      <c r="AB858" s="77"/>
      <c r="AC858" s="77"/>
      <c r="AD858" s="77"/>
      <c r="AE858" s="77"/>
      <c r="AF858" s="77"/>
      <c r="AG858" s="77"/>
      <c r="AH858" s="77"/>
      <c r="AI858" s="77"/>
      <c r="AJ858" s="79"/>
      <c r="AK858" s="80"/>
      <c r="AL858" s="59"/>
      <c r="AM858" s="35"/>
      <c r="AN858" s="35"/>
      <c r="AO858" s="35"/>
      <c r="AP858" s="35"/>
      <c r="AQ858" s="35"/>
      <c r="AR858" s="35"/>
      <c r="AS858" s="35"/>
      <c r="AT858" s="35"/>
      <c r="AU858" s="35"/>
      <c r="AV858" s="35"/>
      <c r="AW858" s="35"/>
    </row>
    <row r="859">
      <c r="A859" s="17"/>
      <c r="B859" s="35"/>
      <c r="C859" s="74"/>
      <c r="D859" s="74"/>
      <c r="E859" s="74"/>
      <c r="F859" s="74"/>
      <c r="G859" s="74"/>
      <c r="H859" s="74"/>
      <c r="I859" s="74"/>
      <c r="J859" s="57"/>
      <c r="K859" s="57"/>
      <c r="L859" s="57"/>
      <c r="M859" s="57"/>
      <c r="N859" s="57"/>
      <c r="O859" s="57"/>
      <c r="P859" s="57"/>
      <c r="Q859" s="69"/>
      <c r="R859" s="69"/>
      <c r="S859" s="23" t="str">
        <f>iferror(if(AN859=1,VLOOKUP(B859, Blends!H$4:AK$1004,32,0), ""), "")</f>
        <v/>
      </c>
      <c r="T859" s="58"/>
      <c r="U859" s="77"/>
      <c r="V859" s="77"/>
      <c r="W859" s="78"/>
      <c r="X859" s="77"/>
      <c r="Y859" s="77"/>
      <c r="Z859" s="77"/>
      <c r="AA859" s="77"/>
      <c r="AB859" s="77"/>
      <c r="AC859" s="77"/>
      <c r="AD859" s="77"/>
      <c r="AE859" s="77"/>
      <c r="AF859" s="77"/>
      <c r="AG859" s="77"/>
      <c r="AH859" s="77"/>
      <c r="AI859" s="77"/>
      <c r="AJ859" s="79"/>
      <c r="AK859" s="80"/>
      <c r="AL859" s="59"/>
      <c r="AM859" s="35"/>
      <c r="AN859" s="35"/>
      <c r="AO859" s="35"/>
      <c r="AP859" s="35"/>
      <c r="AQ859" s="35"/>
      <c r="AR859" s="35"/>
      <c r="AS859" s="35"/>
      <c r="AT859" s="35"/>
      <c r="AU859" s="35"/>
      <c r="AV859" s="35"/>
      <c r="AW859" s="35"/>
    </row>
    <row r="860">
      <c r="A860" s="17"/>
      <c r="B860" s="35"/>
      <c r="C860" s="74"/>
      <c r="D860" s="74"/>
      <c r="E860" s="74"/>
      <c r="F860" s="74"/>
      <c r="G860" s="74"/>
      <c r="H860" s="74"/>
      <c r="I860" s="74"/>
      <c r="J860" s="57"/>
      <c r="K860" s="57"/>
      <c r="L860" s="57"/>
      <c r="M860" s="57"/>
      <c r="N860" s="57"/>
      <c r="O860" s="57"/>
      <c r="P860" s="57"/>
      <c r="Q860" s="69"/>
      <c r="R860" s="69"/>
      <c r="S860" s="23" t="str">
        <f>iferror(if(AN860=1,VLOOKUP(B860, Blends!H$4:AK$1004,32,0), ""), "")</f>
        <v/>
      </c>
      <c r="T860" s="58"/>
      <c r="U860" s="77"/>
      <c r="V860" s="77"/>
      <c r="W860" s="78"/>
      <c r="X860" s="77"/>
      <c r="Y860" s="77"/>
      <c r="Z860" s="77"/>
      <c r="AA860" s="77"/>
      <c r="AB860" s="77"/>
      <c r="AC860" s="77"/>
      <c r="AD860" s="77"/>
      <c r="AE860" s="77"/>
      <c r="AF860" s="77"/>
      <c r="AG860" s="77"/>
      <c r="AH860" s="77"/>
      <c r="AI860" s="77"/>
      <c r="AJ860" s="79"/>
      <c r="AK860" s="80"/>
      <c r="AL860" s="59"/>
      <c r="AM860" s="35"/>
      <c r="AN860" s="35"/>
      <c r="AO860" s="35"/>
      <c r="AP860" s="35"/>
      <c r="AQ860" s="35"/>
      <c r="AR860" s="35"/>
      <c r="AS860" s="35"/>
      <c r="AT860" s="35"/>
      <c r="AU860" s="35"/>
      <c r="AV860" s="35"/>
      <c r="AW860" s="35"/>
    </row>
    <row r="861">
      <c r="A861" s="17"/>
      <c r="B861" s="35"/>
      <c r="C861" s="74"/>
      <c r="D861" s="74"/>
      <c r="E861" s="74"/>
      <c r="F861" s="74"/>
      <c r="G861" s="74"/>
      <c r="H861" s="74"/>
      <c r="I861" s="74"/>
      <c r="J861" s="57"/>
      <c r="K861" s="57"/>
      <c r="L861" s="57"/>
      <c r="M861" s="57"/>
      <c r="N861" s="57"/>
      <c r="O861" s="57"/>
      <c r="P861" s="57"/>
      <c r="Q861" s="69"/>
      <c r="R861" s="69"/>
      <c r="S861" s="23" t="str">
        <f>iferror(if(AN861=1,VLOOKUP(B861, Blends!H$4:AK$1004,32,0), ""), "")</f>
        <v/>
      </c>
      <c r="T861" s="58"/>
      <c r="U861" s="77"/>
      <c r="V861" s="77"/>
      <c r="W861" s="78"/>
      <c r="X861" s="77"/>
      <c r="Y861" s="77"/>
      <c r="Z861" s="77"/>
      <c r="AA861" s="77"/>
      <c r="AB861" s="77"/>
      <c r="AC861" s="77"/>
      <c r="AD861" s="77"/>
      <c r="AE861" s="77"/>
      <c r="AF861" s="77"/>
      <c r="AG861" s="77"/>
      <c r="AH861" s="77"/>
      <c r="AI861" s="77"/>
      <c r="AJ861" s="79"/>
      <c r="AK861" s="80"/>
      <c r="AL861" s="59"/>
      <c r="AM861" s="35"/>
      <c r="AN861" s="35"/>
      <c r="AO861" s="35"/>
      <c r="AP861" s="35"/>
      <c r="AQ861" s="35"/>
      <c r="AR861" s="35"/>
      <c r="AS861" s="35"/>
      <c r="AT861" s="35"/>
      <c r="AU861" s="35"/>
      <c r="AV861" s="35"/>
      <c r="AW861" s="35"/>
    </row>
    <row r="862">
      <c r="A862" s="17"/>
      <c r="B862" s="35"/>
      <c r="C862" s="74"/>
      <c r="D862" s="74"/>
      <c r="E862" s="74"/>
      <c r="F862" s="74"/>
      <c r="G862" s="74"/>
      <c r="H862" s="74"/>
      <c r="I862" s="74"/>
      <c r="J862" s="57"/>
      <c r="K862" s="57"/>
      <c r="L862" s="57"/>
      <c r="M862" s="57"/>
      <c r="N862" s="57"/>
      <c r="O862" s="57"/>
      <c r="P862" s="57"/>
      <c r="Q862" s="69"/>
      <c r="R862" s="69"/>
      <c r="S862" s="23" t="str">
        <f>iferror(if(AN862=1,VLOOKUP(B862, Blends!H$4:AK$1004,32,0), ""), "")</f>
        <v/>
      </c>
      <c r="T862" s="58"/>
      <c r="U862" s="77"/>
      <c r="V862" s="77"/>
      <c r="W862" s="78"/>
      <c r="X862" s="77"/>
      <c r="Y862" s="77"/>
      <c r="Z862" s="77"/>
      <c r="AA862" s="77"/>
      <c r="AB862" s="77"/>
      <c r="AC862" s="77"/>
      <c r="AD862" s="77"/>
      <c r="AE862" s="77"/>
      <c r="AF862" s="77"/>
      <c r="AG862" s="77"/>
      <c r="AH862" s="77"/>
      <c r="AI862" s="77"/>
      <c r="AJ862" s="79"/>
      <c r="AK862" s="80"/>
      <c r="AL862" s="59"/>
      <c r="AM862" s="35"/>
      <c r="AN862" s="35"/>
      <c r="AO862" s="35"/>
      <c r="AP862" s="35"/>
      <c r="AQ862" s="35"/>
      <c r="AR862" s="35"/>
      <c r="AS862" s="35"/>
      <c r="AT862" s="35"/>
      <c r="AU862" s="35"/>
      <c r="AV862" s="35"/>
      <c r="AW862" s="35"/>
    </row>
    <row r="863">
      <c r="A863" s="17"/>
      <c r="B863" s="35"/>
      <c r="C863" s="74"/>
      <c r="D863" s="74"/>
      <c r="E863" s="74"/>
      <c r="F863" s="74"/>
      <c r="G863" s="74"/>
      <c r="H863" s="74"/>
      <c r="I863" s="74"/>
      <c r="J863" s="57"/>
      <c r="K863" s="57"/>
      <c r="L863" s="57"/>
      <c r="M863" s="57"/>
      <c r="N863" s="57"/>
      <c r="O863" s="57"/>
      <c r="P863" s="57"/>
      <c r="Q863" s="69"/>
      <c r="R863" s="69"/>
      <c r="S863" s="23" t="str">
        <f>iferror(if(AN863=1,VLOOKUP(B863, Blends!H$4:AK$1004,32,0), ""), "")</f>
        <v/>
      </c>
      <c r="T863" s="58"/>
      <c r="U863" s="77"/>
      <c r="V863" s="77"/>
      <c r="W863" s="78"/>
      <c r="X863" s="77"/>
      <c r="Y863" s="77"/>
      <c r="Z863" s="77"/>
      <c r="AA863" s="77"/>
      <c r="AB863" s="77"/>
      <c r="AC863" s="77"/>
      <c r="AD863" s="77"/>
      <c r="AE863" s="77"/>
      <c r="AF863" s="77"/>
      <c r="AG863" s="77"/>
      <c r="AH863" s="77"/>
      <c r="AI863" s="77"/>
      <c r="AJ863" s="79"/>
      <c r="AK863" s="80"/>
      <c r="AL863" s="59"/>
      <c r="AM863" s="35"/>
      <c r="AN863" s="35"/>
      <c r="AO863" s="35"/>
      <c r="AP863" s="35"/>
      <c r="AQ863" s="35"/>
      <c r="AR863" s="35"/>
      <c r="AS863" s="35"/>
      <c r="AT863" s="35"/>
      <c r="AU863" s="35"/>
      <c r="AV863" s="35"/>
      <c r="AW863" s="35"/>
    </row>
    <row r="864">
      <c r="A864" s="17"/>
      <c r="B864" s="35"/>
      <c r="C864" s="74"/>
      <c r="D864" s="74"/>
      <c r="E864" s="74"/>
      <c r="F864" s="74"/>
      <c r="G864" s="74"/>
      <c r="H864" s="74"/>
      <c r="I864" s="74"/>
      <c r="J864" s="57"/>
      <c r="K864" s="57"/>
      <c r="L864" s="57"/>
      <c r="M864" s="57"/>
      <c r="N864" s="57"/>
      <c r="O864" s="57"/>
      <c r="P864" s="57"/>
      <c r="Q864" s="69"/>
      <c r="R864" s="69"/>
      <c r="S864" s="23" t="str">
        <f>iferror(if(AN864=1,VLOOKUP(B864, Blends!H$4:AK$1004,32,0), ""), "")</f>
        <v/>
      </c>
      <c r="T864" s="58"/>
      <c r="U864" s="77"/>
      <c r="V864" s="77"/>
      <c r="W864" s="78"/>
      <c r="X864" s="77"/>
      <c r="Y864" s="77"/>
      <c r="Z864" s="77"/>
      <c r="AA864" s="77"/>
      <c r="AB864" s="77"/>
      <c r="AC864" s="77"/>
      <c r="AD864" s="77"/>
      <c r="AE864" s="77"/>
      <c r="AF864" s="77"/>
      <c r="AG864" s="77"/>
      <c r="AH864" s="77"/>
      <c r="AI864" s="77"/>
      <c r="AJ864" s="79"/>
      <c r="AK864" s="80"/>
      <c r="AL864" s="59"/>
      <c r="AM864" s="35"/>
      <c r="AN864" s="35"/>
      <c r="AO864" s="35"/>
      <c r="AP864" s="35"/>
      <c r="AQ864" s="35"/>
      <c r="AR864" s="35"/>
      <c r="AS864" s="35"/>
      <c r="AT864" s="35"/>
      <c r="AU864" s="35"/>
      <c r="AV864" s="35"/>
      <c r="AW864" s="35"/>
    </row>
    <row r="865">
      <c r="A865" s="17"/>
      <c r="B865" s="35"/>
      <c r="C865" s="74"/>
      <c r="D865" s="74"/>
      <c r="E865" s="74"/>
      <c r="F865" s="74"/>
      <c r="G865" s="74"/>
      <c r="H865" s="74"/>
      <c r="I865" s="74"/>
      <c r="J865" s="57"/>
      <c r="K865" s="57"/>
      <c r="L865" s="57"/>
      <c r="M865" s="57"/>
      <c r="N865" s="57"/>
      <c r="O865" s="57"/>
      <c r="P865" s="57"/>
      <c r="Q865" s="69"/>
      <c r="R865" s="69"/>
      <c r="S865" s="23" t="str">
        <f>iferror(if(AN865=1,VLOOKUP(B865, Blends!H$4:AK$1004,32,0), ""), "")</f>
        <v/>
      </c>
      <c r="T865" s="58"/>
      <c r="U865" s="77"/>
      <c r="V865" s="77"/>
      <c r="W865" s="78"/>
      <c r="X865" s="77"/>
      <c r="Y865" s="77"/>
      <c r="Z865" s="77"/>
      <c r="AA865" s="77"/>
      <c r="AB865" s="77"/>
      <c r="AC865" s="77"/>
      <c r="AD865" s="77"/>
      <c r="AE865" s="77"/>
      <c r="AF865" s="77"/>
      <c r="AG865" s="77"/>
      <c r="AH865" s="77"/>
      <c r="AI865" s="77"/>
      <c r="AJ865" s="79"/>
      <c r="AK865" s="80"/>
      <c r="AL865" s="59"/>
      <c r="AM865" s="35"/>
      <c r="AN865" s="35"/>
      <c r="AO865" s="35"/>
      <c r="AP865" s="35"/>
      <c r="AQ865" s="35"/>
      <c r="AR865" s="35"/>
      <c r="AS865" s="35"/>
      <c r="AT865" s="35"/>
      <c r="AU865" s="35"/>
      <c r="AV865" s="35"/>
      <c r="AW865" s="35"/>
    </row>
    <row r="866">
      <c r="A866" s="17"/>
      <c r="B866" s="35"/>
      <c r="C866" s="74"/>
      <c r="D866" s="74"/>
      <c r="E866" s="74"/>
      <c r="F866" s="74"/>
      <c r="G866" s="74"/>
      <c r="H866" s="74"/>
      <c r="I866" s="74"/>
      <c r="J866" s="57"/>
      <c r="K866" s="57"/>
      <c r="L866" s="57"/>
      <c r="M866" s="57"/>
      <c r="N866" s="57"/>
      <c r="O866" s="57"/>
      <c r="P866" s="57"/>
      <c r="Q866" s="69"/>
      <c r="R866" s="69"/>
      <c r="S866" s="23" t="str">
        <f>iferror(if(AN866=1,VLOOKUP(B866, Blends!H$4:AK$1004,32,0), ""), "")</f>
        <v/>
      </c>
      <c r="T866" s="58"/>
      <c r="U866" s="77"/>
      <c r="V866" s="77"/>
      <c r="W866" s="78"/>
      <c r="X866" s="77"/>
      <c r="Y866" s="77"/>
      <c r="Z866" s="77"/>
      <c r="AA866" s="77"/>
      <c r="AB866" s="77"/>
      <c r="AC866" s="77"/>
      <c r="AD866" s="77"/>
      <c r="AE866" s="77"/>
      <c r="AF866" s="77"/>
      <c r="AG866" s="77"/>
      <c r="AH866" s="77"/>
      <c r="AI866" s="77"/>
      <c r="AJ866" s="79"/>
      <c r="AK866" s="80"/>
      <c r="AL866" s="59"/>
      <c r="AM866" s="35"/>
      <c r="AN866" s="35"/>
      <c r="AO866" s="35"/>
      <c r="AP866" s="35"/>
      <c r="AQ866" s="35"/>
      <c r="AR866" s="35"/>
      <c r="AS866" s="35"/>
      <c r="AT866" s="35"/>
      <c r="AU866" s="35"/>
      <c r="AV866" s="35"/>
      <c r="AW866" s="35"/>
    </row>
    <row r="867">
      <c r="A867" s="17"/>
      <c r="B867" s="35"/>
      <c r="C867" s="74"/>
      <c r="D867" s="74"/>
      <c r="E867" s="74"/>
      <c r="F867" s="74"/>
      <c r="G867" s="74"/>
      <c r="H867" s="74"/>
      <c r="I867" s="74"/>
      <c r="J867" s="57"/>
      <c r="K867" s="57"/>
      <c r="L867" s="57"/>
      <c r="M867" s="57"/>
      <c r="N867" s="57"/>
      <c r="O867" s="57"/>
      <c r="P867" s="57"/>
      <c r="Q867" s="69"/>
      <c r="R867" s="69"/>
      <c r="S867" s="23" t="str">
        <f>iferror(if(AN867=1,VLOOKUP(B867, Blends!H$4:AK$1004,32,0), ""), "")</f>
        <v/>
      </c>
      <c r="T867" s="58"/>
      <c r="U867" s="77"/>
      <c r="V867" s="77"/>
      <c r="W867" s="78"/>
      <c r="X867" s="77"/>
      <c r="Y867" s="77"/>
      <c r="Z867" s="77"/>
      <c r="AA867" s="77"/>
      <c r="AB867" s="77"/>
      <c r="AC867" s="77"/>
      <c r="AD867" s="77"/>
      <c r="AE867" s="77"/>
      <c r="AF867" s="77"/>
      <c r="AG867" s="77"/>
      <c r="AH867" s="77"/>
      <c r="AI867" s="77"/>
      <c r="AJ867" s="79"/>
      <c r="AK867" s="80"/>
      <c r="AL867" s="59"/>
      <c r="AM867" s="35"/>
      <c r="AN867" s="35"/>
      <c r="AO867" s="35"/>
      <c r="AP867" s="35"/>
      <c r="AQ867" s="35"/>
      <c r="AR867" s="35"/>
      <c r="AS867" s="35"/>
      <c r="AT867" s="35"/>
      <c r="AU867" s="35"/>
      <c r="AV867" s="35"/>
      <c r="AW867" s="35"/>
    </row>
    <row r="868">
      <c r="A868" s="17"/>
      <c r="B868" s="35"/>
      <c r="C868" s="74"/>
      <c r="D868" s="74"/>
      <c r="E868" s="74"/>
      <c r="F868" s="74"/>
      <c r="G868" s="74"/>
      <c r="H868" s="74"/>
      <c r="I868" s="74"/>
      <c r="J868" s="57"/>
      <c r="K868" s="57"/>
      <c r="L868" s="57"/>
      <c r="M868" s="57"/>
      <c r="N868" s="57"/>
      <c r="O868" s="57"/>
      <c r="P868" s="57"/>
      <c r="Q868" s="69"/>
      <c r="R868" s="69"/>
      <c r="S868" s="23" t="str">
        <f>iferror(if(AN868=1,VLOOKUP(B868, Blends!H$4:AK$1004,32,0), ""), "")</f>
        <v/>
      </c>
      <c r="T868" s="58"/>
      <c r="U868" s="77"/>
      <c r="V868" s="77"/>
      <c r="W868" s="78"/>
      <c r="X868" s="77"/>
      <c r="Y868" s="77"/>
      <c r="Z868" s="77"/>
      <c r="AA868" s="77"/>
      <c r="AB868" s="77"/>
      <c r="AC868" s="77"/>
      <c r="AD868" s="77"/>
      <c r="AE868" s="77"/>
      <c r="AF868" s="77"/>
      <c r="AG868" s="77"/>
      <c r="AH868" s="77"/>
      <c r="AI868" s="77"/>
      <c r="AJ868" s="79"/>
      <c r="AK868" s="80"/>
      <c r="AL868" s="59"/>
      <c r="AM868" s="35"/>
      <c r="AN868" s="35"/>
      <c r="AO868" s="35"/>
      <c r="AP868" s="35"/>
      <c r="AQ868" s="35"/>
      <c r="AR868" s="35"/>
      <c r="AS868" s="35"/>
      <c r="AT868" s="35"/>
      <c r="AU868" s="35"/>
      <c r="AV868" s="35"/>
      <c r="AW868" s="35"/>
    </row>
    <row r="869">
      <c r="A869" s="17"/>
      <c r="B869" s="35"/>
      <c r="C869" s="74"/>
      <c r="D869" s="74"/>
      <c r="E869" s="74"/>
      <c r="F869" s="74"/>
      <c r="G869" s="74"/>
      <c r="H869" s="74"/>
      <c r="I869" s="74"/>
      <c r="J869" s="57"/>
      <c r="K869" s="57"/>
      <c r="L869" s="57"/>
      <c r="M869" s="57"/>
      <c r="N869" s="57"/>
      <c r="O869" s="57"/>
      <c r="P869" s="57"/>
      <c r="Q869" s="69"/>
      <c r="R869" s="69"/>
      <c r="S869" s="23" t="str">
        <f>iferror(if(AN869=1,VLOOKUP(B869, Blends!H$4:AK$1004,32,0), ""), "")</f>
        <v/>
      </c>
      <c r="T869" s="58"/>
      <c r="U869" s="77"/>
      <c r="V869" s="77"/>
      <c r="W869" s="78"/>
      <c r="X869" s="77"/>
      <c r="Y869" s="77"/>
      <c r="Z869" s="77"/>
      <c r="AA869" s="77"/>
      <c r="AB869" s="77"/>
      <c r="AC869" s="77"/>
      <c r="AD869" s="77"/>
      <c r="AE869" s="77"/>
      <c r="AF869" s="77"/>
      <c r="AG869" s="77"/>
      <c r="AH869" s="77"/>
      <c r="AI869" s="77"/>
      <c r="AJ869" s="79"/>
      <c r="AK869" s="80"/>
      <c r="AL869" s="59"/>
      <c r="AM869" s="35"/>
      <c r="AN869" s="35"/>
      <c r="AO869" s="35"/>
      <c r="AP869" s="35"/>
      <c r="AQ869" s="35"/>
      <c r="AR869" s="35"/>
      <c r="AS869" s="35"/>
      <c r="AT869" s="35"/>
      <c r="AU869" s="35"/>
      <c r="AV869" s="35"/>
      <c r="AW869" s="35"/>
    </row>
    <row r="870">
      <c r="A870" s="17"/>
      <c r="B870" s="35"/>
      <c r="C870" s="74"/>
      <c r="D870" s="74"/>
      <c r="E870" s="74"/>
      <c r="F870" s="74"/>
      <c r="G870" s="74"/>
      <c r="H870" s="74"/>
      <c r="I870" s="74"/>
      <c r="J870" s="57"/>
      <c r="K870" s="57"/>
      <c r="L870" s="57"/>
      <c r="M870" s="57"/>
      <c r="N870" s="57"/>
      <c r="O870" s="57"/>
      <c r="P870" s="57"/>
      <c r="Q870" s="69"/>
      <c r="R870" s="69"/>
      <c r="S870" s="23" t="str">
        <f>iferror(if(AN870=1,VLOOKUP(B870, Blends!H$4:AK$1004,32,0), ""), "")</f>
        <v/>
      </c>
      <c r="T870" s="58"/>
      <c r="U870" s="77"/>
      <c r="V870" s="77"/>
      <c r="W870" s="78"/>
      <c r="X870" s="77"/>
      <c r="Y870" s="77"/>
      <c r="Z870" s="77"/>
      <c r="AA870" s="77"/>
      <c r="AB870" s="77"/>
      <c r="AC870" s="77"/>
      <c r="AD870" s="77"/>
      <c r="AE870" s="77"/>
      <c r="AF870" s="77"/>
      <c r="AG870" s="77"/>
      <c r="AH870" s="77"/>
      <c r="AI870" s="77"/>
      <c r="AJ870" s="79"/>
      <c r="AK870" s="80"/>
      <c r="AL870" s="59"/>
      <c r="AM870" s="35"/>
      <c r="AN870" s="35"/>
      <c r="AO870" s="35"/>
      <c r="AP870" s="35"/>
      <c r="AQ870" s="35"/>
      <c r="AR870" s="35"/>
      <c r="AS870" s="35"/>
      <c r="AT870" s="35"/>
      <c r="AU870" s="35"/>
      <c r="AV870" s="35"/>
      <c r="AW870" s="35"/>
    </row>
    <row r="871">
      <c r="A871" s="17"/>
      <c r="B871" s="35"/>
      <c r="C871" s="74"/>
      <c r="D871" s="74"/>
      <c r="E871" s="74"/>
      <c r="F871" s="74"/>
      <c r="G871" s="74"/>
      <c r="H871" s="74"/>
      <c r="I871" s="74"/>
      <c r="J871" s="57"/>
      <c r="K871" s="57"/>
      <c r="L871" s="57"/>
      <c r="M871" s="57"/>
      <c r="N871" s="57"/>
      <c r="O871" s="57"/>
      <c r="P871" s="57"/>
      <c r="Q871" s="69"/>
      <c r="R871" s="69"/>
      <c r="S871" s="23" t="str">
        <f>iferror(if(AN871=1,VLOOKUP(B871, Blends!H$4:AK$1004,32,0), ""), "")</f>
        <v/>
      </c>
      <c r="T871" s="58"/>
      <c r="U871" s="77"/>
      <c r="V871" s="77"/>
      <c r="W871" s="78"/>
      <c r="X871" s="77"/>
      <c r="Y871" s="77"/>
      <c r="Z871" s="77"/>
      <c r="AA871" s="77"/>
      <c r="AB871" s="77"/>
      <c r="AC871" s="77"/>
      <c r="AD871" s="77"/>
      <c r="AE871" s="77"/>
      <c r="AF871" s="77"/>
      <c r="AG871" s="77"/>
      <c r="AH871" s="77"/>
      <c r="AI871" s="77"/>
      <c r="AJ871" s="79"/>
      <c r="AK871" s="80"/>
      <c r="AL871" s="59"/>
      <c r="AM871" s="35"/>
      <c r="AN871" s="35"/>
      <c r="AO871" s="35"/>
      <c r="AP871" s="35"/>
      <c r="AQ871" s="35"/>
      <c r="AR871" s="35"/>
      <c r="AS871" s="35"/>
      <c r="AT871" s="35"/>
      <c r="AU871" s="35"/>
      <c r="AV871" s="35"/>
      <c r="AW871" s="35"/>
    </row>
    <row r="872">
      <c r="A872" s="17"/>
      <c r="B872" s="35"/>
      <c r="C872" s="74"/>
      <c r="D872" s="74"/>
      <c r="E872" s="74"/>
      <c r="F872" s="74"/>
      <c r="G872" s="74"/>
      <c r="H872" s="74"/>
      <c r="I872" s="74"/>
      <c r="J872" s="57"/>
      <c r="K872" s="57"/>
      <c r="L872" s="57"/>
      <c r="M872" s="57"/>
      <c r="N872" s="57"/>
      <c r="O872" s="57"/>
      <c r="P872" s="57"/>
      <c r="Q872" s="69"/>
      <c r="R872" s="69"/>
      <c r="S872" s="23" t="str">
        <f>iferror(if(AN872=1,VLOOKUP(B872, Blends!H$4:AK$1004,32,0), ""), "")</f>
        <v/>
      </c>
      <c r="T872" s="58"/>
      <c r="U872" s="77"/>
      <c r="V872" s="77"/>
      <c r="W872" s="78"/>
      <c r="X872" s="77"/>
      <c r="Y872" s="77"/>
      <c r="Z872" s="77"/>
      <c r="AA872" s="77"/>
      <c r="AB872" s="77"/>
      <c r="AC872" s="77"/>
      <c r="AD872" s="77"/>
      <c r="AE872" s="77"/>
      <c r="AF872" s="77"/>
      <c r="AG872" s="77"/>
      <c r="AH872" s="77"/>
      <c r="AI872" s="77"/>
      <c r="AJ872" s="79"/>
      <c r="AK872" s="80"/>
      <c r="AL872" s="59"/>
      <c r="AM872" s="35"/>
      <c r="AN872" s="35"/>
      <c r="AO872" s="35"/>
      <c r="AP872" s="35"/>
      <c r="AQ872" s="35"/>
      <c r="AR872" s="35"/>
      <c r="AS872" s="35"/>
      <c r="AT872" s="35"/>
      <c r="AU872" s="35"/>
      <c r="AV872" s="35"/>
      <c r="AW872" s="35"/>
    </row>
    <row r="873">
      <c r="A873" s="17"/>
      <c r="B873" s="35"/>
      <c r="C873" s="74"/>
      <c r="D873" s="74"/>
      <c r="E873" s="74"/>
      <c r="F873" s="74"/>
      <c r="G873" s="74"/>
      <c r="H873" s="74"/>
      <c r="I873" s="74"/>
      <c r="J873" s="57"/>
      <c r="K873" s="57"/>
      <c r="L873" s="57"/>
      <c r="M873" s="57"/>
      <c r="N873" s="57"/>
      <c r="O873" s="57"/>
      <c r="P873" s="57"/>
      <c r="Q873" s="69"/>
      <c r="R873" s="69"/>
      <c r="S873" s="23" t="str">
        <f>iferror(if(AN873=1,VLOOKUP(B873, Blends!H$4:AK$1004,32,0), ""), "")</f>
        <v/>
      </c>
      <c r="T873" s="58"/>
      <c r="U873" s="77"/>
      <c r="V873" s="77"/>
      <c r="W873" s="78"/>
      <c r="X873" s="77"/>
      <c r="Y873" s="77"/>
      <c r="Z873" s="77"/>
      <c r="AA873" s="77"/>
      <c r="AB873" s="77"/>
      <c r="AC873" s="77"/>
      <c r="AD873" s="77"/>
      <c r="AE873" s="77"/>
      <c r="AF873" s="77"/>
      <c r="AG873" s="77"/>
      <c r="AH873" s="77"/>
      <c r="AI873" s="77"/>
      <c r="AJ873" s="79"/>
      <c r="AK873" s="80"/>
      <c r="AL873" s="59"/>
      <c r="AM873" s="35"/>
      <c r="AN873" s="35"/>
      <c r="AO873" s="35"/>
      <c r="AP873" s="35"/>
      <c r="AQ873" s="35"/>
      <c r="AR873" s="35"/>
      <c r="AS873" s="35"/>
      <c r="AT873" s="35"/>
      <c r="AU873" s="35"/>
      <c r="AV873" s="35"/>
      <c r="AW873" s="35"/>
    </row>
    <row r="874">
      <c r="A874" s="17"/>
      <c r="B874" s="35"/>
      <c r="C874" s="74"/>
      <c r="D874" s="74"/>
      <c r="E874" s="74"/>
      <c r="F874" s="74"/>
      <c r="G874" s="74"/>
      <c r="H874" s="74"/>
      <c r="I874" s="74"/>
      <c r="J874" s="57"/>
      <c r="K874" s="57"/>
      <c r="L874" s="57"/>
      <c r="M874" s="57"/>
      <c r="N874" s="57"/>
      <c r="O874" s="57"/>
      <c r="P874" s="57"/>
      <c r="Q874" s="69"/>
      <c r="R874" s="69"/>
      <c r="S874" s="23" t="str">
        <f>iferror(if(AN874=1,VLOOKUP(B874, Blends!H$4:AK$1004,32,0), ""), "")</f>
        <v/>
      </c>
      <c r="T874" s="58"/>
      <c r="U874" s="77"/>
      <c r="V874" s="77"/>
      <c r="W874" s="78"/>
      <c r="X874" s="77"/>
      <c r="Y874" s="77"/>
      <c r="Z874" s="77"/>
      <c r="AA874" s="77"/>
      <c r="AB874" s="77"/>
      <c r="AC874" s="77"/>
      <c r="AD874" s="77"/>
      <c r="AE874" s="77"/>
      <c r="AF874" s="77"/>
      <c r="AG874" s="77"/>
      <c r="AH874" s="77"/>
      <c r="AI874" s="77"/>
      <c r="AJ874" s="79"/>
      <c r="AK874" s="80"/>
      <c r="AL874" s="59"/>
      <c r="AM874" s="35"/>
      <c r="AN874" s="35"/>
      <c r="AO874" s="35"/>
      <c r="AP874" s="35"/>
      <c r="AQ874" s="35"/>
      <c r="AR874" s="35"/>
      <c r="AS874" s="35"/>
      <c r="AT874" s="35"/>
      <c r="AU874" s="35"/>
      <c r="AV874" s="35"/>
      <c r="AW874" s="35"/>
    </row>
    <row r="875">
      <c r="A875" s="17"/>
      <c r="B875" s="35"/>
      <c r="C875" s="74"/>
      <c r="D875" s="74"/>
      <c r="E875" s="74"/>
      <c r="F875" s="74"/>
      <c r="G875" s="74"/>
      <c r="H875" s="74"/>
      <c r="I875" s="74"/>
      <c r="J875" s="57"/>
      <c r="K875" s="57"/>
      <c r="L875" s="57"/>
      <c r="M875" s="57"/>
      <c r="N875" s="57"/>
      <c r="O875" s="57"/>
      <c r="P875" s="57"/>
      <c r="Q875" s="69"/>
      <c r="R875" s="69"/>
      <c r="S875" s="23" t="str">
        <f>iferror(if(AN875=1,VLOOKUP(B875, Blends!H$4:AK$1004,32,0), ""), "")</f>
        <v/>
      </c>
      <c r="T875" s="58"/>
      <c r="U875" s="77"/>
      <c r="V875" s="77"/>
      <c r="W875" s="78"/>
      <c r="X875" s="77"/>
      <c r="Y875" s="77"/>
      <c r="Z875" s="77"/>
      <c r="AA875" s="77"/>
      <c r="AB875" s="77"/>
      <c r="AC875" s="77"/>
      <c r="AD875" s="77"/>
      <c r="AE875" s="77"/>
      <c r="AF875" s="77"/>
      <c r="AG875" s="77"/>
      <c r="AH875" s="77"/>
      <c r="AI875" s="77"/>
      <c r="AJ875" s="79"/>
      <c r="AK875" s="80"/>
      <c r="AL875" s="59"/>
      <c r="AM875" s="35"/>
      <c r="AN875" s="35"/>
      <c r="AO875" s="35"/>
      <c r="AP875" s="35"/>
      <c r="AQ875" s="35"/>
      <c r="AR875" s="35"/>
      <c r="AS875" s="35"/>
      <c r="AT875" s="35"/>
      <c r="AU875" s="35"/>
      <c r="AV875" s="35"/>
      <c r="AW875" s="35"/>
    </row>
    <row r="876">
      <c r="A876" s="17"/>
      <c r="B876" s="35"/>
      <c r="C876" s="74"/>
      <c r="D876" s="74"/>
      <c r="E876" s="74"/>
      <c r="F876" s="74"/>
      <c r="G876" s="74"/>
      <c r="H876" s="74"/>
      <c r="I876" s="74"/>
      <c r="J876" s="57"/>
      <c r="K876" s="57"/>
      <c r="L876" s="57"/>
      <c r="M876" s="57"/>
      <c r="N876" s="57"/>
      <c r="O876" s="57"/>
      <c r="P876" s="57"/>
      <c r="Q876" s="69"/>
      <c r="R876" s="69"/>
      <c r="S876" s="23" t="str">
        <f>iferror(if(AN876=1,VLOOKUP(B876, Blends!H$4:AK$1004,32,0), ""), "")</f>
        <v/>
      </c>
      <c r="T876" s="58"/>
      <c r="U876" s="77"/>
      <c r="V876" s="77"/>
      <c r="W876" s="78"/>
      <c r="X876" s="77"/>
      <c r="Y876" s="77"/>
      <c r="Z876" s="77"/>
      <c r="AA876" s="77"/>
      <c r="AB876" s="77"/>
      <c r="AC876" s="77"/>
      <c r="AD876" s="77"/>
      <c r="AE876" s="77"/>
      <c r="AF876" s="77"/>
      <c r="AG876" s="77"/>
      <c r="AH876" s="77"/>
      <c r="AI876" s="77"/>
      <c r="AJ876" s="79"/>
      <c r="AK876" s="80"/>
      <c r="AL876" s="59"/>
      <c r="AM876" s="35"/>
      <c r="AN876" s="35"/>
      <c r="AO876" s="35"/>
      <c r="AP876" s="35"/>
      <c r="AQ876" s="35"/>
      <c r="AR876" s="35"/>
      <c r="AS876" s="35"/>
      <c r="AT876" s="35"/>
      <c r="AU876" s="35"/>
      <c r="AV876" s="35"/>
      <c r="AW876" s="35"/>
    </row>
    <row r="877">
      <c r="A877" s="17"/>
      <c r="B877" s="35"/>
      <c r="C877" s="74"/>
      <c r="D877" s="74"/>
      <c r="E877" s="74"/>
      <c r="F877" s="74"/>
      <c r="G877" s="74"/>
      <c r="H877" s="74"/>
      <c r="I877" s="74"/>
      <c r="J877" s="57"/>
      <c r="K877" s="57"/>
      <c r="L877" s="57"/>
      <c r="M877" s="57"/>
      <c r="N877" s="57"/>
      <c r="O877" s="57"/>
      <c r="P877" s="57"/>
      <c r="Q877" s="69"/>
      <c r="R877" s="69"/>
      <c r="S877" s="23" t="str">
        <f>iferror(if(AN877=1,VLOOKUP(B877, Blends!H$4:AK$1004,32,0), ""), "")</f>
        <v/>
      </c>
      <c r="T877" s="58"/>
      <c r="U877" s="77"/>
      <c r="V877" s="77"/>
      <c r="W877" s="78"/>
      <c r="X877" s="77"/>
      <c r="Y877" s="77"/>
      <c r="Z877" s="77"/>
      <c r="AA877" s="77"/>
      <c r="AB877" s="77"/>
      <c r="AC877" s="77"/>
      <c r="AD877" s="77"/>
      <c r="AE877" s="77"/>
      <c r="AF877" s="77"/>
      <c r="AG877" s="77"/>
      <c r="AH877" s="77"/>
      <c r="AI877" s="77"/>
      <c r="AJ877" s="79"/>
      <c r="AK877" s="80"/>
      <c r="AL877" s="59"/>
      <c r="AM877" s="35"/>
      <c r="AN877" s="35"/>
      <c r="AO877" s="35"/>
      <c r="AP877" s="35"/>
      <c r="AQ877" s="35"/>
      <c r="AR877" s="35"/>
      <c r="AS877" s="35"/>
      <c r="AT877" s="35"/>
      <c r="AU877" s="35"/>
      <c r="AV877" s="35"/>
      <c r="AW877" s="35"/>
    </row>
    <row r="878">
      <c r="A878" s="17"/>
      <c r="B878" s="35"/>
      <c r="C878" s="74"/>
      <c r="D878" s="74"/>
      <c r="E878" s="74"/>
      <c r="F878" s="74"/>
      <c r="G878" s="74"/>
      <c r="H878" s="74"/>
      <c r="I878" s="74"/>
      <c r="J878" s="57"/>
      <c r="K878" s="57"/>
      <c r="L878" s="57"/>
      <c r="M878" s="57"/>
      <c r="N878" s="57"/>
      <c r="O878" s="57"/>
      <c r="P878" s="57"/>
      <c r="Q878" s="69"/>
      <c r="R878" s="69"/>
      <c r="S878" s="23" t="str">
        <f>iferror(if(AN878=1,VLOOKUP(B878, Blends!H$4:AK$1004,32,0), ""), "")</f>
        <v/>
      </c>
      <c r="T878" s="58"/>
      <c r="U878" s="77"/>
      <c r="V878" s="77"/>
      <c r="W878" s="78"/>
      <c r="X878" s="77"/>
      <c r="Y878" s="77"/>
      <c r="Z878" s="77"/>
      <c r="AA878" s="77"/>
      <c r="AB878" s="77"/>
      <c r="AC878" s="77"/>
      <c r="AD878" s="77"/>
      <c r="AE878" s="77"/>
      <c r="AF878" s="77"/>
      <c r="AG878" s="77"/>
      <c r="AH878" s="77"/>
      <c r="AI878" s="77"/>
      <c r="AJ878" s="79"/>
      <c r="AK878" s="80"/>
      <c r="AL878" s="59"/>
      <c r="AM878" s="35"/>
      <c r="AN878" s="35"/>
      <c r="AO878" s="35"/>
      <c r="AP878" s="35"/>
      <c r="AQ878" s="35"/>
      <c r="AR878" s="35"/>
      <c r="AS878" s="35"/>
      <c r="AT878" s="35"/>
      <c r="AU878" s="35"/>
      <c r="AV878" s="35"/>
      <c r="AW878" s="35"/>
    </row>
    <row r="879">
      <c r="A879" s="17"/>
      <c r="B879" s="35"/>
      <c r="C879" s="74"/>
      <c r="D879" s="74"/>
      <c r="E879" s="74"/>
      <c r="F879" s="74"/>
      <c r="G879" s="74"/>
      <c r="H879" s="74"/>
      <c r="I879" s="74"/>
      <c r="J879" s="57"/>
      <c r="K879" s="57"/>
      <c r="L879" s="57"/>
      <c r="M879" s="57"/>
      <c r="N879" s="57"/>
      <c r="O879" s="57"/>
      <c r="P879" s="57"/>
      <c r="Q879" s="69"/>
      <c r="R879" s="69"/>
      <c r="S879" s="23" t="str">
        <f>iferror(if(AN879=1,VLOOKUP(B879, Blends!H$4:AK$1004,32,0), ""), "")</f>
        <v/>
      </c>
      <c r="T879" s="58"/>
      <c r="U879" s="77"/>
      <c r="V879" s="77"/>
      <c r="W879" s="78"/>
      <c r="X879" s="77"/>
      <c r="Y879" s="77"/>
      <c r="Z879" s="77"/>
      <c r="AA879" s="77"/>
      <c r="AB879" s="77"/>
      <c r="AC879" s="77"/>
      <c r="AD879" s="77"/>
      <c r="AE879" s="77"/>
      <c r="AF879" s="77"/>
      <c r="AG879" s="77"/>
      <c r="AH879" s="77"/>
      <c r="AI879" s="77"/>
      <c r="AJ879" s="79"/>
      <c r="AK879" s="80"/>
      <c r="AL879" s="59"/>
      <c r="AM879" s="35"/>
      <c r="AN879" s="35"/>
      <c r="AO879" s="35"/>
      <c r="AP879" s="35"/>
      <c r="AQ879" s="35"/>
      <c r="AR879" s="35"/>
      <c r="AS879" s="35"/>
      <c r="AT879" s="35"/>
      <c r="AU879" s="35"/>
      <c r="AV879" s="35"/>
      <c r="AW879" s="35"/>
    </row>
    <row r="880">
      <c r="A880" s="17"/>
      <c r="B880" s="35"/>
      <c r="C880" s="74"/>
      <c r="D880" s="74"/>
      <c r="E880" s="74"/>
      <c r="F880" s="74"/>
      <c r="G880" s="74"/>
      <c r="H880" s="74"/>
      <c r="I880" s="74"/>
      <c r="J880" s="57"/>
      <c r="K880" s="57"/>
      <c r="L880" s="57"/>
      <c r="M880" s="57"/>
      <c r="N880" s="57"/>
      <c r="O880" s="57"/>
      <c r="P880" s="57"/>
      <c r="Q880" s="69"/>
      <c r="R880" s="69"/>
      <c r="S880" s="23" t="str">
        <f>iferror(if(AN880=1,VLOOKUP(B880, Blends!H$4:AK$1004,32,0), ""), "")</f>
        <v/>
      </c>
      <c r="T880" s="58"/>
      <c r="U880" s="77"/>
      <c r="V880" s="77"/>
      <c r="W880" s="78"/>
      <c r="X880" s="77"/>
      <c r="Y880" s="77"/>
      <c r="Z880" s="77"/>
      <c r="AA880" s="77"/>
      <c r="AB880" s="77"/>
      <c r="AC880" s="77"/>
      <c r="AD880" s="77"/>
      <c r="AE880" s="77"/>
      <c r="AF880" s="77"/>
      <c r="AG880" s="77"/>
      <c r="AH880" s="77"/>
      <c r="AI880" s="77"/>
      <c r="AJ880" s="79"/>
      <c r="AK880" s="80"/>
      <c r="AL880" s="59"/>
      <c r="AM880" s="35"/>
      <c r="AN880" s="35"/>
      <c r="AO880" s="35"/>
      <c r="AP880" s="35"/>
      <c r="AQ880" s="35"/>
      <c r="AR880" s="35"/>
      <c r="AS880" s="35"/>
      <c r="AT880" s="35"/>
      <c r="AU880" s="35"/>
      <c r="AV880" s="35"/>
      <c r="AW880" s="35"/>
    </row>
    <row r="881">
      <c r="A881" s="17"/>
      <c r="B881" s="35"/>
      <c r="C881" s="74"/>
      <c r="D881" s="74"/>
      <c r="E881" s="74"/>
      <c r="F881" s="74"/>
      <c r="G881" s="74"/>
      <c r="H881" s="74"/>
      <c r="I881" s="74"/>
      <c r="J881" s="57"/>
      <c r="K881" s="57"/>
      <c r="L881" s="57"/>
      <c r="M881" s="57"/>
      <c r="N881" s="57"/>
      <c r="O881" s="57"/>
      <c r="P881" s="57"/>
      <c r="Q881" s="69"/>
      <c r="R881" s="69"/>
      <c r="S881" s="23" t="str">
        <f>iferror(if(AN881=1,VLOOKUP(B881, Blends!H$4:AK$1004,32,0), ""), "")</f>
        <v/>
      </c>
      <c r="T881" s="58"/>
      <c r="U881" s="77"/>
      <c r="V881" s="77"/>
      <c r="W881" s="78"/>
      <c r="X881" s="77"/>
      <c r="Y881" s="77"/>
      <c r="Z881" s="77"/>
      <c r="AA881" s="77"/>
      <c r="AB881" s="77"/>
      <c r="AC881" s="77"/>
      <c r="AD881" s="77"/>
      <c r="AE881" s="77"/>
      <c r="AF881" s="77"/>
      <c r="AG881" s="77"/>
      <c r="AH881" s="77"/>
      <c r="AI881" s="77"/>
      <c r="AJ881" s="79"/>
      <c r="AK881" s="80"/>
      <c r="AL881" s="59"/>
      <c r="AM881" s="35"/>
      <c r="AN881" s="35"/>
      <c r="AO881" s="35"/>
      <c r="AP881" s="35"/>
      <c r="AQ881" s="35"/>
      <c r="AR881" s="35"/>
      <c r="AS881" s="35"/>
      <c r="AT881" s="35"/>
      <c r="AU881" s="35"/>
      <c r="AV881" s="35"/>
      <c r="AW881" s="35"/>
    </row>
    <row r="882">
      <c r="A882" s="17"/>
      <c r="B882" s="35"/>
      <c r="C882" s="74"/>
      <c r="D882" s="74"/>
      <c r="E882" s="74"/>
      <c r="F882" s="74"/>
      <c r="G882" s="74"/>
      <c r="H882" s="74"/>
      <c r="I882" s="74"/>
      <c r="J882" s="57"/>
      <c r="K882" s="57"/>
      <c r="L882" s="57"/>
      <c r="M882" s="57"/>
      <c r="N882" s="57"/>
      <c r="O882" s="57"/>
      <c r="P882" s="57"/>
      <c r="Q882" s="69"/>
      <c r="R882" s="69"/>
      <c r="S882" s="23" t="str">
        <f>iferror(if(AN882=1,VLOOKUP(B882, Blends!H$4:AK$1004,32,0), ""), "")</f>
        <v/>
      </c>
      <c r="T882" s="58"/>
      <c r="U882" s="77"/>
      <c r="V882" s="77"/>
      <c r="W882" s="78"/>
      <c r="X882" s="77"/>
      <c r="Y882" s="77"/>
      <c r="Z882" s="77"/>
      <c r="AA882" s="77"/>
      <c r="AB882" s="77"/>
      <c r="AC882" s="77"/>
      <c r="AD882" s="77"/>
      <c r="AE882" s="77"/>
      <c r="AF882" s="77"/>
      <c r="AG882" s="77"/>
      <c r="AH882" s="77"/>
      <c r="AI882" s="77"/>
      <c r="AJ882" s="79"/>
      <c r="AK882" s="80"/>
      <c r="AL882" s="59"/>
      <c r="AM882" s="35"/>
      <c r="AN882" s="35"/>
      <c r="AO882" s="35"/>
      <c r="AP882" s="35"/>
      <c r="AQ882" s="35"/>
      <c r="AR882" s="35"/>
      <c r="AS882" s="35"/>
      <c r="AT882" s="35"/>
      <c r="AU882" s="35"/>
      <c r="AV882" s="35"/>
      <c r="AW882" s="35"/>
    </row>
    <row r="883">
      <c r="A883" s="17"/>
      <c r="B883" s="35"/>
      <c r="C883" s="74"/>
      <c r="D883" s="74"/>
      <c r="E883" s="74"/>
      <c r="F883" s="74"/>
      <c r="G883" s="74"/>
      <c r="H883" s="74"/>
      <c r="I883" s="74"/>
      <c r="J883" s="57"/>
      <c r="K883" s="57"/>
      <c r="L883" s="57"/>
      <c r="M883" s="57"/>
      <c r="N883" s="57"/>
      <c r="O883" s="57"/>
      <c r="P883" s="57"/>
      <c r="Q883" s="69"/>
      <c r="R883" s="69"/>
      <c r="S883" s="23" t="str">
        <f>iferror(if(AN883=1,VLOOKUP(B883, Blends!H$4:AK$1004,32,0), ""), "")</f>
        <v/>
      </c>
      <c r="T883" s="58"/>
      <c r="U883" s="77"/>
      <c r="V883" s="77"/>
      <c r="W883" s="78"/>
      <c r="X883" s="77"/>
      <c r="Y883" s="77"/>
      <c r="Z883" s="77"/>
      <c r="AA883" s="77"/>
      <c r="AB883" s="77"/>
      <c r="AC883" s="77"/>
      <c r="AD883" s="77"/>
      <c r="AE883" s="77"/>
      <c r="AF883" s="77"/>
      <c r="AG883" s="77"/>
      <c r="AH883" s="77"/>
      <c r="AI883" s="77"/>
      <c r="AJ883" s="79"/>
      <c r="AK883" s="80"/>
      <c r="AL883" s="59"/>
      <c r="AM883" s="35"/>
      <c r="AN883" s="35"/>
      <c r="AO883" s="35"/>
      <c r="AP883" s="35"/>
      <c r="AQ883" s="35"/>
      <c r="AR883" s="35"/>
      <c r="AS883" s="35"/>
      <c r="AT883" s="35"/>
      <c r="AU883" s="35"/>
      <c r="AV883" s="35"/>
      <c r="AW883" s="35"/>
    </row>
    <row r="884">
      <c r="A884" s="17"/>
      <c r="B884" s="35"/>
      <c r="C884" s="74"/>
      <c r="D884" s="74"/>
      <c r="E884" s="74"/>
      <c r="F884" s="74"/>
      <c r="G884" s="74"/>
      <c r="H884" s="74"/>
      <c r="I884" s="74"/>
      <c r="J884" s="57"/>
      <c r="K884" s="57"/>
      <c r="L884" s="57"/>
      <c r="M884" s="57"/>
      <c r="N884" s="57"/>
      <c r="O884" s="57"/>
      <c r="P884" s="57"/>
      <c r="Q884" s="69"/>
      <c r="R884" s="69"/>
      <c r="S884" s="23" t="str">
        <f>iferror(if(AN884=1,VLOOKUP(B884, Blends!H$4:AK$1004,32,0), ""), "")</f>
        <v/>
      </c>
      <c r="T884" s="58"/>
      <c r="U884" s="77"/>
      <c r="V884" s="77"/>
      <c r="W884" s="78"/>
      <c r="X884" s="77"/>
      <c r="Y884" s="77"/>
      <c r="Z884" s="77"/>
      <c r="AA884" s="77"/>
      <c r="AB884" s="77"/>
      <c r="AC884" s="77"/>
      <c r="AD884" s="77"/>
      <c r="AE884" s="77"/>
      <c r="AF884" s="77"/>
      <c r="AG884" s="77"/>
      <c r="AH884" s="77"/>
      <c r="AI884" s="77"/>
      <c r="AJ884" s="79"/>
      <c r="AK884" s="80"/>
      <c r="AL884" s="59"/>
      <c r="AM884" s="35"/>
      <c r="AN884" s="35"/>
      <c r="AO884" s="35"/>
      <c r="AP884" s="35"/>
      <c r="AQ884" s="35"/>
      <c r="AR884" s="35"/>
      <c r="AS884" s="35"/>
      <c r="AT884" s="35"/>
      <c r="AU884" s="35"/>
      <c r="AV884" s="35"/>
      <c r="AW884" s="35"/>
    </row>
    <row r="885">
      <c r="A885" s="17"/>
      <c r="B885" s="35"/>
      <c r="C885" s="74"/>
      <c r="D885" s="74"/>
      <c r="E885" s="74"/>
      <c r="F885" s="74"/>
      <c r="G885" s="74"/>
      <c r="H885" s="74"/>
      <c r="I885" s="74"/>
      <c r="J885" s="57"/>
      <c r="K885" s="57"/>
      <c r="L885" s="57"/>
      <c r="M885" s="57"/>
      <c r="N885" s="57"/>
      <c r="O885" s="57"/>
      <c r="P885" s="57"/>
      <c r="Q885" s="69"/>
      <c r="R885" s="69"/>
      <c r="S885" s="23" t="str">
        <f>iferror(if(AN885=1,VLOOKUP(B885, Blends!H$4:AK$1004,32,0), ""), "")</f>
        <v/>
      </c>
      <c r="T885" s="58"/>
      <c r="U885" s="77"/>
      <c r="V885" s="77"/>
      <c r="W885" s="78"/>
      <c r="X885" s="77"/>
      <c r="Y885" s="77"/>
      <c r="Z885" s="77"/>
      <c r="AA885" s="77"/>
      <c r="AB885" s="77"/>
      <c r="AC885" s="77"/>
      <c r="AD885" s="77"/>
      <c r="AE885" s="77"/>
      <c r="AF885" s="77"/>
      <c r="AG885" s="77"/>
      <c r="AH885" s="77"/>
      <c r="AI885" s="77"/>
      <c r="AJ885" s="79"/>
      <c r="AK885" s="80"/>
      <c r="AL885" s="59"/>
      <c r="AM885" s="35"/>
      <c r="AN885" s="35"/>
      <c r="AO885" s="35"/>
      <c r="AP885" s="35"/>
      <c r="AQ885" s="35"/>
      <c r="AR885" s="35"/>
      <c r="AS885" s="35"/>
      <c r="AT885" s="35"/>
      <c r="AU885" s="35"/>
      <c r="AV885" s="35"/>
      <c r="AW885" s="35"/>
    </row>
    <row r="886">
      <c r="A886" s="17"/>
      <c r="B886" s="35"/>
      <c r="C886" s="74"/>
      <c r="D886" s="74"/>
      <c r="E886" s="74"/>
      <c r="F886" s="74"/>
      <c r="G886" s="74"/>
      <c r="H886" s="74"/>
      <c r="I886" s="74"/>
      <c r="J886" s="57"/>
      <c r="K886" s="57"/>
      <c r="L886" s="57"/>
      <c r="M886" s="57"/>
      <c r="N886" s="57"/>
      <c r="O886" s="57"/>
      <c r="P886" s="57"/>
      <c r="Q886" s="69"/>
      <c r="R886" s="69"/>
      <c r="S886" s="23" t="str">
        <f>iferror(if(AN886=1,VLOOKUP(B886, Blends!H$4:AK$1004,32,0), ""), "")</f>
        <v/>
      </c>
      <c r="T886" s="58"/>
      <c r="U886" s="77"/>
      <c r="V886" s="77"/>
      <c r="W886" s="78"/>
      <c r="X886" s="77"/>
      <c r="Y886" s="77"/>
      <c r="Z886" s="77"/>
      <c r="AA886" s="77"/>
      <c r="AB886" s="77"/>
      <c r="AC886" s="77"/>
      <c r="AD886" s="77"/>
      <c r="AE886" s="77"/>
      <c r="AF886" s="77"/>
      <c r="AG886" s="77"/>
      <c r="AH886" s="77"/>
      <c r="AI886" s="77"/>
      <c r="AJ886" s="79"/>
      <c r="AK886" s="80"/>
      <c r="AL886" s="59"/>
      <c r="AM886" s="35"/>
      <c r="AN886" s="35"/>
      <c r="AO886" s="35"/>
      <c r="AP886" s="35"/>
      <c r="AQ886" s="35"/>
      <c r="AR886" s="35"/>
      <c r="AS886" s="35"/>
      <c r="AT886" s="35"/>
      <c r="AU886" s="35"/>
      <c r="AV886" s="35"/>
      <c r="AW886" s="35"/>
    </row>
    <row r="887">
      <c r="A887" s="17"/>
      <c r="B887" s="35"/>
      <c r="C887" s="74"/>
      <c r="D887" s="74"/>
      <c r="E887" s="74"/>
      <c r="F887" s="74"/>
      <c r="G887" s="74"/>
      <c r="H887" s="74"/>
      <c r="I887" s="74"/>
      <c r="J887" s="57"/>
      <c r="K887" s="57"/>
      <c r="L887" s="57"/>
      <c r="M887" s="57"/>
      <c r="N887" s="57"/>
      <c r="O887" s="57"/>
      <c r="P887" s="57"/>
      <c r="Q887" s="69"/>
      <c r="R887" s="69"/>
      <c r="S887" s="23" t="str">
        <f>iferror(if(AN887=1,VLOOKUP(B887, Blends!H$4:AK$1004,32,0), ""), "")</f>
        <v/>
      </c>
      <c r="T887" s="58"/>
      <c r="U887" s="77"/>
      <c r="V887" s="77"/>
      <c r="W887" s="78"/>
      <c r="X887" s="77"/>
      <c r="Y887" s="77"/>
      <c r="Z887" s="77"/>
      <c r="AA887" s="77"/>
      <c r="AB887" s="77"/>
      <c r="AC887" s="77"/>
      <c r="AD887" s="77"/>
      <c r="AE887" s="77"/>
      <c r="AF887" s="77"/>
      <c r="AG887" s="77"/>
      <c r="AH887" s="77"/>
      <c r="AI887" s="77"/>
      <c r="AJ887" s="79"/>
      <c r="AK887" s="80"/>
      <c r="AL887" s="59"/>
      <c r="AM887" s="35"/>
      <c r="AN887" s="35"/>
      <c r="AO887" s="35"/>
      <c r="AP887" s="35"/>
      <c r="AQ887" s="35"/>
      <c r="AR887" s="35"/>
      <c r="AS887" s="35"/>
      <c r="AT887" s="35"/>
      <c r="AU887" s="35"/>
      <c r="AV887" s="35"/>
      <c r="AW887" s="35"/>
    </row>
    <row r="888">
      <c r="A888" s="17"/>
      <c r="B888" s="35"/>
      <c r="C888" s="74"/>
      <c r="D888" s="74"/>
      <c r="E888" s="74"/>
      <c r="F888" s="74"/>
      <c r="G888" s="74"/>
      <c r="H888" s="74"/>
      <c r="I888" s="74"/>
      <c r="J888" s="57"/>
      <c r="K888" s="57"/>
      <c r="L888" s="57"/>
      <c r="M888" s="57"/>
      <c r="N888" s="57"/>
      <c r="O888" s="57"/>
      <c r="P888" s="57"/>
      <c r="Q888" s="69"/>
      <c r="R888" s="69"/>
      <c r="S888" s="23" t="str">
        <f>iferror(if(AN888=1,VLOOKUP(B888, Blends!H$4:AK$1004,32,0), ""), "")</f>
        <v/>
      </c>
      <c r="T888" s="58"/>
      <c r="U888" s="77"/>
      <c r="V888" s="77"/>
      <c r="W888" s="78"/>
      <c r="X888" s="77"/>
      <c r="Y888" s="77"/>
      <c r="Z888" s="77"/>
      <c r="AA888" s="77"/>
      <c r="AB888" s="77"/>
      <c r="AC888" s="77"/>
      <c r="AD888" s="77"/>
      <c r="AE888" s="77"/>
      <c r="AF888" s="77"/>
      <c r="AG888" s="77"/>
      <c r="AH888" s="77"/>
      <c r="AI888" s="77"/>
      <c r="AJ888" s="79"/>
      <c r="AK888" s="80"/>
      <c r="AL888" s="59"/>
      <c r="AM888" s="35"/>
      <c r="AN888" s="35"/>
      <c r="AO888" s="35"/>
      <c r="AP888" s="35"/>
      <c r="AQ888" s="35"/>
      <c r="AR888" s="35"/>
      <c r="AS888" s="35"/>
      <c r="AT888" s="35"/>
      <c r="AU888" s="35"/>
      <c r="AV888" s="35"/>
      <c r="AW888" s="35"/>
    </row>
    <row r="889">
      <c r="A889" s="17"/>
      <c r="B889" s="35"/>
      <c r="C889" s="74"/>
      <c r="D889" s="74"/>
      <c r="E889" s="74"/>
      <c r="F889" s="74"/>
      <c r="G889" s="74"/>
      <c r="H889" s="74"/>
      <c r="I889" s="74"/>
      <c r="J889" s="57"/>
      <c r="K889" s="57"/>
      <c r="L889" s="57"/>
      <c r="M889" s="57"/>
      <c r="N889" s="57"/>
      <c r="O889" s="57"/>
      <c r="P889" s="57"/>
      <c r="Q889" s="69"/>
      <c r="R889" s="69"/>
      <c r="S889" s="23" t="str">
        <f>iferror(if(AN889=1,VLOOKUP(B889, Blends!H$4:AK$1004,32,0), ""), "")</f>
        <v/>
      </c>
      <c r="T889" s="58"/>
      <c r="U889" s="77"/>
      <c r="V889" s="77"/>
      <c r="W889" s="78"/>
      <c r="X889" s="77"/>
      <c r="Y889" s="77"/>
      <c r="Z889" s="77"/>
      <c r="AA889" s="77"/>
      <c r="AB889" s="77"/>
      <c r="AC889" s="77"/>
      <c r="AD889" s="77"/>
      <c r="AE889" s="77"/>
      <c r="AF889" s="77"/>
      <c r="AG889" s="77"/>
      <c r="AH889" s="77"/>
      <c r="AI889" s="77"/>
      <c r="AJ889" s="79"/>
      <c r="AK889" s="80"/>
      <c r="AL889" s="59"/>
      <c r="AM889" s="35"/>
      <c r="AN889" s="35"/>
      <c r="AO889" s="35"/>
      <c r="AP889" s="35"/>
      <c r="AQ889" s="35"/>
      <c r="AR889" s="35"/>
      <c r="AS889" s="35"/>
      <c r="AT889" s="35"/>
      <c r="AU889" s="35"/>
      <c r="AV889" s="35"/>
      <c r="AW889" s="35"/>
    </row>
    <row r="890">
      <c r="A890" s="17"/>
      <c r="B890" s="35"/>
      <c r="C890" s="74"/>
      <c r="D890" s="74"/>
      <c r="E890" s="74"/>
      <c r="F890" s="74"/>
      <c r="G890" s="74"/>
      <c r="H890" s="74"/>
      <c r="I890" s="74"/>
      <c r="J890" s="57"/>
      <c r="K890" s="57"/>
      <c r="L890" s="57"/>
      <c r="M890" s="57"/>
      <c r="N890" s="57"/>
      <c r="O890" s="57"/>
      <c r="P890" s="57"/>
      <c r="Q890" s="69"/>
      <c r="R890" s="69"/>
      <c r="S890" s="23" t="str">
        <f>iferror(if(AN890=1,VLOOKUP(B890, Blends!H$4:AK$1004,32,0), ""), "")</f>
        <v/>
      </c>
      <c r="T890" s="58"/>
      <c r="U890" s="77"/>
      <c r="V890" s="77"/>
      <c r="W890" s="78"/>
      <c r="X890" s="77"/>
      <c r="Y890" s="77"/>
      <c r="Z890" s="77"/>
      <c r="AA890" s="77"/>
      <c r="AB890" s="77"/>
      <c r="AC890" s="77"/>
      <c r="AD890" s="77"/>
      <c r="AE890" s="77"/>
      <c r="AF890" s="77"/>
      <c r="AG890" s="77"/>
      <c r="AH890" s="77"/>
      <c r="AI890" s="77"/>
      <c r="AJ890" s="79"/>
      <c r="AK890" s="80"/>
      <c r="AL890" s="59"/>
      <c r="AM890" s="35"/>
      <c r="AN890" s="35"/>
      <c r="AO890" s="35"/>
      <c r="AP890" s="35"/>
      <c r="AQ890" s="35"/>
      <c r="AR890" s="35"/>
      <c r="AS890" s="35"/>
      <c r="AT890" s="35"/>
      <c r="AU890" s="35"/>
      <c r="AV890" s="35"/>
      <c r="AW890" s="35"/>
    </row>
    <row r="891">
      <c r="A891" s="17"/>
      <c r="B891" s="35"/>
      <c r="C891" s="74"/>
      <c r="D891" s="74"/>
      <c r="E891" s="74"/>
      <c r="F891" s="74"/>
      <c r="G891" s="74"/>
      <c r="H891" s="74"/>
      <c r="I891" s="74"/>
      <c r="J891" s="57"/>
      <c r="K891" s="57"/>
      <c r="L891" s="57"/>
      <c r="M891" s="57"/>
      <c r="N891" s="57"/>
      <c r="O891" s="57"/>
      <c r="P891" s="57"/>
      <c r="Q891" s="69"/>
      <c r="R891" s="69"/>
      <c r="S891" s="23" t="str">
        <f>iferror(if(AN891=1,VLOOKUP(B891, Blends!H$4:AK$1004,32,0), ""), "")</f>
        <v/>
      </c>
      <c r="T891" s="58"/>
      <c r="U891" s="77"/>
      <c r="V891" s="77"/>
      <c r="W891" s="78"/>
      <c r="X891" s="77"/>
      <c r="Y891" s="77"/>
      <c r="Z891" s="77"/>
      <c r="AA891" s="77"/>
      <c r="AB891" s="77"/>
      <c r="AC891" s="77"/>
      <c r="AD891" s="77"/>
      <c r="AE891" s="77"/>
      <c r="AF891" s="77"/>
      <c r="AG891" s="77"/>
      <c r="AH891" s="77"/>
      <c r="AI891" s="77"/>
      <c r="AJ891" s="79"/>
      <c r="AK891" s="80"/>
      <c r="AL891" s="59"/>
      <c r="AM891" s="35"/>
      <c r="AN891" s="35"/>
      <c r="AO891" s="35"/>
      <c r="AP891" s="35"/>
      <c r="AQ891" s="35"/>
      <c r="AR891" s="35"/>
      <c r="AS891" s="35"/>
      <c r="AT891" s="35"/>
      <c r="AU891" s="35"/>
      <c r="AV891" s="35"/>
      <c r="AW891" s="35"/>
    </row>
    <row r="892">
      <c r="A892" s="17"/>
      <c r="B892" s="35"/>
      <c r="C892" s="74"/>
      <c r="D892" s="74"/>
      <c r="E892" s="74"/>
      <c r="F892" s="74"/>
      <c r="G892" s="74"/>
      <c r="H892" s="74"/>
      <c r="I892" s="74"/>
      <c r="J892" s="57"/>
      <c r="K892" s="57"/>
      <c r="L892" s="57"/>
      <c r="M892" s="57"/>
      <c r="N892" s="57"/>
      <c r="O892" s="57"/>
      <c r="P892" s="57"/>
      <c r="Q892" s="69"/>
      <c r="R892" s="69"/>
      <c r="S892" s="23" t="str">
        <f>iferror(if(AN892=1,VLOOKUP(B892, Blends!H$4:AK$1004,32,0), ""), "")</f>
        <v/>
      </c>
      <c r="T892" s="58"/>
      <c r="U892" s="77"/>
      <c r="V892" s="77"/>
      <c r="W892" s="78"/>
      <c r="X892" s="77"/>
      <c r="Y892" s="77"/>
      <c r="Z892" s="77"/>
      <c r="AA892" s="77"/>
      <c r="AB892" s="77"/>
      <c r="AC892" s="77"/>
      <c r="AD892" s="77"/>
      <c r="AE892" s="77"/>
      <c r="AF892" s="77"/>
      <c r="AG892" s="77"/>
      <c r="AH892" s="77"/>
      <c r="AI892" s="77"/>
      <c r="AJ892" s="79"/>
      <c r="AK892" s="80"/>
      <c r="AL892" s="59"/>
      <c r="AM892" s="35"/>
      <c r="AN892" s="35"/>
      <c r="AO892" s="35"/>
      <c r="AP892" s="35"/>
      <c r="AQ892" s="35"/>
      <c r="AR892" s="35"/>
      <c r="AS892" s="35"/>
      <c r="AT892" s="35"/>
      <c r="AU892" s="35"/>
      <c r="AV892" s="35"/>
      <c r="AW892" s="35"/>
    </row>
    <row r="893">
      <c r="A893" s="17"/>
      <c r="B893" s="35"/>
      <c r="C893" s="74"/>
      <c r="D893" s="74"/>
      <c r="E893" s="74"/>
      <c r="F893" s="74"/>
      <c r="G893" s="74"/>
      <c r="H893" s="74"/>
      <c r="I893" s="74"/>
      <c r="J893" s="57"/>
      <c r="K893" s="57"/>
      <c r="L893" s="57"/>
      <c r="M893" s="57"/>
      <c r="N893" s="57"/>
      <c r="O893" s="57"/>
      <c r="P893" s="57"/>
      <c r="Q893" s="69"/>
      <c r="R893" s="69"/>
      <c r="S893" s="23" t="str">
        <f>iferror(if(AN893=1,VLOOKUP(B893, Blends!H$4:AK$1004,32,0), ""), "")</f>
        <v/>
      </c>
      <c r="T893" s="58"/>
      <c r="U893" s="77"/>
      <c r="V893" s="77"/>
      <c r="W893" s="78"/>
      <c r="X893" s="77"/>
      <c r="Y893" s="77"/>
      <c r="Z893" s="77"/>
      <c r="AA893" s="77"/>
      <c r="AB893" s="77"/>
      <c r="AC893" s="77"/>
      <c r="AD893" s="77"/>
      <c r="AE893" s="77"/>
      <c r="AF893" s="77"/>
      <c r="AG893" s="77"/>
      <c r="AH893" s="77"/>
      <c r="AI893" s="77"/>
      <c r="AJ893" s="79"/>
      <c r="AK893" s="80"/>
      <c r="AL893" s="59"/>
      <c r="AM893" s="35"/>
      <c r="AN893" s="35"/>
      <c r="AO893" s="35"/>
      <c r="AP893" s="35"/>
      <c r="AQ893" s="35"/>
      <c r="AR893" s="35"/>
      <c r="AS893" s="35"/>
      <c r="AT893" s="35"/>
      <c r="AU893" s="35"/>
      <c r="AV893" s="35"/>
      <c r="AW893" s="35"/>
    </row>
    <row r="894">
      <c r="A894" s="17"/>
      <c r="B894" s="35"/>
      <c r="C894" s="74"/>
      <c r="D894" s="74"/>
      <c r="E894" s="74"/>
      <c r="F894" s="74"/>
      <c r="G894" s="74"/>
      <c r="H894" s="74"/>
      <c r="I894" s="74"/>
      <c r="J894" s="57"/>
      <c r="K894" s="57"/>
      <c r="L894" s="57"/>
      <c r="M894" s="57"/>
      <c r="N894" s="57"/>
      <c r="O894" s="57"/>
      <c r="P894" s="57"/>
      <c r="Q894" s="69"/>
      <c r="R894" s="69"/>
      <c r="S894" s="23" t="str">
        <f>iferror(if(AN894=1,VLOOKUP(B894, Blends!H$4:AK$1004,32,0), ""), "")</f>
        <v/>
      </c>
      <c r="T894" s="58"/>
      <c r="U894" s="77"/>
      <c r="V894" s="77"/>
      <c r="W894" s="78"/>
      <c r="X894" s="77"/>
      <c r="Y894" s="77"/>
      <c r="Z894" s="77"/>
      <c r="AA894" s="77"/>
      <c r="AB894" s="77"/>
      <c r="AC894" s="77"/>
      <c r="AD894" s="77"/>
      <c r="AE894" s="77"/>
      <c r="AF894" s="77"/>
      <c r="AG894" s="77"/>
      <c r="AH894" s="77"/>
      <c r="AI894" s="77"/>
      <c r="AJ894" s="79"/>
      <c r="AK894" s="80"/>
      <c r="AL894" s="59"/>
      <c r="AM894" s="35"/>
      <c r="AN894" s="35"/>
      <c r="AO894" s="35"/>
      <c r="AP894" s="35"/>
      <c r="AQ894" s="35"/>
      <c r="AR894" s="35"/>
      <c r="AS894" s="35"/>
      <c r="AT894" s="35"/>
      <c r="AU894" s="35"/>
      <c r="AV894" s="35"/>
      <c r="AW894" s="35"/>
    </row>
    <row r="895">
      <c r="A895" s="17"/>
      <c r="B895" s="35"/>
      <c r="C895" s="74"/>
      <c r="D895" s="74"/>
      <c r="E895" s="74"/>
      <c r="F895" s="74"/>
      <c r="G895" s="74"/>
      <c r="H895" s="74"/>
      <c r="I895" s="74"/>
      <c r="J895" s="57"/>
      <c r="K895" s="57"/>
      <c r="L895" s="57"/>
      <c r="M895" s="57"/>
      <c r="N895" s="57"/>
      <c r="O895" s="57"/>
      <c r="P895" s="57"/>
      <c r="Q895" s="69"/>
      <c r="R895" s="69"/>
      <c r="S895" s="23" t="str">
        <f>iferror(if(AN895=1,VLOOKUP(B895, Blends!H$4:AK$1004,32,0), ""), "")</f>
        <v/>
      </c>
      <c r="T895" s="58"/>
      <c r="U895" s="77"/>
      <c r="V895" s="77"/>
      <c r="W895" s="78"/>
      <c r="X895" s="77"/>
      <c r="Y895" s="77"/>
      <c r="Z895" s="77"/>
      <c r="AA895" s="77"/>
      <c r="AB895" s="77"/>
      <c r="AC895" s="77"/>
      <c r="AD895" s="77"/>
      <c r="AE895" s="77"/>
      <c r="AF895" s="77"/>
      <c r="AG895" s="77"/>
      <c r="AH895" s="77"/>
      <c r="AI895" s="77"/>
      <c r="AJ895" s="79"/>
      <c r="AK895" s="80"/>
      <c r="AL895" s="59"/>
      <c r="AM895" s="35"/>
      <c r="AN895" s="35"/>
      <c r="AO895" s="35"/>
      <c r="AP895" s="35"/>
      <c r="AQ895" s="35"/>
      <c r="AR895" s="35"/>
      <c r="AS895" s="35"/>
      <c r="AT895" s="35"/>
      <c r="AU895" s="35"/>
      <c r="AV895" s="35"/>
      <c r="AW895" s="35"/>
    </row>
    <row r="896">
      <c r="A896" s="17"/>
      <c r="B896" s="35"/>
      <c r="C896" s="74"/>
      <c r="D896" s="74"/>
      <c r="E896" s="74"/>
      <c r="F896" s="74"/>
      <c r="G896" s="74"/>
      <c r="H896" s="74"/>
      <c r="I896" s="74"/>
      <c r="J896" s="57"/>
      <c r="K896" s="57"/>
      <c r="L896" s="57"/>
      <c r="M896" s="57"/>
      <c r="N896" s="57"/>
      <c r="O896" s="57"/>
      <c r="P896" s="57"/>
      <c r="Q896" s="69"/>
      <c r="R896" s="69"/>
      <c r="S896" s="23" t="str">
        <f>iferror(if(AN896=1,VLOOKUP(B896, Blends!H$4:AK$1004,32,0), ""), "")</f>
        <v/>
      </c>
      <c r="T896" s="58"/>
      <c r="U896" s="77"/>
      <c r="V896" s="77"/>
      <c r="W896" s="78"/>
      <c r="X896" s="77"/>
      <c r="Y896" s="77"/>
      <c r="Z896" s="77"/>
      <c r="AA896" s="77"/>
      <c r="AB896" s="77"/>
      <c r="AC896" s="77"/>
      <c r="AD896" s="77"/>
      <c r="AE896" s="77"/>
      <c r="AF896" s="77"/>
      <c r="AG896" s="77"/>
      <c r="AH896" s="77"/>
      <c r="AI896" s="77"/>
      <c r="AJ896" s="79"/>
      <c r="AK896" s="80"/>
      <c r="AL896" s="59"/>
      <c r="AM896" s="35"/>
      <c r="AN896" s="35"/>
      <c r="AO896" s="35"/>
      <c r="AP896" s="35"/>
      <c r="AQ896" s="35"/>
      <c r="AR896" s="35"/>
      <c r="AS896" s="35"/>
      <c r="AT896" s="35"/>
      <c r="AU896" s="35"/>
      <c r="AV896" s="35"/>
      <c r="AW896" s="35"/>
    </row>
    <row r="897">
      <c r="A897" s="17"/>
      <c r="B897" s="35"/>
      <c r="C897" s="74"/>
      <c r="D897" s="74"/>
      <c r="E897" s="74"/>
      <c r="F897" s="74"/>
      <c r="G897" s="74"/>
      <c r="H897" s="74"/>
      <c r="I897" s="74"/>
      <c r="J897" s="57"/>
      <c r="K897" s="57"/>
      <c r="L897" s="57"/>
      <c r="M897" s="57"/>
      <c r="N897" s="57"/>
      <c r="O897" s="57"/>
      <c r="P897" s="57"/>
      <c r="Q897" s="69"/>
      <c r="R897" s="69"/>
      <c r="S897" s="23" t="str">
        <f>iferror(if(AN897=1,VLOOKUP(B897, Blends!H$4:AK$1004,32,0), ""), "")</f>
        <v/>
      </c>
      <c r="T897" s="58"/>
      <c r="U897" s="77"/>
      <c r="V897" s="77"/>
      <c r="W897" s="78"/>
      <c r="X897" s="77"/>
      <c r="Y897" s="77"/>
      <c r="Z897" s="77"/>
      <c r="AA897" s="77"/>
      <c r="AB897" s="77"/>
      <c r="AC897" s="77"/>
      <c r="AD897" s="77"/>
      <c r="AE897" s="77"/>
      <c r="AF897" s="77"/>
      <c r="AG897" s="77"/>
      <c r="AH897" s="77"/>
      <c r="AI897" s="77"/>
      <c r="AJ897" s="79"/>
      <c r="AK897" s="80"/>
      <c r="AL897" s="59"/>
      <c r="AM897" s="35"/>
      <c r="AN897" s="35"/>
      <c r="AO897" s="35"/>
      <c r="AP897" s="35"/>
      <c r="AQ897" s="35"/>
      <c r="AR897" s="35"/>
      <c r="AS897" s="35"/>
      <c r="AT897" s="35"/>
      <c r="AU897" s="35"/>
      <c r="AV897" s="35"/>
      <c r="AW897" s="35"/>
    </row>
    <row r="898">
      <c r="A898" s="17"/>
      <c r="B898" s="35"/>
      <c r="C898" s="74"/>
      <c r="D898" s="74"/>
      <c r="E898" s="74"/>
      <c r="F898" s="74"/>
      <c r="G898" s="74"/>
      <c r="H898" s="74"/>
      <c r="I898" s="74"/>
      <c r="J898" s="57"/>
      <c r="K898" s="57"/>
      <c r="L898" s="57"/>
      <c r="M898" s="57"/>
      <c r="N898" s="57"/>
      <c r="O898" s="57"/>
      <c r="P898" s="57"/>
      <c r="Q898" s="69"/>
      <c r="R898" s="69"/>
      <c r="S898" s="23" t="str">
        <f>iferror(if(AN898=1,VLOOKUP(B898, Blends!H$4:AK$1004,32,0), ""), "")</f>
        <v/>
      </c>
      <c r="T898" s="58"/>
      <c r="U898" s="77"/>
      <c r="V898" s="77"/>
      <c r="W898" s="78"/>
      <c r="X898" s="77"/>
      <c r="Y898" s="77"/>
      <c r="Z898" s="77"/>
      <c r="AA898" s="77"/>
      <c r="AB898" s="77"/>
      <c r="AC898" s="77"/>
      <c r="AD898" s="77"/>
      <c r="AE898" s="77"/>
      <c r="AF898" s="77"/>
      <c r="AG898" s="77"/>
      <c r="AH898" s="77"/>
      <c r="AI898" s="77"/>
      <c r="AJ898" s="79"/>
      <c r="AK898" s="80"/>
      <c r="AL898" s="59"/>
      <c r="AM898" s="35"/>
      <c r="AN898" s="35"/>
      <c r="AO898" s="35"/>
      <c r="AP898" s="35"/>
      <c r="AQ898" s="35"/>
      <c r="AR898" s="35"/>
      <c r="AS898" s="35"/>
      <c r="AT898" s="35"/>
      <c r="AU898" s="35"/>
      <c r="AV898" s="35"/>
      <c r="AW898" s="35"/>
    </row>
    <row r="899">
      <c r="A899" s="17"/>
      <c r="B899" s="35"/>
      <c r="C899" s="74"/>
      <c r="D899" s="74"/>
      <c r="E899" s="74"/>
      <c r="F899" s="74"/>
      <c r="G899" s="74"/>
      <c r="H899" s="74"/>
      <c r="I899" s="74"/>
      <c r="J899" s="57"/>
      <c r="K899" s="57"/>
      <c r="L899" s="57"/>
      <c r="M899" s="57"/>
      <c r="N899" s="57"/>
      <c r="O899" s="57"/>
      <c r="P899" s="57"/>
      <c r="Q899" s="69"/>
      <c r="R899" s="69"/>
      <c r="S899" s="23" t="str">
        <f>iferror(if(AN899=1,VLOOKUP(B899, Blends!H$4:AK$1004,32,0), ""), "")</f>
        <v/>
      </c>
      <c r="T899" s="58"/>
      <c r="U899" s="77"/>
      <c r="V899" s="77"/>
      <c r="W899" s="78"/>
      <c r="X899" s="77"/>
      <c r="Y899" s="77"/>
      <c r="Z899" s="77"/>
      <c r="AA899" s="77"/>
      <c r="AB899" s="77"/>
      <c r="AC899" s="77"/>
      <c r="AD899" s="77"/>
      <c r="AE899" s="77"/>
      <c r="AF899" s="77"/>
      <c r="AG899" s="77"/>
      <c r="AH899" s="77"/>
      <c r="AI899" s="77"/>
      <c r="AJ899" s="79"/>
      <c r="AK899" s="80"/>
      <c r="AL899" s="59"/>
      <c r="AM899" s="35"/>
      <c r="AN899" s="35"/>
      <c r="AO899" s="35"/>
      <c r="AP899" s="35"/>
      <c r="AQ899" s="35"/>
      <c r="AR899" s="35"/>
      <c r="AS899" s="35"/>
      <c r="AT899" s="35"/>
      <c r="AU899" s="35"/>
      <c r="AV899" s="35"/>
      <c r="AW899" s="35"/>
    </row>
    <row r="900">
      <c r="A900" s="17"/>
      <c r="B900" s="35"/>
      <c r="C900" s="74"/>
      <c r="D900" s="74"/>
      <c r="E900" s="74"/>
      <c r="F900" s="74"/>
      <c r="G900" s="74"/>
      <c r="H900" s="74"/>
      <c r="I900" s="74"/>
      <c r="J900" s="57"/>
      <c r="K900" s="57"/>
      <c r="L900" s="57"/>
      <c r="M900" s="57"/>
      <c r="N900" s="57"/>
      <c r="O900" s="57"/>
      <c r="P900" s="57"/>
      <c r="Q900" s="69"/>
      <c r="R900" s="69"/>
      <c r="S900" s="23" t="str">
        <f>iferror(if(AN900=1,VLOOKUP(B900, Blends!H$4:AK$1004,32,0), ""), "")</f>
        <v/>
      </c>
      <c r="T900" s="58"/>
      <c r="U900" s="77"/>
      <c r="V900" s="77"/>
      <c r="W900" s="78"/>
      <c r="X900" s="77"/>
      <c r="Y900" s="77"/>
      <c r="Z900" s="77"/>
      <c r="AA900" s="77"/>
      <c r="AB900" s="77"/>
      <c r="AC900" s="77"/>
      <c r="AD900" s="77"/>
      <c r="AE900" s="77"/>
      <c r="AF900" s="77"/>
      <c r="AG900" s="77"/>
      <c r="AH900" s="77"/>
      <c r="AI900" s="77"/>
      <c r="AJ900" s="79"/>
      <c r="AK900" s="80"/>
      <c r="AL900" s="59"/>
      <c r="AM900" s="35"/>
      <c r="AN900" s="35"/>
      <c r="AO900" s="35"/>
      <c r="AP900" s="35"/>
      <c r="AQ900" s="35"/>
      <c r="AR900" s="35"/>
      <c r="AS900" s="35"/>
      <c r="AT900" s="35"/>
      <c r="AU900" s="35"/>
      <c r="AV900" s="35"/>
      <c r="AW900" s="35"/>
    </row>
    <row r="901">
      <c r="A901" s="17"/>
      <c r="B901" s="35"/>
      <c r="C901" s="74"/>
      <c r="D901" s="74"/>
      <c r="E901" s="74"/>
      <c r="F901" s="74"/>
      <c r="G901" s="74"/>
      <c r="H901" s="74"/>
      <c r="I901" s="74"/>
      <c r="J901" s="57"/>
      <c r="K901" s="57"/>
      <c r="L901" s="57"/>
      <c r="M901" s="57"/>
      <c r="N901" s="57"/>
      <c r="O901" s="57"/>
      <c r="P901" s="57"/>
      <c r="Q901" s="69"/>
      <c r="R901" s="69"/>
      <c r="S901" s="23" t="str">
        <f>iferror(if(AN901=1,VLOOKUP(B901, Blends!H$4:AK$1004,32,0), ""), "")</f>
        <v/>
      </c>
      <c r="T901" s="58"/>
      <c r="U901" s="77"/>
      <c r="V901" s="77"/>
      <c r="W901" s="78"/>
      <c r="X901" s="77"/>
      <c r="Y901" s="77"/>
      <c r="Z901" s="77"/>
      <c r="AA901" s="77"/>
      <c r="AB901" s="77"/>
      <c r="AC901" s="77"/>
      <c r="AD901" s="77"/>
      <c r="AE901" s="77"/>
      <c r="AF901" s="77"/>
      <c r="AG901" s="77"/>
      <c r="AH901" s="77"/>
      <c r="AI901" s="77"/>
      <c r="AJ901" s="79"/>
      <c r="AK901" s="80"/>
      <c r="AL901" s="59"/>
      <c r="AM901" s="35"/>
      <c r="AN901" s="35"/>
      <c r="AO901" s="35"/>
      <c r="AP901" s="35"/>
      <c r="AQ901" s="35"/>
      <c r="AR901" s="35"/>
      <c r="AS901" s="35"/>
      <c r="AT901" s="35"/>
      <c r="AU901" s="35"/>
      <c r="AV901" s="35"/>
      <c r="AW901" s="35"/>
    </row>
    <row r="902">
      <c r="A902" s="17"/>
      <c r="B902" s="35"/>
      <c r="C902" s="74"/>
      <c r="D902" s="74"/>
      <c r="E902" s="74"/>
      <c r="F902" s="74"/>
      <c r="G902" s="74"/>
      <c r="H902" s="74"/>
      <c r="I902" s="74"/>
      <c r="J902" s="57"/>
      <c r="K902" s="57"/>
      <c r="L902" s="57"/>
      <c r="M902" s="57"/>
      <c r="N902" s="57"/>
      <c r="O902" s="57"/>
      <c r="P902" s="57"/>
      <c r="Q902" s="69"/>
      <c r="R902" s="69"/>
      <c r="S902" s="23" t="str">
        <f>iferror(if(AN902=1,VLOOKUP(B902, Blends!H$4:AK$1004,32,0), ""), "")</f>
        <v/>
      </c>
      <c r="T902" s="58"/>
      <c r="U902" s="77"/>
      <c r="V902" s="77"/>
      <c r="W902" s="78"/>
      <c r="X902" s="77"/>
      <c r="Y902" s="77"/>
      <c r="Z902" s="77"/>
      <c r="AA902" s="77"/>
      <c r="AB902" s="77"/>
      <c r="AC902" s="77"/>
      <c r="AD902" s="77"/>
      <c r="AE902" s="77"/>
      <c r="AF902" s="77"/>
      <c r="AG902" s="77"/>
      <c r="AH902" s="77"/>
      <c r="AI902" s="77"/>
      <c r="AJ902" s="79"/>
      <c r="AK902" s="80"/>
      <c r="AL902" s="59"/>
      <c r="AM902" s="35"/>
      <c r="AN902" s="35"/>
      <c r="AO902" s="35"/>
      <c r="AP902" s="35"/>
      <c r="AQ902" s="35"/>
      <c r="AR902" s="35"/>
      <c r="AS902" s="35"/>
      <c r="AT902" s="35"/>
      <c r="AU902" s="35"/>
      <c r="AV902" s="35"/>
      <c r="AW902" s="35"/>
    </row>
    <row r="903">
      <c r="A903" s="17"/>
      <c r="B903" s="35"/>
      <c r="C903" s="74"/>
      <c r="D903" s="74"/>
      <c r="E903" s="74"/>
      <c r="F903" s="74"/>
      <c r="G903" s="74"/>
      <c r="H903" s="74"/>
      <c r="I903" s="74"/>
      <c r="J903" s="57"/>
      <c r="K903" s="57"/>
      <c r="L903" s="57"/>
      <c r="M903" s="57"/>
      <c r="N903" s="57"/>
      <c r="O903" s="57"/>
      <c r="P903" s="57"/>
      <c r="Q903" s="69"/>
      <c r="R903" s="69"/>
      <c r="S903" s="23" t="str">
        <f>iferror(if(AN903=1,VLOOKUP(B903, Blends!H$4:AK$1004,32,0), ""), "")</f>
        <v/>
      </c>
      <c r="T903" s="58"/>
      <c r="U903" s="77"/>
      <c r="V903" s="77"/>
      <c r="W903" s="78"/>
      <c r="X903" s="77"/>
      <c r="Y903" s="77"/>
      <c r="Z903" s="77"/>
      <c r="AA903" s="77"/>
      <c r="AB903" s="77"/>
      <c r="AC903" s="77"/>
      <c r="AD903" s="77"/>
      <c r="AE903" s="77"/>
      <c r="AF903" s="77"/>
      <c r="AG903" s="77"/>
      <c r="AH903" s="77"/>
      <c r="AI903" s="77"/>
      <c r="AJ903" s="79"/>
      <c r="AK903" s="80"/>
      <c r="AL903" s="59"/>
      <c r="AM903" s="35"/>
      <c r="AN903" s="35"/>
      <c r="AO903" s="35"/>
      <c r="AP903" s="35"/>
      <c r="AQ903" s="35"/>
      <c r="AR903" s="35"/>
      <c r="AS903" s="35"/>
      <c r="AT903" s="35"/>
      <c r="AU903" s="35"/>
      <c r="AV903" s="35"/>
      <c r="AW903" s="35"/>
    </row>
    <row r="904">
      <c r="A904" s="17"/>
      <c r="B904" s="35"/>
      <c r="C904" s="74"/>
      <c r="D904" s="74"/>
      <c r="E904" s="74"/>
      <c r="F904" s="74"/>
      <c r="G904" s="74"/>
      <c r="H904" s="74"/>
      <c r="I904" s="74"/>
      <c r="J904" s="57"/>
      <c r="K904" s="57"/>
      <c r="L904" s="57"/>
      <c r="M904" s="57"/>
      <c r="N904" s="57"/>
      <c r="O904" s="57"/>
      <c r="P904" s="57"/>
      <c r="Q904" s="69"/>
      <c r="R904" s="69"/>
      <c r="S904" s="23" t="str">
        <f>iferror(if(AN904=1,VLOOKUP(B904, Blends!H$4:AK$1004,32,0), ""), "")</f>
        <v/>
      </c>
      <c r="T904" s="58"/>
      <c r="U904" s="77"/>
      <c r="V904" s="77"/>
      <c r="W904" s="78"/>
      <c r="X904" s="77"/>
      <c r="Y904" s="77"/>
      <c r="Z904" s="77"/>
      <c r="AA904" s="77"/>
      <c r="AB904" s="77"/>
      <c r="AC904" s="77"/>
      <c r="AD904" s="77"/>
      <c r="AE904" s="77"/>
      <c r="AF904" s="77"/>
      <c r="AG904" s="77"/>
      <c r="AH904" s="77"/>
      <c r="AI904" s="77"/>
      <c r="AJ904" s="79"/>
      <c r="AK904" s="80"/>
      <c r="AL904" s="59"/>
      <c r="AM904" s="35"/>
      <c r="AN904" s="35"/>
      <c r="AO904" s="35"/>
      <c r="AP904" s="35"/>
      <c r="AQ904" s="35"/>
      <c r="AR904" s="35"/>
      <c r="AS904" s="35"/>
      <c r="AT904" s="35"/>
      <c r="AU904" s="35"/>
      <c r="AV904" s="35"/>
      <c r="AW904" s="35"/>
    </row>
    <row r="905">
      <c r="A905" s="17"/>
      <c r="B905" s="35"/>
      <c r="C905" s="74"/>
      <c r="D905" s="74"/>
      <c r="E905" s="74"/>
      <c r="F905" s="74"/>
      <c r="G905" s="74"/>
      <c r="H905" s="74"/>
      <c r="I905" s="74"/>
      <c r="J905" s="57"/>
      <c r="K905" s="57"/>
      <c r="L905" s="57"/>
      <c r="M905" s="57"/>
      <c r="N905" s="57"/>
      <c r="O905" s="57"/>
      <c r="P905" s="57"/>
      <c r="Q905" s="69"/>
      <c r="R905" s="69"/>
      <c r="S905" s="23" t="str">
        <f>iferror(if(AN905=1,VLOOKUP(B905, Blends!H$4:AK$1004,32,0), ""), "")</f>
        <v/>
      </c>
      <c r="T905" s="58"/>
      <c r="U905" s="77"/>
      <c r="V905" s="77"/>
      <c r="W905" s="78"/>
      <c r="X905" s="77"/>
      <c r="Y905" s="77"/>
      <c r="Z905" s="77"/>
      <c r="AA905" s="77"/>
      <c r="AB905" s="77"/>
      <c r="AC905" s="77"/>
      <c r="AD905" s="77"/>
      <c r="AE905" s="77"/>
      <c r="AF905" s="77"/>
      <c r="AG905" s="77"/>
      <c r="AH905" s="77"/>
      <c r="AI905" s="77"/>
      <c r="AJ905" s="79"/>
      <c r="AK905" s="80"/>
      <c r="AL905" s="59"/>
      <c r="AM905" s="35"/>
      <c r="AN905" s="35"/>
      <c r="AO905" s="35"/>
      <c r="AP905" s="35"/>
      <c r="AQ905" s="35"/>
      <c r="AR905" s="35"/>
      <c r="AS905" s="35"/>
      <c r="AT905" s="35"/>
      <c r="AU905" s="35"/>
      <c r="AV905" s="35"/>
      <c r="AW905" s="35"/>
    </row>
    <row r="906">
      <c r="A906" s="17"/>
      <c r="B906" s="35"/>
      <c r="C906" s="74"/>
      <c r="D906" s="74"/>
      <c r="E906" s="74"/>
      <c r="F906" s="74"/>
      <c r="G906" s="74"/>
      <c r="H906" s="74"/>
      <c r="I906" s="74"/>
      <c r="J906" s="57"/>
      <c r="K906" s="57"/>
      <c r="L906" s="57"/>
      <c r="M906" s="57"/>
      <c r="N906" s="57"/>
      <c r="O906" s="57"/>
      <c r="P906" s="57"/>
      <c r="Q906" s="69"/>
      <c r="R906" s="69"/>
      <c r="S906" s="23" t="str">
        <f>iferror(if(AN906=1,VLOOKUP(B906, Blends!H$4:AK$1004,32,0), ""), "")</f>
        <v/>
      </c>
      <c r="T906" s="58"/>
      <c r="U906" s="77"/>
      <c r="V906" s="77"/>
      <c r="W906" s="78"/>
      <c r="X906" s="77"/>
      <c r="Y906" s="77"/>
      <c r="Z906" s="77"/>
      <c r="AA906" s="77"/>
      <c r="AB906" s="77"/>
      <c r="AC906" s="77"/>
      <c r="AD906" s="77"/>
      <c r="AE906" s="77"/>
      <c r="AF906" s="77"/>
      <c r="AG906" s="77"/>
      <c r="AH906" s="77"/>
      <c r="AI906" s="77"/>
      <c r="AJ906" s="79"/>
      <c r="AK906" s="80"/>
      <c r="AL906" s="59"/>
      <c r="AM906" s="35"/>
      <c r="AN906" s="35"/>
      <c r="AO906" s="35"/>
      <c r="AP906" s="35"/>
      <c r="AQ906" s="35"/>
      <c r="AR906" s="35"/>
      <c r="AS906" s="35"/>
      <c r="AT906" s="35"/>
      <c r="AU906" s="35"/>
      <c r="AV906" s="35"/>
      <c r="AW906" s="35"/>
    </row>
    <row r="907">
      <c r="A907" s="17"/>
      <c r="B907" s="35"/>
      <c r="C907" s="74"/>
      <c r="D907" s="74"/>
      <c r="E907" s="74"/>
      <c r="F907" s="74"/>
      <c r="G907" s="74"/>
      <c r="H907" s="74"/>
      <c r="I907" s="74"/>
      <c r="J907" s="57"/>
      <c r="K907" s="57"/>
      <c r="L907" s="57"/>
      <c r="M907" s="57"/>
      <c r="N907" s="57"/>
      <c r="O907" s="57"/>
      <c r="P907" s="57"/>
      <c r="Q907" s="69"/>
      <c r="R907" s="69"/>
      <c r="S907" s="23" t="str">
        <f>iferror(if(AN907=1,VLOOKUP(B907, Blends!H$4:AK$1004,32,0), ""), "")</f>
        <v/>
      </c>
      <c r="T907" s="58"/>
      <c r="U907" s="77"/>
      <c r="V907" s="77"/>
      <c r="W907" s="78"/>
      <c r="X907" s="77"/>
      <c r="Y907" s="77"/>
      <c r="Z907" s="77"/>
      <c r="AA907" s="77"/>
      <c r="AB907" s="77"/>
      <c r="AC907" s="77"/>
      <c r="AD907" s="77"/>
      <c r="AE907" s="77"/>
      <c r="AF907" s="77"/>
      <c r="AG907" s="77"/>
      <c r="AH907" s="77"/>
      <c r="AI907" s="77"/>
      <c r="AJ907" s="79"/>
      <c r="AK907" s="80"/>
      <c r="AL907" s="59"/>
      <c r="AM907" s="35"/>
      <c r="AN907" s="35"/>
      <c r="AO907" s="35"/>
      <c r="AP907" s="35"/>
      <c r="AQ907" s="35"/>
      <c r="AR907" s="35"/>
      <c r="AS907" s="35"/>
      <c r="AT907" s="35"/>
      <c r="AU907" s="35"/>
      <c r="AV907" s="35"/>
      <c r="AW907" s="35"/>
    </row>
    <row r="908">
      <c r="A908" s="17"/>
      <c r="B908" s="35"/>
      <c r="C908" s="74"/>
      <c r="D908" s="74"/>
      <c r="E908" s="74"/>
      <c r="F908" s="74"/>
      <c r="G908" s="74"/>
      <c r="H908" s="74"/>
      <c r="I908" s="74"/>
      <c r="J908" s="57"/>
      <c r="K908" s="57"/>
      <c r="L908" s="57"/>
      <c r="M908" s="57"/>
      <c r="N908" s="57"/>
      <c r="O908" s="57"/>
      <c r="P908" s="57"/>
      <c r="Q908" s="69"/>
      <c r="R908" s="69"/>
      <c r="S908" s="23" t="str">
        <f>iferror(if(AN908=1,VLOOKUP(B908, Blends!H$4:AK$1004,32,0), ""), "")</f>
        <v/>
      </c>
      <c r="T908" s="58"/>
      <c r="U908" s="77"/>
      <c r="V908" s="77"/>
      <c r="W908" s="78"/>
      <c r="X908" s="77"/>
      <c r="Y908" s="77"/>
      <c r="Z908" s="77"/>
      <c r="AA908" s="77"/>
      <c r="AB908" s="77"/>
      <c r="AC908" s="77"/>
      <c r="AD908" s="77"/>
      <c r="AE908" s="77"/>
      <c r="AF908" s="77"/>
      <c r="AG908" s="77"/>
      <c r="AH908" s="77"/>
      <c r="AI908" s="77"/>
      <c r="AJ908" s="79"/>
      <c r="AK908" s="80"/>
      <c r="AL908" s="59"/>
      <c r="AM908" s="35"/>
      <c r="AN908" s="35"/>
      <c r="AO908" s="35"/>
      <c r="AP908" s="35"/>
      <c r="AQ908" s="35"/>
      <c r="AR908" s="35"/>
      <c r="AS908" s="35"/>
      <c r="AT908" s="35"/>
      <c r="AU908" s="35"/>
      <c r="AV908" s="35"/>
      <c r="AW908" s="35"/>
    </row>
    <row r="909">
      <c r="A909" s="17"/>
      <c r="B909" s="35"/>
      <c r="C909" s="74"/>
      <c r="D909" s="74"/>
      <c r="E909" s="74"/>
      <c r="F909" s="74"/>
      <c r="G909" s="74"/>
      <c r="H909" s="74"/>
      <c r="I909" s="74"/>
      <c r="J909" s="57"/>
      <c r="K909" s="57"/>
      <c r="L909" s="57"/>
      <c r="M909" s="57"/>
      <c r="N909" s="57"/>
      <c r="O909" s="57"/>
      <c r="P909" s="57"/>
      <c r="Q909" s="69"/>
      <c r="R909" s="69"/>
      <c r="S909" s="23" t="str">
        <f>iferror(if(AN909=1,VLOOKUP(B909, Blends!H$4:AK$1004,32,0), ""), "")</f>
        <v/>
      </c>
      <c r="T909" s="58"/>
      <c r="U909" s="77"/>
      <c r="V909" s="77"/>
      <c r="W909" s="78"/>
      <c r="X909" s="77"/>
      <c r="Y909" s="77"/>
      <c r="Z909" s="77"/>
      <c r="AA909" s="77"/>
      <c r="AB909" s="77"/>
      <c r="AC909" s="77"/>
      <c r="AD909" s="77"/>
      <c r="AE909" s="77"/>
      <c r="AF909" s="77"/>
      <c r="AG909" s="77"/>
      <c r="AH909" s="77"/>
      <c r="AI909" s="77"/>
      <c r="AJ909" s="79"/>
      <c r="AK909" s="80"/>
      <c r="AL909" s="59"/>
      <c r="AM909" s="35"/>
      <c r="AN909" s="35"/>
      <c r="AO909" s="35"/>
      <c r="AP909" s="35"/>
      <c r="AQ909" s="35"/>
      <c r="AR909" s="35"/>
      <c r="AS909" s="35"/>
      <c r="AT909" s="35"/>
      <c r="AU909" s="35"/>
      <c r="AV909" s="35"/>
      <c r="AW909" s="35"/>
    </row>
    <row r="910">
      <c r="A910" s="17"/>
      <c r="B910" s="35"/>
      <c r="C910" s="74"/>
      <c r="D910" s="74"/>
      <c r="E910" s="74"/>
      <c r="F910" s="74"/>
      <c r="G910" s="74"/>
      <c r="H910" s="74"/>
      <c r="I910" s="74"/>
      <c r="J910" s="57"/>
      <c r="K910" s="57"/>
      <c r="L910" s="57"/>
      <c r="M910" s="57"/>
      <c r="N910" s="57"/>
      <c r="O910" s="57"/>
      <c r="P910" s="57"/>
      <c r="Q910" s="69"/>
      <c r="R910" s="69"/>
      <c r="S910" s="23" t="str">
        <f>iferror(if(AN910=1,VLOOKUP(B910, Blends!H$4:AK$1004,32,0), ""), "")</f>
        <v/>
      </c>
      <c r="T910" s="58"/>
      <c r="U910" s="77"/>
      <c r="V910" s="77"/>
      <c r="W910" s="78"/>
      <c r="X910" s="77"/>
      <c r="Y910" s="77"/>
      <c r="Z910" s="77"/>
      <c r="AA910" s="77"/>
      <c r="AB910" s="77"/>
      <c r="AC910" s="77"/>
      <c r="AD910" s="77"/>
      <c r="AE910" s="77"/>
      <c r="AF910" s="77"/>
      <c r="AG910" s="77"/>
      <c r="AH910" s="77"/>
      <c r="AI910" s="77"/>
      <c r="AJ910" s="79"/>
      <c r="AK910" s="80"/>
      <c r="AL910" s="59"/>
      <c r="AM910" s="35"/>
      <c r="AN910" s="35"/>
      <c r="AO910" s="35"/>
      <c r="AP910" s="35"/>
      <c r="AQ910" s="35"/>
      <c r="AR910" s="35"/>
      <c r="AS910" s="35"/>
      <c r="AT910" s="35"/>
      <c r="AU910" s="35"/>
      <c r="AV910" s="35"/>
      <c r="AW910" s="35"/>
    </row>
    <row r="911">
      <c r="A911" s="17"/>
      <c r="B911" s="35"/>
      <c r="C911" s="74"/>
      <c r="D911" s="74"/>
      <c r="E911" s="74"/>
      <c r="F911" s="74"/>
      <c r="G911" s="74"/>
      <c r="H911" s="74"/>
      <c r="I911" s="74"/>
      <c r="J911" s="57"/>
      <c r="K911" s="57"/>
      <c r="L911" s="57"/>
      <c r="M911" s="57"/>
      <c r="N911" s="57"/>
      <c r="O911" s="57"/>
      <c r="P911" s="57"/>
      <c r="Q911" s="69"/>
      <c r="R911" s="69"/>
      <c r="S911" s="23" t="str">
        <f>iferror(if(AN911=1,VLOOKUP(B911, Blends!H$4:AK$1004,32,0), ""), "")</f>
        <v/>
      </c>
      <c r="T911" s="58"/>
      <c r="U911" s="77"/>
      <c r="V911" s="77"/>
      <c r="W911" s="78"/>
      <c r="X911" s="77"/>
      <c r="Y911" s="77"/>
      <c r="Z911" s="77"/>
      <c r="AA911" s="77"/>
      <c r="AB911" s="77"/>
      <c r="AC911" s="77"/>
      <c r="AD911" s="77"/>
      <c r="AE911" s="77"/>
      <c r="AF911" s="77"/>
      <c r="AG911" s="77"/>
      <c r="AH911" s="77"/>
      <c r="AI911" s="77"/>
      <c r="AJ911" s="79"/>
      <c r="AK911" s="80"/>
      <c r="AL911" s="59"/>
      <c r="AM911" s="35"/>
      <c r="AN911" s="35"/>
      <c r="AO911" s="35"/>
      <c r="AP911" s="35"/>
      <c r="AQ911" s="35"/>
      <c r="AR911" s="35"/>
      <c r="AS911" s="35"/>
      <c r="AT911" s="35"/>
      <c r="AU911" s="35"/>
      <c r="AV911" s="35"/>
      <c r="AW911" s="35"/>
    </row>
    <row r="912">
      <c r="A912" s="17"/>
      <c r="B912" s="35"/>
      <c r="C912" s="74"/>
      <c r="D912" s="74"/>
      <c r="E912" s="74"/>
      <c r="F912" s="74"/>
      <c r="G912" s="74"/>
      <c r="H912" s="74"/>
      <c r="I912" s="74"/>
      <c r="J912" s="57"/>
      <c r="K912" s="57"/>
      <c r="L912" s="57"/>
      <c r="M912" s="57"/>
      <c r="N912" s="57"/>
      <c r="O912" s="57"/>
      <c r="P912" s="57"/>
      <c r="Q912" s="69"/>
      <c r="R912" s="69"/>
      <c r="S912" s="23" t="str">
        <f>iferror(if(AN912=1,VLOOKUP(B912, Blends!H$4:AK$1004,32,0), ""), "")</f>
        <v/>
      </c>
      <c r="T912" s="58"/>
      <c r="U912" s="77"/>
      <c r="V912" s="77"/>
      <c r="W912" s="78"/>
      <c r="X912" s="77"/>
      <c r="Y912" s="77"/>
      <c r="Z912" s="77"/>
      <c r="AA912" s="77"/>
      <c r="AB912" s="77"/>
      <c r="AC912" s="77"/>
      <c r="AD912" s="77"/>
      <c r="AE912" s="77"/>
      <c r="AF912" s="77"/>
      <c r="AG912" s="77"/>
      <c r="AH912" s="77"/>
      <c r="AI912" s="77"/>
      <c r="AJ912" s="79"/>
      <c r="AK912" s="80"/>
      <c r="AL912" s="59"/>
      <c r="AM912" s="35"/>
      <c r="AN912" s="35"/>
      <c r="AO912" s="35"/>
      <c r="AP912" s="35"/>
      <c r="AQ912" s="35"/>
      <c r="AR912" s="35"/>
      <c r="AS912" s="35"/>
      <c r="AT912" s="35"/>
      <c r="AU912" s="35"/>
      <c r="AV912" s="35"/>
      <c r="AW912" s="35"/>
    </row>
    <row r="913">
      <c r="A913" s="17"/>
      <c r="B913" s="35"/>
      <c r="C913" s="74"/>
      <c r="D913" s="74"/>
      <c r="E913" s="74"/>
      <c r="F913" s="74"/>
      <c r="G913" s="74"/>
      <c r="H913" s="74"/>
      <c r="I913" s="74"/>
      <c r="J913" s="57"/>
      <c r="K913" s="57"/>
      <c r="L913" s="57"/>
      <c r="M913" s="57"/>
      <c r="N913" s="57"/>
      <c r="O913" s="57"/>
      <c r="P913" s="57"/>
      <c r="Q913" s="69"/>
      <c r="R913" s="69"/>
      <c r="S913" s="23" t="str">
        <f>iferror(if(AN913=1,VLOOKUP(B913, Blends!H$4:AK$1004,32,0), ""), "")</f>
        <v/>
      </c>
      <c r="T913" s="58"/>
      <c r="U913" s="77"/>
      <c r="V913" s="77"/>
      <c r="W913" s="78"/>
      <c r="X913" s="77"/>
      <c r="Y913" s="77"/>
      <c r="Z913" s="77"/>
      <c r="AA913" s="77"/>
      <c r="AB913" s="77"/>
      <c r="AC913" s="77"/>
      <c r="AD913" s="77"/>
      <c r="AE913" s="77"/>
      <c r="AF913" s="77"/>
      <c r="AG913" s="77"/>
      <c r="AH913" s="77"/>
      <c r="AI913" s="77"/>
      <c r="AJ913" s="79"/>
      <c r="AK913" s="80"/>
      <c r="AL913" s="59"/>
      <c r="AM913" s="35"/>
      <c r="AN913" s="35"/>
      <c r="AO913" s="35"/>
      <c r="AP913" s="35"/>
      <c r="AQ913" s="35"/>
      <c r="AR913" s="35"/>
      <c r="AS913" s="35"/>
      <c r="AT913" s="35"/>
      <c r="AU913" s="35"/>
      <c r="AV913" s="35"/>
      <c r="AW913" s="35"/>
    </row>
    <row r="914">
      <c r="A914" s="17"/>
      <c r="B914" s="35"/>
      <c r="C914" s="74"/>
      <c r="D914" s="74"/>
      <c r="E914" s="74"/>
      <c r="F914" s="74"/>
      <c r="G914" s="74"/>
      <c r="H914" s="74"/>
      <c r="I914" s="74"/>
      <c r="J914" s="57"/>
      <c r="K914" s="57"/>
      <c r="L914" s="57"/>
      <c r="M914" s="57"/>
      <c r="N914" s="57"/>
      <c r="O914" s="57"/>
      <c r="P914" s="57"/>
      <c r="Q914" s="69"/>
      <c r="R914" s="69"/>
      <c r="S914" s="23" t="str">
        <f>iferror(if(AN914=1,VLOOKUP(B914, Blends!H$4:AK$1004,32,0), ""), "")</f>
        <v/>
      </c>
      <c r="T914" s="58"/>
      <c r="U914" s="77"/>
      <c r="V914" s="77"/>
      <c r="W914" s="78"/>
      <c r="X914" s="77"/>
      <c r="Y914" s="77"/>
      <c r="Z914" s="77"/>
      <c r="AA914" s="77"/>
      <c r="AB914" s="77"/>
      <c r="AC914" s="77"/>
      <c r="AD914" s="77"/>
      <c r="AE914" s="77"/>
      <c r="AF914" s="77"/>
      <c r="AG914" s="77"/>
      <c r="AH914" s="77"/>
      <c r="AI914" s="77"/>
      <c r="AJ914" s="79"/>
      <c r="AK914" s="80"/>
      <c r="AL914" s="59"/>
      <c r="AM914" s="35"/>
      <c r="AN914" s="35"/>
      <c r="AO914" s="35"/>
      <c r="AP914" s="35"/>
      <c r="AQ914" s="35"/>
      <c r="AR914" s="35"/>
      <c r="AS914" s="35"/>
      <c r="AT914" s="35"/>
      <c r="AU914" s="35"/>
      <c r="AV914" s="35"/>
      <c r="AW914" s="35"/>
    </row>
    <row r="915">
      <c r="A915" s="17"/>
      <c r="B915" s="35"/>
      <c r="C915" s="74"/>
      <c r="D915" s="74"/>
      <c r="E915" s="74"/>
      <c r="F915" s="74"/>
      <c r="G915" s="74"/>
      <c r="H915" s="74"/>
      <c r="I915" s="74"/>
      <c r="J915" s="57"/>
      <c r="K915" s="57"/>
      <c r="L915" s="57"/>
      <c r="M915" s="57"/>
      <c r="N915" s="57"/>
      <c r="O915" s="57"/>
      <c r="P915" s="57"/>
      <c r="Q915" s="69"/>
      <c r="R915" s="69"/>
      <c r="S915" s="23" t="str">
        <f>iferror(if(AN915=1,VLOOKUP(B915, Blends!H$4:AK$1004,32,0), ""), "")</f>
        <v/>
      </c>
      <c r="T915" s="58"/>
      <c r="U915" s="77"/>
      <c r="V915" s="77"/>
      <c r="W915" s="78"/>
      <c r="X915" s="77"/>
      <c r="Y915" s="77"/>
      <c r="Z915" s="77"/>
      <c r="AA915" s="77"/>
      <c r="AB915" s="77"/>
      <c r="AC915" s="77"/>
      <c r="AD915" s="77"/>
      <c r="AE915" s="77"/>
      <c r="AF915" s="77"/>
      <c r="AG915" s="77"/>
      <c r="AH915" s="77"/>
      <c r="AI915" s="77"/>
      <c r="AJ915" s="79"/>
      <c r="AK915" s="80"/>
      <c r="AL915" s="59"/>
      <c r="AM915" s="35"/>
      <c r="AN915" s="35"/>
      <c r="AO915" s="35"/>
      <c r="AP915" s="35"/>
      <c r="AQ915" s="35"/>
      <c r="AR915" s="35"/>
      <c r="AS915" s="35"/>
      <c r="AT915" s="35"/>
      <c r="AU915" s="35"/>
      <c r="AV915" s="35"/>
      <c r="AW915" s="35"/>
    </row>
    <row r="916">
      <c r="A916" s="17"/>
      <c r="B916" s="35"/>
      <c r="C916" s="74"/>
      <c r="D916" s="74"/>
      <c r="E916" s="74"/>
      <c r="F916" s="74"/>
      <c r="G916" s="74"/>
      <c r="H916" s="74"/>
      <c r="I916" s="74"/>
      <c r="J916" s="57"/>
      <c r="K916" s="57"/>
      <c r="L916" s="57"/>
      <c r="M916" s="57"/>
      <c r="N916" s="57"/>
      <c r="O916" s="57"/>
      <c r="P916" s="57"/>
      <c r="Q916" s="69"/>
      <c r="R916" s="69"/>
      <c r="S916" s="23" t="str">
        <f>iferror(if(AN916=1,VLOOKUP(B916, Blends!H$4:AK$1004,32,0), ""), "")</f>
        <v/>
      </c>
      <c r="T916" s="58"/>
      <c r="U916" s="77"/>
      <c r="V916" s="77"/>
      <c r="W916" s="78"/>
      <c r="X916" s="77"/>
      <c r="Y916" s="77"/>
      <c r="Z916" s="77"/>
      <c r="AA916" s="77"/>
      <c r="AB916" s="77"/>
      <c r="AC916" s="77"/>
      <c r="AD916" s="77"/>
      <c r="AE916" s="77"/>
      <c r="AF916" s="77"/>
      <c r="AG916" s="77"/>
      <c r="AH916" s="77"/>
      <c r="AI916" s="77"/>
      <c r="AJ916" s="79"/>
      <c r="AK916" s="80"/>
      <c r="AL916" s="59"/>
      <c r="AM916" s="35"/>
      <c r="AN916" s="35"/>
      <c r="AO916" s="35"/>
      <c r="AP916" s="35"/>
      <c r="AQ916" s="35"/>
      <c r="AR916" s="35"/>
      <c r="AS916" s="35"/>
      <c r="AT916" s="35"/>
      <c r="AU916" s="35"/>
      <c r="AV916" s="35"/>
      <c r="AW916" s="35"/>
    </row>
    <row r="917">
      <c r="A917" s="17"/>
      <c r="B917" s="35"/>
      <c r="C917" s="74"/>
      <c r="D917" s="74"/>
      <c r="E917" s="74"/>
      <c r="F917" s="74"/>
      <c r="G917" s="74"/>
      <c r="H917" s="74"/>
      <c r="I917" s="74"/>
      <c r="J917" s="57"/>
      <c r="K917" s="57"/>
      <c r="L917" s="57"/>
      <c r="M917" s="57"/>
      <c r="N917" s="57"/>
      <c r="O917" s="57"/>
      <c r="P917" s="57"/>
      <c r="Q917" s="69"/>
      <c r="R917" s="69"/>
      <c r="S917" s="23" t="str">
        <f>iferror(if(AN917=1,VLOOKUP(B917, Blends!H$4:AK$1004,32,0), ""), "")</f>
        <v/>
      </c>
      <c r="T917" s="58"/>
      <c r="U917" s="77"/>
      <c r="V917" s="77"/>
      <c r="W917" s="78"/>
      <c r="X917" s="77"/>
      <c r="Y917" s="77"/>
      <c r="Z917" s="77"/>
      <c r="AA917" s="77"/>
      <c r="AB917" s="77"/>
      <c r="AC917" s="77"/>
      <c r="AD917" s="77"/>
      <c r="AE917" s="77"/>
      <c r="AF917" s="77"/>
      <c r="AG917" s="77"/>
      <c r="AH917" s="77"/>
      <c r="AI917" s="77"/>
      <c r="AJ917" s="79"/>
      <c r="AK917" s="80"/>
      <c r="AL917" s="59"/>
      <c r="AM917" s="35"/>
      <c r="AN917" s="35"/>
      <c r="AO917" s="35"/>
      <c r="AP917" s="35"/>
      <c r="AQ917" s="35"/>
      <c r="AR917" s="35"/>
      <c r="AS917" s="35"/>
      <c r="AT917" s="35"/>
      <c r="AU917" s="35"/>
      <c r="AV917" s="35"/>
      <c r="AW917" s="35"/>
    </row>
    <row r="918">
      <c r="A918" s="17"/>
      <c r="B918" s="35"/>
      <c r="C918" s="74"/>
      <c r="D918" s="74"/>
      <c r="E918" s="74"/>
      <c r="F918" s="74"/>
      <c r="G918" s="74"/>
      <c r="H918" s="74"/>
      <c r="I918" s="74"/>
      <c r="J918" s="57"/>
      <c r="K918" s="57"/>
      <c r="L918" s="57"/>
      <c r="M918" s="57"/>
      <c r="N918" s="57"/>
      <c r="O918" s="57"/>
      <c r="P918" s="57"/>
      <c r="Q918" s="69"/>
      <c r="R918" s="69"/>
      <c r="S918" s="23" t="str">
        <f>iferror(if(AN918=1,VLOOKUP(B918, Blends!H$4:AK$1004,32,0), ""), "")</f>
        <v/>
      </c>
      <c r="T918" s="58"/>
      <c r="U918" s="77"/>
      <c r="V918" s="77"/>
      <c r="W918" s="78"/>
      <c r="X918" s="77"/>
      <c r="Y918" s="77"/>
      <c r="Z918" s="77"/>
      <c r="AA918" s="77"/>
      <c r="AB918" s="77"/>
      <c r="AC918" s="77"/>
      <c r="AD918" s="77"/>
      <c r="AE918" s="77"/>
      <c r="AF918" s="77"/>
      <c r="AG918" s="77"/>
      <c r="AH918" s="77"/>
      <c r="AI918" s="77"/>
      <c r="AJ918" s="79"/>
      <c r="AK918" s="80"/>
      <c r="AL918" s="59"/>
      <c r="AM918" s="35"/>
      <c r="AN918" s="35"/>
      <c r="AO918" s="35"/>
      <c r="AP918" s="35"/>
      <c r="AQ918" s="35"/>
      <c r="AR918" s="35"/>
      <c r="AS918" s="35"/>
      <c r="AT918" s="35"/>
      <c r="AU918" s="35"/>
      <c r="AV918" s="35"/>
      <c r="AW918" s="35"/>
    </row>
    <row r="919">
      <c r="A919" s="17"/>
      <c r="B919" s="35"/>
      <c r="C919" s="74"/>
      <c r="D919" s="74"/>
      <c r="E919" s="74"/>
      <c r="F919" s="74"/>
      <c r="G919" s="74"/>
      <c r="H919" s="74"/>
      <c r="I919" s="74"/>
      <c r="J919" s="57"/>
      <c r="K919" s="57"/>
      <c r="L919" s="57"/>
      <c r="M919" s="57"/>
      <c r="N919" s="57"/>
      <c r="O919" s="57"/>
      <c r="P919" s="57"/>
      <c r="Q919" s="69"/>
      <c r="R919" s="69"/>
      <c r="S919" s="23" t="str">
        <f>iferror(if(AN919=1,VLOOKUP(B919, Blends!H$4:AK$1004,32,0), ""), "")</f>
        <v/>
      </c>
      <c r="T919" s="58"/>
      <c r="U919" s="77"/>
      <c r="V919" s="77"/>
      <c r="W919" s="78"/>
      <c r="X919" s="77"/>
      <c r="Y919" s="77"/>
      <c r="Z919" s="77"/>
      <c r="AA919" s="77"/>
      <c r="AB919" s="77"/>
      <c r="AC919" s="77"/>
      <c r="AD919" s="77"/>
      <c r="AE919" s="77"/>
      <c r="AF919" s="77"/>
      <c r="AG919" s="77"/>
      <c r="AH919" s="77"/>
      <c r="AI919" s="77"/>
      <c r="AJ919" s="79"/>
      <c r="AK919" s="80"/>
      <c r="AL919" s="59"/>
      <c r="AM919" s="35"/>
      <c r="AN919" s="35"/>
      <c r="AO919" s="35"/>
      <c r="AP919" s="35"/>
      <c r="AQ919" s="35"/>
      <c r="AR919" s="35"/>
      <c r="AS919" s="35"/>
      <c r="AT919" s="35"/>
      <c r="AU919" s="35"/>
      <c r="AV919" s="35"/>
      <c r="AW919" s="35"/>
    </row>
    <row r="920">
      <c r="A920" s="17"/>
      <c r="B920" s="35"/>
      <c r="C920" s="74"/>
      <c r="D920" s="74"/>
      <c r="E920" s="74"/>
      <c r="F920" s="74"/>
      <c r="G920" s="74"/>
      <c r="H920" s="74"/>
      <c r="I920" s="74"/>
      <c r="J920" s="57"/>
      <c r="K920" s="57"/>
      <c r="L920" s="57"/>
      <c r="M920" s="57"/>
      <c r="N920" s="57"/>
      <c r="O920" s="57"/>
      <c r="P920" s="57"/>
      <c r="Q920" s="69"/>
      <c r="R920" s="69"/>
      <c r="S920" s="23" t="str">
        <f>iferror(if(AN920=1,VLOOKUP(B920, Blends!H$4:AK$1004,32,0), ""), "")</f>
        <v/>
      </c>
      <c r="T920" s="58"/>
      <c r="U920" s="77"/>
      <c r="V920" s="77"/>
      <c r="W920" s="78"/>
      <c r="X920" s="77"/>
      <c r="Y920" s="77"/>
      <c r="Z920" s="77"/>
      <c r="AA920" s="77"/>
      <c r="AB920" s="77"/>
      <c r="AC920" s="77"/>
      <c r="AD920" s="77"/>
      <c r="AE920" s="77"/>
      <c r="AF920" s="77"/>
      <c r="AG920" s="77"/>
      <c r="AH920" s="77"/>
      <c r="AI920" s="77"/>
      <c r="AJ920" s="79"/>
      <c r="AK920" s="80"/>
      <c r="AL920" s="59"/>
      <c r="AM920" s="35"/>
      <c r="AN920" s="35"/>
      <c r="AO920" s="35"/>
      <c r="AP920" s="35"/>
      <c r="AQ920" s="35"/>
      <c r="AR920" s="35"/>
      <c r="AS920" s="35"/>
      <c r="AT920" s="35"/>
      <c r="AU920" s="35"/>
      <c r="AV920" s="35"/>
      <c r="AW920" s="35"/>
    </row>
    <row r="921">
      <c r="A921" s="17"/>
      <c r="B921" s="35"/>
      <c r="C921" s="74"/>
      <c r="D921" s="74"/>
      <c r="E921" s="74"/>
      <c r="F921" s="74"/>
      <c r="G921" s="74"/>
      <c r="H921" s="74"/>
      <c r="I921" s="74"/>
      <c r="J921" s="57"/>
      <c r="K921" s="57"/>
      <c r="L921" s="57"/>
      <c r="M921" s="57"/>
      <c r="N921" s="57"/>
      <c r="O921" s="57"/>
      <c r="P921" s="57"/>
      <c r="Q921" s="69"/>
      <c r="R921" s="69"/>
      <c r="S921" s="23" t="str">
        <f>iferror(if(AN921=1,VLOOKUP(B921, Blends!H$4:AK$1004,32,0), ""), "")</f>
        <v/>
      </c>
      <c r="T921" s="58"/>
      <c r="U921" s="77"/>
      <c r="V921" s="77"/>
      <c r="W921" s="78"/>
      <c r="X921" s="77"/>
      <c r="Y921" s="77"/>
      <c r="Z921" s="77"/>
      <c r="AA921" s="77"/>
      <c r="AB921" s="77"/>
      <c r="AC921" s="77"/>
      <c r="AD921" s="77"/>
      <c r="AE921" s="77"/>
      <c r="AF921" s="77"/>
      <c r="AG921" s="77"/>
      <c r="AH921" s="77"/>
      <c r="AI921" s="77"/>
      <c r="AJ921" s="79"/>
      <c r="AK921" s="80"/>
      <c r="AL921" s="59"/>
      <c r="AM921" s="35"/>
      <c r="AN921" s="35"/>
      <c r="AO921" s="35"/>
      <c r="AP921" s="35"/>
      <c r="AQ921" s="35"/>
      <c r="AR921" s="35"/>
      <c r="AS921" s="35"/>
      <c r="AT921" s="35"/>
      <c r="AU921" s="35"/>
      <c r="AV921" s="35"/>
      <c r="AW921" s="35"/>
    </row>
    <row r="922">
      <c r="A922" s="17"/>
      <c r="B922" s="35"/>
      <c r="C922" s="74"/>
      <c r="D922" s="74"/>
      <c r="E922" s="74"/>
      <c r="F922" s="74"/>
      <c r="G922" s="74"/>
      <c r="H922" s="74"/>
      <c r="I922" s="74"/>
      <c r="J922" s="57"/>
      <c r="K922" s="57"/>
      <c r="L922" s="57"/>
      <c r="M922" s="57"/>
      <c r="N922" s="57"/>
      <c r="O922" s="57"/>
      <c r="P922" s="57"/>
      <c r="Q922" s="69"/>
      <c r="R922" s="69"/>
      <c r="S922" s="23" t="str">
        <f>iferror(if(AN922=1,VLOOKUP(B922, Blends!H$4:AK$1004,32,0), ""), "")</f>
        <v/>
      </c>
      <c r="T922" s="58"/>
      <c r="U922" s="77"/>
      <c r="V922" s="77"/>
      <c r="W922" s="78"/>
      <c r="X922" s="77"/>
      <c r="Y922" s="77"/>
      <c r="Z922" s="77"/>
      <c r="AA922" s="77"/>
      <c r="AB922" s="77"/>
      <c r="AC922" s="77"/>
      <c r="AD922" s="77"/>
      <c r="AE922" s="77"/>
      <c r="AF922" s="77"/>
      <c r="AG922" s="77"/>
      <c r="AH922" s="77"/>
      <c r="AI922" s="77"/>
      <c r="AJ922" s="79"/>
      <c r="AK922" s="80"/>
      <c r="AL922" s="59"/>
      <c r="AM922" s="35"/>
      <c r="AN922" s="35"/>
      <c r="AO922" s="35"/>
      <c r="AP922" s="35"/>
      <c r="AQ922" s="35"/>
      <c r="AR922" s="35"/>
      <c r="AS922" s="35"/>
      <c r="AT922" s="35"/>
      <c r="AU922" s="35"/>
      <c r="AV922" s="35"/>
      <c r="AW922" s="35"/>
    </row>
    <row r="923">
      <c r="A923" s="17"/>
      <c r="B923" s="35"/>
      <c r="C923" s="74"/>
      <c r="D923" s="74"/>
      <c r="E923" s="74"/>
      <c r="F923" s="74"/>
      <c r="G923" s="74"/>
      <c r="H923" s="74"/>
      <c r="I923" s="74"/>
      <c r="J923" s="57"/>
      <c r="K923" s="57"/>
      <c r="L923" s="57"/>
      <c r="M923" s="57"/>
      <c r="N923" s="57"/>
      <c r="O923" s="57"/>
      <c r="P923" s="57"/>
      <c r="Q923" s="69"/>
      <c r="R923" s="69"/>
      <c r="S923" s="23" t="str">
        <f>iferror(if(AN923=1,VLOOKUP(B923, Blends!H$4:AK$1004,32,0), ""), "")</f>
        <v/>
      </c>
      <c r="T923" s="58"/>
      <c r="U923" s="77"/>
      <c r="V923" s="77"/>
      <c r="W923" s="78"/>
      <c r="X923" s="77"/>
      <c r="Y923" s="77"/>
      <c r="Z923" s="77"/>
      <c r="AA923" s="77"/>
      <c r="AB923" s="77"/>
      <c r="AC923" s="77"/>
      <c r="AD923" s="77"/>
      <c r="AE923" s="77"/>
      <c r="AF923" s="77"/>
      <c r="AG923" s="77"/>
      <c r="AH923" s="77"/>
      <c r="AI923" s="77"/>
      <c r="AJ923" s="79"/>
      <c r="AK923" s="80"/>
      <c r="AL923" s="59"/>
      <c r="AM923" s="35"/>
      <c r="AN923" s="35"/>
      <c r="AO923" s="35"/>
      <c r="AP923" s="35"/>
      <c r="AQ923" s="35"/>
      <c r="AR923" s="35"/>
      <c r="AS923" s="35"/>
      <c r="AT923" s="35"/>
      <c r="AU923" s="35"/>
      <c r="AV923" s="35"/>
      <c r="AW923" s="35"/>
    </row>
    <row r="924">
      <c r="A924" s="17"/>
      <c r="B924" s="35"/>
      <c r="C924" s="74"/>
      <c r="D924" s="74"/>
      <c r="E924" s="74"/>
      <c r="F924" s="74"/>
      <c r="G924" s="74"/>
      <c r="H924" s="74"/>
      <c r="I924" s="74"/>
      <c r="J924" s="57"/>
      <c r="K924" s="57"/>
      <c r="L924" s="57"/>
      <c r="M924" s="57"/>
      <c r="N924" s="57"/>
      <c r="O924" s="57"/>
      <c r="P924" s="57"/>
      <c r="Q924" s="69"/>
      <c r="R924" s="69"/>
      <c r="S924" s="23" t="str">
        <f>iferror(if(AN924=1,VLOOKUP(B924, Blends!H$4:AK$1004,32,0), ""), "")</f>
        <v/>
      </c>
      <c r="T924" s="58"/>
      <c r="U924" s="77"/>
      <c r="V924" s="77"/>
      <c r="W924" s="78"/>
      <c r="X924" s="77"/>
      <c r="Y924" s="77"/>
      <c r="Z924" s="77"/>
      <c r="AA924" s="77"/>
      <c r="AB924" s="77"/>
      <c r="AC924" s="77"/>
      <c r="AD924" s="77"/>
      <c r="AE924" s="77"/>
      <c r="AF924" s="77"/>
      <c r="AG924" s="77"/>
      <c r="AH924" s="77"/>
      <c r="AI924" s="77"/>
      <c r="AJ924" s="79"/>
      <c r="AK924" s="80"/>
      <c r="AL924" s="59"/>
      <c r="AM924" s="35"/>
      <c r="AN924" s="35"/>
      <c r="AO924" s="35"/>
      <c r="AP924" s="35"/>
      <c r="AQ924" s="35"/>
      <c r="AR924" s="35"/>
      <c r="AS924" s="35"/>
      <c r="AT924" s="35"/>
      <c r="AU924" s="35"/>
      <c r="AV924" s="35"/>
      <c r="AW924" s="35"/>
    </row>
    <row r="925">
      <c r="A925" s="17"/>
      <c r="B925" s="35"/>
      <c r="C925" s="74"/>
      <c r="D925" s="74"/>
      <c r="E925" s="74"/>
      <c r="F925" s="74"/>
      <c r="G925" s="74"/>
      <c r="H925" s="74"/>
      <c r="I925" s="74"/>
      <c r="J925" s="57"/>
      <c r="K925" s="57"/>
      <c r="L925" s="57"/>
      <c r="M925" s="57"/>
      <c r="N925" s="57"/>
      <c r="O925" s="57"/>
      <c r="P925" s="57"/>
      <c r="Q925" s="69"/>
      <c r="R925" s="69"/>
      <c r="S925" s="23" t="str">
        <f>iferror(if(AN925=1,VLOOKUP(B925, Blends!H$4:AK$1004,32,0), ""), "")</f>
        <v/>
      </c>
      <c r="T925" s="58"/>
      <c r="U925" s="77"/>
      <c r="V925" s="77"/>
      <c r="W925" s="78"/>
      <c r="X925" s="77"/>
      <c r="Y925" s="77"/>
      <c r="Z925" s="77"/>
      <c r="AA925" s="77"/>
      <c r="AB925" s="77"/>
      <c r="AC925" s="77"/>
      <c r="AD925" s="77"/>
      <c r="AE925" s="77"/>
      <c r="AF925" s="77"/>
      <c r="AG925" s="77"/>
      <c r="AH925" s="77"/>
      <c r="AI925" s="77"/>
      <c r="AJ925" s="79"/>
      <c r="AK925" s="80"/>
      <c r="AL925" s="59"/>
      <c r="AM925" s="35"/>
      <c r="AN925" s="35"/>
      <c r="AO925" s="35"/>
      <c r="AP925" s="35"/>
      <c r="AQ925" s="35"/>
      <c r="AR925" s="35"/>
      <c r="AS925" s="35"/>
      <c r="AT925" s="35"/>
      <c r="AU925" s="35"/>
      <c r="AV925" s="35"/>
      <c r="AW925" s="35"/>
    </row>
    <row r="926">
      <c r="A926" s="17"/>
      <c r="B926" s="35"/>
      <c r="C926" s="74"/>
      <c r="D926" s="74"/>
      <c r="E926" s="74"/>
      <c r="F926" s="74"/>
      <c r="G926" s="74"/>
      <c r="H926" s="74"/>
      <c r="I926" s="74"/>
      <c r="J926" s="57"/>
      <c r="K926" s="57"/>
      <c r="L926" s="57"/>
      <c r="M926" s="57"/>
      <c r="N926" s="57"/>
      <c r="O926" s="57"/>
      <c r="P926" s="57"/>
      <c r="Q926" s="69"/>
      <c r="R926" s="69"/>
      <c r="S926" s="23" t="str">
        <f>iferror(if(AN926=1,VLOOKUP(B926, Blends!H$4:AK$1004,32,0), ""), "")</f>
        <v/>
      </c>
      <c r="T926" s="58"/>
      <c r="U926" s="77"/>
      <c r="V926" s="77"/>
      <c r="W926" s="78"/>
      <c r="X926" s="77"/>
      <c r="Y926" s="77"/>
      <c r="Z926" s="77"/>
      <c r="AA926" s="77"/>
      <c r="AB926" s="77"/>
      <c r="AC926" s="77"/>
      <c r="AD926" s="77"/>
      <c r="AE926" s="77"/>
      <c r="AF926" s="77"/>
      <c r="AG926" s="77"/>
      <c r="AH926" s="77"/>
      <c r="AI926" s="77"/>
      <c r="AJ926" s="79"/>
      <c r="AK926" s="80"/>
      <c r="AL926" s="59"/>
      <c r="AM926" s="35"/>
      <c r="AN926" s="35"/>
      <c r="AO926" s="35"/>
      <c r="AP926" s="35"/>
      <c r="AQ926" s="35"/>
      <c r="AR926" s="35"/>
      <c r="AS926" s="35"/>
      <c r="AT926" s="35"/>
      <c r="AU926" s="35"/>
      <c r="AV926" s="35"/>
      <c r="AW926" s="35"/>
    </row>
    <row r="927">
      <c r="A927" s="17"/>
      <c r="B927" s="35"/>
      <c r="C927" s="74"/>
      <c r="D927" s="74"/>
      <c r="E927" s="74"/>
      <c r="F927" s="74"/>
      <c r="G927" s="74"/>
      <c r="H927" s="74"/>
      <c r="I927" s="74"/>
      <c r="J927" s="57"/>
      <c r="K927" s="57"/>
      <c r="L927" s="57"/>
      <c r="M927" s="57"/>
      <c r="N927" s="57"/>
      <c r="O927" s="57"/>
      <c r="P927" s="57"/>
      <c r="Q927" s="69"/>
      <c r="R927" s="69"/>
      <c r="S927" s="23" t="str">
        <f>iferror(if(AN927=1,VLOOKUP(B927, Blends!H$4:AK$1004,32,0), ""), "")</f>
        <v/>
      </c>
      <c r="T927" s="58"/>
      <c r="U927" s="77"/>
      <c r="V927" s="77"/>
      <c r="W927" s="78"/>
      <c r="X927" s="77"/>
      <c r="Y927" s="77"/>
      <c r="Z927" s="77"/>
      <c r="AA927" s="77"/>
      <c r="AB927" s="77"/>
      <c r="AC927" s="77"/>
      <c r="AD927" s="77"/>
      <c r="AE927" s="77"/>
      <c r="AF927" s="77"/>
      <c r="AG927" s="77"/>
      <c r="AH927" s="77"/>
      <c r="AI927" s="77"/>
      <c r="AJ927" s="79"/>
      <c r="AK927" s="80"/>
      <c r="AL927" s="59"/>
      <c r="AM927" s="35"/>
      <c r="AN927" s="35"/>
      <c r="AO927" s="35"/>
      <c r="AP927" s="35"/>
      <c r="AQ927" s="35"/>
      <c r="AR927" s="35"/>
      <c r="AS927" s="35"/>
      <c r="AT927" s="35"/>
      <c r="AU927" s="35"/>
      <c r="AV927" s="35"/>
      <c r="AW927" s="35"/>
    </row>
    <row r="928">
      <c r="A928" s="17"/>
      <c r="B928" s="35"/>
      <c r="C928" s="74"/>
      <c r="D928" s="74"/>
      <c r="E928" s="74"/>
      <c r="F928" s="74"/>
      <c r="G928" s="74"/>
      <c r="H928" s="74"/>
      <c r="I928" s="74"/>
      <c r="J928" s="57"/>
      <c r="K928" s="57"/>
      <c r="L928" s="57"/>
      <c r="M928" s="57"/>
      <c r="N928" s="57"/>
      <c r="O928" s="57"/>
      <c r="P928" s="57"/>
      <c r="Q928" s="69"/>
      <c r="R928" s="69"/>
      <c r="S928" s="23" t="str">
        <f>iferror(if(AN928=1,VLOOKUP(B928, Blends!H$4:AK$1004,32,0), ""), "")</f>
        <v/>
      </c>
      <c r="T928" s="58"/>
      <c r="U928" s="77"/>
      <c r="V928" s="77"/>
      <c r="W928" s="78"/>
      <c r="X928" s="77"/>
      <c r="Y928" s="77"/>
      <c r="Z928" s="77"/>
      <c r="AA928" s="77"/>
      <c r="AB928" s="77"/>
      <c r="AC928" s="77"/>
      <c r="AD928" s="77"/>
      <c r="AE928" s="77"/>
      <c r="AF928" s="77"/>
      <c r="AG928" s="77"/>
      <c r="AH928" s="77"/>
      <c r="AI928" s="77"/>
      <c r="AJ928" s="79"/>
      <c r="AK928" s="80"/>
      <c r="AL928" s="59"/>
      <c r="AM928" s="35"/>
      <c r="AN928" s="35"/>
      <c r="AO928" s="35"/>
      <c r="AP928" s="35"/>
      <c r="AQ928" s="35"/>
      <c r="AR928" s="35"/>
      <c r="AS928" s="35"/>
      <c r="AT928" s="35"/>
      <c r="AU928" s="35"/>
      <c r="AV928" s="35"/>
      <c r="AW928" s="35"/>
    </row>
    <row r="929">
      <c r="A929" s="17"/>
      <c r="B929" s="35"/>
      <c r="C929" s="74"/>
      <c r="D929" s="74"/>
      <c r="E929" s="74"/>
      <c r="F929" s="74"/>
      <c r="G929" s="74"/>
      <c r="H929" s="74"/>
      <c r="I929" s="74"/>
      <c r="J929" s="57"/>
      <c r="K929" s="57"/>
      <c r="L929" s="57"/>
      <c r="M929" s="57"/>
      <c r="N929" s="57"/>
      <c r="O929" s="57"/>
      <c r="P929" s="57"/>
      <c r="Q929" s="69"/>
      <c r="R929" s="69"/>
      <c r="S929" s="23" t="str">
        <f>iferror(if(AN929=1,VLOOKUP(B929, Blends!H$4:AK$1004,32,0), ""), "")</f>
        <v/>
      </c>
      <c r="T929" s="58"/>
      <c r="U929" s="77"/>
      <c r="V929" s="77"/>
      <c r="W929" s="78"/>
      <c r="X929" s="77"/>
      <c r="Y929" s="77"/>
      <c r="Z929" s="77"/>
      <c r="AA929" s="77"/>
      <c r="AB929" s="77"/>
      <c r="AC929" s="77"/>
      <c r="AD929" s="77"/>
      <c r="AE929" s="77"/>
      <c r="AF929" s="77"/>
      <c r="AG929" s="77"/>
      <c r="AH929" s="77"/>
      <c r="AI929" s="77"/>
      <c r="AJ929" s="79"/>
      <c r="AK929" s="80"/>
      <c r="AL929" s="59"/>
      <c r="AM929" s="35"/>
      <c r="AN929" s="35"/>
      <c r="AO929" s="35"/>
      <c r="AP929" s="35"/>
      <c r="AQ929" s="35"/>
      <c r="AR929" s="35"/>
      <c r="AS929" s="35"/>
      <c r="AT929" s="35"/>
      <c r="AU929" s="35"/>
      <c r="AV929" s="35"/>
      <c r="AW929" s="35"/>
    </row>
    <row r="930">
      <c r="A930" s="17"/>
      <c r="B930" s="35"/>
      <c r="C930" s="74"/>
      <c r="D930" s="74"/>
      <c r="E930" s="74"/>
      <c r="F930" s="74"/>
      <c r="G930" s="74"/>
      <c r="H930" s="74"/>
      <c r="I930" s="74"/>
      <c r="J930" s="57"/>
      <c r="K930" s="57"/>
      <c r="L930" s="57"/>
      <c r="M930" s="57"/>
      <c r="N930" s="57"/>
      <c r="O930" s="57"/>
      <c r="P930" s="57"/>
      <c r="Q930" s="69"/>
      <c r="R930" s="69"/>
      <c r="S930" s="23" t="str">
        <f>iferror(if(AN930=1,VLOOKUP(B930, Blends!H$4:AK$1004,32,0), ""), "")</f>
        <v/>
      </c>
      <c r="T930" s="58"/>
      <c r="U930" s="77"/>
      <c r="V930" s="77"/>
      <c r="W930" s="78"/>
      <c r="X930" s="77"/>
      <c r="Y930" s="77"/>
      <c r="Z930" s="77"/>
      <c r="AA930" s="77"/>
      <c r="AB930" s="77"/>
      <c r="AC930" s="77"/>
      <c r="AD930" s="77"/>
      <c r="AE930" s="77"/>
      <c r="AF930" s="77"/>
      <c r="AG930" s="77"/>
      <c r="AH930" s="77"/>
      <c r="AI930" s="77"/>
      <c r="AJ930" s="79"/>
      <c r="AK930" s="80"/>
      <c r="AL930" s="59"/>
      <c r="AM930" s="35"/>
      <c r="AN930" s="35"/>
      <c r="AO930" s="35"/>
      <c r="AP930" s="35"/>
      <c r="AQ930" s="35"/>
      <c r="AR930" s="35"/>
      <c r="AS930" s="35"/>
      <c r="AT930" s="35"/>
      <c r="AU930" s="35"/>
      <c r="AV930" s="35"/>
      <c r="AW930" s="35"/>
    </row>
    <row r="931">
      <c r="A931" s="17"/>
      <c r="B931" s="35"/>
      <c r="C931" s="74"/>
      <c r="D931" s="74"/>
      <c r="E931" s="74"/>
      <c r="F931" s="74"/>
      <c r="G931" s="74"/>
      <c r="H931" s="74"/>
      <c r="I931" s="74"/>
      <c r="J931" s="57"/>
      <c r="K931" s="57"/>
      <c r="L931" s="57"/>
      <c r="M931" s="57"/>
      <c r="N931" s="57"/>
      <c r="O931" s="57"/>
      <c r="P931" s="57"/>
      <c r="Q931" s="69"/>
      <c r="R931" s="69"/>
      <c r="S931" s="23" t="str">
        <f>iferror(if(AN931=1,VLOOKUP(B931, Blends!H$4:AK$1004,32,0), ""), "")</f>
        <v/>
      </c>
      <c r="T931" s="58"/>
      <c r="U931" s="77"/>
      <c r="V931" s="77"/>
      <c r="W931" s="78"/>
      <c r="X931" s="77"/>
      <c r="Y931" s="77"/>
      <c r="Z931" s="77"/>
      <c r="AA931" s="77"/>
      <c r="AB931" s="77"/>
      <c r="AC931" s="77"/>
      <c r="AD931" s="77"/>
      <c r="AE931" s="77"/>
      <c r="AF931" s="77"/>
      <c r="AG931" s="77"/>
      <c r="AH931" s="77"/>
      <c r="AI931" s="77"/>
      <c r="AJ931" s="79"/>
      <c r="AK931" s="80"/>
      <c r="AL931" s="59"/>
      <c r="AM931" s="35"/>
      <c r="AN931" s="35"/>
      <c r="AO931" s="35"/>
      <c r="AP931" s="35"/>
      <c r="AQ931" s="35"/>
      <c r="AR931" s="35"/>
      <c r="AS931" s="35"/>
      <c r="AT931" s="35"/>
      <c r="AU931" s="35"/>
      <c r="AV931" s="35"/>
      <c r="AW931" s="35"/>
    </row>
    <row r="932">
      <c r="A932" s="17"/>
      <c r="B932" s="35"/>
      <c r="C932" s="74"/>
      <c r="D932" s="74"/>
      <c r="E932" s="74"/>
      <c r="F932" s="74"/>
      <c r="G932" s="74"/>
      <c r="H932" s="74"/>
      <c r="I932" s="74"/>
      <c r="J932" s="57"/>
      <c r="K932" s="57"/>
      <c r="L932" s="57"/>
      <c r="M932" s="57"/>
      <c r="N932" s="57"/>
      <c r="O932" s="57"/>
      <c r="P932" s="57"/>
      <c r="Q932" s="69"/>
      <c r="R932" s="69"/>
      <c r="S932" s="23" t="str">
        <f>iferror(if(AN932=1,VLOOKUP(B932, Blends!H$4:AK$1004,32,0), ""), "")</f>
        <v/>
      </c>
      <c r="T932" s="58"/>
      <c r="U932" s="77"/>
      <c r="V932" s="77"/>
      <c r="W932" s="78"/>
      <c r="X932" s="77"/>
      <c r="Y932" s="77"/>
      <c r="Z932" s="77"/>
      <c r="AA932" s="77"/>
      <c r="AB932" s="77"/>
      <c r="AC932" s="77"/>
      <c r="AD932" s="77"/>
      <c r="AE932" s="77"/>
      <c r="AF932" s="77"/>
      <c r="AG932" s="77"/>
      <c r="AH932" s="77"/>
      <c r="AI932" s="77"/>
      <c r="AJ932" s="79"/>
      <c r="AK932" s="80"/>
      <c r="AL932" s="59"/>
      <c r="AM932" s="35"/>
      <c r="AN932" s="35"/>
      <c r="AO932" s="35"/>
      <c r="AP932" s="35"/>
      <c r="AQ932" s="35"/>
      <c r="AR932" s="35"/>
      <c r="AS932" s="35"/>
      <c r="AT932" s="35"/>
      <c r="AU932" s="35"/>
      <c r="AV932" s="35"/>
      <c r="AW932" s="35"/>
    </row>
    <row r="933">
      <c r="A933" s="17"/>
      <c r="B933" s="35"/>
      <c r="C933" s="74"/>
      <c r="D933" s="74"/>
      <c r="E933" s="74"/>
      <c r="F933" s="74"/>
      <c r="G933" s="74"/>
      <c r="H933" s="74"/>
      <c r="I933" s="74"/>
      <c r="J933" s="57"/>
      <c r="K933" s="57"/>
      <c r="L933" s="57"/>
      <c r="M933" s="57"/>
      <c r="N933" s="57"/>
      <c r="O933" s="57"/>
      <c r="P933" s="57"/>
      <c r="Q933" s="69"/>
      <c r="R933" s="69"/>
      <c r="S933" s="23" t="str">
        <f>iferror(if(AN933=1,VLOOKUP(B933, Blends!H$4:AK$1004,32,0), ""), "")</f>
        <v/>
      </c>
      <c r="T933" s="58"/>
      <c r="U933" s="77"/>
      <c r="V933" s="77"/>
      <c r="W933" s="78"/>
      <c r="X933" s="77"/>
      <c r="Y933" s="77"/>
      <c r="Z933" s="77"/>
      <c r="AA933" s="77"/>
      <c r="AB933" s="77"/>
      <c r="AC933" s="77"/>
      <c r="AD933" s="77"/>
      <c r="AE933" s="77"/>
      <c r="AF933" s="77"/>
      <c r="AG933" s="77"/>
      <c r="AH933" s="77"/>
      <c r="AI933" s="77"/>
      <c r="AJ933" s="79"/>
      <c r="AK933" s="80"/>
      <c r="AL933" s="59"/>
      <c r="AM933" s="35"/>
      <c r="AN933" s="35"/>
      <c r="AO933" s="35"/>
      <c r="AP933" s="35"/>
      <c r="AQ933" s="35"/>
      <c r="AR933" s="35"/>
      <c r="AS933" s="35"/>
      <c r="AT933" s="35"/>
      <c r="AU933" s="35"/>
      <c r="AV933" s="35"/>
      <c r="AW933" s="35"/>
    </row>
    <row r="934">
      <c r="A934" s="17"/>
      <c r="B934" s="35"/>
      <c r="C934" s="74"/>
      <c r="D934" s="74"/>
      <c r="E934" s="74"/>
      <c r="F934" s="74"/>
      <c r="G934" s="74"/>
      <c r="H934" s="74"/>
      <c r="I934" s="74"/>
      <c r="J934" s="57"/>
      <c r="K934" s="57"/>
      <c r="L934" s="57"/>
      <c r="M934" s="57"/>
      <c r="N934" s="57"/>
      <c r="O934" s="57"/>
      <c r="P934" s="57"/>
      <c r="Q934" s="69"/>
      <c r="R934" s="69"/>
      <c r="S934" s="23" t="str">
        <f>iferror(if(AN934=1,VLOOKUP(B934, Blends!H$4:AK$1004,32,0), ""), "")</f>
        <v/>
      </c>
      <c r="T934" s="58"/>
      <c r="U934" s="77"/>
      <c r="V934" s="77"/>
      <c r="W934" s="78"/>
      <c r="X934" s="77"/>
      <c r="Y934" s="77"/>
      <c r="Z934" s="77"/>
      <c r="AA934" s="77"/>
      <c r="AB934" s="77"/>
      <c r="AC934" s="77"/>
      <c r="AD934" s="77"/>
      <c r="AE934" s="77"/>
      <c r="AF934" s="77"/>
      <c r="AG934" s="77"/>
      <c r="AH934" s="77"/>
      <c r="AI934" s="77"/>
      <c r="AJ934" s="79"/>
      <c r="AK934" s="80"/>
      <c r="AL934" s="59"/>
      <c r="AM934" s="35"/>
      <c r="AN934" s="35"/>
      <c r="AO934" s="35"/>
      <c r="AP934" s="35"/>
      <c r="AQ934" s="35"/>
      <c r="AR934" s="35"/>
      <c r="AS934" s="35"/>
      <c r="AT934" s="35"/>
      <c r="AU934" s="35"/>
      <c r="AV934" s="35"/>
      <c r="AW934" s="35"/>
    </row>
    <row r="935">
      <c r="A935" s="17"/>
      <c r="B935" s="35"/>
      <c r="C935" s="74"/>
      <c r="D935" s="74"/>
      <c r="E935" s="74"/>
      <c r="F935" s="74"/>
      <c r="G935" s="74"/>
      <c r="H935" s="74"/>
      <c r="I935" s="74"/>
      <c r="J935" s="57"/>
      <c r="K935" s="57"/>
      <c r="L935" s="57"/>
      <c r="M935" s="57"/>
      <c r="N935" s="57"/>
      <c r="O935" s="57"/>
      <c r="P935" s="57"/>
      <c r="Q935" s="69"/>
      <c r="R935" s="69"/>
      <c r="S935" s="23" t="str">
        <f>iferror(if(AN935=1,VLOOKUP(B935, Blends!H$4:AK$1004,32,0), ""), "")</f>
        <v/>
      </c>
      <c r="T935" s="58"/>
      <c r="U935" s="77"/>
      <c r="V935" s="77"/>
      <c r="W935" s="78"/>
      <c r="X935" s="77"/>
      <c r="Y935" s="77"/>
      <c r="Z935" s="77"/>
      <c r="AA935" s="77"/>
      <c r="AB935" s="77"/>
      <c r="AC935" s="77"/>
      <c r="AD935" s="77"/>
      <c r="AE935" s="77"/>
      <c r="AF935" s="77"/>
      <c r="AG935" s="77"/>
      <c r="AH935" s="77"/>
      <c r="AI935" s="77"/>
      <c r="AJ935" s="79"/>
      <c r="AK935" s="80"/>
      <c r="AL935" s="59"/>
      <c r="AM935" s="35"/>
      <c r="AN935" s="35"/>
      <c r="AO935" s="35"/>
      <c r="AP935" s="35"/>
      <c r="AQ935" s="35"/>
      <c r="AR935" s="35"/>
      <c r="AS935" s="35"/>
      <c r="AT935" s="35"/>
      <c r="AU935" s="35"/>
      <c r="AV935" s="35"/>
      <c r="AW935" s="35"/>
    </row>
    <row r="936">
      <c r="A936" s="17"/>
      <c r="B936" s="35"/>
      <c r="C936" s="74"/>
      <c r="D936" s="74"/>
      <c r="E936" s="74"/>
      <c r="F936" s="74"/>
      <c r="G936" s="74"/>
      <c r="H936" s="74"/>
      <c r="I936" s="74"/>
      <c r="J936" s="57"/>
      <c r="K936" s="57"/>
      <c r="L936" s="57"/>
      <c r="M936" s="57"/>
      <c r="N936" s="57"/>
      <c r="O936" s="57"/>
      <c r="P936" s="57"/>
      <c r="Q936" s="69"/>
      <c r="R936" s="69"/>
      <c r="S936" s="23" t="str">
        <f>iferror(if(AN936=1,VLOOKUP(B936, Blends!H$4:AK$1004,32,0), ""), "")</f>
        <v/>
      </c>
      <c r="T936" s="58"/>
      <c r="U936" s="77"/>
      <c r="V936" s="77"/>
      <c r="W936" s="78"/>
      <c r="X936" s="77"/>
      <c r="Y936" s="77"/>
      <c r="Z936" s="77"/>
      <c r="AA936" s="77"/>
      <c r="AB936" s="77"/>
      <c r="AC936" s="77"/>
      <c r="AD936" s="77"/>
      <c r="AE936" s="77"/>
      <c r="AF936" s="77"/>
      <c r="AG936" s="77"/>
      <c r="AH936" s="77"/>
      <c r="AI936" s="77"/>
      <c r="AJ936" s="79"/>
      <c r="AK936" s="80"/>
      <c r="AL936" s="59"/>
      <c r="AM936" s="35"/>
      <c r="AN936" s="35"/>
      <c r="AO936" s="35"/>
      <c r="AP936" s="35"/>
      <c r="AQ936" s="35"/>
      <c r="AR936" s="35"/>
      <c r="AS936" s="35"/>
      <c r="AT936" s="35"/>
      <c r="AU936" s="35"/>
      <c r="AV936" s="35"/>
      <c r="AW936" s="35"/>
    </row>
    <row r="937">
      <c r="A937" s="17"/>
      <c r="B937" s="35"/>
      <c r="C937" s="74"/>
      <c r="D937" s="74"/>
      <c r="E937" s="74"/>
      <c r="F937" s="74"/>
      <c r="G937" s="74"/>
      <c r="H937" s="74"/>
      <c r="I937" s="74"/>
      <c r="J937" s="57"/>
      <c r="K937" s="57"/>
      <c r="L937" s="57"/>
      <c r="M937" s="57"/>
      <c r="N937" s="57"/>
      <c r="O937" s="57"/>
      <c r="P937" s="57"/>
      <c r="Q937" s="69"/>
      <c r="R937" s="69"/>
      <c r="S937" s="23" t="str">
        <f>iferror(if(AN937=1,VLOOKUP(B937, Blends!H$4:AK$1004,32,0), ""), "")</f>
        <v/>
      </c>
      <c r="T937" s="58"/>
      <c r="U937" s="77"/>
      <c r="V937" s="77"/>
      <c r="W937" s="78"/>
      <c r="X937" s="77"/>
      <c r="Y937" s="77"/>
      <c r="Z937" s="77"/>
      <c r="AA937" s="77"/>
      <c r="AB937" s="77"/>
      <c r="AC937" s="77"/>
      <c r="AD937" s="77"/>
      <c r="AE937" s="77"/>
      <c r="AF937" s="77"/>
      <c r="AG937" s="77"/>
      <c r="AH937" s="77"/>
      <c r="AI937" s="77"/>
      <c r="AJ937" s="79"/>
      <c r="AK937" s="80"/>
      <c r="AL937" s="59"/>
      <c r="AM937" s="35"/>
      <c r="AN937" s="35"/>
      <c r="AO937" s="35"/>
      <c r="AP937" s="35"/>
      <c r="AQ937" s="35"/>
      <c r="AR937" s="35"/>
      <c r="AS937" s="35"/>
      <c r="AT937" s="35"/>
      <c r="AU937" s="35"/>
      <c r="AV937" s="35"/>
      <c r="AW937" s="35"/>
    </row>
    <row r="938">
      <c r="A938" s="17"/>
      <c r="B938" s="35"/>
      <c r="C938" s="74"/>
      <c r="D938" s="74"/>
      <c r="E938" s="74"/>
      <c r="F938" s="74"/>
      <c r="G938" s="74"/>
      <c r="H938" s="74"/>
      <c r="I938" s="74"/>
      <c r="J938" s="57"/>
      <c r="K938" s="57"/>
      <c r="L938" s="57"/>
      <c r="M938" s="57"/>
      <c r="N938" s="57"/>
      <c r="O938" s="57"/>
      <c r="P938" s="57"/>
      <c r="Q938" s="69"/>
      <c r="R938" s="69"/>
      <c r="S938" s="23" t="str">
        <f>iferror(if(AN938=1,VLOOKUP(B938, Blends!H$4:AK$1004,32,0), ""), "")</f>
        <v/>
      </c>
      <c r="T938" s="58"/>
      <c r="U938" s="77"/>
      <c r="V938" s="77"/>
      <c r="W938" s="78"/>
      <c r="X938" s="77"/>
      <c r="Y938" s="77"/>
      <c r="Z938" s="77"/>
      <c r="AA938" s="77"/>
      <c r="AB938" s="77"/>
      <c r="AC938" s="77"/>
      <c r="AD938" s="77"/>
      <c r="AE938" s="77"/>
      <c r="AF938" s="77"/>
      <c r="AG938" s="77"/>
      <c r="AH938" s="77"/>
      <c r="AI938" s="77"/>
      <c r="AJ938" s="79"/>
      <c r="AK938" s="80"/>
      <c r="AL938" s="59"/>
      <c r="AM938" s="35"/>
      <c r="AN938" s="35"/>
      <c r="AO938" s="35"/>
      <c r="AP938" s="35"/>
      <c r="AQ938" s="35"/>
      <c r="AR938" s="35"/>
      <c r="AS938" s="35"/>
      <c r="AT938" s="35"/>
      <c r="AU938" s="35"/>
      <c r="AV938" s="35"/>
      <c r="AW938" s="35"/>
    </row>
    <row r="939">
      <c r="A939" s="17"/>
      <c r="B939" s="35"/>
      <c r="C939" s="74"/>
      <c r="D939" s="74"/>
      <c r="E939" s="74"/>
      <c r="F939" s="74"/>
      <c r="G939" s="74"/>
      <c r="H939" s="74"/>
      <c r="I939" s="74"/>
      <c r="J939" s="57"/>
      <c r="K939" s="57"/>
      <c r="L939" s="57"/>
      <c r="M939" s="57"/>
      <c r="N939" s="57"/>
      <c r="O939" s="57"/>
      <c r="P939" s="57"/>
      <c r="Q939" s="69"/>
      <c r="R939" s="69"/>
      <c r="S939" s="23" t="str">
        <f>iferror(if(AN939=1,VLOOKUP(B939, Blends!H$4:AK$1004,32,0), ""), "")</f>
        <v/>
      </c>
      <c r="T939" s="58"/>
      <c r="U939" s="77"/>
      <c r="V939" s="77"/>
      <c r="W939" s="78"/>
      <c r="X939" s="77"/>
      <c r="Y939" s="77"/>
      <c r="Z939" s="77"/>
      <c r="AA939" s="77"/>
      <c r="AB939" s="77"/>
      <c r="AC939" s="77"/>
      <c r="AD939" s="77"/>
      <c r="AE939" s="77"/>
      <c r="AF939" s="77"/>
      <c r="AG939" s="77"/>
      <c r="AH939" s="77"/>
      <c r="AI939" s="77"/>
      <c r="AJ939" s="79"/>
      <c r="AK939" s="80"/>
      <c r="AL939" s="59"/>
      <c r="AM939" s="35"/>
      <c r="AN939" s="35"/>
      <c r="AO939" s="35"/>
      <c r="AP939" s="35"/>
      <c r="AQ939" s="35"/>
      <c r="AR939" s="35"/>
      <c r="AS939" s="35"/>
      <c r="AT939" s="35"/>
      <c r="AU939" s="35"/>
      <c r="AV939" s="35"/>
      <c r="AW939" s="35"/>
    </row>
    <row r="940">
      <c r="A940" s="17"/>
      <c r="B940" s="35"/>
      <c r="C940" s="74"/>
      <c r="D940" s="74"/>
      <c r="E940" s="74"/>
      <c r="F940" s="74"/>
      <c r="G940" s="74"/>
      <c r="H940" s="74"/>
      <c r="I940" s="74"/>
      <c r="J940" s="57"/>
      <c r="K940" s="57"/>
      <c r="L940" s="57"/>
      <c r="M940" s="57"/>
      <c r="N940" s="57"/>
      <c r="O940" s="57"/>
      <c r="P940" s="57"/>
      <c r="Q940" s="69"/>
      <c r="R940" s="69"/>
      <c r="S940" s="23" t="str">
        <f>iferror(if(AN940=1,VLOOKUP(B940, Blends!H$4:AK$1004,32,0), ""), "")</f>
        <v/>
      </c>
      <c r="T940" s="58"/>
      <c r="U940" s="77"/>
      <c r="V940" s="77"/>
      <c r="W940" s="78"/>
      <c r="X940" s="77"/>
      <c r="Y940" s="77"/>
      <c r="Z940" s="77"/>
      <c r="AA940" s="77"/>
      <c r="AB940" s="77"/>
      <c r="AC940" s="77"/>
      <c r="AD940" s="77"/>
      <c r="AE940" s="77"/>
      <c r="AF940" s="77"/>
      <c r="AG940" s="77"/>
      <c r="AH940" s="77"/>
      <c r="AI940" s="77"/>
      <c r="AJ940" s="79"/>
      <c r="AK940" s="80"/>
      <c r="AL940" s="59"/>
      <c r="AM940" s="35"/>
      <c r="AN940" s="35"/>
      <c r="AO940" s="35"/>
      <c r="AP940" s="35"/>
      <c r="AQ940" s="35"/>
      <c r="AR940" s="35"/>
      <c r="AS940" s="35"/>
      <c r="AT940" s="35"/>
      <c r="AU940" s="35"/>
      <c r="AV940" s="35"/>
      <c r="AW940" s="35"/>
    </row>
    <row r="941">
      <c r="A941" s="17"/>
      <c r="B941" s="35"/>
      <c r="C941" s="74"/>
      <c r="D941" s="74"/>
      <c r="E941" s="74"/>
      <c r="F941" s="74"/>
      <c r="G941" s="74"/>
      <c r="H941" s="74"/>
      <c r="I941" s="74"/>
      <c r="J941" s="57"/>
      <c r="K941" s="57"/>
      <c r="L941" s="57"/>
      <c r="M941" s="57"/>
      <c r="N941" s="57"/>
      <c r="O941" s="57"/>
      <c r="P941" s="57"/>
      <c r="Q941" s="69"/>
      <c r="R941" s="69"/>
      <c r="S941" s="23" t="str">
        <f>iferror(if(AN941=1,VLOOKUP(B941, Blends!H$4:AK$1004,32,0), ""), "")</f>
        <v/>
      </c>
      <c r="T941" s="58"/>
      <c r="U941" s="77"/>
      <c r="V941" s="77"/>
      <c r="W941" s="78"/>
      <c r="X941" s="77"/>
      <c r="Y941" s="77"/>
      <c r="Z941" s="77"/>
      <c r="AA941" s="77"/>
      <c r="AB941" s="77"/>
      <c r="AC941" s="77"/>
      <c r="AD941" s="77"/>
      <c r="AE941" s="77"/>
      <c r="AF941" s="77"/>
      <c r="AG941" s="77"/>
      <c r="AH941" s="77"/>
      <c r="AI941" s="77"/>
      <c r="AJ941" s="79"/>
      <c r="AK941" s="80"/>
      <c r="AL941" s="59"/>
      <c r="AM941" s="35"/>
      <c r="AN941" s="35"/>
      <c r="AO941" s="35"/>
      <c r="AP941" s="35"/>
      <c r="AQ941" s="35"/>
      <c r="AR941" s="35"/>
      <c r="AS941" s="35"/>
      <c r="AT941" s="35"/>
      <c r="AU941" s="35"/>
      <c r="AV941" s="35"/>
      <c r="AW941" s="35"/>
    </row>
    <row r="942">
      <c r="A942" s="17"/>
      <c r="B942" s="35"/>
      <c r="C942" s="74"/>
      <c r="D942" s="74"/>
      <c r="E942" s="74"/>
      <c r="F942" s="74"/>
      <c r="G942" s="74"/>
      <c r="H942" s="74"/>
      <c r="I942" s="74"/>
      <c r="J942" s="57"/>
      <c r="K942" s="57"/>
      <c r="L942" s="57"/>
      <c r="M942" s="57"/>
      <c r="N942" s="57"/>
      <c r="O942" s="57"/>
      <c r="P942" s="57"/>
      <c r="Q942" s="69"/>
      <c r="R942" s="69"/>
      <c r="S942" s="23" t="str">
        <f>iferror(if(AN942=1,VLOOKUP(B942, Blends!H$4:AK$1004,32,0), ""), "")</f>
        <v/>
      </c>
      <c r="T942" s="58"/>
      <c r="U942" s="77"/>
      <c r="V942" s="77"/>
      <c r="W942" s="78"/>
      <c r="X942" s="77"/>
      <c r="Y942" s="77"/>
      <c r="Z942" s="77"/>
      <c r="AA942" s="77"/>
      <c r="AB942" s="77"/>
      <c r="AC942" s="77"/>
      <c r="AD942" s="77"/>
      <c r="AE942" s="77"/>
      <c r="AF942" s="77"/>
      <c r="AG942" s="77"/>
      <c r="AH942" s="77"/>
      <c r="AI942" s="77"/>
      <c r="AJ942" s="79"/>
      <c r="AK942" s="80"/>
      <c r="AL942" s="59"/>
      <c r="AM942" s="35"/>
      <c r="AN942" s="35"/>
      <c r="AO942" s="35"/>
      <c r="AP942" s="35"/>
      <c r="AQ942" s="35"/>
      <c r="AR942" s="35"/>
      <c r="AS942" s="35"/>
      <c r="AT942" s="35"/>
      <c r="AU942" s="35"/>
      <c r="AV942" s="35"/>
      <c r="AW942" s="35"/>
    </row>
    <row r="943">
      <c r="A943" s="17"/>
      <c r="B943" s="35"/>
      <c r="C943" s="74"/>
      <c r="D943" s="74"/>
      <c r="E943" s="74"/>
      <c r="F943" s="74"/>
      <c r="G943" s="74"/>
      <c r="H943" s="74"/>
      <c r="I943" s="74"/>
      <c r="J943" s="57"/>
      <c r="K943" s="57"/>
      <c r="L943" s="57"/>
      <c r="M943" s="57"/>
      <c r="N943" s="57"/>
      <c r="O943" s="57"/>
      <c r="P943" s="57"/>
      <c r="Q943" s="69"/>
      <c r="R943" s="69"/>
      <c r="S943" s="23" t="str">
        <f>iferror(if(AN943=1,VLOOKUP(B943, Blends!H$4:AK$1004,32,0), ""), "")</f>
        <v/>
      </c>
      <c r="T943" s="58"/>
      <c r="U943" s="77"/>
      <c r="V943" s="77"/>
      <c r="W943" s="78"/>
      <c r="X943" s="77"/>
      <c r="Y943" s="77"/>
      <c r="Z943" s="77"/>
      <c r="AA943" s="77"/>
      <c r="AB943" s="77"/>
      <c r="AC943" s="77"/>
      <c r="AD943" s="77"/>
      <c r="AE943" s="77"/>
      <c r="AF943" s="77"/>
      <c r="AG943" s="77"/>
      <c r="AH943" s="77"/>
      <c r="AI943" s="77"/>
      <c r="AJ943" s="79"/>
      <c r="AK943" s="80"/>
      <c r="AL943" s="59"/>
      <c r="AM943" s="35"/>
      <c r="AN943" s="35"/>
      <c r="AO943" s="35"/>
      <c r="AP943" s="35"/>
      <c r="AQ943" s="35"/>
      <c r="AR943" s="35"/>
      <c r="AS943" s="35"/>
      <c r="AT943" s="35"/>
      <c r="AU943" s="35"/>
      <c r="AV943" s="35"/>
      <c r="AW943" s="35"/>
    </row>
    <row r="944">
      <c r="A944" s="17"/>
      <c r="B944" s="35"/>
      <c r="C944" s="74"/>
      <c r="D944" s="74"/>
      <c r="E944" s="74"/>
      <c r="F944" s="74"/>
      <c r="G944" s="74"/>
      <c r="H944" s="74"/>
      <c r="I944" s="74"/>
      <c r="J944" s="57"/>
      <c r="K944" s="57"/>
      <c r="L944" s="57"/>
      <c r="M944" s="57"/>
      <c r="N944" s="57"/>
      <c r="O944" s="57"/>
      <c r="P944" s="57"/>
      <c r="Q944" s="69"/>
      <c r="R944" s="69"/>
      <c r="S944" s="23" t="str">
        <f>iferror(if(AN944=1,VLOOKUP(B944, Blends!H$4:AK$1004,32,0), ""), "")</f>
        <v/>
      </c>
      <c r="T944" s="58"/>
      <c r="U944" s="77"/>
      <c r="V944" s="77"/>
      <c r="W944" s="78"/>
      <c r="X944" s="77"/>
      <c r="Y944" s="77"/>
      <c r="Z944" s="77"/>
      <c r="AA944" s="77"/>
      <c r="AB944" s="77"/>
      <c r="AC944" s="77"/>
      <c r="AD944" s="77"/>
      <c r="AE944" s="77"/>
      <c r="AF944" s="77"/>
      <c r="AG944" s="77"/>
      <c r="AH944" s="77"/>
      <c r="AI944" s="77"/>
      <c r="AJ944" s="79"/>
      <c r="AK944" s="80"/>
      <c r="AL944" s="59"/>
      <c r="AM944" s="35"/>
      <c r="AN944" s="35"/>
      <c r="AO944" s="35"/>
      <c r="AP944" s="35"/>
      <c r="AQ944" s="35"/>
      <c r="AR944" s="35"/>
      <c r="AS944" s="35"/>
      <c r="AT944" s="35"/>
      <c r="AU944" s="35"/>
      <c r="AV944" s="35"/>
      <c r="AW944" s="35"/>
    </row>
    <row r="945">
      <c r="A945" s="17"/>
      <c r="B945" s="35"/>
      <c r="C945" s="74"/>
      <c r="D945" s="74"/>
      <c r="E945" s="74"/>
      <c r="F945" s="74"/>
      <c r="G945" s="74"/>
      <c r="H945" s="74"/>
      <c r="I945" s="74"/>
      <c r="J945" s="57"/>
      <c r="K945" s="57"/>
      <c r="L945" s="57"/>
      <c r="M945" s="57"/>
      <c r="N945" s="57"/>
      <c r="O945" s="57"/>
      <c r="P945" s="57"/>
      <c r="Q945" s="69"/>
      <c r="R945" s="69"/>
      <c r="S945" s="23" t="str">
        <f>iferror(if(AN945=1,VLOOKUP(B945, Blends!H$4:AK$1004,32,0), ""), "")</f>
        <v/>
      </c>
      <c r="T945" s="58"/>
      <c r="U945" s="77"/>
      <c r="V945" s="77"/>
      <c r="W945" s="78"/>
      <c r="X945" s="77"/>
      <c r="Y945" s="77"/>
      <c r="Z945" s="77"/>
      <c r="AA945" s="77"/>
      <c r="AB945" s="77"/>
      <c r="AC945" s="77"/>
      <c r="AD945" s="77"/>
      <c r="AE945" s="77"/>
      <c r="AF945" s="77"/>
      <c r="AG945" s="77"/>
      <c r="AH945" s="77"/>
      <c r="AI945" s="77"/>
      <c r="AJ945" s="79"/>
      <c r="AK945" s="80"/>
      <c r="AL945" s="59"/>
      <c r="AM945" s="35"/>
      <c r="AN945" s="35"/>
      <c r="AO945" s="35"/>
      <c r="AP945" s="35"/>
      <c r="AQ945" s="35"/>
      <c r="AR945" s="35"/>
      <c r="AS945" s="35"/>
      <c r="AT945" s="35"/>
      <c r="AU945" s="35"/>
      <c r="AV945" s="35"/>
      <c r="AW945" s="35"/>
    </row>
    <row r="946">
      <c r="A946" s="17"/>
      <c r="B946" s="35"/>
      <c r="C946" s="74"/>
      <c r="D946" s="74"/>
      <c r="E946" s="74"/>
      <c r="F946" s="74"/>
      <c r="G946" s="74"/>
      <c r="H946" s="74"/>
      <c r="I946" s="74"/>
      <c r="J946" s="57"/>
      <c r="K946" s="57"/>
      <c r="L946" s="57"/>
      <c r="M946" s="57"/>
      <c r="N946" s="57"/>
      <c r="O946" s="57"/>
      <c r="P946" s="57"/>
      <c r="Q946" s="69"/>
      <c r="R946" s="69"/>
      <c r="S946" s="23" t="str">
        <f>iferror(if(AN946=1,VLOOKUP(B946, Blends!H$4:AK$1004,32,0), ""), "")</f>
        <v/>
      </c>
      <c r="T946" s="58"/>
      <c r="U946" s="77"/>
      <c r="V946" s="77"/>
      <c r="W946" s="78"/>
      <c r="X946" s="77"/>
      <c r="Y946" s="77"/>
      <c r="Z946" s="77"/>
      <c r="AA946" s="77"/>
      <c r="AB946" s="77"/>
      <c r="AC946" s="77"/>
      <c r="AD946" s="77"/>
      <c r="AE946" s="77"/>
      <c r="AF946" s="77"/>
      <c r="AG946" s="77"/>
      <c r="AH946" s="77"/>
      <c r="AI946" s="77"/>
      <c r="AJ946" s="79"/>
      <c r="AK946" s="80"/>
      <c r="AL946" s="59"/>
      <c r="AM946" s="35"/>
      <c r="AN946" s="35"/>
      <c r="AO946" s="35"/>
      <c r="AP946" s="35"/>
      <c r="AQ946" s="35"/>
      <c r="AR946" s="35"/>
      <c r="AS946" s="35"/>
      <c r="AT946" s="35"/>
      <c r="AU946" s="35"/>
      <c r="AV946" s="35"/>
      <c r="AW946" s="35"/>
    </row>
    <row r="947">
      <c r="A947" s="17"/>
      <c r="B947" s="35"/>
      <c r="C947" s="74"/>
      <c r="D947" s="74"/>
      <c r="E947" s="74"/>
      <c r="F947" s="74"/>
      <c r="G947" s="74"/>
      <c r="H947" s="74"/>
      <c r="I947" s="74"/>
      <c r="J947" s="57"/>
      <c r="K947" s="57"/>
      <c r="L947" s="57"/>
      <c r="M947" s="57"/>
      <c r="N947" s="57"/>
      <c r="O947" s="57"/>
      <c r="P947" s="57"/>
      <c r="Q947" s="69"/>
      <c r="R947" s="69"/>
      <c r="S947" s="23" t="str">
        <f>iferror(if(AN947=1,VLOOKUP(B947, Blends!H$4:AK$1004,32,0), ""), "")</f>
        <v/>
      </c>
      <c r="T947" s="58"/>
      <c r="U947" s="77"/>
      <c r="V947" s="77"/>
      <c r="W947" s="78"/>
      <c r="X947" s="77"/>
      <c r="Y947" s="77"/>
      <c r="Z947" s="77"/>
      <c r="AA947" s="77"/>
      <c r="AB947" s="77"/>
      <c r="AC947" s="77"/>
      <c r="AD947" s="77"/>
      <c r="AE947" s="77"/>
      <c r="AF947" s="77"/>
      <c r="AG947" s="77"/>
      <c r="AH947" s="77"/>
      <c r="AI947" s="77"/>
      <c r="AJ947" s="79"/>
      <c r="AK947" s="80"/>
      <c r="AL947" s="59"/>
      <c r="AM947" s="35"/>
      <c r="AN947" s="35"/>
      <c r="AO947" s="35"/>
      <c r="AP947" s="35"/>
      <c r="AQ947" s="35"/>
      <c r="AR947" s="35"/>
      <c r="AS947" s="35"/>
      <c r="AT947" s="35"/>
      <c r="AU947" s="35"/>
      <c r="AV947" s="35"/>
      <c r="AW947" s="35"/>
    </row>
    <row r="948">
      <c r="A948" s="17"/>
      <c r="B948" s="35"/>
      <c r="C948" s="74"/>
      <c r="D948" s="74"/>
      <c r="E948" s="74"/>
      <c r="F948" s="74"/>
      <c r="G948" s="74"/>
      <c r="H948" s="74"/>
      <c r="I948" s="74"/>
      <c r="J948" s="57"/>
      <c r="K948" s="57"/>
      <c r="L948" s="57"/>
      <c r="M948" s="57"/>
      <c r="N948" s="57"/>
      <c r="O948" s="57"/>
      <c r="P948" s="57"/>
      <c r="Q948" s="69"/>
      <c r="R948" s="69"/>
      <c r="S948" s="23" t="str">
        <f>iferror(if(AN948=1,VLOOKUP(B948, Blends!H$4:AK$1004,32,0), ""), "")</f>
        <v/>
      </c>
      <c r="T948" s="58"/>
      <c r="U948" s="77"/>
      <c r="V948" s="77"/>
      <c r="W948" s="78"/>
      <c r="X948" s="77"/>
      <c r="Y948" s="77"/>
      <c r="Z948" s="77"/>
      <c r="AA948" s="77"/>
      <c r="AB948" s="77"/>
      <c r="AC948" s="77"/>
      <c r="AD948" s="77"/>
      <c r="AE948" s="77"/>
      <c r="AF948" s="77"/>
      <c r="AG948" s="77"/>
      <c r="AH948" s="77"/>
      <c r="AI948" s="77"/>
      <c r="AJ948" s="79"/>
      <c r="AK948" s="80"/>
      <c r="AL948" s="59"/>
      <c r="AM948" s="35"/>
      <c r="AN948" s="35"/>
      <c r="AO948" s="35"/>
      <c r="AP948" s="35"/>
      <c r="AQ948" s="35"/>
      <c r="AR948" s="35"/>
      <c r="AS948" s="35"/>
      <c r="AT948" s="35"/>
      <c r="AU948" s="35"/>
      <c r="AV948" s="35"/>
      <c r="AW948" s="35"/>
    </row>
    <row r="949">
      <c r="A949" s="17"/>
      <c r="B949" s="35"/>
      <c r="C949" s="74"/>
      <c r="D949" s="74"/>
      <c r="E949" s="74"/>
      <c r="F949" s="74"/>
      <c r="G949" s="74"/>
      <c r="H949" s="74"/>
      <c r="I949" s="74"/>
      <c r="J949" s="57"/>
      <c r="K949" s="57"/>
      <c r="L949" s="57"/>
      <c r="M949" s="57"/>
      <c r="N949" s="57"/>
      <c r="O949" s="57"/>
      <c r="P949" s="57"/>
      <c r="Q949" s="69"/>
      <c r="R949" s="69"/>
      <c r="S949" s="23" t="str">
        <f>iferror(if(AN949=1,VLOOKUP(B949, Blends!H$4:AK$1004,32,0), ""), "")</f>
        <v/>
      </c>
      <c r="T949" s="58"/>
      <c r="U949" s="77"/>
      <c r="V949" s="77"/>
      <c r="W949" s="78"/>
      <c r="X949" s="77"/>
      <c r="Y949" s="77"/>
      <c r="Z949" s="77"/>
      <c r="AA949" s="77"/>
      <c r="AB949" s="77"/>
      <c r="AC949" s="77"/>
      <c r="AD949" s="77"/>
      <c r="AE949" s="77"/>
      <c r="AF949" s="77"/>
      <c r="AG949" s="77"/>
      <c r="AH949" s="77"/>
      <c r="AI949" s="77"/>
      <c r="AJ949" s="79"/>
      <c r="AK949" s="80"/>
      <c r="AL949" s="59"/>
      <c r="AM949" s="35"/>
      <c r="AN949" s="35"/>
      <c r="AO949" s="35"/>
      <c r="AP949" s="35"/>
      <c r="AQ949" s="35"/>
      <c r="AR949" s="35"/>
      <c r="AS949" s="35"/>
      <c r="AT949" s="35"/>
      <c r="AU949" s="35"/>
      <c r="AV949" s="35"/>
      <c r="AW949" s="35"/>
    </row>
    <row r="950">
      <c r="A950" s="17"/>
      <c r="B950" s="35"/>
      <c r="C950" s="74"/>
      <c r="D950" s="74"/>
      <c r="E950" s="74"/>
      <c r="F950" s="74"/>
      <c r="G950" s="74"/>
      <c r="H950" s="74"/>
      <c r="I950" s="74"/>
      <c r="J950" s="57"/>
      <c r="K950" s="57"/>
      <c r="L950" s="57"/>
      <c r="M950" s="57"/>
      <c r="N950" s="57"/>
      <c r="O950" s="57"/>
      <c r="P950" s="57"/>
      <c r="Q950" s="69"/>
      <c r="R950" s="69"/>
      <c r="S950" s="23" t="str">
        <f>iferror(if(AN950=1,VLOOKUP(B950, Blends!H$4:AK$1004,32,0), ""), "")</f>
        <v/>
      </c>
      <c r="T950" s="58"/>
      <c r="U950" s="77"/>
      <c r="V950" s="77"/>
      <c r="W950" s="78"/>
      <c r="X950" s="77"/>
      <c r="Y950" s="77"/>
      <c r="Z950" s="77"/>
      <c r="AA950" s="77"/>
      <c r="AB950" s="77"/>
      <c r="AC950" s="77"/>
      <c r="AD950" s="77"/>
      <c r="AE950" s="77"/>
      <c r="AF950" s="77"/>
      <c r="AG950" s="77"/>
      <c r="AH950" s="77"/>
      <c r="AI950" s="77"/>
      <c r="AJ950" s="79"/>
      <c r="AK950" s="80"/>
      <c r="AL950" s="59"/>
      <c r="AM950" s="35"/>
      <c r="AN950" s="35"/>
      <c r="AO950" s="35"/>
      <c r="AP950" s="35"/>
      <c r="AQ950" s="35"/>
      <c r="AR950" s="35"/>
      <c r="AS950" s="35"/>
      <c r="AT950" s="35"/>
      <c r="AU950" s="35"/>
      <c r="AV950" s="35"/>
      <c r="AW950" s="35"/>
    </row>
    <row r="951">
      <c r="A951" s="17"/>
      <c r="B951" s="35"/>
      <c r="C951" s="74"/>
      <c r="D951" s="74"/>
      <c r="E951" s="74"/>
      <c r="F951" s="74"/>
      <c r="G951" s="74"/>
      <c r="H951" s="74"/>
      <c r="I951" s="74"/>
      <c r="J951" s="57"/>
      <c r="K951" s="57"/>
      <c r="L951" s="57"/>
      <c r="M951" s="57"/>
      <c r="N951" s="57"/>
      <c r="O951" s="57"/>
      <c r="P951" s="57"/>
      <c r="Q951" s="69"/>
      <c r="R951" s="69"/>
      <c r="S951" s="23" t="str">
        <f>iferror(if(AN951=1,VLOOKUP(B951, Blends!H$4:AK$1004,32,0), ""), "")</f>
        <v/>
      </c>
      <c r="T951" s="58"/>
      <c r="U951" s="77"/>
      <c r="V951" s="77"/>
      <c r="W951" s="78"/>
      <c r="X951" s="77"/>
      <c r="Y951" s="77"/>
      <c r="Z951" s="77"/>
      <c r="AA951" s="77"/>
      <c r="AB951" s="77"/>
      <c r="AC951" s="77"/>
      <c r="AD951" s="77"/>
      <c r="AE951" s="77"/>
      <c r="AF951" s="77"/>
      <c r="AG951" s="77"/>
      <c r="AH951" s="77"/>
      <c r="AI951" s="77"/>
      <c r="AJ951" s="79"/>
      <c r="AK951" s="80"/>
      <c r="AL951" s="59"/>
      <c r="AM951" s="35"/>
      <c r="AN951" s="35"/>
      <c r="AO951" s="35"/>
      <c r="AP951" s="35"/>
      <c r="AQ951" s="35"/>
      <c r="AR951" s="35"/>
      <c r="AS951" s="35"/>
      <c r="AT951" s="35"/>
      <c r="AU951" s="35"/>
      <c r="AV951" s="35"/>
      <c r="AW951" s="35"/>
    </row>
    <row r="952">
      <c r="A952" s="17"/>
      <c r="B952" s="35"/>
      <c r="C952" s="74"/>
      <c r="D952" s="74"/>
      <c r="E952" s="74"/>
      <c r="F952" s="74"/>
      <c r="G952" s="74"/>
      <c r="H952" s="74"/>
      <c r="I952" s="74"/>
      <c r="J952" s="57"/>
      <c r="K952" s="57"/>
      <c r="L952" s="57"/>
      <c r="M952" s="57"/>
      <c r="N952" s="57"/>
      <c r="O952" s="57"/>
      <c r="P952" s="57"/>
      <c r="Q952" s="69"/>
      <c r="R952" s="69"/>
      <c r="S952" s="23" t="str">
        <f>iferror(if(AN952=1,VLOOKUP(B952, Blends!H$4:AK$1004,32,0), ""), "")</f>
        <v/>
      </c>
      <c r="T952" s="58"/>
      <c r="U952" s="77"/>
      <c r="V952" s="77"/>
      <c r="W952" s="78"/>
      <c r="X952" s="77"/>
      <c r="Y952" s="77"/>
      <c r="Z952" s="77"/>
      <c r="AA952" s="77"/>
      <c r="AB952" s="77"/>
      <c r="AC952" s="77"/>
      <c r="AD952" s="77"/>
      <c r="AE952" s="77"/>
      <c r="AF952" s="77"/>
      <c r="AG952" s="77"/>
      <c r="AH952" s="77"/>
      <c r="AI952" s="77"/>
      <c r="AJ952" s="79"/>
      <c r="AK952" s="80"/>
      <c r="AL952" s="59"/>
      <c r="AM952" s="35"/>
      <c r="AN952" s="35"/>
      <c r="AO952" s="35"/>
      <c r="AP952" s="35"/>
      <c r="AQ952" s="35"/>
      <c r="AR952" s="35"/>
      <c r="AS952" s="35"/>
      <c r="AT952" s="35"/>
      <c r="AU952" s="35"/>
      <c r="AV952" s="35"/>
      <c r="AW952" s="35"/>
    </row>
    <row r="953">
      <c r="A953" s="17"/>
      <c r="B953" s="35"/>
      <c r="C953" s="74"/>
      <c r="D953" s="74"/>
      <c r="E953" s="74"/>
      <c r="F953" s="74"/>
      <c r="G953" s="74"/>
      <c r="H953" s="74"/>
      <c r="I953" s="74"/>
      <c r="J953" s="57"/>
      <c r="K953" s="57"/>
      <c r="L953" s="57"/>
      <c r="M953" s="57"/>
      <c r="N953" s="57"/>
      <c r="O953" s="57"/>
      <c r="P953" s="57"/>
      <c r="Q953" s="69"/>
      <c r="R953" s="69"/>
      <c r="S953" s="23" t="str">
        <f>iferror(if(AN953=1,VLOOKUP(B953, Blends!H$4:AK$1004,32,0), ""), "")</f>
        <v/>
      </c>
      <c r="T953" s="58"/>
      <c r="U953" s="77"/>
      <c r="V953" s="77"/>
      <c r="W953" s="78"/>
      <c r="X953" s="77"/>
      <c r="Y953" s="77"/>
      <c r="Z953" s="77"/>
      <c r="AA953" s="77"/>
      <c r="AB953" s="77"/>
      <c r="AC953" s="77"/>
      <c r="AD953" s="77"/>
      <c r="AE953" s="77"/>
      <c r="AF953" s="77"/>
      <c r="AG953" s="77"/>
      <c r="AH953" s="77"/>
      <c r="AI953" s="77"/>
      <c r="AJ953" s="79"/>
      <c r="AK953" s="80"/>
      <c r="AL953" s="59"/>
      <c r="AM953" s="35"/>
      <c r="AN953" s="35"/>
      <c r="AO953" s="35"/>
      <c r="AP953" s="35"/>
      <c r="AQ953" s="35"/>
      <c r="AR953" s="35"/>
      <c r="AS953" s="35"/>
      <c r="AT953" s="35"/>
      <c r="AU953" s="35"/>
      <c r="AV953" s="35"/>
      <c r="AW953" s="35"/>
    </row>
    <row r="954">
      <c r="A954" s="17"/>
      <c r="B954" s="35"/>
      <c r="C954" s="74"/>
      <c r="D954" s="74"/>
      <c r="E954" s="74"/>
      <c r="F954" s="74"/>
      <c r="G954" s="74"/>
      <c r="H954" s="74"/>
      <c r="I954" s="74"/>
      <c r="J954" s="57"/>
      <c r="K954" s="57"/>
      <c r="L954" s="57"/>
      <c r="M954" s="57"/>
      <c r="N954" s="57"/>
      <c r="O954" s="57"/>
      <c r="P954" s="57"/>
      <c r="Q954" s="69"/>
      <c r="R954" s="69"/>
      <c r="S954" s="23" t="str">
        <f>iferror(if(AN954=1,VLOOKUP(B954, Blends!H$4:AK$1004,32,0), ""), "")</f>
        <v/>
      </c>
      <c r="T954" s="58"/>
      <c r="U954" s="77"/>
      <c r="V954" s="77"/>
      <c r="W954" s="78"/>
      <c r="X954" s="77"/>
      <c r="Y954" s="77"/>
      <c r="Z954" s="77"/>
      <c r="AA954" s="77"/>
      <c r="AB954" s="77"/>
      <c r="AC954" s="77"/>
      <c r="AD954" s="77"/>
      <c r="AE954" s="77"/>
      <c r="AF954" s="77"/>
      <c r="AG954" s="77"/>
      <c r="AH954" s="77"/>
      <c r="AI954" s="77"/>
      <c r="AJ954" s="79"/>
      <c r="AK954" s="80"/>
      <c r="AL954" s="59"/>
      <c r="AM954" s="35"/>
      <c r="AN954" s="35"/>
      <c r="AO954" s="35"/>
      <c r="AP954" s="35"/>
      <c r="AQ954" s="35"/>
      <c r="AR954" s="35"/>
      <c r="AS954" s="35"/>
      <c r="AT954" s="35"/>
      <c r="AU954" s="35"/>
      <c r="AV954" s="35"/>
      <c r="AW954" s="35"/>
    </row>
    <row r="955">
      <c r="A955" s="17"/>
      <c r="B955" s="35"/>
      <c r="C955" s="74"/>
      <c r="D955" s="74"/>
      <c r="E955" s="74"/>
      <c r="F955" s="74"/>
      <c r="G955" s="74"/>
      <c r="H955" s="74"/>
      <c r="I955" s="74"/>
      <c r="J955" s="57"/>
      <c r="K955" s="57"/>
      <c r="L955" s="57"/>
      <c r="M955" s="57"/>
      <c r="N955" s="57"/>
      <c r="O955" s="57"/>
      <c r="P955" s="57"/>
      <c r="Q955" s="69"/>
      <c r="R955" s="69"/>
      <c r="S955" s="23" t="str">
        <f>iferror(if(AN955=1,VLOOKUP(B955, Blends!H$4:AK$1004,32,0), ""), "")</f>
        <v/>
      </c>
      <c r="T955" s="58"/>
      <c r="U955" s="77"/>
      <c r="V955" s="77"/>
      <c r="W955" s="78"/>
      <c r="X955" s="77"/>
      <c r="Y955" s="77"/>
      <c r="Z955" s="77"/>
      <c r="AA955" s="77"/>
      <c r="AB955" s="77"/>
      <c r="AC955" s="77"/>
      <c r="AD955" s="77"/>
      <c r="AE955" s="77"/>
      <c r="AF955" s="77"/>
      <c r="AG955" s="77"/>
      <c r="AH955" s="77"/>
      <c r="AI955" s="77"/>
      <c r="AJ955" s="79"/>
      <c r="AK955" s="80"/>
      <c r="AL955" s="59"/>
      <c r="AM955" s="35"/>
      <c r="AN955" s="35"/>
      <c r="AO955" s="35"/>
      <c r="AP955" s="35"/>
      <c r="AQ955" s="35"/>
      <c r="AR955" s="35"/>
      <c r="AS955" s="35"/>
      <c r="AT955" s="35"/>
      <c r="AU955" s="35"/>
      <c r="AV955" s="35"/>
      <c r="AW955" s="35"/>
    </row>
    <row r="956">
      <c r="A956" s="17"/>
      <c r="B956" s="35"/>
      <c r="C956" s="74"/>
      <c r="D956" s="74"/>
      <c r="E956" s="74"/>
      <c r="F956" s="74"/>
      <c r="G956" s="74"/>
      <c r="H956" s="74"/>
      <c r="I956" s="74"/>
      <c r="J956" s="57"/>
      <c r="K956" s="57"/>
      <c r="L956" s="57"/>
      <c r="M956" s="57"/>
      <c r="N956" s="57"/>
      <c r="O956" s="57"/>
      <c r="P956" s="57"/>
      <c r="Q956" s="69"/>
      <c r="R956" s="69"/>
      <c r="S956" s="23" t="str">
        <f>iferror(if(AN956=1,VLOOKUP(B956, Blends!H$4:AK$1004,32,0), ""), "")</f>
        <v/>
      </c>
      <c r="T956" s="58"/>
      <c r="U956" s="77"/>
      <c r="V956" s="77"/>
      <c r="W956" s="78"/>
      <c r="X956" s="77"/>
      <c r="Y956" s="77"/>
      <c r="Z956" s="77"/>
      <c r="AA956" s="77"/>
      <c r="AB956" s="77"/>
      <c r="AC956" s="77"/>
      <c r="AD956" s="77"/>
      <c r="AE956" s="77"/>
      <c r="AF956" s="77"/>
      <c r="AG956" s="77"/>
      <c r="AH956" s="77"/>
      <c r="AI956" s="77"/>
      <c r="AJ956" s="79"/>
      <c r="AK956" s="80"/>
      <c r="AL956" s="59"/>
      <c r="AM956" s="35"/>
      <c r="AN956" s="35"/>
      <c r="AO956" s="35"/>
      <c r="AP956" s="35"/>
      <c r="AQ956" s="35"/>
      <c r="AR956" s="35"/>
      <c r="AS956" s="35"/>
      <c r="AT956" s="35"/>
      <c r="AU956" s="35"/>
      <c r="AV956" s="35"/>
      <c r="AW956" s="35"/>
    </row>
    <row r="957">
      <c r="A957" s="17"/>
      <c r="B957" s="35"/>
      <c r="C957" s="74"/>
      <c r="D957" s="74"/>
      <c r="E957" s="74"/>
      <c r="F957" s="74"/>
      <c r="G957" s="74"/>
      <c r="H957" s="74"/>
      <c r="I957" s="74"/>
      <c r="J957" s="57"/>
      <c r="K957" s="57"/>
      <c r="L957" s="57"/>
      <c r="M957" s="57"/>
      <c r="N957" s="57"/>
      <c r="O957" s="57"/>
      <c r="P957" s="57"/>
      <c r="Q957" s="69"/>
      <c r="R957" s="69"/>
      <c r="S957" s="23" t="str">
        <f>iferror(if(AN957=1,VLOOKUP(B957, Blends!H$4:AK$1004,32,0), ""), "")</f>
        <v/>
      </c>
      <c r="T957" s="58"/>
      <c r="U957" s="77"/>
      <c r="V957" s="77"/>
      <c r="W957" s="78"/>
      <c r="X957" s="77"/>
      <c r="Y957" s="77"/>
      <c r="Z957" s="77"/>
      <c r="AA957" s="77"/>
      <c r="AB957" s="77"/>
      <c r="AC957" s="77"/>
      <c r="AD957" s="77"/>
      <c r="AE957" s="77"/>
      <c r="AF957" s="77"/>
      <c r="AG957" s="77"/>
      <c r="AH957" s="77"/>
      <c r="AI957" s="77"/>
      <c r="AJ957" s="79"/>
      <c r="AK957" s="80"/>
      <c r="AL957" s="59"/>
      <c r="AM957" s="35"/>
      <c r="AN957" s="35"/>
      <c r="AO957" s="35"/>
      <c r="AP957" s="35"/>
      <c r="AQ957" s="35"/>
      <c r="AR957" s="35"/>
      <c r="AS957" s="35"/>
      <c r="AT957" s="35"/>
      <c r="AU957" s="35"/>
      <c r="AV957" s="35"/>
      <c r="AW957" s="35"/>
    </row>
    <row r="958">
      <c r="A958" s="17"/>
      <c r="B958" s="35"/>
      <c r="C958" s="74"/>
      <c r="D958" s="74"/>
      <c r="E958" s="74"/>
      <c r="F958" s="74"/>
      <c r="G958" s="74"/>
      <c r="H958" s="74"/>
      <c r="I958" s="74"/>
      <c r="J958" s="57"/>
      <c r="K958" s="57"/>
      <c r="L958" s="57"/>
      <c r="M958" s="57"/>
      <c r="N958" s="57"/>
      <c r="O958" s="57"/>
      <c r="P958" s="57"/>
      <c r="Q958" s="69"/>
      <c r="R958" s="69"/>
      <c r="S958" s="23" t="str">
        <f>iferror(if(AN958=1,VLOOKUP(B958, Blends!H$4:AK$1004,32,0), ""), "")</f>
        <v/>
      </c>
      <c r="T958" s="58"/>
      <c r="U958" s="77"/>
      <c r="V958" s="77"/>
      <c r="W958" s="78"/>
      <c r="X958" s="77"/>
      <c r="Y958" s="77"/>
      <c r="Z958" s="77"/>
      <c r="AA958" s="77"/>
      <c r="AB958" s="77"/>
      <c r="AC958" s="77"/>
      <c r="AD958" s="77"/>
      <c r="AE958" s="77"/>
      <c r="AF958" s="77"/>
      <c r="AG958" s="77"/>
      <c r="AH958" s="77"/>
      <c r="AI958" s="77"/>
      <c r="AJ958" s="79"/>
      <c r="AK958" s="80"/>
      <c r="AL958" s="59"/>
      <c r="AM958" s="35"/>
      <c r="AN958" s="35"/>
      <c r="AO958" s="35"/>
      <c r="AP958" s="35"/>
      <c r="AQ958" s="35"/>
      <c r="AR958" s="35"/>
      <c r="AS958" s="35"/>
      <c r="AT958" s="35"/>
      <c r="AU958" s="35"/>
      <c r="AV958" s="35"/>
      <c r="AW958" s="35"/>
    </row>
    <row r="959">
      <c r="A959" s="17"/>
      <c r="B959" s="35"/>
      <c r="C959" s="74"/>
      <c r="D959" s="74"/>
      <c r="E959" s="74"/>
      <c r="F959" s="74"/>
      <c r="G959" s="74"/>
      <c r="H959" s="74"/>
      <c r="I959" s="74"/>
      <c r="J959" s="57"/>
      <c r="K959" s="57"/>
      <c r="L959" s="57"/>
      <c r="M959" s="57"/>
      <c r="N959" s="57"/>
      <c r="O959" s="57"/>
      <c r="P959" s="57"/>
      <c r="Q959" s="69"/>
      <c r="R959" s="69"/>
      <c r="S959" s="23" t="str">
        <f>iferror(if(AN959=1,VLOOKUP(B959, Blends!H$4:AK$1004,32,0), ""), "")</f>
        <v/>
      </c>
      <c r="T959" s="58"/>
      <c r="U959" s="77"/>
      <c r="V959" s="77"/>
      <c r="W959" s="78"/>
      <c r="X959" s="77"/>
      <c r="Y959" s="77"/>
      <c r="Z959" s="77"/>
      <c r="AA959" s="77"/>
      <c r="AB959" s="77"/>
      <c r="AC959" s="77"/>
      <c r="AD959" s="77"/>
      <c r="AE959" s="77"/>
      <c r="AF959" s="77"/>
      <c r="AG959" s="77"/>
      <c r="AH959" s="77"/>
      <c r="AI959" s="77"/>
      <c r="AJ959" s="79"/>
      <c r="AK959" s="80"/>
      <c r="AL959" s="59"/>
      <c r="AM959" s="35"/>
      <c r="AN959" s="35"/>
      <c r="AO959" s="35"/>
      <c r="AP959" s="35"/>
      <c r="AQ959" s="35"/>
      <c r="AR959" s="35"/>
      <c r="AS959" s="35"/>
      <c r="AT959" s="35"/>
      <c r="AU959" s="35"/>
      <c r="AV959" s="35"/>
      <c r="AW959" s="35"/>
    </row>
    <row r="960">
      <c r="A960" s="17"/>
      <c r="B960" s="35"/>
      <c r="C960" s="74"/>
      <c r="D960" s="74"/>
      <c r="E960" s="74"/>
      <c r="F960" s="74"/>
      <c r="G960" s="74"/>
      <c r="H960" s="74"/>
      <c r="I960" s="74"/>
      <c r="J960" s="57"/>
      <c r="K960" s="57"/>
      <c r="L960" s="57"/>
      <c r="M960" s="57"/>
      <c r="N960" s="57"/>
      <c r="O960" s="57"/>
      <c r="P960" s="57"/>
      <c r="Q960" s="69"/>
      <c r="R960" s="69"/>
      <c r="S960" s="23" t="str">
        <f>iferror(if(AN960=1,VLOOKUP(B960, Blends!H$4:AK$1004,32,0), ""), "")</f>
        <v/>
      </c>
      <c r="T960" s="58"/>
      <c r="U960" s="77"/>
      <c r="V960" s="77"/>
      <c r="W960" s="78"/>
      <c r="X960" s="77"/>
      <c r="Y960" s="77"/>
      <c r="Z960" s="77"/>
      <c r="AA960" s="77"/>
      <c r="AB960" s="77"/>
      <c r="AC960" s="77"/>
      <c r="AD960" s="77"/>
      <c r="AE960" s="77"/>
      <c r="AF960" s="77"/>
      <c r="AG960" s="77"/>
      <c r="AH960" s="77"/>
      <c r="AI960" s="77"/>
      <c r="AJ960" s="79"/>
      <c r="AK960" s="80"/>
      <c r="AL960" s="59"/>
      <c r="AM960" s="35"/>
      <c r="AN960" s="35"/>
      <c r="AO960" s="35"/>
      <c r="AP960" s="35"/>
      <c r="AQ960" s="35"/>
      <c r="AR960" s="35"/>
      <c r="AS960" s="35"/>
      <c r="AT960" s="35"/>
      <c r="AU960" s="35"/>
      <c r="AV960" s="35"/>
      <c r="AW960" s="35"/>
    </row>
    <row r="961">
      <c r="A961" s="17"/>
      <c r="B961" s="35"/>
      <c r="C961" s="74"/>
      <c r="D961" s="74"/>
      <c r="E961" s="74"/>
      <c r="F961" s="74"/>
      <c r="G961" s="74"/>
      <c r="H961" s="74"/>
      <c r="I961" s="74"/>
      <c r="J961" s="57"/>
      <c r="K961" s="57"/>
      <c r="L961" s="57"/>
      <c r="M961" s="57"/>
      <c r="N961" s="57"/>
      <c r="O961" s="57"/>
      <c r="P961" s="57"/>
      <c r="Q961" s="69"/>
      <c r="R961" s="69"/>
      <c r="S961" s="23" t="str">
        <f>iferror(if(AN961=1,VLOOKUP(B961, Blends!H$4:AK$1004,32,0), ""), "")</f>
        <v/>
      </c>
      <c r="T961" s="58"/>
      <c r="U961" s="77"/>
      <c r="V961" s="77"/>
      <c r="W961" s="78"/>
      <c r="X961" s="77"/>
      <c r="Y961" s="77"/>
      <c r="Z961" s="77"/>
      <c r="AA961" s="77"/>
      <c r="AB961" s="77"/>
      <c r="AC961" s="77"/>
      <c r="AD961" s="77"/>
      <c r="AE961" s="77"/>
      <c r="AF961" s="77"/>
      <c r="AG961" s="77"/>
      <c r="AH961" s="77"/>
      <c r="AI961" s="77"/>
      <c r="AJ961" s="79"/>
      <c r="AK961" s="80"/>
      <c r="AL961" s="59"/>
      <c r="AM961" s="35"/>
      <c r="AN961" s="35"/>
      <c r="AO961" s="35"/>
      <c r="AP961" s="35"/>
      <c r="AQ961" s="35"/>
      <c r="AR961" s="35"/>
      <c r="AS961" s="35"/>
      <c r="AT961" s="35"/>
      <c r="AU961" s="35"/>
      <c r="AV961" s="35"/>
      <c r="AW961" s="35"/>
    </row>
    <row r="962">
      <c r="A962" s="17"/>
      <c r="B962" s="35"/>
      <c r="C962" s="74"/>
      <c r="D962" s="74"/>
      <c r="E962" s="74"/>
      <c r="F962" s="74"/>
      <c r="G962" s="74"/>
      <c r="H962" s="74"/>
      <c r="I962" s="74"/>
      <c r="J962" s="57"/>
      <c r="K962" s="57"/>
      <c r="L962" s="57"/>
      <c r="M962" s="57"/>
      <c r="N962" s="57"/>
      <c r="O962" s="57"/>
      <c r="P962" s="57"/>
      <c r="Q962" s="69"/>
      <c r="R962" s="69"/>
      <c r="S962" s="23" t="str">
        <f>iferror(if(AN962=1,VLOOKUP(B962, Blends!H$4:AK$1004,32,0), ""), "")</f>
        <v/>
      </c>
      <c r="T962" s="58"/>
      <c r="U962" s="77"/>
      <c r="V962" s="77"/>
      <c r="W962" s="78"/>
      <c r="X962" s="77"/>
      <c r="Y962" s="77"/>
      <c r="Z962" s="77"/>
      <c r="AA962" s="77"/>
      <c r="AB962" s="77"/>
      <c r="AC962" s="77"/>
      <c r="AD962" s="77"/>
      <c r="AE962" s="77"/>
      <c r="AF962" s="77"/>
      <c r="AG962" s="77"/>
      <c r="AH962" s="77"/>
      <c r="AI962" s="77"/>
      <c r="AJ962" s="79"/>
      <c r="AK962" s="80"/>
      <c r="AL962" s="59"/>
      <c r="AM962" s="35"/>
      <c r="AN962" s="35"/>
      <c r="AO962" s="35"/>
      <c r="AP962" s="35"/>
      <c r="AQ962" s="35"/>
      <c r="AR962" s="35"/>
      <c r="AS962" s="35"/>
      <c r="AT962" s="35"/>
      <c r="AU962" s="35"/>
      <c r="AV962" s="35"/>
      <c r="AW962" s="35"/>
    </row>
    <row r="963">
      <c r="A963" s="17"/>
      <c r="B963" s="35"/>
      <c r="C963" s="74"/>
      <c r="D963" s="74"/>
      <c r="E963" s="74"/>
      <c r="F963" s="74"/>
      <c r="G963" s="74"/>
      <c r="H963" s="74"/>
      <c r="I963" s="74"/>
      <c r="J963" s="57"/>
      <c r="K963" s="57"/>
      <c r="L963" s="57"/>
      <c r="M963" s="57"/>
      <c r="N963" s="57"/>
      <c r="O963" s="57"/>
      <c r="P963" s="57"/>
      <c r="Q963" s="69"/>
      <c r="R963" s="69"/>
      <c r="S963" s="23" t="str">
        <f>iferror(if(AN963=1,VLOOKUP(B963, Blends!H$4:AK$1004,32,0), ""), "")</f>
        <v/>
      </c>
      <c r="T963" s="58"/>
      <c r="U963" s="77"/>
      <c r="V963" s="77"/>
      <c r="W963" s="78"/>
      <c r="X963" s="77"/>
      <c r="Y963" s="77"/>
      <c r="Z963" s="77"/>
      <c r="AA963" s="77"/>
      <c r="AB963" s="77"/>
      <c r="AC963" s="77"/>
      <c r="AD963" s="77"/>
      <c r="AE963" s="77"/>
      <c r="AF963" s="77"/>
      <c r="AG963" s="77"/>
      <c r="AH963" s="77"/>
      <c r="AI963" s="77"/>
      <c r="AJ963" s="79"/>
      <c r="AK963" s="80"/>
      <c r="AL963" s="59"/>
      <c r="AM963" s="35"/>
      <c r="AN963" s="35"/>
      <c r="AO963" s="35"/>
      <c r="AP963" s="35"/>
      <c r="AQ963" s="35"/>
      <c r="AR963" s="35"/>
      <c r="AS963" s="35"/>
      <c r="AT963" s="35"/>
      <c r="AU963" s="35"/>
      <c r="AV963" s="35"/>
      <c r="AW963" s="35"/>
    </row>
    <row r="964">
      <c r="A964" s="17"/>
      <c r="B964" s="35"/>
      <c r="C964" s="74"/>
      <c r="D964" s="74"/>
      <c r="E964" s="74"/>
      <c r="F964" s="74"/>
      <c r="G964" s="74"/>
      <c r="H964" s="74"/>
      <c r="I964" s="74"/>
      <c r="J964" s="57"/>
      <c r="K964" s="57"/>
      <c r="L964" s="57"/>
      <c r="M964" s="57"/>
      <c r="N964" s="57"/>
      <c r="O964" s="57"/>
      <c r="P964" s="57"/>
      <c r="Q964" s="69"/>
      <c r="R964" s="69"/>
      <c r="S964" s="23" t="str">
        <f>iferror(if(AN964=1,VLOOKUP(B964, Blends!H$4:AK$1004,32,0), ""), "")</f>
        <v/>
      </c>
      <c r="T964" s="58"/>
      <c r="U964" s="77"/>
      <c r="V964" s="77"/>
      <c r="W964" s="78"/>
      <c r="X964" s="77"/>
      <c r="Y964" s="77"/>
      <c r="Z964" s="77"/>
      <c r="AA964" s="77"/>
      <c r="AB964" s="77"/>
      <c r="AC964" s="77"/>
      <c r="AD964" s="77"/>
      <c r="AE964" s="77"/>
      <c r="AF964" s="77"/>
      <c r="AG964" s="77"/>
      <c r="AH964" s="77"/>
      <c r="AI964" s="77"/>
      <c r="AJ964" s="79"/>
      <c r="AK964" s="80"/>
      <c r="AL964" s="59"/>
      <c r="AM964" s="35"/>
      <c r="AN964" s="35"/>
      <c r="AO964" s="35"/>
      <c r="AP964" s="35"/>
      <c r="AQ964" s="35"/>
      <c r="AR964" s="35"/>
      <c r="AS964" s="35"/>
      <c r="AT964" s="35"/>
      <c r="AU964" s="35"/>
      <c r="AV964" s="35"/>
      <c r="AW964" s="35"/>
    </row>
    <row r="965">
      <c r="A965" s="17"/>
      <c r="B965" s="35"/>
      <c r="C965" s="74"/>
      <c r="D965" s="74"/>
      <c r="E965" s="74"/>
      <c r="F965" s="74"/>
      <c r="G965" s="74"/>
      <c r="H965" s="74"/>
      <c r="I965" s="74"/>
      <c r="J965" s="57"/>
      <c r="K965" s="57"/>
      <c r="L965" s="57"/>
      <c r="M965" s="57"/>
      <c r="N965" s="57"/>
      <c r="O965" s="57"/>
      <c r="P965" s="57"/>
      <c r="Q965" s="69"/>
      <c r="R965" s="69"/>
      <c r="S965" s="23" t="str">
        <f>iferror(if(AN965=1,VLOOKUP(B965, Blends!H$4:AK$1004,32,0), ""), "")</f>
        <v/>
      </c>
      <c r="T965" s="58"/>
      <c r="U965" s="77"/>
      <c r="V965" s="77"/>
      <c r="W965" s="78"/>
      <c r="X965" s="77"/>
      <c r="Y965" s="77"/>
      <c r="Z965" s="77"/>
      <c r="AA965" s="77"/>
      <c r="AB965" s="77"/>
      <c r="AC965" s="77"/>
      <c r="AD965" s="77"/>
      <c r="AE965" s="77"/>
      <c r="AF965" s="77"/>
      <c r="AG965" s="77"/>
      <c r="AH965" s="77"/>
      <c r="AI965" s="77"/>
      <c r="AJ965" s="79"/>
      <c r="AK965" s="80"/>
      <c r="AL965" s="59"/>
      <c r="AM965" s="35"/>
      <c r="AN965" s="35"/>
      <c r="AO965" s="35"/>
      <c r="AP965" s="35"/>
      <c r="AQ965" s="35"/>
      <c r="AR965" s="35"/>
      <c r="AS965" s="35"/>
      <c r="AT965" s="35"/>
      <c r="AU965" s="35"/>
      <c r="AV965" s="35"/>
      <c r="AW965" s="35"/>
    </row>
    <row r="966">
      <c r="A966" s="17"/>
      <c r="B966" s="35"/>
      <c r="C966" s="74"/>
      <c r="D966" s="74"/>
      <c r="E966" s="74"/>
      <c r="F966" s="74"/>
      <c r="G966" s="74"/>
      <c r="H966" s="74"/>
      <c r="I966" s="74"/>
      <c r="J966" s="57"/>
      <c r="K966" s="57"/>
      <c r="L966" s="57"/>
      <c r="M966" s="57"/>
      <c r="N966" s="57"/>
      <c r="O966" s="57"/>
      <c r="P966" s="57"/>
      <c r="Q966" s="69"/>
      <c r="R966" s="69"/>
      <c r="S966" s="23" t="str">
        <f>iferror(if(AN966=1,VLOOKUP(B966, Blends!H$4:AK$1004,32,0), ""), "")</f>
        <v/>
      </c>
      <c r="T966" s="58"/>
      <c r="U966" s="77"/>
      <c r="V966" s="77"/>
      <c r="W966" s="78"/>
      <c r="X966" s="77"/>
      <c r="Y966" s="77"/>
      <c r="Z966" s="77"/>
      <c r="AA966" s="77"/>
      <c r="AB966" s="77"/>
      <c r="AC966" s="77"/>
      <c r="AD966" s="77"/>
      <c r="AE966" s="77"/>
      <c r="AF966" s="77"/>
      <c r="AG966" s="77"/>
      <c r="AH966" s="77"/>
      <c r="AI966" s="77"/>
      <c r="AJ966" s="79"/>
      <c r="AK966" s="80"/>
      <c r="AL966" s="59"/>
      <c r="AM966" s="35"/>
      <c r="AN966" s="35"/>
      <c r="AO966" s="35"/>
      <c r="AP966" s="35"/>
      <c r="AQ966" s="35"/>
      <c r="AR966" s="35"/>
      <c r="AS966" s="35"/>
      <c r="AT966" s="35"/>
      <c r="AU966" s="35"/>
      <c r="AV966" s="35"/>
      <c r="AW966" s="35"/>
    </row>
    <row r="967">
      <c r="A967" s="17"/>
      <c r="B967" s="35"/>
      <c r="C967" s="74"/>
      <c r="D967" s="17"/>
      <c r="E967" s="74"/>
      <c r="F967" s="74"/>
      <c r="G967" s="74"/>
      <c r="H967" s="74"/>
      <c r="I967" s="74"/>
      <c r="J967" s="57"/>
      <c r="K967" s="57"/>
      <c r="L967" s="57"/>
      <c r="M967" s="57"/>
      <c r="N967" s="57"/>
      <c r="O967" s="57"/>
      <c r="P967" s="57"/>
      <c r="Q967" s="69"/>
      <c r="R967" s="69"/>
      <c r="S967" s="23" t="str">
        <f>iferror(if(AN967=1,VLOOKUP(B967, Blends!H$4:AK$1004,32,0), ""), "")</f>
        <v/>
      </c>
      <c r="T967" s="58"/>
      <c r="U967" s="77"/>
      <c r="V967" s="77"/>
      <c r="W967" s="78"/>
      <c r="X967" s="77"/>
      <c r="Y967" s="77"/>
      <c r="Z967" s="77"/>
      <c r="AA967" s="77"/>
      <c r="AB967" s="77"/>
      <c r="AC967" s="77"/>
      <c r="AD967" s="77"/>
      <c r="AE967" s="77"/>
      <c r="AF967" s="77"/>
      <c r="AG967" s="77"/>
      <c r="AH967" s="77"/>
      <c r="AI967" s="77"/>
      <c r="AJ967" s="79"/>
      <c r="AK967" s="80"/>
      <c r="AL967" s="59"/>
      <c r="AM967" s="35"/>
      <c r="AN967" s="35"/>
      <c r="AO967" s="35"/>
      <c r="AP967" s="35"/>
      <c r="AQ967" s="35"/>
      <c r="AR967" s="35"/>
      <c r="AS967" s="35"/>
      <c r="AT967" s="35"/>
      <c r="AU967" s="35"/>
      <c r="AV967" s="35"/>
      <c r="AW967" s="35"/>
    </row>
  </sheetData>
  <autoFilter ref="$A$1:$AW$967">
    <sortState ref="A1:AW967">
      <sortCondition ref="N1:N967"/>
    </sortState>
  </autoFilter>
  <customSheetViews>
    <customSheetView guid="{1455BF22-F75D-45A9-953B-3DEA8E135465}" filter="1" showAutoFilter="1">
      <autoFilter ref="$A$1:$AW$967">
        <filterColumn colId="8">
          <filters>
            <filter val="train"/>
          </filters>
        </filterColumn>
      </autoFilter>
    </customSheetView>
    <customSheetView guid="{FE912595-CAC9-4715-968D-BE526036883B}" filter="1" showAutoFilter="1">
      <autoFilter ref="$A$1:$AK$967">
        <filterColumn colId="8">
          <filters blank="1">
            <filter val="train"/>
          </filters>
        </filterColumn>
      </autoFilter>
    </customSheetView>
  </customSheetViews>
  <dataValidations>
    <dataValidation type="list" allowBlank="1" showErrorMessage="1" sqref="H2:H74 H76:H84 H86:H967">
      <formula1>"AECN,Corigin,Restoration "</formula1>
    </dataValidation>
    <dataValidation type="list" allowBlank="1" showErrorMessage="1" sqref="I2:I967">
      <formula1>"truck,train"</formula1>
    </dataValidation>
    <dataValidation type="list" allowBlank="1" showErrorMessage="1" sqref="F2:F74 F76:F84 F86:F304">
      <formula1>"received,payment processing,paid"</formula1>
    </dataValidation>
  </dataValidations>
  <hyperlinks>
    <hyperlink r:id="rId4" ref="B2"/>
    <hyperlink r:id="rId5" ref="D2"/>
    <hyperlink r:id="rId6" ref="AP2"/>
    <hyperlink r:id="rId7" ref="B3"/>
    <hyperlink r:id="rId8" ref="D3"/>
    <hyperlink r:id="rId9" ref="AP3"/>
    <hyperlink r:id="rId10" ref="B4"/>
    <hyperlink r:id="rId11" ref="D4"/>
    <hyperlink r:id="rId12" ref="AP4"/>
    <hyperlink r:id="rId13" ref="B5"/>
    <hyperlink r:id="rId14" ref="D5"/>
    <hyperlink r:id="rId15" ref="AP5"/>
    <hyperlink r:id="rId16" ref="B6"/>
    <hyperlink r:id="rId17" ref="D6"/>
    <hyperlink r:id="rId18" ref="AP6"/>
    <hyperlink r:id="rId19" ref="B7"/>
    <hyperlink r:id="rId20" ref="D7"/>
    <hyperlink r:id="rId21" ref="AP7"/>
    <hyperlink r:id="rId22" ref="B8"/>
    <hyperlink r:id="rId23" ref="D8"/>
    <hyperlink r:id="rId24" ref="AP8"/>
    <hyperlink r:id="rId25" ref="B9"/>
    <hyperlink r:id="rId26" ref="D9"/>
    <hyperlink r:id="rId27" ref="AP9"/>
    <hyperlink r:id="rId28" ref="B10"/>
    <hyperlink r:id="rId29" ref="D10"/>
    <hyperlink r:id="rId30" ref="AP10"/>
    <hyperlink r:id="rId31" ref="B11"/>
    <hyperlink r:id="rId32" ref="D11"/>
    <hyperlink r:id="rId33" ref="AP11"/>
    <hyperlink r:id="rId34" ref="B12"/>
    <hyperlink r:id="rId35" ref="D12"/>
    <hyperlink r:id="rId36" ref="AP12"/>
    <hyperlink r:id="rId37" ref="B13"/>
    <hyperlink r:id="rId38" ref="D13"/>
    <hyperlink r:id="rId39" ref="AP13"/>
    <hyperlink r:id="rId40" ref="B14"/>
    <hyperlink r:id="rId41" ref="D14"/>
    <hyperlink r:id="rId42" ref="AP14"/>
    <hyperlink r:id="rId43" ref="B15"/>
    <hyperlink r:id="rId44" ref="D15"/>
    <hyperlink r:id="rId45" ref="AP15"/>
    <hyperlink r:id="rId46" ref="B16"/>
    <hyperlink r:id="rId47" ref="D16"/>
    <hyperlink r:id="rId48" ref="AP16"/>
    <hyperlink r:id="rId49" ref="B17"/>
    <hyperlink r:id="rId50" ref="D17"/>
    <hyperlink r:id="rId51" ref="AP17"/>
    <hyperlink r:id="rId52" ref="B18"/>
    <hyperlink r:id="rId53" ref="D18"/>
    <hyperlink r:id="rId54" ref="AP18"/>
    <hyperlink r:id="rId55" ref="B19"/>
    <hyperlink r:id="rId56" ref="D19"/>
    <hyperlink r:id="rId57" ref="AP19"/>
    <hyperlink r:id="rId58" ref="B20"/>
    <hyperlink r:id="rId59" ref="D20"/>
    <hyperlink r:id="rId60" ref="AP20"/>
    <hyperlink r:id="rId61" ref="B21"/>
    <hyperlink r:id="rId62" ref="D21"/>
    <hyperlink r:id="rId63" ref="AP21"/>
    <hyperlink r:id="rId64" ref="B22"/>
    <hyperlink r:id="rId65" ref="D22"/>
    <hyperlink r:id="rId66" ref="AP22"/>
    <hyperlink r:id="rId67" ref="B23"/>
    <hyperlink r:id="rId68" ref="D23"/>
    <hyperlink r:id="rId69" ref="AP23"/>
    <hyperlink r:id="rId70" ref="B24"/>
    <hyperlink r:id="rId71" ref="D24"/>
    <hyperlink r:id="rId72" ref="AP24"/>
    <hyperlink r:id="rId73" ref="B25"/>
    <hyperlink r:id="rId74" ref="D25"/>
    <hyperlink r:id="rId75" ref="AP25"/>
    <hyperlink r:id="rId76" ref="B26"/>
    <hyperlink r:id="rId77" ref="D26"/>
    <hyperlink r:id="rId78" ref="AP26"/>
    <hyperlink r:id="rId79" ref="B27"/>
    <hyperlink r:id="rId80" ref="D27"/>
    <hyperlink r:id="rId81" ref="AP27"/>
    <hyperlink r:id="rId82" ref="B28"/>
    <hyperlink r:id="rId83" ref="D28"/>
    <hyperlink r:id="rId84" ref="AP28"/>
    <hyperlink r:id="rId85" ref="B29"/>
    <hyperlink r:id="rId86" ref="D29"/>
    <hyperlink r:id="rId87" ref="AP29"/>
    <hyperlink r:id="rId88" ref="B30"/>
    <hyperlink r:id="rId89" ref="D30"/>
    <hyperlink r:id="rId90" ref="AP30"/>
    <hyperlink r:id="rId91" ref="B31"/>
    <hyperlink r:id="rId92" ref="D31"/>
    <hyperlink r:id="rId93" ref="AP31"/>
    <hyperlink r:id="rId94" ref="B32"/>
    <hyperlink r:id="rId95" ref="D32"/>
    <hyperlink r:id="rId96" ref="AP32"/>
    <hyperlink r:id="rId97" ref="B33"/>
    <hyperlink r:id="rId98" ref="D33"/>
    <hyperlink r:id="rId99" ref="AP33"/>
    <hyperlink r:id="rId100" ref="B34"/>
    <hyperlink r:id="rId101" ref="D34"/>
    <hyperlink r:id="rId102" ref="AP34"/>
    <hyperlink r:id="rId103" ref="B35"/>
    <hyperlink r:id="rId104" ref="D35"/>
    <hyperlink r:id="rId105" ref="AP35"/>
    <hyperlink r:id="rId106" ref="B36"/>
    <hyperlink r:id="rId107" ref="D36"/>
    <hyperlink r:id="rId108" ref="AP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s>
  <drawing r:id="rId635"/>
  <legacyDrawing r:id="rId6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8.63"/>
    <col customWidth="1" min="3" max="3" width="8.75"/>
    <col customWidth="1" min="6" max="6" width="20.0"/>
    <col customWidth="1" min="7" max="7" width="95.38"/>
  </cols>
  <sheetData>
    <row r="1">
      <c r="A1" s="81" t="s">
        <v>881</v>
      </c>
      <c r="B1" s="82" t="s">
        <v>882</v>
      </c>
      <c r="C1" s="82" t="s">
        <v>883</v>
      </c>
      <c r="D1" s="82" t="s">
        <v>884</v>
      </c>
      <c r="E1" s="82" t="s">
        <v>885</v>
      </c>
      <c r="F1" s="82" t="s">
        <v>886</v>
      </c>
      <c r="G1" s="82" t="s">
        <v>887</v>
      </c>
      <c r="H1" s="7"/>
      <c r="I1" s="82" t="s">
        <v>888</v>
      </c>
      <c r="J1" s="7"/>
      <c r="K1" s="7"/>
      <c r="L1" s="7"/>
      <c r="M1" s="7"/>
      <c r="N1" s="7"/>
      <c r="O1" s="7"/>
      <c r="P1" s="7"/>
      <c r="Q1" s="7"/>
      <c r="R1" s="7"/>
      <c r="S1" s="7"/>
      <c r="T1" s="7"/>
      <c r="U1" s="7"/>
      <c r="V1" s="7"/>
      <c r="W1" s="7"/>
      <c r="X1" s="7"/>
      <c r="Y1" s="7"/>
      <c r="Z1" s="7"/>
      <c r="AA1" s="7"/>
      <c r="AB1" s="7"/>
      <c r="AC1" s="7"/>
    </row>
    <row r="2">
      <c r="A2" s="83">
        <v>45497.0</v>
      </c>
      <c r="B2" s="1" t="s">
        <v>889</v>
      </c>
      <c r="C2" s="84">
        <v>24.3</v>
      </c>
      <c r="D2" s="85">
        <v>27.0</v>
      </c>
      <c r="E2" s="85">
        <v>3.0</v>
      </c>
      <c r="F2" s="1"/>
      <c r="G2" s="86" t="s">
        <v>890</v>
      </c>
      <c r="I2" s="87">
        <f>AVERAGE(C2:C243)</f>
        <v>23.81576763</v>
      </c>
    </row>
    <row r="3">
      <c r="A3" s="83">
        <v>45498.0</v>
      </c>
      <c r="B3" s="1" t="s">
        <v>891</v>
      </c>
      <c r="C3" s="84">
        <v>24.3</v>
      </c>
      <c r="D3" s="1">
        <v>28.1</v>
      </c>
      <c r="E3" s="85">
        <v>3.0</v>
      </c>
      <c r="F3" s="1"/>
      <c r="G3" s="86" t="s">
        <v>892</v>
      </c>
      <c r="I3" s="87">
        <f>STDEV(C2:C244)</f>
        <v>1.203577364</v>
      </c>
    </row>
    <row r="4">
      <c r="A4" s="83">
        <v>45502.0</v>
      </c>
      <c r="B4" s="1" t="s">
        <v>893</v>
      </c>
      <c r="C4" s="84">
        <v>24.1</v>
      </c>
      <c r="D4" s="1">
        <v>29.6</v>
      </c>
      <c r="E4" s="85">
        <v>3.0</v>
      </c>
      <c r="F4" s="1"/>
      <c r="G4" s="86" t="s">
        <v>894</v>
      </c>
    </row>
    <row r="5">
      <c r="A5" s="83">
        <v>45497.0</v>
      </c>
      <c r="B5" s="1" t="s">
        <v>889</v>
      </c>
      <c r="C5" s="84">
        <v>24.3</v>
      </c>
      <c r="D5" s="84">
        <v>27.0</v>
      </c>
      <c r="E5" s="85">
        <v>3.0</v>
      </c>
      <c r="F5" s="1"/>
      <c r="G5" s="86" t="s">
        <v>895</v>
      </c>
    </row>
    <row r="6">
      <c r="A6" s="83">
        <v>45519.0</v>
      </c>
      <c r="B6" s="1" t="s">
        <v>202</v>
      </c>
      <c r="C6" s="84">
        <v>24.4</v>
      </c>
      <c r="D6" s="84">
        <v>33.8</v>
      </c>
      <c r="E6" s="84">
        <v>3.0</v>
      </c>
      <c r="F6" s="1"/>
      <c r="G6" s="86" t="s">
        <v>896</v>
      </c>
    </row>
    <row r="7">
      <c r="A7" s="83">
        <v>45519.0</v>
      </c>
      <c r="B7" s="1" t="s">
        <v>202</v>
      </c>
      <c r="C7" s="84">
        <v>24.4</v>
      </c>
      <c r="D7" s="84">
        <v>33.8</v>
      </c>
      <c r="E7" s="84">
        <v>3.0</v>
      </c>
      <c r="F7" s="1"/>
      <c r="G7" s="86" t="s">
        <v>897</v>
      </c>
    </row>
    <row r="8">
      <c r="A8" s="83">
        <v>45527.0</v>
      </c>
      <c r="B8" s="1" t="s">
        <v>898</v>
      </c>
      <c r="C8" s="84">
        <v>23.6</v>
      </c>
      <c r="D8" s="84">
        <v>32.5</v>
      </c>
      <c r="E8" s="84">
        <v>3.0</v>
      </c>
      <c r="F8" s="1"/>
      <c r="G8" s="86" t="s">
        <v>899</v>
      </c>
    </row>
    <row r="9">
      <c r="A9" s="83">
        <v>45523.0</v>
      </c>
      <c r="B9" s="1" t="s">
        <v>900</v>
      </c>
      <c r="C9" s="84">
        <v>24.3</v>
      </c>
      <c r="D9" s="84">
        <v>28.7</v>
      </c>
      <c r="E9" s="84">
        <v>3.0</v>
      </c>
      <c r="F9" s="1"/>
      <c r="G9" s="86" t="s">
        <v>901</v>
      </c>
    </row>
    <row r="10">
      <c r="A10" s="83">
        <v>45532.0</v>
      </c>
      <c r="B10" s="1" t="s">
        <v>902</v>
      </c>
      <c r="C10" s="84">
        <v>23.5</v>
      </c>
      <c r="D10" s="84">
        <v>38.8</v>
      </c>
      <c r="E10" s="84">
        <v>2.9</v>
      </c>
      <c r="F10" s="1"/>
      <c r="G10" s="86" t="s">
        <v>903</v>
      </c>
    </row>
    <row r="11">
      <c r="A11" s="83">
        <v>45527.0</v>
      </c>
      <c r="B11" s="1" t="s">
        <v>898</v>
      </c>
      <c r="C11" s="84">
        <v>23.6</v>
      </c>
      <c r="D11" s="84">
        <v>32.5</v>
      </c>
      <c r="E11" s="84">
        <v>3.0</v>
      </c>
      <c r="F11" s="1"/>
      <c r="G11" s="86" t="s">
        <v>904</v>
      </c>
    </row>
    <row r="12">
      <c r="A12" s="83">
        <v>45537.0</v>
      </c>
      <c r="B12" s="1" t="s">
        <v>905</v>
      </c>
      <c r="C12" s="84">
        <v>23.4</v>
      </c>
      <c r="D12" s="84">
        <v>36.3</v>
      </c>
      <c r="E12" s="84">
        <v>3.1</v>
      </c>
      <c r="F12" s="1"/>
      <c r="G12" s="86" t="s">
        <v>906</v>
      </c>
    </row>
    <row r="13">
      <c r="A13" s="88">
        <v>45532.0</v>
      </c>
      <c r="B13" s="1" t="s">
        <v>902</v>
      </c>
      <c r="C13" s="84">
        <v>23.5</v>
      </c>
      <c r="D13" s="84">
        <v>38.8</v>
      </c>
      <c r="E13" s="84">
        <v>2.9</v>
      </c>
      <c r="F13" s="1"/>
      <c r="G13" s="86" t="s">
        <v>907</v>
      </c>
    </row>
    <row r="14">
      <c r="A14" s="88">
        <v>45537.0</v>
      </c>
      <c r="B14" s="1" t="s">
        <v>905</v>
      </c>
      <c r="C14" s="84">
        <v>23.4</v>
      </c>
      <c r="D14" s="84">
        <v>36.3</v>
      </c>
      <c r="E14" s="84">
        <v>3.1</v>
      </c>
      <c r="F14" s="1"/>
      <c r="G14" s="86" t="s">
        <v>908</v>
      </c>
    </row>
    <row r="15">
      <c r="A15" s="88">
        <v>45541.0</v>
      </c>
      <c r="B15" s="1" t="s">
        <v>909</v>
      </c>
      <c r="C15" s="84">
        <v>23.2</v>
      </c>
      <c r="D15" s="84">
        <v>30.6</v>
      </c>
      <c r="E15" s="84">
        <v>3.1</v>
      </c>
      <c r="F15" s="1"/>
      <c r="G15" s="86" t="s">
        <v>910</v>
      </c>
    </row>
    <row r="16">
      <c r="A16" s="89">
        <v>45545.0</v>
      </c>
      <c r="B16" s="1" t="s">
        <v>911</v>
      </c>
      <c r="C16" s="84">
        <v>26.3</v>
      </c>
      <c r="D16" s="84">
        <v>29.3</v>
      </c>
      <c r="E16" s="84">
        <v>3.1</v>
      </c>
      <c r="F16" s="1"/>
      <c r="G16" s="86" t="s">
        <v>912</v>
      </c>
    </row>
    <row r="17">
      <c r="A17" s="89">
        <v>45548.0</v>
      </c>
      <c r="B17" s="1" t="s">
        <v>913</v>
      </c>
      <c r="C17" s="84">
        <v>23.3</v>
      </c>
      <c r="D17" s="84">
        <v>31.0</v>
      </c>
      <c r="E17" s="84">
        <v>3.0</v>
      </c>
      <c r="F17" s="1"/>
      <c r="G17" s="86" t="s">
        <v>914</v>
      </c>
    </row>
    <row r="18">
      <c r="A18" s="89">
        <v>45551.0</v>
      </c>
      <c r="B18" s="1" t="s">
        <v>915</v>
      </c>
      <c r="C18" s="84">
        <v>22.3</v>
      </c>
      <c r="D18" s="84">
        <v>30.1</v>
      </c>
      <c r="E18" s="84">
        <v>3.1</v>
      </c>
      <c r="F18" s="1"/>
      <c r="G18" s="86" t="s">
        <v>916</v>
      </c>
    </row>
    <row r="19">
      <c r="A19" s="89">
        <v>45541.0</v>
      </c>
      <c r="B19" s="1" t="s">
        <v>909</v>
      </c>
      <c r="C19" s="84">
        <v>23.2</v>
      </c>
      <c r="D19" s="84">
        <v>30.6</v>
      </c>
      <c r="E19" s="84">
        <v>3.1</v>
      </c>
      <c r="F19" s="1"/>
      <c r="G19" s="86" t="s">
        <v>917</v>
      </c>
    </row>
    <row r="20">
      <c r="A20" s="89">
        <v>45548.0</v>
      </c>
      <c r="B20" s="1" t="s">
        <v>913</v>
      </c>
      <c r="C20" s="84">
        <v>23.3</v>
      </c>
      <c r="D20" s="84">
        <v>31.0</v>
      </c>
      <c r="E20" s="84">
        <v>3.0</v>
      </c>
      <c r="F20" s="1"/>
      <c r="G20" s="86" t="s">
        <v>918</v>
      </c>
    </row>
    <row r="21">
      <c r="A21" s="89">
        <v>45551.0</v>
      </c>
      <c r="B21" s="1" t="s">
        <v>915</v>
      </c>
      <c r="C21" s="84">
        <v>22.3</v>
      </c>
      <c r="D21" s="84">
        <v>30.1</v>
      </c>
      <c r="E21" s="84">
        <v>3.1</v>
      </c>
      <c r="F21" s="1"/>
      <c r="G21" s="86" t="s">
        <v>919</v>
      </c>
    </row>
    <row r="22">
      <c r="A22" s="89">
        <v>45556.0</v>
      </c>
      <c r="B22" s="1" t="s">
        <v>920</v>
      </c>
      <c r="C22" s="84">
        <v>22.9</v>
      </c>
      <c r="D22" s="84">
        <v>30.7</v>
      </c>
      <c r="E22" s="84">
        <v>3.1</v>
      </c>
      <c r="F22" s="1"/>
      <c r="G22" s="86" t="s">
        <v>921</v>
      </c>
      <c r="J22" s="1">
        <v>8000.0</v>
      </c>
      <c r="K22" s="1">
        <v>7000.0</v>
      </c>
      <c r="L22" s="90">
        <f>J22/K22</f>
        <v>1.142857143</v>
      </c>
    </row>
    <row r="23">
      <c r="A23" s="89">
        <v>45559.0</v>
      </c>
      <c r="B23" s="1" t="s">
        <v>922</v>
      </c>
      <c r="C23" s="84">
        <v>23.0</v>
      </c>
      <c r="D23" s="84">
        <v>29.3</v>
      </c>
      <c r="E23" s="84">
        <v>3.1</v>
      </c>
      <c r="F23" s="1"/>
      <c r="G23" s="86" t="s">
        <v>923</v>
      </c>
      <c r="J23" s="1">
        <v>8000.0</v>
      </c>
      <c r="K23" s="90">
        <f>L23*J23</f>
        <v>5485.714286</v>
      </c>
      <c r="L23" s="90">
        <f>L22*0.6</f>
        <v>0.6857142857</v>
      </c>
    </row>
    <row r="24">
      <c r="A24" s="89">
        <v>45563.0</v>
      </c>
      <c r="B24" s="1" t="s">
        <v>924</v>
      </c>
      <c r="C24" s="84">
        <v>24.2</v>
      </c>
      <c r="D24" s="84">
        <v>31.7</v>
      </c>
      <c r="E24" s="84">
        <v>3.1</v>
      </c>
      <c r="F24" s="1"/>
      <c r="G24" s="86" t="s">
        <v>925</v>
      </c>
    </row>
    <row r="25">
      <c r="A25" s="89">
        <v>45566.0</v>
      </c>
      <c r="B25" s="1" t="s">
        <v>926</v>
      </c>
      <c r="C25" s="84">
        <v>25.4</v>
      </c>
      <c r="D25" s="84">
        <v>30.8</v>
      </c>
      <c r="E25" s="84">
        <v>3.1</v>
      </c>
      <c r="F25" s="1"/>
      <c r="G25" s="86" t="s">
        <v>927</v>
      </c>
      <c r="K25" s="90">
        <f>K23*0.23</f>
        <v>1261.714286</v>
      </c>
    </row>
    <row r="26">
      <c r="A26" s="89">
        <v>45567.0</v>
      </c>
      <c r="B26" s="1" t="s">
        <v>928</v>
      </c>
      <c r="C26" s="84">
        <v>24.9</v>
      </c>
      <c r="D26" s="84">
        <v>37.2</v>
      </c>
      <c r="E26" s="84">
        <v>3.1</v>
      </c>
      <c r="F26" s="1"/>
      <c r="G26" s="86" t="s">
        <v>929</v>
      </c>
    </row>
    <row r="27">
      <c r="A27" s="89">
        <v>45573.0</v>
      </c>
      <c r="B27" s="1" t="s">
        <v>930</v>
      </c>
      <c r="C27" s="84">
        <v>25.1</v>
      </c>
      <c r="D27" s="84">
        <v>28.4</v>
      </c>
      <c r="E27" s="84">
        <v>3.1</v>
      </c>
      <c r="F27" s="1"/>
      <c r="G27" s="86" t="s">
        <v>931</v>
      </c>
    </row>
    <row r="28">
      <c r="A28" s="89">
        <v>45566.0</v>
      </c>
      <c r="B28" s="1" t="s">
        <v>926</v>
      </c>
      <c r="C28" s="84">
        <v>25.4</v>
      </c>
      <c r="D28" s="84">
        <v>30.8</v>
      </c>
      <c r="E28" s="84">
        <v>3.1</v>
      </c>
      <c r="F28" s="1"/>
      <c r="G28" s="86" t="s">
        <v>932</v>
      </c>
    </row>
    <row r="29">
      <c r="A29" s="89">
        <v>45563.0</v>
      </c>
      <c r="B29" s="1" t="s">
        <v>924</v>
      </c>
      <c r="C29" s="84">
        <v>24.2</v>
      </c>
      <c r="D29" s="84">
        <v>31.7</v>
      </c>
      <c r="E29" s="84">
        <v>3.1</v>
      </c>
      <c r="F29" s="1"/>
      <c r="G29" s="86" t="s">
        <v>933</v>
      </c>
    </row>
    <row r="30">
      <c r="A30" s="89">
        <v>45579.0</v>
      </c>
      <c r="B30" s="1" t="s">
        <v>934</v>
      </c>
      <c r="C30" s="84">
        <v>25.4</v>
      </c>
      <c r="D30" s="84">
        <v>33.0</v>
      </c>
      <c r="E30" s="84">
        <v>3.0</v>
      </c>
      <c r="F30" s="1"/>
      <c r="G30" s="86" t="s">
        <v>935</v>
      </c>
    </row>
    <row r="31">
      <c r="A31" s="89">
        <v>45576.0</v>
      </c>
      <c r="B31" s="1" t="s">
        <v>936</v>
      </c>
      <c r="C31" s="84">
        <v>23.6</v>
      </c>
      <c r="D31" s="84">
        <v>29.7</v>
      </c>
      <c r="E31" s="84">
        <v>3.1</v>
      </c>
      <c r="F31" s="1"/>
      <c r="G31" s="86" t="s">
        <v>937</v>
      </c>
    </row>
    <row r="32">
      <c r="A32" s="89">
        <v>45583.0</v>
      </c>
      <c r="B32" s="1" t="s">
        <v>223</v>
      </c>
      <c r="C32" s="84">
        <v>22.7</v>
      </c>
      <c r="D32" s="84">
        <v>30.5</v>
      </c>
      <c r="E32" s="84">
        <v>3.0</v>
      </c>
      <c r="F32" s="1"/>
      <c r="G32" s="86" t="s">
        <v>938</v>
      </c>
    </row>
    <row r="33">
      <c r="A33" s="89">
        <v>45576.0</v>
      </c>
      <c r="B33" s="1" t="s">
        <v>936</v>
      </c>
      <c r="C33" s="84">
        <v>23.6</v>
      </c>
      <c r="D33" s="84">
        <v>29.7</v>
      </c>
      <c r="E33" s="84">
        <v>3.1</v>
      </c>
      <c r="F33" s="1"/>
      <c r="G33" s="86" t="s">
        <v>939</v>
      </c>
    </row>
    <row r="34">
      <c r="A34" s="89">
        <v>45587.0</v>
      </c>
      <c r="B34" s="1" t="s">
        <v>219</v>
      </c>
      <c r="C34" s="84">
        <v>23.4</v>
      </c>
      <c r="D34" s="84">
        <v>33.0</v>
      </c>
      <c r="E34" s="84">
        <v>3.0</v>
      </c>
      <c r="F34" s="1"/>
      <c r="G34" s="86" t="s">
        <v>940</v>
      </c>
    </row>
    <row r="35">
      <c r="A35" s="89">
        <v>45583.0</v>
      </c>
      <c r="B35" s="1" t="s">
        <v>223</v>
      </c>
      <c r="C35" s="84">
        <v>22.7</v>
      </c>
      <c r="D35" s="84">
        <v>30.5</v>
      </c>
      <c r="E35" s="84">
        <v>3.0</v>
      </c>
      <c r="F35" s="1"/>
      <c r="G35" s="86" t="s">
        <v>941</v>
      </c>
    </row>
    <row r="36">
      <c r="A36" s="89">
        <v>45591.0</v>
      </c>
      <c r="B36" s="1" t="s">
        <v>942</v>
      </c>
      <c r="C36" s="84">
        <v>24.0</v>
      </c>
      <c r="D36" s="84">
        <v>35.4</v>
      </c>
      <c r="E36" s="84">
        <v>3.1</v>
      </c>
      <c r="F36" s="1"/>
      <c r="G36" s="86" t="s">
        <v>943</v>
      </c>
    </row>
    <row r="37">
      <c r="A37" s="89">
        <v>45587.0</v>
      </c>
      <c r="B37" s="1" t="s">
        <v>219</v>
      </c>
      <c r="C37" s="84">
        <v>23.4</v>
      </c>
      <c r="D37" s="84">
        <v>33.0</v>
      </c>
      <c r="E37" s="84">
        <v>3.0</v>
      </c>
      <c r="F37" s="1"/>
      <c r="G37" s="86" t="s">
        <v>944</v>
      </c>
    </row>
    <row r="38">
      <c r="A38" s="89">
        <v>45595.0</v>
      </c>
      <c r="B38" s="1" t="s">
        <v>945</v>
      </c>
      <c r="C38" s="84">
        <v>25.7</v>
      </c>
      <c r="D38" s="84">
        <v>31.5</v>
      </c>
      <c r="E38" s="84">
        <v>3.0</v>
      </c>
      <c r="F38" s="1"/>
      <c r="G38" s="86" t="s">
        <v>946</v>
      </c>
    </row>
    <row r="39">
      <c r="A39" s="89">
        <v>45595.0</v>
      </c>
      <c r="B39" s="1" t="s">
        <v>945</v>
      </c>
      <c r="C39" s="84">
        <v>25.7</v>
      </c>
      <c r="D39" s="84">
        <v>31.5</v>
      </c>
      <c r="E39" s="84">
        <v>3.0</v>
      </c>
      <c r="F39" s="1"/>
      <c r="G39" s="86" t="s">
        <v>947</v>
      </c>
    </row>
    <row r="40">
      <c r="A40" s="89">
        <v>45591.0</v>
      </c>
      <c r="B40" s="1" t="s">
        <v>942</v>
      </c>
      <c r="C40" s="84">
        <v>24.0</v>
      </c>
      <c r="D40" s="84">
        <v>35.4</v>
      </c>
      <c r="E40" s="84">
        <v>3.1</v>
      </c>
      <c r="F40" s="1"/>
      <c r="G40" s="86" t="s">
        <v>948</v>
      </c>
    </row>
    <row r="41">
      <c r="A41" s="89">
        <v>45600.0</v>
      </c>
      <c r="B41" s="1" t="s">
        <v>230</v>
      </c>
      <c r="C41" s="84">
        <v>23.4</v>
      </c>
      <c r="D41" s="84">
        <v>36.9</v>
      </c>
      <c r="E41" s="84">
        <v>3.0</v>
      </c>
      <c r="F41" s="1"/>
      <c r="G41" s="86" t="s">
        <v>949</v>
      </c>
    </row>
    <row r="42">
      <c r="A42" s="89">
        <v>45603.0</v>
      </c>
      <c r="B42" s="1" t="s">
        <v>232</v>
      </c>
      <c r="C42" s="84">
        <v>23.8</v>
      </c>
      <c r="D42" s="84">
        <v>34.8</v>
      </c>
      <c r="E42" s="84">
        <v>3.1</v>
      </c>
      <c r="F42" s="1">
        <v>1.2198</v>
      </c>
      <c r="G42" s="86" t="s">
        <v>950</v>
      </c>
    </row>
    <row r="43">
      <c r="A43" s="89">
        <v>45600.0</v>
      </c>
      <c r="B43" s="1" t="s">
        <v>230</v>
      </c>
      <c r="C43" s="84">
        <v>23.4</v>
      </c>
      <c r="D43" s="84">
        <v>36.9</v>
      </c>
      <c r="E43" s="84">
        <v>3.0</v>
      </c>
      <c r="F43" s="1"/>
      <c r="G43" s="86" t="s">
        <v>951</v>
      </c>
    </row>
    <row r="44">
      <c r="A44" s="89">
        <v>45614.0</v>
      </c>
      <c r="B44" s="1" t="s">
        <v>952</v>
      </c>
      <c r="C44" s="84">
        <v>23.5</v>
      </c>
      <c r="D44" s="84">
        <v>33.4</v>
      </c>
      <c r="E44" s="84">
        <v>3.0</v>
      </c>
      <c r="F44" s="1"/>
      <c r="G44" s="86" t="s">
        <v>953</v>
      </c>
    </row>
    <row r="45">
      <c r="A45" s="89">
        <v>45603.0</v>
      </c>
      <c r="B45" s="1" t="s">
        <v>232</v>
      </c>
      <c r="C45" s="84">
        <v>23.8</v>
      </c>
      <c r="D45" s="84">
        <v>34.8</v>
      </c>
      <c r="E45" s="84">
        <v>3.1</v>
      </c>
      <c r="F45" s="1">
        <v>1.2198</v>
      </c>
      <c r="G45" s="86" t="s">
        <v>954</v>
      </c>
    </row>
    <row r="46">
      <c r="A46" s="89">
        <v>45614.0</v>
      </c>
      <c r="B46" s="1" t="s">
        <v>952</v>
      </c>
      <c r="C46" s="84">
        <v>23.5</v>
      </c>
      <c r="D46" s="84">
        <v>33.4</v>
      </c>
      <c r="E46" s="84">
        <v>3.0</v>
      </c>
      <c r="G46" s="86" t="s">
        <v>955</v>
      </c>
    </row>
    <row r="47">
      <c r="A47" s="89">
        <v>45614.0</v>
      </c>
      <c r="B47" s="1" t="s">
        <v>952</v>
      </c>
      <c r="C47" s="84">
        <v>23.5</v>
      </c>
      <c r="D47" s="84">
        <v>33.4</v>
      </c>
      <c r="E47" s="84">
        <v>3.0</v>
      </c>
      <c r="G47" s="86" t="s">
        <v>956</v>
      </c>
    </row>
    <row r="48">
      <c r="A48" s="89">
        <v>45617.0</v>
      </c>
      <c r="B48" s="1" t="s">
        <v>260</v>
      </c>
      <c r="C48" s="84">
        <v>23.7</v>
      </c>
      <c r="D48" s="84">
        <v>34.2</v>
      </c>
      <c r="E48" s="84">
        <v>3.0</v>
      </c>
      <c r="F48" s="1">
        <v>1.2205</v>
      </c>
      <c r="G48" s="86" t="s">
        <v>957</v>
      </c>
    </row>
    <row r="49">
      <c r="A49" s="89">
        <v>45610.0</v>
      </c>
      <c r="B49" s="1" t="s">
        <v>244</v>
      </c>
      <c r="C49" s="84">
        <v>24.2</v>
      </c>
      <c r="D49" s="84">
        <v>31.9</v>
      </c>
      <c r="E49" s="84">
        <v>3.0</v>
      </c>
      <c r="F49" s="1">
        <v>1.2191</v>
      </c>
      <c r="G49" s="86" t="s">
        <v>958</v>
      </c>
    </row>
    <row r="50">
      <c r="A50" s="89">
        <v>45616.0</v>
      </c>
      <c r="B50" s="1" t="s">
        <v>249</v>
      </c>
      <c r="C50" s="84">
        <v>24.8</v>
      </c>
      <c r="D50" s="84">
        <v>36.5</v>
      </c>
      <c r="E50" s="84">
        <v>3.0</v>
      </c>
      <c r="F50" s="1">
        <v>1.2197</v>
      </c>
      <c r="G50" s="86" t="s">
        <v>959</v>
      </c>
    </row>
    <row r="51">
      <c r="A51" s="89">
        <v>45606.0</v>
      </c>
      <c r="B51" s="1" t="s">
        <v>960</v>
      </c>
      <c r="C51" s="84">
        <v>24.5</v>
      </c>
      <c r="D51" s="84">
        <v>30.5</v>
      </c>
      <c r="E51" s="84">
        <v>3.0</v>
      </c>
      <c r="F51" s="1">
        <v>1.2181</v>
      </c>
      <c r="G51" s="86" t="s">
        <v>961</v>
      </c>
    </row>
    <row r="52">
      <c r="A52" s="89">
        <v>45616.0</v>
      </c>
      <c r="B52" s="1" t="s">
        <v>249</v>
      </c>
      <c r="C52" s="84">
        <v>24.8</v>
      </c>
      <c r="D52" s="84">
        <v>36.5</v>
      </c>
      <c r="E52" s="84">
        <v>3.0</v>
      </c>
      <c r="F52" s="1">
        <v>1.2197</v>
      </c>
      <c r="G52" s="86" t="s">
        <v>962</v>
      </c>
    </row>
    <row r="53">
      <c r="A53" s="89">
        <v>45614.0</v>
      </c>
      <c r="B53" s="1" t="s">
        <v>952</v>
      </c>
      <c r="C53" s="84">
        <v>23.5</v>
      </c>
      <c r="D53" s="84">
        <v>33.4</v>
      </c>
      <c r="E53" s="84">
        <v>3.0</v>
      </c>
      <c r="F53" s="1">
        <v>1.2221</v>
      </c>
      <c r="G53" s="86" t="s">
        <v>963</v>
      </c>
    </row>
    <row r="54">
      <c r="A54" s="89">
        <v>45614.0</v>
      </c>
      <c r="B54" s="1" t="s">
        <v>952</v>
      </c>
      <c r="C54" s="84">
        <v>23.5</v>
      </c>
      <c r="D54" s="84">
        <v>33.4</v>
      </c>
      <c r="E54" s="84">
        <v>3.0</v>
      </c>
      <c r="F54" s="1">
        <v>1.2221</v>
      </c>
      <c r="G54" s="86" t="s">
        <v>964</v>
      </c>
    </row>
    <row r="55">
      <c r="A55" s="89">
        <v>45614.0</v>
      </c>
      <c r="B55" s="1" t="s">
        <v>952</v>
      </c>
      <c r="C55" s="84">
        <v>23.5</v>
      </c>
      <c r="D55" s="84">
        <v>33.4</v>
      </c>
      <c r="E55" s="84">
        <v>3.0</v>
      </c>
      <c r="F55" s="1">
        <v>1.2221</v>
      </c>
      <c r="G55" s="86" t="s">
        <v>965</v>
      </c>
    </row>
    <row r="56">
      <c r="A56" s="89">
        <v>45614.0</v>
      </c>
      <c r="B56" s="1" t="s">
        <v>952</v>
      </c>
      <c r="C56" s="84">
        <v>23.5</v>
      </c>
      <c r="D56" s="84">
        <v>33.4</v>
      </c>
      <c r="E56" s="84">
        <v>3.0</v>
      </c>
      <c r="F56" s="1">
        <v>1.2221</v>
      </c>
      <c r="G56" s="86" t="s">
        <v>966</v>
      </c>
    </row>
    <row r="57">
      <c r="A57" s="89">
        <v>45616.0</v>
      </c>
      <c r="B57" s="1" t="s">
        <v>249</v>
      </c>
      <c r="C57" s="84">
        <v>24.8</v>
      </c>
      <c r="D57" s="84">
        <v>36.5</v>
      </c>
      <c r="E57" s="84">
        <v>3.0</v>
      </c>
      <c r="F57" s="1">
        <v>1.2197</v>
      </c>
      <c r="G57" s="86" t="s">
        <v>967</v>
      </c>
    </row>
    <row r="58">
      <c r="A58" s="89">
        <v>45617.0</v>
      </c>
      <c r="B58" s="1" t="s">
        <v>260</v>
      </c>
      <c r="C58" s="84">
        <v>23.7</v>
      </c>
      <c r="D58" s="84">
        <v>34.2</v>
      </c>
      <c r="E58" s="84">
        <v>3.0</v>
      </c>
      <c r="F58" s="1">
        <v>1.2205</v>
      </c>
      <c r="G58" s="86" t="s">
        <v>968</v>
      </c>
    </row>
    <row r="59">
      <c r="A59" s="89">
        <v>45629.0</v>
      </c>
      <c r="B59" s="1" t="s">
        <v>266</v>
      </c>
      <c r="C59" s="84">
        <v>22.6</v>
      </c>
      <c r="D59" s="84">
        <v>56.1</v>
      </c>
      <c r="E59" s="84">
        <v>2.9</v>
      </c>
      <c r="F59" s="1">
        <v>1.2275</v>
      </c>
      <c r="G59" s="86" t="s">
        <v>969</v>
      </c>
    </row>
    <row r="60">
      <c r="A60" s="89">
        <v>45632.0</v>
      </c>
      <c r="B60" s="1" t="s">
        <v>970</v>
      </c>
      <c r="C60" s="84">
        <v>24.2</v>
      </c>
      <c r="D60" s="84">
        <v>60.3</v>
      </c>
      <c r="E60" s="84">
        <v>2.9</v>
      </c>
      <c r="F60" s="1">
        <v>1.2272</v>
      </c>
      <c r="G60" s="86" t="s">
        <v>971</v>
      </c>
    </row>
    <row r="61">
      <c r="A61" s="89">
        <v>45629.0</v>
      </c>
      <c r="B61" s="1" t="s">
        <v>266</v>
      </c>
      <c r="C61" s="84">
        <v>22.6</v>
      </c>
      <c r="D61" s="84">
        <v>56.1</v>
      </c>
      <c r="E61" s="84">
        <v>2.9</v>
      </c>
      <c r="F61" s="1">
        <v>1.2275</v>
      </c>
      <c r="G61" s="91" t="s">
        <v>972</v>
      </c>
    </row>
    <row r="62">
      <c r="A62" s="89">
        <v>45636.0</v>
      </c>
      <c r="B62" s="1" t="s">
        <v>973</v>
      </c>
      <c r="C62" s="84">
        <v>24.5</v>
      </c>
      <c r="D62" s="84">
        <v>30.7</v>
      </c>
      <c r="E62" s="84">
        <v>3.0</v>
      </c>
      <c r="F62" s="1">
        <v>1.2176</v>
      </c>
      <c r="G62" s="86" t="s">
        <v>974</v>
      </c>
    </row>
    <row r="63">
      <c r="A63" s="89">
        <v>45642.0</v>
      </c>
      <c r="B63" s="1" t="s">
        <v>975</v>
      </c>
      <c r="C63" s="84">
        <v>22.6</v>
      </c>
      <c r="D63" s="84">
        <v>32.2</v>
      </c>
      <c r="E63" s="84">
        <v>3.0</v>
      </c>
      <c r="F63" s="1">
        <v>1.2212</v>
      </c>
      <c r="G63" s="86" t="s">
        <v>976</v>
      </c>
    </row>
    <row r="64">
      <c r="A64" s="89">
        <v>45644.0</v>
      </c>
      <c r="B64" s="1" t="s">
        <v>276</v>
      </c>
      <c r="C64" s="84">
        <v>23.7</v>
      </c>
      <c r="D64" s="84">
        <v>31.4</v>
      </c>
      <c r="E64" s="84">
        <v>3.0</v>
      </c>
      <c r="F64" s="1">
        <v>1.2174</v>
      </c>
      <c r="G64" s="91" t="s">
        <v>977</v>
      </c>
    </row>
    <row r="65">
      <c r="A65" s="89">
        <v>45636.0</v>
      </c>
      <c r="B65" s="1" t="s">
        <v>973</v>
      </c>
      <c r="C65" s="84">
        <v>24.5</v>
      </c>
      <c r="D65" s="84">
        <v>30.7</v>
      </c>
      <c r="E65" s="84">
        <v>3.0</v>
      </c>
      <c r="F65" s="1">
        <v>1.2176</v>
      </c>
      <c r="G65" s="86" t="s">
        <v>978</v>
      </c>
    </row>
    <row r="66">
      <c r="A66" s="89">
        <v>45648.0</v>
      </c>
      <c r="B66" s="1" t="s">
        <v>286</v>
      </c>
      <c r="C66" s="84">
        <v>23.3</v>
      </c>
      <c r="D66" s="84">
        <v>32.7</v>
      </c>
      <c r="E66" s="84">
        <v>2.9</v>
      </c>
      <c r="F66" s="1">
        <v>1.2218</v>
      </c>
      <c r="G66" s="91" t="s">
        <v>979</v>
      </c>
    </row>
    <row r="67">
      <c r="A67" s="89">
        <v>45632.0</v>
      </c>
      <c r="B67" s="1" t="s">
        <v>970</v>
      </c>
      <c r="C67" s="84">
        <v>24.2</v>
      </c>
      <c r="D67" s="84">
        <v>60.3</v>
      </c>
      <c r="E67" s="84">
        <v>2.9</v>
      </c>
      <c r="F67" s="1">
        <v>1.2272</v>
      </c>
      <c r="G67" s="86" t="s">
        <v>980</v>
      </c>
    </row>
    <row r="68">
      <c r="A68" s="89">
        <v>45642.0</v>
      </c>
      <c r="B68" s="1" t="s">
        <v>975</v>
      </c>
      <c r="C68" s="84">
        <v>22.6</v>
      </c>
      <c r="D68" s="84">
        <v>32.2</v>
      </c>
      <c r="E68" s="84">
        <v>3.0</v>
      </c>
      <c r="F68" s="1">
        <v>1.2212</v>
      </c>
      <c r="G68" s="86" t="s">
        <v>981</v>
      </c>
    </row>
    <row r="69">
      <c r="A69" s="89">
        <v>45644.0</v>
      </c>
      <c r="B69" s="1" t="s">
        <v>276</v>
      </c>
      <c r="C69" s="84">
        <v>23.7</v>
      </c>
      <c r="D69" s="84">
        <v>31.4</v>
      </c>
      <c r="E69" s="84">
        <v>3.0</v>
      </c>
      <c r="F69" s="1">
        <v>1.2174</v>
      </c>
      <c r="G69" s="86" t="s">
        <v>982</v>
      </c>
    </row>
    <row r="70">
      <c r="A70" s="89">
        <v>45653.0</v>
      </c>
      <c r="B70" s="1" t="s">
        <v>294</v>
      </c>
      <c r="C70" s="84">
        <v>23.7</v>
      </c>
      <c r="D70" s="84">
        <v>30.2</v>
      </c>
      <c r="E70" s="84">
        <v>2.9</v>
      </c>
      <c r="F70" s="1">
        <v>1.2185</v>
      </c>
      <c r="G70" s="86" t="s">
        <v>983</v>
      </c>
    </row>
    <row r="71">
      <c r="A71" s="89">
        <v>45656.0</v>
      </c>
      <c r="B71" s="1" t="s">
        <v>299</v>
      </c>
      <c r="C71" s="84">
        <v>22.9</v>
      </c>
      <c r="D71" s="84">
        <v>31.6</v>
      </c>
      <c r="E71" s="84">
        <v>2.9</v>
      </c>
      <c r="F71" s="1">
        <v>1.2186</v>
      </c>
      <c r="G71" s="86" t="s">
        <v>984</v>
      </c>
    </row>
    <row r="72">
      <c r="A72" s="89">
        <v>45661.0</v>
      </c>
      <c r="B72" s="1" t="s">
        <v>303</v>
      </c>
      <c r="C72" s="84">
        <v>22.7</v>
      </c>
      <c r="D72" s="84">
        <v>34.1</v>
      </c>
      <c r="E72" s="84">
        <v>2.9</v>
      </c>
      <c r="F72" s="1">
        <v>1.2225</v>
      </c>
      <c r="G72" s="86" t="s">
        <v>985</v>
      </c>
    </row>
    <row r="73">
      <c r="A73" s="89">
        <v>45648.0</v>
      </c>
      <c r="B73" s="1" t="s">
        <v>286</v>
      </c>
      <c r="C73" s="84">
        <v>23.3</v>
      </c>
      <c r="D73" s="84">
        <v>32.7</v>
      </c>
      <c r="E73" s="84">
        <v>2.9</v>
      </c>
      <c r="F73" s="1">
        <v>1.2218</v>
      </c>
      <c r="G73" s="91" t="s">
        <v>986</v>
      </c>
    </row>
    <row r="74">
      <c r="A74" s="89">
        <v>45653.0</v>
      </c>
      <c r="B74" s="1" t="s">
        <v>294</v>
      </c>
      <c r="C74" s="84">
        <v>23.7</v>
      </c>
      <c r="D74" s="84">
        <v>30.2</v>
      </c>
      <c r="E74" s="84">
        <v>2.9</v>
      </c>
      <c r="F74" s="1">
        <v>1.2185</v>
      </c>
      <c r="G74" s="91" t="s">
        <v>987</v>
      </c>
    </row>
    <row r="75">
      <c r="A75" s="89">
        <v>45664.0</v>
      </c>
      <c r="B75" s="1" t="s">
        <v>988</v>
      </c>
      <c r="C75" s="84">
        <v>22.5</v>
      </c>
      <c r="D75" s="84">
        <v>32.4</v>
      </c>
      <c r="E75" s="84">
        <v>3.0</v>
      </c>
      <c r="F75" s="1">
        <v>1.219</v>
      </c>
      <c r="G75" s="86" t="s">
        <v>989</v>
      </c>
    </row>
    <row r="76">
      <c r="A76" s="89">
        <v>45656.0</v>
      </c>
      <c r="B76" s="1" t="s">
        <v>299</v>
      </c>
      <c r="C76" s="84">
        <v>22.9</v>
      </c>
      <c r="D76" s="84">
        <v>31.6</v>
      </c>
      <c r="E76" s="84">
        <v>2.9</v>
      </c>
      <c r="F76" s="1">
        <v>1.2186</v>
      </c>
      <c r="G76" s="91" t="s">
        <v>990</v>
      </c>
    </row>
    <row r="77">
      <c r="A77" s="89">
        <v>45661.0</v>
      </c>
      <c r="B77" s="1" t="s">
        <v>303</v>
      </c>
      <c r="C77" s="84">
        <v>22.7</v>
      </c>
      <c r="D77" s="84">
        <v>34.1</v>
      </c>
      <c r="E77" s="84">
        <v>2.9</v>
      </c>
      <c r="F77" s="1">
        <v>1.2225</v>
      </c>
      <c r="G77" s="91" t="s">
        <v>991</v>
      </c>
    </row>
    <row r="78">
      <c r="A78" s="89">
        <v>45668.0</v>
      </c>
      <c r="B78" s="1" t="s">
        <v>307</v>
      </c>
      <c r="C78" s="84">
        <v>23.5</v>
      </c>
      <c r="D78" s="84">
        <v>30.4</v>
      </c>
      <c r="E78" s="84">
        <v>3.0</v>
      </c>
      <c r="F78" s="1">
        <v>1.2179</v>
      </c>
      <c r="G78" s="86" t="s">
        <v>992</v>
      </c>
    </row>
    <row r="79">
      <c r="A79" s="89">
        <v>45664.0</v>
      </c>
      <c r="B79" s="1" t="s">
        <v>988</v>
      </c>
      <c r="C79" s="84">
        <v>22.5</v>
      </c>
      <c r="D79" s="84">
        <v>32.4</v>
      </c>
      <c r="E79" s="84">
        <v>3.0</v>
      </c>
      <c r="F79" s="1">
        <v>1.219</v>
      </c>
      <c r="G79" s="86" t="s">
        <v>993</v>
      </c>
    </row>
    <row r="80">
      <c r="A80" s="89">
        <v>45673.0</v>
      </c>
      <c r="B80" s="1" t="s">
        <v>309</v>
      </c>
      <c r="C80" s="84">
        <v>23.3</v>
      </c>
      <c r="D80" s="84">
        <v>31.4</v>
      </c>
      <c r="E80" s="84">
        <v>3.0</v>
      </c>
      <c r="F80" s="1">
        <v>1.2194</v>
      </c>
      <c r="G80" s="91" t="s">
        <v>994</v>
      </c>
    </row>
    <row r="81">
      <c r="A81" s="89">
        <v>45668.0</v>
      </c>
      <c r="B81" s="1" t="s">
        <v>307</v>
      </c>
      <c r="C81" s="84">
        <v>23.5</v>
      </c>
      <c r="D81" s="84">
        <v>30.4</v>
      </c>
      <c r="E81" s="84">
        <v>3.0</v>
      </c>
      <c r="F81" s="1">
        <v>1.2179</v>
      </c>
      <c r="G81" s="86" t="s">
        <v>995</v>
      </c>
    </row>
    <row r="82">
      <c r="A82" s="89">
        <v>45676.0</v>
      </c>
      <c r="B82" s="1" t="s">
        <v>316</v>
      </c>
      <c r="C82" s="84">
        <v>23.2</v>
      </c>
      <c r="D82" s="84">
        <v>28.1</v>
      </c>
      <c r="E82" s="84">
        <v>2.9</v>
      </c>
      <c r="F82" s="1">
        <v>1.2168</v>
      </c>
      <c r="G82" s="86" t="s">
        <v>996</v>
      </c>
    </row>
    <row r="83">
      <c r="A83" s="89">
        <v>45673.0</v>
      </c>
      <c r="B83" s="1" t="s">
        <v>309</v>
      </c>
      <c r="C83" s="84">
        <v>23.3</v>
      </c>
      <c r="D83" s="84">
        <v>31.4</v>
      </c>
      <c r="E83" s="84">
        <v>3.0</v>
      </c>
      <c r="F83" s="1">
        <v>1.2194</v>
      </c>
      <c r="G83" s="91" t="s">
        <v>997</v>
      </c>
    </row>
    <row r="84">
      <c r="A84" s="89">
        <v>45680.0</v>
      </c>
      <c r="B84" s="1" t="s">
        <v>319</v>
      </c>
      <c r="C84" s="84">
        <v>23.4</v>
      </c>
      <c r="D84" s="84">
        <v>28.1</v>
      </c>
      <c r="E84" s="84">
        <v>2.9</v>
      </c>
      <c r="F84" s="1">
        <v>1.2142</v>
      </c>
      <c r="G84" s="91" t="s">
        <v>998</v>
      </c>
    </row>
    <row r="85">
      <c r="A85" s="89">
        <v>45676.0</v>
      </c>
      <c r="B85" s="1" t="s">
        <v>316</v>
      </c>
      <c r="C85" s="84">
        <v>23.2</v>
      </c>
      <c r="D85" s="84">
        <v>28.1</v>
      </c>
      <c r="E85" s="84">
        <v>2.9</v>
      </c>
      <c r="F85" s="1">
        <v>1.2168</v>
      </c>
      <c r="G85" s="91" t="s">
        <v>999</v>
      </c>
    </row>
    <row r="86">
      <c r="A86" s="89">
        <v>45685.0</v>
      </c>
      <c r="B86" s="1" t="s">
        <v>328</v>
      </c>
      <c r="C86" s="84">
        <v>24.4</v>
      </c>
      <c r="D86" s="84">
        <v>25.6</v>
      </c>
      <c r="E86" s="84">
        <v>2.9</v>
      </c>
      <c r="F86" s="1">
        <v>1.2103</v>
      </c>
      <c r="G86" s="86" t="s">
        <v>1000</v>
      </c>
    </row>
    <row r="87">
      <c r="A87" s="89">
        <v>45685.0</v>
      </c>
      <c r="B87" s="1" t="s">
        <v>328</v>
      </c>
      <c r="C87" s="84">
        <v>24.4</v>
      </c>
      <c r="D87" s="84">
        <v>25.6</v>
      </c>
      <c r="E87" s="84">
        <v>2.9</v>
      </c>
      <c r="F87" s="1">
        <v>1.2103</v>
      </c>
      <c r="G87" s="86" t="s">
        <v>1001</v>
      </c>
    </row>
    <row r="88">
      <c r="A88" s="89">
        <v>45680.0</v>
      </c>
      <c r="B88" s="1" t="s">
        <v>319</v>
      </c>
      <c r="C88" s="84">
        <v>23.4</v>
      </c>
      <c r="D88" s="84">
        <v>28.1</v>
      </c>
      <c r="E88" s="84">
        <v>2.9</v>
      </c>
      <c r="F88" s="1">
        <v>1.2142</v>
      </c>
      <c r="G88" s="91" t="s">
        <v>1002</v>
      </c>
    </row>
    <row r="89">
      <c r="A89" s="89">
        <v>45685.0</v>
      </c>
      <c r="B89" s="1" t="s">
        <v>328</v>
      </c>
      <c r="C89" s="84">
        <v>24.4</v>
      </c>
      <c r="D89" s="84">
        <v>25.6</v>
      </c>
      <c r="E89" s="84">
        <v>2.9</v>
      </c>
      <c r="F89" s="1">
        <v>1.2103</v>
      </c>
      <c r="G89" s="86" t="s">
        <v>1003</v>
      </c>
    </row>
    <row r="90">
      <c r="A90" s="89">
        <v>45690.0</v>
      </c>
      <c r="B90" s="1" t="s">
        <v>333</v>
      </c>
      <c r="C90" s="84">
        <v>22.2</v>
      </c>
      <c r="D90" s="84">
        <v>33.4</v>
      </c>
      <c r="E90" s="84">
        <v>2.9</v>
      </c>
      <c r="F90" s="1">
        <v>1.2163</v>
      </c>
      <c r="G90" s="91" t="s">
        <v>1004</v>
      </c>
    </row>
    <row r="91">
      <c r="A91" s="89">
        <v>45693.0</v>
      </c>
      <c r="B91" s="1" t="s">
        <v>337</v>
      </c>
      <c r="C91" s="84">
        <v>24.1</v>
      </c>
      <c r="D91" s="84">
        <v>26.9</v>
      </c>
      <c r="E91" s="84">
        <v>2.9</v>
      </c>
      <c r="F91" s="1">
        <v>1.2116</v>
      </c>
      <c r="G91" s="86" t="s">
        <v>1005</v>
      </c>
    </row>
    <row r="92">
      <c r="A92" s="89">
        <v>45696.0</v>
      </c>
      <c r="B92" s="1" t="s">
        <v>1006</v>
      </c>
      <c r="C92" s="84">
        <v>22.3</v>
      </c>
      <c r="D92" s="84">
        <v>27.1</v>
      </c>
      <c r="E92" s="84">
        <v>3.0</v>
      </c>
      <c r="F92" s="1">
        <v>1.2132</v>
      </c>
      <c r="G92" s="86" t="s">
        <v>1007</v>
      </c>
    </row>
    <row r="93">
      <c r="A93" s="89">
        <v>45699.0</v>
      </c>
      <c r="B93" s="1" t="s">
        <v>343</v>
      </c>
      <c r="C93" s="84">
        <v>23.2</v>
      </c>
      <c r="D93" s="84">
        <v>27.0</v>
      </c>
      <c r="E93" s="84">
        <v>3.1</v>
      </c>
      <c r="F93" s="1">
        <v>1.2141</v>
      </c>
      <c r="G93" s="86" t="s">
        <v>1008</v>
      </c>
    </row>
    <row r="94">
      <c r="A94" s="89">
        <v>45699.0</v>
      </c>
      <c r="B94" s="1" t="s">
        <v>333</v>
      </c>
      <c r="C94" s="84">
        <v>22.2</v>
      </c>
      <c r="D94" s="84">
        <v>33.4</v>
      </c>
      <c r="E94" s="84">
        <v>2.9</v>
      </c>
      <c r="F94" s="1">
        <v>1.2163</v>
      </c>
      <c r="G94" s="86" t="s">
        <v>1009</v>
      </c>
    </row>
    <row r="95">
      <c r="A95" s="89">
        <v>45700.0</v>
      </c>
      <c r="B95" s="1" t="s">
        <v>1010</v>
      </c>
      <c r="C95" s="84">
        <v>23.0</v>
      </c>
      <c r="D95" s="84">
        <v>27.7</v>
      </c>
      <c r="E95" s="84">
        <v>3.0</v>
      </c>
      <c r="F95" s="1">
        <v>1.2169</v>
      </c>
      <c r="G95" s="86" t="s">
        <v>1011</v>
      </c>
    </row>
    <row r="96">
      <c r="A96" s="89">
        <v>45701.0</v>
      </c>
      <c r="B96" s="1" t="s">
        <v>1012</v>
      </c>
      <c r="C96" s="84">
        <v>22.6</v>
      </c>
      <c r="D96" s="84">
        <v>27.3</v>
      </c>
      <c r="E96" s="84">
        <v>3.0</v>
      </c>
      <c r="F96" s="1">
        <v>1.2157</v>
      </c>
      <c r="G96" s="86" t="s">
        <v>1013</v>
      </c>
    </row>
    <row r="97">
      <c r="A97" s="89">
        <v>45702.0</v>
      </c>
      <c r="B97" s="1" t="s">
        <v>1014</v>
      </c>
      <c r="C97" s="84">
        <v>23.7</v>
      </c>
      <c r="D97" s="84">
        <v>26.3</v>
      </c>
      <c r="E97" s="84">
        <v>3.0</v>
      </c>
      <c r="F97" s="1">
        <v>1.2148</v>
      </c>
      <c r="G97" s="86" t="s">
        <v>1015</v>
      </c>
    </row>
    <row r="98">
      <c r="A98" s="89">
        <v>45696.0</v>
      </c>
      <c r="B98" s="1" t="s">
        <v>1006</v>
      </c>
      <c r="C98" s="84">
        <v>22.3</v>
      </c>
      <c r="D98" s="84">
        <v>27.1</v>
      </c>
      <c r="E98" s="84">
        <v>3.0</v>
      </c>
      <c r="F98" s="1">
        <v>1.2132</v>
      </c>
      <c r="G98" s="86" t="s">
        <v>1016</v>
      </c>
    </row>
    <row r="99">
      <c r="A99" s="89">
        <v>45703.0</v>
      </c>
      <c r="B99" s="1" t="s">
        <v>1017</v>
      </c>
      <c r="C99" s="84">
        <v>22.7</v>
      </c>
      <c r="D99" s="84">
        <v>29.9</v>
      </c>
      <c r="E99" s="84">
        <v>2.9</v>
      </c>
      <c r="F99" s="1">
        <v>1.219</v>
      </c>
      <c r="G99" s="86" t="s">
        <v>1018</v>
      </c>
    </row>
    <row r="100">
      <c r="A100" s="89">
        <v>45706.0</v>
      </c>
      <c r="B100" s="1" t="s">
        <v>1019</v>
      </c>
      <c r="C100" s="84">
        <v>22.9</v>
      </c>
      <c r="D100" s="84">
        <v>26.3</v>
      </c>
      <c r="E100" s="84">
        <v>3.0</v>
      </c>
      <c r="F100" s="1">
        <v>1.2145</v>
      </c>
      <c r="G100" s="86" t="s">
        <v>1020</v>
      </c>
    </row>
    <row r="101">
      <c r="A101" s="89">
        <v>45708.0</v>
      </c>
      <c r="B101" s="1" t="s">
        <v>346</v>
      </c>
      <c r="C101" s="84">
        <v>23.3</v>
      </c>
      <c r="D101" s="84">
        <v>25.9</v>
      </c>
      <c r="E101" s="84">
        <v>3.0</v>
      </c>
      <c r="F101" s="1">
        <v>1.2149</v>
      </c>
      <c r="G101" s="86" t="s">
        <v>1021</v>
      </c>
    </row>
    <row r="102">
      <c r="A102" s="89">
        <v>45699.0</v>
      </c>
      <c r="B102" s="1" t="s">
        <v>343</v>
      </c>
      <c r="C102" s="84">
        <v>23.2</v>
      </c>
      <c r="D102" s="84">
        <v>27.0</v>
      </c>
      <c r="E102" s="84">
        <v>3.1</v>
      </c>
      <c r="F102" s="1">
        <v>1.2141</v>
      </c>
      <c r="G102" s="91" t="s">
        <v>1022</v>
      </c>
    </row>
    <row r="103">
      <c r="A103" s="89">
        <v>45709.0</v>
      </c>
      <c r="B103" s="1" t="s">
        <v>1023</v>
      </c>
      <c r="C103" s="84">
        <v>23.2</v>
      </c>
      <c r="D103" s="84">
        <v>24.4</v>
      </c>
      <c r="E103" s="84">
        <v>3.0</v>
      </c>
      <c r="F103" s="1">
        <v>1.2113</v>
      </c>
      <c r="G103" s="86" t="s">
        <v>1024</v>
      </c>
    </row>
    <row r="104">
      <c r="A104" s="89">
        <v>45699.0</v>
      </c>
      <c r="B104" s="1" t="s">
        <v>337</v>
      </c>
      <c r="C104" s="84">
        <v>24.1</v>
      </c>
      <c r="D104" s="84">
        <v>26.9</v>
      </c>
      <c r="E104" s="84">
        <v>2.9</v>
      </c>
      <c r="F104" s="1">
        <v>1.2116</v>
      </c>
      <c r="G104" s="91" t="s">
        <v>1025</v>
      </c>
    </row>
    <row r="105">
      <c r="A105" s="89">
        <v>45711.0</v>
      </c>
      <c r="B105" s="1" t="s">
        <v>348</v>
      </c>
      <c r="C105" s="84">
        <v>27.1</v>
      </c>
      <c r="D105" s="84">
        <v>16.9</v>
      </c>
      <c r="E105" s="84">
        <v>2.9</v>
      </c>
      <c r="F105" s="1">
        <v>1.1999</v>
      </c>
      <c r="G105" s="91" t="s">
        <v>1026</v>
      </c>
    </row>
    <row r="106">
      <c r="A106" s="89">
        <v>45713.0</v>
      </c>
      <c r="B106" s="1" t="s">
        <v>351</v>
      </c>
      <c r="C106" s="84">
        <v>26.5</v>
      </c>
      <c r="D106" s="84">
        <v>18.1</v>
      </c>
      <c r="E106" s="84">
        <v>3.0</v>
      </c>
      <c r="F106" s="1">
        <v>1.2012</v>
      </c>
      <c r="G106" s="86" t="s">
        <v>1027</v>
      </c>
    </row>
    <row r="107">
      <c r="A107" s="89">
        <v>45708.0</v>
      </c>
      <c r="B107" s="1" t="s">
        <v>346</v>
      </c>
      <c r="C107" s="84">
        <v>23.3</v>
      </c>
      <c r="D107" s="84">
        <v>25.9</v>
      </c>
      <c r="E107" s="84">
        <v>3.0</v>
      </c>
      <c r="F107" s="1">
        <v>1.2149</v>
      </c>
      <c r="G107" s="86" t="s">
        <v>1028</v>
      </c>
    </row>
    <row r="108">
      <c r="A108" s="89">
        <v>45716.0</v>
      </c>
      <c r="B108" s="1" t="s">
        <v>357</v>
      </c>
      <c r="C108" s="84">
        <v>25.1</v>
      </c>
      <c r="D108" s="84">
        <v>24.3</v>
      </c>
      <c r="E108" s="84">
        <v>2.8</v>
      </c>
      <c r="F108" s="1">
        <v>1.2117</v>
      </c>
      <c r="G108" s="86" t="s">
        <v>1029</v>
      </c>
    </row>
    <row r="109">
      <c r="A109" s="89">
        <v>45709.0</v>
      </c>
      <c r="B109" s="1" t="s">
        <v>1023</v>
      </c>
      <c r="C109" s="84">
        <v>23.2</v>
      </c>
      <c r="D109" s="84">
        <v>24.4</v>
      </c>
      <c r="E109" s="84">
        <v>3.0</v>
      </c>
      <c r="F109" s="1">
        <v>1.2113</v>
      </c>
      <c r="G109" s="86" t="s">
        <v>1030</v>
      </c>
    </row>
    <row r="110">
      <c r="A110" s="89">
        <v>45711.0</v>
      </c>
      <c r="B110" s="1" t="s">
        <v>348</v>
      </c>
      <c r="C110" s="84">
        <v>27.1</v>
      </c>
      <c r="D110" s="84">
        <v>16.9</v>
      </c>
      <c r="E110" s="84">
        <v>2.9</v>
      </c>
      <c r="F110" s="1">
        <v>1.1999</v>
      </c>
      <c r="G110" s="86" t="s">
        <v>1031</v>
      </c>
    </row>
    <row r="111">
      <c r="A111" s="89">
        <v>45713.0</v>
      </c>
      <c r="B111" s="1" t="s">
        <v>351</v>
      </c>
      <c r="C111" s="84">
        <v>26.5</v>
      </c>
      <c r="D111" s="84">
        <v>18.1</v>
      </c>
      <c r="E111" s="84">
        <v>3.0</v>
      </c>
      <c r="F111" s="1">
        <v>1.2012</v>
      </c>
      <c r="G111" s="91" t="s">
        <v>1032</v>
      </c>
    </row>
    <row r="112">
      <c r="A112" s="89">
        <v>45719.0</v>
      </c>
      <c r="B112" s="1" t="s">
        <v>1033</v>
      </c>
      <c r="C112" s="84">
        <v>24.7</v>
      </c>
      <c r="D112" s="84">
        <v>23.6</v>
      </c>
      <c r="E112" s="84">
        <v>3.0</v>
      </c>
      <c r="F112" s="1">
        <v>1.2081</v>
      </c>
      <c r="G112" s="86" t="s">
        <v>1034</v>
      </c>
    </row>
    <row r="113">
      <c r="A113" s="89">
        <v>45721.0</v>
      </c>
      <c r="B113" s="1" t="s">
        <v>363</v>
      </c>
      <c r="C113" s="84">
        <v>25.4</v>
      </c>
      <c r="D113" s="84">
        <v>24.0</v>
      </c>
      <c r="E113" s="84">
        <v>2.8</v>
      </c>
      <c r="F113" s="1">
        <v>1.2133</v>
      </c>
      <c r="G113" s="86" t="s">
        <v>1035</v>
      </c>
    </row>
    <row r="114">
      <c r="A114" s="89">
        <v>45716.0</v>
      </c>
      <c r="B114" s="1" t="s">
        <v>357</v>
      </c>
      <c r="C114" s="84">
        <v>25.1</v>
      </c>
      <c r="D114" s="84">
        <v>24.3</v>
      </c>
      <c r="E114" s="84">
        <v>2.8</v>
      </c>
      <c r="F114" s="1">
        <v>1.2117</v>
      </c>
      <c r="G114" s="91" t="s">
        <v>1036</v>
      </c>
    </row>
    <row r="115">
      <c r="A115" s="89">
        <v>45719.0</v>
      </c>
      <c r="B115" s="1" t="s">
        <v>1033</v>
      </c>
      <c r="C115" s="84">
        <v>24.7</v>
      </c>
      <c r="D115" s="84">
        <v>23.6</v>
      </c>
      <c r="E115" s="84">
        <v>3.0</v>
      </c>
      <c r="F115" s="1">
        <v>1.2081</v>
      </c>
      <c r="G115" s="91" t="s">
        <v>1037</v>
      </c>
    </row>
    <row r="116">
      <c r="A116" s="89">
        <v>45723.0</v>
      </c>
      <c r="B116" s="1" t="s">
        <v>370</v>
      </c>
      <c r="C116" s="84">
        <v>24.4</v>
      </c>
      <c r="D116" s="84">
        <v>25.2</v>
      </c>
      <c r="E116" s="84">
        <v>2.8</v>
      </c>
      <c r="F116" s="1">
        <v>1.214</v>
      </c>
      <c r="G116" s="91" t="s">
        <v>1038</v>
      </c>
    </row>
    <row r="117">
      <c r="A117" s="89">
        <v>45724.0</v>
      </c>
      <c r="B117" s="1" t="s">
        <v>1039</v>
      </c>
      <c r="C117" s="84">
        <v>23.8</v>
      </c>
      <c r="D117" s="84">
        <v>26.6</v>
      </c>
      <c r="E117" s="84">
        <v>2.7</v>
      </c>
      <c r="F117" s="1">
        <v>1.2176</v>
      </c>
      <c r="G117" s="86" t="s">
        <v>1040</v>
      </c>
    </row>
    <row r="118">
      <c r="A118" s="89">
        <v>45725.0</v>
      </c>
      <c r="B118" s="1" t="s">
        <v>1041</v>
      </c>
      <c r="C118" s="84">
        <v>23.1</v>
      </c>
      <c r="D118" s="84">
        <v>28.6</v>
      </c>
      <c r="E118" s="84">
        <v>2.8</v>
      </c>
      <c r="F118" s="1">
        <v>1.2191</v>
      </c>
      <c r="G118" s="86" t="s">
        <v>1042</v>
      </c>
    </row>
    <row r="119">
      <c r="A119" s="89">
        <v>45721.0</v>
      </c>
      <c r="B119" s="1" t="s">
        <v>363</v>
      </c>
      <c r="C119" s="84">
        <v>25.4</v>
      </c>
      <c r="D119" s="84">
        <v>24.0</v>
      </c>
      <c r="E119" s="84">
        <v>2.8</v>
      </c>
      <c r="F119" s="1">
        <v>1.2133</v>
      </c>
      <c r="G119" s="91" t="s">
        <v>1043</v>
      </c>
    </row>
    <row r="120">
      <c r="A120" s="89">
        <v>45727.0</v>
      </c>
      <c r="B120" s="1" t="s">
        <v>376</v>
      </c>
      <c r="C120" s="84">
        <v>21.8</v>
      </c>
      <c r="D120" s="84">
        <v>27.1</v>
      </c>
      <c r="E120" s="84">
        <v>2.8</v>
      </c>
      <c r="F120" s="1">
        <v>1.2181</v>
      </c>
      <c r="G120" s="91" t="s">
        <v>1044</v>
      </c>
    </row>
    <row r="121">
      <c r="A121" s="89">
        <v>45728.0</v>
      </c>
      <c r="B121" s="1" t="s">
        <v>1045</v>
      </c>
      <c r="C121" s="84">
        <v>23.4</v>
      </c>
      <c r="D121" s="84">
        <v>25.5</v>
      </c>
      <c r="E121" s="84">
        <v>2.9</v>
      </c>
      <c r="F121" s="1">
        <v>1.2148</v>
      </c>
      <c r="G121" s="86" t="s">
        <v>1046</v>
      </c>
    </row>
    <row r="122">
      <c r="A122" s="89">
        <v>45723.0</v>
      </c>
      <c r="B122" s="1" t="s">
        <v>370</v>
      </c>
      <c r="C122" s="84">
        <v>24.4</v>
      </c>
      <c r="D122" s="84">
        <v>25.2</v>
      </c>
      <c r="E122" s="84">
        <v>2.8</v>
      </c>
      <c r="F122" s="1">
        <v>1.214</v>
      </c>
      <c r="G122" s="86" t="s">
        <v>1047</v>
      </c>
    </row>
    <row r="123">
      <c r="A123" s="89">
        <v>45730.0</v>
      </c>
      <c r="B123" s="1" t="s">
        <v>378</v>
      </c>
      <c r="C123" s="84">
        <v>24.9</v>
      </c>
      <c r="D123" s="84">
        <v>25.7</v>
      </c>
      <c r="E123" s="84">
        <v>2.9</v>
      </c>
      <c r="F123" s="1">
        <v>1.2144</v>
      </c>
      <c r="G123" s="86" t="s">
        <v>1048</v>
      </c>
    </row>
    <row r="124">
      <c r="A124" s="89">
        <v>45725.0</v>
      </c>
      <c r="B124" s="1" t="s">
        <v>1041</v>
      </c>
      <c r="C124" s="84">
        <v>23.1</v>
      </c>
      <c r="D124" s="84">
        <v>28.6</v>
      </c>
      <c r="E124" s="84">
        <v>2.8</v>
      </c>
      <c r="F124" s="1">
        <v>1.2191</v>
      </c>
      <c r="G124" s="86" t="s">
        <v>1049</v>
      </c>
    </row>
    <row r="125">
      <c r="A125" s="89">
        <v>45732.0</v>
      </c>
      <c r="B125" s="1" t="s">
        <v>1050</v>
      </c>
      <c r="C125" s="84">
        <v>23.3</v>
      </c>
      <c r="D125" s="84">
        <v>26.3</v>
      </c>
      <c r="E125" s="84">
        <v>2.9</v>
      </c>
      <c r="F125" s="1">
        <v>1.217</v>
      </c>
      <c r="G125" s="86" t="s">
        <v>1051</v>
      </c>
    </row>
    <row r="126">
      <c r="A126" s="89">
        <v>45732.0</v>
      </c>
      <c r="B126" s="1" t="s">
        <v>1050</v>
      </c>
      <c r="C126" s="84">
        <v>23.3</v>
      </c>
      <c r="D126" s="84">
        <v>26.3</v>
      </c>
      <c r="E126" s="84">
        <v>2.9</v>
      </c>
      <c r="F126" s="1">
        <v>1.2161</v>
      </c>
      <c r="G126" s="91" t="s">
        <v>1052</v>
      </c>
    </row>
    <row r="127">
      <c r="A127" s="89">
        <v>45727.0</v>
      </c>
      <c r="B127" s="1" t="s">
        <v>376</v>
      </c>
      <c r="C127" s="84">
        <v>21.8</v>
      </c>
      <c r="D127" s="84">
        <v>27.1</v>
      </c>
      <c r="E127" s="84">
        <v>2.8</v>
      </c>
      <c r="F127" s="1">
        <v>1.2181</v>
      </c>
      <c r="G127" s="86" t="s">
        <v>1053</v>
      </c>
    </row>
    <row r="128">
      <c r="A128" s="89">
        <v>45734.0</v>
      </c>
      <c r="B128" s="1" t="s">
        <v>383</v>
      </c>
      <c r="C128" s="84">
        <v>24.5</v>
      </c>
      <c r="D128" s="84">
        <v>24.3</v>
      </c>
      <c r="E128" s="84">
        <v>2.9</v>
      </c>
      <c r="F128" s="1">
        <v>1.2145</v>
      </c>
      <c r="G128" s="91" t="s">
        <v>1054</v>
      </c>
    </row>
    <row r="129">
      <c r="A129" s="89">
        <v>45730.0</v>
      </c>
      <c r="B129" s="1" t="s">
        <v>378</v>
      </c>
      <c r="C129" s="84">
        <v>24.9</v>
      </c>
      <c r="D129" s="84">
        <v>25.7</v>
      </c>
      <c r="E129" s="84">
        <v>2.9</v>
      </c>
      <c r="F129" s="1">
        <v>1.2144</v>
      </c>
      <c r="G129" s="91" t="s">
        <v>1055</v>
      </c>
    </row>
    <row r="130">
      <c r="A130" s="89">
        <v>45728.0</v>
      </c>
      <c r="B130" s="1" t="s">
        <v>1045</v>
      </c>
      <c r="C130" s="84">
        <v>23.4</v>
      </c>
      <c r="D130" s="84">
        <v>25.5</v>
      </c>
      <c r="E130" s="84">
        <v>2.9</v>
      </c>
      <c r="F130" s="1">
        <v>1.2148</v>
      </c>
      <c r="G130" s="86" t="s">
        <v>1056</v>
      </c>
    </row>
    <row r="131">
      <c r="A131" s="89">
        <v>45737.0</v>
      </c>
      <c r="B131" s="1" t="s">
        <v>391</v>
      </c>
      <c r="C131" s="84">
        <v>24.0</v>
      </c>
      <c r="D131" s="84">
        <v>26.7</v>
      </c>
      <c r="E131" s="84">
        <v>2.9</v>
      </c>
      <c r="F131" s="1"/>
      <c r="G131" s="86" t="s">
        <v>1057</v>
      </c>
    </row>
    <row r="132">
      <c r="A132" s="89">
        <v>45732.0</v>
      </c>
      <c r="B132" s="1" t="s">
        <v>1050</v>
      </c>
      <c r="C132" s="84">
        <v>23.3</v>
      </c>
      <c r="D132" s="84">
        <v>26.3</v>
      </c>
      <c r="E132" s="84">
        <v>2.9</v>
      </c>
      <c r="F132" s="1"/>
      <c r="G132" s="86" t="s">
        <v>1058</v>
      </c>
    </row>
    <row r="133">
      <c r="A133" s="89">
        <v>45739.0</v>
      </c>
      <c r="B133" s="1" t="s">
        <v>395</v>
      </c>
      <c r="C133" s="84">
        <v>22.1</v>
      </c>
      <c r="D133" s="84">
        <v>30.2</v>
      </c>
      <c r="E133" s="84">
        <v>2.9</v>
      </c>
      <c r="F133" s="1"/>
      <c r="G133" s="86" t="s">
        <v>1059</v>
      </c>
    </row>
    <row r="134">
      <c r="A134" s="89">
        <v>45734.0</v>
      </c>
      <c r="B134" s="1" t="s">
        <v>383</v>
      </c>
      <c r="C134" s="84">
        <v>24.5</v>
      </c>
      <c r="D134" s="84">
        <v>24.3</v>
      </c>
      <c r="E134" s="84">
        <v>2.9</v>
      </c>
      <c r="F134" s="1"/>
      <c r="G134" s="86" t="s">
        <v>1060</v>
      </c>
    </row>
    <row r="135">
      <c r="A135" s="89">
        <v>45737.0</v>
      </c>
      <c r="B135" s="1" t="s">
        <v>391</v>
      </c>
      <c r="C135" s="84">
        <v>24.0</v>
      </c>
      <c r="D135" s="84">
        <v>26.7</v>
      </c>
      <c r="E135" s="84">
        <v>2.9</v>
      </c>
      <c r="F135" s="1"/>
      <c r="G135" s="86" t="s">
        <v>1061</v>
      </c>
    </row>
    <row r="136">
      <c r="A136" s="89">
        <v>45739.0</v>
      </c>
      <c r="B136" s="1" t="s">
        <v>395</v>
      </c>
      <c r="C136" s="84">
        <v>22.1</v>
      </c>
      <c r="D136" s="84">
        <v>30.2</v>
      </c>
      <c r="E136" s="84">
        <v>2.9</v>
      </c>
      <c r="F136" s="1"/>
      <c r="G136" s="91" t="s">
        <v>1062</v>
      </c>
    </row>
    <row r="137">
      <c r="A137" s="89">
        <v>45743.0</v>
      </c>
      <c r="B137" s="1" t="s">
        <v>1063</v>
      </c>
      <c r="C137" s="84">
        <v>25.4</v>
      </c>
      <c r="D137" s="84">
        <v>30.2</v>
      </c>
      <c r="E137" s="84">
        <v>2.8</v>
      </c>
      <c r="F137" s="1"/>
      <c r="G137" s="86" t="s">
        <v>1064</v>
      </c>
    </row>
    <row r="138">
      <c r="A138" s="89">
        <v>45751.0</v>
      </c>
      <c r="B138" s="1" t="s">
        <v>1065</v>
      </c>
      <c r="C138" s="84">
        <v>24.9</v>
      </c>
      <c r="D138" s="84">
        <v>25.1</v>
      </c>
      <c r="E138" s="84">
        <v>2.8</v>
      </c>
      <c r="F138" s="1"/>
      <c r="G138" s="91" t="s">
        <v>1066</v>
      </c>
    </row>
    <row r="139">
      <c r="A139" s="89">
        <v>45753.0</v>
      </c>
      <c r="B139" s="1" t="s">
        <v>398</v>
      </c>
      <c r="C139" s="84">
        <v>23.4</v>
      </c>
      <c r="D139" s="84">
        <v>26.0</v>
      </c>
      <c r="E139" s="84">
        <v>2.8</v>
      </c>
      <c r="F139" s="1"/>
      <c r="G139" s="86" t="s">
        <v>1067</v>
      </c>
    </row>
    <row r="140">
      <c r="A140" s="89">
        <v>45755.0</v>
      </c>
      <c r="B140" s="1" t="s">
        <v>402</v>
      </c>
      <c r="C140" s="84">
        <v>24.1</v>
      </c>
      <c r="D140" s="84">
        <v>23.5</v>
      </c>
      <c r="E140" s="84">
        <v>2.7</v>
      </c>
      <c r="F140" s="1"/>
      <c r="G140" s="86" t="s">
        <v>1068</v>
      </c>
    </row>
    <row r="141">
      <c r="A141" s="89">
        <v>45751.0</v>
      </c>
      <c r="B141" s="1" t="s">
        <v>1065</v>
      </c>
      <c r="C141" s="84">
        <v>24.9</v>
      </c>
      <c r="D141" s="84">
        <v>25.1</v>
      </c>
      <c r="E141" s="84">
        <v>2.8</v>
      </c>
      <c r="F141" s="1"/>
      <c r="G141" s="86" t="s">
        <v>1069</v>
      </c>
    </row>
    <row r="142">
      <c r="A142" s="89">
        <v>45756.0</v>
      </c>
      <c r="B142" s="1" t="s">
        <v>406</v>
      </c>
      <c r="C142" s="84">
        <v>21.6</v>
      </c>
      <c r="D142" s="84">
        <v>24.1</v>
      </c>
      <c r="E142" s="84">
        <v>3.1</v>
      </c>
      <c r="F142" s="1"/>
      <c r="G142" s="86" t="s">
        <v>1070</v>
      </c>
    </row>
    <row r="143">
      <c r="A143" s="89">
        <v>45753.0</v>
      </c>
      <c r="B143" s="1" t="s">
        <v>398</v>
      </c>
      <c r="C143" s="84">
        <v>23.4</v>
      </c>
      <c r="D143" s="84">
        <v>26.0</v>
      </c>
      <c r="E143" s="84">
        <v>2.8</v>
      </c>
      <c r="F143" s="1"/>
      <c r="G143" s="86" t="s">
        <v>1071</v>
      </c>
    </row>
    <row r="144">
      <c r="A144" s="89">
        <v>45758.0</v>
      </c>
      <c r="B144" s="1" t="s">
        <v>412</v>
      </c>
      <c r="C144" s="84">
        <v>24.7</v>
      </c>
      <c r="D144" s="84">
        <v>23.1</v>
      </c>
      <c r="E144" s="84">
        <v>2.7</v>
      </c>
      <c r="F144" s="1"/>
      <c r="G144" s="91" t="s">
        <v>1072</v>
      </c>
    </row>
    <row r="145">
      <c r="A145" s="89">
        <v>45760.0</v>
      </c>
      <c r="B145" s="1" t="s">
        <v>416</v>
      </c>
      <c r="C145" s="84">
        <v>23.6</v>
      </c>
      <c r="D145" s="84">
        <v>24.7</v>
      </c>
      <c r="E145" s="84">
        <v>0.0</v>
      </c>
      <c r="F145" s="1"/>
      <c r="G145" s="86" t="s">
        <v>1073</v>
      </c>
    </row>
    <row r="146">
      <c r="A146" s="89">
        <v>45755.0</v>
      </c>
      <c r="B146" s="1" t="s">
        <v>402</v>
      </c>
      <c r="C146" s="84">
        <v>24.1</v>
      </c>
      <c r="D146" s="84">
        <v>23.5</v>
      </c>
      <c r="E146" s="84">
        <v>2.7</v>
      </c>
      <c r="F146" s="1"/>
      <c r="G146" s="86" t="s">
        <v>1074</v>
      </c>
    </row>
    <row r="147">
      <c r="A147" s="89">
        <v>45756.0</v>
      </c>
      <c r="B147" s="1" t="s">
        <v>406</v>
      </c>
      <c r="C147" s="84">
        <v>21.6</v>
      </c>
      <c r="D147" s="84">
        <v>24.1</v>
      </c>
      <c r="E147" s="84">
        <v>3.1</v>
      </c>
      <c r="F147" s="1"/>
      <c r="G147" s="86" t="s">
        <v>1075</v>
      </c>
    </row>
    <row r="148">
      <c r="A148" s="89">
        <v>45764.0</v>
      </c>
      <c r="B148" s="1" t="s">
        <v>418</v>
      </c>
      <c r="C148" s="84">
        <v>23.7</v>
      </c>
      <c r="D148" s="84">
        <v>27.5</v>
      </c>
      <c r="E148" s="84">
        <v>2.9</v>
      </c>
      <c r="F148" s="1"/>
      <c r="G148" s="91" t="s">
        <v>1076</v>
      </c>
    </row>
    <row r="149">
      <c r="A149" s="89">
        <v>45766.0</v>
      </c>
      <c r="B149" s="1" t="s">
        <v>428</v>
      </c>
      <c r="C149" s="84">
        <v>21.8</v>
      </c>
      <c r="D149" s="84">
        <v>26.6</v>
      </c>
      <c r="E149" s="84">
        <v>2.9</v>
      </c>
      <c r="F149" s="1"/>
      <c r="G149" s="86" t="s">
        <v>1077</v>
      </c>
    </row>
    <row r="150">
      <c r="A150" s="89">
        <v>45760.0</v>
      </c>
      <c r="B150" s="1" t="s">
        <v>416</v>
      </c>
      <c r="C150" s="84">
        <v>23.6</v>
      </c>
      <c r="D150" s="84">
        <v>24.7</v>
      </c>
      <c r="E150" s="84">
        <v>2.9</v>
      </c>
      <c r="F150" s="1"/>
      <c r="G150" s="86" t="s">
        <v>1078</v>
      </c>
    </row>
    <row r="151">
      <c r="A151" s="89">
        <v>45758.0</v>
      </c>
      <c r="B151" s="1" t="s">
        <v>412</v>
      </c>
      <c r="C151" s="84">
        <v>24.7</v>
      </c>
      <c r="D151" s="84">
        <v>23.1</v>
      </c>
      <c r="E151" s="84">
        <v>2.7</v>
      </c>
      <c r="F151" s="1"/>
      <c r="G151" s="86" t="s">
        <v>1079</v>
      </c>
    </row>
    <row r="152">
      <c r="A152" s="89">
        <v>45768.0</v>
      </c>
      <c r="B152" s="1" t="s">
        <v>430</v>
      </c>
      <c r="C152" s="84">
        <v>22.4</v>
      </c>
      <c r="D152" s="84">
        <v>27.5</v>
      </c>
      <c r="E152" s="84">
        <v>2.9</v>
      </c>
      <c r="F152" s="1"/>
      <c r="G152" s="91" t="s">
        <v>1080</v>
      </c>
    </row>
    <row r="153">
      <c r="A153" s="89">
        <v>45769.0</v>
      </c>
      <c r="B153" s="1" t="s">
        <v>435</v>
      </c>
      <c r="C153" s="84">
        <v>25.1</v>
      </c>
      <c r="D153" s="84">
        <v>29.3</v>
      </c>
      <c r="E153" s="84">
        <v>2.9</v>
      </c>
      <c r="F153" s="1"/>
      <c r="G153" s="91" t="s">
        <v>1081</v>
      </c>
    </row>
    <row r="154">
      <c r="A154" s="89">
        <v>45764.0</v>
      </c>
      <c r="B154" s="1" t="s">
        <v>418</v>
      </c>
      <c r="C154" s="84">
        <v>23.7</v>
      </c>
      <c r="D154" s="84">
        <v>27.5</v>
      </c>
      <c r="E154" s="84">
        <v>2.9</v>
      </c>
      <c r="F154" s="1"/>
      <c r="G154" s="86" t="s">
        <v>1082</v>
      </c>
    </row>
    <row r="155">
      <c r="A155" s="89">
        <v>45766.0</v>
      </c>
      <c r="B155" s="1" t="s">
        <v>428</v>
      </c>
      <c r="C155" s="84">
        <v>21.8</v>
      </c>
      <c r="D155" s="84">
        <v>26.6</v>
      </c>
      <c r="E155" s="84">
        <v>2.9</v>
      </c>
      <c r="F155" s="1"/>
      <c r="G155" s="86" t="s">
        <v>1083</v>
      </c>
    </row>
    <row r="156">
      <c r="A156" s="89">
        <v>45773.0</v>
      </c>
      <c r="B156" s="1" t="s">
        <v>442</v>
      </c>
      <c r="C156" s="84">
        <v>23.9</v>
      </c>
      <c r="D156" s="84">
        <v>34.4</v>
      </c>
      <c r="E156" s="84">
        <v>2.9</v>
      </c>
      <c r="F156" s="1"/>
      <c r="G156" s="86" t="s">
        <v>1084</v>
      </c>
    </row>
    <row r="157">
      <c r="A157" s="89">
        <v>45776.0</v>
      </c>
      <c r="B157" s="1" t="s">
        <v>446</v>
      </c>
      <c r="C157" s="84">
        <v>22.5</v>
      </c>
      <c r="D157" s="84">
        <v>29.1</v>
      </c>
      <c r="E157" s="84">
        <v>3.0</v>
      </c>
      <c r="F157" s="1"/>
      <c r="G157" s="86" t="s">
        <v>1085</v>
      </c>
    </row>
    <row r="158">
      <c r="A158" s="89">
        <v>45769.0</v>
      </c>
      <c r="B158" s="1" t="s">
        <v>435</v>
      </c>
      <c r="C158" s="84">
        <v>25.1</v>
      </c>
      <c r="D158" s="84">
        <v>29.3</v>
      </c>
      <c r="E158" s="84">
        <v>2.9</v>
      </c>
      <c r="F158" s="1"/>
      <c r="G158" s="91" t="s">
        <v>1086</v>
      </c>
    </row>
    <row r="159">
      <c r="A159" s="89">
        <v>45778.0</v>
      </c>
      <c r="B159" s="1" t="s">
        <v>1087</v>
      </c>
      <c r="C159" s="84">
        <v>23.5</v>
      </c>
      <c r="D159" s="84">
        <v>27.3</v>
      </c>
      <c r="E159" s="84">
        <v>2.7</v>
      </c>
      <c r="F159" s="1"/>
      <c r="G159" s="86" t="s">
        <v>1088</v>
      </c>
    </row>
    <row r="160">
      <c r="A160" s="89">
        <v>45779.0</v>
      </c>
      <c r="B160" s="1" t="s">
        <v>449</v>
      </c>
      <c r="C160" s="84">
        <v>23.4</v>
      </c>
      <c r="D160" s="84">
        <v>26.2</v>
      </c>
      <c r="E160" s="84">
        <v>3.0</v>
      </c>
      <c r="F160" s="1"/>
      <c r="G160" s="86" t="s">
        <v>1089</v>
      </c>
    </row>
    <row r="161">
      <c r="A161" s="89">
        <v>45782.0</v>
      </c>
      <c r="B161" s="1" t="s">
        <v>453</v>
      </c>
      <c r="C161" s="84">
        <v>23.6</v>
      </c>
      <c r="D161" s="84">
        <v>28.0</v>
      </c>
      <c r="E161" s="84">
        <v>3.0</v>
      </c>
      <c r="F161" s="1"/>
      <c r="G161" s="86" t="s">
        <v>1090</v>
      </c>
    </row>
    <row r="162">
      <c r="A162" s="89">
        <v>45783.0</v>
      </c>
      <c r="B162" s="1" t="s">
        <v>457</v>
      </c>
      <c r="C162" s="84">
        <v>23.5</v>
      </c>
      <c r="D162" s="84">
        <v>26.2</v>
      </c>
      <c r="E162" s="84">
        <v>3.0</v>
      </c>
      <c r="F162" s="1"/>
      <c r="G162" s="86" t="s">
        <v>1091</v>
      </c>
    </row>
    <row r="163">
      <c r="A163" s="89">
        <v>45778.0</v>
      </c>
      <c r="B163" s="1" t="s">
        <v>1087</v>
      </c>
      <c r="C163" s="84">
        <v>23.5</v>
      </c>
      <c r="D163" s="84">
        <v>27.3</v>
      </c>
      <c r="E163" s="84">
        <v>2.7</v>
      </c>
      <c r="F163" s="1"/>
      <c r="G163" s="86" t="s">
        <v>1092</v>
      </c>
    </row>
    <row r="164">
      <c r="A164" s="89">
        <v>45786.0</v>
      </c>
      <c r="B164" s="1" t="s">
        <v>1093</v>
      </c>
      <c r="C164" s="84">
        <v>25.0</v>
      </c>
      <c r="D164" s="84">
        <v>28.4</v>
      </c>
      <c r="E164" s="84">
        <v>2.9</v>
      </c>
      <c r="F164" s="1"/>
      <c r="G164" s="86" t="s">
        <v>1094</v>
      </c>
    </row>
    <row r="165">
      <c r="A165" s="89">
        <v>45788.0</v>
      </c>
      <c r="B165" s="1" t="s">
        <v>460</v>
      </c>
      <c r="C165" s="84">
        <v>25.3</v>
      </c>
      <c r="D165" s="84">
        <v>29.7</v>
      </c>
      <c r="E165" s="84">
        <v>2.9</v>
      </c>
      <c r="F165" s="1"/>
      <c r="G165" s="86" t="s">
        <v>1095</v>
      </c>
    </row>
    <row r="166">
      <c r="A166" s="89"/>
      <c r="B166" s="1" t="s">
        <v>463</v>
      </c>
      <c r="C166" s="84">
        <v>24.7</v>
      </c>
      <c r="D166" s="84">
        <v>30.7</v>
      </c>
      <c r="E166" s="84">
        <v>2.9</v>
      </c>
      <c r="F166" s="1"/>
      <c r="G166" s="86" t="s">
        <v>1096</v>
      </c>
    </row>
    <row r="167">
      <c r="A167" s="89">
        <v>45789.0</v>
      </c>
      <c r="B167" s="1" t="s">
        <v>463</v>
      </c>
      <c r="C167" s="84">
        <v>24.7</v>
      </c>
      <c r="D167" s="84">
        <v>30.7</v>
      </c>
      <c r="E167" s="84">
        <v>2.9</v>
      </c>
      <c r="F167" s="1"/>
      <c r="G167" s="86" t="s">
        <v>1097</v>
      </c>
    </row>
    <row r="168">
      <c r="A168" s="89">
        <v>45781.0</v>
      </c>
      <c r="B168" s="1" t="s">
        <v>451</v>
      </c>
      <c r="C168" s="84">
        <v>24.3</v>
      </c>
      <c r="D168" s="84">
        <v>26.7</v>
      </c>
      <c r="E168" s="84">
        <v>2.8</v>
      </c>
      <c r="F168" s="1"/>
      <c r="G168" s="86" t="s">
        <v>1098</v>
      </c>
    </row>
    <row r="169">
      <c r="A169" s="89">
        <v>45779.0</v>
      </c>
      <c r="B169" s="1" t="s">
        <v>449</v>
      </c>
      <c r="C169" s="84">
        <v>23.4</v>
      </c>
      <c r="D169" s="84">
        <v>26.2</v>
      </c>
      <c r="E169" s="84">
        <v>3.0</v>
      </c>
      <c r="F169" s="1"/>
      <c r="G169" s="86" t="s">
        <v>1099</v>
      </c>
    </row>
    <row r="170">
      <c r="A170" s="89">
        <v>45782.0</v>
      </c>
      <c r="B170" s="1" t="s">
        <v>453</v>
      </c>
      <c r="C170" s="84">
        <v>23.6</v>
      </c>
      <c r="D170" s="84">
        <v>28.0</v>
      </c>
      <c r="E170" s="84">
        <v>3.0</v>
      </c>
      <c r="F170" s="1"/>
      <c r="G170" s="86" t="s">
        <v>1100</v>
      </c>
    </row>
    <row r="171">
      <c r="A171" s="89">
        <v>45783.0</v>
      </c>
      <c r="B171" s="1" t="s">
        <v>457</v>
      </c>
      <c r="C171" s="84">
        <v>23.5</v>
      </c>
      <c r="D171" s="84">
        <v>26.2</v>
      </c>
      <c r="E171" s="84">
        <v>3.0</v>
      </c>
      <c r="F171" s="1"/>
      <c r="G171" s="86" t="s">
        <v>1101</v>
      </c>
    </row>
    <row r="172">
      <c r="A172" s="89">
        <v>45791.0</v>
      </c>
      <c r="B172" s="1" t="s">
        <v>465</v>
      </c>
      <c r="C172" s="84">
        <v>24.3</v>
      </c>
      <c r="D172" s="84">
        <v>30.0</v>
      </c>
      <c r="E172" s="84">
        <v>2.9</v>
      </c>
      <c r="F172" s="1"/>
      <c r="G172" s="86" t="s">
        <v>1102</v>
      </c>
    </row>
    <row r="173">
      <c r="A173" s="89">
        <v>45791.0</v>
      </c>
      <c r="B173" s="1" t="s">
        <v>430</v>
      </c>
      <c r="C173" s="1">
        <v>22.4</v>
      </c>
      <c r="D173" s="1">
        <v>27.5</v>
      </c>
      <c r="E173" s="1">
        <v>2.9</v>
      </c>
      <c r="G173" s="86" t="s">
        <v>1103</v>
      </c>
    </row>
    <row r="174">
      <c r="A174" s="89">
        <v>45791.0</v>
      </c>
      <c r="B174" s="1" t="s">
        <v>442</v>
      </c>
      <c r="C174" s="84">
        <v>23.9</v>
      </c>
      <c r="D174" s="84">
        <v>34.4</v>
      </c>
      <c r="E174" s="84">
        <v>2.9</v>
      </c>
      <c r="G174" s="91" t="s">
        <v>1104</v>
      </c>
    </row>
    <row r="175">
      <c r="A175" s="89">
        <v>45791.0</v>
      </c>
      <c r="B175" s="1" t="s">
        <v>446</v>
      </c>
      <c r="C175" s="84">
        <v>22.5</v>
      </c>
      <c r="D175" s="84">
        <v>29.1</v>
      </c>
      <c r="E175" s="84">
        <v>3.0</v>
      </c>
      <c r="G175" s="86" t="s">
        <v>1105</v>
      </c>
    </row>
    <row r="176">
      <c r="A176" s="89">
        <v>45793.0</v>
      </c>
      <c r="B176" s="1" t="s">
        <v>467</v>
      </c>
      <c r="C176" s="84">
        <v>23.8</v>
      </c>
      <c r="D176" s="84">
        <v>30.7</v>
      </c>
      <c r="E176" s="84">
        <v>2.8</v>
      </c>
      <c r="G176" s="86" t="s">
        <v>1106</v>
      </c>
    </row>
    <row r="177">
      <c r="A177" s="89">
        <v>45791.0</v>
      </c>
      <c r="B177" s="1" t="s">
        <v>465</v>
      </c>
      <c r="C177" s="84">
        <v>24.3</v>
      </c>
      <c r="D177" s="84">
        <v>30.0</v>
      </c>
      <c r="E177" s="84">
        <v>2.9</v>
      </c>
      <c r="G177" s="86" t="s">
        <v>1107</v>
      </c>
    </row>
    <row r="178">
      <c r="A178" s="89">
        <v>45789.0</v>
      </c>
      <c r="B178" s="1" t="s">
        <v>463</v>
      </c>
      <c r="C178" s="84">
        <v>24.7</v>
      </c>
      <c r="D178" s="84">
        <v>30.7</v>
      </c>
      <c r="E178" s="84">
        <v>2.9</v>
      </c>
      <c r="G178" s="86" t="s">
        <v>1108</v>
      </c>
    </row>
    <row r="179">
      <c r="A179" s="89">
        <v>45791.0</v>
      </c>
      <c r="B179" s="1" t="s">
        <v>465</v>
      </c>
      <c r="C179" s="84">
        <v>24.3</v>
      </c>
      <c r="D179" s="84">
        <v>30.0</v>
      </c>
      <c r="E179" s="84">
        <v>2.9</v>
      </c>
      <c r="G179" s="86" t="s">
        <v>1109</v>
      </c>
    </row>
    <row r="180">
      <c r="A180" s="89">
        <v>45796.0</v>
      </c>
      <c r="B180" s="1" t="s">
        <v>470</v>
      </c>
      <c r="C180" s="84">
        <v>23.3</v>
      </c>
      <c r="D180" s="84">
        <v>30.7</v>
      </c>
      <c r="E180" s="84">
        <v>2.8</v>
      </c>
      <c r="G180" s="86" t="s">
        <v>1110</v>
      </c>
    </row>
    <row r="181">
      <c r="A181" s="89">
        <v>45798.0</v>
      </c>
      <c r="B181" s="1" t="s">
        <v>474</v>
      </c>
      <c r="C181" s="84">
        <v>23.7</v>
      </c>
      <c r="D181" s="84">
        <v>32.0</v>
      </c>
      <c r="E181" s="84">
        <v>2.8</v>
      </c>
      <c r="G181" s="86" t="s">
        <v>1111</v>
      </c>
    </row>
    <row r="182">
      <c r="A182" s="89">
        <v>45793.0</v>
      </c>
      <c r="B182" s="1" t="s">
        <v>467</v>
      </c>
      <c r="C182" s="84">
        <v>23.8</v>
      </c>
      <c r="D182" s="84">
        <v>30.7</v>
      </c>
      <c r="E182" s="84">
        <v>2.8</v>
      </c>
      <c r="G182" s="86" t="s">
        <v>1112</v>
      </c>
    </row>
    <row r="183">
      <c r="A183" s="89">
        <v>45812.0</v>
      </c>
      <c r="B183" s="1" t="s">
        <v>484</v>
      </c>
      <c r="C183" s="84">
        <v>23.6</v>
      </c>
      <c r="D183" s="84">
        <v>33.8</v>
      </c>
      <c r="E183" s="84">
        <v>2.9</v>
      </c>
      <c r="G183" s="86" t="s">
        <v>1113</v>
      </c>
    </row>
    <row r="184">
      <c r="A184" s="89"/>
      <c r="B184" s="1" t="s">
        <v>477</v>
      </c>
      <c r="D184" s="84">
        <v>31.6</v>
      </c>
      <c r="E184" s="84">
        <v>2.8</v>
      </c>
      <c r="G184" s="86" t="s">
        <v>1114</v>
      </c>
    </row>
    <row r="185">
      <c r="A185" s="89">
        <v>45816.0</v>
      </c>
      <c r="B185" s="1" t="s">
        <v>1115</v>
      </c>
      <c r="C185" s="84">
        <v>23.3</v>
      </c>
      <c r="D185" s="84">
        <v>33.9</v>
      </c>
      <c r="E185" s="84">
        <v>2.9</v>
      </c>
      <c r="G185" s="86" t="s">
        <v>1116</v>
      </c>
    </row>
    <row r="186">
      <c r="A186" s="89">
        <v>45817.0</v>
      </c>
      <c r="B186" s="1" t="s">
        <v>460</v>
      </c>
      <c r="C186" s="1">
        <v>25.3</v>
      </c>
      <c r="D186" s="1">
        <v>29.7</v>
      </c>
      <c r="E186" s="1">
        <v>2.9</v>
      </c>
      <c r="G186" s="91" t="s">
        <v>1117</v>
      </c>
    </row>
    <row r="187">
      <c r="A187" s="89">
        <v>45817.0</v>
      </c>
      <c r="B187" s="1" t="s">
        <v>470</v>
      </c>
      <c r="C187" s="1">
        <v>23.3</v>
      </c>
      <c r="D187" s="1">
        <v>30.7</v>
      </c>
      <c r="E187" s="1">
        <v>2.8</v>
      </c>
      <c r="G187" s="86" t="s">
        <v>1118</v>
      </c>
    </row>
    <row r="188">
      <c r="A188" s="89">
        <v>45817.0</v>
      </c>
      <c r="B188" s="1" t="s">
        <v>474</v>
      </c>
      <c r="C188" s="1">
        <v>23.7</v>
      </c>
      <c r="D188" s="1">
        <v>32.0</v>
      </c>
      <c r="E188" s="1">
        <v>2.8</v>
      </c>
      <c r="G188" s="86" t="s">
        <v>1119</v>
      </c>
    </row>
    <row r="189">
      <c r="A189" s="89">
        <v>45818.0</v>
      </c>
      <c r="B189" s="1" t="s">
        <v>1120</v>
      </c>
      <c r="C189" s="1">
        <v>22.2</v>
      </c>
      <c r="D189" s="1">
        <v>36.3</v>
      </c>
      <c r="E189" s="1">
        <v>2.9</v>
      </c>
      <c r="G189" s="86" t="s">
        <v>1121</v>
      </c>
    </row>
    <row r="190">
      <c r="A190" s="89">
        <v>45812.0</v>
      </c>
      <c r="B190" s="1" t="s">
        <v>484</v>
      </c>
      <c r="C190" s="1">
        <v>23.6</v>
      </c>
      <c r="D190" s="1">
        <v>33.8</v>
      </c>
      <c r="E190" s="1">
        <v>2.9</v>
      </c>
      <c r="G190" s="86" t="s">
        <v>1122</v>
      </c>
    </row>
    <row r="191">
      <c r="A191" s="89">
        <v>45816.0</v>
      </c>
      <c r="B191" s="1" t="s">
        <v>1115</v>
      </c>
      <c r="C191" s="1">
        <v>23.3</v>
      </c>
      <c r="D191" s="1">
        <v>33.9</v>
      </c>
      <c r="E191" s="1">
        <v>2.9</v>
      </c>
      <c r="G191" s="86" t="s">
        <v>1123</v>
      </c>
    </row>
    <row r="192">
      <c r="A192" s="89">
        <v>45818.0</v>
      </c>
      <c r="B192" s="1" t="s">
        <v>1120</v>
      </c>
      <c r="C192" s="1">
        <v>22.2</v>
      </c>
      <c r="D192" s="1">
        <v>36.3</v>
      </c>
      <c r="E192" s="1">
        <v>2.9</v>
      </c>
      <c r="G192" s="86" t="s">
        <v>1124</v>
      </c>
    </row>
    <row r="193">
      <c r="A193" s="89">
        <v>45823.0</v>
      </c>
      <c r="B193" s="1" t="s">
        <v>1125</v>
      </c>
      <c r="C193" s="1">
        <v>22.1</v>
      </c>
      <c r="D193" s="1">
        <v>36.5</v>
      </c>
      <c r="E193" s="1">
        <v>2.9</v>
      </c>
      <c r="G193" s="86" t="s">
        <v>1126</v>
      </c>
    </row>
    <row r="194">
      <c r="A194" s="89">
        <v>45824.0</v>
      </c>
      <c r="B194" s="1" t="s">
        <v>490</v>
      </c>
      <c r="C194" s="1">
        <v>24.4</v>
      </c>
      <c r="D194" s="1">
        <v>38.7</v>
      </c>
      <c r="E194" s="1">
        <v>2.9</v>
      </c>
      <c r="G194" s="86" t="s">
        <v>1127</v>
      </c>
    </row>
    <row r="195">
      <c r="A195" s="89">
        <v>45825.0</v>
      </c>
      <c r="B195" s="1" t="s">
        <v>479</v>
      </c>
      <c r="C195" s="1">
        <v>23.2</v>
      </c>
      <c r="D195" s="1">
        <v>32.0</v>
      </c>
      <c r="E195" s="1">
        <v>2.9</v>
      </c>
      <c r="G195" s="91" t="s">
        <v>1128</v>
      </c>
    </row>
    <row r="196">
      <c r="A196" s="89">
        <v>45826.0</v>
      </c>
      <c r="B196" s="1" t="s">
        <v>494</v>
      </c>
      <c r="C196" s="1">
        <v>23.1</v>
      </c>
      <c r="D196" s="1">
        <v>39.4</v>
      </c>
      <c r="E196" s="1">
        <v>2.9</v>
      </c>
      <c r="G196" s="91" t="s">
        <v>1129</v>
      </c>
    </row>
    <row r="197">
      <c r="A197" s="89">
        <v>45824.0</v>
      </c>
      <c r="B197" s="1" t="s">
        <v>490</v>
      </c>
      <c r="C197" s="1">
        <v>24.4</v>
      </c>
      <c r="D197" s="1">
        <v>38.7</v>
      </c>
      <c r="E197" s="1">
        <v>2.9</v>
      </c>
      <c r="G197" s="91" t="s">
        <v>1130</v>
      </c>
    </row>
    <row r="198">
      <c r="A198" s="89">
        <v>45828.0</v>
      </c>
      <c r="B198" s="1" t="s">
        <v>1125</v>
      </c>
      <c r="C198" s="1">
        <v>22.1</v>
      </c>
      <c r="D198" s="1">
        <v>36.5</v>
      </c>
      <c r="E198" s="1">
        <v>2.9</v>
      </c>
      <c r="G198" s="91" t="s">
        <v>1131</v>
      </c>
    </row>
    <row r="199">
      <c r="A199" s="89">
        <v>45832.0</v>
      </c>
      <c r="B199" s="1" t="s">
        <v>515</v>
      </c>
      <c r="C199" s="1">
        <v>24.8</v>
      </c>
      <c r="D199" s="1">
        <v>49.7</v>
      </c>
      <c r="E199" s="1">
        <v>2.8</v>
      </c>
      <c r="G199" s="91" t="s">
        <v>1132</v>
      </c>
    </row>
    <row r="200">
      <c r="A200" s="89">
        <v>45845.0</v>
      </c>
      <c r="B200" s="1" t="s">
        <v>494</v>
      </c>
      <c r="C200" s="1">
        <v>23.1</v>
      </c>
      <c r="D200" s="1">
        <v>39.4</v>
      </c>
      <c r="E200" s="1">
        <v>2.9</v>
      </c>
      <c r="G200" s="86" t="s">
        <v>1133</v>
      </c>
    </row>
    <row r="201">
      <c r="A201" s="89">
        <v>45845.0</v>
      </c>
      <c r="B201" s="1" t="s">
        <v>498</v>
      </c>
      <c r="C201" s="1">
        <v>23.7</v>
      </c>
      <c r="D201" s="1">
        <v>34.4</v>
      </c>
      <c r="E201" s="1">
        <v>2.8</v>
      </c>
      <c r="G201" s="86" t="s">
        <v>1134</v>
      </c>
    </row>
    <row r="202">
      <c r="A202" s="89">
        <v>45847.0</v>
      </c>
      <c r="B202" s="1" t="s">
        <v>502</v>
      </c>
      <c r="C202" s="1">
        <v>21.7</v>
      </c>
      <c r="D202" s="1">
        <v>32.0</v>
      </c>
      <c r="E202" s="1">
        <v>2.8</v>
      </c>
      <c r="G202" s="86" t="s">
        <v>1135</v>
      </c>
    </row>
    <row r="203">
      <c r="A203" s="89">
        <v>45847.0</v>
      </c>
      <c r="B203" s="1" t="s">
        <v>509</v>
      </c>
      <c r="C203" s="1">
        <v>21.9</v>
      </c>
      <c r="D203" s="1">
        <v>33.3</v>
      </c>
      <c r="E203" s="1">
        <v>2.8</v>
      </c>
      <c r="G203" s="86" t="s">
        <v>1136</v>
      </c>
    </row>
    <row r="204">
      <c r="A204" s="89">
        <v>45849.0</v>
      </c>
      <c r="B204" s="1" t="s">
        <v>509</v>
      </c>
      <c r="C204" s="1">
        <v>21.9</v>
      </c>
      <c r="D204" s="1">
        <v>33.3</v>
      </c>
      <c r="E204" s="1">
        <v>2.8</v>
      </c>
      <c r="G204" s="91" t="s">
        <v>1137</v>
      </c>
    </row>
    <row r="205">
      <c r="A205" s="89">
        <v>45852.0</v>
      </c>
      <c r="B205" s="1" t="s">
        <v>518</v>
      </c>
      <c r="C205" s="1">
        <v>21.6</v>
      </c>
      <c r="D205" s="1">
        <v>41.6</v>
      </c>
      <c r="E205" s="1">
        <v>2.9</v>
      </c>
      <c r="G205" s="91" t="s">
        <v>1138</v>
      </c>
    </row>
    <row r="206">
      <c r="A206" s="89">
        <v>45852.0</v>
      </c>
      <c r="B206" s="1" t="s">
        <v>1139</v>
      </c>
      <c r="C206" s="1">
        <v>22.6</v>
      </c>
      <c r="D206" s="1">
        <v>41.4</v>
      </c>
      <c r="E206" s="1">
        <v>2.9</v>
      </c>
      <c r="G206" s="91" t="s">
        <v>1140</v>
      </c>
    </row>
    <row r="207">
      <c r="A207" s="89">
        <v>45852.0</v>
      </c>
      <c r="B207" s="1" t="s">
        <v>521</v>
      </c>
      <c r="C207" s="1">
        <v>23.0</v>
      </c>
      <c r="D207" s="1">
        <v>33.8</v>
      </c>
      <c r="E207" s="1">
        <v>2.9</v>
      </c>
      <c r="G207" s="86" t="s">
        <v>1141</v>
      </c>
    </row>
    <row r="208">
      <c r="A208" s="89">
        <v>45849.0</v>
      </c>
      <c r="B208" s="1" t="s">
        <v>502</v>
      </c>
      <c r="C208" s="1">
        <v>21.7</v>
      </c>
      <c r="D208" s="1">
        <v>32.0</v>
      </c>
      <c r="E208" s="1">
        <v>2.8</v>
      </c>
      <c r="G208" s="91" t="s">
        <v>1142</v>
      </c>
    </row>
    <row r="209">
      <c r="A209" s="89">
        <v>45853.0</v>
      </c>
      <c r="B209" s="1" t="s">
        <v>511</v>
      </c>
      <c r="C209" s="1">
        <v>22.6</v>
      </c>
      <c r="D209" s="1">
        <v>33.1</v>
      </c>
      <c r="E209" s="1">
        <v>2.9</v>
      </c>
      <c r="G209" s="91" t="s">
        <v>1143</v>
      </c>
    </row>
    <row r="210">
      <c r="A210" s="89">
        <v>45853.0</v>
      </c>
      <c r="B210" s="1" t="s">
        <v>524</v>
      </c>
      <c r="C210" s="1">
        <v>23.4</v>
      </c>
      <c r="D210" s="1">
        <v>27.0</v>
      </c>
      <c r="E210" s="1">
        <v>3.0</v>
      </c>
      <c r="G210" s="91" t="s">
        <v>1144</v>
      </c>
    </row>
    <row r="211">
      <c r="A211" s="89">
        <v>45853.0</v>
      </c>
      <c r="B211" s="1" t="s">
        <v>515</v>
      </c>
      <c r="C211" s="1">
        <v>24.8</v>
      </c>
      <c r="D211" s="1">
        <v>49.7</v>
      </c>
      <c r="E211" s="1">
        <v>2.8</v>
      </c>
      <c r="G211" s="91" t="s">
        <v>1145</v>
      </c>
    </row>
    <row r="212">
      <c r="A212" s="89">
        <v>45854.0</v>
      </c>
      <c r="B212" s="1" t="s">
        <v>528</v>
      </c>
      <c r="C212" s="1">
        <v>24.3</v>
      </c>
      <c r="D212" s="1">
        <v>25.8</v>
      </c>
      <c r="E212" s="1">
        <v>3.1</v>
      </c>
      <c r="G212" s="86" t="s">
        <v>1146</v>
      </c>
    </row>
    <row r="213">
      <c r="A213" s="89">
        <v>45854.0</v>
      </c>
      <c r="B213" s="1" t="s">
        <v>1147</v>
      </c>
      <c r="C213" s="1">
        <v>23.6</v>
      </c>
      <c r="D213" s="1">
        <v>27.8</v>
      </c>
      <c r="E213" s="1">
        <v>3.1</v>
      </c>
      <c r="G213" s="91" t="s">
        <v>1148</v>
      </c>
    </row>
    <row r="214">
      <c r="A214" s="89">
        <v>45855.0</v>
      </c>
      <c r="B214" s="1" t="s">
        <v>1139</v>
      </c>
      <c r="C214" s="1">
        <v>22.6</v>
      </c>
      <c r="D214" s="1">
        <v>41.4</v>
      </c>
      <c r="E214" s="1">
        <v>2.9</v>
      </c>
      <c r="G214" s="91" t="s">
        <v>1149</v>
      </c>
    </row>
    <row r="215">
      <c r="A215" s="89">
        <v>45856.0</v>
      </c>
      <c r="B215" s="1" t="s">
        <v>518</v>
      </c>
      <c r="C215" s="1">
        <v>21.6</v>
      </c>
      <c r="D215" s="1">
        <v>41.6</v>
      </c>
      <c r="E215" s="1">
        <v>2.9</v>
      </c>
      <c r="G215" s="91" t="s">
        <v>1150</v>
      </c>
    </row>
    <row r="216">
      <c r="A216" s="89">
        <v>45856.0</v>
      </c>
      <c r="B216" s="1" t="s">
        <v>521</v>
      </c>
      <c r="C216" s="1">
        <v>23.0</v>
      </c>
      <c r="D216" s="1">
        <v>33.8</v>
      </c>
      <c r="E216" s="1">
        <v>2.9</v>
      </c>
      <c r="G216" s="86" t="s">
        <v>1151</v>
      </c>
    </row>
    <row r="217">
      <c r="A217" s="89">
        <v>45859.0</v>
      </c>
      <c r="B217" s="1" t="s">
        <v>1152</v>
      </c>
      <c r="C217" s="1">
        <v>25.1</v>
      </c>
      <c r="D217" s="1">
        <v>24.1</v>
      </c>
      <c r="E217" s="1">
        <v>3.0</v>
      </c>
      <c r="G217" s="91" t="s">
        <v>1153</v>
      </c>
    </row>
    <row r="218">
      <c r="A218" s="89">
        <v>45859.0</v>
      </c>
      <c r="B218" s="1" t="s">
        <v>536</v>
      </c>
      <c r="C218" s="1">
        <v>24.9</v>
      </c>
      <c r="D218" s="1">
        <v>27.6</v>
      </c>
      <c r="E218" s="1">
        <v>2.9</v>
      </c>
      <c r="G218" s="91" t="s">
        <v>1154</v>
      </c>
    </row>
    <row r="219">
      <c r="A219" s="89">
        <v>45860.0</v>
      </c>
      <c r="B219" s="1" t="s">
        <v>528</v>
      </c>
      <c r="C219" s="1">
        <v>24.3</v>
      </c>
      <c r="D219" s="1">
        <v>25.8</v>
      </c>
      <c r="E219" s="1">
        <v>3.1</v>
      </c>
      <c r="G219" s="86" t="s">
        <v>1155</v>
      </c>
    </row>
    <row r="220">
      <c r="A220" s="89">
        <v>45861.0</v>
      </c>
      <c r="B220" s="1" t="s">
        <v>540</v>
      </c>
      <c r="C220" s="1">
        <v>25.7</v>
      </c>
      <c r="D220" s="1">
        <v>24.5</v>
      </c>
      <c r="E220" s="1">
        <v>3.1</v>
      </c>
      <c r="G220" s="86" t="s">
        <v>1156</v>
      </c>
    </row>
    <row r="221">
      <c r="A221" s="89">
        <v>45863.0</v>
      </c>
      <c r="B221" s="1" t="s">
        <v>533</v>
      </c>
      <c r="C221" s="1">
        <v>23.5</v>
      </c>
      <c r="D221" s="1">
        <v>26.8</v>
      </c>
      <c r="E221" s="1">
        <v>3.1</v>
      </c>
      <c r="G221" s="91" t="s">
        <v>1157</v>
      </c>
    </row>
    <row r="222">
      <c r="A222" s="89">
        <v>45866.0</v>
      </c>
      <c r="B222" s="1" t="s">
        <v>536</v>
      </c>
      <c r="C222" s="1">
        <v>24.9</v>
      </c>
      <c r="D222" s="1">
        <v>27.6</v>
      </c>
      <c r="E222" s="1">
        <v>2.9</v>
      </c>
      <c r="G222" s="86" t="s">
        <v>1158</v>
      </c>
    </row>
    <row r="223">
      <c r="A223" s="89">
        <v>45866.0</v>
      </c>
      <c r="B223" s="1" t="s">
        <v>1152</v>
      </c>
      <c r="C223" s="1">
        <v>25.1</v>
      </c>
      <c r="D223" s="1">
        <v>24.1</v>
      </c>
      <c r="E223" s="1">
        <v>3.0</v>
      </c>
      <c r="G223" s="86" t="s">
        <v>1159</v>
      </c>
    </row>
    <row r="224">
      <c r="A224" s="89">
        <v>45867.0</v>
      </c>
      <c r="B224" s="1" t="s">
        <v>547</v>
      </c>
      <c r="C224" s="1">
        <v>29.4</v>
      </c>
      <c r="D224" s="1">
        <v>19.4</v>
      </c>
      <c r="E224" s="1">
        <v>3.1</v>
      </c>
      <c r="G224" s="86" t="s">
        <v>1160</v>
      </c>
    </row>
    <row r="225">
      <c r="A225" s="89">
        <v>45867.0</v>
      </c>
      <c r="B225" s="1" t="s">
        <v>524</v>
      </c>
      <c r="C225" s="1">
        <v>23.4</v>
      </c>
      <c r="D225" s="1">
        <v>27.0</v>
      </c>
      <c r="E225" s="1">
        <v>3.0</v>
      </c>
      <c r="G225" s="86" t="s">
        <v>1161</v>
      </c>
    </row>
    <row r="226">
      <c r="A226" s="89">
        <v>45869.0</v>
      </c>
      <c r="B226" s="1" t="s">
        <v>540</v>
      </c>
      <c r="C226" s="1">
        <v>25.7</v>
      </c>
      <c r="D226" s="1">
        <v>24.5</v>
      </c>
      <c r="E226" s="1">
        <v>3.1</v>
      </c>
      <c r="G226" s="86" t="s">
        <v>1162</v>
      </c>
    </row>
    <row r="227">
      <c r="A227" s="89">
        <v>45869.0</v>
      </c>
      <c r="B227" s="1" t="s">
        <v>1163</v>
      </c>
      <c r="C227" s="1">
        <v>25.8</v>
      </c>
      <c r="D227" s="1">
        <v>25.6</v>
      </c>
      <c r="E227" s="1">
        <v>3.1</v>
      </c>
      <c r="G227" s="86" t="s">
        <v>1164</v>
      </c>
    </row>
    <row r="228">
      <c r="A228" s="89">
        <v>45870.0</v>
      </c>
      <c r="B228" s="1" t="s">
        <v>1165</v>
      </c>
      <c r="C228" s="1">
        <v>26.5</v>
      </c>
      <c r="D228" s="1">
        <v>23.8</v>
      </c>
      <c r="E228" s="1">
        <v>3.0</v>
      </c>
      <c r="G228" s="91" t="s">
        <v>1166</v>
      </c>
    </row>
    <row r="229">
      <c r="A229" s="89">
        <v>45875.0</v>
      </c>
      <c r="B229" s="1" t="s">
        <v>1167</v>
      </c>
      <c r="C229" s="1">
        <v>25.0</v>
      </c>
      <c r="D229" s="1">
        <v>28.7</v>
      </c>
      <c r="E229" s="1">
        <v>3.0</v>
      </c>
      <c r="G229" s="91" t="s">
        <v>1168</v>
      </c>
    </row>
    <row r="230">
      <c r="A230" s="89">
        <v>45875.0</v>
      </c>
      <c r="B230" s="1" t="s">
        <v>1163</v>
      </c>
      <c r="C230" s="1">
        <v>25.8</v>
      </c>
      <c r="D230" s="1">
        <v>25.6</v>
      </c>
      <c r="E230" s="1">
        <v>3.1</v>
      </c>
      <c r="G230" s="86" t="s">
        <v>1169</v>
      </c>
    </row>
    <row r="231">
      <c r="A231" s="89">
        <v>45875.0</v>
      </c>
      <c r="B231" s="1" t="s">
        <v>511</v>
      </c>
      <c r="C231" s="1">
        <v>22.6</v>
      </c>
      <c r="D231" s="1">
        <v>33.1</v>
      </c>
      <c r="E231" s="1">
        <v>2.9</v>
      </c>
      <c r="G231" s="86" t="s">
        <v>1170</v>
      </c>
    </row>
    <row r="232">
      <c r="A232" s="89">
        <v>45876.0</v>
      </c>
      <c r="B232" s="1" t="s">
        <v>547</v>
      </c>
      <c r="C232" s="1">
        <v>29.4</v>
      </c>
      <c r="D232" s="1">
        <v>19.4</v>
      </c>
      <c r="E232" s="1">
        <v>3.1</v>
      </c>
      <c r="G232" s="86" t="s">
        <v>1171</v>
      </c>
    </row>
    <row r="233">
      <c r="A233" s="89">
        <v>45877.0</v>
      </c>
      <c r="B233" s="1" t="s">
        <v>550</v>
      </c>
      <c r="C233" s="1">
        <v>25.2</v>
      </c>
      <c r="D233" s="1">
        <v>31.2</v>
      </c>
      <c r="E233" s="1">
        <v>3.0</v>
      </c>
      <c r="G233" s="86" t="s">
        <v>1172</v>
      </c>
    </row>
    <row r="234">
      <c r="A234" s="89">
        <v>45877.0</v>
      </c>
      <c r="B234" s="1" t="s">
        <v>555</v>
      </c>
      <c r="C234" s="1">
        <v>24.5</v>
      </c>
      <c r="D234" s="1">
        <v>30.7</v>
      </c>
      <c r="E234" s="1">
        <v>3.0</v>
      </c>
      <c r="G234" s="86" t="s">
        <v>1173</v>
      </c>
    </row>
    <row r="235">
      <c r="A235" s="89">
        <v>45883.0</v>
      </c>
      <c r="B235" s="1" t="s">
        <v>558</v>
      </c>
      <c r="C235" s="1">
        <v>23.6</v>
      </c>
      <c r="D235" s="1">
        <v>29.7</v>
      </c>
      <c r="E235" s="1">
        <v>2.9</v>
      </c>
      <c r="G235" s="91" t="s">
        <v>1174</v>
      </c>
    </row>
    <row r="236">
      <c r="A236" s="89">
        <v>45883.0</v>
      </c>
      <c r="B236" s="1" t="s">
        <v>1167</v>
      </c>
      <c r="C236" s="1">
        <v>25.0</v>
      </c>
      <c r="D236" s="1">
        <v>28.7</v>
      </c>
      <c r="E236" s="1">
        <v>3.0</v>
      </c>
      <c r="G236" s="91" t="s">
        <v>1175</v>
      </c>
    </row>
    <row r="237">
      <c r="A237" s="89">
        <v>45888.0</v>
      </c>
      <c r="B237" s="1" t="s">
        <v>555</v>
      </c>
      <c r="C237" s="1">
        <v>24.5</v>
      </c>
      <c r="D237" s="1">
        <v>30.7</v>
      </c>
      <c r="E237" s="1">
        <v>3.0</v>
      </c>
      <c r="G237" s="86" t="s">
        <v>1176</v>
      </c>
    </row>
    <row r="238">
      <c r="A238" s="89">
        <v>45888.0</v>
      </c>
      <c r="B238" s="1" t="s">
        <v>550</v>
      </c>
      <c r="C238" s="1">
        <v>25.2</v>
      </c>
      <c r="D238" s="1">
        <v>31.2</v>
      </c>
      <c r="E238" s="1">
        <v>3.0</v>
      </c>
      <c r="G238" s="86" t="s">
        <v>1177</v>
      </c>
    </row>
    <row r="239">
      <c r="A239" s="89">
        <v>45888.0</v>
      </c>
      <c r="B239" s="1" t="s">
        <v>567</v>
      </c>
      <c r="C239" s="1">
        <v>26.1</v>
      </c>
      <c r="D239" s="1">
        <v>30.1</v>
      </c>
      <c r="E239" s="1">
        <v>3.0</v>
      </c>
      <c r="G239" s="86" t="s">
        <v>1178</v>
      </c>
    </row>
    <row r="240">
      <c r="A240" s="89">
        <v>45889.0</v>
      </c>
      <c r="B240" s="1" t="s">
        <v>558</v>
      </c>
      <c r="C240" s="1">
        <v>23.6</v>
      </c>
      <c r="D240" s="1">
        <v>29.7</v>
      </c>
      <c r="E240" s="1">
        <v>2.9</v>
      </c>
      <c r="G240" s="91" t="s">
        <v>1179</v>
      </c>
    </row>
    <row r="241">
      <c r="A241" s="89">
        <v>45890.0</v>
      </c>
      <c r="B241" s="1" t="s">
        <v>567</v>
      </c>
      <c r="C241" s="1">
        <v>26.1</v>
      </c>
      <c r="D241" s="1">
        <v>30.1</v>
      </c>
      <c r="E241" s="1">
        <v>3.0</v>
      </c>
      <c r="G241" s="86" t="s">
        <v>1180</v>
      </c>
    </row>
    <row r="242">
      <c r="A242" s="89">
        <v>45891.0</v>
      </c>
      <c r="B242" s="1" t="s">
        <v>1181</v>
      </c>
      <c r="C242" s="1">
        <v>23.4</v>
      </c>
      <c r="D242" s="1">
        <v>39.2</v>
      </c>
      <c r="E242" s="1">
        <v>2.9</v>
      </c>
      <c r="G242" s="86" t="s">
        <v>1182</v>
      </c>
    </row>
    <row r="243">
      <c r="A243" s="89">
        <v>45894.0</v>
      </c>
      <c r="B243" s="1" t="s">
        <v>572</v>
      </c>
      <c r="C243" s="1">
        <v>22.3</v>
      </c>
      <c r="D243" s="1">
        <v>30.0</v>
      </c>
      <c r="E243" s="1">
        <v>2.9</v>
      </c>
      <c r="G243" s="86" t="s">
        <v>1183</v>
      </c>
    </row>
    <row r="244">
      <c r="A244" s="89">
        <v>45891.0</v>
      </c>
      <c r="B244" s="1" t="s">
        <v>1181</v>
      </c>
      <c r="C244" s="1">
        <v>23.4</v>
      </c>
      <c r="D244" s="1">
        <v>39.2</v>
      </c>
      <c r="E244" s="1">
        <v>2.9</v>
      </c>
      <c r="G244" s="86" t="s">
        <v>1184</v>
      </c>
    </row>
    <row r="245">
      <c r="A245" s="89">
        <v>45897.0</v>
      </c>
      <c r="B245" s="1" t="s">
        <v>572</v>
      </c>
      <c r="C245" s="1">
        <v>22.3</v>
      </c>
      <c r="D245" s="1">
        <v>30.0</v>
      </c>
      <c r="E245" s="1">
        <v>2.9</v>
      </c>
      <c r="G245" s="86" t="s">
        <v>1185</v>
      </c>
    </row>
    <row r="246">
      <c r="A246" s="89">
        <v>45902.0</v>
      </c>
      <c r="B246" s="1" t="s">
        <v>1186</v>
      </c>
      <c r="C246" s="1">
        <v>25.0</v>
      </c>
      <c r="D246" s="1">
        <v>29.3</v>
      </c>
      <c r="E246" s="1">
        <v>2.8</v>
      </c>
      <c r="G246" s="86" t="s">
        <v>1187</v>
      </c>
    </row>
    <row r="247">
      <c r="A247" s="89">
        <v>45902.0</v>
      </c>
      <c r="B247" s="1" t="s">
        <v>1188</v>
      </c>
      <c r="C247" s="1">
        <v>23.1</v>
      </c>
      <c r="D247" s="1">
        <v>33.8</v>
      </c>
      <c r="E247" s="1">
        <v>2.9</v>
      </c>
      <c r="G247" s="86" t="s">
        <v>1189</v>
      </c>
    </row>
    <row r="248">
      <c r="A248" s="89">
        <v>45903.0</v>
      </c>
      <c r="B248" s="1" t="s">
        <v>1188</v>
      </c>
      <c r="C248" s="1">
        <v>23.1</v>
      </c>
      <c r="D248" s="1">
        <v>33.8</v>
      </c>
      <c r="E248" s="1">
        <v>2.9</v>
      </c>
      <c r="G248" s="86" t="s">
        <v>1190</v>
      </c>
    </row>
    <row r="249">
      <c r="A249" s="89">
        <v>45904.0</v>
      </c>
      <c r="B249" s="1" t="s">
        <v>577</v>
      </c>
      <c r="C249" s="1">
        <v>22.8</v>
      </c>
      <c r="D249" s="1">
        <v>29.8</v>
      </c>
      <c r="E249" s="1">
        <v>2.8</v>
      </c>
      <c r="G249" s="91" t="s">
        <v>1191</v>
      </c>
    </row>
    <row r="250">
      <c r="A250" s="89">
        <v>45905.0</v>
      </c>
      <c r="B250" s="1" t="s">
        <v>1186</v>
      </c>
      <c r="C250" s="1">
        <v>25.0</v>
      </c>
      <c r="D250" s="1">
        <v>29.3</v>
      </c>
      <c r="E250" s="1">
        <v>2.8</v>
      </c>
      <c r="G250" s="86" t="s">
        <v>1192</v>
      </c>
    </row>
    <row r="251">
      <c r="A251" s="89">
        <v>45912.0</v>
      </c>
      <c r="B251" s="1" t="s">
        <v>583</v>
      </c>
      <c r="C251" s="1">
        <v>23.2</v>
      </c>
      <c r="D251" s="1">
        <v>29.6</v>
      </c>
      <c r="E251" s="1">
        <v>2.8</v>
      </c>
      <c r="G251" s="86" t="s">
        <v>1193</v>
      </c>
    </row>
    <row r="252">
      <c r="A252" s="89">
        <v>45915.0</v>
      </c>
      <c r="B252" s="1" t="s">
        <v>577</v>
      </c>
      <c r="C252" s="1">
        <v>22.8</v>
      </c>
      <c r="D252" s="1">
        <v>29.8</v>
      </c>
      <c r="E252" s="1">
        <v>2.8</v>
      </c>
      <c r="G252" s="86" t="s">
        <v>1194</v>
      </c>
    </row>
    <row r="253">
      <c r="A253" s="89">
        <v>45915.0</v>
      </c>
      <c r="B253" s="1" t="s">
        <v>588</v>
      </c>
      <c r="C253" s="1">
        <v>23.9</v>
      </c>
      <c r="D253" s="1">
        <v>28.8</v>
      </c>
      <c r="E253" s="1">
        <v>2.9</v>
      </c>
      <c r="G253" s="91" t="s">
        <v>1195</v>
      </c>
    </row>
    <row r="254">
      <c r="A254" s="89">
        <v>45918.0</v>
      </c>
      <c r="B254" s="1" t="s">
        <v>583</v>
      </c>
      <c r="C254" s="1">
        <v>23.2</v>
      </c>
      <c r="D254" s="1">
        <v>29.6</v>
      </c>
      <c r="E254" s="1">
        <v>2.8</v>
      </c>
      <c r="G254" s="86" t="s">
        <v>1196</v>
      </c>
    </row>
    <row r="255">
      <c r="A255" s="89">
        <v>45922.0</v>
      </c>
      <c r="B255" s="1" t="s">
        <v>593</v>
      </c>
      <c r="C255" s="1">
        <v>24.7</v>
      </c>
      <c r="D255" s="1">
        <v>30.3</v>
      </c>
      <c r="E255" s="1">
        <v>2.9</v>
      </c>
      <c r="G255" s="91" t="s">
        <v>1197</v>
      </c>
    </row>
    <row r="256">
      <c r="A256" s="89">
        <v>45923.0</v>
      </c>
      <c r="B256" s="1" t="s">
        <v>605</v>
      </c>
      <c r="C256" s="1">
        <v>25.4</v>
      </c>
      <c r="D256" s="1">
        <v>26.8</v>
      </c>
      <c r="E256" s="1">
        <v>2.8</v>
      </c>
      <c r="G256" s="91" t="s">
        <v>1198</v>
      </c>
    </row>
    <row r="257">
      <c r="A257" s="89">
        <v>45929.0</v>
      </c>
      <c r="B257" s="1" t="s">
        <v>1199</v>
      </c>
      <c r="C257" s="1">
        <v>23.8</v>
      </c>
      <c r="D257" s="1">
        <v>28.6</v>
      </c>
      <c r="E257" s="1">
        <v>2.9</v>
      </c>
      <c r="G257" s="91" t="s">
        <v>1200</v>
      </c>
    </row>
    <row r="258">
      <c r="A258" s="89">
        <v>45931.0</v>
      </c>
      <c r="B258" s="1" t="s">
        <v>605</v>
      </c>
      <c r="C258" s="1">
        <v>25.4</v>
      </c>
      <c r="D258" s="1">
        <v>26.8</v>
      </c>
      <c r="E258" s="1">
        <v>2.8</v>
      </c>
      <c r="G258" s="91" t="s">
        <v>1201</v>
      </c>
    </row>
    <row r="259">
      <c r="A259" s="89">
        <v>45937.0</v>
      </c>
      <c r="B259" s="1" t="s">
        <v>614</v>
      </c>
      <c r="C259" s="1">
        <v>23.2</v>
      </c>
      <c r="D259" s="1">
        <v>28.7</v>
      </c>
      <c r="E259" s="1">
        <v>2.8</v>
      </c>
      <c r="G259" s="86" t="s">
        <v>1202</v>
      </c>
    </row>
    <row r="260">
      <c r="A260" s="89">
        <v>45937.0</v>
      </c>
      <c r="B260" s="1" t="s">
        <v>620</v>
      </c>
      <c r="C260" s="1">
        <v>24.2</v>
      </c>
      <c r="D260" s="1">
        <v>27.7</v>
      </c>
      <c r="E260" s="1">
        <v>2.9</v>
      </c>
      <c r="G260" s="91" t="s">
        <v>1203</v>
      </c>
    </row>
    <row r="261">
      <c r="A261" s="89">
        <v>45937.0</v>
      </c>
      <c r="B261" s="1" t="s">
        <v>1199</v>
      </c>
      <c r="C261" s="1">
        <v>23.8</v>
      </c>
      <c r="D261" s="1">
        <v>28.6</v>
      </c>
      <c r="E261" s="1">
        <v>2.9</v>
      </c>
      <c r="G261" s="86" t="s">
        <v>1204</v>
      </c>
    </row>
    <row r="262">
      <c r="A262" s="89">
        <v>45937.0</v>
      </c>
      <c r="B262" s="1" t="s">
        <v>588</v>
      </c>
      <c r="C262" s="1">
        <v>23.9</v>
      </c>
      <c r="D262" s="1">
        <v>28.8</v>
      </c>
      <c r="E262" s="1">
        <v>2.9</v>
      </c>
      <c r="G262" s="91" t="s">
        <v>1205</v>
      </c>
    </row>
    <row r="263">
      <c r="A263" s="89">
        <v>45937.0</v>
      </c>
      <c r="B263" s="1" t="s">
        <v>593</v>
      </c>
      <c r="C263" s="1">
        <v>24.7</v>
      </c>
      <c r="D263" s="1">
        <v>30.3</v>
      </c>
      <c r="E263" s="1">
        <v>2.9</v>
      </c>
      <c r="G263" s="91" t="s">
        <v>1206</v>
      </c>
    </row>
    <row r="264">
      <c r="A264" s="89">
        <v>45938.0</v>
      </c>
      <c r="B264" s="1" t="s">
        <v>614</v>
      </c>
      <c r="C264" s="1">
        <v>23.2</v>
      </c>
      <c r="D264" s="1">
        <v>28.7</v>
      </c>
      <c r="E264" s="1">
        <v>2.8</v>
      </c>
      <c r="G264" s="91" t="s">
        <v>1207</v>
      </c>
    </row>
    <row r="265">
      <c r="A265" s="89">
        <v>45941.0</v>
      </c>
      <c r="B265" s="1" t="s">
        <v>625</v>
      </c>
      <c r="C265" s="1">
        <v>24.9</v>
      </c>
      <c r="D265" s="1">
        <v>32.0</v>
      </c>
      <c r="E265" s="1">
        <v>2.9</v>
      </c>
      <c r="G265" s="86" t="s">
        <v>1208</v>
      </c>
    </row>
    <row r="266">
      <c r="A266" s="89">
        <v>45948.0</v>
      </c>
      <c r="B266" s="1" t="s">
        <v>637</v>
      </c>
      <c r="C266" s="1">
        <v>23.0</v>
      </c>
      <c r="D266" s="1">
        <v>31.6</v>
      </c>
      <c r="E266" s="1">
        <v>2.8</v>
      </c>
      <c r="G266" s="86" t="s">
        <v>1209</v>
      </c>
    </row>
    <row r="267">
      <c r="A267" s="89">
        <v>45948.0</v>
      </c>
      <c r="B267" s="1" t="s">
        <v>620</v>
      </c>
      <c r="C267" s="1">
        <v>24.2</v>
      </c>
      <c r="D267" s="1">
        <v>27.7</v>
      </c>
      <c r="E267" s="1">
        <v>2.9</v>
      </c>
      <c r="G267" s="86" t="s">
        <v>1210</v>
      </c>
    </row>
    <row r="268">
      <c r="A268" s="89">
        <v>45949.0</v>
      </c>
      <c r="B268" s="1" t="s">
        <v>625</v>
      </c>
      <c r="C268" s="1">
        <v>24.9</v>
      </c>
      <c r="D268" s="1">
        <v>32.0</v>
      </c>
      <c r="E268" s="1">
        <v>2.9</v>
      </c>
      <c r="G268" s="86" t="s">
        <v>1211</v>
      </c>
    </row>
    <row r="269">
      <c r="A269" s="89">
        <v>45949.0</v>
      </c>
      <c r="B269" s="1" t="s">
        <v>632</v>
      </c>
      <c r="C269" s="1">
        <v>22.3</v>
      </c>
      <c r="D269" s="1">
        <v>30.4</v>
      </c>
      <c r="E269" s="1">
        <v>2.8</v>
      </c>
      <c r="G269" s="86" t="s">
        <v>1212</v>
      </c>
    </row>
    <row r="270">
      <c r="A270" s="89">
        <v>45958.0</v>
      </c>
      <c r="B270" s="1" t="s">
        <v>637</v>
      </c>
      <c r="C270" s="1">
        <v>23.0</v>
      </c>
      <c r="D270" s="1">
        <v>31.6</v>
      </c>
      <c r="E270" s="1">
        <v>2.8</v>
      </c>
      <c r="G270" s="86" t="s">
        <v>1213</v>
      </c>
    </row>
    <row r="271">
      <c r="A271" s="89">
        <v>45999.0</v>
      </c>
      <c r="B271" s="1" t="s">
        <v>1214</v>
      </c>
      <c r="C271" s="1">
        <v>24.0</v>
      </c>
      <c r="D271" s="1">
        <v>74.3</v>
      </c>
      <c r="E271" s="1">
        <v>2.6</v>
      </c>
      <c r="G271" s="86" t="s">
        <v>1215</v>
      </c>
    </row>
    <row r="272">
      <c r="A272" s="89">
        <v>45999.0</v>
      </c>
      <c r="B272" s="1" t="s">
        <v>1214</v>
      </c>
      <c r="C272" s="1">
        <v>24.0</v>
      </c>
      <c r="D272" s="1">
        <v>74.3</v>
      </c>
      <c r="E272" s="1">
        <v>2.6</v>
      </c>
      <c r="G272" s="91" t="s">
        <v>1216</v>
      </c>
    </row>
    <row r="273">
      <c r="A273" s="89">
        <v>46006.0</v>
      </c>
      <c r="B273" s="1" t="s">
        <v>1217</v>
      </c>
      <c r="C273" s="1">
        <v>23.3</v>
      </c>
      <c r="D273" s="1">
        <v>40.4</v>
      </c>
      <c r="E273" s="1">
        <v>2.7</v>
      </c>
      <c r="G273" s="86" t="s">
        <v>1218</v>
      </c>
    </row>
    <row r="274">
      <c r="A274" s="89">
        <v>46006.0</v>
      </c>
      <c r="B274" s="1" t="s">
        <v>1219</v>
      </c>
      <c r="C274" s="1">
        <v>24.4</v>
      </c>
      <c r="D274" s="1">
        <v>75.9</v>
      </c>
      <c r="E274" s="1">
        <v>2.7</v>
      </c>
      <c r="G274" s="86" t="s">
        <v>1220</v>
      </c>
    </row>
    <row r="275">
      <c r="A275" s="89">
        <v>46007.0</v>
      </c>
      <c r="B275" s="1" t="s">
        <v>1219</v>
      </c>
      <c r="C275" s="1">
        <v>24.4</v>
      </c>
      <c r="D275" s="1">
        <v>75.9</v>
      </c>
      <c r="E275" s="1">
        <v>2.7</v>
      </c>
      <c r="G275" s="86" t="s">
        <v>1221</v>
      </c>
    </row>
    <row r="276">
      <c r="A276" s="89">
        <v>46007.0</v>
      </c>
      <c r="B276" s="1" t="s">
        <v>1222</v>
      </c>
      <c r="C276" s="1">
        <v>23.9</v>
      </c>
      <c r="D276" s="1">
        <v>28.8</v>
      </c>
      <c r="E276" s="1">
        <v>2.7</v>
      </c>
      <c r="G276" s="86" t="s">
        <v>1223</v>
      </c>
    </row>
    <row r="277">
      <c r="A277" s="89">
        <v>46011.0</v>
      </c>
      <c r="B277" s="1" t="s">
        <v>1224</v>
      </c>
      <c r="C277" s="1">
        <v>24.5</v>
      </c>
      <c r="D277" s="1">
        <v>34.3</v>
      </c>
      <c r="E277" s="1">
        <v>2.8</v>
      </c>
      <c r="G277" s="91" t="s">
        <v>1225</v>
      </c>
    </row>
    <row r="278">
      <c r="A278" s="89">
        <v>46027.0</v>
      </c>
      <c r="B278" s="92" t="s">
        <v>1226</v>
      </c>
      <c r="C278" s="1">
        <v>25.7</v>
      </c>
      <c r="D278" s="1">
        <v>22.7</v>
      </c>
      <c r="E278" s="1">
        <v>2.9</v>
      </c>
      <c r="G278" s="86" t="s">
        <v>1227</v>
      </c>
    </row>
    <row r="279">
      <c r="A279" s="89">
        <v>46039.0</v>
      </c>
      <c r="B279" s="1" t="s">
        <v>649</v>
      </c>
      <c r="C279" s="1">
        <v>25.7</v>
      </c>
      <c r="D279" s="1">
        <v>29.6</v>
      </c>
      <c r="E279" s="1">
        <v>3.0</v>
      </c>
      <c r="G279" s="86" t="s">
        <v>1228</v>
      </c>
    </row>
    <row r="280">
      <c r="A280" s="89">
        <v>46046.0</v>
      </c>
      <c r="B280" s="1" t="s">
        <v>1229</v>
      </c>
      <c r="C280" s="1">
        <v>25.8</v>
      </c>
      <c r="D280" s="1">
        <v>36.2</v>
      </c>
      <c r="E280" s="1">
        <v>2.9</v>
      </c>
      <c r="G280" s="86" t="s">
        <v>1230</v>
      </c>
    </row>
    <row r="281">
      <c r="A281" s="89">
        <v>46048.0</v>
      </c>
      <c r="B281" s="1" t="s">
        <v>1231</v>
      </c>
      <c r="C281" s="1">
        <v>25.0</v>
      </c>
      <c r="D281" s="1">
        <v>23.8</v>
      </c>
      <c r="E281" s="1">
        <v>2.9</v>
      </c>
      <c r="G281" s="91" t="s">
        <v>1232</v>
      </c>
    </row>
    <row r="282">
      <c r="A282" s="89">
        <v>46056.0</v>
      </c>
      <c r="B282" s="1" t="s">
        <v>1233</v>
      </c>
      <c r="C282" s="1">
        <v>26.1</v>
      </c>
      <c r="D282" s="1">
        <v>22.2</v>
      </c>
      <c r="E282" s="1">
        <v>2.9</v>
      </c>
      <c r="G282" s="91" t="s">
        <v>1234</v>
      </c>
    </row>
    <row r="283">
      <c r="A283" s="89">
        <v>46056.0</v>
      </c>
      <c r="B283" s="1" t="s">
        <v>667</v>
      </c>
      <c r="C283" s="1">
        <v>25.5</v>
      </c>
      <c r="D283" s="1">
        <v>20.7</v>
      </c>
      <c r="E283" s="1">
        <v>3.0</v>
      </c>
      <c r="G283" s="86" t="s">
        <v>1235</v>
      </c>
    </row>
    <row r="284">
      <c r="A284" s="89">
        <v>46056.0</v>
      </c>
      <c r="B284" s="1" t="s">
        <v>1229</v>
      </c>
      <c r="C284" s="1">
        <v>25.8</v>
      </c>
      <c r="D284" s="1">
        <v>36.2</v>
      </c>
      <c r="E284" s="1">
        <v>2.9</v>
      </c>
      <c r="G284" s="86" t="s">
        <v>1236</v>
      </c>
    </row>
    <row r="285">
      <c r="A285" s="89">
        <v>46056.0</v>
      </c>
      <c r="B285" s="1" t="s">
        <v>1231</v>
      </c>
      <c r="C285" s="1">
        <v>25.0</v>
      </c>
      <c r="D285" s="1">
        <v>23.8</v>
      </c>
      <c r="E285" s="1">
        <v>2.9</v>
      </c>
      <c r="G285" s="86" t="s">
        <v>1237</v>
      </c>
    </row>
    <row r="286">
      <c r="A286" s="89">
        <v>46056.0</v>
      </c>
      <c r="B286" s="1" t="s">
        <v>672</v>
      </c>
      <c r="C286" s="1">
        <v>25.8</v>
      </c>
      <c r="D286" s="1">
        <v>19.2</v>
      </c>
      <c r="E286" s="1">
        <v>2.8</v>
      </c>
      <c r="G286" s="86" t="s">
        <v>1238</v>
      </c>
    </row>
    <row r="287">
      <c r="A287" s="89">
        <v>46058.0</v>
      </c>
      <c r="B287" s="1" t="s">
        <v>659</v>
      </c>
      <c r="C287" s="1">
        <v>24.8</v>
      </c>
      <c r="D287" s="1">
        <v>25.8</v>
      </c>
      <c r="E287" s="1">
        <v>2.9</v>
      </c>
      <c r="G287" s="86" t="s">
        <v>1239</v>
      </c>
    </row>
    <row r="288">
      <c r="A288" s="89">
        <v>46058.0</v>
      </c>
      <c r="B288" s="1" t="s">
        <v>676</v>
      </c>
      <c r="C288" s="1">
        <v>25.5</v>
      </c>
      <c r="D288" s="1">
        <v>21.1</v>
      </c>
      <c r="E288" s="1">
        <v>2.9</v>
      </c>
      <c r="G288" s="86" t="s">
        <v>1240</v>
      </c>
    </row>
    <row r="289">
      <c r="A289" s="89">
        <v>46062.0</v>
      </c>
      <c r="B289" s="1" t="s">
        <v>1241</v>
      </c>
      <c r="C289" s="1">
        <v>26.2</v>
      </c>
      <c r="D289" s="1">
        <v>18.6</v>
      </c>
      <c r="E289" s="1">
        <v>3.0</v>
      </c>
      <c r="G289" s="91" t="s">
        <v>1242</v>
      </c>
    </row>
    <row r="290">
      <c r="A290" s="89">
        <v>46062.0</v>
      </c>
      <c r="B290" s="1" t="s">
        <v>667</v>
      </c>
      <c r="C290" s="1">
        <v>25.5</v>
      </c>
      <c r="D290" s="1">
        <v>20.7</v>
      </c>
      <c r="E290" s="1">
        <v>3.0</v>
      </c>
      <c r="G290" s="86" t="s">
        <v>1243</v>
      </c>
    </row>
    <row r="291">
      <c r="A291" s="89">
        <v>46063.0</v>
      </c>
      <c r="B291" s="1" t="s">
        <v>1233</v>
      </c>
      <c r="C291" s="1">
        <v>26.1</v>
      </c>
      <c r="D291" s="1">
        <v>22.2</v>
      </c>
      <c r="E291" s="1">
        <v>2.9</v>
      </c>
      <c r="G291" s="91" t="s">
        <v>1244</v>
      </c>
    </row>
    <row r="292">
      <c r="A292" s="89">
        <v>46063.0</v>
      </c>
      <c r="B292" s="1" t="s">
        <v>672</v>
      </c>
      <c r="C292" s="1">
        <v>25.8</v>
      </c>
      <c r="D292" s="1">
        <v>19.2</v>
      </c>
      <c r="E292" s="1">
        <v>2.8</v>
      </c>
      <c r="G292" s="86" t="s">
        <v>1245</v>
      </c>
    </row>
    <row r="293">
      <c r="A293" s="89">
        <v>46064.0</v>
      </c>
      <c r="B293" s="1" t="s">
        <v>676</v>
      </c>
      <c r="C293" s="1">
        <v>25.5</v>
      </c>
      <c r="D293" s="1">
        <v>21.1</v>
      </c>
      <c r="E293" s="1">
        <v>2.9</v>
      </c>
      <c r="G293" s="86" t="s">
        <v>1246</v>
      </c>
    </row>
    <row r="294">
      <c r="A294" s="89">
        <v>46070.0</v>
      </c>
      <c r="B294" s="1" t="s">
        <v>693</v>
      </c>
      <c r="C294" s="1">
        <v>28.0</v>
      </c>
      <c r="D294" s="1">
        <v>19.3</v>
      </c>
      <c r="E294" s="1">
        <v>3.0</v>
      </c>
      <c r="G294" s="91" t="s">
        <v>1247</v>
      </c>
    </row>
    <row r="295">
      <c r="A295" s="89">
        <v>46071.0</v>
      </c>
      <c r="B295" s="1" t="s">
        <v>712</v>
      </c>
      <c r="C295" s="1">
        <v>28.0</v>
      </c>
      <c r="D295" s="1">
        <v>20.04</v>
      </c>
      <c r="E295" s="1">
        <v>3.0</v>
      </c>
      <c r="G295" s="86" t="s">
        <v>1248</v>
      </c>
    </row>
    <row r="296">
      <c r="A296" s="89">
        <v>46071.0</v>
      </c>
      <c r="B296" s="1" t="s">
        <v>649</v>
      </c>
      <c r="C296" s="1">
        <v>25.7</v>
      </c>
      <c r="D296" s="1">
        <v>29.6</v>
      </c>
      <c r="E296" s="1">
        <v>3.0</v>
      </c>
      <c r="G296" s="86" t="s">
        <v>1249</v>
      </c>
    </row>
    <row r="297">
      <c r="A297" s="89">
        <v>46071.0</v>
      </c>
      <c r="B297" s="1" t="s">
        <v>1241</v>
      </c>
      <c r="C297" s="1">
        <v>26.2</v>
      </c>
      <c r="D297" s="1">
        <v>18.6</v>
      </c>
      <c r="E297" s="1">
        <v>3.0</v>
      </c>
      <c r="G297" s="86" t="s">
        <v>1250</v>
      </c>
    </row>
    <row r="298">
      <c r="A298" s="89">
        <v>46071.0</v>
      </c>
      <c r="B298" s="1" t="s">
        <v>1251</v>
      </c>
      <c r="C298" s="1">
        <v>27.3</v>
      </c>
      <c r="D298" s="1">
        <v>19.8</v>
      </c>
      <c r="E298" s="1">
        <v>3.0</v>
      </c>
      <c r="G298" s="86" t="s">
        <v>1252</v>
      </c>
    </row>
    <row r="299">
      <c r="A299" s="89">
        <v>46072.0</v>
      </c>
      <c r="B299" s="1" t="s">
        <v>719</v>
      </c>
      <c r="C299" s="1">
        <v>26.8</v>
      </c>
      <c r="D299" s="1">
        <v>20.0</v>
      </c>
      <c r="E299" s="1">
        <v>3.0</v>
      </c>
      <c r="G299" s="86" t="s">
        <v>1253</v>
      </c>
    </row>
    <row r="300">
      <c r="A300" s="89">
        <v>46072.0</v>
      </c>
      <c r="B300" s="1" t="s">
        <v>684</v>
      </c>
      <c r="C300" s="1">
        <v>27.3</v>
      </c>
      <c r="D300" s="1">
        <v>21.5</v>
      </c>
      <c r="E300" s="1">
        <v>3.0</v>
      </c>
      <c r="G300" s="86" t="s">
        <v>1254</v>
      </c>
    </row>
    <row r="301">
      <c r="A301" s="89">
        <v>46076.0</v>
      </c>
      <c r="B301" s="1" t="s">
        <v>684</v>
      </c>
      <c r="C301" s="1">
        <v>27.3</v>
      </c>
      <c r="D301" s="1">
        <v>21.5</v>
      </c>
      <c r="E301" s="1">
        <v>3.0</v>
      </c>
      <c r="G301" s="91" t="s">
        <v>1255</v>
      </c>
    </row>
    <row r="302">
      <c r="A302" s="89">
        <v>46076.0</v>
      </c>
      <c r="B302" s="1" t="s">
        <v>693</v>
      </c>
      <c r="C302" s="1">
        <v>28.0</v>
      </c>
      <c r="D302" s="1">
        <v>19.3</v>
      </c>
      <c r="E302" s="1">
        <v>3.0</v>
      </c>
      <c r="G302" s="91" t="s">
        <v>1256</v>
      </c>
    </row>
    <row r="303">
      <c r="A303" s="89">
        <v>46076.0</v>
      </c>
      <c r="B303" s="1" t="s">
        <v>730</v>
      </c>
      <c r="C303" s="1">
        <v>27.1</v>
      </c>
      <c r="D303" s="1">
        <v>22.7</v>
      </c>
      <c r="E303" s="1">
        <v>3.0</v>
      </c>
      <c r="G303" s="91" t="s">
        <v>1257</v>
      </c>
    </row>
    <row r="304">
      <c r="A304" s="89">
        <v>46077.0</v>
      </c>
      <c r="B304" s="1" t="s">
        <v>712</v>
      </c>
      <c r="C304" s="1">
        <v>28.0</v>
      </c>
      <c r="D304" s="1">
        <v>20.04</v>
      </c>
      <c r="E304" s="1">
        <v>3.0</v>
      </c>
      <c r="G304" s="86" t="s">
        <v>1258</v>
      </c>
    </row>
    <row r="305">
      <c r="A305" s="89">
        <v>46077.0</v>
      </c>
      <c r="B305" s="1" t="s">
        <v>719</v>
      </c>
      <c r="C305" s="1">
        <v>26.8</v>
      </c>
      <c r="D305" s="1">
        <v>20.0</v>
      </c>
      <c r="E305" s="1">
        <v>3.0</v>
      </c>
      <c r="G305" s="86" t="s">
        <v>1259</v>
      </c>
    </row>
    <row r="306">
      <c r="A306" s="89">
        <v>46079.0</v>
      </c>
      <c r="B306" s="1" t="s">
        <v>680</v>
      </c>
      <c r="C306" s="1" t="s">
        <v>1260</v>
      </c>
      <c r="D306" s="1" t="s">
        <v>1260</v>
      </c>
      <c r="E306" s="1" t="s">
        <v>1260</v>
      </c>
      <c r="G306" s="91" t="s">
        <v>1261</v>
      </c>
    </row>
    <row r="307">
      <c r="A307" s="89">
        <v>46079.0</v>
      </c>
      <c r="B307" s="1" t="s">
        <v>746</v>
      </c>
      <c r="C307" s="1">
        <v>24.5</v>
      </c>
      <c r="D307" s="1">
        <v>24.5</v>
      </c>
      <c r="E307" s="1">
        <v>3.0</v>
      </c>
      <c r="G307" s="86" t="s">
        <v>1262</v>
      </c>
    </row>
    <row r="308">
      <c r="A308" s="89">
        <v>46080.0</v>
      </c>
      <c r="B308" s="1" t="s">
        <v>759</v>
      </c>
      <c r="C308" s="1">
        <v>24.2</v>
      </c>
      <c r="D308" s="1">
        <v>30.4</v>
      </c>
      <c r="E308" s="1">
        <v>2.9</v>
      </c>
      <c r="G308" s="86" t="s">
        <v>1263</v>
      </c>
    </row>
    <row r="309">
      <c r="A309" s="89">
        <v>46081.0</v>
      </c>
      <c r="B309" s="1" t="s">
        <v>735</v>
      </c>
      <c r="C309" s="1">
        <v>25.0</v>
      </c>
      <c r="D309" s="1">
        <v>21.8</v>
      </c>
      <c r="E309" s="1">
        <v>3.0</v>
      </c>
      <c r="G309" s="91" t="s">
        <v>1264</v>
      </c>
    </row>
    <row r="310">
      <c r="A310" s="89">
        <v>46082.0</v>
      </c>
      <c r="B310" s="1" t="s">
        <v>766</v>
      </c>
      <c r="C310" s="1">
        <v>24.7</v>
      </c>
      <c r="D310" s="1">
        <v>29.0</v>
      </c>
      <c r="E310" s="1">
        <v>2.9</v>
      </c>
      <c r="G310" s="86" t="s">
        <v>1265</v>
      </c>
    </row>
    <row r="311">
      <c r="A311" s="89">
        <v>46082.0</v>
      </c>
      <c r="B311" s="1" t="s">
        <v>1266</v>
      </c>
      <c r="C311" s="1">
        <v>26.7</v>
      </c>
      <c r="D311" s="1">
        <v>33.6</v>
      </c>
      <c r="E311" s="1">
        <v>2.8</v>
      </c>
      <c r="G311" s="86" t="s">
        <v>1267</v>
      </c>
    </row>
    <row r="312">
      <c r="A312" s="89">
        <v>46085.0</v>
      </c>
      <c r="B312" s="1" t="s">
        <v>730</v>
      </c>
      <c r="C312" s="1">
        <v>27.1</v>
      </c>
      <c r="D312" s="1">
        <v>22.7</v>
      </c>
      <c r="E312" s="1">
        <v>3.0</v>
      </c>
      <c r="G312" s="86" t="s">
        <v>1268</v>
      </c>
    </row>
    <row r="313">
      <c r="A313" s="89">
        <v>46085.0</v>
      </c>
      <c r="B313" s="1" t="s">
        <v>746</v>
      </c>
      <c r="C313" s="1">
        <v>24.5</v>
      </c>
      <c r="D313" s="1">
        <v>24.5</v>
      </c>
      <c r="E313" s="1">
        <v>3.0</v>
      </c>
      <c r="G313" s="86" t="s">
        <v>1269</v>
      </c>
    </row>
    <row r="314">
      <c r="A314" s="89">
        <v>46086.0</v>
      </c>
      <c r="B314" s="1" t="s">
        <v>774</v>
      </c>
      <c r="C314" s="1">
        <v>25.7</v>
      </c>
      <c r="D314" s="1">
        <v>25.7</v>
      </c>
      <c r="E314" s="1">
        <v>3.0</v>
      </c>
      <c r="G314" s="91" t="s">
        <v>1270</v>
      </c>
    </row>
    <row r="315">
      <c r="A315" s="89">
        <v>46088.0</v>
      </c>
      <c r="B315" s="1" t="s">
        <v>1271</v>
      </c>
      <c r="C315" s="1">
        <v>25.3</v>
      </c>
      <c r="D315" s="1">
        <v>26.3</v>
      </c>
      <c r="E315" s="1">
        <v>2.9</v>
      </c>
      <c r="G315" s="91" t="s">
        <v>1272</v>
      </c>
    </row>
    <row r="316">
      <c r="A316" s="89">
        <v>46089.0</v>
      </c>
      <c r="B316" s="1" t="s">
        <v>1266</v>
      </c>
      <c r="C316" s="1">
        <v>26.7</v>
      </c>
      <c r="D316" s="1">
        <v>33.6</v>
      </c>
      <c r="E316" s="1">
        <v>2.8</v>
      </c>
      <c r="G316" s="86" t="s">
        <v>1273</v>
      </c>
    </row>
    <row r="317">
      <c r="A317" s="89">
        <v>46090.0</v>
      </c>
      <c r="B317" s="1" t="s">
        <v>759</v>
      </c>
      <c r="C317" s="1">
        <v>24.2</v>
      </c>
      <c r="D317" s="1">
        <v>30.4</v>
      </c>
      <c r="E317" s="1">
        <v>2.9</v>
      </c>
      <c r="G317" s="86" t="s">
        <v>1274</v>
      </c>
    </row>
    <row r="318">
      <c r="A318" s="89">
        <v>46091.0</v>
      </c>
      <c r="B318" s="92" t="s">
        <v>1275</v>
      </c>
      <c r="C318" s="1">
        <v>24.9</v>
      </c>
      <c r="D318" s="1">
        <v>26.1</v>
      </c>
      <c r="E318" s="1">
        <v>2.9</v>
      </c>
      <c r="G318" s="86" t="s">
        <v>1276</v>
      </c>
    </row>
    <row r="319">
      <c r="A319" s="89">
        <v>46091.0</v>
      </c>
      <c r="B319" s="1" t="s">
        <v>778</v>
      </c>
      <c r="C319" s="1">
        <v>25.3</v>
      </c>
      <c r="D319" s="1">
        <v>26.4</v>
      </c>
      <c r="E319" s="1">
        <v>2.9</v>
      </c>
      <c r="G319" s="86" t="s">
        <v>1277</v>
      </c>
    </row>
    <row r="320">
      <c r="A320" s="89">
        <v>46091.0</v>
      </c>
      <c r="B320" s="1" t="s">
        <v>766</v>
      </c>
      <c r="C320" s="1">
        <v>24.7</v>
      </c>
      <c r="D320" s="1">
        <v>29.0</v>
      </c>
      <c r="E320" s="1">
        <v>2.9</v>
      </c>
      <c r="G320" s="86" t="s">
        <v>1278</v>
      </c>
    </row>
    <row r="321">
      <c r="A321" s="89">
        <v>46091.0</v>
      </c>
      <c r="B321" s="1" t="s">
        <v>774</v>
      </c>
      <c r="C321" s="1">
        <v>25.7</v>
      </c>
      <c r="D321" s="1">
        <v>25.7</v>
      </c>
      <c r="E321" s="1">
        <v>3.0</v>
      </c>
      <c r="G321" s="86" t="s">
        <v>1279</v>
      </c>
    </row>
    <row r="322">
      <c r="A322" s="89">
        <v>46092.0</v>
      </c>
      <c r="B322" s="1" t="s">
        <v>782</v>
      </c>
      <c r="C322" s="1">
        <v>26.5</v>
      </c>
      <c r="D322" s="1">
        <v>26.2</v>
      </c>
      <c r="E322" s="1">
        <v>2.9</v>
      </c>
      <c r="G322" s="86" t="s">
        <v>1280</v>
      </c>
    </row>
    <row r="323">
      <c r="A323" s="89">
        <v>46092.0</v>
      </c>
      <c r="B323" s="1" t="s">
        <v>798</v>
      </c>
      <c r="C323" s="1">
        <v>25.7</v>
      </c>
      <c r="D323" s="1">
        <v>27.5</v>
      </c>
      <c r="E323" s="1">
        <v>3.0</v>
      </c>
      <c r="G323" s="86" t="s">
        <v>1281</v>
      </c>
    </row>
    <row r="324">
      <c r="A324" s="89">
        <v>46095.0</v>
      </c>
      <c r="B324" s="1" t="s">
        <v>811</v>
      </c>
      <c r="C324" s="1">
        <v>27.3</v>
      </c>
      <c r="D324" s="1">
        <v>19.4</v>
      </c>
      <c r="E324" s="1">
        <v>3.0</v>
      </c>
      <c r="G324" s="86" t="s">
        <v>1282</v>
      </c>
    </row>
    <row r="325">
      <c r="A325" s="89">
        <v>46095.0</v>
      </c>
      <c r="B325" s="1" t="s">
        <v>1275</v>
      </c>
      <c r="C325" s="1">
        <v>24.9</v>
      </c>
      <c r="D325" s="1">
        <v>26.1</v>
      </c>
      <c r="E325" s="1">
        <v>2.9</v>
      </c>
      <c r="G325" s="86" t="s">
        <v>1283</v>
      </c>
    </row>
    <row r="326">
      <c r="A326" s="89">
        <v>46095.0</v>
      </c>
      <c r="B326" s="1" t="s">
        <v>1271</v>
      </c>
      <c r="C326" s="1">
        <v>25.3</v>
      </c>
      <c r="D326" s="1">
        <v>26.3</v>
      </c>
      <c r="E326" s="1">
        <v>2.9</v>
      </c>
      <c r="G326" s="86" t="s">
        <v>1284</v>
      </c>
    </row>
    <row r="327">
      <c r="A327" s="89">
        <v>46095.0</v>
      </c>
      <c r="B327" s="1" t="s">
        <v>778</v>
      </c>
      <c r="C327" s="1">
        <v>25.3</v>
      </c>
      <c r="D327" s="1">
        <v>26.4</v>
      </c>
      <c r="E327" s="1">
        <v>2.9</v>
      </c>
      <c r="G327" s="91" t="s">
        <v>1285</v>
      </c>
    </row>
    <row r="328">
      <c r="A328" s="89">
        <v>46098.0</v>
      </c>
      <c r="B328" s="1" t="s">
        <v>822</v>
      </c>
      <c r="C328" s="1">
        <v>31.4</v>
      </c>
      <c r="D328" s="1">
        <v>12.0</v>
      </c>
      <c r="E328" s="1">
        <v>3.2</v>
      </c>
      <c r="G328" s="86" t="s">
        <v>1286</v>
      </c>
    </row>
    <row r="329">
      <c r="A329" s="89">
        <v>46093.0</v>
      </c>
      <c r="B329" s="1" t="s">
        <v>782</v>
      </c>
      <c r="C329" s="1">
        <v>26.5</v>
      </c>
      <c r="D329" s="1">
        <v>26.2</v>
      </c>
      <c r="E329" s="1">
        <v>2.9</v>
      </c>
      <c r="G329" s="86" t="s">
        <v>1287</v>
      </c>
    </row>
    <row r="330">
      <c r="A330" s="83">
        <v>46098.0</v>
      </c>
      <c r="B330" s="1" t="s">
        <v>798</v>
      </c>
      <c r="C330" s="1">
        <v>25.7</v>
      </c>
      <c r="D330" s="1">
        <v>27.5</v>
      </c>
      <c r="E330" s="1">
        <v>3.0</v>
      </c>
      <c r="G330" s="91" t="s">
        <v>1288</v>
      </c>
    </row>
    <row r="331">
      <c r="A331" s="83">
        <v>46098.0</v>
      </c>
      <c r="B331" s="1" t="s">
        <v>782</v>
      </c>
      <c r="C331" s="1">
        <v>26.5</v>
      </c>
      <c r="D331" s="1">
        <v>26.2</v>
      </c>
      <c r="E331" s="1">
        <v>2.9</v>
      </c>
      <c r="G331" s="86" t="s">
        <v>1289</v>
      </c>
    </row>
    <row r="332">
      <c r="A332" s="83">
        <v>46099.0</v>
      </c>
      <c r="B332" s="1" t="s">
        <v>829</v>
      </c>
      <c r="C332" s="1">
        <v>28.0</v>
      </c>
      <c r="D332" s="1">
        <v>16.7</v>
      </c>
      <c r="E332" s="1">
        <v>3.0</v>
      </c>
      <c r="G332" s="86" t="s">
        <v>1290</v>
      </c>
    </row>
    <row r="333">
      <c r="A333" s="83">
        <v>46099.0</v>
      </c>
      <c r="B333" s="1" t="s">
        <v>787</v>
      </c>
      <c r="C333" s="1">
        <v>26.4</v>
      </c>
      <c r="D333" s="1">
        <v>24.6</v>
      </c>
      <c r="E333" s="1">
        <v>3.0</v>
      </c>
      <c r="G333" s="86" t="s">
        <v>1291</v>
      </c>
    </row>
    <row r="334">
      <c r="A334" s="83">
        <v>46104.0</v>
      </c>
      <c r="B334" s="1" t="s">
        <v>1292</v>
      </c>
      <c r="C334" s="1">
        <v>29.2</v>
      </c>
      <c r="D334" s="1">
        <v>15.8</v>
      </c>
      <c r="E334" s="1">
        <v>3.1</v>
      </c>
      <c r="G334" s="91" t="s">
        <v>1293</v>
      </c>
    </row>
    <row r="335">
      <c r="A335" s="83">
        <v>46105.0</v>
      </c>
      <c r="B335" s="1" t="s">
        <v>787</v>
      </c>
      <c r="C335" s="1">
        <v>26.4</v>
      </c>
      <c r="D335" s="1">
        <v>24.6</v>
      </c>
      <c r="E335" s="1">
        <v>3.0</v>
      </c>
      <c r="G335" s="86" t="s">
        <v>1294</v>
      </c>
    </row>
    <row r="336">
      <c r="A336" s="83">
        <v>46105.0</v>
      </c>
      <c r="B336" s="1" t="s">
        <v>811</v>
      </c>
      <c r="C336" s="1">
        <v>27.3</v>
      </c>
      <c r="D336" s="1">
        <v>19.4</v>
      </c>
      <c r="E336" s="1">
        <v>3.0</v>
      </c>
      <c r="G336" s="86" t="s">
        <v>1295</v>
      </c>
    </row>
    <row r="337">
      <c r="A337" s="83">
        <v>46106.0</v>
      </c>
      <c r="B337" s="1" t="s">
        <v>1292</v>
      </c>
      <c r="C337" s="1">
        <v>29.2</v>
      </c>
      <c r="D337" s="1">
        <v>15.8</v>
      </c>
      <c r="E337" s="1">
        <v>3.1</v>
      </c>
      <c r="G337" s="86" t="s">
        <v>1296</v>
      </c>
    </row>
    <row r="338">
      <c r="A338" s="83">
        <v>46112.0</v>
      </c>
      <c r="B338" s="1" t="s">
        <v>1297</v>
      </c>
      <c r="C338" s="1">
        <v>28.4</v>
      </c>
      <c r="D338" s="1">
        <v>43.6</v>
      </c>
      <c r="E338" s="1">
        <v>2.9</v>
      </c>
      <c r="G338" s="86" t="s">
        <v>1298</v>
      </c>
    </row>
    <row r="339">
      <c r="A339" s="83">
        <v>46112.0</v>
      </c>
      <c r="B339" s="1" t="s">
        <v>1299</v>
      </c>
      <c r="C339" s="1">
        <v>28.9</v>
      </c>
      <c r="D339" s="1">
        <v>14.0</v>
      </c>
      <c r="E339" s="1">
        <v>3.0</v>
      </c>
      <c r="G339" s="86" t="s">
        <v>1300</v>
      </c>
    </row>
    <row r="340">
      <c r="A340" s="83">
        <v>46112.0</v>
      </c>
      <c r="B340" s="1" t="s">
        <v>1301</v>
      </c>
      <c r="C340" s="1">
        <v>34.6</v>
      </c>
      <c r="D340" s="1">
        <v>8.1</v>
      </c>
      <c r="E340" s="1">
        <v>3.1</v>
      </c>
      <c r="G340" s="91" t="s">
        <v>1302</v>
      </c>
    </row>
    <row r="341">
      <c r="A341" s="83">
        <v>46112.0</v>
      </c>
      <c r="B341" s="1" t="s">
        <v>822</v>
      </c>
      <c r="C341" s="1">
        <v>31.4</v>
      </c>
      <c r="D341" s="1">
        <v>12.0</v>
      </c>
      <c r="E341" s="1">
        <v>3.2</v>
      </c>
      <c r="G341" s="91" t="s">
        <v>1303</v>
      </c>
    </row>
    <row r="342">
      <c r="A342" s="83">
        <v>46118.0</v>
      </c>
      <c r="B342" s="1" t="s">
        <v>1297</v>
      </c>
      <c r="C342" s="1">
        <v>28.4</v>
      </c>
      <c r="D342" s="1">
        <v>43.6</v>
      </c>
      <c r="E342" s="1">
        <v>2.9</v>
      </c>
      <c r="G342" s="91" t="s">
        <v>1304</v>
      </c>
    </row>
    <row r="343">
      <c r="A343" s="83">
        <v>46120.0</v>
      </c>
      <c r="B343" s="1" t="s">
        <v>1305</v>
      </c>
      <c r="C343" s="1">
        <v>29.6</v>
      </c>
      <c r="D343" s="1">
        <v>13.8</v>
      </c>
      <c r="E343" s="1">
        <v>3.1</v>
      </c>
      <c r="G343" s="91" t="s">
        <v>1306</v>
      </c>
    </row>
    <row r="344">
      <c r="A344" s="83">
        <v>46121.0</v>
      </c>
      <c r="B344" s="1" t="s">
        <v>852</v>
      </c>
      <c r="C344" s="1">
        <v>26.0</v>
      </c>
      <c r="D344" s="1">
        <v>24.0</v>
      </c>
      <c r="E344" s="1">
        <v>3.0</v>
      </c>
      <c r="G344" s="86" t="s">
        <v>1307</v>
      </c>
    </row>
    <row r="345">
      <c r="A345" s="83">
        <v>46121.0</v>
      </c>
      <c r="B345" s="1" t="s">
        <v>1308</v>
      </c>
      <c r="C345" s="1">
        <v>32.7</v>
      </c>
      <c r="D345" s="1">
        <v>10.1</v>
      </c>
      <c r="E345" s="1">
        <v>3.1</v>
      </c>
      <c r="G345" s="86" t="s">
        <v>1309</v>
      </c>
    </row>
    <row r="346">
      <c r="A346" s="83">
        <v>46121.0</v>
      </c>
      <c r="B346" s="1" t="s">
        <v>1310</v>
      </c>
      <c r="C346" s="1">
        <v>28.5</v>
      </c>
      <c r="D346" s="1">
        <v>18.2</v>
      </c>
      <c r="E346" s="1">
        <v>3.1</v>
      </c>
      <c r="G346" s="86" t="s">
        <v>1311</v>
      </c>
    </row>
    <row r="347">
      <c r="A347" s="83">
        <v>46122.0</v>
      </c>
      <c r="B347" s="1" t="s">
        <v>869</v>
      </c>
      <c r="C347" s="1">
        <v>25.9</v>
      </c>
      <c r="D347" s="1">
        <v>21.9</v>
      </c>
      <c r="E347" s="1">
        <v>3.0</v>
      </c>
      <c r="G347" s="86" t="s">
        <v>1312</v>
      </c>
    </row>
    <row r="348">
      <c r="A348" s="83">
        <v>46122.0</v>
      </c>
      <c r="B348" s="1" t="s">
        <v>1313</v>
      </c>
      <c r="C348" s="1">
        <v>26.1</v>
      </c>
      <c r="D348" s="1">
        <v>21.9</v>
      </c>
      <c r="E348" s="1">
        <v>3.0</v>
      </c>
      <c r="G348" s="86" t="s">
        <v>1314</v>
      </c>
    </row>
    <row r="349">
      <c r="A349" s="83">
        <v>46123.0</v>
      </c>
      <c r="B349" s="1" t="s">
        <v>1315</v>
      </c>
      <c r="C349" s="1">
        <v>25.9</v>
      </c>
      <c r="D349" s="1">
        <v>21.3</v>
      </c>
      <c r="E349" s="1">
        <v>2.9</v>
      </c>
      <c r="G349" s="86" t="s">
        <v>1316</v>
      </c>
    </row>
    <row r="350">
      <c r="A350" s="83">
        <v>46125.0</v>
      </c>
      <c r="B350" s="1" t="s">
        <v>865</v>
      </c>
      <c r="C350" s="1">
        <v>27.6</v>
      </c>
      <c r="D350" s="1">
        <v>18.6</v>
      </c>
      <c r="E350" s="1">
        <v>3.2</v>
      </c>
      <c r="G350" s="86" t="s">
        <v>1317</v>
      </c>
    </row>
    <row r="351">
      <c r="A351" s="83">
        <v>46128.0</v>
      </c>
      <c r="B351" s="1" t="s">
        <v>869</v>
      </c>
      <c r="C351" s="1">
        <v>25.9</v>
      </c>
      <c r="D351" s="1">
        <v>21.9</v>
      </c>
      <c r="E351" s="1">
        <v>3.0</v>
      </c>
      <c r="G351" s="86" t="s">
        <v>1318</v>
      </c>
    </row>
    <row r="352">
      <c r="A352" s="83">
        <v>46128.0</v>
      </c>
      <c r="B352" s="1" t="s">
        <v>1313</v>
      </c>
      <c r="C352" s="1">
        <v>26.1</v>
      </c>
      <c r="D352" s="1">
        <v>21.9</v>
      </c>
      <c r="E352" s="1">
        <v>3.0</v>
      </c>
      <c r="G352" s="91" t="s">
        <v>1319</v>
      </c>
    </row>
    <row r="353">
      <c r="A353" s="83">
        <v>46134.0</v>
      </c>
      <c r="B353" s="1" t="s">
        <v>1320</v>
      </c>
      <c r="C353" s="1">
        <v>30.0</v>
      </c>
      <c r="D353" s="1">
        <v>13.6</v>
      </c>
      <c r="E353" s="1">
        <v>3.1</v>
      </c>
      <c r="G353" s="91" t="s">
        <v>1321</v>
      </c>
    </row>
    <row r="354">
      <c r="A354" s="83">
        <v>46134.0</v>
      </c>
      <c r="B354" s="1" t="s">
        <v>829</v>
      </c>
      <c r="C354" s="1">
        <v>28.0</v>
      </c>
      <c r="D354" s="1">
        <v>16.7</v>
      </c>
      <c r="E354" s="1">
        <v>3.0</v>
      </c>
      <c r="G354" s="86" t="s">
        <v>1322</v>
      </c>
    </row>
    <row r="355">
      <c r="A355" s="83">
        <v>46135.0</v>
      </c>
      <c r="B355" s="1" t="s">
        <v>852</v>
      </c>
      <c r="C355" s="1">
        <v>26.0</v>
      </c>
      <c r="D355" s="1">
        <v>24.0</v>
      </c>
      <c r="E355" s="1">
        <v>3.0</v>
      </c>
      <c r="G355" s="86" t="s">
        <v>1323</v>
      </c>
    </row>
    <row r="356">
      <c r="A356" s="83">
        <v>46136.0</v>
      </c>
      <c r="B356" s="1" t="s">
        <v>1308</v>
      </c>
      <c r="C356" s="1">
        <v>32.7</v>
      </c>
      <c r="D356" s="1">
        <v>10.1</v>
      </c>
      <c r="E356" s="1">
        <v>3.1</v>
      </c>
      <c r="G356" s="86" t="s">
        <v>1324</v>
      </c>
    </row>
    <row r="357">
      <c r="A357" s="83">
        <v>46137.0</v>
      </c>
      <c r="B357" s="1" t="s">
        <v>1310</v>
      </c>
      <c r="C357" s="1">
        <v>28.5</v>
      </c>
      <c r="D357" s="1">
        <v>18.2</v>
      </c>
      <c r="E357" s="1">
        <v>3.1</v>
      </c>
      <c r="G357" s="86" t="s">
        <v>1325</v>
      </c>
    </row>
    <row r="358">
      <c r="A358" s="83">
        <v>46138.0</v>
      </c>
      <c r="B358" s="1" t="s">
        <v>1326</v>
      </c>
      <c r="C358" s="1">
        <v>27.1</v>
      </c>
      <c r="D358" s="1">
        <v>18.3</v>
      </c>
      <c r="E358" s="1">
        <v>3.1</v>
      </c>
      <c r="G358" s="86" t="s">
        <v>1327</v>
      </c>
    </row>
    <row r="359">
      <c r="A359" s="83">
        <v>46139.0</v>
      </c>
      <c r="B359" s="1" t="s">
        <v>1320</v>
      </c>
      <c r="C359" s="1">
        <v>30.0</v>
      </c>
      <c r="D359" s="1">
        <v>13.6</v>
      </c>
      <c r="E359" s="1">
        <v>3.1</v>
      </c>
      <c r="G359" s="91" t="s">
        <v>1328</v>
      </c>
    </row>
    <row r="360">
      <c r="A360" s="93"/>
    </row>
    <row r="361">
      <c r="A361" s="93"/>
    </row>
    <row r="362">
      <c r="A362" s="93"/>
    </row>
    <row r="363">
      <c r="A363" s="93"/>
    </row>
    <row r="364">
      <c r="A364" s="93"/>
    </row>
    <row r="365">
      <c r="A365" s="93"/>
    </row>
    <row r="366">
      <c r="A366" s="93"/>
    </row>
    <row r="367">
      <c r="A367" s="93"/>
    </row>
    <row r="368">
      <c r="A368" s="93"/>
    </row>
    <row r="369">
      <c r="A369" s="93"/>
    </row>
    <row r="370">
      <c r="A370" s="93"/>
    </row>
    <row r="371">
      <c r="A371" s="93"/>
    </row>
    <row r="372">
      <c r="A372" s="93"/>
    </row>
    <row r="373">
      <c r="A373" s="93"/>
    </row>
    <row r="374">
      <c r="A374" s="93"/>
    </row>
    <row r="375">
      <c r="A375" s="93"/>
    </row>
    <row r="376">
      <c r="A376" s="93"/>
    </row>
    <row r="377">
      <c r="A377" s="93"/>
    </row>
    <row r="378">
      <c r="A378" s="93"/>
    </row>
    <row r="379">
      <c r="A379" s="93"/>
    </row>
    <row r="380">
      <c r="A380" s="93"/>
    </row>
    <row r="381">
      <c r="A381" s="93"/>
    </row>
    <row r="382">
      <c r="A382" s="93"/>
    </row>
    <row r="383">
      <c r="A383" s="93"/>
    </row>
    <row r="384">
      <c r="A384" s="93"/>
    </row>
    <row r="385">
      <c r="A385" s="93"/>
    </row>
    <row r="386">
      <c r="A386" s="93"/>
    </row>
    <row r="387">
      <c r="A387" s="93"/>
    </row>
    <row r="388">
      <c r="A388" s="93"/>
    </row>
    <row r="389">
      <c r="A389" s="93"/>
    </row>
    <row r="390">
      <c r="A390" s="93"/>
    </row>
    <row r="391">
      <c r="A391" s="93"/>
    </row>
    <row r="392">
      <c r="A392" s="93"/>
    </row>
    <row r="393">
      <c r="A393" s="93"/>
    </row>
    <row r="394">
      <c r="A394" s="93"/>
    </row>
    <row r="395">
      <c r="A395" s="93"/>
    </row>
    <row r="396">
      <c r="A396" s="93"/>
    </row>
    <row r="397">
      <c r="A397" s="93"/>
    </row>
    <row r="398">
      <c r="A398" s="93"/>
    </row>
    <row r="399">
      <c r="A399" s="93"/>
    </row>
    <row r="400">
      <c r="A400" s="93"/>
    </row>
    <row r="401">
      <c r="A401" s="93"/>
    </row>
    <row r="402">
      <c r="A402" s="93"/>
    </row>
    <row r="403">
      <c r="A403" s="93"/>
    </row>
    <row r="404">
      <c r="A404" s="93"/>
    </row>
    <row r="405">
      <c r="A405" s="93"/>
    </row>
    <row r="406">
      <c r="A406" s="93"/>
    </row>
    <row r="407">
      <c r="A407" s="93"/>
    </row>
    <row r="408">
      <c r="A408" s="93"/>
    </row>
    <row r="409">
      <c r="A409" s="93"/>
    </row>
    <row r="410">
      <c r="A410" s="93"/>
    </row>
    <row r="411">
      <c r="A411" s="93"/>
    </row>
    <row r="412">
      <c r="A412" s="93"/>
    </row>
    <row r="413">
      <c r="A413" s="93"/>
    </row>
    <row r="414">
      <c r="A414" s="93"/>
    </row>
    <row r="415">
      <c r="A415" s="93"/>
    </row>
    <row r="416">
      <c r="A416" s="93"/>
    </row>
    <row r="417">
      <c r="A417" s="93"/>
    </row>
    <row r="418">
      <c r="A418" s="93"/>
    </row>
    <row r="419">
      <c r="A419" s="93"/>
    </row>
    <row r="420">
      <c r="A420" s="93"/>
    </row>
    <row r="421">
      <c r="A421" s="93"/>
    </row>
    <row r="422">
      <c r="A422" s="93"/>
    </row>
    <row r="423">
      <c r="A423" s="93"/>
    </row>
    <row r="424">
      <c r="A424" s="93"/>
    </row>
    <row r="425">
      <c r="A425" s="93"/>
    </row>
    <row r="426">
      <c r="A426" s="93"/>
    </row>
    <row r="427">
      <c r="A427" s="93"/>
    </row>
    <row r="428">
      <c r="A428" s="93"/>
    </row>
    <row r="429">
      <c r="A429" s="93"/>
    </row>
    <row r="430">
      <c r="A430" s="93"/>
    </row>
    <row r="431">
      <c r="A431" s="93"/>
    </row>
    <row r="432">
      <c r="A432" s="93"/>
    </row>
    <row r="433">
      <c r="A433" s="93"/>
    </row>
    <row r="434">
      <c r="A434" s="93"/>
    </row>
    <row r="435">
      <c r="A435" s="93"/>
    </row>
    <row r="436">
      <c r="A436" s="93"/>
    </row>
    <row r="437">
      <c r="A437" s="93"/>
    </row>
    <row r="438">
      <c r="A438" s="93"/>
    </row>
    <row r="439">
      <c r="A439" s="93"/>
    </row>
    <row r="440">
      <c r="A440" s="93"/>
    </row>
    <row r="441">
      <c r="A441" s="93"/>
    </row>
    <row r="442">
      <c r="A442" s="93"/>
    </row>
    <row r="443">
      <c r="A443" s="93"/>
    </row>
    <row r="444">
      <c r="A444" s="93"/>
    </row>
    <row r="445">
      <c r="A445" s="93"/>
    </row>
    <row r="446">
      <c r="A446" s="93"/>
    </row>
    <row r="447">
      <c r="A447" s="93"/>
    </row>
    <row r="448">
      <c r="A448" s="93"/>
    </row>
    <row r="449">
      <c r="A449" s="93"/>
    </row>
    <row r="450">
      <c r="A450" s="93"/>
    </row>
    <row r="451">
      <c r="A451" s="93"/>
    </row>
    <row r="452">
      <c r="A452" s="93"/>
    </row>
    <row r="453">
      <c r="A453" s="93"/>
    </row>
    <row r="454">
      <c r="A454" s="93"/>
    </row>
    <row r="455">
      <c r="A455" s="93"/>
    </row>
    <row r="456">
      <c r="A456" s="93"/>
    </row>
    <row r="457">
      <c r="A457" s="93"/>
    </row>
    <row r="458">
      <c r="A458" s="93"/>
    </row>
    <row r="459">
      <c r="A459" s="93"/>
    </row>
    <row r="460">
      <c r="A460" s="93"/>
    </row>
    <row r="461">
      <c r="A461" s="93"/>
    </row>
    <row r="462">
      <c r="A462" s="93"/>
    </row>
    <row r="463">
      <c r="A463" s="93"/>
    </row>
    <row r="464">
      <c r="A464" s="93"/>
    </row>
    <row r="465">
      <c r="A465" s="93"/>
    </row>
    <row r="466">
      <c r="A466" s="93"/>
    </row>
    <row r="467">
      <c r="A467" s="93"/>
    </row>
    <row r="468">
      <c r="A468" s="93"/>
    </row>
    <row r="469">
      <c r="A469" s="93"/>
    </row>
    <row r="470">
      <c r="A470" s="93"/>
    </row>
    <row r="471">
      <c r="A471" s="93"/>
    </row>
    <row r="472">
      <c r="A472" s="93"/>
    </row>
    <row r="473">
      <c r="A473" s="93"/>
    </row>
    <row r="474">
      <c r="A474" s="93"/>
    </row>
    <row r="475">
      <c r="A475" s="93"/>
    </row>
    <row r="476">
      <c r="A476" s="93"/>
    </row>
    <row r="477">
      <c r="A477" s="93"/>
    </row>
    <row r="478">
      <c r="A478" s="93"/>
    </row>
    <row r="479">
      <c r="A479" s="93"/>
    </row>
    <row r="480">
      <c r="A480" s="93"/>
    </row>
    <row r="481">
      <c r="A481" s="93"/>
    </row>
    <row r="482">
      <c r="A482" s="93"/>
    </row>
    <row r="483">
      <c r="A483" s="93"/>
    </row>
    <row r="484">
      <c r="A484" s="93"/>
    </row>
    <row r="485">
      <c r="A485" s="93"/>
    </row>
    <row r="486">
      <c r="A486" s="93"/>
    </row>
    <row r="487">
      <c r="A487" s="93"/>
    </row>
    <row r="488">
      <c r="A488" s="93"/>
    </row>
    <row r="489">
      <c r="A489" s="93"/>
    </row>
    <row r="490">
      <c r="A490" s="93"/>
    </row>
    <row r="491">
      <c r="A491" s="93"/>
    </row>
    <row r="492">
      <c r="A492" s="93"/>
    </row>
    <row r="493">
      <c r="A493" s="93"/>
    </row>
    <row r="494">
      <c r="A494" s="93"/>
    </row>
    <row r="495">
      <c r="A495" s="93"/>
    </row>
    <row r="496">
      <c r="A496" s="93"/>
    </row>
    <row r="497">
      <c r="A497" s="93"/>
    </row>
    <row r="498">
      <c r="A498" s="93"/>
    </row>
    <row r="499">
      <c r="A499" s="93"/>
    </row>
    <row r="500">
      <c r="A500" s="93"/>
    </row>
    <row r="501">
      <c r="A501" s="93"/>
    </row>
    <row r="502">
      <c r="A502" s="93"/>
    </row>
    <row r="503">
      <c r="A503" s="93"/>
    </row>
    <row r="504">
      <c r="A504" s="93"/>
    </row>
    <row r="505">
      <c r="A505" s="93"/>
    </row>
    <row r="506">
      <c r="A506" s="93"/>
    </row>
    <row r="507">
      <c r="A507" s="93"/>
    </row>
    <row r="508">
      <c r="A508" s="93"/>
    </row>
    <row r="509">
      <c r="A509" s="93"/>
    </row>
    <row r="510">
      <c r="A510" s="93"/>
    </row>
    <row r="511">
      <c r="A511" s="93"/>
    </row>
    <row r="512">
      <c r="A512" s="93"/>
    </row>
    <row r="513">
      <c r="A513" s="93"/>
    </row>
    <row r="514">
      <c r="A514" s="93"/>
    </row>
    <row r="515">
      <c r="A515" s="93"/>
    </row>
    <row r="516">
      <c r="A516" s="93"/>
    </row>
    <row r="517">
      <c r="A517" s="93"/>
    </row>
    <row r="518">
      <c r="A518" s="93"/>
    </row>
    <row r="519">
      <c r="A519" s="93"/>
    </row>
    <row r="520">
      <c r="A520" s="93"/>
    </row>
    <row r="521">
      <c r="A521" s="93"/>
    </row>
    <row r="522">
      <c r="A522" s="93"/>
    </row>
    <row r="523">
      <c r="A523" s="93"/>
    </row>
    <row r="524">
      <c r="A524" s="93"/>
    </row>
    <row r="525">
      <c r="A525" s="93"/>
    </row>
    <row r="526">
      <c r="A526" s="93"/>
    </row>
    <row r="527">
      <c r="A527" s="93"/>
    </row>
    <row r="528">
      <c r="A528" s="93"/>
    </row>
    <row r="529">
      <c r="A529" s="93"/>
    </row>
    <row r="530">
      <c r="A530" s="93"/>
    </row>
    <row r="531">
      <c r="A531" s="93"/>
    </row>
    <row r="532">
      <c r="A532" s="93"/>
    </row>
    <row r="533">
      <c r="A533" s="93"/>
    </row>
    <row r="534">
      <c r="A534" s="93"/>
    </row>
    <row r="535">
      <c r="A535" s="93"/>
    </row>
    <row r="536">
      <c r="A536" s="93"/>
    </row>
    <row r="537">
      <c r="A537" s="93"/>
    </row>
    <row r="538">
      <c r="A538" s="93"/>
    </row>
    <row r="539">
      <c r="A539" s="93"/>
    </row>
    <row r="540">
      <c r="A540" s="93"/>
    </row>
    <row r="541">
      <c r="A541" s="93"/>
    </row>
    <row r="542">
      <c r="A542" s="93"/>
    </row>
    <row r="543">
      <c r="A543" s="93"/>
    </row>
    <row r="544">
      <c r="A544" s="93"/>
    </row>
    <row r="545">
      <c r="A545" s="93"/>
    </row>
    <row r="546">
      <c r="A546" s="93"/>
    </row>
    <row r="547">
      <c r="A547" s="93"/>
    </row>
    <row r="548">
      <c r="A548" s="93"/>
    </row>
    <row r="549">
      <c r="A549" s="93"/>
    </row>
    <row r="550">
      <c r="A550" s="93"/>
    </row>
    <row r="551">
      <c r="A551" s="93"/>
    </row>
    <row r="552">
      <c r="A552" s="93"/>
    </row>
    <row r="553">
      <c r="A553" s="93"/>
    </row>
    <row r="554">
      <c r="A554" s="93"/>
    </row>
    <row r="555">
      <c r="A555" s="93"/>
    </row>
    <row r="556">
      <c r="A556" s="93"/>
    </row>
    <row r="557">
      <c r="A557" s="93"/>
    </row>
    <row r="558">
      <c r="A558" s="93"/>
    </row>
    <row r="559">
      <c r="A559" s="93"/>
    </row>
    <row r="560">
      <c r="A560" s="93"/>
    </row>
    <row r="561">
      <c r="A561" s="93"/>
    </row>
    <row r="562">
      <c r="A562" s="93"/>
    </row>
    <row r="563">
      <c r="A563" s="93"/>
    </row>
    <row r="564">
      <c r="A564" s="93"/>
    </row>
    <row r="565">
      <c r="A565" s="93"/>
    </row>
    <row r="566">
      <c r="A566" s="93"/>
    </row>
    <row r="567">
      <c r="A567" s="93"/>
    </row>
    <row r="568">
      <c r="A568" s="93"/>
    </row>
    <row r="569">
      <c r="A569" s="93"/>
    </row>
    <row r="570">
      <c r="A570" s="93"/>
    </row>
    <row r="571">
      <c r="A571" s="93"/>
    </row>
    <row r="572">
      <c r="A572" s="93"/>
    </row>
    <row r="573">
      <c r="A573" s="93"/>
    </row>
    <row r="574">
      <c r="A574" s="93"/>
    </row>
    <row r="575">
      <c r="A575" s="93"/>
    </row>
    <row r="576">
      <c r="A576" s="93"/>
    </row>
    <row r="577">
      <c r="A577" s="93"/>
    </row>
    <row r="578">
      <c r="A578" s="93"/>
    </row>
    <row r="579">
      <c r="A579" s="93"/>
    </row>
    <row r="580">
      <c r="A580" s="93"/>
    </row>
    <row r="581">
      <c r="A581" s="93"/>
    </row>
    <row r="582">
      <c r="A582" s="93"/>
    </row>
    <row r="583">
      <c r="A583" s="93"/>
    </row>
    <row r="584">
      <c r="A584" s="93"/>
    </row>
    <row r="585">
      <c r="A585" s="93"/>
    </row>
    <row r="586">
      <c r="A586" s="93"/>
    </row>
    <row r="587">
      <c r="A587" s="93"/>
    </row>
    <row r="588">
      <c r="A588" s="93"/>
    </row>
    <row r="589">
      <c r="A589" s="93"/>
    </row>
    <row r="590">
      <c r="A590" s="93"/>
    </row>
    <row r="591">
      <c r="A591" s="93"/>
    </row>
    <row r="592">
      <c r="A592" s="93"/>
    </row>
    <row r="593">
      <c r="A593" s="93"/>
    </row>
    <row r="594">
      <c r="A594" s="93"/>
    </row>
    <row r="595">
      <c r="A595" s="93"/>
    </row>
    <row r="596">
      <c r="A596" s="93"/>
    </row>
    <row r="597">
      <c r="A597" s="93"/>
    </row>
    <row r="598">
      <c r="A598" s="93"/>
    </row>
    <row r="599">
      <c r="A599" s="93"/>
    </row>
    <row r="600">
      <c r="A600" s="93"/>
    </row>
    <row r="601">
      <c r="A601" s="93"/>
    </row>
    <row r="602">
      <c r="A602" s="93"/>
    </row>
    <row r="603">
      <c r="A603" s="93"/>
    </row>
    <row r="604">
      <c r="A604" s="93"/>
    </row>
    <row r="605">
      <c r="A605" s="93"/>
    </row>
    <row r="606">
      <c r="A606" s="93"/>
    </row>
    <row r="607">
      <c r="A607" s="93"/>
    </row>
    <row r="608">
      <c r="A608" s="93"/>
    </row>
    <row r="609">
      <c r="A609" s="93"/>
    </row>
    <row r="610">
      <c r="A610" s="93"/>
    </row>
    <row r="611">
      <c r="A611" s="93"/>
    </row>
    <row r="612">
      <c r="A612" s="93"/>
    </row>
    <row r="613">
      <c r="A613" s="93"/>
    </row>
    <row r="614">
      <c r="A614" s="93"/>
    </row>
    <row r="615">
      <c r="A615" s="93"/>
    </row>
    <row r="616">
      <c r="A616" s="93"/>
    </row>
    <row r="617">
      <c r="A617" s="93"/>
    </row>
    <row r="618">
      <c r="A618" s="93"/>
    </row>
    <row r="619">
      <c r="A619" s="93"/>
    </row>
    <row r="620">
      <c r="A620" s="93"/>
    </row>
    <row r="621">
      <c r="A621" s="93"/>
    </row>
    <row r="622">
      <c r="A622" s="93"/>
    </row>
    <row r="623">
      <c r="A623" s="93"/>
    </row>
    <row r="624">
      <c r="A624" s="93"/>
    </row>
    <row r="625">
      <c r="A625" s="93"/>
    </row>
    <row r="626">
      <c r="A626" s="93"/>
    </row>
    <row r="627">
      <c r="A627" s="93"/>
    </row>
    <row r="628">
      <c r="A628" s="93"/>
    </row>
    <row r="629">
      <c r="A629" s="93"/>
    </row>
    <row r="630">
      <c r="A630" s="93"/>
    </row>
    <row r="631">
      <c r="A631" s="93"/>
    </row>
    <row r="632">
      <c r="A632" s="93"/>
    </row>
    <row r="633">
      <c r="A633" s="93"/>
    </row>
    <row r="634">
      <c r="A634" s="93"/>
    </row>
    <row r="635">
      <c r="A635" s="93"/>
    </row>
    <row r="636">
      <c r="A636" s="93"/>
    </row>
    <row r="637">
      <c r="A637" s="93"/>
    </row>
    <row r="638">
      <c r="A638" s="93"/>
    </row>
    <row r="639">
      <c r="A639" s="93"/>
    </row>
    <row r="640">
      <c r="A640" s="93"/>
    </row>
    <row r="641">
      <c r="A641" s="93"/>
    </row>
    <row r="642">
      <c r="A642" s="93"/>
    </row>
    <row r="643">
      <c r="A643" s="93"/>
    </row>
    <row r="644">
      <c r="A644" s="93"/>
    </row>
    <row r="645">
      <c r="A645" s="93"/>
    </row>
    <row r="646">
      <c r="A646" s="93"/>
    </row>
    <row r="647">
      <c r="A647" s="93"/>
    </row>
    <row r="648">
      <c r="A648" s="93"/>
    </row>
    <row r="649">
      <c r="A649" s="93"/>
    </row>
    <row r="650">
      <c r="A650" s="93"/>
    </row>
    <row r="651">
      <c r="A651" s="93"/>
    </row>
    <row r="652">
      <c r="A652" s="93"/>
    </row>
    <row r="653">
      <c r="A653" s="93"/>
    </row>
    <row r="654">
      <c r="A654" s="93"/>
    </row>
    <row r="655">
      <c r="A655" s="93"/>
    </row>
    <row r="656">
      <c r="A656" s="93"/>
    </row>
    <row r="657">
      <c r="A657" s="93"/>
    </row>
    <row r="658">
      <c r="A658" s="93"/>
    </row>
    <row r="659">
      <c r="A659" s="93"/>
    </row>
    <row r="660">
      <c r="A660" s="93"/>
    </row>
    <row r="661">
      <c r="A661" s="93"/>
    </row>
    <row r="662">
      <c r="A662" s="93"/>
    </row>
    <row r="663">
      <c r="A663" s="93"/>
    </row>
    <row r="664">
      <c r="A664" s="93"/>
    </row>
    <row r="665">
      <c r="A665" s="93"/>
    </row>
    <row r="666">
      <c r="A666" s="93"/>
    </row>
    <row r="667">
      <c r="A667" s="93"/>
    </row>
    <row r="668">
      <c r="A668" s="93"/>
    </row>
    <row r="669">
      <c r="A669" s="93"/>
    </row>
    <row r="670">
      <c r="A670" s="93"/>
    </row>
    <row r="671">
      <c r="A671" s="93"/>
    </row>
    <row r="672">
      <c r="A672" s="93"/>
    </row>
    <row r="673">
      <c r="A673" s="93"/>
    </row>
    <row r="674">
      <c r="A674" s="93"/>
    </row>
    <row r="675">
      <c r="A675" s="93"/>
    </row>
    <row r="676">
      <c r="A676" s="93"/>
    </row>
    <row r="677">
      <c r="A677" s="93"/>
    </row>
    <row r="678">
      <c r="A678" s="93"/>
    </row>
    <row r="679">
      <c r="A679" s="93"/>
    </row>
    <row r="680">
      <c r="A680" s="93"/>
    </row>
    <row r="681">
      <c r="A681" s="93"/>
    </row>
    <row r="682">
      <c r="A682" s="93"/>
    </row>
    <row r="683">
      <c r="A683" s="93"/>
    </row>
    <row r="684">
      <c r="A684" s="93"/>
    </row>
    <row r="685">
      <c r="A685" s="93"/>
    </row>
    <row r="686">
      <c r="A686" s="93"/>
    </row>
    <row r="687">
      <c r="A687" s="93"/>
    </row>
    <row r="688">
      <c r="A688" s="93"/>
    </row>
    <row r="689">
      <c r="A689" s="93"/>
    </row>
    <row r="690">
      <c r="A690" s="93"/>
    </row>
    <row r="691">
      <c r="A691" s="93"/>
    </row>
    <row r="692">
      <c r="A692" s="93"/>
    </row>
    <row r="693">
      <c r="A693" s="93"/>
    </row>
    <row r="694">
      <c r="A694" s="93"/>
    </row>
    <row r="695">
      <c r="A695" s="93"/>
    </row>
    <row r="696">
      <c r="A696" s="93"/>
    </row>
    <row r="697">
      <c r="A697" s="93"/>
    </row>
    <row r="698">
      <c r="A698" s="93"/>
    </row>
    <row r="699">
      <c r="A699" s="93"/>
    </row>
    <row r="700">
      <c r="A700" s="93"/>
    </row>
    <row r="701">
      <c r="A701" s="93"/>
    </row>
    <row r="702">
      <c r="A702" s="93"/>
    </row>
    <row r="703">
      <c r="A703" s="93"/>
    </row>
    <row r="704">
      <c r="A704" s="93"/>
    </row>
    <row r="705">
      <c r="A705" s="93"/>
    </row>
    <row r="706">
      <c r="A706" s="93"/>
    </row>
    <row r="707">
      <c r="A707" s="93"/>
    </row>
    <row r="708">
      <c r="A708" s="93"/>
    </row>
    <row r="709">
      <c r="A709" s="93"/>
    </row>
    <row r="710">
      <c r="A710" s="93"/>
    </row>
    <row r="711">
      <c r="A711" s="93"/>
    </row>
    <row r="712">
      <c r="A712" s="93"/>
    </row>
    <row r="713">
      <c r="A713" s="93"/>
    </row>
    <row r="714">
      <c r="A714" s="93"/>
    </row>
    <row r="715">
      <c r="A715" s="93"/>
    </row>
    <row r="716">
      <c r="A716" s="93"/>
    </row>
    <row r="717">
      <c r="A717" s="93"/>
    </row>
    <row r="718">
      <c r="A718" s="93"/>
    </row>
    <row r="719">
      <c r="A719" s="93"/>
    </row>
    <row r="720">
      <c r="A720" s="93"/>
    </row>
    <row r="721">
      <c r="A721" s="93"/>
    </row>
    <row r="722">
      <c r="A722" s="93"/>
    </row>
    <row r="723">
      <c r="A723" s="93"/>
    </row>
    <row r="724">
      <c r="A724" s="93"/>
    </row>
    <row r="725">
      <c r="A725" s="93"/>
    </row>
    <row r="726">
      <c r="A726" s="93"/>
    </row>
    <row r="727">
      <c r="A727" s="93"/>
    </row>
    <row r="728">
      <c r="A728" s="93"/>
    </row>
    <row r="729">
      <c r="A729" s="93"/>
    </row>
    <row r="730">
      <c r="A730" s="93"/>
    </row>
    <row r="731">
      <c r="A731" s="93"/>
    </row>
    <row r="732">
      <c r="A732" s="93"/>
    </row>
    <row r="733">
      <c r="A733" s="93"/>
    </row>
    <row r="734">
      <c r="A734" s="93"/>
    </row>
    <row r="735">
      <c r="A735" s="93"/>
    </row>
    <row r="736">
      <c r="A736" s="93"/>
    </row>
    <row r="737">
      <c r="A737" s="93"/>
    </row>
    <row r="738">
      <c r="A738" s="93"/>
    </row>
    <row r="739">
      <c r="A739" s="93"/>
    </row>
    <row r="740">
      <c r="A740" s="93"/>
    </row>
    <row r="741">
      <c r="A741" s="93"/>
    </row>
    <row r="742">
      <c r="A742" s="93"/>
    </row>
    <row r="743">
      <c r="A743" s="93"/>
    </row>
    <row r="744">
      <c r="A744" s="93"/>
    </row>
    <row r="745">
      <c r="A745" s="93"/>
    </row>
    <row r="746">
      <c r="A746" s="93"/>
    </row>
    <row r="747">
      <c r="A747" s="93"/>
    </row>
    <row r="748">
      <c r="A748" s="93"/>
    </row>
    <row r="749">
      <c r="A749" s="93"/>
    </row>
    <row r="750">
      <c r="A750" s="93"/>
    </row>
    <row r="751">
      <c r="A751" s="93"/>
    </row>
    <row r="752">
      <c r="A752" s="93"/>
    </row>
    <row r="753">
      <c r="A753" s="93"/>
    </row>
    <row r="754">
      <c r="A754" s="93"/>
    </row>
    <row r="755">
      <c r="A755" s="93"/>
    </row>
    <row r="756">
      <c r="A756" s="93"/>
    </row>
    <row r="757">
      <c r="A757" s="93"/>
    </row>
    <row r="758">
      <c r="A758" s="93"/>
    </row>
    <row r="759">
      <c r="A759" s="93"/>
    </row>
    <row r="760">
      <c r="A760" s="93"/>
    </row>
    <row r="761">
      <c r="A761" s="93"/>
    </row>
    <row r="762">
      <c r="A762" s="93"/>
    </row>
    <row r="763">
      <c r="A763" s="93"/>
    </row>
    <row r="764">
      <c r="A764" s="93"/>
    </row>
    <row r="765">
      <c r="A765" s="93"/>
    </row>
    <row r="766">
      <c r="A766" s="93"/>
    </row>
    <row r="767">
      <c r="A767" s="93"/>
    </row>
    <row r="768">
      <c r="A768" s="93"/>
    </row>
    <row r="769">
      <c r="A769" s="93"/>
    </row>
    <row r="770">
      <c r="A770" s="93"/>
    </row>
    <row r="771">
      <c r="A771" s="93"/>
    </row>
    <row r="772">
      <c r="A772" s="93"/>
    </row>
    <row r="773">
      <c r="A773" s="93"/>
    </row>
    <row r="774">
      <c r="A774" s="93"/>
    </row>
    <row r="775">
      <c r="A775" s="93"/>
    </row>
    <row r="776">
      <c r="A776" s="93"/>
    </row>
    <row r="777">
      <c r="A777" s="93"/>
    </row>
    <row r="778">
      <c r="A778" s="93"/>
    </row>
    <row r="779">
      <c r="A779" s="93"/>
    </row>
    <row r="780">
      <c r="A780" s="93"/>
    </row>
    <row r="781">
      <c r="A781" s="93"/>
    </row>
    <row r="782">
      <c r="A782" s="93"/>
    </row>
    <row r="783">
      <c r="A783" s="93"/>
    </row>
    <row r="784">
      <c r="A784" s="93"/>
    </row>
    <row r="785">
      <c r="A785" s="93"/>
    </row>
    <row r="786">
      <c r="A786" s="93"/>
    </row>
    <row r="787">
      <c r="A787" s="93"/>
    </row>
    <row r="788">
      <c r="A788" s="93"/>
    </row>
    <row r="789">
      <c r="A789" s="93"/>
    </row>
    <row r="790">
      <c r="A790" s="93"/>
    </row>
    <row r="791">
      <c r="A791" s="93"/>
    </row>
    <row r="792">
      <c r="A792" s="93"/>
    </row>
    <row r="793">
      <c r="A793" s="93"/>
    </row>
    <row r="794">
      <c r="A794" s="93"/>
    </row>
    <row r="795">
      <c r="A795" s="93"/>
    </row>
    <row r="796">
      <c r="A796" s="93"/>
    </row>
    <row r="797">
      <c r="A797" s="93"/>
    </row>
    <row r="798">
      <c r="A798" s="93"/>
    </row>
    <row r="799">
      <c r="A799" s="93"/>
    </row>
    <row r="800">
      <c r="A800" s="93"/>
    </row>
    <row r="801">
      <c r="A801" s="93"/>
    </row>
    <row r="802">
      <c r="A802" s="93"/>
    </row>
    <row r="803">
      <c r="A803" s="93"/>
    </row>
    <row r="804">
      <c r="A804" s="93"/>
    </row>
    <row r="805">
      <c r="A805" s="93"/>
    </row>
    <row r="806">
      <c r="A806" s="93"/>
    </row>
    <row r="807">
      <c r="A807" s="93"/>
    </row>
    <row r="808">
      <c r="A808" s="93"/>
    </row>
    <row r="809">
      <c r="A809" s="93"/>
    </row>
    <row r="810">
      <c r="A810" s="93"/>
    </row>
    <row r="811">
      <c r="A811" s="93"/>
    </row>
    <row r="812">
      <c r="A812" s="93"/>
    </row>
    <row r="813">
      <c r="A813" s="93"/>
    </row>
    <row r="814">
      <c r="A814" s="93"/>
    </row>
    <row r="815">
      <c r="A815" s="93"/>
    </row>
    <row r="816">
      <c r="A816" s="93"/>
    </row>
    <row r="817">
      <c r="A817" s="93"/>
    </row>
    <row r="818">
      <c r="A818" s="93"/>
    </row>
    <row r="819">
      <c r="A819" s="93"/>
    </row>
    <row r="820">
      <c r="A820" s="93"/>
    </row>
    <row r="821">
      <c r="A821" s="93"/>
    </row>
    <row r="822">
      <c r="A822" s="93"/>
    </row>
    <row r="823">
      <c r="A823" s="93"/>
    </row>
    <row r="824">
      <c r="A824" s="93"/>
    </row>
    <row r="825">
      <c r="A825" s="93"/>
    </row>
    <row r="826">
      <c r="A826" s="93"/>
    </row>
    <row r="827">
      <c r="A827" s="93"/>
    </row>
    <row r="828">
      <c r="A828" s="93"/>
    </row>
    <row r="829">
      <c r="A829" s="93"/>
    </row>
    <row r="830">
      <c r="A830" s="93"/>
    </row>
    <row r="831">
      <c r="A831" s="93"/>
    </row>
    <row r="832">
      <c r="A832" s="93"/>
    </row>
    <row r="833">
      <c r="A833" s="93"/>
    </row>
    <row r="834">
      <c r="A834" s="93"/>
    </row>
    <row r="835">
      <c r="A835" s="93"/>
    </row>
    <row r="836">
      <c r="A836" s="93"/>
    </row>
    <row r="837">
      <c r="A837" s="93"/>
    </row>
    <row r="838">
      <c r="A838" s="93"/>
    </row>
    <row r="839">
      <c r="A839" s="93"/>
    </row>
    <row r="840">
      <c r="A840" s="93"/>
    </row>
    <row r="841">
      <c r="A841" s="93"/>
    </row>
    <row r="842">
      <c r="A842" s="93"/>
    </row>
    <row r="843">
      <c r="A843" s="93"/>
    </row>
    <row r="844">
      <c r="A844" s="93"/>
    </row>
    <row r="845">
      <c r="A845" s="93"/>
    </row>
    <row r="846">
      <c r="A846" s="93"/>
    </row>
    <row r="847">
      <c r="A847" s="93"/>
    </row>
    <row r="848">
      <c r="A848" s="93"/>
    </row>
    <row r="849">
      <c r="A849" s="93"/>
    </row>
    <row r="850">
      <c r="A850" s="93"/>
    </row>
    <row r="851">
      <c r="A851" s="93"/>
    </row>
    <row r="852">
      <c r="A852" s="93"/>
    </row>
    <row r="853">
      <c r="A853" s="93"/>
    </row>
    <row r="854">
      <c r="A854" s="93"/>
    </row>
    <row r="855">
      <c r="A855" s="93"/>
    </row>
    <row r="856">
      <c r="A856" s="93"/>
    </row>
    <row r="857">
      <c r="A857" s="93"/>
    </row>
    <row r="858">
      <c r="A858" s="93"/>
    </row>
    <row r="859">
      <c r="A859" s="93"/>
    </row>
    <row r="860">
      <c r="A860" s="93"/>
    </row>
    <row r="861">
      <c r="A861" s="93"/>
    </row>
    <row r="862">
      <c r="A862" s="93"/>
    </row>
    <row r="863">
      <c r="A863" s="93"/>
    </row>
    <row r="864">
      <c r="A864" s="93"/>
    </row>
    <row r="865">
      <c r="A865" s="93"/>
    </row>
    <row r="866">
      <c r="A866" s="93"/>
    </row>
    <row r="867">
      <c r="A867" s="93"/>
    </row>
    <row r="868">
      <c r="A868" s="93"/>
    </row>
    <row r="869">
      <c r="A869" s="93"/>
    </row>
    <row r="870">
      <c r="A870" s="93"/>
    </row>
    <row r="871">
      <c r="A871" s="93"/>
    </row>
    <row r="872">
      <c r="A872" s="93"/>
    </row>
    <row r="873">
      <c r="A873" s="93"/>
    </row>
    <row r="874">
      <c r="A874" s="93"/>
    </row>
    <row r="875">
      <c r="A875" s="93"/>
    </row>
    <row r="876">
      <c r="A876" s="93"/>
    </row>
    <row r="877">
      <c r="A877" s="93"/>
    </row>
    <row r="878">
      <c r="A878" s="93"/>
    </row>
    <row r="879">
      <c r="A879" s="93"/>
    </row>
    <row r="880">
      <c r="A880" s="93"/>
    </row>
    <row r="881">
      <c r="A881" s="93"/>
    </row>
    <row r="882">
      <c r="A882" s="93"/>
    </row>
    <row r="883">
      <c r="A883" s="93"/>
    </row>
    <row r="884">
      <c r="A884" s="93"/>
    </row>
    <row r="885">
      <c r="A885" s="93"/>
    </row>
    <row r="886">
      <c r="A886" s="93"/>
    </row>
    <row r="887">
      <c r="A887" s="93"/>
    </row>
    <row r="888">
      <c r="A888" s="93"/>
    </row>
    <row r="889">
      <c r="A889" s="93"/>
    </row>
    <row r="890">
      <c r="A890" s="93"/>
    </row>
    <row r="891">
      <c r="A891" s="93"/>
    </row>
    <row r="892">
      <c r="A892" s="93"/>
    </row>
    <row r="893">
      <c r="A893" s="93"/>
    </row>
    <row r="894">
      <c r="A894" s="93"/>
    </row>
    <row r="895">
      <c r="A895" s="93"/>
    </row>
    <row r="896">
      <c r="A896" s="93"/>
    </row>
    <row r="897">
      <c r="A897" s="93"/>
    </row>
    <row r="898">
      <c r="A898" s="93"/>
    </row>
    <row r="899">
      <c r="A899" s="93"/>
    </row>
    <row r="900">
      <c r="A900" s="93"/>
    </row>
    <row r="901">
      <c r="A901" s="93"/>
    </row>
    <row r="902">
      <c r="A902" s="93"/>
    </row>
    <row r="903">
      <c r="A903" s="93"/>
    </row>
    <row r="904">
      <c r="A904" s="93"/>
    </row>
    <row r="905">
      <c r="A905" s="93"/>
    </row>
    <row r="906">
      <c r="A906" s="93"/>
    </row>
    <row r="907">
      <c r="A907" s="93"/>
    </row>
    <row r="908">
      <c r="A908" s="93"/>
    </row>
    <row r="909">
      <c r="A909" s="93"/>
    </row>
    <row r="910">
      <c r="A910" s="93"/>
    </row>
    <row r="911">
      <c r="A911" s="93"/>
    </row>
    <row r="912">
      <c r="A912" s="93"/>
    </row>
    <row r="913">
      <c r="A913" s="93"/>
    </row>
    <row r="914">
      <c r="A914" s="93"/>
    </row>
    <row r="915">
      <c r="A915" s="93"/>
    </row>
    <row r="916">
      <c r="A916" s="93"/>
    </row>
    <row r="917">
      <c r="A917" s="93"/>
    </row>
    <row r="918">
      <c r="A918" s="93"/>
    </row>
    <row r="919">
      <c r="A919" s="93"/>
    </row>
    <row r="920">
      <c r="A920" s="93"/>
    </row>
    <row r="921">
      <c r="A921" s="93"/>
    </row>
    <row r="922">
      <c r="A922" s="93"/>
    </row>
    <row r="923">
      <c r="A923" s="93"/>
    </row>
    <row r="924">
      <c r="A924" s="93"/>
    </row>
    <row r="925">
      <c r="A925" s="93"/>
    </row>
    <row r="926">
      <c r="A926" s="93"/>
    </row>
    <row r="927">
      <c r="A927" s="93"/>
    </row>
    <row r="928">
      <c r="A928" s="93"/>
    </row>
    <row r="929">
      <c r="A929" s="93"/>
    </row>
    <row r="930">
      <c r="A930" s="93"/>
    </row>
    <row r="931">
      <c r="A931" s="93"/>
    </row>
    <row r="932">
      <c r="A932" s="93"/>
    </row>
    <row r="933">
      <c r="A933" s="93"/>
    </row>
    <row r="934">
      <c r="A934" s="93"/>
    </row>
    <row r="935">
      <c r="A935" s="93"/>
    </row>
    <row r="936">
      <c r="A936" s="93"/>
    </row>
    <row r="937">
      <c r="A937" s="93"/>
    </row>
    <row r="938">
      <c r="A938" s="93"/>
    </row>
    <row r="939">
      <c r="A939" s="93"/>
    </row>
    <row r="940">
      <c r="A940" s="93"/>
    </row>
    <row r="941">
      <c r="A941" s="93"/>
    </row>
    <row r="942">
      <c r="A942" s="93"/>
    </row>
    <row r="943">
      <c r="A943" s="93"/>
    </row>
    <row r="944">
      <c r="A944" s="93"/>
    </row>
    <row r="945">
      <c r="A945" s="93"/>
    </row>
    <row r="946">
      <c r="A946" s="93"/>
    </row>
    <row r="947">
      <c r="A947" s="93"/>
    </row>
    <row r="948">
      <c r="A948" s="93"/>
    </row>
    <row r="949">
      <c r="A949" s="93"/>
    </row>
    <row r="950">
      <c r="A950" s="93"/>
    </row>
    <row r="951">
      <c r="A951" s="93"/>
    </row>
    <row r="952">
      <c r="A952" s="93"/>
    </row>
    <row r="953">
      <c r="A953" s="93"/>
    </row>
    <row r="954">
      <c r="A954" s="93"/>
    </row>
    <row r="955">
      <c r="A955" s="93"/>
    </row>
    <row r="956">
      <c r="A956" s="93"/>
    </row>
    <row r="957">
      <c r="A957" s="93"/>
    </row>
    <row r="958">
      <c r="A958" s="93"/>
    </row>
    <row r="959">
      <c r="A959" s="93"/>
    </row>
    <row r="960">
      <c r="A960" s="93"/>
    </row>
    <row r="961">
      <c r="A961" s="93"/>
    </row>
    <row r="962">
      <c r="A962" s="93"/>
    </row>
    <row r="963">
      <c r="A963" s="93"/>
    </row>
    <row r="964">
      <c r="A964" s="93"/>
    </row>
    <row r="965">
      <c r="A965" s="93"/>
    </row>
    <row r="966">
      <c r="A966" s="93"/>
    </row>
    <row r="967">
      <c r="A967" s="93"/>
    </row>
    <row r="968">
      <c r="A968" s="93"/>
    </row>
    <row r="969">
      <c r="A969" s="93"/>
    </row>
    <row r="970">
      <c r="A970" s="93"/>
    </row>
    <row r="971">
      <c r="A971" s="93"/>
    </row>
    <row r="972">
      <c r="A972" s="93"/>
    </row>
    <row r="973">
      <c r="A973" s="93"/>
    </row>
    <row r="974">
      <c r="A974" s="93"/>
    </row>
    <row r="975">
      <c r="A975" s="93"/>
    </row>
    <row r="976">
      <c r="A976" s="93"/>
    </row>
    <row r="977">
      <c r="A977" s="93"/>
    </row>
    <row r="978">
      <c r="A978" s="93"/>
    </row>
    <row r="979">
      <c r="A979" s="93"/>
    </row>
    <row r="980">
      <c r="A980" s="93"/>
    </row>
    <row r="981">
      <c r="A981" s="93"/>
    </row>
    <row r="982">
      <c r="A982" s="93"/>
    </row>
    <row r="983">
      <c r="A983" s="93"/>
    </row>
    <row r="984">
      <c r="A984" s="93"/>
    </row>
    <row r="985">
      <c r="A985" s="93"/>
    </row>
    <row r="986">
      <c r="A986" s="93"/>
    </row>
    <row r="987">
      <c r="A987" s="93"/>
    </row>
    <row r="988">
      <c r="A988" s="93"/>
    </row>
    <row r="989">
      <c r="A989" s="93"/>
    </row>
    <row r="990">
      <c r="A990" s="93"/>
    </row>
    <row r="991">
      <c r="A991" s="93"/>
    </row>
    <row r="992">
      <c r="A992" s="93"/>
    </row>
    <row r="993">
      <c r="A993" s="93"/>
    </row>
    <row r="994">
      <c r="A994" s="93"/>
    </row>
    <row r="995">
      <c r="A995" s="93"/>
    </row>
    <row r="996">
      <c r="A996" s="93"/>
    </row>
    <row r="997">
      <c r="A997" s="93"/>
    </row>
    <row r="998">
      <c r="A998" s="93"/>
    </row>
    <row r="999">
      <c r="A999" s="93"/>
    </row>
    <row r="1000">
      <c r="A1000" s="93"/>
    </row>
    <row r="1001">
      <c r="A1001" s="93"/>
    </row>
    <row r="1002">
      <c r="A1002" s="93"/>
    </row>
    <row r="1003">
      <c r="A1003" s="93"/>
    </row>
    <row r="1004">
      <c r="A1004" s="93"/>
    </row>
    <row r="1005">
      <c r="A1005" s="93"/>
    </row>
    <row r="1006">
      <c r="A1006" s="93"/>
    </row>
    <row r="1007">
      <c r="A1007" s="93"/>
    </row>
    <row r="1008">
      <c r="A1008" s="93"/>
    </row>
    <row r="1009">
      <c r="A1009" s="93"/>
    </row>
    <row r="1010">
      <c r="A1010" s="93"/>
    </row>
    <row r="1011">
      <c r="A1011" s="93"/>
    </row>
    <row r="1012">
      <c r="A1012" s="93"/>
    </row>
    <row r="1013">
      <c r="A1013" s="93"/>
    </row>
    <row r="1014">
      <c r="A1014" s="93"/>
    </row>
    <row r="1015">
      <c r="A1015" s="93"/>
    </row>
    <row r="1016">
      <c r="A1016" s="93"/>
    </row>
    <row r="1017">
      <c r="A1017" s="93"/>
    </row>
    <row r="1018">
      <c r="A1018" s="93"/>
    </row>
    <row r="1019">
      <c r="A1019" s="93"/>
    </row>
    <row r="1020">
      <c r="A1020" s="93"/>
    </row>
    <row r="1021">
      <c r="A1021" s="93"/>
    </row>
    <row r="1022">
      <c r="A1022" s="93"/>
    </row>
    <row r="1023">
      <c r="A1023" s="93"/>
    </row>
    <row r="1024">
      <c r="A1024" s="93"/>
    </row>
    <row r="1025">
      <c r="A1025" s="93"/>
    </row>
    <row r="1026">
      <c r="A1026" s="93"/>
    </row>
    <row r="1027">
      <c r="A1027" s="93"/>
    </row>
    <row r="1028">
      <c r="A1028" s="93"/>
    </row>
    <row r="1029">
      <c r="A1029" s="93"/>
    </row>
    <row r="1030">
      <c r="A1030" s="93"/>
    </row>
    <row r="1031">
      <c r="A1031" s="93"/>
    </row>
    <row r="1032">
      <c r="A1032" s="93"/>
    </row>
    <row r="1033">
      <c r="A1033" s="93"/>
    </row>
    <row r="1034">
      <c r="A1034" s="93"/>
    </row>
    <row r="1035">
      <c r="A1035" s="93"/>
    </row>
    <row r="1036">
      <c r="A1036" s="93"/>
    </row>
    <row r="1037">
      <c r="A1037" s="93"/>
    </row>
    <row r="1038">
      <c r="A1038" s="93"/>
    </row>
    <row r="1039">
      <c r="A1039" s="93"/>
    </row>
    <row r="1040">
      <c r="A1040" s="93"/>
    </row>
    <row r="1041">
      <c r="A1041" s="93"/>
    </row>
    <row r="1042">
      <c r="A1042" s="93"/>
    </row>
    <row r="1043">
      <c r="A1043" s="93"/>
    </row>
    <row r="1044">
      <c r="A1044" s="93"/>
    </row>
    <row r="1045">
      <c r="A1045" s="93"/>
    </row>
    <row r="1046">
      <c r="A1046" s="93"/>
    </row>
    <row r="1047">
      <c r="A1047" s="93"/>
    </row>
    <row r="1048">
      <c r="A1048" s="93"/>
    </row>
    <row r="1049">
      <c r="A1049" s="93"/>
    </row>
    <row r="1050">
      <c r="A1050" s="93"/>
    </row>
    <row r="1051">
      <c r="A1051" s="93"/>
    </row>
    <row r="1052">
      <c r="A1052" s="93"/>
    </row>
    <row r="1053">
      <c r="A1053" s="93"/>
    </row>
    <row r="1054">
      <c r="A1054" s="93"/>
    </row>
    <row r="1055">
      <c r="A1055" s="93"/>
    </row>
    <row r="1056">
      <c r="A1056" s="93"/>
    </row>
    <row r="1057">
      <c r="A1057" s="93"/>
    </row>
    <row r="1058">
      <c r="A1058" s="93"/>
    </row>
    <row r="1059">
      <c r="A1059" s="93"/>
    </row>
    <row r="1060">
      <c r="A1060" s="93"/>
    </row>
    <row r="1061">
      <c r="A1061" s="93"/>
    </row>
    <row r="1062">
      <c r="A1062" s="93"/>
    </row>
    <row r="1063">
      <c r="A1063" s="93"/>
    </row>
    <row r="1064">
      <c r="A1064" s="93"/>
    </row>
    <row r="1065">
      <c r="A1065" s="93"/>
    </row>
    <row r="1066">
      <c r="A1066" s="93"/>
    </row>
    <row r="1067">
      <c r="A1067" s="93"/>
    </row>
    <row r="1068">
      <c r="A1068" s="93"/>
    </row>
    <row r="1069">
      <c r="A1069" s="93"/>
    </row>
    <row r="1070">
      <c r="A1070" s="93"/>
    </row>
    <row r="1071">
      <c r="A1071" s="93"/>
    </row>
    <row r="1072">
      <c r="A1072" s="93"/>
    </row>
    <row r="1073">
      <c r="A1073" s="93"/>
    </row>
    <row r="1074">
      <c r="A1074" s="93"/>
    </row>
    <row r="1075">
      <c r="A1075" s="93"/>
    </row>
    <row r="1076">
      <c r="A1076" s="93"/>
    </row>
    <row r="1077">
      <c r="A1077" s="93"/>
    </row>
    <row r="1078">
      <c r="A1078" s="93"/>
    </row>
    <row r="1079">
      <c r="A1079" s="93"/>
    </row>
    <row r="1080">
      <c r="A1080" s="93"/>
    </row>
    <row r="1081">
      <c r="A1081" s="93"/>
    </row>
    <row r="1082">
      <c r="A1082" s="93"/>
    </row>
    <row r="1083">
      <c r="A1083" s="93"/>
    </row>
    <row r="1084">
      <c r="A1084" s="93"/>
    </row>
    <row r="1085">
      <c r="A1085" s="93"/>
    </row>
    <row r="1086">
      <c r="A1086" s="93"/>
    </row>
    <row r="1087">
      <c r="A1087" s="93"/>
    </row>
    <row r="1088">
      <c r="A1088" s="93"/>
    </row>
    <row r="1089">
      <c r="A1089" s="93"/>
    </row>
    <row r="1090">
      <c r="A1090" s="93"/>
    </row>
    <row r="1091">
      <c r="A1091" s="93"/>
    </row>
    <row r="1092">
      <c r="A1092" s="93"/>
    </row>
    <row r="1093">
      <c r="A1093" s="93"/>
    </row>
    <row r="1094">
      <c r="A1094" s="93"/>
    </row>
    <row r="1095">
      <c r="A1095" s="93"/>
    </row>
    <row r="1096">
      <c r="A1096" s="9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s>
  <drawing r:id="rId35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94" t="s">
        <v>1329</v>
      </c>
      <c r="B1" s="94" t="s">
        <v>35</v>
      </c>
      <c r="C1" s="94" t="s">
        <v>1330</v>
      </c>
      <c r="D1" s="94" t="s">
        <v>1331</v>
      </c>
      <c r="E1" s="94" t="s">
        <v>1332</v>
      </c>
      <c r="F1" s="94" t="s">
        <v>1333</v>
      </c>
      <c r="G1" s="95" t="s">
        <v>47</v>
      </c>
      <c r="H1" s="94" t="s">
        <v>48</v>
      </c>
      <c r="I1" s="95" t="s">
        <v>1334</v>
      </c>
      <c r="J1" s="94" t="s">
        <v>1335</v>
      </c>
      <c r="K1" s="94" t="s">
        <v>1336</v>
      </c>
      <c r="L1" s="94" t="s">
        <v>1337</v>
      </c>
      <c r="M1" s="94" t="s">
        <v>1338</v>
      </c>
      <c r="N1" s="94" t="s">
        <v>1339</v>
      </c>
      <c r="O1" s="94" t="s">
        <v>1340</v>
      </c>
      <c r="P1" s="94" t="s">
        <v>1341</v>
      </c>
      <c r="Q1" s="94" t="s">
        <v>1342</v>
      </c>
      <c r="R1" s="96" t="s">
        <v>53</v>
      </c>
      <c r="S1" s="94" t="s">
        <v>1343</v>
      </c>
      <c r="T1" s="94" t="s">
        <v>1344</v>
      </c>
      <c r="U1" s="94" t="s">
        <v>54</v>
      </c>
      <c r="V1" s="97" t="s">
        <v>1345</v>
      </c>
      <c r="W1" s="97" t="s">
        <v>1346</v>
      </c>
      <c r="X1" s="97" t="s">
        <v>1347</v>
      </c>
      <c r="Y1" s="97" t="s">
        <v>55</v>
      </c>
      <c r="Z1" s="97" t="s">
        <v>1346</v>
      </c>
      <c r="AA1" s="97" t="s">
        <v>1348</v>
      </c>
      <c r="AB1" s="97" t="s">
        <v>67</v>
      </c>
      <c r="AC1" s="94" t="s">
        <v>68</v>
      </c>
      <c r="AD1" s="98" t="s">
        <v>69</v>
      </c>
      <c r="AE1" s="99" t="s">
        <v>1349</v>
      </c>
      <c r="AF1" s="94" t="s">
        <v>1350</v>
      </c>
      <c r="AG1" s="94" t="s">
        <v>1351</v>
      </c>
      <c r="AH1" s="100" t="s">
        <v>1352</v>
      </c>
      <c r="AI1" s="101" t="s">
        <v>1353</v>
      </c>
      <c r="AJ1" s="101" t="s">
        <v>1354</v>
      </c>
      <c r="AK1" s="101" t="s">
        <v>1355</v>
      </c>
      <c r="AL1" s="101" t="s">
        <v>1356</v>
      </c>
      <c r="AM1" s="101" t="s">
        <v>1337</v>
      </c>
      <c r="AN1" s="101" t="s">
        <v>1357</v>
      </c>
      <c r="AO1" s="101" t="s">
        <v>1358</v>
      </c>
      <c r="AP1" s="101" t="s">
        <v>1359</v>
      </c>
      <c r="AQ1" s="102" t="s">
        <v>1360</v>
      </c>
      <c r="AR1" s="103" t="s">
        <v>1361</v>
      </c>
      <c r="AS1" s="104" t="s">
        <v>1362</v>
      </c>
      <c r="AT1" s="105"/>
      <c r="AU1" s="105"/>
      <c r="AV1" s="105"/>
      <c r="AW1" s="105"/>
      <c r="AX1" s="105"/>
      <c r="AY1" s="105"/>
      <c r="AZ1" s="105"/>
      <c r="BA1" s="105"/>
      <c r="BB1" s="105"/>
      <c r="BC1" s="105"/>
      <c r="BD1" s="105"/>
      <c r="BE1" s="105"/>
      <c r="BF1" s="105"/>
    </row>
    <row r="2">
      <c r="A2" s="106">
        <v>1.0</v>
      </c>
      <c r="B2" s="106" t="s">
        <v>2</v>
      </c>
      <c r="C2" s="106" t="s">
        <v>1363</v>
      </c>
      <c r="D2" s="4" t="s">
        <v>80</v>
      </c>
      <c r="E2" s="4" t="s">
        <v>81</v>
      </c>
      <c r="F2" s="107">
        <v>44922.0</v>
      </c>
      <c r="G2" s="108">
        <v>44931.0</v>
      </c>
      <c r="H2" s="109"/>
      <c r="I2" s="109">
        <v>44936.0</v>
      </c>
      <c r="J2" s="4">
        <v>20.5</v>
      </c>
      <c r="K2" s="110">
        <v>327.52</v>
      </c>
      <c r="L2" s="111">
        <f t="shared" ref="L2:L16" si="1">K2*J2</f>
        <v>6714.16</v>
      </c>
      <c r="M2" s="112" t="s">
        <v>1364</v>
      </c>
      <c r="N2" s="113">
        <v>17.55</v>
      </c>
      <c r="O2" s="110">
        <f t="shared" ref="O2:O16" si="2">K2*N2</f>
        <v>5747.976</v>
      </c>
      <c r="P2" s="110">
        <f>100000-O2</f>
        <v>94252.024</v>
      </c>
      <c r="Q2" s="113" t="s">
        <v>2</v>
      </c>
      <c r="R2" s="114">
        <v>0.316</v>
      </c>
      <c r="S2" s="114"/>
      <c r="T2" s="112" t="s">
        <v>1365</v>
      </c>
      <c r="U2" s="115">
        <f t="shared" ref="U2:U16" si="3">N2*R2*(44.01/12.011)</f>
        <v>20.32059429</v>
      </c>
      <c r="V2" s="116">
        <f t="shared" ref="V2:V80" si="4">IF(D2="AECN",0.68,"ERROR")</f>
        <v>0.68</v>
      </c>
      <c r="W2" s="116">
        <f t="shared" ref="W2:W80" si="5">IF(D2="AECN",0.2,"ERROR")</f>
        <v>0.2</v>
      </c>
      <c r="X2" s="117">
        <f t="shared" ref="X2:X21" si="6">(0.1738*((N2/V2)*W2))/1000</f>
        <v>0.0008971147059</v>
      </c>
      <c r="Y2" s="117">
        <f t="shared" ref="Y2:Y21" si="7">IF(D2="AECN",(140.5*N2)/1000,ERROR)</f>
        <v>2.465775</v>
      </c>
      <c r="Z2" s="118">
        <f t="shared" ref="Z2:Z80" si="8">IF(D2="AECN",2030,"ERROR")</f>
        <v>2030</v>
      </c>
      <c r="AA2" s="117">
        <f t="shared" ref="AA2:AA21" si="9">(0.1046*N2*Z2)/1000</f>
        <v>3.7265319</v>
      </c>
      <c r="AB2" s="117">
        <f t="shared" ref="AB2:AB21" si="10">(0.7205*N2)/1000</f>
        <v>0.012644775</v>
      </c>
      <c r="AC2" s="117">
        <f t="shared" ref="AC2:AC80" si="11">SUM(AA2:AB2,Y2,X2)</f>
        <v>6.20584879</v>
      </c>
      <c r="AD2" s="117">
        <f t="shared" ref="AD2:AD80" si="12">U2-AC2</f>
        <v>14.1147455</v>
      </c>
      <c r="AE2" s="119">
        <f>(1619+5478+3531+4765)/1000</f>
        <v>15.393</v>
      </c>
      <c r="AF2" s="120">
        <f t="shared" ref="AF2:AF29" si="13">(AE2-AD2)/AD2</f>
        <v>0.09056164004</v>
      </c>
      <c r="AG2" s="118">
        <f>IF(T2="verified",AE2,AD2)</f>
        <v>15.393</v>
      </c>
      <c r="AH2" s="121"/>
      <c r="AI2" s="110"/>
      <c r="AJ2" s="110"/>
      <c r="AK2" s="110"/>
      <c r="AL2" s="110"/>
      <c r="AM2" s="110"/>
      <c r="AN2" s="110"/>
      <c r="AO2" s="110"/>
      <c r="AP2" s="110"/>
      <c r="AQ2" s="121"/>
      <c r="AR2" s="1" t="s">
        <v>1366</v>
      </c>
      <c r="AS2" s="87">
        <f t="shared" ref="AS2:AS19" si="14">AE2/N2</f>
        <v>0.8770940171</v>
      </c>
    </row>
    <row r="3">
      <c r="A3" s="106">
        <v>2.0</v>
      </c>
      <c r="B3" s="106" t="s">
        <v>1367</v>
      </c>
      <c r="C3" s="106" t="s">
        <v>1368</v>
      </c>
      <c r="D3" s="4" t="s">
        <v>80</v>
      </c>
      <c r="E3" s="4" t="s">
        <v>81</v>
      </c>
      <c r="F3" s="107">
        <v>44929.0</v>
      </c>
      <c r="G3" s="108">
        <v>44935.0</v>
      </c>
      <c r="H3" s="109"/>
      <c r="I3" s="109">
        <v>44951.0</v>
      </c>
      <c r="J3" s="4">
        <v>20.5</v>
      </c>
      <c r="K3" s="110">
        <v>327.52</v>
      </c>
      <c r="L3" s="111">
        <f t="shared" si="1"/>
        <v>6714.16</v>
      </c>
      <c r="M3" s="112" t="s">
        <v>1364</v>
      </c>
      <c r="N3" s="113">
        <v>18.57</v>
      </c>
      <c r="O3" s="110">
        <f t="shared" si="2"/>
        <v>6082.0464</v>
      </c>
      <c r="P3" s="110">
        <f t="shared" ref="P3:P12" si="15">P2-O3</f>
        <v>88169.9776</v>
      </c>
      <c r="Q3" s="113" t="s">
        <v>1367</v>
      </c>
      <c r="R3" s="114">
        <v>0.316</v>
      </c>
      <c r="S3" s="114"/>
      <c r="T3" s="112" t="s">
        <v>1365</v>
      </c>
      <c r="U3" s="115">
        <f t="shared" si="3"/>
        <v>21.50162028</v>
      </c>
      <c r="V3" s="116">
        <f t="shared" si="4"/>
        <v>0.68</v>
      </c>
      <c r="W3" s="116">
        <f t="shared" si="5"/>
        <v>0.2</v>
      </c>
      <c r="X3" s="117">
        <f t="shared" si="6"/>
        <v>0.0009492547059</v>
      </c>
      <c r="Y3" s="117">
        <f t="shared" si="7"/>
        <v>2.609085</v>
      </c>
      <c r="Z3" s="118">
        <f t="shared" si="8"/>
        <v>2030</v>
      </c>
      <c r="AA3" s="117">
        <f t="shared" si="9"/>
        <v>3.94311666</v>
      </c>
      <c r="AB3" s="117">
        <f t="shared" si="10"/>
        <v>0.013379685</v>
      </c>
      <c r="AC3" s="117">
        <f t="shared" si="11"/>
        <v>6.5665306</v>
      </c>
      <c r="AD3" s="117">
        <f t="shared" si="12"/>
        <v>14.93508968</v>
      </c>
      <c r="AE3" s="122">
        <f>13724/1000</f>
        <v>13.724</v>
      </c>
      <c r="AF3" s="120">
        <f t="shared" si="13"/>
        <v>-0.08109021824</v>
      </c>
      <c r="AG3" s="115">
        <f t="shared" ref="AG3:AG22" si="16">IF(T3="verified",IFERROR(AG2+AE3,AG2), IFERROR(AG2+AD3,AG2))</f>
        <v>29.117</v>
      </c>
      <c r="AH3" s="123"/>
      <c r="AI3" s="124"/>
      <c r="AJ3" s="124"/>
      <c r="AK3" s="124"/>
      <c r="AL3" s="124"/>
      <c r="AM3" s="124"/>
      <c r="AN3" s="124"/>
      <c r="AO3" s="124"/>
      <c r="AP3" s="124"/>
      <c r="AQ3" s="123"/>
      <c r="AR3" s="1" t="s">
        <v>1369</v>
      </c>
      <c r="AS3" s="87">
        <f t="shared" si="14"/>
        <v>0.7390414647</v>
      </c>
    </row>
    <row r="4">
      <c r="A4" s="106">
        <v>3.0</v>
      </c>
      <c r="B4" s="106" t="s">
        <v>1370</v>
      </c>
      <c r="C4" s="106" t="s">
        <v>1363</v>
      </c>
      <c r="D4" s="4" t="s">
        <v>80</v>
      </c>
      <c r="E4" s="4" t="s">
        <v>81</v>
      </c>
      <c r="F4" s="107">
        <v>44936.0</v>
      </c>
      <c r="G4" s="108">
        <v>44946.0</v>
      </c>
      <c r="H4" s="109"/>
      <c r="I4" s="109">
        <v>44952.0</v>
      </c>
      <c r="J4" s="4">
        <v>20.5</v>
      </c>
      <c r="K4" s="110">
        <v>327.52</v>
      </c>
      <c r="L4" s="111">
        <f t="shared" si="1"/>
        <v>6714.16</v>
      </c>
      <c r="M4" s="112" t="s">
        <v>1364</v>
      </c>
      <c r="N4" s="113">
        <v>19.77</v>
      </c>
      <c r="O4" s="110">
        <f t="shared" si="2"/>
        <v>6475.0704</v>
      </c>
      <c r="P4" s="110">
        <f t="shared" si="15"/>
        <v>81694.9072</v>
      </c>
      <c r="Q4" s="113" t="s">
        <v>1370</v>
      </c>
      <c r="R4" s="114">
        <v>0.316</v>
      </c>
      <c r="S4" s="114"/>
      <c r="T4" s="112" t="s">
        <v>1365</v>
      </c>
      <c r="U4" s="115">
        <f t="shared" si="3"/>
        <v>22.89106263</v>
      </c>
      <c r="V4" s="116">
        <f t="shared" si="4"/>
        <v>0.68</v>
      </c>
      <c r="W4" s="116">
        <f t="shared" si="5"/>
        <v>0.2</v>
      </c>
      <c r="X4" s="117">
        <f t="shared" si="6"/>
        <v>0.001010595882</v>
      </c>
      <c r="Y4" s="117">
        <f t="shared" si="7"/>
        <v>2.777685</v>
      </c>
      <c r="Z4" s="118">
        <f t="shared" si="8"/>
        <v>2030</v>
      </c>
      <c r="AA4" s="117">
        <f t="shared" si="9"/>
        <v>4.19792226</v>
      </c>
      <c r="AB4" s="117">
        <f t="shared" si="10"/>
        <v>0.014244285</v>
      </c>
      <c r="AC4" s="117">
        <f t="shared" si="11"/>
        <v>6.990862141</v>
      </c>
      <c r="AD4" s="117">
        <f t="shared" si="12"/>
        <v>15.90020049</v>
      </c>
      <c r="AE4" s="122">
        <f>11626/1000</f>
        <v>11.626</v>
      </c>
      <c r="AF4" s="120">
        <f t="shared" si="13"/>
        <v>-0.2688142511</v>
      </c>
      <c r="AG4" s="115">
        <f t="shared" si="16"/>
        <v>40.743</v>
      </c>
      <c r="AH4" s="125" t="s">
        <v>1371</v>
      </c>
      <c r="AI4" s="124"/>
      <c r="AJ4" s="126"/>
      <c r="AK4" s="124"/>
      <c r="AL4" s="124"/>
      <c r="AM4" s="124"/>
      <c r="AN4" s="124"/>
      <c r="AO4" s="124"/>
      <c r="AP4" s="124"/>
      <c r="AQ4" s="123"/>
      <c r="AR4" s="1" t="s">
        <v>1372</v>
      </c>
      <c r="AS4" s="87">
        <f t="shared" si="14"/>
        <v>0.5880627213</v>
      </c>
    </row>
    <row r="5">
      <c r="A5" s="106">
        <v>4.0</v>
      </c>
      <c r="B5" s="106" t="s">
        <v>1373</v>
      </c>
      <c r="C5" s="106" t="s">
        <v>1374</v>
      </c>
      <c r="D5" s="4" t="s">
        <v>80</v>
      </c>
      <c r="E5" s="4" t="s">
        <v>81</v>
      </c>
      <c r="F5" s="107">
        <v>44936.0</v>
      </c>
      <c r="G5" s="108">
        <v>44966.0</v>
      </c>
      <c r="H5" s="109"/>
      <c r="I5" s="109">
        <v>44972.0</v>
      </c>
      <c r="J5" s="4">
        <v>20.5</v>
      </c>
      <c r="K5" s="110">
        <v>327.52</v>
      </c>
      <c r="L5" s="111">
        <f t="shared" si="1"/>
        <v>6714.16</v>
      </c>
      <c r="M5" s="112" t="s">
        <v>1364</v>
      </c>
      <c r="N5" s="113">
        <v>20.31</v>
      </c>
      <c r="O5" s="110">
        <f t="shared" si="2"/>
        <v>6651.9312</v>
      </c>
      <c r="P5" s="110">
        <f t="shared" si="15"/>
        <v>75042.976</v>
      </c>
      <c r="Q5" s="113" t="s">
        <v>1373</v>
      </c>
      <c r="R5" s="127">
        <v>0.429</v>
      </c>
      <c r="S5" s="127">
        <v>0.233</v>
      </c>
      <c r="T5" s="112" t="s">
        <v>1365</v>
      </c>
      <c r="U5" s="115">
        <f t="shared" si="3"/>
        <v>31.92562567</v>
      </c>
      <c r="V5" s="116">
        <f t="shared" si="4"/>
        <v>0.68</v>
      </c>
      <c r="W5" s="116">
        <f t="shared" si="5"/>
        <v>0.2</v>
      </c>
      <c r="X5" s="117">
        <f t="shared" si="6"/>
        <v>0.001038199412</v>
      </c>
      <c r="Y5" s="117">
        <f t="shared" si="7"/>
        <v>2.853555</v>
      </c>
      <c r="Z5" s="118">
        <f t="shared" si="8"/>
        <v>2030</v>
      </c>
      <c r="AA5" s="117">
        <f t="shared" si="9"/>
        <v>4.31258478</v>
      </c>
      <c r="AB5" s="117">
        <f t="shared" si="10"/>
        <v>0.014633355</v>
      </c>
      <c r="AC5" s="117">
        <f t="shared" si="11"/>
        <v>7.181811334</v>
      </c>
      <c r="AD5" s="117">
        <f t="shared" si="12"/>
        <v>24.74381433</v>
      </c>
      <c r="AE5" s="122">
        <f>25997/1000</f>
        <v>25.997</v>
      </c>
      <c r="AF5" s="120">
        <f t="shared" si="13"/>
        <v>0.05064642215</v>
      </c>
      <c r="AG5" s="115">
        <f t="shared" si="16"/>
        <v>66.74</v>
      </c>
      <c r="AH5" s="125" t="s">
        <v>1371</v>
      </c>
      <c r="AI5" s="124"/>
      <c r="AJ5" s="124"/>
      <c r="AK5" s="124"/>
      <c r="AL5" s="124"/>
      <c r="AM5" s="124"/>
      <c r="AN5" s="124"/>
      <c r="AO5" s="124"/>
      <c r="AP5" s="124"/>
      <c r="AQ5" s="123"/>
      <c r="AR5" s="1" t="s">
        <v>1375</v>
      </c>
      <c r="AS5" s="87">
        <f t="shared" si="14"/>
        <v>1.280009847</v>
      </c>
    </row>
    <row r="6">
      <c r="A6" s="106">
        <v>5.0</v>
      </c>
      <c r="B6" s="106" t="s">
        <v>1376</v>
      </c>
      <c r="C6" s="106" t="s">
        <v>1363</v>
      </c>
      <c r="D6" s="4" t="s">
        <v>80</v>
      </c>
      <c r="E6" s="2" t="s">
        <v>81</v>
      </c>
      <c r="F6" s="128">
        <v>44965.0</v>
      </c>
      <c r="G6" s="108">
        <v>45002.0</v>
      </c>
      <c r="H6" s="109"/>
      <c r="I6" s="109">
        <v>45006.0</v>
      </c>
      <c r="J6" s="4">
        <v>20.5</v>
      </c>
      <c r="K6" s="110">
        <v>327.52</v>
      </c>
      <c r="L6" s="111">
        <f t="shared" si="1"/>
        <v>6714.16</v>
      </c>
      <c r="M6" s="112" t="s">
        <v>1364</v>
      </c>
      <c r="N6" s="113">
        <v>20.13</v>
      </c>
      <c r="O6" s="110">
        <f t="shared" si="2"/>
        <v>6592.9776</v>
      </c>
      <c r="P6" s="110">
        <f t="shared" si="15"/>
        <v>68449.9984</v>
      </c>
      <c r="Q6" s="113" t="s">
        <v>1376</v>
      </c>
      <c r="R6" s="127">
        <v>0.425</v>
      </c>
      <c r="S6" s="127">
        <v>0.264</v>
      </c>
      <c r="T6" s="112" t="s">
        <v>1365</v>
      </c>
      <c r="U6" s="115">
        <f t="shared" si="3"/>
        <v>31.34764403</v>
      </c>
      <c r="V6" s="116">
        <f t="shared" si="4"/>
        <v>0.68</v>
      </c>
      <c r="W6" s="116">
        <f t="shared" si="5"/>
        <v>0.2</v>
      </c>
      <c r="X6" s="117">
        <f t="shared" si="6"/>
        <v>0.001028998235</v>
      </c>
      <c r="Y6" s="117">
        <f t="shared" si="7"/>
        <v>2.828265</v>
      </c>
      <c r="Z6" s="118">
        <f t="shared" si="8"/>
        <v>2030</v>
      </c>
      <c r="AA6" s="117">
        <f t="shared" si="9"/>
        <v>4.27436394</v>
      </c>
      <c r="AB6" s="117">
        <f t="shared" si="10"/>
        <v>0.014503665</v>
      </c>
      <c r="AC6" s="117">
        <f t="shared" si="11"/>
        <v>7.118161603</v>
      </c>
      <c r="AD6" s="117">
        <f t="shared" si="12"/>
        <v>24.22948243</v>
      </c>
      <c r="AE6" s="122">
        <f>25554/1000</f>
        <v>25.554</v>
      </c>
      <c r="AF6" s="120">
        <f t="shared" si="13"/>
        <v>0.05466553288</v>
      </c>
      <c r="AG6" s="115">
        <f t="shared" si="16"/>
        <v>92.294</v>
      </c>
      <c r="AH6" s="125" t="s">
        <v>1371</v>
      </c>
      <c r="AI6" s="124"/>
      <c r="AJ6" s="124"/>
      <c r="AK6" s="124"/>
      <c r="AL6" s="124"/>
      <c r="AM6" s="124"/>
      <c r="AN6" s="124"/>
      <c r="AO6" s="124"/>
      <c r="AP6" s="124"/>
      <c r="AQ6" s="123"/>
      <c r="AR6" s="1" t="s">
        <v>1377</v>
      </c>
      <c r="AS6" s="87">
        <f t="shared" si="14"/>
        <v>1.269448584</v>
      </c>
    </row>
    <row r="7">
      <c r="A7" s="106">
        <v>6.0</v>
      </c>
      <c r="B7" s="106" t="s">
        <v>1378</v>
      </c>
      <c r="C7" s="106" t="s">
        <v>1379</v>
      </c>
      <c r="D7" s="4" t="s">
        <v>80</v>
      </c>
      <c r="E7" s="4" t="s">
        <v>81</v>
      </c>
      <c r="F7" s="107">
        <v>44965.0</v>
      </c>
      <c r="G7" s="108">
        <v>44981.0</v>
      </c>
      <c r="H7" s="109"/>
      <c r="I7" s="109">
        <v>45007.0</v>
      </c>
      <c r="J7" s="4">
        <v>20.5</v>
      </c>
      <c r="K7" s="110">
        <v>327.52</v>
      </c>
      <c r="L7" s="111">
        <f t="shared" si="1"/>
        <v>6714.16</v>
      </c>
      <c r="M7" s="112" t="s">
        <v>1364</v>
      </c>
      <c r="N7" s="113">
        <v>20.26</v>
      </c>
      <c r="O7" s="110">
        <f t="shared" si="2"/>
        <v>6635.5552</v>
      </c>
      <c r="P7" s="110">
        <f t="shared" si="15"/>
        <v>61814.4432</v>
      </c>
      <c r="Q7" s="113" t="s">
        <v>1378</v>
      </c>
      <c r="R7" s="127">
        <v>0.415</v>
      </c>
      <c r="S7" s="127">
        <v>0.254</v>
      </c>
      <c r="T7" s="112" t="s">
        <v>1365</v>
      </c>
      <c r="U7" s="115">
        <f t="shared" si="3"/>
        <v>30.80773283</v>
      </c>
      <c r="V7" s="116">
        <f t="shared" si="4"/>
        <v>0.68</v>
      </c>
      <c r="W7" s="116">
        <f t="shared" si="5"/>
        <v>0.2</v>
      </c>
      <c r="X7" s="117">
        <f t="shared" si="6"/>
        <v>0.001035643529</v>
      </c>
      <c r="Y7" s="117">
        <f t="shared" si="7"/>
        <v>2.84653</v>
      </c>
      <c r="Z7" s="118">
        <f t="shared" si="8"/>
        <v>2030</v>
      </c>
      <c r="AA7" s="117">
        <f t="shared" si="9"/>
        <v>4.30196788</v>
      </c>
      <c r="AB7" s="117">
        <f t="shared" si="10"/>
        <v>0.01459733</v>
      </c>
      <c r="AC7" s="117">
        <f t="shared" si="11"/>
        <v>7.164130854</v>
      </c>
      <c r="AD7" s="117">
        <f t="shared" si="12"/>
        <v>23.64360197</v>
      </c>
      <c r="AE7" s="122">
        <f>24925/1000</f>
        <v>24.925</v>
      </c>
      <c r="AF7" s="120">
        <f t="shared" si="13"/>
        <v>0.05419639641</v>
      </c>
      <c r="AG7" s="115">
        <f t="shared" si="16"/>
        <v>117.219</v>
      </c>
      <c r="AH7" s="125" t="s">
        <v>1371</v>
      </c>
      <c r="AI7" s="114"/>
      <c r="AJ7" s="114"/>
      <c r="AK7" s="114"/>
      <c r="AL7" s="114"/>
      <c r="AM7" s="124"/>
      <c r="AN7" s="124"/>
      <c r="AO7" s="124"/>
      <c r="AP7" s="124"/>
      <c r="AQ7" s="123"/>
      <c r="AR7" s="1" t="s">
        <v>1380</v>
      </c>
      <c r="AS7" s="87">
        <f t="shared" si="14"/>
        <v>1.230256663</v>
      </c>
    </row>
    <row r="8">
      <c r="A8" s="106">
        <v>7.0</v>
      </c>
      <c r="B8" s="106" t="s">
        <v>1381</v>
      </c>
      <c r="C8" s="106" t="s">
        <v>1382</v>
      </c>
      <c r="D8" s="4" t="s">
        <v>80</v>
      </c>
      <c r="E8" s="2" t="s">
        <v>81</v>
      </c>
      <c r="F8" s="128">
        <v>44998.0</v>
      </c>
      <c r="G8" s="108">
        <v>45016.0</v>
      </c>
      <c r="H8" s="108"/>
      <c r="I8" s="108">
        <v>45019.0</v>
      </c>
      <c r="J8" s="129"/>
      <c r="K8" s="130">
        <v>327.52</v>
      </c>
      <c r="L8" s="131">
        <f t="shared" si="1"/>
        <v>0</v>
      </c>
      <c r="M8" s="112" t="s">
        <v>1364</v>
      </c>
      <c r="N8" s="113">
        <v>19.61</v>
      </c>
      <c r="O8" s="132">
        <f t="shared" si="2"/>
        <v>6422.6672</v>
      </c>
      <c r="P8" s="110">
        <f t="shared" si="15"/>
        <v>55391.776</v>
      </c>
      <c r="Q8" s="113" t="s">
        <v>1381</v>
      </c>
      <c r="R8" s="133">
        <v>0.431</v>
      </c>
      <c r="S8" s="133"/>
      <c r="T8" s="112" t="s">
        <v>1365</v>
      </c>
      <c r="U8" s="115">
        <f t="shared" si="3"/>
        <v>30.96899168</v>
      </c>
      <c r="V8" s="116">
        <f t="shared" si="4"/>
        <v>0.68</v>
      </c>
      <c r="W8" s="116">
        <f t="shared" si="5"/>
        <v>0.2</v>
      </c>
      <c r="X8" s="117">
        <f t="shared" si="6"/>
        <v>0.001002417059</v>
      </c>
      <c r="Y8" s="117">
        <f t="shared" si="7"/>
        <v>2.755205</v>
      </c>
      <c r="Z8" s="118">
        <f t="shared" si="8"/>
        <v>2030</v>
      </c>
      <c r="AA8" s="117">
        <f t="shared" si="9"/>
        <v>4.16394818</v>
      </c>
      <c r="AB8" s="117">
        <f t="shared" si="10"/>
        <v>0.014129005</v>
      </c>
      <c r="AC8" s="117">
        <f t="shared" si="11"/>
        <v>6.934284602</v>
      </c>
      <c r="AD8" s="117">
        <f t="shared" si="12"/>
        <v>24.03470708</v>
      </c>
      <c r="AE8" s="122">
        <f>25346/1000</f>
        <v>25.346</v>
      </c>
      <c r="AF8" s="120">
        <f t="shared" si="13"/>
        <v>0.05455830666</v>
      </c>
      <c r="AG8" s="115">
        <f t="shared" si="16"/>
        <v>142.565</v>
      </c>
      <c r="AH8" s="125" t="s">
        <v>1371</v>
      </c>
      <c r="AI8" s="124"/>
      <c r="AJ8" s="124"/>
      <c r="AK8" s="124"/>
      <c r="AL8" s="124"/>
      <c r="AM8" s="124"/>
      <c r="AN8" s="124"/>
      <c r="AO8" s="124"/>
      <c r="AP8" s="124"/>
      <c r="AQ8" s="123"/>
      <c r="AR8" s="1" t="s">
        <v>1383</v>
      </c>
      <c r="AS8" s="87">
        <f t="shared" si="14"/>
        <v>1.292503825</v>
      </c>
    </row>
    <row r="9">
      <c r="A9" s="106">
        <v>8.0</v>
      </c>
      <c r="B9" s="106" t="s">
        <v>1384</v>
      </c>
      <c r="C9" s="106" t="s">
        <v>1363</v>
      </c>
      <c r="D9" s="4" t="s">
        <v>80</v>
      </c>
      <c r="E9" s="2" t="s">
        <v>81</v>
      </c>
      <c r="F9" s="128">
        <v>44998.0</v>
      </c>
      <c r="G9" s="134">
        <v>45024.0</v>
      </c>
      <c r="H9" s="135"/>
      <c r="I9" s="135">
        <v>45027.0</v>
      </c>
      <c r="J9" s="129"/>
      <c r="K9" s="130">
        <v>327.52</v>
      </c>
      <c r="L9" s="131">
        <f t="shared" si="1"/>
        <v>0</v>
      </c>
      <c r="M9" s="112" t="s">
        <v>1364</v>
      </c>
      <c r="N9" s="113">
        <v>19.25</v>
      </c>
      <c r="O9" s="132">
        <f t="shared" si="2"/>
        <v>6304.76</v>
      </c>
      <c r="P9" s="110">
        <f t="shared" si="15"/>
        <v>49087.016</v>
      </c>
      <c r="Q9" s="113" t="s">
        <v>1384</v>
      </c>
      <c r="R9" s="133">
        <v>0.42875</v>
      </c>
      <c r="S9" s="133"/>
      <c r="T9" s="112" t="s">
        <v>1365</v>
      </c>
      <c r="U9" s="115">
        <f t="shared" si="3"/>
        <v>30.24176042</v>
      </c>
      <c r="V9" s="116">
        <f t="shared" si="4"/>
        <v>0.68</v>
      </c>
      <c r="W9" s="116">
        <f t="shared" si="5"/>
        <v>0.2</v>
      </c>
      <c r="X9" s="117">
        <f t="shared" si="6"/>
        <v>0.0009840147059</v>
      </c>
      <c r="Y9" s="117">
        <f t="shared" si="7"/>
        <v>2.704625</v>
      </c>
      <c r="Z9" s="118">
        <f t="shared" si="8"/>
        <v>2030</v>
      </c>
      <c r="AA9" s="117">
        <f t="shared" si="9"/>
        <v>4.0875065</v>
      </c>
      <c r="AB9" s="117">
        <f t="shared" si="10"/>
        <v>0.013869625</v>
      </c>
      <c r="AC9" s="117">
        <f t="shared" si="11"/>
        <v>6.80698514</v>
      </c>
      <c r="AD9" s="117">
        <f t="shared" si="12"/>
        <v>23.43477528</v>
      </c>
      <c r="AE9" s="122">
        <f>24742/1000</f>
        <v>24.742</v>
      </c>
      <c r="AF9" s="120">
        <f t="shared" si="13"/>
        <v>0.05578140634</v>
      </c>
      <c r="AG9" s="115">
        <f t="shared" si="16"/>
        <v>167.307</v>
      </c>
      <c r="AH9" s="125" t="s">
        <v>1371</v>
      </c>
      <c r="AI9" s="124"/>
      <c r="AJ9" s="124"/>
      <c r="AK9" s="124"/>
      <c r="AL9" s="124"/>
      <c r="AM9" s="124"/>
      <c r="AN9" s="124"/>
      <c r="AO9" s="124"/>
      <c r="AP9" s="124"/>
      <c r="AQ9" s="123"/>
      <c r="AR9" s="1" t="s">
        <v>1385</v>
      </c>
      <c r="AS9" s="87">
        <f t="shared" si="14"/>
        <v>1.285298701</v>
      </c>
    </row>
    <row r="10">
      <c r="A10" s="106">
        <v>9.0</v>
      </c>
      <c r="B10" s="106" t="s">
        <v>1386</v>
      </c>
      <c r="C10" s="106" t="s">
        <v>1387</v>
      </c>
      <c r="D10" s="4" t="s">
        <v>80</v>
      </c>
      <c r="E10" s="2" t="s">
        <v>81</v>
      </c>
      <c r="F10" s="128">
        <v>45019.0</v>
      </c>
      <c r="G10" s="135">
        <v>45029.0</v>
      </c>
      <c r="H10" s="134"/>
      <c r="I10" s="134">
        <f>IF(E10="truck", G10+4, G10+16)</f>
        <v>45033</v>
      </c>
      <c r="J10" s="129"/>
      <c r="K10" s="130">
        <v>327.52</v>
      </c>
      <c r="L10" s="131">
        <f t="shared" si="1"/>
        <v>0</v>
      </c>
      <c r="M10" s="112" t="s">
        <v>1364</v>
      </c>
      <c r="N10" s="113">
        <v>18.23</v>
      </c>
      <c r="O10" s="130">
        <f t="shared" si="2"/>
        <v>5970.6896</v>
      </c>
      <c r="P10" s="110">
        <f t="shared" si="15"/>
        <v>43116.3264</v>
      </c>
      <c r="Q10" s="113" t="s">
        <v>1386</v>
      </c>
      <c r="R10" s="114">
        <v>0.4252</v>
      </c>
      <c r="S10" s="114"/>
      <c r="T10" s="112" t="s">
        <v>1365</v>
      </c>
      <c r="U10" s="115">
        <f t="shared" si="3"/>
        <v>28.40220947</v>
      </c>
      <c r="V10" s="116">
        <f t="shared" si="4"/>
        <v>0.68</v>
      </c>
      <c r="W10" s="116">
        <f t="shared" si="5"/>
        <v>0.2</v>
      </c>
      <c r="X10" s="117">
        <f t="shared" si="6"/>
        <v>0.0009318747059</v>
      </c>
      <c r="Y10" s="117">
        <f t="shared" si="7"/>
        <v>2.561315</v>
      </c>
      <c r="Z10" s="118">
        <f t="shared" si="8"/>
        <v>2030</v>
      </c>
      <c r="AA10" s="117">
        <f t="shared" si="9"/>
        <v>3.87092174</v>
      </c>
      <c r="AB10" s="117">
        <f t="shared" si="10"/>
        <v>0.013134715</v>
      </c>
      <c r="AC10" s="117">
        <f t="shared" si="11"/>
        <v>6.44630333</v>
      </c>
      <c r="AD10" s="117">
        <f t="shared" si="12"/>
        <v>21.95590614</v>
      </c>
      <c r="AE10" s="122">
        <f>23160/1000</f>
        <v>23.16</v>
      </c>
      <c r="AF10" s="120">
        <f t="shared" si="13"/>
        <v>0.0548414559</v>
      </c>
      <c r="AG10" s="115">
        <f t="shared" si="16"/>
        <v>190.467</v>
      </c>
      <c r="AH10" s="125" t="s">
        <v>1371</v>
      </c>
      <c r="AI10" s="124">
        <v>5970.69</v>
      </c>
      <c r="AJ10" s="124">
        <f>210.16+15716.12</f>
        <v>15926.28</v>
      </c>
      <c r="AK10" s="124">
        <f>14*55</f>
        <v>770</v>
      </c>
      <c r="AL10" s="124">
        <v>1000.0</v>
      </c>
      <c r="AM10" s="124">
        <f t="shared" ref="AM10:AM44" si="17">SUM(AI10:AL10)</f>
        <v>23666.97</v>
      </c>
      <c r="AN10" s="124">
        <f t="shared" ref="AN10:AN29" si="18">AM10/AE10</f>
        <v>1021.889896</v>
      </c>
      <c r="AO10" s="124">
        <v>600.0</v>
      </c>
      <c r="AP10" s="124">
        <f t="shared" ref="AP10:AP20" si="19">(AO10*AE10)-AM10</f>
        <v>-9770.97</v>
      </c>
      <c r="AQ10" s="114">
        <f t="shared" ref="AQ10:AQ19" si="20">((AO10*AE10)-AM10)/(AE10*AO10)</f>
        <v>-0.7031498273</v>
      </c>
      <c r="AR10" s="1" t="s">
        <v>1388</v>
      </c>
      <c r="AS10" s="87">
        <f t="shared" si="14"/>
        <v>1.270433352</v>
      </c>
    </row>
    <row r="11">
      <c r="A11" s="106">
        <v>10.0</v>
      </c>
      <c r="B11" s="106" t="s">
        <v>1389</v>
      </c>
      <c r="C11" s="106" t="s">
        <v>1363</v>
      </c>
      <c r="D11" s="4" t="s">
        <v>80</v>
      </c>
      <c r="E11" s="2" t="s">
        <v>81</v>
      </c>
      <c r="F11" s="128">
        <v>45019.0</v>
      </c>
      <c r="G11" s="135">
        <v>45033.0</v>
      </c>
      <c r="H11" s="135"/>
      <c r="I11" s="135">
        <v>45036.0</v>
      </c>
      <c r="J11" s="129"/>
      <c r="K11" s="130">
        <v>327.52</v>
      </c>
      <c r="L11" s="131">
        <f t="shared" si="1"/>
        <v>0</v>
      </c>
      <c r="M11" s="112" t="s">
        <v>1364</v>
      </c>
      <c r="N11" s="113">
        <v>19.86</v>
      </c>
      <c r="O11" s="130">
        <f t="shared" si="2"/>
        <v>6504.5472</v>
      </c>
      <c r="P11" s="110">
        <f t="shared" si="15"/>
        <v>36611.7792</v>
      </c>
      <c r="Q11" s="113" t="s">
        <v>1389</v>
      </c>
      <c r="R11" s="133">
        <v>0.43075</v>
      </c>
      <c r="S11" s="133"/>
      <c r="T11" s="112" t="s">
        <v>1365</v>
      </c>
      <c r="U11" s="115">
        <f t="shared" si="3"/>
        <v>31.34561044</v>
      </c>
      <c r="V11" s="116">
        <f t="shared" si="4"/>
        <v>0.68</v>
      </c>
      <c r="W11" s="116">
        <f t="shared" si="5"/>
        <v>0.2</v>
      </c>
      <c r="X11" s="117">
        <f t="shared" si="6"/>
        <v>0.001015196471</v>
      </c>
      <c r="Y11" s="117">
        <f t="shared" si="7"/>
        <v>2.79033</v>
      </c>
      <c r="Z11" s="118">
        <f t="shared" si="8"/>
        <v>2030</v>
      </c>
      <c r="AA11" s="117">
        <f t="shared" si="9"/>
        <v>4.21703268</v>
      </c>
      <c r="AB11" s="117">
        <f t="shared" si="10"/>
        <v>0.01430913</v>
      </c>
      <c r="AC11" s="117">
        <f t="shared" si="11"/>
        <v>7.022687006</v>
      </c>
      <c r="AD11" s="117">
        <f t="shared" si="12"/>
        <v>24.32292343</v>
      </c>
      <c r="AE11" s="122">
        <f>25670/1000</f>
        <v>25.67</v>
      </c>
      <c r="AF11" s="120">
        <f t="shared" si="13"/>
        <v>0.05538300419</v>
      </c>
      <c r="AG11" s="115">
        <f t="shared" si="16"/>
        <v>216.137</v>
      </c>
      <c r="AH11" s="125" t="s">
        <v>1371</v>
      </c>
      <c r="AI11" s="124">
        <v>6504.15</v>
      </c>
      <c r="AJ11" s="124">
        <f t="shared" ref="AJ11:AJ14" si="21">215.16+15716.12</f>
        <v>15931.28</v>
      </c>
      <c r="AK11" s="124">
        <f t="shared" ref="AK11:AK12" si="22">10*55</f>
        <v>550</v>
      </c>
      <c r="AL11" s="124">
        <v>1000.0</v>
      </c>
      <c r="AM11" s="124">
        <f t="shared" si="17"/>
        <v>23985.43</v>
      </c>
      <c r="AN11" s="124">
        <f t="shared" si="18"/>
        <v>934.3759252</v>
      </c>
      <c r="AO11" s="124">
        <v>600.0</v>
      </c>
      <c r="AP11" s="124">
        <f t="shared" si="19"/>
        <v>-8583.43</v>
      </c>
      <c r="AQ11" s="114">
        <f t="shared" si="20"/>
        <v>-0.5572932087</v>
      </c>
      <c r="AR11" s="1" t="s">
        <v>1390</v>
      </c>
      <c r="AS11" s="87">
        <f t="shared" si="14"/>
        <v>1.292547835</v>
      </c>
    </row>
    <row r="12">
      <c r="A12" s="106">
        <v>11.0</v>
      </c>
      <c r="B12" s="106" t="s">
        <v>1391</v>
      </c>
      <c r="C12" s="106" t="s">
        <v>1392</v>
      </c>
      <c r="D12" s="4" t="s">
        <v>80</v>
      </c>
      <c r="E12" s="2" t="s">
        <v>81</v>
      </c>
      <c r="F12" s="128">
        <v>45019.0</v>
      </c>
      <c r="G12" s="108">
        <v>45037.0</v>
      </c>
      <c r="H12" s="108"/>
      <c r="I12" s="108">
        <v>45043.0</v>
      </c>
      <c r="J12" s="129"/>
      <c r="K12" s="130">
        <v>327.52</v>
      </c>
      <c r="L12" s="131">
        <f t="shared" si="1"/>
        <v>0</v>
      </c>
      <c r="M12" s="112" t="s">
        <v>1364</v>
      </c>
      <c r="N12" s="113">
        <v>19.64</v>
      </c>
      <c r="O12" s="130">
        <f t="shared" si="2"/>
        <v>6432.4928</v>
      </c>
      <c r="P12" s="110">
        <f t="shared" si="15"/>
        <v>30179.2864</v>
      </c>
      <c r="Q12" s="113" t="s">
        <v>1391</v>
      </c>
      <c r="R12" s="133">
        <f>((42.19+42.72)/2)/100</f>
        <v>0.42455</v>
      </c>
      <c r="S12" s="133"/>
      <c r="T12" s="136" t="s">
        <v>1365</v>
      </c>
      <c r="U12" s="115">
        <f t="shared" si="3"/>
        <v>30.55220295</v>
      </c>
      <c r="V12" s="116">
        <f t="shared" si="4"/>
        <v>0.68</v>
      </c>
      <c r="W12" s="116">
        <f t="shared" si="5"/>
        <v>0.2</v>
      </c>
      <c r="X12" s="117">
        <f t="shared" si="6"/>
        <v>0.001003950588</v>
      </c>
      <c r="Y12" s="117">
        <f t="shared" si="7"/>
        <v>2.75942</v>
      </c>
      <c r="Z12" s="118">
        <f t="shared" si="8"/>
        <v>2030</v>
      </c>
      <c r="AA12" s="117">
        <f t="shared" si="9"/>
        <v>4.17031832</v>
      </c>
      <c r="AB12" s="117">
        <f t="shared" si="10"/>
        <v>0.01415062</v>
      </c>
      <c r="AC12" s="117">
        <f t="shared" si="11"/>
        <v>6.944892891</v>
      </c>
      <c r="AD12" s="117">
        <f t="shared" si="12"/>
        <v>23.60731006</v>
      </c>
      <c r="AE12" s="122">
        <f>24925/1000</f>
        <v>24.925</v>
      </c>
      <c r="AF12" s="120">
        <f t="shared" si="13"/>
        <v>0.05581703033</v>
      </c>
      <c r="AG12" s="115">
        <f t="shared" si="16"/>
        <v>241.062</v>
      </c>
      <c r="AH12" s="125" t="s">
        <v>1371</v>
      </c>
      <c r="AI12" s="124">
        <v>6432.1</v>
      </c>
      <c r="AJ12" s="124">
        <f t="shared" si="21"/>
        <v>15931.28</v>
      </c>
      <c r="AK12" s="124">
        <f t="shared" si="22"/>
        <v>550</v>
      </c>
      <c r="AL12" s="124">
        <v>1000.0</v>
      </c>
      <c r="AM12" s="124">
        <f t="shared" si="17"/>
        <v>23913.38</v>
      </c>
      <c r="AN12" s="124">
        <f t="shared" si="18"/>
        <v>959.4134403</v>
      </c>
      <c r="AO12" s="124">
        <v>600.0</v>
      </c>
      <c r="AP12" s="124">
        <f t="shared" si="19"/>
        <v>-8958.38</v>
      </c>
      <c r="AQ12" s="114">
        <f t="shared" si="20"/>
        <v>-0.5990224005</v>
      </c>
      <c r="AR12" s="1" t="s">
        <v>1393</v>
      </c>
      <c r="AS12" s="87">
        <f t="shared" si="14"/>
        <v>1.269093686</v>
      </c>
    </row>
    <row r="13">
      <c r="A13" s="106">
        <v>12.0</v>
      </c>
      <c r="B13" s="106" t="s">
        <v>1394</v>
      </c>
      <c r="C13" s="106" t="s">
        <v>1363</v>
      </c>
      <c r="D13" s="4" t="s">
        <v>80</v>
      </c>
      <c r="E13" s="2" t="s">
        <v>81</v>
      </c>
      <c r="F13" s="128">
        <v>45019.0</v>
      </c>
      <c r="G13" s="137">
        <v>45044.0</v>
      </c>
      <c r="H13" s="108"/>
      <c r="I13" s="108">
        <v>45047.0</v>
      </c>
      <c r="J13" s="138"/>
      <c r="K13" s="130">
        <v>327.52</v>
      </c>
      <c r="L13" s="131">
        <f t="shared" si="1"/>
        <v>0</v>
      </c>
      <c r="M13" s="112" t="s">
        <v>1364</v>
      </c>
      <c r="N13" s="113">
        <v>19.7</v>
      </c>
      <c r="O13" s="130">
        <f t="shared" si="2"/>
        <v>6452.144</v>
      </c>
      <c r="P13" s="4"/>
      <c r="Q13" s="113" t="s">
        <v>1394</v>
      </c>
      <c r="R13" s="133">
        <f>((43.23+43.1)/2)/100</f>
        <v>0.43165</v>
      </c>
      <c r="S13" s="133"/>
      <c r="T13" s="136" t="s">
        <v>1365</v>
      </c>
      <c r="U13" s="115">
        <f t="shared" si="3"/>
        <v>31.15804305</v>
      </c>
      <c r="V13" s="116">
        <f t="shared" si="4"/>
        <v>0.68</v>
      </c>
      <c r="W13" s="116">
        <f t="shared" si="5"/>
        <v>0.2</v>
      </c>
      <c r="X13" s="117">
        <f t="shared" si="6"/>
        <v>0.001007017647</v>
      </c>
      <c r="Y13" s="117">
        <f t="shared" si="7"/>
        <v>2.76785</v>
      </c>
      <c r="Z13" s="118">
        <f t="shared" si="8"/>
        <v>2030</v>
      </c>
      <c r="AA13" s="117">
        <f t="shared" si="9"/>
        <v>4.1830586</v>
      </c>
      <c r="AB13" s="117">
        <f t="shared" si="10"/>
        <v>0.01419385</v>
      </c>
      <c r="AC13" s="117">
        <f t="shared" si="11"/>
        <v>6.966109468</v>
      </c>
      <c r="AD13" s="117">
        <f t="shared" si="12"/>
        <v>24.19193358</v>
      </c>
      <c r="AE13" s="122">
        <f>25515/1000</f>
        <v>25.515</v>
      </c>
      <c r="AF13" s="120">
        <f t="shared" si="13"/>
        <v>0.05469039567</v>
      </c>
      <c r="AG13" s="115">
        <f t="shared" si="16"/>
        <v>266.577</v>
      </c>
      <c r="AH13" s="125" t="s">
        <v>1371</v>
      </c>
      <c r="AI13" s="124">
        <v>6441.9</v>
      </c>
      <c r="AJ13" s="124">
        <f t="shared" si="21"/>
        <v>15931.28</v>
      </c>
      <c r="AK13" s="124">
        <f>55*11</f>
        <v>605</v>
      </c>
      <c r="AL13" s="124">
        <v>1000.0</v>
      </c>
      <c r="AM13" s="124">
        <f t="shared" si="17"/>
        <v>23978.18</v>
      </c>
      <c r="AN13" s="124">
        <f t="shared" si="18"/>
        <v>939.7679796</v>
      </c>
      <c r="AO13" s="124">
        <v>600.0</v>
      </c>
      <c r="AP13" s="124">
        <f t="shared" si="19"/>
        <v>-8669.18</v>
      </c>
      <c r="AQ13" s="114">
        <f t="shared" si="20"/>
        <v>-0.566279966</v>
      </c>
      <c r="AR13" s="1" t="s">
        <v>1395</v>
      </c>
      <c r="AS13" s="87">
        <f t="shared" si="14"/>
        <v>1.295177665</v>
      </c>
    </row>
    <row r="14">
      <c r="A14" s="106">
        <v>13.0</v>
      </c>
      <c r="B14" s="106" t="s">
        <v>1396</v>
      </c>
      <c r="C14" s="106" t="s">
        <v>1392</v>
      </c>
      <c r="D14" s="4" t="s">
        <v>80</v>
      </c>
      <c r="E14" s="2" t="s">
        <v>81</v>
      </c>
      <c r="F14" s="128">
        <v>45040.0</v>
      </c>
      <c r="G14" s="139">
        <v>45047.0</v>
      </c>
      <c r="H14" s="139"/>
      <c r="I14" s="139">
        <v>45050.0</v>
      </c>
      <c r="J14" s="138"/>
      <c r="K14" s="130">
        <v>327.52</v>
      </c>
      <c r="L14" s="131">
        <f t="shared" si="1"/>
        <v>0</v>
      </c>
      <c r="M14" s="112" t="s">
        <v>1364</v>
      </c>
      <c r="N14" s="113">
        <v>19.08</v>
      </c>
      <c r="O14" s="130">
        <f t="shared" si="2"/>
        <v>6249.0816</v>
      </c>
      <c r="P14" s="4"/>
      <c r="Q14" s="113" t="s">
        <v>1396</v>
      </c>
      <c r="R14" s="133">
        <f>((44.86+43.57)/2)/100</f>
        <v>0.44215</v>
      </c>
      <c r="S14" s="133"/>
      <c r="T14" s="136" t="s">
        <v>1365</v>
      </c>
      <c r="U14" s="115">
        <f t="shared" si="3"/>
        <v>30.91150864</v>
      </c>
      <c r="V14" s="116">
        <f t="shared" si="4"/>
        <v>0.68</v>
      </c>
      <c r="W14" s="116">
        <f t="shared" si="5"/>
        <v>0.2</v>
      </c>
      <c r="X14" s="117">
        <f t="shared" si="6"/>
        <v>0.0009753247059</v>
      </c>
      <c r="Y14" s="117">
        <f t="shared" si="7"/>
        <v>2.68074</v>
      </c>
      <c r="Z14" s="118">
        <f t="shared" si="8"/>
        <v>2030</v>
      </c>
      <c r="AA14" s="117">
        <f t="shared" si="9"/>
        <v>4.05140904</v>
      </c>
      <c r="AB14" s="117">
        <f t="shared" si="10"/>
        <v>0.01374714</v>
      </c>
      <c r="AC14" s="117">
        <f t="shared" si="11"/>
        <v>6.746871505</v>
      </c>
      <c r="AD14" s="117">
        <f t="shared" si="12"/>
        <v>24.16463713</v>
      </c>
      <c r="AE14" s="122">
        <f>25446/1000</f>
        <v>25.446</v>
      </c>
      <c r="AF14" s="120">
        <f t="shared" si="13"/>
        <v>0.05302636503</v>
      </c>
      <c r="AG14" s="115">
        <f t="shared" si="16"/>
        <v>292.023</v>
      </c>
      <c r="AH14" s="125" t="s">
        <v>1371</v>
      </c>
      <c r="AI14" s="124">
        <v>6249.08</v>
      </c>
      <c r="AJ14" s="124">
        <f t="shared" si="21"/>
        <v>15931.28</v>
      </c>
      <c r="AK14" s="124">
        <f>9.5*55</f>
        <v>522.5</v>
      </c>
      <c r="AL14" s="124">
        <v>1000.0</v>
      </c>
      <c r="AM14" s="124">
        <f t="shared" si="17"/>
        <v>23702.86</v>
      </c>
      <c r="AN14" s="124">
        <f t="shared" si="18"/>
        <v>931.4965024</v>
      </c>
      <c r="AO14" s="124">
        <v>600.0</v>
      </c>
      <c r="AP14" s="124">
        <f t="shared" si="19"/>
        <v>-8435.26</v>
      </c>
      <c r="AQ14" s="114">
        <f t="shared" si="20"/>
        <v>-0.5524941707</v>
      </c>
      <c r="AS14" s="87">
        <f t="shared" si="14"/>
        <v>1.333647799</v>
      </c>
    </row>
    <row r="15">
      <c r="A15" s="106">
        <v>14.0</v>
      </c>
      <c r="B15" s="106" t="s">
        <v>1397</v>
      </c>
      <c r="C15" s="106" t="s">
        <v>1363</v>
      </c>
      <c r="D15" s="4" t="s">
        <v>80</v>
      </c>
      <c r="E15" s="2" t="s">
        <v>81</v>
      </c>
      <c r="F15" s="128">
        <v>45040.0</v>
      </c>
      <c r="G15" s="135">
        <v>45053.0</v>
      </c>
      <c r="H15" s="135"/>
      <c r="I15" s="135">
        <v>45058.0</v>
      </c>
      <c r="J15" s="138"/>
      <c r="K15" s="130">
        <v>327.52</v>
      </c>
      <c r="L15" s="131">
        <f t="shared" si="1"/>
        <v>0</v>
      </c>
      <c r="M15" s="112" t="s">
        <v>1364</v>
      </c>
      <c r="N15" s="113">
        <v>20.12</v>
      </c>
      <c r="O15" s="130">
        <f t="shared" si="2"/>
        <v>6589.7024</v>
      </c>
      <c r="P15" s="4"/>
      <c r="Q15" s="113" t="s">
        <v>1397</v>
      </c>
      <c r="R15" s="133">
        <f>(0.4438+0.4665)/2</f>
        <v>0.45515</v>
      </c>
      <c r="S15" s="133"/>
      <c r="T15" s="136" t="s">
        <v>1365</v>
      </c>
      <c r="U15" s="115">
        <f t="shared" si="3"/>
        <v>33.55480544</v>
      </c>
      <c r="V15" s="116">
        <f t="shared" si="4"/>
        <v>0.68</v>
      </c>
      <c r="W15" s="116">
        <f t="shared" si="5"/>
        <v>0.2</v>
      </c>
      <c r="X15" s="117">
        <f t="shared" si="6"/>
        <v>0.001028487059</v>
      </c>
      <c r="Y15" s="117">
        <f t="shared" si="7"/>
        <v>2.82686</v>
      </c>
      <c r="Z15" s="118">
        <f t="shared" si="8"/>
        <v>2030</v>
      </c>
      <c r="AA15" s="117">
        <f t="shared" si="9"/>
        <v>4.27224056</v>
      </c>
      <c r="AB15" s="117">
        <f t="shared" si="10"/>
        <v>0.01449646</v>
      </c>
      <c r="AC15" s="117">
        <f t="shared" si="11"/>
        <v>7.114625507</v>
      </c>
      <c r="AD15" s="117">
        <f t="shared" si="12"/>
        <v>26.44017994</v>
      </c>
      <c r="AE15" s="122">
        <f>27791/1000</f>
        <v>27.791</v>
      </c>
      <c r="AF15" s="120">
        <f t="shared" si="13"/>
        <v>0.05108966985</v>
      </c>
      <c r="AG15" s="115">
        <f t="shared" si="16"/>
        <v>319.814</v>
      </c>
      <c r="AH15" s="125" t="s">
        <v>1371</v>
      </c>
      <c r="AI15" s="132">
        <v>6589.7</v>
      </c>
      <c r="AJ15" s="132">
        <f>175.5+15716.12</f>
        <v>15891.62</v>
      </c>
      <c r="AK15" s="132">
        <f>7.25*55</f>
        <v>398.75</v>
      </c>
      <c r="AL15" s="124">
        <v>1000.0</v>
      </c>
      <c r="AM15" s="124">
        <f t="shared" si="17"/>
        <v>23880.07</v>
      </c>
      <c r="AN15" s="124">
        <f t="shared" si="18"/>
        <v>859.2735058</v>
      </c>
      <c r="AO15" s="124">
        <v>600.0</v>
      </c>
      <c r="AP15" s="124">
        <f t="shared" si="19"/>
        <v>-7205.47</v>
      </c>
      <c r="AQ15" s="114">
        <f t="shared" si="20"/>
        <v>-0.4321225097</v>
      </c>
      <c r="AR15" s="140"/>
      <c r="AS15" s="141">
        <f t="shared" si="14"/>
        <v>1.381262425</v>
      </c>
      <c r="AT15" s="140"/>
      <c r="AU15" s="140"/>
      <c r="AV15" s="140"/>
    </row>
    <row r="16">
      <c r="A16" s="106">
        <v>15.0</v>
      </c>
      <c r="B16" s="106" t="s">
        <v>1398</v>
      </c>
      <c r="C16" s="106" t="s">
        <v>1392</v>
      </c>
      <c r="D16" s="4" t="s">
        <v>80</v>
      </c>
      <c r="E16" s="2" t="s">
        <v>81</v>
      </c>
      <c r="F16" s="128">
        <v>45040.0</v>
      </c>
      <c r="G16" s="135">
        <v>45055.0</v>
      </c>
      <c r="H16" s="108"/>
      <c r="I16" s="108">
        <v>45059.0</v>
      </c>
      <c r="J16" s="138"/>
      <c r="K16" s="130">
        <v>327.52</v>
      </c>
      <c r="L16" s="131">
        <f t="shared" si="1"/>
        <v>0</v>
      </c>
      <c r="M16" s="112" t="s">
        <v>1364</v>
      </c>
      <c r="N16" s="113">
        <v>20.72</v>
      </c>
      <c r="O16" s="130">
        <f t="shared" si="2"/>
        <v>6786.2144</v>
      </c>
      <c r="P16" s="4"/>
      <c r="Q16" s="113" t="s">
        <v>1399</v>
      </c>
      <c r="R16" s="133">
        <f>((45.84+44.32)/2)/100</f>
        <v>0.4508</v>
      </c>
      <c r="S16" s="133"/>
      <c r="T16" s="136" t="s">
        <v>1365</v>
      </c>
      <c r="U16" s="115">
        <f t="shared" si="3"/>
        <v>34.22518939</v>
      </c>
      <c r="V16" s="116">
        <f t="shared" si="4"/>
        <v>0.68</v>
      </c>
      <c r="W16" s="116">
        <f t="shared" si="5"/>
        <v>0.2</v>
      </c>
      <c r="X16" s="117">
        <f t="shared" si="6"/>
        <v>0.001059157647</v>
      </c>
      <c r="Y16" s="117">
        <f t="shared" si="7"/>
        <v>2.91116</v>
      </c>
      <c r="Z16" s="118">
        <f t="shared" si="8"/>
        <v>2030</v>
      </c>
      <c r="AA16" s="117">
        <f t="shared" si="9"/>
        <v>4.39964336</v>
      </c>
      <c r="AB16" s="117">
        <f t="shared" si="10"/>
        <v>0.01492876</v>
      </c>
      <c r="AC16" s="117">
        <f t="shared" si="11"/>
        <v>7.326791278</v>
      </c>
      <c r="AD16" s="117">
        <f t="shared" si="12"/>
        <v>26.89839811</v>
      </c>
      <c r="AE16" s="122">
        <f>28286/1000</f>
        <v>28.286</v>
      </c>
      <c r="AF16" s="120">
        <f t="shared" si="13"/>
        <v>0.05158678529</v>
      </c>
      <c r="AG16" s="115">
        <f t="shared" si="16"/>
        <v>348.1</v>
      </c>
      <c r="AH16" s="125" t="s">
        <v>1371</v>
      </c>
      <c r="AI16" s="132">
        <v>6786.21</v>
      </c>
      <c r="AJ16" s="132">
        <f>222.16+15716.12</f>
        <v>15938.28</v>
      </c>
      <c r="AK16" s="132">
        <f>7*55</f>
        <v>385</v>
      </c>
      <c r="AL16" s="124">
        <v>1000.0</v>
      </c>
      <c r="AM16" s="124">
        <f t="shared" si="17"/>
        <v>24109.49</v>
      </c>
      <c r="AN16" s="124">
        <f t="shared" si="18"/>
        <v>852.3470975</v>
      </c>
      <c r="AO16" s="124">
        <v>600.0</v>
      </c>
      <c r="AP16" s="124">
        <f t="shared" si="19"/>
        <v>-7137.89</v>
      </c>
      <c r="AQ16" s="114">
        <f t="shared" si="20"/>
        <v>-0.4205784958</v>
      </c>
      <c r="AR16" s="140"/>
      <c r="AS16" s="141">
        <f t="shared" si="14"/>
        <v>1.36515444</v>
      </c>
      <c r="AT16" s="140"/>
      <c r="AU16" s="140"/>
      <c r="AV16" s="140"/>
    </row>
    <row r="17">
      <c r="A17" s="106">
        <v>16.0</v>
      </c>
      <c r="B17" s="106" t="s">
        <v>1400</v>
      </c>
      <c r="C17" s="106" t="s">
        <v>1401</v>
      </c>
      <c r="D17" s="4" t="s">
        <v>80</v>
      </c>
      <c r="E17" s="2" t="s">
        <v>81</v>
      </c>
      <c r="F17" s="128">
        <v>45040.0</v>
      </c>
      <c r="G17" s="142">
        <v>45062.0</v>
      </c>
      <c r="H17" s="142"/>
      <c r="I17" s="142">
        <v>45065.0</v>
      </c>
      <c r="J17" s="138"/>
      <c r="K17" s="130"/>
      <c r="L17" s="129"/>
      <c r="M17" s="112" t="s">
        <v>1364</v>
      </c>
      <c r="N17" s="113">
        <v>19.98</v>
      </c>
      <c r="O17" s="136"/>
      <c r="P17" s="4"/>
      <c r="Q17" s="113" t="s">
        <v>1402</v>
      </c>
      <c r="R17" s="133">
        <f>((43.43+43.29)/2)/100</f>
        <v>0.4336</v>
      </c>
      <c r="S17" s="133"/>
      <c r="T17" s="136" t="s">
        <v>1365</v>
      </c>
      <c r="U17" s="115">
        <f>N17*R16*(44.01/12.011)</f>
        <v>33.0028612</v>
      </c>
      <c r="V17" s="116">
        <f t="shared" si="4"/>
        <v>0.68</v>
      </c>
      <c r="W17" s="116">
        <f t="shared" si="5"/>
        <v>0.2</v>
      </c>
      <c r="X17" s="117">
        <f t="shared" si="6"/>
        <v>0.001021330588</v>
      </c>
      <c r="Y17" s="117">
        <f t="shared" si="7"/>
        <v>2.80719</v>
      </c>
      <c r="Z17" s="118">
        <f t="shared" si="8"/>
        <v>2030</v>
      </c>
      <c r="AA17" s="117">
        <f t="shared" si="9"/>
        <v>4.24251324</v>
      </c>
      <c r="AB17" s="117">
        <f t="shared" si="10"/>
        <v>0.01439559</v>
      </c>
      <c r="AC17" s="117">
        <f t="shared" si="11"/>
        <v>7.065120161</v>
      </c>
      <c r="AD17" s="117">
        <f t="shared" si="12"/>
        <v>25.93774104</v>
      </c>
      <c r="AE17" s="122">
        <f>27408/1000</f>
        <v>27.408</v>
      </c>
      <c r="AF17" s="120">
        <f t="shared" si="13"/>
        <v>0.05668415616</v>
      </c>
      <c r="AG17" s="115">
        <f t="shared" si="16"/>
        <v>375.508</v>
      </c>
      <c r="AH17" s="125" t="s">
        <v>1371</v>
      </c>
      <c r="AI17" s="132">
        <v>6543.85</v>
      </c>
      <c r="AJ17" s="132">
        <f t="shared" ref="AJ17:AJ18" si="23">175.5+15716.12</f>
        <v>15891.62</v>
      </c>
      <c r="AK17" s="132">
        <f t="shared" ref="AK17:AK18" si="24">9*55</f>
        <v>495</v>
      </c>
      <c r="AL17" s="124">
        <v>1000.0</v>
      </c>
      <c r="AM17" s="124">
        <f t="shared" si="17"/>
        <v>23930.47</v>
      </c>
      <c r="AN17" s="124">
        <f t="shared" si="18"/>
        <v>873.119892</v>
      </c>
      <c r="AO17" s="124">
        <v>600.0</v>
      </c>
      <c r="AP17" s="124">
        <f t="shared" si="19"/>
        <v>-7485.67</v>
      </c>
      <c r="AQ17" s="114">
        <f t="shared" si="20"/>
        <v>-0.45519982</v>
      </c>
      <c r="AR17" s="140"/>
      <c r="AS17" s="141">
        <f t="shared" si="14"/>
        <v>1.371771772</v>
      </c>
      <c r="AT17" s="140"/>
      <c r="AU17" s="140"/>
      <c r="AV17" s="140"/>
    </row>
    <row r="18">
      <c r="A18" s="106">
        <v>17.0</v>
      </c>
      <c r="B18" s="106" t="s">
        <v>1403</v>
      </c>
      <c r="C18" s="106" t="s">
        <v>1404</v>
      </c>
      <c r="D18" s="4" t="s">
        <v>80</v>
      </c>
      <c r="E18" s="2" t="s">
        <v>81</v>
      </c>
      <c r="F18" s="128">
        <v>45040.0</v>
      </c>
      <c r="G18" s="142">
        <v>45062.0</v>
      </c>
      <c r="H18" s="142"/>
      <c r="I18" s="142">
        <v>45068.0</v>
      </c>
      <c r="J18" s="138"/>
      <c r="K18" s="130">
        <v>327.52</v>
      </c>
      <c r="L18" s="131">
        <f t="shared" ref="L18:L21" si="25">K18*J18</f>
        <v>0</v>
      </c>
      <c r="M18" s="112" t="s">
        <v>1364</v>
      </c>
      <c r="N18" s="113">
        <v>20.74</v>
      </c>
      <c r="O18" s="130">
        <f t="shared" ref="O18:O19" si="26">K18*N18</f>
        <v>6792.7648</v>
      </c>
      <c r="P18" s="4"/>
      <c r="Q18" s="113" t="s">
        <v>1405</v>
      </c>
      <c r="R18" s="133">
        <f>((44.56+45.95)/2)/100</f>
        <v>0.45255</v>
      </c>
      <c r="S18" s="133"/>
      <c r="T18" s="136" t="s">
        <v>1365</v>
      </c>
      <c r="U18" s="115">
        <f>N18*R19*(44.01/12.011)</f>
        <v>33.36909211</v>
      </c>
      <c r="V18" s="116">
        <f t="shared" si="4"/>
        <v>0.68</v>
      </c>
      <c r="W18" s="116">
        <f t="shared" si="5"/>
        <v>0.2</v>
      </c>
      <c r="X18" s="117">
        <f t="shared" si="6"/>
        <v>0.00106018</v>
      </c>
      <c r="Y18" s="117">
        <f t="shared" si="7"/>
        <v>2.91397</v>
      </c>
      <c r="Z18" s="118">
        <f t="shared" si="8"/>
        <v>2030</v>
      </c>
      <c r="AA18" s="117">
        <f t="shared" si="9"/>
        <v>4.40389012</v>
      </c>
      <c r="AB18" s="117">
        <f t="shared" si="10"/>
        <v>0.01494317</v>
      </c>
      <c r="AC18" s="117">
        <f t="shared" si="11"/>
        <v>7.33386347</v>
      </c>
      <c r="AD18" s="117">
        <f t="shared" si="12"/>
        <v>26.03522864</v>
      </c>
      <c r="AE18" s="122">
        <f>27007/1000</f>
        <v>27.007</v>
      </c>
      <c r="AF18" s="120">
        <f t="shared" si="13"/>
        <v>0.03732524776</v>
      </c>
      <c r="AG18" s="115">
        <f t="shared" si="16"/>
        <v>402.515</v>
      </c>
      <c r="AH18" s="125" t="s">
        <v>1371</v>
      </c>
      <c r="AI18" s="132">
        <v>6792.76</v>
      </c>
      <c r="AJ18" s="143">
        <f t="shared" si="23"/>
        <v>15891.62</v>
      </c>
      <c r="AK18" s="132">
        <f t="shared" si="24"/>
        <v>495</v>
      </c>
      <c r="AL18" s="124">
        <v>1000.0</v>
      </c>
      <c r="AM18" s="124">
        <f t="shared" si="17"/>
        <v>24179.38</v>
      </c>
      <c r="AN18" s="124">
        <f t="shared" si="18"/>
        <v>895.3004777</v>
      </c>
      <c r="AO18" s="124">
        <v>600.0</v>
      </c>
      <c r="AP18" s="124">
        <f t="shared" si="19"/>
        <v>-7975.18</v>
      </c>
      <c r="AQ18" s="114">
        <f t="shared" si="20"/>
        <v>-0.4921674628</v>
      </c>
      <c r="AR18" s="140"/>
      <c r="AS18" s="141">
        <f t="shared" si="14"/>
        <v>1.30216972</v>
      </c>
      <c r="AT18" s="140"/>
      <c r="AU18" s="140"/>
      <c r="AV18" s="140"/>
    </row>
    <row r="19">
      <c r="A19" s="106">
        <v>18.0</v>
      </c>
      <c r="B19" s="106" t="s">
        <v>1406</v>
      </c>
      <c r="C19" s="106" t="s">
        <v>1392</v>
      </c>
      <c r="D19" s="4" t="s">
        <v>80</v>
      </c>
      <c r="E19" s="2" t="s">
        <v>81</v>
      </c>
      <c r="F19" s="128">
        <v>45040.0</v>
      </c>
      <c r="G19" s="142">
        <v>45064.0</v>
      </c>
      <c r="H19" s="142"/>
      <c r="I19" s="142">
        <v>45069.0</v>
      </c>
      <c r="J19" s="138"/>
      <c r="K19" s="130">
        <v>327.52</v>
      </c>
      <c r="L19" s="131">
        <f t="shared" si="25"/>
        <v>0</v>
      </c>
      <c r="M19" s="112" t="s">
        <v>1364</v>
      </c>
      <c r="N19" s="113">
        <v>20.01</v>
      </c>
      <c r="O19" s="130">
        <f t="shared" si="26"/>
        <v>6553.6752</v>
      </c>
      <c r="P19" s="4"/>
      <c r="Q19" s="113" t="s">
        <v>1407</v>
      </c>
      <c r="R19" s="133">
        <f>((43.62+44.2)/2)/100</f>
        <v>0.4391</v>
      </c>
      <c r="S19" s="133"/>
      <c r="T19" s="136" t="s">
        <v>1365</v>
      </c>
      <c r="U19" s="115">
        <f t="shared" ref="U19:U21" si="27">N19*R19*(44.01/12.011)</f>
        <v>32.1945773</v>
      </c>
      <c r="V19" s="116">
        <f t="shared" si="4"/>
        <v>0.68</v>
      </c>
      <c r="W19" s="116">
        <f t="shared" si="5"/>
        <v>0.2</v>
      </c>
      <c r="X19" s="117">
        <f t="shared" si="6"/>
        <v>0.001022864118</v>
      </c>
      <c r="Y19" s="117">
        <f t="shared" si="7"/>
        <v>2.811405</v>
      </c>
      <c r="Z19" s="118">
        <f t="shared" si="8"/>
        <v>2030</v>
      </c>
      <c r="AA19" s="117">
        <f t="shared" si="9"/>
        <v>4.24888338</v>
      </c>
      <c r="AB19" s="117">
        <f t="shared" si="10"/>
        <v>0.014417205</v>
      </c>
      <c r="AC19" s="117">
        <f t="shared" si="11"/>
        <v>7.075728449</v>
      </c>
      <c r="AD19" s="117">
        <f t="shared" si="12"/>
        <v>25.11884885</v>
      </c>
      <c r="AE19" s="122">
        <f>26459/1000</f>
        <v>26.459</v>
      </c>
      <c r="AF19" s="120">
        <f t="shared" si="13"/>
        <v>0.0533524112</v>
      </c>
      <c r="AG19" s="115">
        <f t="shared" si="16"/>
        <v>428.974</v>
      </c>
      <c r="AH19" s="125" t="s">
        <v>1371</v>
      </c>
      <c r="AI19" s="132">
        <v>6553.68</v>
      </c>
      <c r="AJ19" s="132">
        <f>220.16+15716.12</f>
        <v>15936.28</v>
      </c>
      <c r="AK19" s="132">
        <f>11*55</f>
        <v>605</v>
      </c>
      <c r="AL19" s="124">
        <v>1000.0</v>
      </c>
      <c r="AM19" s="124">
        <f t="shared" si="17"/>
        <v>24094.96</v>
      </c>
      <c r="AN19" s="124">
        <f t="shared" si="18"/>
        <v>910.652708</v>
      </c>
      <c r="AO19" s="124">
        <v>600.0</v>
      </c>
      <c r="AP19" s="124">
        <f t="shared" si="19"/>
        <v>-8219.56</v>
      </c>
      <c r="AQ19" s="114">
        <f t="shared" si="20"/>
        <v>-0.5177545133</v>
      </c>
      <c r="AR19" s="140"/>
      <c r="AS19" s="141">
        <f t="shared" si="14"/>
        <v>1.322288856</v>
      </c>
      <c r="AT19" s="140"/>
      <c r="AU19" s="140"/>
      <c r="AV19" s="140"/>
    </row>
    <row r="20">
      <c r="A20" s="106">
        <v>19.0</v>
      </c>
      <c r="B20" s="106" t="s">
        <v>1408</v>
      </c>
      <c r="C20" s="144" t="s">
        <v>1409</v>
      </c>
      <c r="D20" s="4" t="s">
        <v>80</v>
      </c>
      <c r="E20" s="2" t="s">
        <v>81</v>
      </c>
      <c r="F20" s="128">
        <v>45040.0</v>
      </c>
      <c r="G20" s="142">
        <v>45071.0</v>
      </c>
      <c r="H20" s="142"/>
      <c r="I20" s="142">
        <v>45076.0</v>
      </c>
      <c r="J20" s="138"/>
      <c r="K20" s="130">
        <v>327.52</v>
      </c>
      <c r="L20" s="131">
        <f t="shared" si="25"/>
        <v>0</v>
      </c>
      <c r="M20" s="112" t="s">
        <v>1364</v>
      </c>
      <c r="N20" s="113">
        <v>20.26</v>
      </c>
      <c r="O20" s="145">
        <v>45069.0</v>
      </c>
      <c r="P20" s="4"/>
      <c r="Q20" s="113" t="s">
        <v>1410</v>
      </c>
      <c r="R20" s="133">
        <f>(0.4475+0.446)/2</f>
        <v>0.44675</v>
      </c>
      <c r="S20" s="133"/>
      <c r="T20" s="136" t="s">
        <v>1365</v>
      </c>
      <c r="U20" s="115">
        <f t="shared" si="27"/>
        <v>33.16470998</v>
      </c>
      <c r="V20" s="116">
        <f t="shared" si="4"/>
        <v>0.68</v>
      </c>
      <c r="W20" s="116">
        <f t="shared" si="5"/>
        <v>0.2</v>
      </c>
      <c r="X20" s="117">
        <f t="shared" si="6"/>
        <v>0.001035643529</v>
      </c>
      <c r="Y20" s="117">
        <f t="shared" si="7"/>
        <v>2.84653</v>
      </c>
      <c r="Z20" s="118">
        <f t="shared" si="8"/>
        <v>2030</v>
      </c>
      <c r="AA20" s="117">
        <f t="shared" si="9"/>
        <v>4.30196788</v>
      </c>
      <c r="AB20" s="117">
        <f t="shared" si="10"/>
        <v>0.01459733</v>
      </c>
      <c r="AC20" s="117">
        <f t="shared" si="11"/>
        <v>7.164130854</v>
      </c>
      <c r="AD20" s="117">
        <f t="shared" si="12"/>
        <v>26.00057912</v>
      </c>
      <c r="AE20" s="122">
        <f>27361/1000</f>
        <v>27.361</v>
      </c>
      <c r="AF20" s="120">
        <f t="shared" si="13"/>
        <v>0.05232271438</v>
      </c>
      <c r="AG20" s="115">
        <f t="shared" si="16"/>
        <v>456.335</v>
      </c>
      <c r="AH20" s="125" t="s">
        <v>1371</v>
      </c>
      <c r="AI20" s="132">
        <v>6635.56</v>
      </c>
      <c r="AJ20" s="143">
        <f>57.5+15176.12</f>
        <v>15233.62</v>
      </c>
      <c r="AK20" s="132">
        <f>55*5</f>
        <v>275</v>
      </c>
      <c r="AL20" s="146">
        <v>1000.0</v>
      </c>
      <c r="AM20" s="146">
        <f t="shared" si="17"/>
        <v>23144.18</v>
      </c>
      <c r="AN20" s="146">
        <f t="shared" si="18"/>
        <v>845.882095</v>
      </c>
      <c r="AO20" s="146">
        <v>600.0</v>
      </c>
      <c r="AP20" s="146">
        <f t="shared" si="19"/>
        <v>-6727.58</v>
      </c>
      <c r="AQ20" s="133">
        <f t="shared" ref="AQ20:AQ44" si="28">((AO20*AD20)-AM20)/(AD20*AO20)</f>
        <v>-0.483568237</v>
      </c>
      <c r="AR20" s="140"/>
      <c r="AS20" s="140" t="str">
        <f>AE20/#REF!</f>
        <v>#REF!</v>
      </c>
      <c r="AT20" s="140"/>
      <c r="AU20" s="140"/>
      <c r="AV20" s="140"/>
    </row>
    <row r="21">
      <c r="A21" s="106">
        <v>20.0</v>
      </c>
      <c r="B21" s="106" t="s">
        <v>1411</v>
      </c>
      <c r="C21" s="106" t="s">
        <v>1363</v>
      </c>
      <c r="D21" s="4" t="s">
        <v>80</v>
      </c>
      <c r="E21" s="2" t="s">
        <v>81</v>
      </c>
      <c r="F21" s="128">
        <v>45069.0</v>
      </c>
      <c r="G21" s="142">
        <v>45073.0</v>
      </c>
      <c r="H21" s="142"/>
      <c r="I21" s="142">
        <v>45076.0</v>
      </c>
      <c r="J21" s="138"/>
      <c r="K21" s="130">
        <v>327.52</v>
      </c>
      <c r="L21" s="131">
        <f t="shared" si="25"/>
        <v>0</v>
      </c>
      <c r="M21" s="112" t="s">
        <v>1364</v>
      </c>
      <c r="N21" s="113">
        <v>20.13</v>
      </c>
      <c r="O21" s="130">
        <f>K21*N21</f>
        <v>6592.9776</v>
      </c>
      <c r="P21" s="4"/>
      <c r="Q21" s="113" t="s">
        <v>1412</v>
      </c>
      <c r="R21" s="114">
        <f t="shared" ref="R21:R22" si="29">(0.4469+0.4377)/2</f>
        <v>0.4423</v>
      </c>
      <c r="S21" s="114"/>
      <c r="T21" s="136" t="s">
        <v>1365</v>
      </c>
      <c r="U21" s="115">
        <f t="shared" si="27"/>
        <v>32.62367754</v>
      </c>
      <c r="V21" s="116">
        <f t="shared" si="4"/>
        <v>0.68</v>
      </c>
      <c r="W21" s="116">
        <f t="shared" si="5"/>
        <v>0.2</v>
      </c>
      <c r="X21" s="117">
        <f t="shared" si="6"/>
        <v>0.001028998235</v>
      </c>
      <c r="Y21" s="117">
        <f t="shared" si="7"/>
        <v>2.828265</v>
      </c>
      <c r="Z21" s="118">
        <f t="shared" si="8"/>
        <v>2030</v>
      </c>
      <c r="AA21" s="117">
        <f t="shared" si="9"/>
        <v>4.27436394</v>
      </c>
      <c r="AB21" s="117">
        <f t="shared" si="10"/>
        <v>0.014503665</v>
      </c>
      <c r="AC21" s="117">
        <f t="shared" si="11"/>
        <v>7.118161603</v>
      </c>
      <c r="AD21" s="117">
        <f t="shared" si="12"/>
        <v>25.50551594</v>
      </c>
      <c r="AE21" s="122">
        <f>26856/1000</f>
        <v>26.856</v>
      </c>
      <c r="AF21" s="120">
        <f t="shared" si="13"/>
        <v>0.05294870575</v>
      </c>
      <c r="AG21" s="115">
        <f t="shared" si="16"/>
        <v>483.191</v>
      </c>
      <c r="AH21" s="147" t="s">
        <v>1413</v>
      </c>
      <c r="AI21" s="132">
        <v>6592.98</v>
      </c>
      <c r="AJ21" s="143">
        <f>87.16+15716.12</f>
        <v>15803.28</v>
      </c>
      <c r="AK21" s="132">
        <f>5*55</f>
        <v>275</v>
      </c>
      <c r="AL21" s="146">
        <v>1000.0</v>
      </c>
      <c r="AM21" s="146">
        <f t="shared" si="17"/>
        <v>23671.26</v>
      </c>
      <c r="AN21" s="124">
        <f t="shared" si="18"/>
        <v>881.4142091</v>
      </c>
      <c r="AO21" s="148">
        <v>600.0</v>
      </c>
      <c r="AP21" s="148">
        <f t="shared" ref="AP21:AP44" si="30">(AO21*AD21)-AM21</f>
        <v>-8367.950435</v>
      </c>
      <c r="AQ21" s="149">
        <f t="shared" si="28"/>
        <v>-0.5468065845</v>
      </c>
      <c r="AR21" s="140"/>
      <c r="AS21" s="140">
        <f>AE21/N20</f>
        <v>1.325567621</v>
      </c>
      <c r="AT21" s="140"/>
      <c r="AU21" s="140"/>
      <c r="AV21" s="140"/>
      <c r="BB21" s="4"/>
      <c r="BC21" s="4"/>
    </row>
    <row r="22">
      <c r="A22" s="106">
        <v>21.0</v>
      </c>
      <c r="B22" s="106" t="s">
        <v>1414</v>
      </c>
      <c r="C22" s="106" t="s">
        <v>1392</v>
      </c>
      <c r="D22" s="4" t="s">
        <v>80</v>
      </c>
      <c r="E22" s="2" t="s">
        <v>81</v>
      </c>
      <c r="F22" s="128">
        <v>45040.0</v>
      </c>
      <c r="G22" s="142">
        <v>45072.0</v>
      </c>
      <c r="H22" s="142"/>
      <c r="I22" s="142">
        <v>45077.0</v>
      </c>
      <c r="J22" s="138"/>
      <c r="K22" s="130"/>
      <c r="L22" s="129"/>
      <c r="M22" s="112" t="s">
        <v>1364</v>
      </c>
      <c r="N22" s="150">
        <v>20.7</v>
      </c>
      <c r="O22" s="145"/>
      <c r="P22" s="4"/>
      <c r="Q22" s="113" t="s">
        <v>1415</v>
      </c>
      <c r="R22" s="114">
        <f t="shared" si="29"/>
        <v>0.4423</v>
      </c>
      <c r="S22" s="114"/>
      <c r="T22" s="136" t="s">
        <v>1365</v>
      </c>
      <c r="U22" s="115">
        <f>N21*R22*(44.01/12.011)</f>
        <v>32.62367754</v>
      </c>
      <c r="V22" s="116">
        <f t="shared" si="4"/>
        <v>0.68</v>
      </c>
      <c r="W22" s="116">
        <f t="shared" si="5"/>
        <v>0.2</v>
      </c>
      <c r="X22" s="117">
        <f>(0.1738*((N21/V22)*W22))/1000</f>
        <v>0.001028998235</v>
      </c>
      <c r="Y22" s="117">
        <f>IF(D22="AECN",(140.5*N21)/1000,ERROR)</f>
        <v>2.828265</v>
      </c>
      <c r="Z22" s="118">
        <f t="shared" si="8"/>
        <v>2030</v>
      </c>
      <c r="AA22" s="117">
        <f>(0.1046*N21*Z22)/1000</f>
        <v>4.27436394</v>
      </c>
      <c r="AB22" s="117">
        <f>(0.7205*N21)/1000</f>
        <v>0.014503665</v>
      </c>
      <c r="AC22" s="117">
        <f t="shared" si="11"/>
        <v>7.118161603</v>
      </c>
      <c r="AD22" s="117">
        <f t="shared" si="12"/>
        <v>25.50551594</v>
      </c>
      <c r="AE22" s="122">
        <f>27614/1000</f>
        <v>27.614</v>
      </c>
      <c r="AF22" s="120">
        <f t="shared" si="13"/>
        <v>0.08266776737</v>
      </c>
      <c r="AG22" s="115">
        <f t="shared" si="16"/>
        <v>510.805</v>
      </c>
      <c r="AH22" s="125" t="s">
        <v>1371</v>
      </c>
      <c r="AI22" s="132">
        <v>6779.66</v>
      </c>
      <c r="AJ22" s="143">
        <f>222.16+15716.12</f>
        <v>15938.28</v>
      </c>
      <c r="AK22" s="132">
        <f>8*55</f>
        <v>440</v>
      </c>
      <c r="AL22" s="146">
        <v>1000.0</v>
      </c>
      <c r="AM22" s="146">
        <f t="shared" si="17"/>
        <v>24157.94</v>
      </c>
      <c r="AN22" s="124">
        <f t="shared" si="18"/>
        <v>874.8439198</v>
      </c>
      <c r="AO22" s="148">
        <v>600.0</v>
      </c>
      <c r="AP22" s="148">
        <f t="shared" si="30"/>
        <v>-8854.630435</v>
      </c>
      <c r="AQ22" s="149">
        <f t="shared" si="28"/>
        <v>-0.5786088557</v>
      </c>
      <c r="AR22" s="140"/>
      <c r="AS22" s="140">
        <f>AE22/N22</f>
        <v>1.334009662</v>
      </c>
      <c r="AT22" s="140"/>
      <c r="AU22" s="140"/>
      <c r="AV22" s="140"/>
      <c r="BA22" s="145"/>
      <c r="BB22" s="142"/>
      <c r="BC22" s="142"/>
    </row>
    <row r="23">
      <c r="A23" s="106">
        <v>22.0</v>
      </c>
      <c r="B23" s="106" t="s">
        <v>1416</v>
      </c>
      <c r="C23" s="106" t="s">
        <v>1363</v>
      </c>
      <c r="D23" s="4" t="s">
        <v>80</v>
      </c>
      <c r="E23" s="2" t="s">
        <v>81</v>
      </c>
      <c r="F23" s="128">
        <v>45069.0</v>
      </c>
      <c r="G23" s="142">
        <v>45081.0</v>
      </c>
      <c r="H23" s="142"/>
      <c r="I23" s="142">
        <v>45085.0</v>
      </c>
      <c r="J23" s="138"/>
      <c r="K23" s="138"/>
      <c r="L23" s="138"/>
      <c r="M23" s="112" t="s">
        <v>1364</v>
      </c>
      <c r="N23" s="113">
        <v>20.45</v>
      </c>
      <c r="O23" s="136"/>
      <c r="P23" s="138"/>
      <c r="Q23" s="113" t="s">
        <v>1417</v>
      </c>
      <c r="R23" s="114">
        <f t="shared" ref="R23:R26" si="31">(0.4442+0.4413)/2</f>
        <v>0.44275</v>
      </c>
      <c r="S23" s="114"/>
      <c r="T23" s="136" t="s">
        <v>1365</v>
      </c>
      <c r="U23" s="115">
        <f>N25*R23*(44.01/12.011)</f>
        <v>32.68931514</v>
      </c>
      <c r="V23" s="116">
        <f t="shared" si="4"/>
        <v>0.68</v>
      </c>
      <c r="W23" s="116">
        <f t="shared" si="5"/>
        <v>0.2</v>
      </c>
      <c r="X23" s="117">
        <f>(0.1738*((N25/V23)*W23))/1000</f>
        <v>0.001030020588</v>
      </c>
      <c r="Y23" s="117">
        <f>IF(D23="AECN",(140.5*N25)/1000,ERROR)</f>
        <v>2.831075</v>
      </c>
      <c r="Z23" s="118">
        <f t="shared" si="8"/>
        <v>2030</v>
      </c>
      <c r="AA23" s="117">
        <f>(0.1046*N25*Z23)/1000</f>
        <v>4.2786107</v>
      </c>
      <c r="AB23" s="117">
        <f>(0.7205*N25)/1000</f>
        <v>0.014518075</v>
      </c>
      <c r="AC23" s="117">
        <f t="shared" si="11"/>
        <v>7.125233796</v>
      </c>
      <c r="AD23" s="117">
        <f t="shared" si="12"/>
        <v>25.56408134</v>
      </c>
      <c r="AE23" s="122">
        <f>27319/1000</f>
        <v>27.319</v>
      </c>
      <c r="AF23" s="120">
        <f t="shared" si="13"/>
        <v>0.06864782794</v>
      </c>
      <c r="AG23" s="115">
        <f>IF(T23="verified",IFERROR(AG22+#REF!,AG22), IFERROR(AG22+AD23,AG22))</f>
        <v>510.805</v>
      </c>
      <c r="AH23" s="125" t="s">
        <v>1371</v>
      </c>
      <c r="AI23" s="132">
        <f>N23*References!$B$6</f>
        <v>6697.784</v>
      </c>
      <c r="AJ23" s="151">
        <f>215.16+15716.12</f>
        <v>15931.28</v>
      </c>
      <c r="AK23" s="151">
        <f>References!$B$8*55</f>
        <v>385</v>
      </c>
      <c r="AL23" s="152">
        <v>1000.0</v>
      </c>
      <c r="AM23" s="148">
        <f t="shared" si="17"/>
        <v>24014.064</v>
      </c>
      <c r="AN23" s="146">
        <f t="shared" si="18"/>
        <v>879.0242688</v>
      </c>
      <c r="AO23" s="148">
        <v>600.0</v>
      </c>
      <c r="AP23" s="148">
        <f t="shared" si="30"/>
        <v>-8675.615194</v>
      </c>
      <c r="AQ23" s="149">
        <f t="shared" si="28"/>
        <v>-0.5656122926</v>
      </c>
      <c r="AR23" s="140"/>
      <c r="AS23" s="140" t="str">
        <f>#REF!/N25</f>
        <v>#REF!</v>
      </c>
      <c r="AT23" s="140"/>
      <c r="AU23" s="140"/>
      <c r="AV23" s="140"/>
      <c r="BA23" s="145"/>
      <c r="BB23" s="142"/>
      <c r="BC23" s="142"/>
    </row>
    <row r="24">
      <c r="A24" s="106">
        <v>23.0</v>
      </c>
      <c r="B24" s="106" t="s">
        <v>1418</v>
      </c>
      <c r="C24" s="106" t="s">
        <v>1392</v>
      </c>
      <c r="D24" s="4" t="s">
        <v>80</v>
      </c>
      <c r="E24" s="2" t="s">
        <v>81</v>
      </c>
      <c r="F24" s="128">
        <v>45069.0</v>
      </c>
      <c r="G24" s="142">
        <v>45082.0</v>
      </c>
      <c r="H24" s="142"/>
      <c r="I24" s="142">
        <v>45085.0</v>
      </c>
      <c r="J24" s="138"/>
      <c r="K24" s="138"/>
      <c r="L24" s="138"/>
      <c r="M24" s="112" t="s">
        <v>1364</v>
      </c>
      <c r="N24" s="113">
        <v>20.81</v>
      </c>
      <c r="O24" s="136"/>
      <c r="P24" s="138"/>
      <c r="Q24" s="113" t="s">
        <v>1419</v>
      </c>
      <c r="R24" s="114">
        <f t="shared" si="31"/>
        <v>0.44275</v>
      </c>
      <c r="S24" s="114"/>
      <c r="T24" s="136" t="s">
        <v>1365</v>
      </c>
      <c r="U24" s="115">
        <f>N23*R24*(44.01/12.011)</f>
        <v>33.17600469</v>
      </c>
      <c r="V24" s="116">
        <f t="shared" si="4"/>
        <v>0.68</v>
      </c>
      <c r="W24" s="116">
        <f t="shared" si="5"/>
        <v>0.2</v>
      </c>
      <c r="X24" s="117">
        <f>(0.1738*((N23/V24)*W24))/1000</f>
        <v>0.001045355882</v>
      </c>
      <c r="Y24" s="117">
        <f>IF(D24="AECN",(140.5*N23)/1000,ERROR)</f>
        <v>2.873225</v>
      </c>
      <c r="Z24" s="118">
        <f t="shared" si="8"/>
        <v>2030</v>
      </c>
      <c r="AA24" s="117">
        <f>(0.1046*N23*Z24)/1000</f>
        <v>4.3423121</v>
      </c>
      <c r="AB24" s="117">
        <f>(0.7205*N23)/1000</f>
        <v>0.014734225</v>
      </c>
      <c r="AC24" s="117">
        <f t="shared" si="11"/>
        <v>7.231316681</v>
      </c>
      <c r="AD24" s="117">
        <f t="shared" si="12"/>
        <v>25.94468801</v>
      </c>
      <c r="AE24" s="119">
        <f>27800/1000</f>
        <v>27.8</v>
      </c>
      <c r="AF24" s="120">
        <f t="shared" si="13"/>
        <v>0.0715102832</v>
      </c>
      <c r="AG24" s="115">
        <f>IF(T24="verified",IFERROR(AG23+AE23,AG23), IFERROR(AG23+AD24,AG23))</f>
        <v>538.124</v>
      </c>
      <c r="AH24" s="147" t="s">
        <v>1413</v>
      </c>
      <c r="AI24" s="132">
        <f>N23*References!$B$6</f>
        <v>6697.784</v>
      </c>
      <c r="AJ24" s="151">
        <f>220.16+15716.12</f>
        <v>15936.28</v>
      </c>
      <c r="AK24" s="151">
        <f>References!$B$8*55</f>
        <v>385</v>
      </c>
      <c r="AL24" s="152">
        <v>1000.0</v>
      </c>
      <c r="AM24" s="148">
        <f t="shared" si="17"/>
        <v>24019.064</v>
      </c>
      <c r="AN24" s="124">
        <f t="shared" si="18"/>
        <v>863.9951079</v>
      </c>
      <c r="AO24" s="148">
        <v>600.0</v>
      </c>
      <c r="AP24" s="148">
        <f t="shared" si="30"/>
        <v>-8452.251192</v>
      </c>
      <c r="AQ24" s="149">
        <f t="shared" si="28"/>
        <v>-0.5429660713</v>
      </c>
      <c r="AR24" s="140"/>
      <c r="AS24" s="140">
        <f>AE23/N23</f>
        <v>1.335892421</v>
      </c>
      <c r="AT24" s="140"/>
      <c r="AU24" s="140"/>
      <c r="AV24" s="140"/>
      <c r="BA24" s="145"/>
      <c r="BB24" s="142"/>
      <c r="BC24" s="142"/>
    </row>
    <row r="25">
      <c r="A25" s="106">
        <v>24.0</v>
      </c>
      <c r="B25" s="106" t="s">
        <v>1420</v>
      </c>
      <c r="C25" s="144" t="s">
        <v>1409</v>
      </c>
      <c r="D25" s="4" t="s">
        <v>80</v>
      </c>
      <c r="E25" s="2" t="s">
        <v>81</v>
      </c>
      <c r="F25" s="128">
        <v>45069.0</v>
      </c>
      <c r="G25" s="142">
        <v>45083.0</v>
      </c>
      <c r="H25" s="153"/>
      <c r="I25" s="153">
        <v>45090.0</v>
      </c>
      <c r="J25" s="138"/>
      <c r="K25" s="138"/>
      <c r="L25" s="138"/>
      <c r="M25" s="112" t="s">
        <v>1364</v>
      </c>
      <c r="N25" s="113">
        <v>20.15</v>
      </c>
      <c r="O25" s="136"/>
      <c r="P25" s="138"/>
      <c r="Q25" s="113" t="s">
        <v>1421</v>
      </c>
      <c r="R25" s="114">
        <f t="shared" si="31"/>
        <v>0.44275</v>
      </c>
      <c r="S25" s="114"/>
      <c r="T25" s="136" t="s">
        <v>1365</v>
      </c>
      <c r="U25" s="115">
        <f t="shared" ref="U25:U80" si="32">N25*R25*(44.01/12.011)</f>
        <v>32.68931514</v>
      </c>
      <c r="V25" s="116">
        <f t="shared" si="4"/>
        <v>0.68</v>
      </c>
      <c r="W25" s="116">
        <f t="shared" si="5"/>
        <v>0.2</v>
      </c>
      <c r="X25" s="117">
        <f t="shared" ref="X25:X80" si="33">(0.1738*((N25/V25)*W25))/1000</f>
        <v>0.001030020588</v>
      </c>
      <c r="Y25" s="117">
        <f t="shared" ref="Y25:Y80" si="34">IF(D25="AECN",(140.5*N25)/1000,ERROR)</f>
        <v>2.831075</v>
      </c>
      <c r="Z25" s="118">
        <f t="shared" si="8"/>
        <v>2030</v>
      </c>
      <c r="AA25" s="117">
        <f t="shared" ref="AA25:AA80" si="35">(0.1046*N25*Z25)/1000</f>
        <v>4.2786107</v>
      </c>
      <c r="AB25" s="117">
        <f t="shared" ref="AB25:AB80" si="36">(0.7205*N25)/1000</f>
        <v>0.014518075</v>
      </c>
      <c r="AC25" s="117">
        <f t="shared" si="11"/>
        <v>7.125233796</v>
      </c>
      <c r="AD25" s="117">
        <f t="shared" si="12"/>
        <v>25.56408134</v>
      </c>
      <c r="AE25" s="122">
        <f>26917/1000</f>
        <v>26.917</v>
      </c>
      <c r="AF25" s="120">
        <f t="shared" si="13"/>
        <v>0.05292263936</v>
      </c>
      <c r="AG25" s="115">
        <f t="shared" ref="AG25:AG80" si="37">IF(T25="verified",IFERROR(AG24+AE25,AG24), IFERROR(AG24+AD25,AG24))</f>
        <v>565.041</v>
      </c>
      <c r="AH25" s="125" t="s">
        <v>1371</v>
      </c>
      <c r="AI25" s="132">
        <f>N25*References!$B$6</f>
        <v>6599.528</v>
      </c>
      <c r="AJ25" s="151">
        <f t="shared" ref="AJ25:AJ44" si="38">200+15716.12</f>
        <v>15916.12</v>
      </c>
      <c r="AK25" s="151">
        <f>References!$B$8*55</f>
        <v>385</v>
      </c>
      <c r="AL25" s="152">
        <v>1000.0</v>
      </c>
      <c r="AM25" s="148">
        <f t="shared" si="17"/>
        <v>23900.648</v>
      </c>
      <c r="AN25" s="124">
        <f t="shared" si="18"/>
        <v>887.9387748</v>
      </c>
      <c r="AO25" s="148">
        <v>600.0</v>
      </c>
      <c r="AP25" s="148">
        <f t="shared" si="30"/>
        <v>-8562.199194</v>
      </c>
      <c r="AQ25" s="149">
        <f t="shared" si="28"/>
        <v>-0.5582180638</v>
      </c>
      <c r="AR25" s="140"/>
      <c r="AS25" s="140" t="str">
        <f>AE25/#REF!</f>
        <v>#REF!</v>
      </c>
      <c r="AT25" s="140"/>
      <c r="AU25" s="140"/>
      <c r="AV25" s="140"/>
      <c r="BA25" s="145"/>
      <c r="BB25" s="142"/>
      <c r="BC25" s="142"/>
    </row>
    <row r="26">
      <c r="A26" s="106">
        <v>25.0</v>
      </c>
      <c r="B26" s="106" t="s">
        <v>1422</v>
      </c>
      <c r="C26" s="144" t="s">
        <v>1423</v>
      </c>
      <c r="D26" s="4" t="s">
        <v>80</v>
      </c>
      <c r="E26" s="2" t="s">
        <v>81</v>
      </c>
      <c r="F26" s="128">
        <v>45069.0</v>
      </c>
      <c r="G26" s="153">
        <v>45085.0</v>
      </c>
      <c r="H26" s="153"/>
      <c r="I26" s="153">
        <v>45091.0</v>
      </c>
      <c r="J26" s="138"/>
      <c r="K26" s="138"/>
      <c r="L26" s="138"/>
      <c r="M26" s="112" t="s">
        <v>1364</v>
      </c>
      <c r="N26" s="113">
        <v>19.79</v>
      </c>
      <c r="O26" s="136"/>
      <c r="P26" s="138"/>
      <c r="Q26" s="113" t="s">
        <v>1422</v>
      </c>
      <c r="R26" s="114">
        <f t="shared" si="31"/>
        <v>0.44275</v>
      </c>
      <c r="S26" s="114"/>
      <c r="T26" s="136" t="s">
        <v>1365</v>
      </c>
      <c r="U26" s="115">
        <f t="shared" si="32"/>
        <v>32.10528767</v>
      </c>
      <c r="V26" s="116">
        <f t="shared" si="4"/>
        <v>0.68</v>
      </c>
      <c r="W26" s="116">
        <f t="shared" si="5"/>
        <v>0.2</v>
      </c>
      <c r="X26" s="117">
        <f t="shared" si="33"/>
        <v>0.001011618235</v>
      </c>
      <c r="Y26" s="117">
        <f t="shared" si="34"/>
        <v>2.780495</v>
      </c>
      <c r="Z26" s="118">
        <f t="shared" si="8"/>
        <v>2030</v>
      </c>
      <c r="AA26" s="117">
        <f t="shared" si="35"/>
        <v>4.20216902</v>
      </c>
      <c r="AB26" s="117">
        <f t="shared" si="36"/>
        <v>0.014258695</v>
      </c>
      <c r="AC26" s="117">
        <f t="shared" si="11"/>
        <v>6.997934333</v>
      </c>
      <c r="AD26" s="117">
        <f t="shared" si="12"/>
        <v>25.10735334</v>
      </c>
      <c r="AE26" s="122">
        <f>26436/1000</f>
        <v>26.436</v>
      </c>
      <c r="AF26" s="120">
        <f t="shared" si="13"/>
        <v>0.05291862681</v>
      </c>
      <c r="AG26" s="115">
        <f t="shared" si="37"/>
        <v>591.477</v>
      </c>
      <c r="AH26" s="125" t="s">
        <v>1371</v>
      </c>
      <c r="AI26" s="132">
        <f>N26*References!$B$6</f>
        <v>6481.6208</v>
      </c>
      <c r="AJ26" s="151">
        <f t="shared" si="38"/>
        <v>15916.12</v>
      </c>
      <c r="AK26" s="151">
        <f>References!$B$8*55</f>
        <v>385</v>
      </c>
      <c r="AL26" s="152">
        <v>1000.0</v>
      </c>
      <c r="AM26" s="148">
        <f t="shared" si="17"/>
        <v>23782.7408</v>
      </c>
      <c r="AN26" s="146">
        <f t="shared" si="18"/>
        <v>899.6346195</v>
      </c>
      <c r="AO26" s="148">
        <v>600.0</v>
      </c>
      <c r="AP26" s="148">
        <f t="shared" si="30"/>
        <v>-8718.328797</v>
      </c>
      <c r="AQ26" s="149">
        <f t="shared" si="28"/>
        <v>-0.5787367469</v>
      </c>
      <c r="AR26" s="140"/>
      <c r="AS26" s="140">
        <f t="shared" ref="AS26:AS80" si="39">AE26/N26</f>
        <v>1.335826175</v>
      </c>
      <c r="AT26" s="140"/>
      <c r="AU26" s="140"/>
      <c r="AV26" s="140"/>
      <c r="BA26" s="145"/>
      <c r="BB26" s="145"/>
      <c r="BC26" s="145"/>
      <c r="BD26" s="4"/>
      <c r="BE26" s="4"/>
    </row>
    <row r="27">
      <c r="A27" s="106">
        <v>26.0</v>
      </c>
      <c r="B27" s="106" t="s">
        <v>1424</v>
      </c>
      <c r="C27" s="106" t="s">
        <v>1363</v>
      </c>
      <c r="D27" s="4" t="s">
        <v>80</v>
      </c>
      <c r="E27" s="2" t="s">
        <v>81</v>
      </c>
      <c r="F27" s="128">
        <v>45069.0</v>
      </c>
      <c r="G27" s="142">
        <v>45089.0</v>
      </c>
      <c r="H27" s="108"/>
      <c r="I27" s="108">
        <v>45093.0</v>
      </c>
      <c r="J27" s="138"/>
      <c r="K27" s="138"/>
      <c r="L27" s="138"/>
      <c r="M27" s="112" t="s">
        <v>1364</v>
      </c>
      <c r="N27" s="113">
        <v>19.82</v>
      </c>
      <c r="O27" s="136"/>
      <c r="P27" s="138"/>
      <c r="Q27" s="113" t="s">
        <v>1424</v>
      </c>
      <c r="R27" s="133">
        <v>0.434</v>
      </c>
      <c r="S27" s="133"/>
      <c r="T27" s="136" t="s">
        <v>1365</v>
      </c>
      <c r="U27" s="115">
        <f t="shared" si="32"/>
        <v>31.51850294</v>
      </c>
      <c r="V27" s="116">
        <f t="shared" si="4"/>
        <v>0.68</v>
      </c>
      <c r="W27" s="116">
        <f t="shared" si="5"/>
        <v>0.2</v>
      </c>
      <c r="X27" s="117">
        <f t="shared" si="33"/>
        <v>0.001013151765</v>
      </c>
      <c r="Y27" s="117">
        <f t="shared" si="34"/>
        <v>2.78471</v>
      </c>
      <c r="Z27" s="118">
        <f t="shared" si="8"/>
        <v>2030</v>
      </c>
      <c r="AA27" s="117">
        <f t="shared" si="35"/>
        <v>4.20853916</v>
      </c>
      <c r="AB27" s="117">
        <f t="shared" si="36"/>
        <v>0.01428031</v>
      </c>
      <c r="AC27" s="117">
        <f t="shared" si="11"/>
        <v>7.008542622</v>
      </c>
      <c r="AD27" s="117">
        <f t="shared" si="12"/>
        <v>24.50996032</v>
      </c>
      <c r="AE27" s="122">
        <f>25837/1000</f>
        <v>25.837</v>
      </c>
      <c r="AF27" s="120">
        <f t="shared" si="13"/>
        <v>0.05414287358</v>
      </c>
      <c r="AG27" s="115">
        <f t="shared" si="37"/>
        <v>617.314</v>
      </c>
      <c r="AH27" s="147"/>
      <c r="AI27" s="132">
        <f>N27*References!$B$6</f>
        <v>6491.4464</v>
      </c>
      <c r="AJ27" s="151">
        <f t="shared" si="38"/>
        <v>15916.12</v>
      </c>
      <c r="AK27" s="151">
        <f>References!$B$8*55</f>
        <v>385</v>
      </c>
      <c r="AL27" s="152">
        <v>1000.0</v>
      </c>
      <c r="AM27" s="148">
        <f t="shared" si="17"/>
        <v>23792.5664</v>
      </c>
      <c r="AN27" s="124">
        <f t="shared" si="18"/>
        <v>920.8718659</v>
      </c>
      <c r="AO27" s="148">
        <v>600.0</v>
      </c>
      <c r="AP27" s="148">
        <f t="shared" si="30"/>
        <v>-9086.59021</v>
      </c>
      <c r="AQ27" s="149">
        <f t="shared" si="28"/>
        <v>-0.6178841916</v>
      </c>
      <c r="AR27" s="2" t="s">
        <v>1425</v>
      </c>
      <c r="AS27" s="140">
        <f t="shared" si="39"/>
        <v>1.30358224</v>
      </c>
      <c r="AT27" s="140"/>
      <c r="AU27" s="140"/>
      <c r="AV27" s="140"/>
      <c r="BA27" s="154"/>
      <c r="BD27" s="145"/>
      <c r="BE27" s="155"/>
    </row>
    <row r="28">
      <c r="A28" s="106">
        <v>27.0</v>
      </c>
      <c r="B28" s="106" t="s">
        <v>1426</v>
      </c>
      <c r="C28" s="106" t="s">
        <v>1427</v>
      </c>
      <c r="D28" s="4" t="s">
        <v>80</v>
      </c>
      <c r="E28" s="2" t="s">
        <v>81</v>
      </c>
      <c r="F28" s="128">
        <v>45069.0</v>
      </c>
      <c r="G28" s="142">
        <v>45090.0</v>
      </c>
      <c r="H28" s="135"/>
      <c r="I28" s="135">
        <v>45094.0</v>
      </c>
      <c r="J28" s="138"/>
      <c r="K28" s="138"/>
      <c r="L28" s="138"/>
      <c r="M28" s="112" t="s">
        <v>1364</v>
      </c>
      <c r="N28" s="113">
        <v>20.81</v>
      </c>
      <c r="O28" s="138"/>
      <c r="P28" s="138"/>
      <c r="Q28" s="113" t="s">
        <v>1426</v>
      </c>
      <c r="R28" s="133">
        <v>0.433</v>
      </c>
      <c r="S28" s="133"/>
      <c r="T28" s="136" t="s">
        <v>1365</v>
      </c>
      <c r="U28" s="115">
        <f t="shared" si="32"/>
        <v>33.01658707</v>
      </c>
      <c r="V28" s="116">
        <f t="shared" si="4"/>
        <v>0.68</v>
      </c>
      <c r="W28" s="116">
        <f t="shared" si="5"/>
        <v>0.2</v>
      </c>
      <c r="X28" s="117">
        <f t="shared" si="33"/>
        <v>0.001063758235</v>
      </c>
      <c r="Y28" s="117">
        <f t="shared" si="34"/>
        <v>2.923805</v>
      </c>
      <c r="Z28" s="118">
        <f t="shared" si="8"/>
        <v>2030</v>
      </c>
      <c r="AA28" s="117">
        <f t="shared" si="35"/>
        <v>4.41875378</v>
      </c>
      <c r="AB28" s="117">
        <f t="shared" si="36"/>
        <v>0.014993605</v>
      </c>
      <c r="AC28" s="117">
        <f t="shared" si="11"/>
        <v>7.358616143</v>
      </c>
      <c r="AD28" s="117">
        <f t="shared" si="12"/>
        <v>25.65797093</v>
      </c>
      <c r="AE28" s="122">
        <f>27051/1000</f>
        <v>27.051</v>
      </c>
      <c r="AF28" s="120">
        <f t="shared" si="13"/>
        <v>0.05429225394</v>
      </c>
      <c r="AG28" s="115">
        <f t="shared" si="37"/>
        <v>644.365</v>
      </c>
      <c r="AH28" s="147"/>
      <c r="AI28" s="132">
        <f>N28*References!$B$6</f>
        <v>6815.6912</v>
      </c>
      <c r="AJ28" s="151">
        <f t="shared" si="38"/>
        <v>15916.12</v>
      </c>
      <c r="AK28" s="151">
        <f>References!$B$8*55</f>
        <v>385</v>
      </c>
      <c r="AL28" s="152">
        <v>1000.0</v>
      </c>
      <c r="AM28" s="148">
        <f t="shared" si="17"/>
        <v>24116.8112</v>
      </c>
      <c r="AN28" s="124">
        <f t="shared" si="18"/>
        <v>891.5312262</v>
      </c>
      <c r="AO28" s="148">
        <v>600.0</v>
      </c>
      <c r="AP28" s="148">
        <f t="shared" si="30"/>
        <v>-8722.028644</v>
      </c>
      <c r="AQ28" s="149">
        <f t="shared" si="28"/>
        <v>-0.5665574432</v>
      </c>
      <c r="AR28" s="140"/>
      <c r="AS28" s="140">
        <f t="shared" si="39"/>
        <v>1.299903892</v>
      </c>
      <c r="AT28" s="140"/>
      <c r="AU28" s="140"/>
      <c r="AV28" s="140"/>
      <c r="BA28" s="145"/>
      <c r="BD28" s="145"/>
      <c r="BE28" s="156"/>
    </row>
    <row r="29">
      <c r="A29" s="106">
        <v>28.0</v>
      </c>
      <c r="B29" s="106" t="s">
        <v>1428</v>
      </c>
      <c r="C29" s="106" t="s">
        <v>1363</v>
      </c>
      <c r="D29" s="4" t="s">
        <v>80</v>
      </c>
      <c r="E29" s="2" t="s">
        <v>81</v>
      </c>
      <c r="F29" s="128"/>
      <c r="G29" s="142">
        <v>45092.0</v>
      </c>
      <c r="H29" s="142"/>
      <c r="I29" s="142">
        <v>45096.0</v>
      </c>
      <c r="J29" s="138"/>
      <c r="K29" s="138"/>
      <c r="L29" s="138"/>
      <c r="M29" s="112" t="s">
        <v>1364</v>
      </c>
      <c r="N29" s="113">
        <v>19.77</v>
      </c>
      <c r="O29" s="136"/>
      <c r="P29" s="138"/>
      <c r="Q29" s="113" t="s">
        <v>1428</v>
      </c>
      <c r="R29" s="133">
        <v>0.429</v>
      </c>
      <c r="S29" s="133"/>
      <c r="T29" s="136" t="s">
        <v>1365</v>
      </c>
      <c r="U29" s="115">
        <f t="shared" si="32"/>
        <v>31.07679072</v>
      </c>
      <c r="V29" s="116">
        <f t="shared" si="4"/>
        <v>0.68</v>
      </c>
      <c r="W29" s="116">
        <f t="shared" si="5"/>
        <v>0.2</v>
      </c>
      <c r="X29" s="117">
        <f t="shared" si="33"/>
        <v>0.001010595882</v>
      </c>
      <c r="Y29" s="117">
        <f t="shared" si="34"/>
        <v>2.777685</v>
      </c>
      <c r="Z29" s="118">
        <f t="shared" si="8"/>
        <v>2030</v>
      </c>
      <c r="AA29" s="117">
        <f t="shared" si="35"/>
        <v>4.19792226</v>
      </c>
      <c r="AB29" s="117">
        <f t="shared" si="36"/>
        <v>0.014244285</v>
      </c>
      <c r="AC29" s="117">
        <f t="shared" si="11"/>
        <v>6.990862141</v>
      </c>
      <c r="AD29" s="117">
        <f t="shared" si="12"/>
        <v>24.08592858</v>
      </c>
      <c r="AE29" s="122">
        <f>25410/1000</f>
        <v>25.41</v>
      </c>
      <c r="AF29" s="120">
        <f t="shared" si="13"/>
        <v>0.05497282033</v>
      </c>
      <c r="AG29" s="115">
        <f t="shared" si="37"/>
        <v>669.775</v>
      </c>
      <c r="AH29" s="147"/>
      <c r="AI29" s="132">
        <f>N29*References!$B$6</f>
        <v>6475.0704</v>
      </c>
      <c r="AJ29" s="151">
        <f t="shared" si="38"/>
        <v>15916.12</v>
      </c>
      <c r="AK29" s="151">
        <f>References!$B$8*55</f>
        <v>385</v>
      </c>
      <c r="AL29" s="152">
        <v>1000.0</v>
      </c>
      <c r="AM29" s="148">
        <f t="shared" si="17"/>
        <v>23776.1904</v>
      </c>
      <c r="AN29" s="146">
        <f t="shared" si="18"/>
        <v>935.7021015</v>
      </c>
      <c r="AO29" s="148">
        <v>600.0</v>
      </c>
      <c r="AP29" s="148">
        <f t="shared" si="30"/>
        <v>-9324.633254</v>
      </c>
      <c r="AQ29" s="149">
        <f t="shared" si="28"/>
        <v>-0.6452338084</v>
      </c>
      <c r="AR29" s="140"/>
      <c r="AS29" s="140">
        <f t="shared" si="39"/>
        <v>1.285280728</v>
      </c>
      <c r="AT29" s="140"/>
      <c r="AU29" s="140"/>
      <c r="AV29" s="140"/>
      <c r="BA29" s="154"/>
      <c r="BB29" s="142"/>
      <c r="BC29" s="145"/>
      <c r="BD29" s="145"/>
      <c r="BE29" s="156"/>
    </row>
    <row r="30">
      <c r="A30" s="106">
        <v>29.0</v>
      </c>
      <c r="B30" s="106" t="s">
        <v>1429</v>
      </c>
      <c r="C30" s="106" t="s">
        <v>1363</v>
      </c>
      <c r="D30" s="4" t="s">
        <v>80</v>
      </c>
      <c r="E30" s="2" t="s">
        <v>81</v>
      </c>
      <c r="F30" s="128"/>
      <c r="G30" s="142">
        <v>45244.0</v>
      </c>
      <c r="H30" s="2"/>
      <c r="I30" s="2" t="s">
        <v>1430</v>
      </c>
      <c r="J30" s="138"/>
      <c r="K30" s="138"/>
      <c r="L30" s="138"/>
      <c r="M30" s="112" t="s">
        <v>1364</v>
      </c>
      <c r="N30" s="113">
        <v>20.08</v>
      </c>
      <c r="O30" s="138"/>
      <c r="P30" s="138"/>
      <c r="Q30" s="113" t="s">
        <v>1429</v>
      </c>
      <c r="R30" s="133">
        <v>0.4443</v>
      </c>
      <c r="S30" s="157"/>
      <c r="T30" s="136" t="s">
        <v>1431</v>
      </c>
      <c r="U30" s="115">
        <f t="shared" si="32"/>
        <v>32.68979697</v>
      </c>
      <c r="V30" s="116">
        <f t="shared" si="4"/>
        <v>0.68</v>
      </c>
      <c r="W30" s="116">
        <f t="shared" si="5"/>
        <v>0.2</v>
      </c>
      <c r="X30" s="117">
        <f t="shared" si="33"/>
        <v>0.001026442353</v>
      </c>
      <c r="Y30" s="117">
        <f t="shared" si="34"/>
        <v>2.82124</v>
      </c>
      <c r="Z30" s="118">
        <f t="shared" si="8"/>
        <v>2030</v>
      </c>
      <c r="AA30" s="117">
        <f t="shared" si="35"/>
        <v>4.26374704</v>
      </c>
      <c r="AB30" s="117">
        <f t="shared" si="36"/>
        <v>0.01446764</v>
      </c>
      <c r="AC30" s="117">
        <f t="shared" si="11"/>
        <v>7.100481122</v>
      </c>
      <c r="AD30" s="117">
        <f t="shared" si="12"/>
        <v>25.58931585</v>
      </c>
      <c r="AE30" s="158"/>
      <c r="AF30" s="115"/>
      <c r="AG30" s="115">
        <f t="shared" si="37"/>
        <v>695.3643159</v>
      </c>
      <c r="AH30" s="147"/>
      <c r="AI30" s="151">
        <f>N30*References!$B$6</f>
        <v>6576.6016</v>
      </c>
      <c r="AJ30" s="151">
        <f t="shared" si="38"/>
        <v>15916.12</v>
      </c>
      <c r="AK30" s="151">
        <f>References!$B$8*55</f>
        <v>385</v>
      </c>
      <c r="AL30" s="152">
        <v>1000.0</v>
      </c>
      <c r="AM30" s="148">
        <f t="shared" si="17"/>
        <v>23877.7216</v>
      </c>
      <c r="AN30" s="151"/>
      <c r="AO30" s="148">
        <v>600.0</v>
      </c>
      <c r="AP30" s="148">
        <f t="shared" si="30"/>
        <v>-8524.13209</v>
      </c>
      <c r="AQ30" s="149">
        <f t="shared" si="28"/>
        <v>-0.5551882238</v>
      </c>
      <c r="AR30" s="140"/>
      <c r="AS30" s="140">
        <f t="shared" si="39"/>
        <v>0</v>
      </c>
      <c r="AT30" s="140"/>
      <c r="AU30" s="140"/>
      <c r="AV30" s="140"/>
      <c r="BA30" s="145"/>
      <c r="BB30" s="145"/>
      <c r="BC30" s="145"/>
      <c r="BD30" s="145"/>
      <c r="BE30" s="156"/>
    </row>
    <row r="31">
      <c r="A31" s="106">
        <v>30.0</v>
      </c>
      <c r="B31" s="106" t="s">
        <v>1432</v>
      </c>
      <c r="C31" s="106" t="s">
        <v>1363</v>
      </c>
      <c r="D31" s="4" t="s">
        <v>80</v>
      </c>
      <c r="E31" s="2" t="s">
        <v>81</v>
      </c>
      <c r="F31" s="128"/>
      <c r="G31" s="142">
        <v>45258.0</v>
      </c>
      <c r="H31" s="2"/>
      <c r="I31" s="2" t="s">
        <v>1433</v>
      </c>
      <c r="J31" s="138"/>
      <c r="K31" s="138"/>
      <c r="L31" s="138"/>
      <c r="M31" s="112" t="s">
        <v>1364</v>
      </c>
      <c r="N31" s="113">
        <v>19.91</v>
      </c>
      <c r="O31" s="138"/>
      <c r="P31" s="138"/>
      <c r="Q31" s="113" t="s">
        <v>1432</v>
      </c>
      <c r="R31" s="133">
        <v>0.4518</v>
      </c>
      <c r="S31" s="157"/>
      <c r="T31" s="136" t="s">
        <v>1431</v>
      </c>
      <c r="U31" s="115">
        <f t="shared" si="32"/>
        <v>32.96018861</v>
      </c>
      <c r="V31" s="116">
        <f t="shared" si="4"/>
        <v>0.68</v>
      </c>
      <c r="W31" s="116">
        <f t="shared" si="5"/>
        <v>0.2</v>
      </c>
      <c r="X31" s="117">
        <f t="shared" si="33"/>
        <v>0.001017752353</v>
      </c>
      <c r="Y31" s="117">
        <f t="shared" si="34"/>
        <v>2.797355</v>
      </c>
      <c r="Z31" s="118">
        <f t="shared" si="8"/>
        <v>2030</v>
      </c>
      <c r="AA31" s="117">
        <f t="shared" si="35"/>
        <v>4.22764958</v>
      </c>
      <c r="AB31" s="117">
        <f t="shared" si="36"/>
        <v>0.014345155</v>
      </c>
      <c r="AC31" s="117">
        <f t="shared" si="11"/>
        <v>7.040367487</v>
      </c>
      <c r="AD31" s="117">
        <f t="shared" si="12"/>
        <v>25.91982112</v>
      </c>
      <c r="AE31" s="158"/>
      <c r="AF31" s="115"/>
      <c r="AG31" s="115">
        <f t="shared" si="37"/>
        <v>721.284137</v>
      </c>
      <c r="AH31" s="147"/>
      <c r="AI31" s="151">
        <f>N31*References!$B$6</f>
        <v>6520.9232</v>
      </c>
      <c r="AJ31" s="151">
        <f t="shared" si="38"/>
        <v>15916.12</v>
      </c>
      <c r="AK31" s="151">
        <f>References!$B$8*55</f>
        <v>385</v>
      </c>
      <c r="AL31" s="152">
        <v>1000.0</v>
      </c>
      <c r="AM31" s="148">
        <f t="shared" si="17"/>
        <v>23822.0432</v>
      </c>
      <c r="AN31" s="151"/>
      <c r="AO31" s="148">
        <v>600.0</v>
      </c>
      <c r="AP31" s="148">
        <f t="shared" si="30"/>
        <v>-8270.150527</v>
      </c>
      <c r="AQ31" s="149">
        <f t="shared" si="28"/>
        <v>-0.5317777521</v>
      </c>
      <c r="AR31" s="140"/>
      <c r="AS31" s="140">
        <f t="shared" si="39"/>
        <v>0</v>
      </c>
      <c r="AT31" s="140"/>
      <c r="AU31" s="140"/>
      <c r="AV31" s="140"/>
      <c r="BA31" s="145"/>
      <c r="BB31" s="145"/>
      <c r="BC31" s="145"/>
      <c r="BD31" s="145"/>
      <c r="BE31" s="156"/>
    </row>
    <row r="32">
      <c r="A32" s="106">
        <v>31.0</v>
      </c>
      <c r="B32" s="106" t="s">
        <v>1434</v>
      </c>
      <c r="C32" s="106" t="s">
        <v>1363</v>
      </c>
      <c r="D32" s="4" t="s">
        <v>80</v>
      </c>
      <c r="E32" s="2" t="s">
        <v>81</v>
      </c>
      <c r="F32" s="128"/>
      <c r="G32" s="142">
        <v>45272.0</v>
      </c>
      <c r="H32" s="159"/>
      <c r="I32" s="159" t="s">
        <v>1435</v>
      </c>
      <c r="J32" s="138"/>
      <c r="K32" s="138"/>
      <c r="L32" s="138"/>
      <c r="M32" s="112" t="s">
        <v>1364</v>
      </c>
      <c r="N32" s="160">
        <v>19.8</v>
      </c>
      <c r="O32" s="138"/>
      <c r="P32" s="138"/>
      <c r="Q32" s="113" t="s">
        <v>1434</v>
      </c>
      <c r="R32" s="157">
        <f>References!$B$12</f>
        <v>0.435</v>
      </c>
      <c r="S32" s="157"/>
      <c r="T32" s="136" t="s">
        <v>1431</v>
      </c>
      <c r="U32" s="115">
        <f t="shared" si="32"/>
        <v>31.55924819</v>
      </c>
      <c r="V32" s="116">
        <f t="shared" si="4"/>
        <v>0.68</v>
      </c>
      <c r="W32" s="116">
        <f t="shared" si="5"/>
        <v>0.2</v>
      </c>
      <c r="X32" s="117">
        <f t="shared" si="33"/>
        <v>0.001012129412</v>
      </c>
      <c r="Y32" s="117">
        <f t="shared" si="34"/>
        <v>2.7819</v>
      </c>
      <c r="Z32" s="118">
        <f t="shared" si="8"/>
        <v>2030</v>
      </c>
      <c r="AA32" s="117">
        <f t="shared" si="35"/>
        <v>4.2042924</v>
      </c>
      <c r="AB32" s="117">
        <f t="shared" si="36"/>
        <v>0.0142659</v>
      </c>
      <c r="AC32" s="117">
        <f t="shared" si="11"/>
        <v>7.001470429</v>
      </c>
      <c r="AD32" s="117">
        <f t="shared" si="12"/>
        <v>24.55777776</v>
      </c>
      <c r="AE32" s="158"/>
      <c r="AF32" s="115"/>
      <c r="AG32" s="115">
        <f t="shared" si="37"/>
        <v>745.8419147</v>
      </c>
      <c r="AH32" s="147"/>
      <c r="AI32" s="151">
        <f>N32*References!$B$6</f>
        <v>6484.896</v>
      </c>
      <c r="AJ32" s="151">
        <f t="shared" si="38"/>
        <v>15916.12</v>
      </c>
      <c r="AK32" s="151">
        <f>References!$B$8*55</f>
        <v>385</v>
      </c>
      <c r="AL32" s="152">
        <v>1000.0</v>
      </c>
      <c r="AM32" s="148">
        <f t="shared" si="17"/>
        <v>23786.016</v>
      </c>
      <c r="AN32" s="151"/>
      <c r="AO32" s="148">
        <v>600.0</v>
      </c>
      <c r="AP32" s="148">
        <f t="shared" si="30"/>
        <v>-9051.349344</v>
      </c>
      <c r="AQ32" s="149">
        <f t="shared" si="28"/>
        <v>-0.6142893868</v>
      </c>
      <c r="AR32" s="140"/>
      <c r="AS32" s="140">
        <f t="shared" si="39"/>
        <v>0</v>
      </c>
      <c r="AT32" s="140"/>
      <c r="AU32" s="140"/>
      <c r="AV32" s="140"/>
      <c r="BA32" s="145"/>
      <c r="BB32" s="145"/>
      <c r="BC32" s="145"/>
      <c r="BD32" s="161"/>
      <c r="BE32" s="162"/>
    </row>
    <row r="33">
      <c r="A33" s="106">
        <v>32.0</v>
      </c>
      <c r="B33" s="106"/>
      <c r="C33" s="163"/>
      <c r="D33" s="4"/>
      <c r="E33" s="2"/>
      <c r="F33" s="128"/>
      <c r="G33" s="164"/>
      <c r="H33" s="165"/>
      <c r="I33" s="165"/>
      <c r="J33" s="138"/>
      <c r="K33" s="138"/>
      <c r="L33" s="138"/>
      <c r="M33" s="112"/>
      <c r="N33" s="136"/>
      <c r="O33" s="138"/>
      <c r="P33" s="138"/>
      <c r="Q33" s="166"/>
      <c r="R33" s="157">
        <f>References!$B$12</f>
        <v>0.435</v>
      </c>
      <c r="S33" s="157"/>
      <c r="T33" s="136" t="s">
        <v>1436</v>
      </c>
      <c r="U33" s="115">
        <f t="shared" si="32"/>
        <v>0</v>
      </c>
      <c r="V33" s="116" t="str">
        <f t="shared" si="4"/>
        <v>ERROR</v>
      </c>
      <c r="W33" s="116" t="str">
        <f t="shared" si="5"/>
        <v>ERROR</v>
      </c>
      <c r="X33" s="117" t="str">
        <f t="shared" si="33"/>
        <v>#VALUE!</v>
      </c>
      <c r="Y33" s="117" t="str">
        <f t="shared" si="34"/>
        <v>#NAME?</v>
      </c>
      <c r="Z33" s="118" t="str">
        <f t="shared" si="8"/>
        <v>ERROR</v>
      </c>
      <c r="AA33" s="117" t="str">
        <f t="shared" si="35"/>
        <v>#VALUE!</v>
      </c>
      <c r="AB33" s="117">
        <f t="shared" si="36"/>
        <v>0</v>
      </c>
      <c r="AC33" s="117" t="str">
        <f t="shared" si="11"/>
        <v>#VALUE!</v>
      </c>
      <c r="AD33" s="117" t="str">
        <f t="shared" si="12"/>
        <v>#VALUE!</v>
      </c>
      <c r="AE33" s="167"/>
      <c r="AF33" s="115"/>
      <c r="AG33" s="115">
        <f t="shared" si="37"/>
        <v>745.8419147</v>
      </c>
      <c r="AH33" s="147"/>
      <c r="AI33" s="151">
        <f>N33*References!$B$6</f>
        <v>0</v>
      </c>
      <c r="AJ33" s="151">
        <f t="shared" si="38"/>
        <v>15916.12</v>
      </c>
      <c r="AK33" s="151">
        <f>References!$B$8*55</f>
        <v>385</v>
      </c>
      <c r="AL33" s="152">
        <v>1000.0</v>
      </c>
      <c r="AM33" s="148">
        <f t="shared" si="17"/>
        <v>17301.12</v>
      </c>
      <c r="AN33" s="151"/>
      <c r="AO33" s="148">
        <v>600.0</v>
      </c>
      <c r="AP33" s="148" t="str">
        <f t="shared" si="30"/>
        <v>#VALUE!</v>
      </c>
      <c r="AQ33" s="149" t="str">
        <f t="shared" si="28"/>
        <v>#VALUE!</v>
      </c>
      <c r="AR33" s="140"/>
      <c r="AS33" s="140" t="str">
        <f t="shared" si="39"/>
        <v>#DIV/0!</v>
      </c>
      <c r="AT33" s="140"/>
      <c r="AU33" s="140"/>
      <c r="AV33" s="140"/>
      <c r="BA33" s="154"/>
      <c r="BB33" s="145"/>
      <c r="BC33" s="145"/>
      <c r="BD33" s="161"/>
      <c r="BE33" s="156"/>
    </row>
    <row r="34">
      <c r="A34" s="106">
        <v>33.0</v>
      </c>
      <c r="B34" s="106"/>
      <c r="C34" s="163"/>
      <c r="D34" s="4" t="s">
        <v>80</v>
      </c>
      <c r="E34" s="2" t="s">
        <v>81</v>
      </c>
      <c r="F34" s="2" t="s">
        <v>1437</v>
      </c>
      <c r="G34" s="142">
        <v>45337.0</v>
      </c>
      <c r="H34" s="108">
        <f t="shared" ref="H34:H38" si="40">G34+3</f>
        <v>45340</v>
      </c>
      <c r="I34" s="108">
        <f t="shared" ref="I34:I39" si="41">H34+4</f>
        <v>45344</v>
      </c>
      <c r="J34" s="138"/>
      <c r="K34" s="138"/>
      <c r="L34" s="138"/>
      <c r="M34" s="112"/>
      <c r="N34" s="136">
        <v>20.0</v>
      </c>
      <c r="O34" s="138"/>
      <c r="P34" s="138"/>
      <c r="Q34" s="166"/>
      <c r="R34" s="157">
        <v>0.44</v>
      </c>
      <c r="S34" s="157"/>
      <c r="T34" s="136" t="s">
        <v>1436</v>
      </c>
      <c r="U34" s="115">
        <f t="shared" si="32"/>
        <v>32.24444259</v>
      </c>
      <c r="V34" s="116">
        <f t="shared" si="4"/>
        <v>0.68</v>
      </c>
      <c r="W34" s="116">
        <f t="shared" si="5"/>
        <v>0.2</v>
      </c>
      <c r="X34" s="117">
        <f t="shared" si="33"/>
        <v>0.001022352941</v>
      </c>
      <c r="Y34" s="117">
        <f t="shared" si="34"/>
        <v>2.81</v>
      </c>
      <c r="Z34" s="118">
        <f t="shared" si="8"/>
        <v>2030</v>
      </c>
      <c r="AA34" s="117">
        <f t="shared" si="35"/>
        <v>4.24676</v>
      </c>
      <c r="AB34" s="117">
        <f t="shared" si="36"/>
        <v>0.01441</v>
      </c>
      <c r="AC34" s="117">
        <f t="shared" si="11"/>
        <v>7.072192353</v>
      </c>
      <c r="AD34" s="117">
        <f t="shared" si="12"/>
        <v>25.17225024</v>
      </c>
      <c r="AE34" s="167"/>
      <c r="AF34" s="115"/>
      <c r="AG34" s="115">
        <f t="shared" si="37"/>
        <v>771.014165</v>
      </c>
      <c r="AH34" s="147"/>
      <c r="AI34" s="151">
        <f>N34*References!$B$6</f>
        <v>6550.4</v>
      </c>
      <c r="AJ34" s="151">
        <f t="shared" si="38"/>
        <v>15916.12</v>
      </c>
      <c r="AK34" s="151">
        <f>References!$B$8*55</f>
        <v>385</v>
      </c>
      <c r="AL34" s="152">
        <v>1000.0</v>
      </c>
      <c r="AM34" s="148">
        <f t="shared" si="17"/>
        <v>23851.52</v>
      </c>
      <c r="AN34" s="151">
        <f t="shared" ref="AN34:AN44" si="42">AM34/AD34</f>
        <v>947.5322934</v>
      </c>
      <c r="AO34" s="148">
        <v>600.0</v>
      </c>
      <c r="AP34" s="148">
        <f t="shared" si="30"/>
        <v>-8748.169855</v>
      </c>
      <c r="AQ34" s="149">
        <f t="shared" si="28"/>
        <v>-0.5792204889</v>
      </c>
      <c r="AR34" s="140"/>
      <c r="AS34" s="140">
        <f t="shared" si="39"/>
        <v>0</v>
      </c>
      <c r="AT34" s="140"/>
      <c r="AU34" s="140"/>
      <c r="AV34" s="140"/>
      <c r="BA34" s="145"/>
      <c r="BB34" s="145"/>
      <c r="BC34" s="155"/>
    </row>
    <row r="35">
      <c r="A35" s="106">
        <v>34.0</v>
      </c>
      <c r="B35" s="106"/>
      <c r="C35" s="163"/>
      <c r="D35" s="4" t="s">
        <v>80</v>
      </c>
      <c r="E35" s="4" t="s">
        <v>81</v>
      </c>
      <c r="F35" s="2" t="s">
        <v>1437</v>
      </c>
      <c r="G35" s="142">
        <v>45338.0</v>
      </c>
      <c r="H35" s="108">
        <f t="shared" si="40"/>
        <v>45341</v>
      </c>
      <c r="I35" s="108">
        <f t="shared" si="41"/>
        <v>45345</v>
      </c>
      <c r="J35" s="138"/>
      <c r="K35" s="138"/>
      <c r="L35" s="138"/>
      <c r="M35" s="112"/>
      <c r="N35" s="136">
        <v>20.0</v>
      </c>
      <c r="O35" s="138"/>
      <c r="P35" s="138"/>
      <c r="Q35" s="138"/>
      <c r="R35" s="157">
        <v>0.44</v>
      </c>
      <c r="S35" s="157"/>
      <c r="T35" s="136" t="s">
        <v>1436</v>
      </c>
      <c r="U35" s="115">
        <f t="shared" si="32"/>
        <v>32.24444259</v>
      </c>
      <c r="V35" s="116">
        <f t="shared" si="4"/>
        <v>0.68</v>
      </c>
      <c r="W35" s="116">
        <f t="shared" si="5"/>
        <v>0.2</v>
      </c>
      <c r="X35" s="117">
        <f t="shared" si="33"/>
        <v>0.001022352941</v>
      </c>
      <c r="Y35" s="117">
        <f t="shared" si="34"/>
        <v>2.81</v>
      </c>
      <c r="Z35" s="118">
        <f t="shared" si="8"/>
        <v>2030</v>
      </c>
      <c r="AA35" s="117">
        <f t="shared" si="35"/>
        <v>4.24676</v>
      </c>
      <c r="AB35" s="117">
        <f t="shared" si="36"/>
        <v>0.01441</v>
      </c>
      <c r="AC35" s="117">
        <f t="shared" si="11"/>
        <v>7.072192353</v>
      </c>
      <c r="AD35" s="117">
        <f t="shared" si="12"/>
        <v>25.17225024</v>
      </c>
      <c r="AE35" s="158"/>
      <c r="AF35" s="115"/>
      <c r="AG35" s="115">
        <f t="shared" si="37"/>
        <v>796.1864152</v>
      </c>
      <c r="AH35" s="147"/>
      <c r="AI35" s="151">
        <f>N35*References!$B$6</f>
        <v>6550.4</v>
      </c>
      <c r="AJ35" s="151">
        <f t="shared" si="38"/>
        <v>15916.12</v>
      </c>
      <c r="AK35" s="151">
        <f>References!$B$8*55</f>
        <v>385</v>
      </c>
      <c r="AL35" s="152">
        <v>1000.0</v>
      </c>
      <c r="AM35" s="148">
        <f t="shared" si="17"/>
        <v>23851.52</v>
      </c>
      <c r="AN35" s="151">
        <f t="shared" si="42"/>
        <v>947.5322934</v>
      </c>
      <c r="AO35" s="148">
        <v>600.0</v>
      </c>
      <c r="AP35" s="148">
        <f t="shared" si="30"/>
        <v>-8748.169855</v>
      </c>
      <c r="AQ35" s="149">
        <f t="shared" si="28"/>
        <v>-0.5792204889</v>
      </c>
      <c r="AR35" s="140"/>
      <c r="AS35" s="140">
        <f t="shared" si="39"/>
        <v>0</v>
      </c>
      <c r="AT35" s="140"/>
      <c r="AU35" s="140"/>
      <c r="AV35" s="140"/>
      <c r="BA35" s="161"/>
      <c r="BB35" s="145"/>
      <c r="BC35" s="155"/>
    </row>
    <row r="36">
      <c r="A36" s="106">
        <v>35.0</v>
      </c>
      <c r="B36" s="106"/>
      <c r="C36" s="163"/>
      <c r="D36" s="4" t="s">
        <v>80</v>
      </c>
      <c r="E36" s="4" t="s">
        <v>81</v>
      </c>
      <c r="F36" s="2" t="s">
        <v>1437</v>
      </c>
      <c r="G36" s="142">
        <v>45345.0</v>
      </c>
      <c r="H36" s="108">
        <f t="shared" si="40"/>
        <v>45348</v>
      </c>
      <c r="I36" s="108">
        <f t="shared" si="41"/>
        <v>45352</v>
      </c>
      <c r="J36" s="138"/>
      <c r="K36" s="138"/>
      <c r="L36" s="138"/>
      <c r="M36" s="112"/>
      <c r="N36" s="136">
        <v>20.0</v>
      </c>
      <c r="O36" s="138"/>
      <c r="P36" s="138"/>
      <c r="Q36" s="138"/>
      <c r="R36" s="157">
        <v>0.44</v>
      </c>
      <c r="S36" s="157"/>
      <c r="T36" s="136" t="s">
        <v>1436</v>
      </c>
      <c r="U36" s="115">
        <f t="shared" si="32"/>
        <v>32.24444259</v>
      </c>
      <c r="V36" s="116">
        <f t="shared" si="4"/>
        <v>0.68</v>
      </c>
      <c r="W36" s="116">
        <f t="shared" si="5"/>
        <v>0.2</v>
      </c>
      <c r="X36" s="117">
        <f t="shared" si="33"/>
        <v>0.001022352941</v>
      </c>
      <c r="Y36" s="117">
        <f t="shared" si="34"/>
        <v>2.81</v>
      </c>
      <c r="Z36" s="118">
        <f t="shared" si="8"/>
        <v>2030</v>
      </c>
      <c r="AA36" s="117">
        <f t="shared" si="35"/>
        <v>4.24676</v>
      </c>
      <c r="AB36" s="117">
        <f t="shared" si="36"/>
        <v>0.01441</v>
      </c>
      <c r="AC36" s="117">
        <f t="shared" si="11"/>
        <v>7.072192353</v>
      </c>
      <c r="AD36" s="117">
        <f t="shared" si="12"/>
        <v>25.17225024</v>
      </c>
      <c r="AE36" s="158"/>
      <c r="AF36" s="115"/>
      <c r="AG36" s="115">
        <f t="shared" si="37"/>
        <v>821.3586655</v>
      </c>
      <c r="AH36" s="147"/>
      <c r="AI36" s="151">
        <f>N36*References!$B$6</f>
        <v>6550.4</v>
      </c>
      <c r="AJ36" s="151">
        <f t="shared" si="38"/>
        <v>15916.12</v>
      </c>
      <c r="AK36" s="151">
        <f>References!$B$8*55</f>
        <v>385</v>
      </c>
      <c r="AL36" s="152">
        <v>1000.0</v>
      </c>
      <c r="AM36" s="148">
        <f t="shared" si="17"/>
        <v>23851.52</v>
      </c>
      <c r="AN36" s="151">
        <f t="shared" si="42"/>
        <v>947.5322934</v>
      </c>
      <c r="AO36" s="148">
        <v>600.0</v>
      </c>
      <c r="AP36" s="148">
        <f t="shared" si="30"/>
        <v>-8748.169855</v>
      </c>
      <c r="AQ36" s="149">
        <f t="shared" si="28"/>
        <v>-0.5792204889</v>
      </c>
      <c r="AR36" s="140"/>
      <c r="AS36" s="140">
        <f t="shared" si="39"/>
        <v>0</v>
      </c>
      <c r="AT36" s="140"/>
      <c r="AU36" s="140"/>
      <c r="AV36" s="140"/>
      <c r="BA36" s="161"/>
      <c r="BB36" s="161"/>
      <c r="BC36" s="156"/>
      <c r="BD36" s="161"/>
      <c r="BE36" s="161"/>
    </row>
    <row r="37">
      <c r="A37" s="106">
        <v>36.0</v>
      </c>
      <c r="B37" s="106"/>
      <c r="C37" s="163"/>
      <c r="D37" s="4" t="s">
        <v>80</v>
      </c>
      <c r="E37" s="4" t="s">
        <v>81</v>
      </c>
      <c r="F37" s="2" t="s">
        <v>1437</v>
      </c>
      <c r="G37" s="142">
        <v>45345.0</v>
      </c>
      <c r="H37" s="108">
        <f t="shared" si="40"/>
        <v>45348</v>
      </c>
      <c r="I37" s="108">
        <f t="shared" si="41"/>
        <v>45352</v>
      </c>
      <c r="J37" s="138"/>
      <c r="K37" s="138"/>
      <c r="L37" s="138"/>
      <c r="M37" s="112"/>
      <c r="N37" s="136">
        <v>20.0</v>
      </c>
      <c r="O37" s="138"/>
      <c r="P37" s="138"/>
      <c r="Q37" s="138"/>
      <c r="R37" s="157">
        <v>0.44</v>
      </c>
      <c r="S37" s="157"/>
      <c r="T37" s="136" t="s">
        <v>1436</v>
      </c>
      <c r="U37" s="115">
        <f t="shared" si="32"/>
        <v>32.24444259</v>
      </c>
      <c r="V37" s="116">
        <f t="shared" si="4"/>
        <v>0.68</v>
      </c>
      <c r="W37" s="116">
        <f t="shared" si="5"/>
        <v>0.2</v>
      </c>
      <c r="X37" s="117">
        <f t="shared" si="33"/>
        <v>0.001022352941</v>
      </c>
      <c r="Y37" s="117">
        <f t="shared" si="34"/>
        <v>2.81</v>
      </c>
      <c r="Z37" s="118">
        <f t="shared" si="8"/>
        <v>2030</v>
      </c>
      <c r="AA37" s="117">
        <f t="shared" si="35"/>
        <v>4.24676</v>
      </c>
      <c r="AB37" s="117">
        <f t="shared" si="36"/>
        <v>0.01441</v>
      </c>
      <c r="AC37" s="117">
        <f t="shared" si="11"/>
        <v>7.072192353</v>
      </c>
      <c r="AD37" s="117">
        <f t="shared" si="12"/>
        <v>25.17225024</v>
      </c>
      <c r="AE37" s="158"/>
      <c r="AF37" s="115"/>
      <c r="AG37" s="115">
        <f t="shared" si="37"/>
        <v>846.5309157</v>
      </c>
      <c r="AH37" s="147"/>
      <c r="AI37" s="151">
        <f>N37*References!$B$6</f>
        <v>6550.4</v>
      </c>
      <c r="AJ37" s="151">
        <f t="shared" si="38"/>
        <v>15916.12</v>
      </c>
      <c r="AK37" s="151">
        <f>References!$B$8*55</f>
        <v>385</v>
      </c>
      <c r="AL37" s="152">
        <v>1000.0</v>
      </c>
      <c r="AM37" s="148">
        <f t="shared" si="17"/>
        <v>23851.52</v>
      </c>
      <c r="AN37" s="151">
        <f t="shared" si="42"/>
        <v>947.5322934</v>
      </c>
      <c r="AO37" s="148">
        <v>600.0</v>
      </c>
      <c r="AP37" s="148">
        <f t="shared" si="30"/>
        <v>-8748.169855</v>
      </c>
      <c r="AQ37" s="149">
        <f t="shared" si="28"/>
        <v>-0.5792204889</v>
      </c>
      <c r="AR37" s="140"/>
      <c r="AS37" s="140">
        <f t="shared" si="39"/>
        <v>0</v>
      </c>
      <c r="AT37" s="140"/>
      <c r="AU37" s="140"/>
      <c r="AV37" s="140"/>
    </row>
    <row r="38">
      <c r="A38" s="106">
        <v>37.0</v>
      </c>
      <c r="B38" s="106"/>
      <c r="C38" s="163"/>
      <c r="D38" s="4" t="s">
        <v>80</v>
      </c>
      <c r="E38" s="4" t="s">
        <v>81</v>
      </c>
      <c r="F38" s="2" t="s">
        <v>1437</v>
      </c>
      <c r="G38" s="142">
        <v>45349.0</v>
      </c>
      <c r="H38" s="108">
        <f t="shared" si="40"/>
        <v>45352</v>
      </c>
      <c r="I38" s="108">
        <f t="shared" si="41"/>
        <v>45356</v>
      </c>
      <c r="J38" s="138"/>
      <c r="K38" s="138"/>
      <c r="L38" s="138"/>
      <c r="M38" s="112"/>
      <c r="N38" s="136">
        <v>20.0</v>
      </c>
      <c r="O38" s="138"/>
      <c r="P38" s="138"/>
      <c r="Q38" s="138"/>
      <c r="R38" s="157">
        <v>0.44</v>
      </c>
      <c r="S38" s="157"/>
      <c r="T38" s="136" t="s">
        <v>1436</v>
      </c>
      <c r="U38" s="115">
        <f t="shared" si="32"/>
        <v>32.24444259</v>
      </c>
      <c r="V38" s="116">
        <f t="shared" si="4"/>
        <v>0.68</v>
      </c>
      <c r="W38" s="116">
        <f t="shared" si="5"/>
        <v>0.2</v>
      </c>
      <c r="X38" s="117">
        <f t="shared" si="33"/>
        <v>0.001022352941</v>
      </c>
      <c r="Y38" s="117">
        <f t="shared" si="34"/>
        <v>2.81</v>
      </c>
      <c r="Z38" s="118">
        <f t="shared" si="8"/>
        <v>2030</v>
      </c>
      <c r="AA38" s="117">
        <f t="shared" si="35"/>
        <v>4.24676</v>
      </c>
      <c r="AB38" s="117">
        <f t="shared" si="36"/>
        <v>0.01441</v>
      </c>
      <c r="AC38" s="117">
        <f t="shared" si="11"/>
        <v>7.072192353</v>
      </c>
      <c r="AD38" s="117">
        <f t="shared" si="12"/>
        <v>25.17225024</v>
      </c>
      <c r="AE38" s="158"/>
      <c r="AF38" s="115"/>
      <c r="AG38" s="115">
        <f t="shared" si="37"/>
        <v>871.7031659</v>
      </c>
      <c r="AH38" s="147"/>
      <c r="AI38" s="151">
        <f>N38*References!$B$6</f>
        <v>6550.4</v>
      </c>
      <c r="AJ38" s="151">
        <f t="shared" si="38"/>
        <v>15916.12</v>
      </c>
      <c r="AK38" s="151">
        <f>References!$B$8*55</f>
        <v>385</v>
      </c>
      <c r="AL38" s="152">
        <v>1000.0</v>
      </c>
      <c r="AM38" s="148">
        <f t="shared" si="17"/>
        <v>23851.52</v>
      </c>
      <c r="AN38" s="151">
        <f t="shared" si="42"/>
        <v>947.5322934</v>
      </c>
      <c r="AO38" s="148">
        <v>600.0</v>
      </c>
      <c r="AP38" s="148">
        <f t="shared" si="30"/>
        <v>-8748.169855</v>
      </c>
      <c r="AQ38" s="149">
        <f t="shared" si="28"/>
        <v>-0.5792204889</v>
      </c>
      <c r="AR38" s="140"/>
      <c r="AS38" s="140">
        <f t="shared" si="39"/>
        <v>0</v>
      </c>
      <c r="AT38" s="140"/>
      <c r="AU38" s="140"/>
      <c r="AV38" s="140"/>
      <c r="BA38" s="161"/>
      <c r="BB38" s="155"/>
    </row>
    <row r="39">
      <c r="A39" s="106">
        <v>38.0</v>
      </c>
      <c r="B39" s="106"/>
      <c r="C39" s="163"/>
      <c r="D39" s="4" t="s">
        <v>80</v>
      </c>
      <c r="E39" s="4" t="s">
        <v>105</v>
      </c>
      <c r="F39" s="2" t="s">
        <v>1437</v>
      </c>
      <c r="G39" s="142">
        <v>45349.0</v>
      </c>
      <c r="H39" s="108">
        <f>G39+16</f>
        <v>45365</v>
      </c>
      <c r="I39" s="108">
        <f t="shared" si="41"/>
        <v>45369</v>
      </c>
      <c r="J39" s="138"/>
      <c r="K39" s="138"/>
      <c r="L39" s="138"/>
      <c r="M39" s="112"/>
      <c r="N39" s="136">
        <v>80.0</v>
      </c>
      <c r="O39" s="138"/>
      <c r="P39" s="138"/>
      <c r="Q39" s="138"/>
      <c r="R39" s="157">
        <v>0.44</v>
      </c>
      <c r="S39" s="157"/>
      <c r="T39" s="136" t="s">
        <v>1436</v>
      </c>
      <c r="U39" s="115">
        <f t="shared" si="32"/>
        <v>128.9777704</v>
      </c>
      <c r="V39" s="116">
        <f t="shared" si="4"/>
        <v>0.68</v>
      </c>
      <c r="W39" s="116">
        <f t="shared" si="5"/>
        <v>0.2</v>
      </c>
      <c r="X39" s="117">
        <f t="shared" si="33"/>
        <v>0.004089411765</v>
      </c>
      <c r="Y39" s="117">
        <f t="shared" si="34"/>
        <v>11.24</v>
      </c>
      <c r="Z39" s="118">
        <f t="shared" si="8"/>
        <v>2030</v>
      </c>
      <c r="AA39" s="117">
        <f t="shared" si="35"/>
        <v>16.98704</v>
      </c>
      <c r="AB39" s="117">
        <f t="shared" si="36"/>
        <v>0.05764</v>
      </c>
      <c r="AC39" s="117">
        <f t="shared" si="11"/>
        <v>28.28876941</v>
      </c>
      <c r="AD39" s="117">
        <f t="shared" si="12"/>
        <v>100.689001</v>
      </c>
      <c r="AE39" s="158"/>
      <c r="AF39" s="115"/>
      <c r="AG39" s="115">
        <f t="shared" si="37"/>
        <v>972.3921669</v>
      </c>
      <c r="AH39" s="147"/>
      <c r="AI39" s="151">
        <f>N39*References!$B$6</f>
        <v>26201.6</v>
      </c>
      <c r="AJ39" s="151">
        <f t="shared" si="38"/>
        <v>15916.12</v>
      </c>
      <c r="AK39" s="151">
        <f>References!$B$8*55</f>
        <v>385</v>
      </c>
      <c r="AL39" s="152">
        <v>1000.0</v>
      </c>
      <c r="AM39" s="148">
        <f t="shared" si="17"/>
        <v>43502.72</v>
      </c>
      <c r="AN39" s="151">
        <f t="shared" si="42"/>
        <v>432.0503688</v>
      </c>
      <c r="AO39" s="148">
        <v>600.0</v>
      </c>
      <c r="AP39" s="148">
        <f t="shared" si="30"/>
        <v>16910.68058</v>
      </c>
      <c r="AQ39" s="149">
        <f t="shared" si="28"/>
        <v>0.279916052</v>
      </c>
      <c r="AR39" s="140"/>
      <c r="AS39" s="140">
        <f t="shared" si="39"/>
        <v>0</v>
      </c>
      <c r="AT39" s="140"/>
      <c r="AU39" s="140"/>
      <c r="AV39" s="140"/>
    </row>
    <row r="40">
      <c r="A40" s="106">
        <v>39.0</v>
      </c>
      <c r="B40" s="106"/>
      <c r="C40" s="163"/>
      <c r="D40" s="4"/>
      <c r="E40" s="136"/>
      <c r="F40" s="138"/>
      <c r="G40" s="145"/>
      <c r="H40" s="145"/>
      <c r="I40" s="145"/>
      <c r="J40" s="138"/>
      <c r="K40" s="138"/>
      <c r="L40" s="138"/>
      <c r="M40" s="112"/>
      <c r="N40" s="136"/>
      <c r="O40" s="138"/>
      <c r="P40" s="138"/>
      <c r="Q40" s="138"/>
      <c r="R40" s="157"/>
      <c r="S40" s="157"/>
      <c r="T40" s="136" t="s">
        <v>1436</v>
      </c>
      <c r="U40" s="115">
        <f t="shared" si="32"/>
        <v>0</v>
      </c>
      <c r="V40" s="116" t="str">
        <f t="shared" si="4"/>
        <v>ERROR</v>
      </c>
      <c r="W40" s="116" t="str">
        <f t="shared" si="5"/>
        <v>ERROR</v>
      </c>
      <c r="X40" s="117" t="str">
        <f t="shared" si="33"/>
        <v>#VALUE!</v>
      </c>
      <c r="Y40" s="117" t="str">
        <f t="shared" si="34"/>
        <v>#NAME?</v>
      </c>
      <c r="Z40" s="118" t="str">
        <f t="shared" si="8"/>
        <v>ERROR</v>
      </c>
      <c r="AA40" s="117" t="str">
        <f t="shared" si="35"/>
        <v>#VALUE!</v>
      </c>
      <c r="AB40" s="117">
        <f t="shared" si="36"/>
        <v>0</v>
      </c>
      <c r="AC40" s="117" t="str">
        <f t="shared" si="11"/>
        <v>#VALUE!</v>
      </c>
      <c r="AD40" s="117" t="str">
        <f t="shared" si="12"/>
        <v>#VALUE!</v>
      </c>
      <c r="AE40" s="158"/>
      <c r="AF40" s="115"/>
      <c r="AG40" s="115">
        <f t="shared" si="37"/>
        <v>972.3921669</v>
      </c>
      <c r="AH40" s="147"/>
      <c r="AI40" s="151">
        <f>N40*References!$B$6</f>
        <v>0</v>
      </c>
      <c r="AJ40" s="151">
        <f t="shared" si="38"/>
        <v>15916.12</v>
      </c>
      <c r="AK40" s="151">
        <f>References!$B$8*55</f>
        <v>385</v>
      </c>
      <c r="AL40" s="152">
        <v>1000.0</v>
      </c>
      <c r="AM40" s="148">
        <f t="shared" si="17"/>
        <v>17301.12</v>
      </c>
      <c r="AN40" s="151" t="str">
        <f t="shared" si="42"/>
        <v>#VALUE!</v>
      </c>
      <c r="AO40" s="148">
        <v>600.0</v>
      </c>
      <c r="AP40" s="148" t="str">
        <f t="shared" si="30"/>
        <v>#VALUE!</v>
      </c>
      <c r="AQ40" s="149" t="str">
        <f t="shared" si="28"/>
        <v>#VALUE!</v>
      </c>
      <c r="AR40" s="140"/>
      <c r="AS40" s="140" t="str">
        <f t="shared" si="39"/>
        <v>#DIV/0!</v>
      </c>
      <c r="AT40" s="140"/>
      <c r="AU40" s="140"/>
      <c r="AV40" s="140"/>
    </row>
    <row r="41">
      <c r="A41" s="106">
        <v>40.0</v>
      </c>
      <c r="B41" s="106"/>
      <c r="C41" s="163"/>
      <c r="D41" s="4"/>
      <c r="E41" s="136"/>
      <c r="F41" s="138"/>
      <c r="G41" s="168"/>
      <c r="H41" s="169"/>
      <c r="I41" s="169"/>
      <c r="J41" s="138"/>
      <c r="K41" s="138"/>
      <c r="L41" s="138"/>
      <c r="M41" s="112"/>
      <c r="N41" s="136"/>
      <c r="O41" s="138"/>
      <c r="P41" s="138"/>
      <c r="Q41" s="138"/>
      <c r="R41" s="157"/>
      <c r="S41" s="157"/>
      <c r="T41" s="136" t="s">
        <v>1436</v>
      </c>
      <c r="U41" s="115">
        <f t="shared" si="32"/>
        <v>0</v>
      </c>
      <c r="V41" s="116" t="str">
        <f t="shared" si="4"/>
        <v>ERROR</v>
      </c>
      <c r="W41" s="116" t="str">
        <f t="shared" si="5"/>
        <v>ERROR</v>
      </c>
      <c r="X41" s="117" t="str">
        <f t="shared" si="33"/>
        <v>#VALUE!</v>
      </c>
      <c r="Y41" s="117" t="str">
        <f t="shared" si="34"/>
        <v>#NAME?</v>
      </c>
      <c r="Z41" s="118" t="str">
        <f t="shared" si="8"/>
        <v>ERROR</v>
      </c>
      <c r="AA41" s="117" t="str">
        <f t="shared" si="35"/>
        <v>#VALUE!</v>
      </c>
      <c r="AB41" s="117">
        <f t="shared" si="36"/>
        <v>0</v>
      </c>
      <c r="AC41" s="117" t="str">
        <f t="shared" si="11"/>
        <v>#VALUE!</v>
      </c>
      <c r="AD41" s="117" t="str">
        <f t="shared" si="12"/>
        <v>#VALUE!</v>
      </c>
      <c r="AE41" s="158"/>
      <c r="AF41" s="115"/>
      <c r="AG41" s="115">
        <f t="shared" si="37"/>
        <v>972.3921669</v>
      </c>
      <c r="AH41" s="147"/>
      <c r="AI41" s="151">
        <f>N41*References!$B$6</f>
        <v>0</v>
      </c>
      <c r="AJ41" s="151">
        <f t="shared" si="38"/>
        <v>15916.12</v>
      </c>
      <c r="AK41" s="151">
        <f>References!$B$8*55</f>
        <v>385</v>
      </c>
      <c r="AL41" s="152">
        <v>1000.0</v>
      </c>
      <c r="AM41" s="148">
        <f t="shared" si="17"/>
        <v>17301.12</v>
      </c>
      <c r="AN41" s="151" t="str">
        <f t="shared" si="42"/>
        <v>#VALUE!</v>
      </c>
      <c r="AO41" s="148">
        <v>600.0</v>
      </c>
      <c r="AP41" s="148" t="str">
        <f t="shared" si="30"/>
        <v>#VALUE!</v>
      </c>
      <c r="AQ41" s="149" t="str">
        <f t="shared" si="28"/>
        <v>#VALUE!</v>
      </c>
      <c r="AR41" s="140"/>
      <c r="AS41" s="140" t="str">
        <f t="shared" si="39"/>
        <v>#DIV/0!</v>
      </c>
      <c r="AT41" s="140"/>
      <c r="AU41" s="140"/>
      <c r="AV41" s="140"/>
    </row>
    <row r="42">
      <c r="A42" s="106">
        <v>41.0</v>
      </c>
      <c r="B42" s="106"/>
      <c r="C42" s="163"/>
      <c r="D42" s="4"/>
      <c r="E42" s="136"/>
      <c r="F42" s="138"/>
      <c r="G42" s="145"/>
      <c r="H42" s="145"/>
      <c r="I42" s="145"/>
      <c r="J42" s="138"/>
      <c r="K42" s="138"/>
      <c r="L42" s="138"/>
      <c r="M42" s="112"/>
      <c r="N42" s="136"/>
      <c r="O42" s="138"/>
      <c r="P42" s="138"/>
      <c r="Q42" s="138"/>
      <c r="R42" s="157"/>
      <c r="S42" s="157"/>
      <c r="T42" s="136" t="s">
        <v>1436</v>
      </c>
      <c r="U42" s="115">
        <f t="shared" si="32"/>
        <v>0</v>
      </c>
      <c r="V42" s="116" t="str">
        <f t="shared" si="4"/>
        <v>ERROR</v>
      </c>
      <c r="W42" s="116" t="str">
        <f t="shared" si="5"/>
        <v>ERROR</v>
      </c>
      <c r="X42" s="117" t="str">
        <f t="shared" si="33"/>
        <v>#VALUE!</v>
      </c>
      <c r="Y42" s="117" t="str">
        <f t="shared" si="34"/>
        <v>#NAME?</v>
      </c>
      <c r="Z42" s="118" t="str">
        <f t="shared" si="8"/>
        <v>ERROR</v>
      </c>
      <c r="AA42" s="117" t="str">
        <f t="shared" si="35"/>
        <v>#VALUE!</v>
      </c>
      <c r="AB42" s="117">
        <f t="shared" si="36"/>
        <v>0</v>
      </c>
      <c r="AC42" s="117" t="str">
        <f t="shared" si="11"/>
        <v>#VALUE!</v>
      </c>
      <c r="AD42" s="117" t="str">
        <f t="shared" si="12"/>
        <v>#VALUE!</v>
      </c>
      <c r="AE42" s="158"/>
      <c r="AF42" s="115"/>
      <c r="AG42" s="115">
        <f t="shared" si="37"/>
        <v>972.3921669</v>
      </c>
      <c r="AH42" s="147"/>
      <c r="AI42" s="151">
        <f>N42*References!$B$6</f>
        <v>0</v>
      </c>
      <c r="AJ42" s="151">
        <f t="shared" si="38"/>
        <v>15916.12</v>
      </c>
      <c r="AK42" s="151">
        <f>References!$B$8*55</f>
        <v>385</v>
      </c>
      <c r="AL42" s="152">
        <v>1000.0</v>
      </c>
      <c r="AM42" s="148">
        <f t="shared" si="17"/>
        <v>17301.12</v>
      </c>
      <c r="AN42" s="151" t="str">
        <f t="shared" si="42"/>
        <v>#VALUE!</v>
      </c>
      <c r="AO42" s="148">
        <v>600.0</v>
      </c>
      <c r="AP42" s="148" t="str">
        <f t="shared" si="30"/>
        <v>#VALUE!</v>
      </c>
      <c r="AQ42" s="149" t="str">
        <f t="shared" si="28"/>
        <v>#VALUE!</v>
      </c>
      <c r="AR42" s="140"/>
      <c r="AS42" s="140" t="str">
        <f t="shared" si="39"/>
        <v>#DIV/0!</v>
      </c>
      <c r="AT42" s="140"/>
      <c r="AU42" s="140"/>
      <c r="AV42" s="140"/>
    </row>
    <row r="43">
      <c r="A43" s="106">
        <v>42.0</v>
      </c>
      <c r="C43" s="163"/>
      <c r="D43" s="4"/>
      <c r="E43" s="136"/>
      <c r="F43" s="138"/>
      <c r="G43" s="145"/>
      <c r="H43" s="145"/>
      <c r="I43" s="145"/>
      <c r="J43" s="138"/>
      <c r="K43" s="138"/>
      <c r="L43" s="138"/>
      <c r="M43" s="112"/>
      <c r="N43" s="136"/>
      <c r="O43" s="138"/>
      <c r="P43" s="138"/>
      <c r="Q43" s="138"/>
      <c r="R43" s="157"/>
      <c r="S43" s="157"/>
      <c r="T43" s="136" t="s">
        <v>1436</v>
      </c>
      <c r="U43" s="115">
        <f t="shared" si="32"/>
        <v>0</v>
      </c>
      <c r="V43" s="116" t="str">
        <f t="shared" si="4"/>
        <v>ERROR</v>
      </c>
      <c r="W43" s="116" t="str">
        <f t="shared" si="5"/>
        <v>ERROR</v>
      </c>
      <c r="X43" s="117" t="str">
        <f t="shared" si="33"/>
        <v>#VALUE!</v>
      </c>
      <c r="Y43" s="117" t="str">
        <f t="shared" si="34"/>
        <v>#NAME?</v>
      </c>
      <c r="Z43" s="118" t="str">
        <f t="shared" si="8"/>
        <v>ERROR</v>
      </c>
      <c r="AA43" s="117" t="str">
        <f t="shared" si="35"/>
        <v>#VALUE!</v>
      </c>
      <c r="AB43" s="117">
        <f t="shared" si="36"/>
        <v>0</v>
      </c>
      <c r="AC43" s="117" t="str">
        <f t="shared" si="11"/>
        <v>#VALUE!</v>
      </c>
      <c r="AD43" s="117" t="str">
        <f t="shared" si="12"/>
        <v>#VALUE!</v>
      </c>
      <c r="AE43" s="158"/>
      <c r="AF43" s="115"/>
      <c r="AG43" s="115">
        <f t="shared" si="37"/>
        <v>972.3921669</v>
      </c>
      <c r="AH43" s="147"/>
      <c r="AI43" s="151">
        <f>N43*References!$B$6</f>
        <v>0</v>
      </c>
      <c r="AJ43" s="151">
        <f t="shared" si="38"/>
        <v>15916.12</v>
      </c>
      <c r="AK43" s="151">
        <f>References!$B$8*55</f>
        <v>385</v>
      </c>
      <c r="AL43" s="152">
        <v>1000.0</v>
      </c>
      <c r="AM43" s="148">
        <f t="shared" si="17"/>
        <v>17301.12</v>
      </c>
      <c r="AN43" s="151" t="str">
        <f t="shared" si="42"/>
        <v>#VALUE!</v>
      </c>
      <c r="AO43" s="148">
        <v>600.0</v>
      </c>
      <c r="AP43" s="148" t="str">
        <f t="shared" si="30"/>
        <v>#VALUE!</v>
      </c>
      <c r="AQ43" s="149" t="str">
        <f t="shared" si="28"/>
        <v>#VALUE!</v>
      </c>
      <c r="AR43" s="140"/>
      <c r="AS43" s="140" t="str">
        <f t="shared" si="39"/>
        <v>#DIV/0!</v>
      </c>
      <c r="AT43" s="140"/>
      <c r="AU43" s="140"/>
      <c r="AV43" s="140"/>
    </row>
    <row r="44">
      <c r="A44" s="106">
        <v>43.0</v>
      </c>
      <c r="C44" s="163"/>
      <c r="D44" s="4"/>
      <c r="E44" s="136"/>
      <c r="F44" s="138"/>
      <c r="G44" s="168"/>
      <c r="H44" s="169"/>
      <c r="I44" s="169"/>
      <c r="J44" s="138"/>
      <c r="K44" s="138"/>
      <c r="L44" s="138"/>
      <c r="M44" s="112"/>
      <c r="N44" s="136"/>
      <c r="O44" s="138"/>
      <c r="P44" s="138"/>
      <c r="Q44" s="138"/>
      <c r="R44" s="157"/>
      <c r="S44" s="157"/>
      <c r="T44" s="136" t="s">
        <v>1436</v>
      </c>
      <c r="U44" s="115">
        <f t="shared" si="32"/>
        <v>0</v>
      </c>
      <c r="V44" s="116" t="str">
        <f t="shared" si="4"/>
        <v>ERROR</v>
      </c>
      <c r="W44" s="116" t="str">
        <f t="shared" si="5"/>
        <v>ERROR</v>
      </c>
      <c r="X44" s="117" t="str">
        <f t="shared" si="33"/>
        <v>#VALUE!</v>
      </c>
      <c r="Y44" s="117" t="str">
        <f t="shared" si="34"/>
        <v>#NAME?</v>
      </c>
      <c r="Z44" s="118" t="str">
        <f t="shared" si="8"/>
        <v>ERROR</v>
      </c>
      <c r="AA44" s="117" t="str">
        <f t="shared" si="35"/>
        <v>#VALUE!</v>
      </c>
      <c r="AB44" s="117">
        <f t="shared" si="36"/>
        <v>0</v>
      </c>
      <c r="AC44" s="117" t="str">
        <f t="shared" si="11"/>
        <v>#VALUE!</v>
      </c>
      <c r="AD44" s="117" t="str">
        <f t="shared" si="12"/>
        <v>#VALUE!</v>
      </c>
      <c r="AE44" s="158"/>
      <c r="AF44" s="115"/>
      <c r="AG44" s="115">
        <f t="shared" si="37"/>
        <v>972.3921669</v>
      </c>
      <c r="AH44" s="147"/>
      <c r="AI44" s="151">
        <f>N44*References!$B$6</f>
        <v>0</v>
      </c>
      <c r="AJ44" s="151">
        <f t="shared" si="38"/>
        <v>15916.12</v>
      </c>
      <c r="AK44" s="151">
        <f>References!$B$8*55</f>
        <v>385</v>
      </c>
      <c r="AL44" s="152">
        <v>1000.0</v>
      </c>
      <c r="AM44" s="148">
        <f t="shared" si="17"/>
        <v>17301.12</v>
      </c>
      <c r="AN44" s="151" t="str">
        <f t="shared" si="42"/>
        <v>#VALUE!</v>
      </c>
      <c r="AO44" s="148">
        <v>600.0</v>
      </c>
      <c r="AP44" s="148" t="str">
        <f t="shared" si="30"/>
        <v>#VALUE!</v>
      </c>
      <c r="AQ44" s="149" t="str">
        <f t="shared" si="28"/>
        <v>#VALUE!</v>
      </c>
      <c r="AR44" s="140"/>
      <c r="AS44" s="140" t="str">
        <f t="shared" si="39"/>
        <v>#DIV/0!</v>
      </c>
      <c r="AT44" s="140"/>
      <c r="AU44" s="140"/>
      <c r="AV44" s="140"/>
    </row>
    <row r="45">
      <c r="A45" s="106">
        <v>44.0</v>
      </c>
      <c r="C45" s="163"/>
      <c r="D45" s="4"/>
      <c r="E45" s="136"/>
      <c r="F45" s="138"/>
      <c r="G45" s="145"/>
      <c r="H45" s="156"/>
      <c r="I45" s="156"/>
      <c r="J45" s="138"/>
      <c r="K45" s="138"/>
      <c r="L45" s="138"/>
      <c r="M45" s="112"/>
      <c r="N45" s="136"/>
      <c r="O45" s="138"/>
      <c r="P45" s="138"/>
      <c r="Q45" s="138"/>
      <c r="R45" s="157"/>
      <c r="S45" s="157"/>
      <c r="T45" s="136" t="s">
        <v>1436</v>
      </c>
      <c r="U45" s="115">
        <f t="shared" si="32"/>
        <v>0</v>
      </c>
      <c r="V45" s="116" t="str">
        <f t="shared" si="4"/>
        <v>ERROR</v>
      </c>
      <c r="W45" s="116" t="str">
        <f t="shared" si="5"/>
        <v>ERROR</v>
      </c>
      <c r="X45" s="117" t="str">
        <f t="shared" si="33"/>
        <v>#VALUE!</v>
      </c>
      <c r="Y45" s="117" t="str">
        <f t="shared" si="34"/>
        <v>#NAME?</v>
      </c>
      <c r="Z45" s="118" t="str">
        <f t="shared" si="8"/>
        <v>ERROR</v>
      </c>
      <c r="AA45" s="117" t="str">
        <f t="shared" si="35"/>
        <v>#VALUE!</v>
      </c>
      <c r="AB45" s="117">
        <f t="shared" si="36"/>
        <v>0</v>
      </c>
      <c r="AC45" s="117" t="str">
        <f t="shared" si="11"/>
        <v>#VALUE!</v>
      </c>
      <c r="AD45" s="117" t="str">
        <f t="shared" si="12"/>
        <v>#VALUE!</v>
      </c>
      <c r="AE45" s="158"/>
      <c r="AF45" s="115"/>
      <c r="AG45" s="115">
        <f t="shared" si="37"/>
        <v>972.3921669</v>
      </c>
      <c r="AH45" s="147"/>
      <c r="AI45" s="151">
        <f>N45*References!$B$6</f>
        <v>0</v>
      </c>
      <c r="AJ45" s="151"/>
      <c r="AK45" s="151"/>
      <c r="AL45" s="152"/>
      <c r="AM45" s="148"/>
      <c r="AN45" s="151"/>
      <c r="AO45" s="148"/>
      <c r="AP45" s="148"/>
      <c r="AQ45" s="149"/>
      <c r="AR45" s="140"/>
      <c r="AS45" s="140" t="str">
        <f t="shared" si="39"/>
        <v>#DIV/0!</v>
      </c>
      <c r="AT45" s="140"/>
      <c r="AU45" s="140"/>
      <c r="AV45" s="140"/>
    </row>
    <row r="46">
      <c r="A46" s="106">
        <v>45.0</v>
      </c>
      <c r="C46" s="163"/>
      <c r="D46" s="4"/>
      <c r="E46" s="136"/>
      <c r="F46" s="138"/>
      <c r="G46" s="145"/>
      <c r="H46" s="156"/>
      <c r="I46" s="156"/>
      <c r="J46" s="138"/>
      <c r="K46" s="138"/>
      <c r="L46" s="138"/>
      <c r="M46" s="112"/>
      <c r="N46" s="136"/>
      <c r="O46" s="138"/>
      <c r="P46" s="138"/>
      <c r="Q46" s="138"/>
      <c r="R46" s="157"/>
      <c r="S46" s="157"/>
      <c r="T46" s="136" t="s">
        <v>1436</v>
      </c>
      <c r="U46" s="115">
        <f t="shared" si="32"/>
        <v>0</v>
      </c>
      <c r="V46" s="116" t="str">
        <f t="shared" si="4"/>
        <v>ERROR</v>
      </c>
      <c r="W46" s="116" t="str">
        <f t="shared" si="5"/>
        <v>ERROR</v>
      </c>
      <c r="X46" s="117" t="str">
        <f t="shared" si="33"/>
        <v>#VALUE!</v>
      </c>
      <c r="Y46" s="117" t="str">
        <f t="shared" si="34"/>
        <v>#NAME?</v>
      </c>
      <c r="Z46" s="118" t="str">
        <f t="shared" si="8"/>
        <v>ERROR</v>
      </c>
      <c r="AA46" s="117" t="str">
        <f t="shared" si="35"/>
        <v>#VALUE!</v>
      </c>
      <c r="AB46" s="117">
        <f t="shared" si="36"/>
        <v>0</v>
      </c>
      <c r="AC46" s="117" t="str">
        <f t="shared" si="11"/>
        <v>#VALUE!</v>
      </c>
      <c r="AD46" s="117" t="str">
        <f t="shared" si="12"/>
        <v>#VALUE!</v>
      </c>
      <c r="AE46" s="158"/>
      <c r="AF46" s="115"/>
      <c r="AG46" s="115">
        <f t="shared" si="37"/>
        <v>972.3921669</v>
      </c>
      <c r="AH46" s="147"/>
      <c r="AI46" s="151">
        <f>N46*References!$B$6</f>
        <v>0</v>
      </c>
      <c r="AJ46" s="151"/>
      <c r="AK46" s="151"/>
      <c r="AL46" s="152"/>
      <c r="AM46" s="148"/>
      <c r="AN46" s="151"/>
      <c r="AO46" s="148"/>
      <c r="AP46" s="148"/>
      <c r="AQ46" s="149"/>
      <c r="AR46" s="140"/>
      <c r="AS46" s="140" t="str">
        <f t="shared" si="39"/>
        <v>#DIV/0!</v>
      </c>
      <c r="AT46" s="140"/>
      <c r="AU46" s="140"/>
      <c r="AV46" s="140"/>
    </row>
    <row r="47">
      <c r="A47" s="106">
        <v>46.0</v>
      </c>
      <c r="C47" s="163"/>
      <c r="D47" s="4"/>
      <c r="E47" s="136"/>
      <c r="F47" s="138"/>
      <c r="G47" s="145"/>
      <c r="H47" s="156"/>
      <c r="I47" s="156"/>
      <c r="J47" s="138"/>
      <c r="K47" s="138"/>
      <c r="L47" s="138"/>
      <c r="M47" s="112"/>
      <c r="N47" s="136"/>
      <c r="O47" s="138"/>
      <c r="P47" s="138"/>
      <c r="Q47" s="138"/>
      <c r="R47" s="157"/>
      <c r="S47" s="157"/>
      <c r="T47" s="136" t="s">
        <v>1436</v>
      </c>
      <c r="U47" s="115">
        <f t="shared" si="32"/>
        <v>0</v>
      </c>
      <c r="V47" s="116" t="str">
        <f t="shared" si="4"/>
        <v>ERROR</v>
      </c>
      <c r="W47" s="116" t="str">
        <f t="shared" si="5"/>
        <v>ERROR</v>
      </c>
      <c r="X47" s="117" t="str">
        <f t="shared" si="33"/>
        <v>#VALUE!</v>
      </c>
      <c r="Y47" s="117" t="str">
        <f t="shared" si="34"/>
        <v>#NAME?</v>
      </c>
      <c r="Z47" s="118" t="str">
        <f t="shared" si="8"/>
        <v>ERROR</v>
      </c>
      <c r="AA47" s="117" t="str">
        <f t="shared" si="35"/>
        <v>#VALUE!</v>
      </c>
      <c r="AB47" s="117">
        <f t="shared" si="36"/>
        <v>0</v>
      </c>
      <c r="AC47" s="117" t="str">
        <f t="shared" si="11"/>
        <v>#VALUE!</v>
      </c>
      <c r="AD47" s="117" t="str">
        <f t="shared" si="12"/>
        <v>#VALUE!</v>
      </c>
      <c r="AE47" s="158"/>
      <c r="AF47" s="115"/>
      <c r="AG47" s="115">
        <f t="shared" si="37"/>
        <v>972.3921669</v>
      </c>
      <c r="AH47" s="147"/>
      <c r="AI47" s="151">
        <f>N47*References!$B$6</f>
        <v>0</v>
      </c>
      <c r="AJ47" s="151">
        <f t="shared" ref="AJ47:AJ52" si="43">200+15716.12</f>
        <v>15916.12</v>
      </c>
      <c r="AK47" s="151">
        <f>References!$B$8*55</f>
        <v>385</v>
      </c>
      <c r="AL47" s="152">
        <v>1000.0</v>
      </c>
      <c r="AM47" s="148">
        <f t="shared" ref="AM47:AM80" si="44">SUM(AI47:AL47)</f>
        <v>17301.12</v>
      </c>
      <c r="AN47" s="151" t="str">
        <f t="shared" ref="AN47:AN80" si="45">AM47/AD47</f>
        <v>#VALUE!</v>
      </c>
      <c r="AO47" s="148">
        <v>600.0</v>
      </c>
      <c r="AP47" s="148" t="str">
        <f t="shared" ref="AP47:AP80" si="46">(AO47*AD47)-AM47</f>
        <v>#VALUE!</v>
      </c>
      <c r="AQ47" s="149" t="str">
        <f t="shared" ref="AQ47:AQ80" si="47">((AO47*AD47)-AM47)/(AD47*AO47)</f>
        <v>#VALUE!</v>
      </c>
      <c r="AR47" s="140"/>
      <c r="AS47" s="140" t="str">
        <f t="shared" si="39"/>
        <v>#DIV/0!</v>
      </c>
      <c r="AT47" s="140"/>
      <c r="AU47" s="140"/>
      <c r="AV47" s="140"/>
    </row>
    <row r="48">
      <c r="A48" s="106">
        <v>47.0</v>
      </c>
      <c r="C48" s="163"/>
      <c r="D48" s="4"/>
      <c r="E48" s="136"/>
      <c r="F48" s="138"/>
      <c r="G48" s="145"/>
      <c r="H48" s="156"/>
      <c r="I48" s="156"/>
      <c r="J48" s="138"/>
      <c r="K48" s="138"/>
      <c r="L48" s="138"/>
      <c r="M48" s="112"/>
      <c r="N48" s="136"/>
      <c r="O48" s="138"/>
      <c r="P48" s="138"/>
      <c r="Q48" s="138"/>
      <c r="R48" s="157"/>
      <c r="S48" s="157"/>
      <c r="T48" s="136" t="s">
        <v>1436</v>
      </c>
      <c r="U48" s="115">
        <f t="shared" si="32"/>
        <v>0</v>
      </c>
      <c r="V48" s="116" t="str">
        <f t="shared" si="4"/>
        <v>ERROR</v>
      </c>
      <c r="W48" s="116" t="str">
        <f t="shared" si="5"/>
        <v>ERROR</v>
      </c>
      <c r="X48" s="117" t="str">
        <f t="shared" si="33"/>
        <v>#VALUE!</v>
      </c>
      <c r="Y48" s="117" t="str">
        <f t="shared" si="34"/>
        <v>#NAME?</v>
      </c>
      <c r="Z48" s="118" t="str">
        <f t="shared" si="8"/>
        <v>ERROR</v>
      </c>
      <c r="AA48" s="117" t="str">
        <f t="shared" si="35"/>
        <v>#VALUE!</v>
      </c>
      <c r="AB48" s="117">
        <f t="shared" si="36"/>
        <v>0</v>
      </c>
      <c r="AC48" s="117" t="str">
        <f t="shared" si="11"/>
        <v>#VALUE!</v>
      </c>
      <c r="AD48" s="117" t="str">
        <f t="shared" si="12"/>
        <v>#VALUE!</v>
      </c>
      <c r="AE48" s="158"/>
      <c r="AF48" s="115"/>
      <c r="AG48" s="115">
        <f t="shared" si="37"/>
        <v>972.3921669</v>
      </c>
      <c r="AH48" s="147"/>
      <c r="AI48" s="151">
        <f>N48*References!$B$6</f>
        <v>0</v>
      </c>
      <c r="AJ48" s="151">
        <f t="shared" si="43"/>
        <v>15916.12</v>
      </c>
      <c r="AK48" s="151">
        <f>References!$B$8*55</f>
        <v>385</v>
      </c>
      <c r="AL48" s="152">
        <v>1000.0</v>
      </c>
      <c r="AM48" s="148">
        <f t="shared" si="44"/>
        <v>17301.12</v>
      </c>
      <c r="AN48" s="151" t="str">
        <f t="shared" si="45"/>
        <v>#VALUE!</v>
      </c>
      <c r="AO48" s="148">
        <v>600.0</v>
      </c>
      <c r="AP48" s="148" t="str">
        <f t="shared" si="46"/>
        <v>#VALUE!</v>
      </c>
      <c r="AQ48" s="149" t="str">
        <f t="shared" si="47"/>
        <v>#VALUE!</v>
      </c>
      <c r="AR48" s="140"/>
      <c r="AS48" s="140" t="str">
        <f t="shared" si="39"/>
        <v>#DIV/0!</v>
      </c>
      <c r="AT48" s="140"/>
      <c r="AU48" s="140"/>
      <c r="AV48" s="140"/>
    </row>
    <row r="49">
      <c r="A49" s="106">
        <v>48.0</v>
      </c>
      <c r="C49" s="163"/>
      <c r="D49" s="4"/>
      <c r="E49" s="136"/>
      <c r="F49" s="138"/>
      <c r="G49" s="145"/>
      <c r="H49" s="156"/>
      <c r="I49" s="156"/>
      <c r="J49" s="138"/>
      <c r="K49" s="138"/>
      <c r="L49" s="138"/>
      <c r="M49" s="112"/>
      <c r="N49" s="136"/>
      <c r="O49" s="138"/>
      <c r="P49" s="138"/>
      <c r="Q49" s="138"/>
      <c r="R49" s="157"/>
      <c r="S49" s="157"/>
      <c r="T49" s="136" t="s">
        <v>1436</v>
      </c>
      <c r="U49" s="115">
        <f t="shared" si="32"/>
        <v>0</v>
      </c>
      <c r="V49" s="116" t="str">
        <f t="shared" si="4"/>
        <v>ERROR</v>
      </c>
      <c r="W49" s="116" t="str">
        <f t="shared" si="5"/>
        <v>ERROR</v>
      </c>
      <c r="X49" s="117" t="str">
        <f t="shared" si="33"/>
        <v>#VALUE!</v>
      </c>
      <c r="Y49" s="117" t="str">
        <f t="shared" si="34"/>
        <v>#NAME?</v>
      </c>
      <c r="Z49" s="118" t="str">
        <f t="shared" si="8"/>
        <v>ERROR</v>
      </c>
      <c r="AA49" s="117" t="str">
        <f t="shared" si="35"/>
        <v>#VALUE!</v>
      </c>
      <c r="AB49" s="117">
        <f t="shared" si="36"/>
        <v>0</v>
      </c>
      <c r="AC49" s="117" t="str">
        <f t="shared" si="11"/>
        <v>#VALUE!</v>
      </c>
      <c r="AD49" s="117" t="str">
        <f t="shared" si="12"/>
        <v>#VALUE!</v>
      </c>
      <c r="AE49" s="158"/>
      <c r="AF49" s="115"/>
      <c r="AG49" s="115">
        <f t="shared" si="37"/>
        <v>972.3921669</v>
      </c>
      <c r="AH49" s="147"/>
      <c r="AI49" s="151">
        <f>N49*References!$B$6</f>
        <v>0</v>
      </c>
      <c r="AJ49" s="151">
        <f t="shared" si="43"/>
        <v>15916.12</v>
      </c>
      <c r="AK49" s="151">
        <f>References!$B$8*55</f>
        <v>385</v>
      </c>
      <c r="AL49" s="152">
        <v>1000.0</v>
      </c>
      <c r="AM49" s="148">
        <f t="shared" si="44"/>
        <v>17301.12</v>
      </c>
      <c r="AN49" s="151" t="str">
        <f t="shared" si="45"/>
        <v>#VALUE!</v>
      </c>
      <c r="AO49" s="148">
        <v>600.0</v>
      </c>
      <c r="AP49" s="148" t="str">
        <f t="shared" si="46"/>
        <v>#VALUE!</v>
      </c>
      <c r="AQ49" s="149" t="str">
        <f t="shared" si="47"/>
        <v>#VALUE!</v>
      </c>
      <c r="AR49" s="140"/>
      <c r="AS49" s="140" t="str">
        <f t="shared" si="39"/>
        <v>#DIV/0!</v>
      </c>
      <c r="AT49" s="140"/>
      <c r="AU49" s="140"/>
      <c r="AV49" s="140"/>
    </row>
    <row r="50">
      <c r="A50" s="106">
        <v>49.0</v>
      </c>
      <c r="C50" s="163"/>
      <c r="D50" s="4"/>
      <c r="E50" s="136"/>
      <c r="F50" s="138"/>
      <c r="G50" s="145"/>
      <c r="H50" s="156"/>
      <c r="I50" s="156"/>
      <c r="J50" s="138"/>
      <c r="K50" s="138"/>
      <c r="L50" s="138"/>
      <c r="M50" s="112"/>
      <c r="N50" s="136"/>
      <c r="O50" s="138"/>
      <c r="P50" s="138"/>
      <c r="Q50" s="138"/>
      <c r="R50" s="157"/>
      <c r="S50" s="157"/>
      <c r="T50" s="136" t="s">
        <v>1436</v>
      </c>
      <c r="U50" s="115">
        <f t="shared" si="32"/>
        <v>0</v>
      </c>
      <c r="V50" s="116" t="str">
        <f t="shared" si="4"/>
        <v>ERROR</v>
      </c>
      <c r="W50" s="116" t="str">
        <f t="shared" si="5"/>
        <v>ERROR</v>
      </c>
      <c r="X50" s="117" t="str">
        <f t="shared" si="33"/>
        <v>#VALUE!</v>
      </c>
      <c r="Y50" s="117" t="str">
        <f t="shared" si="34"/>
        <v>#NAME?</v>
      </c>
      <c r="Z50" s="118" t="str">
        <f t="shared" si="8"/>
        <v>ERROR</v>
      </c>
      <c r="AA50" s="117" t="str">
        <f t="shared" si="35"/>
        <v>#VALUE!</v>
      </c>
      <c r="AB50" s="117">
        <f t="shared" si="36"/>
        <v>0</v>
      </c>
      <c r="AC50" s="117" t="str">
        <f t="shared" si="11"/>
        <v>#VALUE!</v>
      </c>
      <c r="AD50" s="117" t="str">
        <f t="shared" si="12"/>
        <v>#VALUE!</v>
      </c>
      <c r="AE50" s="158"/>
      <c r="AF50" s="115"/>
      <c r="AG50" s="115">
        <f t="shared" si="37"/>
        <v>972.3921669</v>
      </c>
      <c r="AH50" s="147"/>
      <c r="AI50" s="151">
        <f>N50*References!$B$6</f>
        <v>0</v>
      </c>
      <c r="AJ50" s="151">
        <f t="shared" si="43"/>
        <v>15916.12</v>
      </c>
      <c r="AK50" s="151">
        <f>References!$B$8*55</f>
        <v>385</v>
      </c>
      <c r="AL50" s="152">
        <v>1000.0</v>
      </c>
      <c r="AM50" s="148">
        <f t="shared" si="44"/>
        <v>17301.12</v>
      </c>
      <c r="AN50" s="151" t="str">
        <f t="shared" si="45"/>
        <v>#VALUE!</v>
      </c>
      <c r="AO50" s="148">
        <v>600.0</v>
      </c>
      <c r="AP50" s="148" t="str">
        <f t="shared" si="46"/>
        <v>#VALUE!</v>
      </c>
      <c r="AQ50" s="149" t="str">
        <f t="shared" si="47"/>
        <v>#VALUE!</v>
      </c>
      <c r="AR50" s="140"/>
      <c r="AS50" s="140" t="str">
        <f t="shared" si="39"/>
        <v>#DIV/0!</v>
      </c>
      <c r="AT50" s="140"/>
      <c r="AU50" s="140"/>
      <c r="AV50" s="140"/>
    </row>
    <row r="51">
      <c r="A51" s="106">
        <v>50.0</v>
      </c>
      <c r="C51" s="163"/>
      <c r="D51" s="4"/>
      <c r="E51" s="136"/>
      <c r="F51" s="138"/>
      <c r="G51" s="145"/>
      <c r="H51" s="156"/>
      <c r="I51" s="156"/>
      <c r="J51" s="138"/>
      <c r="K51" s="138"/>
      <c r="L51" s="138"/>
      <c r="M51" s="112"/>
      <c r="N51" s="136"/>
      <c r="O51" s="138"/>
      <c r="P51" s="138"/>
      <c r="Q51" s="138"/>
      <c r="R51" s="157"/>
      <c r="S51" s="157"/>
      <c r="T51" s="136" t="s">
        <v>1436</v>
      </c>
      <c r="U51" s="115">
        <f t="shared" si="32"/>
        <v>0</v>
      </c>
      <c r="V51" s="116" t="str">
        <f t="shared" si="4"/>
        <v>ERROR</v>
      </c>
      <c r="W51" s="116" t="str">
        <f t="shared" si="5"/>
        <v>ERROR</v>
      </c>
      <c r="X51" s="117" t="str">
        <f t="shared" si="33"/>
        <v>#VALUE!</v>
      </c>
      <c r="Y51" s="117" t="str">
        <f t="shared" si="34"/>
        <v>#NAME?</v>
      </c>
      <c r="Z51" s="118" t="str">
        <f t="shared" si="8"/>
        <v>ERROR</v>
      </c>
      <c r="AA51" s="117" t="str">
        <f t="shared" si="35"/>
        <v>#VALUE!</v>
      </c>
      <c r="AB51" s="117">
        <f t="shared" si="36"/>
        <v>0</v>
      </c>
      <c r="AC51" s="117" t="str">
        <f t="shared" si="11"/>
        <v>#VALUE!</v>
      </c>
      <c r="AD51" s="117" t="str">
        <f t="shared" si="12"/>
        <v>#VALUE!</v>
      </c>
      <c r="AE51" s="158"/>
      <c r="AF51" s="115"/>
      <c r="AG51" s="115">
        <f t="shared" si="37"/>
        <v>972.3921669</v>
      </c>
      <c r="AH51" s="147"/>
      <c r="AI51" s="151">
        <f>N51*References!$B$6</f>
        <v>0</v>
      </c>
      <c r="AJ51" s="151">
        <f t="shared" si="43"/>
        <v>15916.12</v>
      </c>
      <c r="AK51" s="151">
        <f>References!$B$8*55</f>
        <v>385</v>
      </c>
      <c r="AL51" s="152">
        <v>1000.0</v>
      </c>
      <c r="AM51" s="148">
        <f t="shared" si="44"/>
        <v>17301.12</v>
      </c>
      <c r="AN51" s="151" t="str">
        <f t="shared" si="45"/>
        <v>#VALUE!</v>
      </c>
      <c r="AO51" s="148">
        <v>600.0</v>
      </c>
      <c r="AP51" s="148" t="str">
        <f t="shared" si="46"/>
        <v>#VALUE!</v>
      </c>
      <c r="AQ51" s="149" t="str">
        <f t="shared" si="47"/>
        <v>#VALUE!</v>
      </c>
      <c r="AR51" s="140"/>
      <c r="AS51" s="140" t="str">
        <f t="shared" si="39"/>
        <v>#DIV/0!</v>
      </c>
      <c r="AT51" s="140"/>
      <c r="AU51" s="140"/>
      <c r="AV51" s="140"/>
    </row>
    <row r="52">
      <c r="A52" s="106">
        <v>51.0</v>
      </c>
      <c r="B52" s="106"/>
      <c r="C52" s="163"/>
      <c r="D52" s="4"/>
      <c r="E52" s="136"/>
      <c r="F52" s="138"/>
      <c r="G52" s="145"/>
      <c r="H52" s="156"/>
      <c r="I52" s="156"/>
      <c r="J52" s="138"/>
      <c r="K52" s="138"/>
      <c r="L52" s="138"/>
      <c r="M52" s="112"/>
      <c r="N52" s="136"/>
      <c r="O52" s="138"/>
      <c r="P52" s="138"/>
      <c r="Q52" s="138"/>
      <c r="R52" s="157"/>
      <c r="S52" s="157"/>
      <c r="T52" s="136" t="s">
        <v>1436</v>
      </c>
      <c r="U52" s="115">
        <f t="shared" si="32"/>
        <v>0</v>
      </c>
      <c r="V52" s="116" t="str">
        <f t="shared" si="4"/>
        <v>ERROR</v>
      </c>
      <c r="W52" s="116" t="str">
        <f t="shared" si="5"/>
        <v>ERROR</v>
      </c>
      <c r="X52" s="117" t="str">
        <f t="shared" si="33"/>
        <v>#VALUE!</v>
      </c>
      <c r="Y52" s="117" t="str">
        <f t="shared" si="34"/>
        <v>#NAME?</v>
      </c>
      <c r="Z52" s="118" t="str">
        <f t="shared" si="8"/>
        <v>ERROR</v>
      </c>
      <c r="AA52" s="117" t="str">
        <f t="shared" si="35"/>
        <v>#VALUE!</v>
      </c>
      <c r="AB52" s="117">
        <f t="shared" si="36"/>
        <v>0</v>
      </c>
      <c r="AC52" s="117" t="str">
        <f t="shared" si="11"/>
        <v>#VALUE!</v>
      </c>
      <c r="AD52" s="117" t="str">
        <f t="shared" si="12"/>
        <v>#VALUE!</v>
      </c>
      <c r="AE52" s="158"/>
      <c r="AF52" s="115"/>
      <c r="AG52" s="115">
        <f t="shared" si="37"/>
        <v>972.3921669</v>
      </c>
      <c r="AH52" s="147"/>
      <c r="AI52" s="151">
        <f>N52*References!$B$6</f>
        <v>0</v>
      </c>
      <c r="AJ52" s="151">
        <f t="shared" si="43"/>
        <v>15916.12</v>
      </c>
      <c r="AK52" s="151">
        <f>References!$B$8*55</f>
        <v>385</v>
      </c>
      <c r="AL52" s="152">
        <v>1000.0</v>
      </c>
      <c r="AM52" s="148">
        <f t="shared" si="44"/>
        <v>17301.12</v>
      </c>
      <c r="AN52" s="151" t="str">
        <f t="shared" si="45"/>
        <v>#VALUE!</v>
      </c>
      <c r="AO52" s="148">
        <v>600.0</v>
      </c>
      <c r="AP52" s="148" t="str">
        <f t="shared" si="46"/>
        <v>#VALUE!</v>
      </c>
      <c r="AQ52" s="149" t="str">
        <f t="shared" si="47"/>
        <v>#VALUE!</v>
      </c>
      <c r="AR52" s="140"/>
      <c r="AS52" s="140" t="str">
        <f t="shared" si="39"/>
        <v>#DIV/0!</v>
      </c>
      <c r="AT52" s="140"/>
      <c r="AU52" s="140"/>
      <c r="AV52" s="140"/>
    </row>
    <row r="53">
      <c r="A53" s="106">
        <v>52.0</v>
      </c>
      <c r="C53" s="163"/>
      <c r="D53" s="4"/>
      <c r="E53" s="136"/>
      <c r="F53" s="138"/>
      <c r="G53" s="145"/>
      <c r="H53" s="156"/>
      <c r="I53" s="156"/>
      <c r="J53" s="138"/>
      <c r="K53" s="138"/>
      <c r="L53" s="138"/>
      <c r="M53" s="112"/>
      <c r="N53" s="136"/>
      <c r="O53" s="138"/>
      <c r="P53" s="138"/>
      <c r="Q53" s="138"/>
      <c r="R53" s="157"/>
      <c r="S53" s="157"/>
      <c r="T53" s="136" t="s">
        <v>1436</v>
      </c>
      <c r="U53" s="115">
        <f t="shared" si="32"/>
        <v>0</v>
      </c>
      <c r="V53" s="116" t="str">
        <f t="shared" si="4"/>
        <v>ERROR</v>
      </c>
      <c r="W53" s="116" t="str">
        <f t="shared" si="5"/>
        <v>ERROR</v>
      </c>
      <c r="X53" s="117" t="str">
        <f t="shared" si="33"/>
        <v>#VALUE!</v>
      </c>
      <c r="Y53" s="117" t="str">
        <f t="shared" si="34"/>
        <v>#NAME?</v>
      </c>
      <c r="Z53" s="118" t="str">
        <f t="shared" si="8"/>
        <v>ERROR</v>
      </c>
      <c r="AA53" s="117" t="str">
        <f t="shared" si="35"/>
        <v>#VALUE!</v>
      </c>
      <c r="AB53" s="117">
        <f t="shared" si="36"/>
        <v>0</v>
      </c>
      <c r="AC53" s="117" t="str">
        <f t="shared" si="11"/>
        <v>#VALUE!</v>
      </c>
      <c r="AD53" s="117" t="str">
        <f t="shared" si="12"/>
        <v>#VALUE!</v>
      </c>
      <c r="AE53" s="158"/>
      <c r="AF53" s="115"/>
      <c r="AG53" s="115">
        <f t="shared" si="37"/>
        <v>972.3921669</v>
      </c>
      <c r="AH53" s="147"/>
      <c r="AI53" s="151">
        <f>N53*References!$B$6</f>
        <v>0</v>
      </c>
      <c r="AJ53" s="151">
        <f>200+(References!$B$7*N53)</f>
        <v>200</v>
      </c>
      <c r="AK53" s="151">
        <f>(References!$B$9*4)*55</f>
        <v>1760</v>
      </c>
      <c r="AL53" s="152">
        <v>1000.0</v>
      </c>
      <c r="AM53" s="148">
        <f t="shared" si="44"/>
        <v>2960</v>
      </c>
      <c r="AN53" s="151" t="str">
        <f t="shared" si="45"/>
        <v>#VALUE!</v>
      </c>
      <c r="AO53" s="148">
        <v>600.0</v>
      </c>
      <c r="AP53" s="148" t="str">
        <f t="shared" si="46"/>
        <v>#VALUE!</v>
      </c>
      <c r="AQ53" s="149" t="str">
        <f t="shared" si="47"/>
        <v>#VALUE!</v>
      </c>
      <c r="AR53" s="140"/>
      <c r="AS53" s="140" t="str">
        <f t="shared" si="39"/>
        <v>#DIV/0!</v>
      </c>
      <c r="AT53" s="140"/>
      <c r="AU53" s="140"/>
      <c r="AV53" s="140"/>
    </row>
    <row r="54">
      <c r="A54" s="106">
        <v>53.0</v>
      </c>
      <c r="C54" s="163"/>
      <c r="D54" s="106"/>
      <c r="E54" s="136"/>
      <c r="F54" s="170"/>
      <c r="G54" s="145"/>
      <c r="H54" s="156"/>
      <c r="I54" s="156"/>
      <c r="J54" s="138"/>
      <c r="K54" s="138"/>
      <c r="L54" s="138"/>
      <c r="M54" s="112"/>
      <c r="N54" s="136"/>
      <c r="O54" s="138"/>
      <c r="P54" s="138"/>
      <c r="Q54" s="138"/>
      <c r="R54" s="157"/>
      <c r="S54" s="157"/>
      <c r="T54" s="136" t="s">
        <v>1436</v>
      </c>
      <c r="U54" s="115">
        <f t="shared" si="32"/>
        <v>0</v>
      </c>
      <c r="V54" s="116" t="str">
        <f t="shared" si="4"/>
        <v>ERROR</v>
      </c>
      <c r="W54" s="116" t="str">
        <f t="shared" si="5"/>
        <v>ERROR</v>
      </c>
      <c r="X54" s="117" t="str">
        <f t="shared" si="33"/>
        <v>#VALUE!</v>
      </c>
      <c r="Y54" s="117" t="str">
        <f t="shared" si="34"/>
        <v>#NAME?</v>
      </c>
      <c r="Z54" s="118" t="str">
        <f t="shared" si="8"/>
        <v>ERROR</v>
      </c>
      <c r="AA54" s="117" t="str">
        <f t="shared" si="35"/>
        <v>#VALUE!</v>
      </c>
      <c r="AB54" s="117">
        <f t="shared" si="36"/>
        <v>0</v>
      </c>
      <c r="AC54" s="117" t="str">
        <f t="shared" si="11"/>
        <v>#VALUE!</v>
      </c>
      <c r="AD54" s="117" t="str">
        <f t="shared" si="12"/>
        <v>#VALUE!</v>
      </c>
      <c r="AE54" s="158"/>
      <c r="AF54" s="115"/>
      <c r="AG54" s="115">
        <f t="shared" si="37"/>
        <v>972.3921669</v>
      </c>
      <c r="AH54" s="147"/>
      <c r="AI54" s="151">
        <f>N54*References!$B$6</f>
        <v>0</v>
      </c>
      <c r="AJ54" s="151">
        <f>200+15716.12</f>
        <v>15916.12</v>
      </c>
      <c r="AK54" s="151">
        <f>References!$B$8*55</f>
        <v>385</v>
      </c>
      <c r="AL54" s="152">
        <v>1000.0</v>
      </c>
      <c r="AM54" s="148">
        <f t="shared" si="44"/>
        <v>17301.12</v>
      </c>
      <c r="AN54" s="151" t="str">
        <f t="shared" si="45"/>
        <v>#VALUE!</v>
      </c>
      <c r="AO54" s="148">
        <v>600.0</v>
      </c>
      <c r="AP54" s="148" t="str">
        <f t="shared" si="46"/>
        <v>#VALUE!</v>
      </c>
      <c r="AQ54" s="149" t="str">
        <f t="shared" si="47"/>
        <v>#VALUE!</v>
      </c>
      <c r="AR54" s="140"/>
      <c r="AS54" s="140" t="str">
        <f t="shared" si="39"/>
        <v>#DIV/0!</v>
      </c>
      <c r="AT54" s="140"/>
      <c r="AU54" s="140"/>
      <c r="AV54" s="140"/>
    </row>
    <row r="55">
      <c r="A55" s="106">
        <v>54.0</v>
      </c>
      <c r="C55" s="163"/>
      <c r="D55" s="106"/>
      <c r="E55" s="136"/>
      <c r="F55" s="138"/>
      <c r="G55" s="145"/>
      <c r="H55" s="156"/>
      <c r="I55" s="156"/>
      <c r="J55" s="138"/>
      <c r="K55" s="138"/>
      <c r="L55" s="138"/>
      <c r="M55" s="112"/>
      <c r="N55" s="136"/>
      <c r="O55" s="138"/>
      <c r="P55" s="138"/>
      <c r="Q55" s="138"/>
      <c r="R55" s="157"/>
      <c r="S55" s="157"/>
      <c r="T55" s="136" t="s">
        <v>1436</v>
      </c>
      <c r="U55" s="115">
        <f t="shared" si="32"/>
        <v>0</v>
      </c>
      <c r="V55" s="116" t="str">
        <f t="shared" si="4"/>
        <v>ERROR</v>
      </c>
      <c r="W55" s="116" t="str">
        <f t="shared" si="5"/>
        <v>ERROR</v>
      </c>
      <c r="X55" s="117" t="str">
        <f t="shared" si="33"/>
        <v>#VALUE!</v>
      </c>
      <c r="Y55" s="117" t="str">
        <f t="shared" si="34"/>
        <v>#NAME?</v>
      </c>
      <c r="Z55" s="118" t="str">
        <f t="shared" si="8"/>
        <v>ERROR</v>
      </c>
      <c r="AA55" s="117" t="str">
        <f t="shared" si="35"/>
        <v>#VALUE!</v>
      </c>
      <c r="AB55" s="117">
        <f t="shared" si="36"/>
        <v>0</v>
      </c>
      <c r="AC55" s="117" t="str">
        <f t="shared" si="11"/>
        <v>#VALUE!</v>
      </c>
      <c r="AD55" s="117" t="str">
        <f t="shared" si="12"/>
        <v>#VALUE!</v>
      </c>
      <c r="AE55" s="158"/>
      <c r="AF55" s="115"/>
      <c r="AG55" s="115">
        <f t="shared" si="37"/>
        <v>972.3921669</v>
      </c>
      <c r="AH55" s="147"/>
      <c r="AI55" s="151">
        <f>N55*References!$B$6</f>
        <v>0</v>
      </c>
      <c r="AJ55" s="151">
        <f>200+(References!$B$7*N55)</f>
        <v>200</v>
      </c>
      <c r="AK55" s="151">
        <f>(References!$B$9*4)*55</f>
        <v>1760</v>
      </c>
      <c r="AL55" s="152">
        <v>1000.0</v>
      </c>
      <c r="AM55" s="148">
        <f t="shared" si="44"/>
        <v>2960</v>
      </c>
      <c r="AN55" s="151" t="str">
        <f t="shared" si="45"/>
        <v>#VALUE!</v>
      </c>
      <c r="AO55" s="148">
        <v>600.0</v>
      </c>
      <c r="AP55" s="148" t="str">
        <f t="shared" si="46"/>
        <v>#VALUE!</v>
      </c>
      <c r="AQ55" s="149" t="str">
        <f t="shared" si="47"/>
        <v>#VALUE!</v>
      </c>
      <c r="AR55" s="140"/>
      <c r="AS55" s="140" t="str">
        <f t="shared" si="39"/>
        <v>#DIV/0!</v>
      </c>
      <c r="AT55" s="140"/>
      <c r="AU55" s="140"/>
      <c r="AV55" s="140"/>
    </row>
    <row r="56">
      <c r="A56" s="106">
        <v>55.0</v>
      </c>
      <c r="C56" s="163"/>
      <c r="D56" s="106"/>
      <c r="E56" s="136"/>
      <c r="F56" s="138"/>
      <c r="G56" s="145"/>
      <c r="H56" s="156"/>
      <c r="I56" s="156"/>
      <c r="J56" s="138"/>
      <c r="K56" s="138"/>
      <c r="L56" s="138"/>
      <c r="M56" s="112"/>
      <c r="N56" s="136"/>
      <c r="O56" s="138"/>
      <c r="P56" s="138"/>
      <c r="Q56" s="138"/>
      <c r="R56" s="157"/>
      <c r="S56" s="157"/>
      <c r="T56" s="136" t="s">
        <v>1436</v>
      </c>
      <c r="U56" s="115">
        <f t="shared" si="32"/>
        <v>0</v>
      </c>
      <c r="V56" s="116" t="str">
        <f t="shared" si="4"/>
        <v>ERROR</v>
      </c>
      <c r="W56" s="116" t="str">
        <f t="shared" si="5"/>
        <v>ERROR</v>
      </c>
      <c r="X56" s="117" t="str">
        <f t="shared" si="33"/>
        <v>#VALUE!</v>
      </c>
      <c r="Y56" s="117" t="str">
        <f t="shared" si="34"/>
        <v>#NAME?</v>
      </c>
      <c r="Z56" s="118" t="str">
        <f t="shared" si="8"/>
        <v>ERROR</v>
      </c>
      <c r="AA56" s="117" t="str">
        <f t="shared" si="35"/>
        <v>#VALUE!</v>
      </c>
      <c r="AB56" s="117">
        <f t="shared" si="36"/>
        <v>0</v>
      </c>
      <c r="AC56" s="117" t="str">
        <f t="shared" si="11"/>
        <v>#VALUE!</v>
      </c>
      <c r="AD56" s="117" t="str">
        <f t="shared" si="12"/>
        <v>#VALUE!</v>
      </c>
      <c r="AE56" s="158"/>
      <c r="AF56" s="115"/>
      <c r="AG56" s="115">
        <f t="shared" si="37"/>
        <v>972.3921669</v>
      </c>
      <c r="AH56" s="147"/>
      <c r="AI56" s="151">
        <f>N56*References!$B$6</f>
        <v>0</v>
      </c>
      <c r="AJ56" s="151">
        <f t="shared" ref="AJ56:AJ57" si="48">200+15716.12</f>
        <v>15916.12</v>
      </c>
      <c r="AK56" s="151">
        <f>References!$B$8*55</f>
        <v>385</v>
      </c>
      <c r="AL56" s="152">
        <v>1000.0</v>
      </c>
      <c r="AM56" s="148">
        <f t="shared" si="44"/>
        <v>17301.12</v>
      </c>
      <c r="AN56" s="151" t="str">
        <f t="shared" si="45"/>
        <v>#VALUE!</v>
      </c>
      <c r="AO56" s="148">
        <v>600.0</v>
      </c>
      <c r="AP56" s="148" t="str">
        <f t="shared" si="46"/>
        <v>#VALUE!</v>
      </c>
      <c r="AQ56" s="149" t="str">
        <f t="shared" si="47"/>
        <v>#VALUE!</v>
      </c>
      <c r="AR56" s="140"/>
      <c r="AS56" s="140" t="str">
        <f t="shared" si="39"/>
        <v>#DIV/0!</v>
      </c>
      <c r="AT56" s="140"/>
      <c r="AU56" s="140"/>
      <c r="AV56" s="140"/>
    </row>
    <row r="57">
      <c r="A57" s="106">
        <v>56.0</v>
      </c>
      <c r="C57" s="163"/>
      <c r="D57" s="106"/>
      <c r="E57" s="136"/>
      <c r="F57" s="138"/>
      <c r="G57" s="145"/>
      <c r="H57" s="156"/>
      <c r="I57" s="156"/>
      <c r="J57" s="138"/>
      <c r="K57" s="138"/>
      <c r="L57" s="138"/>
      <c r="M57" s="112"/>
      <c r="N57" s="136"/>
      <c r="O57" s="138"/>
      <c r="P57" s="138"/>
      <c r="Q57" s="138"/>
      <c r="R57" s="157"/>
      <c r="S57" s="157"/>
      <c r="T57" s="136" t="s">
        <v>1436</v>
      </c>
      <c r="U57" s="115">
        <f t="shared" si="32"/>
        <v>0</v>
      </c>
      <c r="V57" s="116" t="str">
        <f t="shared" si="4"/>
        <v>ERROR</v>
      </c>
      <c r="W57" s="116" t="str">
        <f t="shared" si="5"/>
        <v>ERROR</v>
      </c>
      <c r="X57" s="117" t="str">
        <f t="shared" si="33"/>
        <v>#VALUE!</v>
      </c>
      <c r="Y57" s="117" t="str">
        <f t="shared" si="34"/>
        <v>#NAME?</v>
      </c>
      <c r="Z57" s="118" t="str">
        <f t="shared" si="8"/>
        <v>ERROR</v>
      </c>
      <c r="AA57" s="117" t="str">
        <f t="shared" si="35"/>
        <v>#VALUE!</v>
      </c>
      <c r="AB57" s="117">
        <f t="shared" si="36"/>
        <v>0</v>
      </c>
      <c r="AC57" s="117" t="str">
        <f t="shared" si="11"/>
        <v>#VALUE!</v>
      </c>
      <c r="AD57" s="117" t="str">
        <f t="shared" si="12"/>
        <v>#VALUE!</v>
      </c>
      <c r="AE57" s="158"/>
      <c r="AF57" s="115"/>
      <c r="AG57" s="115">
        <f t="shared" si="37"/>
        <v>972.3921669</v>
      </c>
      <c r="AH57" s="147"/>
      <c r="AI57" s="151">
        <f>N57*References!$B$6</f>
        <v>0</v>
      </c>
      <c r="AJ57" s="151">
        <f t="shared" si="48"/>
        <v>15916.12</v>
      </c>
      <c r="AK57" s="151">
        <f>References!$B$8*55</f>
        <v>385</v>
      </c>
      <c r="AL57" s="152">
        <v>1000.0</v>
      </c>
      <c r="AM57" s="148">
        <f t="shared" si="44"/>
        <v>17301.12</v>
      </c>
      <c r="AN57" s="151" t="str">
        <f t="shared" si="45"/>
        <v>#VALUE!</v>
      </c>
      <c r="AO57" s="148">
        <v>600.0</v>
      </c>
      <c r="AP57" s="148" t="str">
        <f t="shared" si="46"/>
        <v>#VALUE!</v>
      </c>
      <c r="AQ57" s="149" t="str">
        <f t="shared" si="47"/>
        <v>#VALUE!</v>
      </c>
      <c r="AR57" s="140"/>
      <c r="AS57" s="140" t="str">
        <f t="shared" si="39"/>
        <v>#DIV/0!</v>
      </c>
      <c r="AT57" s="140"/>
      <c r="AU57" s="140"/>
      <c r="AV57" s="140"/>
    </row>
    <row r="58">
      <c r="A58" s="106">
        <v>57.0</v>
      </c>
      <c r="C58" s="163"/>
      <c r="D58" s="106"/>
      <c r="E58" s="136"/>
      <c r="F58" s="138"/>
      <c r="G58" s="145"/>
      <c r="H58" s="156"/>
      <c r="I58" s="156"/>
      <c r="J58" s="138"/>
      <c r="K58" s="138"/>
      <c r="L58" s="138"/>
      <c r="M58" s="112"/>
      <c r="N58" s="136"/>
      <c r="O58" s="138"/>
      <c r="P58" s="138"/>
      <c r="Q58" s="138"/>
      <c r="R58" s="157"/>
      <c r="S58" s="157"/>
      <c r="T58" s="136" t="s">
        <v>1436</v>
      </c>
      <c r="U58" s="115">
        <f t="shared" si="32"/>
        <v>0</v>
      </c>
      <c r="V58" s="116" t="str">
        <f t="shared" si="4"/>
        <v>ERROR</v>
      </c>
      <c r="W58" s="116" t="str">
        <f t="shared" si="5"/>
        <v>ERROR</v>
      </c>
      <c r="X58" s="117" t="str">
        <f t="shared" si="33"/>
        <v>#VALUE!</v>
      </c>
      <c r="Y58" s="117" t="str">
        <f t="shared" si="34"/>
        <v>#NAME?</v>
      </c>
      <c r="Z58" s="118" t="str">
        <f t="shared" si="8"/>
        <v>ERROR</v>
      </c>
      <c r="AA58" s="117" t="str">
        <f t="shared" si="35"/>
        <v>#VALUE!</v>
      </c>
      <c r="AB58" s="117">
        <f t="shared" si="36"/>
        <v>0</v>
      </c>
      <c r="AC58" s="117" t="str">
        <f t="shared" si="11"/>
        <v>#VALUE!</v>
      </c>
      <c r="AD58" s="117" t="str">
        <f t="shared" si="12"/>
        <v>#VALUE!</v>
      </c>
      <c r="AE58" s="158"/>
      <c r="AF58" s="115"/>
      <c r="AG58" s="115">
        <f t="shared" si="37"/>
        <v>972.3921669</v>
      </c>
      <c r="AH58" s="147"/>
      <c r="AI58" s="151">
        <f>N58*References!$B$6</f>
        <v>0</v>
      </c>
      <c r="AJ58" s="151">
        <f>200+(References!$B$7*N58)</f>
        <v>200</v>
      </c>
      <c r="AK58" s="151">
        <f>(References!$B$9*4)*55</f>
        <v>1760</v>
      </c>
      <c r="AL58" s="152">
        <v>1000.0</v>
      </c>
      <c r="AM58" s="148">
        <f t="shared" si="44"/>
        <v>2960</v>
      </c>
      <c r="AN58" s="151" t="str">
        <f t="shared" si="45"/>
        <v>#VALUE!</v>
      </c>
      <c r="AO58" s="148">
        <v>600.0</v>
      </c>
      <c r="AP58" s="148" t="str">
        <f t="shared" si="46"/>
        <v>#VALUE!</v>
      </c>
      <c r="AQ58" s="149" t="str">
        <f t="shared" si="47"/>
        <v>#VALUE!</v>
      </c>
      <c r="AR58" s="140"/>
      <c r="AS58" s="140" t="str">
        <f t="shared" si="39"/>
        <v>#DIV/0!</v>
      </c>
      <c r="AT58" s="140"/>
      <c r="AU58" s="140"/>
      <c r="AV58" s="140"/>
    </row>
    <row r="59">
      <c r="A59" s="106">
        <v>58.0</v>
      </c>
      <c r="C59" s="163"/>
      <c r="D59" s="106"/>
      <c r="E59" s="136"/>
      <c r="F59" s="138"/>
      <c r="G59" s="145"/>
      <c r="H59" s="156"/>
      <c r="I59" s="156"/>
      <c r="J59" s="138"/>
      <c r="K59" s="138"/>
      <c r="L59" s="138"/>
      <c r="M59" s="112"/>
      <c r="N59" s="136"/>
      <c r="O59" s="138"/>
      <c r="P59" s="138"/>
      <c r="Q59" s="138"/>
      <c r="R59" s="157"/>
      <c r="S59" s="157"/>
      <c r="T59" s="136" t="s">
        <v>1436</v>
      </c>
      <c r="U59" s="115">
        <f t="shared" si="32"/>
        <v>0</v>
      </c>
      <c r="V59" s="116" t="str">
        <f t="shared" si="4"/>
        <v>ERROR</v>
      </c>
      <c r="W59" s="116" t="str">
        <f t="shared" si="5"/>
        <v>ERROR</v>
      </c>
      <c r="X59" s="117" t="str">
        <f t="shared" si="33"/>
        <v>#VALUE!</v>
      </c>
      <c r="Y59" s="117" t="str">
        <f t="shared" si="34"/>
        <v>#NAME?</v>
      </c>
      <c r="Z59" s="118" t="str">
        <f t="shared" si="8"/>
        <v>ERROR</v>
      </c>
      <c r="AA59" s="117" t="str">
        <f t="shared" si="35"/>
        <v>#VALUE!</v>
      </c>
      <c r="AB59" s="117">
        <f t="shared" si="36"/>
        <v>0</v>
      </c>
      <c r="AC59" s="117" t="str">
        <f t="shared" si="11"/>
        <v>#VALUE!</v>
      </c>
      <c r="AD59" s="117" t="str">
        <f t="shared" si="12"/>
        <v>#VALUE!</v>
      </c>
      <c r="AE59" s="158"/>
      <c r="AF59" s="115"/>
      <c r="AG59" s="115">
        <f t="shared" si="37"/>
        <v>972.3921669</v>
      </c>
      <c r="AH59" s="147"/>
      <c r="AI59" s="151">
        <f>N59*References!$B$6</f>
        <v>0</v>
      </c>
      <c r="AJ59" s="151">
        <f>200+(References!$B$7*N59)</f>
        <v>200</v>
      </c>
      <c r="AK59" s="151">
        <f>(References!$B$9*4)*55</f>
        <v>1760</v>
      </c>
      <c r="AL59" s="152">
        <v>1000.0</v>
      </c>
      <c r="AM59" s="148">
        <f t="shared" si="44"/>
        <v>2960</v>
      </c>
      <c r="AN59" s="151" t="str">
        <f t="shared" si="45"/>
        <v>#VALUE!</v>
      </c>
      <c r="AO59" s="148">
        <v>600.0</v>
      </c>
      <c r="AP59" s="148" t="str">
        <f t="shared" si="46"/>
        <v>#VALUE!</v>
      </c>
      <c r="AQ59" s="149" t="str">
        <f t="shared" si="47"/>
        <v>#VALUE!</v>
      </c>
      <c r="AR59" s="140"/>
      <c r="AS59" s="140" t="str">
        <f t="shared" si="39"/>
        <v>#DIV/0!</v>
      </c>
      <c r="AT59" s="140"/>
      <c r="AU59" s="140"/>
      <c r="AV59" s="140"/>
    </row>
    <row r="60">
      <c r="A60" s="106">
        <v>59.0</v>
      </c>
      <c r="C60" s="163"/>
      <c r="D60" s="106"/>
      <c r="E60" s="136"/>
      <c r="F60" s="138"/>
      <c r="G60" s="145"/>
      <c r="H60" s="156"/>
      <c r="I60" s="156"/>
      <c r="J60" s="138"/>
      <c r="K60" s="138"/>
      <c r="L60" s="138"/>
      <c r="M60" s="112"/>
      <c r="N60" s="136"/>
      <c r="O60" s="138"/>
      <c r="P60" s="138"/>
      <c r="Q60" s="138"/>
      <c r="R60" s="157"/>
      <c r="S60" s="157"/>
      <c r="T60" s="136" t="s">
        <v>1436</v>
      </c>
      <c r="U60" s="115">
        <f t="shared" si="32"/>
        <v>0</v>
      </c>
      <c r="V60" s="116" t="str">
        <f t="shared" si="4"/>
        <v>ERROR</v>
      </c>
      <c r="W60" s="116" t="str">
        <f t="shared" si="5"/>
        <v>ERROR</v>
      </c>
      <c r="X60" s="117" t="str">
        <f t="shared" si="33"/>
        <v>#VALUE!</v>
      </c>
      <c r="Y60" s="117" t="str">
        <f t="shared" si="34"/>
        <v>#NAME?</v>
      </c>
      <c r="Z60" s="118" t="str">
        <f t="shared" si="8"/>
        <v>ERROR</v>
      </c>
      <c r="AA60" s="117" t="str">
        <f t="shared" si="35"/>
        <v>#VALUE!</v>
      </c>
      <c r="AB60" s="117">
        <f t="shared" si="36"/>
        <v>0</v>
      </c>
      <c r="AC60" s="117" t="str">
        <f t="shared" si="11"/>
        <v>#VALUE!</v>
      </c>
      <c r="AD60" s="117" t="str">
        <f t="shared" si="12"/>
        <v>#VALUE!</v>
      </c>
      <c r="AE60" s="158"/>
      <c r="AF60" s="115"/>
      <c r="AG60" s="115">
        <f t="shared" si="37"/>
        <v>972.3921669</v>
      </c>
      <c r="AH60" s="147"/>
      <c r="AI60" s="151">
        <f>N60*References!$B$6</f>
        <v>0</v>
      </c>
      <c r="AJ60" s="151">
        <f>200+(References!$B$7*N60)</f>
        <v>200</v>
      </c>
      <c r="AK60" s="151">
        <f>(References!$B$9*4)*55</f>
        <v>1760</v>
      </c>
      <c r="AL60" s="152">
        <v>1000.0</v>
      </c>
      <c r="AM60" s="148">
        <f t="shared" si="44"/>
        <v>2960</v>
      </c>
      <c r="AN60" s="151" t="str">
        <f t="shared" si="45"/>
        <v>#VALUE!</v>
      </c>
      <c r="AO60" s="148">
        <v>600.0</v>
      </c>
      <c r="AP60" s="148" t="str">
        <f t="shared" si="46"/>
        <v>#VALUE!</v>
      </c>
      <c r="AQ60" s="149" t="str">
        <f t="shared" si="47"/>
        <v>#VALUE!</v>
      </c>
      <c r="AR60" s="140"/>
      <c r="AS60" s="140" t="str">
        <f t="shared" si="39"/>
        <v>#DIV/0!</v>
      </c>
      <c r="AT60" s="140"/>
      <c r="AU60" s="140"/>
      <c r="AV60" s="140"/>
    </row>
    <row r="61">
      <c r="A61" s="106">
        <v>60.0</v>
      </c>
      <c r="C61" s="163"/>
      <c r="D61" s="106"/>
      <c r="E61" s="136"/>
      <c r="F61" s="138"/>
      <c r="G61" s="145"/>
      <c r="H61" s="156"/>
      <c r="I61" s="156"/>
      <c r="J61" s="138"/>
      <c r="K61" s="138"/>
      <c r="L61" s="138"/>
      <c r="M61" s="112"/>
      <c r="N61" s="136"/>
      <c r="O61" s="138"/>
      <c r="P61" s="138"/>
      <c r="Q61" s="138"/>
      <c r="R61" s="157"/>
      <c r="S61" s="157"/>
      <c r="T61" s="136" t="s">
        <v>1436</v>
      </c>
      <c r="U61" s="115">
        <f t="shared" si="32"/>
        <v>0</v>
      </c>
      <c r="V61" s="116" t="str">
        <f t="shared" si="4"/>
        <v>ERROR</v>
      </c>
      <c r="W61" s="116" t="str">
        <f t="shared" si="5"/>
        <v>ERROR</v>
      </c>
      <c r="X61" s="117" t="str">
        <f t="shared" si="33"/>
        <v>#VALUE!</v>
      </c>
      <c r="Y61" s="117" t="str">
        <f t="shared" si="34"/>
        <v>#NAME?</v>
      </c>
      <c r="Z61" s="118" t="str">
        <f t="shared" si="8"/>
        <v>ERROR</v>
      </c>
      <c r="AA61" s="117" t="str">
        <f t="shared" si="35"/>
        <v>#VALUE!</v>
      </c>
      <c r="AB61" s="117">
        <f t="shared" si="36"/>
        <v>0</v>
      </c>
      <c r="AC61" s="117" t="str">
        <f t="shared" si="11"/>
        <v>#VALUE!</v>
      </c>
      <c r="AD61" s="117" t="str">
        <f t="shared" si="12"/>
        <v>#VALUE!</v>
      </c>
      <c r="AE61" s="158"/>
      <c r="AF61" s="115"/>
      <c r="AG61" s="115">
        <f t="shared" si="37"/>
        <v>972.3921669</v>
      </c>
      <c r="AH61" s="147"/>
      <c r="AI61" s="151">
        <f>N61*References!$B$6</f>
        <v>0</v>
      </c>
      <c r="AJ61" s="151">
        <f t="shared" ref="AJ61:AJ62" si="49">200+15716.12</f>
        <v>15916.12</v>
      </c>
      <c r="AK61" s="151">
        <f>References!$B$8*55</f>
        <v>385</v>
      </c>
      <c r="AL61" s="152">
        <v>1000.0</v>
      </c>
      <c r="AM61" s="148">
        <f t="shared" si="44"/>
        <v>17301.12</v>
      </c>
      <c r="AN61" s="151" t="str">
        <f t="shared" si="45"/>
        <v>#VALUE!</v>
      </c>
      <c r="AO61" s="148">
        <v>600.0</v>
      </c>
      <c r="AP61" s="148" t="str">
        <f t="shared" si="46"/>
        <v>#VALUE!</v>
      </c>
      <c r="AQ61" s="149" t="str">
        <f t="shared" si="47"/>
        <v>#VALUE!</v>
      </c>
      <c r="AR61" s="140"/>
      <c r="AS61" s="140" t="str">
        <f t="shared" si="39"/>
        <v>#DIV/0!</v>
      </c>
      <c r="AT61" s="140"/>
      <c r="AU61" s="140"/>
      <c r="AV61" s="140"/>
    </row>
    <row r="62">
      <c r="A62" s="106">
        <v>61.0</v>
      </c>
      <c r="C62" s="163"/>
      <c r="D62" s="106"/>
      <c r="E62" s="136"/>
      <c r="F62" s="138"/>
      <c r="G62" s="145"/>
      <c r="H62" s="156"/>
      <c r="I62" s="156"/>
      <c r="J62" s="138"/>
      <c r="K62" s="138"/>
      <c r="L62" s="138"/>
      <c r="M62" s="112"/>
      <c r="N62" s="136"/>
      <c r="O62" s="138"/>
      <c r="P62" s="138"/>
      <c r="Q62" s="138"/>
      <c r="R62" s="157"/>
      <c r="S62" s="157"/>
      <c r="T62" s="136" t="s">
        <v>1436</v>
      </c>
      <c r="U62" s="115">
        <f t="shared" si="32"/>
        <v>0</v>
      </c>
      <c r="V62" s="116" t="str">
        <f t="shared" si="4"/>
        <v>ERROR</v>
      </c>
      <c r="W62" s="116" t="str">
        <f t="shared" si="5"/>
        <v>ERROR</v>
      </c>
      <c r="X62" s="117" t="str">
        <f t="shared" si="33"/>
        <v>#VALUE!</v>
      </c>
      <c r="Y62" s="117" t="str">
        <f t="shared" si="34"/>
        <v>#NAME?</v>
      </c>
      <c r="Z62" s="118" t="str">
        <f t="shared" si="8"/>
        <v>ERROR</v>
      </c>
      <c r="AA62" s="117" t="str">
        <f t="shared" si="35"/>
        <v>#VALUE!</v>
      </c>
      <c r="AB62" s="117">
        <f t="shared" si="36"/>
        <v>0</v>
      </c>
      <c r="AC62" s="117" t="str">
        <f t="shared" si="11"/>
        <v>#VALUE!</v>
      </c>
      <c r="AD62" s="117" t="str">
        <f t="shared" si="12"/>
        <v>#VALUE!</v>
      </c>
      <c r="AE62" s="158"/>
      <c r="AF62" s="115"/>
      <c r="AG62" s="115">
        <f t="shared" si="37"/>
        <v>972.3921669</v>
      </c>
      <c r="AH62" s="147"/>
      <c r="AI62" s="151">
        <f>N62*References!$B$6</f>
        <v>0</v>
      </c>
      <c r="AJ62" s="151">
        <f t="shared" si="49"/>
        <v>15916.12</v>
      </c>
      <c r="AK62" s="151">
        <f>References!$B$8*55</f>
        <v>385</v>
      </c>
      <c r="AL62" s="152">
        <v>1000.0</v>
      </c>
      <c r="AM62" s="148">
        <f t="shared" si="44"/>
        <v>17301.12</v>
      </c>
      <c r="AN62" s="151" t="str">
        <f t="shared" si="45"/>
        <v>#VALUE!</v>
      </c>
      <c r="AO62" s="148">
        <v>600.0</v>
      </c>
      <c r="AP62" s="148" t="str">
        <f t="shared" si="46"/>
        <v>#VALUE!</v>
      </c>
      <c r="AQ62" s="149" t="str">
        <f t="shared" si="47"/>
        <v>#VALUE!</v>
      </c>
      <c r="AR62" s="140"/>
      <c r="AS62" s="140" t="str">
        <f t="shared" si="39"/>
        <v>#DIV/0!</v>
      </c>
      <c r="AT62" s="140"/>
      <c r="AU62" s="140"/>
      <c r="AV62" s="140"/>
    </row>
    <row r="63">
      <c r="A63" s="106">
        <v>62.0</v>
      </c>
      <c r="C63" s="163"/>
      <c r="D63" s="106"/>
      <c r="E63" s="136"/>
      <c r="F63" s="138"/>
      <c r="G63" s="145"/>
      <c r="H63" s="156"/>
      <c r="I63" s="156"/>
      <c r="J63" s="138"/>
      <c r="K63" s="138"/>
      <c r="L63" s="138"/>
      <c r="M63" s="112"/>
      <c r="N63" s="136"/>
      <c r="O63" s="138"/>
      <c r="P63" s="138"/>
      <c r="Q63" s="138"/>
      <c r="R63" s="157"/>
      <c r="S63" s="157"/>
      <c r="T63" s="136" t="s">
        <v>1436</v>
      </c>
      <c r="U63" s="115">
        <f t="shared" si="32"/>
        <v>0</v>
      </c>
      <c r="V63" s="116" t="str">
        <f t="shared" si="4"/>
        <v>ERROR</v>
      </c>
      <c r="W63" s="116" t="str">
        <f t="shared" si="5"/>
        <v>ERROR</v>
      </c>
      <c r="X63" s="117" t="str">
        <f t="shared" si="33"/>
        <v>#VALUE!</v>
      </c>
      <c r="Y63" s="117" t="str">
        <f t="shared" si="34"/>
        <v>#NAME?</v>
      </c>
      <c r="Z63" s="118" t="str">
        <f t="shared" si="8"/>
        <v>ERROR</v>
      </c>
      <c r="AA63" s="117" t="str">
        <f t="shared" si="35"/>
        <v>#VALUE!</v>
      </c>
      <c r="AB63" s="117">
        <f t="shared" si="36"/>
        <v>0</v>
      </c>
      <c r="AC63" s="117" t="str">
        <f t="shared" si="11"/>
        <v>#VALUE!</v>
      </c>
      <c r="AD63" s="117" t="str">
        <f t="shared" si="12"/>
        <v>#VALUE!</v>
      </c>
      <c r="AE63" s="158"/>
      <c r="AF63" s="115"/>
      <c r="AG63" s="115">
        <f t="shared" si="37"/>
        <v>972.3921669</v>
      </c>
      <c r="AH63" s="147"/>
      <c r="AI63" s="151">
        <f>N63*References!$B$6</f>
        <v>0</v>
      </c>
      <c r="AJ63" s="151">
        <f>200+(References!$B$7*N63)</f>
        <v>200</v>
      </c>
      <c r="AK63" s="151">
        <f>(References!$B$9*4)*55</f>
        <v>1760</v>
      </c>
      <c r="AL63" s="152">
        <v>1000.0</v>
      </c>
      <c r="AM63" s="148">
        <f t="shared" si="44"/>
        <v>2960</v>
      </c>
      <c r="AN63" s="151" t="str">
        <f t="shared" si="45"/>
        <v>#VALUE!</v>
      </c>
      <c r="AO63" s="148">
        <v>600.0</v>
      </c>
      <c r="AP63" s="148" t="str">
        <f t="shared" si="46"/>
        <v>#VALUE!</v>
      </c>
      <c r="AQ63" s="149" t="str">
        <f t="shared" si="47"/>
        <v>#VALUE!</v>
      </c>
      <c r="AR63" s="140"/>
      <c r="AS63" s="140" t="str">
        <f t="shared" si="39"/>
        <v>#DIV/0!</v>
      </c>
      <c r="AT63" s="140"/>
      <c r="AU63" s="140"/>
      <c r="AV63" s="140"/>
    </row>
    <row r="64">
      <c r="A64" s="106">
        <v>63.0</v>
      </c>
      <c r="C64" s="163"/>
      <c r="D64" s="106"/>
      <c r="E64" s="136"/>
      <c r="F64" s="166"/>
      <c r="G64" s="145"/>
      <c r="H64" s="156"/>
      <c r="I64" s="156"/>
      <c r="J64" s="138"/>
      <c r="K64" s="138"/>
      <c r="L64" s="138"/>
      <c r="M64" s="112"/>
      <c r="N64" s="136"/>
      <c r="O64" s="138"/>
      <c r="P64" s="166"/>
      <c r="Q64" s="166"/>
      <c r="R64" s="157"/>
      <c r="S64" s="157"/>
      <c r="T64" s="136" t="s">
        <v>1436</v>
      </c>
      <c r="U64" s="115">
        <f t="shared" si="32"/>
        <v>0</v>
      </c>
      <c r="V64" s="116" t="str">
        <f t="shared" si="4"/>
        <v>ERROR</v>
      </c>
      <c r="W64" s="116" t="str">
        <f t="shared" si="5"/>
        <v>ERROR</v>
      </c>
      <c r="X64" s="117" t="str">
        <f t="shared" si="33"/>
        <v>#VALUE!</v>
      </c>
      <c r="Y64" s="117" t="str">
        <f t="shared" si="34"/>
        <v>#NAME?</v>
      </c>
      <c r="Z64" s="118" t="str">
        <f t="shared" si="8"/>
        <v>ERROR</v>
      </c>
      <c r="AA64" s="117" t="str">
        <f t="shared" si="35"/>
        <v>#VALUE!</v>
      </c>
      <c r="AB64" s="117">
        <f t="shared" si="36"/>
        <v>0</v>
      </c>
      <c r="AC64" s="117" t="str">
        <f t="shared" si="11"/>
        <v>#VALUE!</v>
      </c>
      <c r="AD64" s="117" t="str">
        <f t="shared" si="12"/>
        <v>#VALUE!</v>
      </c>
      <c r="AE64" s="158"/>
      <c r="AF64" s="115"/>
      <c r="AG64" s="115">
        <f t="shared" si="37"/>
        <v>972.3921669</v>
      </c>
      <c r="AH64" s="147"/>
      <c r="AI64" s="151">
        <f>N64*References!$B$6</f>
        <v>0</v>
      </c>
      <c r="AJ64" s="151">
        <f>200+15716.12</f>
        <v>15916.12</v>
      </c>
      <c r="AK64" s="151">
        <f>References!$B$8*55</f>
        <v>385</v>
      </c>
      <c r="AL64" s="152">
        <v>1000.0</v>
      </c>
      <c r="AM64" s="148">
        <f t="shared" si="44"/>
        <v>17301.12</v>
      </c>
      <c r="AN64" s="151" t="str">
        <f t="shared" si="45"/>
        <v>#VALUE!</v>
      </c>
      <c r="AO64" s="148">
        <v>600.0</v>
      </c>
      <c r="AP64" s="148" t="str">
        <f t="shared" si="46"/>
        <v>#VALUE!</v>
      </c>
      <c r="AQ64" s="149" t="str">
        <f t="shared" si="47"/>
        <v>#VALUE!</v>
      </c>
      <c r="AR64" s="140"/>
      <c r="AS64" s="140" t="str">
        <f t="shared" si="39"/>
        <v>#DIV/0!</v>
      </c>
      <c r="AT64" s="140"/>
      <c r="AU64" s="140"/>
      <c r="AV64" s="140"/>
    </row>
    <row r="65">
      <c r="A65" s="106">
        <v>64.0</v>
      </c>
      <c r="C65" s="163"/>
      <c r="D65" s="106"/>
      <c r="E65" s="136"/>
      <c r="F65" s="138"/>
      <c r="G65" s="145"/>
      <c r="H65" s="156"/>
      <c r="I65" s="156"/>
      <c r="J65" s="138"/>
      <c r="K65" s="138"/>
      <c r="L65" s="138"/>
      <c r="M65" s="112"/>
      <c r="N65" s="136"/>
      <c r="P65" s="138"/>
      <c r="Q65" s="138"/>
      <c r="R65" s="157"/>
      <c r="S65" s="157"/>
      <c r="T65" s="136" t="s">
        <v>1436</v>
      </c>
      <c r="U65" s="115">
        <f t="shared" si="32"/>
        <v>0</v>
      </c>
      <c r="V65" s="116" t="str">
        <f t="shared" si="4"/>
        <v>ERROR</v>
      </c>
      <c r="W65" s="116" t="str">
        <f t="shared" si="5"/>
        <v>ERROR</v>
      </c>
      <c r="X65" s="117" t="str">
        <f t="shared" si="33"/>
        <v>#VALUE!</v>
      </c>
      <c r="Y65" s="117" t="str">
        <f t="shared" si="34"/>
        <v>#NAME?</v>
      </c>
      <c r="Z65" s="118" t="str">
        <f t="shared" si="8"/>
        <v>ERROR</v>
      </c>
      <c r="AA65" s="117" t="str">
        <f t="shared" si="35"/>
        <v>#VALUE!</v>
      </c>
      <c r="AB65" s="117">
        <f t="shared" si="36"/>
        <v>0</v>
      </c>
      <c r="AC65" s="117" t="str">
        <f t="shared" si="11"/>
        <v>#VALUE!</v>
      </c>
      <c r="AD65" s="117" t="str">
        <f t="shared" si="12"/>
        <v>#VALUE!</v>
      </c>
      <c r="AE65" s="158"/>
      <c r="AF65" s="115"/>
      <c r="AG65" s="115">
        <f t="shared" si="37"/>
        <v>972.3921669</v>
      </c>
      <c r="AH65" s="147"/>
      <c r="AI65" s="151">
        <f>N65*References!$B$6</f>
        <v>0</v>
      </c>
      <c r="AJ65" s="151">
        <f>200+(References!$B$7*N65)</f>
        <v>200</v>
      </c>
      <c r="AK65" s="151">
        <f>(References!$B$9*4)*55</f>
        <v>1760</v>
      </c>
      <c r="AL65" s="152">
        <v>1000.0</v>
      </c>
      <c r="AM65" s="148">
        <f t="shared" si="44"/>
        <v>2960</v>
      </c>
      <c r="AN65" s="151" t="str">
        <f t="shared" si="45"/>
        <v>#VALUE!</v>
      </c>
      <c r="AO65" s="148">
        <v>600.0</v>
      </c>
      <c r="AP65" s="148" t="str">
        <f t="shared" si="46"/>
        <v>#VALUE!</v>
      </c>
      <c r="AQ65" s="149" t="str">
        <f t="shared" si="47"/>
        <v>#VALUE!</v>
      </c>
      <c r="AR65" s="140"/>
      <c r="AS65" s="140" t="str">
        <f t="shared" si="39"/>
        <v>#DIV/0!</v>
      </c>
      <c r="AT65" s="140"/>
      <c r="AU65" s="140"/>
      <c r="AV65" s="140"/>
    </row>
    <row r="66">
      <c r="A66" s="106">
        <v>65.0</v>
      </c>
      <c r="C66" s="163"/>
      <c r="D66" s="106"/>
      <c r="E66" s="136"/>
      <c r="F66" s="166"/>
      <c r="G66" s="145"/>
      <c r="H66" s="156"/>
      <c r="I66" s="156"/>
      <c r="J66" s="166"/>
      <c r="K66" s="166"/>
      <c r="L66" s="166"/>
      <c r="M66" s="112"/>
      <c r="N66" s="136"/>
      <c r="O66" s="166"/>
      <c r="P66" s="166"/>
      <c r="Q66" s="166"/>
      <c r="R66" s="157"/>
      <c r="S66" s="157"/>
      <c r="T66" s="136" t="s">
        <v>1436</v>
      </c>
      <c r="U66" s="115">
        <f t="shared" si="32"/>
        <v>0</v>
      </c>
      <c r="V66" s="116" t="str">
        <f t="shared" si="4"/>
        <v>ERROR</v>
      </c>
      <c r="W66" s="116" t="str">
        <f t="shared" si="5"/>
        <v>ERROR</v>
      </c>
      <c r="X66" s="117" t="str">
        <f t="shared" si="33"/>
        <v>#VALUE!</v>
      </c>
      <c r="Y66" s="117" t="str">
        <f t="shared" si="34"/>
        <v>#NAME?</v>
      </c>
      <c r="Z66" s="118" t="str">
        <f t="shared" si="8"/>
        <v>ERROR</v>
      </c>
      <c r="AA66" s="117" t="str">
        <f t="shared" si="35"/>
        <v>#VALUE!</v>
      </c>
      <c r="AB66" s="117">
        <f t="shared" si="36"/>
        <v>0</v>
      </c>
      <c r="AC66" s="117" t="str">
        <f t="shared" si="11"/>
        <v>#VALUE!</v>
      </c>
      <c r="AD66" s="117" t="str">
        <f t="shared" si="12"/>
        <v>#VALUE!</v>
      </c>
      <c r="AE66" s="158"/>
      <c r="AF66" s="115"/>
      <c r="AG66" s="115">
        <f t="shared" si="37"/>
        <v>972.3921669</v>
      </c>
      <c r="AH66" s="147"/>
      <c r="AI66" s="151">
        <f>N66*References!$B$6</f>
        <v>0</v>
      </c>
      <c r="AJ66" s="151">
        <f>200+(References!$B$7*N66)</f>
        <v>200</v>
      </c>
      <c r="AK66" s="151">
        <f>(References!$B$9*4)*55</f>
        <v>1760</v>
      </c>
      <c r="AL66" s="152">
        <v>1000.0</v>
      </c>
      <c r="AM66" s="148">
        <f t="shared" si="44"/>
        <v>2960</v>
      </c>
      <c r="AN66" s="151" t="str">
        <f t="shared" si="45"/>
        <v>#VALUE!</v>
      </c>
      <c r="AO66" s="148">
        <v>600.0</v>
      </c>
      <c r="AP66" s="148" t="str">
        <f t="shared" si="46"/>
        <v>#VALUE!</v>
      </c>
      <c r="AQ66" s="149" t="str">
        <f t="shared" si="47"/>
        <v>#VALUE!</v>
      </c>
      <c r="AR66" s="140"/>
      <c r="AS66" s="140" t="str">
        <f t="shared" si="39"/>
        <v>#DIV/0!</v>
      </c>
      <c r="AT66" s="140"/>
      <c r="AU66" s="140"/>
      <c r="AV66" s="140"/>
    </row>
    <row r="67">
      <c r="A67" s="106">
        <v>66.0</v>
      </c>
      <c r="C67" s="163"/>
      <c r="D67" s="106"/>
      <c r="E67" s="136"/>
      <c r="F67" s="166"/>
      <c r="G67" s="145"/>
      <c r="H67" s="156"/>
      <c r="I67" s="156"/>
      <c r="J67" s="138"/>
      <c r="K67" s="138"/>
      <c r="L67" s="138"/>
      <c r="M67" s="112"/>
      <c r="N67" s="136"/>
      <c r="O67" s="138"/>
      <c r="P67" s="166"/>
      <c r="Q67" s="166"/>
      <c r="R67" s="157"/>
      <c r="S67" s="157"/>
      <c r="T67" s="136" t="s">
        <v>1436</v>
      </c>
      <c r="U67" s="115">
        <f t="shared" si="32"/>
        <v>0</v>
      </c>
      <c r="V67" s="116" t="str">
        <f t="shared" si="4"/>
        <v>ERROR</v>
      </c>
      <c r="W67" s="116" t="str">
        <f t="shared" si="5"/>
        <v>ERROR</v>
      </c>
      <c r="X67" s="117" t="str">
        <f t="shared" si="33"/>
        <v>#VALUE!</v>
      </c>
      <c r="Y67" s="117" t="str">
        <f t="shared" si="34"/>
        <v>#NAME?</v>
      </c>
      <c r="Z67" s="118" t="str">
        <f t="shared" si="8"/>
        <v>ERROR</v>
      </c>
      <c r="AA67" s="117" t="str">
        <f t="shared" si="35"/>
        <v>#VALUE!</v>
      </c>
      <c r="AB67" s="117">
        <f t="shared" si="36"/>
        <v>0</v>
      </c>
      <c r="AC67" s="117" t="str">
        <f t="shared" si="11"/>
        <v>#VALUE!</v>
      </c>
      <c r="AD67" s="117" t="str">
        <f t="shared" si="12"/>
        <v>#VALUE!</v>
      </c>
      <c r="AE67" s="158"/>
      <c r="AF67" s="115"/>
      <c r="AG67" s="115">
        <f t="shared" si="37"/>
        <v>972.3921669</v>
      </c>
      <c r="AH67" s="147"/>
      <c r="AI67" s="151">
        <f>N67*References!$B$6</f>
        <v>0</v>
      </c>
      <c r="AJ67" s="151">
        <f t="shared" ref="AJ67:AJ68" si="50">200+15716.12</f>
        <v>15916.12</v>
      </c>
      <c r="AK67" s="151">
        <f>References!$B$8*55</f>
        <v>385</v>
      </c>
      <c r="AL67" s="152">
        <v>1000.0</v>
      </c>
      <c r="AM67" s="148">
        <f t="shared" si="44"/>
        <v>17301.12</v>
      </c>
      <c r="AN67" s="151" t="str">
        <f t="shared" si="45"/>
        <v>#VALUE!</v>
      </c>
      <c r="AO67" s="148">
        <v>600.0</v>
      </c>
      <c r="AP67" s="148" t="str">
        <f t="shared" si="46"/>
        <v>#VALUE!</v>
      </c>
      <c r="AQ67" s="149" t="str">
        <f t="shared" si="47"/>
        <v>#VALUE!</v>
      </c>
      <c r="AS67" s="90" t="str">
        <f t="shared" si="39"/>
        <v>#DIV/0!</v>
      </c>
    </row>
    <row r="68">
      <c r="A68" s="106">
        <v>67.0</v>
      </c>
      <c r="C68" s="163"/>
      <c r="D68" s="106"/>
      <c r="E68" s="136"/>
      <c r="F68" s="166"/>
      <c r="G68" s="145"/>
      <c r="H68" s="156"/>
      <c r="I68" s="156"/>
      <c r="J68" s="138"/>
      <c r="K68" s="138"/>
      <c r="L68" s="138"/>
      <c r="M68" s="112"/>
      <c r="N68" s="136"/>
      <c r="O68" s="138"/>
      <c r="P68" s="166"/>
      <c r="Q68" s="166"/>
      <c r="R68" s="157"/>
      <c r="S68" s="157"/>
      <c r="T68" s="136" t="s">
        <v>1436</v>
      </c>
      <c r="U68" s="115">
        <f t="shared" si="32"/>
        <v>0</v>
      </c>
      <c r="V68" s="116" t="str">
        <f t="shared" si="4"/>
        <v>ERROR</v>
      </c>
      <c r="W68" s="116" t="str">
        <f t="shared" si="5"/>
        <v>ERROR</v>
      </c>
      <c r="X68" s="117" t="str">
        <f t="shared" si="33"/>
        <v>#VALUE!</v>
      </c>
      <c r="Y68" s="117" t="str">
        <f t="shared" si="34"/>
        <v>#NAME?</v>
      </c>
      <c r="Z68" s="118" t="str">
        <f t="shared" si="8"/>
        <v>ERROR</v>
      </c>
      <c r="AA68" s="117" t="str">
        <f t="shared" si="35"/>
        <v>#VALUE!</v>
      </c>
      <c r="AB68" s="117">
        <f t="shared" si="36"/>
        <v>0</v>
      </c>
      <c r="AC68" s="117" t="str">
        <f t="shared" si="11"/>
        <v>#VALUE!</v>
      </c>
      <c r="AD68" s="117" t="str">
        <f t="shared" si="12"/>
        <v>#VALUE!</v>
      </c>
      <c r="AE68" s="158"/>
      <c r="AF68" s="115"/>
      <c r="AG68" s="115">
        <f t="shared" si="37"/>
        <v>972.3921669</v>
      </c>
      <c r="AH68" s="147"/>
      <c r="AI68" s="151">
        <f>N68*References!$B$6</f>
        <v>0</v>
      </c>
      <c r="AJ68" s="151">
        <f t="shared" si="50"/>
        <v>15916.12</v>
      </c>
      <c r="AK68" s="151">
        <f>References!$B$8*55</f>
        <v>385</v>
      </c>
      <c r="AL68" s="152">
        <v>1000.0</v>
      </c>
      <c r="AM68" s="148">
        <f t="shared" si="44"/>
        <v>17301.12</v>
      </c>
      <c r="AN68" s="151" t="str">
        <f t="shared" si="45"/>
        <v>#VALUE!</v>
      </c>
      <c r="AO68" s="148">
        <v>600.0</v>
      </c>
      <c r="AP68" s="148" t="str">
        <f t="shared" si="46"/>
        <v>#VALUE!</v>
      </c>
      <c r="AQ68" s="149" t="str">
        <f t="shared" si="47"/>
        <v>#VALUE!</v>
      </c>
      <c r="AS68" s="90" t="str">
        <f t="shared" si="39"/>
        <v>#DIV/0!</v>
      </c>
    </row>
    <row r="69">
      <c r="A69" s="106">
        <v>68.0</v>
      </c>
      <c r="C69" s="163"/>
      <c r="D69" s="106"/>
      <c r="E69" s="136"/>
      <c r="F69" s="166"/>
      <c r="G69" s="145"/>
      <c r="H69" s="156"/>
      <c r="I69" s="156"/>
      <c r="J69" s="138"/>
      <c r="K69" s="138"/>
      <c r="L69" s="138"/>
      <c r="M69" s="112"/>
      <c r="N69" s="136"/>
      <c r="P69" s="166"/>
      <c r="Q69" s="166"/>
      <c r="R69" s="157"/>
      <c r="S69" s="157"/>
      <c r="T69" s="136" t="s">
        <v>1436</v>
      </c>
      <c r="U69" s="115">
        <f t="shared" si="32"/>
        <v>0</v>
      </c>
      <c r="V69" s="116" t="str">
        <f t="shared" si="4"/>
        <v>ERROR</v>
      </c>
      <c r="W69" s="116" t="str">
        <f t="shared" si="5"/>
        <v>ERROR</v>
      </c>
      <c r="X69" s="117" t="str">
        <f t="shared" si="33"/>
        <v>#VALUE!</v>
      </c>
      <c r="Y69" s="117" t="str">
        <f t="shared" si="34"/>
        <v>#NAME?</v>
      </c>
      <c r="Z69" s="118" t="str">
        <f t="shared" si="8"/>
        <v>ERROR</v>
      </c>
      <c r="AA69" s="117" t="str">
        <f t="shared" si="35"/>
        <v>#VALUE!</v>
      </c>
      <c r="AB69" s="117">
        <f t="shared" si="36"/>
        <v>0</v>
      </c>
      <c r="AC69" s="117" t="str">
        <f t="shared" si="11"/>
        <v>#VALUE!</v>
      </c>
      <c r="AD69" s="117" t="str">
        <f t="shared" si="12"/>
        <v>#VALUE!</v>
      </c>
      <c r="AE69" s="158"/>
      <c r="AF69" s="115"/>
      <c r="AG69" s="115">
        <f t="shared" si="37"/>
        <v>972.3921669</v>
      </c>
      <c r="AH69" s="147"/>
      <c r="AI69" s="151">
        <f>N69*References!$B$6</f>
        <v>0</v>
      </c>
      <c r="AJ69" s="151">
        <f>200+(References!$B$7*N69)</f>
        <v>200</v>
      </c>
      <c r="AK69" s="151">
        <f>(References!$B$9*4)*55</f>
        <v>1760</v>
      </c>
      <c r="AL69" s="152">
        <v>1000.0</v>
      </c>
      <c r="AM69" s="148">
        <f t="shared" si="44"/>
        <v>2960</v>
      </c>
      <c r="AN69" s="151" t="str">
        <f t="shared" si="45"/>
        <v>#VALUE!</v>
      </c>
      <c r="AO69" s="148">
        <v>600.0</v>
      </c>
      <c r="AP69" s="148" t="str">
        <f t="shared" si="46"/>
        <v>#VALUE!</v>
      </c>
      <c r="AQ69" s="149" t="str">
        <f t="shared" si="47"/>
        <v>#VALUE!</v>
      </c>
      <c r="AS69" s="90" t="str">
        <f t="shared" si="39"/>
        <v>#DIV/0!</v>
      </c>
    </row>
    <row r="70">
      <c r="A70" s="106">
        <v>69.0</v>
      </c>
      <c r="C70" s="163"/>
      <c r="D70" s="106"/>
      <c r="E70" s="136"/>
      <c r="F70" s="166"/>
      <c r="G70" s="145"/>
      <c r="H70" s="156"/>
      <c r="I70" s="156"/>
      <c r="J70" s="138"/>
      <c r="K70" s="138"/>
      <c r="L70" s="138"/>
      <c r="M70" s="112"/>
      <c r="N70" s="136"/>
      <c r="O70" s="138"/>
      <c r="P70" s="166"/>
      <c r="Q70" s="166"/>
      <c r="R70" s="157"/>
      <c r="S70" s="157"/>
      <c r="T70" s="136" t="s">
        <v>1436</v>
      </c>
      <c r="U70" s="115">
        <f t="shared" si="32"/>
        <v>0</v>
      </c>
      <c r="V70" s="116" t="str">
        <f t="shared" si="4"/>
        <v>ERROR</v>
      </c>
      <c r="W70" s="116" t="str">
        <f t="shared" si="5"/>
        <v>ERROR</v>
      </c>
      <c r="X70" s="117" t="str">
        <f t="shared" si="33"/>
        <v>#VALUE!</v>
      </c>
      <c r="Y70" s="117" t="str">
        <f t="shared" si="34"/>
        <v>#NAME?</v>
      </c>
      <c r="Z70" s="118" t="str">
        <f t="shared" si="8"/>
        <v>ERROR</v>
      </c>
      <c r="AA70" s="117" t="str">
        <f t="shared" si="35"/>
        <v>#VALUE!</v>
      </c>
      <c r="AB70" s="117">
        <f t="shared" si="36"/>
        <v>0</v>
      </c>
      <c r="AC70" s="117" t="str">
        <f t="shared" si="11"/>
        <v>#VALUE!</v>
      </c>
      <c r="AD70" s="117" t="str">
        <f t="shared" si="12"/>
        <v>#VALUE!</v>
      </c>
      <c r="AE70" s="158"/>
      <c r="AF70" s="115"/>
      <c r="AG70" s="115">
        <f t="shared" si="37"/>
        <v>972.3921669</v>
      </c>
      <c r="AH70" s="147"/>
      <c r="AI70" s="151">
        <f>N70*References!$B$6</f>
        <v>0</v>
      </c>
      <c r="AJ70" s="151">
        <f>200+15716.12</f>
        <v>15916.12</v>
      </c>
      <c r="AK70" s="151">
        <f>References!$B$8*55</f>
        <v>385</v>
      </c>
      <c r="AL70" s="152">
        <v>1000.0</v>
      </c>
      <c r="AM70" s="148">
        <f t="shared" si="44"/>
        <v>17301.12</v>
      </c>
      <c r="AN70" s="151" t="str">
        <f t="shared" si="45"/>
        <v>#VALUE!</v>
      </c>
      <c r="AO70" s="148">
        <v>600.0</v>
      </c>
      <c r="AP70" s="148" t="str">
        <f t="shared" si="46"/>
        <v>#VALUE!</v>
      </c>
      <c r="AQ70" s="149" t="str">
        <f t="shared" si="47"/>
        <v>#VALUE!</v>
      </c>
      <c r="AS70" s="90" t="str">
        <f t="shared" si="39"/>
        <v>#DIV/0!</v>
      </c>
    </row>
    <row r="71">
      <c r="A71" s="106">
        <v>70.0</v>
      </c>
      <c r="C71" s="163"/>
      <c r="D71" s="106"/>
      <c r="E71" s="136"/>
      <c r="F71" s="166"/>
      <c r="G71" s="145"/>
      <c r="H71" s="156"/>
      <c r="I71" s="156"/>
      <c r="J71" s="166"/>
      <c r="K71" s="166"/>
      <c r="L71" s="166"/>
      <c r="M71" s="112"/>
      <c r="N71" s="136"/>
      <c r="O71" s="166"/>
      <c r="P71" s="166"/>
      <c r="Q71" s="166"/>
      <c r="R71" s="157"/>
      <c r="S71" s="157"/>
      <c r="T71" s="136" t="s">
        <v>1436</v>
      </c>
      <c r="U71" s="115">
        <f t="shared" si="32"/>
        <v>0</v>
      </c>
      <c r="V71" s="116" t="str">
        <f t="shared" si="4"/>
        <v>ERROR</v>
      </c>
      <c r="W71" s="116" t="str">
        <f t="shared" si="5"/>
        <v>ERROR</v>
      </c>
      <c r="X71" s="117" t="str">
        <f t="shared" si="33"/>
        <v>#VALUE!</v>
      </c>
      <c r="Y71" s="117" t="str">
        <f t="shared" si="34"/>
        <v>#NAME?</v>
      </c>
      <c r="Z71" s="118" t="str">
        <f t="shared" si="8"/>
        <v>ERROR</v>
      </c>
      <c r="AA71" s="117" t="str">
        <f t="shared" si="35"/>
        <v>#VALUE!</v>
      </c>
      <c r="AB71" s="117">
        <f t="shared" si="36"/>
        <v>0</v>
      </c>
      <c r="AC71" s="117" t="str">
        <f t="shared" si="11"/>
        <v>#VALUE!</v>
      </c>
      <c r="AD71" s="117" t="str">
        <f t="shared" si="12"/>
        <v>#VALUE!</v>
      </c>
      <c r="AE71" s="158"/>
      <c r="AF71" s="115"/>
      <c r="AG71" s="115">
        <f t="shared" si="37"/>
        <v>972.3921669</v>
      </c>
      <c r="AH71" s="147"/>
      <c r="AI71" s="151">
        <f>N71*References!$B$6</f>
        <v>0</v>
      </c>
      <c r="AJ71" s="151">
        <f>200+(References!$B$7*N71)</f>
        <v>200</v>
      </c>
      <c r="AK71" s="151">
        <f>(References!$B$9*4)*55</f>
        <v>1760</v>
      </c>
      <c r="AL71" s="152">
        <v>1000.0</v>
      </c>
      <c r="AM71" s="148">
        <f t="shared" si="44"/>
        <v>2960</v>
      </c>
      <c r="AN71" s="151" t="str">
        <f t="shared" si="45"/>
        <v>#VALUE!</v>
      </c>
      <c r="AO71" s="148">
        <v>600.0</v>
      </c>
      <c r="AP71" s="148" t="str">
        <f t="shared" si="46"/>
        <v>#VALUE!</v>
      </c>
      <c r="AQ71" s="149" t="str">
        <f t="shared" si="47"/>
        <v>#VALUE!</v>
      </c>
      <c r="AS71" s="90" t="str">
        <f t="shared" si="39"/>
        <v>#DIV/0!</v>
      </c>
    </row>
    <row r="72">
      <c r="A72" s="106">
        <v>72.0</v>
      </c>
      <c r="C72" s="163"/>
      <c r="D72" s="106"/>
      <c r="E72" s="136"/>
      <c r="F72" s="166"/>
      <c r="G72" s="145"/>
      <c r="H72" s="156"/>
      <c r="I72" s="156"/>
      <c r="J72" s="138"/>
      <c r="K72" s="138"/>
      <c r="L72" s="138"/>
      <c r="M72" s="112"/>
      <c r="N72" s="136"/>
      <c r="O72" s="138"/>
      <c r="P72" s="166"/>
      <c r="Q72" s="166"/>
      <c r="R72" s="157"/>
      <c r="S72" s="157"/>
      <c r="T72" s="136" t="s">
        <v>1436</v>
      </c>
      <c r="U72" s="115">
        <f t="shared" si="32"/>
        <v>0</v>
      </c>
      <c r="V72" s="116" t="str">
        <f t="shared" si="4"/>
        <v>ERROR</v>
      </c>
      <c r="W72" s="116" t="str">
        <f t="shared" si="5"/>
        <v>ERROR</v>
      </c>
      <c r="X72" s="117" t="str">
        <f t="shared" si="33"/>
        <v>#VALUE!</v>
      </c>
      <c r="Y72" s="117" t="str">
        <f t="shared" si="34"/>
        <v>#NAME?</v>
      </c>
      <c r="Z72" s="118" t="str">
        <f t="shared" si="8"/>
        <v>ERROR</v>
      </c>
      <c r="AA72" s="117" t="str">
        <f t="shared" si="35"/>
        <v>#VALUE!</v>
      </c>
      <c r="AB72" s="117">
        <f t="shared" si="36"/>
        <v>0</v>
      </c>
      <c r="AC72" s="117" t="str">
        <f t="shared" si="11"/>
        <v>#VALUE!</v>
      </c>
      <c r="AD72" s="117" t="str">
        <f t="shared" si="12"/>
        <v>#VALUE!</v>
      </c>
      <c r="AE72" s="158"/>
      <c r="AF72" s="115"/>
      <c r="AG72" s="115">
        <f t="shared" si="37"/>
        <v>972.3921669</v>
      </c>
      <c r="AH72" s="147"/>
      <c r="AI72" s="151">
        <f>N72*References!$B$6</f>
        <v>0</v>
      </c>
      <c r="AJ72" s="151">
        <f>200+(References!$B$7*N72)</f>
        <v>200</v>
      </c>
      <c r="AK72" s="151">
        <f>(References!$B$9*4)*55</f>
        <v>1760</v>
      </c>
      <c r="AL72" s="152">
        <v>1000.0</v>
      </c>
      <c r="AM72" s="148">
        <f t="shared" si="44"/>
        <v>2960</v>
      </c>
      <c r="AN72" s="151" t="str">
        <f t="shared" si="45"/>
        <v>#VALUE!</v>
      </c>
      <c r="AO72" s="148">
        <v>600.0</v>
      </c>
      <c r="AP72" s="148" t="str">
        <f t="shared" si="46"/>
        <v>#VALUE!</v>
      </c>
      <c r="AQ72" s="149" t="str">
        <f t="shared" si="47"/>
        <v>#VALUE!</v>
      </c>
      <c r="AS72" s="90" t="str">
        <f t="shared" si="39"/>
        <v>#DIV/0!</v>
      </c>
    </row>
    <row r="73">
      <c r="A73" s="106">
        <v>73.0</v>
      </c>
      <c r="C73" s="163"/>
      <c r="D73" s="106"/>
      <c r="E73" s="136"/>
      <c r="F73" s="166"/>
      <c r="G73" s="145"/>
      <c r="H73" s="156"/>
      <c r="I73" s="156"/>
      <c r="J73" s="138"/>
      <c r="K73" s="138"/>
      <c r="L73" s="138"/>
      <c r="M73" s="112"/>
      <c r="N73" s="136"/>
      <c r="O73" s="138"/>
      <c r="P73" s="166"/>
      <c r="Q73" s="166"/>
      <c r="R73" s="157"/>
      <c r="S73" s="157"/>
      <c r="T73" s="136" t="s">
        <v>1436</v>
      </c>
      <c r="U73" s="115">
        <f t="shared" si="32"/>
        <v>0</v>
      </c>
      <c r="V73" s="116" t="str">
        <f t="shared" si="4"/>
        <v>ERROR</v>
      </c>
      <c r="W73" s="116" t="str">
        <f t="shared" si="5"/>
        <v>ERROR</v>
      </c>
      <c r="X73" s="117" t="str">
        <f t="shared" si="33"/>
        <v>#VALUE!</v>
      </c>
      <c r="Y73" s="117" t="str">
        <f t="shared" si="34"/>
        <v>#NAME?</v>
      </c>
      <c r="Z73" s="118" t="str">
        <f t="shared" si="8"/>
        <v>ERROR</v>
      </c>
      <c r="AA73" s="117" t="str">
        <f t="shared" si="35"/>
        <v>#VALUE!</v>
      </c>
      <c r="AB73" s="117">
        <f t="shared" si="36"/>
        <v>0</v>
      </c>
      <c r="AC73" s="117" t="str">
        <f t="shared" si="11"/>
        <v>#VALUE!</v>
      </c>
      <c r="AD73" s="117" t="str">
        <f t="shared" si="12"/>
        <v>#VALUE!</v>
      </c>
      <c r="AE73" s="158"/>
      <c r="AF73" s="115"/>
      <c r="AG73" s="115">
        <f t="shared" si="37"/>
        <v>972.3921669</v>
      </c>
      <c r="AH73" s="147"/>
      <c r="AI73" s="151">
        <f>N73*References!$B$6</f>
        <v>0</v>
      </c>
      <c r="AJ73" s="151">
        <f>200+15716.12</f>
        <v>15916.12</v>
      </c>
      <c r="AK73" s="151">
        <f>References!$B$8*55</f>
        <v>385</v>
      </c>
      <c r="AL73" s="152">
        <v>1000.0</v>
      </c>
      <c r="AM73" s="148">
        <f t="shared" si="44"/>
        <v>17301.12</v>
      </c>
      <c r="AN73" s="151" t="str">
        <f t="shared" si="45"/>
        <v>#VALUE!</v>
      </c>
      <c r="AO73" s="148">
        <v>600.0</v>
      </c>
      <c r="AP73" s="148" t="str">
        <f t="shared" si="46"/>
        <v>#VALUE!</v>
      </c>
      <c r="AQ73" s="149" t="str">
        <f t="shared" si="47"/>
        <v>#VALUE!</v>
      </c>
      <c r="AS73" s="90" t="str">
        <f t="shared" si="39"/>
        <v>#DIV/0!</v>
      </c>
    </row>
    <row r="74">
      <c r="A74" s="106">
        <v>74.0</v>
      </c>
      <c r="C74" s="163"/>
      <c r="D74" s="106"/>
      <c r="E74" s="136"/>
      <c r="F74" s="166"/>
      <c r="G74" s="145"/>
      <c r="H74" s="156"/>
      <c r="I74" s="156"/>
      <c r="J74" s="166"/>
      <c r="K74" s="166"/>
      <c r="L74" s="166"/>
      <c r="M74" s="112"/>
      <c r="N74" s="136"/>
      <c r="O74" s="166"/>
      <c r="P74" s="166"/>
      <c r="Q74" s="166"/>
      <c r="R74" s="157"/>
      <c r="S74" s="157"/>
      <c r="T74" s="136" t="s">
        <v>1436</v>
      </c>
      <c r="U74" s="115">
        <f t="shared" si="32"/>
        <v>0</v>
      </c>
      <c r="V74" s="116" t="str">
        <f t="shared" si="4"/>
        <v>ERROR</v>
      </c>
      <c r="W74" s="116" t="str">
        <f t="shared" si="5"/>
        <v>ERROR</v>
      </c>
      <c r="X74" s="117" t="str">
        <f t="shared" si="33"/>
        <v>#VALUE!</v>
      </c>
      <c r="Y74" s="117" t="str">
        <f t="shared" si="34"/>
        <v>#NAME?</v>
      </c>
      <c r="Z74" s="118" t="str">
        <f t="shared" si="8"/>
        <v>ERROR</v>
      </c>
      <c r="AA74" s="117" t="str">
        <f t="shared" si="35"/>
        <v>#VALUE!</v>
      </c>
      <c r="AB74" s="117">
        <f t="shared" si="36"/>
        <v>0</v>
      </c>
      <c r="AC74" s="117" t="str">
        <f t="shared" si="11"/>
        <v>#VALUE!</v>
      </c>
      <c r="AD74" s="117" t="str">
        <f t="shared" si="12"/>
        <v>#VALUE!</v>
      </c>
      <c r="AE74" s="158"/>
      <c r="AF74" s="115"/>
      <c r="AG74" s="115">
        <f t="shared" si="37"/>
        <v>972.3921669</v>
      </c>
      <c r="AH74" s="147"/>
      <c r="AI74" s="151">
        <f>N74*References!$B$6</f>
        <v>0</v>
      </c>
      <c r="AJ74" s="151">
        <f>200+(References!$B$7*N74)</f>
        <v>200</v>
      </c>
      <c r="AK74" s="151">
        <f>(References!$B$9*4)*55</f>
        <v>1760</v>
      </c>
      <c r="AL74" s="152">
        <v>1000.0</v>
      </c>
      <c r="AM74" s="148">
        <f t="shared" si="44"/>
        <v>2960</v>
      </c>
      <c r="AN74" s="151" t="str">
        <f t="shared" si="45"/>
        <v>#VALUE!</v>
      </c>
      <c r="AO74" s="148">
        <v>600.0</v>
      </c>
      <c r="AP74" s="148" t="str">
        <f t="shared" si="46"/>
        <v>#VALUE!</v>
      </c>
      <c r="AQ74" s="149" t="str">
        <f t="shared" si="47"/>
        <v>#VALUE!</v>
      </c>
      <c r="AS74" s="90" t="str">
        <f t="shared" si="39"/>
        <v>#DIV/0!</v>
      </c>
    </row>
    <row r="75">
      <c r="A75" s="106">
        <v>75.0</v>
      </c>
      <c r="C75" s="163"/>
      <c r="D75" s="106"/>
      <c r="E75" s="136"/>
      <c r="F75" s="166"/>
      <c r="G75" s="145"/>
      <c r="H75" s="156"/>
      <c r="I75" s="156"/>
      <c r="J75" s="138"/>
      <c r="K75" s="138"/>
      <c r="L75" s="138"/>
      <c r="M75" s="112"/>
      <c r="N75" s="136"/>
      <c r="O75" s="138"/>
      <c r="P75" s="166"/>
      <c r="Q75" s="166"/>
      <c r="R75" s="157"/>
      <c r="S75" s="157"/>
      <c r="T75" s="136" t="s">
        <v>1436</v>
      </c>
      <c r="U75" s="115">
        <f t="shared" si="32"/>
        <v>0</v>
      </c>
      <c r="V75" s="116" t="str">
        <f t="shared" si="4"/>
        <v>ERROR</v>
      </c>
      <c r="W75" s="116" t="str">
        <f t="shared" si="5"/>
        <v>ERROR</v>
      </c>
      <c r="X75" s="117" t="str">
        <f t="shared" si="33"/>
        <v>#VALUE!</v>
      </c>
      <c r="Y75" s="117" t="str">
        <f t="shared" si="34"/>
        <v>#NAME?</v>
      </c>
      <c r="Z75" s="118" t="str">
        <f t="shared" si="8"/>
        <v>ERROR</v>
      </c>
      <c r="AA75" s="117" t="str">
        <f t="shared" si="35"/>
        <v>#VALUE!</v>
      </c>
      <c r="AB75" s="117">
        <f t="shared" si="36"/>
        <v>0</v>
      </c>
      <c r="AC75" s="117" t="str">
        <f t="shared" si="11"/>
        <v>#VALUE!</v>
      </c>
      <c r="AD75" s="117" t="str">
        <f t="shared" si="12"/>
        <v>#VALUE!</v>
      </c>
      <c r="AE75" s="158"/>
      <c r="AF75" s="115"/>
      <c r="AG75" s="115">
        <f t="shared" si="37"/>
        <v>972.3921669</v>
      </c>
      <c r="AH75" s="147"/>
      <c r="AI75" s="151">
        <f>N75*References!$B$6</f>
        <v>0</v>
      </c>
      <c r="AJ75" s="151">
        <f>200+15716.12</f>
        <v>15916.12</v>
      </c>
      <c r="AK75" s="151">
        <f>References!$B$8*55</f>
        <v>385</v>
      </c>
      <c r="AL75" s="152">
        <v>1000.0</v>
      </c>
      <c r="AM75" s="148">
        <f t="shared" si="44"/>
        <v>17301.12</v>
      </c>
      <c r="AN75" s="151" t="str">
        <f t="shared" si="45"/>
        <v>#VALUE!</v>
      </c>
      <c r="AO75" s="148">
        <v>600.0</v>
      </c>
      <c r="AP75" s="148" t="str">
        <f t="shared" si="46"/>
        <v>#VALUE!</v>
      </c>
      <c r="AQ75" s="149" t="str">
        <f t="shared" si="47"/>
        <v>#VALUE!</v>
      </c>
      <c r="AS75" s="90" t="str">
        <f t="shared" si="39"/>
        <v>#DIV/0!</v>
      </c>
    </row>
    <row r="76">
      <c r="A76" s="106">
        <v>71.0</v>
      </c>
      <c r="C76" s="163"/>
      <c r="D76" s="106"/>
      <c r="E76" s="136"/>
      <c r="F76" s="166"/>
      <c r="G76" s="145"/>
      <c r="H76" s="156"/>
      <c r="I76" s="156"/>
      <c r="J76" s="166"/>
      <c r="K76" s="166"/>
      <c r="L76" s="166"/>
      <c r="M76" s="112"/>
      <c r="N76" s="136"/>
      <c r="O76" s="166"/>
      <c r="P76" s="166"/>
      <c r="Q76" s="166"/>
      <c r="R76" s="157"/>
      <c r="S76" s="157"/>
      <c r="T76" s="136" t="s">
        <v>1436</v>
      </c>
      <c r="U76" s="115">
        <f t="shared" si="32"/>
        <v>0</v>
      </c>
      <c r="V76" s="116" t="str">
        <f t="shared" si="4"/>
        <v>ERROR</v>
      </c>
      <c r="W76" s="116" t="str">
        <f t="shared" si="5"/>
        <v>ERROR</v>
      </c>
      <c r="X76" s="117" t="str">
        <f t="shared" si="33"/>
        <v>#VALUE!</v>
      </c>
      <c r="Y76" s="117" t="str">
        <f t="shared" si="34"/>
        <v>#NAME?</v>
      </c>
      <c r="Z76" s="118" t="str">
        <f t="shared" si="8"/>
        <v>ERROR</v>
      </c>
      <c r="AA76" s="117" t="str">
        <f t="shared" si="35"/>
        <v>#VALUE!</v>
      </c>
      <c r="AB76" s="117">
        <f t="shared" si="36"/>
        <v>0</v>
      </c>
      <c r="AC76" s="117" t="str">
        <f t="shared" si="11"/>
        <v>#VALUE!</v>
      </c>
      <c r="AD76" s="117" t="str">
        <f t="shared" si="12"/>
        <v>#VALUE!</v>
      </c>
      <c r="AE76" s="158"/>
      <c r="AF76" s="115"/>
      <c r="AG76" s="115">
        <f t="shared" si="37"/>
        <v>972.3921669</v>
      </c>
      <c r="AH76" s="147"/>
      <c r="AI76" s="151">
        <f>N76*References!$B$6</f>
        <v>0</v>
      </c>
      <c r="AJ76" s="151">
        <f>200+(References!$B$7*N76)</f>
        <v>200</v>
      </c>
      <c r="AK76" s="151">
        <f>(References!$B$9*4)*55</f>
        <v>1760</v>
      </c>
      <c r="AL76" s="152">
        <v>1000.0</v>
      </c>
      <c r="AM76" s="148">
        <f t="shared" si="44"/>
        <v>2960</v>
      </c>
      <c r="AN76" s="151" t="str">
        <f t="shared" si="45"/>
        <v>#VALUE!</v>
      </c>
      <c r="AO76" s="148">
        <v>600.0</v>
      </c>
      <c r="AP76" s="148" t="str">
        <f t="shared" si="46"/>
        <v>#VALUE!</v>
      </c>
      <c r="AQ76" s="149" t="str">
        <f t="shared" si="47"/>
        <v>#VALUE!</v>
      </c>
      <c r="AS76" s="90" t="str">
        <f t="shared" si="39"/>
        <v>#DIV/0!</v>
      </c>
    </row>
    <row r="77">
      <c r="A77" s="106">
        <v>78.0</v>
      </c>
      <c r="C77" s="163"/>
      <c r="D77" s="106"/>
      <c r="E77" s="136"/>
      <c r="F77" s="166"/>
      <c r="G77" s="145"/>
      <c r="H77" s="156"/>
      <c r="I77" s="156"/>
      <c r="J77" s="138"/>
      <c r="K77" s="138"/>
      <c r="L77" s="138"/>
      <c r="M77" s="112"/>
      <c r="N77" s="136"/>
      <c r="O77" s="138"/>
      <c r="P77" s="166"/>
      <c r="Q77" s="166"/>
      <c r="R77" s="157"/>
      <c r="S77" s="157"/>
      <c r="T77" s="136" t="s">
        <v>1436</v>
      </c>
      <c r="U77" s="115">
        <f t="shared" si="32"/>
        <v>0</v>
      </c>
      <c r="V77" s="116" t="str">
        <f t="shared" si="4"/>
        <v>ERROR</v>
      </c>
      <c r="W77" s="116" t="str">
        <f t="shared" si="5"/>
        <v>ERROR</v>
      </c>
      <c r="X77" s="117" t="str">
        <f t="shared" si="33"/>
        <v>#VALUE!</v>
      </c>
      <c r="Y77" s="117" t="str">
        <f t="shared" si="34"/>
        <v>#NAME?</v>
      </c>
      <c r="Z77" s="118" t="str">
        <f t="shared" si="8"/>
        <v>ERROR</v>
      </c>
      <c r="AA77" s="117" t="str">
        <f t="shared" si="35"/>
        <v>#VALUE!</v>
      </c>
      <c r="AB77" s="117">
        <f t="shared" si="36"/>
        <v>0</v>
      </c>
      <c r="AC77" s="117" t="str">
        <f t="shared" si="11"/>
        <v>#VALUE!</v>
      </c>
      <c r="AD77" s="117" t="str">
        <f t="shared" si="12"/>
        <v>#VALUE!</v>
      </c>
      <c r="AE77" s="158"/>
      <c r="AF77" s="115"/>
      <c r="AG77" s="115">
        <f t="shared" si="37"/>
        <v>972.3921669</v>
      </c>
      <c r="AH77" s="147"/>
      <c r="AI77" s="151">
        <f>N77*References!$B$6</f>
        <v>0</v>
      </c>
      <c r="AJ77" s="151">
        <f>200+15716.12</f>
        <v>15916.12</v>
      </c>
      <c r="AK77" s="151">
        <f>References!$B$8*55</f>
        <v>385</v>
      </c>
      <c r="AL77" s="152">
        <v>1000.0</v>
      </c>
      <c r="AM77" s="148">
        <f t="shared" si="44"/>
        <v>17301.12</v>
      </c>
      <c r="AN77" s="151" t="str">
        <f t="shared" si="45"/>
        <v>#VALUE!</v>
      </c>
      <c r="AO77" s="148">
        <v>600.0</v>
      </c>
      <c r="AP77" s="148" t="str">
        <f t="shared" si="46"/>
        <v>#VALUE!</v>
      </c>
      <c r="AQ77" s="149" t="str">
        <f t="shared" si="47"/>
        <v>#VALUE!</v>
      </c>
      <c r="AS77" s="90" t="str">
        <f t="shared" si="39"/>
        <v>#DIV/0!</v>
      </c>
    </row>
    <row r="78">
      <c r="A78" s="106">
        <v>76.0</v>
      </c>
      <c r="C78" s="163"/>
      <c r="D78" s="106"/>
      <c r="E78" s="136"/>
      <c r="F78" s="166"/>
      <c r="G78" s="145"/>
      <c r="H78" s="156"/>
      <c r="I78" s="156"/>
      <c r="J78" s="166"/>
      <c r="K78" s="166"/>
      <c r="L78" s="166"/>
      <c r="M78" s="112"/>
      <c r="N78" s="136"/>
      <c r="O78" s="138"/>
      <c r="P78" s="166"/>
      <c r="Q78" s="166"/>
      <c r="R78" s="157"/>
      <c r="S78" s="157"/>
      <c r="T78" s="136" t="s">
        <v>1436</v>
      </c>
      <c r="U78" s="115">
        <f t="shared" si="32"/>
        <v>0</v>
      </c>
      <c r="V78" s="116" t="str">
        <f t="shared" si="4"/>
        <v>ERROR</v>
      </c>
      <c r="W78" s="116" t="str">
        <f t="shared" si="5"/>
        <v>ERROR</v>
      </c>
      <c r="X78" s="117" t="str">
        <f t="shared" si="33"/>
        <v>#VALUE!</v>
      </c>
      <c r="Y78" s="117" t="str">
        <f t="shared" si="34"/>
        <v>#NAME?</v>
      </c>
      <c r="Z78" s="118" t="str">
        <f t="shared" si="8"/>
        <v>ERROR</v>
      </c>
      <c r="AA78" s="117" t="str">
        <f t="shared" si="35"/>
        <v>#VALUE!</v>
      </c>
      <c r="AB78" s="117">
        <f t="shared" si="36"/>
        <v>0</v>
      </c>
      <c r="AC78" s="117" t="str">
        <f t="shared" si="11"/>
        <v>#VALUE!</v>
      </c>
      <c r="AD78" s="117" t="str">
        <f t="shared" si="12"/>
        <v>#VALUE!</v>
      </c>
      <c r="AE78" s="158"/>
      <c r="AF78" s="115"/>
      <c r="AG78" s="115">
        <f t="shared" si="37"/>
        <v>972.3921669</v>
      </c>
      <c r="AH78" s="147"/>
      <c r="AI78" s="151">
        <f>N78*References!$B$6</f>
        <v>0</v>
      </c>
      <c r="AJ78" s="151">
        <f>200+(References!$B$7*N78)</f>
        <v>200</v>
      </c>
      <c r="AK78" s="151">
        <f>(References!$B$9*4)*55</f>
        <v>1760</v>
      </c>
      <c r="AL78" s="152">
        <v>1000.0</v>
      </c>
      <c r="AM78" s="148">
        <f t="shared" si="44"/>
        <v>2960</v>
      </c>
      <c r="AN78" s="151" t="str">
        <f t="shared" si="45"/>
        <v>#VALUE!</v>
      </c>
      <c r="AO78" s="148">
        <v>600.0</v>
      </c>
      <c r="AP78" s="148" t="str">
        <f t="shared" si="46"/>
        <v>#VALUE!</v>
      </c>
      <c r="AQ78" s="149" t="str">
        <f t="shared" si="47"/>
        <v>#VALUE!</v>
      </c>
      <c r="AS78" s="90" t="str">
        <f t="shared" si="39"/>
        <v>#DIV/0!</v>
      </c>
    </row>
    <row r="79">
      <c r="A79" s="106">
        <v>77.0</v>
      </c>
      <c r="C79" s="163"/>
      <c r="D79" s="106"/>
      <c r="E79" s="136"/>
      <c r="F79" s="166"/>
      <c r="G79" s="145"/>
      <c r="H79" s="156"/>
      <c r="I79" s="156"/>
      <c r="J79" s="166"/>
      <c r="K79" s="166"/>
      <c r="L79" s="166"/>
      <c r="M79" s="112"/>
      <c r="N79" s="136"/>
      <c r="O79" s="166"/>
      <c r="P79" s="166"/>
      <c r="Q79" s="166"/>
      <c r="R79" s="157"/>
      <c r="S79" s="157"/>
      <c r="T79" s="136" t="s">
        <v>1436</v>
      </c>
      <c r="U79" s="115">
        <f t="shared" si="32"/>
        <v>0</v>
      </c>
      <c r="V79" s="116" t="str">
        <f t="shared" si="4"/>
        <v>ERROR</v>
      </c>
      <c r="W79" s="116" t="str">
        <f t="shared" si="5"/>
        <v>ERROR</v>
      </c>
      <c r="X79" s="117" t="str">
        <f t="shared" si="33"/>
        <v>#VALUE!</v>
      </c>
      <c r="Y79" s="117" t="str">
        <f t="shared" si="34"/>
        <v>#NAME?</v>
      </c>
      <c r="Z79" s="118" t="str">
        <f t="shared" si="8"/>
        <v>ERROR</v>
      </c>
      <c r="AA79" s="117" t="str">
        <f t="shared" si="35"/>
        <v>#VALUE!</v>
      </c>
      <c r="AB79" s="117">
        <f t="shared" si="36"/>
        <v>0</v>
      </c>
      <c r="AC79" s="117" t="str">
        <f t="shared" si="11"/>
        <v>#VALUE!</v>
      </c>
      <c r="AD79" s="117" t="str">
        <f t="shared" si="12"/>
        <v>#VALUE!</v>
      </c>
      <c r="AE79" s="158"/>
      <c r="AF79" s="115"/>
      <c r="AG79" s="115">
        <f t="shared" si="37"/>
        <v>972.3921669</v>
      </c>
      <c r="AH79" s="147"/>
      <c r="AI79" s="151">
        <f>N79*References!$B$6</f>
        <v>0</v>
      </c>
      <c r="AJ79" s="151">
        <f>200+(References!$B$7*N79)</f>
        <v>200</v>
      </c>
      <c r="AK79" s="151">
        <f>(References!$B$9*4)*55</f>
        <v>1760</v>
      </c>
      <c r="AL79" s="152">
        <v>1000.0</v>
      </c>
      <c r="AM79" s="148">
        <f t="shared" si="44"/>
        <v>2960</v>
      </c>
      <c r="AN79" s="151" t="str">
        <f t="shared" si="45"/>
        <v>#VALUE!</v>
      </c>
      <c r="AO79" s="148">
        <v>600.0</v>
      </c>
      <c r="AP79" s="148" t="str">
        <f t="shared" si="46"/>
        <v>#VALUE!</v>
      </c>
      <c r="AQ79" s="149" t="str">
        <f t="shared" si="47"/>
        <v>#VALUE!</v>
      </c>
      <c r="AS79" s="90" t="str">
        <f t="shared" si="39"/>
        <v>#DIV/0!</v>
      </c>
    </row>
    <row r="80">
      <c r="A80" s="106">
        <v>79.0</v>
      </c>
      <c r="C80" s="163"/>
      <c r="D80" s="106"/>
      <c r="E80" s="136"/>
      <c r="G80" s="145"/>
      <c r="H80" s="156"/>
      <c r="I80" s="156"/>
      <c r="M80" s="112"/>
      <c r="N80" s="136"/>
      <c r="R80" s="157"/>
      <c r="S80" s="157"/>
      <c r="T80" s="136" t="s">
        <v>1436</v>
      </c>
      <c r="U80" s="115">
        <f t="shared" si="32"/>
        <v>0</v>
      </c>
      <c r="V80" s="116" t="str">
        <f t="shared" si="4"/>
        <v>ERROR</v>
      </c>
      <c r="W80" s="116" t="str">
        <f t="shared" si="5"/>
        <v>ERROR</v>
      </c>
      <c r="X80" s="117" t="str">
        <f t="shared" si="33"/>
        <v>#VALUE!</v>
      </c>
      <c r="Y80" s="117" t="str">
        <f t="shared" si="34"/>
        <v>#NAME?</v>
      </c>
      <c r="Z80" s="118" t="str">
        <f t="shared" si="8"/>
        <v>ERROR</v>
      </c>
      <c r="AA80" s="117" t="str">
        <f t="shared" si="35"/>
        <v>#VALUE!</v>
      </c>
      <c r="AB80" s="117">
        <f t="shared" si="36"/>
        <v>0</v>
      </c>
      <c r="AC80" s="117" t="str">
        <f t="shared" si="11"/>
        <v>#VALUE!</v>
      </c>
      <c r="AD80" s="117" t="str">
        <f t="shared" si="12"/>
        <v>#VALUE!</v>
      </c>
      <c r="AE80" s="147"/>
      <c r="AF80" s="171"/>
      <c r="AG80" s="115">
        <f t="shared" si="37"/>
        <v>972.3921669</v>
      </c>
      <c r="AH80" s="147"/>
      <c r="AI80" s="151">
        <f>N80*References!$B$6</f>
        <v>0</v>
      </c>
      <c r="AJ80" s="151">
        <f>200+(References!$B$7*N80)</f>
        <v>200</v>
      </c>
      <c r="AK80" s="151">
        <f>(References!$B$9*4)*55</f>
        <v>1760</v>
      </c>
      <c r="AL80" s="152">
        <v>1000.0</v>
      </c>
      <c r="AM80" s="148">
        <f t="shared" si="44"/>
        <v>2960</v>
      </c>
      <c r="AN80" s="151" t="str">
        <f t="shared" si="45"/>
        <v>#VALUE!</v>
      </c>
      <c r="AO80" s="148">
        <v>600.0</v>
      </c>
      <c r="AP80" s="148" t="str">
        <f t="shared" si="46"/>
        <v>#VALUE!</v>
      </c>
      <c r="AQ80" s="149" t="str">
        <f t="shared" si="47"/>
        <v>#VALUE!</v>
      </c>
      <c r="AS80" s="90" t="str">
        <f t="shared" si="39"/>
        <v>#DIV/0!</v>
      </c>
    </row>
    <row r="81">
      <c r="A81" s="106"/>
      <c r="C81" s="163"/>
      <c r="D81" s="106"/>
      <c r="E81" s="172"/>
      <c r="G81" s="145"/>
      <c r="H81" s="155"/>
      <c r="I81" s="155"/>
      <c r="M81" s="155"/>
      <c r="N81" s="136"/>
      <c r="R81" s="157"/>
      <c r="S81" s="157"/>
      <c r="T81" s="136"/>
      <c r="U81" s="115"/>
      <c r="V81" s="116"/>
      <c r="W81" s="116"/>
      <c r="X81" s="117"/>
      <c r="Y81" s="117"/>
      <c r="Z81" s="118"/>
      <c r="AA81" s="117"/>
      <c r="AB81" s="117"/>
      <c r="AC81" s="117"/>
      <c r="AD81" s="117"/>
      <c r="AE81" s="147"/>
      <c r="AF81" s="171"/>
      <c r="AG81" s="115"/>
      <c r="AH81" s="147"/>
      <c r="AI81" s="130"/>
      <c r="AJ81" s="130"/>
      <c r="AK81" s="130"/>
      <c r="AL81" s="130"/>
      <c r="AM81" s="151"/>
      <c r="AN81" s="130"/>
      <c r="AO81" s="130"/>
      <c r="AP81" s="130"/>
      <c r="AQ81" s="147"/>
    </row>
    <row r="82">
      <c r="A82" s="106"/>
      <c r="C82" s="106"/>
      <c r="D82" s="106"/>
      <c r="E82" s="172"/>
      <c r="G82" s="173"/>
      <c r="H82" s="173"/>
      <c r="I82" s="173"/>
      <c r="M82" s="173"/>
      <c r="R82" s="174"/>
      <c r="S82" s="174"/>
      <c r="T82" s="90"/>
      <c r="U82" s="171"/>
      <c r="V82" s="171"/>
      <c r="W82" s="171"/>
      <c r="X82" s="171"/>
      <c r="Y82" s="171"/>
      <c r="Z82" s="171"/>
      <c r="AA82" s="171"/>
      <c r="AB82" s="171"/>
      <c r="AC82" s="171"/>
      <c r="AD82" s="175"/>
      <c r="AE82" s="147"/>
      <c r="AF82" s="171"/>
      <c r="AG82" s="171"/>
      <c r="AH82" s="147"/>
      <c r="AI82" s="130"/>
      <c r="AJ82" s="130"/>
      <c r="AK82" s="130"/>
      <c r="AL82" s="130"/>
      <c r="AM82" s="151"/>
      <c r="AN82" s="130"/>
      <c r="AO82" s="130"/>
      <c r="AP82" s="130"/>
      <c r="AQ82" s="147"/>
    </row>
    <row r="83">
      <c r="A83" s="106"/>
      <c r="D83" s="172"/>
      <c r="E83" s="172"/>
      <c r="G83" s="173"/>
      <c r="H83" s="173"/>
      <c r="I83" s="173"/>
      <c r="M83" s="173"/>
      <c r="R83" s="174"/>
      <c r="S83" s="174"/>
      <c r="T83" s="90"/>
      <c r="U83" s="171"/>
      <c r="V83" s="171"/>
      <c r="W83" s="171"/>
      <c r="X83" s="171"/>
      <c r="Y83" s="171"/>
      <c r="Z83" s="171"/>
      <c r="AA83" s="171"/>
      <c r="AB83" s="171"/>
      <c r="AC83" s="171"/>
      <c r="AD83" s="175"/>
      <c r="AE83" s="147"/>
      <c r="AF83" s="171"/>
      <c r="AG83" s="171"/>
      <c r="AH83" s="147"/>
      <c r="AI83" s="130"/>
      <c r="AJ83" s="130"/>
      <c r="AK83" s="130"/>
      <c r="AL83" s="130"/>
      <c r="AM83" s="151"/>
      <c r="AN83" s="130"/>
      <c r="AO83" s="130"/>
      <c r="AP83" s="130"/>
      <c r="AQ83" s="147"/>
    </row>
    <row r="84">
      <c r="A84" s="106"/>
      <c r="D84" s="172"/>
      <c r="E84" s="172"/>
      <c r="G84" s="173"/>
      <c r="H84" s="173"/>
      <c r="I84" s="173"/>
      <c r="M84" s="173"/>
      <c r="R84" s="174"/>
      <c r="S84" s="174"/>
      <c r="T84" s="90"/>
      <c r="U84" s="171"/>
      <c r="V84" s="171"/>
      <c r="W84" s="171"/>
      <c r="X84" s="171"/>
      <c r="Y84" s="171"/>
      <c r="Z84" s="171"/>
      <c r="AA84" s="171"/>
      <c r="AB84" s="171"/>
      <c r="AC84" s="171"/>
      <c r="AD84" s="175"/>
      <c r="AE84" s="147"/>
      <c r="AF84" s="171"/>
      <c r="AG84" s="171"/>
      <c r="AH84" s="147"/>
      <c r="AI84" s="130"/>
      <c r="AJ84" s="130"/>
      <c r="AK84" s="130"/>
      <c r="AL84" s="130"/>
      <c r="AM84" s="151"/>
      <c r="AN84" s="130"/>
      <c r="AO84" s="130"/>
      <c r="AP84" s="130"/>
      <c r="AQ84" s="147"/>
    </row>
    <row r="85">
      <c r="A85" s="106"/>
      <c r="D85" s="172"/>
      <c r="E85" s="172"/>
      <c r="G85" s="173"/>
      <c r="H85" s="173"/>
      <c r="I85" s="173"/>
      <c r="M85" s="173"/>
      <c r="R85" s="174"/>
      <c r="S85" s="174"/>
      <c r="T85" s="90"/>
      <c r="U85" s="176"/>
      <c r="V85" s="176"/>
      <c r="W85" s="176"/>
      <c r="X85" s="176"/>
      <c r="Y85" s="176"/>
      <c r="Z85" s="177"/>
      <c r="AA85" s="176"/>
      <c r="AB85" s="176"/>
      <c r="AC85" s="176"/>
      <c r="AD85" s="178"/>
      <c r="AF85" s="179"/>
      <c r="AG85" s="179"/>
      <c r="AI85" s="180"/>
      <c r="AJ85" s="180"/>
      <c r="AK85" s="180"/>
      <c r="AL85" s="180"/>
      <c r="AM85" s="181"/>
      <c r="AN85" s="180"/>
      <c r="AO85" s="180"/>
      <c r="AP85" s="180"/>
    </row>
    <row r="86">
      <c r="A86" s="106"/>
      <c r="D86" s="172"/>
      <c r="E86" s="172"/>
      <c r="G86" s="173"/>
      <c r="H86" s="173"/>
      <c r="I86" s="173"/>
      <c r="M86" s="173"/>
      <c r="R86" s="174"/>
      <c r="S86" s="174"/>
      <c r="T86" s="90"/>
      <c r="U86" s="176"/>
      <c r="V86" s="176"/>
      <c r="W86" s="176"/>
      <c r="X86" s="176"/>
      <c r="Y86" s="176"/>
      <c r="Z86" s="177"/>
      <c r="AA86" s="176"/>
      <c r="AB86" s="176"/>
      <c r="AC86" s="176"/>
      <c r="AD86" s="178"/>
      <c r="AF86" s="179"/>
      <c r="AG86" s="179"/>
      <c r="AI86" s="180"/>
      <c r="AJ86" s="180"/>
      <c r="AK86" s="180"/>
      <c r="AL86" s="180"/>
      <c r="AM86" s="181"/>
      <c r="AN86" s="180"/>
      <c r="AO86" s="180"/>
      <c r="AP86" s="180"/>
    </row>
    <row r="87">
      <c r="A87" s="106"/>
      <c r="D87" s="172"/>
      <c r="E87" s="172"/>
      <c r="G87" s="173"/>
      <c r="H87" s="173"/>
      <c r="I87" s="173"/>
      <c r="M87" s="173"/>
      <c r="R87" s="174"/>
      <c r="S87" s="174"/>
      <c r="T87" s="90"/>
      <c r="U87" s="176"/>
      <c r="V87" s="176"/>
      <c r="W87" s="176"/>
      <c r="X87" s="176"/>
      <c r="Y87" s="176"/>
      <c r="Z87" s="177"/>
      <c r="AA87" s="176"/>
      <c r="AB87" s="176"/>
      <c r="AC87" s="176"/>
      <c r="AD87" s="178"/>
      <c r="AF87" s="179"/>
      <c r="AG87" s="179"/>
      <c r="AI87" s="180"/>
      <c r="AJ87" s="180"/>
      <c r="AK87" s="180"/>
      <c r="AL87" s="180"/>
      <c r="AM87" s="181"/>
      <c r="AN87" s="180"/>
      <c r="AO87" s="180"/>
      <c r="AP87" s="180"/>
    </row>
    <row r="88">
      <c r="A88" s="106"/>
      <c r="D88" s="172"/>
      <c r="E88" s="172"/>
      <c r="G88" s="173"/>
      <c r="H88" s="173"/>
      <c r="I88" s="173"/>
      <c r="M88" s="173"/>
      <c r="R88" s="174"/>
      <c r="S88" s="174"/>
      <c r="T88" s="90"/>
      <c r="U88" s="176"/>
      <c r="V88" s="176"/>
      <c r="W88" s="176"/>
      <c r="X88" s="176"/>
      <c r="Y88" s="176"/>
      <c r="Z88" s="177"/>
      <c r="AA88" s="176"/>
      <c r="AB88" s="176"/>
      <c r="AC88" s="176"/>
      <c r="AD88" s="178"/>
      <c r="AF88" s="179"/>
      <c r="AG88" s="179"/>
      <c r="AI88" s="180"/>
      <c r="AJ88" s="180"/>
      <c r="AK88" s="180"/>
      <c r="AL88" s="180"/>
      <c r="AM88" s="181"/>
      <c r="AN88" s="180"/>
      <c r="AO88" s="180"/>
      <c r="AP88" s="180"/>
    </row>
    <row r="89">
      <c r="A89" s="106"/>
      <c r="D89" s="172"/>
      <c r="E89" s="172"/>
      <c r="G89" s="173"/>
      <c r="H89" s="173"/>
      <c r="I89" s="173"/>
      <c r="M89" s="173"/>
      <c r="R89" s="174"/>
      <c r="S89" s="174"/>
      <c r="T89" s="90"/>
      <c r="U89" s="176"/>
      <c r="V89" s="176"/>
      <c r="W89" s="176"/>
      <c r="X89" s="176"/>
      <c r="Y89" s="176"/>
      <c r="Z89" s="177"/>
      <c r="AA89" s="176"/>
      <c r="AB89" s="176"/>
      <c r="AC89" s="176"/>
      <c r="AD89" s="178"/>
      <c r="AF89" s="179"/>
      <c r="AG89" s="179"/>
      <c r="AI89" s="180"/>
      <c r="AJ89" s="180"/>
      <c r="AK89" s="180"/>
      <c r="AL89" s="180"/>
      <c r="AM89" s="181"/>
      <c r="AN89" s="180"/>
      <c r="AO89" s="180"/>
      <c r="AP89" s="180"/>
    </row>
    <row r="90">
      <c r="A90" s="106"/>
      <c r="D90" s="172"/>
      <c r="E90" s="172"/>
      <c r="G90" s="173"/>
      <c r="H90" s="173"/>
      <c r="I90" s="173"/>
      <c r="M90" s="173"/>
      <c r="R90" s="174"/>
      <c r="S90" s="174"/>
      <c r="T90" s="90"/>
      <c r="U90" s="176"/>
      <c r="V90" s="176"/>
      <c r="W90" s="176"/>
      <c r="X90" s="176"/>
      <c r="Y90" s="176"/>
      <c r="Z90" s="177"/>
      <c r="AA90" s="176"/>
      <c r="AB90" s="176"/>
      <c r="AC90" s="176"/>
      <c r="AD90" s="178"/>
      <c r="AF90" s="179"/>
      <c r="AG90" s="179"/>
      <c r="AI90" s="180"/>
      <c r="AJ90" s="180"/>
      <c r="AK90" s="180"/>
      <c r="AL90" s="180"/>
      <c r="AM90" s="181"/>
      <c r="AN90" s="180"/>
      <c r="AO90" s="180"/>
      <c r="AP90" s="180"/>
    </row>
    <row r="91">
      <c r="A91" s="106"/>
      <c r="D91" s="172"/>
      <c r="E91" s="172"/>
      <c r="G91" s="173"/>
      <c r="H91" s="173"/>
      <c r="I91" s="173"/>
      <c r="M91" s="173"/>
      <c r="R91" s="174"/>
      <c r="S91" s="174"/>
      <c r="T91" s="90"/>
      <c r="U91" s="176"/>
      <c r="V91" s="176"/>
      <c r="W91" s="176"/>
      <c r="X91" s="176"/>
      <c r="Y91" s="176"/>
      <c r="Z91" s="177"/>
      <c r="AA91" s="176"/>
      <c r="AB91" s="176"/>
      <c r="AC91" s="176"/>
      <c r="AD91" s="178"/>
      <c r="AF91" s="179"/>
      <c r="AG91" s="179"/>
      <c r="AI91" s="180"/>
      <c r="AJ91" s="180"/>
      <c r="AK91" s="180"/>
      <c r="AL91" s="180"/>
      <c r="AM91" s="181"/>
      <c r="AN91" s="180"/>
      <c r="AO91" s="180"/>
      <c r="AP91" s="180"/>
    </row>
    <row r="92">
      <c r="A92" s="106"/>
      <c r="D92" s="172"/>
      <c r="E92" s="172"/>
      <c r="G92" s="173"/>
      <c r="H92" s="173"/>
      <c r="I92" s="173"/>
      <c r="M92" s="173"/>
      <c r="R92" s="174"/>
      <c r="S92" s="174"/>
      <c r="T92" s="90"/>
      <c r="U92" s="176"/>
      <c r="V92" s="176"/>
      <c r="W92" s="176"/>
      <c r="X92" s="176"/>
      <c r="Y92" s="176"/>
      <c r="Z92" s="177"/>
      <c r="AA92" s="176"/>
      <c r="AB92" s="176"/>
      <c r="AC92" s="176"/>
      <c r="AD92" s="178"/>
      <c r="AF92" s="179"/>
      <c r="AG92" s="179"/>
      <c r="AI92" s="180"/>
      <c r="AJ92" s="180"/>
      <c r="AK92" s="180"/>
      <c r="AL92" s="180"/>
      <c r="AM92" s="181"/>
      <c r="AN92" s="180"/>
      <c r="AO92" s="180"/>
      <c r="AP92" s="180"/>
    </row>
    <row r="93">
      <c r="A93" s="106"/>
      <c r="D93" s="172"/>
      <c r="E93" s="172"/>
      <c r="G93" s="173"/>
      <c r="H93" s="173"/>
      <c r="I93" s="173"/>
      <c r="M93" s="173"/>
      <c r="R93" s="174"/>
      <c r="S93" s="174"/>
      <c r="T93" s="90"/>
      <c r="U93" s="176"/>
      <c r="V93" s="176"/>
      <c r="W93" s="176"/>
      <c r="X93" s="176"/>
      <c r="Y93" s="176"/>
      <c r="Z93" s="177"/>
      <c r="AA93" s="176"/>
      <c r="AB93" s="176"/>
      <c r="AC93" s="176"/>
      <c r="AD93" s="178"/>
      <c r="AF93" s="179"/>
      <c r="AG93" s="179"/>
      <c r="AI93" s="180"/>
      <c r="AJ93" s="180"/>
      <c r="AK93" s="180"/>
      <c r="AL93" s="180"/>
      <c r="AM93" s="181"/>
      <c r="AN93" s="180"/>
      <c r="AO93" s="180"/>
      <c r="AP93" s="180"/>
    </row>
    <row r="94">
      <c r="A94" s="106"/>
      <c r="D94" s="172"/>
      <c r="E94" s="172"/>
      <c r="G94" s="173"/>
      <c r="H94" s="173"/>
      <c r="I94" s="173"/>
      <c r="M94" s="173"/>
      <c r="R94" s="174"/>
      <c r="S94" s="174"/>
      <c r="T94" s="90"/>
      <c r="U94" s="176"/>
      <c r="V94" s="176"/>
      <c r="W94" s="176"/>
      <c r="X94" s="176"/>
      <c r="Y94" s="176"/>
      <c r="Z94" s="177"/>
      <c r="AA94" s="176"/>
      <c r="AB94" s="176"/>
      <c r="AC94" s="176"/>
      <c r="AD94" s="178"/>
      <c r="AF94" s="179"/>
      <c r="AG94" s="179"/>
      <c r="AI94" s="180"/>
      <c r="AJ94" s="180"/>
      <c r="AK94" s="180"/>
      <c r="AL94" s="180"/>
      <c r="AM94" s="181"/>
      <c r="AN94" s="180"/>
      <c r="AO94" s="180"/>
      <c r="AP94" s="180"/>
    </row>
    <row r="95">
      <c r="A95" s="106"/>
      <c r="D95" s="172"/>
      <c r="E95" s="172"/>
      <c r="G95" s="173"/>
      <c r="H95" s="173"/>
      <c r="I95" s="173"/>
      <c r="M95" s="173"/>
      <c r="R95" s="174"/>
      <c r="S95" s="174"/>
      <c r="T95" s="90"/>
      <c r="U95" s="176"/>
      <c r="V95" s="176"/>
      <c r="W95" s="176"/>
      <c r="X95" s="176"/>
      <c r="Y95" s="176"/>
      <c r="Z95" s="177"/>
      <c r="AA95" s="176"/>
      <c r="AB95" s="176"/>
      <c r="AC95" s="176"/>
      <c r="AD95" s="178"/>
      <c r="AF95" s="179"/>
      <c r="AG95" s="179"/>
      <c r="AI95" s="180"/>
      <c r="AJ95" s="180"/>
      <c r="AK95" s="180"/>
      <c r="AL95" s="180"/>
      <c r="AM95" s="181"/>
      <c r="AN95" s="180"/>
      <c r="AO95" s="180"/>
      <c r="AP95" s="180"/>
    </row>
    <row r="96">
      <c r="A96" s="106"/>
      <c r="D96" s="172"/>
      <c r="E96" s="172"/>
      <c r="G96" s="173"/>
      <c r="H96" s="173"/>
      <c r="I96" s="173"/>
      <c r="M96" s="173"/>
      <c r="R96" s="174"/>
      <c r="S96" s="174"/>
      <c r="T96" s="90"/>
      <c r="U96" s="176"/>
      <c r="V96" s="176"/>
      <c r="W96" s="176"/>
      <c r="X96" s="176"/>
      <c r="Y96" s="176"/>
      <c r="Z96" s="177"/>
      <c r="AA96" s="176"/>
      <c r="AB96" s="176"/>
      <c r="AC96" s="176"/>
      <c r="AD96" s="178"/>
      <c r="AF96" s="179"/>
      <c r="AG96" s="179"/>
      <c r="AI96" s="180"/>
      <c r="AJ96" s="180"/>
      <c r="AK96" s="180"/>
      <c r="AL96" s="180"/>
      <c r="AM96" s="181"/>
      <c r="AN96" s="180"/>
      <c r="AO96" s="180"/>
      <c r="AP96" s="180"/>
    </row>
    <row r="97">
      <c r="A97" s="106"/>
      <c r="D97" s="172"/>
      <c r="E97" s="172"/>
      <c r="G97" s="173"/>
      <c r="H97" s="173"/>
      <c r="I97" s="173"/>
      <c r="M97" s="173"/>
      <c r="R97" s="174"/>
      <c r="S97" s="174"/>
      <c r="T97" s="90"/>
      <c r="U97" s="176"/>
      <c r="V97" s="176"/>
      <c r="W97" s="176"/>
      <c r="X97" s="176"/>
      <c r="Y97" s="176"/>
      <c r="Z97" s="177"/>
      <c r="AA97" s="176"/>
      <c r="AB97" s="176"/>
      <c r="AC97" s="176"/>
      <c r="AD97" s="178"/>
      <c r="AF97" s="179"/>
      <c r="AG97" s="179"/>
      <c r="AI97" s="180"/>
      <c r="AJ97" s="180"/>
      <c r="AK97" s="180"/>
      <c r="AL97" s="180"/>
      <c r="AM97" s="181"/>
      <c r="AN97" s="180"/>
      <c r="AO97" s="180"/>
      <c r="AP97" s="180"/>
    </row>
    <row r="98">
      <c r="A98" s="106"/>
      <c r="D98" s="172"/>
      <c r="E98" s="172"/>
      <c r="G98" s="173"/>
      <c r="H98" s="173"/>
      <c r="I98" s="173"/>
      <c r="M98" s="173"/>
      <c r="R98" s="174"/>
      <c r="S98" s="174"/>
      <c r="T98" s="90"/>
      <c r="U98" s="176"/>
      <c r="V98" s="176"/>
      <c r="W98" s="176"/>
      <c r="X98" s="176"/>
      <c r="Y98" s="176"/>
      <c r="Z98" s="177"/>
      <c r="AA98" s="176"/>
      <c r="AB98" s="176"/>
      <c r="AC98" s="176"/>
      <c r="AD98" s="178"/>
      <c r="AF98" s="179"/>
      <c r="AG98" s="179"/>
      <c r="AI98" s="180"/>
      <c r="AJ98" s="180"/>
      <c r="AK98" s="180"/>
      <c r="AL98" s="180"/>
      <c r="AM98" s="181"/>
      <c r="AN98" s="180"/>
      <c r="AO98" s="180"/>
      <c r="AP98" s="180"/>
    </row>
    <row r="99">
      <c r="A99" s="106"/>
      <c r="D99" s="172"/>
      <c r="E99" s="172"/>
      <c r="G99" s="173"/>
      <c r="H99" s="173"/>
      <c r="I99" s="173"/>
      <c r="M99" s="173"/>
      <c r="R99" s="174"/>
      <c r="S99" s="174"/>
      <c r="T99" s="90"/>
      <c r="U99" s="176"/>
      <c r="V99" s="176"/>
      <c r="W99" s="176"/>
      <c r="X99" s="176"/>
      <c r="Y99" s="176"/>
      <c r="Z99" s="177"/>
      <c r="AA99" s="176"/>
      <c r="AB99" s="176"/>
      <c r="AC99" s="176"/>
      <c r="AD99" s="178"/>
      <c r="AF99" s="179"/>
      <c r="AG99" s="179"/>
      <c r="AI99" s="180"/>
      <c r="AJ99" s="180"/>
      <c r="AK99" s="180"/>
      <c r="AL99" s="180"/>
      <c r="AM99" s="181"/>
      <c r="AN99" s="180"/>
      <c r="AO99" s="180"/>
      <c r="AP99" s="180"/>
    </row>
    <row r="100">
      <c r="A100" s="106"/>
      <c r="D100" s="172"/>
      <c r="E100" s="172"/>
      <c r="G100" s="173"/>
      <c r="H100" s="173"/>
      <c r="I100" s="173"/>
      <c r="M100" s="173"/>
      <c r="R100" s="174"/>
      <c r="S100" s="174"/>
      <c r="T100" s="90"/>
      <c r="U100" s="176"/>
      <c r="V100" s="176"/>
      <c r="W100" s="176"/>
      <c r="X100" s="176"/>
      <c r="Y100" s="176"/>
      <c r="Z100" s="177"/>
      <c r="AA100" s="176"/>
      <c r="AB100" s="176"/>
      <c r="AC100" s="176"/>
      <c r="AD100" s="178"/>
      <c r="AF100" s="179"/>
      <c r="AG100" s="179"/>
      <c r="AI100" s="180"/>
      <c r="AJ100" s="180"/>
      <c r="AK100" s="180"/>
      <c r="AL100" s="180"/>
      <c r="AM100" s="181"/>
      <c r="AN100" s="180"/>
      <c r="AO100" s="180"/>
      <c r="AP100" s="180"/>
    </row>
    <row r="101">
      <c r="A101" s="106"/>
      <c r="D101" s="172"/>
      <c r="E101" s="172"/>
      <c r="G101" s="173"/>
      <c r="H101" s="173"/>
      <c r="I101" s="173"/>
      <c r="M101" s="173"/>
      <c r="R101" s="174"/>
      <c r="S101" s="174"/>
      <c r="T101" s="90"/>
      <c r="U101" s="176"/>
      <c r="V101" s="176"/>
      <c r="W101" s="176"/>
      <c r="X101" s="176"/>
      <c r="Y101" s="176"/>
      <c r="Z101" s="177"/>
      <c r="AA101" s="176"/>
      <c r="AB101" s="176"/>
      <c r="AC101" s="176"/>
      <c r="AD101" s="178"/>
      <c r="AF101" s="179"/>
      <c r="AG101" s="179"/>
      <c r="AI101" s="180"/>
      <c r="AJ101" s="180"/>
      <c r="AK101" s="180"/>
      <c r="AL101" s="180"/>
      <c r="AM101" s="181"/>
      <c r="AN101" s="180"/>
      <c r="AO101" s="180"/>
      <c r="AP101" s="180"/>
    </row>
    <row r="102">
      <c r="A102" s="106"/>
      <c r="D102" s="172"/>
      <c r="E102" s="172"/>
      <c r="G102" s="173"/>
      <c r="H102" s="173"/>
      <c r="I102" s="173"/>
      <c r="M102" s="173"/>
      <c r="R102" s="174"/>
      <c r="S102" s="174"/>
      <c r="T102" s="90"/>
      <c r="U102" s="176"/>
      <c r="V102" s="176"/>
      <c r="W102" s="176"/>
      <c r="X102" s="176"/>
      <c r="Y102" s="176"/>
      <c r="Z102" s="177"/>
      <c r="AA102" s="176"/>
      <c r="AB102" s="176"/>
      <c r="AC102" s="176"/>
      <c r="AD102" s="178"/>
      <c r="AF102" s="179"/>
      <c r="AG102" s="179"/>
      <c r="AI102" s="180"/>
      <c r="AJ102" s="180"/>
      <c r="AK102" s="180"/>
      <c r="AL102" s="180"/>
      <c r="AM102" s="181"/>
      <c r="AN102" s="180"/>
      <c r="AO102" s="180"/>
      <c r="AP102" s="180"/>
    </row>
    <row r="103">
      <c r="A103" s="106"/>
      <c r="D103" s="172"/>
      <c r="E103" s="172"/>
      <c r="G103" s="173"/>
      <c r="H103" s="173"/>
      <c r="I103" s="173"/>
      <c r="M103" s="173"/>
      <c r="R103" s="174"/>
      <c r="S103" s="174"/>
      <c r="T103" s="90"/>
      <c r="U103" s="176"/>
      <c r="V103" s="176"/>
      <c r="W103" s="176"/>
      <c r="X103" s="176"/>
      <c r="Y103" s="176"/>
      <c r="Z103" s="177"/>
      <c r="AA103" s="176"/>
      <c r="AB103" s="176"/>
      <c r="AC103" s="176"/>
      <c r="AD103" s="178"/>
      <c r="AF103" s="179"/>
      <c r="AG103" s="179"/>
      <c r="AI103" s="180"/>
      <c r="AJ103" s="180"/>
      <c r="AK103" s="180"/>
      <c r="AL103" s="180"/>
      <c r="AM103" s="181"/>
      <c r="AN103" s="180"/>
      <c r="AO103" s="180"/>
      <c r="AP103" s="180"/>
    </row>
    <row r="104">
      <c r="A104" s="106"/>
      <c r="D104" s="172"/>
      <c r="E104" s="172"/>
      <c r="G104" s="173"/>
      <c r="H104" s="173"/>
      <c r="I104" s="173"/>
      <c r="M104" s="173"/>
      <c r="R104" s="174"/>
      <c r="S104" s="174"/>
      <c r="T104" s="90"/>
      <c r="U104" s="176"/>
      <c r="V104" s="176"/>
      <c r="W104" s="176"/>
      <c r="X104" s="176"/>
      <c r="Y104" s="176"/>
      <c r="Z104" s="177"/>
      <c r="AA104" s="176"/>
      <c r="AB104" s="176"/>
      <c r="AC104" s="176"/>
      <c r="AD104" s="178"/>
      <c r="AF104" s="179"/>
      <c r="AG104" s="179"/>
      <c r="AI104" s="180"/>
      <c r="AJ104" s="180"/>
      <c r="AK104" s="180"/>
      <c r="AL104" s="180"/>
      <c r="AM104" s="181"/>
      <c r="AN104" s="180"/>
      <c r="AO104" s="180"/>
      <c r="AP104" s="180"/>
    </row>
    <row r="105">
      <c r="D105" s="172"/>
      <c r="E105" s="172"/>
      <c r="G105" s="173"/>
      <c r="H105" s="173"/>
      <c r="I105" s="173"/>
      <c r="M105" s="173"/>
      <c r="R105" s="174"/>
      <c r="S105" s="174"/>
      <c r="T105" s="90"/>
      <c r="U105" s="176"/>
      <c r="V105" s="176"/>
      <c r="W105" s="176"/>
      <c r="X105" s="176"/>
      <c r="Y105" s="176"/>
      <c r="Z105" s="177"/>
      <c r="AA105" s="176"/>
      <c r="AB105" s="176"/>
      <c r="AC105" s="176"/>
      <c r="AD105" s="178"/>
      <c r="AF105" s="179"/>
      <c r="AG105" s="179"/>
      <c r="AI105" s="180"/>
      <c r="AJ105" s="180"/>
      <c r="AK105" s="180"/>
      <c r="AL105" s="180"/>
      <c r="AM105" s="181"/>
      <c r="AN105" s="180"/>
      <c r="AO105" s="180"/>
      <c r="AP105" s="180"/>
    </row>
    <row r="106">
      <c r="D106" s="172"/>
      <c r="E106" s="172"/>
      <c r="G106" s="173"/>
      <c r="H106" s="173"/>
      <c r="I106" s="173"/>
      <c r="M106" s="173"/>
      <c r="R106" s="174"/>
      <c r="S106" s="174"/>
      <c r="T106" s="90"/>
      <c r="U106" s="176"/>
      <c r="V106" s="176"/>
      <c r="W106" s="176"/>
      <c r="X106" s="176"/>
      <c r="Y106" s="176"/>
      <c r="Z106" s="177"/>
      <c r="AA106" s="176"/>
      <c r="AB106" s="176"/>
      <c r="AC106" s="176"/>
      <c r="AD106" s="178"/>
      <c r="AF106" s="179"/>
      <c r="AG106" s="179"/>
      <c r="AI106" s="180"/>
      <c r="AJ106" s="180"/>
      <c r="AK106" s="180"/>
      <c r="AL106" s="180"/>
      <c r="AM106" s="181"/>
      <c r="AN106" s="180"/>
      <c r="AO106" s="180"/>
      <c r="AP106" s="180"/>
    </row>
    <row r="107">
      <c r="D107" s="172"/>
      <c r="E107" s="172"/>
      <c r="G107" s="173"/>
      <c r="H107" s="173"/>
      <c r="I107" s="173"/>
      <c r="M107" s="173"/>
      <c r="R107" s="174"/>
      <c r="S107" s="174"/>
      <c r="T107" s="90"/>
      <c r="U107" s="176"/>
      <c r="V107" s="176"/>
      <c r="W107" s="176"/>
      <c r="X107" s="176"/>
      <c r="Y107" s="176"/>
      <c r="Z107" s="177"/>
      <c r="AA107" s="176"/>
      <c r="AB107" s="176"/>
      <c r="AC107" s="176"/>
      <c r="AD107" s="178"/>
      <c r="AF107" s="179"/>
      <c r="AG107" s="179"/>
      <c r="AI107" s="180"/>
      <c r="AJ107" s="180"/>
      <c r="AK107" s="180"/>
      <c r="AL107" s="180"/>
      <c r="AM107" s="181"/>
      <c r="AN107" s="180"/>
      <c r="AO107" s="180"/>
      <c r="AP107" s="180"/>
    </row>
    <row r="108">
      <c r="D108" s="172"/>
      <c r="E108" s="172"/>
      <c r="G108" s="173"/>
      <c r="H108" s="173"/>
      <c r="I108" s="173"/>
      <c r="M108" s="173"/>
      <c r="R108" s="174"/>
      <c r="S108" s="174"/>
      <c r="T108" s="90"/>
      <c r="U108" s="176"/>
      <c r="V108" s="176"/>
      <c r="W108" s="176"/>
      <c r="X108" s="176"/>
      <c r="Y108" s="176"/>
      <c r="Z108" s="177"/>
      <c r="AA108" s="176"/>
      <c r="AB108" s="176"/>
      <c r="AC108" s="176"/>
      <c r="AD108" s="178"/>
      <c r="AF108" s="179"/>
      <c r="AG108" s="179"/>
      <c r="AI108" s="180"/>
      <c r="AJ108" s="180"/>
      <c r="AK108" s="180"/>
      <c r="AL108" s="180"/>
      <c r="AM108" s="181"/>
      <c r="AN108" s="180"/>
      <c r="AO108" s="180"/>
      <c r="AP108" s="180"/>
    </row>
    <row r="109">
      <c r="D109" s="172"/>
      <c r="E109" s="172"/>
      <c r="G109" s="173"/>
      <c r="H109" s="173"/>
      <c r="I109" s="173"/>
      <c r="M109" s="173"/>
      <c r="R109" s="174"/>
      <c r="S109" s="174"/>
      <c r="T109" s="90"/>
      <c r="U109" s="176"/>
      <c r="V109" s="176"/>
      <c r="W109" s="176"/>
      <c r="X109" s="176"/>
      <c r="Y109" s="176"/>
      <c r="Z109" s="177"/>
      <c r="AA109" s="176"/>
      <c r="AB109" s="176"/>
      <c r="AC109" s="176"/>
      <c r="AD109" s="178"/>
      <c r="AF109" s="179"/>
      <c r="AG109" s="179"/>
      <c r="AI109" s="180"/>
      <c r="AJ109" s="180"/>
      <c r="AK109" s="180"/>
      <c r="AL109" s="180"/>
      <c r="AM109" s="181"/>
      <c r="AN109" s="180"/>
      <c r="AO109" s="180"/>
      <c r="AP109" s="180"/>
    </row>
    <row r="110">
      <c r="D110" s="172"/>
      <c r="E110" s="172"/>
      <c r="G110" s="173"/>
      <c r="H110" s="173"/>
      <c r="I110" s="173"/>
      <c r="M110" s="173"/>
      <c r="R110" s="174"/>
      <c r="S110" s="174"/>
      <c r="T110" s="90"/>
      <c r="U110" s="176"/>
      <c r="V110" s="176"/>
      <c r="W110" s="176"/>
      <c r="X110" s="176"/>
      <c r="Y110" s="176"/>
      <c r="Z110" s="177"/>
      <c r="AA110" s="176"/>
      <c r="AB110" s="176"/>
      <c r="AC110" s="176"/>
      <c r="AD110" s="178"/>
      <c r="AF110" s="179"/>
      <c r="AG110" s="179"/>
      <c r="AI110" s="180"/>
      <c r="AJ110" s="180"/>
      <c r="AK110" s="180"/>
      <c r="AL110" s="180"/>
      <c r="AM110" s="181"/>
      <c r="AN110" s="180"/>
      <c r="AO110" s="180"/>
      <c r="AP110" s="180"/>
    </row>
    <row r="111">
      <c r="D111" s="172"/>
      <c r="E111" s="172"/>
      <c r="G111" s="173"/>
      <c r="H111" s="173"/>
      <c r="I111" s="173"/>
      <c r="M111" s="173"/>
      <c r="R111" s="174"/>
      <c r="S111" s="174"/>
      <c r="T111" s="90"/>
      <c r="U111" s="176"/>
      <c r="V111" s="176"/>
      <c r="W111" s="176"/>
      <c r="X111" s="176"/>
      <c r="Y111" s="176"/>
      <c r="Z111" s="177"/>
      <c r="AA111" s="176"/>
      <c r="AB111" s="176"/>
      <c r="AC111" s="176"/>
      <c r="AD111" s="178"/>
      <c r="AF111" s="179"/>
      <c r="AG111" s="179"/>
      <c r="AI111" s="180"/>
      <c r="AJ111" s="180"/>
      <c r="AK111" s="180"/>
      <c r="AL111" s="180"/>
      <c r="AM111" s="181"/>
      <c r="AN111" s="180"/>
      <c r="AO111" s="180"/>
      <c r="AP111" s="180"/>
    </row>
    <row r="112">
      <c r="D112" s="172"/>
      <c r="E112" s="172"/>
      <c r="G112" s="173"/>
      <c r="H112" s="173"/>
      <c r="I112" s="173"/>
      <c r="M112" s="173"/>
      <c r="R112" s="174"/>
      <c r="S112" s="174"/>
      <c r="T112" s="90"/>
      <c r="U112" s="176"/>
      <c r="V112" s="176"/>
      <c r="W112" s="176"/>
      <c r="X112" s="176"/>
      <c r="Y112" s="176"/>
      <c r="Z112" s="177"/>
      <c r="AA112" s="176"/>
      <c r="AB112" s="176"/>
      <c r="AC112" s="176"/>
      <c r="AD112" s="178"/>
      <c r="AF112" s="179"/>
      <c r="AG112" s="179"/>
      <c r="AI112" s="180"/>
      <c r="AJ112" s="180"/>
      <c r="AK112" s="180"/>
      <c r="AL112" s="180"/>
      <c r="AM112" s="181"/>
      <c r="AN112" s="180"/>
      <c r="AO112" s="180"/>
      <c r="AP112" s="180"/>
    </row>
    <row r="113">
      <c r="D113" s="172"/>
      <c r="E113" s="172"/>
      <c r="G113" s="173"/>
      <c r="H113" s="173"/>
      <c r="I113" s="173"/>
      <c r="M113" s="173"/>
      <c r="R113" s="174"/>
      <c r="S113" s="174"/>
      <c r="T113" s="90"/>
      <c r="U113" s="176"/>
      <c r="V113" s="176"/>
      <c r="W113" s="176"/>
      <c r="X113" s="176"/>
      <c r="Y113" s="176"/>
      <c r="Z113" s="177"/>
      <c r="AA113" s="176"/>
      <c r="AB113" s="176"/>
      <c r="AC113" s="176"/>
      <c r="AD113" s="178"/>
      <c r="AF113" s="179"/>
      <c r="AG113" s="179"/>
      <c r="AI113" s="180"/>
      <c r="AJ113" s="180"/>
      <c r="AK113" s="180"/>
      <c r="AL113" s="180"/>
      <c r="AM113" s="181"/>
      <c r="AN113" s="180"/>
      <c r="AO113" s="180"/>
      <c r="AP113" s="180"/>
    </row>
    <row r="114">
      <c r="D114" s="172"/>
      <c r="E114" s="172"/>
      <c r="G114" s="173"/>
      <c r="H114" s="173"/>
      <c r="I114" s="173"/>
      <c r="M114" s="173"/>
      <c r="R114" s="174"/>
      <c r="S114" s="174"/>
      <c r="T114" s="90"/>
      <c r="U114" s="176"/>
      <c r="V114" s="176"/>
      <c r="W114" s="176"/>
      <c r="X114" s="176"/>
      <c r="Y114" s="176"/>
      <c r="Z114" s="177"/>
      <c r="AA114" s="176"/>
      <c r="AB114" s="176"/>
      <c r="AC114" s="176"/>
      <c r="AD114" s="178"/>
      <c r="AF114" s="179"/>
      <c r="AG114" s="179"/>
      <c r="AI114" s="180"/>
      <c r="AJ114" s="180"/>
      <c r="AK114" s="180"/>
      <c r="AL114" s="180"/>
      <c r="AM114" s="181"/>
      <c r="AN114" s="180"/>
      <c r="AO114" s="180"/>
      <c r="AP114" s="180"/>
    </row>
    <row r="115">
      <c r="D115" s="172"/>
      <c r="E115" s="172"/>
      <c r="G115" s="173"/>
      <c r="H115" s="173"/>
      <c r="I115" s="173"/>
      <c r="M115" s="173"/>
      <c r="R115" s="174"/>
      <c r="S115" s="174"/>
      <c r="T115" s="90"/>
      <c r="U115" s="176"/>
      <c r="V115" s="176"/>
      <c r="W115" s="176"/>
      <c r="X115" s="176"/>
      <c r="Y115" s="176"/>
      <c r="Z115" s="177"/>
      <c r="AA115" s="176"/>
      <c r="AB115" s="176"/>
      <c r="AC115" s="176"/>
      <c r="AD115" s="178"/>
      <c r="AF115" s="179"/>
      <c r="AG115" s="179"/>
      <c r="AI115" s="180"/>
      <c r="AJ115" s="180"/>
      <c r="AK115" s="180"/>
      <c r="AL115" s="180"/>
      <c r="AM115" s="181"/>
      <c r="AN115" s="180"/>
      <c r="AO115" s="180"/>
      <c r="AP115" s="180"/>
    </row>
    <row r="116">
      <c r="D116" s="172"/>
      <c r="E116" s="172"/>
      <c r="G116" s="173"/>
      <c r="H116" s="173"/>
      <c r="I116" s="173"/>
      <c r="M116" s="173"/>
      <c r="R116" s="174"/>
      <c r="S116" s="174"/>
      <c r="T116" s="90"/>
      <c r="U116" s="176"/>
      <c r="V116" s="176"/>
      <c r="W116" s="176"/>
      <c r="X116" s="176"/>
      <c r="Y116" s="176"/>
      <c r="Z116" s="177"/>
      <c r="AA116" s="176"/>
      <c r="AB116" s="176"/>
      <c r="AC116" s="176"/>
      <c r="AD116" s="178"/>
      <c r="AF116" s="179"/>
      <c r="AG116" s="179"/>
      <c r="AI116" s="180"/>
      <c r="AJ116" s="180"/>
      <c r="AK116" s="180"/>
      <c r="AL116" s="180"/>
      <c r="AM116" s="181"/>
      <c r="AN116" s="180"/>
      <c r="AO116" s="180"/>
      <c r="AP116" s="180"/>
    </row>
    <row r="117">
      <c r="D117" s="172"/>
      <c r="E117" s="172"/>
      <c r="G117" s="173"/>
      <c r="H117" s="173"/>
      <c r="I117" s="173"/>
      <c r="M117" s="173"/>
      <c r="R117" s="174"/>
      <c r="S117" s="174"/>
      <c r="T117" s="90"/>
      <c r="U117" s="176"/>
      <c r="V117" s="176"/>
      <c r="W117" s="176"/>
      <c r="X117" s="176"/>
      <c r="Y117" s="176"/>
      <c r="Z117" s="177"/>
      <c r="AA117" s="176"/>
      <c r="AB117" s="176"/>
      <c r="AC117" s="176"/>
      <c r="AD117" s="178"/>
      <c r="AF117" s="179"/>
      <c r="AG117" s="179"/>
      <c r="AI117" s="180"/>
      <c r="AJ117" s="180"/>
      <c r="AK117" s="180"/>
      <c r="AL117" s="180"/>
      <c r="AM117" s="181"/>
      <c r="AN117" s="180"/>
      <c r="AO117" s="180"/>
      <c r="AP117" s="180"/>
    </row>
    <row r="118">
      <c r="D118" s="172"/>
      <c r="E118" s="172"/>
      <c r="G118" s="173"/>
      <c r="H118" s="173"/>
      <c r="I118" s="173"/>
      <c r="M118" s="173"/>
      <c r="R118" s="174"/>
      <c r="S118" s="174"/>
      <c r="T118" s="90"/>
      <c r="U118" s="176"/>
      <c r="V118" s="176"/>
      <c r="W118" s="176"/>
      <c r="X118" s="176"/>
      <c r="Y118" s="176"/>
      <c r="Z118" s="177"/>
      <c r="AA118" s="176"/>
      <c r="AB118" s="176"/>
      <c r="AC118" s="176"/>
      <c r="AD118" s="178"/>
      <c r="AF118" s="179"/>
      <c r="AG118" s="179"/>
      <c r="AI118" s="180"/>
      <c r="AJ118" s="180"/>
      <c r="AK118" s="180"/>
      <c r="AL118" s="180"/>
      <c r="AM118" s="181"/>
      <c r="AN118" s="180"/>
      <c r="AO118" s="180"/>
      <c r="AP118" s="180"/>
    </row>
    <row r="119">
      <c r="D119" s="172"/>
      <c r="E119" s="172"/>
      <c r="G119" s="173"/>
      <c r="H119" s="173"/>
      <c r="I119" s="173"/>
      <c r="M119" s="173"/>
      <c r="R119" s="174"/>
      <c r="S119" s="174"/>
      <c r="T119" s="90"/>
      <c r="U119" s="176"/>
      <c r="V119" s="176"/>
      <c r="W119" s="176"/>
      <c r="X119" s="176"/>
      <c r="Y119" s="176"/>
      <c r="Z119" s="177"/>
      <c r="AA119" s="176"/>
      <c r="AB119" s="176"/>
      <c r="AC119" s="176"/>
      <c r="AD119" s="178"/>
      <c r="AF119" s="179"/>
      <c r="AG119" s="179"/>
      <c r="AI119" s="180"/>
      <c r="AJ119" s="180"/>
      <c r="AK119" s="180"/>
      <c r="AL119" s="180"/>
      <c r="AM119" s="181"/>
      <c r="AN119" s="180"/>
      <c r="AO119" s="180"/>
      <c r="AP119" s="180"/>
    </row>
    <row r="120">
      <c r="D120" s="172"/>
      <c r="E120" s="172"/>
      <c r="G120" s="173"/>
      <c r="H120" s="173"/>
      <c r="I120" s="173"/>
      <c r="M120" s="173"/>
      <c r="R120" s="174"/>
      <c r="S120" s="174"/>
      <c r="T120" s="90"/>
      <c r="U120" s="176"/>
      <c r="V120" s="176"/>
      <c r="W120" s="176"/>
      <c r="X120" s="176"/>
      <c r="Y120" s="176"/>
      <c r="Z120" s="177"/>
      <c r="AA120" s="176"/>
      <c r="AB120" s="176"/>
      <c r="AC120" s="176"/>
      <c r="AD120" s="178"/>
      <c r="AF120" s="179"/>
      <c r="AG120" s="179"/>
      <c r="AI120" s="180"/>
      <c r="AJ120" s="180"/>
      <c r="AK120" s="180"/>
      <c r="AL120" s="180"/>
      <c r="AM120" s="181"/>
      <c r="AN120" s="180"/>
      <c r="AO120" s="180"/>
      <c r="AP120" s="180"/>
    </row>
    <row r="121">
      <c r="D121" s="172"/>
      <c r="E121" s="172"/>
      <c r="G121" s="173"/>
      <c r="H121" s="173"/>
      <c r="I121" s="173"/>
      <c r="M121" s="173"/>
      <c r="R121" s="174"/>
      <c r="S121" s="174"/>
      <c r="T121" s="90"/>
      <c r="U121" s="176"/>
      <c r="V121" s="176"/>
      <c r="W121" s="176"/>
      <c r="X121" s="176"/>
      <c r="Y121" s="176"/>
      <c r="Z121" s="177"/>
      <c r="AA121" s="176"/>
      <c r="AB121" s="176"/>
      <c r="AC121" s="176"/>
      <c r="AD121" s="178"/>
      <c r="AF121" s="179"/>
      <c r="AG121" s="179"/>
      <c r="AI121" s="180"/>
      <c r="AJ121" s="180"/>
      <c r="AK121" s="180"/>
      <c r="AL121" s="180"/>
      <c r="AM121" s="181"/>
      <c r="AN121" s="180"/>
      <c r="AO121" s="180"/>
      <c r="AP121" s="180"/>
    </row>
    <row r="122">
      <c r="D122" s="172"/>
      <c r="E122" s="172"/>
      <c r="G122" s="173"/>
      <c r="H122" s="173"/>
      <c r="I122" s="173"/>
      <c r="M122" s="173"/>
      <c r="R122" s="174"/>
      <c r="S122" s="174"/>
      <c r="T122" s="90"/>
      <c r="U122" s="176"/>
      <c r="V122" s="176"/>
      <c r="W122" s="176"/>
      <c r="X122" s="176"/>
      <c r="Y122" s="176"/>
      <c r="Z122" s="177"/>
      <c r="AA122" s="176"/>
      <c r="AB122" s="176"/>
      <c r="AC122" s="176"/>
      <c r="AD122" s="178"/>
      <c r="AF122" s="179"/>
      <c r="AG122" s="179"/>
      <c r="AI122" s="180"/>
      <c r="AJ122" s="180"/>
      <c r="AK122" s="180"/>
      <c r="AL122" s="180"/>
      <c r="AM122" s="181"/>
      <c r="AN122" s="180"/>
      <c r="AO122" s="180"/>
      <c r="AP122" s="180"/>
    </row>
    <row r="123">
      <c r="D123" s="172"/>
      <c r="E123" s="172"/>
      <c r="G123" s="173"/>
      <c r="H123" s="173"/>
      <c r="I123" s="173"/>
      <c r="M123" s="173"/>
      <c r="R123" s="174"/>
      <c r="S123" s="174"/>
      <c r="T123" s="90"/>
      <c r="U123" s="176"/>
      <c r="V123" s="176"/>
      <c r="W123" s="176"/>
      <c r="X123" s="176"/>
      <c r="Y123" s="176"/>
      <c r="Z123" s="177"/>
      <c r="AA123" s="176"/>
      <c r="AB123" s="176"/>
      <c r="AC123" s="176"/>
      <c r="AD123" s="178"/>
      <c r="AF123" s="179"/>
      <c r="AG123" s="179"/>
      <c r="AI123" s="180"/>
      <c r="AJ123" s="180"/>
      <c r="AK123" s="180"/>
      <c r="AL123" s="180"/>
      <c r="AM123" s="181"/>
      <c r="AN123" s="180"/>
      <c r="AO123" s="180"/>
      <c r="AP123" s="180"/>
    </row>
    <row r="124">
      <c r="D124" s="172"/>
      <c r="E124" s="172"/>
      <c r="G124" s="173"/>
      <c r="H124" s="173"/>
      <c r="I124" s="173"/>
      <c r="M124" s="173"/>
      <c r="R124" s="174"/>
      <c r="S124" s="174"/>
      <c r="T124" s="90"/>
      <c r="U124" s="176"/>
      <c r="V124" s="176"/>
      <c r="W124" s="176"/>
      <c r="X124" s="176"/>
      <c r="Y124" s="176"/>
      <c r="Z124" s="177"/>
      <c r="AA124" s="176"/>
      <c r="AB124" s="176"/>
      <c r="AC124" s="176"/>
      <c r="AD124" s="178"/>
      <c r="AF124" s="179"/>
      <c r="AG124" s="179"/>
      <c r="AI124" s="180"/>
      <c r="AJ124" s="180"/>
      <c r="AK124" s="180"/>
      <c r="AL124" s="180"/>
      <c r="AM124" s="181"/>
      <c r="AN124" s="180"/>
      <c r="AO124" s="180"/>
      <c r="AP124" s="180"/>
    </row>
    <row r="125">
      <c r="D125" s="172"/>
      <c r="E125" s="172"/>
      <c r="G125" s="173"/>
      <c r="H125" s="173"/>
      <c r="I125" s="173"/>
      <c r="M125" s="173"/>
      <c r="R125" s="174"/>
      <c r="S125" s="174"/>
      <c r="T125" s="90"/>
      <c r="U125" s="176"/>
      <c r="V125" s="176"/>
      <c r="W125" s="176"/>
      <c r="X125" s="176"/>
      <c r="Y125" s="176"/>
      <c r="Z125" s="177"/>
      <c r="AA125" s="176"/>
      <c r="AB125" s="176"/>
      <c r="AC125" s="176"/>
      <c r="AD125" s="178"/>
      <c r="AF125" s="179"/>
      <c r="AG125" s="179"/>
      <c r="AI125" s="180"/>
      <c r="AJ125" s="180"/>
      <c r="AK125" s="180"/>
      <c r="AL125" s="180"/>
      <c r="AM125" s="181"/>
      <c r="AN125" s="180"/>
      <c r="AO125" s="180"/>
      <c r="AP125" s="180"/>
    </row>
    <row r="126">
      <c r="D126" s="172"/>
      <c r="E126" s="172"/>
      <c r="G126" s="173"/>
      <c r="H126" s="173"/>
      <c r="I126" s="173"/>
      <c r="M126" s="173"/>
      <c r="R126" s="174"/>
      <c r="S126" s="174"/>
      <c r="T126" s="90"/>
      <c r="U126" s="176"/>
      <c r="V126" s="176"/>
      <c r="W126" s="176"/>
      <c r="X126" s="176"/>
      <c r="Y126" s="176"/>
      <c r="Z126" s="177"/>
      <c r="AA126" s="176"/>
      <c r="AB126" s="176"/>
      <c r="AC126" s="176"/>
      <c r="AD126" s="178"/>
      <c r="AF126" s="179"/>
      <c r="AG126" s="179"/>
      <c r="AI126" s="180"/>
      <c r="AJ126" s="180"/>
      <c r="AK126" s="180"/>
      <c r="AL126" s="180"/>
      <c r="AM126" s="181"/>
      <c r="AN126" s="180"/>
      <c r="AO126" s="180"/>
      <c r="AP126" s="180"/>
    </row>
    <row r="127">
      <c r="D127" s="172"/>
      <c r="E127" s="172"/>
      <c r="G127" s="173"/>
      <c r="H127" s="173"/>
      <c r="I127" s="173"/>
      <c r="M127" s="173"/>
      <c r="R127" s="174"/>
      <c r="S127" s="174"/>
      <c r="T127" s="90"/>
      <c r="U127" s="176"/>
      <c r="V127" s="176"/>
      <c r="W127" s="176"/>
      <c r="X127" s="176"/>
      <c r="Y127" s="176"/>
      <c r="Z127" s="177"/>
      <c r="AA127" s="176"/>
      <c r="AB127" s="176"/>
      <c r="AC127" s="176"/>
      <c r="AD127" s="178"/>
      <c r="AF127" s="179"/>
      <c r="AG127" s="179"/>
      <c r="AI127" s="180"/>
      <c r="AJ127" s="180"/>
      <c r="AK127" s="180"/>
      <c r="AL127" s="180"/>
      <c r="AM127" s="181"/>
      <c r="AN127" s="180"/>
      <c r="AO127" s="180"/>
      <c r="AP127" s="180"/>
    </row>
    <row r="128">
      <c r="D128" s="172"/>
      <c r="E128" s="172"/>
      <c r="G128" s="173"/>
      <c r="H128" s="173"/>
      <c r="I128" s="173"/>
      <c r="M128" s="173"/>
      <c r="R128" s="174"/>
      <c r="S128" s="174"/>
      <c r="T128" s="90"/>
      <c r="U128" s="176"/>
      <c r="V128" s="176"/>
      <c r="W128" s="176"/>
      <c r="X128" s="176"/>
      <c r="Y128" s="176"/>
      <c r="Z128" s="177"/>
      <c r="AA128" s="176"/>
      <c r="AB128" s="176"/>
      <c r="AC128" s="176"/>
      <c r="AD128" s="178"/>
      <c r="AF128" s="179"/>
      <c r="AG128" s="179"/>
      <c r="AI128" s="180"/>
      <c r="AJ128" s="180"/>
      <c r="AK128" s="180"/>
      <c r="AL128" s="180"/>
      <c r="AM128" s="181"/>
      <c r="AN128" s="180"/>
      <c r="AO128" s="180"/>
      <c r="AP128" s="180"/>
    </row>
    <row r="129">
      <c r="D129" s="172"/>
      <c r="E129" s="172"/>
      <c r="G129" s="173"/>
      <c r="H129" s="173"/>
      <c r="I129" s="173"/>
      <c r="M129" s="173"/>
      <c r="R129" s="174"/>
      <c r="S129" s="174"/>
      <c r="T129" s="90"/>
      <c r="U129" s="176"/>
      <c r="V129" s="176"/>
      <c r="W129" s="176"/>
      <c r="X129" s="176"/>
      <c r="Y129" s="176"/>
      <c r="Z129" s="177"/>
      <c r="AA129" s="176"/>
      <c r="AB129" s="176"/>
      <c r="AC129" s="176"/>
      <c r="AD129" s="178"/>
      <c r="AF129" s="179"/>
      <c r="AG129" s="179"/>
      <c r="AI129" s="180"/>
      <c r="AJ129" s="180"/>
      <c r="AK129" s="180"/>
      <c r="AL129" s="180"/>
      <c r="AM129" s="181"/>
      <c r="AN129" s="180"/>
      <c r="AO129" s="180"/>
      <c r="AP129" s="180"/>
    </row>
    <row r="130">
      <c r="D130" s="172"/>
      <c r="E130" s="172"/>
      <c r="G130" s="173"/>
      <c r="H130" s="173"/>
      <c r="I130" s="173"/>
      <c r="M130" s="173"/>
      <c r="R130" s="174"/>
      <c r="S130" s="174"/>
      <c r="T130" s="90"/>
      <c r="U130" s="176"/>
      <c r="V130" s="176"/>
      <c r="W130" s="176"/>
      <c r="X130" s="176"/>
      <c r="Y130" s="176"/>
      <c r="Z130" s="177"/>
      <c r="AA130" s="176"/>
      <c r="AB130" s="176"/>
      <c r="AC130" s="176"/>
      <c r="AD130" s="178"/>
      <c r="AF130" s="179"/>
      <c r="AG130" s="179"/>
      <c r="AI130" s="180"/>
      <c r="AJ130" s="180"/>
      <c r="AK130" s="180"/>
      <c r="AL130" s="180"/>
      <c r="AM130" s="181"/>
      <c r="AN130" s="180"/>
      <c r="AO130" s="180"/>
      <c r="AP130" s="180"/>
    </row>
    <row r="131">
      <c r="D131" s="172"/>
      <c r="E131" s="172"/>
      <c r="G131" s="173"/>
      <c r="H131" s="173"/>
      <c r="I131" s="173"/>
      <c r="M131" s="173"/>
      <c r="R131" s="174"/>
      <c r="S131" s="174"/>
      <c r="T131" s="90"/>
      <c r="U131" s="176"/>
      <c r="V131" s="176"/>
      <c r="W131" s="176"/>
      <c r="X131" s="176"/>
      <c r="Y131" s="176"/>
      <c r="Z131" s="177"/>
      <c r="AA131" s="176"/>
      <c r="AB131" s="176"/>
      <c r="AC131" s="176"/>
      <c r="AD131" s="178"/>
      <c r="AF131" s="179"/>
      <c r="AG131" s="179"/>
      <c r="AI131" s="180"/>
      <c r="AJ131" s="180"/>
      <c r="AK131" s="180"/>
      <c r="AL131" s="180"/>
      <c r="AM131" s="181"/>
      <c r="AN131" s="180"/>
      <c r="AO131" s="180"/>
      <c r="AP131" s="180"/>
    </row>
    <row r="132">
      <c r="D132" s="172"/>
      <c r="E132" s="172"/>
      <c r="G132" s="173"/>
      <c r="H132" s="173"/>
      <c r="I132" s="173"/>
      <c r="M132" s="173"/>
      <c r="R132" s="174"/>
      <c r="S132" s="174"/>
      <c r="T132" s="90"/>
      <c r="U132" s="176"/>
      <c r="V132" s="176"/>
      <c r="W132" s="176"/>
      <c r="X132" s="176"/>
      <c r="Y132" s="176"/>
      <c r="Z132" s="177"/>
      <c r="AA132" s="176"/>
      <c r="AB132" s="176"/>
      <c r="AC132" s="176"/>
      <c r="AD132" s="178"/>
      <c r="AF132" s="179"/>
      <c r="AG132" s="179"/>
      <c r="AI132" s="180"/>
      <c r="AJ132" s="180"/>
      <c r="AK132" s="180"/>
      <c r="AL132" s="180"/>
      <c r="AM132" s="181"/>
      <c r="AN132" s="180"/>
      <c r="AO132" s="180"/>
      <c r="AP132" s="180"/>
    </row>
    <row r="133">
      <c r="D133" s="172"/>
      <c r="E133" s="172"/>
      <c r="G133" s="173"/>
      <c r="H133" s="173"/>
      <c r="I133" s="173"/>
      <c r="M133" s="173"/>
      <c r="R133" s="174"/>
      <c r="S133" s="174"/>
      <c r="T133" s="90"/>
      <c r="U133" s="176"/>
      <c r="V133" s="176"/>
      <c r="W133" s="176"/>
      <c r="X133" s="176"/>
      <c r="Y133" s="176"/>
      <c r="Z133" s="177"/>
      <c r="AA133" s="176"/>
      <c r="AB133" s="176"/>
      <c r="AC133" s="176"/>
      <c r="AD133" s="178"/>
      <c r="AF133" s="179"/>
      <c r="AG133" s="179"/>
      <c r="AI133" s="180"/>
      <c r="AJ133" s="180"/>
      <c r="AK133" s="180"/>
      <c r="AL133" s="180"/>
      <c r="AM133" s="181"/>
      <c r="AN133" s="180"/>
      <c r="AO133" s="180"/>
      <c r="AP133" s="180"/>
    </row>
    <row r="134">
      <c r="D134" s="172"/>
      <c r="E134" s="172"/>
      <c r="G134" s="173"/>
      <c r="H134" s="173"/>
      <c r="I134" s="173"/>
      <c r="M134" s="173"/>
      <c r="R134" s="174"/>
      <c r="S134" s="174"/>
      <c r="T134" s="90"/>
      <c r="U134" s="176"/>
      <c r="V134" s="176"/>
      <c r="W134" s="176"/>
      <c r="X134" s="176"/>
      <c r="Y134" s="176"/>
      <c r="Z134" s="177"/>
      <c r="AA134" s="176"/>
      <c r="AB134" s="176"/>
      <c r="AC134" s="176"/>
      <c r="AD134" s="178"/>
      <c r="AF134" s="179"/>
      <c r="AG134" s="179"/>
      <c r="AI134" s="180"/>
      <c r="AJ134" s="180"/>
      <c r="AK134" s="180"/>
      <c r="AL134" s="180"/>
      <c r="AM134" s="181"/>
      <c r="AN134" s="180"/>
      <c r="AO134" s="180"/>
      <c r="AP134" s="180"/>
    </row>
    <row r="135">
      <c r="D135" s="172"/>
      <c r="E135" s="172"/>
      <c r="G135" s="173"/>
      <c r="H135" s="173"/>
      <c r="I135" s="173"/>
      <c r="M135" s="173"/>
      <c r="R135" s="174"/>
      <c r="S135" s="174"/>
      <c r="T135" s="90"/>
      <c r="U135" s="176"/>
      <c r="V135" s="176"/>
      <c r="W135" s="176"/>
      <c r="X135" s="176"/>
      <c r="Y135" s="176"/>
      <c r="Z135" s="177"/>
      <c r="AA135" s="176"/>
      <c r="AB135" s="176"/>
      <c r="AC135" s="176"/>
      <c r="AD135" s="178"/>
      <c r="AF135" s="179"/>
      <c r="AG135" s="179"/>
      <c r="AI135" s="180"/>
      <c r="AJ135" s="180"/>
      <c r="AK135" s="180"/>
      <c r="AL135" s="180"/>
      <c r="AM135" s="181"/>
      <c r="AN135" s="180"/>
      <c r="AO135" s="180"/>
      <c r="AP135" s="180"/>
    </row>
    <row r="136">
      <c r="D136" s="172"/>
      <c r="E136" s="172"/>
      <c r="G136" s="173"/>
      <c r="H136" s="173"/>
      <c r="I136" s="173"/>
      <c r="M136" s="173"/>
      <c r="R136" s="174"/>
      <c r="S136" s="174"/>
      <c r="T136" s="90"/>
      <c r="U136" s="176"/>
      <c r="V136" s="176"/>
      <c r="W136" s="176"/>
      <c r="X136" s="176"/>
      <c r="Y136" s="176"/>
      <c r="Z136" s="177"/>
      <c r="AA136" s="176"/>
      <c r="AB136" s="176"/>
      <c r="AC136" s="176"/>
      <c r="AD136" s="178"/>
      <c r="AF136" s="179"/>
      <c r="AG136" s="179"/>
      <c r="AI136" s="180"/>
      <c r="AJ136" s="180"/>
      <c r="AK136" s="180"/>
      <c r="AL136" s="180"/>
      <c r="AM136" s="181"/>
      <c r="AN136" s="180"/>
      <c r="AO136" s="180"/>
      <c r="AP136" s="180"/>
    </row>
    <row r="137">
      <c r="D137" s="172"/>
      <c r="E137" s="172"/>
      <c r="G137" s="173"/>
      <c r="H137" s="173"/>
      <c r="I137" s="173"/>
      <c r="M137" s="173"/>
      <c r="R137" s="174"/>
      <c r="S137" s="174"/>
      <c r="T137" s="90"/>
      <c r="U137" s="176"/>
      <c r="V137" s="176"/>
      <c r="W137" s="176"/>
      <c r="X137" s="176"/>
      <c r="Y137" s="176"/>
      <c r="Z137" s="177"/>
      <c r="AA137" s="176"/>
      <c r="AB137" s="176"/>
      <c r="AC137" s="176"/>
      <c r="AD137" s="178"/>
      <c r="AF137" s="179"/>
      <c r="AG137" s="179"/>
      <c r="AI137" s="180"/>
      <c r="AJ137" s="180"/>
      <c r="AK137" s="180"/>
      <c r="AL137" s="180"/>
      <c r="AM137" s="181"/>
      <c r="AN137" s="180"/>
      <c r="AO137" s="180"/>
      <c r="AP137" s="180"/>
    </row>
    <row r="138">
      <c r="D138" s="172"/>
      <c r="E138" s="172"/>
      <c r="G138" s="173"/>
      <c r="H138" s="173"/>
      <c r="I138" s="173"/>
      <c r="M138" s="173"/>
      <c r="R138" s="174"/>
      <c r="S138" s="174"/>
      <c r="T138" s="90"/>
      <c r="U138" s="176"/>
      <c r="V138" s="176"/>
      <c r="W138" s="176"/>
      <c r="X138" s="176"/>
      <c r="Y138" s="176"/>
      <c r="Z138" s="177"/>
      <c r="AA138" s="176"/>
      <c r="AB138" s="176"/>
      <c r="AC138" s="176"/>
      <c r="AD138" s="178"/>
      <c r="AF138" s="179"/>
      <c r="AG138" s="179"/>
      <c r="AI138" s="180"/>
      <c r="AJ138" s="180"/>
      <c r="AK138" s="180"/>
      <c r="AL138" s="180"/>
      <c r="AM138" s="181"/>
      <c r="AN138" s="180"/>
      <c r="AO138" s="180"/>
      <c r="AP138" s="180"/>
    </row>
    <row r="139">
      <c r="D139" s="172"/>
      <c r="E139" s="172"/>
      <c r="G139" s="173"/>
      <c r="H139" s="173"/>
      <c r="I139" s="173"/>
      <c r="M139" s="173"/>
      <c r="R139" s="174"/>
      <c r="S139" s="174"/>
      <c r="T139" s="90"/>
      <c r="U139" s="176"/>
      <c r="V139" s="176"/>
      <c r="W139" s="176"/>
      <c r="X139" s="176"/>
      <c r="Y139" s="176"/>
      <c r="Z139" s="177"/>
      <c r="AA139" s="176"/>
      <c r="AB139" s="176"/>
      <c r="AC139" s="176"/>
      <c r="AD139" s="178"/>
      <c r="AF139" s="179"/>
      <c r="AG139" s="179"/>
      <c r="AI139" s="180"/>
      <c r="AJ139" s="180"/>
      <c r="AK139" s="180"/>
      <c r="AL139" s="180"/>
      <c r="AM139" s="181"/>
      <c r="AN139" s="180"/>
      <c r="AO139" s="180"/>
      <c r="AP139" s="180"/>
    </row>
    <row r="140">
      <c r="D140" s="172"/>
      <c r="E140" s="172"/>
      <c r="G140" s="173"/>
      <c r="H140" s="173"/>
      <c r="I140" s="173"/>
      <c r="M140" s="173"/>
      <c r="R140" s="174"/>
      <c r="S140" s="174"/>
      <c r="T140" s="90"/>
      <c r="U140" s="176"/>
      <c r="V140" s="176"/>
      <c r="W140" s="176"/>
      <c r="X140" s="176"/>
      <c r="Y140" s="176"/>
      <c r="Z140" s="177"/>
      <c r="AA140" s="176"/>
      <c r="AB140" s="176"/>
      <c r="AC140" s="176"/>
      <c r="AD140" s="178"/>
      <c r="AF140" s="179"/>
      <c r="AG140" s="179"/>
      <c r="AI140" s="180"/>
      <c r="AJ140" s="180"/>
      <c r="AK140" s="180"/>
      <c r="AL140" s="180"/>
      <c r="AM140" s="181"/>
      <c r="AN140" s="180"/>
      <c r="AO140" s="180"/>
      <c r="AP140" s="180"/>
    </row>
    <row r="141">
      <c r="D141" s="172"/>
      <c r="E141" s="172"/>
      <c r="G141" s="173"/>
      <c r="H141" s="173"/>
      <c r="I141" s="173"/>
      <c r="M141" s="173"/>
      <c r="R141" s="174"/>
      <c r="S141" s="174"/>
      <c r="T141" s="90"/>
      <c r="U141" s="176"/>
      <c r="V141" s="176"/>
      <c r="W141" s="176"/>
      <c r="X141" s="176"/>
      <c r="Y141" s="176"/>
      <c r="Z141" s="177"/>
      <c r="AA141" s="176"/>
      <c r="AB141" s="176"/>
      <c r="AC141" s="176"/>
      <c r="AD141" s="178"/>
      <c r="AF141" s="179"/>
      <c r="AG141" s="179"/>
      <c r="AI141" s="180"/>
      <c r="AJ141" s="180"/>
      <c r="AK141" s="180"/>
      <c r="AL141" s="180"/>
      <c r="AM141" s="181"/>
      <c r="AN141" s="180"/>
      <c r="AO141" s="180"/>
      <c r="AP141" s="180"/>
    </row>
    <row r="142">
      <c r="D142" s="172"/>
      <c r="E142" s="172"/>
      <c r="G142" s="173"/>
      <c r="H142" s="173"/>
      <c r="I142" s="173"/>
      <c r="M142" s="173"/>
      <c r="R142" s="174"/>
      <c r="S142" s="174"/>
      <c r="T142" s="90"/>
      <c r="U142" s="176"/>
      <c r="V142" s="176"/>
      <c r="W142" s="176"/>
      <c r="X142" s="176"/>
      <c r="Y142" s="176"/>
      <c r="Z142" s="177"/>
      <c r="AA142" s="176"/>
      <c r="AB142" s="176"/>
      <c r="AC142" s="176"/>
      <c r="AD142" s="178"/>
      <c r="AF142" s="179"/>
      <c r="AG142" s="179"/>
      <c r="AI142" s="180"/>
      <c r="AJ142" s="180"/>
      <c r="AK142" s="180"/>
      <c r="AL142" s="180"/>
      <c r="AM142" s="181"/>
      <c r="AN142" s="180"/>
      <c r="AO142" s="180"/>
      <c r="AP142" s="180"/>
    </row>
    <row r="143">
      <c r="D143" s="172"/>
      <c r="E143" s="172"/>
      <c r="G143" s="173"/>
      <c r="H143" s="173"/>
      <c r="I143" s="173"/>
      <c r="M143" s="173"/>
      <c r="R143" s="174"/>
      <c r="S143" s="174"/>
      <c r="T143" s="90"/>
      <c r="U143" s="176"/>
      <c r="V143" s="176"/>
      <c r="W143" s="176"/>
      <c r="X143" s="176"/>
      <c r="Y143" s="176"/>
      <c r="Z143" s="177"/>
      <c r="AA143" s="176"/>
      <c r="AB143" s="176"/>
      <c r="AC143" s="176"/>
      <c r="AD143" s="178"/>
      <c r="AF143" s="179"/>
      <c r="AG143" s="179"/>
      <c r="AI143" s="180"/>
      <c r="AJ143" s="180"/>
      <c r="AK143" s="180"/>
      <c r="AL143" s="180"/>
      <c r="AM143" s="181"/>
      <c r="AN143" s="180"/>
      <c r="AO143" s="180"/>
      <c r="AP143" s="180"/>
    </row>
    <row r="144">
      <c r="D144" s="172"/>
      <c r="E144" s="172"/>
      <c r="G144" s="173"/>
      <c r="H144" s="173"/>
      <c r="I144" s="173"/>
      <c r="M144" s="173"/>
      <c r="R144" s="174"/>
      <c r="S144" s="174"/>
      <c r="T144" s="90"/>
      <c r="U144" s="176"/>
      <c r="V144" s="176"/>
      <c r="W144" s="176"/>
      <c r="X144" s="176"/>
      <c r="Y144" s="176"/>
      <c r="Z144" s="177"/>
      <c r="AA144" s="176"/>
      <c r="AB144" s="176"/>
      <c r="AC144" s="176"/>
      <c r="AD144" s="178"/>
      <c r="AF144" s="179"/>
      <c r="AG144" s="179"/>
      <c r="AI144" s="180"/>
      <c r="AJ144" s="180"/>
      <c r="AK144" s="180"/>
      <c r="AL144" s="180"/>
      <c r="AM144" s="181"/>
      <c r="AN144" s="180"/>
      <c r="AO144" s="180"/>
      <c r="AP144" s="180"/>
    </row>
    <row r="145">
      <c r="D145" s="172"/>
      <c r="E145" s="172"/>
      <c r="G145" s="173"/>
      <c r="H145" s="173"/>
      <c r="I145" s="173"/>
      <c r="M145" s="173"/>
      <c r="R145" s="174"/>
      <c r="S145" s="174"/>
      <c r="T145" s="90"/>
      <c r="U145" s="176"/>
      <c r="V145" s="176"/>
      <c r="W145" s="176"/>
      <c r="X145" s="176"/>
      <c r="Y145" s="176"/>
      <c r="Z145" s="177"/>
      <c r="AA145" s="176"/>
      <c r="AB145" s="176"/>
      <c r="AC145" s="176"/>
      <c r="AD145" s="178"/>
      <c r="AF145" s="179"/>
      <c r="AG145" s="179"/>
      <c r="AI145" s="180"/>
      <c r="AJ145" s="180"/>
      <c r="AK145" s="180"/>
      <c r="AL145" s="180"/>
      <c r="AM145" s="181"/>
      <c r="AN145" s="180"/>
      <c r="AO145" s="180"/>
      <c r="AP145" s="180"/>
    </row>
    <row r="146">
      <c r="D146" s="172"/>
      <c r="E146" s="172"/>
      <c r="G146" s="173"/>
      <c r="H146" s="173"/>
      <c r="I146" s="173"/>
      <c r="M146" s="173"/>
      <c r="R146" s="174"/>
      <c r="S146" s="174"/>
      <c r="T146" s="90"/>
      <c r="U146" s="176"/>
      <c r="V146" s="176"/>
      <c r="W146" s="176"/>
      <c r="X146" s="176"/>
      <c r="Y146" s="176"/>
      <c r="Z146" s="177"/>
      <c r="AA146" s="176"/>
      <c r="AB146" s="176"/>
      <c r="AC146" s="176"/>
      <c r="AD146" s="178"/>
      <c r="AF146" s="179"/>
      <c r="AG146" s="179"/>
      <c r="AI146" s="180"/>
      <c r="AJ146" s="180"/>
      <c r="AK146" s="180"/>
      <c r="AL146" s="180"/>
      <c r="AM146" s="181"/>
      <c r="AN146" s="180"/>
      <c r="AO146" s="180"/>
      <c r="AP146" s="180"/>
    </row>
    <row r="147">
      <c r="D147" s="172"/>
      <c r="E147" s="172"/>
      <c r="G147" s="173"/>
      <c r="H147" s="173"/>
      <c r="I147" s="173"/>
      <c r="M147" s="173"/>
      <c r="R147" s="174"/>
      <c r="S147" s="174"/>
      <c r="T147" s="90"/>
      <c r="U147" s="176"/>
      <c r="V147" s="176"/>
      <c r="W147" s="176"/>
      <c r="X147" s="176"/>
      <c r="Y147" s="176"/>
      <c r="Z147" s="177"/>
      <c r="AA147" s="176"/>
      <c r="AB147" s="176"/>
      <c r="AC147" s="176"/>
      <c r="AD147" s="178"/>
      <c r="AF147" s="179"/>
      <c r="AG147" s="179"/>
      <c r="AI147" s="180"/>
      <c r="AJ147" s="180"/>
      <c r="AK147" s="180"/>
      <c r="AL147" s="180"/>
      <c r="AM147" s="181"/>
      <c r="AN147" s="180"/>
      <c r="AO147" s="180"/>
      <c r="AP147" s="180"/>
    </row>
    <row r="148">
      <c r="D148" s="172"/>
      <c r="E148" s="172"/>
      <c r="G148" s="173"/>
      <c r="H148" s="173"/>
      <c r="I148" s="173"/>
      <c r="M148" s="173"/>
      <c r="R148" s="174"/>
      <c r="S148" s="174"/>
      <c r="T148" s="90"/>
      <c r="U148" s="176"/>
      <c r="V148" s="176"/>
      <c r="W148" s="176"/>
      <c r="X148" s="176"/>
      <c r="Y148" s="176"/>
      <c r="Z148" s="177"/>
      <c r="AA148" s="176"/>
      <c r="AB148" s="176"/>
      <c r="AC148" s="176"/>
      <c r="AD148" s="178"/>
      <c r="AF148" s="179"/>
      <c r="AG148" s="179"/>
      <c r="AI148" s="180"/>
      <c r="AJ148" s="180"/>
      <c r="AK148" s="180"/>
      <c r="AL148" s="180"/>
      <c r="AM148" s="181"/>
      <c r="AN148" s="180"/>
      <c r="AO148" s="180"/>
      <c r="AP148" s="180"/>
    </row>
    <row r="149">
      <c r="D149" s="172"/>
      <c r="E149" s="172"/>
      <c r="G149" s="173"/>
      <c r="H149" s="173"/>
      <c r="I149" s="173"/>
      <c r="M149" s="173"/>
      <c r="R149" s="174"/>
      <c r="S149" s="174"/>
      <c r="T149" s="90"/>
      <c r="U149" s="176"/>
      <c r="V149" s="176"/>
      <c r="W149" s="176"/>
      <c r="X149" s="176"/>
      <c r="Y149" s="176"/>
      <c r="Z149" s="177"/>
      <c r="AA149" s="176"/>
      <c r="AB149" s="176"/>
      <c r="AC149" s="176"/>
      <c r="AD149" s="178"/>
      <c r="AF149" s="179"/>
      <c r="AG149" s="179"/>
      <c r="AI149" s="180"/>
      <c r="AJ149" s="180"/>
      <c r="AK149" s="180"/>
      <c r="AL149" s="180"/>
      <c r="AM149" s="181"/>
      <c r="AN149" s="180"/>
      <c r="AO149" s="180"/>
      <c r="AP149" s="180"/>
    </row>
    <row r="150">
      <c r="D150" s="172"/>
      <c r="E150" s="172"/>
      <c r="G150" s="173"/>
      <c r="H150" s="173"/>
      <c r="I150" s="173"/>
      <c r="M150" s="173"/>
      <c r="R150" s="174"/>
      <c r="S150" s="174"/>
      <c r="T150" s="90"/>
      <c r="U150" s="176"/>
      <c r="V150" s="176"/>
      <c r="W150" s="176"/>
      <c r="X150" s="176"/>
      <c r="Y150" s="176"/>
      <c r="Z150" s="177"/>
      <c r="AA150" s="176"/>
      <c r="AB150" s="176"/>
      <c r="AC150" s="176"/>
      <c r="AD150" s="178"/>
      <c r="AF150" s="179"/>
      <c r="AG150" s="179"/>
      <c r="AI150" s="180"/>
      <c r="AJ150" s="180"/>
      <c r="AK150" s="180"/>
      <c r="AL150" s="180"/>
      <c r="AM150" s="181"/>
      <c r="AN150" s="180"/>
      <c r="AO150" s="180"/>
      <c r="AP150" s="180"/>
    </row>
    <row r="151">
      <c r="D151" s="172"/>
      <c r="E151" s="172"/>
      <c r="G151" s="173"/>
      <c r="H151" s="173"/>
      <c r="I151" s="173"/>
      <c r="M151" s="173"/>
      <c r="R151" s="174"/>
      <c r="S151" s="174"/>
      <c r="T151" s="90"/>
      <c r="U151" s="176"/>
      <c r="V151" s="176"/>
      <c r="W151" s="176"/>
      <c r="X151" s="176"/>
      <c r="Y151" s="176"/>
      <c r="Z151" s="177"/>
      <c r="AA151" s="176"/>
      <c r="AB151" s="176"/>
      <c r="AC151" s="176"/>
      <c r="AD151" s="178"/>
      <c r="AF151" s="179"/>
      <c r="AG151" s="179"/>
      <c r="AI151" s="180"/>
      <c r="AJ151" s="180"/>
      <c r="AK151" s="180"/>
      <c r="AL151" s="180"/>
      <c r="AM151" s="181"/>
      <c r="AN151" s="180"/>
      <c r="AO151" s="180"/>
      <c r="AP151" s="180"/>
    </row>
    <row r="152">
      <c r="D152" s="172"/>
      <c r="E152" s="172"/>
      <c r="G152" s="173"/>
      <c r="H152" s="173"/>
      <c r="I152" s="173"/>
      <c r="M152" s="173"/>
      <c r="R152" s="174"/>
      <c r="S152" s="174"/>
      <c r="T152" s="90"/>
      <c r="U152" s="176"/>
      <c r="V152" s="176"/>
      <c r="W152" s="176"/>
      <c r="X152" s="176"/>
      <c r="Y152" s="176"/>
      <c r="Z152" s="177"/>
      <c r="AA152" s="176"/>
      <c r="AB152" s="176"/>
      <c r="AC152" s="176"/>
      <c r="AD152" s="178"/>
      <c r="AF152" s="179"/>
      <c r="AG152" s="179"/>
      <c r="AI152" s="180"/>
      <c r="AJ152" s="180"/>
      <c r="AK152" s="180"/>
      <c r="AL152" s="180"/>
      <c r="AM152" s="181"/>
      <c r="AN152" s="180"/>
      <c r="AO152" s="180"/>
      <c r="AP152" s="180"/>
    </row>
    <row r="153">
      <c r="D153" s="172"/>
      <c r="E153" s="172"/>
      <c r="G153" s="173"/>
      <c r="H153" s="173"/>
      <c r="I153" s="173"/>
      <c r="M153" s="173"/>
      <c r="R153" s="174"/>
      <c r="S153" s="174"/>
      <c r="T153" s="90"/>
      <c r="U153" s="176"/>
      <c r="V153" s="176"/>
      <c r="W153" s="176"/>
      <c r="X153" s="176"/>
      <c r="Y153" s="176"/>
      <c r="Z153" s="177"/>
      <c r="AA153" s="176"/>
      <c r="AB153" s="176"/>
      <c r="AC153" s="176"/>
      <c r="AD153" s="178"/>
      <c r="AF153" s="179"/>
      <c r="AG153" s="179"/>
      <c r="AI153" s="180"/>
      <c r="AJ153" s="180"/>
      <c r="AK153" s="180"/>
      <c r="AL153" s="180"/>
      <c r="AM153" s="181"/>
      <c r="AN153" s="180"/>
      <c r="AO153" s="180"/>
      <c r="AP153" s="180"/>
    </row>
    <row r="154">
      <c r="D154" s="172"/>
      <c r="E154" s="172"/>
      <c r="G154" s="173"/>
      <c r="H154" s="173"/>
      <c r="I154" s="173"/>
      <c r="M154" s="173"/>
      <c r="R154" s="174"/>
      <c r="S154" s="174"/>
      <c r="T154" s="90"/>
      <c r="U154" s="176"/>
      <c r="V154" s="176"/>
      <c r="W154" s="176"/>
      <c r="X154" s="176"/>
      <c r="Y154" s="176"/>
      <c r="Z154" s="177"/>
      <c r="AA154" s="176"/>
      <c r="AB154" s="176"/>
      <c r="AC154" s="176"/>
      <c r="AD154" s="178"/>
      <c r="AF154" s="179"/>
      <c r="AG154" s="179"/>
      <c r="AI154" s="180"/>
      <c r="AJ154" s="180"/>
      <c r="AK154" s="180"/>
      <c r="AL154" s="180"/>
      <c r="AM154" s="181"/>
      <c r="AN154" s="180"/>
      <c r="AO154" s="180"/>
      <c r="AP154" s="180"/>
    </row>
    <row r="155">
      <c r="D155" s="172"/>
      <c r="E155" s="172"/>
      <c r="G155" s="173"/>
      <c r="H155" s="173"/>
      <c r="I155" s="173"/>
      <c r="M155" s="173"/>
      <c r="R155" s="174"/>
      <c r="S155" s="174"/>
      <c r="T155" s="90"/>
      <c r="U155" s="176"/>
      <c r="V155" s="176"/>
      <c r="W155" s="176"/>
      <c r="X155" s="176"/>
      <c r="Y155" s="176"/>
      <c r="Z155" s="177"/>
      <c r="AA155" s="176"/>
      <c r="AB155" s="176"/>
      <c r="AC155" s="176"/>
      <c r="AD155" s="178"/>
      <c r="AF155" s="179"/>
      <c r="AG155" s="179"/>
      <c r="AI155" s="180"/>
      <c r="AJ155" s="180"/>
      <c r="AK155" s="180"/>
      <c r="AL155" s="180"/>
      <c r="AM155" s="181"/>
      <c r="AN155" s="180"/>
      <c r="AO155" s="180"/>
      <c r="AP155" s="180"/>
    </row>
    <row r="156">
      <c r="D156" s="172"/>
      <c r="E156" s="172"/>
      <c r="G156" s="173"/>
      <c r="H156" s="173"/>
      <c r="I156" s="173"/>
      <c r="M156" s="173"/>
      <c r="R156" s="174"/>
      <c r="S156" s="174"/>
      <c r="T156" s="90"/>
      <c r="U156" s="176"/>
      <c r="V156" s="176"/>
      <c r="W156" s="176"/>
      <c r="X156" s="176"/>
      <c r="Y156" s="176"/>
      <c r="Z156" s="177"/>
      <c r="AA156" s="176"/>
      <c r="AB156" s="176"/>
      <c r="AC156" s="176"/>
      <c r="AD156" s="178"/>
      <c r="AF156" s="179"/>
      <c r="AG156" s="179"/>
      <c r="AI156" s="180"/>
      <c r="AJ156" s="180"/>
      <c r="AK156" s="180"/>
      <c r="AL156" s="180"/>
      <c r="AM156" s="181"/>
      <c r="AN156" s="180"/>
      <c r="AO156" s="180"/>
      <c r="AP156" s="180"/>
    </row>
    <row r="157">
      <c r="D157" s="172"/>
      <c r="E157" s="172"/>
      <c r="G157" s="173"/>
      <c r="H157" s="173"/>
      <c r="I157" s="173"/>
      <c r="M157" s="173"/>
      <c r="R157" s="174"/>
      <c r="S157" s="174"/>
      <c r="T157" s="90"/>
      <c r="U157" s="176"/>
      <c r="V157" s="176"/>
      <c r="W157" s="176"/>
      <c r="X157" s="176"/>
      <c r="Y157" s="176"/>
      <c r="Z157" s="177"/>
      <c r="AA157" s="176"/>
      <c r="AB157" s="176"/>
      <c r="AC157" s="176"/>
      <c r="AD157" s="178"/>
      <c r="AF157" s="179"/>
      <c r="AG157" s="179"/>
      <c r="AI157" s="180"/>
      <c r="AJ157" s="180"/>
      <c r="AK157" s="180"/>
      <c r="AL157" s="180"/>
      <c r="AM157" s="181"/>
      <c r="AN157" s="180"/>
      <c r="AO157" s="180"/>
      <c r="AP157" s="180"/>
    </row>
    <row r="158">
      <c r="D158" s="172"/>
      <c r="E158" s="172"/>
      <c r="G158" s="173"/>
      <c r="H158" s="173"/>
      <c r="I158" s="173"/>
      <c r="M158" s="173"/>
      <c r="R158" s="174"/>
      <c r="S158" s="174"/>
      <c r="T158" s="90"/>
      <c r="U158" s="176"/>
      <c r="V158" s="176"/>
      <c r="W158" s="176"/>
      <c r="X158" s="176"/>
      <c r="Y158" s="176"/>
      <c r="Z158" s="177"/>
      <c r="AA158" s="176"/>
      <c r="AB158" s="176"/>
      <c r="AC158" s="176"/>
      <c r="AD158" s="178"/>
      <c r="AF158" s="179"/>
      <c r="AG158" s="179"/>
      <c r="AI158" s="180"/>
      <c r="AJ158" s="180"/>
      <c r="AK158" s="180"/>
      <c r="AL158" s="180"/>
      <c r="AM158" s="181"/>
      <c r="AN158" s="180"/>
      <c r="AO158" s="180"/>
      <c r="AP158" s="180"/>
    </row>
    <row r="159">
      <c r="D159" s="172"/>
      <c r="E159" s="172"/>
      <c r="G159" s="173"/>
      <c r="H159" s="173"/>
      <c r="I159" s="173"/>
      <c r="M159" s="173"/>
      <c r="R159" s="174"/>
      <c r="S159" s="174"/>
      <c r="T159" s="90"/>
      <c r="U159" s="176"/>
      <c r="V159" s="176"/>
      <c r="W159" s="176"/>
      <c r="X159" s="176"/>
      <c r="Y159" s="176"/>
      <c r="Z159" s="177"/>
      <c r="AA159" s="176"/>
      <c r="AB159" s="176"/>
      <c r="AC159" s="176"/>
      <c r="AD159" s="178"/>
      <c r="AF159" s="179"/>
      <c r="AG159" s="179"/>
      <c r="AI159" s="180"/>
      <c r="AJ159" s="180"/>
      <c r="AK159" s="180"/>
      <c r="AL159" s="180"/>
      <c r="AM159" s="181"/>
      <c r="AN159" s="180"/>
      <c r="AO159" s="180"/>
      <c r="AP159" s="180"/>
    </row>
    <row r="160">
      <c r="D160" s="172"/>
      <c r="E160" s="172"/>
      <c r="G160" s="173"/>
      <c r="H160" s="173"/>
      <c r="I160" s="173"/>
      <c r="M160" s="173"/>
      <c r="R160" s="174"/>
      <c r="S160" s="174"/>
      <c r="T160" s="90"/>
      <c r="U160" s="176"/>
      <c r="V160" s="176"/>
      <c r="W160" s="176"/>
      <c r="X160" s="176"/>
      <c r="Y160" s="176"/>
      <c r="Z160" s="177"/>
      <c r="AA160" s="176"/>
      <c r="AB160" s="176"/>
      <c r="AC160" s="176"/>
      <c r="AD160" s="178"/>
      <c r="AF160" s="179"/>
      <c r="AG160" s="179"/>
      <c r="AI160" s="180"/>
      <c r="AJ160" s="180"/>
      <c r="AK160" s="180"/>
      <c r="AL160" s="180"/>
      <c r="AM160" s="181"/>
      <c r="AN160" s="180"/>
      <c r="AO160" s="180"/>
      <c r="AP160" s="180"/>
    </row>
    <row r="161">
      <c r="D161" s="172"/>
      <c r="E161" s="172"/>
      <c r="G161" s="173"/>
      <c r="H161" s="173"/>
      <c r="I161" s="173"/>
      <c r="M161" s="173"/>
      <c r="R161" s="174"/>
      <c r="S161" s="174"/>
      <c r="T161" s="90"/>
      <c r="U161" s="176"/>
      <c r="V161" s="176"/>
      <c r="W161" s="176"/>
      <c r="X161" s="176"/>
      <c r="Y161" s="176"/>
      <c r="Z161" s="177"/>
      <c r="AA161" s="176"/>
      <c r="AB161" s="176"/>
      <c r="AC161" s="176"/>
      <c r="AD161" s="178"/>
      <c r="AF161" s="179"/>
      <c r="AG161" s="179"/>
      <c r="AI161" s="180"/>
      <c r="AJ161" s="180"/>
      <c r="AK161" s="180"/>
      <c r="AL161" s="180"/>
      <c r="AM161" s="181"/>
      <c r="AN161" s="180"/>
      <c r="AO161" s="180"/>
      <c r="AP161" s="180"/>
    </row>
    <row r="162">
      <c r="D162" s="172"/>
      <c r="E162" s="172"/>
      <c r="G162" s="173"/>
      <c r="H162" s="173"/>
      <c r="I162" s="173"/>
      <c r="M162" s="173"/>
      <c r="R162" s="174"/>
      <c r="S162" s="174"/>
      <c r="T162" s="90"/>
      <c r="U162" s="176"/>
      <c r="V162" s="176"/>
      <c r="W162" s="176"/>
      <c r="X162" s="176"/>
      <c r="Y162" s="176"/>
      <c r="Z162" s="177"/>
      <c r="AA162" s="176"/>
      <c r="AB162" s="176"/>
      <c r="AC162" s="176"/>
      <c r="AD162" s="178"/>
      <c r="AF162" s="179"/>
      <c r="AG162" s="179"/>
      <c r="AI162" s="180"/>
      <c r="AJ162" s="180"/>
      <c r="AK162" s="180"/>
      <c r="AL162" s="180"/>
      <c r="AM162" s="181"/>
      <c r="AN162" s="180"/>
      <c r="AO162" s="180"/>
      <c r="AP162" s="180"/>
    </row>
    <row r="163">
      <c r="D163" s="172"/>
      <c r="E163" s="172"/>
      <c r="G163" s="173"/>
      <c r="H163" s="173"/>
      <c r="I163" s="173"/>
      <c r="M163" s="173"/>
      <c r="R163" s="174"/>
      <c r="S163" s="174"/>
      <c r="T163" s="90"/>
      <c r="U163" s="176"/>
      <c r="V163" s="176"/>
      <c r="W163" s="176"/>
      <c r="X163" s="176"/>
      <c r="Y163" s="176"/>
      <c r="Z163" s="177"/>
      <c r="AA163" s="176"/>
      <c r="AB163" s="176"/>
      <c r="AC163" s="176"/>
      <c r="AD163" s="178"/>
      <c r="AF163" s="179"/>
      <c r="AG163" s="179"/>
      <c r="AI163" s="180"/>
      <c r="AJ163" s="180"/>
      <c r="AK163" s="180"/>
      <c r="AL163" s="180"/>
      <c r="AM163" s="181"/>
      <c r="AN163" s="180"/>
      <c r="AO163" s="180"/>
      <c r="AP163" s="180"/>
    </row>
    <row r="164">
      <c r="D164" s="172"/>
      <c r="E164" s="172"/>
      <c r="G164" s="173"/>
      <c r="H164" s="173"/>
      <c r="I164" s="173"/>
      <c r="M164" s="173"/>
      <c r="R164" s="174"/>
      <c r="S164" s="174"/>
      <c r="T164" s="90"/>
      <c r="U164" s="176"/>
      <c r="V164" s="176"/>
      <c r="W164" s="176"/>
      <c r="X164" s="176"/>
      <c r="Y164" s="176"/>
      <c r="Z164" s="177"/>
      <c r="AA164" s="176"/>
      <c r="AB164" s="176"/>
      <c r="AC164" s="176"/>
      <c r="AD164" s="178"/>
      <c r="AF164" s="179"/>
      <c r="AG164" s="179"/>
      <c r="AI164" s="180"/>
      <c r="AJ164" s="180"/>
      <c r="AK164" s="180"/>
      <c r="AL164" s="180"/>
      <c r="AM164" s="181"/>
      <c r="AN164" s="180"/>
      <c r="AO164" s="180"/>
      <c r="AP164" s="180"/>
    </row>
    <row r="165">
      <c r="D165" s="172"/>
      <c r="E165" s="172"/>
      <c r="G165" s="173"/>
      <c r="H165" s="173"/>
      <c r="I165" s="173"/>
      <c r="M165" s="173"/>
      <c r="R165" s="174"/>
      <c r="S165" s="174"/>
      <c r="T165" s="90"/>
      <c r="U165" s="176"/>
      <c r="V165" s="176"/>
      <c r="W165" s="176"/>
      <c r="X165" s="176"/>
      <c r="Y165" s="176"/>
      <c r="Z165" s="177"/>
      <c r="AA165" s="176"/>
      <c r="AB165" s="176"/>
      <c r="AC165" s="176"/>
      <c r="AD165" s="178"/>
      <c r="AF165" s="179"/>
      <c r="AG165" s="179"/>
      <c r="AI165" s="180"/>
      <c r="AJ165" s="180"/>
      <c r="AK165" s="180"/>
      <c r="AL165" s="180"/>
      <c r="AM165" s="181"/>
      <c r="AN165" s="180"/>
      <c r="AO165" s="180"/>
      <c r="AP165" s="180"/>
    </row>
    <row r="166">
      <c r="D166" s="172"/>
      <c r="E166" s="172"/>
      <c r="G166" s="173"/>
      <c r="H166" s="173"/>
      <c r="I166" s="173"/>
      <c r="M166" s="173"/>
      <c r="R166" s="174"/>
      <c r="S166" s="174"/>
      <c r="T166" s="90"/>
      <c r="U166" s="176"/>
      <c r="V166" s="176"/>
      <c r="W166" s="176"/>
      <c r="X166" s="176"/>
      <c r="Y166" s="176"/>
      <c r="Z166" s="177"/>
      <c r="AA166" s="176"/>
      <c r="AB166" s="176"/>
      <c r="AC166" s="176"/>
      <c r="AD166" s="178"/>
      <c r="AF166" s="179"/>
      <c r="AG166" s="179"/>
      <c r="AI166" s="180"/>
      <c r="AJ166" s="180"/>
      <c r="AK166" s="180"/>
      <c r="AL166" s="180"/>
      <c r="AM166" s="181"/>
      <c r="AN166" s="180"/>
      <c r="AO166" s="180"/>
      <c r="AP166" s="180"/>
    </row>
    <row r="167">
      <c r="D167" s="172"/>
      <c r="E167" s="172"/>
      <c r="G167" s="173"/>
      <c r="H167" s="173"/>
      <c r="I167" s="173"/>
      <c r="M167" s="173"/>
      <c r="R167" s="174"/>
      <c r="S167" s="174"/>
      <c r="T167" s="90"/>
      <c r="U167" s="176"/>
      <c r="V167" s="176"/>
      <c r="W167" s="176"/>
      <c r="X167" s="176"/>
      <c r="Y167" s="176"/>
      <c r="Z167" s="177"/>
      <c r="AA167" s="176"/>
      <c r="AB167" s="176"/>
      <c r="AC167" s="176"/>
      <c r="AD167" s="178"/>
      <c r="AF167" s="179"/>
      <c r="AG167" s="179"/>
      <c r="AI167" s="180"/>
      <c r="AJ167" s="180"/>
      <c r="AK167" s="180"/>
      <c r="AL167" s="180"/>
      <c r="AM167" s="181"/>
      <c r="AN167" s="180"/>
      <c r="AO167" s="180"/>
      <c r="AP167" s="180"/>
    </row>
    <row r="168">
      <c r="D168" s="172"/>
      <c r="E168" s="172"/>
      <c r="G168" s="173"/>
      <c r="H168" s="173"/>
      <c r="I168" s="173"/>
      <c r="M168" s="173"/>
      <c r="R168" s="174"/>
      <c r="S168" s="174"/>
      <c r="T168" s="90"/>
      <c r="U168" s="176"/>
      <c r="V168" s="176"/>
      <c r="W168" s="176"/>
      <c r="X168" s="176"/>
      <c r="Y168" s="176"/>
      <c r="Z168" s="177"/>
      <c r="AA168" s="176"/>
      <c r="AB168" s="176"/>
      <c r="AC168" s="176"/>
      <c r="AD168" s="178"/>
      <c r="AF168" s="179"/>
      <c r="AG168" s="179"/>
      <c r="AI168" s="180"/>
      <c r="AJ168" s="180"/>
      <c r="AK168" s="180"/>
      <c r="AL168" s="180"/>
      <c r="AM168" s="181"/>
      <c r="AN168" s="180"/>
      <c r="AO168" s="180"/>
      <c r="AP168" s="180"/>
    </row>
    <row r="169">
      <c r="D169" s="172"/>
      <c r="E169" s="172"/>
      <c r="G169" s="173"/>
      <c r="H169" s="173"/>
      <c r="I169" s="173"/>
      <c r="M169" s="173"/>
      <c r="R169" s="174"/>
      <c r="S169" s="174"/>
      <c r="T169" s="90"/>
      <c r="U169" s="176"/>
      <c r="V169" s="176"/>
      <c r="W169" s="176"/>
      <c r="X169" s="176"/>
      <c r="Y169" s="176"/>
      <c r="Z169" s="177"/>
      <c r="AA169" s="176"/>
      <c r="AB169" s="176"/>
      <c r="AC169" s="176"/>
      <c r="AD169" s="178"/>
      <c r="AF169" s="179"/>
      <c r="AG169" s="179"/>
      <c r="AI169" s="180"/>
      <c r="AJ169" s="180"/>
      <c r="AK169" s="180"/>
      <c r="AL169" s="180"/>
      <c r="AM169" s="181"/>
      <c r="AN169" s="180"/>
      <c r="AO169" s="180"/>
      <c r="AP169" s="180"/>
    </row>
    <row r="170">
      <c r="D170" s="172"/>
      <c r="E170" s="172"/>
      <c r="G170" s="173"/>
      <c r="H170" s="173"/>
      <c r="I170" s="173"/>
      <c r="M170" s="173"/>
      <c r="R170" s="174"/>
      <c r="S170" s="174"/>
      <c r="T170" s="90"/>
      <c r="U170" s="176"/>
      <c r="V170" s="176"/>
      <c r="W170" s="176"/>
      <c r="X170" s="176"/>
      <c r="Y170" s="176"/>
      <c r="Z170" s="177"/>
      <c r="AA170" s="176"/>
      <c r="AB170" s="176"/>
      <c r="AC170" s="176"/>
      <c r="AD170" s="178"/>
      <c r="AF170" s="179"/>
      <c r="AG170" s="179"/>
      <c r="AI170" s="180"/>
      <c r="AJ170" s="180"/>
      <c r="AK170" s="180"/>
      <c r="AL170" s="180"/>
      <c r="AM170" s="181"/>
      <c r="AN170" s="180"/>
      <c r="AO170" s="180"/>
      <c r="AP170" s="180"/>
    </row>
    <row r="171">
      <c r="D171" s="172"/>
      <c r="E171" s="172"/>
      <c r="G171" s="173"/>
      <c r="H171" s="173"/>
      <c r="I171" s="173"/>
      <c r="M171" s="173"/>
      <c r="R171" s="174"/>
      <c r="S171" s="174"/>
      <c r="T171" s="90"/>
      <c r="U171" s="176"/>
      <c r="V171" s="176"/>
      <c r="W171" s="176"/>
      <c r="X171" s="176"/>
      <c r="Y171" s="176"/>
      <c r="Z171" s="177"/>
      <c r="AA171" s="176"/>
      <c r="AB171" s="176"/>
      <c r="AC171" s="176"/>
      <c r="AD171" s="178"/>
      <c r="AF171" s="179"/>
      <c r="AG171" s="179"/>
      <c r="AI171" s="180"/>
      <c r="AJ171" s="180"/>
      <c r="AK171" s="180"/>
      <c r="AL171" s="180"/>
      <c r="AM171" s="181"/>
      <c r="AN171" s="180"/>
      <c r="AO171" s="180"/>
      <c r="AP171" s="180"/>
    </row>
    <row r="172">
      <c r="D172" s="172"/>
      <c r="E172" s="172"/>
      <c r="G172" s="173"/>
      <c r="H172" s="173"/>
      <c r="I172" s="173"/>
      <c r="M172" s="173"/>
      <c r="R172" s="174"/>
      <c r="S172" s="174"/>
      <c r="T172" s="90"/>
      <c r="U172" s="176"/>
      <c r="V172" s="176"/>
      <c r="W172" s="176"/>
      <c r="X172" s="176"/>
      <c r="Y172" s="176"/>
      <c r="Z172" s="177"/>
      <c r="AA172" s="176"/>
      <c r="AB172" s="176"/>
      <c r="AC172" s="176"/>
      <c r="AD172" s="178"/>
      <c r="AF172" s="179"/>
      <c r="AG172" s="179"/>
      <c r="AI172" s="180"/>
      <c r="AJ172" s="180"/>
      <c r="AK172" s="180"/>
      <c r="AL172" s="180"/>
      <c r="AM172" s="181"/>
      <c r="AN172" s="180"/>
      <c r="AO172" s="180"/>
      <c r="AP172" s="180"/>
    </row>
    <row r="173">
      <c r="D173" s="172"/>
      <c r="E173" s="172"/>
      <c r="G173" s="173"/>
      <c r="H173" s="173"/>
      <c r="I173" s="173"/>
      <c r="M173" s="173"/>
      <c r="R173" s="174"/>
      <c r="S173" s="174"/>
      <c r="T173" s="90"/>
      <c r="U173" s="176"/>
      <c r="V173" s="176"/>
      <c r="W173" s="176"/>
      <c r="X173" s="176"/>
      <c r="Y173" s="176"/>
      <c r="Z173" s="177"/>
      <c r="AA173" s="176"/>
      <c r="AB173" s="176"/>
      <c r="AC173" s="176"/>
      <c r="AD173" s="178"/>
      <c r="AF173" s="179"/>
      <c r="AG173" s="179"/>
      <c r="AI173" s="180"/>
      <c r="AJ173" s="180"/>
      <c r="AK173" s="180"/>
      <c r="AL173" s="180"/>
      <c r="AM173" s="181"/>
      <c r="AN173" s="180"/>
      <c r="AO173" s="180"/>
      <c r="AP173" s="180"/>
    </row>
    <row r="174">
      <c r="D174" s="172"/>
      <c r="E174" s="172"/>
      <c r="G174" s="173"/>
      <c r="H174" s="173"/>
      <c r="I174" s="173"/>
      <c r="M174" s="173"/>
      <c r="R174" s="174"/>
      <c r="S174" s="174"/>
      <c r="T174" s="90"/>
      <c r="U174" s="176"/>
      <c r="V174" s="176"/>
      <c r="W174" s="176"/>
      <c r="X174" s="176"/>
      <c r="Y174" s="176"/>
      <c r="Z174" s="177"/>
      <c r="AA174" s="176"/>
      <c r="AB174" s="176"/>
      <c r="AC174" s="176"/>
      <c r="AD174" s="178"/>
      <c r="AF174" s="179"/>
      <c r="AG174" s="179"/>
      <c r="AI174" s="180"/>
      <c r="AJ174" s="180"/>
      <c r="AK174" s="180"/>
      <c r="AL174" s="180"/>
      <c r="AM174" s="181"/>
      <c r="AN174" s="180"/>
      <c r="AO174" s="180"/>
      <c r="AP174" s="180"/>
    </row>
    <row r="175">
      <c r="D175" s="172"/>
      <c r="E175" s="172"/>
      <c r="G175" s="173"/>
      <c r="H175" s="173"/>
      <c r="I175" s="173"/>
      <c r="M175" s="173"/>
      <c r="R175" s="174"/>
      <c r="S175" s="174"/>
      <c r="T175" s="90"/>
      <c r="U175" s="176"/>
      <c r="V175" s="176"/>
      <c r="W175" s="176"/>
      <c r="X175" s="176"/>
      <c r="Y175" s="176"/>
      <c r="Z175" s="177"/>
      <c r="AA175" s="176"/>
      <c r="AB175" s="176"/>
      <c r="AC175" s="176"/>
      <c r="AD175" s="178"/>
      <c r="AF175" s="179"/>
      <c r="AG175" s="179"/>
      <c r="AI175" s="180"/>
      <c r="AJ175" s="180"/>
      <c r="AK175" s="180"/>
      <c r="AL175" s="180"/>
      <c r="AM175" s="181"/>
      <c r="AN175" s="180"/>
      <c r="AO175" s="180"/>
      <c r="AP175" s="180"/>
    </row>
    <row r="176">
      <c r="D176" s="172"/>
      <c r="E176" s="172"/>
      <c r="G176" s="173"/>
      <c r="H176" s="173"/>
      <c r="I176" s="173"/>
      <c r="M176" s="173"/>
      <c r="R176" s="174"/>
      <c r="S176" s="174"/>
      <c r="T176" s="90"/>
      <c r="U176" s="176"/>
      <c r="V176" s="176"/>
      <c r="W176" s="176"/>
      <c r="X176" s="176"/>
      <c r="Y176" s="176"/>
      <c r="Z176" s="177"/>
      <c r="AA176" s="176"/>
      <c r="AB176" s="176"/>
      <c r="AC176" s="176"/>
      <c r="AD176" s="178"/>
      <c r="AF176" s="179"/>
      <c r="AG176" s="179"/>
      <c r="AI176" s="180"/>
      <c r="AJ176" s="180"/>
      <c r="AK176" s="180"/>
      <c r="AL176" s="180"/>
      <c r="AM176" s="181"/>
      <c r="AN176" s="180"/>
      <c r="AO176" s="180"/>
      <c r="AP176" s="180"/>
    </row>
    <row r="177">
      <c r="D177" s="172"/>
      <c r="E177" s="172"/>
      <c r="G177" s="173"/>
      <c r="H177" s="173"/>
      <c r="I177" s="173"/>
      <c r="M177" s="173"/>
      <c r="R177" s="174"/>
      <c r="S177" s="174"/>
      <c r="T177" s="90"/>
      <c r="U177" s="176"/>
      <c r="V177" s="176"/>
      <c r="W177" s="176"/>
      <c r="X177" s="176"/>
      <c r="Y177" s="176"/>
      <c r="Z177" s="177"/>
      <c r="AA177" s="176"/>
      <c r="AB177" s="176"/>
      <c r="AC177" s="176"/>
      <c r="AD177" s="178"/>
      <c r="AF177" s="179"/>
      <c r="AG177" s="179"/>
      <c r="AI177" s="180"/>
      <c r="AJ177" s="180"/>
      <c r="AK177" s="180"/>
      <c r="AL177" s="180"/>
      <c r="AM177" s="181"/>
      <c r="AN177" s="180"/>
      <c r="AO177" s="180"/>
      <c r="AP177" s="180"/>
    </row>
    <row r="178">
      <c r="D178" s="172"/>
      <c r="E178" s="172"/>
      <c r="G178" s="173"/>
      <c r="H178" s="173"/>
      <c r="I178" s="173"/>
      <c r="M178" s="173"/>
      <c r="R178" s="174"/>
      <c r="S178" s="174"/>
      <c r="T178" s="90"/>
      <c r="U178" s="176"/>
      <c r="V178" s="176"/>
      <c r="W178" s="176"/>
      <c r="X178" s="176"/>
      <c r="Y178" s="176"/>
      <c r="Z178" s="177"/>
      <c r="AA178" s="176"/>
      <c r="AB178" s="176"/>
      <c r="AC178" s="176"/>
      <c r="AD178" s="178"/>
      <c r="AF178" s="179"/>
      <c r="AG178" s="179"/>
      <c r="AI178" s="180"/>
      <c r="AJ178" s="180"/>
      <c r="AK178" s="180"/>
      <c r="AL178" s="180"/>
      <c r="AM178" s="181"/>
      <c r="AN178" s="180"/>
      <c r="AO178" s="180"/>
      <c r="AP178" s="180"/>
    </row>
    <row r="179">
      <c r="D179" s="172"/>
      <c r="E179" s="172"/>
      <c r="G179" s="173"/>
      <c r="H179" s="173"/>
      <c r="I179" s="173"/>
      <c r="M179" s="173"/>
      <c r="R179" s="174"/>
      <c r="S179" s="174"/>
      <c r="T179" s="90"/>
      <c r="U179" s="176"/>
      <c r="V179" s="176"/>
      <c r="W179" s="176"/>
      <c r="X179" s="176"/>
      <c r="Y179" s="176"/>
      <c r="Z179" s="177"/>
      <c r="AA179" s="176"/>
      <c r="AB179" s="176"/>
      <c r="AC179" s="176"/>
      <c r="AD179" s="178"/>
      <c r="AF179" s="179"/>
      <c r="AG179" s="179"/>
      <c r="AI179" s="180"/>
      <c r="AJ179" s="180"/>
      <c r="AK179" s="180"/>
      <c r="AL179" s="180"/>
      <c r="AM179" s="181"/>
      <c r="AN179" s="180"/>
      <c r="AO179" s="180"/>
      <c r="AP179" s="180"/>
    </row>
    <row r="180">
      <c r="D180" s="172"/>
      <c r="E180" s="172"/>
      <c r="G180" s="173"/>
      <c r="H180" s="173"/>
      <c r="I180" s="173"/>
      <c r="M180" s="173"/>
      <c r="R180" s="174"/>
      <c r="S180" s="174"/>
      <c r="T180" s="90"/>
      <c r="U180" s="176"/>
      <c r="V180" s="176"/>
      <c r="W180" s="176"/>
      <c r="X180" s="176"/>
      <c r="Y180" s="176"/>
      <c r="Z180" s="177"/>
      <c r="AA180" s="176"/>
      <c r="AB180" s="176"/>
      <c r="AC180" s="176"/>
      <c r="AD180" s="178"/>
      <c r="AF180" s="179"/>
      <c r="AG180" s="179"/>
      <c r="AI180" s="180"/>
      <c r="AJ180" s="180"/>
      <c r="AK180" s="180"/>
      <c r="AL180" s="180"/>
      <c r="AM180" s="181"/>
      <c r="AN180" s="180"/>
      <c r="AO180" s="180"/>
      <c r="AP180" s="180"/>
    </row>
    <row r="181">
      <c r="D181" s="172"/>
      <c r="E181" s="172"/>
      <c r="G181" s="173"/>
      <c r="H181" s="173"/>
      <c r="I181" s="173"/>
      <c r="M181" s="173"/>
      <c r="R181" s="174"/>
      <c r="S181" s="174"/>
      <c r="T181" s="90"/>
      <c r="U181" s="176"/>
      <c r="V181" s="176"/>
      <c r="W181" s="176"/>
      <c r="X181" s="176"/>
      <c r="Y181" s="176"/>
      <c r="Z181" s="177"/>
      <c r="AA181" s="176"/>
      <c r="AB181" s="176"/>
      <c r="AC181" s="176"/>
      <c r="AD181" s="178"/>
      <c r="AF181" s="179"/>
      <c r="AG181" s="179"/>
      <c r="AI181" s="180"/>
      <c r="AJ181" s="180"/>
      <c r="AK181" s="180"/>
      <c r="AL181" s="180"/>
      <c r="AM181" s="181"/>
      <c r="AN181" s="180"/>
      <c r="AO181" s="180"/>
      <c r="AP181" s="180"/>
    </row>
    <row r="182">
      <c r="D182" s="172"/>
      <c r="E182" s="172"/>
      <c r="G182" s="173"/>
      <c r="H182" s="173"/>
      <c r="I182" s="173"/>
      <c r="M182" s="173"/>
      <c r="R182" s="174"/>
      <c r="S182" s="174"/>
      <c r="T182" s="90"/>
      <c r="U182" s="176"/>
      <c r="V182" s="176"/>
      <c r="W182" s="176"/>
      <c r="X182" s="176"/>
      <c r="Y182" s="176"/>
      <c r="Z182" s="177"/>
      <c r="AA182" s="176"/>
      <c r="AB182" s="176"/>
      <c r="AC182" s="176"/>
      <c r="AD182" s="178"/>
      <c r="AF182" s="179"/>
      <c r="AG182" s="179"/>
      <c r="AI182" s="180"/>
      <c r="AJ182" s="180"/>
      <c r="AK182" s="180"/>
      <c r="AL182" s="180"/>
      <c r="AM182" s="181"/>
      <c r="AN182" s="180"/>
      <c r="AO182" s="180"/>
      <c r="AP182" s="180"/>
    </row>
    <row r="183">
      <c r="D183" s="172"/>
      <c r="E183" s="172"/>
      <c r="G183" s="173"/>
      <c r="H183" s="173"/>
      <c r="I183" s="173"/>
      <c r="M183" s="173"/>
      <c r="R183" s="174"/>
      <c r="S183" s="174"/>
      <c r="T183" s="90"/>
      <c r="U183" s="176"/>
      <c r="V183" s="176"/>
      <c r="W183" s="176"/>
      <c r="X183" s="176"/>
      <c r="Y183" s="176"/>
      <c r="Z183" s="177"/>
      <c r="AA183" s="176"/>
      <c r="AB183" s="176"/>
      <c r="AC183" s="176"/>
      <c r="AD183" s="178"/>
      <c r="AF183" s="179"/>
      <c r="AG183" s="179"/>
      <c r="AI183" s="180"/>
      <c r="AJ183" s="180"/>
      <c r="AK183" s="180"/>
      <c r="AL183" s="180"/>
      <c r="AM183" s="181"/>
      <c r="AN183" s="180"/>
      <c r="AO183" s="180"/>
      <c r="AP183" s="180"/>
    </row>
    <row r="184">
      <c r="D184" s="172"/>
      <c r="E184" s="172"/>
      <c r="G184" s="173"/>
      <c r="H184" s="173"/>
      <c r="I184" s="173"/>
      <c r="M184" s="173"/>
      <c r="R184" s="174"/>
      <c r="S184" s="174"/>
      <c r="T184" s="90"/>
      <c r="U184" s="176"/>
      <c r="V184" s="176"/>
      <c r="W184" s="176"/>
      <c r="X184" s="176"/>
      <c r="Y184" s="176"/>
      <c r="Z184" s="177"/>
      <c r="AA184" s="176"/>
      <c r="AB184" s="176"/>
      <c r="AC184" s="176"/>
      <c r="AD184" s="178"/>
      <c r="AF184" s="179"/>
      <c r="AG184" s="179"/>
      <c r="AI184" s="180"/>
      <c r="AJ184" s="180"/>
      <c r="AK184" s="180"/>
      <c r="AL184" s="180"/>
      <c r="AM184" s="181"/>
      <c r="AN184" s="180"/>
      <c r="AO184" s="180"/>
      <c r="AP184" s="180"/>
    </row>
    <row r="185">
      <c r="D185" s="172"/>
      <c r="E185" s="172"/>
      <c r="G185" s="173"/>
      <c r="H185" s="173"/>
      <c r="I185" s="173"/>
      <c r="M185" s="173"/>
      <c r="R185" s="174"/>
      <c r="S185" s="174"/>
      <c r="T185" s="90"/>
      <c r="U185" s="176"/>
      <c r="V185" s="176"/>
      <c r="W185" s="176"/>
      <c r="X185" s="176"/>
      <c r="Y185" s="176"/>
      <c r="Z185" s="177"/>
      <c r="AA185" s="176"/>
      <c r="AB185" s="176"/>
      <c r="AC185" s="176"/>
      <c r="AD185" s="178"/>
      <c r="AF185" s="179"/>
      <c r="AG185" s="179"/>
      <c r="AI185" s="180"/>
      <c r="AJ185" s="180"/>
      <c r="AK185" s="180"/>
      <c r="AL185" s="180"/>
      <c r="AM185" s="181"/>
      <c r="AN185" s="180"/>
      <c r="AO185" s="180"/>
      <c r="AP185" s="180"/>
    </row>
    <row r="186">
      <c r="D186" s="172"/>
      <c r="E186" s="172"/>
      <c r="G186" s="173"/>
      <c r="H186" s="173"/>
      <c r="I186" s="173"/>
      <c r="M186" s="173"/>
      <c r="R186" s="174"/>
      <c r="S186" s="174"/>
      <c r="T186" s="90"/>
      <c r="U186" s="176"/>
      <c r="V186" s="176"/>
      <c r="W186" s="176"/>
      <c r="X186" s="176"/>
      <c r="Y186" s="176"/>
      <c r="Z186" s="177"/>
      <c r="AA186" s="176"/>
      <c r="AB186" s="176"/>
      <c r="AC186" s="176"/>
      <c r="AD186" s="178"/>
      <c r="AF186" s="179"/>
      <c r="AG186" s="179"/>
      <c r="AI186" s="180"/>
      <c r="AJ186" s="180"/>
      <c r="AK186" s="180"/>
      <c r="AL186" s="180"/>
      <c r="AM186" s="181"/>
      <c r="AN186" s="180"/>
      <c r="AO186" s="180"/>
      <c r="AP186" s="180"/>
    </row>
    <row r="187">
      <c r="D187" s="172"/>
      <c r="E187" s="172"/>
      <c r="G187" s="173"/>
      <c r="H187" s="173"/>
      <c r="I187" s="173"/>
      <c r="M187" s="173"/>
      <c r="R187" s="174"/>
      <c r="S187" s="174"/>
      <c r="T187" s="90"/>
      <c r="U187" s="176"/>
      <c r="V187" s="176"/>
      <c r="W187" s="176"/>
      <c r="X187" s="176"/>
      <c r="Y187" s="176"/>
      <c r="Z187" s="177"/>
      <c r="AA187" s="176"/>
      <c r="AB187" s="176"/>
      <c r="AC187" s="176"/>
      <c r="AD187" s="178"/>
      <c r="AF187" s="179"/>
      <c r="AG187" s="179"/>
      <c r="AI187" s="180"/>
      <c r="AJ187" s="180"/>
      <c r="AK187" s="180"/>
      <c r="AL187" s="180"/>
      <c r="AM187" s="181"/>
      <c r="AN187" s="180"/>
      <c r="AO187" s="180"/>
      <c r="AP187" s="180"/>
    </row>
    <row r="188">
      <c r="D188" s="172"/>
      <c r="E188" s="172"/>
      <c r="G188" s="173"/>
      <c r="H188" s="173"/>
      <c r="I188" s="173"/>
      <c r="M188" s="173"/>
      <c r="R188" s="174"/>
      <c r="S188" s="174"/>
      <c r="T188" s="90"/>
      <c r="U188" s="176"/>
      <c r="V188" s="176"/>
      <c r="W188" s="176"/>
      <c r="X188" s="176"/>
      <c r="Y188" s="176"/>
      <c r="Z188" s="177"/>
      <c r="AA188" s="176"/>
      <c r="AB188" s="176"/>
      <c r="AC188" s="176"/>
      <c r="AD188" s="178"/>
      <c r="AF188" s="179"/>
      <c r="AG188" s="179"/>
      <c r="AI188" s="180"/>
      <c r="AJ188" s="180"/>
      <c r="AK188" s="180"/>
      <c r="AL188" s="180"/>
      <c r="AM188" s="181"/>
      <c r="AN188" s="180"/>
      <c r="AO188" s="180"/>
      <c r="AP188" s="180"/>
    </row>
    <row r="189">
      <c r="D189" s="172"/>
      <c r="E189" s="172"/>
      <c r="G189" s="173"/>
      <c r="H189" s="173"/>
      <c r="I189" s="173"/>
      <c r="M189" s="173"/>
      <c r="R189" s="174"/>
      <c r="S189" s="174"/>
      <c r="T189" s="90"/>
      <c r="U189" s="176"/>
      <c r="V189" s="176"/>
      <c r="W189" s="176"/>
      <c r="X189" s="176"/>
      <c r="Y189" s="176"/>
      <c r="Z189" s="177"/>
      <c r="AA189" s="176"/>
      <c r="AB189" s="176"/>
      <c r="AC189" s="176"/>
      <c r="AD189" s="178"/>
      <c r="AF189" s="179"/>
      <c r="AG189" s="179"/>
      <c r="AI189" s="180"/>
      <c r="AJ189" s="180"/>
      <c r="AK189" s="180"/>
      <c r="AL189" s="180"/>
      <c r="AM189" s="181"/>
      <c r="AN189" s="180"/>
      <c r="AO189" s="180"/>
      <c r="AP189" s="180"/>
    </row>
    <row r="190">
      <c r="D190" s="172"/>
      <c r="E190" s="172"/>
      <c r="G190" s="173"/>
      <c r="H190" s="173"/>
      <c r="I190" s="173"/>
      <c r="M190" s="173"/>
      <c r="R190" s="174"/>
      <c r="S190" s="174"/>
      <c r="T190" s="90"/>
      <c r="U190" s="176"/>
      <c r="V190" s="176"/>
      <c r="W190" s="176"/>
      <c r="X190" s="176"/>
      <c r="Y190" s="176"/>
      <c r="Z190" s="177"/>
      <c r="AA190" s="176"/>
      <c r="AB190" s="176"/>
      <c r="AC190" s="176"/>
      <c r="AD190" s="178"/>
      <c r="AF190" s="179"/>
      <c r="AG190" s="179"/>
      <c r="AI190" s="180"/>
      <c r="AJ190" s="180"/>
      <c r="AK190" s="180"/>
      <c r="AL190" s="180"/>
      <c r="AM190" s="181"/>
      <c r="AN190" s="180"/>
      <c r="AO190" s="180"/>
      <c r="AP190" s="180"/>
    </row>
    <row r="191">
      <c r="D191" s="172"/>
      <c r="E191" s="172"/>
      <c r="G191" s="173"/>
      <c r="H191" s="173"/>
      <c r="I191" s="173"/>
      <c r="M191" s="173"/>
      <c r="R191" s="174"/>
      <c r="S191" s="174"/>
      <c r="T191" s="90"/>
      <c r="U191" s="176"/>
      <c r="V191" s="176"/>
      <c r="W191" s="176"/>
      <c r="X191" s="176"/>
      <c r="Y191" s="176"/>
      <c r="Z191" s="177"/>
      <c r="AA191" s="176"/>
      <c r="AB191" s="176"/>
      <c r="AC191" s="176"/>
      <c r="AD191" s="178"/>
      <c r="AF191" s="179"/>
      <c r="AG191" s="179"/>
      <c r="AI191" s="180"/>
      <c r="AJ191" s="180"/>
      <c r="AK191" s="180"/>
      <c r="AL191" s="180"/>
      <c r="AM191" s="181"/>
      <c r="AN191" s="180"/>
      <c r="AO191" s="180"/>
      <c r="AP191" s="180"/>
    </row>
    <row r="192">
      <c r="D192" s="172"/>
      <c r="E192" s="172"/>
      <c r="G192" s="173"/>
      <c r="H192" s="173"/>
      <c r="I192" s="173"/>
      <c r="M192" s="173"/>
      <c r="R192" s="174"/>
      <c r="S192" s="174"/>
      <c r="T192" s="90"/>
      <c r="U192" s="176"/>
      <c r="V192" s="176"/>
      <c r="W192" s="176"/>
      <c r="X192" s="176"/>
      <c r="Y192" s="176"/>
      <c r="Z192" s="177"/>
      <c r="AA192" s="176"/>
      <c r="AB192" s="176"/>
      <c r="AC192" s="176"/>
      <c r="AD192" s="178"/>
      <c r="AF192" s="179"/>
      <c r="AG192" s="179"/>
      <c r="AI192" s="180"/>
      <c r="AJ192" s="180"/>
      <c r="AK192" s="180"/>
      <c r="AL192" s="180"/>
      <c r="AM192" s="181"/>
      <c r="AN192" s="180"/>
      <c r="AO192" s="180"/>
      <c r="AP192" s="180"/>
    </row>
    <row r="193">
      <c r="D193" s="172"/>
      <c r="E193" s="172"/>
      <c r="G193" s="173"/>
      <c r="H193" s="173"/>
      <c r="I193" s="173"/>
      <c r="M193" s="173"/>
      <c r="R193" s="174"/>
      <c r="S193" s="174"/>
      <c r="T193" s="90"/>
      <c r="U193" s="176"/>
      <c r="V193" s="176"/>
      <c r="W193" s="176"/>
      <c r="X193" s="176"/>
      <c r="Y193" s="176"/>
      <c r="Z193" s="177"/>
      <c r="AA193" s="176"/>
      <c r="AB193" s="176"/>
      <c r="AC193" s="176"/>
      <c r="AD193" s="178"/>
      <c r="AF193" s="179"/>
      <c r="AG193" s="179"/>
      <c r="AI193" s="180"/>
      <c r="AJ193" s="180"/>
      <c r="AK193" s="180"/>
      <c r="AL193" s="180"/>
      <c r="AM193" s="181"/>
      <c r="AN193" s="180"/>
      <c r="AO193" s="180"/>
      <c r="AP193" s="180"/>
    </row>
    <row r="194">
      <c r="D194" s="172"/>
      <c r="E194" s="172"/>
      <c r="G194" s="173"/>
      <c r="H194" s="173"/>
      <c r="I194" s="173"/>
      <c r="M194" s="173"/>
      <c r="R194" s="174"/>
      <c r="S194" s="174"/>
      <c r="T194" s="90"/>
      <c r="U194" s="176"/>
      <c r="V194" s="176"/>
      <c r="W194" s="176"/>
      <c r="X194" s="176"/>
      <c r="Y194" s="176"/>
      <c r="Z194" s="177"/>
      <c r="AA194" s="176"/>
      <c r="AB194" s="176"/>
      <c r="AC194" s="176"/>
      <c r="AD194" s="178"/>
      <c r="AF194" s="179"/>
      <c r="AG194" s="179"/>
      <c r="AI194" s="180"/>
      <c r="AJ194" s="180"/>
      <c r="AK194" s="180"/>
      <c r="AL194" s="180"/>
      <c r="AM194" s="181"/>
      <c r="AN194" s="180"/>
      <c r="AO194" s="180"/>
      <c r="AP194" s="180"/>
    </row>
    <row r="195">
      <c r="D195" s="172"/>
      <c r="E195" s="172"/>
      <c r="G195" s="173"/>
      <c r="H195" s="173"/>
      <c r="I195" s="173"/>
      <c r="M195" s="173"/>
      <c r="R195" s="174"/>
      <c r="S195" s="174"/>
      <c r="T195" s="90"/>
      <c r="U195" s="176"/>
      <c r="V195" s="176"/>
      <c r="W195" s="176"/>
      <c r="X195" s="176"/>
      <c r="Y195" s="176"/>
      <c r="Z195" s="177"/>
      <c r="AA195" s="176"/>
      <c r="AB195" s="176"/>
      <c r="AC195" s="176"/>
      <c r="AD195" s="178"/>
      <c r="AF195" s="179"/>
      <c r="AG195" s="179"/>
      <c r="AI195" s="180"/>
      <c r="AJ195" s="180"/>
      <c r="AK195" s="180"/>
      <c r="AL195" s="180"/>
      <c r="AM195" s="181"/>
      <c r="AN195" s="180"/>
      <c r="AO195" s="180"/>
      <c r="AP195" s="180"/>
    </row>
    <row r="196">
      <c r="D196" s="172"/>
      <c r="E196" s="172"/>
      <c r="G196" s="173"/>
      <c r="H196" s="173"/>
      <c r="I196" s="173"/>
      <c r="M196" s="173"/>
      <c r="R196" s="174"/>
      <c r="S196" s="174"/>
      <c r="T196" s="90"/>
      <c r="U196" s="176"/>
      <c r="V196" s="176"/>
      <c r="W196" s="176"/>
      <c r="X196" s="176"/>
      <c r="Y196" s="176"/>
      <c r="Z196" s="177"/>
      <c r="AA196" s="176"/>
      <c r="AB196" s="176"/>
      <c r="AC196" s="176"/>
      <c r="AD196" s="178"/>
      <c r="AF196" s="179"/>
      <c r="AG196" s="179"/>
      <c r="AI196" s="180"/>
      <c r="AJ196" s="180"/>
      <c r="AK196" s="180"/>
      <c r="AL196" s="180"/>
      <c r="AM196" s="181"/>
      <c r="AN196" s="180"/>
      <c r="AO196" s="180"/>
      <c r="AP196" s="180"/>
    </row>
    <row r="197">
      <c r="D197" s="172"/>
      <c r="E197" s="172"/>
      <c r="G197" s="173"/>
      <c r="H197" s="173"/>
      <c r="I197" s="173"/>
      <c r="M197" s="173"/>
      <c r="R197" s="174"/>
      <c r="S197" s="174"/>
      <c r="T197" s="90"/>
      <c r="U197" s="176"/>
      <c r="V197" s="176"/>
      <c r="W197" s="176"/>
      <c r="X197" s="176"/>
      <c r="Y197" s="176"/>
      <c r="Z197" s="177"/>
      <c r="AA197" s="176"/>
      <c r="AB197" s="176"/>
      <c r="AC197" s="176"/>
      <c r="AD197" s="178"/>
      <c r="AF197" s="179"/>
      <c r="AG197" s="179"/>
      <c r="AI197" s="180"/>
      <c r="AJ197" s="180"/>
      <c r="AK197" s="180"/>
      <c r="AL197" s="180"/>
      <c r="AM197" s="181"/>
      <c r="AN197" s="180"/>
      <c r="AO197" s="180"/>
      <c r="AP197" s="180"/>
    </row>
    <row r="198">
      <c r="D198" s="172"/>
      <c r="E198" s="172"/>
      <c r="G198" s="173"/>
      <c r="H198" s="173"/>
      <c r="I198" s="173"/>
      <c r="M198" s="173"/>
      <c r="R198" s="174"/>
      <c r="S198" s="174"/>
      <c r="T198" s="90"/>
      <c r="U198" s="176"/>
      <c r="V198" s="176"/>
      <c r="W198" s="176"/>
      <c r="X198" s="176"/>
      <c r="Y198" s="176"/>
      <c r="Z198" s="177"/>
      <c r="AA198" s="176"/>
      <c r="AB198" s="176"/>
      <c r="AC198" s="176"/>
      <c r="AD198" s="178"/>
      <c r="AF198" s="179"/>
      <c r="AG198" s="179"/>
      <c r="AI198" s="180"/>
      <c r="AJ198" s="180"/>
      <c r="AK198" s="180"/>
      <c r="AL198" s="180"/>
      <c r="AM198" s="181"/>
      <c r="AN198" s="180"/>
      <c r="AO198" s="180"/>
      <c r="AP198" s="180"/>
    </row>
    <row r="199">
      <c r="D199" s="172"/>
      <c r="E199" s="172"/>
      <c r="G199" s="173"/>
      <c r="H199" s="173"/>
      <c r="I199" s="173"/>
      <c r="M199" s="173"/>
      <c r="R199" s="174"/>
      <c r="S199" s="174"/>
      <c r="T199" s="90"/>
      <c r="U199" s="176"/>
      <c r="V199" s="176"/>
      <c r="W199" s="176"/>
      <c r="X199" s="176"/>
      <c r="Y199" s="176"/>
      <c r="Z199" s="177"/>
      <c r="AA199" s="176"/>
      <c r="AB199" s="176"/>
      <c r="AC199" s="176"/>
      <c r="AD199" s="178"/>
      <c r="AF199" s="179"/>
      <c r="AG199" s="179"/>
      <c r="AI199" s="180"/>
      <c r="AJ199" s="180"/>
      <c r="AK199" s="180"/>
      <c r="AL199" s="180"/>
      <c r="AM199" s="181"/>
      <c r="AN199" s="180"/>
      <c r="AO199" s="180"/>
      <c r="AP199" s="180"/>
    </row>
    <row r="200">
      <c r="D200" s="172"/>
      <c r="E200" s="172"/>
      <c r="G200" s="173"/>
      <c r="H200" s="173"/>
      <c r="I200" s="173"/>
      <c r="M200" s="173"/>
      <c r="R200" s="174"/>
      <c r="S200" s="174"/>
      <c r="T200" s="90"/>
      <c r="U200" s="176"/>
      <c r="V200" s="176"/>
      <c r="W200" s="176"/>
      <c r="X200" s="176"/>
      <c r="Y200" s="176"/>
      <c r="Z200" s="177"/>
      <c r="AA200" s="176"/>
      <c r="AB200" s="176"/>
      <c r="AC200" s="176"/>
      <c r="AD200" s="178"/>
      <c r="AF200" s="179"/>
      <c r="AG200" s="179"/>
      <c r="AI200" s="180"/>
      <c r="AJ200" s="180"/>
      <c r="AK200" s="180"/>
      <c r="AL200" s="180"/>
      <c r="AM200" s="181"/>
      <c r="AN200" s="180"/>
      <c r="AO200" s="180"/>
      <c r="AP200" s="180"/>
    </row>
    <row r="201">
      <c r="D201" s="172"/>
      <c r="E201" s="172"/>
      <c r="G201" s="173"/>
      <c r="H201" s="173"/>
      <c r="I201" s="173"/>
      <c r="M201" s="173"/>
      <c r="R201" s="174"/>
      <c r="S201" s="174"/>
      <c r="T201" s="90"/>
      <c r="U201" s="176"/>
      <c r="V201" s="176"/>
      <c r="W201" s="176"/>
      <c r="X201" s="176"/>
      <c r="Y201" s="176"/>
      <c r="Z201" s="177"/>
      <c r="AA201" s="176"/>
      <c r="AB201" s="176"/>
      <c r="AC201" s="176"/>
      <c r="AD201" s="178"/>
      <c r="AF201" s="179"/>
      <c r="AG201" s="179"/>
      <c r="AI201" s="180"/>
      <c r="AJ201" s="180"/>
      <c r="AK201" s="180"/>
      <c r="AL201" s="180"/>
      <c r="AM201" s="181"/>
      <c r="AN201" s="180"/>
      <c r="AO201" s="180"/>
      <c r="AP201" s="180"/>
    </row>
    <row r="202">
      <c r="D202" s="172"/>
      <c r="E202" s="172"/>
      <c r="G202" s="173"/>
      <c r="H202" s="173"/>
      <c r="I202" s="173"/>
      <c r="M202" s="173"/>
      <c r="R202" s="174"/>
      <c r="S202" s="174"/>
      <c r="T202" s="90"/>
      <c r="U202" s="176"/>
      <c r="V202" s="176"/>
      <c r="W202" s="176"/>
      <c r="X202" s="176"/>
      <c r="Y202" s="176"/>
      <c r="Z202" s="177"/>
      <c r="AA202" s="176"/>
      <c r="AB202" s="176"/>
      <c r="AC202" s="176"/>
      <c r="AD202" s="178"/>
      <c r="AF202" s="179"/>
      <c r="AG202" s="179"/>
      <c r="AI202" s="180"/>
      <c r="AJ202" s="180"/>
      <c r="AK202" s="180"/>
      <c r="AL202" s="180"/>
      <c r="AM202" s="181"/>
      <c r="AN202" s="180"/>
      <c r="AO202" s="180"/>
      <c r="AP202" s="180"/>
    </row>
    <row r="203">
      <c r="D203" s="172"/>
      <c r="E203" s="172"/>
      <c r="G203" s="173"/>
      <c r="H203" s="173"/>
      <c r="I203" s="173"/>
      <c r="M203" s="173"/>
      <c r="R203" s="174"/>
      <c r="S203" s="174"/>
      <c r="T203" s="90"/>
      <c r="U203" s="176"/>
      <c r="V203" s="176"/>
      <c r="W203" s="176"/>
      <c r="X203" s="176"/>
      <c r="Y203" s="176"/>
      <c r="Z203" s="177"/>
      <c r="AA203" s="176"/>
      <c r="AB203" s="176"/>
      <c r="AC203" s="176"/>
      <c r="AD203" s="178"/>
      <c r="AF203" s="179"/>
      <c r="AG203" s="179"/>
      <c r="AI203" s="180"/>
      <c r="AJ203" s="180"/>
      <c r="AK203" s="180"/>
      <c r="AL203" s="180"/>
      <c r="AM203" s="181"/>
      <c r="AN203" s="180"/>
      <c r="AO203" s="180"/>
      <c r="AP203" s="180"/>
    </row>
    <row r="204">
      <c r="D204" s="172"/>
      <c r="E204" s="172"/>
      <c r="G204" s="173"/>
      <c r="H204" s="173"/>
      <c r="I204" s="173"/>
      <c r="M204" s="173"/>
      <c r="R204" s="174"/>
      <c r="S204" s="174"/>
      <c r="T204" s="90"/>
      <c r="U204" s="176"/>
      <c r="V204" s="176"/>
      <c r="W204" s="176"/>
      <c r="X204" s="176"/>
      <c r="Y204" s="176"/>
      <c r="Z204" s="177"/>
      <c r="AA204" s="176"/>
      <c r="AB204" s="176"/>
      <c r="AC204" s="176"/>
      <c r="AD204" s="178"/>
      <c r="AF204" s="179"/>
      <c r="AG204" s="179"/>
      <c r="AI204" s="180"/>
      <c r="AJ204" s="180"/>
      <c r="AK204" s="180"/>
      <c r="AL204" s="180"/>
      <c r="AM204" s="181"/>
      <c r="AN204" s="180"/>
      <c r="AO204" s="180"/>
      <c r="AP204" s="180"/>
    </row>
    <row r="205">
      <c r="D205" s="172"/>
      <c r="E205" s="172"/>
      <c r="G205" s="173"/>
      <c r="H205" s="173"/>
      <c r="I205" s="173"/>
      <c r="M205" s="173"/>
      <c r="R205" s="174"/>
      <c r="S205" s="174"/>
      <c r="T205" s="90"/>
      <c r="U205" s="176"/>
      <c r="V205" s="176"/>
      <c r="W205" s="176"/>
      <c r="X205" s="176"/>
      <c r="Y205" s="176"/>
      <c r="Z205" s="177"/>
      <c r="AA205" s="176"/>
      <c r="AB205" s="176"/>
      <c r="AC205" s="176"/>
      <c r="AD205" s="178"/>
      <c r="AF205" s="179"/>
      <c r="AG205" s="179"/>
      <c r="AI205" s="180"/>
      <c r="AJ205" s="180"/>
      <c r="AK205" s="180"/>
      <c r="AL205" s="180"/>
      <c r="AM205" s="181"/>
      <c r="AN205" s="180"/>
      <c r="AO205" s="180"/>
      <c r="AP205" s="180"/>
    </row>
    <row r="206">
      <c r="D206" s="172"/>
      <c r="E206" s="172"/>
      <c r="G206" s="173"/>
      <c r="H206" s="173"/>
      <c r="I206" s="173"/>
      <c r="M206" s="173"/>
      <c r="R206" s="174"/>
      <c r="S206" s="174"/>
      <c r="T206" s="90"/>
      <c r="U206" s="176"/>
      <c r="V206" s="176"/>
      <c r="W206" s="176"/>
      <c r="X206" s="176"/>
      <c r="Y206" s="176"/>
      <c r="Z206" s="177"/>
      <c r="AA206" s="176"/>
      <c r="AB206" s="176"/>
      <c r="AC206" s="176"/>
      <c r="AD206" s="178"/>
      <c r="AF206" s="179"/>
      <c r="AG206" s="179"/>
      <c r="AI206" s="180"/>
      <c r="AJ206" s="180"/>
      <c r="AK206" s="180"/>
      <c r="AL206" s="180"/>
      <c r="AM206" s="181"/>
      <c r="AN206" s="180"/>
      <c r="AO206" s="180"/>
      <c r="AP206" s="180"/>
    </row>
    <row r="207">
      <c r="D207" s="172"/>
      <c r="E207" s="172"/>
      <c r="G207" s="173"/>
      <c r="H207" s="173"/>
      <c r="I207" s="173"/>
      <c r="M207" s="173"/>
      <c r="R207" s="174"/>
      <c r="S207" s="174"/>
      <c r="T207" s="90"/>
      <c r="U207" s="176"/>
      <c r="V207" s="176"/>
      <c r="W207" s="176"/>
      <c r="X207" s="176"/>
      <c r="Y207" s="176"/>
      <c r="Z207" s="177"/>
      <c r="AA207" s="176"/>
      <c r="AB207" s="176"/>
      <c r="AC207" s="176"/>
      <c r="AD207" s="178"/>
      <c r="AF207" s="179"/>
      <c r="AG207" s="179"/>
      <c r="AI207" s="180"/>
      <c r="AJ207" s="180"/>
      <c r="AK207" s="180"/>
      <c r="AL207" s="180"/>
      <c r="AM207" s="181"/>
      <c r="AN207" s="180"/>
      <c r="AO207" s="180"/>
      <c r="AP207" s="180"/>
    </row>
    <row r="208">
      <c r="D208" s="172"/>
      <c r="E208" s="172"/>
      <c r="G208" s="173"/>
      <c r="H208" s="173"/>
      <c r="I208" s="173"/>
      <c r="M208" s="173"/>
      <c r="R208" s="174"/>
      <c r="S208" s="174"/>
      <c r="T208" s="90"/>
      <c r="U208" s="176"/>
      <c r="V208" s="176"/>
      <c r="W208" s="176"/>
      <c r="X208" s="176"/>
      <c r="Y208" s="176"/>
      <c r="Z208" s="177"/>
      <c r="AA208" s="176"/>
      <c r="AB208" s="176"/>
      <c r="AC208" s="176"/>
      <c r="AD208" s="178"/>
      <c r="AF208" s="179"/>
      <c r="AG208" s="179"/>
      <c r="AI208" s="180"/>
      <c r="AJ208" s="180"/>
      <c r="AK208" s="180"/>
      <c r="AL208" s="180"/>
      <c r="AM208" s="181"/>
      <c r="AN208" s="180"/>
      <c r="AO208" s="180"/>
      <c r="AP208" s="180"/>
    </row>
    <row r="209">
      <c r="D209" s="172"/>
      <c r="E209" s="172"/>
      <c r="G209" s="173"/>
      <c r="H209" s="173"/>
      <c r="I209" s="173"/>
      <c r="M209" s="173"/>
      <c r="R209" s="174"/>
      <c r="S209" s="174"/>
      <c r="T209" s="90"/>
      <c r="U209" s="176"/>
      <c r="V209" s="176"/>
      <c r="W209" s="176"/>
      <c r="X209" s="176"/>
      <c r="Y209" s="176"/>
      <c r="Z209" s="177"/>
      <c r="AA209" s="176"/>
      <c r="AB209" s="176"/>
      <c r="AC209" s="176"/>
      <c r="AD209" s="178"/>
      <c r="AF209" s="179"/>
      <c r="AG209" s="179"/>
      <c r="AI209" s="180"/>
      <c r="AJ209" s="180"/>
      <c r="AK209" s="180"/>
      <c r="AL209" s="180"/>
      <c r="AM209" s="181"/>
      <c r="AN209" s="180"/>
      <c r="AO209" s="180"/>
      <c r="AP209" s="180"/>
    </row>
    <row r="210">
      <c r="D210" s="172"/>
      <c r="E210" s="172"/>
      <c r="G210" s="173"/>
      <c r="H210" s="173"/>
      <c r="I210" s="173"/>
      <c r="M210" s="173"/>
      <c r="R210" s="174"/>
      <c r="S210" s="174"/>
      <c r="T210" s="90"/>
      <c r="U210" s="176"/>
      <c r="V210" s="176"/>
      <c r="W210" s="176"/>
      <c r="X210" s="176"/>
      <c r="Y210" s="176"/>
      <c r="Z210" s="177"/>
      <c r="AA210" s="176"/>
      <c r="AB210" s="176"/>
      <c r="AC210" s="176"/>
      <c r="AD210" s="178"/>
      <c r="AF210" s="179"/>
      <c r="AG210" s="179"/>
      <c r="AI210" s="180"/>
      <c r="AJ210" s="180"/>
      <c r="AK210" s="180"/>
      <c r="AL210" s="180"/>
      <c r="AM210" s="181"/>
      <c r="AN210" s="180"/>
      <c r="AO210" s="180"/>
      <c r="AP210" s="180"/>
    </row>
    <row r="211">
      <c r="D211" s="172"/>
      <c r="E211" s="172"/>
      <c r="G211" s="173"/>
      <c r="H211" s="173"/>
      <c r="I211" s="173"/>
      <c r="M211" s="173"/>
      <c r="R211" s="174"/>
      <c r="S211" s="174"/>
      <c r="T211" s="90"/>
      <c r="U211" s="176"/>
      <c r="V211" s="176"/>
      <c r="W211" s="176"/>
      <c r="X211" s="176"/>
      <c r="Y211" s="176"/>
      <c r="Z211" s="177"/>
      <c r="AA211" s="176"/>
      <c r="AB211" s="176"/>
      <c r="AC211" s="176"/>
      <c r="AD211" s="178"/>
      <c r="AF211" s="179"/>
      <c r="AG211" s="179"/>
      <c r="AI211" s="180"/>
      <c r="AJ211" s="180"/>
      <c r="AK211" s="180"/>
      <c r="AL211" s="180"/>
      <c r="AM211" s="181"/>
      <c r="AN211" s="180"/>
      <c r="AO211" s="180"/>
      <c r="AP211" s="180"/>
    </row>
    <row r="212">
      <c r="D212" s="172"/>
      <c r="E212" s="172"/>
      <c r="G212" s="173"/>
      <c r="H212" s="173"/>
      <c r="I212" s="173"/>
      <c r="M212" s="173"/>
      <c r="R212" s="174"/>
      <c r="S212" s="174"/>
      <c r="T212" s="90"/>
      <c r="U212" s="176"/>
      <c r="V212" s="176"/>
      <c r="W212" s="176"/>
      <c r="X212" s="176"/>
      <c r="Y212" s="176"/>
      <c r="Z212" s="177"/>
      <c r="AA212" s="176"/>
      <c r="AB212" s="176"/>
      <c r="AC212" s="176"/>
      <c r="AD212" s="178"/>
      <c r="AF212" s="179"/>
      <c r="AG212" s="179"/>
      <c r="AI212" s="180"/>
      <c r="AJ212" s="180"/>
      <c r="AK212" s="180"/>
      <c r="AL212" s="180"/>
      <c r="AM212" s="181"/>
      <c r="AN212" s="180"/>
      <c r="AO212" s="180"/>
      <c r="AP212" s="180"/>
    </row>
    <row r="213">
      <c r="D213" s="172"/>
      <c r="E213" s="172"/>
      <c r="G213" s="173"/>
      <c r="H213" s="173"/>
      <c r="I213" s="173"/>
      <c r="M213" s="173"/>
      <c r="R213" s="174"/>
      <c r="S213" s="174"/>
      <c r="T213" s="90"/>
      <c r="U213" s="176"/>
      <c r="V213" s="176"/>
      <c r="W213" s="176"/>
      <c r="X213" s="176"/>
      <c r="Y213" s="176"/>
      <c r="Z213" s="177"/>
      <c r="AA213" s="176"/>
      <c r="AB213" s="176"/>
      <c r="AC213" s="176"/>
      <c r="AD213" s="178"/>
      <c r="AF213" s="179"/>
      <c r="AG213" s="179"/>
      <c r="AI213" s="180"/>
      <c r="AJ213" s="180"/>
      <c r="AK213" s="180"/>
      <c r="AL213" s="180"/>
      <c r="AM213" s="181"/>
      <c r="AN213" s="180"/>
      <c r="AO213" s="180"/>
      <c r="AP213" s="180"/>
    </row>
    <row r="214">
      <c r="D214" s="172"/>
      <c r="E214" s="172"/>
      <c r="G214" s="173"/>
      <c r="H214" s="173"/>
      <c r="I214" s="173"/>
      <c r="M214" s="173"/>
      <c r="R214" s="174"/>
      <c r="S214" s="174"/>
      <c r="T214" s="90"/>
      <c r="U214" s="176"/>
      <c r="V214" s="176"/>
      <c r="W214" s="176"/>
      <c r="X214" s="176"/>
      <c r="Y214" s="176"/>
      <c r="Z214" s="177"/>
      <c r="AA214" s="176"/>
      <c r="AB214" s="176"/>
      <c r="AC214" s="176"/>
      <c r="AD214" s="178"/>
      <c r="AF214" s="179"/>
      <c r="AG214" s="179"/>
      <c r="AI214" s="180"/>
      <c r="AJ214" s="180"/>
      <c r="AK214" s="180"/>
      <c r="AL214" s="180"/>
      <c r="AM214" s="181"/>
      <c r="AN214" s="180"/>
      <c r="AO214" s="180"/>
      <c r="AP214" s="180"/>
    </row>
    <row r="215">
      <c r="D215" s="172"/>
      <c r="E215" s="172"/>
      <c r="G215" s="173"/>
      <c r="H215" s="173"/>
      <c r="I215" s="173"/>
      <c r="M215" s="173"/>
      <c r="R215" s="174"/>
      <c r="S215" s="174"/>
      <c r="T215" s="90"/>
      <c r="U215" s="176"/>
      <c r="V215" s="176"/>
      <c r="W215" s="176"/>
      <c r="X215" s="176"/>
      <c r="Y215" s="176"/>
      <c r="Z215" s="177"/>
      <c r="AA215" s="176"/>
      <c r="AB215" s="176"/>
      <c r="AC215" s="176"/>
      <c r="AD215" s="178"/>
      <c r="AF215" s="179"/>
      <c r="AG215" s="179"/>
      <c r="AI215" s="180"/>
      <c r="AJ215" s="180"/>
      <c r="AK215" s="180"/>
      <c r="AL215" s="180"/>
      <c r="AM215" s="181"/>
      <c r="AN215" s="180"/>
      <c r="AO215" s="180"/>
      <c r="AP215" s="180"/>
    </row>
    <row r="216">
      <c r="D216" s="172"/>
      <c r="E216" s="172"/>
      <c r="G216" s="173"/>
      <c r="H216" s="173"/>
      <c r="I216" s="173"/>
      <c r="M216" s="173"/>
      <c r="R216" s="174"/>
      <c r="S216" s="174"/>
      <c r="T216" s="90"/>
      <c r="U216" s="176"/>
      <c r="V216" s="176"/>
      <c r="W216" s="176"/>
      <c r="X216" s="176"/>
      <c r="Y216" s="176"/>
      <c r="Z216" s="177"/>
      <c r="AA216" s="176"/>
      <c r="AB216" s="176"/>
      <c r="AC216" s="176"/>
      <c r="AD216" s="178"/>
      <c r="AF216" s="179"/>
      <c r="AG216" s="179"/>
      <c r="AI216" s="180"/>
      <c r="AJ216" s="180"/>
      <c r="AK216" s="180"/>
      <c r="AL216" s="180"/>
      <c r="AM216" s="181"/>
      <c r="AN216" s="180"/>
      <c r="AO216" s="180"/>
      <c r="AP216" s="180"/>
    </row>
    <row r="217">
      <c r="D217" s="172"/>
      <c r="E217" s="172"/>
      <c r="G217" s="173"/>
      <c r="H217" s="173"/>
      <c r="I217" s="173"/>
      <c r="M217" s="173"/>
      <c r="R217" s="174"/>
      <c r="S217" s="174"/>
      <c r="T217" s="90"/>
      <c r="U217" s="176"/>
      <c r="V217" s="176"/>
      <c r="W217" s="176"/>
      <c r="X217" s="176"/>
      <c r="Y217" s="176"/>
      <c r="Z217" s="177"/>
      <c r="AA217" s="176"/>
      <c r="AB217" s="176"/>
      <c r="AC217" s="176"/>
      <c r="AD217" s="178"/>
      <c r="AF217" s="179"/>
      <c r="AG217" s="179"/>
      <c r="AI217" s="180"/>
      <c r="AJ217" s="180"/>
      <c r="AK217" s="180"/>
      <c r="AL217" s="180"/>
      <c r="AM217" s="181"/>
      <c r="AN217" s="180"/>
      <c r="AO217" s="180"/>
      <c r="AP217" s="180"/>
    </row>
    <row r="218">
      <c r="D218" s="172"/>
      <c r="E218" s="172"/>
      <c r="G218" s="173"/>
      <c r="H218" s="173"/>
      <c r="I218" s="173"/>
      <c r="M218" s="173"/>
      <c r="R218" s="174"/>
      <c r="S218" s="174"/>
      <c r="T218" s="90"/>
      <c r="U218" s="176"/>
      <c r="V218" s="176"/>
      <c r="W218" s="176"/>
      <c r="X218" s="176"/>
      <c r="Y218" s="176"/>
      <c r="Z218" s="177"/>
      <c r="AA218" s="176"/>
      <c r="AB218" s="176"/>
      <c r="AC218" s="176"/>
      <c r="AD218" s="178"/>
      <c r="AF218" s="179"/>
      <c r="AG218" s="179"/>
      <c r="AI218" s="180"/>
      <c r="AJ218" s="180"/>
      <c r="AK218" s="180"/>
      <c r="AL218" s="180"/>
      <c r="AM218" s="181"/>
      <c r="AN218" s="180"/>
      <c r="AO218" s="180"/>
      <c r="AP218" s="180"/>
    </row>
    <row r="219">
      <c r="D219" s="172"/>
      <c r="E219" s="172"/>
      <c r="G219" s="173"/>
      <c r="H219" s="173"/>
      <c r="I219" s="173"/>
      <c r="M219" s="173"/>
      <c r="R219" s="174"/>
      <c r="S219" s="174"/>
      <c r="T219" s="90"/>
      <c r="U219" s="176"/>
      <c r="V219" s="176"/>
      <c r="W219" s="176"/>
      <c r="X219" s="176"/>
      <c r="Y219" s="176"/>
      <c r="Z219" s="177"/>
      <c r="AA219" s="176"/>
      <c r="AB219" s="176"/>
      <c r="AC219" s="176"/>
      <c r="AD219" s="178"/>
      <c r="AF219" s="179"/>
      <c r="AG219" s="179"/>
      <c r="AI219" s="180"/>
      <c r="AJ219" s="180"/>
      <c r="AK219" s="180"/>
      <c r="AL219" s="180"/>
      <c r="AM219" s="181"/>
      <c r="AN219" s="180"/>
      <c r="AO219" s="180"/>
      <c r="AP219" s="180"/>
    </row>
    <row r="220">
      <c r="D220" s="172"/>
      <c r="E220" s="172"/>
      <c r="G220" s="173"/>
      <c r="H220" s="173"/>
      <c r="I220" s="173"/>
      <c r="M220" s="173"/>
      <c r="R220" s="174"/>
      <c r="S220" s="174"/>
      <c r="T220" s="90"/>
      <c r="U220" s="176"/>
      <c r="V220" s="176"/>
      <c r="W220" s="176"/>
      <c r="X220" s="176"/>
      <c r="Y220" s="176"/>
      <c r="Z220" s="177"/>
      <c r="AA220" s="176"/>
      <c r="AB220" s="176"/>
      <c r="AC220" s="176"/>
      <c r="AD220" s="178"/>
      <c r="AF220" s="179"/>
      <c r="AG220" s="179"/>
      <c r="AI220" s="180"/>
      <c r="AJ220" s="180"/>
      <c r="AK220" s="180"/>
      <c r="AL220" s="180"/>
      <c r="AM220" s="181"/>
      <c r="AN220" s="180"/>
      <c r="AO220" s="180"/>
      <c r="AP220" s="180"/>
    </row>
    <row r="221">
      <c r="D221" s="172"/>
      <c r="E221" s="172"/>
      <c r="G221" s="173"/>
      <c r="H221" s="173"/>
      <c r="I221" s="173"/>
      <c r="M221" s="173"/>
      <c r="R221" s="174"/>
      <c r="S221" s="174"/>
      <c r="T221" s="90"/>
      <c r="U221" s="176"/>
      <c r="V221" s="176"/>
      <c r="W221" s="176"/>
      <c r="X221" s="176"/>
      <c r="Y221" s="176"/>
      <c r="Z221" s="177"/>
      <c r="AA221" s="176"/>
      <c r="AB221" s="176"/>
      <c r="AC221" s="176"/>
      <c r="AD221" s="178"/>
      <c r="AF221" s="179"/>
      <c r="AG221" s="179"/>
      <c r="AI221" s="180"/>
      <c r="AJ221" s="180"/>
      <c r="AK221" s="180"/>
      <c r="AL221" s="180"/>
      <c r="AM221" s="181"/>
      <c r="AN221" s="180"/>
      <c r="AO221" s="180"/>
      <c r="AP221" s="180"/>
    </row>
    <row r="222">
      <c r="D222" s="172"/>
      <c r="E222" s="172"/>
      <c r="G222" s="173"/>
      <c r="H222" s="173"/>
      <c r="I222" s="173"/>
      <c r="M222" s="173"/>
      <c r="R222" s="174"/>
      <c r="S222" s="174"/>
      <c r="T222" s="90"/>
      <c r="U222" s="176"/>
      <c r="V222" s="176"/>
      <c r="W222" s="176"/>
      <c r="X222" s="176"/>
      <c r="Y222" s="176"/>
      <c r="Z222" s="177"/>
      <c r="AA222" s="176"/>
      <c r="AB222" s="176"/>
      <c r="AC222" s="176"/>
      <c r="AD222" s="178"/>
      <c r="AF222" s="179"/>
      <c r="AG222" s="179"/>
      <c r="AI222" s="180"/>
      <c r="AJ222" s="180"/>
      <c r="AK222" s="180"/>
      <c r="AL222" s="180"/>
      <c r="AM222" s="181"/>
      <c r="AN222" s="180"/>
      <c r="AO222" s="180"/>
      <c r="AP222" s="180"/>
    </row>
    <row r="223">
      <c r="D223" s="172"/>
      <c r="E223" s="172"/>
      <c r="G223" s="173"/>
      <c r="H223" s="173"/>
      <c r="I223" s="173"/>
      <c r="M223" s="173"/>
      <c r="R223" s="174"/>
      <c r="S223" s="174"/>
      <c r="T223" s="90"/>
      <c r="U223" s="176"/>
      <c r="V223" s="176"/>
      <c r="W223" s="176"/>
      <c r="X223" s="176"/>
      <c r="Y223" s="176"/>
      <c r="Z223" s="177"/>
      <c r="AA223" s="176"/>
      <c r="AB223" s="176"/>
      <c r="AC223" s="176"/>
      <c r="AD223" s="178"/>
      <c r="AF223" s="179"/>
      <c r="AG223" s="179"/>
      <c r="AI223" s="180"/>
      <c r="AJ223" s="180"/>
      <c r="AK223" s="180"/>
      <c r="AL223" s="180"/>
      <c r="AM223" s="181"/>
      <c r="AN223" s="180"/>
      <c r="AO223" s="180"/>
      <c r="AP223" s="180"/>
    </row>
    <row r="224">
      <c r="D224" s="172"/>
      <c r="E224" s="172"/>
      <c r="G224" s="173"/>
      <c r="H224" s="173"/>
      <c r="I224" s="173"/>
      <c r="M224" s="173"/>
      <c r="R224" s="174"/>
      <c r="S224" s="174"/>
      <c r="T224" s="90"/>
      <c r="U224" s="176"/>
      <c r="V224" s="176"/>
      <c r="W224" s="176"/>
      <c r="X224" s="176"/>
      <c r="Y224" s="176"/>
      <c r="Z224" s="177"/>
      <c r="AA224" s="176"/>
      <c r="AB224" s="176"/>
      <c r="AC224" s="176"/>
      <c r="AD224" s="178"/>
      <c r="AF224" s="179"/>
      <c r="AG224" s="179"/>
      <c r="AI224" s="180"/>
      <c r="AJ224" s="180"/>
      <c r="AK224" s="180"/>
      <c r="AL224" s="180"/>
      <c r="AM224" s="181"/>
      <c r="AN224" s="180"/>
      <c r="AO224" s="180"/>
      <c r="AP224" s="180"/>
    </row>
    <row r="225">
      <c r="D225" s="172"/>
      <c r="E225" s="172"/>
      <c r="G225" s="173"/>
      <c r="H225" s="173"/>
      <c r="I225" s="173"/>
      <c r="M225" s="173"/>
      <c r="R225" s="174"/>
      <c r="S225" s="174"/>
      <c r="T225" s="90"/>
      <c r="U225" s="176"/>
      <c r="V225" s="176"/>
      <c r="W225" s="176"/>
      <c r="X225" s="176"/>
      <c r="Y225" s="176"/>
      <c r="Z225" s="177"/>
      <c r="AA225" s="176"/>
      <c r="AB225" s="176"/>
      <c r="AC225" s="176"/>
      <c r="AD225" s="178"/>
      <c r="AF225" s="179"/>
      <c r="AG225" s="179"/>
      <c r="AI225" s="180"/>
      <c r="AJ225" s="180"/>
      <c r="AK225" s="180"/>
      <c r="AL225" s="180"/>
      <c r="AM225" s="181"/>
      <c r="AN225" s="180"/>
      <c r="AO225" s="180"/>
      <c r="AP225" s="180"/>
    </row>
    <row r="226">
      <c r="D226" s="172"/>
      <c r="E226" s="172"/>
      <c r="G226" s="173"/>
      <c r="H226" s="173"/>
      <c r="I226" s="173"/>
      <c r="M226" s="173"/>
      <c r="R226" s="174"/>
      <c r="S226" s="174"/>
      <c r="T226" s="90"/>
      <c r="U226" s="176"/>
      <c r="V226" s="176"/>
      <c r="W226" s="176"/>
      <c r="X226" s="176"/>
      <c r="Y226" s="176"/>
      <c r="Z226" s="177"/>
      <c r="AA226" s="176"/>
      <c r="AB226" s="176"/>
      <c r="AC226" s="176"/>
      <c r="AD226" s="178"/>
      <c r="AF226" s="179"/>
      <c r="AG226" s="179"/>
      <c r="AI226" s="180"/>
      <c r="AJ226" s="180"/>
      <c r="AK226" s="180"/>
      <c r="AL226" s="180"/>
      <c r="AM226" s="181"/>
      <c r="AN226" s="180"/>
      <c r="AO226" s="180"/>
      <c r="AP226" s="180"/>
    </row>
    <row r="227">
      <c r="D227" s="172"/>
      <c r="E227" s="172"/>
      <c r="G227" s="173"/>
      <c r="H227" s="173"/>
      <c r="I227" s="173"/>
      <c r="M227" s="173"/>
      <c r="R227" s="174"/>
      <c r="S227" s="174"/>
      <c r="T227" s="90"/>
      <c r="U227" s="176"/>
      <c r="V227" s="176"/>
      <c r="W227" s="176"/>
      <c r="X227" s="176"/>
      <c r="Y227" s="176"/>
      <c r="Z227" s="177"/>
      <c r="AA227" s="176"/>
      <c r="AB227" s="176"/>
      <c r="AC227" s="176"/>
      <c r="AD227" s="178"/>
      <c r="AF227" s="179"/>
      <c r="AG227" s="179"/>
      <c r="AI227" s="180"/>
      <c r="AJ227" s="180"/>
      <c r="AK227" s="180"/>
      <c r="AL227" s="180"/>
      <c r="AM227" s="181"/>
      <c r="AN227" s="180"/>
      <c r="AO227" s="180"/>
      <c r="AP227" s="180"/>
    </row>
    <row r="228">
      <c r="D228" s="172"/>
      <c r="E228" s="172"/>
      <c r="G228" s="173"/>
      <c r="H228" s="173"/>
      <c r="I228" s="173"/>
      <c r="M228" s="173"/>
      <c r="R228" s="174"/>
      <c r="S228" s="174"/>
      <c r="T228" s="90"/>
      <c r="U228" s="176"/>
      <c r="V228" s="176"/>
      <c r="W228" s="176"/>
      <c r="X228" s="176"/>
      <c r="Y228" s="176"/>
      <c r="Z228" s="177"/>
      <c r="AA228" s="176"/>
      <c r="AB228" s="176"/>
      <c r="AC228" s="176"/>
      <c r="AD228" s="178"/>
      <c r="AF228" s="179"/>
      <c r="AG228" s="179"/>
      <c r="AI228" s="180"/>
      <c r="AJ228" s="180"/>
      <c r="AK228" s="180"/>
      <c r="AL228" s="180"/>
      <c r="AM228" s="181"/>
      <c r="AN228" s="180"/>
      <c r="AO228" s="180"/>
      <c r="AP228" s="180"/>
    </row>
    <row r="229">
      <c r="D229" s="172"/>
      <c r="E229" s="172"/>
      <c r="G229" s="173"/>
      <c r="H229" s="173"/>
      <c r="I229" s="173"/>
      <c r="M229" s="173"/>
      <c r="R229" s="174"/>
      <c r="S229" s="174"/>
      <c r="T229" s="90"/>
      <c r="U229" s="176"/>
      <c r="V229" s="176"/>
      <c r="W229" s="176"/>
      <c r="X229" s="176"/>
      <c r="Y229" s="176"/>
      <c r="Z229" s="177"/>
      <c r="AA229" s="176"/>
      <c r="AB229" s="176"/>
      <c r="AC229" s="176"/>
      <c r="AD229" s="178"/>
      <c r="AF229" s="179"/>
      <c r="AG229" s="179"/>
      <c r="AI229" s="180"/>
      <c r="AJ229" s="180"/>
      <c r="AK229" s="180"/>
      <c r="AL229" s="180"/>
      <c r="AM229" s="181"/>
      <c r="AN229" s="180"/>
      <c r="AO229" s="180"/>
      <c r="AP229" s="180"/>
    </row>
    <row r="230">
      <c r="D230" s="172"/>
      <c r="E230" s="172"/>
      <c r="G230" s="173"/>
      <c r="H230" s="173"/>
      <c r="I230" s="173"/>
      <c r="M230" s="173"/>
      <c r="R230" s="174"/>
      <c r="S230" s="174"/>
      <c r="T230" s="90"/>
      <c r="U230" s="176"/>
      <c r="V230" s="176"/>
      <c r="W230" s="176"/>
      <c r="X230" s="176"/>
      <c r="Y230" s="176"/>
      <c r="Z230" s="177"/>
      <c r="AA230" s="176"/>
      <c r="AB230" s="176"/>
      <c r="AC230" s="176"/>
      <c r="AD230" s="178"/>
      <c r="AF230" s="179"/>
      <c r="AG230" s="179"/>
      <c r="AI230" s="180"/>
      <c r="AJ230" s="180"/>
      <c r="AK230" s="180"/>
      <c r="AL230" s="180"/>
      <c r="AM230" s="181"/>
      <c r="AN230" s="180"/>
      <c r="AO230" s="180"/>
      <c r="AP230" s="180"/>
    </row>
    <row r="231">
      <c r="D231" s="172"/>
      <c r="E231" s="172"/>
      <c r="G231" s="173"/>
      <c r="H231" s="173"/>
      <c r="I231" s="173"/>
      <c r="M231" s="173"/>
      <c r="R231" s="174"/>
      <c r="S231" s="174"/>
      <c r="T231" s="90"/>
      <c r="U231" s="176"/>
      <c r="V231" s="176"/>
      <c r="W231" s="176"/>
      <c r="X231" s="176"/>
      <c r="Y231" s="176"/>
      <c r="Z231" s="177"/>
      <c r="AA231" s="176"/>
      <c r="AB231" s="176"/>
      <c r="AC231" s="176"/>
      <c r="AD231" s="178"/>
      <c r="AF231" s="179"/>
      <c r="AG231" s="179"/>
      <c r="AI231" s="180"/>
      <c r="AJ231" s="180"/>
      <c r="AK231" s="180"/>
      <c r="AL231" s="180"/>
      <c r="AM231" s="181"/>
      <c r="AN231" s="180"/>
      <c r="AO231" s="180"/>
      <c r="AP231" s="180"/>
    </row>
    <row r="232">
      <c r="D232" s="172"/>
      <c r="E232" s="172"/>
      <c r="G232" s="173"/>
      <c r="H232" s="173"/>
      <c r="I232" s="173"/>
      <c r="M232" s="173"/>
      <c r="R232" s="174"/>
      <c r="S232" s="174"/>
      <c r="T232" s="90"/>
      <c r="U232" s="176"/>
      <c r="V232" s="176"/>
      <c r="W232" s="176"/>
      <c r="X232" s="176"/>
      <c r="Y232" s="176"/>
      <c r="Z232" s="177"/>
      <c r="AA232" s="176"/>
      <c r="AB232" s="176"/>
      <c r="AC232" s="176"/>
      <c r="AD232" s="178"/>
      <c r="AF232" s="179"/>
      <c r="AG232" s="179"/>
      <c r="AI232" s="180"/>
      <c r="AJ232" s="180"/>
      <c r="AK232" s="180"/>
      <c r="AL232" s="180"/>
      <c r="AM232" s="181"/>
      <c r="AN232" s="180"/>
      <c r="AO232" s="180"/>
      <c r="AP232" s="180"/>
    </row>
    <row r="233">
      <c r="D233" s="172"/>
      <c r="E233" s="172"/>
      <c r="G233" s="173"/>
      <c r="H233" s="173"/>
      <c r="I233" s="173"/>
      <c r="M233" s="173"/>
      <c r="R233" s="174"/>
      <c r="S233" s="174"/>
      <c r="T233" s="90"/>
      <c r="U233" s="176"/>
      <c r="V233" s="176"/>
      <c r="W233" s="176"/>
      <c r="X233" s="176"/>
      <c r="Y233" s="176"/>
      <c r="Z233" s="177"/>
      <c r="AA233" s="176"/>
      <c r="AB233" s="176"/>
      <c r="AC233" s="176"/>
      <c r="AD233" s="178"/>
      <c r="AF233" s="179"/>
      <c r="AG233" s="179"/>
      <c r="AI233" s="180"/>
      <c r="AJ233" s="180"/>
      <c r="AK233" s="180"/>
      <c r="AL233" s="180"/>
      <c r="AM233" s="181"/>
      <c r="AN233" s="180"/>
      <c r="AO233" s="180"/>
      <c r="AP233" s="180"/>
    </row>
    <row r="234">
      <c r="D234" s="172"/>
      <c r="E234" s="172"/>
      <c r="G234" s="173"/>
      <c r="H234" s="173"/>
      <c r="I234" s="173"/>
      <c r="M234" s="173"/>
      <c r="R234" s="174"/>
      <c r="S234" s="174"/>
      <c r="T234" s="90"/>
      <c r="U234" s="176"/>
      <c r="V234" s="176"/>
      <c r="W234" s="176"/>
      <c r="X234" s="176"/>
      <c r="Y234" s="176"/>
      <c r="Z234" s="177"/>
      <c r="AA234" s="176"/>
      <c r="AB234" s="176"/>
      <c r="AC234" s="176"/>
      <c r="AD234" s="178"/>
      <c r="AF234" s="179"/>
      <c r="AG234" s="179"/>
      <c r="AI234" s="180"/>
      <c r="AJ234" s="180"/>
      <c r="AK234" s="180"/>
      <c r="AL234" s="180"/>
      <c r="AM234" s="181"/>
      <c r="AN234" s="180"/>
      <c r="AO234" s="180"/>
      <c r="AP234" s="180"/>
    </row>
    <row r="235">
      <c r="D235" s="172"/>
      <c r="E235" s="172"/>
      <c r="G235" s="173"/>
      <c r="H235" s="173"/>
      <c r="I235" s="173"/>
      <c r="M235" s="173"/>
      <c r="R235" s="174"/>
      <c r="S235" s="174"/>
      <c r="T235" s="90"/>
      <c r="U235" s="176"/>
      <c r="V235" s="176"/>
      <c r="W235" s="176"/>
      <c r="X235" s="176"/>
      <c r="Y235" s="176"/>
      <c r="Z235" s="177"/>
      <c r="AA235" s="176"/>
      <c r="AB235" s="176"/>
      <c r="AC235" s="176"/>
      <c r="AD235" s="178"/>
      <c r="AF235" s="179"/>
      <c r="AG235" s="179"/>
      <c r="AI235" s="180"/>
      <c r="AJ235" s="180"/>
      <c r="AK235" s="180"/>
      <c r="AL235" s="180"/>
      <c r="AM235" s="181"/>
      <c r="AN235" s="180"/>
      <c r="AO235" s="180"/>
      <c r="AP235" s="180"/>
    </row>
    <row r="236">
      <c r="D236" s="172"/>
      <c r="E236" s="172"/>
      <c r="G236" s="173"/>
      <c r="H236" s="173"/>
      <c r="I236" s="173"/>
      <c r="M236" s="173"/>
      <c r="R236" s="174"/>
      <c r="S236" s="174"/>
      <c r="T236" s="90"/>
      <c r="U236" s="176"/>
      <c r="V236" s="176"/>
      <c r="W236" s="176"/>
      <c r="X236" s="176"/>
      <c r="Y236" s="176"/>
      <c r="Z236" s="177"/>
      <c r="AA236" s="176"/>
      <c r="AB236" s="176"/>
      <c r="AC236" s="176"/>
      <c r="AD236" s="178"/>
      <c r="AF236" s="179"/>
      <c r="AG236" s="179"/>
      <c r="AI236" s="180"/>
      <c r="AJ236" s="180"/>
      <c r="AK236" s="180"/>
      <c r="AL236" s="180"/>
      <c r="AM236" s="181"/>
      <c r="AN236" s="180"/>
      <c r="AO236" s="180"/>
      <c r="AP236" s="180"/>
    </row>
    <row r="237">
      <c r="D237" s="172"/>
      <c r="E237" s="172"/>
      <c r="G237" s="173"/>
      <c r="H237" s="173"/>
      <c r="I237" s="173"/>
      <c r="M237" s="173"/>
      <c r="R237" s="174"/>
      <c r="S237" s="174"/>
      <c r="T237" s="90"/>
      <c r="U237" s="176"/>
      <c r="V237" s="176"/>
      <c r="W237" s="176"/>
      <c r="X237" s="176"/>
      <c r="Y237" s="176"/>
      <c r="Z237" s="177"/>
      <c r="AA237" s="176"/>
      <c r="AB237" s="176"/>
      <c r="AC237" s="176"/>
      <c r="AD237" s="178"/>
      <c r="AF237" s="179"/>
      <c r="AG237" s="179"/>
      <c r="AI237" s="180"/>
      <c r="AJ237" s="180"/>
      <c r="AK237" s="180"/>
      <c r="AL237" s="180"/>
      <c r="AM237" s="181"/>
      <c r="AN237" s="180"/>
      <c r="AO237" s="180"/>
      <c r="AP237" s="180"/>
    </row>
    <row r="238">
      <c r="D238" s="172"/>
      <c r="E238" s="172"/>
      <c r="G238" s="173"/>
      <c r="H238" s="173"/>
      <c r="I238" s="173"/>
      <c r="M238" s="173"/>
      <c r="R238" s="174"/>
      <c r="S238" s="174"/>
      <c r="T238" s="90"/>
      <c r="U238" s="176"/>
      <c r="V238" s="176"/>
      <c r="W238" s="176"/>
      <c r="X238" s="176"/>
      <c r="Y238" s="176"/>
      <c r="Z238" s="177"/>
      <c r="AA238" s="176"/>
      <c r="AB238" s="176"/>
      <c r="AC238" s="176"/>
      <c r="AD238" s="178"/>
      <c r="AF238" s="179"/>
      <c r="AG238" s="179"/>
      <c r="AI238" s="180"/>
      <c r="AJ238" s="180"/>
      <c r="AK238" s="180"/>
      <c r="AL238" s="180"/>
      <c r="AM238" s="181"/>
      <c r="AN238" s="180"/>
      <c r="AO238" s="180"/>
      <c r="AP238" s="180"/>
    </row>
    <row r="239">
      <c r="D239" s="172"/>
      <c r="E239" s="172"/>
      <c r="G239" s="173"/>
      <c r="H239" s="173"/>
      <c r="I239" s="173"/>
      <c r="M239" s="173"/>
      <c r="R239" s="174"/>
      <c r="S239" s="174"/>
      <c r="T239" s="90"/>
      <c r="U239" s="176"/>
      <c r="V239" s="176"/>
      <c r="W239" s="176"/>
      <c r="X239" s="176"/>
      <c r="Y239" s="176"/>
      <c r="Z239" s="177"/>
      <c r="AA239" s="176"/>
      <c r="AB239" s="176"/>
      <c r="AC239" s="176"/>
      <c r="AD239" s="178"/>
      <c r="AF239" s="179"/>
      <c r="AG239" s="179"/>
      <c r="AI239" s="180"/>
      <c r="AJ239" s="180"/>
      <c r="AK239" s="180"/>
      <c r="AL239" s="180"/>
      <c r="AM239" s="181"/>
      <c r="AN239" s="180"/>
      <c r="AO239" s="180"/>
      <c r="AP239" s="180"/>
    </row>
    <row r="240">
      <c r="D240" s="172"/>
      <c r="E240" s="172"/>
      <c r="G240" s="173"/>
      <c r="H240" s="173"/>
      <c r="I240" s="173"/>
      <c r="M240" s="173"/>
      <c r="R240" s="174"/>
      <c r="S240" s="174"/>
      <c r="T240" s="90"/>
      <c r="U240" s="176"/>
      <c r="V240" s="176"/>
      <c r="W240" s="176"/>
      <c r="X240" s="176"/>
      <c r="Y240" s="176"/>
      <c r="Z240" s="177"/>
      <c r="AA240" s="176"/>
      <c r="AB240" s="176"/>
      <c r="AC240" s="176"/>
      <c r="AD240" s="178"/>
      <c r="AF240" s="179"/>
      <c r="AG240" s="179"/>
      <c r="AI240" s="180"/>
      <c r="AJ240" s="180"/>
      <c r="AK240" s="180"/>
      <c r="AL240" s="180"/>
      <c r="AM240" s="181"/>
      <c r="AN240" s="180"/>
      <c r="AO240" s="180"/>
      <c r="AP240" s="180"/>
    </row>
    <row r="241">
      <c r="D241" s="172"/>
      <c r="E241" s="172"/>
      <c r="G241" s="173"/>
      <c r="H241" s="173"/>
      <c r="I241" s="173"/>
      <c r="M241" s="173"/>
      <c r="R241" s="174"/>
      <c r="S241" s="174"/>
      <c r="T241" s="90"/>
      <c r="U241" s="176"/>
      <c r="V241" s="176"/>
      <c r="W241" s="176"/>
      <c r="X241" s="176"/>
      <c r="Y241" s="176"/>
      <c r="Z241" s="177"/>
      <c r="AA241" s="176"/>
      <c r="AB241" s="176"/>
      <c r="AC241" s="176"/>
      <c r="AD241" s="178"/>
      <c r="AF241" s="179"/>
      <c r="AG241" s="179"/>
      <c r="AI241" s="180"/>
      <c r="AJ241" s="180"/>
      <c r="AK241" s="180"/>
      <c r="AL241" s="180"/>
      <c r="AM241" s="181"/>
      <c r="AN241" s="180"/>
      <c r="AO241" s="180"/>
      <c r="AP241" s="180"/>
    </row>
    <row r="242">
      <c r="D242" s="172"/>
      <c r="E242" s="172"/>
      <c r="G242" s="173"/>
      <c r="H242" s="173"/>
      <c r="I242" s="173"/>
      <c r="M242" s="173"/>
      <c r="R242" s="174"/>
      <c r="S242" s="174"/>
      <c r="T242" s="90"/>
      <c r="U242" s="176"/>
      <c r="V242" s="176"/>
      <c r="W242" s="176"/>
      <c r="X242" s="176"/>
      <c r="Y242" s="176"/>
      <c r="Z242" s="177"/>
      <c r="AA242" s="176"/>
      <c r="AB242" s="176"/>
      <c r="AC242" s="176"/>
      <c r="AD242" s="178"/>
      <c r="AF242" s="179"/>
      <c r="AG242" s="179"/>
      <c r="AI242" s="180"/>
      <c r="AJ242" s="180"/>
      <c r="AK242" s="180"/>
      <c r="AL242" s="180"/>
      <c r="AM242" s="181"/>
      <c r="AN242" s="180"/>
      <c r="AO242" s="180"/>
      <c r="AP242" s="180"/>
    </row>
    <row r="243">
      <c r="D243" s="172"/>
      <c r="E243" s="172"/>
      <c r="G243" s="173"/>
      <c r="H243" s="173"/>
      <c r="I243" s="173"/>
      <c r="M243" s="173"/>
      <c r="R243" s="174"/>
      <c r="S243" s="174"/>
      <c r="T243" s="90"/>
      <c r="U243" s="176"/>
      <c r="V243" s="176"/>
      <c r="W243" s="176"/>
      <c r="X243" s="176"/>
      <c r="Y243" s="176"/>
      <c r="Z243" s="177"/>
      <c r="AA243" s="176"/>
      <c r="AB243" s="176"/>
      <c r="AC243" s="176"/>
      <c r="AD243" s="178"/>
      <c r="AF243" s="179"/>
      <c r="AG243" s="179"/>
      <c r="AI243" s="180"/>
      <c r="AJ243" s="180"/>
      <c r="AK243" s="180"/>
      <c r="AL243" s="180"/>
      <c r="AM243" s="181"/>
      <c r="AN243" s="180"/>
      <c r="AO243" s="180"/>
      <c r="AP243" s="180"/>
    </row>
    <row r="244">
      <c r="D244" s="172"/>
      <c r="E244" s="172"/>
      <c r="G244" s="173"/>
      <c r="H244" s="173"/>
      <c r="I244" s="173"/>
      <c r="M244" s="173"/>
      <c r="R244" s="174"/>
      <c r="S244" s="174"/>
      <c r="T244" s="90"/>
      <c r="U244" s="176"/>
      <c r="V244" s="176"/>
      <c r="W244" s="176"/>
      <c r="X244" s="176"/>
      <c r="Y244" s="176"/>
      <c r="Z244" s="177"/>
      <c r="AA244" s="176"/>
      <c r="AB244" s="176"/>
      <c r="AC244" s="176"/>
      <c r="AD244" s="178"/>
      <c r="AF244" s="179"/>
      <c r="AG244" s="179"/>
      <c r="AI244" s="180"/>
      <c r="AJ244" s="180"/>
      <c r="AK244" s="180"/>
      <c r="AL244" s="180"/>
      <c r="AM244" s="181"/>
      <c r="AN244" s="180"/>
      <c r="AO244" s="180"/>
      <c r="AP244" s="180"/>
    </row>
    <row r="245">
      <c r="D245" s="172"/>
      <c r="E245" s="172"/>
      <c r="G245" s="173"/>
      <c r="H245" s="173"/>
      <c r="I245" s="173"/>
      <c r="M245" s="173"/>
      <c r="R245" s="174"/>
      <c r="S245" s="174"/>
      <c r="T245" s="90"/>
      <c r="U245" s="176"/>
      <c r="V245" s="176"/>
      <c r="W245" s="176"/>
      <c r="X245" s="176"/>
      <c r="Y245" s="176"/>
      <c r="Z245" s="177"/>
      <c r="AA245" s="176"/>
      <c r="AB245" s="176"/>
      <c r="AC245" s="176"/>
      <c r="AD245" s="178"/>
      <c r="AF245" s="179"/>
      <c r="AG245" s="179"/>
      <c r="AI245" s="180"/>
      <c r="AJ245" s="180"/>
      <c r="AK245" s="180"/>
      <c r="AL245" s="180"/>
      <c r="AM245" s="181"/>
      <c r="AN245" s="180"/>
      <c r="AO245" s="180"/>
      <c r="AP245" s="180"/>
    </row>
    <row r="246">
      <c r="D246" s="172"/>
      <c r="E246" s="172"/>
      <c r="G246" s="173"/>
      <c r="H246" s="173"/>
      <c r="I246" s="173"/>
      <c r="M246" s="173"/>
      <c r="R246" s="174"/>
      <c r="S246" s="174"/>
      <c r="T246" s="90"/>
      <c r="U246" s="176"/>
      <c r="V246" s="176"/>
      <c r="W246" s="176"/>
      <c r="X246" s="176"/>
      <c r="Y246" s="176"/>
      <c r="Z246" s="177"/>
      <c r="AA246" s="176"/>
      <c r="AB246" s="176"/>
      <c r="AC246" s="176"/>
      <c r="AD246" s="178"/>
      <c r="AF246" s="179"/>
      <c r="AG246" s="179"/>
      <c r="AI246" s="180"/>
      <c r="AJ246" s="180"/>
      <c r="AK246" s="180"/>
      <c r="AL246" s="180"/>
      <c r="AM246" s="181"/>
      <c r="AN246" s="180"/>
      <c r="AO246" s="180"/>
      <c r="AP246" s="180"/>
    </row>
    <row r="247">
      <c r="D247" s="172"/>
      <c r="E247" s="172"/>
      <c r="G247" s="173"/>
      <c r="H247" s="173"/>
      <c r="I247" s="173"/>
      <c r="M247" s="173"/>
      <c r="R247" s="174"/>
      <c r="S247" s="174"/>
      <c r="T247" s="90"/>
      <c r="U247" s="176"/>
      <c r="V247" s="176"/>
      <c r="W247" s="176"/>
      <c r="X247" s="176"/>
      <c r="Y247" s="176"/>
      <c r="Z247" s="177"/>
      <c r="AA247" s="176"/>
      <c r="AB247" s="176"/>
      <c r="AC247" s="176"/>
      <c r="AD247" s="178"/>
      <c r="AF247" s="179"/>
      <c r="AG247" s="179"/>
      <c r="AI247" s="180"/>
      <c r="AJ247" s="180"/>
      <c r="AK247" s="180"/>
      <c r="AL247" s="180"/>
      <c r="AM247" s="181"/>
      <c r="AN247" s="180"/>
      <c r="AO247" s="180"/>
      <c r="AP247" s="180"/>
    </row>
    <row r="248">
      <c r="D248" s="172"/>
      <c r="E248" s="172"/>
      <c r="G248" s="173"/>
      <c r="H248" s="173"/>
      <c r="I248" s="173"/>
      <c r="M248" s="173"/>
      <c r="R248" s="174"/>
      <c r="S248" s="174"/>
      <c r="T248" s="90"/>
      <c r="U248" s="176"/>
      <c r="V248" s="176"/>
      <c r="W248" s="176"/>
      <c r="X248" s="176"/>
      <c r="Y248" s="176"/>
      <c r="Z248" s="177"/>
      <c r="AA248" s="176"/>
      <c r="AB248" s="176"/>
      <c r="AC248" s="176"/>
      <c r="AD248" s="178"/>
      <c r="AF248" s="179"/>
      <c r="AG248" s="179"/>
      <c r="AI248" s="180"/>
      <c r="AJ248" s="180"/>
      <c r="AK248" s="180"/>
      <c r="AL248" s="180"/>
      <c r="AM248" s="181"/>
      <c r="AN248" s="180"/>
      <c r="AO248" s="180"/>
      <c r="AP248" s="180"/>
    </row>
    <row r="249">
      <c r="D249" s="172"/>
      <c r="E249" s="172"/>
      <c r="G249" s="173"/>
      <c r="H249" s="173"/>
      <c r="I249" s="173"/>
      <c r="M249" s="173"/>
      <c r="R249" s="174"/>
      <c r="S249" s="174"/>
      <c r="T249" s="90"/>
      <c r="U249" s="176"/>
      <c r="V249" s="176"/>
      <c r="W249" s="176"/>
      <c r="X249" s="176"/>
      <c r="Y249" s="176"/>
      <c r="Z249" s="177"/>
      <c r="AA249" s="176"/>
      <c r="AB249" s="176"/>
      <c r="AC249" s="176"/>
      <c r="AD249" s="178"/>
      <c r="AF249" s="179"/>
      <c r="AG249" s="179"/>
      <c r="AI249" s="180"/>
      <c r="AJ249" s="180"/>
      <c r="AK249" s="180"/>
      <c r="AL249" s="180"/>
      <c r="AM249" s="181"/>
      <c r="AN249" s="180"/>
      <c r="AO249" s="180"/>
      <c r="AP249" s="180"/>
    </row>
    <row r="250">
      <c r="D250" s="172"/>
      <c r="E250" s="172"/>
      <c r="G250" s="173"/>
      <c r="H250" s="173"/>
      <c r="I250" s="173"/>
      <c r="M250" s="173"/>
      <c r="R250" s="174"/>
      <c r="S250" s="174"/>
      <c r="T250" s="90"/>
      <c r="U250" s="176"/>
      <c r="V250" s="176"/>
      <c r="W250" s="176"/>
      <c r="X250" s="176"/>
      <c r="Y250" s="176"/>
      <c r="Z250" s="177"/>
      <c r="AA250" s="176"/>
      <c r="AB250" s="176"/>
      <c r="AC250" s="176"/>
      <c r="AD250" s="178"/>
      <c r="AF250" s="179"/>
      <c r="AG250" s="179"/>
      <c r="AI250" s="180"/>
      <c r="AJ250" s="180"/>
      <c r="AK250" s="180"/>
      <c r="AL250" s="180"/>
      <c r="AM250" s="181"/>
      <c r="AN250" s="180"/>
      <c r="AO250" s="180"/>
      <c r="AP250" s="180"/>
    </row>
    <row r="251">
      <c r="D251" s="172"/>
      <c r="E251" s="172"/>
      <c r="G251" s="173"/>
      <c r="H251" s="173"/>
      <c r="I251" s="173"/>
      <c r="M251" s="173"/>
      <c r="R251" s="174"/>
      <c r="S251" s="174"/>
      <c r="T251" s="90"/>
      <c r="U251" s="176"/>
      <c r="V251" s="176"/>
      <c r="W251" s="176"/>
      <c r="X251" s="176"/>
      <c r="Y251" s="176"/>
      <c r="Z251" s="177"/>
      <c r="AA251" s="176"/>
      <c r="AB251" s="176"/>
      <c r="AC251" s="176"/>
      <c r="AD251" s="178"/>
      <c r="AF251" s="179"/>
      <c r="AG251" s="179"/>
      <c r="AI251" s="180"/>
      <c r="AJ251" s="180"/>
      <c r="AK251" s="180"/>
      <c r="AL251" s="180"/>
      <c r="AM251" s="181"/>
      <c r="AN251" s="180"/>
      <c r="AO251" s="180"/>
      <c r="AP251" s="180"/>
    </row>
    <row r="252">
      <c r="D252" s="172"/>
      <c r="E252" s="172"/>
      <c r="G252" s="173"/>
      <c r="H252" s="173"/>
      <c r="I252" s="173"/>
      <c r="M252" s="173"/>
      <c r="R252" s="174"/>
      <c r="S252" s="174"/>
      <c r="T252" s="90"/>
      <c r="U252" s="176"/>
      <c r="V252" s="176"/>
      <c r="W252" s="176"/>
      <c r="X252" s="176"/>
      <c r="Y252" s="176"/>
      <c r="Z252" s="177"/>
      <c r="AA252" s="176"/>
      <c r="AB252" s="176"/>
      <c r="AC252" s="176"/>
      <c r="AD252" s="178"/>
      <c r="AF252" s="179"/>
      <c r="AG252" s="179"/>
      <c r="AI252" s="180"/>
      <c r="AJ252" s="180"/>
      <c r="AK252" s="180"/>
      <c r="AL252" s="180"/>
      <c r="AM252" s="181"/>
      <c r="AN252" s="180"/>
      <c r="AO252" s="180"/>
      <c r="AP252" s="180"/>
    </row>
    <row r="253">
      <c r="D253" s="172"/>
      <c r="E253" s="172"/>
      <c r="G253" s="173"/>
      <c r="H253" s="173"/>
      <c r="I253" s="173"/>
      <c r="M253" s="173"/>
      <c r="R253" s="174"/>
      <c r="S253" s="174"/>
      <c r="T253" s="90"/>
      <c r="U253" s="176"/>
      <c r="V253" s="176"/>
      <c r="W253" s="176"/>
      <c r="X253" s="176"/>
      <c r="Y253" s="176"/>
      <c r="Z253" s="177"/>
      <c r="AA253" s="176"/>
      <c r="AB253" s="176"/>
      <c r="AC253" s="176"/>
      <c r="AD253" s="178"/>
      <c r="AF253" s="179"/>
      <c r="AG253" s="179"/>
      <c r="AI253" s="180"/>
      <c r="AJ253" s="180"/>
      <c r="AK253" s="180"/>
      <c r="AL253" s="180"/>
      <c r="AM253" s="181"/>
      <c r="AN253" s="180"/>
      <c r="AO253" s="180"/>
      <c r="AP253" s="180"/>
    </row>
    <row r="254">
      <c r="D254" s="172"/>
      <c r="E254" s="172"/>
      <c r="G254" s="173"/>
      <c r="H254" s="173"/>
      <c r="I254" s="173"/>
      <c r="M254" s="173"/>
      <c r="R254" s="174"/>
      <c r="S254" s="174"/>
      <c r="T254" s="90"/>
      <c r="U254" s="176"/>
      <c r="V254" s="176"/>
      <c r="W254" s="176"/>
      <c r="X254" s="176"/>
      <c r="Y254" s="176"/>
      <c r="Z254" s="177"/>
      <c r="AA254" s="176"/>
      <c r="AB254" s="176"/>
      <c r="AC254" s="176"/>
      <c r="AD254" s="178"/>
      <c r="AF254" s="179"/>
      <c r="AG254" s="179"/>
      <c r="AI254" s="180"/>
      <c r="AJ254" s="180"/>
      <c r="AK254" s="180"/>
      <c r="AL254" s="180"/>
      <c r="AM254" s="181"/>
      <c r="AN254" s="180"/>
      <c r="AO254" s="180"/>
      <c r="AP254" s="180"/>
    </row>
    <row r="255">
      <c r="D255" s="172"/>
      <c r="E255" s="172"/>
      <c r="G255" s="173"/>
      <c r="H255" s="173"/>
      <c r="I255" s="173"/>
      <c r="M255" s="173"/>
      <c r="R255" s="174"/>
      <c r="S255" s="174"/>
      <c r="T255" s="90"/>
      <c r="U255" s="176"/>
      <c r="V255" s="176"/>
      <c r="W255" s="176"/>
      <c r="X255" s="176"/>
      <c r="Y255" s="176"/>
      <c r="Z255" s="177"/>
      <c r="AA255" s="176"/>
      <c r="AB255" s="176"/>
      <c r="AC255" s="176"/>
      <c r="AD255" s="178"/>
      <c r="AF255" s="179"/>
      <c r="AG255" s="179"/>
      <c r="AI255" s="180"/>
      <c r="AJ255" s="180"/>
      <c r="AK255" s="180"/>
      <c r="AL255" s="180"/>
      <c r="AM255" s="181"/>
      <c r="AN255" s="180"/>
      <c r="AO255" s="180"/>
      <c r="AP255" s="180"/>
    </row>
    <row r="256">
      <c r="D256" s="172"/>
      <c r="E256" s="172"/>
      <c r="G256" s="173"/>
      <c r="H256" s="173"/>
      <c r="I256" s="173"/>
      <c r="M256" s="173"/>
      <c r="R256" s="174"/>
      <c r="S256" s="174"/>
      <c r="T256" s="90"/>
      <c r="U256" s="176"/>
      <c r="V256" s="176"/>
      <c r="W256" s="176"/>
      <c r="X256" s="176"/>
      <c r="Y256" s="176"/>
      <c r="Z256" s="177"/>
      <c r="AA256" s="176"/>
      <c r="AB256" s="176"/>
      <c r="AC256" s="176"/>
      <c r="AD256" s="178"/>
      <c r="AF256" s="179"/>
      <c r="AG256" s="179"/>
      <c r="AI256" s="180"/>
      <c r="AJ256" s="180"/>
      <c r="AK256" s="180"/>
      <c r="AL256" s="180"/>
      <c r="AM256" s="181"/>
      <c r="AN256" s="180"/>
      <c r="AO256" s="180"/>
      <c r="AP256" s="180"/>
    </row>
    <row r="257">
      <c r="D257" s="172"/>
      <c r="E257" s="172"/>
      <c r="G257" s="173"/>
      <c r="H257" s="173"/>
      <c r="I257" s="173"/>
      <c r="M257" s="173"/>
      <c r="R257" s="174"/>
      <c r="S257" s="174"/>
      <c r="T257" s="90"/>
      <c r="U257" s="176"/>
      <c r="V257" s="176"/>
      <c r="W257" s="176"/>
      <c r="X257" s="176"/>
      <c r="Y257" s="176"/>
      <c r="Z257" s="177"/>
      <c r="AA257" s="176"/>
      <c r="AB257" s="176"/>
      <c r="AC257" s="176"/>
      <c r="AD257" s="178"/>
      <c r="AF257" s="179"/>
      <c r="AG257" s="179"/>
      <c r="AI257" s="180"/>
      <c r="AJ257" s="180"/>
      <c r="AK257" s="180"/>
      <c r="AL257" s="180"/>
      <c r="AM257" s="181"/>
      <c r="AN257" s="180"/>
      <c r="AO257" s="180"/>
      <c r="AP257" s="180"/>
    </row>
    <row r="258">
      <c r="D258" s="172"/>
      <c r="E258" s="172"/>
      <c r="G258" s="173"/>
      <c r="H258" s="173"/>
      <c r="I258" s="173"/>
      <c r="M258" s="173"/>
      <c r="R258" s="174"/>
      <c r="S258" s="174"/>
      <c r="T258" s="90"/>
      <c r="U258" s="176"/>
      <c r="V258" s="176"/>
      <c r="W258" s="176"/>
      <c r="X258" s="176"/>
      <c r="Y258" s="176"/>
      <c r="Z258" s="177"/>
      <c r="AA258" s="176"/>
      <c r="AB258" s="176"/>
      <c r="AC258" s="176"/>
      <c r="AD258" s="178"/>
      <c r="AF258" s="179"/>
      <c r="AG258" s="179"/>
      <c r="AI258" s="180"/>
      <c r="AJ258" s="180"/>
      <c r="AK258" s="180"/>
      <c r="AL258" s="180"/>
      <c r="AM258" s="181"/>
      <c r="AN258" s="180"/>
      <c r="AO258" s="180"/>
      <c r="AP258" s="180"/>
    </row>
    <row r="259">
      <c r="D259" s="172"/>
      <c r="E259" s="172"/>
      <c r="G259" s="173"/>
      <c r="H259" s="173"/>
      <c r="I259" s="173"/>
      <c r="M259" s="173"/>
      <c r="R259" s="174"/>
      <c r="S259" s="174"/>
      <c r="T259" s="90"/>
      <c r="U259" s="176"/>
      <c r="V259" s="176"/>
      <c r="W259" s="176"/>
      <c r="X259" s="176"/>
      <c r="Y259" s="176"/>
      <c r="Z259" s="177"/>
      <c r="AA259" s="176"/>
      <c r="AB259" s="176"/>
      <c r="AC259" s="176"/>
      <c r="AD259" s="178"/>
      <c r="AF259" s="179"/>
      <c r="AG259" s="179"/>
      <c r="AI259" s="180"/>
      <c r="AJ259" s="180"/>
      <c r="AK259" s="180"/>
      <c r="AL259" s="180"/>
      <c r="AM259" s="181"/>
      <c r="AN259" s="180"/>
      <c r="AO259" s="180"/>
      <c r="AP259" s="180"/>
    </row>
    <row r="260">
      <c r="D260" s="172"/>
      <c r="E260" s="172"/>
      <c r="G260" s="173"/>
      <c r="H260" s="173"/>
      <c r="I260" s="173"/>
      <c r="M260" s="173"/>
      <c r="R260" s="174"/>
      <c r="S260" s="174"/>
      <c r="T260" s="90"/>
      <c r="U260" s="176"/>
      <c r="V260" s="176"/>
      <c r="W260" s="176"/>
      <c r="X260" s="176"/>
      <c r="Y260" s="176"/>
      <c r="Z260" s="177"/>
      <c r="AA260" s="176"/>
      <c r="AB260" s="176"/>
      <c r="AC260" s="176"/>
      <c r="AD260" s="178"/>
      <c r="AF260" s="179"/>
      <c r="AG260" s="179"/>
      <c r="AI260" s="180"/>
      <c r="AJ260" s="180"/>
      <c r="AK260" s="180"/>
      <c r="AL260" s="180"/>
      <c r="AM260" s="181"/>
      <c r="AN260" s="180"/>
      <c r="AO260" s="180"/>
      <c r="AP260" s="180"/>
    </row>
    <row r="261">
      <c r="D261" s="172"/>
      <c r="E261" s="172"/>
      <c r="G261" s="173"/>
      <c r="H261" s="173"/>
      <c r="I261" s="173"/>
      <c r="M261" s="173"/>
      <c r="R261" s="174"/>
      <c r="S261" s="174"/>
      <c r="T261" s="90"/>
      <c r="U261" s="176"/>
      <c r="V261" s="176"/>
      <c r="W261" s="176"/>
      <c r="X261" s="176"/>
      <c r="Y261" s="176"/>
      <c r="Z261" s="177"/>
      <c r="AA261" s="176"/>
      <c r="AB261" s="176"/>
      <c r="AC261" s="176"/>
      <c r="AD261" s="178"/>
      <c r="AF261" s="179"/>
      <c r="AG261" s="179"/>
      <c r="AI261" s="180"/>
      <c r="AJ261" s="180"/>
      <c r="AK261" s="180"/>
      <c r="AL261" s="180"/>
      <c r="AM261" s="181"/>
      <c r="AN261" s="180"/>
      <c r="AO261" s="180"/>
      <c r="AP261" s="180"/>
    </row>
    <row r="262">
      <c r="D262" s="172"/>
      <c r="E262" s="172"/>
      <c r="G262" s="173"/>
      <c r="H262" s="173"/>
      <c r="I262" s="173"/>
      <c r="M262" s="173"/>
      <c r="R262" s="174"/>
      <c r="S262" s="174"/>
      <c r="T262" s="90"/>
      <c r="U262" s="176"/>
      <c r="V262" s="176"/>
      <c r="W262" s="176"/>
      <c r="X262" s="176"/>
      <c r="Y262" s="176"/>
      <c r="Z262" s="177"/>
      <c r="AA262" s="176"/>
      <c r="AB262" s="176"/>
      <c r="AC262" s="176"/>
      <c r="AD262" s="178"/>
      <c r="AF262" s="179"/>
      <c r="AG262" s="179"/>
      <c r="AI262" s="180"/>
      <c r="AJ262" s="180"/>
      <c r="AK262" s="180"/>
      <c r="AL262" s="180"/>
      <c r="AM262" s="181"/>
      <c r="AN262" s="180"/>
      <c r="AO262" s="180"/>
      <c r="AP262" s="180"/>
    </row>
    <row r="263">
      <c r="D263" s="172"/>
      <c r="E263" s="172"/>
      <c r="G263" s="173"/>
      <c r="H263" s="173"/>
      <c r="I263" s="173"/>
      <c r="M263" s="173"/>
      <c r="R263" s="174"/>
      <c r="S263" s="174"/>
      <c r="T263" s="90"/>
      <c r="U263" s="176"/>
      <c r="V263" s="176"/>
      <c r="W263" s="176"/>
      <c r="X263" s="176"/>
      <c r="Y263" s="176"/>
      <c r="Z263" s="177"/>
      <c r="AA263" s="176"/>
      <c r="AB263" s="176"/>
      <c r="AC263" s="176"/>
      <c r="AD263" s="178"/>
      <c r="AF263" s="179"/>
      <c r="AG263" s="179"/>
      <c r="AI263" s="180"/>
      <c r="AJ263" s="180"/>
      <c r="AK263" s="180"/>
      <c r="AL263" s="180"/>
      <c r="AM263" s="181"/>
      <c r="AN263" s="180"/>
      <c r="AO263" s="180"/>
      <c r="AP263" s="180"/>
    </row>
    <row r="264">
      <c r="D264" s="172"/>
      <c r="E264" s="172"/>
      <c r="G264" s="173"/>
      <c r="H264" s="173"/>
      <c r="I264" s="173"/>
      <c r="M264" s="173"/>
      <c r="R264" s="174"/>
      <c r="S264" s="174"/>
      <c r="T264" s="90"/>
      <c r="U264" s="176"/>
      <c r="V264" s="176"/>
      <c r="W264" s="176"/>
      <c r="X264" s="176"/>
      <c r="Y264" s="176"/>
      <c r="Z264" s="177"/>
      <c r="AA264" s="176"/>
      <c r="AB264" s="176"/>
      <c r="AC264" s="176"/>
      <c r="AD264" s="178"/>
      <c r="AF264" s="179"/>
      <c r="AG264" s="179"/>
      <c r="AI264" s="180"/>
      <c r="AJ264" s="180"/>
      <c r="AK264" s="180"/>
      <c r="AL264" s="180"/>
      <c r="AM264" s="181"/>
      <c r="AN264" s="180"/>
      <c r="AO264" s="180"/>
      <c r="AP264" s="180"/>
    </row>
    <row r="265">
      <c r="D265" s="172"/>
      <c r="E265" s="172"/>
      <c r="G265" s="173"/>
      <c r="H265" s="173"/>
      <c r="I265" s="173"/>
      <c r="M265" s="173"/>
      <c r="R265" s="174"/>
      <c r="S265" s="174"/>
      <c r="T265" s="90"/>
      <c r="U265" s="176"/>
      <c r="V265" s="176"/>
      <c r="W265" s="176"/>
      <c r="X265" s="176"/>
      <c r="Y265" s="176"/>
      <c r="Z265" s="177"/>
      <c r="AA265" s="176"/>
      <c r="AB265" s="176"/>
      <c r="AC265" s="176"/>
      <c r="AD265" s="178"/>
      <c r="AF265" s="179"/>
      <c r="AG265" s="179"/>
      <c r="AI265" s="180"/>
      <c r="AJ265" s="180"/>
      <c r="AK265" s="180"/>
      <c r="AL265" s="180"/>
      <c r="AM265" s="181"/>
      <c r="AN265" s="180"/>
      <c r="AO265" s="180"/>
      <c r="AP265" s="180"/>
    </row>
    <row r="266">
      <c r="D266" s="172"/>
      <c r="E266" s="172"/>
      <c r="G266" s="173"/>
      <c r="H266" s="173"/>
      <c r="I266" s="173"/>
      <c r="M266" s="173"/>
      <c r="R266" s="174"/>
      <c r="S266" s="174"/>
      <c r="T266" s="90"/>
      <c r="U266" s="176"/>
      <c r="V266" s="176"/>
      <c r="W266" s="176"/>
      <c r="X266" s="176"/>
      <c r="Y266" s="176"/>
      <c r="Z266" s="177"/>
      <c r="AA266" s="176"/>
      <c r="AB266" s="176"/>
      <c r="AC266" s="176"/>
      <c r="AD266" s="178"/>
      <c r="AF266" s="179"/>
      <c r="AG266" s="179"/>
      <c r="AI266" s="180"/>
      <c r="AJ266" s="180"/>
      <c r="AK266" s="180"/>
      <c r="AL266" s="180"/>
      <c r="AM266" s="181"/>
      <c r="AN266" s="180"/>
      <c r="AO266" s="180"/>
      <c r="AP266" s="180"/>
    </row>
    <row r="267">
      <c r="D267" s="172"/>
      <c r="E267" s="172"/>
      <c r="G267" s="173"/>
      <c r="H267" s="173"/>
      <c r="I267" s="173"/>
      <c r="M267" s="173"/>
      <c r="R267" s="174"/>
      <c r="S267" s="174"/>
      <c r="T267" s="90"/>
      <c r="U267" s="176"/>
      <c r="V267" s="176"/>
      <c r="W267" s="176"/>
      <c r="X267" s="176"/>
      <c r="Y267" s="176"/>
      <c r="Z267" s="177"/>
      <c r="AA267" s="176"/>
      <c r="AB267" s="176"/>
      <c r="AC267" s="176"/>
      <c r="AD267" s="178"/>
      <c r="AF267" s="179"/>
      <c r="AG267" s="179"/>
      <c r="AI267" s="180"/>
      <c r="AJ267" s="180"/>
      <c r="AK267" s="180"/>
      <c r="AL267" s="180"/>
      <c r="AM267" s="181"/>
      <c r="AN267" s="180"/>
      <c r="AO267" s="180"/>
      <c r="AP267" s="180"/>
    </row>
    <row r="268">
      <c r="D268" s="172"/>
      <c r="E268" s="172"/>
      <c r="G268" s="173"/>
      <c r="H268" s="173"/>
      <c r="I268" s="173"/>
      <c r="M268" s="173"/>
      <c r="R268" s="174"/>
      <c r="S268" s="174"/>
      <c r="T268" s="90"/>
      <c r="U268" s="176"/>
      <c r="V268" s="176"/>
      <c r="W268" s="176"/>
      <c r="X268" s="176"/>
      <c r="Y268" s="176"/>
      <c r="Z268" s="177"/>
      <c r="AA268" s="176"/>
      <c r="AB268" s="176"/>
      <c r="AC268" s="176"/>
      <c r="AD268" s="178"/>
      <c r="AF268" s="179"/>
      <c r="AG268" s="179"/>
      <c r="AI268" s="180"/>
      <c r="AJ268" s="180"/>
      <c r="AK268" s="180"/>
      <c r="AL268" s="180"/>
      <c r="AM268" s="181"/>
      <c r="AN268" s="180"/>
      <c r="AO268" s="180"/>
      <c r="AP268" s="180"/>
    </row>
    <row r="269">
      <c r="D269" s="172"/>
      <c r="E269" s="172"/>
      <c r="G269" s="173"/>
      <c r="H269" s="173"/>
      <c r="I269" s="173"/>
      <c r="M269" s="173"/>
      <c r="R269" s="174"/>
      <c r="S269" s="174"/>
      <c r="T269" s="90"/>
      <c r="U269" s="176"/>
      <c r="V269" s="176"/>
      <c r="W269" s="176"/>
      <c r="X269" s="176"/>
      <c r="Y269" s="176"/>
      <c r="Z269" s="177"/>
      <c r="AA269" s="176"/>
      <c r="AB269" s="176"/>
      <c r="AC269" s="176"/>
      <c r="AD269" s="178"/>
      <c r="AF269" s="179"/>
      <c r="AG269" s="179"/>
      <c r="AI269" s="180"/>
      <c r="AJ269" s="180"/>
      <c r="AK269" s="180"/>
      <c r="AL269" s="180"/>
      <c r="AM269" s="181"/>
      <c r="AN269" s="180"/>
      <c r="AO269" s="180"/>
      <c r="AP269" s="180"/>
    </row>
    <row r="270">
      <c r="D270" s="172"/>
      <c r="E270" s="172"/>
      <c r="G270" s="173"/>
      <c r="H270" s="173"/>
      <c r="I270" s="173"/>
      <c r="M270" s="173"/>
      <c r="R270" s="174"/>
      <c r="S270" s="174"/>
      <c r="T270" s="90"/>
      <c r="U270" s="176"/>
      <c r="V270" s="176"/>
      <c r="W270" s="176"/>
      <c r="X270" s="176"/>
      <c r="Y270" s="176"/>
      <c r="Z270" s="177"/>
      <c r="AA270" s="176"/>
      <c r="AB270" s="176"/>
      <c r="AC270" s="176"/>
      <c r="AD270" s="178"/>
      <c r="AF270" s="179"/>
      <c r="AG270" s="179"/>
      <c r="AI270" s="180"/>
      <c r="AJ270" s="180"/>
      <c r="AK270" s="180"/>
      <c r="AL270" s="180"/>
      <c r="AM270" s="181"/>
      <c r="AN270" s="180"/>
      <c r="AO270" s="180"/>
      <c r="AP270" s="180"/>
    </row>
    <row r="271">
      <c r="D271" s="172"/>
      <c r="E271" s="172"/>
      <c r="G271" s="173"/>
      <c r="H271" s="173"/>
      <c r="I271" s="173"/>
      <c r="M271" s="173"/>
      <c r="R271" s="174"/>
      <c r="S271" s="174"/>
      <c r="T271" s="90"/>
      <c r="U271" s="176"/>
      <c r="V271" s="176"/>
      <c r="W271" s="176"/>
      <c r="X271" s="176"/>
      <c r="Y271" s="176"/>
      <c r="Z271" s="177"/>
      <c r="AA271" s="176"/>
      <c r="AB271" s="176"/>
      <c r="AC271" s="176"/>
      <c r="AD271" s="178"/>
      <c r="AF271" s="179"/>
      <c r="AG271" s="179"/>
      <c r="AI271" s="180"/>
      <c r="AJ271" s="180"/>
      <c r="AK271" s="180"/>
      <c r="AL271" s="180"/>
      <c r="AM271" s="181"/>
      <c r="AN271" s="180"/>
      <c r="AO271" s="180"/>
      <c r="AP271" s="180"/>
    </row>
    <row r="272">
      <c r="D272" s="172"/>
      <c r="E272" s="172"/>
      <c r="G272" s="173"/>
      <c r="H272" s="173"/>
      <c r="I272" s="173"/>
      <c r="M272" s="173"/>
      <c r="R272" s="174"/>
      <c r="S272" s="174"/>
      <c r="T272" s="90"/>
      <c r="U272" s="176"/>
      <c r="V272" s="176"/>
      <c r="W272" s="176"/>
      <c r="X272" s="176"/>
      <c r="Y272" s="176"/>
      <c r="Z272" s="177"/>
      <c r="AA272" s="176"/>
      <c r="AB272" s="176"/>
      <c r="AC272" s="176"/>
      <c r="AD272" s="178"/>
      <c r="AF272" s="179"/>
      <c r="AG272" s="179"/>
      <c r="AI272" s="180"/>
      <c r="AJ272" s="180"/>
      <c r="AK272" s="180"/>
      <c r="AL272" s="180"/>
      <c r="AM272" s="181"/>
      <c r="AN272" s="180"/>
      <c r="AO272" s="180"/>
      <c r="AP272" s="180"/>
    </row>
    <row r="273">
      <c r="D273" s="172"/>
      <c r="E273" s="172"/>
      <c r="G273" s="173"/>
      <c r="H273" s="173"/>
      <c r="I273" s="173"/>
      <c r="M273" s="173"/>
      <c r="R273" s="174"/>
      <c r="S273" s="174"/>
      <c r="T273" s="90"/>
      <c r="U273" s="176"/>
      <c r="V273" s="176"/>
      <c r="W273" s="176"/>
      <c r="X273" s="176"/>
      <c r="Y273" s="176"/>
      <c r="Z273" s="177"/>
      <c r="AA273" s="176"/>
      <c r="AB273" s="176"/>
      <c r="AC273" s="176"/>
      <c r="AD273" s="178"/>
      <c r="AF273" s="179"/>
      <c r="AG273" s="179"/>
      <c r="AI273" s="180"/>
      <c r="AJ273" s="180"/>
      <c r="AK273" s="180"/>
      <c r="AL273" s="180"/>
      <c r="AM273" s="181"/>
      <c r="AN273" s="180"/>
      <c r="AO273" s="180"/>
      <c r="AP273" s="180"/>
    </row>
    <row r="274">
      <c r="D274" s="172"/>
      <c r="E274" s="172"/>
      <c r="G274" s="173"/>
      <c r="H274" s="173"/>
      <c r="I274" s="173"/>
      <c r="M274" s="173"/>
      <c r="R274" s="174"/>
      <c r="S274" s="174"/>
      <c r="T274" s="90"/>
      <c r="U274" s="176"/>
      <c r="V274" s="176"/>
      <c r="W274" s="176"/>
      <c r="X274" s="176"/>
      <c r="Y274" s="176"/>
      <c r="Z274" s="177"/>
      <c r="AA274" s="176"/>
      <c r="AB274" s="176"/>
      <c r="AC274" s="176"/>
      <c r="AD274" s="178"/>
      <c r="AF274" s="179"/>
      <c r="AG274" s="179"/>
      <c r="AI274" s="180"/>
      <c r="AJ274" s="180"/>
      <c r="AK274" s="180"/>
      <c r="AL274" s="180"/>
      <c r="AM274" s="181"/>
      <c r="AN274" s="180"/>
      <c r="AO274" s="180"/>
      <c r="AP274" s="180"/>
    </row>
    <row r="275">
      <c r="D275" s="172"/>
      <c r="E275" s="172"/>
      <c r="G275" s="173"/>
      <c r="H275" s="173"/>
      <c r="I275" s="173"/>
      <c r="M275" s="173"/>
      <c r="R275" s="174"/>
      <c r="S275" s="174"/>
      <c r="T275" s="90"/>
      <c r="U275" s="176"/>
      <c r="V275" s="176"/>
      <c r="W275" s="176"/>
      <c r="X275" s="176"/>
      <c r="Y275" s="176"/>
      <c r="Z275" s="177"/>
      <c r="AA275" s="176"/>
      <c r="AB275" s="176"/>
      <c r="AC275" s="176"/>
      <c r="AD275" s="178"/>
      <c r="AF275" s="179"/>
      <c r="AG275" s="179"/>
      <c r="AI275" s="180"/>
      <c r="AJ275" s="180"/>
      <c r="AK275" s="180"/>
      <c r="AL275" s="180"/>
      <c r="AM275" s="181"/>
      <c r="AN275" s="180"/>
      <c r="AO275" s="180"/>
      <c r="AP275" s="180"/>
    </row>
    <row r="276">
      <c r="D276" s="172"/>
      <c r="E276" s="172"/>
      <c r="G276" s="173"/>
      <c r="H276" s="173"/>
      <c r="I276" s="173"/>
      <c r="M276" s="173"/>
      <c r="R276" s="174"/>
      <c r="S276" s="174"/>
      <c r="T276" s="90"/>
      <c r="U276" s="176"/>
      <c r="V276" s="176"/>
      <c r="W276" s="176"/>
      <c r="X276" s="176"/>
      <c r="Y276" s="176"/>
      <c r="Z276" s="177"/>
      <c r="AA276" s="176"/>
      <c r="AB276" s="176"/>
      <c r="AC276" s="176"/>
      <c r="AD276" s="178"/>
      <c r="AF276" s="179"/>
      <c r="AG276" s="179"/>
      <c r="AI276" s="180"/>
      <c r="AJ276" s="180"/>
      <c r="AK276" s="180"/>
      <c r="AL276" s="180"/>
      <c r="AM276" s="181"/>
      <c r="AN276" s="180"/>
      <c r="AO276" s="180"/>
      <c r="AP276" s="180"/>
    </row>
    <row r="277">
      <c r="D277" s="172"/>
      <c r="E277" s="172"/>
      <c r="G277" s="173"/>
      <c r="H277" s="173"/>
      <c r="I277" s="173"/>
      <c r="M277" s="173"/>
      <c r="R277" s="174"/>
      <c r="S277" s="174"/>
      <c r="T277" s="90"/>
      <c r="U277" s="176"/>
      <c r="V277" s="176"/>
      <c r="W277" s="176"/>
      <c r="X277" s="176"/>
      <c r="Y277" s="176"/>
      <c r="Z277" s="177"/>
      <c r="AA277" s="176"/>
      <c r="AB277" s="176"/>
      <c r="AC277" s="176"/>
      <c r="AD277" s="178"/>
      <c r="AF277" s="179"/>
      <c r="AG277" s="179"/>
      <c r="AI277" s="180"/>
      <c r="AJ277" s="180"/>
      <c r="AK277" s="180"/>
      <c r="AL277" s="180"/>
      <c r="AM277" s="181"/>
      <c r="AN277" s="180"/>
      <c r="AO277" s="180"/>
      <c r="AP277" s="180"/>
    </row>
    <row r="278">
      <c r="D278" s="172"/>
      <c r="E278" s="172"/>
      <c r="G278" s="173"/>
      <c r="H278" s="173"/>
      <c r="I278" s="173"/>
      <c r="M278" s="173"/>
      <c r="R278" s="174"/>
      <c r="S278" s="174"/>
      <c r="T278" s="90"/>
      <c r="U278" s="176"/>
      <c r="V278" s="176"/>
      <c r="W278" s="176"/>
      <c r="X278" s="176"/>
      <c r="Y278" s="176"/>
      <c r="Z278" s="177"/>
      <c r="AA278" s="176"/>
      <c r="AB278" s="176"/>
      <c r="AC278" s="176"/>
      <c r="AD278" s="178"/>
      <c r="AF278" s="179"/>
      <c r="AG278" s="179"/>
      <c r="AI278" s="180"/>
      <c r="AJ278" s="180"/>
      <c r="AK278" s="180"/>
      <c r="AL278" s="180"/>
      <c r="AM278" s="181"/>
      <c r="AN278" s="180"/>
      <c r="AO278" s="180"/>
      <c r="AP278" s="180"/>
    </row>
    <row r="279">
      <c r="D279" s="172"/>
      <c r="E279" s="172"/>
      <c r="G279" s="173"/>
      <c r="H279" s="173"/>
      <c r="I279" s="173"/>
      <c r="M279" s="173"/>
      <c r="R279" s="174"/>
      <c r="S279" s="174"/>
      <c r="T279" s="90"/>
      <c r="U279" s="176"/>
      <c r="V279" s="176"/>
      <c r="W279" s="176"/>
      <c r="X279" s="176"/>
      <c r="Y279" s="176"/>
      <c r="Z279" s="177"/>
      <c r="AA279" s="176"/>
      <c r="AB279" s="176"/>
      <c r="AC279" s="176"/>
      <c r="AD279" s="178"/>
      <c r="AF279" s="179"/>
      <c r="AG279" s="179"/>
      <c r="AI279" s="180"/>
      <c r="AJ279" s="180"/>
      <c r="AK279" s="180"/>
      <c r="AL279" s="180"/>
      <c r="AM279" s="181"/>
      <c r="AN279" s="180"/>
      <c r="AO279" s="180"/>
      <c r="AP279" s="180"/>
    </row>
    <row r="280">
      <c r="D280" s="172"/>
      <c r="E280" s="172"/>
      <c r="G280" s="173"/>
      <c r="H280" s="173"/>
      <c r="I280" s="173"/>
      <c r="M280" s="173"/>
      <c r="R280" s="174"/>
      <c r="S280" s="174"/>
      <c r="T280" s="90"/>
      <c r="U280" s="176"/>
      <c r="V280" s="176"/>
      <c r="W280" s="176"/>
      <c r="X280" s="176"/>
      <c r="Y280" s="176"/>
      <c r="Z280" s="177"/>
      <c r="AA280" s="176"/>
      <c r="AB280" s="176"/>
      <c r="AC280" s="176"/>
      <c r="AD280" s="178"/>
      <c r="AF280" s="179"/>
      <c r="AG280" s="179"/>
      <c r="AI280" s="180"/>
      <c r="AJ280" s="180"/>
      <c r="AK280" s="180"/>
      <c r="AL280" s="180"/>
      <c r="AM280" s="181"/>
      <c r="AN280" s="180"/>
      <c r="AO280" s="180"/>
      <c r="AP280" s="180"/>
    </row>
    <row r="281">
      <c r="D281" s="172"/>
      <c r="E281" s="172"/>
      <c r="G281" s="173"/>
      <c r="H281" s="173"/>
      <c r="I281" s="173"/>
      <c r="M281" s="173"/>
      <c r="R281" s="174"/>
      <c r="S281" s="174"/>
      <c r="T281" s="90"/>
      <c r="U281" s="176"/>
      <c r="V281" s="176"/>
      <c r="W281" s="176"/>
      <c r="X281" s="176"/>
      <c r="Y281" s="176"/>
      <c r="Z281" s="177"/>
      <c r="AA281" s="176"/>
      <c r="AB281" s="176"/>
      <c r="AC281" s="176"/>
      <c r="AD281" s="178"/>
      <c r="AF281" s="179"/>
      <c r="AG281" s="179"/>
      <c r="AI281" s="180"/>
      <c r="AJ281" s="180"/>
      <c r="AK281" s="180"/>
      <c r="AL281" s="180"/>
      <c r="AM281" s="181"/>
      <c r="AN281" s="180"/>
      <c r="AO281" s="180"/>
      <c r="AP281" s="180"/>
    </row>
    <row r="282">
      <c r="D282" s="172"/>
      <c r="E282" s="172"/>
      <c r="G282" s="173"/>
      <c r="H282" s="173"/>
      <c r="I282" s="173"/>
      <c r="M282" s="173"/>
      <c r="R282" s="174"/>
      <c r="S282" s="174"/>
      <c r="T282" s="90"/>
      <c r="U282" s="176"/>
      <c r="V282" s="176"/>
      <c r="W282" s="176"/>
      <c r="X282" s="176"/>
      <c r="Y282" s="176"/>
      <c r="Z282" s="177"/>
      <c r="AA282" s="176"/>
      <c r="AB282" s="176"/>
      <c r="AC282" s="176"/>
      <c r="AD282" s="178"/>
      <c r="AF282" s="179"/>
      <c r="AG282" s="179"/>
      <c r="AI282" s="180"/>
      <c r="AJ282" s="180"/>
      <c r="AK282" s="180"/>
      <c r="AL282" s="180"/>
      <c r="AM282" s="181"/>
      <c r="AN282" s="180"/>
      <c r="AO282" s="180"/>
      <c r="AP282" s="180"/>
    </row>
    <row r="283">
      <c r="D283" s="172"/>
      <c r="E283" s="172"/>
      <c r="G283" s="173"/>
      <c r="H283" s="173"/>
      <c r="I283" s="173"/>
      <c r="M283" s="173"/>
      <c r="R283" s="174"/>
      <c r="S283" s="174"/>
      <c r="T283" s="90"/>
      <c r="U283" s="176"/>
      <c r="V283" s="176"/>
      <c r="W283" s="176"/>
      <c r="X283" s="176"/>
      <c r="Y283" s="176"/>
      <c r="Z283" s="177"/>
      <c r="AA283" s="176"/>
      <c r="AB283" s="176"/>
      <c r="AC283" s="176"/>
      <c r="AD283" s="178"/>
      <c r="AF283" s="179"/>
      <c r="AG283" s="179"/>
      <c r="AI283" s="180"/>
      <c r="AJ283" s="180"/>
      <c r="AK283" s="180"/>
      <c r="AL283" s="180"/>
      <c r="AM283" s="181"/>
      <c r="AN283" s="180"/>
      <c r="AO283" s="180"/>
      <c r="AP283" s="180"/>
    </row>
    <row r="284">
      <c r="D284" s="172"/>
      <c r="E284" s="172"/>
      <c r="G284" s="173"/>
      <c r="H284" s="173"/>
      <c r="I284" s="173"/>
      <c r="M284" s="173"/>
      <c r="R284" s="174"/>
      <c r="S284" s="174"/>
      <c r="T284" s="90"/>
      <c r="U284" s="176"/>
      <c r="V284" s="176"/>
      <c r="W284" s="176"/>
      <c r="X284" s="176"/>
      <c r="Y284" s="176"/>
      <c r="Z284" s="177"/>
      <c r="AA284" s="176"/>
      <c r="AB284" s="176"/>
      <c r="AC284" s="176"/>
      <c r="AD284" s="178"/>
      <c r="AF284" s="179"/>
      <c r="AG284" s="179"/>
      <c r="AI284" s="180"/>
      <c r="AJ284" s="180"/>
      <c r="AK284" s="180"/>
      <c r="AL284" s="180"/>
      <c r="AM284" s="181"/>
      <c r="AN284" s="180"/>
      <c r="AO284" s="180"/>
      <c r="AP284" s="180"/>
    </row>
    <row r="285">
      <c r="D285" s="172"/>
      <c r="E285" s="172"/>
      <c r="G285" s="173"/>
      <c r="H285" s="173"/>
      <c r="I285" s="173"/>
      <c r="M285" s="173"/>
      <c r="R285" s="174"/>
      <c r="S285" s="174"/>
      <c r="T285" s="90"/>
      <c r="U285" s="176"/>
      <c r="V285" s="176"/>
      <c r="W285" s="176"/>
      <c r="X285" s="176"/>
      <c r="Y285" s="176"/>
      <c r="Z285" s="177"/>
      <c r="AA285" s="176"/>
      <c r="AB285" s="176"/>
      <c r="AC285" s="176"/>
      <c r="AD285" s="178"/>
      <c r="AF285" s="179"/>
      <c r="AG285" s="179"/>
      <c r="AI285" s="180"/>
      <c r="AJ285" s="180"/>
      <c r="AK285" s="180"/>
      <c r="AL285" s="180"/>
      <c r="AM285" s="181"/>
      <c r="AN285" s="180"/>
      <c r="AO285" s="180"/>
      <c r="AP285" s="180"/>
    </row>
    <row r="286">
      <c r="D286" s="172"/>
      <c r="E286" s="172"/>
      <c r="G286" s="173"/>
      <c r="H286" s="173"/>
      <c r="I286" s="173"/>
      <c r="M286" s="173"/>
      <c r="R286" s="174"/>
      <c r="S286" s="174"/>
      <c r="T286" s="90"/>
      <c r="U286" s="176"/>
      <c r="V286" s="176"/>
      <c r="W286" s="176"/>
      <c r="X286" s="176"/>
      <c r="Y286" s="176"/>
      <c r="Z286" s="177"/>
      <c r="AA286" s="176"/>
      <c r="AB286" s="176"/>
      <c r="AC286" s="176"/>
      <c r="AD286" s="178"/>
      <c r="AF286" s="179"/>
      <c r="AG286" s="179"/>
      <c r="AI286" s="180"/>
      <c r="AJ286" s="180"/>
      <c r="AK286" s="180"/>
      <c r="AL286" s="180"/>
      <c r="AM286" s="181"/>
      <c r="AN286" s="180"/>
      <c r="AO286" s="180"/>
      <c r="AP286" s="180"/>
    </row>
    <row r="287">
      <c r="D287" s="172"/>
      <c r="E287" s="172"/>
      <c r="G287" s="173"/>
      <c r="H287" s="173"/>
      <c r="I287" s="173"/>
      <c r="M287" s="173"/>
      <c r="R287" s="174"/>
      <c r="S287" s="174"/>
      <c r="T287" s="90"/>
      <c r="U287" s="176"/>
      <c r="V287" s="176"/>
      <c r="W287" s="176"/>
      <c r="X287" s="176"/>
      <c r="Y287" s="176"/>
      <c r="Z287" s="177"/>
      <c r="AA287" s="176"/>
      <c r="AB287" s="176"/>
      <c r="AC287" s="176"/>
      <c r="AD287" s="178"/>
      <c r="AF287" s="179"/>
      <c r="AG287" s="179"/>
      <c r="AI287" s="180"/>
      <c r="AJ287" s="180"/>
      <c r="AK287" s="180"/>
      <c r="AL287" s="180"/>
      <c r="AM287" s="181"/>
      <c r="AN287" s="180"/>
      <c r="AO287" s="180"/>
      <c r="AP287" s="180"/>
    </row>
    <row r="288">
      <c r="D288" s="172"/>
      <c r="E288" s="172"/>
      <c r="G288" s="173"/>
      <c r="H288" s="173"/>
      <c r="I288" s="173"/>
      <c r="M288" s="173"/>
      <c r="R288" s="174"/>
      <c r="S288" s="174"/>
      <c r="T288" s="90"/>
      <c r="U288" s="176"/>
      <c r="V288" s="176"/>
      <c r="W288" s="176"/>
      <c r="X288" s="176"/>
      <c r="Y288" s="176"/>
      <c r="Z288" s="177"/>
      <c r="AA288" s="176"/>
      <c r="AB288" s="176"/>
      <c r="AC288" s="176"/>
      <c r="AD288" s="178"/>
      <c r="AF288" s="179"/>
      <c r="AG288" s="179"/>
      <c r="AI288" s="180"/>
      <c r="AJ288" s="180"/>
      <c r="AK288" s="180"/>
      <c r="AL288" s="180"/>
      <c r="AM288" s="181"/>
      <c r="AN288" s="180"/>
      <c r="AO288" s="180"/>
      <c r="AP288" s="180"/>
    </row>
    <row r="289">
      <c r="D289" s="172"/>
      <c r="E289" s="172"/>
      <c r="G289" s="173"/>
      <c r="H289" s="173"/>
      <c r="I289" s="173"/>
      <c r="M289" s="173"/>
      <c r="R289" s="174"/>
      <c r="S289" s="174"/>
      <c r="T289" s="90"/>
      <c r="U289" s="176"/>
      <c r="V289" s="176"/>
      <c r="W289" s="176"/>
      <c r="X289" s="176"/>
      <c r="Y289" s="176"/>
      <c r="Z289" s="177"/>
      <c r="AA289" s="176"/>
      <c r="AB289" s="176"/>
      <c r="AC289" s="176"/>
      <c r="AD289" s="178"/>
      <c r="AF289" s="179"/>
      <c r="AG289" s="179"/>
      <c r="AI289" s="180"/>
      <c r="AJ289" s="180"/>
      <c r="AK289" s="180"/>
      <c r="AL289" s="180"/>
      <c r="AM289" s="181"/>
      <c r="AN289" s="180"/>
      <c r="AO289" s="180"/>
      <c r="AP289" s="180"/>
    </row>
    <row r="290">
      <c r="D290" s="172"/>
      <c r="E290" s="172"/>
      <c r="G290" s="173"/>
      <c r="H290" s="173"/>
      <c r="I290" s="173"/>
      <c r="M290" s="173"/>
      <c r="R290" s="174"/>
      <c r="S290" s="174"/>
      <c r="T290" s="90"/>
      <c r="U290" s="176"/>
      <c r="V290" s="176"/>
      <c r="W290" s="176"/>
      <c r="X290" s="176"/>
      <c r="Y290" s="176"/>
      <c r="Z290" s="177"/>
      <c r="AA290" s="176"/>
      <c r="AB290" s="176"/>
      <c r="AC290" s="176"/>
      <c r="AD290" s="178"/>
      <c r="AF290" s="179"/>
      <c r="AG290" s="179"/>
      <c r="AI290" s="180"/>
      <c r="AJ290" s="180"/>
      <c r="AK290" s="180"/>
      <c r="AL290" s="180"/>
      <c r="AM290" s="181"/>
      <c r="AN290" s="180"/>
      <c r="AO290" s="180"/>
      <c r="AP290" s="180"/>
    </row>
    <row r="291">
      <c r="D291" s="172"/>
      <c r="E291" s="172"/>
      <c r="G291" s="173"/>
      <c r="H291" s="173"/>
      <c r="I291" s="173"/>
      <c r="M291" s="173"/>
      <c r="R291" s="174"/>
      <c r="S291" s="174"/>
      <c r="T291" s="90"/>
      <c r="U291" s="176"/>
      <c r="V291" s="176"/>
      <c r="W291" s="176"/>
      <c r="X291" s="176"/>
      <c r="Y291" s="176"/>
      <c r="Z291" s="177"/>
      <c r="AA291" s="176"/>
      <c r="AB291" s="176"/>
      <c r="AC291" s="176"/>
      <c r="AD291" s="178"/>
      <c r="AF291" s="179"/>
      <c r="AG291" s="179"/>
      <c r="AI291" s="180"/>
      <c r="AJ291" s="180"/>
      <c r="AK291" s="180"/>
      <c r="AL291" s="180"/>
      <c r="AM291" s="181"/>
      <c r="AN291" s="180"/>
      <c r="AO291" s="180"/>
      <c r="AP291" s="180"/>
    </row>
    <row r="292">
      <c r="D292" s="172"/>
      <c r="E292" s="172"/>
      <c r="G292" s="173"/>
      <c r="H292" s="173"/>
      <c r="I292" s="173"/>
      <c r="M292" s="173"/>
      <c r="R292" s="174"/>
      <c r="S292" s="174"/>
      <c r="T292" s="90"/>
      <c r="U292" s="176"/>
      <c r="V292" s="176"/>
      <c r="W292" s="176"/>
      <c r="X292" s="176"/>
      <c r="Y292" s="176"/>
      <c r="Z292" s="177"/>
      <c r="AA292" s="176"/>
      <c r="AB292" s="176"/>
      <c r="AC292" s="176"/>
      <c r="AD292" s="178"/>
      <c r="AF292" s="179"/>
      <c r="AG292" s="179"/>
      <c r="AI292" s="180"/>
      <c r="AJ292" s="180"/>
      <c r="AK292" s="180"/>
      <c r="AL292" s="180"/>
      <c r="AM292" s="181"/>
      <c r="AN292" s="180"/>
      <c r="AO292" s="180"/>
      <c r="AP292" s="180"/>
    </row>
    <row r="293">
      <c r="D293" s="172"/>
      <c r="E293" s="172"/>
      <c r="G293" s="173"/>
      <c r="H293" s="173"/>
      <c r="I293" s="173"/>
      <c r="M293" s="173"/>
      <c r="R293" s="174"/>
      <c r="S293" s="174"/>
      <c r="T293" s="90"/>
      <c r="U293" s="176"/>
      <c r="V293" s="176"/>
      <c r="W293" s="176"/>
      <c r="X293" s="176"/>
      <c r="Y293" s="176"/>
      <c r="Z293" s="177"/>
      <c r="AA293" s="176"/>
      <c r="AB293" s="176"/>
      <c r="AC293" s="176"/>
      <c r="AD293" s="178"/>
      <c r="AF293" s="179"/>
      <c r="AG293" s="179"/>
      <c r="AI293" s="180"/>
      <c r="AJ293" s="180"/>
      <c r="AK293" s="180"/>
      <c r="AL293" s="180"/>
      <c r="AM293" s="181"/>
      <c r="AN293" s="180"/>
      <c r="AO293" s="180"/>
      <c r="AP293" s="180"/>
    </row>
    <row r="294">
      <c r="D294" s="172"/>
      <c r="E294" s="172"/>
      <c r="G294" s="173"/>
      <c r="H294" s="173"/>
      <c r="I294" s="173"/>
      <c r="M294" s="173"/>
      <c r="R294" s="174"/>
      <c r="S294" s="174"/>
      <c r="T294" s="90"/>
      <c r="U294" s="176"/>
      <c r="V294" s="176"/>
      <c r="W294" s="176"/>
      <c r="X294" s="176"/>
      <c r="Y294" s="176"/>
      <c r="Z294" s="177"/>
      <c r="AA294" s="176"/>
      <c r="AB294" s="176"/>
      <c r="AC294" s="176"/>
      <c r="AD294" s="178"/>
      <c r="AF294" s="179"/>
      <c r="AG294" s="179"/>
      <c r="AI294" s="180"/>
      <c r="AJ294" s="180"/>
      <c r="AK294" s="180"/>
      <c r="AL294" s="180"/>
      <c r="AM294" s="181"/>
      <c r="AN294" s="180"/>
      <c r="AO294" s="180"/>
      <c r="AP294" s="180"/>
    </row>
    <row r="295">
      <c r="D295" s="172"/>
      <c r="E295" s="172"/>
      <c r="G295" s="173"/>
      <c r="H295" s="173"/>
      <c r="I295" s="173"/>
      <c r="M295" s="173"/>
      <c r="R295" s="174"/>
      <c r="S295" s="174"/>
      <c r="T295" s="90"/>
      <c r="U295" s="176"/>
      <c r="V295" s="176"/>
      <c r="W295" s="176"/>
      <c r="X295" s="176"/>
      <c r="Y295" s="176"/>
      <c r="Z295" s="177"/>
      <c r="AA295" s="176"/>
      <c r="AB295" s="176"/>
      <c r="AC295" s="176"/>
      <c r="AD295" s="178"/>
      <c r="AF295" s="179"/>
      <c r="AG295" s="179"/>
      <c r="AI295" s="180"/>
      <c r="AJ295" s="180"/>
      <c r="AK295" s="180"/>
      <c r="AL295" s="180"/>
      <c r="AM295" s="181"/>
      <c r="AN295" s="180"/>
      <c r="AO295" s="180"/>
      <c r="AP295" s="180"/>
    </row>
    <row r="296">
      <c r="D296" s="172"/>
      <c r="E296" s="172"/>
      <c r="G296" s="173"/>
      <c r="H296" s="173"/>
      <c r="I296" s="173"/>
      <c r="M296" s="173"/>
      <c r="R296" s="174"/>
      <c r="S296" s="174"/>
      <c r="T296" s="90"/>
      <c r="U296" s="176"/>
      <c r="V296" s="176"/>
      <c r="W296" s="176"/>
      <c r="X296" s="176"/>
      <c r="Y296" s="176"/>
      <c r="Z296" s="177"/>
      <c r="AA296" s="176"/>
      <c r="AB296" s="176"/>
      <c r="AC296" s="176"/>
      <c r="AD296" s="178"/>
      <c r="AF296" s="179"/>
      <c r="AG296" s="179"/>
      <c r="AI296" s="180"/>
      <c r="AJ296" s="180"/>
      <c r="AK296" s="180"/>
      <c r="AL296" s="180"/>
      <c r="AM296" s="181"/>
      <c r="AN296" s="180"/>
      <c r="AO296" s="180"/>
      <c r="AP296" s="180"/>
    </row>
    <row r="297">
      <c r="D297" s="172"/>
      <c r="E297" s="172"/>
      <c r="G297" s="173"/>
      <c r="H297" s="173"/>
      <c r="I297" s="173"/>
      <c r="M297" s="173"/>
      <c r="R297" s="174"/>
      <c r="S297" s="174"/>
      <c r="T297" s="90"/>
      <c r="U297" s="176"/>
      <c r="V297" s="176"/>
      <c r="W297" s="176"/>
      <c r="X297" s="176"/>
      <c r="Y297" s="176"/>
      <c r="Z297" s="177"/>
      <c r="AA297" s="176"/>
      <c r="AB297" s="176"/>
      <c r="AC297" s="176"/>
      <c r="AD297" s="178"/>
      <c r="AF297" s="179"/>
      <c r="AG297" s="179"/>
      <c r="AI297" s="180"/>
      <c r="AJ297" s="180"/>
      <c r="AK297" s="180"/>
      <c r="AL297" s="180"/>
      <c r="AM297" s="181"/>
      <c r="AN297" s="180"/>
      <c r="AO297" s="180"/>
      <c r="AP297" s="180"/>
    </row>
    <row r="298">
      <c r="D298" s="172"/>
      <c r="E298" s="172"/>
      <c r="G298" s="173"/>
      <c r="H298" s="173"/>
      <c r="I298" s="173"/>
      <c r="M298" s="173"/>
      <c r="R298" s="174"/>
      <c r="S298" s="174"/>
      <c r="T298" s="90"/>
      <c r="U298" s="176"/>
      <c r="V298" s="176"/>
      <c r="W298" s="176"/>
      <c r="X298" s="176"/>
      <c r="Y298" s="176"/>
      <c r="Z298" s="177"/>
      <c r="AA298" s="176"/>
      <c r="AB298" s="176"/>
      <c r="AC298" s="176"/>
      <c r="AD298" s="178"/>
      <c r="AF298" s="179"/>
      <c r="AG298" s="179"/>
      <c r="AI298" s="180"/>
      <c r="AJ298" s="180"/>
      <c r="AK298" s="180"/>
      <c r="AL298" s="180"/>
      <c r="AM298" s="181"/>
      <c r="AN298" s="180"/>
      <c r="AO298" s="180"/>
      <c r="AP298" s="180"/>
    </row>
    <row r="299">
      <c r="D299" s="172"/>
      <c r="E299" s="172"/>
      <c r="G299" s="173"/>
      <c r="H299" s="173"/>
      <c r="I299" s="173"/>
      <c r="M299" s="173"/>
      <c r="R299" s="174"/>
      <c r="S299" s="174"/>
      <c r="T299" s="90"/>
      <c r="U299" s="176"/>
      <c r="V299" s="176"/>
      <c r="W299" s="176"/>
      <c r="X299" s="176"/>
      <c r="Y299" s="176"/>
      <c r="Z299" s="177"/>
      <c r="AA299" s="176"/>
      <c r="AB299" s="176"/>
      <c r="AC299" s="176"/>
      <c r="AD299" s="178"/>
      <c r="AF299" s="179"/>
      <c r="AG299" s="179"/>
      <c r="AI299" s="180"/>
      <c r="AJ299" s="180"/>
      <c r="AK299" s="180"/>
      <c r="AL299" s="180"/>
      <c r="AM299" s="181"/>
      <c r="AN299" s="180"/>
      <c r="AO299" s="180"/>
      <c r="AP299" s="180"/>
    </row>
    <row r="300">
      <c r="D300" s="172"/>
      <c r="E300" s="172"/>
      <c r="G300" s="173"/>
      <c r="H300" s="173"/>
      <c r="I300" s="173"/>
      <c r="M300" s="173"/>
      <c r="R300" s="174"/>
      <c r="S300" s="174"/>
      <c r="T300" s="90"/>
      <c r="U300" s="176"/>
      <c r="V300" s="176"/>
      <c r="W300" s="176"/>
      <c r="X300" s="176"/>
      <c r="Y300" s="176"/>
      <c r="Z300" s="177"/>
      <c r="AA300" s="176"/>
      <c r="AB300" s="176"/>
      <c r="AC300" s="176"/>
      <c r="AD300" s="178"/>
      <c r="AF300" s="179"/>
      <c r="AG300" s="179"/>
      <c r="AI300" s="180"/>
      <c r="AJ300" s="180"/>
      <c r="AK300" s="180"/>
      <c r="AL300" s="180"/>
      <c r="AM300" s="181"/>
      <c r="AN300" s="180"/>
      <c r="AO300" s="180"/>
      <c r="AP300" s="180"/>
    </row>
    <row r="301">
      <c r="D301" s="172"/>
      <c r="E301" s="172"/>
      <c r="G301" s="173"/>
      <c r="H301" s="173"/>
      <c r="I301" s="173"/>
      <c r="M301" s="173"/>
      <c r="R301" s="174"/>
      <c r="S301" s="174"/>
      <c r="T301" s="90"/>
      <c r="U301" s="176"/>
      <c r="V301" s="176"/>
      <c r="W301" s="176"/>
      <c r="X301" s="176"/>
      <c r="Y301" s="176"/>
      <c r="Z301" s="177"/>
      <c r="AA301" s="176"/>
      <c r="AB301" s="176"/>
      <c r="AC301" s="176"/>
      <c r="AD301" s="178"/>
      <c r="AF301" s="179"/>
      <c r="AG301" s="179"/>
      <c r="AI301" s="180"/>
      <c r="AJ301" s="180"/>
      <c r="AK301" s="180"/>
      <c r="AL301" s="180"/>
      <c r="AM301" s="181"/>
      <c r="AN301" s="180"/>
      <c r="AO301" s="180"/>
      <c r="AP301" s="180"/>
    </row>
    <row r="302">
      <c r="D302" s="172"/>
      <c r="E302" s="172"/>
      <c r="G302" s="173"/>
      <c r="H302" s="173"/>
      <c r="I302" s="173"/>
      <c r="M302" s="173"/>
      <c r="R302" s="174"/>
      <c r="S302" s="174"/>
      <c r="T302" s="90"/>
      <c r="U302" s="176"/>
      <c r="V302" s="176"/>
      <c r="W302" s="176"/>
      <c r="X302" s="176"/>
      <c r="Y302" s="176"/>
      <c r="Z302" s="177"/>
      <c r="AA302" s="176"/>
      <c r="AB302" s="176"/>
      <c r="AC302" s="176"/>
      <c r="AD302" s="178"/>
      <c r="AF302" s="179"/>
      <c r="AG302" s="179"/>
      <c r="AI302" s="180"/>
      <c r="AJ302" s="180"/>
      <c r="AK302" s="180"/>
      <c r="AL302" s="180"/>
      <c r="AM302" s="181"/>
      <c r="AN302" s="180"/>
      <c r="AO302" s="180"/>
      <c r="AP302" s="180"/>
    </row>
    <row r="303">
      <c r="D303" s="172"/>
      <c r="E303" s="172"/>
      <c r="G303" s="173"/>
      <c r="H303" s="173"/>
      <c r="I303" s="173"/>
      <c r="M303" s="173"/>
      <c r="R303" s="174"/>
      <c r="S303" s="174"/>
      <c r="T303" s="90"/>
      <c r="U303" s="176"/>
      <c r="V303" s="176"/>
      <c r="W303" s="176"/>
      <c r="X303" s="176"/>
      <c r="Y303" s="176"/>
      <c r="Z303" s="177"/>
      <c r="AA303" s="176"/>
      <c r="AB303" s="176"/>
      <c r="AC303" s="176"/>
      <c r="AD303" s="178"/>
      <c r="AF303" s="179"/>
      <c r="AG303" s="179"/>
      <c r="AI303" s="180"/>
      <c r="AJ303" s="180"/>
      <c r="AK303" s="180"/>
      <c r="AL303" s="180"/>
      <c r="AM303" s="181"/>
      <c r="AN303" s="180"/>
      <c r="AO303" s="180"/>
      <c r="AP303" s="180"/>
    </row>
    <row r="304">
      <c r="D304" s="172"/>
      <c r="E304" s="172"/>
      <c r="G304" s="173"/>
      <c r="H304" s="173"/>
      <c r="I304" s="173"/>
      <c r="M304" s="173"/>
      <c r="R304" s="174"/>
      <c r="S304" s="174"/>
      <c r="T304" s="90"/>
      <c r="U304" s="176"/>
      <c r="V304" s="176"/>
      <c r="W304" s="176"/>
      <c r="X304" s="176"/>
      <c r="Y304" s="176"/>
      <c r="Z304" s="177"/>
      <c r="AA304" s="176"/>
      <c r="AB304" s="176"/>
      <c r="AC304" s="176"/>
      <c r="AD304" s="178"/>
      <c r="AF304" s="179"/>
      <c r="AG304" s="179"/>
      <c r="AI304" s="180"/>
      <c r="AJ304" s="180"/>
      <c r="AK304" s="180"/>
      <c r="AL304" s="180"/>
      <c r="AM304" s="181"/>
      <c r="AN304" s="180"/>
      <c r="AO304" s="180"/>
      <c r="AP304" s="180"/>
    </row>
    <row r="305">
      <c r="D305" s="172"/>
      <c r="E305" s="172"/>
      <c r="G305" s="173"/>
      <c r="H305" s="173"/>
      <c r="I305" s="173"/>
      <c r="M305" s="173"/>
      <c r="R305" s="174"/>
      <c r="S305" s="174"/>
      <c r="T305" s="90"/>
      <c r="U305" s="176"/>
      <c r="V305" s="176"/>
      <c r="W305" s="176"/>
      <c r="X305" s="176"/>
      <c r="Y305" s="176"/>
      <c r="Z305" s="177"/>
      <c r="AA305" s="176"/>
      <c r="AB305" s="176"/>
      <c r="AC305" s="176"/>
      <c r="AD305" s="178"/>
      <c r="AF305" s="179"/>
      <c r="AG305" s="179"/>
      <c r="AI305" s="180"/>
      <c r="AJ305" s="180"/>
      <c r="AK305" s="180"/>
      <c r="AL305" s="180"/>
      <c r="AM305" s="181"/>
      <c r="AN305" s="180"/>
      <c r="AO305" s="180"/>
      <c r="AP305" s="180"/>
    </row>
    <row r="306">
      <c r="D306" s="172"/>
      <c r="E306" s="172"/>
      <c r="G306" s="173"/>
      <c r="H306" s="173"/>
      <c r="I306" s="173"/>
      <c r="M306" s="173"/>
      <c r="R306" s="174"/>
      <c r="S306" s="174"/>
      <c r="T306" s="90"/>
      <c r="U306" s="176"/>
      <c r="V306" s="176"/>
      <c r="W306" s="176"/>
      <c r="X306" s="176"/>
      <c r="Y306" s="176"/>
      <c r="Z306" s="177"/>
      <c r="AA306" s="176"/>
      <c r="AB306" s="176"/>
      <c r="AC306" s="176"/>
      <c r="AD306" s="178"/>
      <c r="AF306" s="179"/>
      <c r="AG306" s="179"/>
      <c r="AI306" s="180"/>
      <c r="AJ306" s="180"/>
      <c r="AK306" s="180"/>
      <c r="AL306" s="180"/>
      <c r="AM306" s="181"/>
      <c r="AN306" s="180"/>
      <c r="AO306" s="180"/>
      <c r="AP306" s="180"/>
    </row>
    <row r="307">
      <c r="D307" s="172"/>
      <c r="E307" s="172"/>
      <c r="G307" s="173"/>
      <c r="H307" s="173"/>
      <c r="I307" s="173"/>
      <c r="M307" s="173"/>
      <c r="R307" s="174"/>
      <c r="S307" s="174"/>
      <c r="T307" s="90"/>
      <c r="U307" s="176"/>
      <c r="V307" s="176"/>
      <c r="W307" s="176"/>
      <c r="X307" s="176"/>
      <c r="Y307" s="176"/>
      <c r="Z307" s="177"/>
      <c r="AA307" s="176"/>
      <c r="AB307" s="176"/>
      <c r="AC307" s="176"/>
      <c r="AD307" s="178"/>
      <c r="AF307" s="179"/>
      <c r="AG307" s="179"/>
      <c r="AI307" s="180"/>
      <c r="AJ307" s="180"/>
      <c r="AK307" s="180"/>
      <c r="AL307" s="180"/>
      <c r="AM307" s="181"/>
      <c r="AN307" s="180"/>
      <c r="AO307" s="180"/>
      <c r="AP307" s="180"/>
    </row>
    <row r="308">
      <c r="D308" s="172"/>
      <c r="E308" s="172"/>
      <c r="G308" s="173"/>
      <c r="H308" s="173"/>
      <c r="I308" s="173"/>
      <c r="M308" s="173"/>
      <c r="R308" s="174"/>
      <c r="S308" s="174"/>
      <c r="T308" s="90"/>
      <c r="U308" s="176"/>
      <c r="V308" s="176"/>
      <c r="W308" s="176"/>
      <c r="X308" s="176"/>
      <c r="Y308" s="176"/>
      <c r="Z308" s="177"/>
      <c r="AA308" s="176"/>
      <c r="AB308" s="176"/>
      <c r="AC308" s="176"/>
      <c r="AD308" s="178"/>
      <c r="AF308" s="179"/>
      <c r="AG308" s="179"/>
      <c r="AI308" s="180"/>
      <c r="AJ308" s="180"/>
      <c r="AK308" s="180"/>
      <c r="AL308" s="180"/>
      <c r="AM308" s="181"/>
      <c r="AN308" s="180"/>
      <c r="AO308" s="180"/>
      <c r="AP308" s="180"/>
    </row>
    <row r="309">
      <c r="D309" s="172"/>
      <c r="E309" s="172"/>
      <c r="G309" s="173"/>
      <c r="H309" s="173"/>
      <c r="I309" s="173"/>
      <c r="M309" s="173"/>
      <c r="R309" s="174"/>
      <c r="S309" s="174"/>
      <c r="T309" s="90"/>
      <c r="U309" s="176"/>
      <c r="V309" s="176"/>
      <c r="W309" s="176"/>
      <c r="X309" s="176"/>
      <c r="Y309" s="176"/>
      <c r="Z309" s="177"/>
      <c r="AA309" s="176"/>
      <c r="AB309" s="176"/>
      <c r="AC309" s="176"/>
      <c r="AD309" s="178"/>
      <c r="AF309" s="179"/>
      <c r="AG309" s="179"/>
      <c r="AI309" s="180"/>
      <c r="AJ309" s="180"/>
      <c r="AK309" s="180"/>
      <c r="AL309" s="180"/>
      <c r="AM309" s="181"/>
      <c r="AN309" s="180"/>
      <c r="AO309" s="180"/>
      <c r="AP309" s="180"/>
    </row>
    <row r="310">
      <c r="D310" s="172"/>
      <c r="E310" s="172"/>
      <c r="G310" s="173"/>
      <c r="H310" s="173"/>
      <c r="I310" s="173"/>
      <c r="M310" s="173"/>
      <c r="R310" s="174"/>
      <c r="S310" s="174"/>
      <c r="T310" s="90"/>
      <c r="U310" s="176"/>
      <c r="V310" s="176"/>
      <c r="W310" s="176"/>
      <c r="X310" s="176"/>
      <c r="Y310" s="176"/>
      <c r="Z310" s="177"/>
      <c r="AA310" s="176"/>
      <c r="AB310" s="176"/>
      <c r="AC310" s="176"/>
      <c r="AD310" s="178"/>
      <c r="AF310" s="179"/>
      <c r="AG310" s="179"/>
      <c r="AI310" s="180"/>
      <c r="AJ310" s="180"/>
      <c r="AK310" s="180"/>
      <c r="AL310" s="180"/>
      <c r="AM310" s="181"/>
      <c r="AN310" s="180"/>
      <c r="AO310" s="180"/>
      <c r="AP310" s="180"/>
    </row>
    <row r="311">
      <c r="D311" s="172"/>
      <c r="E311" s="172"/>
      <c r="G311" s="173"/>
      <c r="H311" s="173"/>
      <c r="I311" s="173"/>
      <c r="M311" s="173"/>
      <c r="R311" s="174"/>
      <c r="S311" s="174"/>
      <c r="T311" s="90"/>
      <c r="U311" s="176"/>
      <c r="V311" s="176"/>
      <c r="W311" s="176"/>
      <c r="X311" s="176"/>
      <c r="Y311" s="176"/>
      <c r="Z311" s="177"/>
      <c r="AA311" s="176"/>
      <c r="AB311" s="176"/>
      <c r="AC311" s="176"/>
      <c r="AD311" s="178"/>
      <c r="AF311" s="179"/>
      <c r="AG311" s="179"/>
      <c r="AI311" s="180"/>
      <c r="AJ311" s="180"/>
      <c r="AK311" s="180"/>
      <c r="AL311" s="180"/>
      <c r="AM311" s="181"/>
      <c r="AN311" s="180"/>
      <c r="AO311" s="180"/>
      <c r="AP311" s="180"/>
    </row>
    <row r="312">
      <c r="D312" s="172"/>
      <c r="E312" s="172"/>
      <c r="G312" s="173"/>
      <c r="H312" s="173"/>
      <c r="I312" s="173"/>
      <c r="M312" s="173"/>
      <c r="R312" s="174"/>
      <c r="S312" s="174"/>
      <c r="T312" s="90"/>
      <c r="U312" s="176"/>
      <c r="V312" s="176"/>
      <c r="W312" s="176"/>
      <c r="X312" s="176"/>
      <c r="Y312" s="176"/>
      <c r="Z312" s="177"/>
      <c r="AA312" s="176"/>
      <c r="AB312" s="176"/>
      <c r="AC312" s="176"/>
      <c r="AD312" s="178"/>
      <c r="AF312" s="179"/>
      <c r="AG312" s="179"/>
      <c r="AI312" s="180"/>
      <c r="AJ312" s="180"/>
      <c r="AK312" s="180"/>
      <c r="AL312" s="180"/>
      <c r="AM312" s="181"/>
      <c r="AN312" s="180"/>
      <c r="AO312" s="180"/>
      <c r="AP312" s="180"/>
    </row>
    <row r="313">
      <c r="D313" s="172"/>
      <c r="E313" s="172"/>
      <c r="G313" s="173"/>
      <c r="H313" s="173"/>
      <c r="I313" s="173"/>
      <c r="M313" s="173"/>
      <c r="R313" s="174"/>
      <c r="S313" s="174"/>
      <c r="T313" s="90"/>
      <c r="U313" s="176"/>
      <c r="V313" s="176"/>
      <c r="W313" s="176"/>
      <c r="X313" s="176"/>
      <c r="Y313" s="176"/>
      <c r="Z313" s="177"/>
      <c r="AA313" s="176"/>
      <c r="AB313" s="176"/>
      <c r="AC313" s="176"/>
      <c r="AD313" s="178"/>
      <c r="AF313" s="179"/>
      <c r="AG313" s="179"/>
      <c r="AI313" s="180"/>
      <c r="AJ313" s="180"/>
      <c r="AK313" s="180"/>
      <c r="AL313" s="180"/>
      <c r="AM313" s="181"/>
      <c r="AN313" s="180"/>
      <c r="AO313" s="180"/>
      <c r="AP313" s="180"/>
    </row>
    <row r="314">
      <c r="D314" s="172"/>
      <c r="E314" s="172"/>
      <c r="G314" s="173"/>
      <c r="H314" s="173"/>
      <c r="I314" s="173"/>
      <c r="M314" s="173"/>
      <c r="R314" s="174"/>
      <c r="S314" s="174"/>
      <c r="T314" s="90"/>
      <c r="U314" s="176"/>
      <c r="V314" s="176"/>
      <c r="W314" s="176"/>
      <c r="X314" s="176"/>
      <c r="Y314" s="176"/>
      <c r="Z314" s="177"/>
      <c r="AA314" s="176"/>
      <c r="AB314" s="176"/>
      <c r="AC314" s="176"/>
      <c r="AD314" s="178"/>
      <c r="AF314" s="179"/>
      <c r="AG314" s="179"/>
      <c r="AI314" s="180"/>
      <c r="AJ314" s="180"/>
      <c r="AK314" s="180"/>
      <c r="AL314" s="180"/>
      <c r="AM314" s="181"/>
      <c r="AN314" s="180"/>
      <c r="AO314" s="180"/>
      <c r="AP314" s="180"/>
    </row>
    <row r="315">
      <c r="D315" s="172"/>
      <c r="E315" s="172"/>
      <c r="G315" s="173"/>
      <c r="H315" s="173"/>
      <c r="I315" s="173"/>
      <c r="M315" s="173"/>
      <c r="R315" s="174"/>
      <c r="S315" s="174"/>
      <c r="T315" s="90"/>
      <c r="U315" s="176"/>
      <c r="V315" s="176"/>
      <c r="W315" s="176"/>
      <c r="X315" s="176"/>
      <c r="Y315" s="176"/>
      <c r="Z315" s="177"/>
      <c r="AA315" s="176"/>
      <c r="AB315" s="176"/>
      <c r="AC315" s="176"/>
      <c r="AD315" s="178"/>
      <c r="AF315" s="179"/>
      <c r="AG315" s="179"/>
      <c r="AI315" s="180"/>
      <c r="AJ315" s="180"/>
      <c r="AK315" s="180"/>
      <c r="AL315" s="180"/>
      <c r="AM315" s="181"/>
      <c r="AN315" s="180"/>
      <c r="AO315" s="180"/>
      <c r="AP315" s="180"/>
    </row>
    <row r="316">
      <c r="D316" s="172"/>
      <c r="E316" s="172"/>
      <c r="G316" s="173"/>
      <c r="H316" s="173"/>
      <c r="I316" s="173"/>
      <c r="M316" s="173"/>
      <c r="R316" s="174"/>
      <c r="S316" s="174"/>
      <c r="T316" s="90"/>
      <c r="U316" s="176"/>
      <c r="V316" s="176"/>
      <c r="W316" s="176"/>
      <c r="X316" s="176"/>
      <c r="Y316" s="176"/>
      <c r="Z316" s="177"/>
      <c r="AA316" s="176"/>
      <c r="AB316" s="176"/>
      <c r="AC316" s="176"/>
      <c r="AD316" s="178"/>
      <c r="AF316" s="179"/>
      <c r="AG316" s="179"/>
      <c r="AI316" s="180"/>
      <c r="AJ316" s="180"/>
      <c r="AK316" s="180"/>
      <c r="AL316" s="180"/>
      <c r="AM316" s="181"/>
      <c r="AN316" s="180"/>
      <c r="AO316" s="180"/>
      <c r="AP316" s="180"/>
    </row>
    <row r="317">
      <c r="D317" s="172"/>
      <c r="E317" s="172"/>
      <c r="G317" s="173"/>
      <c r="H317" s="173"/>
      <c r="I317" s="173"/>
      <c r="M317" s="173"/>
      <c r="R317" s="174"/>
      <c r="S317" s="174"/>
      <c r="T317" s="90"/>
      <c r="U317" s="176"/>
      <c r="V317" s="176"/>
      <c r="W317" s="176"/>
      <c r="X317" s="176"/>
      <c r="Y317" s="176"/>
      <c r="Z317" s="177"/>
      <c r="AA317" s="176"/>
      <c r="AB317" s="176"/>
      <c r="AC317" s="176"/>
      <c r="AD317" s="178"/>
      <c r="AF317" s="179"/>
      <c r="AG317" s="179"/>
      <c r="AI317" s="180"/>
      <c r="AJ317" s="180"/>
      <c r="AK317" s="180"/>
      <c r="AL317" s="180"/>
      <c r="AM317" s="181"/>
      <c r="AN317" s="180"/>
      <c r="AO317" s="180"/>
      <c r="AP317" s="180"/>
    </row>
    <row r="318">
      <c r="D318" s="172"/>
      <c r="E318" s="172"/>
      <c r="G318" s="173"/>
      <c r="H318" s="173"/>
      <c r="I318" s="173"/>
      <c r="M318" s="173"/>
      <c r="R318" s="174"/>
      <c r="S318" s="174"/>
      <c r="T318" s="90"/>
      <c r="U318" s="176"/>
      <c r="V318" s="176"/>
      <c r="W318" s="176"/>
      <c r="X318" s="176"/>
      <c r="Y318" s="176"/>
      <c r="Z318" s="177"/>
      <c r="AA318" s="176"/>
      <c r="AB318" s="176"/>
      <c r="AC318" s="176"/>
      <c r="AD318" s="178"/>
      <c r="AF318" s="179"/>
      <c r="AG318" s="179"/>
      <c r="AI318" s="180"/>
      <c r="AJ318" s="180"/>
      <c r="AK318" s="180"/>
      <c r="AL318" s="180"/>
      <c r="AM318" s="181"/>
      <c r="AN318" s="180"/>
      <c r="AO318" s="180"/>
      <c r="AP318" s="180"/>
    </row>
    <row r="319">
      <c r="D319" s="172"/>
      <c r="E319" s="172"/>
      <c r="G319" s="173"/>
      <c r="H319" s="173"/>
      <c r="I319" s="173"/>
      <c r="M319" s="173"/>
      <c r="R319" s="174"/>
      <c r="S319" s="174"/>
      <c r="T319" s="90"/>
      <c r="U319" s="176"/>
      <c r="V319" s="176"/>
      <c r="W319" s="176"/>
      <c r="X319" s="176"/>
      <c r="Y319" s="176"/>
      <c r="Z319" s="177"/>
      <c r="AA319" s="176"/>
      <c r="AB319" s="176"/>
      <c r="AC319" s="176"/>
      <c r="AD319" s="178"/>
      <c r="AF319" s="179"/>
      <c r="AG319" s="179"/>
      <c r="AI319" s="180"/>
      <c r="AJ319" s="180"/>
      <c r="AK319" s="180"/>
      <c r="AL319" s="180"/>
      <c r="AM319" s="181"/>
      <c r="AN319" s="180"/>
      <c r="AO319" s="180"/>
      <c r="AP319" s="180"/>
    </row>
    <row r="320">
      <c r="D320" s="172"/>
      <c r="E320" s="172"/>
      <c r="G320" s="173"/>
      <c r="H320" s="173"/>
      <c r="I320" s="173"/>
      <c r="M320" s="173"/>
      <c r="R320" s="174"/>
      <c r="S320" s="174"/>
      <c r="T320" s="90"/>
      <c r="U320" s="176"/>
      <c r="V320" s="176"/>
      <c r="W320" s="176"/>
      <c r="X320" s="176"/>
      <c r="Y320" s="176"/>
      <c r="Z320" s="177"/>
      <c r="AA320" s="176"/>
      <c r="AB320" s="176"/>
      <c r="AC320" s="176"/>
      <c r="AD320" s="178"/>
      <c r="AF320" s="179"/>
      <c r="AG320" s="179"/>
      <c r="AI320" s="180"/>
      <c r="AJ320" s="180"/>
      <c r="AK320" s="180"/>
      <c r="AL320" s="180"/>
      <c r="AM320" s="181"/>
      <c r="AN320" s="180"/>
      <c r="AO320" s="180"/>
      <c r="AP320" s="180"/>
    </row>
    <row r="321">
      <c r="D321" s="172"/>
      <c r="E321" s="172"/>
      <c r="G321" s="173"/>
      <c r="H321" s="173"/>
      <c r="I321" s="173"/>
      <c r="M321" s="173"/>
      <c r="R321" s="174"/>
      <c r="S321" s="174"/>
      <c r="T321" s="90"/>
      <c r="U321" s="176"/>
      <c r="V321" s="176"/>
      <c r="W321" s="176"/>
      <c r="X321" s="176"/>
      <c r="Y321" s="176"/>
      <c r="Z321" s="177"/>
      <c r="AA321" s="176"/>
      <c r="AB321" s="176"/>
      <c r="AC321" s="176"/>
      <c r="AD321" s="178"/>
      <c r="AF321" s="179"/>
      <c r="AG321" s="179"/>
      <c r="AI321" s="180"/>
      <c r="AJ321" s="180"/>
      <c r="AK321" s="180"/>
      <c r="AL321" s="180"/>
      <c r="AM321" s="181"/>
      <c r="AN321" s="180"/>
      <c r="AO321" s="180"/>
      <c r="AP321" s="180"/>
    </row>
    <row r="322">
      <c r="D322" s="172"/>
      <c r="E322" s="172"/>
      <c r="G322" s="173"/>
      <c r="H322" s="173"/>
      <c r="I322" s="173"/>
      <c r="M322" s="173"/>
      <c r="R322" s="174"/>
      <c r="S322" s="174"/>
      <c r="T322" s="90"/>
      <c r="U322" s="176"/>
      <c r="V322" s="176"/>
      <c r="W322" s="176"/>
      <c r="X322" s="176"/>
      <c r="Y322" s="176"/>
      <c r="Z322" s="177"/>
      <c r="AA322" s="176"/>
      <c r="AB322" s="176"/>
      <c r="AC322" s="176"/>
      <c r="AD322" s="178"/>
      <c r="AF322" s="179"/>
      <c r="AG322" s="179"/>
      <c r="AI322" s="180"/>
      <c r="AJ322" s="180"/>
      <c r="AK322" s="180"/>
      <c r="AL322" s="180"/>
      <c r="AM322" s="181"/>
      <c r="AN322" s="180"/>
      <c r="AO322" s="180"/>
      <c r="AP322" s="180"/>
    </row>
    <row r="323">
      <c r="D323" s="172"/>
      <c r="E323" s="172"/>
      <c r="G323" s="173"/>
      <c r="H323" s="173"/>
      <c r="I323" s="173"/>
      <c r="M323" s="173"/>
      <c r="R323" s="174"/>
      <c r="S323" s="174"/>
      <c r="T323" s="90"/>
      <c r="U323" s="176"/>
      <c r="V323" s="176"/>
      <c r="W323" s="176"/>
      <c r="X323" s="176"/>
      <c r="Y323" s="176"/>
      <c r="Z323" s="177"/>
      <c r="AA323" s="176"/>
      <c r="AB323" s="176"/>
      <c r="AC323" s="176"/>
      <c r="AD323" s="178"/>
      <c r="AF323" s="179"/>
      <c r="AG323" s="179"/>
      <c r="AI323" s="180"/>
      <c r="AJ323" s="180"/>
      <c r="AK323" s="180"/>
      <c r="AL323" s="180"/>
      <c r="AM323" s="181"/>
      <c r="AN323" s="180"/>
      <c r="AO323" s="180"/>
      <c r="AP323" s="180"/>
    </row>
    <row r="324">
      <c r="D324" s="172"/>
      <c r="E324" s="172"/>
      <c r="G324" s="173"/>
      <c r="H324" s="173"/>
      <c r="I324" s="173"/>
      <c r="M324" s="173"/>
      <c r="R324" s="174"/>
      <c r="S324" s="174"/>
      <c r="T324" s="90"/>
      <c r="U324" s="176"/>
      <c r="V324" s="176"/>
      <c r="W324" s="176"/>
      <c r="X324" s="176"/>
      <c r="Y324" s="176"/>
      <c r="Z324" s="177"/>
      <c r="AA324" s="176"/>
      <c r="AB324" s="176"/>
      <c r="AC324" s="176"/>
      <c r="AD324" s="178"/>
      <c r="AF324" s="179"/>
      <c r="AG324" s="179"/>
      <c r="AI324" s="180"/>
      <c r="AJ324" s="180"/>
      <c r="AK324" s="180"/>
      <c r="AL324" s="180"/>
      <c r="AM324" s="181"/>
      <c r="AN324" s="180"/>
      <c r="AO324" s="180"/>
      <c r="AP324" s="180"/>
    </row>
    <row r="325">
      <c r="D325" s="172"/>
      <c r="E325" s="172"/>
      <c r="G325" s="173"/>
      <c r="H325" s="173"/>
      <c r="I325" s="173"/>
      <c r="M325" s="173"/>
      <c r="R325" s="174"/>
      <c r="S325" s="174"/>
      <c r="T325" s="90"/>
      <c r="U325" s="176"/>
      <c r="V325" s="176"/>
      <c r="W325" s="176"/>
      <c r="X325" s="176"/>
      <c r="Y325" s="176"/>
      <c r="Z325" s="177"/>
      <c r="AA325" s="176"/>
      <c r="AB325" s="176"/>
      <c r="AC325" s="176"/>
      <c r="AD325" s="178"/>
      <c r="AF325" s="179"/>
      <c r="AG325" s="179"/>
      <c r="AI325" s="180"/>
      <c r="AJ325" s="180"/>
      <c r="AK325" s="180"/>
      <c r="AL325" s="180"/>
      <c r="AM325" s="181"/>
      <c r="AN325" s="180"/>
      <c r="AO325" s="180"/>
      <c r="AP325" s="180"/>
    </row>
    <row r="326">
      <c r="D326" s="172"/>
      <c r="E326" s="172"/>
      <c r="G326" s="173"/>
      <c r="H326" s="173"/>
      <c r="I326" s="173"/>
      <c r="M326" s="173"/>
      <c r="R326" s="174"/>
      <c r="S326" s="174"/>
      <c r="T326" s="90"/>
      <c r="U326" s="176"/>
      <c r="V326" s="176"/>
      <c r="W326" s="176"/>
      <c r="X326" s="176"/>
      <c r="Y326" s="176"/>
      <c r="Z326" s="177"/>
      <c r="AA326" s="176"/>
      <c r="AB326" s="176"/>
      <c r="AC326" s="176"/>
      <c r="AD326" s="178"/>
      <c r="AF326" s="179"/>
      <c r="AG326" s="179"/>
      <c r="AI326" s="180"/>
      <c r="AJ326" s="180"/>
      <c r="AK326" s="180"/>
      <c r="AL326" s="180"/>
      <c r="AM326" s="181"/>
      <c r="AN326" s="180"/>
      <c r="AO326" s="180"/>
      <c r="AP326" s="180"/>
    </row>
    <row r="327">
      <c r="D327" s="172"/>
      <c r="E327" s="172"/>
      <c r="G327" s="173"/>
      <c r="H327" s="173"/>
      <c r="I327" s="173"/>
      <c r="M327" s="173"/>
      <c r="R327" s="174"/>
      <c r="S327" s="174"/>
      <c r="T327" s="90"/>
      <c r="U327" s="176"/>
      <c r="V327" s="176"/>
      <c r="W327" s="176"/>
      <c r="X327" s="176"/>
      <c r="Y327" s="176"/>
      <c r="Z327" s="177"/>
      <c r="AA327" s="176"/>
      <c r="AB327" s="176"/>
      <c r="AC327" s="176"/>
      <c r="AD327" s="178"/>
      <c r="AF327" s="179"/>
      <c r="AG327" s="179"/>
      <c r="AI327" s="180"/>
      <c r="AJ327" s="180"/>
      <c r="AK327" s="180"/>
      <c r="AL327" s="180"/>
      <c r="AM327" s="181"/>
      <c r="AN327" s="180"/>
      <c r="AO327" s="180"/>
      <c r="AP327" s="180"/>
    </row>
    <row r="328">
      <c r="D328" s="172"/>
      <c r="E328" s="172"/>
      <c r="G328" s="173"/>
      <c r="H328" s="173"/>
      <c r="I328" s="173"/>
      <c r="M328" s="173"/>
      <c r="R328" s="174"/>
      <c r="S328" s="174"/>
      <c r="T328" s="90"/>
      <c r="U328" s="176"/>
      <c r="V328" s="176"/>
      <c r="W328" s="176"/>
      <c r="X328" s="176"/>
      <c r="Y328" s="176"/>
      <c r="Z328" s="177"/>
      <c r="AA328" s="176"/>
      <c r="AB328" s="176"/>
      <c r="AC328" s="176"/>
      <c r="AD328" s="178"/>
      <c r="AF328" s="179"/>
      <c r="AG328" s="179"/>
      <c r="AI328" s="180"/>
      <c r="AJ328" s="180"/>
      <c r="AK328" s="180"/>
      <c r="AL328" s="180"/>
      <c r="AM328" s="181"/>
      <c r="AN328" s="180"/>
      <c r="AO328" s="180"/>
      <c r="AP328" s="180"/>
    </row>
    <row r="329">
      <c r="D329" s="172"/>
      <c r="E329" s="172"/>
      <c r="G329" s="173"/>
      <c r="H329" s="173"/>
      <c r="I329" s="173"/>
      <c r="M329" s="173"/>
      <c r="R329" s="174"/>
      <c r="S329" s="174"/>
      <c r="T329" s="90"/>
      <c r="U329" s="176"/>
      <c r="V329" s="176"/>
      <c r="W329" s="176"/>
      <c r="X329" s="176"/>
      <c r="Y329" s="176"/>
      <c r="Z329" s="177"/>
      <c r="AA329" s="176"/>
      <c r="AB329" s="176"/>
      <c r="AC329" s="176"/>
      <c r="AD329" s="178"/>
      <c r="AF329" s="179"/>
      <c r="AG329" s="179"/>
      <c r="AI329" s="180"/>
      <c r="AJ329" s="180"/>
      <c r="AK329" s="180"/>
      <c r="AL329" s="180"/>
      <c r="AM329" s="181"/>
      <c r="AN329" s="180"/>
      <c r="AO329" s="180"/>
      <c r="AP329" s="180"/>
    </row>
    <row r="330">
      <c r="D330" s="172"/>
      <c r="E330" s="172"/>
      <c r="G330" s="173"/>
      <c r="H330" s="173"/>
      <c r="I330" s="173"/>
      <c r="M330" s="173"/>
      <c r="R330" s="174"/>
      <c r="S330" s="174"/>
      <c r="T330" s="90"/>
      <c r="U330" s="176"/>
      <c r="V330" s="176"/>
      <c r="W330" s="176"/>
      <c r="X330" s="176"/>
      <c r="Y330" s="176"/>
      <c r="Z330" s="177"/>
      <c r="AA330" s="176"/>
      <c r="AB330" s="176"/>
      <c r="AC330" s="176"/>
      <c r="AD330" s="178"/>
      <c r="AF330" s="179"/>
      <c r="AG330" s="179"/>
      <c r="AI330" s="180"/>
      <c r="AJ330" s="180"/>
      <c r="AK330" s="180"/>
      <c r="AL330" s="180"/>
      <c r="AM330" s="181"/>
      <c r="AN330" s="180"/>
      <c r="AO330" s="180"/>
      <c r="AP330" s="180"/>
    </row>
    <row r="331">
      <c r="D331" s="172"/>
      <c r="E331" s="172"/>
      <c r="G331" s="173"/>
      <c r="H331" s="173"/>
      <c r="I331" s="173"/>
      <c r="M331" s="173"/>
      <c r="R331" s="174"/>
      <c r="S331" s="174"/>
      <c r="T331" s="90"/>
      <c r="U331" s="176"/>
      <c r="V331" s="176"/>
      <c r="W331" s="176"/>
      <c r="X331" s="176"/>
      <c r="Y331" s="176"/>
      <c r="Z331" s="177"/>
      <c r="AA331" s="176"/>
      <c r="AB331" s="176"/>
      <c r="AC331" s="176"/>
      <c r="AD331" s="178"/>
      <c r="AF331" s="179"/>
      <c r="AG331" s="179"/>
      <c r="AI331" s="180"/>
      <c r="AJ331" s="180"/>
      <c r="AK331" s="180"/>
      <c r="AL331" s="180"/>
      <c r="AM331" s="181"/>
      <c r="AN331" s="180"/>
      <c r="AO331" s="180"/>
      <c r="AP331" s="180"/>
    </row>
    <row r="332">
      <c r="D332" s="172"/>
      <c r="E332" s="172"/>
      <c r="G332" s="173"/>
      <c r="H332" s="173"/>
      <c r="I332" s="173"/>
      <c r="M332" s="173"/>
      <c r="R332" s="174"/>
      <c r="S332" s="174"/>
      <c r="T332" s="90"/>
      <c r="U332" s="176"/>
      <c r="V332" s="176"/>
      <c r="W332" s="176"/>
      <c r="X332" s="176"/>
      <c r="Y332" s="176"/>
      <c r="Z332" s="177"/>
      <c r="AA332" s="176"/>
      <c r="AB332" s="176"/>
      <c r="AC332" s="176"/>
      <c r="AD332" s="178"/>
      <c r="AF332" s="179"/>
      <c r="AG332" s="179"/>
      <c r="AI332" s="180"/>
      <c r="AJ332" s="180"/>
      <c r="AK332" s="180"/>
      <c r="AL332" s="180"/>
      <c r="AM332" s="181"/>
      <c r="AN332" s="180"/>
      <c r="AO332" s="180"/>
      <c r="AP332" s="180"/>
    </row>
    <row r="333">
      <c r="D333" s="172"/>
      <c r="E333" s="172"/>
      <c r="G333" s="173"/>
      <c r="H333" s="173"/>
      <c r="I333" s="173"/>
      <c r="M333" s="173"/>
      <c r="R333" s="174"/>
      <c r="S333" s="174"/>
      <c r="T333" s="90"/>
      <c r="U333" s="176"/>
      <c r="V333" s="176"/>
      <c r="W333" s="176"/>
      <c r="X333" s="176"/>
      <c r="Y333" s="176"/>
      <c r="Z333" s="177"/>
      <c r="AA333" s="176"/>
      <c r="AB333" s="176"/>
      <c r="AC333" s="176"/>
      <c r="AD333" s="178"/>
      <c r="AF333" s="179"/>
      <c r="AG333" s="179"/>
      <c r="AI333" s="180"/>
      <c r="AJ333" s="180"/>
      <c r="AK333" s="180"/>
      <c r="AL333" s="180"/>
      <c r="AM333" s="181"/>
      <c r="AN333" s="180"/>
      <c r="AO333" s="180"/>
      <c r="AP333" s="180"/>
    </row>
    <row r="334">
      <c r="D334" s="172"/>
      <c r="E334" s="172"/>
      <c r="G334" s="173"/>
      <c r="H334" s="173"/>
      <c r="I334" s="173"/>
      <c r="M334" s="173"/>
      <c r="R334" s="174"/>
      <c r="S334" s="174"/>
      <c r="T334" s="90"/>
      <c r="U334" s="176"/>
      <c r="V334" s="176"/>
      <c r="W334" s="176"/>
      <c r="X334" s="176"/>
      <c r="Y334" s="176"/>
      <c r="Z334" s="177"/>
      <c r="AA334" s="176"/>
      <c r="AB334" s="176"/>
      <c r="AC334" s="176"/>
      <c r="AD334" s="178"/>
      <c r="AF334" s="179"/>
      <c r="AG334" s="179"/>
      <c r="AI334" s="180"/>
      <c r="AJ334" s="180"/>
      <c r="AK334" s="180"/>
      <c r="AL334" s="180"/>
      <c r="AM334" s="181"/>
      <c r="AN334" s="180"/>
      <c r="AO334" s="180"/>
      <c r="AP334" s="180"/>
    </row>
    <row r="335">
      <c r="D335" s="172"/>
      <c r="E335" s="172"/>
      <c r="G335" s="173"/>
      <c r="H335" s="173"/>
      <c r="I335" s="173"/>
      <c r="M335" s="173"/>
      <c r="R335" s="174"/>
      <c r="S335" s="174"/>
      <c r="T335" s="90"/>
      <c r="U335" s="176"/>
      <c r="V335" s="176"/>
      <c r="W335" s="176"/>
      <c r="X335" s="176"/>
      <c r="Y335" s="176"/>
      <c r="Z335" s="177"/>
      <c r="AA335" s="176"/>
      <c r="AB335" s="176"/>
      <c r="AC335" s="176"/>
      <c r="AD335" s="178"/>
      <c r="AF335" s="179"/>
      <c r="AG335" s="179"/>
      <c r="AI335" s="180"/>
      <c r="AJ335" s="180"/>
      <c r="AK335" s="180"/>
      <c r="AL335" s="180"/>
      <c r="AM335" s="181"/>
      <c r="AN335" s="180"/>
      <c r="AO335" s="180"/>
      <c r="AP335" s="180"/>
    </row>
    <row r="336">
      <c r="D336" s="172"/>
      <c r="E336" s="172"/>
      <c r="G336" s="173"/>
      <c r="H336" s="173"/>
      <c r="I336" s="173"/>
      <c r="M336" s="173"/>
      <c r="R336" s="174"/>
      <c r="S336" s="174"/>
      <c r="T336" s="90"/>
      <c r="U336" s="176"/>
      <c r="V336" s="176"/>
      <c r="W336" s="176"/>
      <c r="X336" s="176"/>
      <c r="Y336" s="176"/>
      <c r="Z336" s="177"/>
      <c r="AA336" s="176"/>
      <c r="AB336" s="176"/>
      <c r="AC336" s="176"/>
      <c r="AD336" s="178"/>
      <c r="AF336" s="179"/>
      <c r="AG336" s="179"/>
      <c r="AI336" s="180"/>
      <c r="AJ336" s="180"/>
      <c r="AK336" s="180"/>
      <c r="AL336" s="180"/>
      <c r="AM336" s="181"/>
      <c r="AN336" s="180"/>
      <c r="AO336" s="180"/>
      <c r="AP336" s="180"/>
    </row>
    <row r="337">
      <c r="D337" s="172"/>
      <c r="E337" s="172"/>
      <c r="G337" s="173"/>
      <c r="H337" s="173"/>
      <c r="I337" s="173"/>
      <c r="M337" s="173"/>
      <c r="R337" s="174"/>
      <c r="S337" s="174"/>
      <c r="T337" s="90"/>
      <c r="U337" s="176"/>
      <c r="V337" s="176"/>
      <c r="W337" s="176"/>
      <c r="X337" s="176"/>
      <c r="Y337" s="176"/>
      <c r="Z337" s="177"/>
      <c r="AA337" s="176"/>
      <c r="AB337" s="176"/>
      <c r="AC337" s="176"/>
      <c r="AD337" s="178"/>
      <c r="AF337" s="179"/>
      <c r="AG337" s="179"/>
      <c r="AI337" s="180"/>
      <c r="AJ337" s="180"/>
      <c r="AK337" s="180"/>
      <c r="AL337" s="180"/>
      <c r="AM337" s="181"/>
      <c r="AN337" s="180"/>
      <c r="AO337" s="180"/>
      <c r="AP337" s="180"/>
    </row>
    <row r="338">
      <c r="D338" s="172"/>
      <c r="E338" s="172"/>
      <c r="G338" s="173"/>
      <c r="H338" s="173"/>
      <c r="I338" s="173"/>
      <c r="M338" s="173"/>
      <c r="R338" s="174"/>
      <c r="S338" s="174"/>
      <c r="T338" s="90"/>
      <c r="U338" s="176"/>
      <c r="V338" s="176"/>
      <c r="W338" s="176"/>
      <c r="X338" s="176"/>
      <c r="Y338" s="176"/>
      <c r="Z338" s="177"/>
      <c r="AA338" s="176"/>
      <c r="AB338" s="176"/>
      <c r="AC338" s="176"/>
      <c r="AD338" s="178"/>
      <c r="AF338" s="179"/>
      <c r="AG338" s="179"/>
      <c r="AI338" s="180"/>
      <c r="AJ338" s="180"/>
      <c r="AK338" s="180"/>
      <c r="AL338" s="180"/>
      <c r="AM338" s="181"/>
      <c r="AN338" s="180"/>
      <c r="AO338" s="180"/>
      <c r="AP338" s="180"/>
    </row>
    <row r="339">
      <c r="D339" s="172"/>
      <c r="E339" s="172"/>
      <c r="G339" s="173"/>
      <c r="H339" s="173"/>
      <c r="I339" s="173"/>
      <c r="M339" s="173"/>
      <c r="R339" s="174"/>
      <c r="S339" s="174"/>
      <c r="T339" s="90"/>
      <c r="U339" s="176"/>
      <c r="V339" s="176"/>
      <c r="W339" s="176"/>
      <c r="X339" s="176"/>
      <c r="Y339" s="176"/>
      <c r="Z339" s="177"/>
      <c r="AA339" s="176"/>
      <c r="AB339" s="176"/>
      <c r="AC339" s="176"/>
      <c r="AD339" s="178"/>
      <c r="AF339" s="179"/>
      <c r="AG339" s="179"/>
      <c r="AI339" s="180"/>
      <c r="AJ339" s="180"/>
      <c r="AK339" s="180"/>
      <c r="AL339" s="180"/>
      <c r="AM339" s="181"/>
      <c r="AN339" s="180"/>
      <c r="AO339" s="180"/>
      <c r="AP339" s="180"/>
    </row>
    <row r="340">
      <c r="D340" s="172"/>
      <c r="E340" s="172"/>
      <c r="G340" s="173"/>
      <c r="H340" s="173"/>
      <c r="I340" s="173"/>
      <c r="M340" s="173"/>
      <c r="R340" s="174"/>
      <c r="S340" s="174"/>
      <c r="T340" s="90"/>
      <c r="U340" s="176"/>
      <c r="V340" s="176"/>
      <c r="W340" s="176"/>
      <c r="X340" s="176"/>
      <c r="Y340" s="176"/>
      <c r="Z340" s="177"/>
      <c r="AA340" s="176"/>
      <c r="AB340" s="176"/>
      <c r="AC340" s="176"/>
      <c r="AD340" s="178"/>
      <c r="AF340" s="179"/>
      <c r="AG340" s="179"/>
      <c r="AI340" s="180"/>
      <c r="AJ340" s="180"/>
      <c r="AK340" s="180"/>
      <c r="AL340" s="180"/>
      <c r="AM340" s="181"/>
      <c r="AN340" s="180"/>
      <c r="AO340" s="180"/>
      <c r="AP340" s="180"/>
    </row>
    <row r="341">
      <c r="D341" s="172"/>
      <c r="E341" s="172"/>
      <c r="G341" s="173"/>
      <c r="H341" s="173"/>
      <c r="I341" s="173"/>
      <c r="M341" s="173"/>
      <c r="R341" s="174"/>
      <c r="S341" s="174"/>
      <c r="T341" s="90"/>
      <c r="U341" s="176"/>
      <c r="V341" s="176"/>
      <c r="W341" s="176"/>
      <c r="X341" s="176"/>
      <c r="Y341" s="176"/>
      <c r="Z341" s="177"/>
      <c r="AA341" s="176"/>
      <c r="AB341" s="176"/>
      <c r="AC341" s="176"/>
      <c r="AD341" s="178"/>
      <c r="AF341" s="179"/>
      <c r="AG341" s="179"/>
      <c r="AI341" s="180"/>
      <c r="AJ341" s="180"/>
      <c r="AK341" s="180"/>
      <c r="AL341" s="180"/>
      <c r="AM341" s="181"/>
      <c r="AN341" s="180"/>
      <c r="AO341" s="180"/>
      <c r="AP341" s="180"/>
    </row>
    <row r="342">
      <c r="D342" s="172"/>
      <c r="E342" s="172"/>
      <c r="G342" s="173"/>
      <c r="H342" s="173"/>
      <c r="I342" s="173"/>
      <c r="M342" s="173"/>
      <c r="R342" s="174"/>
      <c r="S342" s="174"/>
      <c r="T342" s="90"/>
      <c r="U342" s="176"/>
      <c r="V342" s="176"/>
      <c r="W342" s="176"/>
      <c r="X342" s="176"/>
      <c r="Y342" s="176"/>
      <c r="Z342" s="177"/>
      <c r="AA342" s="176"/>
      <c r="AB342" s="176"/>
      <c r="AC342" s="176"/>
      <c r="AD342" s="178"/>
      <c r="AF342" s="179"/>
      <c r="AG342" s="179"/>
      <c r="AI342" s="180"/>
      <c r="AJ342" s="180"/>
      <c r="AK342" s="180"/>
      <c r="AL342" s="180"/>
      <c r="AM342" s="181"/>
      <c r="AN342" s="180"/>
      <c r="AO342" s="180"/>
      <c r="AP342" s="180"/>
    </row>
    <row r="343">
      <c r="D343" s="172"/>
      <c r="E343" s="172"/>
      <c r="G343" s="173"/>
      <c r="H343" s="173"/>
      <c r="I343" s="173"/>
      <c r="M343" s="173"/>
      <c r="R343" s="174"/>
      <c r="S343" s="174"/>
      <c r="T343" s="90"/>
      <c r="U343" s="176"/>
      <c r="V343" s="176"/>
      <c r="W343" s="176"/>
      <c r="X343" s="176"/>
      <c r="Y343" s="176"/>
      <c r="Z343" s="177"/>
      <c r="AA343" s="176"/>
      <c r="AB343" s="176"/>
      <c r="AC343" s="176"/>
      <c r="AD343" s="178"/>
      <c r="AF343" s="179"/>
      <c r="AG343" s="179"/>
      <c r="AI343" s="180"/>
      <c r="AJ343" s="180"/>
      <c r="AK343" s="180"/>
      <c r="AL343" s="180"/>
      <c r="AM343" s="181"/>
      <c r="AN343" s="180"/>
      <c r="AO343" s="180"/>
      <c r="AP343" s="180"/>
    </row>
    <row r="344">
      <c r="D344" s="172"/>
      <c r="E344" s="172"/>
      <c r="G344" s="173"/>
      <c r="H344" s="173"/>
      <c r="I344" s="173"/>
      <c r="M344" s="173"/>
      <c r="R344" s="174"/>
      <c r="S344" s="174"/>
      <c r="T344" s="90"/>
      <c r="U344" s="176"/>
      <c r="V344" s="176"/>
      <c r="W344" s="176"/>
      <c r="X344" s="176"/>
      <c r="Y344" s="176"/>
      <c r="Z344" s="177"/>
      <c r="AA344" s="176"/>
      <c r="AB344" s="176"/>
      <c r="AC344" s="176"/>
      <c r="AD344" s="178"/>
      <c r="AF344" s="179"/>
      <c r="AG344" s="179"/>
      <c r="AI344" s="180"/>
      <c r="AJ344" s="180"/>
      <c r="AK344" s="180"/>
      <c r="AL344" s="180"/>
      <c r="AM344" s="181"/>
      <c r="AN344" s="180"/>
      <c r="AO344" s="180"/>
      <c r="AP344" s="180"/>
    </row>
    <row r="345">
      <c r="D345" s="172"/>
      <c r="E345" s="172"/>
      <c r="G345" s="173"/>
      <c r="H345" s="173"/>
      <c r="I345" s="173"/>
      <c r="M345" s="173"/>
      <c r="R345" s="174"/>
      <c r="S345" s="174"/>
      <c r="T345" s="90"/>
      <c r="U345" s="176"/>
      <c r="V345" s="176"/>
      <c r="W345" s="176"/>
      <c r="X345" s="176"/>
      <c r="Y345" s="176"/>
      <c r="Z345" s="177"/>
      <c r="AA345" s="176"/>
      <c r="AB345" s="176"/>
      <c r="AC345" s="176"/>
      <c r="AD345" s="178"/>
      <c r="AF345" s="179"/>
      <c r="AG345" s="179"/>
      <c r="AI345" s="180"/>
      <c r="AJ345" s="180"/>
      <c r="AK345" s="180"/>
      <c r="AL345" s="180"/>
      <c r="AM345" s="181"/>
      <c r="AN345" s="180"/>
      <c r="AO345" s="180"/>
      <c r="AP345" s="180"/>
    </row>
    <row r="346">
      <c r="D346" s="172"/>
      <c r="E346" s="172"/>
      <c r="G346" s="173"/>
      <c r="H346" s="173"/>
      <c r="I346" s="173"/>
      <c r="M346" s="173"/>
      <c r="R346" s="174"/>
      <c r="S346" s="174"/>
      <c r="T346" s="90"/>
      <c r="U346" s="176"/>
      <c r="V346" s="176"/>
      <c r="W346" s="176"/>
      <c r="X346" s="176"/>
      <c r="Y346" s="176"/>
      <c r="Z346" s="177"/>
      <c r="AA346" s="176"/>
      <c r="AB346" s="176"/>
      <c r="AC346" s="176"/>
      <c r="AD346" s="178"/>
      <c r="AF346" s="179"/>
      <c r="AG346" s="179"/>
      <c r="AI346" s="180"/>
      <c r="AJ346" s="180"/>
      <c r="AK346" s="180"/>
      <c r="AL346" s="180"/>
      <c r="AM346" s="181"/>
      <c r="AN346" s="180"/>
      <c r="AO346" s="180"/>
      <c r="AP346" s="180"/>
    </row>
    <row r="347">
      <c r="D347" s="172"/>
      <c r="E347" s="172"/>
      <c r="G347" s="173"/>
      <c r="H347" s="173"/>
      <c r="I347" s="173"/>
      <c r="M347" s="173"/>
      <c r="R347" s="174"/>
      <c r="S347" s="174"/>
      <c r="T347" s="90"/>
      <c r="U347" s="176"/>
      <c r="V347" s="176"/>
      <c r="W347" s="176"/>
      <c r="X347" s="176"/>
      <c r="Y347" s="176"/>
      <c r="Z347" s="177"/>
      <c r="AA347" s="176"/>
      <c r="AB347" s="176"/>
      <c r="AC347" s="176"/>
      <c r="AD347" s="178"/>
      <c r="AF347" s="179"/>
      <c r="AG347" s="179"/>
      <c r="AI347" s="180"/>
      <c r="AJ347" s="180"/>
      <c r="AK347" s="180"/>
      <c r="AL347" s="180"/>
      <c r="AM347" s="181"/>
      <c r="AN347" s="180"/>
      <c r="AO347" s="180"/>
      <c r="AP347" s="180"/>
    </row>
    <row r="348">
      <c r="D348" s="172"/>
      <c r="E348" s="172"/>
      <c r="G348" s="173"/>
      <c r="H348" s="173"/>
      <c r="I348" s="173"/>
      <c r="M348" s="173"/>
      <c r="R348" s="174"/>
      <c r="S348" s="174"/>
      <c r="T348" s="90"/>
      <c r="U348" s="176"/>
      <c r="V348" s="176"/>
      <c r="W348" s="176"/>
      <c r="X348" s="176"/>
      <c r="Y348" s="176"/>
      <c r="Z348" s="177"/>
      <c r="AA348" s="176"/>
      <c r="AB348" s="176"/>
      <c r="AC348" s="176"/>
      <c r="AD348" s="178"/>
      <c r="AF348" s="179"/>
      <c r="AG348" s="179"/>
      <c r="AI348" s="180"/>
      <c r="AJ348" s="180"/>
      <c r="AK348" s="180"/>
      <c r="AL348" s="180"/>
      <c r="AM348" s="181"/>
      <c r="AN348" s="180"/>
      <c r="AO348" s="180"/>
      <c r="AP348" s="180"/>
    </row>
    <row r="349">
      <c r="D349" s="172"/>
      <c r="E349" s="172"/>
      <c r="G349" s="173"/>
      <c r="H349" s="173"/>
      <c r="I349" s="173"/>
      <c r="M349" s="173"/>
      <c r="R349" s="174"/>
      <c r="S349" s="174"/>
      <c r="T349" s="90"/>
      <c r="U349" s="176"/>
      <c r="V349" s="176"/>
      <c r="W349" s="176"/>
      <c r="X349" s="176"/>
      <c r="Y349" s="176"/>
      <c r="Z349" s="177"/>
      <c r="AA349" s="176"/>
      <c r="AB349" s="176"/>
      <c r="AC349" s="176"/>
      <c r="AD349" s="178"/>
      <c r="AF349" s="179"/>
      <c r="AG349" s="179"/>
      <c r="AI349" s="180"/>
      <c r="AJ349" s="180"/>
      <c r="AK349" s="180"/>
      <c r="AL349" s="180"/>
      <c r="AM349" s="181"/>
      <c r="AN349" s="180"/>
      <c r="AO349" s="180"/>
      <c r="AP349" s="180"/>
    </row>
    <row r="350">
      <c r="D350" s="172"/>
      <c r="E350" s="172"/>
      <c r="G350" s="173"/>
      <c r="H350" s="173"/>
      <c r="I350" s="173"/>
      <c r="M350" s="173"/>
      <c r="R350" s="174"/>
      <c r="S350" s="174"/>
      <c r="T350" s="90"/>
      <c r="U350" s="176"/>
      <c r="V350" s="176"/>
      <c r="W350" s="176"/>
      <c r="X350" s="176"/>
      <c r="Y350" s="176"/>
      <c r="Z350" s="177"/>
      <c r="AA350" s="176"/>
      <c r="AB350" s="176"/>
      <c r="AC350" s="176"/>
      <c r="AD350" s="178"/>
      <c r="AF350" s="179"/>
      <c r="AG350" s="179"/>
      <c r="AI350" s="180"/>
      <c r="AJ350" s="180"/>
      <c r="AK350" s="180"/>
      <c r="AL350" s="180"/>
      <c r="AM350" s="181"/>
      <c r="AN350" s="180"/>
      <c r="AO350" s="180"/>
      <c r="AP350" s="180"/>
    </row>
    <row r="351">
      <c r="D351" s="172"/>
      <c r="E351" s="172"/>
      <c r="G351" s="173"/>
      <c r="H351" s="173"/>
      <c r="I351" s="173"/>
      <c r="M351" s="173"/>
      <c r="R351" s="174"/>
      <c r="S351" s="174"/>
      <c r="T351" s="90"/>
      <c r="U351" s="176"/>
      <c r="V351" s="176"/>
      <c r="W351" s="176"/>
      <c r="X351" s="176"/>
      <c r="Y351" s="176"/>
      <c r="Z351" s="177"/>
      <c r="AA351" s="176"/>
      <c r="AB351" s="176"/>
      <c r="AC351" s="176"/>
      <c r="AD351" s="178"/>
      <c r="AF351" s="179"/>
      <c r="AG351" s="179"/>
      <c r="AI351" s="180"/>
      <c r="AJ351" s="180"/>
      <c r="AK351" s="180"/>
      <c r="AL351" s="180"/>
      <c r="AM351" s="181"/>
      <c r="AN351" s="180"/>
      <c r="AO351" s="180"/>
      <c r="AP351" s="180"/>
    </row>
    <row r="352">
      <c r="D352" s="172"/>
      <c r="E352" s="172"/>
      <c r="G352" s="173"/>
      <c r="H352" s="173"/>
      <c r="I352" s="173"/>
      <c r="M352" s="173"/>
      <c r="R352" s="174"/>
      <c r="S352" s="174"/>
      <c r="T352" s="90"/>
      <c r="U352" s="176"/>
      <c r="V352" s="176"/>
      <c r="W352" s="176"/>
      <c r="X352" s="176"/>
      <c r="Y352" s="176"/>
      <c r="Z352" s="177"/>
      <c r="AA352" s="176"/>
      <c r="AB352" s="176"/>
      <c r="AC352" s="176"/>
      <c r="AD352" s="178"/>
      <c r="AF352" s="179"/>
      <c r="AG352" s="179"/>
      <c r="AI352" s="180"/>
      <c r="AJ352" s="180"/>
      <c r="AK352" s="180"/>
      <c r="AL352" s="180"/>
      <c r="AM352" s="181"/>
      <c r="AN352" s="180"/>
      <c r="AO352" s="180"/>
      <c r="AP352" s="180"/>
    </row>
    <row r="353">
      <c r="D353" s="172"/>
      <c r="E353" s="172"/>
      <c r="G353" s="173"/>
      <c r="H353" s="173"/>
      <c r="I353" s="173"/>
      <c r="M353" s="173"/>
      <c r="R353" s="174"/>
      <c r="S353" s="174"/>
      <c r="T353" s="90"/>
      <c r="U353" s="176"/>
      <c r="V353" s="176"/>
      <c r="W353" s="176"/>
      <c r="X353" s="176"/>
      <c r="Y353" s="176"/>
      <c r="Z353" s="177"/>
      <c r="AA353" s="176"/>
      <c r="AB353" s="176"/>
      <c r="AC353" s="176"/>
      <c r="AD353" s="178"/>
      <c r="AF353" s="179"/>
      <c r="AG353" s="179"/>
      <c r="AI353" s="180"/>
      <c r="AJ353" s="180"/>
      <c r="AK353" s="180"/>
      <c r="AL353" s="180"/>
      <c r="AM353" s="181"/>
      <c r="AN353" s="180"/>
      <c r="AO353" s="180"/>
      <c r="AP353" s="180"/>
    </row>
    <row r="354">
      <c r="D354" s="172"/>
      <c r="E354" s="172"/>
      <c r="G354" s="173"/>
      <c r="H354" s="173"/>
      <c r="I354" s="173"/>
      <c r="M354" s="173"/>
      <c r="R354" s="174"/>
      <c r="S354" s="174"/>
      <c r="T354" s="90"/>
      <c r="U354" s="176"/>
      <c r="V354" s="176"/>
      <c r="W354" s="176"/>
      <c r="X354" s="176"/>
      <c r="Y354" s="176"/>
      <c r="Z354" s="177"/>
      <c r="AA354" s="176"/>
      <c r="AB354" s="176"/>
      <c r="AC354" s="176"/>
      <c r="AD354" s="178"/>
      <c r="AF354" s="179"/>
      <c r="AG354" s="179"/>
      <c r="AI354" s="180"/>
      <c r="AJ354" s="180"/>
      <c r="AK354" s="180"/>
      <c r="AL354" s="180"/>
      <c r="AM354" s="181"/>
      <c r="AN354" s="180"/>
      <c r="AO354" s="180"/>
      <c r="AP354" s="180"/>
    </row>
    <row r="355">
      <c r="D355" s="172"/>
      <c r="E355" s="172"/>
      <c r="G355" s="173"/>
      <c r="H355" s="173"/>
      <c r="I355" s="173"/>
      <c r="M355" s="173"/>
      <c r="R355" s="174"/>
      <c r="S355" s="174"/>
      <c r="T355" s="90"/>
      <c r="U355" s="176"/>
      <c r="V355" s="176"/>
      <c r="W355" s="176"/>
      <c r="X355" s="176"/>
      <c r="Y355" s="176"/>
      <c r="Z355" s="177"/>
      <c r="AA355" s="176"/>
      <c r="AB355" s="176"/>
      <c r="AC355" s="176"/>
      <c r="AD355" s="178"/>
      <c r="AF355" s="179"/>
      <c r="AG355" s="179"/>
      <c r="AI355" s="180"/>
      <c r="AJ355" s="180"/>
      <c r="AK355" s="180"/>
      <c r="AL355" s="180"/>
      <c r="AM355" s="181"/>
      <c r="AN355" s="180"/>
      <c r="AO355" s="180"/>
      <c r="AP355" s="180"/>
    </row>
    <row r="356">
      <c r="D356" s="172"/>
      <c r="E356" s="172"/>
      <c r="G356" s="173"/>
      <c r="H356" s="173"/>
      <c r="I356" s="173"/>
      <c r="M356" s="173"/>
      <c r="R356" s="174"/>
      <c r="S356" s="174"/>
      <c r="T356" s="90"/>
      <c r="U356" s="176"/>
      <c r="V356" s="176"/>
      <c r="W356" s="176"/>
      <c r="X356" s="176"/>
      <c r="Y356" s="176"/>
      <c r="Z356" s="177"/>
      <c r="AA356" s="176"/>
      <c r="AB356" s="176"/>
      <c r="AC356" s="176"/>
      <c r="AD356" s="178"/>
      <c r="AF356" s="179"/>
      <c r="AG356" s="179"/>
      <c r="AI356" s="180"/>
      <c r="AJ356" s="180"/>
      <c r="AK356" s="180"/>
      <c r="AL356" s="180"/>
      <c r="AM356" s="181"/>
      <c r="AN356" s="180"/>
      <c r="AO356" s="180"/>
      <c r="AP356" s="180"/>
    </row>
    <row r="357">
      <c r="D357" s="172"/>
      <c r="E357" s="172"/>
      <c r="G357" s="173"/>
      <c r="H357" s="173"/>
      <c r="I357" s="173"/>
      <c r="M357" s="173"/>
      <c r="R357" s="174"/>
      <c r="S357" s="174"/>
      <c r="T357" s="90"/>
      <c r="U357" s="176"/>
      <c r="V357" s="176"/>
      <c r="W357" s="176"/>
      <c r="X357" s="176"/>
      <c r="Y357" s="176"/>
      <c r="Z357" s="177"/>
      <c r="AA357" s="176"/>
      <c r="AB357" s="176"/>
      <c r="AC357" s="176"/>
      <c r="AD357" s="178"/>
      <c r="AF357" s="179"/>
      <c r="AG357" s="179"/>
      <c r="AI357" s="180"/>
      <c r="AJ357" s="180"/>
      <c r="AK357" s="180"/>
      <c r="AL357" s="180"/>
      <c r="AM357" s="181"/>
      <c r="AN357" s="180"/>
      <c r="AO357" s="180"/>
      <c r="AP357" s="180"/>
    </row>
    <row r="358">
      <c r="D358" s="172"/>
      <c r="E358" s="172"/>
      <c r="G358" s="173"/>
      <c r="H358" s="173"/>
      <c r="I358" s="173"/>
      <c r="M358" s="173"/>
      <c r="R358" s="174"/>
      <c r="S358" s="174"/>
      <c r="T358" s="90"/>
      <c r="U358" s="176"/>
      <c r="V358" s="176"/>
      <c r="W358" s="176"/>
      <c r="X358" s="176"/>
      <c r="Y358" s="176"/>
      <c r="Z358" s="177"/>
      <c r="AA358" s="176"/>
      <c r="AB358" s="176"/>
      <c r="AC358" s="176"/>
      <c r="AD358" s="178"/>
      <c r="AF358" s="179"/>
      <c r="AG358" s="179"/>
      <c r="AI358" s="180"/>
      <c r="AJ358" s="180"/>
      <c r="AK358" s="180"/>
      <c r="AL358" s="180"/>
      <c r="AM358" s="181"/>
      <c r="AN358" s="180"/>
      <c r="AO358" s="180"/>
      <c r="AP358" s="180"/>
    </row>
    <row r="359">
      <c r="D359" s="172"/>
      <c r="E359" s="172"/>
      <c r="G359" s="173"/>
      <c r="H359" s="173"/>
      <c r="I359" s="173"/>
      <c r="M359" s="173"/>
      <c r="R359" s="174"/>
      <c r="S359" s="174"/>
      <c r="T359" s="90"/>
      <c r="U359" s="176"/>
      <c r="V359" s="176"/>
      <c r="W359" s="176"/>
      <c r="X359" s="176"/>
      <c r="Y359" s="176"/>
      <c r="Z359" s="177"/>
      <c r="AA359" s="176"/>
      <c r="AB359" s="176"/>
      <c r="AC359" s="176"/>
      <c r="AD359" s="178"/>
      <c r="AF359" s="179"/>
      <c r="AG359" s="179"/>
      <c r="AI359" s="180"/>
      <c r="AJ359" s="180"/>
      <c r="AK359" s="180"/>
      <c r="AL359" s="180"/>
      <c r="AM359" s="181"/>
      <c r="AN359" s="180"/>
      <c r="AO359" s="180"/>
      <c r="AP359" s="180"/>
    </row>
    <row r="360">
      <c r="D360" s="172"/>
      <c r="E360" s="172"/>
      <c r="G360" s="173"/>
      <c r="H360" s="173"/>
      <c r="I360" s="173"/>
      <c r="M360" s="173"/>
      <c r="R360" s="174"/>
      <c r="S360" s="174"/>
      <c r="T360" s="90"/>
      <c r="U360" s="176"/>
      <c r="V360" s="176"/>
      <c r="W360" s="176"/>
      <c r="X360" s="176"/>
      <c r="Y360" s="176"/>
      <c r="Z360" s="177"/>
      <c r="AA360" s="176"/>
      <c r="AB360" s="176"/>
      <c r="AC360" s="176"/>
      <c r="AD360" s="178"/>
      <c r="AF360" s="179"/>
      <c r="AG360" s="179"/>
      <c r="AI360" s="180"/>
      <c r="AJ360" s="180"/>
      <c r="AK360" s="180"/>
      <c r="AL360" s="180"/>
      <c r="AM360" s="181"/>
      <c r="AN360" s="180"/>
      <c r="AO360" s="180"/>
      <c r="AP360" s="180"/>
    </row>
    <row r="361">
      <c r="D361" s="172"/>
      <c r="E361" s="172"/>
      <c r="G361" s="173"/>
      <c r="H361" s="173"/>
      <c r="I361" s="173"/>
      <c r="M361" s="173"/>
      <c r="R361" s="174"/>
      <c r="S361" s="174"/>
      <c r="T361" s="90"/>
      <c r="U361" s="176"/>
      <c r="V361" s="176"/>
      <c r="W361" s="176"/>
      <c r="X361" s="176"/>
      <c r="Y361" s="176"/>
      <c r="Z361" s="177"/>
      <c r="AA361" s="176"/>
      <c r="AB361" s="176"/>
      <c r="AC361" s="176"/>
      <c r="AD361" s="178"/>
      <c r="AF361" s="179"/>
      <c r="AG361" s="179"/>
      <c r="AI361" s="180"/>
      <c r="AJ361" s="180"/>
      <c r="AK361" s="180"/>
      <c r="AL361" s="180"/>
      <c r="AM361" s="181"/>
      <c r="AN361" s="180"/>
      <c r="AO361" s="180"/>
      <c r="AP361" s="180"/>
    </row>
    <row r="362">
      <c r="D362" s="172"/>
      <c r="E362" s="172"/>
      <c r="G362" s="173"/>
      <c r="H362" s="173"/>
      <c r="I362" s="173"/>
      <c r="M362" s="173"/>
      <c r="R362" s="174"/>
      <c r="S362" s="174"/>
      <c r="T362" s="90"/>
      <c r="U362" s="176"/>
      <c r="V362" s="176"/>
      <c r="W362" s="176"/>
      <c r="X362" s="176"/>
      <c r="Y362" s="176"/>
      <c r="Z362" s="177"/>
      <c r="AA362" s="176"/>
      <c r="AB362" s="176"/>
      <c r="AC362" s="176"/>
      <c r="AD362" s="178"/>
      <c r="AF362" s="179"/>
      <c r="AG362" s="179"/>
      <c r="AI362" s="180"/>
      <c r="AJ362" s="180"/>
      <c r="AK362" s="180"/>
      <c r="AL362" s="180"/>
      <c r="AM362" s="181"/>
      <c r="AN362" s="180"/>
      <c r="AO362" s="180"/>
      <c r="AP362" s="180"/>
    </row>
    <row r="363">
      <c r="D363" s="172"/>
      <c r="E363" s="172"/>
      <c r="G363" s="173"/>
      <c r="H363" s="173"/>
      <c r="I363" s="173"/>
      <c r="M363" s="173"/>
      <c r="R363" s="174"/>
      <c r="S363" s="174"/>
      <c r="T363" s="90"/>
      <c r="U363" s="176"/>
      <c r="V363" s="176"/>
      <c r="W363" s="176"/>
      <c r="X363" s="176"/>
      <c r="Y363" s="176"/>
      <c r="Z363" s="177"/>
      <c r="AA363" s="176"/>
      <c r="AB363" s="176"/>
      <c r="AC363" s="176"/>
      <c r="AD363" s="178"/>
      <c r="AF363" s="179"/>
      <c r="AG363" s="179"/>
      <c r="AI363" s="180"/>
      <c r="AJ363" s="180"/>
      <c r="AK363" s="180"/>
      <c r="AL363" s="180"/>
      <c r="AM363" s="181"/>
      <c r="AN363" s="180"/>
      <c r="AO363" s="180"/>
      <c r="AP363" s="180"/>
    </row>
    <row r="364">
      <c r="D364" s="172"/>
      <c r="E364" s="172"/>
      <c r="G364" s="173"/>
      <c r="H364" s="173"/>
      <c r="I364" s="173"/>
      <c r="M364" s="173"/>
      <c r="R364" s="174"/>
      <c r="S364" s="174"/>
      <c r="T364" s="90"/>
      <c r="U364" s="176"/>
      <c r="V364" s="176"/>
      <c r="W364" s="176"/>
      <c r="X364" s="176"/>
      <c r="Y364" s="176"/>
      <c r="Z364" s="177"/>
      <c r="AA364" s="176"/>
      <c r="AB364" s="176"/>
      <c r="AC364" s="176"/>
      <c r="AD364" s="178"/>
      <c r="AF364" s="179"/>
      <c r="AG364" s="179"/>
      <c r="AI364" s="180"/>
      <c r="AJ364" s="180"/>
      <c r="AK364" s="180"/>
      <c r="AL364" s="180"/>
      <c r="AM364" s="181"/>
      <c r="AN364" s="180"/>
      <c r="AO364" s="180"/>
      <c r="AP364" s="180"/>
    </row>
    <row r="365">
      <c r="D365" s="172"/>
      <c r="E365" s="172"/>
      <c r="G365" s="173"/>
      <c r="H365" s="173"/>
      <c r="I365" s="173"/>
      <c r="M365" s="173"/>
      <c r="R365" s="174"/>
      <c r="S365" s="174"/>
      <c r="T365" s="90"/>
      <c r="U365" s="176"/>
      <c r="V365" s="176"/>
      <c r="W365" s="176"/>
      <c r="X365" s="176"/>
      <c r="Y365" s="176"/>
      <c r="Z365" s="177"/>
      <c r="AA365" s="176"/>
      <c r="AB365" s="176"/>
      <c r="AC365" s="176"/>
      <c r="AD365" s="178"/>
      <c r="AF365" s="179"/>
      <c r="AG365" s="179"/>
      <c r="AI365" s="180"/>
      <c r="AJ365" s="180"/>
      <c r="AK365" s="180"/>
      <c r="AL365" s="180"/>
      <c r="AM365" s="181"/>
      <c r="AN365" s="180"/>
      <c r="AO365" s="180"/>
      <c r="AP365" s="180"/>
    </row>
    <row r="366">
      <c r="D366" s="172"/>
      <c r="E366" s="172"/>
      <c r="G366" s="173"/>
      <c r="H366" s="173"/>
      <c r="I366" s="173"/>
      <c r="M366" s="173"/>
      <c r="R366" s="174"/>
      <c r="S366" s="174"/>
      <c r="T366" s="90"/>
      <c r="U366" s="176"/>
      <c r="V366" s="176"/>
      <c r="W366" s="176"/>
      <c r="X366" s="176"/>
      <c r="Y366" s="176"/>
      <c r="Z366" s="177"/>
      <c r="AA366" s="176"/>
      <c r="AB366" s="176"/>
      <c r="AC366" s="176"/>
      <c r="AD366" s="178"/>
      <c r="AF366" s="179"/>
      <c r="AG366" s="179"/>
      <c r="AI366" s="180"/>
      <c r="AJ366" s="180"/>
      <c r="AK366" s="180"/>
      <c r="AL366" s="180"/>
      <c r="AM366" s="181"/>
      <c r="AN366" s="180"/>
      <c r="AO366" s="180"/>
      <c r="AP366" s="180"/>
    </row>
    <row r="367">
      <c r="D367" s="172"/>
      <c r="E367" s="172"/>
      <c r="G367" s="173"/>
      <c r="H367" s="173"/>
      <c r="I367" s="173"/>
      <c r="M367" s="173"/>
      <c r="R367" s="174"/>
      <c r="S367" s="174"/>
      <c r="T367" s="90"/>
      <c r="U367" s="176"/>
      <c r="V367" s="176"/>
      <c r="W367" s="176"/>
      <c r="X367" s="176"/>
      <c r="Y367" s="176"/>
      <c r="Z367" s="177"/>
      <c r="AA367" s="176"/>
      <c r="AB367" s="176"/>
      <c r="AC367" s="176"/>
      <c r="AD367" s="178"/>
      <c r="AF367" s="179"/>
      <c r="AG367" s="179"/>
      <c r="AI367" s="180"/>
      <c r="AJ367" s="180"/>
      <c r="AK367" s="180"/>
      <c r="AL367" s="180"/>
      <c r="AM367" s="181"/>
      <c r="AN367" s="180"/>
      <c r="AO367" s="180"/>
      <c r="AP367" s="180"/>
    </row>
    <row r="368">
      <c r="D368" s="172"/>
      <c r="E368" s="172"/>
      <c r="G368" s="173"/>
      <c r="H368" s="173"/>
      <c r="I368" s="173"/>
      <c r="M368" s="173"/>
      <c r="R368" s="174"/>
      <c r="S368" s="174"/>
      <c r="T368" s="90"/>
      <c r="U368" s="176"/>
      <c r="V368" s="176"/>
      <c r="W368" s="176"/>
      <c r="X368" s="176"/>
      <c r="Y368" s="176"/>
      <c r="Z368" s="177"/>
      <c r="AA368" s="176"/>
      <c r="AB368" s="176"/>
      <c r="AC368" s="176"/>
      <c r="AD368" s="178"/>
      <c r="AF368" s="179"/>
      <c r="AG368" s="179"/>
      <c r="AI368" s="180"/>
      <c r="AJ368" s="180"/>
      <c r="AK368" s="180"/>
      <c r="AL368" s="180"/>
      <c r="AM368" s="181"/>
      <c r="AN368" s="180"/>
      <c r="AO368" s="180"/>
      <c r="AP368" s="180"/>
    </row>
    <row r="369">
      <c r="D369" s="172"/>
      <c r="E369" s="172"/>
      <c r="G369" s="173"/>
      <c r="H369" s="173"/>
      <c r="I369" s="173"/>
      <c r="M369" s="173"/>
      <c r="R369" s="174"/>
      <c r="S369" s="174"/>
      <c r="T369" s="90"/>
      <c r="U369" s="176"/>
      <c r="V369" s="176"/>
      <c r="W369" s="176"/>
      <c r="X369" s="176"/>
      <c r="Y369" s="176"/>
      <c r="Z369" s="177"/>
      <c r="AA369" s="176"/>
      <c r="AB369" s="176"/>
      <c r="AC369" s="176"/>
      <c r="AD369" s="178"/>
      <c r="AF369" s="179"/>
      <c r="AG369" s="179"/>
      <c r="AI369" s="180"/>
      <c r="AJ369" s="180"/>
      <c r="AK369" s="180"/>
      <c r="AL369" s="180"/>
      <c r="AM369" s="181"/>
      <c r="AN369" s="180"/>
      <c r="AO369" s="180"/>
      <c r="AP369" s="180"/>
    </row>
    <row r="370">
      <c r="D370" s="172"/>
      <c r="E370" s="172"/>
      <c r="G370" s="173"/>
      <c r="H370" s="173"/>
      <c r="I370" s="173"/>
      <c r="M370" s="173"/>
      <c r="R370" s="174"/>
      <c r="S370" s="174"/>
      <c r="T370" s="90"/>
      <c r="U370" s="176"/>
      <c r="V370" s="176"/>
      <c r="W370" s="176"/>
      <c r="X370" s="176"/>
      <c r="Y370" s="176"/>
      <c r="Z370" s="177"/>
      <c r="AA370" s="176"/>
      <c r="AB370" s="176"/>
      <c r="AC370" s="176"/>
      <c r="AD370" s="178"/>
      <c r="AF370" s="179"/>
      <c r="AG370" s="179"/>
      <c r="AI370" s="180"/>
      <c r="AJ370" s="180"/>
      <c r="AK370" s="180"/>
      <c r="AL370" s="180"/>
      <c r="AM370" s="181"/>
      <c r="AN370" s="180"/>
      <c r="AO370" s="180"/>
      <c r="AP370" s="180"/>
    </row>
    <row r="371">
      <c r="D371" s="172"/>
      <c r="E371" s="172"/>
      <c r="G371" s="173"/>
      <c r="H371" s="173"/>
      <c r="I371" s="173"/>
      <c r="M371" s="173"/>
      <c r="R371" s="174"/>
      <c r="S371" s="174"/>
      <c r="T371" s="90"/>
      <c r="U371" s="176"/>
      <c r="V371" s="176"/>
      <c r="W371" s="176"/>
      <c r="X371" s="176"/>
      <c r="Y371" s="176"/>
      <c r="Z371" s="177"/>
      <c r="AA371" s="176"/>
      <c r="AB371" s="176"/>
      <c r="AC371" s="176"/>
      <c r="AD371" s="178"/>
      <c r="AF371" s="179"/>
      <c r="AG371" s="179"/>
      <c r="AI371" s="180"/>
      <c r="AJ371" s="180"/>
      <c r="AK371" s="180"/>
      <c r="AL371" s="180"/>
      <c r="AM371" s="181"/>
      <c r="AN371" s="180"/>
      <c r="AO371" s="180"/>
      <c r="AP371" s="180"/>
    </row>
    <row r="372">
      <c r="D372" s="172"/>
      <c r="E372" s="172"/>
      <c r="G372" s="173"/>
      <c r="H372" s="173"/>
      <c r="I372" s="173"/>
      <c r="M372" s="173"/>
      <c r="R372" s="174"/>
      <c r="S372" s="174"/>
      <c r="T372" s="90"/>
      <c r="U372" s="176"/>
      <c r="V372" s="176"/>
      <c r="W372" s="176"/>
      <c r="X372" s="176"/>
      <c r="Y372" s="176"/>
      <c r="Z372" s="177"/>
      <c r="AA372" s="176"/>
      <c r="AB372" s="176"/>
      <c r="AC372" s="176"/>
      <c r="AD372" s="178"/>
      <c r="AF372" s="179"/>
      <c r="AG372" s="179"/>
      <c r="AI372" s="180"/>
      <c r="AJ372" s="180"/>
      <c r="AK372" s="180"/>
      <c r="AL372" s="180"/>
      <c r="AM372" s="181"/>
      <c r="AN372" s="180"/>
      <c r="AO372" s="180"/>
      <c r="AP372" s="180"/>
    </row>
    <row r="373">
      <c r="D373" s="172"/>
      <c r="E373" s="172"/>
      <c r="G373" s="173"/>
      <c r="H373" s="173"/>
      <c r="I373" s="173"/>
      <c r="M373" s="173"/>
      <c r="R373" s="174"/>
      <c r="S373" s="174"/>
      <c r="T373" s="90"/>
      <c r="U373" s="176"/>
      <c r="V373" s="176"/>
      <c r="W373" s="176"/>
      <c r="X373" s="176"/>
      <c r="Y373" s="176"/>
      <c r="Z373" s="177"/>
      <c r="AA373" s="176"/>
      <c r="AB373" s="176"/>
      <c r="AC373" s="176"/>
      <c r="AD373" s="178"/>
      <c r="AF373" s="179"/>
      <c r="AG373" s="179"/>
      <c r="AI373" s="180"/>
      <c r="AJ373" s="180"/>
      <c r="AK373" s="180"/>
      <c r="AL373" s="180"/>
      <c r="AM373" s="181"/>
      <c r="AN373" s="180"/>
      <c r="AO373" s="180"/>
      <c r="AP373" s="180"/>
    </row>
    <row r="374">
      <c r="D374" s="172"/>
      <c r="E374" s="172"/>
      <c r="G374" s="173"/>
      <c r="H374" s="173"/>
      <c r="I374" s="173"/>
      <c r="M374" s="173"/>
      <c r="R374" s="174"/>
      <c r="S374" s="174"/>
      <c r="T374" s="90"/>
      <c r="U374" s="176"/>
      <c r="V374" s="176"/>
      <c r="W374" s="176"/>
      <c r="X374" s="176"/>
      <c r="Y374" s="176"/>
      <c r="Z374" s="177"/>
      <c r="AA374" s="176"/>
      <c r="AB374" s="176"/>
      <c r="AC374" s="176"/>
      <c r="AD374" s="178"/>
      <c r="AF374" s="179"/>
      <c r="AG374" s="179"/>
      <c r="AI374" s="180"/>
      <c r="AJ374" s="180"/>
      <c r="AK374" s="180"/>
      <c r="AL374" s="180"/>
      <c r="AM374" s="181"/>
      <c r="AN374" s="180"/>
      <c r="AO374" s="180"/>
      <c r="AP374" s="180"/>
    </row>
    <row r="375">
      <c r="D375" s="172"/>
      <c r="E375" s="172"/>
      <c r="G375" s="173"/>
      <c r="H375" s="173"/>
      <c r="I375" s="173"/>
      <c r="M375" s="173"/>
      <c r="R375" s="174"/>
      <c r="S375" s="174"/>
      <c r="T375" s="90"/>
      <c r="U375" s="176"/>
      <c r="V375" s="176"/>
      <c r="W375" s="176"/>
      <c r="X375" s="176"/>
      <c r="Y375" s="176"/>
      <c r="Z375" s="177"/>
      <c r="AA375" s="176"/>
      <c r="AB375" s="176"/>
      <c r="AC375" s="176"/>
      <c r="AD375" s="178"/>
      <c r="AF375" s="179"/>
      <c r="AG375" s="179"/>
      <c r="AI375" s="180"/>
      <c r="AJ375" s="180"/>
      <c r="AK375" s="180"/>
      <c r="AL375" s="180"/>
      <c r="AM375" s="181"/>
      <c r="AN375" s="180"/>
      <c r="AO375" s="180"/>
      <c r="AP375" s="180"/>
    </row>
    <row r="376">
      <c r="D376" s="172"/>
      <c r="E376" s="172"/>
      <c r="G376" s="173"/>
      <c r="H376" s="173"/>
      <c r="I376" s="173"/>
      <c r="M376" s="173"/>
      <c r="R376" s="174"/>
      <c r="S376" s="174"/>
      <c r="T376" s="90"/>
      <c r="U376" s="176"/>
      <c r="V376" s="176"/>
      <c r="W376" s="176"/>
      <c r="X376" s="176"/>
      <c r="Y376" s="176"/>
      <c r="Z376" s="177"/>
      <c r="AA376" s="176"/>
      <c r="AB376" s="176"/>
      <c r="AC376" s="176"/>
      <c r="AD376" s="178"/>
      <c r="AF376" s="179"/>
      <c r="AG376" s="179"/>
      <c r="AI376" s="180"/>
      <c r="AJ376" s="180"/>
      <c r="AK376" s="180"/>
      <c r="AL376" s="180"/>
      <c r="AM376" s="181"/>
      <c r="AN376" s="180"/>
      <c r="AO376" s="180"/>
      <c r="AP376" s="180"/>
    </row>
    <row r="377">
      <c r="D377" s="172"/>
      <c r="E377" s="172"/>
      <c r="G377" s="173"/>
      <c r="H377" s="173"/>
      <c r="I377" s="173"/>
      <c r="M377" s="173"/>
      <c r="R377" s="174"/>
      <c r="S377" s="174"/>
      <c r="T377" s="90"/>
      <c r="U377" s="176"/>
      <c r="V377" s="176"/>
      <c r="W377" s="176"/>
      <c r="X377" s="176"/>
      <c r="Y377" s="176"/>
      <c r="Z377" s="177"/>
      <c r="AA377" s="176"/>
      <c r="AB377" s="176"/>
      <c r="AC377" s="176"/>
      <c r="AD377" s="178"/>
      <c r="AF377" s="179"/>
      <c r="AG377" s="179"/>
      <c r="AI377" s="180"/>
      <c r="AJ377" s="180"/>
      <c r="AK377" s="180"/>
      <c r="AL377" s="180"/>
      <c r="AM377" s="181"/>
      <c r="AN377" s="180"/>
      <c r="AO377" s="180"/>
      <c r="AP377" s="180"/>
    </row>
    <row r="378">
      <c r="D378" s="172"/>
      <c r="E378" s="172"/>
      <c r="G378" s="173"/>
      <c r="H378" s="173"/>
      <c r="I378" s="173"/>
      <c r="M378" s="173"/>
      <c r="R378" s="174"/>
      <c r="S378" s="174"/>
      <c r="T378" s="90"/>
      <c r="U378" s="176"/>
      <c r="V378" s="176"/>
      <c r="W378" s="176"/>
      <c r="X378" s="176"/>
      <c r="Y378" s="176"/>
      <c r="Z378" s="177"/>
      <c r="AA378" s="176"/>
      <c r="AB378" s="176"/>
      <c r="AC378" s="176"/>
      <c r="AD378" s="178"/>
      <c r="AF378" s="179"/>
      <c r="AG378" s="179"/>
      <c r="AI378" s="180"/>
      <c r="AJ378" s="180"/>
      <c r="AK378" s="180"/>
      <c r="AL378" s="180"/>
      <c r="AM378" s="181"/>
      <c r="AN378" s="180"/>
      <c r="AO378" s="180"/>
      <c r="AP378" s="180"/>
    </row>
    <row r="379">
      <c r="D379" s="172"/>
      <c r="E379" s="172"/>
      <c r="G379" s="173"/>
      <c r="H379" s="173"/>
      <c r="I379" s="173"/>
      <c r="M379" s="173"/>
      <c r="R379" s="174"/>
      <c r="S379" s="174"/>
      <c r="T379" s="90"/>
      <c r="U379" s="176"/>
      <c r="V379" s="176"/>
      <c r="W379" s="176"/>
      <c r="X379" s="176"/>
      <c r="Y379" s="176"/>
      <c r="Z379" s="177"/>
      <c r="AA379" s="176"/>
      <c r="AB379" s="176"/>
      <c r="AC379" s="176"/>
      <c r="AD379" s="178"/>
      <c r="AF379" s="179"/>
      <c r="AG379" s="179"/>
      <c r="AI379" s="180"/>
      <c r="AJ379" s="180"/>
      <c r="AK379" s="180"/>
      <c r="AL379" s="180"/>
      <c r="AM379" s="181"/>
      <c r="AN379" s="180"/>
      <c r="AO379" s="180"/>
      <c r="AP379" s="180"/>
    </row>
    <row r="380">
      <c r="D380" s="172"/>
      <c r="E380" s="172"/>
      <c r="G380" s="173"/>
      <c r="H380" s="173"/>
      <c r="I380" s="173"/>
      <c r="M380" s="173"/>
      <c r="R380" s="174"/>
      <c r="S380" s="174"/>
      <c r="T380" s="90"/>
      <c r="U380" s="176"/>
      <c r="V380" s="176"/>
      <c r="W380" s="176"/>
      <c r="X380" s="176"/>
      <c r="Y380" s="176"/>
      <c r="Z380" s="177"/>
      <c r="AA380" s="176"/>
      <c r="AB380" s="176"/>
      <c r="AC380" s="176"/>
      <c r="AD380" s="178"/>
      <c r="AF380" s="179"/>
      <c r="AG380" s="179"/>
      <c r="AI380" s="180"/>
      <c r="AJ380" s="180"/>
      <c r="AK380" s="180"/>
      <c r="AL380" s="180"/>
      <c r="AM380" s="181"/>
      <c r="AN380" s="180"/>
      <c r="AO380" s="180"/>
      <c r="AP380" s="180"/>
    </row>
    <row r="381">
      <c r="D381" s="172"/>
      <c r="E381" s="172"/>
      <c r="G381" s="173"/>
      <c r="H381" s="173"/>
      <c r="I381" s="173"/>
      <c r="M381" s="173"/>
      <c r="R381" s="174"/>
      <c r="S381" s="174"/>
      <c r="T381" s="90"/>
      <c r="U381" s="176"/>
      <c r="V381" s="176"/>
      <c r="W381" s="176"/>
      <c r="X381" s="176"/>
      <c r="Y381" s="176"/>
      <c r="Z381" s="177"/>
      <c r="AA381" s="176"/>
      <c r="AB381" s="176"/>
      <c r="AC381" s="176"/>
      <c r="AD381" s="178"/>
      <c r="AF381" s="179"/>
      <c r="AG381" s="179"/>
      <c r="AI381" s="180"/>
      <c r="AJ381" s="180"/>
      <c r="AK381" s="180"/>
      <c r="AL381" s="180"/>
      <c r="AM381" s="181"/>
      <c r="AN381" s="180"/>
      <c r="AO381" s="180"/>
      <c r="AP381" s="180"/>
    </row>
    <row r="382">
      <c r="D382" s="172"/>
      <c r="E382" s="172"/>
      <c r="G382" s="173"/>
      <c r="H382" s="173"/>
      <c r="I382" s="173"/>
      <c r="M382" s="173"/>
      <c r="R382" s="174"/>
      <c r="S382" s="174"/>
      <c r="T382" s="90"/>
      <c r="U382" s="176"/>
      <c r="V382" s="176"/>
      <c r="W382" s="176"/>
      <c r="X382" s="176"/>
      <c r="Y382" s="176"/>
      <c r="Z382" s="177"/>
      <c r="AA382" s="176"/>
      <c r="AB382" s="176"/>
      <c r="AC382" s="176"/>
      <c r="AD382" s="178"/>
      <c r="AF382" s="179"/>
      <c r="AG382" s="179"/>
      <c r="AI382" s="180"/>
      <c r="AJ382" s="180"/>
      <c r="AK382" s="180"/>
      <c r="AL382" s="180"/>
      <c r="AM382" s="181"/>
      <c r="AN382" s="180"/>
      <c r="AO382" s="180"/>
      <c r="AP382" s="180"/>
    </row>
    <row r="383">
      <c r="D383" s="172"/>
      <c r="E383" s="172"/>
      <c r="G383" s="173"/>
      <c r="H383" s="173"/>
      <c r="I383" s="173"/>
      <c r="M383" s="173"/>
      <c r="R383" s="174"/>
      <c r="S383" s="174"/>
      <c r="T383" s="90"/>
      <c r="U383" s="176"/>
      <c r="V383" s="176"/>
      <c r="W383" s="176"/>
      <c r="X383" s="176"/>
      <c r="Y383" s="176"/>
      <c r="Z383" s="177"/>
      <c r="AA383" s="176"/>
      <c r="AB383" s="176"/>
      <c r="AC383" s="176"/>
      <c r="AD383" s="178"/>
      <c r="AF383" s="179"/>
      <c r="AG383" s="179"/>
      <c r="AI383" s="180"/>
      <c r="AJ383" s="180"/>
      <c r="AK383" s="180"/>
      <c r="AL383" s="180"/>
      <c r="AM383" s="181"/>
      <c r="AN383" s="180"/>
      <c r="AO383" s="180"/>
      <c r="AP383" s="180"/>
    </row>
    <row r="384">
      <c r="D384" s="172"/>
      <c r="E384" s="172"/>
      <c r="G384" s="173"/>
      <c r="H384" s="173"/>
      <c r="I384" s="173"/>
      <c r="M384" s="173"/>
      <c r="R384" s="174"/>
      <c r="S384" s="174"/>
      <c r="T384" s="90"/>
      <c r="U384" s="176"/>
      <c r="V384" s="176"/>
      <c r="W384" s="176"/>
      <c r="X384" s="176"/>
      <c r="Y384" s="176"/>
      <c r="Z384" s="177"/>
      <c r="AA384" s="176"/>
      <c r="AB384" s="176"/>
      <c r="AC384" s="176"/>
      <c r="AD384" s="178"/>
      <c r="AF384" s="179"/>
      <c r="AG384" s="179"/>
      <c r="AI384" s="180"/>
      <c r="AJ384" s="180"/>
      <c r="AK384" s="180"/>
      <c r="AL384" s="180"/>
      <c r="AM384" s="181"/>
      <c r="AN384" s="180"/>
      <c r="AO384" s="180"/>
      <c r="AP384" s="180"/>
    </row>
    <row r="385">
      <c r="D385" s="172"/>
      <c r="E385" s="172"/>
      <c r="G385" s="173"/>
      <c r="H385" s="173"/>
      <c r="I385" s="173"/>
      <c r="M385" s="173"/>
      <c r="R385" s="174"/>
      <c r="S385" s="174"/>
      <c r="T385" s="90"/>
      <c r="U385" s="176"/>
      <c r="V385" s="176"/>
      <c r="W385" s="176"/>
      <c r="X385" s="176"/>
      <c r="Y385" s="176"/>
      <c r="Z385" s="177"/>
      <c r="AA385" s="176"/>
      <c r="AB385" s="176"/>
      <c r="AC385" s="176"/>
      <c r="AD385" s="178"/>
      <c r="AF385" s="179"/>
      <c r="AG385" s="179"/>
      <c r="AI385" s="180"/>
      <c r="AJ385" s="180"/>
      <c r="AK385" s="180"/>
      <c r="AL385" s="180"/>
      <c r="AM385" s="181"/>
      <c r="AN385" s="180"/>
      <c r="AO385" s="180"/>
      <c r="AP385" s="180"/>
    </row>
    <row r="386">
      <c r="D386" s="172"/>
      <c r="E386" s="172"/>
      <c r="G386" s="173"/>
      <c r="H386" s="173"/>
      <c r="I386" s="173"/>
      <c r="M386" s="173"/>
      <c r="R386" s="174"/>
      <c r="S386" s="174"/>
      <c r="T386" s="90"/>
      <c r="U386" s="176"/>
      <c r="V386" s="176"/>
      <c r="W386" s="176"/>
      <c r="X386" s="176"/>
      <c r="Y386" s="176"/>
      <c r="Z386" s="177"/>
      <c r="AA386" s="176"/>
      <c r="AB386" s="176"/>
      <c r="AC386" s="176"/>
      <c r="AD386" s="178"/>
      <c r="AF386" s="179"/>
      <c r="AG386" s="179"/>
      <c r="AI386" s="180"/>
      <c r="AJ386" s="180"/>
      <c r="AK386" s="180"/>
      <c r="AL386" s="180"/>
      <c r="AM386" s="181"/>
      <c r="AN386" s="180"/>
      <c r="AO386" s="180"/>
      <c r="AP386" s="180"/>
    </row>
    <row r="387">
      <c r="D387" s="172"/>
      <c r="E387" s="172"/>
      <c r="G387" s="173"/>
      <c r="H387" s="173"/>
      <c r="I387" s="173"/>
      <c r="M387" s="173"/>
      <c r="R387" s="174"/>
      <c r="S387" s="174"/>
      <c r="T387" s="90"/>
      <c r="U387" s="176"/>
      <c r="V387" s="176"/>
      <c r="W387" s="176"/>
      <c r="X387" s="176"/>
      <c r="Y387" s="176"/>
      <c r="Z387" s="177"/>
      <c r="AA387" s="176"/>
      <c r="AB387" s="176"/>
      <c r="AC387" s="176"/>
      <c r="AD387" s="178"/>
      <c r="AF387" s="179"/>
      <c r="AG387" s="179"/>
      <c r="AI387" s="180"/>
      <c r="AJ387" s="180"/>
      <c r="AK387" s="180"/>
      <c r="AL387" s="180"/>
      <c r="AM387" s="181"/>
      <c r="AN387" s="180"/>
      <c r="AO387" s="180"/>
      <c r="AP387" s="180"/>
    </row>
    <row r="388">
      <c r="D388" s="172"/>
      <c r="E388" s="172"/>
      <c r="G388" s="173"/>
      <c r="H388" s="173"/>
      <c r="I388" s="173"/>
      <c r="M388" s="173"/>
      <c r="R388" s="174"/>
      <c r="S388" s="174"/>
      <c r="T388" s="90"/>
      <c r="U388" s="176"/>
      <c r="V388" s="176"/>
      <c r="W388" s="176"/>
      <c r="X388" s="176"/>
      <c r="Y388" s="176"/>
      <c r="Z388" s="177"/>
      <c r="AA388" s="176"/>
      <c r="AB388" s="176"/>
      <c r="AC388" s="176"/>
      <c r="AD388" s="178"/>
      <c r="AF388" s="179"/>
      <c r="AG388" s="179"/>
      <c r="AI388" s="180"/>
      <c r="AJ388" s="180"/>
      <c r="AK388" s="180"/>
      <c r="AL388" s="180"/>
      <c r="AM388" s="181"/>
      <c r="AN388" s="180"/>
      <c r="AO388" s="180"/>
      <c r="AP388" s="180"/>
    </row>
    <row r="389">
      <c r="D389" s="172"/>
      <c r="E389" s="172"/>
      <c r="G389" s="173"/>
      <c r="H389" s="173"/>
      <c r="I389" s="173"/>
      <c r="M389" s="173"/>
      <c r="R389" s="174"/>
      <c r="S389" s="174"/>
      <c r="T389" s="90"/>
      <c r="U389" s="176"/>
      <c r="V389" s="176"/>
      <c r="W389" s="176"/>
      <c r="X389" s="176"/>
      <c r="Y389" s="176"/>
      <c r="Z389" s="177"/>
      <c r="AA389" s="176"/>
      <c r="AB389" s="176"/>
      <c r="AC389" s="176"/>
      <c r="AD389" s="178"/>
      <c r="AF389" s="179"/>
      <c r="AG389" s="179"/>
      <c r="AI389" s="180"/>
      <c r="AJ389" s="180"/>
      <c r="AK389" s="180"/>
      <c r="AL389" s="180"/>
      <c r="AM389" s="181"/>
      <c r="AN389" s="180"/>
      <c r="AO389" s="180"/>
      <c r="AP389" s="180"/>
    </row>
    <row r="390">
      <c r="D390" s="172"/>
      <c r="E390" s="172"/>
      <c r="G390" s="173"/>
      <c r="H390" s="173"/>
      <c r="I390" s="173"/>
      <c r="M390" s="173"/>
      <c r="R390" s="174"/>
      <c r="S390" s="174"/>
      <c r="T390" s="90"/>
      <c r="U390" s="176"/>
      <c r="V390" s="176"/>
      <c r="W390" s="176"/>
      <c r="X390" s="176"/>
      <c r="Y390" s="176"/>
      <c r="Z390" s="177"/>
      <c r="AA390" s="176"/>
      <c r="AB390" s="176"/>
      <c r="AC390" s="176"/>
      <c r="AD390" s="178"/>
      <c r="AF390" s="179"/>
      <c r="AG390" s="179"/>
      <c r="AI390" s="180"/>
      <c r="AJ390" s="180"/>
      <c r="AK390" s="180"/>
      <c r="AL390" s="180"/>
      <c r="AM390" s="181"/>
      <c r="AN390" s="180"/>
      <c r="AO390" s="180"/>
      <c r="AP390" s="180"/>
    </row>
    <row r="391">
      <c r="D391" s="172"/>
      <c r="E391" s="172"/>
      <c r="G391" s="173"/>
      <c r="H391" s="173"/>
      <c r="I391" s="173"/>
      <c r="M391" s="173"/>
      <c r="R391" s="174"/>
      <c r="S391" s="174"/>
      <c r="T391" s="90"/>
      <c r="U391" s="176"/>
      <c r="V391" s="176"/>
      <c r="W391" s="176"/>
      <c r="X391" s="176"/>
      <c r="Y391" s="176"/>
      <c r="Z391" s="177"/>
      <c r="AA391" s="176"/>
      <c r="AB391" s="176"/>
      <c r="AC391" s="176"/>
      <c r="AD391" s="178"/>
      <c r="AF391" s="179"/>
      <c r="AG391" s="179"/>
      <c r="AI391" s="180"/>
      <c r="AJ391" s="180"/>
      <c r="AK391" s="180"/>
      <c r="AL391" s="180"/>
      <c r="AM391" s="181"/>
      <c r="AN391" s="180"/>
      <c r="AO391" s="180"/>
      <c r="AP391" s="180"/>
    </row>
    <row r="392">
      <c r="D392" s="172"/>
      <c r="E392" s="172"/>
      <c r="G392" s="173"/>
      <c r="H392" s="173"/>
      <c r="I392" s="173"/>
      <c r="M392" s="173"/>
      <c r="R392" s="174"/>
      <c r="S392" s="174"/>
      <c r="T392" s="90"/>
      <c r="U392" s="176"/>
      <c r="V392" s="176"/>
      <c r="W392" s="176"/>
      <c r="X392" s="176"/>
      <c r="Y392" s="176"/>
      <c r="Z392" s="177"/>
      <c r="AA392" s="176"/>
      <c r="AB392" s="176"/>
      <c r="AC392" s="176"/>
      <c r="AD392" s="178"/>
      <c r="AF392" s="179"/>
      <c r="AG392" s="179"/>
      <c r="AI392" s="180"/>
      <c r="AJ392" s="180"/>
      <c r="AK392" s="180"/>
      <c r="AL392" s="180"/>
      <c r="AM392" s="181"/>
      <c r="AN392" s="180"/>
      <c r="AO392" s="180"/>
      <c r="AP392" s="180"/>
    </row>
    <row r="393">
      <c r="D393" s="172"/>
      <c r="E393" s="172"/>
      <c r="G393" s="173"/>
      <c r="H393" s="173"/>
      <c r="I393" s="173"/>
      <c r="M393" s="173"/>
      <c r="R393" s="174"/>
      <c r="S393" s="174"/>
      <c r="T393" s="90"/>
      <c r="U393" s="176"/>
      <c r="V393" s="176"/>
      <c r="W393" s="176"/>
      <c r="X393" s="176"/>
      <c r="Y393" s="176"/>
      <c r="Z393" s="177"/>
      <c r="AA393" s="176"/>
      <c r="AB393" s="176"/>
      <c r="AC393" s="176"/>
      <c r="AD393" s="178"/>
      <c r="AF393" s="179"/>
      <c r="AG393" s="179"/>
      <c r="AI393" s="180"/>
      <c r="AJ393" s="180"/>
      <c r="AK393" s="180"/>
      <c r="AL393" s="180"/>
      <c r="AM393" s="181"/>
      <c r="AN393" s="180"/>
      <c r="AO393" s="180"/>
      <c r="AP393" s="180"/>
    </row>
    <row r="394">
      <c r="D394" s="172"/>
      <c r="E394" s="172"/>
      <c r="G394" s="173"/>
      <c r="H394" s="173"/>
      <c r="I394" s="173"/>
      <c r="M394" s="173"/>
      <c r="R394" s="174"/>
      <c r="S394" s="174"/>
      <c r="T394" s="90"/>
      <c r="U394" s="176"/>
      <c r="V394" s="176"/>
      <c r="W394" s="176"/>
      <c r="X394" s="176"/>
      <c r="Y394" s="176"/>
      <c r="Z394" s="177"/>
      <c r="AA394" s="176"/>
      <c r="AB394" s="176"/>
      <c r="AC394" s="176"/>
      <c r="AD394" s="178"/>
      <c r="AF394" s="179"/>
      <c r="AG394" s="179"/>
      <c r="AI394" s="180"/>
      <c r="AJ394" s="180"/>
      <c r="AK394" s="180"/>
      <c r="AL394" s="180"/>
      <c r="AM394" s="181"/>
      <c r="AN394" s="180"/>
      <c r="AO394" s="180"/>
      <c r="AP394" s="180"/>
    </row>
    <row r="395">
      <c r="D395" s="172"/>
      <c r="E395" s="172"/>
      <c r="G395" s="173"/>
      <c r="H395" s="173"/>
      <c r="I395" s="173"/>
      <c r="M395" s="173"/>
      <c r="R395" s="174"/>
      <c r="S395" s="174"/>
      <c r="T395" s="90"/>
      <c r="U395" s="176"/>
      <c r="V395" s="176"/>
      <c r="W395" s="176"/>
      <c r="X395" s="176"/>
      <c r="Y395" s="176"/>
      <c r="Z395" s="177"/>
      <c r="AA395" s="176"/>
      <c r="AB395" s="176"/>
      <c r="AC395" s="176"/>
      <c r="AD395" s="178"/>
      <c r="AF395" s="179"/>
      <c r="AG395" s="179"/>
      <c r="AI395" s="180"/>
      <c r="AJ395" s="180"/>
      <c r="AK395" s="180"/>
      <c r="AL395" s="180"/>
      <c r="AM395" s="181"/>
      <c r="AN395" s="180"/>
      <c r="AO395" s="180"/>
      <c r="AP395" s="180"/>
    </row>
    <row r="396">
      <c r="D396" s="172"/>
      <c r="E396" s="172"/>
      <c r="G396" s="173"/>
      <c r="H396" s="173"/>
      <c r="I396" s="173"/>
      <c r="M396" s="173"/>
      <c r="R396" s="174"/>
      <c r="S396" s="174"/>
      <c r="T396" s="90"/>
      <c r="U396" s="176"/>
      <c r="V396" s="176"/>
      <c r="W396" s="176"/>
      <c r="X396" s="176"/>
      <c r="Y396" s="176"/>
      <c r="Z396" s="177"/>
      <c r="AA396" s="176"/>
      <c r="AB396" s="176"/>
      <c r="AC396" s="176"/>
      <c r="AD396" s="178"/>
      <c r="AF396" s="179"/>
      <c r="AG396" s="179"/>
      <c r="AI396" s="180"/>
      <c r="AJ396" s="180"/>
      <c r="AK396" s="180"/>
      <c r="AL396" s="180"/>
      <c r="AM396" s="181"/>
      <c r="AN396" s="180"/>
      <c r="AO396" s="180"/>
      <c r="AP396" s="180"/>
    </row>
    <row r="397">
      <c r="D397" s="172"/>
      <c r="E397" s="172"/>
      <c r="G397" s="173"/>
      <c r="H397" s="173"/>
      <c r="I397" s="173"/>
      <c r="M397" s="173"/>
      <c r="R397" s="174"/>
      <c r="S397" s="174"/>
      <c r="T397" s="90"/>
      <c r="U397" s="176"/>
      <c r="V397" s="176"/>
      <c r="W397" s="176"/>
      <c r="X397" s="176"/>
      <c r="Y397" s="176"/>
      <c r="Z397" s="177"/>
      <c r="AA397" s="176"/>
      <c r="AB397" s="176"/>
      <c r="AC397" s="176"/>
      <c r="AD397" s="178"/>
      <c r="AF397" s="179"/>
      <c r="AG397" s="179"/>
      <c r="AI397" s="180"/>
      <c r="AJ397" s="180"/>
      <c r="AK397" s="180"/>
      <c r="AL397" s="180"/>
      <c r="AM397" s="181"/>
      <c r="AN397" s="180"/>
      <c r="AO397" s="180"/>
      <c r="AP397" s="180"/>
    </row>
    <row r="398">
      <c r="D398" s="172"/>
      <c r="E398" s="172"/>
      <c r="G398" s="173"/>
      <c r="H398" s="173"/>
      <c r="I398" s="173"/>
      <c r="M398" s="173"/>
      <c r="R398" s="174"/>
      <c r="S398" s="174"/>
      <c r="T398" s="90"/>
      <c r="U398" s="176"/>
      <c r="V398" s="176"/>
      <c r="W398" s="176"/>
      <c r="X398" s="176"/>
      <c r="Y398" s="176"/>
      <c r="Z398" s="177"/>
      <c r="AA398" s="176"/>
      <c r="AB398" s="176"/>
      <c r="AC398" s="176"/>
      <c r="AD398" s="178"/>
      <c r="AF398" s="179"/>
      <c r="AG398" s="179"/>
      <c r="AI398" s="180"/>
      <c r="AJ398" s="180"/>
      <c r="AK398" s="180"/>
      <c r="AL398" s="180"/>
      <c r="AM398" s="181"/>
      <c r="AN398" s="180"/>
      <c r="AO398" s="180"/>
      <c r="AP398" s="180"/>
    </row>
    <row r="399">
      <c r="D399" s="172"/>
      <c r="E399" s="172"/>
      <c r="G399" s="173"/>
      <c r="H399" s="173"/>
      <c r="I399" s="173"/>
      <c r="M399" s="173"/>
      <c r="R399" s="174"/>
      <c r="S399" s="174"/>
      <c r="T399" s="90"/>
      <c r="U399" s="176"/>
      <c r="V399" s="176"/>
      <c r="W399" s="176"/>
      <c r="X399" s="176"/>
      <c r="Y399" s="176"/>
      <c r="Z399" s="177"/>
      <c r="AA399" s="176"/>
      <c r="AB399" s="176"/>
      <c r="AC399" s="176"/>
      <c r="AD399" s="178"/>
      <c r="AF399" s="179"/>
      <c r="AG399" s="179"/>
      <c r="AI399" s="180"/>
      <c r="AJ399" s="180"/>
      <c r="AK399" s="180"/>
      <c r="AL399" s="180"/>
      <c r="AM399" s="181"/>
      <c r="AN399" s="180"/>
      <c r="AO399" s="180"/>
      <c r="AP399" s="180"/>
    </row>
    <row r="400">
      <c r="D400" s="172"/>
      <c r="E400" s="172"/>
      <c r="G400" s="173"/>
      <c r="H400" s="173"/>
      <c r="I400" s="173"/>
      <c r="M400" s="173"/>
      <c r="R400" s="174"/>
      <c r="S400" s="174"/>
      <c r="T400" s="90"/>
      <c r="U400" s="176"/>
      <c r="V400" s="176"/>
      <c r="W400" s="176"/>
      <c r="X400" s="176"/>
      <c r="Y400" s="176"/>
      <c r="Z400" s="177"/>
      <c r="AA400" s="176"/>
      <c r="AB400" s="176"/>
      <c r="AC400" s="176"/>
      <c r="AD400" s="178"/>
      <c r="AF400" s="179"/>
      <c r="AG400" s="179"/>
      <c r="AI400" s="180"/>
      <c r="AJ400" s="180"/>
      <c r="AK400" s="180"/>
      <c r="AL400" s="180"/>
      <c r="AM400" s="181"/>
      <c r="AN400" s="180"/>
      <c r="AO400" s="180"/>
      <c r="AP400" s="180"/>
    </row>
    <row r="401">
      <c r="D401" s="172"/>
      <c r="E401" s="172"/>
      <c r="G401" s="173"/>
      <c r="H401" s="173"/>
      <c r="I401" s="173"/>
      <c r="M401" s="173"/>
      <c r="R401" s="174"/>
      <c r="S401" s="174"/>
      <c r="T401" s="90"/>
      <c r="U401" s="176"/>
      <c r="V401" s="176"/>
      <c r="W401" s="176"/>
      <c r="X401" s="176"/>
      <c r="Y401" s="176"/>
      <c r="Z401" s="177"/>
      <c r="AA401" s="176"/>
      <c r="AB401" s="176"/>
      <c r="AC401" s="176"/>
      <c r="AD401" s="178"/>
      <c r="AF401" s="179"/>
      <c r="AG401" s="179"/>
      <c r="AI401" s="180"/>
      <c r="AJ401" s="180"/>
      <c r="AK401" s="180"/>
      <c r="AL401" s="180"/>
      <c r="AM401" s="181"/>
      <c r="AN401" s="180"/>
      <c r="AO401" s="180"/>
      <c r="AP401" s="180"/>
    </row>
    <row r="402">
      <c r="D402" s="172"/>
      <c r="E402" s="172"/>
      <c r="G402" s="173"/>
      <c r="H402" s="173"/>
      <c r="I402" s="173"/>
      <c r="M402" s="173"/>
      <c r="R402" s="174"/>
      <c r="S402" s="174"/>
      <c r="T402" s="90"/>
      <c r="U402" s="176"/>
      <c r="V402" s="176"/>
      <c r="W402" s="176"/>
      <c r="X402" s="176"/>
      <c r="Y402" s="176"/>
      <c r="Z402" s="177"/>
      <c r="AA402" s="176"/>
      <c r="AB402" s="176"/>
      <c r="AC402" s="176"/>
      <c r="AD402" s="178"/>
      <c r="AF402" s="179"/>
      <c r="AG402" s="179"/>
      <c r="AI402" s="180"/>
      <c r="AJ402" s="180"/>
      <c r="AK402" s="180"/>
      <c r="AL402" s="180"/>
      <c r="AM402" s="181"/>
      <c r="AN402" s="180"/>
      <c r="AO402" s="180"/>
      <c r="AP402" s="180"/>
    </row>
    <row r="403">
      <c r="D403" s="172"/>
      <c r="E403" s="172"/>
      <c r="G403" s="173"/>
      <c r="H403" s="173"/>
      <c r="I403" s="173"/>
      <c r="M403" s="173"/>
      <c r="R403" s="174"/>
      <c r="S403" s="174"/>
      <c r="T403" s="90"/>
      <c r="U403" s="176"/>
      <c r="V403" s="176"/>
      <c r="W403" s="176"/>
      <c r="X403" s="176"/>
      <c r="Y403" s="176"/>
      <c r="Z403" s="177"/>
      <c r="AA403" s="176"/>
      <c r="AB403" s="176"/>
      <c r="AC403" s="176"/>
      <c r="AD403" s="178"/>
      <c r="AF403" s="179"/>
      <c r="AG403" s="179"/>
      <c r="AI403" s="180"/>
      <c r="AJ403" s="180"/>
      <c r="AK403" s="180"/>
      <c r="AL403" s="180"/>
      <c r="AM403" s="181"/>
      <c r="AN403" s="180"/>
      <c r="AO403" s="180"/>
      <c r="AP403" s="180"/>
    </row>
    <row r="404">
      <c r="D404" s="172"/>
      <c r="E404" s="172"/>
      <c r="G404" s="173"/>
      <c r="H404" s="173"/>
      <c r="I404" s="173"/>
      <c r="M404" s="173"/>
      <c r="R404" s="174"/>
      <c r="S404" s="174"/>
      <c r="T404" s="90"/>
      <c r="U404" s="176"/>
      <c r="V404" s="176"/>
      <c r="W404" s="176"/>
      <c r="X404" s="176"/>
      <c r="Y404" s="176"/>
      <c r="Z404" s="177"/>
      <c r="AA404" s="176"/>
      <c r="AB404" s="176"/>
      <c r="AC404" s="176"/>
      <c r="AD404" s="178"/>
      <c r="AF404" s="179"/>
      <c r="AG404" s="179"/>
      <c r="AI404" s="180"/>
      <c r="AJ404" s="180"/>
      <c r="AK404" s="180"/>
      <c r="AL404" s="180"/>
      <c r="AM404" s="181"/>
      <c r="AN404" s="180"/>
      <c r="AO404" s="180"/>
      <c r="AP404" s="180"/>
    </row>
    <row r="405">
      <c r="D405" s="172"/>
      <c r="E405" s="172"/>
      <c r="G405" s="173"/>
      <c r="H405" s="173"/>
      <c r="I405" s="173"/>
      <c r="M405" s="173"/>
      <c r="R405" s="174"/>
      <c r="S405" s="174"/>
      <c r="T405" s="90"/>
      <c r="U405" s="176"/>
      <c r="V405" s="176"/>
      <c r="W405" s="176"/>
      <c r="X405" s="176"/>
      <c r="Y405" s="176"/>
      <c r="Z405" s="177"/>
      <c r="AA405" s="176"/>
      <c r="AB405" s="176"/>
      <c r="AC405" s="176"/>
      <c r="AD405" s="178"/>
      <c r="AF405" s="179"/>
      <c r="AG405" s="179"/>
      <c r="AI405" s="180"/>
      <c r="AJ405" s="180"/>
      <c r="AK405" s="180"/>
      <c r="AL405" s="180"/>
      <c r="AM405" s="181"/>
      <c r="AN405" s="180"/>
      <c r="AO405" s="180"/>
      <c r="AP405" s="180"/>
    </row>
    <row r="406">
      <c r="D406" s="172"/>
      <c r="E406" s="172"/>
      <c r="G406" s="173"/>
      <c r="H406" s="173"/>
      <c r="I406" s="173"/>
      <c r="M406" s="173"/>
      <c r="R406" s="174"/>
      <c r="S406" s="174"/>
      <c r="T406" s="90"/>
      <c r="U406" s="176"/>
      <c r="V406" s="176"/>
      <c r="W406" s="176"/>
      <c r="X406" s="176"/>
      <c r="Y406" s="176"/>
      <c r="Z406" s="177"/>
      <c r="AA406" s="176"/>
      <c r="AB406" s="176"/>
      <c r="AC406" s="176"/>
      <c r="AD406" s="178"/>
      <c r="AF406" s="179"/>
      <c r="AG406" s="179"/>
      <c r="AI406" s="180"/>
      <c r="AJ406" s="180"/>
      <c r="AK406" s="180"/>
      <c r="AL406" s="180"/>
      <c r="AM406" s="181"/>
      <c r="AN406" s="180"/>
      <c r="AO406" s="180"/>
      <c r="AP406" s="180"/>
    </row>
    <row r="407">
      <c r="D407" s="172"/>
      <c r="E407" s="172"/>
      <c r="G407" s="173"/>
      <c r="H407" s="173"/>
      <c r="I407" s="173"/>
      <c r="M407" s="173"/>
      <c r="R407" s="174"/>
      <c r="S407" s="174"/>
      <c r="T407" s="90"/>
      <c r="U407" s="176"/>
      <c r="V407" s="176"/>
      <c r="W407" s="176"/>
      <c r="X407" s="176"/>
      <c r="Y407" s="176"/>
      <c r="Z407" s="177"/>
      <c r="AA407" s="176"/>
      <c r="AB407" s="176"/>
      <c r="AC407" s="176"/>
      <c r="AD407" s="178"/>
      <c r="AF407" s="179"/>
      <c r="AG407" s="179"/>
      <c r="AI407" s="180"/>
      <c r="AJ407" s="180"/>
      <c r="AK407" s="180"/>
      <c r="AL407" s="180"/>
      <c r="AM407" s="181"/>
      <c r="AN407" s="180"/>
      <c r="AO407" s="180"/>
      <c r="AP407" s="180"/>
    </row>
    <row r="408">
      <c r="D408" s="172"/>
      <c r="E408" s="172"/>
      <c r="G408" s="173"/>
      <c r="H408" s="173"/>
      <c r="I408" s="173"/>
      <c r="M408" s="173"/>
      <c r="R408" s="174"/>
      <c r="S408" s="174"/>
      <c r="T408" s="90"/>
      <c r="U408" s="176"/>
      <c r="V408" s="176"/>
      <c r="W408" s="176"/>
      <c r="X408" s="176"/>
      <c r="Y408" s="176"/>
      <c r="Z408" s="177"/>
      <c r="AA408" s="176"/>
      <c r="AB408" s="176"/>
      <c r="AC408" s="176"/>
      <c r="AD408" s="178"/>
      <c r="AF408" s="179"/>
      <c r="AG408" s="179"/>
      <c r="AI408" s="180"/>
      <c r="AJ408" s="180"/>
      <c r="AK408" s="180"/>
      <c r="AL408" s="180"/>
      <c r="AM408" s="181"/>
      <c r="AN408" s="180"/>
      <c r="AO408" s="180"/>
      <c r="AP408" s="180"/>
    </row>
    <row r="409">
      <c r="D409" s="172"/>
      <c r="E409" s="172"/>
      <c r="G409" s="173"/>
      <c r="H409" s="173"/>
      <c r="I409" s="173"/>
      <c r="M409" s="173"/>
      <c r="R409" s="174"/>
      <c r="S409" s="174"/>
      <c r="T409" s="90"/>
      <c r="U409" s="176"/>
      <c r="V409" s="176"/>
      <c r="W409" s="176"/>
      <c r="X409" s="176"/>
      <c r="Y409" s="176"/>
      <c r="Z409" s="177"/>
      <c r="AA409" s="176"/>
      <c r="AB409" s="176"/>
      <c r="AC409" s="176"/>
      <c r="AD409" s="178"/>
      <c r="AF409" s="179"/>
      <c r="AG409" s="179"/>
      <c r="AI409" s="180"/>
      <c r="AJ409" s="180"/>
      <c r="AK409" s="180"/>
      <c r="AL409" s="180"/>
      <c r="AM409" s="181"/>
      <c r="AN409" s="180"/>
      <c r="AO409" s="180"/>
      <c r="AP409" s="180"/>
    </row>
    <row r="410">
      <c r="D410" s="172"/>
      <c r="E410" s="172"/>
      <c r="G410" s="173"/>
      <c r="H410" s="173"/>
      <c r="I410" s="173"/>
      <c r="M410" s="173"/>
      <c r="R410" s="174"/>
      <c r="S410" s="174"/>
      <c r="T410" s="90"/>
      <c r="U410" s="176"/>
      <c r="V410" s="176"/>
      <c r="W410" s="176"/>
      <c r="X410" s="176"/>
      <c r="Y410" s="176"/>
      <c r="Z410" s="177"/>
      <c r="AA410" s="176"/>
      <c r="AB410" s="176"/>
      <c r="AC410" s="176"/>
      <c r="AD410" s="178"/>
      <c r="AF410" s="179"/>
      <c r="AG410" s="179"/>
      <c r="AI410" s="180"/>
      <c r="AJ410" s="180"/>
      <c r="AK410" s="180"/>
      <c r="AL410" s="180"/>
      <c r="AM410" s="181"/>
      <c r="AN410" s="180"/>
      <c r="AO410" s="180"/>
      <c r="AP410" s="180"/>
    </row>
    <row r="411">
      <c r="D411" s="172"/>
      <c r="E411" s="172"/>
      <c r="G411" s="173"/>
      <c r="H411" s="173"/>
      <c r="I411" s="173"/>
      <c r="M411" s="173"/>
      <c r="R411" s="174"/>
      <c r="S411" s="174"/>
      <c r="T411" s="90"/>
      <c r="U411" s="176"/>
      <c r="V411" s="176"/>
      <c r="W411" s="176"/>
      <c r="X411" s="176"/>
      <c r="Y411" s="176"/>
      <c r="Z411" s="177"/>
      <c r="AA411" s="176"/>
      <c r="AB411" s="176"/>
      <c r="AC411" s="176"/>
      <c r="AD411" s="178"/>
      <c r="AF411" s="179"/>
      <c r="AG411" s="179"/>
      <c r="AI411" s="180"/>
      <c r="AJ411" s="180"/>
      <c r="AK411" s="180"/>
      <c r="AL411" s="180"/>
      <c r="AM411" s="181"/>
      <c r="AN411" s="180"/>
      <c r="AO411" s="180"/>
      <c r="AP411" s="180"/>
    </row>
    <row r="412">
      <c r="D412" s="172"/>
      <c r="E412" s="172"/>
      <c r="G412" s="173"/>
      <c r="H412" s="173"/>
      <c r="I412" s="173"/>
      <c r="M412" s="173"/>
      <c r="R412" s="174"/>
      <c r="S412" s="174"/>
      <c r="T412" s="90"/>
      <c r="U412" s="176"/>
      <c r="V412" s="176"/>
      <c r="W412" s="176"/>
      <c r="X412" s="176"/>
      <c r="Y412" s="176"/>
      <c r="Z412" s="177"/>
      <c r="AA412" s="176"/>
      <c r="AB412" s="176"/>
      <c r="AC412" s="176"/>
      <c r="AD412" s="178"/>
      <c r="AF412" s="179"/>
      <c r="AG412" s="179"/>
      <c r="AI412" s="180"/>
      <c r="AJ412" s="180"/>
      <c r="AK412" s="180"/>
      <c r="AL412" s="180"/>
      <c r="AM412" s="181"/>
      <c r="AN412" s="180"/>
      <c r="AO412" s="180"/>
      <c r="AP412" s="180"/>
    </row>
    <row r="413">
      <c r="D413" s="172"/>
      <c r="E413" s="172"/>
      <c r="G413" s="173"/>
      <c r="H413" s="173"/>
      <c r="I413" s="173"/>
      <c r="M413" s="173"/>
      <c r="R413" s="174"/>
      <c r="S413" s="174"/>
      <c r="T413" s="90"/>
      <c r="U413" s="176"/>
      <c r="V413" s="176"/>
      <c r="W413" s="176"/>
      <c r="X413" s="176"/>
      <c r="Y413" s="176"/>
      <c r="Z413" s="177"/>
      <c r="AA413" s="176"/>
      <c r="AB413" s="176"/>
      <c r="AC413" s="176"/>
      <c r="AD413" s="178"/>
      <c r="AF413" s="179"/>
      <c r="AG413" s="179"/>
      <c r="AI413" s="180"/>
      <c r="AJ413" s="180"/>
      <c r="AK413" s="180"/>
      <c r="AL413" s="180"/>
      <c r="AM413" s="181"/>
      <c r="AN413" s="180"/>
      <c r="AO413" s="180"/>
      <c r="AP413" s="180"/>
    </row>
    <row r="414">
      <c r="D414" s="172"/>
      <c r="E414" s="172"/>
      <c r="G414" s="173"/>
      <c r="H414" s="173"/>
      <c r="I414" s="173"/>
      <c r="M414" s="173"/>
      <c r="R414" s="174"/>
      <c r="S414" s="174"/>
      <c r="T414" s="90"/>
      <c r="U414" s="176"/>
      <c r="V414" s="176"/>
      <c r="W414" s="176"/>
      <c r="X414" s="176"/>
      <c r="Y414" s="176"/>
      <c r="Z414" s="177"/>
      <c r="AA414" s="176"/>
      <c r="AB414" s="176"/>
      <c r="AC414" s="176"/>
      <c r="AD414" s="178"/>
      <c r="AF414" s="179"/>
      <c r="AG414" s="179"/>
      <c r="AI414" s="180"/>
      <c r="AJ414" s="180"/>
      <c r="AK414" s="180"/>
      <c r="AL414" s="180"/>
      <c r="AM414" s="181"/>
      <c r="AN414" s="180"/>
      <c r="AO414" s="180"/>
      <c r="AP414" s="180"/>
    </row>
    <row r="415">
      <c r="D415" s="172"/>
      <c r="E415" s="172"/>
      <c r="G415" s="173"/>
      <c r="H415" s="173"/>
      <c r="I415" s="173"/>
      <c r="M415" s="173"/>
      <c r="R415" s="174"/>
      <c r="S415" s="174"/>
      <c r="T415" s="90"/>
      <c r="U415" s="176"/>
      <c r="V415" s="176"/>
      <c r="W415" s="176"/>
      <c r="X415" s="176"/>
      <c r="Y415" s="176"/>
      <c r="Z415" s="177"/>
      <c r="AA415" s="176"/>
      <c r="AB415" s="176"/>
      <c r="AC415" s="176"/>
      <c r="AD415" s="178"/>
      <c r="AF415" s="179"/>
      <c r="AG415" s="179"/>
      <c r="AI415" s="180"/>
      <c r="AJ415" s="180"/>
      <c r="AK415" s="180"/>
      <c r="AL415" s="180"/>
      <c r="AM415" s="181"/>
      <c r="AN415" s="180"/>
      <c r="AO415" s="180"/>
      <c r="AP415" s="180"/>
    </row>
    <row r="416">
      <c r="D416" s="172"/>
      <c r="E416" s="172"/>
      <c r="G416" s="173"/>
      <c r="H416" s="173"/>
      <c r="I416" s="173"/>
      <c r="M416" s="173"/>
      <c r="R416" s="174"/>
      <c r="S416" s="174"/>
      <c r="T416" s="90"/>
      <c r="U416" s="176"/>
      <c r="V416" s="176"/>
      <c r="W416" s="176"/>
      <c r="X416" s="176"/>
      <c r="Y416" s="176"/>
      <c r="Z416" s="177"/>
      <c r="AA416" s="176"/>
      <c r="AB416" s="176"/>
      <c r="AC416" s="176"/>
      <c r="AD416" s="178"/>
      <c r="AF416" s="179"/>
      <c r="AG416" s="179"/>
      <c r="AI416" s="180"/>
      <c r="AJ416" s="180"/>
      <c r="AK416" s="180"/>
      <c r="AL416" s="180"/>
      <c r="AM416" s="181"/>
      <c r="AN416" s="180"/>
      <c r="AO416" s="180"/>
      <c r="AP416" s="180"/>
    </row>
    <row r="417">
      <c r="D417" s="172"/>
      <c r="E417" s="172"/>
      <c r="G417" s="173"/>
      <c r="H417" s="173"/>
      <c r="I417" s="173"/>
      <c r="M417" s="173"/>
      <c r="R417" s="174"/>
      <c r="S417" s="174"/>
      <c r="T417" s="90"/>
      <c r="U417" s="176"/>
      <c r="V417" s="176"/>
      <c r="W417" s="176"/>
      <c r="X417" s="176"/>
      <c r="Y417" s="176"/>
      <c r="Z417" s="177"/>
      <c r="AA417" s="176"/>
      <c r="AB417" s="176"/>
      <c r="AC417" s="176"/>
      <c r="AD417" s="178"/>
      <c r="AF417" s="179"/>
      <c r="AG417" s="179"/>
      <c r="AI417" s="180"/>
      <c r="AJ417" s="180"/>
      <c r="AK417" s="180"/>
      <c r="AL417" s="180"/>
      <c r="AM417" s="181"/>
      <c r="AN417" s="180"/>
      <c r="AO417" s="180"/>
      <c r="AP417" s="180"/>
    </row>
    <row r="418">
      <c r="D418" s="172"/>
      <c r="E418" s="172"/>
      <c r="G418" s="173"/>
      <c r="H418" s="173"/>
      <c r="I418" s="173"/>
      <c r="M418" s="173"/>
      <c r="R418" s="174"/>
      <c r="S418" s="174"/>
      <c r="T418" s="90"/>
      <c r="U418" s="176"/>
      <c r="V418" s="176"/>
      <c r="W418" s="176"/>
      <c r="X418" s="176"/>
      <c r="Y418" s="176"/>
      <c r="Z418" s="177"/>
      <c r="AA418" s="176"/>
      <c r="AB418" s="176"/>
      <c r="AC418" s="176"/>
      <c r="AD418" s="178"/>
      <c r="AF418" s="179"/>
      <c r="AG418" s="179"/>
      <c r="AI418" s="180"/>
      <c r="AJ418" s="180"/>
      <c r="AK418" s="180"/>
      <c r="AL418" s="180"/>
      <c r="AM418" s="181"/>
      <c r="AN418" s="180"/>
      <c r="AO418" s="180"/>
      <c r="AP418" s="180"/>
    </row>
    <row r="419">
      <c r="D419" s="172"/>
      <c r="E419" s="172"/>
      <c r="G419" s="173"/>
      <c r="H419" s="173"/>
      <c r="I419" s="173"/>
      <c r="M419" s="173"/>
      <c r="R419" s="174"/>
      <c r="S419" s="174"/>
      <c r="T419" s="90"/>
      <c r="U419" s="176"/>
      <c r="V419" s="176"/>
      <c r="W419" s="176"/>
      <c r="X419" s="176"/>
      <c r="Y419" s="176"/>
      <c r="Z419" s="177"/>
      <c r="AA419" s="176"/>
      <c r="AB419" s="176"/>
      <c r="AC419" s="176"/>
      <c r="AD419" s="178"/>
      <c r="AF419" s="179"/>
      <c r="AG419" s="179"/>
      <c r="AI419" s="180"/>
      <c r="AJ419" s="180"/>
      <c r="AK419" s="180"/>
      <c r="AL419" s="180"/>
      <c r="AM419" s="181"/>
      <c r="AN419" s="180"/>
      <c r="AO419" s="180"/>
      <c r="AP419" s="180"/>
    </row>
    <row r="420">
      <c r="D420" s="172"/>
      <c r="E420" s="172"/>
      <c r="G420" s="173"/>
      <c r="H420" s="173"/>
      <c r="I420" s="173"/>
      <c r="M420" s="173"/>
      <c r="R420" s="174"/>
      <c r="S420" s="174"/>
      <c r="T420" s="90"/>
      <c r="U420" s="176"/>
      <c r="V420" s="176"/>
      <c r="W420" s="176"/>
      <c r="X420" s="176"/>
      <c r="Y420" s="176"/>
      <c r="Z420" s="177"/>
      <c r="AA420" s="176"/>
      <c r="AB420" s="176"/>
      <c r="AC420" s="176"/>
      <c r="AD420" s="178"/>
      <c r="AF420" s="179"/>
      <c r="AG420" s="179"/>
      <c r="AI420" s="180"/>
      <c r="AJ420" s="180"/>
      <c r="AK420" s="180"/>
      <c r="AL420" s="180"/>
      <c r="AM420" s="181"/>
      <c r="AN420" s="180"/>
      <c r="AO420" s="180"/>
      <c r="AP420" s="180"/>
    </row>
    <row r="421">
      <c r="D421" s="172"/>
      <c r="E421" s="172"/>
      <c r="G421" s="173"/>
      <c r="H421" s="173"/>
      <c r="I421" s="173"/>
      <c r="M421" s="173"/>
      <c r="R421" s="174"/>
      <c r="S421" s="174"/>
      <c r="T421" s="90"/>
      <c r="U421" s="176"/>
      <c r="V421" s="176"/>
      <c r="W421" s="176"/>
      <c r="X421" s="176"/>
      <c r="Y421" s="176"/>
      <c r="Z421" s="177"/>
      <c r="AA421" s="176"/>
      <c r="AB421" s="176"/>
      <c r="AC421" s="176"/>
      <c r="AD421" s="178"/>
      <c r="AF421" s="179"/>
      <c r="AG421" s="179"/>
      <c r="AI421" s="180"/>
      <c r="AJ421" s="180"/>
      <c r="AK421" s="180"/>
      <c r="AL421" s="180"/>
      <c r="AM421" s="181"/>
      <c r="AN421" s="180"/>
      <c r="AO421" s="180"/>
      <c r="AP421" s="180"/>
    </row>
    <row r="422">
      <c r="D422" s="172"/>
      <c r="E422" s="172"/>
      <c r="G422" s="173"/>
      <c r="H422" s="173"/>
      <c r="I422" s="173"/>
      <c r="M422" s="173"/>
      <c r="R422" s="174"/>
      <c r="S422" s="174"/>
      <c r="T422" s="90"/>
      <c r="U422" s="176"/>
      <c r="V422" s="176"/>
      <c r="W422" s="176"/>
      <c r="X422" s="176"/>
      <c r="Y422" s="176"/>
      <c r="Z422" s="177"/>
      <c r="AA422" s="176"/>
      <c r="AB422" s="176"/>
      <c r="AC422" s="176"/>
      <c r="AD422" s="178"/>
      <c r="AF422" s="179"/>
      <c r="AG422" s="179"/>
      <c r="AI422" s="180"/>
      <c r="AJ422" s="180"/>
      <c r="AK422" s="180"/>
      <c r="AL422" s="180"/>
      <c r="AM422" s="181"/>
      <c r="AN422" s="180"/>
      <c r="AO422" s="180"/>
      <c r="AP422" s="180"/>
    </row>
    <row r="423">
      <c r="D423" s="172"/>
      <c r="E423" s="172"/>
      <c r="G423" s="173"/>
      <c r="H423" s="173"/>
      <c r="I423" s="173"/>
      <c r="M423" s="173"/>
      <c r="R423" s="174"/>
      <c r="S423" s="174"/>
      <c r="T423" s="90"/>
      <c r="U423" s="176"/>
      <c r="V423" s="176"/>
      <c r="W423" s="176"/>
      <c r="X423" s="176"/>
      <c r="Y423" s="176"/>
      <c r="Z423" s="177"/>
      <c r="AA423" s="176"/>
      <c r="AB423" s="176"/>
      <c r="AC423" s="176"/>
      <c r="AD423" s="178"/>
      <c r="AF423" s="179"/>
      <c r="AG423" s="179"/>
      <c r="AI423" s="180"/>
      <c r="AJ423" s="180"/>
      <c r="AK423" s="180"/>
      <c r="AL423" s="180"/>
      <c r="AM423" s="181"/>
      <c r="AN423" s="180"/>
      <c r="AO423" s="180"/>
      <c r="AP423" s="180"/>
    </row>
    <row r="424">
      <c r="D424" s="172"/>
      <c r="E424" s="172"/>
      <c r="G424" s="173"/>
      <c r="H424" s="173"/>
      <c r="I424" s="173"/>
      <c r="M424" s="173"/>
      <c r="R424" s="174"/>
      <c r="S424" s="174"/>
      <c r="T424" s="90"/>
      <c r="U424" s="176"/>
      <c r="V424" s="176"/>
      <c r="W424" s="176"/>
      <c r="X424" s="176"/>
      <c r="Y424" s="176"/>
      <c r="Z424" s="177"/>
      <c r="AA424" s="176"/>
      <c r="AB424" s="176"/>
      <c r="AC424" s="176"/>
      <c r="AD424" s="178"/>
      <c r="AF424" s="179"/>
      <c r="AG424" s="179"/>
      <c r="AI424" s="180"/>
      <c r="AJ424" s="180"/>
      <c r="AK424" s="180"/>
      <c r="AL424" s="180"/>
      <c r="AM424" s="181"/>
      <c r="AN424" s="180"/>
      <c r="AO424" s="180"/>
      <c r="AP424" s="180"/>
    </row>
    <row r="425">
      <c r="D425" s="172"/>
      <c r="E425" s="172"/>
      <c r="G425" s="173"/>
      <c r="H425" s="173"/>
      <c r="I425" s="173"/>
      <c r="M425" s="173"/>
      <c r="R425" s="174"/>
      <c r="S425" s="174"/>
      <c r="T425" s="90"/>
      <c r="U425" s="176"/>
      <c r="V425" s="176"/>
      <c r="W425" s="176"/>
      <c r="X425" s="176"/>
      <c r="Y425" s="176"/>
      <c r="Z425" s="177"/>
      <c r="AA425" s="176"/>
      <c r="AB425" s="176"/>
      <c r="AC425" s="176"/>
      <c r="AD425" s="178"/>
      <c r="AF425" s="179"/>
      <c r="AG425" s="179"/>
      <c r="AI425" s="180"/>
      <c r="AJ425" s="180"/>
      <c r="AK425" s="180"/>
      <c r="AL425" s="180"/>
      <c r="AM425" s="181"/>
      <c r="AN425" s="180"/>
      <c r="AO425" s="180"/>
      <c r="AP425" s="180"/>
    </row>
    <row r="426">
      <c r="D426" s="172"/>
      <c r="E426" s="172"/>
      <c r="G426" s="173"/>
      <c r="H426" s="173"/>
      <c r="I426" s="173"/>
      <c r="M426" s="173"/>
      <c r="R426" s="174"/>
      <c r="S426" s="174"/>
      <c r="T426" s="90"/>
      <c r="U426" s="176"/>
      <c r="V426" s="176"/>
      <c r="W426" s="176"/>
      <c r="X426" s="176"/>
      <c r="Y426" s="176"/>
      <c r="Z426" s="177"/>
      <c r="AA426" s="176"/>
      <c r="AB426" s="176"/>
      <c r="AC426" s="176"/>
      <c r="AD426" s="178"/>
      <c r="AF426" s="179"/>
      <c r="AG426" s="179"/>
      <c r="AI426" s="180"/>
      <c r="AJ426" s="180"/>
      <c r="AK426" s="180"/>
      <c r="AL426" s="180"/>
      <c r="AM426" s="181"/>
      <c r="AN426" s="180"/>
      <c r="AO426" s="180"/>
      <c r="AP426" s="180"/>
    </row>
    <row r="427">
      <c r="D427" s="172"/>
      <c r="E427" s="172"/>
      <c r="G427" s="173"/>
      <c r="H427" s="173"/>
      <c r="I427" s="173"/>
      <c r="M427" s="173"/>
      <c r="R427" s="174"/>
      <c r="S427" s="174"/>
      <c r="T427" s="90"/>
      <c r="U427" s="176"/>
      <c r="V427" s="176"/>
      <c r="W427" s="176"/>
      <c r="X427" s="176"/>
      <c r="Y427" s="176"/>
      <c r="Z427" s="177"/>
      <c r="AA427" s="176"/>
      <c r="AB427" s="176"/>
      <c r="AC427" s="176"/>
      <c r="AD427" s="178"/>
      <c r="AF427" s="179"/>
      <c r="AG427" s="179"/>
      <c r="AI427" s="180"/>
      <c r="AJ427" s="180"/>
      <c r="AK427" s="180"/>
      <c r="AL427" s="180"/>
      <c r="AM427" s="181"/>
      <c r="AN427" s="180"/>
      <c r="AO427" s="180"/>
      <c r="AP427" s="180"/>
    </row>
    <row r="428">
      <c r="D428" s="172"/>
      <c r="E428" s="172"/>
      <c r="G428" s="173"/>
      <c r="H428" s="173"/>
      <c r="I428" s="173"/>
      <c r="M428" s="173"/>
      <c r="R428" s="174"/>
      <c r="S428" s="174"/>
      <c r="T428" s="90"/>
      <c r="U428" s="176"/>
      <c r="V428" s="176"/>
      <c r="W428" s="176"/>
      <c r="X428" s="176"/>
      <c r="Y428" s="176"/>
      <c r="Z428" s="177"/>
      <c r="AA428" s="176"/>
      <c r="AB428" s="176"/>
      <c r="AC428" s="176"/>
      <c r="AD428" s="178"/>
      <c r="AF428" s="179"/>
      <c r="AG428" s="179"/>
      <c r="AI428" s="180"/>
      <c r="AJ428" s="180"/>
      <c r="AK428" s="180"/>
      <c r="AL428" s="180"/>
      <c r="AM428" s="181"/>
      <c r="AN428" s="180"/>
      <c r="AO428" s="180"/>
      <c r="AP428" s="180"/>
    </row>
    <row r="429">
      <c r="D429" s="172"/>
      <c r="E429" s="172"/>
      <c r="G429" s="173"/>
      <c r="H429" s="173"/>
      <c r="I429" s="173"/>
      <c r="M429" s="173"/>
      <c r="R429" s="174"/>
      <c r="S429" s="174"/>
      <c r="T429" s="90"/>
      <c r="U429" s="176"/>
      <c r="V429" s="176"/>
      <c r="W429" s="176"/>
      <c r="X429" s="176"/>
      <c r="Y429" s="176"/>
      <c r="Z429" s="177"/>
      <c r="AA429" s="176"/>
      <c r="AB429" s="176"/>
      <c r="AC429" s="176"/>
      <c r="AD429" s="178"/>
      <c r="AF429" s="179"/>
      <c r="AG429" s="179"/>
      <c r="AI429" s="180"/>
      <c r="AJ429" s="180"/>
      <c r="AK429" s="180"/>
      <c r="AL429" s="180"/>
      <c r="AM429" s="181"/>
      <c r="AN429" s="180"/>
      <c r="AO429" s="180"/>
      <c r="AP429" s="180"/>
    </row>
    <row r="430">
      <c r="D430" s="172"/>
      <c r="E430" s="172"/>
      <c r="G430" s="173"/>
      <c r="H430" s="173"/>
      <c r="I430" s="173"/>
      <c r="M430" s="173"/>
      <c r="R430" s="174"/>
      <c r="S430" s="174"/>
      <c r="T430" s="90"/>
      <c r="U430" s="176"/>
      <c r="V430" s="176"/>
      <c r="W430" s="176"/>
      <c r="X430" s="176"/>
      <c r="Y430" s="176"/>
      <c r="Z430" s="177"/>
      <c r="AA430" s="176"/>
      <c r="AB430" s="176"/>
      <c r="AC430" s="176"/>
      <c r="AD430" s="178"/>
      <c r="AF430" s="179"/>
      <c r="AG430" s="179"/>
      <c r="AI430" s="180"/>
      <c r="AJ430" s="180"/>
      <c r="AK430" s="180"/>
      <c r="AL430" s="180"/>
      <c r="AM430" s="181"/>
      <c r="AN430" s="180"/>
      <c r="AO430" s="180"/>
      <c r="AP430" s="180"/>
    </row>
    <row r="431">
      <c r="D431" s="172"/>
      <c r="E431" s="172"/>
      <c r="G431" s="173"/>
      <c r="H431" s="173"/>
      <c r="I431" s="173"/>
      <c r="M431" s="173"/>
      <c r="R431" s="174"/>
      <c r="S431" s="174"/>
      <c r="T431" s="90"/>
      <c r="U431" s="176"/>
      <c r="V431" s="176"/>
      <c r="W431" s="176"/>
      <c r="X431" s="176"/>
      <c r="Y431" s="176"/>
      <c r="Z431" s="177"/>
      <c r="AA431" s="176"/>
      <c r="AB431" s="176"/>
      <c r="AC431" s="176"/>
      <c r="AD431" s="178"/>
      <c r="AF431" s="179"/>
      <c r="AG431" s="179"/>
      <c r="AI431" s="180"/>
      <c r="AJ431" s="180"/>
      <c r="AK431" s="180"/>
      <c r="AL431" s="180"/>
      <c r="AM431" s="181"/>
      <c r="AN431" s="180"/>
      <c r="AO431" s="180"/>
      <c r="AP431" s="180"/>
    </row>
    <row r="432">
      <c r="D432" s="172"/>
      <c r="E432" s="172"/>
      <c r="G432" s="173"/>
      <c r="H432" s="173"/>
      <c r="I432" s="173"/>
      <c r="M432" s="173"/>
      <c r="R432" s="174"/>
      <c r="S432" s="174"/>
      <c r="T432" s="90"/>
      <c r="U432" s="176"/>
      <c r="V432" s="176"/>
      <c r="W432" s="176"/>
      <c r="X432" s="176"/>
      <c r="Y432" s="176"/>
      <c r="Z432" s="177"/>
      <c r="AA432" s="176"/>
      <c r="AB432" s="176"/>
      <c r="AC432" s="176"/>
      <c r="AD432" s="178"/>
      <c r="AF432" s="179"/>
      <c r="AG432" s="179"/>
      <c r="AI432" s="180"/>
      <c r="AJ432" s="180"/>
      <c r="AK432" s="180"/>
      <c r="AL432" s="180"/>
      <c r="AM432" s="181"/>
      <c r="AN432" s="180"/>
      <c r="AO432" s="180"/>
      <c r="AP432" s="180"/>
    </row>
    <row r="433">
      <c r="D433" s="172"/>
      <c r="E433" s="172"/>
      <c r="G433" s="173"/>
      <c r="H433" s="173"/>
      <c r="I433" s="173"/>
      <c r="M433" s="173"/>
      <c r="R433" s="174"/>
      <c r="S433" s="174"/>
      <c r="T433" s="90"/>
      <c r="U433" s="176"/>
      <c r="V433" s="176"/>
      <c r="W433" s="176"/>
      <c r="X433" s="176"/>
      <c r="Y433" s="176"/>
      <c r="Z433" s="177"/>
      <c r="AA433" s="176"/>
      <c r="AB433" s="176"/>
      <c r="AC433" s="176"/>
      <c r="AD433" s="178"/>
      <c r="AF433" s="179"/>
      <c r="AG433" s="179"/>
      <c r="AI433" s="180"/>
      <c r="AJ433" s="180"/>
      <c r="AK433" s="180"/>
      <c r="AL433" s="180"/>
      <c r="AM433" s="181"/>
      <c r="AN433" s="180"/>
      <c r="AO433" s="180"/>
      <c r="AP433" s="180"/>
    </row>
    <row r="434">
      <c r="D434" s="172"/>
      <c r="E434" s="172"/>
      <c r="G434" s="173"/>
      <c r="H434" s="173"/>
      <c r="I434" s="173"/>
      <c r="M434" s="173"/>
      <c r="R434" s="174"/>
      <c r="S434" s="174"/>
      <c r="T434" s="90"/>
      <c r="U434" s="176"/>
      <c r="V434" s="176"/>
      <c r="W434" s="176"/>
      <c r="X434" s="176"/>
      <c r="Y434" s="176"/>
      <c r="Z434" s="177"/>
      <c r="AA434" s="176"/>
      <c r="AB434" s="176"/>
      <c r="AC434" s="176"/>
      <c r="AD434" s="178"/>
      <c r="AF434" s="179"/>
      <c r="AG434" s="179"/>
      <c r="AI434" s="180"/>
      <c r="AJ434" s="180"/>
      <c r="AK434" s="180"/>
      <c r="AL434" s="180"/>
      <c r="AM434" s="181"/>
      <c r="AN434" s="180"/>
      <c r="AO434" s="180"/>
      <c r="AP434" s="180"/>
    </row>
    <row r="435">
      <c r="D435" s="172"/>
      <c r="E435" s="172"/>
      <c r="G435" s="173"/>
      <c r="H435" s="173"/>
      <c r="I435" s="173"/>
      <c r="M435" s="173"/>
      <c r="R435" s="174"/>
      <c r="S435" s="174"/>
      <c r="T435" s="90"/>
      <c r="U435" s="176"/>
      <c r="V435" s="176"/>
      <c r="W435" s="176"/>
      <c r="X435" s="176"/>
      <c r="Y435" s="176"/>
      <c r="Z435" s="177"/>
      <c r="AA435" s="176"/>
      <c r="AB435" s="176"/>
      <c r="AC435" s="176"/>
      <c r="AD435" s="178"/>
      <c r="AF435" s="179"/>
      <c r="AG435" s="179"/>
      <c r="AI435" s="180"/>
      <c r="AJ435" s="180"/>
      <c r="AK435" s="180"/>
      <c r="AL435" s="180"/>
      <c r="AM435" s="181"/>
      <c r="AN435" s="180"/>
      <c r="AO435" s="180"/>
      <c r="AP435" s="180"/>
    </row>
    <row r="436">
      <c r="D436" s="172"/>
      <c r="E436" s="172"/>
      <c r="G436" s="173"/>
      <c r="H436" s="173"/>
      <c r="I436" s="173"/>
      <c r="M436" s="173"/>
      <c r="R436" s="174"/>
      <c r="S436" s="174"/>
      <c r="T436" s="90"/>
      <c r="U436" s="176"/>
      <c r="V436" s="176"/>
      <c r="W436" s="176"/>
      <c r="X436" s="176"/>
      <c r="Y436" s="176"/>
      <c r="Z436" s="177"/>
      <c r="AA436" s="176"/>
      <c r="AB436" s="176"/>
      <c r="AC436" s="176"/>
      <c r="AD436" s="178"/>
      <c r="AF436" s="179"/>
      <c r="AG436" s="179"/>
      <c r="AI436" s="180"/>
      <c r="AJ436" s="180"/>
      <c r="AK436" s="180"/>
      <c r="AL436" s="180"/>
      <c r="AM436" s="181"/>
      <c r="AN436" s="180"/>
      <c r="AO436" s="180"/>
      <c r="AP436" s="180"/>
    </row>
    <row r="437">
      <c r="D437" s="172"/>
      <c r="E437" s="172"/>
      <c r="G437" s="173"/>
      <c r="H437" s="173"/>
      <c r="I437" s="173"/>
      <c r="M437" s="173"/>
      <c r="R437" s="174"/>
      <c r="S437" s="174"/>
      <c r="T437" s="90"/>
      <c r="U437" s="176"/>
      <c r="V437" s="176"/>
      <c r="W437" s="176"/>
      <c r="X437" s="176"/>
      <c r="Y437" s="176"/>
      <c r="Z437" s="177"/>
      <c r="AA437" s="176"/>
      <c r="AB437" s="176"/>
      <c r="AC437" s="176"/>
      <c r="AD437" s="178"/>
      <c r="AF437" s="179"/>
      <c r="AG437" s="179"/>
      <c r="AI437" s="180"/>
      <c r="AJ437" s="180"/>
      <c r="AK437" s="180"/>
      <c r="AL437" s="180"/>
      <c r="AM437" s="181"/>
      <c r="AN437" s="180"/>
      <c r="AO437" s="180"/>
      <c r="AP437" s="180"/>
    </row>
    <row r="438">
      <c r="D438" s="172"/>
      <c r="E438" s="172"/>
      <c r="G438" s="173"/>
      <c r="H438" s="173"/>
      <c r="I438" s="173"/>
      <c r="M438" s="173"/>
      <c r="R438" s="174"/>
      <c r="S438" s="174"/>
      <c r="T438" s="90"/>
      <c r="U438" s="176"/>
      <c r="V438" s="176"/>
      <c r="W438" s="176"/>
      <c r="X438" s="176"/>
      <c r="Y438" s="176"/>
      <c r="Z438" s="177"/>
      <c r="AA438" s="176"/>
      <c r="AB438" s="176"/>
      <c r="AC438" s="176"/>
      <c r="AD438" s="178"/>
      <c r="AF438" s="179"/>
      <c r="AG438" s="179"/>
      <c r="AI438" s="180"/>
      <c r="AJ438" s="180"/>
      <c r="AK438" s="180"/>
      <c r="AL438" s="180"/>
      <c r="AM438" s="181"/>
      <c r="AN438" s="180"/>
      <c r="AO438" s="180"/>
      <c r="AP438" s="180"/>
    </row>
    <row r="439">
      <c r="D439" s="172"/>
      <c r="E439" s="172"/>
      <c r="G439" s="173"/>
      <c r="H439" s="173"/>
      <c r="I439" s="173"/>
      <c r="M439" s="173"/>
      <c r="R439" s="174"/>
      <c r="S439" s="174"/>
      <c r="T439" s="90"/>
      <c r="U439" s="176"/>
      <c r="V439" s="176"/>
      <c r="W439" s="176"/>
      <c r="X439" s="176"/>
      <c r="Y439" s="176"/>
      <c r="Z439" s="177"/>
      <c r="AA439" s="176"/>
      <c r="AB439" s="176"/>
      <c r="AC439" s="176"/>
      <c r="AD439" s="178"/>
      <c r="AF439" s="179"/>
      <c r="AG439" s="179"/>
      <c r="AI439" s="180"/>
      <c r="AJ439" s="180"/>
      <c r="AK439" s="180"/>
      <c r="AL439" s="180"/>
      <c r="AM439" s="181"/>
      <c r="AN439" s="180"/>
      <c r="AO439" s="180"/>
      <c r="AP439" s="180"/>
    </row>
    <row r="440">
      <c r="D440" s="172"/>
      <c r="E440" s="172"/>
      <c r="G440" s="173"/>
      <c r="H440" s="173"/>
      <c r="I440" s="173"/>
      <c r="M440" s="173"/>
      <c r="R440" s="174"/>
      <c r="S440" s="174"/>
      <c r="T440" s="90"/>
      <c r="U440" s="176"/>
      <c r="V440" s="176"/>
      <c r="W440" s="176"/>
      <c r="X440" s="176"/>
      <c r="Y440" s="176"/>
      <c r="Z440" s="177"/>
      <c r="AA440" s="176"/>
      <c r="AB440" s="176"/>
      <c r="AC440" s="176"/>
      <c r="AD440" s="178"/>
      <c r="AF440" s="179"/>
      <c r="AG440" s="179"/>
      <c r="AI440" s="180"/>
      <c r="AJ440" s="180"/>
      <c r="AK440" s="180"/>
      <c r="AL440" s="180"/>
      <c r="AM440" s="181"/>
      <c r="AN440" s="180"/>
      <c r="AO440" s="180"/>
      <c r="AP440" s="180"/>
    </row>
    <row r="441">
      <c r="D441" s="172"/>
      <c r="E441" s="172"/>
      <c r="G441" s="173"/>
      <c r="H441" s="173"/>
      <c r="I441" s="173"/>
      <c r="M441" s="173"/>
      <c r="R441" s="174"/>
      <c r="S441" s="174"/>
      <c r="T441" s="90"/>
      <c r="U441" s="176"/>
      <c r="V441" s="176"/>
      <c r="W441" s="176"/>
      <c r="X441" s="176"/>
      <c r="Y441" s="176"/>
      <c r="Z441" s="177"/>
      <c r="AA441" s="176"/>
      <c r="AB441" s="176"/>
      <c r="AC441" s="176"/>
      <c r="AD441" s="178"/>
      <c r="AF441" s="179"/>
      <c r="AG441" s="179"/>
      <c r="AI441" s="180"/>
      <c r="AJ441" s="180"/>
      <c r="AK441" s="180"/>
      <c r="AL441" s="180"/>
      <c r="AM441" s="181"/>
      <c r="AN441" s="180"/>
      <c r="AO441" s="180"/>
      <c r="AP441" s="180"/>
    </row>
    <row r="442">
      <c r="D442" s="172"/>
      <c r="E442" s="172"/>
      <c r="G442" s="173"/>
      <c r="H442" s="173"/>
      <c r="I442" s="173"/>
      <c r="M442" s="173"/>
      <c r="R442" s="174"/>
      <c r="S442" s="174"/>
      <c r="T442" s="90"/>
      <c r="U442" s="176"/>
      <c r="V442" s="176"/>
      <c r="W442" s="176"/>
      <c r="X442" s="176"/>
      <c r="Y442" s="176"/>
      <c r="Z442" s="177"/>
      <c r="AA442" s="176"/>
      <c r="AB442" s="176"/>
      <c r="AC442" s="176"/>
      <c r="AD442" s="178"/>
      <c r="AF442" s="179"/>
      <c r="AG442" s="179"/>
      <c r="AI442" s="180"/>
      <c r="AJ442" s="180"/>
      <c r="AK442" s="180"/>
      <c r="AL442" s="180"/>
      <c r="AM442" s="181"/>
      <c r="AN442" s="180"/>
      <c r="AO442" s="180"/>
      <c r="AP442" s="180"/>
    </row>
    <row r="443">
      <c r="D443" s="172"/>
      <c r="E443" s="172"/>
      <c r="G443" s="173"/>
      <c r="H443" s="173"/>
      <c r="I443" s="173"/>
      <c r="M443" s="173"/>
      <c r="R443" s="174"/>
      <c r="S443" s="174"/>
      <c r="T443" s="90"/>
      <c r="U443" s="176"/>
      <c r="V443" s="176"/>
      <c r="W443" s="176"/>
      <c r="X443" s="176"/>
      <c r="Y443" s="176"/>
      <c r="Z443" s="177"/>
      <c r="AA443" s="176"/>
      <c r="AB443" s="176"/>
      <c r="AC443" s="176"/>
      <c r="AD443" s="178"/>
      <c r="AF443" s="179"/>
      <c r="AG443" s="179"/>
      <c r="AI443" s="180"/>
      <c r="AJ443" s="180"/>
      <c r="AK443" s="180"/>
      <c r="AL443" s="180"/>
      <c r="AM443" s="181"/>
      <c r="AN443" s="180"/>
      <c r="AO443" s="180"/>
      <c r="AP443" s="180"/>
    </row>
    <row r="444">
      <c r="D444" s="172"/>
      <c r="E444" s="172"/>
      <c r="G444" s="173"/>
      <c r="H444" s="173"/>
      <c r="I444" s="173"/>
      <c r="M444" s="173"/>
      <c r="R444" s="174"/>
      <c r="S444" s="174"/>
      <c r="T444" s="90"/>
      <c r="U444" s="176"/>
      <c r="V444" s="176"/>
      <c r="W444" s="176"/>
      <c r="X444" s="176"/>
      <c r="Y444" s="176"/>
      <c r="Z444" s="177"/>
      <c r="AA444" s="176"/>
      <c r="AB444" s="176"/>
      <c r="AC444" s="176"/>
      <c r="AD444" s="178"/>
      <c r="AF444" s="179"/>
      <c r="AG444" s="179"/>
      <c r="AI444" s="180"/>
      <c r="AJ444" s="180"/>
      <c r="AK444" s="180"/>
      <c r="AL444" s="180"/>
      <c r="AM444" s="181"/>
      <c r="AN444" s="180"/>
      <c r="AO444" s="180"/>
      <c r="AP444" s="180"/>
    </row>
    <row r="445">
      <c r="D445" s="172"/>
      <c r="E445" s="172"/>
      <c r="G445" s="173"/>
      <c r="H445" s="173"/>
      <c r="I445" s="173"/>
      <c r="M445" s="173"/>
      <c r="R445" s="174"/>
      <c r="S445" s="174"/>
      <c r="T445" s="90"/>
      <c r="U445" s="176"/>
      <c r="V445" s="176"/>
      <c r="W445" s="176"/>
      <c r="X445" s="176"/>
      <c r="Y445" s="176"/>
      <c r="Z445" s="177"/>
      <c r="AA445" s="176"/>
      <c r="AB445" s="176"/>
      <c r="AC445" s="176"/>
      <c r="AD445" s="178"/>
      <c r="AF445" s="179"/>
      <c r="AG445" s="179"/>
      <c r="AI445" s="180"/>
      <c r="AJ445" s="180"/>
      <c r="AK445" s="180"/>
      <c r="AL445" s="180"/>
      <c r="AM445" s="181"/>
      <c r="AN445" s="180"/>
      <c r="AO445" s="180"/>
      <c r="AP445" s="180"/>
    </row>
    <row r="446">
      <c r="D446" s="172"/>
      <c r="E446" s="172"/>
      <c r="G446" s="173"/>
      <c r="H446" s="173"/>
      <c r="I446" s="173"/>
      <c r="M446" s="173"/>
      <c r="R446" s="174"/>
      <c r="S446" s="174"/>
      <c r="T446" s="90"/>
      <c r="U446" s="176"/>
      <c r="V446" s="176"/>
      <c r="W446" s="176"/>
      <c r="X446" s="176"/>
      <c r="Y446" s="176"/>
      <c r="Z446" s="177"/>
      <c r="AA446" s="176"/>
      <c r="AB446" s="176"/>
      <c r="AC446" s="176"/>
      <c r="AD446" s="178"/>
      <c r="AF446" s="179"/>
      <c r="AG446" s="179"/>
      <c r="AI446" s="180"/>
      <c r="AJ446" s="180"/>
      <c r="AK446" s="180"/>
      <c r="AL446" s="180"/>
      <c r="AM446" s="181"/>
      <c r="AN446" s="180"/>
      <c r="AO446" s="180"/>
      <c r="AP446" s="180"/>
    </row>
    <row r="447">
      <c r="D447" s="172"/>
      <c r="E447" s="172"/>
      <c r="G447" s="173"/>
      <c r="H447" s="173"/>
      <c r="I447" s="173"/>
      <c r="M447" s="173"/>
      <c r="R447" s="174"/>
      <c r="S447" s="174"/>
      <c r="T447" s="90"/>
      <c r="U447" s="176"/>
      <c r="V447" s="176"/>
      <c r="W447" s="176"/>
      <c r="X447" s="176"/>
      <c r="Y447" s="176"/>
      <c r="Z447" s="177"/>
      <c r="AA447" s="176"/>
      <c r="AB447" s="176"/>
      <c r="AC447" s="176"/>
      <c r="AD447" s="178"/>
      <c r="AF447" s="179"/>
      <c r="AG447" s="179"/>
      <c r="AI447" s="180"/>
      <c r="AJ447" s="180"/>
      <c r="AK447" s="180"/>
      <c r="AL447" s="180"/>
      <c r="AM447" s="181"/>
      <c r="AN447" s="180"/>
      <c r="AO447" s="180"/>
      <c r="AP447" s="180"/>
    </row>
    <row r="448">
      <c r="D448" s="172"/>
      <c r="E448" s="172"/>
      <c r="G448" s="173"/>
      <c r="H448" s="173"/>
      <c r="I448" s="173"/>
      <c r="M448" s="173"/>
      <c r="R448" s="174"/>
      <c r="S448" s="174"/>
      <c r="T448" s="90"/>
      <c r="U448" s="176"/>
      <c r="V448" s="176"/>
      <c r="W448" s="176"/>
      <c r="X448" s="176"/>
      <c r="Y448" s="176"/>
      <c r="Z448" s="177"/>
      <c r="AA448" s="176"/>
      <c r="AB448" s="176"/>
      <c r="AC448" s="176"/>
      <c r="AD448" s="178"/>
      <c r="AF448" s="179"/>
      <c r="AG448" s="179"/>
      <c r="AI448" s="180"/>
      <c r="AJ448" s="180"/>
      <c r="AK448" s="180"/>
      <c r="AL448" s="180"/>
      <c r="AM448" s="181"/>
      <c r="AN448" s="180"/>
      <c r="AO448" s="180"/>
      <c r="AP448" s="180"/>
    </row>
    <row r="449">
      <c r="D449" s="172"/>
      <c r="E449" s="172"/>
      <c r="G449" s="173"/>
      <c r="H449" s="173"/>
      <c r="I449" s="173"/>
      <c r="M449" s="173"/>
      <c r="R449" s="174"/>
      <c r="S449" s="174"/>
      <c r="T449" s="90"/>
      <c r="U449" s="176"/>
      <c r="V449" s="176"/>
      <c r="W449" s="176"/>
      <c r="X449" s="176"/>
      <c r="Y449" s="176"/>
      <c r="Z449" s="177"/>
      <c r="AA449" s="176"/>
      <c r="AB449" s="176"/>
      <c r="AC449" s="176"/>
      <c r="AD449" s="178"/>
      <c r="AF449" s="179"/>
      <c r="AG449" s="179"/>
      <c r="AI449" s="180"/>
      <c r="AJ449" s="180"/>
      <c r="AK449" s="180"/>
      <c r="AL449" s="180"/>
      <c r="AM449" s="181"/>
      <c r="AN449" s="180"/>
      <c r="AO449" s="180"/>
      <c r="AP449" s="180"/>
    </row>
    <row r="450">
      <c r="D450" s="172"/>
      <c r="E450" s="172"/>
      <c r="G450" s="173"/>
      <c r="H450" s="173"/>
      <c r="I450" s="173"/>
      <c r="M450" s="173"/>
      <c r="R450" s="174"/>
      <c r="S450" s="174"/>
      <c r="T450" s="90"/>
      <c r="U450" s="176"/>
      <c r="V450" s="176"/>
      <c r="W450" s="176"/>
      <c r="X450" s="176"/>
      <c r="Y450" s="176"/>
      <c r="Z450" s="177"/>
      <c r="AA450" s="176"/>
      <c r="AB450" s="176"/>
      <c r="AC450" s="176"/>
      <c r="AD450" s="178"/>
      <c r="AF450" s="179"/>
      <c r="AG450" s="179"/>
      <c r="AI450" s="180"/>
      <c r="AJ450" s="180"/>
      <c r="AK450" s="180"/>
      <c r="AL450" s="180"/>
      <c r="AM450" s="181"/>
      <c r="AN450" s="180"/>
      <c r="AO450" s="180"/>
      <c r="AP450" s="180"/>
    </row>
    <row r="451">
      <c r="D451" s="172"/>
      <c r="E451" s="172"/>
      <c r="G451" s="173"/>
      <c r="H451" s="173"/>
      <c r="I451" s="173"/>
      <c r="M451" s="173"/>
      <c r="R451" s="174"/>
      <c r="S451" s="174"/>
      <c r="T451" s="90"/>
      <c r="U451" s="176"/>
      <c r="V451" s="176"/>
      <c r="W451" s="176"/>
      <c r="X451" s="176"/>
      <c r="Y451" s="176"/>
      <c r="Z451" s="177"/>
      <c r="AA451" s="176"/>
      <c r="AB451" s="176"/>
      <c r="AC451" s="176"/>
      <c r="AD451" s="178"/>
      <c r="AF451" s="179"/>
      <c r="AG451" s="179"/>
      <c r="AI451" s="180"/>
      <c r="AJ451" s="180"/>
      <c r="AK451" s="180"/>
      <c r="AL451" s="180"/>
      <c r="AM451" s="181"/>
      <c r="AN451" s="180"/>
      <c r="AO451" s="180"/>
      <c r="AP451" s="180"/>
    </row>
    <row r="452">
      <c r="D452" s="172"/>
      <c r="E452" s="172"/>
      <c r="G452" s="173"/>
      <c r="H452" s="173"/>
      <c r="I452" s="173"/>
      <c r="M452" s="173"/>
      <c r="R452" s="174"/>
      <c r="S452" s="174"/>
      <c r="T452" s="90"/>
      <c r="U452" s="176"/>
      <c r="V452" s="176"/>
      <c r="W452" s="176"/>
      <c r="X452" s="176"/>
      <c r="Y452" s="176"/>
      <c r="Z452" s="177"/>
      <c r="AA452" s="176"/>
      <c r="AB452" s="176"/>
      <c r="AC452" s="176"/>
      <c r="AD452" s="178"/>
      <c r="AF452" s="179"/>
      <c r="AG452" s="179"/>
      <c r="AI452" s="180"/>
      <c r="AJ452" s="180"/>
      <c r="AK452" s="180"/>
      <c r="AL452" s="180"/>
      <c r="AM452" s="181"/>
      <c r="AN452" s="180"/>
      <c r="AO452" s="180"/>
      <c r="AP452" s="180"/>
    </row>
    <row r="453">
      <c r="D453" s="172"/>
      <c r="E453" s="172"/>
      <c r="G453" s="173"/>
      <c r="H453" s="173"/>
      <c r="I453" s="173"/>
      <c r="M453" s="173"/>
      <c r="R453" s="174"/>
      <c r="S453" s="174"/>
      <c r="T453" s="90"/>
      <c r="U453" s="176"/>
      <c r="V453" s="176"/>
      <c r="W453" s="176"/>
      <c r="X453" s="176"/>
      <c r="Y453" s="176"/>
      <c r="Z453" s="177"/>
      <c r="AA453" s="176"/>
      <c r="AB453" s="176"/>
      <c r="AC453" s="176"/>
      <c r="AD453" s="178"/>
      <c r="AF453" s="179"/>
      <c r="AG453" s="179"/>
      <c r="AI453" s="180"/>
      <c r="AJ453" s="180"/>
      <c r="AK453" s="180"/>
      <c r="AL453" s="180"/>
      <c r="AM453" s="181"/>
      <c r="AN453" s="180"/>
      <c r="AO453" s="180"/>
      <c r="AP453" s="180"/>
    </row>
    <row r="454">
      <c r="D454" s="172"/>
      <c r="E454" s="172"/>
      <c r="G454" s="173"/>
      <c r="H454" s="173"/>
      <c r="I454" s="173"/>
      <c r="M454" s="173"/>
      <c r="R454" s="174"/>
      <c r="S454" s="174"/>
      <c r="T454" s="90"/>
      <c r="U454" s="176"/>
      <c r="V454" s="176"/>
      <c r="W454" s="176"/>
      <c r="X454" s="176"/>
      <c r="Y454" s="176"/>
      <c r="Z454" s="177"/>
      <c r="AA454" s="176"/>
      <c r="AB454" s="176"/>
      <c r="AC454" s="176"/>
      <c r="AD454" s="178"/>
      <c r="AF454" s="179"/>
      <c r="AG454" s="179"/>
      <c r="AI454" s="180"/>
      <c r="AJ454" s="180"/>
      <c r="AK454" s="180"/>
      <c r="AL454" s="180"/>
      <c r="AM454" s="181"/>
      <c r="AN454" s="180"/>
      <c r="AO454" s="180"/>
      <c r="AP454" s="180"/>
    </row>
    <row r="455">
      <c r="D455" s="172"/>
      <c r="E455" s="172"/>
      <c r="G455" s="173"/>
      <c r="H455" s="173"/>
      <c r="I455" s="173"/>
      <c r="M455" s="173"/>
      <c r="R455" s="174"/>
      <c r="S455" s="174"/>
      <c r="T455" s="90"/>
      <c r="U455" s="176"/>
      <c r="V455" s="176"/>
      <c r="W455" s="176"/>
      <c r="X455" s="176"/>
      <c r="Y455" s="176"/>
      <c r="Z455" s="177"/>
      <c r="AA455" s="176"/>
      <c r="AB455" s="176"/>
      <c r="AC455" s="176"/>
      <c r="AD455" s="178"/>
      <c r="AF455" s="179"/>
      <c r="AG455" s="179"/>
      <c r="AI455" s="180"/>
      <c r="AJ455" s="180"/>
      <c r="AK455" s="180"/>
      <c r="AL455" s="180"/>
      <c r="AM455" s="181"/>
      <c r="AN455" s="180"/>
      <c r="AO455" s="180"/>
      <c r="AP455" s="180"/>
    </row>
    <row r="456">
      <c r="D456" s="172"/>
      <c r="E456" s="172"/>
      <c r="G456" s="173"/>
      <c r="H456" s="173"/>
      <c r="I456" s="173"/>
      <c r="M456" s="173"/>
      <c r="R456" s="174"/>
      <c r="S456" s="174"/>
      <c r="T456" s="90"/>
      <c r="U456" s="176"/>
      <c r="V456" s="176"/>
      <c r="W456" s="176"/>
      <c r="X456" s="176"/>
      <c r="Y456" s="176"/>
      <c r="Z456" s="177"/>
      <c r="AA456" s="176"/>
      <c r="AB456" s="176"/>
      <c r="AC456" s="176"/>
      <c r="AD456" s="178"/>
      <c r="AF456" s="179"/>
      <c r="AG456" s="179"/>
      <c r="AI456" s="180"/>
      <c r="AJ456" s="180"/>
      <c r="AK456" s="180"/>
      <c r="AL456" s="180"/>
      <c r="AM456" s="181"/>
      <c r="AN456" s="180"/>
      <c r="AO456" s="180"/>
      <c r="AP456" s="180"/>
    </row>
    <row r="457">
      <c r="D457" s="172"/>
      <c r="E457" s="172"/>
      <c r="G457" s="173"/>
      <c r="H457" s="173"/>
      <c r="I457" s="173"/>
      <c r="M457" s="173"/>
      <c r="R457" s="174"/>
      <c r="S457" s="174"/>
      <c r="T457" s="90"/>
      <c r="U457" s="176"/>
      <c r="V457" s="176"/>
      <c r="W457" s="176"/>
      <c r="X457" s="176"/>
      <c r="Y457" s="176"/>
      <c r="Z457" s="177"/>
      <c r="AA457" s="176"/>
      <c r="AB457" s="176"/>
      <c r="AC457" s="176"/>
      <c r="AD457" s="178"/>
      <c r="AF457" s="179"/>
      <c r="AG457" s="179"/>
      <c r="AI457" s="180"/>
      <c r="AJ457" s="180"/>
      <c r="AK457" s="180"/>
      <c r="AL457" s="180"/>
      <c r="AM457" s="181"/>
      <c r="AN457" s="180"/>
      <c r="AO457" s="180"/>
      <c r="AP457" s="180"/>
    </row>
    <row r="458">
      <c r="D458" s="172"/>
      <c r="E458" s="172"/>
      <c r="G458" s="173"/>
      <c r="H458" s="173"/>
      <c r="I458" s="173"/>
      <c r="M458" s="173"/>
      <c r="R458" s="174"/>
      <c r="S458" s="174"/>
      <c r="T458" s="90"/>
      <c r="U458" s="176"/>
      <c r="V458" s="176"/>
      <c r="W458" s="176"/>
      <c r="X458" s="176"/>
      <c r="Y458" s="176"/>
      <c r="Z458" s="177"/>
      <c r="AA458" s="176"/>
      <c r="AB458" s="176"/>
      <c r="AC458" s="176"/>
      <c r="AD458" s="178"/>
      <c r="AF458" s="179"/>
      <c r="AG458" s="179"/>
      <c r="AI458" s="180"/>
      <c r="AJ458" s="180"/>
      <c r="AK458" s="180"/>
      <c r="AL458" s="180"/>
      <c r="AM458" s="181"/>
      <c r="AN458" s="180"/>
      <c r="AO458" s="180"/>
      <c r="AP458" s="180"/>
    </row>
    <row r="459">
      <c r="D459" s="172"/>
      <c r="E459" s="172"/>
      <c r="G459" s="173"/>
      <c r="H459" s="173"/>
      <c r="I459" s="173"/>
      <c r="M459" s="173"/>
      <c r="R459" s="174"/>
      <c r="S459" s="174"/>
      <c r="T459" s="90"/>
      <c r="U459" s="176"/>
      <c r="V459" s="176"/>
      <c r="W459" s="176"/>
      <c r="X459" s="176"/>
      <c r="Y459" s="176"/>
      <c r="Z459" s="177"/>
      <c r="AA459" s="176"/>
      <c r="AB459" s="176"/>
      <c r="AC459" s="176"/>
      <c r="AD459" s="178"/>
      <c r="AF459" s="179"/>
      <c r="AG459" s="179"/>
      <c r="AI459" s="180"/>
      <c r="AJ459" s="180"/>
      <c r="AK459" s="180"/>
      <c r="AL459" s="180"/>
      <c r="AM459" s="181"/>
      <c r="AN459" s="180"/>
      <c r="AO459" s="180"/>
      <c r="AP459" s="180"/>
    </row>
    <row r="460">
      <c r="D460" s="172"/>
      <c r="E460" s="172"/>
      <c r="G460" s="173"/>
      <c r="H460" s="173"/>
      <c r="I460" s="173"/>
      <c r="M460" s="173"/>
      <c r="R460" s="174"/>
      <c r="S460" s="174"/>
      <c r="T460" s="90"/>
      <c r="U460" s="176"/>
      <c r="V460" s="176"/>
      <c r="W460" s="176"/>
      <c r="X460" s="176"/>
      <c r="Y460" s="176"/>
      <c r="Z460" s="177"/>
      <c r="AA460" s="176"/>
      <c r="AB460" s="176"/>
      <c r="AC460" s="176"/>
      <c r="AD460" s="178"/>
      <c r="AF460" s="179"/>
      <c r="AG460" s="179"/>
      <c r="AI460" s="180"/>
      <c r="AJ460" s="180"/>
      <c r="AK460" s="180"/>
      <c r="AL460" s="180"/>
      <c r="AM460" s="181"/>
      <c r="AN460" s="180"/>
      <c r="AO460" s="180"/>
      <c r="AP460" s="180"/>
    </row>
    <row r="461">
      <c r="D461" s="172"/>
      <c r="E461" s="172"/>
      <c r="G461" s="173"/>
      <c r="H461" s="173"/>
      <c r="I461" s="173"/>
      <c r="M461" s="173"/>
      <c r="R461" s="174"/>
      <c r="S461" s="174"/>
      <c r="T461" s="90"/>
      <c r="U461" s="176"/>
      <c r="V461" s="176"/>
      <c r="W461" s="176"/>
      <c r="X461" s="176"/>
      <c r="Y461" s="176"/>
      <c r="Z461" s="177"/>
      <c r="AA461" s="176"/>
      <c r="AB461" s="176"/>
      <c r="AC461" s="176"/>
      <c r="AD461" s="178"/>
      <c r="AF461" s="179"/>
      <c r="AG461" s="179"/>
      <c r="AI461" s="180"/>
      <c r="AJ461" s="180"/>
      <c r="AK461" s="180"/>
      <c r="AL461" s="180"/>
      <c r="AM461" s="181"/>
      <c r="AN461" s="180"/>
      <c r="AO461" s="180"/>
      <c r="AP461" s="180"/>
    </row>
    <row r="462">
      <c r="D462" s="172"/>
      <c r="E462" s="172"/>
      <c r="G462" s="173"/>
      <c r="H462" s="173"/>
      <c r="I462" s="173"/>
      <c r="M462" s="173"/>
      <c r="R462" s="174"/>
      <c r="S462" s="174"/>
      <c r="T462" s="90"/>
      <c r="U462" s="176"/>
      <c r="V462" s="176"/>
      <c r="W462" s="176"/>
      <c r="X462" s="176"/>
      <c r="Y462" s="176"/>
      <c r="Z462" s="177"/>
      <c r="AA462" s="176"/>
      <c r="AB462" s="176"/>
      <c r="AC462" s="176"/>
      <c r="AD462" s="178"/>
      <c r="AF462" s="179"/>
      <c r="AG462" s="179"/>
      <c r="AI462" s="180"/>
      <c r="AJ462" s="180"/>
      <c r="AK462" s="180"/>
      <c r="AL462" s="180"/>
      <c r="AM462" s="181"/>
      <c r="AN462" s="180"/>
      <c r="AO462" s="180"/>
      <c r="AP462" s="180"/>
    </row>
    <row r="463">
      <c r="D463" s="172"/>
      <c r="E463" s="172"/>
      <c r="G463" s="173"/>
      <c r="H463" s="173"/>
      <c r="I463" s="173"/>
      <c r="M463" s="173"/>
      <c r="R463" s="174"/>
      <c r="S463" s="174"/>
      <c r="T463" s="90"/>
      <c r="U463" s="176"/>
      <c r="V463" s="176"/>
      <c r="W463" s="176"/>
      <c r="X463" s="176"/>
      <c r="Y463" s="176"/>
      <c r="Z463" s="177"/>
      <c r="AA463" s="176"/>
      <c r="AB463" s="176"/>
      <c r="AC463" s="176"/>
      <c r="AD463" s="178"/>
      <c r="AF463" s="179"/>
      <c r="AG463" s="179"/>
      <c r="AI463" s="180"/>
      <c r="AJ463" s="180"/>
      <c r="AK463" s="180"/>
      <c r="AL463" s="180"/>
      <c r="AM463" s="181"/>
      <c r="AN463" s="180"/>
      <c r="AO463" s="180"/>
      <c r="AP463" s="180"/>
    </row>
    <row r="464">
      <c r="D464" s="172"/>
      <c r="E464" s="172"/>
      <c r="G464" s="173"/>
      <c r="H464" s="173"/>
      <c r="I464" s="173"/>
      <c r="M464" s="173"/>
      <c r="R464" s="174"/>
      <c r="S464" s="174"/>
      <c r="T464" s="90"/>
      <c r="U464" s="176"/>
      <c r="V464" s="176"/>
      <c r="W464" s="176"/>
      <c r="X464" s="176"/>
      <c r="Y464" s="176"/>
      <c r="Z464" s="177"/>
      <c r="AA464" s="176"/>
      <c r="AB464" s="176"/>
      <c r="AC464" s="176"/>
      <c r="AD464" s="178"/>
      <c r="AF464" s="179"/>
      <c r="AG464" s="179"/>
      <c r="AI464" s="180"/>
      <c r="AJ464" s="180"/>
      <c r="AK464" s="180"/>
      <c r="AL464" s="180"/>
      <c r="AM464" s="181"/>
      <c r="AN464" s="180"/>
      <c r="AO464" s="180"/>
      <c r="AP464" s="180"/>
    </row>
    <row r="465">
      <c r="D465" s="172"/>
      <c r="E465" s="172"/>
      <c r="G465" s="173"/>
      <c r="H465" s="173"/>
      <c r="I465" s="173"/>
      <c r="M465" s="173"/>
      <c r="R465" s="174"/>
      <c r="S465" s="174"/>
      <c r="T465" s="90"/>
      <c r="U465" s="176"/>
      <c r="V465" s="176"/>
      <c r="W465" s="176"/>
      <c r="X465" s="176"/>
      <c r="Y465" s="176"/>
      <c r="Z465" s="177"/>
      <c r="AA465" s="176"/>
      <c r="AB465" s="176"/>
      <c r="AC465" s="176"/>
      <c r="AD465" s="178"/>
      <c r="AF465" s="179"/>
      <c r="AG465" s="179"/>
      <c r="AI465" s="180"/>
      <c r="AJ465" s="180"/>
      <c r="AK465" s="180"/>
      <c r="AL465" s="180"/>
      <c r="AM465" s="181"/>
      <c r="AN465" s="180"/>
      <c r="AO465" s="180"/>
      <c r="AP465" s="180"/>
    </row>
    <row r="466">
      <c r="D466" s="172"/>
      <c r="E466" s="172"/>
      <c r="G466" s="173"/>
      <c r="H466" s="173"/>
      <c r="I466" s="173"/>
      <c r="M466" s="173"/>
      <c r="R466" s="174"/>
      <c r="S466" s="174"/>
      <c r="T466" s="90"/>
      <c r="U466" s="176"/>
      <c r="V466" s="176"/>
      <c r="W466" s="176"/>
      <c r="X466" s="176"/>
      <c r="Y466" s="176"/>
      <c r="Z466" s="177"/>
      <c r="AA466" s="176"/>
      <c r="AB466" s="176"/>
      <c r="AC466" s="176"/>
      <c r="AD466" s="178"/>
      <c r="AF466" s="179"/>
      <c r="AG466" s="179"/>
      <c r="AI466" s="180"/>
      <c r="AJ466" s="180"/>
      <c r="AK466" s="180"/>
      <c r="AL466" s="180"/>
      <c r="AM466" s="181"/>
      <c r="AN466" s="180"/>
      <c r="AO466" s="180"/>
      <c r="AP466" s="180"/>
    </row>
    <row r="467">
      <c r="D467" s="172"/>
      <c r="E467" s="172"/>
      <c r="G467" s="173"/>
      <c r="H467" s="173"/>
      <c r="I467" s="173"/>
      <c r="M467" s="173"/>
      <c r="R467" s="174"/>
      <c r="S467" s="174"/>
      <c r="T467" s="90"/>
      <c r="U467" s="176"/>
      <c r="V467" s="176"/>
      <c r="W467" s="176"/>
      <c r="X467" s="176"/>
      <c r="Y467" s="176"/>
      <c r="Z467" s="177"/>
      <c r="AA467" s="176"/>
      <c r="AB467" s="176"/>
      <c r="AC467" s="176"/>
      <c r="AD467" s="178"/>
      <c r="AF467" s="179"/>
      <c r="AG467" s="179"/>
      <c r="AI467" s="180"/>
      <c r="AJ467" s="180"/>
      <c r="AK467" s="180"/>
      <c r="AL467" s="180"/>
      <c r="AM467" s="181"/>
      <c r="AN467" s="180"/>
      <c r="AO467" s="180"/>
      <c r="AP467" s="180"/>
    </row>
    <row r="468">
      <c r="D468" s="172"/>
      <c r="E468" s="172"/>
      <c r="G468" s="173"/>
      <c r="H468" s="173"/>
      <c r="I468" s="173"/>
      <c r="M468" s="173"/>
      <c r="R468" s="174"/>
      <c r="S468" s="174"/>
      <c r="T468" s="90"/>
      <c r="U468" s="176"/>
      <c r="V468" s="176"/>
      <c r="W468" s="176"/>
      <c r="X468" s="176"/>
      <c r="Y468" s="176"/>
      <c r="Z468" s="177"/>
      <c r="AA468" s="176"/>
      <c r="AB468" s="176"/>
      <c r="AC468" s="176"/>
      <c r="AD468" s="178"/>
      <c r="AF468" s="179"/>
      <c r="AG468" s="179"/>
      <c r="AI468" s="180"/>
      <c r="AJ468" s="180"/>
      <c r="AK468" s="180"/>
      <c r="AL468" s="180"/>
      <c r="AM468" s="181"/>
      <c r="AN468" s="180"/>
      <c r="AO468" s="180"/>
      <c r="AP468" s="180"/>
    </row>
    <row r="469">
      <c r="D469" s="172"/>
      <c r="E469" s="172"/>
      <c r="G469" s="173"/>
      <c r="H469" s="173"/>
      <c r="I469" s="173"/>
      <c r="M469" s="173"/>
      <c r="R469" s="174"/>
      <c r="S469" s="174"/>
      <c r="T469" s="90"/>
      <c r="U469" s="176"/>
      <c r="V469" s="176"/>
      <c r="W469" s="176"/>
      <c r="X469" s="176"/>
      <c r="Y469" s="176"/>
      <c r="Z469" s="177"/>
      <c r="AA469" s="176"/>
      <c r="AB469" s="176"/>
      <c r="AC469" s="176"/>
      <c r="AD469" s="178"/>
      <c r="AF469" s="179"/>
      <c r="AG469" s="179"/>
      <c r="AI469" s="180"/>
      <c r="AJ469" s="180"/>
      <c r="AK469" s="180"/>
      <c r="AL469" s="180"/>
      <c r="AM469" s="181"/>
      <c r="AN469" s="180"/>
      <c r="AO469" s="180"/>
      <c r="AP469" s="180"/>
    </row>
    <row r="470">
      <c r="D470" s="172"/>
      <c r="E470" s="172"/>
      <c r="G470" s="173"/>
      <c r="H470" s="173"/>
      <c r="I470" s="173"/>
      <c r="M470" s="173"/>
      <c r="R470" s="174"/>
      <c r="S470" s="174"/>
      <c r="T470" s="90"/>
      <c r="U470" s="176"/>
      <c r="V470" s="176"/>
      <c r="W470" s="176"/>
      <c r="X470" s="176"/>
      <c r="Y470" s="176"/>
      <c r="Z470" s="177"/>
      <c r="AA470" s="176"/>
      <c r="AB470" s="176"/>
      <c r="AC470" s="176"/>
      <c r="AD470" s="178"/>
      <c r="AF470" s="179"/>
      <c r="AG470" s="179"/>
      <c r="AI470" s="180"/>
      <c r="AJ470" s="180"/>
      <c r="AK470" s="180"/>
      <c r="AL470" s="180"/>
      <c r="AM470" s="181"/>
      <c r="AN470" s="180"/>
      <c r="AO470" s="180"/>
      <c r="AP470" s="180"/>
    </row>
    <row r="471">
      <c r="D471" s="172"/>
      <c r="E471" s="172"/>
      <c r="G471" s="173"/>
      <c r="H471" s="173"/>
      <c r="I471" s="173"/>
      <c r="M471" s="173"/>
      <c r="R471" s="174"/>
      <c r="S471" s="174"/>
      <c r="T471" s="90"/>
      <c r="U471" s="176"/>
      <c r="V471" s="176"/>
      <c r="W471" s="176"/>
      <c r="X471" s="176"/>
      <c r="Y471" s="176"/>
      <c r="Z471" s="177"/>
      <c r="AA471" s="176"/>
      <c r="AB471" s="176"/>
      <c r="AC471" s="176"/>
      <c r="AD471" s="178"/>
      <c r="AF471" s="179"/>
      <c r="AG471" s="179"/>
      <c r="AI471" s="180"/>
      <c r="AJ471" s="180"/>
      <c r="AK471" s="180"/>
      <c r="AL471" s="180"/>
      <c r="AM471" s="181"/>
      <c r="AN471" s="180"/>
      <c r="AO471" s="180"/>
      <c r="AP471" s="180"/>
    </row>
    <row r="472">
      <c r="D472" s="172"/>
      <c r="E472" s="172"/>
      <c r="G472" s="173"/>
      <c r="H472" s="173"/>
      <c r="I472" s="173"/>
      <c r="M472" s="173"/>
      <c r="R472" s="174"/>
      <c r="S472" s="174"/>
      <c r="T472" s="90"/>
      <c r="U472" s="176"/>
      <c r="V472" s="176"/>
      <c r="W472" s="176"/>
      <c r="X472" s="176"/>
      <c r="Y472" s="176"/>
      <c r="Z472" s="177"/>
      <c r="AA472" s="176"/>
      <c r="AB472" s="176"/>
      <c r="AC472" s="176"/>
      <c r="AD472" s="178"/>
      <c r="AF472" s="179"/>
      <c r="AG472" s="179"/>
      <c r="AI472" s="180"/>
      <c r="AJ472" s="180"/>
      <c r="AK472" s="180"/>
      <c r="AL472" s="180"/>
      <c r="AM472" s="181"/>
      <c r="AN472" s="180"/>
      <c r="AO472" s="180"/>
      <c r="AP472" s="180"/>
    </row>
    <row r="473">
      <c r="D473" s="172"/>
      <c r="E473" s="172"/>
      <c r="G473" s="173"/>
      <c r="H473" s="173"/>
      <c r="I473" s="173"/>
      <c r="M473" s="173"/>
      <c r="R473" s="174"/>
      <c r="S473" s="174"/>
      <c r="T473" s="90"/>
      <c r="U473" s="176"/>
      <c r="V473" s="176"/>
      <c r="W473" s="176"/>
      <c r="X473" s="176"/>
      <c r="Y473" s="176"/>
      <c r="Z473" s="177"/>
      <c r="AA473" s="176"/>
      <c r="AB473" s="176"/>
      <c r="AC473" s="176"/>
      <c r="AD473" s="178"/>
      <c r="AF473" s="179"/>
      <c r="AG473" s="179"/>
      <c r="AI473" s="180"/>
      <c r="AJ473" s="180"/>
      <c r="AK473" s="180"/>
      <c r="AL473" s="180"/>
      <c r="AM473" s="181"/>
      <c r="AN473" s="180"/>
      <c r="AO473" s="180"/>
      <c r="AP473" s="180"/>
    </row>
    <row r="474">
      <c r="D474" s="172"/>
      <c r="E474" s="172"/>
      <c r="G474" s="173"/>
      <c r="H474" s="173"/>
      <c r="I474" s="173"/>
      <c r="M474" s="173"/>
      <c r="R474" s="174"/>
      <c r="S474" s="174"/>
      <c r="T474" s="90"/>
      <c r="U474" s="176"/>
      <c r="V474" s="176"/>
      <c r="W474" s="176"/>
      <c r="X474" s="176"/>
      <c r="Y474" s="176"/>
      <c r="Z474" s="177"/>
      <c r="AA474" s="176"/>
      <c r="AB474" s="176"/>
      <c r="AC474" s="176"/>
      <c r="AD474" s="178"/>
      <c r="AF474" s="179"/>
      <c r="AG474" s="179"/>
      <c r="AI474" s="180"/>
      <c r="AJ474" s="180"/>
      <c r="AK474" s="180"/>
      <c r="AL474" s="180"/>
      <c r="AM474" s="181"/>
      <c r="AN474" s="180"/>
      <c r="AO474" s="180"/>
      <c r="AP474" s="180"/>
    </row>
    <row r="475">
      <c r="D475" s="172"/>
      <c r="E475" s="172"/>
      <c r="G475" s="173"/>
      <c r="H475" s="173"/>
      <c r="I475" s="173"/>
      <c r="M475" s="173"/>
      <c r="R475" s="174"/>
      <c r="S475" s="174"/>
      <c r="T475" s="90"/>
      <c r="U475" s="176"/>
      <c r="V475" s="176"/>
      <c r="W475" s="176"/>
      <c r="X475" s="176"/>
      <c r="Y475" s="176"/>
      <c r="Z475" s="177"/>
      <c r="AA475" s="176"/>
      <c r="AB475" s="176"/>
      <c r="AC475" s="176"/>
      <c r="AD475" s="178"/>
      <c r="AF475" s="179"/>
      <c r="AG475" s="179"/>
      <c r="AI475" s="180"/>
      <c r="AJ475" s="180"/>
      <c r="AK475" s="180"/>
      <c r="AL475" s="180"/>
      <c r="AM475" s="181"/>
      <c r="AN475" s="180"/>
      <c r="AO475" s="180"/>
      <c r="AP475" s="180"/>
    </row>
    <row r="476">
      <c r="D476" s="172"/>
      <c r="E476" s="172"/>
      <c r="G476" s="173"/>
      <c r="H476" s="173"/>
      <c r="I476" s="173"/>
      <c r="M476" s="173"/>
      <c r="R476" s="174"/>
      <c r="S476" s="174"/>
      <c r="T476" s="90"/>
      <c r="U476" s="176"/>
      <c r="V476" s="176"/>
      <c r="W476" s="176"/>
      <c r="X476" s="176"/>
      <c r="Y476" s="176"/>
      <c r="Z476" s="177"/>
      <c r="AA476" s="176"/>
      <c r="AB476" s="176"/>
      <c r="AC476" s="176"/>
      <c r="AD476" s="178"/>
      <c r="AF476" s="179"/>
      <c r="AG476" s="179"/>
      <c r="AI476" s="180"/>
      <c r="AJ476" s="180"/>
      <c r="AK476" s="180"/>
      <c r="AL476" s="180"/>
      <c r="AM476" s="181"/>
      <c r="AN476" s="180"/>
      <c r="AO476" s="180"/>
      <c r="AP476" s="180"/>
    </row>
    <row r="477">
      <c r="D477" s="172"/>
      <c r="E477" s="172"/>
      <c r="G477" s="173"/>
      <c r="H477" s="173"/>
      <c r="I477" s="173"/>
      <c r="M477" s="173"/>
      <c r="R477" s="174"/>
      <c r="S477" s="174"/>
      <c r="T477" s="90"/>
      <c r="U477" s="176"/>
      <c r="V477" s="176"/>
      <c r="W477" s="176"/>
      <c r="X477" s="176"/>
      <c r="Y477" s="176"/>
      <c r="Z477" s="177"/>
      <c r="AA477" s="176"/>
      <c r="AB477" s="176"/>
      <c r="AC477" s="176"/>
      <c r="AD477" s="178"/>
      <c r="AF477" s="179"/>
      <c r="AG477" s="179"/>
      <c r="AI477" s="180"/>
      <c r="AJ477" s="180"/>
      <c r="AK477" s="180"/>
      <c r="AL477" s="180"/>
      <c r="AM477" s="181"/>
      <c r="AN477" s="180"/>
      <c r="AO477" s="180"/>
      <c r="AP477" s="180"/>
    </row>
    <row r="478">
      <c r="D478" s="172"/>
      <c r="E478" s="172"/>
      <c r="G478" s="173"/>
      <c r="H478" s="173"/>
      <c r="I478" s="173"/>
      <c r="M478" s="173"/>
      <c r="R478" s="174"/>
      <c r="S478" s="174"/>
      <c r="T478" s="90"/>
      <c r="U478" s="176"/>
      <c r="V478" s="176"/>
      <c r="W478" s="176"/>
      <c r="X478" s="176"/>
      <c r="Y478" s="176"/>
      <c r="Z478" s="177"/>
      <c r="AA478" s="176"/>
      <c r="AB478" s="176"/>
      <c r="AC478" s="176"/>
      <c r="AD478" s="178"/>
      <c r="AF478" s="179"/>
      <c r="AG478" s="179"/>
      <c r="AI478" s="180"/>
      <c r="AJ478" s="180"/>
      <c r="AK478" s="180"/>
      <c r="AL478" s="180"/>
      <c r="AM478" s="181"/>
      <c r="AN478" s="180"/>
      <c r="AO478" s="180"/>
      <c r="AP478" s="180"/>
    </row>
    <row r="479">
      <c r="D479" s="172"/>
      <c r="E479" s="172"/>
      <c r="G479" s="173"/>
      <c r="H479" s="173"/>
      <c r="I479" s="173"/>
      <c r="M479" s="173"/>
      <c r="R479" s="174"/>
      <c r="S479" s="174"/>
      <c r="T479" s="90"/>
      <c r="U479" s="176"/>
      <c r="V479" s="176"/>
      <c r="W479" s="176"/>
      <c r="X479" s="176"/>
      <c r="Y479" s="176"/>
      <c r="Z479" s="177"/>
      <c r="AA479" s="176"/>
      <c r="AB479" s="176"/>
      <c r="AC479" s="176"/>
      <c r="AD479" s="178"/>
      <c r="AF479" s="179"/>
      <c r="AG479" s="179"/>
      <c r="AI479" s="180"/>
      <c r="AJ479" s="180"/>
      <c r="AK479" s="180"/>
      <c r="AL479" s="180"/>
      <c r="AM479" s="181"/>
      <c r="AN479" s="180"/>
      <c r="AO479" s="180"/>
      <c r="AP479" s="180"/>
    </row>
    <row r="480">
      <c r="D480" s="172"/>
      <c r="E480" s="172"/>
      <c r="G480" s="173"/>
      <c r="H480" s="173"/>
      <c r="I480" s="173"/>
      <c r="M480" s="173"/>
      <c r="R480" s="174"/>
      <c r="S480" s="174"/>
      <c r="T480" s="90"/>
      <c r="U480" s="176"/>
      <c r="V480" s="176"/>
      <c r="W480" s="176"/>
      <c r="X480" s="176"/>
      <c r="Y480" s="176"/>
      <c r="Z480" s="177"/>
      <c r="AA480" s="176"/>
      <c r="AB480" s="176"/>
      <c r="AC480" s="176"/>
      <c r="AD480" s="178"/>
      <c r="AF480" s="179"/>
      <c r="AG480" s="179"/>
      <c r="AI480" s="180"/>
      <c r="AJ480" s="180"/>
      <c r="AK480" s="180"/>
      <c r="AL480" s="180"/>
      <c r="AM480" s="181"/>
      <c r="AN480" s="180"/>
      <c r="AO480" s="180"/>
      <c r="AP480" s="180"/>
    </row>
    <row r="481">
      <c r="D481" s="172"/>
      <c r="E481" s="172"/>
      <c r="G481" s="173"/>
      <c r="H481" s="173"/>
      <c r="I481" s="173"/>
      <c r="M481" s="173"/>
      <c r="R481" s="174"/>
      <c r="S481" s="174"/>
      <c r="T481" s="90"/>
      <c r="U481" s="176"/>
      <c r="V481" s="176"/>
      <c r="W481" s="176"/>
      <c r="X481" s="176"/>
      <c r="Y481" s="176"/>
      <c r="Z481" s="177"/>
      <c r="AA481" s="176"/>
      <c r="AB481" s="176"/>
      <c r="AC481" s="176"/>
      <c r="AD481" s="178"/>
      <c r="AF481" s="179"/>
      <c r="AG481" s="179"/>
      <c r="AI481" s="180"/>
      <c r="AJ481" s="180"/>
      <c r="AK481" s="180"/>
      <c r="AL481" s="180"/>
      <c r="AM481" s="181"/>
      <c r="AN481" s="180"/>
      <c r="AO481" s="180"/>
      <c r="AP481" s="180"/>
    </row>
    <row r="482">
      <c r="D482" s="172"/>
      <c r="E482" s="172"/>
      <c r="G482" s="173"/>
      <c r="H482" s="173"/>
      <c r="I482" s="173"/>
      <c r="M482" s="173"/>
      <c r="R482" s="174"/>
      <c r="S482" s="174"/>
      <c r="T482" s="90"/>
      <c r="U482" s="176"/>
      <c r="V482" s="176"/>
      <c r="W482" s="176"/>
      <c r="X482" s="176"/>
      <c r="Y482" s="176"/>
      <c r="Z482" s="177"/>
      <c r="AA482" s="176"/>
      <c r="AB482" s="176"/>
      <c r="AC482" s="176"/>
      <c r="AD482" s="178"/>
      <c r="AF482" s="179"/>
      <c r="AG482" s="179"/>
      <c r="AI482" s="180"/>
      <c r="AJ482" s="180"/>
      <c r="AK482" s="180"/>
      <c r="AL482" s="180"/>
      <c r="AM482" s="181"/>
      <c r="AN482" s="180"/>
      <c r="AO482" s="180"/>
      <c r="AP482" s="180"/>
    </row>
    <row r="483">
      <c r="D483" s="172"/>
      <c r="E483" s="172"/>
      <c r="G483" s="173"/>
      <c r="H483" s="173"/>
      <c r="I483" s="173"/>
      <c r="M483" s="173"/>
      <c r="R483" s="174"/>
      <c r="S483" s="174"/>
      <c r="T483" s="90"/>
      <c r="U483" s="176"/>
      <c r="V483" s="176"/>
      <c r="W483" s="176"/>
      <c r="X483" s="176"/>
      <c r="Y483" s="176"/>
      <c r="Z483" s="177"/>
      <c r="AA483" s="176"/>
      <c r="AB483" s="176"/>
      <c r="AC483" s="176"/>
      <c r="AD483" s="178"/>
      <c r="AF483" s="179"/>
      <c r="AG483" s="179"/>
      <c r="AI483" s="180"/>
      <c r="AJ483" s="180"/>
      <c r="AK483" s="180"/>
      <c r="AL483" s="180"/>
      <c r="AM483" s="181"/>
      <c r="AN483" s="180"/>
      <c r="AO483" s="180"/>
      <c r="AP483" s="180"/>
    </row>
    <row r="484">
      <c r="D484" s="172"/>
      <c r="E484" s="172"/>
      <c r="G484" s="173"/>
      <c r="H484" s="173"/>
      <c r="I484" s="173"/>
      <c r="M484" s="173"/>
      <c r="R484" s="174"/>
      <c r="S484" s="174"/>
      <c r="T484" s="90"/>
      <c r="U484" s="176"/>
      <c r="V484" s="176"/>
      <c r="W484" s="176"/>
      <c r="X484" s="176"/>
      <c r="Y484" s="176"/>
      <c r="Z484" s="177"/>
      <c r="AA484" s="176"/>
      <c r="AB484" s="176"/>
      <c r="AC484" s="176"/>
      <c r="AD484" s="178"/>
      <c r="AF484" s="179"/>
      <c r="AG484" s="179"/>
      <c r="AI484" s="180"/>
      <c r="AJ484" s="180"/>
      <c r="AK484" s="180"/>
      <c r="AL484" s="180"/>
      <c r="AM484" s="181"/>
      <c r="AN484" s="180"/>
      <c r="AO484" s="180"/>
      <c r="AP484" s="180"/>
    </row>
    <row r="485">
      <c r="D485" s="172"/>
      <c r="E485" s="172"/>
      <c r="G485" s="173"/>
      <c r="H485" s="173"/>
      <c r="I485" s="173"/>
      <c r="M485" s="173"/>
      <c r="R485" s="174"/>
      <c r="S485" s="174"/>
      <c r="T485" s="90"/>
      <c r="U485" s="176"/>
      <c r="V485" s="176"/>
      <c r="W485" s="176"/>
      <c r="X485" s="176"/>
      <c r="Y485" s="176"/>
      <c r="Z485" s="177"/>
      <c r="AA485" s="176"/>
      <c r="AB485" s="176"/>
      <c r="AC485" s="176"/>
      <c r="AD485" s="178"/>
      <c r="AF485" s="179"/>
      <c r="AG485" s="179"/>
      <c r="AI485" s="180"/>
      <c r="AJ485" s="180"/>
      <c r="AK485" s="180"/>
      <c r="AL485" s="180"/>
      <c r="AM485" s="181"/>
      <c r="AN485" s="180"/>
      <c r="AO485" s="180"/>
      <c r="AP485" s="180"/>
    </row>
    <row r="486">
      <c r="D486" s="172"/>
      <c r="E486" s="172"/>
      <c r="G486" s="173"/>
      <c r="H486" s="173"/>
      <c r="I486" s="173"/>
      <c r="M486" s="173"/>
      <c r="R486" s="174"/>
      <c r="S486" s="174"/>
      <c r="T486" s="90"/>
      <c r="U486" s="176"/>
      <c r="V486" s="176"/>
      <c r="W486" s="176"/>
      <c r="X486" s="176"/>
      <c r="Y486" s="176"/>
      <c r="Z486" s="177"/>
      <c r="AA486" s="176"/>
      <c r="AB486" s="176"/>
      <c r="AC486" s="176"/>
      <c r="AD486" s="178"/>
      <c r="AF486" s="179"/>
      <c r="AG486" s="179"/>
      <c r="AI486" s="180"/>
      <c r="AJ486" s="180"/>
      <c r="AK486" s="180"/>
      <c r="AL486" s="180"/>
      <c r="AM486" s="181"/>
      <c r="AN486" s="180"/>
      <c r="AO486" s="180"/>
      <c r="AP486" s="180"/>
    </row>
    <row r="487">
      <c r="D487" s="172"/>
      <c r="E487" s="172"/>
      <c r="G487" s="173"/>
      <c r="H487" s="173"/>
      <c r="I487" s="173"/>
      <c r="M487" s="173"/>
      <c r="R487" s="174"/>
      <c r="S487" s="174"/>
      <c r="T487" s="90"/>
      <c r="U487" s="176"/>
      <c r="V487" s="176"/>
      <c r="W487" s="176"/>
      <c r="X487" s="176"/>
      <c r="Y487" s="176"/>
      <c r="Z487" s="177"/>
      <c r="AA487" s="176"/>
      <c r="AB487" s="176"/>
      <c r="AC487" s="176"/>
      <c r="AD487" s="178"/>
      <c r="AF487" s="179"/>
      <c r="AG487" s="179"/>
      <c r="AI487" s="180"/>
      <c r="AJ487" s="180"/>
      <c r="AK487" s="180"/>
      <c r="AL487" s="180"/>
      <c r="AM487" s="181"/>
      <c r="AN487" s="180"/>
      <c r="AO487" s="180"/>
      <c r="AP487" s="180"/>
    </row>
    <row r="488">
      <c r="D488" s="172"/>
      <c r="E488" s="172"/>
      <c r="G488" s="173"/>
      <c r="H488" s="173"/>
      <c r="I488" s="173"/>
      <c r="M488" s="173"/>
      <c r="R488" s="174"/>
      <c r="S488" s="174"/>
      <c r="T488" s="90"/>
      <c r="U488" s="176"/>
      <c r="V488" s="176"/>
      <c r="W488" s="176"/>
      <c r="X488" s="176"/>
      <c r="Y488" s="176"/>
      <c r="Z488" s="177"/>
      <c r="AA488" s="176"/>
      <c r="AB488" s="176"/>
      <c r="AC488" s="176"/>
      <c r="AD488" s="178"/>
      <c r="AF488" s="179"/>
      <c r="AG488" s="179"/>
      <c r="AI488" s="180"/>
      <c r="AJ488" s="180"/>
      <c r="AK488" s="180"/>
      <c r="AL488" s="180"/>
      <c r="AM488" s="181"/>
      <c r="AN488" s="180"/>
      <c r="AO488" s="180"/>
      <c r="AP488" s="180"/>
    </row>
    <row r="489">
      <c r="D489" s="172"/>
      <c r="E489" s="172"/>
      <c r="G489" s="173"/>
      <c r="H489" s="173"/>
      <c r="I489" s="173"/>
      <c r="M489" s="173"/>
      <c r="R489" s="174"/>
      <c r="S489" s="174"/>
      <c r="T489" s="90"/>
      <c r="U489" s="176"/>
      <c r="V489" s="176"/>
      <c r="W489" s="176"/>
      <c r="X489" s="176"/>
      <c r="Y489" s="176"/>
      <c r="Z489" s="177"/>
      <c r="AA489" s="176"/>
      <c r="AB489" s="176"/>
      <c r="AC489" s="176"/>
      <c r="AD489" s="178"/>
      <c r="AF489" s="179"/>
      <c r="AG489" s="179"/>
      <c r="AI489" s="180"/>
      <c r="AJ489" s="180"/>
      <c r="AK489" s="180"/>
      <c r="AL489" s="180"/>
      <c r="AM489" s="181"/>
      <c r="AN489" s="180"/>
      <c r="AO489" s="180"/>
      <c r="AP489" s="180"/>
    </row>
    <row r="490">
      <c r="D490" s="172"/>
      <c r="E490" s="172"/>
      <c r="G490" s="173"/>
      <c r="H490" s="173"/>
      <c r="I490" s="173"/>
      <c r="M490" s="173"/>
      <c r="R490" s="174"/>
      <c r="S490" s="174"/>
      <c r="T490" s="90"/>
      <c r="U490" s="176"/>
      <c r="V490" s="176"/>
      <c r="W490" s="176"/>
      <c r="X490" s="176"/>
      <c r="Y490" s="176"/>
      <c r="Z490" s="177"/>
      <c r="AA490" s="176"/>
      <c r="AB490" s="176"/>
      <c r="AC490" s="176"/>
      <c r="AD490" s="178"/>
      <c r="AF490" s="179"/>
      <c r="AG490" s="179"/>
      <c r="AI490" s="180"/>
      <c r="AJ490" s="180"/>
      <c r="AK490" s="180"/>
      <c r="AL490" s="180"/>
      <c r="AM490" s="181"/>
      <c r="AN490" s="180"/>
      <c r="AO490" s="180"/>
      <c r="AP490" s="180"/>
    </row>
    <row r="491">
      <c r="D491" s="172"/>
      <c r="E491" s="172"/>
      <c r="G491" s="173"/>
      <c r="H491" s="173"/>
      <c r="I491" s="173"/>
      <c r="M491" s="173"/>
      <c r="R491" s="174"/>
      <c r="S491" s="174"/>
      <c r="T491" s="90"/>
      <c r="U491" s="176"/>
      <c r="V491" s="176"/>
      <c r="W491" s="176"/>
      <c r="X491" s="176"/>
      <c r="Y491" s="176"/>
      <c r="Z491" s="177"/>
      <c r="AA491" s="176"/>
      <c r="AB491" s="176"/>
      <c r="AC491" s="176"/>
      <c r="AD491" s="178"/>
      <c r="AF491" s="179"/>
      <c r="AG491" s="179"/>
      <c r="AI491" s="180"/>
      <c r="AJ491" s="180"/>
      <c r="AK491" s="180"/>
      <c r="AL491" s="180"/>
      <c r="AM491" s="181"/>
      <c r="AN491" s="180"/>
      <c r="AO491" s="180"/>
      <c r="AP491" s="180"/>
    </row>
    <row r="492">
      <c r="D492" s="172"/>
      <c r="E492" s="172"/>
      <c r="G492" s="173"/>
      <c r="H492" s="173"/>
      <c r="I492" s="173"/>
      <c r="M492" s="173"/>
      <c r="R492" s="174"/>
      <c r="S492" s="174"/>
      <c r="T492" s="90"/>
      <c r="U492" s="176"/>
      <c r="V492" s="176"/>
      <c r="W492" s="176"/>
      <c r="X492" s="176"/>
      <c r="Y492" s="176"/>
      <c r="Z492" s="177"/>
      <c r="AA492" s="176"/>
      <c r="AB492" s="176"/>
      <c r="AC492" s="176"/>
      <c r="AD492" s="178"/>
      <c r="AF492" s="179"/>
      <c r="AG492" s="179"/>
      <c r="AI492" s="180"/>
      <c r="AJ492" s="180"/>
      <c r="AK492" s="180"/>
      <c r="AL492" s="180"/>
      <c r="AM492" s="181"/>
      <c r="AN492" s="180"/>
      <c r="AO492" s="180"/>
      <c r="AP492" s="180"/>
    </row>
    <row r="493">
      <c r="D493" s="172"/>
      <c r="E493" s="172"/>
      <c r="G493" s="173"/>
      <c r="H493" s="173"/>
      <c r="I493" s="173"/>
      <c r="M493" s="173"/>
      <c r="R493" s="174"/>
      <c r="S493" s="174"/>
      <c r="T493" s="90"/>
      <c r="U493" s="176"/>
      <c r="V493" s="176"/>
      <c r="W493" s="176"/>
      <c r="X493" s="176"/>
      <c r="Y493" s="176"/>
      <c r="Z493" s="177"/>
      <c r="AA493" s="176"/>
      <c r="AB493" s="176"/>
      <c r="AC493" s="176"/>
      <c r="AD493" s="178"/>
      <c r="AF493" s="179"/>
      <c r="AG493" s="179"/>
      <c r="AI493" s="180"/>
      <c r="AJ493" s="180"/>
      <c r="AK493" s="180"/>
      <c r="AL493" s="180"/>
      <c r="AM493" s="181"/>
      <c r="AN493" s="180"/>
      <c r="AO493" s="180"/>
      <c r="AP493" s="180"/>
    </row>
    <row r="494">
      <c r="D494" s="172"/>
      <c r="E494" s="172"/>
      <c r="G494" s="173"/>
      <c r="H494" s="173"/>
      <c r="I494" s="173"/>
      <c r="M494" s="173"/>
      <c r="R494" s="174"/>
      <c r="S494" s="174"/>
      <c r="T494" s="90"/>
      <c r="U494" s="176"/>
      <c r="V494" s="176"/>
      <c r="W494" s="176"/>
      <c r="X494" s="176"/>
      <c r="Y494" s="176"/>
      <c r="Z494" s="177"/>
      <c r="AA494" s="176"/>
      <c r="AB494" s="176"/>
      <c r="AC494" s="176"/>
      <c r="AD494" s="178"/>
      <c r="AF494" s="179"/>
      <c r="AG494" s="179"/>
      <c r="AI494" s="180"/>
      <c r="AJ494" s="180"/>
      <c r="AK494" s="180"/>
      <c r="AL494" s="180"/>
      <c r="AM494" s="181"/>
      <c r="AN494" s="180"/>
      <c r="AO494" s="180"/>
      <c r="AP494" s="180"/>
    </row>
    <row r="495">
      <c r="D495" s="172"/>
      <c r="E495" s="172"/>
      <c r="G495" s="173"/>
      <c r="H495" s="173"/>
      <c r="I495" s="173"/>
      <c r="M495" s="173"/>
      <c r="R495" s="174"/>
      <c r="S495" s="174"/>
      <c r="T495" s="90"/>
      <c r="U495" s="176"/>
      <c r="V495" s="176"/>
      <c r="W495" s="176"/>
      <c r="X495" s="176"/>
      <c r="Y495" s="176"/>
      <c r="Z495" s="177"/>
      <c r="AA495" s="176"/>
      <c r="AB495" s="176"/>
      <c r="AC495" s="176"/>
      <c r="AD495" s="178"/>
      <c r="AF495" s="179"/>
      <c r="AG495" s="179"/>
      <c r="AI495" s="180"/>
      <c r="AJ495" s="180"/>
      <c r="AK495" s="180"/>
      <c r="AL495" s="180"/>
      <c r="AM495" s="181"/>
      <c r="AN495" s="180"/>
      <c r="AO495" s="180"/>
      <c r="AP495" s="180"/>
    </row>
    <row r="496">
      <c r="D496" s="172"/>
      <c r="E496" s="172"/>
      <c r="G496" s="173"/>
      <c r="H496" s="173"/>
      <c r="I496" s="173"/>
      <c r="M496" s="173"/>
      <c r="R496" s="174"/>
      <c r="S496" s="174"/>
      <c r="T496" s="90"/>
      <c r="U496" s="176"/>
      <c r="V496" s="176"/>
      <c r="W496" s="176"/>
      <c r="X496" s="176"/>
      <c r="Y496" s="176"/>
      <c r="Z496" s="177"/>
      <c r="AA496" s="176"/>
      <c r="AB496" s="176"/>
      <c r="AC496" s="176"/>
      <c r="AD496" s="178"/>
      <c r="AF496" s="179"/>
      <c r="AG496" s="179"/>
      <c r="AI496" s="180"/>
      <c r="AJ496" s="180"/>
      <c r="AK496" s="180"/>
      <c r="AL496" s="180"/>
      <c r="AM496" s="181"/>
      <c r="AN496" s="180"/>
      <c r="AO496" s="180"/>
      <c r="AP496" s="180"/>
    </row>
    <row r="497">
      <c r="D497" s="172"/>
      <c r="E497" s="172"/>
      <c r="G497" s="173"/>
      <c r="H497" s="173"/>
      <c r="I497" s="173"/>
      <c r="M497" s="173"/>
      <c r="R497" s="174"/>
      <c r="S497" s="174"/>
      <c r="T497" s="90"/>
      <c r="U497" s="176"/>
      <c r="V497" s="176"/>
      <c r="W497" s="176"/>
      <c r="X497" s="176"/>
      <c r="Y497" s="176"/>
      <c r="Z497" s="177"/>
      <c r="AA497" s="176"/>
      <c r="AB497" s="176"/>
      <c r="AC497" s="176"/>
      <c r="AD497" s="178"/>
      <c r="AF497" s="179"/>
      <c r="AG497" s="179"/>
      <c r="AI497" s="180"/>
      <c r="AJ497" s="180"/>
      <c r="AK497" s="180"/>
      <c r="AL497" s="180"/>
      <c r="AM497" s="181"/>
      <c r="AN497" s="180"/>
      <c r="AO497" s="180"/>
      <c r="AP497" s="180"/>
    </row>
    <row r="498">
      <c r="D498" s="172"/>
      <c r="E498" s="172"/>
      <c r="G498" s="173"/>
      <c r="H498" s="173"/>
      <c r="I498" s="173"/>
      <c r="M498" s="173"/>
      <c r="R498" s="174"/>
      <c r="S498" s="174"/>
      <c r="T498" s="90"/>
      <c r="U498" s="176"/>
      <c r="V498" s="176"/>
      <c r="W498" s="176"/>
      <c r="X498" s="176"/>
      <c r="Y498" s="176"/>
      <c r="Z498" s="177"/>
      <c r="AA498" s="176"/>
      <c r="AB498" s="176"/>
      <c r="AC498" s="176"/>
      <c r="AD498" s="178"/>
      <c r="AF498" s="179"/>
      <c r="AG498" s="179"/>
      <c r="AI498" s="180"/>
      <c r="AJ498" s="180"/>
      <c r="AK498" s="180"/>
      <c r="AL498" s="180"/>
      <c r="AM498" s="181"/>
      <c r="AN498" s="180"/>
      <c r="AO498" s="180"/>
      <c r="AP498" s="180"/>
    </row>
    <row r="499">
      <c r="D499" s="172"/>
      <c r="E499" s="172"/>
      <c r="G499" s="173"/>
      <c r="H499" s="173"/>
      <c r="I499" s="173"/>
      <c r="M499" s="173"/>
      <c r="R499" s="174"/>
      <c r="S499" s="174"/>
      <c r="T499" s="90"/>
      <c r="U499" s="176"/>
      <c r="V499" s="176"/>
      <c r="W499" s="176"/>
      <c r="X499" s="176"/>
      <c r="Y499" s="176"/>
      <c r="Z499" s="177"/>
      <c r="AA499" s="176"/>
      <c r="AB499" s="176"/>
      <c r="AC499" s="176"/>
      <c r="AD499" s="178"/>
      <c r="AF499" s="179"/>
      <c r="AG499" s="179"/>
      <c r="AI499" s="180"/>
      <c r="AJ499" s="180"/>
      <c r="AK499" s="180"/>
      <c r="AL499" s="180"/>
      <c r="AM499" s="181"/>
      <c r="AN499" s="180"/>
      <c r="AO499" s="180"/>
      <c r="AP499" s="180"/>
    </row>
    <row r="500">
      <c r="D500" s="172"/>
      <c r="E500" s="172"/>
      <c r="G500" s="173"/>
      <c r="H500" s="173"/>
      <c r="I500" s="173"/>
      <c r="M500" s="173"/>
      <c r="R500" s="174"/>
      <c r="S500" s="174"/>
      <c r="T500" s="90"/>
      <c r="U500" s="176"/>
      <c r="V500" s="176"/>
      <c r="W500" s="176"/>
      <c r="X500" s="176"/>
      <c r="Y500" s="176"/>
      <c r="Z500" s="177"/>
      <c r="AA500" s="176"/>
      <c r="AB500" s="176"/>
      <c r="AC500" s="176"/>
      <c r="AD500" s="178"/>
      <c r="AF500" s="179"/>
      <c r="AG500" s="179"/>
      <c r="AI500" s="180"/>
      <c r="AJ500" s="180"/>
      <c r="AK500" s="180"/>
      <c r="AL500" s="180"/>
      <c r="AM500" s="181"/>
      <c r="AN500" s="180"/>
      <c r="AO500" s="180"/>
      <c r="AP500" s="180"/>
    </row>
    <row r="501">
      <c r="D501" s="172"/>
      <c r="E501" s="172"/>
      <c r="G501" s="173"/>
      <c r="H501" s="173"/>
      <c r="I501" s="173"/>
      <c r="M501" s="173"/>
      <c r="R501" s="174"/>
      <c r="S501" s="174"/>
      <c r="T501" s="90"/>
      <c r="U501" s="176"/>
      <c r="V501" s="176"/>
      <c r="W501" s="176"/>
      <c r="X501" s="176"/>
      <c r="Y501" s="176"/>
      <c r="Z501" s="177"/>
      <c r="AA501" s="176"/>
      <c r="AB501" s="176"/>
      <c r="AC501" s="176"/>
      <c r="AD501" s="178"/>
      <c r="AF501" s="179"/>
      <c r="AG501" s="179"/>
      <c r="AI501" s="180"/>
      <c r="AJ501" s="180"/>
      <c r="AK501" s="180"/>
      <c r="AL501" s="180"/>
      <c r="AM501" s="181"/>
      <c r="AN501" s="180"/>
      <c r="AO501" s="180"/>
      <c r="AP501" s="180"/>
    </row>
    <row r="502">
      <c r="D502" s="172"/>
      <c r="E502" s="172"/>
      <c r="G502" s="173"/>
      <c r="H502" s="173"/>
      <c r="I502" s="173"/>
      <c r="M502" s="173"/>
      <c r="R502" s="174"/>
      <c r="S502" s="174"/>
      <c r="T502" s="90"/>
      <c r="U502" s="176"/>
      <c r="V502" s="176"/>
      <c r="W502" s="176"/>
      <c r="X502" s="176"/>
      <c r="Y502" s="176"/>
      <c r="Z502" s="177"/>
      <c r="AA502" s="176"/>
      <c r="AB502" s="176"/>
      <c r="AC502" s="176"/>
      <c r="AD502" s="178"/>
      <c r="AF502" s="179"/>
      <c r="AG502" s="179"/>
      <c r="AI502" s="180"/>
      <c r="AJ502" s="180"/>
      <c r="AK502" s="180"/>
      <c r="AL502" s="180"/>
      <c r="AM502" s="181"/>
      <c r="AN502" s="180"/>
      <c r="AO502" s="180"/>
      <c r="AP502" s="180"/>
    </row>
    <row r="503">
      <c r="D503" s="172"/>
      <c r="E503" s="172"/>
      <c r="G503" s="173"/>
      <c r="H503" s="173"/>
      <c r="I503" s="173"/>
      <c r="M503" s="173"/>
      <c r="R503" s="174"/>
      <c r="S503" s="174"/>
      <c r="T503" s="90"/>
      <c r="U503" s="176"/>
      <c r="V503" s="176"/>
      <c r="W503" s="176"/>
      <c r="X503" s="176"/>
      <c r="Y503" s="176"/>
      <c r="Z503" s="177"/>
      <c r="AA503" s="176"/>
      <c r="AB503" s="176"/>
      <c r="AC503" s="176"/>
      <c r="AD503" s="178"/>
      <c r="AF503" s="179"/>
      <c r="AG503" s="179"/>
      <c r="AI503" s="180"/>
      <c r="AJ503" s="180"/>
      <c r="AK503" s="180"/>
      <c r="AL503" s="180"/>
      <c r="AM503" s="181"/>
      <c r="AN503" s="180"/>
      <c r="AO503" s="180"/>
      <c r="AP503" s="180"/>
    </row>
    <row r="504">
      <c r="D504" s="172"/>
      <c r="E504" s="172"/>
      <c r="G504" s="173"/>
      <c r="H504" s="173"/>
      <c r="I504" s="173"/>
      <c r="M504" s="173"/>
      <c r="R504" s="174"/>
      <c r="S504" s="174"/>
      <c r="T504" s="90"/>
      <c r="U504" s="176"/>
      <c r="V504" s="176"/>
      <c r="W504" s="176"/>
      <c r="X504" s="176"/>
      <c r="Y504" s="176"/>
      <c r="Z504" s="177"/>
      <c r="AA504" s="176"/>
      <c r="AB504" s="176"/>
      <c r="AC504" s="176"/>
      <c r="AD504" s="178"/>
      <c r="AF504" s="179"/>
      <c r="AG504" s="179"/>
      <c r="AI504" s="180"/>
      <c r="AJ504" s="180"/>
      <c r="AK504" s="180"/>
      <c r="AL504" s="180"/>
      <c r="AM504" s="181"/>
      <c r="AN504" s="180"/>
      <c r="AO504" s="180"/>
      <c r="AP504" s="180"/>
    </row>
    <row r="505">
      <c r="D505" s="172"/>
      <c r="E505" s="172"/>
      <c r="G505" s="173"/>
      <c r="H505" s="173"/>
      <c r="I505" s="173"/>
      <c r="M505" s="173"/>
      <c r="R505" s="174"/>
      <c r="S505" s="174"/>
      <c r="T505" s="90"/>
      <c r="U505" s="176"/>
      <c r="V505" s="176"/>
      <c r="W505" s="176"/>
      <c r="X505" s="176"/>
      <c r="Y505" s="176"/>
      <c r="Z505" s="177"/>
      <c r="AA505" s="176"/>
      <c r="AB505" s="176"/>
      <c r="AC505" s="176"/>
      <c r="AD505" s="178"/>
      <c r="AF505" s="179"/>
      <c r="AG505" s="179"/>
      <c r="AI505" s="180"/>
      <c r="AJ505" s="180"/>
      <c r="AK505" s="180"/>
      <c r="AL505" s="180"/>
      <c r="AM505" s="181"/>
      <c r="AN505" s="180"/>
      <c r="AO505" s="180"/>
      <c r="AP505" s="180"/>
    </row>
    <row r="506">
      <c r="D506" s="172"/>
      <c r="E506" s="172"/>
      <c r="G506" s="173"/>
      <c r="H506" s="173"/>
      <c r="I506" s="173"/>
      <c r="M506" s="173"/>
      <c r="R506" s="174"/>
      <c r="S506" s="174"/>
      <c r="T506" s="90"/>
      <c r="U506" s="176"/>
      <c r="V506" s="176"/>
      <c r="W506" s="176"/>
      <c r="X506" s="176"/>
      <c r="Y506" s="176"/>
      <c r="Z506" s="177"/>
      <c r="AA506" s="176"/>
      <c r="AB506" s="176"/>
      <c r="AC506" s="176"/>
      <c r="AD506" s="178"/>
      <c r="AF506" s="179"/>
      <c r="AG506" s="179"/>
      <c r="AI506" s="180"/>
      <c r="AJ506" s="180"/>
      <c r="AK506" s="180"/>
      <c r="AL506" s="180"/>
      <c r="AM506" s="181"/>
      <c r="AN506" s="180"/>
      <c r="AO506" s="180"/>
      <c r="AP506" s="180"/>
    </row>
    <row r="507">
      <c r="D507" s="172"/>
      <c r="E507" s="172"/>
      <c r="G507" s="173"/>
      <c r="H507" s="173"/>
      <c r="I507" s="173"/>
      <c r="M507" s="173"/>
      <c r="R507" s="174"/>
      <c r="S507" s="174"/>
      <c r="T507" s="90"/>
      <c r="U507" s="176"/>
      <c r="V507" s="176"/>
      <c r="W507" s="176"/>
      <c r="X507" s="176"/>
      <c r="Y507" s="176"/>
      <c r="Z507" s="177"/>
      <c r="AA507" s="176"/>
      <c r="AB507" s="176"/>
      <c r="AC507" s="176"/>
      <c r="AD507" s="178"/>
      <c r="AF507" s="179"/>
      <c r="AG507" s="179"/>
      <c r="AI507" s="180"/>
      <c r="AJ507" s="180"/>
      <c r="AK507" s="180"/>
      <c r="AL507" s="180"/>
      <c r="AM507" s="181"/>
      <c r="AN507" s="180"/>
      <c r="AO507" s="180"/>
      <c r="AP507" s="180"/>
    </row>
    <row r="508">
      <c r="D508" s="172"/>
      <c r="E508" s="172"/>
      <c r="G508" s="173"/>
      <c r="H508" s="173"/>
      <c r="I508" s="173"/>
      <c r="M508" s="173"/>
      <c r="R508" s="174"/>
      <c r="S508" s="174"/>
      <c r="T508" s="90"/>
      <c r="U508" s="176"/>
      <c r="V508" s="176"/>
      <c r="W508" s="176"/>
      <c r="X508" s="176"/>
      <c r="Y508" s="176"/>
      <c r="Z508" s="177"/>
      <c r="AA508" s="176"/>
      <c r="AB508" s="176"/>
      <c r="AC508" s="176"/>
      <c r="AD508" s="178"/>
      <c r="AF508" s="179"/>
      <c r="AG508" s="179"/>
      <c r="AI508" s="180"/>
      <c r="AJ508" s="180"/>
      <c r="AK508" s="180"/>
      <c r="AL508" s="180"/>
      <c r="AM508" s="181"/>
      <c r="AN508" s="180"/>
      <c r="AO508" s="180"/>
      <c r="AP508" s="180"/>
    </row>
    <row r="509">
      <c r="D509" s="172"/>
      <c r="E509" s="172"/>
      <c r="G509" s="173"/>
      <c r="H509" s="173"/>
      <c r="I509" s="173"/>
      <c r="M509" s="173"/>
      <c r="R509" s="174"/>
      <c r="S509" s="174"/>
      <c r="T509" s="90"/>
      <c r="U509" s="176"/>
      <c r="V509" s="176"/>
      <c r="W509" s="176"/>
      <c r="X509" s="176"/>
      <c r="Y509" s="176"/>
      <c r="Z509" s="177"/>
      <c r="AA509" s="176"/>
      <c r="AB509" s="176"/>
      <c r="AC509" s="176"/>
      <c r="AD509" s="178"/>
      <c r="AF509" s="179"/>
      <c r="AG509" s="179"/>
      <c r="AI509" s="180"/>
      <c r="AJ509" s="180"/>
      <c r="AK509" s="180"/>
      <c r="AL509" s="180"/>
      <c r="AM509" s="181"/>
      <c r="AN509" s="180"/>
      <c r="AO509" s="180"/>
      <c r="AP509" s="180"/>
    </row>
    <row r="510">
      <c r="D510" s="172"/>
      <c r="E510" s="172"/>
      <c r="G510" s="173"/>
      <c r="H510" s="173"/>
      <c r="I510" s="173"/>
      <c r="M510" s="173"/>
      <c r="R510" s="174"/>
      <c r="S510" s="174"/>
      <c r="T510" s="90"/>
      <c r="U510" s="176"/>
      <c r="V510" s="176"/>
      <c r="W510" s="176"/>
      <c r="X510" s="176"/>
      <c r="Y510" s="176"/>
      <c r="Z510" s="177"/>
      <c r="AA510" s="176"/>
      <c r="AB510" s="176"/>
      <c r="AC510" s="176"/>
      <c r="AD510" s="178"/>
      <c r="AF510" s="179"/>
      <c r="AG510" s="179"/>
      <c r="AI510" s="180"/>
      <c r="AJ510" s="180"/>
      <c r="AK510" s="180"/>
      <c r="AL510" s="180"/>
      <c r="AM510" s="181"/>
      <c r="AN510" s="180"/>
      <c r="AO510" s="180"/>
      <c r="AP510" s="180"/>
    </row>
    <row r="511">
      <c r="D511" s="172"/>
      <c r="E511" s="172"/>
      <c r="G511" s="173"/>
      <c r="H511" s="173"/>
      <c r="I511" s="173"/>
      <c r="M511" s="173"/>
      <c r="R511" s="174"/>
      <c r="S511" s="174"/>
      <c r="T511" s="90"/>
      <c r="U511" s="176"/>
      <c r="V511" s="176"/>
      <c r="W511" s="176"/>
      <c r="X511" s="176"/>
      <c r="Y511" s="176"/>
      <c r="Z511" s="177"/>
      <c r="AA511" s="176"/>
      <c r="AB511" s="176"/>
      <c r="AC511" s="176"/>
      <c r="AD511" s="178"/>
      <c r="AF511" s="179"/>
      <c r="AG511" s="179"/>
      <c r="AI511" s="180"/>
      <c r="AJ511" s="180"/>
      <c r="AK511" s="180"/>
      <c r="AL511" s="180"/>
      <c r="AM511" s="181"/>
      <c r="AN511" s="180"/>
      <c r="AO511" s="180"/>
      <c r="AP511" s="180"/>
    </row>
    <row r="512">
      <c r="D512" s="172"/>
      <c r="E512" s="172"/>
      <c r="G512" s="173"/>
      <c r="H512" s="173"/>
      <c r="I512" s="173"/>
      <c r="M512" s="173"/>
      <c r="R512" s="174"/>
      <c r="S512" s="174"/>
      <c r="T512" s="90"/>
      <c r="U512" s="176"/>
      <c r="V512" s="176"/>
      <c r="W512" s="176"/>
      <c r="X512" s="176"/>
      <c r="Y512" s="176"/>
      <c r="Z512" s="177"/>
      <c r="AA512" s="176"/>
      <c r="AB512" s="176"/>
      <c r="AC512" s="176"/>
      <c r="AD512" s="178"/>
      <c r="AF512" s="179"/>
      <c r="AG512" s="179"/>
      <c r="AI512" s="180"/>
      <c r="AJ512" s="180"/>
      <c r="AK512" s="180"/>
      <c r="AL512" s="180"/>
      <c r="AM512" s="181"/>
      <c r="AN512" s="180"/>
      <c r="AO512" s="180"/>
      <c r="AP512" s="180"/>
    </row>
    <row r="513">
      <c r="D513" s="172"/>
      <c r="E513" s="172"/>
      <c r="G513" s="173"/>
      <c r="H513" s="173"/>
      <c r="I513" s="173"/>
      <c r="M513" s="173"/>
      <c r="R513" s="174"/>
      <c r="S513" s="174"/>
      <c r="T513" s="90"/>
      <c r="U513" s="176"/>
      <c r="V513" s="176"/>
      <c r="W513" s="176"/>
      <c r="X513" s="176"/>
      <c r="Y513" s="176"/>
      <c r="Z513" s="177"/>
      <c r="AA513" s="176"/>
      <c r="AB513" s="176"/>
      <c r="AC513" s="176"/>
      <c r="AD513" s="178"/>
      <c r="AF513" s="179"/>
      <c r="AG513" s="179"/>
      <c r="AI513" s="180"/>
      <c r="AJ513" s="180"/>
      <c r="AK513" s="180"/>
      <c r="AL513" s="180"/>
      <c r="AM513" s="181"/>
      <c r="AN513" s="180"/>
      <c r="AO513" s="180"/>
      <c r="AP513" s="180"/>
    </row>
    <row r="514">
      <c r="D514" s="172"/>
      <c r="E514" s="172"/>
      <c r="G514" s="173"/>
      <c r="H514" s="173"/>
      <c r="I514" s="173"/>
      <c r="M514" s="173"/>
      <c r="R514" s="174"/>
      <c r="S514" s="174"/>
      <c r="T514" s="90"/>
      <c r="U514" s="176"/>
      <c r="V514" s="176"/>
      <c r="W514" s="176"/>
      <c r="X514" s="176"/>
      <c r="Y514" s="176"/>
      <c r="Z514" s="177"/>
      <c r="AA514" s="176"/>
      <c r="AB514" s="176"/>
      <c r="AC514" s="176"/>
      <c r="AD514" s="178"/>
      <c r="AF514" s="179"/>
      <c r="AG514" s="179"/>
      <c r="AI514" s="180"/>
      <c r="AJ514" s="180"/>
      <c r="AK514" s="180"/>
      <c r="AL514" s="180"/>
      <c r="AM514" s="181"/>
      <c r="AN514" s="180"/>
      <c r="AO514" s="180"/>
      <c r="AP514" s="180"/>
    </row>
    <row r="515">
      <c r="D515" s="172"/>
      <c r="E515" s="172"/>
      <c r="G515" s="173"/>
      <c r="H515" s="173"/>
      <c r="I515" s="173"/>
      <c r="M515" s="173"/>
      <c r="R515" s="174"/>
      <c r="S515" s="174"/>
      <c r="T515" s="90"/>
      <c r="U515" s="176"/>
      <c r="V515" s="176"/>
      <c r="W515" s="176"/>
      <c r="X515" s="176"/>
      <c r="Y515" s="176"/>
      <c r="Z515" s="177"/>
      <c r="AA515" s="176"/>
      <c r="AB515" s="176"/>
      <c r="AC515" s="176"/>
      <c r="AD515" s="178"/>
      <c r="AF515" s="179"/>
      <c r="AG515" s="179"/>
      <c r="AI515" s="180"/>
      <c r="AJ515" s="180"/>
      <c r="AK515" s="180"/>
      <c r="AL515" s="180"/>
      <c r="AM515" s="181"/>
      <c r="AN515" s="180"/>
      <c r="AO515" s="180"/>
      <c r="AP515" s="180"/>
    </row>
    <row r="516">
      <c r="D516" s="172"/>
      <c r="E516" s="172"/>
      <c r="G516" s="173"/>
      <c r="H516" s="173"/>
      <c r="I516" s="173"/>
      <c r="M516" s="173"/>
      <c r="R516" s="174"/>
      <c r="S516" s="174"/>
      <c r="T516" s="90"/>
      <c r="U516" s="176"/>
      <c r="V516" s="176"/>
      <c r="W516" s="176"/>
      <c r="X516" s="176"/>
      <c r="Y516" s="176"/>
      <c r="Z516" s="177"/>
      <c r="AA516" s="176"/>
      <c r="AB516" s="176"/>
      <c r="AC516" s="176"/>
      <c r="AD516" s="178"/>
      <c r="AF516" s="179"/>
      <c r="AG516" s="179"/>
      <c r="AI516" s="180"/>
      <c r="AJ516" s="180"/>
      <c r="AK516" s="180"/>
      <c r="AL516" s="180"/>
      <c r="AM516" s="181"/>
      <c r="AN516" s="180"/>
      <c r="AO516" s="180"/>
      <c r="AP516" s="180"/>
    </row>
    <row r="517">
      <c r="D517" s="172"/>
      <c r="E517" s="172"/>
      <c r="G517" s="173"/>
      <c r="H517" s="173"/>
      <c r="I517" s="173"/>
      <c r="M517" s="173"/>
      <c r="R517" s="174"/>
      <c r="S517" s="174"/>
      <c r="T517" s="90"/>
      <c r="U517" s="176"/>
      <c r="V517" s="176"/>
      <c r="W517" s="176"/>
      <c r="X517" s="176"/>
      <c r="Y517" s="176"/>
      <c r="Z517" s="177"/>
      <c r="AA517" s="176"/>
      <c r="AB517" s="176"/>
      <c r="AC517" s="176"/>
      <c r="AD517" s="178"/>
      <c r="AF517" s="179"/>
      <c r="AG517" s="179"/>
      <c r="AI517" s="180"/>
      <c r="AJ517" s="180"/>
      <c r="AK517" s="180"/>
      <c r="AL517" s="180"/>
      <c r="AM517" s="181"/>
      <c r="AN517" s="180"/>
      <c r="AO517" s="180"/>
      <c r="AP517" s="180"/>
    </row>
    <row r="518">
      <c r="D518" s="172"/>
      <c r="E518" s="172"/>
      <c r="G518" s="173"/>
      <c r="H518" s="173"/>
      <c r="I518" s="173"/>
      <c r="M518" s="173"/>
      <c r="R518" s="174"/>
      <c r="S518" s="174"/>
      <c r="T518" s="90"/>
      <c r="U518" s="176"/>
      <c r="V518" s="176"/>
      <c r="W518" s="176"/>
      <c r="X518" s="176"/>
      <c r="Y518" s="176"/>
      <c r="Z518" s="177"/>
      <c r="AA518" s="176"/>
      <c r="AB518" s="176"/>
      <c r="AC518" s="176"/>
      <c r="AD518" s="178"/>
      <c r="AF518" s="179"/>
      <c r="AG518" s="179"/>
      <c r="AI518" s="180"/>
      <c r="AJ518" s="180"/>
      <c r="AK518" s="180"/>
      <c r="AL518" s="180"/>
      <c r="AM518" s="181"/>
      <c r="AN518" s="180"/>
      <c r="AO518" s="180"/>
      <c r="AP518" s="180"/>
    </row>
    <row r="519">
      <c r="D519" s="172"/>
      <c r="E519" s="172"/>
      <c r="G519" s="173"/>
      <c r="H519" s="173"/>
      <c r="I519" s="173"/>
      <c r="M519" s="173"/>
      <c r="R519" s="174"/>
      <c r="S519" s="174"/>
      <c r="T519" s="90"/>
      <c r="U519" s="176"/>
      <c r="V519" s="176"/>
      <c r="W519" s="176"/>
      <c r="X519" s="176"/>
      <c r="Y519" s="176"/>
      <c r="Z519" s="177"/>
      <c r="AA519" s="176"/>
      <c r="AB519" s="176"/>
      <c r="AC519" s="176"/>
      <c r="AD519" s="178"/>
      <c r="AF519" s="179"/>
      <c r="AG519" s="179"/>
      <c r="AI519" s="180"/>
      <c r="AJ519" s="180"/>
      <c r="AK519" s="180"/>
      <c r="AL519" s="180"/>
      <c r="AM519" s="181"/>
      <c r="AN519" s="180"/>
      <c r="AO519" s="180"/>
      <c r="AP519" s="180"/>
    </row>
    <row r="520">
      <c r="D520" s="172"/>
      <c r="E520" s="172"/>
      <c r="G520" s="173"/>
      <c r="H520" s="173"/>
      <c r="I520" s="173"/>
      <c r="M520" s="173"/>
      <c r="R520" s="174"/>
      <c r="S520" s="174"/>
      <c r="T520" s="90"/>
      <c r="U520" s="176"/>
      <c r="V520" s="176"/>
      <c r="W520" s="176"/>
      <c r="X520" s="176"/>
      <c r="Y520" s="176"/>
      <c r="Z520" s="177"/>
      <c r="AA520" s="176"/>
      <c r="AB520" s="176"/>
      <c r="AC520" s="176"/>
      <c r="AD520" s="178"/>
      <c r="AF520" s="179"/>
      <c r="AG520" s="179"/>
      <c r="AI520" s="180"/>
      <c r="AJ520" s="180"/>
      <c r="AK520" s="180"/>
      <c r="AL520" s="180"/>
      <c r="AM520" s="181"/>
      <c r="AN520" s="180"/>
      <c r="AO520" s="180"/>
      <c r="AP520" s="180"/>
    </row>
    <row r="521">
      <c r="D521" s="172"/>
      <c r="E521" s="172"/>
      <c r="G521" s="173"/>
      <c r="H521" s="173"/>
      <c r="I521" s="173"/>
      <c r="M521" s="173"/>
      <c r="R521" s="174"/>
      <c r="S521" s="174"/>
      <c r="T521" s="90"/>
      <c r="U521" s="176"/>
      <c r="V521" s="176"/>
      <c r="W521" s="176"/>
      <c r="X521" s="176"/>
      <c r="Y521" s="176"/>
      <c r="Z521" s="177"/>
      <c r="AA521" s="176"/>
      <c r="AB521" s="176"/>
      <c r="AC521" s="176"/>
      <c r="AD521" s="178"/>
      <c r="AF521" s="179"/>
      <c r="AG521" s="179"/>
      <c r="AI521" s="180"/>
      <c r="AJ521" s="180"/>
      <c r="AK521" s="180"/>
      <c r="AL521" s="180"/>
      <c r="AM521" s="181"/>
      <c r="AN521" s="180"/>
      <c r="AO521" s="180"/>
      <c r="AP521" s="180"/>
    </row>
    <row r="522">
      <c r="D522" s="172"/>
      <c r="E522" s="172"/>
      <c r="G522" s="173"/>
      <c r="H522" s="173"/>
      <c r="I522" s="173"/>
      <c r="M522" s="173"/>
      <c r="R522" s="174"/>
      <c r="S522" s="174"/>
      <c r="T522" s="90"/>
      <c r="U522" s="176"/>
      <c r="V522" s="176"/>
      <c r="W522" s="176"/>
      <c r="X522" s="176"/>
      <c r="Y522" s="176"/>
      <c r="Z522" s="177"/>
      <c r="AA522" s="176"/>
      <c r="AB522" s="176"/>
      <c r="AC522" s="176"/>
      <c r="AD522" s="178"/>
      <c r="AF522" s="179"/>
      <c r="AG522" s="179"/>
      <c r="AI522" s="180"/>
      <c r="AJ522" s="180"/>
      <c r="AK522" s="180"/>
      <c r="AL522" s="180"/>
      <c r="AM522" s="181"/>
      <c r="AN522" s="180"/>
      <c r="AO522" s="180"/>
      <c r="AP522" s="180"/>
    </row>
    <row r="523">
      <c r="D523" s="172"/>
      <c r="E523" s="172"/>
      <c r="G523" s="173"/>
      <c r="H523" s="173"/>
      <c r="I523" s="173"/>
      <c r="M523" s="173"/>
      <c r="R523" s="174"/>
      <c r="S523" s="174"/>
      <c r="T523" s="90"/>
      <c r="U523" s="176"/>
      <c r="V523" s="176"/>
      <c r="W523" s="176"/>
      <c r="X523" s="176"/>
      <c r="Y523" s="176"/>
      <c r="Z523" s="177"/>
      <c r="AA523" s="176"/>
      <c r="AB523" s="176"/>
      <c r="AC523" s="176"/>
      <c r="AD523" s="178"/>
      <c r="AF523" s="179"/>
      <c r="AG523" s="179"/>
      <c r="AI523" s="180"/>
      <c r="AJ523" s="180"/>
      <c r="AK523" s="180"/>
      <c r="AL523" s="180"/>
      <c r="AM523" s="181"/>
      <c r="AN523" s="180"/>
      <c r="AO523" s="180"/>
      <c r="AP523" s="180"/>
    </row>
    <row r="524">
      <c r="D524" s="172"/>
      <c r="E524" s="172"/>
      <c r="G524" s="173"/>
      <c r="H524" s="173"/>
      <c r="I524" s="173"/>
      <c r="M524" s="173"/>
      <c r="R524" s="174"/>
      <c r="S524" s="174"/>
      <c r="T524" s="90"/>
      <c r="U524" s="176"/>
      <c r="V524" s="176"/>
      <c r="W524" s="176"/>
      <c r="X524" s="176"/>
      <c r="Y524" s="176"/>
      <c r="Z524" s="177"/>
      <c r="AA524" s="176"/>
      <c r="AB524" s="176"/>
      <c r="AC524" s="176"/>
      <c r="AD524" s="178"/>
      <c r="AF524" s="179"/>
      <c r="AG524" s="179"/>
      <c r="AI524" s="180"/>
      <c r="AJ524" s="180"/>
      <c r="AK524" s="180"/>
      <c r="AL524" s="180"/>
      <c r="AM524" s="181"/>
      <c r="AN524" s="180"/>
      <c r="AO524" s="180"/>
      <c r="AP524" s="180"/>
    </row>
    <row r="525">
      <c r="D525" s="172"/>
      <c r="E525" s="172"/>
      <c r="G525" s="173"/>
      <c r="H525" s="173"/>
      <c r="I525" s="173"/>
      <c r="M525" s="173"/>
      <c r="R525" s="174"/>
      <c r="S525" s="174"/>
      <c r="T525" s="90"/>
      <c r="U525" s="176"/>
      <c r="V525" s="176"/>
      <c r="W525" s="176"/>
      <c r="X525" s="176"/>
      <c r="Y525" s="176"/>
      <c r="Z525" s="177"/>
      <c r="AA525" s="176"/>
      <c r="AB525" s="176"/>
      <c r="AC525" s="176"/>
      <c r="AD525" s="178"/>
      <c r="AF525" s="179"/>
      <c r="AG525" s="179"/>
      <c r="AI525" s="180"/>
      <c r="AJ525" s="180"/>
      <c r="AK525" s="180"/>
      <c r="AL525" s="180"/>
      <c r="AM525" s="181"/>
      <c r="AN525" s="180"/>
      <c r="AO525" s="180"/>
      <c r="AP525" s="180"/>
    </row>
    <row r="526">
      <c r="D526" s="172"/>
      <c r="E526" s="172"/>
      <c r="G526" s="173"/>
      <c r="H526" s="173"/>
      <c r="I526" s="173"/>
      <c r="M526" s="173"/>
      <c r="R526" s="174"/>
      <c r="S526" s="174"/>
      <c r="T526" s="90"/>
      <c r="U526" s="176"/>
      <c r="V526" s="176"/>
      <c r="W526" s="176"/>
      <c r="X526" s="176"/>
      <c r="Y526" s="176"/>
      <c r="Z526" s="177"/>
      <c r="AA526" s="176"/>
      <c r="AB526" s="176"/>
      <c r="AC526" s="176"/>
      <c r="AD526" s="178"/>
      <c r="AF526" s="179"/>
      <c r="AG526" s="179"/>
      <c r="AI526" s="180"/>
      <c r="AJ526" s="180"/>
      <c r="AK526" s="180"/>
      <c r="AL526" s="180"/>
      <c r="AM526" s="181"/>
      <c r="AN526" s="180"/>
      <c r="AO526" s="180"/>
      <c r="AP526" s="180"/>
    </row>
    <row r="527">
      <c r="D527" s="172"/>
      <c r="E527" s="172"/>
      <c r="G527" s="173"/>
      <c r="H527" s="173"/>
      <c r="I527" s="173"/>
      <c r="M527" s="173"/>
      <c r="R527" s="174"/>
      <c r="S527" s="174"/>
      <c r="T527" s="90"/>
      <c r="U527" s="176"/>
      <c r="V527" s="176"/>
      <c r="W527" s="176"/>
      <c r="X527" s="176"/>
      <c r="Y527" s="176"/>
      <c r="Z527" s="177"/>
      <c r="AA527" s="176"/>
      <c r="AB527" s="176"/>
      <c r="AC527" s="176"/>
      <c r="AD527" s="178"/>
      <c r="AF527" s="179"/>
      <c r="AG527" s="179"/>
      <c r="AI527" s="180"/>
      <c r="AJ527" s="180"/>
      <c r="AK527" s="180"/>
      <c r="AL527" s="180"/>
      <c r="AM527" s="181"/>
      <c r="AN527" s="180"/>
      <c r="AO527" s="180"/>
      <c r="AP527" s="180"/>
    </row>
    <row r="528">
      <c r="D528" s="172"/>
      <c r="E528" s="172"/>
      <c r="G528" s="173"/>
      <c r="H528" s="173"/>
      <c r="I528" s="173"/>
      <c r="M528" s="173"/>
      <c r="R528" s="174"/>
      <c r="S528" s="174"/>
      <c r="T528" s="90"/>
      <c r="U528" s="176"/>
      <c r="V528" s="176"/>
      <c r="W528" s="176"/>
      <c r="X528" s="176"/>
      <c r="Y528" s="176"/>
      <c r="Z528" s="177"/>
      <c r="AA528" s="176"/>
      <c r="AB528" s="176"/>
      <c r="AC528" s="176"/>
      <c r="AD528" s="178"/>
      <c r="AF528" s="179"/>
      <c r="AG528" s="179"/>
      <c r="AI528" s="180"/>
      <c r="AJ528" s="180"/>
      <c r="AK528" s="180"/>
      <c r="AL528" s="180"/>
      <c r="AM528" s="181"/>
      <c r="AN528" s="180"/>
      <c r="AO528" s="180"/>
      <c r="AP528" s="180"/>
    </row>
    <row r="529">
      <c r="D529" s="172"/>
      <c r="E529" s="172"/>
      <c r="G529" s="173"/>
      <c r="H529" s="173"/>
      <c r="I529" s="173"/>
      <c r="M529" s="173"/>
      <c r="R529" s="174"/>
      <c r="S529" s="174"/>
      <c r="T529" s="90"/>
      <c r="U529" s="176"/>
      <c r="V529" s="176"/>
      <c r="W529" s="176"/>
      <c r="X529" s="176"/>
      <c r="Y529" s="176"/>
      <c r="Z529" s="177"/>
      <c r="AA529" s="176"/>
      <c r="AB529" s="176"/>
      <c r="AC529" s="176"/>
      <c r="AD529" s="178"/>
      <c r="AF529" s="179"/>
      <c r="AG529" s="179"/>
      <c r="AI529" s="180"/>
      <c r="AJ529" s="180"/>
      <c r="AK529" s="180"/>
      <c r="AL529" s="180"/>
      <c r="AM529" s="181"/>
      <c r="AN529" s="180"/>
      <c r="AO529" s="180"/>
      <c r="AP529" s="180"/>
    </row>
    <row r="530">
      <c r="D530" s="172"/>
      <c r="E530" s="172"/>
      <c r="G530" s="173"/>
      <c r="H530" s="173"/>
      <c r="I530" s="173"/>
      <c r="M530" s="173"/>
      <c r="R530" s="174"/>
      <c r="S530" s="174"/>
      <c r="T530" s="90"/>
      <c r="U530" s="176"/>
      <c r="V530" s="176"/>
      <c r="W530" s="176"/>
      <c r="X530" s="176"/>
      <c r="Y530" s="176"/>
      <c r="Z530" s="177"/>
      <c r="AA530" s="176"/>
      <c r="AB530" s="176"/>
      <c r="AC530" s="176"/>
      <c r="AD530" s="178"/>
      <c r="AF530" s="179"/>
      <c r="AG530" s="179"/>
      <c r="AI530" s="180"/>
      <c r="AJ530" s="180"/>
      <c r="AK530" s="180"/>
      <c r="AL530" s="180"/>
      <c r="AM530" s="181"/>
      <c r="AN530" s="180"/>
      <c r="AO530" s="180"/>
      <c r="AP530" s="180"/>
    </row>
    <row r="531">
      <c r="D531" s="172"/>
      <c r="E531" s="172"/>
      <c r="G531" s="173"/>
      <c r="H531" s="173"/>
      <c r="I531" s="173"/>
      <c r="M531" s="173"/>
      <c r="R531" s="174"/>
      <c r="S531" s="174"/>
      <c r="T531" s="90"/>
      <c r="U531" s="176"/>
      <c r="V531" s="176"/>
      <c r="W531" s="176"/>
      <c r="X531" s="176"/>
      <c r="Y531" s="176"/>
      <c r="Z531" s="177"/>
      <c r="AA531" s="176"/>
      <c r="AB531" s="176"/>
      <c r="AC531" s="176"/>
      <c r="AD531" s="178"/>
      <c r="AF531" s="179"/>
      <c r="AG531" s="179"/>
      <c r="AI531" s="180"/>
      <c r="AJ531" s="180"/>
      <c r="AK531" s="180"/>
      <c r="AL531" s="180"/>
      <c r="AM531" s="181"/>
      <c r="AN531" s="180"/>
      <c r="AO531" s="180"/>
      <c r="AP531" s="180"/>
    </row>
    <row r="532">
      <c r="D532" s="172"/>
      <c r="E532" s="172"/>
      <c r="G532" s="173"/>
      <c r="H532" s="173"/>
      <c r="I532" s="173"/>
      <c r="M532" s="173"/>
      <c r="R532" s="174"/>
      <c r="S532" s="174"/>
      <c r="T532" s="90"/>
      <c r="U532" s="176"/>
      <c r="V532" s="176"/>
      <c r="W532" s="176"/>
      <c r="X532" s="176"/>
      <c r="Y532" s="176"/>
      <c r="Z532" s="177"/>
      <c r="AA532" s="176"/>
      <c r="AB532" s="176"/>
      <c r="AC532" s="176"/>
      <c r="AD532" s="178"/>
      <c r="AF532" s="179"/>
      <c r="AG532" s="179"/>
      <c r="AI532" s="180"/>
      <c r="AJ532" s="180"/>
      <c r="AK532" s="180"/>
      <c r="AL532" s="180"/>
      <c r="AM532" s="181"/>
      <c r="AN532" s="180"/>
      <c r="AO532" s="180"/>
      <c r="AP532" s="180"/>
    </row>
    <row r="533">
      <c r="D533" s="172"/>
      <c r="E533" s="172"/>
      <c r="G533" s="173"/>
      <c r="H533" s="173"/>
      <c r="I533" s="173"/>
      <c r="M533" s="173"/>
      <c r="R533" s="174"/>
      <c r="S533" s="174"/>
      <c r="T533" s="90"/>
      <c r="U533" s="176"/>
      <c r="V533" s="176"/>
      <c r="W533" s="176"/>
      <c r="X533" s="176"/>
      <c r="Y533" s="176"/>
      <c r="Z533" s="177"/>
      <c r="AA533" s="176"/>
      <c r="AB533" s="176"/>
      <c r="AC533" s="176"/>
      <c r="AD533" s="178"/>
      <c r="AF533" s="179"/>
      <c r="AG533" s="179"/>
      <c r="AI533" s="180"/>
      <c r="AJ533" s="180"/>
      <c r="AK533" s="180"/>
      <c r="AL533" s="180"/>
      <c r="AM533" s="181"/>
      <c r="AN533" s="180"/>
      <c r="AO533" s="180"/>
      <c r="AP533" s="180"/>
    </row>
    <row r="534">
      <c r="D534" s="172"/>
      <c r="E534" s="172"/>
      <c r="G534" s="173"/>
      <c r="H534" s="173"/>
      <c r="I534" s="173"/>
      <c r="M534" s="173"/>
      <c r="R534" s="174"/>
      <c r="S534" s="174"/>
      <c r="T534" s="90"/>
      <c r="U534" s="176"/>
      <c r="V534" s="176"/>
      <c r="W534" s="176"/>
      <c r="X534" s="176"/>
      <c r="Y534" s="176"/>
      <c r="Z534" s="177"/>
      <c r="AA534" s="176"/>
      <c r="AB534" s="176"/>
      <c r="AC534" s="176"/>
      <c r="AD534" s="178"/>
      <c r="AF534" s="179"/>
      <c r="AG534" s="179"/>
      <c r="AI534" s="180"/>
      <c r="AJ534" s="180"/>
      <c r="AK534" s="180"/>
      <c r="AL534" s="180"/>
      <c r="AM534" s="181"/>
      <c r="AN534" s="180"/>
      <c r="AO534" s="180"/>
      <c r="AP534" s="180"/>
    </row>
    <row r="535">
      <c r="D535" s="172"/>
      <c r="E535" s="172"/>
      <c r="G535" s="173"/>
      <c r="H535" s="173"/>
      <c r="I535" s="173"/>
      <c r="M535" s="173"/>
      <c r="R535" s="174"/>
      <c r="S535" s="174"/>
      <c r="T535" s="90"/>
      <c r="U535" s="176"/>
      <c r="V535" s="176"/>
      <c r="W535" s="176"/>
      <c r="X535" s="176"/>
      <c r="Y535" s="176"/>
      <c r="Z535" s="177"/>
      <c r="AA535" s="176"/>
      <c r="AB535" s="176"/>
      <c r="AC535" s="176"/>
      <c r="AD535" s="178"/>
      <c r="AF535" s="179"/>
      <c r="AG535" s="179"/>
      <c r="AI535" s="180"/>
      <c r="AJ535" s="180"/>
      <c r="AK535" s="180"/>
      <c r="AL535" s="180"/>
      <c r="AM535" s="181"/>
      <c r="AN535" s="180"/>
      <c r="AO535" s="180"/>
      <c r="AP535" s="180"/>
    </row>
    <row r="536">
      <c r="D536" s="172"/>
      <c r="E536" s="172"/>
      <c r="G536" s="173"/>
      <c r="H536" s="173"/>
      <c r="I536" s="173"/>
      <c r="M536" s="173"/>
      <c r="R536" s="174"/>
      <c r="S536" s="174"/>
      <c r="T536" s="90"/>
      <c r="U536" s="176"/>
      <c r="V536" s="176"/>
      <c r="W536" s="176"/>
      <c r="X536" s="176"/>
      <c r="Y536" s="176"/>
      <c r="Z536" s="177"/>
      <c r="AA536" s="176"/>
      <c r="AB536" s="176"/>
      <c r="AC536" s="176"/>
      <c r="AD536" s="178"/>
      <c r="AF536" s="179"/>
      <c r="AG536" s="179"/>
      <c r="AI536" s="180"/>
      <c r="AJ536" s="180"/>
      <c r="AK536" s="180"/>
      <c r="AL536" s="180"/>
      <c r="AM536" s="181"/>
      <c r="AN536" s="180"/>
      <c r="AO536" s="180"/>
      <c r="AP536" s="180"/>
    </row>
    <row r="537">
      <c r="D537" s="172"/>
      <c r="E537" s="172"/>
      <c r="G537" s="173"/>
      <c r="H537" s="173"/>
      <c r="I537" s="173"/>
      <c r="M537" s="173"/>
      <c r="R537" s="174"/>
      <c r="S537" s="174"/>
      <c r="T537" s="90"/>
      <c r="U537" s="176"/>
      <c r="V537" s="176"/>
      <c r="W537" s="176"/>
      <c r="X537" s="176"/>
      <c r="Y537" s="176"/>
      <c r="Z537" s="177"/>
      <c r="AA537" s="176"/>
      <c r="AB537" s="176"/>
      <c r="AC537" s="176"/>
      <c r="AD537" s="178"/>
      <c r="AF537" s="179"/>
      <c r="AG537" s="179"/>
      <c r="AI537" s="180"/>
      <c r="AJ537" s="180"/>
      <c r="AK537" s="180"/>
      <c r="AL537" s="180"/>
      <c r="AM537" s="181"/>
      <c r="AN537" s="180"/>
      <c r="AO537" s="180"/>
      <c r="AP537" s="180"/>
    </row>
    <row r="538">
      <c r="D538" s="172"/>
      <c r="E538" s="172"/>
      <c r="G538" s="173"/>
      <c r="H538" s="173"/>
      <c r="I538" s="173"/>
      <c r="M538" s="173"/>
      <c r="R538" s="174"/>
      <c r="S538" s="174"/>
      <c r="T538" s="90"/>
      <c r="U538" s="176"/>
      <c r="V538" s="176"/>
      <c r="W538" s="176"/>
      <c r="X538" s="176"/>
      <c r="Y538" s="176"/>
      <c r="Z538" s="177"/>
      <c r="AA538" s="176"/>
      <c r="AB538" s="176"/>
      <c r="AC538" s="176"/>
      <c r="AD538" s="178"/>
      <c r="AF538" s="179"/>
      <c r="AG538" s="179"/>
      <c r="AI538" s="180"/>
      <c r="AJ538" s="180"/>
      <c r="AK538" s="180"/>
      <c r="AL538" s="180"/>
      <c r="AM538" s="181"/>
      <c r="AN538" s="180"/>
      <c r="AO538" s="180"/>
      <c r="AP538" s="180"/>
    </row>
    <row r="539">
      <c r="D539" s="172"/>
      <c r="E539" s="172"/>
      <c r="G539" s="173"/>
      <c r="H539" s="173"/>
      <c r="I539" s="173"/>
      <c r="M539" s="173"/>
      <c r="R539" s="174"/>
      <c r="S539" s="174"/>
      <c r="T539" s="90"/>
      <c r="U539" s="176"/>
      <c r="V539" s="176"/>
      <c r="W539" s="176"/>
      <c r="X539" s="176"/>
      <c r="Y539" s="176"/>
      <c r="Z539" s="177"/>
      <c r="AA539" s="176"/>
      <c r="AB539" s="176"/>
      <c r="AC539" s="176"/>
      <c r="AD539" s="178"/>
      <c r="AF539" s="179"/>
      <c r="AG539" s="179"/>
      <c r="AI539" s="180"/>
      <c r="AJ539" s="180"/>
      <c r="AK539" s="180"/>
      <c r="AL539" s="180"/>
      <c r="AM539" s="181"/>
      <c r="AN539" s="180"/>
      <c r="AO539" s="180"/>
      <c r="AP539" s="180"/>
    </row>
    <row r="540">
      <c r="D540" s="172"/>
      <c r="E540" s="172"/>
      <c r="G540" s="173"/>
      <c r="H540" s="173"/>
      <c r="I540" s="173"/>
      <c r="M540" s="173"/>
      <c r="R540" s="174"/>
      <c r="S540" s="174"/>
      <c r="T540" s="90"/>
      <c r="U540" s="176"/>
      <c r="V540" s="176"/>
      <c r="W540" s="176"/>
      <c r="X540" s="176"/>
      <c r="Y540" s="176"/>
      <c r="Z540" s="177"/>
      <c r="AA540" s="176"/>
      <c r="AB540" s="176"/>
      <c r="AC540" s="176"/>
      <c r="AD540" s="178"/>
      <c r="AF540" s="179"/>
      <c r="AG540" s="179"/>
      <c r="AI540" s="180"/>
      <c r="AJ540" s="180"/>
      <c r="AK540" s="180"/>
      <c r="AL540" s="180"/>
      <c r="AM540" s="181"/>
      <c r="AN540" s="180"/>
      <c r="AO540" s="180"/>
      <c r="AP540" s="180"/>
    </row>
    <row r="541">
      <c r="D541" s="172"/>
      <c r="E541" s="172"/>
      <c r="G541" s="173"/>
      <c r="H541" s="173"/>
      <c r="I541" s="173"/>
      <c r="M541" s="173"/>
      <c r="R541" s="174"/>
      <c r="S541" s="174"/>
      <c r="T541" s="90"/>
      <c r="U541" s="176"/>
      <c r="V541" s="176"/>
      <c r="W541" s="176"/>
      <c r="X541" s="176"/>
      <c r="Y541" s="176"/>
      <c r="Z541" s="177"/>
      <c r="AA541" s="176"/>
      <c r="AB541" s="176"/>
      <c r="AC541" s="176"/>
      <c r="AD541" s="178"/>
      <c r="AF541" s="179"/>
      <c r="AG541" s="179"/>
      <c r="AI541" s="180"/>
      <c r="AJ541" s="180"/>
      <c r="AK541" s="180"/>
      <c r="AL541" s="180"/>
      <c r="AM541" s="181"/>
      <c r="AN541" s="180"/>
      <c r="AO541" s="180"/>
      <c r="AP541" s="180"/>
    </row>
    <row r="542">
      <c r="D542" s="172"/>
      <c r="E542" s="172"/>
      <c r="G542" s="173"/>
      <c r="H542" s="173"/>
      <c r="I542" s="173"/>
      <c r="M542" s="173"/>
      <c r="R542" s="174"/>
      <c r="S542" s="174"/>
      <c r="T542" s="90"/>
      <c r="U542" s="176"/>
      <c r="V542" s="176"/>
      <c r="W542" s="176"/>
      <c r="X542" s="176"/>
      <c r="Y542" s="176"/>
      <c r="Z542" s="177"/>
      <c r="AA542" s="176"/>
      <c r="AB542" s="176"/>
      <c r="AC542" s="176"/>
      <c r="AD542" s="178"/>
      <c r="AF542" s="179"/>
      <c r="AG542" s="179"/>
      <c r="AI542" s="180"/>
      <c r="AJ542" s="180"/>
      <c r="AK542" s="180"/>
      <c r="AL542" s="180"/>
      <c r="AM542" s="181"/>
      <c r="AN542" s="180"/>
      <c r="AO542" s="180"/>
      <c r="AP542" s="180"/>
    </row>
    <row r="543">
      <c r="D543" s="172"/>
      <c r="E543" s="172"/>
      <c r="G543" s="173"/>
      <c r="H543" s="173"/>
      <c r="I543" s="173"/>
      <c r="M543" s="173"/>
      <c r="R543" s="174"/>
      <c r="S543" s="174"/>
      <c r="T543" s="90"/>
      <c r="U543" s="176"/>
      <c r="V543" s="176"/>
      <c r="W543" s="176"/>
      <c r="X543" s="176"/>
      <c r="Y543" s="176"/>
      <c r="Z543" s="177"/>
      <c r="AA543" s="176"/>
      <c r="AB543" s="176"/>
      <c r="AC543" s="176"/>
      <c r="AD543" s="178"/>
      <c r="AF543" s="179"/>
      <c r="AG543" s="179"/>
      <c r="AI543" s="180"/>
      <c r="AJ543" s="180"/>
      <c r="AK543" s="180"/>
      <c r="AL543" s="180"/>
      <c r="AM543" s="181"/>
      <c r="AN543" s="180"/>
      <c r="AO543" s="180"/>
      <c r="AP543" s="180"/>
    </row>
    <row r="544">
      <c r="D544" s="172"/>
      <c r="E544" s="172"/>
      <c r="G544" s="173"/>
      <c r="H544" s="173"/>
      <c r="I544" s="173"/>
      <c r="M544" s="173"/>
      <c r="R544" s="174"/>
      <c r="S544" s="174"/>
      <c r="T544" s="90"/>
      <c r="U544" s="176"/>
      <c r="V544" s="176"/>
      <c r="W544" s="176"/>
      <c r="X544" s="176"/>
      <c r="Y544" s="176"/>
      <c r="Z544" s="177"/>
      <c r="AA544" s="176"/>
      <c r="AB544" s="176"/>
      <c r="AC544" s="176"/>
      <c r="AD544" s="178"/>
      <c r="AF544" s="179"/>
      <c r="AG544" s="179"/>
      <c r="AI544" s="180"/>
      <c r="AJ544" s="180"/>
      <c r="AK544" s="180"/>
      <c r="AL544" s="180"/>
      <c r="AM544" s="181"/>
      <c r="AN544" s="180"/>
      <c r="AO544" s="180"/>
      <c r="AP544" s="180"/>
    </row>
    <row r="545">
      <c r="D545" s="172"/>
      <c r="E545" s="172"/>
      <c r="G545" s="173"/>
      <c r="H545" s="173"/>
      <c r="I545" s="173"/>
      <c r="M545" s="173"/>
      <c r="R545" s="174"/>
      <c r="S545" s="174"/>
      <c r="T545" s="90"/>
      <c r="U545" s="176"/>
      <c r="V545" s="176"/>
      <c r="W545" s="176"/>
      <c r="X545" s="176"/>
      <c r="Y545" s="176"/>
      <c r="Z545" s="177"/>
      <c r="AA545" s="176"/>
      <c r="AB545" s="176"/>
      <c r="AC545" s="176"/>
      <c r="AD545" s="178"/>
      <c r="AF545" s="179"/>
      <c r="AG545" s="179"/>
      <c r="AI545" s="180"/>
      <c r="AJ545" s="180"/>
      <c r="AK545" s="180"/>
      <c r="AL545" s="180"/>
      <c r="AM545" s="181"/>
      <c r="AN545" s="180"/>
      <c r="AO545" s="180"/>
      <c r="AP545" s="180"/>
    </row>
    <row r="546">
      <c r="D546" s="172"/>
      <c r="E546" s="172"/>
      <c r="G546" s="173"/>
      <c r="H546" s="173"/>
      <c r="I546" s="173"/>
      <c r="M546" s="173"/>
      <c r="R546" s="174"/>
      <c r="S546" s="174"/>
      <c r="T546" s="90"/>
      <c r="U546" s="176"/>
      <c r="V546" s="176"/>
      <c r="W546" s="176"/>
      <c r="X546" s="176"/>
      <c r="Y546" s="176"/>
      <c r="Z546" s="177"/>
      <c r="AA546" s="176"/>
      <c r="AB546" s="176"/>
      <c r="AC546" s="176"/>
      <c r="AD546" s="178"/>
      <c r="AF546" s="179"/>
      <c r="AG546" s="179"/>
      <c r="AI546" s="180"/>
      <c r="AJ546" s="180"/>
      <c r="AK546" s="180"/>
      <c r="AL546" s="180"/>
      <c r="AM546" s="181"/>
      <c r="AN546" s="180"/>
      <c r="AO546" s="180"/>
      <c r="AP546" s="180"/>
    </row>
    <row r="547">
      <c r="D547" s="172"/>
      <c r="E547" s="172"/>
      <c r="G547" s="173"/>
      <c r="H547" s="173"/>
      <c r="I547" s="173"/>
      <c r="M547" s="173"/>
      <c r="R547" s="174"/>
      <c r="S547" s="174"/>
      <c r="T547" s="90"/>
      <c r="U547" s="176"/>
      <c r="V547" s="176"/>
      <c r="W547" s="176"/>
      <c r="X547" s="176"/>
      <c r="Y547" s="176"/>
      <c r="Z547" s="177"/>
      <c r="AA547" s="176"/>
      <c r="AB547" s="176"/>
      <c r="AC547" s="176"/>
      <c r="AD547" s="178"/>
      <c r="AF547" s="179"/>
      <c r="AG547" s="179"/>
      <c r="AI547" s="180"/>
      <c r="AJ547" s="180"/>
      <c r="AK547" s="180"/>
      <c r="AL547" s="180"/>
      <c r="AM547" s="181"/>
      <c r="AN547" s="180"/>
      <c r="AO547" s="180"/>
      <c r="AP547" s="180"/>
    </row>
    <row r="548">
      <c r="D548" s="172"/>
      <c r="E548" s="172"/>
      <c r="G548" s="173"/>
      <c r="H548" s="173"/>
      <c r="I548" s="173"/>
      <c r="M548" s="173"/>
      <c r="R548" s="174"/>
      <c r="S548" s="174"/>
      <c r="T548" s="90"/>
      <c r="U548" s="176"/>
      <c r="V548" s="176"/>
      <c r="W548" s="176"/>
      <c r="X548" s="176"/>
      <c r="Y548" s="176"/>
      <c r="Z548" s="177"/>
      <c r="AA548" s="176"/>
      <c r="AB548" s="176"/>
      <c r="AC548" s="176"/>
      <c r="AD548" s="178"/>
      <c r="AF548" s="179"/>
      <c r="AG548" s="179"/>
      <c r="AI548" s="180"/>
      <c r="AJ548" s="180"/>
      <c r="AK548" s="180"/>
      <c r="AL548" s="180"/>
      <c r="AM548" s="181"/>
      <c r="AN548" s="180"/>
      <c r="AO548" s="180"/>
      <c r="AP548" s="180"/>
    </row>
    <row r="549">
      <c r="D549" s="172"/>
      <c r="E549" s="172"/>
      <c r="G549" s="173"/>
      <c r="H549" s="173"/>
      <c r="I549" s="173"/>
      <c r="M549" s="173"/>
      <c r="R549" s="174"/>
      <c r="S549" s="174"/>
      <c r="T549" s="90"/>
      <c r="U549" s="176"/>
      <c r="V549" s="176"/>
      <c r="W549" s="176"/>
      <c r="X549" s="176"/>
      <c r="Y549" s="176"/>
      <c r="Z549" s="177"/>
      <c r="AA549" s="176"/>
      <c r="AB549" s="176"/>
      <c r="AC549" s="176"/>
      <c r="AD549" s="178"/>
      <c r="AF549" s="179"/>
      <c r="AG549" s="179"/>
      <c r="AI549" s="180"/>
      <c r="AJ549" s="180"/>
      <c r="AK549" s="180"/>
      <c r="AL549" s="180"/>
      <c r="AM549" s="181"/>
      <c r="AN549" s="180"/>
      <c r="AO549" s="180"/>
      <c r="AP549" s="180"/>
    </row>
    <row r="550">
      <c r="D550" s="172"/>
      <c r="E550" s="172"/>
      <c r="G550" s="173"/>
      <c r="H550" s="173"/>
      <c r="I550" s="173"/>
      <c r="M550" s="173"/>
      <c r="R550" s="174"/>
      <c r="S550" s="174"/>
      <c r="T550" s="90"/>
      <c r="U550" s="176"/>
      <c r="V550" s="176"/>
      <c r="W550" s="176"/>
      <c r="X550" s="176"/>
      <c r="Y550" s="176"/>
      <c r="Z550" s="177"/>
      <c r="AA550" s="176"/>
      <c r="AB550" s="176"/>
      <c r="AC550" s="176"/>
      <c r="AD550" s="178"/>
      <c r="AF550" s="179"/>
      <c r="AG550" s="179"/>
      <c r="AI550" s="180"/>
      <c r="AJ550" s="180"/>
      <c r="AK550" s="180"/>
      <c r="AL550" s="180"/>
      <c r="AM550" s="181"/>
      <c r="AN550" s="180"/>
      <c r="AO550" s="180"/>
      <c r="AP550" s="180"/>
    </row>
    <row r="551">
      <c r="D551" s="172"/>
      <c r="E551" s="172"/>
      <c r="G551" s="173"/>
      <c r="H551" s="173"/>
      <c r="I551" s="173"/>
      <c r="M551" s="173"/>
      <c r="R551" s="174"/>
      <c r="S551" s="174"/>
      <c r="T551" s="90"/>
      <c r="U551" s="176"/>
      <c r="V551" s="176"/>
      <c r="W551" s="176"/>
      <c r="X551" s="176"/>
      <c r="Y551" s="176"/>
      <c r="Z551" s="177"/>
      <c r="AA551" s="176"/>
      <c r="AB551" s="176"/>
      <c r="AC551" s="176"/>
      <c r="AD551" s="178"/>
      <c r="AF551" s="179"/>
      <c r="AG551" s="179"/>
      <c r="AI551" s="180"/>
      <c r="AJ551" s="180"/>
      <c r="AK551" s="180"/>
      <c r="AL551" s="180"/>
      <c r="AM551" s="181"/>
      <c r="AN551" s="180"/>
      <c r="AO551" s="180"/>
      <c r="AP551" s="180"/>
    </row>
    <row r="552">
      <c r="D552" s="172"/>
      <c r="E552" s="172"/>
      <c r="G552" s="173"/>
      <c r="H552" s="173"/>
      <c r="I552" s="173"/>
      <c r="M552" s="173"/>
      <c r="R552" s="174"/>
      <c r="S552" s="174"/>
      <c r="T552" s="90"/>
      <c r="U552" s="176"/>
      <c r="V552" s="176"/>
      <c r="W552" s="176"/>
      <c r="X552" s="176"/>
      <c r="Y552" s="176"/>
      <c r="Z552" s="177"/>
      <c r="AA552" s="176"/>
      <c r="AB552" s="176"/>
      <c r="AC552" s="176"/>
      <c r="AD552" s="178"/>
      <c r="AF552" s="179"/>
      <c r="AG552" s="179"/>
      <c r="AI552" s="180"/>
      <c r="AJ552" s="180"/>
      <c r="AK552" s="180"/>
      <c r="AL552" s="180"/>
      <c r="AM552" s="181"/>
      <c r="AN552" s="180"/>
      <c r="AO552" s="180"/>
      <c r="AP552" s="180"/>
    </row>
    <row r="553">
      <c r="D553" s="172"/>
      <c r="E553" s="172"/>
      <c r="G553" s="173"/>
      <c r="H553" s="173"/>
      <c r="I553" s="173"/>
      <c r="M553" s="173"/>
      <c r="R553" s="174"/>
      <c r="S553" s="174"/>
      <c r="T553" s="90"/>
      <c r="U553" s="176"/>
      <c r="V553" s="176"/>
      <c r="W553" s="176"/>
      <c r="X553" s="176"/>
      <c r="Y553" s="176"/>
      <c r="Z553" s="177"/>
      <c r="AA553" s="176"/>
      <c r="AB553" s="176"/>
      <c r="AC553" s="176"/>
      <c r="AD553" s="178"/>
      <c r="AF553" s="179"/>
      <c r="AG553" s="179"/>
      <c r="AI553" s="180"/>
      <c r="AJ553" s="180"/>
      <c r="AK553" s="180"/>
      <c r="AL553" s="180"/>
      <c r="AM553" s="181"/>
      <c r="AN553" s="180"/>
      <c r="AO553" s="180"/>
      <c r="AP553" s="180"/>
    </row>
    <row r="554">
      <c r="D554" s="172"/>
      <c r="E554" s="172"/>
      <c r="G554" s="173"/>
      <c r="H554" s="173"/>
      <c r="I554" s="173"/>
      <c r="M554" s="173"/>
      <c r="R554" s="174"/>
      <c r="S554" s="174"/>
      <c r="T554" s="90"/>
      <c r="U554" s="176"/>
      <c r="V554" s="176"/>
      <c r="W554" s="176"/>
      <c r="X554" s="176"/>
      <c r="Y554" s="176"/>
      <c r="Z554" s="177"/>
      <c r="AA554" s="176"/>
      <c r="AB554" s="176"/>
      <c r="AC554" s="176"/>
      <c r="AD554" s="178"/>
      <c r="AF554" s="179"/>
      <c r="AG554" s="179"/>
      <c r="AI554" s="180"/>
      <c r="AJ554" s="180"/>
      <c r="AK554" s="180"/>
      <c r="AL554" s="180"/>
      <c r="AM554" s="181"/>
      <c r="AN554" s="180"/>
      <c r="AO554" s="180"/>
      <c r="AP554" s="180"/>
    </row>
    <row r="555">
      <c r="D555" s="172"/>
      <c r="E555" s="172"/>
      <c r="G555" s="173"/>
      <c r="H555" s="173"/>
      <c r="I555" s="173"/>
      <c r="M555" s="173"/>
      <c r="R555" s="174"/>
      <c r="S555" s="174"/>
      <c r="T555" s="90"/>
      <c r="U555" s="176"/>
      <c r="V555" s="176"/>
      <c r="W555" s="176"/>
      <c r="X555" s="176"/>
      <c r="Y555" s="176"/>
      <c r="Z555" s="177"/>
      <c r="AA555" s="176"/>
      <c r="AB555" s="176"/>
      <c r="AC555" s="176"/>
      <c r="AD555" s="178"/>
      <c r="AF555" s="179"/>
      <c r="AG555" s="179"/>
      <c r="AI555" s="180"/>
      <c r="AJ555" s="180"/>
      <c r="AK555" s="180"/>
      <c r="AL555" s="180"/>
      <c r="AM555" s="181"/>
      <c r="AN555" s="180"/>
      <c r="AO555" s="180"/>
      <c r="AP555" s="180"/>
    </row>
    <row r="556">
      <c r="D556" s="172"/>
      <c r="E556" s="172"/>
      <c r="G556" s="173"/>
      <c r="H556" s="173"/>
      <c r="I556" s="173"/>
      <c r="M556" s="173"/>
      <c r="R556" s="174"/>
      <c r="S556" s="174"/>
      <c r="T556" s="90"/>
      <c r="U556" s="176"/>
      <c r="V556" s="176"/>
      <c r="W556" s="176"/>
      <c r="X556" s="176"/>
      <c r="Y556" s="176"/>
      <c r="Z556" s="177"/>
      <c r="AA556" s="176"/>
      <c r="AB556" s="176"/>
      <c r="AC556" s="176"/>
      <c r="AD556" s="178"/>
      <c r="AF556" s="179"/>
      <c r="AG556" s="179"/>
      <c r="AI556" s="180"/>
      <c r="AJ556" s="180"/>
      <c r="AK556" s="180"/>
      <c r="AL556" s="180"/>
      <c r="AM556" s="181"/>
      <c r="AN556" s="180"/>
      <c r="AO556" s="180"/>
      <c r="AP556" s="180"/>
    </row>
    <row r="557">
      <c r="D557" s="172"/>
      <c r="E557" s="172"/>
      <c r="G557" s="173"/>
      <c r="H557" s="173"/>
      <c r="I557" s="173"/>
      <c r="M557" s="173"/>
      <c r="R557" s="174"/>
      <c r="S557" s="174"/>
      <c r="T557" s="90"/>
      <c r="U557" s="176"/>
      <c r="V557" s="176"/>
      <c r="W557" s="176"/>
      <c r="X557" s="176"/>
      <c r="Y557" s="176"/>
      <c r="Z557" s="177"/>
      <c r="AA557" s="176"/>
      <c r="AB557" s="176"/>
      <c r="AC557" s="176"/>
      <c r="AD557" s="178"/>
      <c r="AF557" s="179"/>
      <c r="AG557" s="179"/>
      <c r="AI557" s="180"/>
      <c r="AJ557" s="180"/>
      <c r="AK557" s="180"/>
      <c r="AL557" s="180"/>
      <c r="AM557" s="181"/>
      <c r="AN557" s="180"/>
      <c r="AO557" s="180"/>
      <c r="AP557" s="180"/>
    </row>
    <row r="558">
      <c r="D558" s="172"/>
      <c r="E558" s="172"/>
      <c r="G558" s="173"/>
      <c r="H558" s="173"/>
      <c r="I558" s="173"/>
      <c r="M558" s="173"/>
      <c r="R558" s="174"/>
      <c r="S558" s="174"/>
      <c r="T558" s="90"/>
      <c r="U558" s="176"/>
      <c r="V558" s="176"/>
      <c r="W558" s="176"/>
      <c r="X558" s="176"/>
      <c r="Y558" s="176"/>
      <c r="Z558" s="177"/>
      <c r="AA558" s="176"/>
      <c r="AB558" s="176"/>
      <c r="AC558" s="176"/>
      <c r="AD558" s="178"/>
      <c r="AF558" s="179"/>
      <c r="AG558" s="179"/>
      <c r="AI558" s="180"/>
      <c r="AJ558" s="180"/>
      <c r="AK558" s="180"/>
      <c r="AL558" s="180"/>
      <c r="AM558" s="181"/>
      <c r="AN558" s="180"/>
      <c r="AO558" s="180"/>
      <c r="AP558" s="180"/>
    </row>
    <row r="559">
      <c r="D559" s="172"/>
      <c r="E559" s="172"/>
      <c r="G559" s="173"/>
      <c r="H559" s="173"/>
      <c r="I559" s="173"/>
      <c r="M559" s="173"/>
      <c r="R559" s="174"/>
      <c r="S559" s="174"/>
      <c r="T559" s="90"/>
      <c r="U559" s="176"/>
      <c r="V559" s="176"/>
      <c r="W559" s="176"/>
      <c r="X559" s="176"/>
      <c r="Y559" s="176"/>
      <c r="Z559" s="177"/>
      <c r="AA559" s="176"/>
      <c r="AB559" s="176"/>
      <c r="AC559" s="176"/>
      <c r="AD559" s="178"/>
      <c r="AF559" s="179"/>
      <c r="AG559" s="179"/>
      <c r="AI559" s="180"/>
      <c r="AJ559" s="180"/>
      <c r="AK559" s="180"/>
      <c r="AL559" s="180"/>
      <c r="AM559" s="181"/>
      <c r="AN559" s="180"/>
      <c r="AO559" s="180"/>
      <c r="AP559" s="180"/>
    </row>
    <row r="560">
      <c r="D560" s="172"/>
      <c r="E560" s="172"/>
      <c r="G560" s="173"/>
      <c r="H560" s="173"/>
      <c r="I560" s="173"/>
      <c r="M560" s="173"/>
      <c r="R560" s="174"/>
      <c r="S560" s="174"/>
      <c r="T560" s="90"/>
      <c r="U560" s="176"/>
      <c r="V560" s="176"/>
      <c r="W560" s="176"/>
      <c r="X560" s="176"/>
      <c r="Y560" s="176"/>
      <c r="Z560" s="177"/>
      <c r="AA560" s="176"/>
      <c r="AB560" s="176"/>
      <c r="AC560" s="176"/>
      <c r="AD560" s="178"/>
      <c r="AF560" s="179"/>
      <c r="AG560" s="179"/>
      <c r="AI560" s="180"/>
      <c r="AJ560" s="180"/>
      <c r="AK560" s="180"/>
      <c r="AL560" s="180"/>
      <c r="AM560" s="181"/>
      <c r="AN560" s="180"/>
      <c r="AO560" s="180"/>
      <c r="AP560" s="180"/>
    </row>
    <row r="561">
      <c r="D561" s="172"/>
      <c r="E561" s="172"/>
      <c r="G561" s="173"/>
      <c r="H561" s="173"/>
      <c r="I561" s="173"/>
      <c r="M561" s="173"/>
      <c r="R561" s="174"/>
      <c r="S561" s="174"/>
      <c r="T561" s="90"/>
      <c r="U561" s="176"/>
      <c r="V561" s="176"/>
      <c r="W561" s="176"/>
      <c r="X561" s="176"/>
      <c r="Y561" s="176"/>
      <c r="Z561" s="177"/>
      <c r="AA561" s="176"/>
      <c r="AB561" s="176"/>
      <c r="AC561" s="176"/>
      <c r="AD561" s="178"/>
      <c r="AF561" s="179"/>
      <c r="AG561" s="179"/>
      <c r="AI561" s="180"/>
      <c r="AJ561" s="180"/>
      <c r="AK561" s="180"/>
      <c r="AL561" s="180"/>
      <c r="AM561" s="181"/>
      <c r="AN561" s="180"/>
      <c r="AO561" s="180"/>
      <c r="AP561" s="180"/>
    </row>
    <row r="562">
      <c r="D562" s="172"/>
      <c r="E562" s="172"/>
      <c r="G562" s="173"/>
      <c r="H562" s="173"/>
      <c r="I562" s="173"/>
      <c r="M562" s="173"/>
      <c r="R562" s="174"/>
      <c r="S562" s="174"/>
      <c r="T562" s="90"/>
      <c r="U562" s="176"/>
      <c r="V562" s="176"/>
      <c r="W562" s="176"/>
      <c r="X562" s="176"/>
      <c r="Y562" s="176"/>
      <c r="Z562" s="177"/>
      <c r="AA562" s="176"/>
      <c r="AB562" s="176"/>
      <c r="AC562" s="176"/>
      <c r="AD562" s="178"/>
      <c r="AF562" s="179"/>
      <c r="AG562" s="179"/>
      <c r="AI562" s="180"/>
      <c r="AJ562" s="180"/>
      <c r="AK562" s="180"/>
      <c r="AL562" s="180"/>
      <c r="AM562" s="181"/>
      <c r="AN562" s="180"/>
      <c r="AO562" s="180"/>
      <c r="AP562" s="180"/>
    </row>
    <row r="563">
      <c r="D563" s="172"/>
      <c r="E563" s="172"/>
      <c r="G563" s="173"/>
      <c r="H563" s="173"/>
      <c r="I563" s="173"/>
      <c r="M563" s="173"/>
      <c r="R563" s="174"/>
      <c r="S563" s="174"/>
      <c r="T563" s="90"/>
      <c r="U563" s="176"/>
      <c r="V563" s="176"/>
      <c r="W563" s="176"/>
      <c r="X563" s="176"/>
      <c r="Y563" s="176"/>
      <c r="Z563" s="177"/>
      <c r="AA563" s="176"/>
      <c r="AB563" s="176"/>
      <c r="AC563" s="176"/>
      <c r="AD563" s="178"/>
      <c r="AF563" s="179"/>
      <c r="AG563" s="179"/>
      <c r="AI563" s="180"/>
      <c r="AJ563" s="180"/>
      <c r="AK563" s="180"/>
      <c r="AL563" s="180"/>
      <c r="AM563" s="181"/>
      <c r="AN563" s="180"/>
      <c r="AO563" s="180"/>
      <c r="AP563" s="180"/>
    </row>
    <row r="564">
      <c r="D564" s="172"/>
      <c r="E564" s="172"/>
      <c r="G564" s="173"/>
      <c r="H564" s="173"/>
      <c r="I564" s="173"/>
      <c r="M564" s="173"/>
      <c r="R564" s="174"/>
      <c r="S564" s="174"/>
      <c r="T564" s="90"/>
      <c r="U564" s="176"/>
      <c r="V564" s="176"/>
      <c r="W564" s="176"/>
      <c r="X564" s="176"/>
      <c r="Y564" s="176"/>
      <c r="Z564" s="177"/>
      <c r="AA564" s="176"/>
      <c r="AB564" s="176"/>
      <c r="AC564" s="176"/>
      <c r="AD564" s="178"/>
      <c r="AF564" s="179"/>
      <c r="AG564" s="179"/>
      <c r="AI564" s="180"/>
      <c r="AJ564" s="180"/>
      <c r="AK564" s="180"/>
      <c r="AL564" s="180"/>
      <c r="AM564" s="181"/>
      <c r="AN564" s="180"/>
      <c r="AO564" s="180"/>
      <c r="AP564" s="180"/>
    </row>
    <row r="565">
      <c r="D565" s="172"/>
      <c r="E565" s="172"/>
      <c r="G565" s="173"/>
      <c r="H565" s="173"/>
      <c r="I565" s="173"/>
      <c r="M565" s="173"/>
      <c r="R565" s="174"/>
      <c r="S565" s="174"/>
      <c r="T565" s="90"/>
      <c r="U565" s="176"/>
      <c r="V565" s="176"/>
      <c r="W565" s="176"/>
      <c r="X565" s="176"/>
      <c r="Y565" s="176"/>
      <c r="Z565" s="177"/>
      <c r="AA565" s="176"/>
      <c r="AB565" s="176"/>
      <c r="AC565" s="176"/>
      <c r="AD565" s="178"/>
      <c r="AF565" s="179"/>
      <c r="AG565" s="179"/>
      <c r="AI565" s="180"/>
      <c r="AJ565" s="180"/>
      <c r="AK565" s="180"/>
      <c r="AL565" s="180"/>
      <c r="AM565" s="181"/>
      <c r="AN565" s="180"/>
      <c r="AO565" s="180"/>
      <c r="AP565" s="180"/>
    </row>
    <row r="566">
      <c r="D566" s="172"/>
      <c r="E566" s="172"/>
      <c r="G566" s="173"/>
      <c r="H566" s="173"/>
      <c r="I566" s="173"/>
      <c r="M566" s="173"/>
      <c r="R566" s="174"/>
      <c r="S566" s="174"/>
      <c r="T566" s="90"/>
      <c r="U566" s="176"/>
      <c r="V566" s="176"/>
      <c r="W566" s="176"/>
      <c r="X566" s="176"/>
      <c r="Y566" s="176"/>
      <c r="Z566" s="177"/>
      <c r="AA566" s="176"/>
      <c r="AB566" s="176"/>
      <c r="AC566" s="176"/>
      <c r="AD566" s="178"/>
      <c r="AF566" s="179"/>
      <c r="AG566" s="179"/>
      <c r="AI566" s="180"/>
      <c r="AJ566" s="180"/>
      <c r="AK566" s="180"/>
      <c r="AL566" s="180"/>
      <c r="AM566" s="181"/>
      <c r="AN566" s="180"/>
      <c r="AO566" s="180"/>
      <c r="AP566" s="180"/>
    </row>
    <row r="567">
      <c r="D567" s="172"/>
      <c r="E567" s="172"/>
      <c r="G567" s="173"/>
      <c r="H567" s="173"/>
      <c r="I567" s="173"/>
      <c r="M567" s="173"/>
      <c r="R567" s="174"/>
      <c r="S567" s="174"/>
      <c r="T567" s="90"/>
      <c r="U567" s="176"/>
      <c r="V567" s="176"/>
      <c r="W567" s="176"/>
      <c r="X567" s="176"/>
      <c r="Y567" s="176"/>
      <c r="Z567" s="177"/>
      <c r="AA567" s="176"/>
      <c r="AB567" s="176"/>
      <c r="AC567" s="176"/>
      <c r="AD567" s="178"/>
      <c r="AF567" s="179"/>
      <c r="AG567" s="179"/>
      <c r="AI567" s="180"/>
      <c r="AJ567" s="180"/>
      <c r="AK567" s="180"/>
      <c r="AL567" s="180"/>
      <c r="AM567" s="181"/>
      <c r="AN567" s="180"/>
      <c r="AO567" s="180"/>
      <c r="AP567" s="180"/>
    </row>
    <row r="568">
      <c r="D568" s="172"/>
      <c r="E568" s="172"/>
      <c r="G568" s="173"/>
      <c r="H568" s="173"/>
      <c r="I568" s="173"/>
      <c r="M568" s="173"/>
      <c r="R568" s="174"/>
      <c r="S568" s="174"/>
      <c r="T568" s="90"/>
      <c r="U568" s="176"/>
      <c r="V568" s="176"/>
      <c r="W568" s="176"/>
      <c r="X568" s="176"/>
      <c r="Y568" s="176"/>
      <c r="Z568" s="177"/>
      <c r="AA568" s="176"/>
      <c r="AB568" s="176"/>
      <c r="AC568" s="176"/>
      <c r="AD568" s="178"/>
      <c r="AF568" s="179"/>
      <c r="AG568" s="179"/>
      <c r="AI568" s="180"/>
      <c r="AJ568" s="180"/>
      <c r="AK568" s="180"/>
      <c r="AL568" s="180"/>
      <c r="AM568" s="181"/>
      <c r="AN568" s="180"/>
      <c r="AO568" s="180"/>
      <c r="AP568" s="180"/>
    </row>
    <row r="569">
      <c r="D569" s="172"/>
      <c r="E569" s="172"/>
      <c r="G569" s="173"/>
      <c r="H569" s="173"/>
      <c r="I569" s="173"/>
      <c r="M569" s="173"/>
      <c r="R569" s="174"/>
      <c r="S569" s="174"/>
      <c r="T569" s="90"/>
      <c r="U569" s="176"/>
      <c r="V569" s="176"/>
      <c r="W569" s="176"/>
      <c r="X569" s="176"/>
      <c r="Y569" s="176"/>
      <c r="Z569" s="177"/>
      <c r="AA569" s="176"/>
      <c r="AB569" s="176"/>
      <c r="AC569" s="176"/>
      <c r="AD569" s="178"/>
      <c r="AF569" s="179"/>
      <c r="AG569" s="179"/>
      <c r="AI569" s="180"/>
      <c r="AJ569" s="180"/>
      <c r="AK569" s="180"/>
      <c r="AL569" s="180"/>
      <c r="AM569" s="181"/>
      <c r="AN569" s="180"/>
      <c r="AO569" s="180"/>
      <c r="AP569" s="180"/>
    </row>
    <row r="570">
      <c r="D570" s="172"/>
      <c r="E570" s="172"/>
      <c r="G570" s="173"/>
      <c r="H570" s="173"/>
      <c r="I570" s="173"/>
      <c r="M570" s="173"/>
      <c r="R570" s="174"/>
      <c r="S570" s="174"/>
      <c r="T570" s="90"/>
      <c r="U570" s="176"/>
      <c r="V570" s="176"/>
      <c r="W570" s="176"/>
      <c r="X570" s="176"/>
      <c r="Y570" s="176"/>
      <c r="Z570" s="177"/>
      <c r="AA570" s="176"/>
      <c r="AB570" s="176"/>
      <c r="AC570" s="176"/>
      <c r="AD570" s="178"/>
      <c r="AF570" s="179"/>
      <c r="AG570" s="179"/>
      <c r="AI570" s="180"/>
      <c r="AJ570" s="180"/>
      <c r="AK570" s="180"/>
      <c r="AL570" s="180"/>
      <c r="AM570" s="181"/>
      <c r="AN570" s="180"/>
      <c r="AO570" s="180"/>
      <c r="AP570" s="180"/>
    </row>
    <row r="571">
      <c r="D571" s="172"/>
      <c r="E571" s="172"/>
      <c r="G571" s="173"/>
      <c r="H571" s="173"/>
      <c r="I571" s="173"/>
      <c r="M571" s="173"/>
      <c r="R571" s="174"/>
      <c r="S571" s="174"/>
      <c r="T571" s="90"/>
      <c r="U571" s="176"/>
      <c r="V571" s="176"/>
      <c r="W571" s="176"/>
      <c r="X571" s="176"/>
      <c r="Y571" s="176"/>
      <c r="Z571" s="177"/>
      <c r="AA571" s="176"/>
      <c r="AB571" s="176"/>
      <c r="AC571" s="176"/>
      <c r="AD571" s="178"/>
      <c r="AF571" s="179"/>
      <c r="AG571" s="179"/>
      <c r="AI571" s="180"/>
      <c r="AJ571" s="180"/>
      <c r="AK571" s="180"/>
      <c r="AL571" s="180"/>
      <c r="AM571" s="181"/>
      <c r="AN571" s="180"/>
      <c r="AO571" s="180"/>
      <c r="AP571" s="180"/>
    </row>
    <row r="572">
      <c r="D572" s="172"/>
      <c r="E572" s="172"/>
      <c r="G572" s="173"/>
      <c r="H572" s="173"/>
      <c r="I572" s="173"/>
      <c r="M572" s="173"/>
      <c r="R572" s="174"/>
      <c r="S572" s="174"/>
      <c r="T572" s="90"/>
      <c r="U572" s="176"/>
      <c r="V572" s="176"/>
      <c r="W572" s="176"/>
      <c r="X572" s="176"/>
      <c r="Y572" s="176"/>
      <c r="Z572" s="177"/>
      <c r="AA572" s="176"/>
      <c r="AB572" s="176"/>
      <c r="AC572" s="176"/>
      <c r="AD572" s="178"/>
      <c r="AF572" s="179"/>
      <c r="AG572" s="179"/>
      <c r="AI572" s="180"/>
      <c r="AJ572" s="180"/>
      <c r="AK572" s="180"/>
      <c r="AL572" s="180"/>
      <c r="AM572" s="181"/>
      <c r="AN572" s="180"/>
      <c r="AO572" s="180"/>
      <c r="AP572" s="180"/>
    </row>
    <row r="573">
      <c r="D573" s="172"/>
      <c r="E573" s="172"/>
      <c r="G573" s="173"/>
      <c r="H573" s="173"/>
      <c r="I573" s="173"/>
      <c r="M573" s="173"/>
      <c r="R573" s="174"/>
      <c r="S573" s="174"/>
      <c r="T573" s="90"/>
      <c r="U573" s="176"/>
      <c r="V573" s="176"/>
      <c r="W573" s="176"/>
      <c r="X573" s="176"/>
      <c r="Y573" s="176"/>
      <c r="Z573" s="177"/>
      <c r="AA573" s="176"/>
      <c r="AB573" s="176"/>
      <c r="AC573" s="176"/>
      <c r="AD573" s="178"/>
      <c r="AF573" s="179"/>
      <c r="AG573" s="179"/>
      <c r="AI573" s="180"/>
      <c r="AJ573" s="180"/>
      <c r="AK573" s="180"/>
      <c r="AL573" s="180"/>
      <c r="AM573" s="181"/>
      <c r="AN573" s="180"/>
      <c r="AO573" s="180"/>
      <c r="AP573" s="180"/>
    </row>
    <row r="574">
      <c r="D574" s="172"/>
      <c r="E574" s="172"/>
      <c r="G574" s="173"/>
      <c r="H574" s="173"/>
      <c r="I574" s="173"/>
      <c r="M574" s="173"/>
      <c r="R574" s="174"/>
      <c r="S574" s="174"/>
      <c r="T574" s="90"/>
      <c r="U574" s="176"/>
      <c r="V574" s="176"/>
      <c r="W574" s="176"/>
      <c r="X574" s="176"/>
      <c r="Y574" s="176"/>
      <c r="Z574" s="177"/>
      <c r="AA574" s="176"/>
      <c r="AB574" s="176"/>
      <c r="AC574" s="176"/>
      <c r="AD574" s="178"/>
      <c r="AF574" s="179"/>
      <c r="AG574" s="179"/>
      <c r="AI574" s="180"/>
      <c r="AJ574" s="180"/>
      <c r="AK574" s="180"/>
      <c r="AL574" s="180"/>
      <c r="AM574" s="181"/>
      <c r="AN574" s="180"/>
      <c r="AO574" s="180"/>
      <c r="AP574" s="180"/>
    </row>
    <row r="575">
      <c r="D575" s="172"/>
      <c r="E575" s="172"/>
      <c r="G575" s="173"/>
      <c r="H575" s="173"/>
      <c r="I575" s="173"/>
      <c r="M575" s="173"/>
      <c r="R575" s="174"/>
      <c r="S575" s="174"/>
      <c r="T575" s="90"/>
      <c r="U575" s="176"/>
      <c r="V575" s="176"/>
      <c r="W575" s="176"/>
      <c r="X575" s="176"/>
      <c r="Y575" s="176"/>
      <c r="Z575" s="177"/>
      <c r="AA575" s="176"/>
      <c r="AB575" s="176"/>
      <c r="AC575" s="176"/>
      <c r="AD575" s="178"/>
      <c r="AF575" s="179"/>
      <c r="AG575" s="179"/>
      <c r="AI575" s="180"/>
      <c r="AJ575" s="180"/>
      <c r="AK575" s="180"/>
      <c r="AL575" s="180"/>
      <c r="AM575" s="181"/>
      <c r="AN575" s="180"/>
      <c r="AO575" s="180"/>
      <c r="AP575" s="180"/>
    </row>
    <row r="576">
      <c r="D576" s="172"/>
      <c r="E576" s="172"/>
      <c r="G576" s="173"/>
      <c r="H576" s="173"/>
      <c r="I576" s="173"/>
      <c r="M576" s="173"/>
      <c r="R576" s="174"/>
      <c r="S576" s="174"/>
      <c r="T576" s="90"/>
      <c r="U576" s="176"/>
      <c r="V576" s="176"/>
      <c r="W576" s="176"/>
      <c r="X576" s="176"/>
      <c r="Y576" s="176"/>
      <c r="Z576" s="177"/>
      <c r="AA576" s="176"/>
      <c r="AB576" s="176"/>
      <c r="AC576" s="176"/>
      <c r="AD576" s="178"/>
      <c r="AF576" s="179"/>
      <c r="AG576" s="179"/>
      <c r="AI576" s="180"/>
      <c r="AJ576" s="180"/>
      <c r="AK576" s="180"/>
      <c r="AL576" s="180"/>
      <c r="AM576" s="181"/>
      <c r="AN576" s="180"/>
      <c r="AO576" s="180"/>
      <c r="AP576" s="180"/>
    </row>
    <row r="577">
      <c r="D577" s="172"/>
      <c r="E577" s="172"/>
      <c r="G577" s="173"/>
      <c r="H577" s="173"/>
      <c r="I577" s="173"/>
      <c r="M577" s="173"/>
      <c r="R577" s="174"/>
      <c r="S577" s="174"/>
      <c r="T577" s="90"/>
      <c r="U577" s="176"/>
      <c r="V577" s="176"/>
      <c r="W577" s="176"/>
      <c r="X577" s="176"/>
      <c r="Y577" s="176"/>
      <c r="Z577" s="177"/>
      <c r="AA577" s="176"/>
      <c r="AB577" s="176"/>
      <c r="AC577" s="176"/>
      <c r="AD577" s="178"/>
      <c r="AF577" s="179"/>
      <c r="AG577" s="179"/>
      <c r="AI577" s="180"/>
      <c r="AJ577" s="180"/>
      <c r="AK577" s="180"/>
      <c r="AL577" s="180"/>
      <c r="AM577" s="181"/>
      <c r="AN577" s="180"/>
      <c r="AO577" s="180"/>
      <c r="AP577" s="180"/>
    </row>
    <row r="578">
      <c r="D578" s="172"/>
      <c r="E578" s="172"/>
      <c r="G578" s="173"/>
      <c r="H578" s="173"/>
      <c r="I578" s="173"/>
      <c r="M578" s="173"/>
      <c r="R578" s="174"/>
      <c r="S578" s="174"/>
      <c r="T578" s="90"/>
      <c r="U578" s="176"/>
      <c r="V578" s="176"/>
      <c r="W578" s="176"/>
      <c r="X578" s="176"/>
      <c r="Y578" s="176"/>
      <c r="Z578" s="177"/>
      <c r="AA578" s="176"/>
      <c r="AB578" s="176"/>
      <c r="AC578" s="176"/>
      <c r="AD578" s="178"/>
      <c r="AF578" s="179"/>
      <c r="AG578" s="179"/>
      <c r="AI578" s="180"/>
      <c r="AJ578" s="180"/>
      <c r="AK578" s="180"/>
      <c r="AL578" s="180"/>
      <c r="AM578" s="181"/>
      <c r="AN578" s="180"/>
      <c r="AO578" s="180"/>
      <c r="AP578" s="180"/>
    </row>
    <row r="579">
      <c r="D579" s="172"/>
      <c r="E579" s="172"/>
      <c r="G579" s="173"/>
      <c r="H579" s="173"/>
      <c r="I579" s="173"/>
      <c r="M579" s="173"/>
      <c r="R579" s="174"/>
      <c r="S579" s="174"/>
      <c r="T579" s="90"/>
      <c r="U579" s="176"/>
      <c r="V579" s="176"/>
      <c r="W579" s="176"/>
      <c r="X579" s="176"/>
      <c r="Y579" s="176"/>
      <c r="Z579" s="177"/>
      <c r="AA579" s="176"/>
      <c r="AB579" s="176"/>
      <c r="AC579" s="176"/>
      <c r="AD579" s="178"/>
      <c r="AF579" s="179"/>
      <c r="AG579" s="179"/>
      <c r="AI579" s="180"/>
      <c r="AJ579" s="180"/>
      <c r="AK579" s="180"/>
      <c r="AL579" s="180"/>
      <c r="AM579" s="181"/>
      <c r="AN579" s="180"/>
      <c r="AO579" s="180"/>
      <c r="AP579" s="180"/>
    </row>
    <row r="580">
      <c r="D580" s="172"/>
      <c r="E580" s="172"/>
      <c r="G580" s="173"/>
      <c r="H580" s="173"/>
      <c r="I580" s="173"/>
      <c r="M580" s="173"/>
      <c r="R580" s="174"/>
      <c r="S580" s="174"/>
      <c r="T580" s="90"/>
      <c r="U580" s="176"/>
      <c r="V580" s="176"/>
      <c r="W580" s="176"/>
      <c r="X580" s="176"/>
      <c r="Y580" s="176"/>
      <c r="Z580" s="177"/>
      <c r="AA580" s="176"/>
      <c r="AB580" s="176"/>
      <c r="AC580" s="176"/>
      <c r="AD580" s="178"/>
      <c r="AF580" s="179"/>
      <c r="AG580" s="179"/>
      <c r="AI580" s="180"/>
      <c r="AJ580" s="180"/>
      <c r="AK580" s="180"/>
      <c r="AL580" s="180"/>
      <c r="AM580" s="181"/>
      <c r="AN580" s="180"/>
      <c r="AO580" s="180"/>
      <c r="AP580" s="180"/>
    </row>
    <row r="581">
      <c r="D581" s="172"/>
      <c r="E581" s="172"/>
      <c r="G581" s="173"/>
      <c r="H581" s="173"/>
      <c r="I581" s="173"/>
      <c r="M581" s="173"/>
      <c r="R581" s="174"/>
      <c r="S581" s="174"/>
      <c r="T581" s="90"/>
      <c r="U581" s="176"/>
      <c r="V581" s="176"/>
      <c r="W581" s="176"/>
      <c r="X581" s="176"/>
      <c r="Y581" s="176"/>
      <c r="Z581" s="177"/>
      <c r="AA581" s="176"/>
      <c r="AB581" s="176"/>
      <c r="AC581" s="176"/>
      <c r="AD581" s="178"/>
      <c r="AF581" s="179"/>
      <c r="AG581" s="179"/>
      <c r="AI581" s="180"/>
      <c r="AJ581" s="180"/>
      <c r="AK581" s="180"/>
      <c r="AL581" s="180"/>
      <c r="AM581" s="181"/>
      <c r="AN581" s="180"/>
      <c r="AO581" s="180"/>
      <c r="AP581" s="180"/>
    </row>
    <row r="582">
      <c r="D582" s="172"/>
      <c r="E582" s="172"/>
      <c r="G582" s="173"/>
      <c r="H582" s="173"/>
      <c r="I582" s="173"/>
      <c r="M582" s="173"/>
      <c r="R582" s="174"/>
      <c r="S582" s="174"/>
      <c r="T582" s="90"/>
      <c r="U582" s="176"/>
      <c r="V582" s="176"/>
      <c r="W582" s="176"/>
      <c r="X582" s="176"/>
      <c r="Y582" s="176"/>
      <c r="Z582" s="177"/>
      <c r="AA582" s="176"/>
      <c r="AB582" s="176"/>
      <c r="AC582" s="176"/>
      <c r="AD582" s="178"/>
      <c r="AF582" s="179"/>
      <c r="AG582" s="179"/>
      <c r="AI582" s="180"/>
      <c r="AJ582" s="180"/>
      <c r="AK582" s="180"/>
      <c r="AL582" s="180"/>
      <c r="AM582" s="181"/>
      <c r="AN582" s="180"/>
      <c r="AO582" s="180"/>
      <c r="AP582" s="180"/>
    </row>
    <row r="583">
      <c r="D583" s="172"/>
      <c r="E583" s="172"/>
      <c r="G583" s="173"/>
      <c r="H583" s="173"/>
      <c r="I583" s="173"/>
      <c r="M583" s="173"/>
      <c r="R583" s="174"/>
      <c r="S583" s="174"/>
      <c r="T583" s="90"/>
      <c r="U583" s="176"/>
      <c r="V583" s="176"/>
      <c r="W583" s="176"/>
      <c r="X583" s="176"/>
      <c r="Y583" s="176"/>
      <c r="Z583" s="177"/>
      <c r="AA583" s="176"/>
      <c r="AB583" s="176"/>
      <c r="AC583" s="176"/>
      <c r="AD583" s="178"/>
      <c r="AF583" s="179"/>
      <c r="AG583" s="179"/>
      <c r="AI583" s="180"/>
      <c r="AJ583" s="180"/>
      <c r="AK583" s="180"/>
      <c r="AL583" s="180"/>
      <c r="AM583" s="181"/>
      <c r="AN583" s="180"/>
      <c r="AO583" s="180"/>
      <c r="AP583" s="180"/>
    </row>
    <row r="584">
      <c r="D584" s="172"/>
      <c r="E584" s="172"/>
      <c r="G584" s="173"/>
      <c r="H584" s="173"/>
      <c r="I584" s="173"/>
      <c r="M584" s="173"/>
      <c r="R584" s="174"/>
      <c r="S584" s="174"/>
      <c r="T584" s="90"/>
      <c r="U584" s="176"/>
      <c r="V584" s="176"/>
      <c r="W584" s="176"/>
      <c r="X584" s="176"/>
      <c r="Y584" s="176"/>
      <c r="Z584" s="177"/>
      <c r="AA584" s="176"/>
      <c r="AB584" s="176"/>
      <c r="AC584" s="176"/>
      <c r="AD584" s="178"/>
      <c r="AF584" s="179"/>
      <c r="AG584" s="179"/>
      <c r="AI584" s="180"/>
      <c r="AJ584" s="180"/>
      <c r="AK584" s="180"/>
      <c r="AL584" s="180"/>
      <c r="AM584" s="181"/>
      <c r="AN584" s="180"/>
      <c r="AO584" s="180"/>
      <c r="AP584" s="180"/>
    </row>
    <row r="585">
      <c r="D585" s="172"/>
      <c r="E585" s="172"/>
      <c r="G585" s="173"/>
      <c r="H585" s="173"/>
      <c r="I585" s="173"/>
      <c r="M585" s="173"/>
      <c r="R585" s="174"/>
      <c r="S585" s="174"/>
      <c r="T585" s="90"/>
      <c r="U585" s="176"/>
      <c r="V585" s="176"/>
      <c r="W585" s="176"/>
      <c r="X585" s="176"/>
      <c r="Y585" s="176"/>
      <c r="Z585" s="177"/>
      <c r="AA585" s="176"/>
      <c r="AB585" s="176"/>
      <c r="AC585" s="176"/>
      <c r="AD585" s="178"/>
      <c r="AF585" s="179"/>
      <c r="AG585" s="179"/>
      <c r="AI585" s="180"/>
      <c r="AJ585" s="180"/>
      <c r="AK585" s="180"/>
      <c r="AL585" s="180"/>
      <c r="AM585" s="181"/>
      <c r="AN585" s="180"/>
      <c r="AO585" s="180"/>
      <c r="AP585" s="180"/>
    </row>
    <row r="586">
      <c r="D586" s="172"/>
      <c r="E586" s="172"/>
      <c r="G586" s="173"/>
      <c r="H586" s="173"/>
      <c r="I586" s="173"/>
      <c r="M586" s="173"/>
      <c r="R586" s="174"/>
      <c r="S586" s="174"/>
      <c r="T586" s="90"/>
      <c r="U586" s="176"/>
      <c r="V586" s="176"/>
      <c r="W586" s="176"/>
      <c r="X586" s="176"/>
      <c r="Y586" s="176"/>
      <c r="Z586" s="177"/>
      <c r="AA586" s="176"/>
      <c r="AB586" s="176"/>
      <c r="AC586" s="176"/>
      <c r="AD586" s="178"/>
      <c r="AF586" s="179"/>
      <c r="AG586" s="179"/>
      <c r="AI586" s="180"/>
      <c r="AJ586" s="180"/>
      <c r="AK586" s="180"/>
      <c r="AL586" s="180"/>
      <c r="AM586" s="181"/>
      <c r="AN586" s="180"/>
      <c r="AO586" s="180"/>
      <c r="AP586" s="180"/>
    </row>
    <row r="587">
      <c r="D587" s="172"/>
      <c r="E587" s="172"/>
      <c r="G587" s="173"/>
      <c r="H587" s="173"/>
      <c r="I587" s="173"/>
      <c r="M587" s="173"/>
      <c r="R587" s="174"/>
      <c r="S587" s="174"/>
      <c r="T587" s="90"/>
      <c r="U587" s="176"/>
      <c r="V587" s="176"/>
      <c r="W587" s="176"/>
      <c r="X587" s="176"/>
      <c r="Y587" s="176"/>
      <c r="Z587" s="177"/>
      <c r="AA587" s="176"/>
      <c r="AB587" s="176"/>
      <c r="AC587" s="176"/>
      <c r="AD587" s="178"/>
      <c r="AF587" s="179"/>
      <c r="AG587" s="179"/>
      <c r="AI587" s="180"/>
      <c r="AJ587" s="180"/>
      <c r="AK587" s="180"/>
      <c r="AL587" s="180"/>
      <c r="AM587" s="181"/>
      <c r="AN587" s="180"/>
      <c r="AO587" s="180"/>
      <c r="AP587" s="180"/>
    </row>
    <row r="588">
      <c r="D588" s="172"/>
      <c r="E588" s="172"/>
      <c r="G588" s="173"/>
      <c r="H588" s="173"/>
      <c r="I588" s="173"/>
      <c r="M588" s="173"/>
      <c r="R588" s="174"/>
      <c r="S588" s="174"/>
      <c r="T588" s="90"/>
      <c r="U588" s="176"/>
      <c r="V588" s="176"/>
      <c r="W588" s="176"/>
      <c r="X588" s="176"/>
      <c r="Y588" s="176"/>
      <c r="Z588" s="177"/>
      <c r="AA588" s="176"/>
      <c r="AB588" s="176"/>
      <c r="AC588" s="176"/>
      <c r="AD588" s="178"/>
      <c r="AF588" s="179"/>
      <c r="AG588" s="179"/>
      <c r="AI588" s="180"/>
      <c r="AJ588" s="180"/>
      <c r="AK588" s="180"/>
      <c r="AL588" s="180"/>
      <c r="AM588" s="181"/>
      <c r="AN588" s="180"/>
      <c r="AO588" s="180"/>
      <c r="AP588" s="180"/>
    </row>
    <row r="589">
      <c r="D589" s="172"/>
      <c r="E589" s="172"/>
      <c r="G589" s="173"/>
      <c r="H589" s="173"/>
      <c r="I589" s="173"/>
      <c r="M589" s="173"/>
      <c r="R589" s="174"/>
      <c r="S589" s="174"/>
      <c r="T589" s="90"/>
      <c r="U589" s="176"/>
      <c r="V589" s="176"/>
      <c r="W589" s="176"/>
      <c r="X589" s="176"/>
      <c r="Y589" s="176"/>
      <c r="Z589" s="177"/>
      <c r="AA589" s="176"/>
      <c r="AB589" s="176"/>
      <c r="AC589" s="176"/>
      <c r="AD589" s="178"/>
      <c r="AF589" s="179"/>
      <c r="AG589" s="179"/>
      <c r="AI589" s="180"/>
      <c r="AJ589" s="180"/>
      <c r="AK589" s="180"/>
      <c r="AL589" s="180"/>
      <c r="AM589" s="181"/>
      <c r="AN589" s="180"/>
      <c r="AO589" s="180"/>
      <c r="AP589" s="180"/>
    </row>
    <row r="590">
      <c r="D590" s="172"/>
      <c r="E590" s="172"/>
      <c r="G590" s="173"/>
      <c r="H590" s="173"/>
      <c r="I590" s="173"/>
      <c r="M590" s="173"/>
      <c r="R590" s="174"/>
      <c r="S590" s="174"/>
      <c r="T590" s="90"/>
      <c r="U590" s="176"/>
      <c r="V590" s="176"/>
      <c r="W590" s="176"/>
      <c r="X590" s="176"/>
      <c r="Y590" s="176"/>
      <c r="Z590" s="177"/>
      <c r="AA590" s="176"/>
      <c r="AB590" s="176"/>
      <c r="AC590" s="176"/>
      <c r="AD590" s="178"/>
      <c r="AF590" s="179"/>
      <c r="AG590" s="179"/>
      <c r="AI590" s="180"/>
      <c r="AJ590" s="180"/>
      <c r="AK590" s="180"/>
      <c r="AL590" s="180"/>
      <c r="AM590" s="181"/>
      <c r="AN590" s="180"/>
      <c r="AO590" s="180"/>
      <c r="AP590" s="180"/>
    </row>
    <row r="591">
      <c r="D591" s="172"/>
      <c r="E591" s="172"/>
      <c r="G591" s="173"/>
      <c r="H591" s="173"/>
      <c r="I591" s="173"/>
      <c r="M591" s="173"/>
      <c r="R591" s="174"/>
      <c r="S591" s="174"/>
      <c r="T591" s="90"/>
      <c r="U591" s="176"/>
      <c r="V591" s="176"/>
      <c r="W591" s="176"/>
      <c r="X591" s="176"/>
      <c r="Y591" s="176"/>
      <c r="Z591" s="177"/>
      <c r="AA591" s="176"/>
      <c r="AB591" s="176"/>
      <c r="AC591" s="176"/>
      <c r="AD591" s="178"/>
      <c r="AF591" s="179"/>
      <c r="AG591" s="179"/>
      <c r="AI591" s="180"/>
      <c r="AJ591" s="180"/>
      <c r="AK591" s="180"/>
      <c r="AL591" s="180"/>
      <c r="AM591" s="181"/>
      <c r="AN591" s="180"/>
      <c r="AO591" s="180"/>
      <c r="AP591" s="180"/>
    </row>
    <row r="592">
      <c r="D592" s="172"/>
      <c r="E592" s="172"/>
      <c r="G592" s="173"/>
      <c r="H592" s="173"/>
      <c r="I592" s="173"/>
      <c r="M592" s="173"/>
      <c r="R592" s="174"/>
      <c r="S592" s="174"/>
      <c r="T592" s="90"/>
      <c r="U592" s="176"/>
      <c r="V592" s="176"/>
      <c r="W592" s="176"/>
      <c r="X592" s="176"/>
      <c r="Y592" s="176"/>
      <c r="Z592" s="177"/>
      <c r="AA592" s="176"/>
      <c r="AB592" s="176"/>
      <c r="AC592" s="176"/>
      <c r="AD592" s="178"/>
      <c r="AF592" s="179"/>
      <c r="AG592" s="179"/>
      <c r="AI592" s="180"/>
      <c r="AJ592" s="180"/>
      <c r="AK592" s="180"/>
      <c r="AL592" s="180"/>
      <c r="AM592" s="181"/>
      <c r="AN592" s="180"/>
      <c r="AO592" s="180"/>
      <c r="AP592" s="180"/>
    </row>
    <row r="593">
      <c r="D593" s="172"/>
      <c r="E593" s="172"/>
      <c r="G593" s="173"/>
      <c r="H593" s="173"/>
      <c r="I593" s="173"/>
      <c r="M593" s="173"/>
      <c r="R593" s="174"/>
      <c r="S593" s="174"/>
      <c r="T593" s="90"/>
      <c r="U593" s="176"/>
      <c r="V593" s="176"/>
      <c r="W593" s="176"/>
      <c r="X593" s="176"/>
      <c r="Y593" s="176"/>
      <c r="Z593" s="177"/>
      <c r="AA593" s="176"/>
      <c r="AB593" s="176"/>
      <c r="AC593" s="176"/>
      <c r="AD593" s="178"/>
      <c r="AF593" s="179"/>
      <c r="AG593" s="179"/>
      <c r="AI593" s="180"/>
      <c r="AJ593" s="180"/>
      <c r="AK593" s="180"/>
      <c r="AL593" s="180"/>
      <c r="AM593" s="181"/>
      <c r="AN593" s="180"/>
      <c r="AO593" s="180"/>
      <c r="AP593" s="180"/>
    </row>
    <row r="594">
      <c r="D594" s="172"/>
      <c r="E594" s="172"/>
      <c r="G594" s="173"/>
      <c r="H594" s="173"/>
      <c r="I594" s="173"/>
      <c r="M594" s="173"/>
      <c r="R594" s="174"/>
      <c r="S594" s="174"/>
      <c r="T594" s="90"/>
      <c r="U594" s="176"/>
      <c r="V594" s="176"/>
      <c r="W594" s="176"/>
      <c r="X594" s="176"/>
      <c r="Y594" s="176"/>
      <c r="Z594" s="177"/>
      <c r="AA594" s="176"/>
      <c r="AB594" s="176"/>
      <c r="AC594" s="176"/>
      <c r="AD594" s="178"/>
      <c r="AF594" s="179"/>
      <c r="AG594" s="179"/>
      <c r="AI594" s="180"/>
      <c r="AJ594" s="180"/>
      <c r="AK594" s="180"/>
      <c r="AL594" s="180"/>
      <c r="AM594" s="181"/>
      <c r="AN594" s="180"/>
      <c r="AO594" s="180"/>
      <c r="AP594" s="180"/>
    </row>
    <row r="595">
      <c r="D595" s="172"/>
      <c r="E595" s="172"/>
      <c r="G595" s="173"/>
      <c r="H595" s="173"/>
      <c r="I595" s="173"/>
      <c r="M595" s="173"/>
      <c r="R595" s="174"/>
      <c r="S595" s="174"/>
      <c r="T595" s="90"/>
      <c r="U595" s="176"/>
      <c r="V595" s="176"/>
      <c r="W595" s="176"/>
      <c r="X595" s="176"/>
      <c r="Y595" s="176"/>
      <c r="Z595" s="177"/>
      <c r="AA595" s="176"/>
      <c r="AB595" s="176"/>
      <c r="AC595" s="176"/>
      <c r="AD595" s="178"/>
      <c r="AF595" s="179"/>
      <c r="AG595" s="179"/>
      <c r="AI595" s="180"/>
      <c r="AJ595" s="180"/>
      <c r="AK595" s="180"/>
      <c r="AL595" s="180"/>
      <c r="AM595" s="181"/>
      <c r="AN595" s="180"/>
      <c r="AO595" s="180"/>
      <c r="AP595" s="180"/>
    </row>
    <row r="596">
      <c r="D596" s="172"/>
      <c r="E596" s="172"/>
      <c r="G596" s="173"/>
      <c r="H596" s="173"/>
      <c r="I596" s="173"/>
      <c r="M596" s="173"/>
      <c r="R596" s="174"/>
      <c r="S596" s="174"/>
      <c r="T596" s="90"/>
      <c r="U596" s="176"/>
      <c r="V596" s="176"/>
      <c r="W596" s="176"/>
      <c r="X596" s="176"/>
      <c r="Y596" s="176"/>
      <c r="Z596" s="177"/>
      <c r="AA596" s="176"/>
      <c r="AB596" s="176"/>
      <c r="AC596" s="176"/>
      <c r="AD596" s="178"/>
      <c r="AF596" s="179"/>
      <c r="AG596" s="179"/>
      <c r="AI596" s="180"/>
      <c r="AJ596" s="180"/>
      <c r="AK596" s="180"/>
      <c r="AL596" s="180"/>
      <c r="AM596" s="181"/>
      <c r="AN596" s="180"/>
      <c r="AO596" s="180"/>
      <c r="AP596" s="180"/>
    </row>
    <row r="597">
      <c r="D597" s="172"/>
      <c r="E597" s="172"/>
      <c r="G597" s="173"/>
      <c r="H597" s="173"/>
      <c r="I597" s="173"/>
      <c r="M597" s="173"/>
      <c r="R597" s="174"/>
      <c r="S597" s="174"/>
      <c r="T597" s="90"/>
      <c r="U597" s="176"/>
      <c r="V597" s="176"/>
      <c r="W597" s="176"/>
      <c r="X597" s="176"/>
      <c r="Y597" s="176"/>
      <c r="Z597" s="177"/>
      <c r="AA597" s="176"/>
      <c r="AB597" s="176"/>
      <c r="AC597" s="176"/>
      <c r="AD597" s="178"/>
      <c r="AF597" s="179"/>
      <c r="AG597" s="179"/>
      <c r="AI597" s="180"/>
      <c r="AJ597" s="180"/>
      <c r="AK597" s="180"/>
      <c r="AL597" s="180"/>
      <c r="AM597" s="181"/>
      <c r="AN597" s="180"/>
      <c r="AO597" s="180"/>
      <c r="AP597" s="180"/>
    </row>
    <row r="598">
      <c r="D598" s="172"/>
      <c r="E598" s="172"/>
      <c r="G598" s="173"/>
      <c r="H598" s="173"/>
      <c r="I598" s="173"/>
      <c r="M598" s="173"/>
      <c r="R598" s="174"/>
      <c r="S598" s="174"/>
      <c r="T598" s="90"/>
      <c r="U598" s="176"/>
      <c r="V598" s="176"/>
      <c r="W598" s="176"/>
      <c r="X598" s="176"/>
      <c r="Y598" s="176"/>
      <c r="Z598" s="177"/>
      <c r="AA598" s="176"/>
      <c r="AB598" s="176"/>
      <c r="AC598" s="176"/>
      <c r="AD598" s="178"/>
      <c r="AF598" s="179"/>
      <c r="AG598" s="179"/>
      <c r="AI598" s="180"/>
      <c r="AJ598" s="180"/>
      <c r="AK598" s="180"/>
      <c r="AL598" s="180"/>
      <c r="AM598" s="181"/>
      <c r="AN598" s="180"/>
      <c r="AO598" s="180"/>
      <c r="AP598" s="180"/>
    </row>
    <row r="599">
      <c r="D599" s="172"/>
      <c r="E599" s="172"/>
      <c r="G599" s="173"/>
      <c r="H599" s="173"/>
      <c r="I599" s="173"/>
      <c r="M599" s="173"/>
      <c r="R599" s="174"/>
      <c r="S599" s="174"/>
      <c r="T599" s="90"/>
      <c r="U599" s="176"/>
      <c r="V599" s="176"/>
      <c r="W599" s="176"/>
      <c r="X599" s="176"/>
      <c r="Y599" s="176"/>
      <c r="Z599" s="177"/>
      <c r="AA599" s="176"/>
      <c r="AB599" s="176"/>
      <c r="AC599" s="176"/>
      <c r="AD599" s="178"/>
      <c r="AF599" s="179"/>
      <c r="AG599" s="179"/>
      <c r="AI599" s="180"/>
      <c r="AJ599" s="180"/>
      <c r="AK599" s="180"/>
      <c r="AL599" s="180"/>
      <c r="AM599" s="181"/>
      <c r="AN599" s="180"/>
      <c r="AO599" s="180"/>
      <c r="AP599" s="180"/>
    </row>
    <row r="600">
      <c r="D600" s="172"/>
      <c r="E600" s="172"/>
      <c r="G600" s="173"/>
      <c r="H600" s="173"/>
      <c r="I600" s="173"/>
      <c r="M600" s="173"/>
      <c r="R600" s="174"/>
      <c r="S600" s="174"/>
      <c r="T600" s="90"/>
      <c r="U600" s="176"/>
      <c r="V600" s="176"/>
      <c r="W600" s="176"/>
      <c r="X600" s="176"/>
      <c r="Y600" s="176"/>
      <c r="Z600" s="177"/>
      <c r="AA600" s="176"/>
      <c r="AB600" s="176"/>
      <c r="AC600" s="176"/>
      <c r="AD600" s="178"/>
      <c r="AF600" s="179"/>
      <c r="AG600" s="179"/>
      <c r="AI600" s="180"/>
      <c r="AJ600" s="180"/>
      <c r="AK600" s="180"/>
      <c r="AL600" s="180"/>
      <c r="AM600" s="181"/>
      <c r="AN600" s="180"/>
      <c r="AO600" s="180"/>
      <c r="AP600" s="180"/>
    </row>
    <row r="601">
      <c r="D601" s="172"/>
      <c r="E601" s="172"/>
      <c r="G601" s="173"/>
      <c r="H601" s="173"/>
      <c r="I601" s="173"/>
      <c r="M601" s="173"/>
      <c r="R601" s="174"/>
      <c r="S601" s="174"/>
      <c r="T601" s="90"/>
      <c r="U601" s="176"/>
      <c r="V601" s="176"/>
      <c r="W601" s="176"/>
      <c r="X601" s="176"/>
      <c r="Y601" s="176"/>
      <c r="Z601" s="177"/>
      <c r="AA601" s="176"/>
      <c r="AB601" s="176"/>
      <c r="AC601" s="176"/>
      <c r="AD601" s="178"/>
      <c r="AF601" s="179"/>
      <c r="AG601" s="179"/>
      <c r="AI601" s="180"/>
      <c r="AJ601" s="180"/>
      <c r="AK601" s="180"/>
      <c r="AL601" s="180"/>
      <c r="AM601" s="181"/>
      <c r="AN601" s="180"/>
      <c r="AO601" s="180"/>
      <c r="AP601" s="180"/>
    </row>
    <row r="602">
      <c r="D602" s="172"/>
      <c r="E602" s="172"/>
      <c r="G602" s="173"/>
      <c r="H602" s="173"/>
      <c r="I602" s="173"/>
      <c r="M602" s="173"/>
      <c r="R602" s="174"/>
      <c r="S602" s="174"/>
      <c r="T602" s="90"/>
      <c r="U602" s="176"/>
      <c r="V602" s="176"/>
      <c r="W602" s="176"/>
      <c r="X602" s="176"/>
      <c r="Y602" s="176"/>
      <c r="Z602" s="177"/>
      <c r="AA602" s="176"/>
      <c r="AB602" s="176"/>
      <c r="AC602" s="176"/>
      <c r="AD602" s="178"/>
      <c r="AF602" s="179"/>
      <c r="AG602" s="179"/>
      <c r="AI602" s="180"/>
      <c r="AJ602" s="180"/>
      <c r="AK602" s="180"/>
      <c r="AL602" s="180"/>
      <c r="AM602" s="181"/>
      <c r="AN602" s="180"/>
      <c r="AO602" s="180"/>
      <c r="AP602" s="180"/>
    </row>
    <row r="603">
      <c r="D603" s="172"/>
      <c r="E603" s="172"/>
      <c r="G603" s="173"/>
      <c r="H603" s="173"/>
      <c r="I603" s="173"/>
      <c r="M603" s="173"/>
      <c r="R603" s="174"/>
      <c r="S603" s="174"/>
      <c r="T603" s="90"/>
      <c r="U603" s="176"/>
      <c r="V603" s="176"/>
      <c r="W603" s="176"/>
      <c r="X603" s="176"/>
      <c r="Y603" s="176"/>
      <c r="Z603" s="177"/>
      <c r="AA603" s="176"/>
      <c r="AB603" s="176"/>
      <c r="AC603" s="176"/>
      <c r="AD603" s="178"/>
      <c r="AF603" s="179"/>
      <c r="AG603" s="179"/>
      <c r="AI603" s="180"/>
      <c r="AJ603" s="180"/>
      <c r="AK603" s="180"/>
      <c r="AL603" s="180"/>
      <c r="AM603" s="181"/>
      <c r="AN603" s="180"/>
      <c r="AO603" s="180"/>
      <c r="AP603" s="180"/>
    </row>
    <row r="604">
      <c r="D604" s="172"/>
      <c r="E604" s="172"/>
      <c r="G604" s="173"/>
      <c r="H604" s="173"/>
      <c r="I604" s="173"/>
      <c r="M604" s="173"/>
      <c r="R604" s="174"/>
      <c r="S604" s="174"/>
      <c r="T604" s="90"/>
      <c r="U604" s="176"/>
      <c r="V604" s="176"/>
      <c r="W604" s="176"/>
      <c r="X604" s="176"/>
      <c r="Y604" s="176"/>
      <c r="Z604" s="177"/>
      <c r="AA604" s="176"/>
      <c r="AB604" s="176"/>
      <c r="AC604" s="176"/>
      <c r="AD604" s="178"/>
      <c r="AF604" s="179"/>
      <c r="AG604" s="179"/>
      <c r="AI604" s="180"/>
      <c r="AJ604" s="180"/>
      <c r="AK604" s="180"/>
      <c r="AL604" s="180"/>
      <c r="AM604" s="181"/>
      <c r="AN604" s="180"/>
      <c r="AO604" s="180"/>
      <c r="AP604" s="180"/>
    </row>
    <row r="605">
      <c r="D605" s="172"/>
      <c r="E605" s="172"/>
      <c r="G605" s="173"/>
      <c r="H605" s="173"/>
      <c r="I605" s="173"/>
      <c r="M605" s="173"/>
      <c r="R605" s="174"/>
      <c r="S605" s="174"/>
      <c r="T605" s="90"/>
      <c r="U605" s="176"/>
      <c r="V605" s="176"/>
      <c r="W605" s="176"/>
      <c r="X605" s="176"/>
      <c r="Y605" s="176"/>
      <c r="Z605" s="177"/>
      <c r="AA605" s="176"/>
      <c r="AB605" s="176"/>
      <c r="AC605" s="176"/>
      <c r="AD605" s="178"/>
      <c r="AF605" s="179"/>
      <c r="AG605" s="179"/>
      <c r="AI605" s="180"/>
      <c r="AJ605" s="180"/>
      <c r="AK605" s="180"/>
      <c r="AL605" s="180"/>
      <c r="AM605" s="181"/>
      <c r="AN605" s="180"/>
      <c r="AO605" s="180"/>
      <c r="AP605" s="180"/>
    </row>
    <row r="606">
      <c r="D606" s="172"/>
      <c r="E606" s="172"/>
      <c r="G606" s="173"/>
      <c r="H606" s="173"/>
      <c r="I606" s="173"/>
      <c r="M606" s="173"/>
      <c r="R606" s="174"/>
      <c r="S606" s="174"/>
      <c r="T606" s="90"/>
      <c r="U606" s="176"/>
      <c r="V606" s="176"/>
      <c r="W606" s="176"/>
      <c r="X606" s="176"/>
      <c r="Y606" s="176"/>
      <c r="Z606" s="177"/>
      <c r="AA606" s="176"/>
      <c r="AB606" s="176"/>
      <c r="AC606" s="176"/>
      <c r="AD606" s="178"/>
      <c r="AF606" s="179"/>
      <c r="AG606" s="179"/>
      <c r="AI606" s="180"/>
      <c r="AJ606" s="180"/>
      <c r="AK606" s="180"/>
      <c r="AL606" s="180"/>
      <c r="AM606" s="181"/>
      <c r="AN606" s="180"/>
      <c r="AO606" s="180"/>
      <c r="AP606" s="180"/>
    </row>
    <row r="607">
      <c r="D607" s="172"/>
      <c r="E607" s="172"/>
      <c r="G607" s="173"/>
      <c r="H607" s="173"/>
      <c r="I607" s="173"/>
      <c r="M607" s="173"/>
      <c r="R607" s="174"/>
      <c r="S607" s="174"/>
      <c r="T607" s="90"/>
      <c r="U607" s="176"/>
      <c r="V607" s="176"/>
      <c r="W607" s="176"/>
      <c r="X607" s="176"/>
      <c r="Y607" s="176"/>
      <c r="Z607" s="177"/>
      <c r="AA607" s="176"/>
      <c r="AB607" s="176"/>
      <c r="AC607" s="176"/>
      <c r="AD607" s="178"/>
      <c r="AF607" s="179"/>
      <c r="AG607" s="179"/>
      <c r="AI607" s="180"/>
      <c r="AJ607" s="180"/>
      <c r="AK607" s="180"/>
      <c r="AL607" s="180"/>
      <c r="AM607" s="181"/>
      <c r="AN607" s="180"/>
      <c r="AO607" s="180"/>
      <c r="AP607" s="180"/>
    </row>
    <row r="608">
      <c r="D608" s="172"/>
      <c r="E608" s="172"/>
      <c r="G608" s="173"/>
      <c r="H608" s="173"/>
      <c r="I608" s="173"/>
      <c r="M608" s="173"/>
      <c r="R608" s="174"/>
      <c r="S608" s="174"/>
      <c r="T608" s="90"/>
      <c r="U608" s="176"/>
      <c r="V608" s="176"/>
      <c r="W608" s="176"/>
      <c r="X608" s="176"/>
      <c r="Y608" s="176"/>
      <c r="Z608" s="177"/>
      <c r="AA608" s="176"/>
      <c r="AB608" s="176"/>
      <c r="AC608" s="176"/>
      <c r="AD608" s="178"/>
      <c r="AF608" s="179"/>
      <c r="AG608" s="179"/>
      <c r="AI608" s="180"/>
      <c r="AJ608" s="180"/>
      <c r="AK608" s="180"/>
      <c r="AL608" s="180"/>
      <c r="AM608" s="181"/>
      <c r="AN608" s="180"/>
      <c r="AO608" s="180"/>
      <c r="AP608" s="180"/>
    </row>
    <row r="609">
      <c r="D609" s="172"/>
      <c r="E609" s="172"/>
      <c r="G609" s="173"/>
      <c r="H609" s="173"/>
      <c r="I609" s="173"/>
      <c r="M609" s="173"/>
      <c r="R609" s="174"/>
      <c r="S609" s="174"/>
      <c r="T609" s="90"/>
      <c r="U609" s="176"/>
      <c r="V609" s="176"/>
      <c r="W609" s="176"/>
      <c r="X609" s="176"/>
      <c r="Y609" s="176"/>
      <c r="Z609" s="177"/>
      <c r="AA609" s="176"/>
      <c r="AB609" s="176"/>
      <c r="AC609" s="176"/>
      <c r="AD609" s="178"/>
      <c r="AF609" s="179"/>
      <c r="AG609" s="179"/>
      <c r="AI609" s="180"/>
      <c r="AJ609" s="180"/>
      <c r="AK609" s="180"/>
      <c r="AL609" s="180"/>
      <c r="AM609" s="181"/>
      <c r="AN609" s="180"/>
      <c r="AO609" s="180"/>
      <c r="AP609" s="180"/>
    </row>
    <row r="610">
      <c r="D610" s="172"/>
      <c r="E610" s="172"/>
      <c r="G610" s="173"/>
      <c r="H610" s="173"/>
      <c r="I610" s="173"/>
      <c r="M610" s="173"/>
      <c r="R610" s="174"/>
      <c r="S610" s="174"/>
      <c r="T610" s="90"/>
      <c r="U610" s="176"/>
      <c r="V610" s="176"/>
      <c r="W610" s="176"/>
      <c r="X610" s="176"/>
      <c r="Y610" s="176"/>
      <c r="Z610" s="177"/>
      <c r="AA610" s="176"/>
      <c r="AB610" s="176"/>
      <c r="AC610" s="176"/>
      <c r="AD610" s="178"/>
      <c r="AF610" s="179"/>
      <c r="AG610" s="179"/>
      <c r="AI610" s="180"/>
      <c r="AJ610" s="180"/>
      <c r="AK610" s="180"/>
      <c r="AL610" s="180"/>
      <c r="AM610" s="181"/>
      <c r="AN610" s="180"/>
      <c r="AO610" s="180"/>
      <c r="AP610" s="180"/>
    </row>
    <row r="611">
      <c r="D611" s="172"/>
      <c r="E611" s="172"/>
      <c r="G611" s="173"/>
      <c r="H611" s="173"/>
      <c r="I611" s="173"/>
      <c r="M611" s="173"/>
      <c r="R611" s="174"/>
      <c r="S611" s="174"/>
      <c r="T611" s="90"/>
      <c r="U611" s="176"/>
      <c r="V611" s="176"/>
      <c r="W611" s="176"/>
      <c r="X611" s="176"/>
      <c r="Y611" s="176"/>
      <c r="Z611" s="177"/>
      <c r="AA611" s="176"/>
      <c r="AB611" s="176"/>
      <c r="AC611" s="176"/>
      <c r="AD611" s="178"/>
      <c r="AF611" s="179"/>
      <c r="AG611" s="179"/>
      <c r="AI611" s="180"/>
      <c r="AJ611" s="180"/>
      <c r="AK611" s="180"/>
      <c r="AL611" s="180"/>
      <c r="AM611" s="181"/>
      <c r="AN611" s="180"/>
      <c r="AO611" s="180"/>
      <c r="AP611" s="180"/>
    </row>
    <row r="612">
      <c r="D612" s="172"/>
      <c r="E612" s="172"/>
      <c r="G612" s="173"/>
      <c r="H612" s="173"/>
      <c r="I612" s="173"/>
      <c r="M612" s="173"/>
      <c r="R612" s="174"/>
      <c r="S612" s="174"/>
      <c r="T612" s="90"/>
      <c r="U612" s="176"/>
      <c r="V612" s="176"/>
      <c r="W612" s="176"/>
      <c r="X612" s="176"/>
      <c r="Y612" s="176"/>
      <c r="Z612" s="177"/>
      <c r="AA612" s="176"/>
      <c r="AB612" s="176"/>
      <c r="AC612" s="176"/>
      <c r="AD612" s="178"/>
      <c r="AF612" s="179"/>
      <c r="AG612" s="179"/>
      <c r="AI612" s="180"/>
      <c r="AJ612" s="180"/>
      <c r="AK612" s="180"/>
      <c r="AL612" s="180"/>
      <c r="AM612" s="181"/>
      <c r="AN612" s="180"/>
      <c r="AO612" s="180"/>
      <c r="AP612" s="180"/>
    </row>
    <row r="613">
      <c r="D613" s="172"/>
      <c r="E613" s="172"/>
      <c r="G613" s="173"/>
      <c r="H613" s="173"/>
      <c r="I613" s="173"/>
      <c r="M613" s="173"/>
      <c r="R613" s="174"/>
      <c r="S613" s="174"/>
      <c r="T613" s="90"/>
      <c r="U613" s="176"/>
      <c r="V613" s="176"/>
      <c r="W613" s="176"/>
      <c r="X613" s="176"/>
      <c r="Y613" s="176"/>
      <c r="Z613" s="177"/>
      <c r="AA613" s="176"/>
      <c r="AB613" s="176"/>
      <c r="AC613" s="176"/>
      <c r="AD613" s="178"/>
      <c r="AF613" s="179"/>
      <c r="AG613" s="179"/>
      <c r="AI613" s="180"/>
      <c r="AJ613" s="180"/>
      <c r="AK613" s="180"/>
      <c r="AL613" s="180"/>
      <c r="AM613" s="181"/>
      <c r="AN613" s="180"/>
      <c r="AO613" s="180"/>
      <c r="AP613" s="180"/>
    </row>
    <row r="614">
      <c r="D614" s="172"/>
      <c r="E614" s="172"/>
      <c r="G614" s="173"/>
      <c r="H614" s="173"/>
      <c r="I614" s="173"/>
      <c r="M614" s="173"/>
      <c r="R614" s="174"/>
      <c r="S614" s="174"/>
      <c r="T614" s="90"/>
      <c r="U614" s="176"/>
      <c r="V614" s="176"/>
      <c r="W614" s="176"/>
      <c r="X614" s="176"/>
      <c r="Y614" s="176"/>
      <c r="Z614" s="177"/>
      <c r="AA614" s="176"/>
      <c r="AB614" s="176"/>
      <c r="AC614" s="176"/>
      <c r="AD614" s="178"/>
      <c r="AF614" s="179"/>
      <c r="AG614" s="179"/>
      <c r="AI614" s="180"/>
      <c r="AJ614" s="180"/>
      <c r="AK614" s="180"/>
      <c r="AL614" s="180"/>
      <c r="AM614" s="181"/>
      <c r="AN614" s="180"/>
      <c r="AO614" s="180"/>
      <c r="AP614" s="180"/>
    </row>
    <row r="615">
      <c r="D615" s="172"/>
      <c r="E615" s="172"/>
      <c r="G615" s="173"/>
      <c r="H615" s="173"/>
      <c r="I615" s="173"/>
      <c r="M615" s="173"/>
      <c r="R615" s="174"/>
      <c r="S615" s="174"/>
      <c r="T615" s="90"/>
      <c r="U615" s="176"/>
      <c r="V615" s="176"/>
      <c r="W615" s="176"/>
      <c r="X615" s="176"/>
      <c r="Y615" s="176"/>
      <c r="Z615" s="177"/>
      <c r="AA615" s="176"/>
      <c r="AB615" s="176"/>
      <c r="AC615" s="176"/>
      <c r="AD615" s="178"/>
      <c r="AF615" s="179"/>
      <c r="AG615" s="179"/>
      <c r="AI615" s="180"/>
      <c r="AJ615" s="180"/>
      <c r="AK615" s="180"/>
      <c r="AL615" s="180"/>
      <c r="AM615" s="181"/>
      <c r="AN615" s="180"/>
      <c r="AO615" s="180"/>
      <c r="AP615" s="180"/>
    </row>
    <row r="616">
      <c r="D616" s="172"/>
      <c r="E616" s="172"/>
      <c r="G616" s="173"/>
      <c r="H616" s="173"/>
      <c r="I616" s="173"/>
      <c r="M616" s="173"/>
      <c r="R616" s="174"/>
      <c r="S616" s="174"/>
      <c r="T616" s="90"/>
      <c r="U616" s="176"/>
      <c r="V616" s="176"/>
      <c r="W616" s="176"/>
      <c r="X616" s="176"/>
      <c r="Y616" s="176"/>
      <c r="Z616" s="177"/>
      <c r="AA616" s="176"/>
      <c r="AB616" s="176"/>
      <c r="AC616" s="176"/>
      <c r="AD616" s="178"/>
      <c r="AF616" s="179"/>
      <c r="AG616" s="179"/>
      <c r="AI616" s="180"/>
      <c r="AJ616" s="180"/>
      <c r="AK616" s="180"/>
      <c r="AL616" s="180"/>
      <c r="AM616" s="181"/>
      <c r="AN616" s="180"/>
      <c r="AO616" s="180"/>
      <c r="AP616" s="180"/>
    </row>
    <row r="617">
      <c r="D617" s="172"/>
      <c r="E617" s="172"/>
      <c r="G617" s="173"/>
      <c r="H617" s="173"/>
      <c r="I617" s="173"/>
      <c r="M617" s="173"/>
      <c r="R617" s="174"/>
      <c r="S617" s="174"/>
      <c r="T617" s="90"/>
      <c r="U617" s="176"/>
      <c r="V617" s="176"/>
      <c r="W617" s="176"/>
      <c r="X617" s="176"/>
      <c r="Y617" s="176"/>
      <c r="Z617" s="177"/>
      <c r="AA617" s="176"/>
      <c r="AB617" s="176"/>
      <c r="AC617" s="176"/>
      <c r="AD617" s="178"/>
      <c r="AF617" s="179"/>
      <c r="AG617" s="179"/>
      <c r="AI617" s="180"/>
      <c r="AJ617" s="180"/>
      <c r="AK617" s="180"/>
      <c r="AL617" s="180"/>
      <c r="AM617" s="181"/>
      <c r="AN617" s="180"/>
      <c r="AO617" s="180"/>
      <c r="AP617" s="180"/>
    </row>
    <row r="618">
      <c r="D618" s="172"/>
      <c r="E618" s="172"/>
      <c r="G618" s="173"/>
      <c r="H618" s="173"/>
      <c r="I618" s="173"/>
      <c r="M618" s="173"/>
      <c r="R618" s="174"/>
      <c r="S618" s="174"/>
      <c r="T618" s="90"/>
      <c r="U618" s="176"/>
      <c r="V618" s="176"/>
      <c r="W618" s="176"/>
      <c r="X618" s="176"/>
      <c r="Y618" s="176"/>
      <c r="Z618" s="177"/>
      <c r="AA618" s="176"/>
      <c r="AB618" s="176"/>
      <c r="AC618" s="176"/>
      <c r="AD618" s="178"/>
      <c r="AF618" s="179"/>
      <c r="AG618" s="179"/>
      <c r="AI618" s="180"/>
      <c r="AJ618" s="180"/>
      <c r="AK618" s="180"/>
      <c r="AL618" s="180"/>
      <c r="AM618" s="181"/>
      <c r="AN618" s="180"/>
      <c r="AO618" s="180"/>
      <c r="AP618" s="180"/>
    </row>
    <row r="619">
      <c r="D619" s="172"/>
      <c r="E619" s="172"/>
      <c r="G619" s="173"/>
      <c r="H619" s="173"/>
      <c r="I619" s="173"/>
      <c r="M619" s="173"/>
      <c r="R619" s="174"/>
      <c r="S619" s="174"/>
      <c r="T619" s="90"/>
      <c r="U619" s="176"/>
      <c r="V619" s="176"/>
      <c r="W619" s="176"/>
      <c r="X619" s="176"/>
      <c r="Y619" s="176"/>
      <c r="Z619" s="177"/>
      <c r="AA619" s="176"/>
      <c r="AB619" s="176"/>
      <c r="AC619" s="176"/>
      <c r="AD619" s="178"/>
      <c r="AF619" s="179"/>
      <c r="AG619" s="179"/>
      <c r="AI619" s="180"/>
      <c r="AJ619" s="180"/>
      <c r="AK619" s="180"/>
      <c r="AL619" s="180"/>
      <c r="AM619" s="181"/>
      <c r="AN619" s="180"/>
      <c r="AO619" s="180"/>
      <c r="AP619" s="180"/>
    </row>
    <row r="620">
      <c r="D620" s="172"/>
      <c r="E620" s="172"/>
      <c r="G620" s="173"/>
      <c r="H620" s="173"/>
      <c r="I620" s="173"/>
      <c r="M620" s="173"/>
      <c r="R620" s="174"/>
      <c r="S620" s="174"/>
      <c r="T620" s="90"/>
      <c r="U620" s="176"/>
      <c r="V620" s="176"/>
      <c r="W620" s="176"/>
      <c r="X620" s="176"/>
      <c r="Y620" s="176"/>
      <c r="Z620" s="177"/>
      <c r="AA620" s="176"/>
      <c r="AB620" s="176"/>
      <c r="AC620" s="176"/>
      <c r="AD620" s="178"/>
      <c r="AF620" s="179"/>
      <c r="AG620" s="179"/>
      <c r="AI620" s="180"/>
      <c r="AJ620" s="180"/>
      <c r="AK620" s="180"/>
      <c r="AL620" s="180"/>
      <c r="AM620" s="181"/>
      <c r="AN620" s="180"/>
      <c r="AO620" s="180"/>
      <c r="AP620" s="180"/>
    </row>
    <row r="621">
      <c r="D621" s="172"/>
      <c r="E621" s="172"/>
      <c r="G621" s="173"/>
      <c r="H621" s="173"/>
      <c r="I621" s="173"/>
      <c r="M621" s="173"/>
      <c r="R621" s="174"/>
      <c r="S621" s="174"/>
      <c r="T621" s="90"/>
      <c r="U621" s="176"/>
      <c r="V621" s="176"/>
      <c r="W621" s="176"/>
      <c r="X621" s="176"/>
      <c r="Y621" s="176"/>
      <c r="Z621" s="177"/>
      <c r="AA621" s="176"/>
      <c r="AB621" s="176"/>
      <c r="AC621" s="176"/>
      <c r="AD621" s="178"/>
      <c r="AF621" s="179"/>
      <c r="AG621" s="179"/>
      <c r="AI621" s="180"/>
      <c r="AJ621" s="180"/>
      <c r="AK621" s="180"/>
      <c r="AL621" s="180"/>
      <c r="AM621" s="181"/>
      <c r="AN621" s="180"/>
      <c r="AO621" s="180"/>
      <c r="AP621" s="180"/>
    </row>
    <row r="622">
      <c r="D622" s="172"/>
      <c r="E622" s="172"/>
      <c r="G622" s="173"/>
      <c r="H622" s="173"/>
      <c r="I622" s="173"/>
      <c r="M622" s="173"/>
      <c r="R622" s="174"/>
      <c r="S622" s="174"/>
      <c r="T622" s="90"/>
      <c r="U622" s="176"/>
      <c r="V622" s="176"/>
      <c r="W622" s="176"/>
      <c r="X622" s="176"/>
      <c r="Y622" s="176"/>
      <c r="Z622" s="177"/>
      <c r="AA622" s="176"/>
      <c r="AB622" s="176"/>
      <c r="AC622" s="176"/>
      <c r="AD622" s="178"/>
      <c r="AF622" s="179"/>
      <c r="AG622" s="179"/>
      <c r="AI622" s="180"/>
      <c r="AJ622" s="180"/>
      <c r="AK622" s="180"/>
      <c r="AL622" s="180"/>
      <c r="AM622" s="181"/>
      <c r="AN622" s="180"/>
      <c r="AO622" s="180"/>
      <c r="AP622" s="180"/>
    </row>
    <row r="623">
      <c r="D623" s="172"/>
      <c r="E623" s="172"/>
      <c r="G623" s="173"/>
      <c r="H623" s="173"/>
      <c r="I623" s="173"/>
      <c r="M623" s="173"/>
      <c r="R623" s="174"/>
      <c r="S623" s="174"/>
      <c r="T623" s="90"/>
      <c r="U623" s="176"/>
      <c r="V623" s="176"/>
      <c r="W623" s="176"/>
      <c r="X623" s="176"/>
      <c r="Y623" s="176"/>
      <c r="Z623" s="177"/>
      <c r="AA623" s="176"/>
      <c r="AB623" s="176"/>
      <c r="AC623" s="176"/>
      <c r="AD623" s="178"/>
      <c r="AF623" s="179"/>
      <c r="AG623" s="179"/>
      <c r="AI623" s="180"/>
      <c r="AJ623" s="180"/>
      <c r="AK623" s="180"/>
      <c r="AL623" s="180"/>
      <c r="AM623" s="181"/>
      <c r="AN623" s="180"/>
      <c r="AO623" s="180"/>
      <c r="AP623" s="180"/>
    </row>
    <row r="624">
      <c r="D624" s="172"/>
      <c r="E624" s="172"/>
      <c r="G624" s="173"/>
      <c r="H624" s="173"/>
      <c r="I624" s="173"/>
      <c r="M624" s="173"/>
      <c r="R624" s="174"/>
      <c r="S624" s="174"/>
      <c r="T624" s="90"/>
      <c r="U624" s="176"/>
      <c r="V624" s="176"/>
      <c r="W624" s="176"/>
      <c r="X624" s="176"/>
      <c r="Y624" s="176"/>
      <c r="Z624" s="177"/>
      <c r="AA624" s="176"/>
      <c r="AB624" s="176"/>
      <c r="AC624" s="176"/>
      <c r="AD624" s="178"/>
      <c r="AF624" s="179"/>
      <c r="AG624" s="179"/>
      <c r="AI624" s="180"/>
      <c r="AJ624" s="180"/>
      <c r="AK624" s="180"/>
      <c r="AL624" s="180"/>
      <c r="AM624" s="181"/>
      <c r="AN624" s="180"/>
      <c r="AO624" s="180"/>
      <c r="AP624" s="180"/>
    </row>
    <row r="625">
      <c r="D625" s="172"/>
      <c r="E625" s="172"/>
      <c r="G625" s="173"/>
      <c r="H625" s="173"/>
      <c r="I625" s="173"/>
      <c r="M625" s="173"/>
      <c r="R625" s="174"/>
      <c r="S625" s="174"/>
      <c r="T625" s="90"/>
      <c r="U625" s="176"/>
      <c r="V625" s="176"/>
      <c r="W625" s="176"/>
      <c r="X625" s="176"/>
      <c r="Y625" s="176"/>
      <c r="Z625" s="177"/>
      <c r="AA625" s="176"/>
      <c r="AB625" s="176"/>
      <c r="AC625" s="176"/>
      <c r="AD625" s="178"/>
      <c r="AF625" s="179"/>
      <c r="AG625" s="179"/>
      <c r="AI625" s="180"/>
      <c r="AJ625" s="180"/>
      <c r="AK625" s="180"/>
      <c r="AL625" s="180"/>
      <c r="AM625" s="181"/>
      <c r="AN625" s="180"/>
      <c r="AO625" s="180"/>
      <c r="AP625" s="180"/>
    </row>
    <row r="626">
      <c r="D626" s="172"/>
      <c r="E626" s="172"/>
      <c r="G626" s="173"/>
      <c r="H626" s="173"/>
      <c r="I626" s="173"/>
      <c r="M626" s="173"/>
      <c r="R626" s="174"/>
      <c r="S626" s="174"/>
      <c r="T626" s="90"/>
      <c r="U626" s="176"/>
      <c r="V626" s="176"/>
      <c r="W626" s="176"/>
      <c r="X626" s="176"/>
      <c r="Y626" s="176"/>
      <c r="Z626" s="177"/>
      <c r="AA626" s="176"/>
      <c r="AB626" s="176"/>
      <c r="AC626" s="176"/>
      <c r="AD626" s="178"/>
      <c r="AF626" s="179"/>
      <c r="AG626" s="179"/>
      <c r="AI626" s="180"/>
      <c r="AJ626" s="180"/>
      <c r="AK626" s="180"/>
      <c r="AL626" s="180"/>
      <c r="AM626" s="181"/>
      <c r="AN626" s="180"/>
      <c r="AO626" s="180"/>
      <c r="AP626" s="180"/>
    </row>
    <row r="627">
      <c r="D627" s="172"/>
      <c r="E627" s="172"/>
      <c r="G627" s="173"/>
      <c r="H627" s="173"/>
      <c r="I627" s="173"/>
      <c r="M627" s="173"/>
      <c r="R627" s="174"/>
      <c r="S627" s="174"/>
      <c r="T627" s="90"/>
      <c r="U627" s="176"/>
      <c r="V627" s="176"/>
      <c r="W627" s="176"/>
      <c r="X627" s="176"/>
      <c r="Y627" s="176"/>
      <c r="Z627" s="177"/>
      <c r="AA627" s="176"/>
      <c r="AB627" s="176"/>
      <c r="AC627" s="176"/>
      <c r="AD627" s="178"/>
      <c r="AF627" s="179"/>
      <c r="AG627" s="179"/>
      <c r="AI627" s="180"/>
      <c r="AJ627" s="180"/>
      <c r="AK627" s="180"/>
      <c r="AL627" s="180"/>
      <c r="AM627" s="181"/>
      <c r="AN627" s="180"/>
      <c r="AO627" s="180"/>
      <c r="AP627" s="180"/>
    </row>
    <row r="628">
      <c r="D628" s="172"/>
      <c r="E628" s="172"/>
      <c r="G628" s="173"/>
      <c r="H628" s="173"/>
      <c r="I628" s="173"/>
      <c r="M628" s="173"/>
      <c r="R628" s="174"/>
      <c r="S628" s="174"/>
      <c r="T628" s="90"/>
      <c r="U628" s="176"/>
      <c r="V628" s="176"/>
      <c r="W628" s="176"/>
      <c r="X628" s="176"/>
      <c r="Y628" s="176"/>
      <c r="Z628" s="177"/>
      <c r="AA628" s="176"/>
      <c r="AB628" s="176"/>
      <c r="AC628" s="176"/>
      <c r="AD628" s="178"/>
      <c r="AF628" s="179"/>
      <c r="AG628" s="179"/>
      <c r="AI628" s="180"/>
      <c r="AJ628" s="180"/>
      <c r="AK628" s="180"/>
      <c r="AL628" s="180"/>
      <c r="AM628" s="181"/>
      <c r="AN628" s="180"/>
      <c r="AO628" s="180"/>
      <c r="AP628" s="180"/>
    </row>
    <row r="629">
      <c r="D629" s="172"/>
      <c r="E629" s="172"/>
      <c r="G629" s="173"/>
      <c r="H629" s="173"/>
      <c r="I629" s="173"/>
      <c r="M629" s="173"/>
      <c r="R629" s="174"/>
      <c r="S629" s="174"/>
      <c r="T629" s="90"/>
      <c r="U629" s="176"/>
      <c r="V629" s="176"/>
      <c r="W629" s="176"/>
      <c r="X629" s="176"/>
      <c r="Y629" s="176"/>
      <c r="Z629" s="177"/>
      <c r="AA629" s="176"/>
      <c r="AB629" s="176"/>
      <c r="AC629" s="176"/>
      <c r="AD629" s="178"/>
      <c r="AF629" s="179"/>
      <c r="AG629" s="179"/>
      <c r="AI629" s="180"/>
      <c r="AJ629" s="180"/>
      <c r="AK629" s="180"/>
      <c r="AL629" s="180"/>
      <c r="AM629" s="181"/>
      <c r="AN629" s="180"/>
      <c r="AO629" s="180"/>
      <c r="AP629" s="180"/>
    </row>
    <row r="630">
      <c r="D630" s="172"/>
      <c r="E630" s="172"/>
      <c r="G630" s="173"/>
      <c r="H630" s="173"/>
      <c r="I630" s="173"/>
      <c r="M630" s="173"/>
      <c r="R630" s="174"/>
      <c r="S630" s="174"/>
      <c r="T630" s="90"/>
      <c r="U630" s="176"/>
      <c r="V630" s="176"/>
      <c r="W630" s="176"/>
      <c r="X630" s="176"/>
      <c r="Y630" s="176"/>
      <c r="Z630" s="177"/>
      <c r="AA630" s="176"/>
      <c r="AB630" s="176"/>
      <c r="AC630" s="176"/>
      <c r="AD630" s="178"/>
      <c r="AF630" s="179"/>
      <c r="AG630" s="179"/>
      <c r="AI630" s="180"/>
      <c r="AJ630" s="180"/>
      <c r="AK630" s="180"/>
      <c r="AL630" s="180"/>
      <c r="AM630" s="181"/>
      <c r="AN630" s="180"/>
      <c r="AO630" s="180"/>
      <c r="AP630" s="180"/>
    </row>
    <row r="631">
      <c r="D631" s="172"/>
      <c r="E631" s="172"/>
      <c r="G631" s="173"/>
      <c r="H631" s="173"/>
      <c r="I631" s="173"/>
      <c r="M631" s="173"/>
      <c r="R631" s="174"/>
      <c r="S631" s="174"/>
      <c r="T631" s="90"/>
      <c r="U631" s="176"/>
      <c r="V631" s="176"/>
      <c r="W631" s="176"/>
      <c r="X631" s="176"/>
      <c r="Y631" s="176"/>
      <c r="Z631" s="177"/>
      <c r="AA631" s="176"/>
      <c r="AB631" s="176"/>
      <c r="AC631" s="176"/>
      <c r="AD631" s="178"/>
      <c r="AF631" s="179"/>
      <c r="AG631" s="179"/>
      <c r="AI631" s="180"/>
      <c r="AJ631" s="180"/>
      <c r="AK631" s="180"/>
      <c r="AL631" s="180"/>
      <c r="AM631" s="181"/>
      <c r="AN631" s="180"/>
      <c r="AO631" s="180"/>
      <c r="AP631" s="180"/>
    </row>
    <row r="632">
      <c r="D632" s="172"/>
      <c r="E632" s="172"/>
      <c r="G632" s="173"/>
      <c r="H632" s="173"/>
      <c r="I632" s="173"/>
      <c r="M632" s="173"/>
      <c r="R632" s="174"/>
      <c r="S632" s="174"/>
      <c r="T632" s="90"/>
      <c r="U632" s="176"/>
      <c r="V632" s="176"/>
      <c r="W632" s="176"/>
      <c r="X632" s="176"/>
      <c r="Y632" s="176"/>
      <c r="Z632" s="177"/>
      <c r="AA632" s="176"/>
      <c r="AB632" s="176"/>
      <c r="AC632" s="176"/>
      <c r="AD632" s="178"/>
      <c r="AF632" s="179"/>
      <c r="AG632" s="179"/>
      <c r="AI632" s="180"/>
      <c r="AJ632" s="180"/>
      <c r="AK632" s="180"/>
      <c r="AL632" s="180"/>
      <c r="AM632" s="181"/>
      <c r="AN632" s="180"/>
      <c r="AO632" s="180"/>
      <c r="AP632" s="180"/>
    </row>
    <row r="633">
      <c r="D633" s="172"/>
      <c r="E633" s="172"/>
      <c r="G633" s="173"/>
      <c r="H633" s="173"/>
      <c r="I633" s="173"/>
      <c r="M633" s="173"/>
      <c r="R633" s="174"/>
      <c r="S633" s="174"/>
      <c r="T633" s="90"/>
      <c r="U633" s="176"/>
      <c r="V633" s="176"/>
      <c r="W633" s="176"/>
      <c r="X633" s="176"/>
      <c r="Y633" s="176"/>
      <c r="Z633" s="177"/>
      <c r="AA633" s="176"/>
      <c r="AB633" s="176"/>
      <c r="AC633" s="176"/>
      <c r="AD633" s="178"/>
      <c r="AF633" s="179"/>
      <c r="AG633" s="179"/>
      <c r="AI633" s="180"/>
      <c r="AJ633" s="180"/>
      <c r="AK633" s="180"/>
      <c r="AL633" s="180"/>
      <c r="AM633" s="181"/>
      <c r="AN633" s="180"/>
      <c r="AO633" s="180"/>
      <c r="AP633" s="180"/>
    </row>
    <row r="634">
      <c r="D634" s="172"/>
      <c r="E634" s="172"/>
      <c r="G634" s="173"/>
      <c r="H634" s="173"/>
      <c r="I634" s="173"/>
      <c r="M634" s="173"/>
      <c r="R634" s="174"/>
      <c r="S634" s="174"/>
      <c r="T634" s="90"/>
      <c r="U634" s="176"/>
      <c r="V634" s="176"/>
      <c r="W634" s="176"/>
      <c r="X634" s="176"/>
      <c r="Y634" s="176"/>
      <c r="Z634" s="177"/>
      <c r="AA634" s="176"/>
      <c r="AB634" s="176"/>
      <c r="AC634" s="176"/>
      <c r="AD634" s="178"/>
      <c r="AF634" s="179"/>
      <c r="AG634" s="179"/>
      <c r="AI634" s="180"/>
      <c r="AJ634" s="180"/>
      <c r="AK634" s="180"/>
      <c r="AL634" s="180"/>
      <c r="AM634" s="181"/>
      <c r="AN634" s="180"/>
      <c r="AO634" s="180"/>
      <c r="AP634" s="180"/>
    </row>
    <row r="635">
      <c r="D635" s="172"/>
      <c r="E635" s="172"/>
      <c r="G635" s="173"/>
      <c r="H635" s="173"/>
      <c r="I635" s="173"/>
      <c r="M635" s="173"/>
      <c r="R635" s="174"/>
      <c r="S635" s="174"/>
      <c r="T635" s="90"/>
      <c r="U635" s="176"/>
      <c r="V635" s="176"/>
      <c r="W635" s="176"/>
      <c r="X635" s="176"/>
      <c r="Y635" s="176"/>
      <c r="Z635" s="177"/>
      <c r="AA635" s="176"/>
      <c r="AB635" s="176"/>
      <c r="AC635" s="176"/>
      <c r="AD635" s="178"/>
      <c r="AF635" s="179"/>
      <c r="AG635" s="179"/>
      <c r="AI635" s="180"/>
      <c r="AJ635" s="180"/>
      <c r="AK635" s="180"/>
      <c r="AL635" s="180"/>
      <c r="AM635" s="181"/>
      <c r="AN635" s="180"/>
      <c r="AO635" s="180"/>
      <c r="AP635" s="180"/>
    </row>
    <row r="636">
      <c r="D636" s="172"/>
      <c r="E636" s="172"/>
      <c r="G636" s="173"/>
      <c r="H636" s="173"/>
      <c r="I636" s="173"/>
      <c r="M636" s="173"/>
      <c r="R636" s="174"/>
      <c r="S636" s="174"/>
      <c r="T636" s="90"/>
      <c r="U636" s="176"/>
      <c r="V636" s="176"/>
      <c r="W636" s="176"/>
      <c r="X636" s="176"/>
      <c r="Y636" s="176"/>
      <c r="Z636" s="177"/>
      <c r="AA636" s="176"/>
      <c r="AB636" s="176"/>
      <c r="AC636" s="176"/>
      <c r="AD636" s="178"/>
      <c r="AF636" s="179"/>
      <c r="AG636" s="179"/>
      <c r="AI636" s="180"/>
      <c r="AJ636" s="180"/>
      <c r="AK636" s="180"/>
      <c r="AL636" s="180"/>
      <c r="AM636" s="181"/>
      <c r="AN636" s="180"/>
      <c r="AO636" s="180"/>
      <c r="AP636" s="180"/>
    </row>
    <row r="637">
      <c r="D637" s="172"/>
      <c r="E637" s="172"/>
      <c r="G637" s="173"/>
      <c r="H637" s="173"/>
      <c r="I637" s="173"/>
      <c r="M637" s="173"/>
      <c r="R637" s="174"/>
      <c r="S637" s="174"/>
      <c r="T637" s="90"/>
      <c r="U637" s="176"/>
      <c r="V637" s="176"/>
      <c r="W637" s="176"/>
      <c r="X637" s="176"/>
      <c r="Y637" s="176"/>
      <c r="Z637" s="177"/>
      <c r="AA637" s="176"/>
      <c r="AB637" s="176"/>
      <c r="AC637" s="176"/>
      <c r="AD637" s="178"/>
      <c r="AF637" s="179"/>
      <c r="AG637" s="179"/>
      <c r="AI637" s="180"/>
      <c r="AJ637" s="180"/>
      <c r="AK637" s="180"/>
      <c r="AL637" s="180"/>
      <c r="AM637" s="181"/>
      <c r="AN637" s="180"/>
      <c r="AO637" s="180"/>
      <c r="AP637" s="180"/>
    </row>
    <row r="638">
      <c r="D638" s="172"/>
      <c r="E638" s="172"/>
      <c r="G638" s="173"/>
      <c r="H638" s="173"/>
      <c r="I638" s="173"/>
      <c r="M638" s="173"/>
      <c r="R638" s="174"/>
      <c r="S638" s="174"/>
      <c r="T638" s="90"/>
      <c r="U638" s="176"/>
      <c r="V638" s="176"/>
      <c r="W638" s="176"/>
      <c r="X638" s="176"/>
      <c r="Y638" s="176"/>
      <c r="Z638" s="177"/>
      <c r="AA638" s="176"/>
      <c r="AB638" s="176"/>
      <c r="AC638" s="176"/>
      <c r="AD638" s="178"/>
      <c r="AF638" s="179"/>
      <c r="AG638" s="179"/>
      <c r="AI638" s="180"/>
      <c r="AJ638" s="180"/>
      <c r="AK638" s="180"/>
      <c r="AL638" s="180"/>
      <c r="AM638" s="181"/>
      <c r="AN638" s="180"/>
      <c r="AO638" s="180"/>
      <c r="AP638" s="180"/>
    </row>
    <row r="639">
      <c r="D639" s="172"/>
      <c r="E639" s="172"/>
      <c r="G639" s="173"/>
      <c r="H639" s="173"/>
      <c r="I639" s="173"/>
      <c r="M639" s="173"/>
      <c r="R639" s="174"/>
      <c r="S639" s="174"/>
      <c r="T639" s="90"/>
      <c r="U639" s="176"/>
      <c r="V639" s="176"/>
      <c r="W639" s="176"/>
      <c r="X639" s="176"/>
      <c r="Y639" s="176"/>
      <c r="Z639" s="177"/>
      <c r="AA639" s="176"/>
      <c r="AB639" s="176"/>
      <c r="AC639" s="176"/>
      <c r="AD639" s="178"/>
      <c r="AF639" s="179"/>
      <c r="AG639" s="179"/>
      <c r="AI639" s="180"/>
      <c r="AJ639" s="180"/>
      <c r="AK639" s="180"/>
      <c r="AL639" s="180"/>
      <c r="AM639" s="181"/>
      <c r="AN639" s="180"/>
      <c r="AO639" s="180"/>
      <c r="AP639" s="180"/>
    </row>
    <row r="640">
      <c r="D640" s="172"/>
      <c r="E640" s="172"/>
      <c r="G640" s="173"/>
      <c r="H640" s="173"/>
      <c r="I640" s="173"/>
      <c r="M640" s="173"/>
      <c r="R640" s="174"/>
      <c r="S640" s="174"/>
      <c r="T640" s="90"/>
      <c r="U640" s="176"/>
      <c r="V640" s="176"/>
      <c r="W640" s="176"/>
      <c r="X640" s="176"/>
      <c r="Y640" s="176"/>
      <c r="Z640" s="177"/>
      <c r="AA640" s="176"/>
      <c r="AB640" s="176"/>
      <c r="AC640" s="176"/>
      <c r="AD640" s="178"/>
      <c r="AF640" s="179"/>
      <c r="AG640" s="179"/>
      <c r="AI640" s="180"/>
      <c r="AJ640" s="180"/>
      <c r="AK640" s="180"/>
      <c r="AL640" s="180"/>
      <c r="AM640" s="181"/>
      <c r="AN640" s="180"/>
      <c r="AO640" s="180"/>
      <c r="AP640" s="180"/>
    </row>
    <row r="641">
      <c r="D641" s="172"/>
      <c r="E641" s="172"/>
      <c r="G641" s="173"/>
      <c r="H641" s="173"/>
      <c r="I641" s="173"/>
      <c r="M641" s="173"/>
      <c r="R641" s="174"/>
      <c r="S641" s="174"/>
      <c r="T641" s="90"/>
      <c r="U641" s="176"/>
      <c r="V641" s="176"/>
      <c r="W641" s="176"/>
      <c r="X641" s="176"/>
      <c r="Y641" s="176"/>
      <c r="Z641" s="177"/>
      <c r="AA641" s="176"/>
      <c r="AB641" s="176"/>
      <c r="AC641" s="176"/>
      <c r="AD641" s="178"/>
      <c r="AF641" s="179"/>
      <c r="AG641" s="179"/>
      <c r="AI641" s="180"/>
      <c r="AJ641" s="180"/>
      <c r="AK641" s="180"/>
      <c r="AL641" s="180"/>
      <c r="AM641" s="181"/>
      <c r="AN641" s="180"/>
      <c r="AO641" s="180"/>
      <c r="AP641" s="180"/>
    </row>
    <row r="642">
      <c r="D642" s="172"/>
      <c r="E642" s="172"/>
      <c r="G642" s="173"/>
      <c r="H642" s="173"/>
      <c r="I642" s="173"/>
      <c r="M642" s="173"/>
      <c r="R642" s="174"/>
      <c r="S642" s="174"/>
      <c r="T642" s="90"/>
      <c r="U642" s="176"/>
      <c r="V642" s="176"/>
      <c r="W642" s="176"/>
      <c r="X642" s="176"/>
      <c r="Y642" s="176"/>
      <c r="Z642" s="177"/>
      <c r="AA642" s="176"/>
      <c r="AB642" s="176"/>
      <c r="AC642" s="176"/>
      <c r="AD642" s="178"/>
      <c r="AF642" s="179"/>
      <c r="AG642" s="179"/>
      <c r="AI642" s="180"/>
      <c r="AJ642" s="180"/>
      <c r="AK642" s="180"/>
      <c r="AL642" s="180"/>
      <c r="AM642" s="181"/>
      <c r="AN642" s="180"/>
      <c r="AO642" s="180"/>
      <c r="AP642" s="180"/>
    </row>
    <row r="643">
      <c r="D643" s="172"/>
      <c r="E643" s="172"/>
      <c r="G643" s="173"/>
      <c r="H643" s="173"/>
      <c r="I643" s="173"/>
      <c r="M643" s="173"/>
      <c r="R643" s="174"/>
      <c r="S643" s="174"/>
      <c r="T643" s="90"/>
      <c r="U643" s="176"/>
      <c r="V643" s="176"/>
      <c r="W643" s="176"/>
      <c r="X643" s="176"/>
      <c r="Y643" s="176"/>
      <c r="Z643" s="177"/>
      <c r="AA643" s="176"/>
      <c r="AB643" s="176"/>
      <c r="AC643" s="176"/>
      <c r="AD643" s="178"/>
      <c r="AF643" s="179"/>
      <c r="AG643" s="179"/>
      <c r="AI643" s="180"/>
      <c r="AJ643" s="180"/>
      <c r="AK643" s="180"/>
      <c r="AL643" s="180"/>
      <c r="AM643" s="181"/>
      <c r="AN643" s="180"/>
      <c r="AO643" s="180"/>
      <c r="AP643" s="180"/>
    </row>
    <row r="644">
      <c r="D644" s="172"/>
      <c r="E644" s="172"/>
      <c r="G644" s="173"/>
      <c r="H644" s="173"/>
      <c r="I644" s="173"/>
      <c r="M644" s="173"/>
      <c r="R644" s="174"/>
      <c r="S644" s="174"/>
      <c r="T644" s="90"/>
      <c r="U644" s="176"/>
      <c r="V644" s="176"/>
      <c r="W644" s="176"/>
      <c r="X644" s="176"/>
      <c r="Y644" s="176"/>
      <c r="Z644" s="177"/>
      <c r="AA644" s="176"/>
      <c r="AB644" s="176"/>
      <c r="AC644" s="176"/>
      <c r="AD644" s="178"/>
      <c r="AF644" s="179"/>
      <c r="AG644" s="179"/>
      <c r="AI644" s="180"/>
      <c r="AJ644" s="180"/>
      <c r="AK644" s="180"/>
      <c r="AL644" s="180"/>
      <c r="AM644" s="181"/>
      <c r="AN644" s="180"/>
      <c r="AO644" s="180"/>
      <c r="AP644" s="180"/>
    </row>
    <row r="645">
      <c r="D645" s="172"/>
      <c r="E645" s="172"/>
      <c r="G645" s="173"/>
      <c r="H645" s="173"/>
      <c r="I645" s="173"/>
      <c r="M645" s="173"/>
      <c r="R645" s="174"/>
      <c r="S645" s="174"/>
      <c r="T645" s="90"/>
      <c r="U645" s="176"/>
      <c r="V645" s="176"/>
      <c r="W645" s="176"/>
      <c r="X645" s="176"/>
      <c r="Y645" s="176"/>
      <c r="Z645" s="177"/>
      <c r="AA645" s="176"/>
      <c r="AB645" s="176"/>
      <c r="AC645" s="176"/>
      <c r="AD645" s="178"/>
      <c r="AF645" s="179"/>
      <c r="AG645" s="179"/>
      <c r="AI645" s="180"/>
      <c r="AJ645" s="180"/>
      <c r="AK645" s="180"/>
      <c r="AL645" s="180"/>
      <c r="AM645" s="181"/>
      <c r="AN645" s="180"/>
      <c r="AO645" s="180"/>
      <c r="AP645" s="180"/>
    </row>
    <row r="646">
      <c r="D646" s="172"/>
      <c r="E646" s="172"/>
      <c r="G646" s="173"/>
      <c r="H646" s="173"/>
      <c r="I646" s="173"/>
      <c r="M646" s="173"/>
      <c r="R646" s="174"/>
      <c r="S646" s="174"/>
      <c r="T646" s="90"/>
      <c r="U646" s="176"/>
      <c r="V646" s="176"/>
      <c r="W646" s="176"/>
      <c r="X646" s="176"/>
      <c r="Y646" s="176"/>
      <c r="Z646" s="177"/>
      <c r="AA646" s="176"/>
      <c r="AB646" s="176"/>
      <c r="AC646" s="176"/>
      <c r="AD646" s="178"/>
      <c r="AF646" s="179"/>
      <c r="AG646" s="179"/>
      <c r="AI646" s="180"/>
      <c r="AJ646" s="180"/>
      <c r="AK646" s="180"/>
      <c r="AL646" s="180"/>
      <c r="AM646" s="181"/>
      <c r="AN646" s="180"/>
      <c r="AO646" s="180"/>
      <c r="AP646" s="180"/>
    </row>
    <row r="647">
      <c r="D647" s="172"/>
      <c r="E647" s="172"/>
      <c r="G647" s="173"/>
      <c r="H647" s="173"/>
      <c r="I647" s="173"/>
      <c r="M647" s="173"/>
      <c r="R647" s="174"/>
      <c r="S647" s="174"/>
      <c r="T647" s="90"/>
      <c r="U647" s="176"/>
      <c r="V647" s="176"/>
      <c r="W647" s="176"/>
      <c r="X647" s="176"/>
      <c r="Y647" s="176"/>
      <c r="Z647" s="177"/>
      <c r="AA647" s="176"/>
      <c r="AB647" s="176"/>
      <c r="AC647" s="176"/>
      <c r="AD647" s="178"/>
      <c r="AF647" s="179"/>
      <c r="AG647" s="179"/>
      <c r="AI647" s="180"/>
      <c r="AJ647" s="180"/>
      <c r="AK647" s="180"/>
      <c r="AL647" s="180"/>
      <c r="AM647" s="181"/>
      <c r="AN647" s="180"/>
      <c r="AO647" s="180"/>
      <c r="AP647" s="180"/>
    </row>
    <row r="648">
      <c r="D648" s="172"/>
      <c r="E648" s="172"/>
      <c r="G648" s="173"/>
      <c r="H648" s="173"/>
      <c r="I648" s="173"/>
      <c r="M648" s="173"/>
      <c r="R648" s="174"/>
      <c r="S648" s="174"/>
      <c r="T648" s="90"/>
      <c r="U648" s="176"/>
      <c r="V648" s="176"/>
      <c r="W648" s="176"/>
      <c r="X648" s="176"/>
      <c r="Y648" s="176"/>
      <c r="Z648" s="177"/>
      <c r="AA648" s="176"/>
      <c r="AB648" s="176"/>
      <c r="AC648" s="176"/>
      <c r="AD648" s="178"/>
      <c r="AF648" s="179"/>
      <c r="AG648" s="179"/>
      <c r="AI648" s="180"/>
      <c r="AJ648" s="180"/>
      <c r="AK648" s="180"/>
      <c r="AL648" s="180"/>
      <c r="AM648" s="181"/>
      <c r="AN648" s="180"/>
      <c r="AO648" s="180"/>
      <c r="AP648" s="180"/>
    </row>
    <row r="649">
      <c r="D649" s="172"/>
      <c r="E649" s="172"/>
      <c r="G649" s="173"/>
      <c r="H649" s="173"/>
      <c r="I649" s="173"/>
      <c r="M649" s="173"/>
      <c r="R649" s="174"/>
      <c r="S649" s="174"/>
      <c r="T649" s="90"/>
      <c r="U649" s="176"/>
      <c r="V649" s="176"/>
      <c r="W649" s="176"/>
      <c r="X649" s="176"/>
      <c r="Y649" s="176"/>
      <c r="Z649" s="177"/>
      <c r="AA649" s="176"/>
      <c r="AB649" s="176"/>
      <c r="AC649" s="176"/>
      <c r="AD649" s="178"/>
      <c r="AF649" s="179"/>
      <c r="AG649" s="179"/>
      <c r="AI649" s="180"/>
      <c r="AJ649" s="180"/>
      <c r="AK649" s="180"/>
      <c r="AL649" s="180"/>
      <c r="AM649" s="181"/>
      <c r="AN649" s="180"/>
      <c r="AO649" s="180"/>
      <c r="AP649" s="180"/>
    </row>
    <row r="650">
      <c r="D650" s="172"/>
      <c r="E650" s="172"/>
      <c r="G650" s="173"/>
      <c r="H650" s="173"/>
      <c r="I650" s="173"/>
      <c r="M650" s="173"/>
      <c r="R650" s="174"/>
      <c r="S650" s="174"/>
      <c r="T650" s="90"/>
      <c r="U650" s="176"/>
      <c r="V650" s="176"/>
      <c r="W650" s="176"/>
      <c r="X650" s="176"/>
      <c r="Y650" s="176"/>
      <c r="Z650" s="177"/>
      <c r="AA650" s="176"/>
      <c r="AB650" s="176"/>
      <c r="AC650" s="176"/>
      <c r="AD650" s="178"/>
      <c r="AF650" s="179"/>
      <c r="AG650" s="179"/>
      <c r="AI650" s="180"/>
      <c r="AJ650" s="180"/>
      <c r="AK650" s="180"/>
      <c r="AL650" s="180"/>
      <c r="AM650" s="181"/>
      <c r="AN650" s="180"/>
      <c r="AO650" s="180"/>
      <c r="AP650" s="180"/>
    </row>
    <row r="651">
      <c r="D651" s="172"/>
      <c r="E651" s="172"/>
      <c r="G651" s="173"/>
      <c r="H651" s="173"/>
      <c r="I651" s="173"/>
      <c r="M651" s="173"/>
      <c r="R651" s="174"/>
      <c r="S651" s="174"/>
      <c r="T651" s="90"/>
      <c r="U651" s="176"/>
      <c r="V651" s="176"/>
      <c r="W651" s="176"/>
      <c r="X651" s="176"/>
      <c r="Y651" s="176"/>
      <c r="Z651" s="177"/>
      <c r="AA651" s="176"/>
      <c r="AB651" s="176"/>
      <c r="AC651" s="176"/>
      <c r="AD651" s="178"/>
      <c r="AF651" s="179"/>
      <c r="AG651" s="179"/>
      <c r="AI651" s="180"/>
      <c r="AJ651" s="180"/>
      <c r="AK651" s="180"/>
      <c r="AL651" s="180"/>
      <c r="AM651" s="181"/>
      <c r="AN651" s="180"/>
      <c r="AO651" s="180"/>
      <c r="AP651" s="180"/>
    </row>
    <row r="652">
      <c r="D652" s="172"/>
      <c r="E652" s="172"/>
      <c r="G652" s="173"/>
      <c r="H652" s="173"/>
      <c r="I652" s="173"/>
      <c r="M652" s="173"/>
      <c r="R652" s="174"/>
      <c r="S652" s="174"/>
      <c r="T652" s="90"/>
      <c r="U652" s="176"/>
      <c r="V652" s="176"/>
      <c r="W652" s="176"/>
      <c r="X652" s="176"/>
      <c r="Y652" s="176"/>
      <c r="Z652" s="177"/>
      <c r="AA652" s="176"/>
      <c r="AB652" s="176"/>
      <c r="AC652" s="176"/>
      <c r="AD652" s="178"/>
      <c r="AF652" s="179"/>
      <c r="AG652" s="179"/>
      <c r="AI652" s="180"/>
      <c r="AJ652" s="180"/>
      <c r="AK652" s="180"/>
      <c r="AL652" s="180"/>
      <c r="AM652" s="181"/>
      <c r="AN652" s="180"/>
      <c r="AO652" s="180"/>
      <c r="AP652" s="180"/>
    </row>
    <row r="653">
      <c r="D653" s="172"/>
      <c r="E653" s="172"/>
      <c r="G653" s="173"/>
      <c r="H653" s="173"/>
      <c r="I653" s="173"/>
      <c r="M653" s="173"/>
      <c r="R653" s="174"/>
      <c r="S653" s="174"/>
      <c r="T653" s="90"/>
      <c r="U653" s="176"/>
      <c r="V653" s="176"/>
      <c r="W653" s="176"/>
      <c r="X653" s="176"/>
      <c r="Y653" s="176"/>
      <c r="Z653" s="177"/>
      <c r="AA653" s="176"/>
      <c r="AB653" s="176"/>
      <c r="AC653" s="176"/>
      <c r="AD653" s="178"/>
      <c r="AF653" s="179"/>
      <c r="AG653" s="179"/>
      <c r="AI653" s="180"/>
      <c r="AJ653" s="180"/>
      <c r="AK653" s="180"/>
      <c r="AL653" s="180"/>
      <c r="AM653" s="181"/>
      <c r="AN653" s="180"/>
      <c r="AO653" s="180"/>
      <c r="AP653" s="180"/>
    </row>
    <row r="654">
      <c r="D654" s="172"/>
      <c r="E654" s="172"/>
      <c r="G654" s="173"/>
      <c r="H654" s="173"/>
      <c r="I654" s="173"/>
      <c r="M654" s="173"/>
      <c r="R654" s="174"/>
      <c r="S654" s="174"/>
      <c r="T654" s="90"/>
      <c r="U654" s="176"/>
      <c r="V654" s="176"/>
      <c r="W654" s="176"/>
      <c r="X654" s="176"/>
      <c r="Y654" s="176"/>
      <c r="Z654" s="177"/>
      <c r="AA654" s="176"/>
      <c r="AB654" s="176"/>
      <c r="AC654" s="176"/>
      <c r="AD654" s="178"/>
      <c r="AF654" s="179"/>
      <c r="AG654" s="179"/>
      <c r="AI654" s="180"/>
      <c r="AJ654" s="180"/>
      <c r="AK654" s="180"/>
      <c r="AL654" s="180"/>
      <c r="AM654" s="181"/>
      <c r="AN654" s="180"/>
      <c r="AO654" s="180"/>
      <c r="AP654" s="180"/>
    </row>
    <row r="655">
      <c r="D655" s="172"/>
      <c r="E655" s="172"/>
      <c r="G655" s="173"/>
      <c r="H655" s="173"/>
      <c r="I655" s="173"/>
      <c r="M655" s="173"/>
      <c r="R655" s="174"/>
      <c r="S655" s="174"/>
      <c r="T655" s="90"/>
      <c r="U655" s="176"/>
      <c r="V655" s="176"/>
      <c r="W655" s="176"/>
      <c r="X655" s="176"/>
      <c r="Y655" s="176"/>
      <c r="Z655" s="177"/>
      <c r="AA655" s="176"/>
      <c r="AB655" s="176"/>
      <c r="AC655" s="176"/>
      <c r="AD655" s="178"/>
      <c r="AF655" s="179"/>
      <c r="AG655" s="179"/>
      <c r="AI655" s="180"/>
      <c r="AJ655" s="180"/>
      <c r="AK655" s="180"/>
      <c r="AL655" s="180"/>
      <c r="AM655" s="181"/>
      <c r="AN655" s="180"/>
      <c r="AO655" s="180"/>
      <c r="AP655" s="180"/>
    </row>
    <row r="656">
      <c r="D656" s="172"/>
      <c r="E656" s="172"/>
      <c r="G656" s="173"/>
      <c r="H656" s="173"/>
      <c r="I656" s="173"/>
      <c r="M656" s="173"/>
      <c r="R656" s="174"/>
      <c r="S656" s="174"/>
      <c r="T656" s="90"/>
      <c r="U656" s="176"/>
      <c r="V656" s="176"/>
      <c r="W656" s="176"/>
      <c r="X656" s="176"/>
      <c r="Y656" s="176"/>
      <c r="Z656" s="177"/>
      <c r="AA656" s="176"/>
      <c r="AB656" s="176"/>
      <c r="AC656" s="176"/>
      <c r="AD656" s="178"/>
      <c r="AF656" s="179"/>
      <c r="AG656" s="179"/>
      <c r="AI656" s="180"/>
      <c r="AJ656" s="180"/>
      <c r="AK656" s="180"/>
      <c r="AL656" s="180"/>
      <c r="AM656" s="181"/>
      <c r="AN656" s="180"/>
      <c r="AO656" s="180"/>
      <c r="AP656" s="180"/>
    </row>
    <row r="657">
      <c r="D657" s="172"/>
      <c r="E657" s="172"/>
      <c r="G657" s="173"/>
      <c r="H657" s="173"/>
      <c r="I657" s="173"/>
      <c r="M657" s="173"/>
      <c r="R657" s="174"/>
      <c r="S657" s="174"/>
      <c r="T657" s="90"/>
      <c r="U657" s="176"/>
      <c r="V657" s="176"/>
      <c r="W657" s="176"/>
      <c r="X657" s="176"/>
      <c r="Y657" s="176"/>
      <c r="Z657" s="177"/>
      <c r="AA657" s="176"/>
      <c r="AB657" s="176"/>
      <c r="AC657" s="176"/>
      <c r="AD657" s="178"/>
      <c r="AF657" s="179"/>
      <c r="AG657" s="179"/>
      <c r="AI657" s="180"/>
      <c r="AJ657" s="180"/>
      <c r="AK657" s="180"/>
      <c r="AL657" s="180"/>
      <c r="AM657" s="181"/>
      <c r="AN657" s="180"/>
      <c r="AO657" s="180"/>
      <c r="AP657" s="180"/>
    </row>
    <row r="658">
      <c r="D658" s="172"/>
      <c r="E658" s="172"/>
      <c r="G658" s="173"/>
      <c r="H658" s="173"/>
      <c r="I658" s="173"/>
      <c r="M658" s="173"/>
      <c r="R658" s="174"/>
      <c r="S658" s="174"/>
      <c r="T658" s="90"/>
      <c r="U658" s="176"/>
      <c r="V658" s="176"/>
      <c r="W658" s="176"/>
      <c r="X658" s="176"/>
      <c r="Y658" s="176"/>
      <c r="Z658" s="177"/>
      <c r="AA658" s="176"/>
      <c r="AB658" s="176"/>
      <c r="AC658" s="176"/>
      <c r="AD658" s="178"/>
      <c r="AF658" s="179"/>
      <c r="AG658" s="179"/>
      <c r="AI658" s="180"/>
      <c r="AJ658" s="180"/>
      <c r="AK658" s="180"/>
      <c r="AL658" s="180"/>
      <c r="AM658" s="181"/>
      <c r="AN658" s="180"/>
      <c r="AO658" s="180"/>
      <c r="AP658" s="180"/>
    </row>
    <row r="659">
      <c r="D659" s="172"/>
      <c r="E659" s="172"/>
      <c r="G659" s="173"/>
      <c r="H659" s="173"/>
      <c r="I659" s="173"/>
      <c r="M659" s="173"/>
      <c r="R659" s="174"/>
      <c r="S659" s="174"/>
      <c r="T659" s="90"/>
      <c r="U659" s="176"/>
      <c r="V659" s="176"/>
      <c r="W659" s="176"/>
      <c r="X659" s="176"/>
      <c r="Y659" s="176"/>
      <c r="Z659" s="177"/>
      <c r="AA659" s="176"/>
      <c r="AB659" s="176"/>
      <c r="AC659" s="176"/>
      <c r="AD659" s="178"/>
      <c r="AF659" s="179"/>
      <c r="AG659" s="179"/>
      <c r="AI659" s="180"/>
      <c r="AJ659" s="180"/>
      <c r="AK659" s="180"/>
      <c r="AL659" s="180"/>
      <c r="AM659" s="181"/>
      <c r="AN659" s="180"/>
      <c r="AO659" s="180"/>
      <c r="AP659" s="180"/>
    </row>
    <row r="660">
      <c r="D660" s="172"/>
      <c r="E660" s="172"/>
      <c r="G660" s="173"/>
      <c r="H660" s="173"/>
      <c r="I660" s="173"/>
      <c r="M660" s="173"/>
      <c r="R660" s="174"/>
      <c r="S660" s="174"/>
      <c r="T660" s="90"/>
      <c r="U660" s="176"/>
      <c r="V660" s="176"/>
      <c r="W660" s="176"/>
      <c r="X660" s="176"/>
      <c r="Y660" s="176"/>
      <c r="Z660" s="177"/>
      <c r="AA660" s="176"/>
      <c r="AB660" s="176"/>
      <c r="AC660" s="176"/>
      <c r="AD660" s="178"/>
      <c r="AF660" s="179"/>
      <c r="AG660" s="179"/>
      <c r="AI660" s="180"/>
      <c r="AJ660" s="180"/>
      <c r="AK660" s="180"/>
      <c r="AL660" s="180"/>
      <c r="AM660" s="181"/>
      <c r="AN660" s="180"/>
      <c r="AO660" s="180"/>
      <c r="AP660" s="180"/>
    </row>
    <row r="661">
      <c r="D661" s="172"/>
      <c r="E661" s="172"/>
      <c r="G661" s="173"/>
      <c r="H661" s="173"/>
      <c r="I661" s="173"/>
      <c r="M661" s="173"/>
      <c r="R661" s="174"/>
      <c r="S661" s="174"/>
      <c r="T661" s="90"/>
      <c r="U661" s="176"/>
      <c r="V661" s="176"/>
      <c r="W661" s="176"/>
      <c r="X661" s="176"/>
      <c r="Y661" s="176"/>
      <c r="Z661" s="177"/>
      <c r="AA661" s="176"/>
      <c r="AB661" s="176"/>
      <c r="AC661" s="176"/>
      <c r="AD661" s="178"/>
      <c r="AF661" s="179"/>
      <c r="AG661" s="179"/>
      <c r="AI661" s="180"/>
      <c r="AJ661" s="180"/>
      <c r="AK661" s="180"/>
      <c r="AL661" s="180"/>
      <c r="AM661" s="181"/>
      <c r="AN661" s="180"/>
      <c r="AO661" s="180"/>
      <c r="AP661" s="180"/>
    </row>
    <row r="662">
      <c r="D662" s="172"/>
      <c r="E662" s="172"/>
      <c r="G662" s="173"/>
      <c r="H662" s="173"/>
      <c r="I662" s="173"/>
      <c r="M662" s="173"/>
      <c r="R662" s="174"/>
      <c r="S662" s="174"/>
      <c r="T662" s="90"/>
      <c r="U662" s="176"/>
      <c r="V662" s="176"/>
      <c r="W662" s="176"/>
      <c r="X662" s="176"/>
      <c r="Y662" s="176"/>
      <c r="Z662" s="177"/>
      <c r="AA662" s="176"/>
      <c r="AB662" s="176"/>
      <c r="AC662" s="176"/>
      <c r="AD662" s="178"/>
      <c r="AF662" s="179"/>
      <c r="AG662" s="179"/>
      <c r="AI662" s="180"/>
      <c r="AJ662" s="180"/>
      <c r="AK662" s="180"/>
      <c r="AL662" s="180"/>
      <c r="AM662" s="181"/>
      <c r="AN662" s="180"/>
      <c r="AO662" s="180"/>
      <c r="AP662" s="180"/>
    </row>
    <row r="663">
      <c r="D663" s="172"/>
      <c r="E663" s="172"/>
      <c r="G663" s="173"/>
      <c r="H663" s="173"/>
      <c r="I663" s="173"/>
      <c r="M663" s="173"/>
      <c r="R663" s="174"/>
      <c r="S663" s="174"/>
      <c r="T663" s="90"/>
      <c r="U663" s="176"/>
      <c r="V663" s="176"/>
      <c r="W663" s="176"/>
      <c r="X663" s="176"/>
      <c r="Y663" s="176"/>
      <c r="Z663" s="177"/>
      <c r="AA663" s="176"/>
      <c r="AB663" s="176"/>
      <c r="AC663" s="176"/>
      <c r="AD663" s="178"/>
      <c r="AF663" s="179"/>
      <c r="AG663" s="179"/>
      <c r="AI663" s="180"/>
      <c r="AJ663" s="180"/>
      <c r="AK663" s="180"/>
      <c r="AL663" s="180"/>
      <c r="AM663" s="181"/>
      <c r="AN663" s="180"/>
      <c r="AO663" s="180"/>
      <c r="AP663" s="180"/>
    </row>
    <row r="664">
      <c r="D664" s="172"/>
      <c r="E664" s="172"/>
      <c r="G664" s="173"/>
      <c r="H664" s="173"/>
      <c r="I664" s="173"/>
      <c r="M664" s="173"/>
      <c r="R664" s="174"/>
      <c r="S664" s="174"/>
      <c r="T664" s="90"/>
      <c r="U664" s="176"/>
      <c r="V664" s="176"/>
      <c r="W664" s="176"/>
      <c r="X664" s="176"/>
      <c r="Y664" s="176"/>
      <c r="Z664" s="177"/>
      <c r="AA664" s="176"/>
      <c r="AB664" s="176"/>
      <c r="AC664" s="176"/>
      <c r="AD664" s="178"/>
      <c r="AF664" s="179"/>
      <c r="AG664" s="179"/>
      <c r="AI664" s="180"/>
      <c r="AJ664" s="180"/>
      <c r="AK664" s="180"/>
      <c r="AL664" s="180"/>
      <c r="AM664" s="181"/>
      <c r="AN664" s="180"/>
      <c r="AO664" s="180"/>
      <c r="AP664" s="180"/>
    </row>
    <row r="665">
      <c r="D665" s="172"/>
      <c r="E665" s="172"/>
      <c r="G665" s="173"/>
      <c r="H665" s="173"/>
      <c r="I665" s="173"/>
      <c r="M665" s="173"/>
      <c r="R665" s="174"/>
      <c r="S665" s="174"/>
      <c r="T665" s="90"/>
      <c r="U665" s="176"/>
      <c r="V665" s="176"/>
      <c r="W665" s="176"/>
      <c r="X665" s="176"/>
      <c r="Y665" s="176"/>
      <c r="Z665" s="177"/>
      <c r="AA665" s="176"/>
      <c r="AB665" s="176"/>
      <c r="AC665" s="176"/>
      <c r="AD665" s="178"/>
      <c r="AF665" s="179"/>
      <c r="AG665" s="179"/>
      <c r="AI665" s="180"/>
      <c r="AJ665" s="180"/>
      <c r="AK665" s="180"/>
      <c r="AL665" s="180"/>
      <c r="AM665" s="181"/>
      <c r="AN665" s="180"/>
      <c r="AO665" s="180"/>
      <c r="AP665" s="180"/>
    </row>
    <row r="666">
      <c r="D666" s="172"/>
      <c r="E666" s="172"/>
      <c r="G666" s="173"/>
      <c r="H666" s="173"/>
      <c r="I666" s="173"/>
      <c r="M666" s="173"/>
      <c r="R666" s="174"/>
      <c r="S666" s="174"/>
      <c r="T666" s="90"/>
      <c r="U666" s="176"/>
      <c r="V666" s="176"/>
      <c r="W666" s="176"/>
      <c r="X666" s="176"/>
      <c r="Y666" s="176"/>
      <c r="Z666" s="177"/>
      <c r="AA666" s="176"/>
      <c r="AB666" s="176"/>
      <c r="AC666" s="176"/>
      <c r="AD666" s="178"/>
      <c r="AF666" s="179"/>
      <c r="AG666" s="179"/>
      <c r="AI666" s="180"/>
      <c r="AJ666" s="180"/>
      <c r="AK666" s="180"/>
      <c r="AL666" s="180"/>
      <c r="AM666" s="181"/>
      <c r="AN666" s="180"/>
      <c r="AO666" s="180"/>
      <c r="AP666" s="180"/>
    </row>
    <row r="667">
      <c r="D667" s="172"/>
      <c r="E667" s="172"/>
      <c r="G667" s="173"/>
      <c r="H667" s="173"/>
      <c r="I667" s="173"/>
      <c r="M667" s="173"/>
      <c r="R667" s="174"/>
      <c r="S667" s="174"/>
      <c r="T667" s="90"/>
      <c r="U667" s="176"/>
      <c r="V667" s="176"/>
      <c r="W667" s="176"/>
      <c r="X667" s="176"/>
      <c r="Y667" s="176"/>
      <c r="Z667" s="177"/>
      <c r="AA667" s="176"/>
      <c r="AB667" s="176"/>
      <c r="AC667" s="176"/>
      <c r="AD667" s="178"/>
      <c r="AF667" s="179"/>
      <c r="AG667" s="179"/>
      <c r="AI667" s="180"/>
      <c r="AJ667" s="180"/>
      <c r="AK667" s="180"/>
      <c r="AL667" s="180"/>
      <c r="AM667" s="181"/>
      <c r="AN667" s="180"/>
      <c r="AO667" s="180"/>
      <c r="AP667" s="180"/>
    </row>
    <row r="668">
      <c r="D668" s="172"/>
      <c r="E668" s="172"/>
      <c r="G668" s="173"/>
      <c r="H668" s="173"/>
      <c r="I668" s="173"/>
      <c r="M668" s="173"/>
      <c r="R668" s="174"/>
      <c r="S668" s="174"/>
      <c r="T668" s="90"/>
      <c r="U668" s="176"/>
      <c r="V668" s="176"/>
      <c r="W668" s="176"/>
      <c r="X668" s="176"/>
      <c r="Y668" s="176"/>
      <c r="Z668" s="177"/>
      <c r="AA668" s="176"/>
      <c r="AB668" s="176"/>
      <c r="AC668" s="176"/>
      <c r="AD668" s="178"/>
      <c r="AF668" s="179"/>
      <c r="AG668" s="179"/>
      <c r="AI668" s="180"/>
      <c r="AJ668" s="180"/>
      <c r="AK668" s="180"/>
      <c r="AL668" s="180"/>
      <c r="AM668" s="181"/>
      <c r="AN668" s="180"/>
      <c r="AO668" s="180"/>
      <c r="AP668" s="180"/>
    </row>
    <row r="669">
      <c r="D669" s="172"/>
      <c r="E669" s="172"/>
      <c r="G669" s="173"/>
      <c r="H669" s="173"/>
      <c r="I669" s="173"/>
      <c r="M669" s="173"/>
      <c r="R669" s="174"/>
      <c r="S669" s="174"/>
      <c r="T669" s="90"/>
      <c r="U669" s="176"/>
      <c r="V669" s="176"/>
      <c r="W669" s="176"/>
      <c r="X669" s="176"/>
      <c r="Y669" s="176"/>
      <c r="Z669" s="177"/>
      <c r="AA669" s="176"/>
      <c r="AB669" s="176"/>
      <c r="AC669" s="176"/>
      <c r="AD669" s="178"/>
      <c r="AF669" s="179"/>
      <c r="AG669" s="179"/>
      <c r="AI669" s="180"/>
      <c r="AJ669" s="180"/>
      <c r="AK669" s="180"/>
      <c r="AL669" s="180"/>
      <c r="AM669" s="181"/>
      <c r="AN669" s="180"/>
      <c r="AO669" s="180"/>
      <c r="AP669" s="180"/>
    </row>
    <row r="670">
      <c r="D670" s="172"/>
      <c r="E670" s="172"/>
      <c r="G670" s="173"/>
      <c r="H670" s="173"/>
      <c r="I670" s="173"/>
      <c r="M670" s="173"/>
      <c r="R670" s="174"/>
      <c r="S670" s="174"/>
      <c r="T670" s="90"/>
      <c r="U670" s="176"/>
      <c r="V670" s="176"/>
      <c r="W670" s="176"/>
      <c r="X670" s="176"/>
      <c r="Y670" s="176"/>
      <c r="Z670" s="177"/>
      <c r="AA670" s="176"/>
      <c r="AB670" s="176"/>
      <c r="AC670" s="176"/>
      <c r="AD670" s="178"/>
      <c r="AF670" s="179"/>
      <c r="AG670" s="179"/>
      <c r="AI670" s="180"/>
      <c r="AJ670" s="180"/>
      <c r="AK670" s="180"/>
      <c r="AL670" s="180"/>
      <c r="AM670" s="181"/>
      <c r="AN670" s="180"/>
      <c r="AO670" s="180"/>
      <c r="AP670" s="180"/>
    </row>
    <row r="671">
      <c r="D671" s="172"/>
      <c r="E671" s="172"/>
      <c r="G671" s="173"/>
      <c r="H671" s="173"/>
      <c r="I671" s="173"/>
      <c r="M671" s="173"/>
      <c r="R671" s="174"/>
      <c r="S671" s="174"/>
      <c r="T671" s="90"/>
      <c r="U671" s="176"/>
      <c r="V671" s="176"/>
      <c r="W671" s="176"/>
      <c r="X671" s="176"/>
      <c r="Y671" s="176"/>
      <c r="Z671" s="177"/>
      <c r="AA671" s="176"/>
      <c r="AB671" s="176"/>
      <c r="AC671" s="176"/>
      <c r="AD671" s="178"/>
      <c r="AF671" s="179"/>
      <c r="AG671" s="179"/>
      <c r="AI671" s="180"/>
      <c r="AJ671" s="180"/>
      <c r="AK671" s="180"/>
      <c r="AL671" s="180"/>
      <c r="AM671" s="181"/>
      <c r="AN671" s="180"/>
      <c r="AO671" s="180"/>
      <c r="AP671" s="180"/>
    </row>
    <row r="672">
      <c r="D672" s="172"/>
      <c r="E672" s="172"/>
      <c r="G672" s="173"/>
      <c r="H672" s="173"/>
      <c r="I672" s="173"/>
      <c r="M672" s="173"/>
      <c r="R672" s="174"/>
      <c r="S672" s="174"/>
      <c r="T672" s="90"/>
      <c r="U672" s="176"/>
      <c r="V672" s="176"/>
      <c r="W672" s="176"/>
      <c r="X672" s="176"/>
      <c r="Y672" s="176"/>
      <c r="Z672" s="177"/>
      <c r="AA672" s="176"/>
      <c r="AB672" s="176"/>
      <c r="AC672" s="176"/>
      <c r="AD672" s="178"/>
      <c r="AF672" s="179"/>
      <c r="AG672" s="179"/>
      <c r="AI672" s="180"/>
      <c r="AJ672" s="180"/>
      <c r="AK672" s="180"/>
      <c r="AL672" s="180"/>
      <c r="AM672" s="181"/>
      <c r="AN672" s="180"/>
      <c r="AO672" s="180"/>
      <c r="AP672" s="180"/>
    </row>
    <row r="673">
      <c r="D673" s="172"/>
      <c r="E673" s="172"/>
      <c r="G673" s="173"/>
      <c r="H673" s="173"/>
      <c r="I673" s="173"/>
      <c r="M673" s="173"/>
      <c r="R673" s="174"/>
      <c r="S673" s="174"/>
      <c r="T673" s="90"/>
      <c r="U673" s="176"/>
      <c r="V673" s="176"/>
      <c r="W673" s="176"/>
      <c r="X673" s="176"/>
      <c r="Y673" s="176"/>
      <c r="Z673" s="177"/>
      <c r="AA673" s="176"/>
      <c r="AB673" s="176"/>
      <c r="AC673" s="176"/>
      <c r="AD673" s="178"/>
      <c r="AF673" s="179"/>
      <c r="AG673" s="179"/>
      <c r="AI673" s="180"/>
      <c r="AJ673" s="180"/>
      <c r="AK673" s="180"/>
      <c r="AL673" s="180"/>
      <c r="AM673" s="181"/>
      <c r="AN673" s="180"/>
      <c r="AO673" s="180"/>
      <c r="AP673" s="180"/>
    </row>
    <row r="674">
      <c r="D674" s="172"/>
      <c r="E674" s="172"/>
      <c r="G674" s="173"/>
      <c r="H674" s="173"/>
      <c r="I674" s="173"/>
      <c r="M674" s="173"/>
      <c r="R674" s="174"/>
      <c r="S674" s="174"/>
      <c r="T674" s="90"/>
      <c r="U674" s="176"/>
      <c r="V674" s="176"/>
      <c r="W674" s="176"/>
      <c r="X674" s="176"/>
      <c r="Y674" s="176"/>
      <c r="Z674" s="177"/>
      <c r="AA674" s="176"/>
      <c r="AB674" s="176"/>
      <c r="AC674" s="176"/>
      <c r="AD674" s="178"/>
      <c r="AF674" s="179"/>
      <c r="AG674" s="179"/>
      <c r="AI674" s="180"/>
      <c r="AJ674" s="180"/>
      <c r="AK674" s="180"/>
      <c r="AL674" s="180"/>
      <c r="AM674" s="181"/>
      <c r="AN674" s="180"/>
      <c r="AO674" s="180"/>
      <c r="AP674" s="180"/>
    </row>
    <row r="675">
      <c r="D675" s="172"/>
      <c r="E675" s="172"/>
      <c r="G675" s="173"/>
      <c r="H675" s="173"/>
      <c r="I675" s="173"/>
      <c r="M675" s="173"/>
      <c r="R675" s="174"/>
      <c r="S675" s="174"/>
      <c r="T675" s="90"/>
      <c r="U675" s="176"/>
      <c r="V675" s="176"/>
      <c r="W675" s="176"/>
      <c r="X675" s="176"/>
      <c r="Y675" s="176"/>
      <c r="Z675" s="177"/>
      <c r="AA675" s="176"/>
      <c r="AB675" s="176"/>
      <c r="AC675" s="176"/>
      <c r="AD675" s="178"/>
      <c r="AF675" s="179"/>
      <c r="AG675" s="179"/>
      <c r="AI675" s="180"/>
      <c r="AJ675" s="180"/>
      <c r="AK675" s="180"/>
      <c r="AL675" s="180"/>
      <c r="AM675" s="181"/>
      <c r="AN675" s="180"/>
      <c r="AO675" s="180"/>
      <c r="AP675" s="180"/>
    </row>
    <row r="676">
      <c r="D676" s="172"/>
      <c r="E676" s="172"/>
      <c r="G676" s="173"/>
      <c r="H676" s="173"/>
      <c r="I676" s="173"/>
      <c r="M676" s="173"/>
      <c r="R676" s="174"/>
      <c r="S676" s="174"/>
      <c r="T676" s="90"/>
      <c r="U676" s="176"/>
      <c r="V676" s="176"/>
      <c r="W676" s="176"/>
      <c r="X676" s="176"/>
      <c r="Y676" s="176"/>
      <c r="Z676" s="177"/>
      <c r="AA676" s="176"/>
      <c r="AB676" s="176"/>
      <c r="AC676" s="176"/>
      <c r="AD676" s="178"/>
      <c r="AF676" s="179"/>
      <c r="AG676" s="179"/>
      <c r="AI676" s="180"/>
      <c r="AJ676" s="180"/>
      <c r="AK676" s="180"/>
      <c r="AL676" s="180"/>
      <c r="AM676" s="181"/>
      <c r="AN676" s="180"/>
      <c r="AO676" s="180"/>
      <c r="AP676" s="180"/>
    </row>
    <row r="677">
      <c r="D677" s="172"/>
      <c r="E677" s="172"/>
      <c r="G677" s="173"/>
      <c r="H677" s="173"/>
      <c r="I677" s="173"/>
      <c r="M677" s="173"/>
      <c r="R677" s="174"/>
      <c r="S677" s="174"/>
      <c r="T677" s="90"/>
      <c r="U677" s="176"/>
      <c r="V677" s="176"/>
      <c r="W677" s="176"/>
      <c r="X677" s="176"/>
      <c r="Y677" s="176"/>
      <c r="Z677" s="177"/>
      <c r="AA677" s="176"/>
      <c r="AB677" s="176"/>
      <c r="AC677" s="176"/>
      <c r="AD677" s="178"/>
      <c r="AF677" s="179"/>
      <c r="AG677" s="179"/>
      <c r="AI677" s="180"/>
      <c r="AJ677" s="180"/>
      <c r="AK677" s="180"/>
      <c r="AL677" s="180"/>
      <c r="AM677" s="181"/>
      <c r="AN677" s="180"/>
      <c r="AO677" s="180"/>
      <c r="AP677" s="180"/>
    </row>
    <row r="678">
      <c r="D678" s="172"/>
      <c r="E678" s="172"/>
      <c r="G678" s="173"/>
      <c r="H678" s="173"/>
      <c r="I678" s="173"/>
      <c r="M678" s="173"/>
      <c r="R678" s="174"/>
      <c r="S678" s="174"/>
      <c r="T678" s="90"/>
      <c r="U678" s="176"/>
      <c r="V678" s="176"/>
      <c r="W678" s="176"/>
      <c r="X678" s="176"/>
      <c r="Y678" s="176"/>
      <c r="Z678" s="177"/>
      <c r="AA678" s="176"/>
      <c r="AB678" s="176"/>
      <c r="AC678" s="176"/>
      <c r="AD678" s="178"/>
      <c r="AF678" s="179"/>
      <c r="AG678" s="179"/>
      <c r="AI678" s="180"/>
      <c r="AJ678" s="180"/>
      <c r="AK678" s="180"/>
      <c r="AL678" s="180"/>
      <c r="AM678" s="181"/>
      <c r="AN678" s="180"/>
      <c r="AO678" s="180"/>
      <c r="AP678" s="180"/>
    </row>
    <row r="679">
      <c r="D679" s="172"/>
      <c r="E679" s="172"/>
      <c r="G679" s="173"/>
      <c r="H679" s="173"/>
      <c r="I679" s="173"/>
      <c r="M679" s="173"/>
      <c r="R679" s="174"/>
      <c r="S679" s="174"/>
      <c r="T679" s="90"/>
      <c r="U679" s="176"/>
      <c r="V679" s="176"/>
      <c r="W679" s="176"/>
      <c r="X679" s="176"/>
      <c r="Y679" s="176"/>
      <c r="Z679" s="177"/>
      <c r="AA679" s="176"/>
      <c r="AB679" s="176"/>
      <c r="AC679" s="176"/>
      <c r="AD679" s="178"/>
      <c r="AF679" s="179"/>
      <c r="AG679" s="179"/>
      <c r="AI679" s="180"/>
      <c r="AJ679" s="180"/>
      <c r="AK679" s="180"/>
      <c r="AL679" s="180"/>
      <c r="AM679" s="181"/>
      <c r="AN679" s="180"/>
      <c r="AO679" s="180"/>
      <c r="AP679" s="180"/>
    </row>
    <row r="680">
      <c r="D680" s="172"/>
      <c r="E680" s="172"/>
      <c r="G680" s="173"/>
      <c r="H680" s="173"/>
      <c r="I680" s="173"/>
      <c r="M680" s="173"/>
      <c r="R680" s="174"/>
      <c r="S680" s="174"/>
      <c r="T680" s="90"/>
      <c r="U680" s="176"/>
      <c r="V680" s="176"/>
      <c r="W680" s="176"/>
      <c r="X680" s="176"/>
      <c r="Y680" s="176"/>
      <c r="Z680" s="177"/>
      <c r="AA680" s="176"/>
      <c r="AB680" s="176"/>
      <c r="AC680" s="176"/>
      <c r="AD680" s="178"/>
      <c r="AF680" s="179"/>
      <c r="AG680" s="179"/>
      <c r="AI680" s="180"/>
      <c r="AJ680" s="180"/>
      <c r="AK680" s="180"/>
      <c r="AL680" s="180"/>
      <c r="AM680" s="181"/>
      <c r="AN680" s="180"/>
      <c r="AO680" s="180"/>
      <c r="AP680" s="180"/>
    </row>
    <row r="681">
      <c r="D681" s="172"/>
      <c r="E681" s="172"/>
      <c r="G681" s="173"/>
      <c r="H681" s="173"/>
      <c r="I681" s="173"/>
      <c r="M681" s="173"/>
      <c r="R681" s="174"/>
      <c r="S681" s="174"/>
      <c r="T681" s="90"/>
      <c r="U681" s="176"/>
      <c r="V681" s="176"/>
      <c r="W681" s="176"/>
      <c r="X681" s="176"/>
      <c r="Y681" s="176"/>
      <c r="Z681" s="177"/>
      <c r="AA681" s="176"/>
      <c r="AB681" s="176"/>
      <c r="AC681" s="176"/>
      <c r="AD681" s="178"/>
      <c r="AF681" s="179"/>
      <c r="AG681" s="179"/>
      <c r="AI681" s="180"/>
      <c r="AJ681" s="180"/>
      <c r="AK681" s="180"/>
      <c r="AL681" s="180"/>
      <c r="AM681" s="181"/>
      <c r="AN681" s="180"/>
      <c r="AO681" s="180"/>
      <c r="AP681" s="180"/>
    </row>
    <row r="682">
      <c r="D682" s="172"/>
      <c r="E682" s="172"/>
      <c r="G682" s="173"/>
      <c r="H682" s="173"/>
      <c r="I682" s="173"/>
      <c r="M682" s="173"/>
      <c r="R682" s="174"/>
      <c r="S682" s="174"/>
      <c r="T682" s="90"/>
      <c r="U682" s="176"/>
      <c r="V682" s="176"/>
      <c r="W682" s="176"/>
      <c r="X682" s="176"/>
      <c r="Y682" s="176"/>
      <c r="Z682" s="177"/>
      <c r="AA682" s="176"/>
      <c r="AB682" s="176"/>
      <c r="AC682" s="176"/>
      <c r="AD682" s="178"/>
      <c r="AF682" s="179"/>
      <c r="AG682" s="179"/>
      <c r="AI682" s="180"/>
      <c r="AJ682" s="180"/>
      <c r="AK682" s="180"/>
      <c r="AL682" s="180"/>
      <c r="AM682" s="181"/>
      <c r="AN682" s="180"/>
      <c r="AO682" s="180"/>
      <c r="AP682" s="180"/>
    </row>
    <row r="683">
      <c r="D683" s="172"/>
      <c r="E683" s="172"/>
      <c r="G683" s="173"/>
      <c r="H683" s="173"/>
      <c r="I683" s="173"/>
      <c r="M683" s="173"/>
      <c r="R683" s="174"/>
      <c r="S683" s="174"/>
      <c r="T683" s="90"/>
      <c r="U683" s="176"/>
      <c r="V683" s="176"/>
      <c r="W683" s="176"/>
      <c r="X683" s="176"/>
      <c r="Y683" s="176"/>
      <c r="Z683" s="177"/>
      <c r="AA683" s="176"/>
      <c r="AB683" s="176"/>
      <c r="AC683" s="176"/>
      <c r="AD683" s="178"/>
      <c r="AF683" s="179"/>
      <c r="AG683" s="179"/>
      <c r="AI683" s="180"/>
      <c r="AJ683" s="180"/>
      <c r="AK683" s="180"/>
      <c r="AL683" s="180"/>
      <c r="AM683" s="181"/>
      <c r="AN683" s="180"/>
      <c r="AO683" s="180"/>
      <c r="AP683" s="180"/>
    </row>
    <row r="684">
      <c r="D684" s="172"/>
      <c r="E684" s="172"/>
      <c r="G684" s="173"/>
      <c r="H684" s="173"/>
      <c r="I684" s="173"/>
      <c r="M684" s="173"/>
      <c r="R684" s="174"/>
      <c r="S684" s="174"/>
      <c r="T684" s="90"/>
      <c r="U684" s="176"/>
      <c r="V684" s="176"/>
      <c r="W684" s="176"/>
      <c r="X684" s="176"/>
      <c r="Y684" s="176"/>
      <c r="Z684" s="177"/>
      <c r="AA684" s="176"/>
      <c r="AB684" s="176"/>
      <c r="AC684" s="176"/>
      <c r="AD684" s="178"/>
      <c r="AF684" s="179"/>
      <c r="AG684" s="179"/>
      <c r="AI684" s="180"/>
      <c r="AJ684" s="180"/>
      <c r="AK684" s="180"/>
      <c r="AL684" s="180"/>
      <c r="AM684" s="181"/>
      <c r="AN684" s="180"/>
      <c r="AO684" s="180"/>
      <c r="AP684" s="180"/>
    </row>
    <row r="685">
      <c r="D685" s="172"/>
      <c r="E685" s="172"/>
      <c r="G685" s="173"/>
      <c r="H685" s="173"/>
      <c r="I685" s="173"/>
      <c r="M685" s="173"/>
      <c r="R685" s="174"/>
      <c r="S685" s="174"/>
      <c r="T685" s="90"/>
      <c r="U685" s="176"/>
      <c r="V685" s="176"/>
      <c r="W685" s="176"/>
      <c r="X685" s="176"/>
      <c r="Y685" s="176"/>
      <c r="Z685" s="177"/>
      <c r="AA685" s="176"/>
      <c r="AB685" s="176"/>
      <c r="AC685" s="176"/>
      <c r="AD685" s="178"/>
      <c r="AF685" s="179"/>
      <c r="AG685" s="179"/>
      <c r="AI685" s="180"/>
      <c r="AJ685" s="180"/>
      <c r="AK685" s="180"/>
      <c r="AL685" s="180"/>
      <c r="AM685" s="181"/>
      <c r="AN685" s="180"/>
      <c r="AO685" s="180"/>
      <c r="AP685" s="180"/>
    </row>
    <row r="686">
      <c r="D686" s="172"/>
      <c r="E686" s="172"/>
      <c r="G686" s="173"/>
      <c r="H686" s="173"/>
      <c r="I686" s="173"/>
      <c r="M686" s="173"/>
      <c r="R686" s="174"/>
      <c r="S686" s="174"/>
      <c r="T686" s="90"/>
      <c r="U686" s="176"/>
      <c r="V686" s="176"/>
      <c r="W686" s="176"/>
      <c r="X686" s="176"/>
      <c r="Y686" s="176"/>
      <c r="Z686" s="177"/>
      <c r="AA686" s="176"/>
      <c r="AB686" s="176"/>
      <c r="AC686" s="176"/>
      <c r="AD686" s="178"/>
      <c r="AF686" s="179"/>
      <c r="AG686" s="179"/>
      <c r="AI686" s="180"/>
      <c r="AJ686" s="180"/>
      <c r="AK686" s="180"/>
      <c r="AL686" s="180"/>
      <c r="AM686" s="181"/>
      <c r="AN686" s="180"/>
      <c r="AO686" s="180"/>
      <c r="AP686" s="180"/>
    </row>
    <row r="687">
      <c r="D687" s="172"/>
      <c r="E687" s="172"/>
      <c r="G687" s="173"/>
      <c r="H687" s="173"/>
      <c r="I687" s="173"/>
      <c r="M687" s="173"/>
      <c r="R687" s="174"/>
      <c r="S687" s="174"/>
      <c r="T687" s="90"/>
      <c r="U687" s="176"/>
      <c r="V687" s="176"/>
      <c r="W687" s="176"/>
      <c r="X687" s="176"/>
      <c r="Y687" s="176"/>
      <c r="Z687" s="177"/>
      <c r="AA687" s="176"/>
      <c r="AB687" s="176"/>
      <c r="AC687" s="176"/>
      <c r="AD687" s="178"/>
      <c r="AF687" s="179"/>
      <c r="AG687" s="179"/>
      <c r="AI687" s="180"/>
      <c r="AJ687" s="180"/>
      <c r="AK687" s="180"/>
      <c r="AL687" s="180"/>
      <c r="AM687" s="181"/>
      <c r="AN687" s="180"/>
      <c r="AO687" s="180"/>
      <c r="AP687" s="180"/>
    </row>
    <row r="688">
      <c r="D688" s="172"/>
      <c r="E688" s="172"/>
      <c r="G688" s="173"/>
      <c r="H688" s="173"/>
      <c r="I688" s="173"/>
      <c r="M688" s="173"/>
      <c r="R688" s="174"/>
      <c r="S688" s="174"/>
      <c r="T688" s="90"/>
      <c r="U688" s="176"/>
      <c r="V688" s="176"/>
      <c r="W688" s="176"/>
      <c r="X688" s="176"/>
      <c r="Y688" s="176"/>
      <c r="Z688" s="177"/>
      <c r="AA688" s="176"/>
      <c r="AB688" s="176"/>
      <c r="AC688" s="176"/>
      <c r="AD688" s="178"/>
      <c r="AF688" s="179"/>
      <c r="AG688" s="179"/>
      <c r="AI688" s="180"/>
      <c r="AJ688" s="180"/>
      <c r="AK688" s="180"/>
      <c r="AL688" s="180"/>
      <c r="AM688" s="181"/>
      <c r="AN688" s="180"/>
      <c r="AO688" s="180"/>
      <c r="AP688" s="180"/>
    </row>
    <row r="689">
      <c r="D689" s="172"/>
      <c r="E689" s="172"/>
      <c r="G689" s="173"/>
      <c r="H689" s="173"/>
      <c r="I689" s="173"/>
      <c r="M689" s="173"/>
      <c r="R689" s="174"/>
      <c r="S689" s="174"/>
      <c r="T689" s="90"/>
      <c r="U689" s="176"/>
      <c r="V689" s="176"/>
      <c r="W689" s="176"/>
      <c r="X689" s="176"/>
      <c r="Y689" s="176"/>
      <c r="Z689" s="177"/>
      <c r="AA689" s="176"/>
      <c r="AB689" s="176"/>
      <c r="AC689" s="176"/>
      <c r="AD689" s="178"/>
      <c r="AF689" s="179"/>
      <c r="AG689" s="179"/>
      <c r="AI689" s="180"/>
      <c r="AJ689" s="180"/>
      <c r="AK689" s="180"/>
      <c r="AL689" s="180"/>
      <c r="AM689" s="181"/>
      <c r="AN689" s="180"/>
      <c r="AO689" s="180"/>
      <c r="AP689" s="180"/>
    </row>
    <row r="690">
      <c r="D690" s="172"/>
      <c r="E690" s="172"/>
      <c r="G690" s="173"/>
      <c r="H690" s="173"/>
      <c r="I690" s="173"/>
      <c r="M690" s="173"/>
      <c r="R690" s="174"/>
      <c r="S690" s="174"/>
      <c r="T690" s="90"/>
      <c r="U690" s="176"/>
      <c r="V690" s="176"/>
      <c r="W690" s="176"/>
      <c r="X690" s="176"/>
      <c r="Y690" s="176"/>
      <c r="Z690" s="177"/>
      <c r="AA690" s="176"/>
      <c r="AB690" s="176"/>
      <c r="AC690" s="176"/>
      <c r="AD690" s="178"/>
      <c r="AF690" s="179"/>
      <c r="AG690" s="179"/>
      <c r="AI690" s="180"/>
      <c r="AJ690" s="180"/>
      <c r="AK690" s="180"/>
      <c r="AL690" s="180"/>
      <c r="AM690" s="181"/>
      <c r="AN690" s="180"/>
      <c r="AO690" s="180"/>
      <c r="AP690" s="180"/>
    </row>
    <row r="691">
      <c r="D691" s="172"/>
      <c r="E691" s="172"/>
      <c r="G691" s="173"/>
      <c r="H691" s="173"/>
      <c r="I691" s="173"/>
      <c r="M691" s="173"/>
      <c r="R691" s="174"/>
      <c r="S691" s="174"/>
      <c r="T691" s="90"/>
      <c r="U691" s="176"/>
      <c r="V691" s="176"/>
      <c r="W691" s="176"/>
      <c r="X691" s="176"/>
      <c r="Y691" s="176"/>
      <c r="Z691" s="177"/>
      <c r="AA691" s="176"/>
      <c r="AB691" s="176"/>
      <c r="AC691" s="176"/>
      <c r="AD691" s="178"/>
      <c r="AF691" s="179"/>
      <c r="AG691" s="179"/>
      <c r="AI691" s="180"/>
      <c r="AJ691" s="180"/>
      <c r="AK691" s="180"/>
      <c r="AL691" s="180"/>
      <c r="AM691" s="181"/>
      <c r="AN691" s="180"/>
      <c r="AO691" s="180"/>
      <c r="AP691" s="180"/>
    </row>
    <row r="692">
      <c r="D692" s="172"/>
      <c r="E692" s="172"/>
      <c r="G692" s="173"/>
      <c r="H692" s="173"/>
      <c r="I692" s="173"/>
      <c r="M692" s="173"/>
      <c r="R692" s="174"/>
      <c r="S692" s="174"/>
      <c r="T692" s="90"/>
      <c r="U692" s="176"/>
      <c r="V692" s="176"/>
      <c r="W692" s="176"/>
      <c r="X692" s="176"/>
      <c r="Y692" s="176"/>
      <c r="Z692" s="177"/>
      <c r="AA692" s="176"/>
      <c r="AB692" s="176"/>
      <c r="AC692" s="176"/>
      <c r="AD692" s="178"/>
      <c r="AF692" s="179"/>
      <c r="AG692" s="179"/>
      <c r="AI692" s="180"/>
      <c r="AJ692" s="180"/>
      <c r="AK692" s="180"/>
      <c r="AL692" s="180"/>
      <c r="AM692" s="181"/>
      <c r="AN692" s="180"/>
      <c r="AO692" s="180"/>
      <c r="AP692" s="180"/>
    </row>
    <row r="693">
      <c r="D693" s="172"/>
      <c r="E693" s="172"/>
      <c r="G693" s="173"/>
      <c r="H693" s="173"/>
      <c r="I693" s="173"/>
      <c r="M693" s="173"/>
      <c r="R693" s="174"/>
      <c r="S693" s="174"/>
      <c r="T693" s="90"/>
      <c r="U693" s="176"/>
      <c r="V693" s="176"/>
      <c r="W693" s="176"/>
      <c r="X693" s="176"/>
      <c r="Y693" s="176"/>
      <c r="Z693" s="177"/>
      <c r="AA693" s="176"/>
      <c r="AB693" s="176"/>
      <c r="AC693" s="176"/>
      <c r="AD693" s="178"/>
      <c r="AF693" s="179"/>
      <c r="AG693" s="179"/>
      <c r="AI693" s="180"/>
      <c r="AJ693" s="180"/>
      <c r="AK693" s="180"/>
      <c r="AL693" s="180"/>
      <c r="AM693" s="181"/>
      <c r="AN693" s="180"/>
      <c r="AO693" s="180"/>
      <c r="AP693" s="180"/>
    </row>
    <row r="694">
      <c r="D694" s="172"/>
      <c r="E694" s="172"/>
      <c r="G694" s="173"/>
      <c r="H694" s="173"/>
      <c r="I694" s="173"/>
      <c r="M694" s="173"/>
      <c r="R694" s="174"/>
      <c r="S694" s="174"/>
      <c r="T694" s="90"/>
      <c r="U694" s="176"/>
      <c r="V694" s="176"/>
      <c r="W694" s="176"/>
      <c r="X694" s="176"/>
      <c r="Y694" s="176"/>
      <c r="Z694" s="177"/>
      <c r="AA694" s="176"/>
      <c r="AB694" s="176"/>
      <c r="AC694" s="176"/>
      <c r="AD694" s="178"/>
      <c r="AF694" s="179"/>
      <c r="AG694" s="179"/>
      <c r="AI694" s="180"/>
      <c r="AJ694" s="180"/>
      <c r="AK694" s="180"/>
      <c r="AL694" s="180"/>
      <c r="AM694" s="181"/>
      <c r="AN694" s="180"/>
      <c r="AO694" s="180"/>
      <c r="AP694" s="180"/>
    </row>
    <row r="695">
      <c r="D695" s="172"/>
      <c r="E695" s="172"/>
      <c r="G695" s="173"/>
      <c r="H695" s="173"/>
      <c r="I695" s="173"/>
      <c r="M695" s="173"/>
      <c r="R695" s="174"/>
      <c r="S695" s="174"/>
      <c r="T695" s="90"/>
      <c r="U695" s="176"/>
      <c r="V695" s="176"/>
      <c r="W695" s="176"/>
      <c r="X695" s="176"/>
      <c r="Y695" s="176"/>
      <c r="Z695" s="177"/>
      <c r="AA695" s="176"/>
      <c r="AB695" s="176"/>
      <c r="AC695" s="176"/>
      <c r="AD695" s="178"/>
      <c r="AF695" s="179"/>
      <c r="AG695" s="179"/>
      <c r="AI695" s="180"/>
      <c r="AJ695" s="180"/>
      <c r="AK695" s="180"/>
      <c r="AL695" s="180"/>
      <c r="AM695" s="181"/>
      <c r="AN695" s="180"/>
      <c r="AO695" s="180"/>
      <c r="AP695" s="180"/>
    </row>
    <row r="696">
      <c r="D696" s="172"/>
      <c r="E696" s="172"/>
      <c r="G696" s="173"/>
      <c r="H696" s="173"/>
      <c r="I696" s="173"/>
      <c r="M696" s="173"/>
      <c r="R696" s="174"/>
      <c r="S696" s="174"/>
      <c r="T696" s="90"/>
      <c r="U696" s="176"/>
      <c r="V696" s="176"/>
      <c r="W696" s="176"/>
      <c r="X696" s="176"/>
      <c r="Y696" s="176"/>
      <c r="Z696" s="177"/>
      <c r="AA696" s="176"/>
      <c r="AB696" s="176"/>
      <c r="AC696" s="176"/>
      <c r="AD696" s="178"/>
      <c r="AF696" s="179"/>
      <c r="AG696" s="179"/>
      <c r="AI696" s="180"/>
      <c r="AJ696" s="180"/>
      <c r="AK696" s="180"/>
      <c r="AL696" s="180"/>
      <c r="AM696" s="181"/>
      <c r="AN696" s="180"/>
      <c r="AO696" s="180"/>
      <c r="AP696" s="180"/>
    </row>
    <row r="697">
      <c r="D697" s="172"/>
      <c r="E697" s="172"/>
      <c r="G697" s="173"/>
      <c r="H697" s="173"/>
      <c r="I697" s="173"/>
      <c r="M697" s="173"/>
      <c r="R697" s="174"/>
      <c r="S697" s="174"/>
      <c r="T697" s="90"/>
      <c r="U697" s="176"/>
      <c r="V697" s="176"/>
      <c r="W697" s="176"/>
      <c r="X697" s="176"/>
      <c r="Y697" s="176"/>
      <c r="Z697" s="177"/>
      <c r="AA697" s="176"/>
      <c r="AB697" s="176"/>
      <c r="AC697" s="176"/>
      <c r="AD697" s="178"/>
      <c r="AF697" s="179"/>
      <c r="AG697" s="179"/>
      <c r="AI697" s="180"/>
      <c r="AJ697" s="180"/>
      <c r="AK697" s="180"/>
      <c r="AL697" s="180"/>
      <c r="AM697" s="181"/>
      <c r="AN697" s="180"/>
      <c r="AO697" s="180"/>
      <c r="AP697" s="180"/>
    </row>
    <row r="698">
      <c r="D698" s="172"/>
      <c r="E698" s="172"/>
      <c r="G698" s="173"/>
      <c r="H698" s="173"/>
      <c r="I698" s="173"/>
      <c r="M698" s="173"/>
      <c r="R698" s="174"/>
      <c r="S698" s="174"/>
      <c r="T698" s="90"/>
      <c r="U698" s="176"/>
      <c r="V698" s="176"/>
      <c r="W698" s="176"/>
      <c r="X698" s="176"/>
      <c r="Y698" s="176"/>
      <c r="Z698" s="177"/>
      <c r="AA698" s="176"/>
      <c r="AB698" s="176"/>
      <c r="AC698" s="176"/>
      <c r="AD698" s="178"/>
      <c r="AF698" s="179"/>
      <c r="AG698" s="179"/>
      <c r="AI698" s="180"/>
      <c r="AJ698" s="180"/>
      <c r="AK698" s="180"/>
      <c r="AL698" s="180"/>
      <c r="AM698" s="181"/>
      <c r="AN698" s="180"/>
      <c r="AO698" s="180"/>
      <c r="AP698" s="180"/>
    </row>
    <row r="699">
      <c r="D699" s="172"/>
      <c r="E699" s="172"/>
      <c r="G699" s="173"/>
      <c r="H699" s="173"/>
      <c r="I699" s="173"/>
      <c r="M699" s="173"/>
      <c r="R699" s="174"/>
      <c r="S699" s="174"/>
      <c r="T699" s="90"/>
      <c r="U699" s="176"/>
      <c r="V699" s="176"/>
      <c r="W699" s="176"/>
      <c r="X699" s="176"/>
      <c r="Y699" s="176"/>
      <c r="Z699" s="177"/>
      <c r="AA699" s="176"/>
      <c r="AB699" s="176"/>
      <c r="AC699" s="176"/>
      <c r="AD699" s="178"/>
      <c r="AF699" s="179"/>
      <c r="AG699" s="179"/>
      <c r="AI699" s="180"/>
      <c r="AJ699" s="180"/>
      <c r="AK699" s="180"/>
      <c r="AL699" s="180"/>
      <c r="AM699" s="181"/>
      <c r="AN699" s="180"/>
      <c r="AO699" s="180"/>
      <c r="AP699" s="180"/>
    </row>
    <row r="700">
      <c r="D700" s="172"/>
      <c r="E700" s="172"/>
      <c r="G700" s="173"/>
      <c r="H700" s="173"/>
      <c r="I700" s="173"/>
      <c r="M700" s="173"/>
      <c r="R700" s="174"/>
      <c r="S700" s="174"/>
      <c r="T700" s="90"/>
      <c r="U700" s="176"/>
      <c r="V700" s="176"/>
      <c r="W700" s="176"/>
      <c r="X700" s="176"/>
      <c r="Y700" s="176"/>
      <c r="Z700" s="177"/>
      <c r="AA700" s="176"/>
      <c r="AB700" s="176"/>
      <c r="AC700" s="176"/>
      <c r="AD700" s="178"/>
      <c r="AF700" s="179"/>
      <c r="AG700" s="179"/>
      <c r="AI700" s="180"/>
      <c r="AJ700" s="180"/>
      <c r="AK700" s="180"/>
      <c r="AL700" s="180"/>
      <c r="AM700" s="181"/>
      <c r="AN700" s="180"/>
      <c r="AO700" s="180"/>
      <c r="AP700" s="180"/>
    </row>
    <row r="701">
      <c r="D701" s="172"/>
      <c r="E701" s="172"/>
      <c r="G701" s="173"/>
      <c r="H701" s="173"/>
      <c r="I701" s="173"/>
      <c r="M701" s="173"/>
      <c r="R701" s="174"/>
      <c r="S701" s="174"/>
      <c r="T701" s="90"/>
      <c r="U701" s="176"/>
      <c r="V701" s="176"/>
      <c r="W701" s="176"/>
      <c r="X701" s="176"/>
      <c r="Y701" s="176"/>
      <c r="Z701" s="177"/>
      <c r="AA701" s="176"/>
      <c r="AB701" s="176"/>
      <c r="AC701" s="176"/>
      <c r="AD701" s="178"/>
      <c r="AF701" s="179"/>
      <c r="AG701" s="179"/>
      <c r="AI701" s="180"/>
      <c r="AJ701" s="180"/>
      <c r="AK701" s="180"/>
      <c r="AL701" s="180"/>
      <c r="AM701" s="181"/>
      <c r="AN701" s="180"/>
      <c r="AO701" s="180"/>
      <c r="AP701" s="180"/>
    </row>
    <row r="702">
      <c r="D702" s="172"/>
      <c r="E702" s="172"/>
      <c r="G702" s="173"/>
      <c r="H702" s="173"/>
      <c r="I702" s="173"/>
      <c r="M702" s="173"/>
      <c r="R702" s="174"/>
      <c r="S702" s="174"/>
      <c r="T702" s="90"/>
      <c r="U702" s="176"/>
      <c r="V702" s="176"/>
      <c r="W702" s="176"/>
      <c r="X702" s="176"/>
      <c r="Y702" s="176"/>
      <c r="Z702" s="177"/>
      <c r="AA702" s="176"/>
      <c r="AB702" s="176"/>
      <c r="AC702" s="176"/>
      <c r="AD702" s="178"/>
      <c r="AF702" s="179"/>
      <c r="AG702" s="179"/>
      <c r="AI702" s="180"/>
      <c r="AJ702" s="180"/>
      <c r="AK702" s="180"/>
      <c r="AL702" s="180"/>
      <c r="AM702" s="181"/>
      <c r="AN702" s="180"/>
      <c r="AO702" s="180"/>
      <c r="AP702" s="180"/>
    </row>
    <row r="703">
      <c r="D703" s="172"/>
      <c r="E703" s="172"/>
      <c r="G703" s="173"/>
      <c r="H703" s="173"/>
      <c r="I703" s="173"/>
      <c r="M703" s="173"/>
      <c r="R703" s="174"/>
      <c r="S703" s="174"/>
      <c r="T703" s="90"/>
      <c r="U703" s="176"/>
      <c r="V703" s="176"/>
      <c r="W703" s="176"/>
      <c r="X703" s="176"/>
      <c r="Y703" s="176"/>
      <c r="Z703" s="177"/>
      <c r="AA703" s="176"/>
      <c r="AB703" s="176"/>
      <c r="AC703" s="176"/>
      <c r="AD703" s="178"/>
      <c r="AF703" s="179"/>
      <c r="AG703" s="179"/>
      <c r="AI703" s="180"/>
      <c r="AJ703" s="180"/>
      <c r="AK703" s="180"/>
      <c r="AL703" s="180"/>
      <c r="AM703" s="181"/>
      <c r="AN703" s="180"/>
      <c r="AO703" s="180"/>
      <c r="AP703" s="180"/>
    </row>
    <row r="704">
      <c r="D704" s="172"/>
      <c r="E704" s="172"/>
      <c r="G704" s="173"/>
      <c r="H704" s="173"/>
      <c r="I704" s="173"/>
      <c r="M704" s="173"/>
      <c r="R704" s="174"/>
      <c r="S704" s="174"/>
      <c r="T704" s="90"/>
      <c r="U704" s="176"/>
      <c r="V704" s="176"/>
      <c r="W704" s="176"/>
      <c r="X704" s="176"/>
      <c r="Y704" s="176"/>
      <c r="Z704" s="177"/>
      <c r="AA704" s="176"/>
      <c r="AB704" s="176"/>
      <c r="AC704" s="176"/>
      <c r="AD704" s="178"/>
      <c r="AF704" s="179"/>
      <c r="AG704" s="179"/>
      <c r="AI704" s="180"/>
      <c r="AJ704" s="180"/>
      <c r="AK704" s="180"/>
      <c r="AL704" s="180"/>
      <c r="AM704" s="181"/>
      <c r="AN704" s="180"/>
      <c r="AO704" s="180"/>
      <c r="AP704" s="180"/>
    </row>
    <row r="705">
      <c r="D705" s="172"/>
      <c r="E705" s="172"/>
      <c r="G705" s="173"/>
      <c r="H705" s="173"/>
      <c r="I705" s="173"/>
      <c r="M705" s="173"/>
      <c r="R705" s="174"/>
      <c r="S705" s="174"/>
      <c r="T705" s="90"/>
      <c r="U705" s="176"/>
      <c r="V705" s="176"/>
      <c r="W705" s="176"/>
      <c r="X705" s="176"/>
      <c r="Y705" s="176"/>
      <c r="Z705" s="177"/>
      <c r="AA705" s="176"/>
      <c r="AB705" s="176"/>
      <c r="AC705" s="176"/>
      <c r="AD705" s="178"/>
      <c r="AF705" s="179"/>
      <c r="AG705" s="179"/>
      <c r="AI705" s="180"/>
      <c r="AJ705" s="180"/>
      <c r="AK705" s="180"/>
      <c r="AL705" s="180"/>
      <c r="AM705" s="181"/>
      <c r="AN705" s="180"/>
      <c r="AO705" s="180"/>
      <c r="AP705" s="180"/>
    </row>
    <row r="706">
      <c r="D706" s="172"/>
      <c r="E706" s="172"/>
      <c r="G706" s="173"/>
      <c r="H706" s="173"/>
      <c r="I706" s="173"/>
      <c r="M706" s="173"/>
      <c r="R706" s="174"/>
      <c r="S706" s="174"/>
      <c r="T706" s="90"/>
      <c r="U706" s="176"/>
      <c r="V706" s="176"/>
      <c r="W706" s="176"/>
      <c r="X706" s="176"/>
      <c r="Y706" s="176"/>
      <c r="Z706" s="177"/>
      <c r="AA706" s="176"/>
      <c r="AB706" s="176"/>
      <c r="AC706" s="176"/>
      <c r="AD706" s="178"/>
      <c r="AF706" s="179"/>
      <c r="AG706" s="179"/>
      <c r="AI706" s="180"/>
      <c r="AJ706" s="180"/>
      <c r="AK706" s="180"/>
      <c r="AL706" s="180"/>
      <c r="AM706" s="181"/>
      <c r="AN706" s="180"/>
      <c r="AO706" s="180"/>
      <c r="AP706" s="180"/>
    </row>
    <row r="707">
      <c r="D707" s="172"/>
      <c r="E707" s="172"/>
      <c r="G707" s="173"/>
      <c r="H707" s="173"/>
      <c r="I707" s="173"/>
      <c r="M707" s="173"/>
      <c r="R707" s="174"/>
      <c r="S707" s="174"/>
      <c r="T707" s="90"/>
      <c r="U707" s="176"/>
      <c r="V707" s="176"/>
      <c r="W707" s="176"/>
      <c r="X707" s="176"/>
      <c r="Y707" s="176"/>
      <c r="Z707" s="177"/>
      <c r="AA707" s="176"/>
      <c r="AB707" s="176"/>
      <c r="AC707" s="176"/>
      <c r="AD707" s="178"/>
      <c r="AF707" s="179"/>
      <c r="AG707" s="179"/>
      <c r="AI707" s="180"/>
      <c r="AJ707" s="180"/>
      <c r="AK707" s="180"/>
      <c r="AL707" s="180"/>
      <c r="AM707" s="181"/>
      <c r="AN707" s="180"/>
      <c r="AO707" s="180"/>
      <c r="AP707" s="180"/>
    </row>
    <row r="708">
      <c r="D708" s="172"/>
      <c r="E708" s="172"/>
      <c r="G708" s="173"/>
      <c r="H708" s="173"/>
      <c r="I708" s="173"/>
      <c r="M708" s="173"/>
      <c r="R708" s="174"/>
      <c r="S708" s="174"/>
      <c r="T708" s="90"/>
      <c r="U708" s="176"/>
      <c r="V708" s="176"/>
      <c r="W708" s="176"/>
      <c r="X708" s="176"/>
      <c r="Y708" s="176"/>
      <c r="Z708" s="177"/>
      <c r="AA708" s="176"/>
      <c r="AB708" s="176"/>
      <c r="AC708" s="176"/>
      <c r="AD708" s="178"/>
      <c r="AF708" s="179"/>
      <c r="AG708" s="179"/>
      <c r="AI708" s="180"/>
      <c r="AJ708" s="180"/>
      <c r="AK708" s="180"/>
      <c r="AL708" s="180"/>
      <c r="AM708" s="181"/>
      <c r="AN708" s="180"/>
      <c r="AO708" s="180"/>
      <c r="AP708" s="180"/>
    </row>
    <row r="709">
      <c r="D709" s="172"/>
      <c r="E709" s="172"/>
      <c r="G709" s="173"/>
      <c r="H709" s="173"/>
      <c r="I709" s="173"/>
      <c r="M709" s="173"/>
      <c r="R709" s="174"/>
      <c r="S709" s="174"/>
      <c r="T709" s="90"/>
      <c r="U709" s="176"/>
      <c r="V709" s="176"/>
      <c r="W709" s="176"/>
      <c r="X709" s="176"/>
      <c r="Y709" s="176"/>
      <c r="Z709" s="177"/>
      <c r="AA709" s="176"/>
      <c r="AB709" s="176"/>
      <c r="AC709" s="176"/>
      <c r="AD709" s="178"/>
      <c r="AF709" s="179"/>
      <c r="AG709" s="179"/>
      <c r="AI709" s="180"/>
      <c r="AJ709" s="180"/>
      <c r="AK709" s="180"/>
      <c r="AL709" s="180"/>
      <c r="AM709" s="181"/>
      <c r="AN709" s="180"/>
      <c r="AO709" s="180"/>
      <c r="AP709" s="180"/>
    </row>
    <row r="710">
      <c r="D710" s="172"/>
      <c r="E710" s="172"/>
      <c r="G710" s="173"/>
      <c r="H710" s="173"/>
      <c r="I710" s="173"/>
      <c r="M710" s="173"/>
      <c r="R710" s="174"/>
      <c r="S710" s="174"/>
      <c r="T710" s="90"/>
      <c r="U710" s="176"/>
      <c r="V710" s="176"/>
      <c r="W710" s="176"/>
      <c r="X710" s="176"/>
      <c r="Y710" s="176"/>
      <c r="Z710" s="177"/>
      <c r="AA710" s="176"/>
      <c r="AB710" s="176"/>
      <c r="AC710" s="176"/>
      <c r="AD710" s="178"/>
      <c r="AF710" s="179"/>
      <c r="AG710" s="179"/>
      <c r="AI710" s="180"/>
      <c r="AJ710" s="180"/>
      <c r="AK710" s="180"/>
      <c r="AL710" s="180"/>
      <c r="AM710" s="181"/>
      <c r="AN710" s="180"/>
      <c r="AO710" s="180"/>
      <c r="AP710" s="180"/>
    </row>
    <row r="711">
      <c r="D711" s="172"/>
      <c r="E711" s="172"/>
      <c r="G711" s="173"/>
      <c r="H711" s="173"/>
      <c r="I711" s="173"/>
      <c r="M711" s="173"/>
      <c r="R711" s="174"/>
      <c r="S711" s="174"/>
      <c r="T711" s="90"/>
      <c r="U711" s="176"/>
      <c r="V711" s="176"/>
      <c r="W711" s="176"/>
      <c r="X711" s="176"/>
      <c r="Y711" s="176"/>
      <c r="Z711" s="177"/>
      <c r="AA711" s="176"/>
      <c r="AB711" s="176"/>
      <c r="AC711" s="176"/>
      <c r="AD711" s="178"/>
      <c r="AF711" s="179"/>
      <c r="AG711" s="179"/>
      <c r="AI711" s="180"/>
      <c r="AJ711" s="180"/>
      <c r="AK711" s="180"/>
      <c r="AL711" s="180"/>
      <c r="AM711" s="181"/>
      <c r="AN711" s="180"/>
      <c r="AO711" s="180"/>
      <c r="AP711" s="180"/>
    </row>
    <row r="712">
      <c r="D712" s="172"/>
      <c r="E712" s="172"/>
      <c r="G712" s="173"/>
      <c r="H712" s="173"/>
      <c r="I712" s="173"/>
      <c r="M712" s="173"/>
      <c r="R712" s="174"/>
      <c r="S712" s="174"/>
      <c r="T712" s="90"/>
      <c r="U712" s="176"/>
      <c r="V712" s="176"/>
      <c r="W712" s="176"/>
      <c r="X712" s="176"/>
      <c r="Y712" s="176"/>
      <c r="Z712" s="177"/>
      <c r="AA712" s="176"/>
      <c r="AB712" s="176"/>
      <c r="AC712" s="176"/>
      <c r="AD712" s="178"/>
      <c r="AF712" s="179"/>
      <c r="AG712" s="179"/>
      <c r="AI712" s="180"/>
      <c r="AJ712" s="180"/>
      <c r="AK712" s="180"/>
      <c r="AL712" s="180"/>
      <c r="AM712" s="181"/>
      <c r="AN712" s="180"/>
      <c r="AO712" s="180"/>
      <c r="AP712" s="180"/>
    </row>
    <row r="713">
      <c r="D713" s="172"/>
      <c r="E713" s="172"/>
      <c r="G713" s="173"/>
      <c r="H713" s="173"/>
      <c r="I713" s="173"/>
      <c r="M713" s="173"/>
      <c r="R713" s="174"/>
      <c r="S713" s="174"/>
      <c r="T713" s="90"/>
      <c r="U713" s="176"/>
      <c r="V713" s="176"/>
      <c r="W713" s="176"/>
      <c r="X713" s="176"/>
      <c r="Y713" s="176"/>
      <c r="Z713" s="177"/>
      <c r="AA713" s="176"/>
      <c r="AB713" s="176"/>
      <c r="AC713" s="176"/>
      <c r="AD713" s="178"/>
      <c r="AF713" s="179"/>
      <c r="AG713" s="179"/>
      <c r="AI713" s="180"/>
      <c r="AJ713" s="180"/>
      <c r="AK713" s="180"/>
      <c r="AL713" s="180"/>
      <c r="AM713" s="181"/>
      <c r="AN713" s="180"/>
      <c r="AO713" s="180"/>
      <c r="AP713" s="180"/>
    </row>
    <row r="714">
      <c r="D714" s="172"/>
      <c r="E714" s="172"/>
      <c r="G714" s="173"/>
      <c r="H714" s="173"/>
      <c r="I714" s="173"/>
      <c r="M714" s="173"/>
      <c r="R714" s="174"/>
      <c r="S714" s="174"/>
      <c r="T714" s="90"/>
      <c r="U714" s="176"/>
      <c r="V714" s="176"/>
      <c r="W714" s="176"/>
      <c r="X714" s="176"/>
      <c r="Y714" s="176"/>
      <c r="Z714" s="177"/>
      <c r="AA714" s="176"/>
      <c r="AB714" s="176"/>
      <c r="AC714" s="176"/>
      <c r="AD714" s="178"/>
      <c r="AF714" s="179"/>
      <c r="AG714" s="179"/>
      <c r="AI714" s="180"/>
      <c r="AJ714" s="180"/>
      <c r="AK714" s="180"/>
      <c r="AL714" s="180"/>
      <c r="AM714" s="181"/>
      <c r="AN714" s="180"/>
      <c r="AO714" s="180"/>
      <c r="AP714" s="180"/>
    </row>
    <row r="715">
      <c r="D715" s="172"/>
      <c r="E715" s="172"/>
      <c r="G715" s="173"/>
      <c r="H715" s="173"/>
      <c r="I715" s="173"/>
      <c r="M715" s="173"/>
      <c r="R715" s="174"/>
      <c r="S715" s="174"/>
      <c r="T715" s="90"/>
      <c r="U715" s="176"/>
      <c r="V715" s="176"/>
      <c r="W715" s="176"/>
      <c r="X715" s="176"/>
      <c r="Y715" s="176"/>
      <c r="Z715" s="177"/>
      <c r="AA715" s="176"/>
      <c r="AB715" s="176"/>
      <c r="AC715" s="176"/>
      <c r="AD715" s="178"/>
      <c r="AF715" s="179"/>
      <c r="AG715" s="179"/>
      <c r="AI715" s="180"/>
      <c r="AJ715" s="180"/>
      <c r="AK715" s="180"/>
      <c r="AL715" s="180"/>
      <c r="AM715" s="181"/>
      <c r="AN715" s="180"/>
      <c r="AO715" s="180"/>
      <c r="AP715" s="180"/>
    </row>
    <row r="716">
      <c r="D716" s="172"/>
      <c r="E716" s="172"/>
      <c r="G716" s="173"/>
      <c r="H716" s="173"/>
      <c r="I716" s="173"/>
      <c r="M716" s="173"/>
      <c r="R716" s="174"/>
      <c r="S716" s="174"/>
      <c r="T716" s="90"/>
      <c r="U716" s="176"/>
      <c r="V716" s="176"/>
      <c r="W716" s="176"/>
      <c r="X716" s="176"/>
      <c r="Y716" s="176"/>
      <c r="Z716" s="177"/>
      <c r="AA716" s="176"/>
      <c r="AB716" s="176"/>
      <c r="AC716" s="176"/>
      <c r="AD716" s="178"/>
      <c r="AF716" s="179"/>
      <c r="AG716" s="179"/>
      <c r="AI716" s="180"/>
      <c r="AJ716" s="180"/>
      <c r="AK716" s="180"/>
      <c r="AL716" s="180"/>
      <c r="AM716" s="181"/>
      <c r="AN716" s="180"/>
      <c r="AO716" s="180"/>
      <c r="AP716" s="180"/>
    </row>
    <row r="717">
      <c r="D717" s="172"/>
      <c r="E717" s="172"/>
      <c r="G717" s="173"/>
      <c r="H717" s="173"/>
      <c r="I717" s="173"/>
      <c r="M717" s="173"/>
      <c r="R717" s="174"/>
      <c r="S717" s="174"/>
      <c r="T717" s="90"/>
      <c r="U717" s="176"/>
      <c r="V717" s="176"/>
      <c r="W717" s="176"/>
      <c r="X717" s="176"/>
      <c r="Y717" s="176"/>
      <c r="Z717" s="177"/>
      <c r="AA717" s="176"/>
      <c r="AB717" s="176"/>
      <c r="AC717" s="176"/>
      <c r="AD717" s="178"/>
      <c r="AF717" s="179"/>
      <c r="AG717" s="179"/>
      <c r="AI717" s="180"/>
      <c r="AJ717" s="180"/>
      <c r="AK717" s="180"/>
      <c r="AL717" s="180"/>
      <c r="AM717" s="181"/>
      <c r="AN717" s="180"/>
      <c r="AO717" s="180"/>
      <c r="AP717" s="180"/>
    </row>
    <row r="718">
      <c r="D718" s="172"/>
      <c r="E718" s="172"/>
      <c r="G718" s="173"/>
      <c r="H718" s="173"/>
      <c r="I718" s="173"/>
      <c r="M718" s="173"/>
      <c r="R718" s="174"/>
      <c r="S718" s="174"/>
      <c r="T718" s="90"/>
      <c r="U718" s="176"/>
      <c r="V718" s="176"/>
      <c r="W718" s="176"/>
      <c r="X718" s="176"/>
      <c r="Y718" s="176"/>
      <c r="Z718" s="177"/>
      <c r="AA718" s="176"/>
      <c r="AB718" s="176"/>
      <c r="AC718" s="176"/>
      <c r="AD718" s="178"/>
      <c r="AF718" s="179"/>
      <c r="AG718" s="179"/>
      <c r="AI718" s="180"/>
      <c r="AJ718" s="180"/>
      <c r="AK718" s="180"/>
      <c r="AL718" s="180"/>
      <c r="AM718" s="181"/>
      <c r="AN718" s="180"/>
      <c r="AO718" s="180"/>
      <c r="AP718" s="180"/>
    </row>
    <row r="719">
      <c r="D719" s="172"/>
      <c r="E719" s="172"/>
      <c r="G719" s="173"/>
      <c r="H719" s="173"/>
      <c r="I719" s="173"/>
      <c r="M719" s="173"/>
      <c r="R719" s="174"/>
      <c r="S719" s="174"/>
      <c r="T719" s="90"/>
      <c r="U719" s="176"/>
      <c r="V719" s="176"/>
      <c r="W719" s="176"/>
      <c r="X719" s="176"/>
      <c r="Y719" s="176"/>
      <c r="Z719" s="177"/>
      <c r="AA719" s="176"/>
      <c r="AB719" s="176"/>
      <c r="AC719" s="176"/>
      <c r="AD719" s="178"/>
      <c r="AF719" s="179"/>
      <c r="AG719" s="179"/>
      <c r="AI719" s="180"/>
      <c r="AJ719" s="180"/>
      <c r="AK719" s="180"/>
      <c r="AL719" s="180"/>
      <c r="AM719" s="181"/>
      <c r="AN719" s="180"/>
      <c r="AO719" s="180"/>
      <c r="AP719" s="180"/>
    </row>
    <row r="720">
      <c r="D720" s="172"/>
      <c r="E720" s="172"/>
      <c r="G720" s="173"/>
      <c r="H720" s="173"/>
      <c r="I720" s="173"/>
      <c r="M720" s="173"/>
      <c r="R720" s="174"/>
      <c r="S720" s="174"/>
      <c r="T720" s="90"/>
      <c r="U720" s="176"/>
      <c r="V720" s="176"/>
      <c r="W720" s="176"/>
      <c r="X720" s="176"/>
      <c r="Y720" s="176"/>
      <c r="Z720" s="177"/>
      <c r="AA720" s="176"/>
      <c r="AB720" s="176"/>
      <c r="AC720" s="176"/>
      <c r="AD720" s="178"/>
      <c r="AF720" s="179"/>
      <c r="AG720" s="179"/>
      <c r="AI720" s="180"/>
      <c r="AJ720" s="180"/>
      <c r="AK720" s="180"/>
      <c r="AL720" s="180"/>
      <c r="AM720" s="181"/>
      <c r="AN720" s="180"/>
      <c r="AO720" s="180"/>
      <c r="AP720" s="180"/>
    </row>
    <row r="721">
      <c r="D721" s="172"/>
      <c r="E721" s="172"/>
      <c r="G721" s="173"/>
      <c r="H721" s="173"/>
      <c r="I721" s="173"/>
      <c r="M721" s="173"/>
      <c r="R721" s="174"/>
      <c r="S721" s="174"/>
      <c r="T721" s="90"/>
      <c r="U721" s="176"/>
      <c r="V721" s="176"/>
      <c r="W721" s="176"/>
      <c r="X721" s="176"/>
      <c r="Y721" s="176"/>
      <c r="Z721" s="177"/>
      <c r="AA721" s="176"/>
      <c r="AB721" s="176"/>
      <c r="AC721" s="176"/>
      <c r="AD721" s="178"/>
      <c r="AF721" s="179"/>
      <c r="AG721" s="179"/>
      <c r="AI721" s="180"/>
      <c r="AJ721" s="180"/>
      <c r="AK721" s="180"/>
      <c r="AL721" s="180"/>
      <c r="AM721" s="181"/>
      <c r="AN721" s="180"/>
      <c r="AO721" s="180"/>
      <c r="AP721" s="180"/>
    </row>
    <row r="722">
      <c r="D722" s="172"/>
      <c r="E722" s="172"/>
      <c r="G722" s="173"/>
      <c r="H722" s="173"/>
      <c r="I722" s="173"/>
      <c r="M722" s="173"/>
      <c r="R722" s="174"/>
      <c r="S722" s="174"/>
      <c r="T722" s="90"/>
      <c r="U722" s="176"/>
      <c r="V722" s="176"/>
      <c r="W722" s="176"/>
      <c r="X722" s="176"/>
      <c r="Y722" s="176"/>
      <c r="Z722" s="177"/>
      <c r="AA722" s="176"/>
      <c r="AB722" s="176"/>
      <c r="AC722" s="176"/>
      <c r="AD722" s="178"/>
      <c r="AF722" s="179"/>
      <c r="AG722" s="179"/>
      <c r="AI722" s="180"/>
      <c r="AJ722" s="180"/>
      <c r="AK722" s="180"/>
      <c r="AL722" s="180"/>
      <c r="AM722" s="181"/>
      <c r="AN722" s="180"/>
      <c r="AO722" s="180"/>
      <c r="AP722" s="180"/>
    </row>
    <row r="723">
      <c r="D723" s="172"/>
      <c r="E723" s="172"/>
      <c r="G723" s="173"/>
      <c r="H723" s="173"/>
      <c r="I723" s="173"/>
      <c r="M723" s="173"/>
      <c r="R723" s="174"/>
      <c r="S723" s="174"/>
      <c r="T723" s="90"/>
      <c r="U723" s="176"/>
      <c r="V723" s="176"/>
      <c r="W723" s="176"/>
      <c r="X723" s="176"/>
      <c r="Y723" s="176"/>
      <c r="Z723" s="177"/>
      <c r="AA723" s="176"/>
      <c r="AB723" s="176"/>
      <c r="AC723" s="176"/>
      <c r="AD723" s="178"/>
      <c r="AF723" s="179"/>
      <c r="AG723" s="179"/>
      <c r="AI723" s="180"/>
      <c r="AJ723" s="180"/>
      <c r="AK723" s="180"/>
      <c r="AL723" s="180"/>
      <c r="AM723" s="181"/>
      <c r="AN723" s="180"/>
      <c r="AO723" s="180"/>
      <c r="AP723" s="180"/>
    </row>
    <row r="724">
      <c r="D724" s="172"/>
      <c r="E724" s="172"/>
      <c r="G724" s="173"/>
      <c r="H724" s="173"/>
      <c r="I724" s="173"/>
      <c r="M724" s="173"/>
      <c r="R724" s="174"/>
      <c r="S724" s="174"/>
      <c r="T724" s="90"/>
      <c r="U724" s="176"/>
      <c r="V724" s="176"/>
      <c r="W724" s="176"/>
      <c r="X724" s="176"/>
      <c r="Y724" s="176"/>
      <c r="Z724" s="177"/>
      <c r="AA724" s="176"/>
      <c r="AB724" s="176"/>
      <c r="AC724" s="176"/>
      <c r="AD724" s="178"/>
      <c r="AF724" s="179"/>
      <c r="AG724" s="179"/>
      <c r="AI724" s="180"/>
      <c r="AJ724" s="180"/>
      <c r="AK724" s="180"/>
      <c r="AL724" s="180"/>
      <c r="AM724" s="181"/>
      <c r="AN724" s="180"/>
      <c r="AO724" s="180"/>
      <c r="AP724" s="180"/>
    </row>
    <row r="725">
      <c r="D725" s="172"/>
      <c r="E725" s="172"/>
      <c r="G725" s="173"/>
      <c r="H725" s="173"/>
      <c r="I725" s="173"/>
      <c r="M725" s="173"/>
      <c r="R725" s="174"/>
      <c r="S725" s="174"/>
      <c r="T725" s="90"/>
      <c r="U725" s="176"/>
      <c r="V725" s="176"/>
      <c r="W725" s="176"/>
      <c r="X725" s="176"/>
      <c r="Y725" s="176"/>
      <c r="Z725" s="177"/>
      <c r="AA725" s="176"/>
      <c r="AB725" s="176"/>
      <c r="AC725" s="176"/>
      <c r="AD725" s="178"/>
      <c r="AF725" s="179"/>
      <c r="AG725" s="179"/>
      <c r="AI725" s="180"/>
      <c r="AJ725" s="180"/>
      <c r="AK725" s="180"/>
      <c r="AL725" s="180"/>
      <c r="AM725" s="181"/>
      <c r="AN725" s="180"/>
      <c r="AO725" s="180"/>
      <c r="AP725" s="180"/>
    </row>
    <row r="726">
      <c r="D726" s="172"/>
      <c r="E726" s="172"/>
      <c r="G726" s="173"/>
      <c r="H726" s="173"/>
      <c r="I726" s="173"/>
      <c r="M726" s="173"/>
      <c r="R726" s="174"/>
      <c r="S726" s="174"/>
      <c r="T726" s="90"/>
      <c r="U726" s="176"/>
      <c r="V726" s="176"/>
      <c r="W726" s="176"/>
      <c r="X726" s="176"/>
      <c r="Y726" s="176"/>
      <c r="Z726" s="177"/>
      <c r="AA726" s="176"/>
      <c r="AB726" s="176"/>
      <c r="AC726" s="176"/>
      <c r="AD726" s="178"/>
      <c r="AF726" s="179"/>
      <c r="AG726" s="179"/>
      <c r="AI726" s="180"/>
      <c r="AJ726" s="180"/>
      <c r="AK726" s="180"/>
      <c r="AL726" s="180"/>
      <c r="AM726" s="181"/>
      <c r="AN726" s="180"/>
      <c r="AO726" s="180"/>
      <c r="AP726" s="180"/>
    </row>
    <row r="727">
      <c r="D727" s="172"/>
      <c r="E727" s="172"/>
      <c r="G727" s="173"/>
      <c r="H727" s="173"/>
      <c r="I727" s="173"/>
      <c r="M727" s="173"/>
      <c r="R727" s="174"/>
      <c r="S727" s="174"/>
      <c r="T727" s="90"/>
      <c r="U727" s="176"/>
      <c r="V727" s="176"/>
      <c r="W727" s="176"/>
      <c r="X727" s="176"/>
      <c r="Y727" s="176"/>
      <c r="Z727" s="177"/>
      <c r="AA727" s="176"/>
      <c r="AB727" s="176"/>
      <c r="AC727" s="176"/>
      <c r="AD727" s="178"/>
      <c r="AF727" s="179"/>
      <c r="AG727" s="179"/>
      <c r="AI727" s="180"/>
      <c r="AJ727" s="180"/>
      <c r="AK727" s="180"/>
      <c r="AL727" s="180"/>
      <c r="AM727" s="181"/>
      <c r="AN727" s="180"/>
      <c r="AO727" s="180"/>
      <c r="AP727" s="180"/>
    </row>
    <row r="728">
      <c r="D728" s="172"/>
      <c r="E728" s="172"/>
      <c r="G728" s="173"/>
      <c r="H728" s="173"/>
      <c r="I728" s="173"/>
      <c r="M728" s="173"/>
      <c r="R728" s="174"/>
      <c r="S728" s="174"/>
      <c r="T728" s="90"/>
      <c r="U728" s="176"/>
      <c r="V728" s="176"/>
      <c r="W728" s="176"/>
      <c r="X728" s="176"/>
      <c r="Y728" s="176"/>
      <c r="Z728" s="177"/>
      <c r="AA728" s="176"/>
      <c r="AB728" s="176"/>
      <c r="AC728" s="176"/>
      <c r="AD728" s="178"/>
      <c r="AF728" s="179"/>
      <c r="AG728" s="179"/>
      <c r="AI728" s="180"/>
      <c r="AJ728" s="180"/>
      <c r="AK728" s="180"/>
      <c r="AL728" s="180"/>
      <c r="AM728" s="181"/>
      <c r="AN728" s="180"/>
      <c r="AO728" s="180"/>
      <c r="AP728" s="180"/>
    </row>
    <row r="729">
      <c r="D729" s="172"/>
      <c r="E729" s="172"/>
      <c r="G729" s="173"/>
      <c r="H729" s="173"/>
      <c r="I729" s="173"/>
      <c r="M729" s="173"/>
      <c r="R729" s="174"/>
      <c r="S729" s="174"/>
      <c r="T729" s="90"/>
      <c r="U729" s="176"/>
      <c r="V729" s="176"/>
      <c r="W729" s="176"/>
      <c r="X729" s="176"/>
      <c r="Y729" s="176"/>
      <c r="Z729" s="177"/>
      <c r="AA729" s="176"/>
      <c r="AB729" s="176"/>
      <c r="AC729" s="176"/>
      <c r="AD729" s="178"/>
      <c r="AF729" s="179"/>
      <c r="AG729" s="179"/>
      <c r="AI729" s="180"/>
      <c r="AJ729" s="180"/>
      <c r="AK729" s="180"/>
      <c r="AL729" s="180"/>
      <c r="AM729" s="181"/>
      <c r="AN729" s="180"/>
      <c r="AO729" s="180"/>
      <c r="AP729" s="180"/>
    </row>
    <row r="730">
      <c r="D730" s="172"/>
      <c r="E730" s="172"/>
      <c r="G730" s="173"/>
      <c r="H730" s="173"/>
      <c r="I730" s="173"/>
      <c r="M730" s="173"/>
      <c r="R730" s="174"/>
      <c r="S730" s="174"/>
      <c r="T730" s="90"/>
      <c r="U730" s="176"/>
      <c r="V730" s="176"/>
      <c r="W730" s="176"/>
      <c r="X730" s="176"/>
      <c r="Y730" s="176"/>
      <c r="Z730" s="177"/>
      <c r="AA730" s="176"/>
      <c r="AB730" s="176"/>
      <c r="AC730" s="176"/>
      <c r="AD730" s="178"/>
      <c r="AF730" s="179"/>
      <c r="AG730" s="179"/>
      <c r="AI730" s="180"/>
      <c r="AJ730" s="180"/>
      <c r="AK730" s="180"/>
      <c r="AL730" s="180"/>
      <c r="AM730" s="181"/>
      <c r="AN730" s="180"/>
      <c r="AO730" s="180"/>
      <c r="AP730" s="180"/>
    </row>
    <row r="731">
      <c r="D731" s="172"/>
      <c r="E731" s="172"/>
      <c r="G731" s="173"/>
      <c r="H731" s="173"/>
      <c r="I731" s="173"/>
      <c r="M731" s="173"/>
      <c r="R731" s="174"/>
      <c r="S731" s="174"/>
      <c r="T731" s="90"/>
      <c r="U731" s="176"/>
      <c r="V731" s="176"/>
      <c r="W731" s="176"/>
      <c r="X731" s="176"/>
      <c r="Y731" s="176"/>
      <c r="Z731" s="177"/>
      <c r="AA731" s="176"/>
      <c r="AB731" s="176"/>
      <c r="AC731" s="176"/>
      <c r="AD731" s="178"/>
      <c r="AF731" s="179"/>
      <c r="AG731" s="179"/>
      <c r="AI731" s="180"/>
      <c r="AJ731" s="180"/>
      <c r="AK731" s="180"/>
      <c r="AL731" s="180"/>
      <c r="AM731" s="181"/>
      <c r="AN731" s="180"/>
      <c r="AO731" s="180"/>
      <c r="AP731" s="180"/>
    </row>
    <row r="732">
      <c r="D732" s="172"/>
      <c r="E732" s="172"/>
      <c r="G732" s="173"/>
      <c r="H732" s="173"/>
      <c r="I732" s="173"/>
      <c r="M732" s="173"/>
      <c r="R732" s="174"/>
      <c r="S732" s="174"/>
      <c r="T732" s="90"/>
      <c r="U732" s="176"/>
      <c r="V732" s="176"/>
      <c r="W732" s="176"/>
      <c r="X732" s="176"/>
      <c r="Y732" s="176"/>
      <c r="Z732" s="177"/>
      <c r="AA732" s="176"/>
      <c r="AB732" s="176"/>
      <c r="AC732" s="176"/>
      <c r="AD732" s="178"/>
      <c r="AF732" s="179"/>
      <c r="AG732" s="179"/>
      <c r="AI732" s="180"/>
      <c r="AJ732" s="180"/>
      <c r="AK732" s="180"/>
      <c r="AL732" s="180"/>
      <c r="AM732" s="181"/>
      <c r="AN732" s="180"/>
      <c r="AO732" s="180"/>
      <c r="AP732" s="180"/>
    </row>
    <row r="733">
      <c r="D733" s="172"/>
      <c r="E733" s="172"/>
      <c r="G733" s="173"/>
      <c r="H733" s="173"/>
      <c r="I733" s="173"/>
      <c r="M733" s="173"/>
      <c r="R733" s="174"/>
      <c r="S733" s="174"/>
      <c r="T733" s="90"/>
      <c r="U733" s="176"/>
      <c r="V733" s="176"/>
      <c r="W733" s="176"/>
      <c r="X733" s="176"/>
      <c r="Y733" s="176"/>
      <c r="Z733" s="177"/>
      <c r="AA733" s="176"/>
      <c r="AB733" s="176"/>
      <c r="AC733" s="176"/>
      <c r="AD733" s="178"/>
      <c r="AF733" s="179"/>
      <c r="AG733" s="179"/>
      <c r="AI733" s="180"/>
      <c r="AJ733" s="180"/>
      <c r="AK733" s="180"/>
      <c r="AL733" s="180"/>
      <c r="AM733" s="181"/>
      <c r="AN733" s="180"/>
      <c r="AO733" s="180"/>
      <c r="AP733" s="180"/>
    </row>
    <row r="734">
      <c r="D734" s="172"/>
      <c r="E734" s="172"/>
      <c r="G734" s="173"/>
      <c r="H734" s="173"/>
      <c r="I734" s="173"/>
      <c r="M734" s="173"/>
      <c r="R734" s="174"/>
      <c r="S734" s="174"/>
      <c r="T734" s="90"/>
      <c r="U734" s="176"/>
      <c r="V734" s="176"/>
      <c r="W734" s="176"/>
      <c r="X734" s="176"/>
      <c r="Y734" s="176"/>
      <c r="Z734" s="177"/>
      <c r="AA734" s="176"/>
      <c r="AB734" s="176"/>
      <c r="AC734" s="176"/>
      <c r="AD734" s="178"/>
      <c r="AF734" s="179"/>
      <c r="AG734" s="179"/>
      <c r="AI734" s="180"/>
      <c r="AJ734" s="180"/>
      <c r="AK734" s="180"/>
      <c r="AL734" s="180"/>
      <c r="AM734" s="181"/>
      <c r="AN734" s="180"/>
      <c r="AO734" s="180"/>
      <c r="AP734" s="180"/>
    </row>
    <row r="735">
      <c r="D735" s="172"/>
      <c r="E735" s="172"/>
      <c r="G735" s="173"/>
      <c r="H735" s="173"/>
      <c r="I735" s="173"/>
      <c r="M735" s="173"/>
      <c r="R735" s="174"/>
      <c r="S735" s="174"/>
      <c r="T735" s="90"/>
      <c r="U735" s="176"/>
      <c r="V735" s="176"/>
      <c r="W735" s="176"/>
      <c r="X735" s="176"/>
      <c r="Y735" s="176"/>
      <c r="Z735" s="177"/>
      <c r="AA735" s="176"/>
      <c r="AB735" s="176"/>
      <c r="AC735" s="176"/>
      <c r="AD735" s="178"/>
      <c r="AF735" s="179"/>
      <c r="AG735" s="179"/>
      <c r="AI735" s="180"/>
      <c r="AJ735" s="180"/>
      <c r="AK735" s="180"/>
      <c r="AL735" s="180"/>
      <c r="AM735" s="181"/>
      <c r="AN735" s="180"/>
      <c r="AO735" s="180"/>
      <c r="AP735" s="180"/>
    </row>
    <row r="736">
      <c r="D736" s="172"/>
      <c r="E736" s="172"/>
      <c r="G736" s="173"/>
      <c r="H736" s="173"/>
      <c r="I736" s="173"/>
      <c r="M736" s="173"/>
      <c r="R736" s="174"/>
      <c r="S736" s="174"/>
      <c r="T736" s="90"/>
      <c r="U736" s="176"/>
      <c r="V736" s="176"/>
      <c r="W736" s="176"/>
      <c r="X736" s="176"/>
      <c r="Y736" s="176"/>
      <c r="Z736" s="177"/>
      <c r="AA736" s="176"/>
      <c r="AB736" s="176"/>
      <c r="AC736" s="176"/>
      <c r="AD736" s="178"/>
      <c r="AF736" s="179"/>
      <c r="AG736" s="179"/>
      <c r="AI736" s="180"/>
      <c r="AJ736" s="180"/>
      <c r="AK736" s="180"/>
      <c r="AL736" s="180"/>
      <c r="AM736" s="181"/>
      <c r="AN736" s="180"/>
      <c r="AO736" s="180"/>
      <c r="AP736" s="180"/>
    </row>
    <row r="737">
      <c r="D737" s="172"/>
      <c r="E737" s="172"/>
      <c r="G737" s="173"/>
      <c r="H737" s="173"/>
      <c r="I737" s="173"/>
      <c r="M737" s="173"/>
      <c r="R737" s="174"/>
      <c r="S737" s="174"/>
      <c r="T737" s="90"/>
      <c r="U737" s="176"/>
      <c r="V737" s="176"/>
      <c r="W737" s="176"/>
      <c r="X737" s="176"/>
      <c r="Y737" s="176"/>
      <c r="Z737" s="177"/>
      <c r="AA737" s="176"/>
      <c r="AB737" s="176"/>
      <c r="AC737" s="176"/>
      <c r="AD737" s="178"/>
      <c r="AF737" s="179"/>
      <c r="AG737" s="179"/>
      <c r="AI737" s="180"/>
      <c r="AJ737" s="180"/>
      <c r="AK737" s="180"/>
      <c r="AL737" s="180"/>
      <c r="AM737" s="181"/>
      <c r="AN737" s="180"/>
      <c r="AO737" s="180"/>
      <c r="AP737" s="180"/>
    </row>
    <row r="738">
      <c r="D738" s="172"/>
      <c r="E738" s="172"/>
      <c r="G738" s="173"/>
      <c r="H738" s="173"/>
      <c r="I738" s="173"/>
      <c r="M738" s="173"/>
      <c r="R738" s="174"/>
      <c r="S738" s="174"/>
      <c r="T738" s="90"/>
      <c r="U738" s="176"/>
      <c r="V738" s="176"/>
      <c r="W738" s="176"/>
      <c r="X738" s="176"/>
      <c r="Y738" s="176"/>
      <c r="Z738" s="177"/>
      <c r="AA738" s="176"/>
      <c r="AB738" s="176"/>
      <c r="AC738" s="176"/>
      <c r="AD738" s="178"/>
      <c r="AF738" s="179"/>
      <c r="AG738" s="179"/>
      <c r="AI738" s="180"/>
      <c r="AJ738" s="180"/>
      <c r="AK738" s="180"/>
      <c r="AL738" s="180"/>
      <c r="AM738" s="181"/>
      <c r="AN738" s="180"/>
      <c r="AO738" s="180"/>
      <c r="AP738" s="180"/>
    </row>
    <row r="739">
      <c r="D739" s="172"/>
      <c r="E739" s="172"/>
      <c r="G739" s="173"/>
      <c r="H739" s="173"/>
      <c r="I739" s="173"/>
      <c r="M739" s="173"/>
      <c r="R739" s="174"/>
      <c r="S739" s="174"/>
      <c r="T739" s="90"/>
      <c r="U739" s="176"/>
      <c r="V739" s="176"/>
      <c r="W739" s="176"/>
      <c r="X739" s="176"/>
      <c r="Y739" s="176"/>
      <c r="Z739" s="177"/>
      <c r="AA739" s="176"/>
      <c r="AB739" s="176"/>
      <c r="AC739" s="176"/>
      <c r="AD739" s="178"/>
      <c r="AF739" s="179"/>
      <c r="AG739" s="179"/>
      <c r="AI739" s="180"/>
      <c r="AJ739" s="180"/>
      <c r="AK739" s="180"/>
      <c r="AL739" s="180"/>
      <c r="AM739" s="181"/>
      <c r="AN739" s="180"/>
      <c r="AO739" s="180"/>
      <c r="AP739" s="180"/>
    </row>
    <row r="740">
      <c r="D740" s="172"/>
      <c r="E740" s="172"/>
      <c r="G740" s="173"/>
      <c r="H740" s="173"/>
      <c r="I740" s="173"/>
      <c r="M740" s="173"/>
      <c r="R740" s="174"/>
      <c r="S740" s="174"/>
      <c r="T740" s="90"/>
      <c r="U740" s="176"/>
      <c r="V740" s="176"/>
      <c r="W740" s="176"/>
      <c r="X740" s="176"/>
      <c r="Y740" s="176"/>
      <c r="Z740" s="177"/>
      <c r="AA740" s="176"/>
      <c r="AB740" s="176"/>
      <c r="AC740" s="176"/>
      <c r="AD740" s="178"/>
      <c r="AF740" s="179"/>
      <c r="AG740" s="179"/>
      <c r="AI740" s="180"/>
      <c r="AJ740" s="180"/>
      <c r="AK740" s="180"/>
      <c r="AL740" s="180"/>
      <c r="AM740" s="181"/>
      <c r="AN740" s="180"/>
      <c r="AO740" s="180"/>
      <c r="AP740" s="180"/>
    </row>
    <row r="741">
      <c r="D741" s="172"/>
      <c r="E741" s="172"/>
      <c r="G741" s="173"/>
      <c r="H741" s="173"/>
      <c r="I741" s="173"/>
      <c r="M741" s="173"/>
      <c r="R741" s="174"/>
      <c r="S741" s="174"/>
      <c r="T741" s="90"/>
      <c r="U741" s="176"/>
      <c r="V741" s="176"/>
      <c r="W741" s="176"/>
      <c r="X741" s="176"/>
      <c r="Y741" s="176"/>
      <c r="Z741" s="177"/>
      <c r="AA741" s="176"/>
      <c r="AB741" s="176"/>
      <c r="AC741" s="176"/>
      <c r="AD741" s="178"/>
      <c r="AF741" s="179"/>
      <c r="AG741" s="179"/>
      <c r="AI741" s="180"/>
      <c r="AJ741" s="180"/>
      <c r="AK741" s="180"/>
      <c r="AL741" s="180"/>
      <c r="AM741" s="181"/>
      <c r="AN741" s="180"/>
      <c r="AO741" s="180"/>
      <c r="AP741" s="180"/>
    </row>
    <row r="742">
      <c r="D742" s="172"/>
      <c r="E742" s="172"/>
      <c r="G742" s="173"/>
      <c r="H742" s="173"/>
      <c r="I742" s="173"/>
      <c r="M742" s="173"/>
      <c r="R742" s="174"/>
      <c r="S742" s="174"/>
      <c r="T742" s="90"/>
      <c r="U742" s="176"/>
      <c r="V742" s="176"/>
      <c r="W742" s="176"/>
      <c r="X742" s="176"/>
      <c r="Y742" s="176"/>
      <c r="Z742" s="177"/>
      <c r="AA742" s="176"/>
      <c r="AB742" s="176"/>
      <c r="AC742" s="176"/>
      <c r="AD742" s="178"/>
      <c r="AF742" s="179"/>
      <c r="AG742" s="179"/>
      <c r="AI742" s="180"/>
      <c r="AJ742" s="180"/>
      <c r="AK742" s="180"/>
      <c r="AL742" s="180"/>
      <c r="AM742" s="181"/>
      <c r="AN742" s="180"/>
      <c r="AO742" s="180"/>
      <c r="AP742" s="180"/>
    </row>
    <row r="743">
      <c r="D743" s="172"/>
      <c r="E743" s="172"/>
      <c r="G743" s="173"/>
      <c r="H743" s="173"/>
      <c r="I743" s="173"/>
      <c r="M743" s="173"/>
      <c r="R743" s="174"/>
      <c r="S743" s="174"/>
      <c r="T743" s="90"/>
      <c r="U743" s="176"/>
      <c r="V743" s="176"/>
      <c r="W743" s="176"/>
      <c r="X743" s="176"/>
      <c r="Y743" s="176"/>
      <c r="Z743" s="177"/>
      <c r="AA743" s="176"/>
      <c r="AB743" s="176"/>
      <c r="AC743" s="176"/>
      <c r="AD743" s="178"/>
      <c r="AF743" s="179"/>
      <c r="AG743" s="179"/>
      <c r="AI743" s="180"/>
      <c r="AJ743" s="180"/>
      <c r="AK743" s="180"/>
      <c r="AL743" s="180"/>
      <c r="AM743" s="181"/>
      <c r="AN743" s="180"/>
      <c r="AO743" s="180"/>
      <c r="AP743" s="180"/>
    </row>
    <row r="744">
      <c r="D744" s="172"/>
      <c r="E744" s="172"/>
      <c r="G744" s="173"/>
      <c r="H744" s="173"/>
      <c r="I744" s="173"/>
      <c r="M744" s="173"/>
      <c r="R744" s="174"/>
      <c r="S744" s="174"/>
      <c r="T744" s="90"/>
      <c r="U744" s="176"/>
      <c r="V744" s="176"/>
      <c r="W744" s="176"/>
      <c r="X744" s="176"/>
      <c r="Y744" s="176"/>
      <c r="Z744" s="177"/>
      <c r="AA744" s="176"/>
      <c r="AB744" s="176"/>
      <c r="AC744" s="176"/>
      <c r="AD744" s="178"/>
      <c r="AF744" s="179"/>
      <c r="AG744" s="179"/>
      <c r="AI744" s="180"/>
      <c r="AJ744" s="180"/>
      <c r="AK744" s="180"/>
      <c r="AL744" s="180"/>
      <c r="AM744" s="181"/>
      <c r="AN744" s="180"/>
      <c r="AO744" s="180"/>
      <c r="AP744" s="180"/>
    </row>
    <row r="745">
      <c r="D745" s="172"/>
      <c r="E745" s="172"/>
      <c r="G745" s="173"/>
      <c r="H745" s="173"/>
      <c r="I745" s="173"/>
      <c r="M745" s="173"/>
      <c r="R745" s="174"/>
      <c r="S745" s="174"/>
      <c r="T745" s="90"/>
      <c r="U745" s="176"/>
      <c r="V745" s="176"/>
      <c r="W745" s="176"/>
      <c r="X745" s="176"/>
      <c r="Y745" s="176"/>
      <c r="Z745" s="177"/>
      <c r="AA745" s="176"/>
      <c r="AB745" s="176"/>
      <c r="AC745" s="176"/>
      <c r="AD745" s="178"/>
      <c r="AF745" s="179"/>
      <c r="AG745" s="179"/>
      <c r="AI745" s="180"/>
      <c r="AJ745" s="180"/>
      <c r="AK745" s="180"/>
      <c r="AL745" s="180"/>
      <c r="AM745" s="181"/>
      <c r="AN745" s="180"/>
      <c r="AO745" s="180"/>
      <c r="AP745" s="180"/>
    </row>
    <row r="746">
      <c r="D746" s="172"/>
      <c r="E746" s="172"/>
      <c r="G746" s="173"/>
      <c r="H746" s="173"/>
      <c r="I746" s="173"/>
      <c r="M746" s="173"/>
      <c r="R746" s="174"/>
      <c r="S746" s="174"/>
      <c r="T746" s="90"/>
      <c r="U746" s="176"/>
      <c r="V746" s="176"/>
      <c r="W746" s="176"/>
      <c r="X746" s="176"/>
      <c r="Y746" s="176"/>
      <c r="Z746" s="177"/>
      <c r="AA746" s="176"/>
      <c r="AB746" s="176"/>
      <c r="AC746" s="176"/>
      <c r="AD746" s="178"/>
      <c r="AF746" s="179"/>
      <c r="AG746" s="179"/>
      <c r="AI746" s="180"/>
      <c r="AJ746" s="180"/>
      <c r="AK746" s="180"/>
      <c r="AL746" s="180"/>
      <c r="AM746" s="181"/>
      <c r="AN746" s="180"/>
      <c r="AO746" s="180"/>
      <c r="AP746" s="180"/>
    </row>
    <row r="747">
      <c r="D747" s="172"/>
      <c r="E747" s="172"/>
      <c r="G747" s="173"/>
      <c r="H747" s="173"/>
      <c r="I747" s="173"/>
      <c r="M747" s="173"/>
      <c r="R747" s="174"/>
      <c r="S747" s="174"/>
      <c r="T747" s="90"/>
      <c r="U747" s="176"/>
      <c r="V747" s="176"/>
      <c r="W747" s="176"/>
      <c r="X747" s="176"/>
      <c r="Y747" s="176"/>
      <c r="Z747" s="177"/>
      <c r="AA747" s="176"/>
      <c r="AB747" s="176"/>
      <c r="AC747" s="176"/>
      <c r="AD747" s="178"/>
      <c r="AF747" s="179"/>
      <c r="AG747" s="179"/>
      <c r="AI747" s="180"/>
      <c r="AJ747" s="180"/>
      <c r="AK747" s="180"/>
      <c r="AL747" s="180"/>
      <c r="AM747" s="181"/>
      <c r="AN747" s="180"/>
      <c r="AO747" s="180"/>
      <c r="AP747" s="180"/>
    </row>
    <row r="748">
      <c r="D748" s="172"/>
      <c r="E748" s="172"/>
      <c r="G748" s="173"/>
      <c r="H748" s="173"/>
      <c r="I748" s="173"/>
      <c r="M748" s="173"/>
      <c r="R748" s="174"/>
      <c r="S748" s="174"/>
      <c r="T748" s="90"/>
      <c r="U748" s="176"/>
      <c r="V748" s="176"/>
      <c r="W748" s="176"/>
      <c r="X748" s="176"/>
      <c r="Y748" s="176"/>
      <c r="Z748" s="177"/>
      <c r="AA748" s="176"/>
      <c r="AB748" s="176"/>
      <c r="AC748" s="176"/>
      <c r="AD748" s="178"/>
      <c r="AF748" s="179"/>
      <c r="AG748" s="179"/>
      <c r="AI748" s="180"/>
      <c r="AJ748" s="180"/>
      <c r="AK748" s="180"/>
      <c r="AL748" s="180"/>
      <c r="AM748" s="181"/>
      <c r="AN748" s="180"/>
      <c r="AO748" s="180"/>
      <c r="AP748" s="180"/>
    </row>
    <row r="749">
      <c r="D749" s="172"/>
      <c r="E749" s="172"/>
      <c r="G749" s="173"/>
      <c r="H749" s="173"/>
      <c r="I749" s="173"/>
      <c r="M749" s="173"/>
      <c r="R749" s="174"/>
      <c r="S749" s="174"/>
      <c r="T749" s="90"/>
      <c r="U749" s="176"/>
      <c r="V749" s="176"/>
      <c r="W749" s="176"/>
      <c r="X749" s="176"/>
      <c r="Y749" s="176"/>
      <c r="Z749" s="177"/>
      <c r="AA749" s="176"/>
      <c r="AB749" s="176"/>
      <c r="AC749" s="176"/>
      <c r="AD749" s="178"/>
      <c r="AF749" s="179"/>
      <c r="AG749" s="179"/>
      <c r="AI749" s="180"/>
      <c r="AJ749" s="180"/>
      <c r="AK749" s="180"/>
      <c r="AL749" s="180"/>
      <c r="AM749" s="181"/>
      <c r="AN749" s="180"/>
      <c r="AO749" s="180"/>
      <c r="AP749" s="180"/>
    </row>
    <row r="750">
      <c r="D750" s="172"/>
      <c r="E750" s="172"/>
      <c r="G750" s="173"/>
      <c r="H750" s="173"/>
      <c r="I750" s="173"/>
      <c r="M750" s="173"/>
      <c r="R750" s="174"/>
      <c r="S750" s="174"/>
      <c r="T750" s="90"/>
      <c r="U750" s="176"/>
      <c r="V750" s="176"/>
      <c r="W750" s="176"/>
      <c r="X750" s="176"/>
      <c r="Y750" s="176"/>
      <c r="Z750" s="177"/>
      <c r="AA750" s="176"/>
      <c r="AB750" s="176"/>
      <c r="AC750" s="176"/>
      <c r="AD750" s="178"/>
      <c r="AF750" s="179"/>
      <c r="AG750" s="179"/>
      <c r="AI750" s="180"/>
      <c r="AJ750" s="180"/>
      <c r="AK750" s="180"/>
      <c r="AL750" s="180"/>
      <c r="AM750" s="181"/>
      <c r="AN750" s="180"/>
      <c r="AO750" s="180"/>
      <c r="AP750" s="180"/>
    </row>
    <row r="751">
      <c r="D751" s="172"/>
      <c r="E751" s="172"/>
      <c r="G751" s="173"/>
      <c r="H751" s="173"/>
      <c r="I751" s="173"/>
      <c r="M751" s="173"/>
      <c r="R751" s="174"/>
      <c r="S751" s="174"/>
      <c r="T751" s="90"/>
      <c r="U751" s="176"/>
      <c r="V751" s="176"/>
      <c r="W751" s="176"/>
      <c r="X751" s="176"/>
      <c r="Y751" s="176"/>
      <c r="Z751" s="177"/>
      <c r="AA751" s="176"/>
      <c r="AB751" s="176"/>
      <c r="AC751" s="176"/>
      <c r="AD751" s="178"/>
      <c r="AF751" s="179"/>
      <c r="AG751" s="179"/>
      <c r="AI751" s="180"/>
      <c r="AJ751" s="180"/>
      <c r="AK751" s="180"/>
      <c r="AL751" s="180"/>
      <c r="AM751" s="181"/>
      <c r="AN751" s="180"/>
      <c r="AO751" s="180"/>
      <c r="AP751" s="180"/>
    </row>
    <row r="752">
      <c r="D752" s="172"/>
      <c r="E752" s="172"/>
      <c r="G752" s="173"/>
      <c r="H752" s="173"/>
      <c r="I752" s="173"/>
      <c r="M752" s="173"/>
      <c r="R752" s="174"/>
      <c r="S752" s="174"/>
      <c r="T752" s="90"/>
      <c r="U752" s="176"/>
      <c r="V752" s="176"/>
      <c r="W752" s="176"/>
      <c r="X752" s="176"/>
      <c r="Y752" s="176"/>
      <c r="Z752" s="177"/>
      <c r="AA752" s="176"/>
      <c r="AB752" s="176"/>
      <c r="AC752" s="176"/>
      <c r="AD752" s="178"/>
      <c r="AF752" s="179"/>
      <c r="AG752" s="179"/>
      <c r="AI752" s="180"/>
      <c r="AJ752" s="180"/>
      <c r="AK752" s="180"/>
      <c r="AL752" s="180"/>
      <c r="AM752" s="181"/>
      <c r="AN752" s="180"/>
      <c r="AO752" s="180"/>
      <c r="AP752" s="180"/>
    </row>
    <row r="753">
      <c r="D753" s="172"/>
      <c r="E753" s="172"/>
      <c r="G753" s="173"/>
      <c r="H753" s="173"/>
      <c r="I753" s="173"/>
      <c r="M753" s="173"/>
      <c r="R753" s="174"/>
      <c r="S753" s="174"/>
      <c r="T753" s="90"/>
      <c r="U753" s="176"/>
      <c r="V753" s="176"/>
      <c r="W753" s="176"/>
      <c r="X753" s="176"/>
      <c r="Y753" s="176"/>
      <c r="Z753" s="177"/>
      <c r="AA753" s="176"/>
      <c r="AB753" s="176"/>
      <c r="AC753" s="176"/>
      <c r="AD753" s="178"/>
      <c r="AF753" s="179"/>
      <c r="AG753" s="179"/>
      <c r="AI753" s="180"/>
      <c r="AJ753" s="180"/>
      <c r="AK753" s="180"/>
      <c r="AL753" s="180"/>
      <c r="AM753" s="181"/>
      <c r="AN753" s="180"/>
      <c r="AO753" s="180"/>
      <c r="AP753" s="180"/>
    </row>
    <row r="754">
      <c r="D754" s="172"/>
      <c r="E754" s="172"/>
      <c r="G754" s="173"/>
      <c r="H754" s="173"/>
      <c r="I754" s="173"/>
      <c r="M754" s="173"/>
      <c r="R754" s="174"/>
      <c r="S754" s="174"/>
      <c r="T754" s="90"/>
      <c r="U754" s="176"/>
      <c r="V754" s="176"/>
      <c r="W754" s="176"/>
      <c r="X754" s="176"/>
      <c r="Y754" s="176"/>
      <c r="Z754" s="177"/>
      <c r="AA754" s="176"/>
      <c r="AB754" s="176"/>
      <c r="AC754" s="176"/>
      <c r="AD754" s="178"/>
      <c r="AF754" s="179"/>
      <c r="AG754" s="179"/>
      <c r="AI754" s="180"/>
      <c r="AJ754" s="180"/>
      <c r="AK754" s="180"/>
      <c r="AL754" s="180"/>
      <c r="AM754" s="181"/>
      <c r="AN754" s="180"/>
      <c r="AO754" s="180"/>
      <c r="AP754" s="180"/>
    </row>
    <row r="755">
      <c r="D755" s="172"/>
      <c r="E755" s="172"/>
      <c r="G755" s="173"/>
      <c r="H755" s="173"/>
      <c r="I755" s="173"/>
      <c r="M755" s="173"/>
      <c r="R755" s="174"/>
      <c r="S755" s="174"/>
      <c r="T755" s="90"/>
      <c r="U755" s="176"/>
      <c r="V755" s="176"/>
      <c r="W755" s="176"/>
      <c r="X755" s="176"/>
      <c r="Y755" s="176"/>
      <c r="Z755" s="177"/>
      <c r="AA755" s="176"/>
      <c r="AB755" s="176"/>
      <c r="AC755" s="176"/>
      <c r="AD755" s="178"/>
      <c r="AF755" s="179"/>
      <c r="AG755" s="179"/>
      <c r="AI755" s="180"/>
      <c r="AJ755" s="180"/>
      <c r="AK755" s="180"/>
      <c r="AL755" s="180"/>
      <c r="AM755" s="181"/>
      <c r="AN755" s="180"/>
      <c r="AO755" s="180"/>
      <c r="AP755" s="180"/>
    </row>
    <row r="756">
      <c r="D756" s="172"/>
      <c r="E756" s="172"/>
      <c r="G756" s="173"/>
      <c r="H756" s="173"/>
      <c r="I756" s="173"/>
      <c r="M756" s="173"/>
      <c r="R756" s="174"/>
      <c r="S756" s="174"/>
      <c r="T756" s="90"/>
      <c r="U756" s="176"/>
      <c r="V756" s="176"/>
      <c r="W756" s="176"/>
      <c r="X756" s="176"/>
      <c r="Y756" s="176"/>
      <c r="Z756" s="177"/>
      <c r="AA756" s="176"/>
      <c r="AB756" s="176"/>
      <c r="AC756" s="176"/>
      <c r="AD756" s="178"/>
      <c r="AF756" s="179"/>
      <c r="AG756" s="179"/>
      <c r="AI756" s="180"/>
      <c r="AJ756" s="180"/>
      <c r="AK756" s="180"/>
      <c r="AL756" s="180"/>
      <c r="AM756" s="181"/>
      <c r="AN756" s="180"/>
      <c r="AO756" s="180"/>
      <c r="AP756" s="180"/>
    </row>
    <row r="757">
      <c r="D757" s="172"/>
      <c r="E757" s="172"/>
      <c r="G757" s="173"/>
      <c r="H757" s="173"/>
      <c r="I757" s="173"/>
      <c r="M757" s="173"/>
      <c r="R757" s="174"/>
      <c r="S757" s="174"/>
      <c r="T757" s="90"/>
      <c r="U757" s="176"/>
      <c r="V757" s="176"/>
      <c r="W757" s="176"/>
      <c r="X757" s="176"/>
      <c r="Y757" s="176"/>
      <c r="Z757" s="177"/>
      <c r="AA757" s="176"/>
      <c r="AB757" s="176"/>
      <c r="AC757" s="176"/>
      <c r="AD757" s="178"/>
      <c r="AF757" s="179"/>
      <c r="AG757" s="179"/>
      <c r="AI757" s="180"/>
      <c r="AJ757" s="180"/>
      <c r="AK757" s="180"/>
      <c r="AL757" s="180"/>
      <c r="AM757" s="181"/>
      <c r="AN757" s="180"/>
      <c r="AO757" s="180"/>
      <c r="AP757" s="180"/>
    </row>
    <row r="758">
      <c r="D758" s="172"/>
      <c r="E758" s="172"/>
      <c r="G758" s="173"/>
      <c r="H758" s="173"/>
      <c r="I758" s="173"/>
      <c r="M758" s="173"/>
      <c r="R758" s="174"/>
      <c r="S758" s="174"/>
      <c r="T758" s="90"/>
      <c r="U758" s="176"/>
      <c r="V758" s="176"/>
      <c r="W758" s="176"/>
      <c r="X758" s="176"/>
      <c r="Y758" s="176"/>
      <c r="Z758" s="177"/>
      <c r="AA758" s="176"/>
      <c r="AB758" s="176"/>
      <c r="AC758" s="176"/>
      <c r="AD758" s="178"/>
      <c r="AF758" s="179"/>
      <c r="AG758" s="179"/>
      <c r="AI758" s="180"/>
      <c r="AJ758" s="180"/>
      <c r="AK758" s="180"/>
      <c r="AL758" s="180"/>
      <c r="AM758" s="181"/>
      <c r="AN758" s="180"/>
      <c r="AO758" s="180"/>
      <c r="AP758" s="180"/>
    </row>
    <row r="759">
      <c r="D759" s="172"/>
      <c r="E759" s="172"/>
      <c r="G759" s="173"/>
      <c r="H759" s="173"/>
      <c r="I759" s="173"/>
      <c r="M759" s="173"/>
      <c r="R759" s="174"/>
      <c r="S759" s="174"/>
      <c r="T759" s="90"/>
      <c r="U759" s="176"/>
      <c r="V759" s="176"/>
      <c r="W759" s="176"/>
      <c r="X759" s="176"/>
      <c r="Y759" s="176"/>
      <c r="Z759" s="177"/>
      <c r="AA759" s="176"/>
      <c r="AB759" s="176"/>
      <c r="AC759" s="176"/>
      <c r="AD759" s="178"/>
      <c r="AF759" s="179"/>
      <c r="AG759" s="179"/>
      <c r="AI759" s="180"/>
      <c r="AJ759" s="180"/>
      <c r="AK759" s="180"/>
      <c r="AL759" s="180"/>
      <c r="AM759" s="181"/>
      <c r="AN759" s="180"/>
      <c r="AO759" s="180"/>
      <c r="AP759" s="180"/>
    </row>
    <row r="760">
      <c r="D760" s="172"/>
      <c r="E760" s="172"/>
      <c r="G760" s="173"/>
      <c r="H760" s="173"/>
      <c r="I760" s="173"/>
      <c r="M760" s="173"/>
      <c r="R760" s="174"/>
      <c r="S760" s="174"/>
      <c r="T760" s="90"/>
      <c r="U760" s="176"/>
      <c r="V760" s="176"/>
      <c r="W760" s="176"/>
      <c r="X760" s="176"/>
      <c r="Y760" s="176"/>
      <c r="Z760" s="177"/>
      <c r="AA760" s="176"/>
      <c r="AB760" s="176"/>
      <c r="AC760" s="176"/>
      <c r="AD760" s="178"/>
      <c r="AF760" s="179"/>
      <c r="AG760" s="179"/>
      <c r="AI760" s="180"/>
      <c r="AJ760" s="180"/>
      <c r="AK760" s="180"/>
      <c r="AL760" s="180"/>
      <c r="AM760" s="181"/>
      <c r="AN760" s="180"/>
      <c r="AO760" s="180"/>
      <c r="AP760" s="180"/>
    </row>
    <row r="761">
      <c r="D761" s="172"/>
      <c r="E761" s="172"/>
      <c r="G761" s="173"/>
      <c r="H761" s="173"/>
      <c r="I761" s="173"/>
      <c r="M761" s="173"/>
      <c r="R761" s="174"/>
      <c r="S761" s="174"/>
      <c r="T761" s="90"/>
      <c r="U761" s="176"/>
      <c r="V761" s="176"/>
      <c r="W761" s="176"/>
      <c r="X761" s="176"/>
      <c r="Y761" s="176"/>
      <c r="Z761" s="177"/>
      <c r="AA761" s="176"/>
      <c r="AB761" s="176"/>
      <c r="AC761" s="176"/>
      <c r="AD761" s="178"/>
      <c r="AF761" s="179"/>
      <c r="AG761" s="179"/>
      <c r="AI761" s="180"/>
      <c r="AJ761" s="180"/>
      <c r="AK761" s="180"/>
      <c r="AL761" s="180"/>
      <c r="AM761" s="181"/>
      <c r="AN761" s="180"/>
      <c r="AO761" s="180"/>
      <c r="AP761" s="180"/>
    </row>
    <row r="762">
      <c r="D762" s="172"/>
      <c r="E762" s="172"/>
      <c r="G762" s="173"/>
      <c r="H762" s="173"/>
      <c r="I762" s="173"/>
      <c r="M762" s="173"/>
      <c r="R762" s="174"/>
      <c r="S762" s="174"/>
      <c r="T762" s="90"/>
      <c r="U762" s="176"/>
      <c r="V762" s="176"/>
      <c r="W762" s="176"/>
      <c r="X762" s="176"/>
      <c r="Y762" s="176"/>
      <c r="Z762" s="177"/>
      <c r="AA762" s="176"/>
      <c r="AB762" s="176"/>
      <c r="AC762" s="176"/>
      <c r="AD762" s="178"/>
      <c r="AF762" s="179"/>
      <c r="AG762" s="179"/>
      <c r="AI762" s="180"/>
      <c r="AJ762" s="180"/>
      <c r="AK762" s="180"/>
      <c r="AL762" s="180"/>
      <c r="AM762" s="181"/>
      <c r="AN762" s="180"/>
      <c r="AO762" s="180"/>
      <c r="AP762" s="180"/>
    </row>
    <row r="763">
      <c r="D763" s="172"/>
      <c r="E763" s="172"/>
      <c r="G763" s="173"/>
      <c r="H763" s="173"/>
      <c r="I763" s="173"/>
      <c r="M763" s="173"/>
      <c r="R763" s="174"/>
      <c r="S763" s="174"/>
      <c r="T763" s="90"/>
      <c r="U763" s="176"/>
      <c r="V763" s="176"/>
      <c r="W763" s="176"/>
      <c r="X763" s="176"/>
      <c r="Y763" s="176"/>
      <c r="Z763" s="177"/>
      <c r="AA763" s="176"/>
      <c r="AB763" s="176"/>
      <c r="AC763" s="176"/>
      <c r="AD763" s="178"/>
      <c r="AF763" s="179"/>
      <c r="AG763" s="179"/>
      <c r="AI763" s="180"/>
      <c r="AJ763" s="180"/>
      <c r="AK763" s="180"/>
      <c r="AL763" s="180"/>
      <c r="AM763" s="181"/>
      <c r="AN763" s="180"/>
      <c r="AO763" s="180"/>
      <c r="AP763" s="180"/>
    </row>
    <row r="764">
      <c r="D764" s="172"/>
      <c r="E764" s="172"/>
      <c r="G764" s="173"/>
      <c r="H764" s="173"/>
      <c r="I764" s="173"/>
      <c r="M764" s="173"/>
      <c r="R764" s="174"/>
      <c r="S764" s="174"/>
      <c r="T764" s="90"/>
      <c r="U764" s="176"/>
      <c r="V764" s="176"/>
      <c r="W764" s="176"/>
      <c r="X764" s="176"/>
      <c r="Y764" s="176"/>
      <c r="Z764" s="177"/>
      <c r="AA764" s="176"/>
      <c r="AB764" s="176"/>
      <c r="AC764" s="176"/>
      <c r="AD764" s="178"/>
      <c r="AF764" s="179"/>
      <c r="AG764" s="179"/>
      <c r="AI764" s="180"/>
      <c r="AJ764" s="180"/>
      <c r="AK764" s="180"/>
      <c r="AL764" s="180"/>
      <c r="AM764" s="181"/>
      <c r="AN764" s="180"/>
      <c r="AO764" s="180"/>
      <c r="AP764" s="180"/>
    </row>
    <row r="765">
      <c r="D765" s="172"/>
      <c r="E765" s="172"/>
      <c r="G765" s="173"/>
      <c r="H765" s="173"/>
      <c r="I765" s="173"/>
      <c r="M765" s="173"/>
      <c r="R765" s="174"/>
      <c r="S765" s="174"/>
      <c r="T765" s="90"/>
      <c r="U765" s="176"/>
      <c r="V765" s="176"/>
      <c r="W765" s="176"/>
      <c r="X765" s="176"/>
      <c r="Y765" s="176"/>
      <c r="Z765" s="177"/>
      <c r="AA765" s="176"/>
      <c r="AB765" s="176"/>
      <c r="AC765" s="176"/>
      <c r="AD765" s="178"/>
      <c r="AF765" s="179"/>
      <c r="AG765" s="179"/>
      <c r="AI765" s="180"/>
      <c r="AJ765" s="180"/>
      <c r="AK765" s="180"/>
      <c r="AL765" s="180"/>
      <c r="AM765" s="181"/>
      <c r="AN765" s="180"/>
      <c r="AO765" s="180"/>
      <c r="AP765" s="180"/>
    </row>
    <row r="766">
      <c r="D766" s="172"/>
      <c r="E766" s="172"/>
      <c r="G766" s="173"/>
      <c r="H766" s="173"/>
      <c r="I766" s="173"/>
      <c r="M766" s="173"/>
      <c r="R766" s="174"/>
      <c r="S766" s="174"/>
      <c r="T766" s="90"/>
      <c r="U766" s="176"/>
      <c r="V766" s="176"/>
      <c r="W766" s="176"/>
      <c r="X766" s="176"/>
      <c r="Y766" s="176"/>
      <c r="Z766" s="177"/>
      <c r="AA766" s="176"/>
      <c r="AB766" s="176"/>
      <c r="AC766" s="176"/>
      <c r="AD766" s="178"/>
      <c r="AF766" s="179"/>
      <c r="AG766" s="179"/>
      <c r="AI766" s="180"/>
      <c r="AJ766" s="180"/>
      <c r="AK766" s="180"/>
      <c r="AL766" s="180"/>
      <c r="AM766" s="181"/>
      <c r="AN766" s="180"/>
      <c r="AO766" s="180"/>
      <c r="AP766" s="180"/>
    </row>
    <row r="767">
      <c r="D767" s="172"/>
      <c r="E767" s="172"/>
      <c r="G767" s="173"/>
      <c r="H767" s="173"/>
      <c r="I767" s="173"/>
      <c r="M767" s="173"/>
      <c r="R767" s="174"/>
      <c r="S767" s="174"/>
      <c r="T767" s="90"/>
      <c r="U767" s="176"/>
      <c r="V767" s="176"/>
      <c r="W767" s="176"/>
      <c r="X767" s="176"/>
      <c r="Y767" s="176"/>
      <c r="Z767" s="177"/>
      <c r="AA767" s="176"/>
      <c r="AB767" s="176"/>
      <c r="AC767" s="176"/>
      <c r="AD767" s="178"/>
      <c r="AF767" s="179"/>
      <c r="AG767" s="179"/>
      <c r="AI767" s="180"/>
      <c r="AJ767" s="180"/>
      <c r="AK767" s="180"/>
      <c r="AL767" s="180"/>
      <c r="AM767" s="181"/>
      <c r="AN767" s="180"/>
      <c r="AO767" s="180"/>
      <c r="AP767" s="180"/>
    </row>
    <row r="768">
      <c r="D768" s="172"/>
      <c r="E768" s="172"/>
      <c r="G768" s="173"/>
      <c r="H768" s="173"/>
      <c r="I768" s="173"/>
      <c r="M768" s="173"/>
      <c r="R768" s="174"/>
      <c r="S768" s="174"/>
      <c r="T768" s="90"/>
      <c r="U768" s="176"/>
      <c r="V768" s="176"/>
      <c r="W768" s="176"/>
      <c r="X768" s="176"/>
      <c r="Y768" s="176"/>
      <c r="Z768" s="177"/>
      <c r="AA768" s="176"/>
      <c r="AB768" s="176"/>
      <c r="AC768" s="176"/>
      <c r="AD768" s="178"/>
      <c r="AF768" s="179"/>
      <c r="AG768" s="179"/>
      <c r="AI768" s="180"/>
      <c r="AJ768" s="180"/>
      <c r="AK768" s="180"/>
      <c r="AL768" s="180"/>
      <c r="AM768" s="181"/>
      <c r="AN768" s="180"/>
      <c r="AO768" s="180"/>
      <c r="AP768" s="180"/>
    </row>
    <row r="769">
      <c r="D769" s="172"/>
      <c r="E769" s="172"/>
      <c r="G769" s="173"/>
      <c r="H769" s="173"/>
      <c r="I769" s="173"/>
      <c r="M769" s="173"/>
      <c r="R769" s="174"/>
      <c r="S769" s="174"/>
      <c r="T769" s="90"/>
      <c r="U769" s="176"/>
      <c r="V769" s="176"/>
      <c r="W769" s="176"/>
      <c r="X769" s="176"/>
      <c r="Y769" s="176"/>
      <c r="Z769" s="177"/>
      <c r="AA769" s="176"/>
      <c r="AB769" s="176"/>
      <c r="AC769" s="176"/>
      <c r="AD769" s="178"/>
      <c r="AF769" s="179"/>
      <c r="AG769" s="179"/>
      <c r="AI769" s="180"/>
      <c r="AJ769" s="180"/>
      <c r="AK769" s="180"/>
      <c r="AL769" s="180"/>
      <c r="AM769" s="181"/>
      <c r="AN769" s="180"/>
      <c r="AO769" s="180"/>
      <c r="AP769" s="180"/>
    </row>
    <row r="770">
      <c r="D770" s="172"/>
      <c r="E770" s="172"/>
      <c r="G770" s="173"/>
      <c r="H770" s="173"/>
      <c r="I770" s="173"/>
      <c r="M770" s="173"/>
      <c r="R770" s="174"/>
      <c r="S770" s="174"/>
      <c r="T770" s="90"/>
      <c r="U770" s="176"/>
      <c r="V770" s="176"/>
      <c r="W770" s="176"/>
      <c r="X770" s="176"/>
      <c r="Y770" s="176"/>
      <c r="Z770" s="177"/>
      <c r="AA770" s="176"/>
      <c r="AB770" s="176"/>
      <c r="AC770" s="176"/>
      <c r="AD770" s="178"/>
      <c r="AF770" s="179"/>
      <c r="AG770" s="179"/>
      <c r="AI770" s="180"/>
      <c r="AJ770" s="180"/>
      <c r="AK770" s="180"/>
      <c r="AL770" s="180"/>
      <c r="AM770" s="181"/>
      <c r="AN770" s="180"/>
      <c r="AO770" s="180"/>
      <c r="AP770" s="180"/>
    </row>
    <row r="771">
      <c r="D771" s="172"/>
      <c r="E771" s="172"/>
      <c r="G771" s="173"/>
      <c r="H771" s="173"/>
      <c r="I771" s="173"/>
      <c r="M771" s="173"/>
      <c r="R771" s="174"/>
      <c r="S771" s="174"/>
      <c r="T771" s="90"/>
      <c r="U771" s="176"/>
      <c r="V771" s="176"/>
      <c r="W771" s="176"/>
      <c r="X771" s="176"/>
      <c r="Y771" s="176"/>
      <c r="Z771" s="177"/>
      <c r="AA771" s="176"/>
      <c r="AB771" s="176"/>
      <c r="AC771" s="176"/>
      <c r="AD771" s="178"/>
      <c r="AF771" s="179"/>
      <c r="AG771" s="179"/>
      <c r="AI771" s="180"/>
      <c r="AJ771" s="180"/>
      <c r="AK771" s="180"/>
      <c r="AL771" s="180"/>
      <c r="AM771" s="181"/>
      <c r="AN771" s="180"/>
      <c r="AO771" s="180"/>
      <c r="AP771" s="180"/>
    </row>
    <row r="772">
      <c r="D772" s="172"/>
      <c r="E772" s="172"/>
      <c r="G772" s="173"/>
      <c r="H772" s="173"/>
      <c r="I772" s="173"/>
      <c r="M772" s="173"/>
      <c r="R772" s="174"/>
      <c r="S772" s="174"/>
      <c r="T772" s="90"/>
      <c r="U772" s="176"/>
      <c r="V772" s="176"/>
      <c r="W772" s="176"/>
      <c r="X772" s="176"/>
      <c r="Y772" s="176"/>
      <c r="Z772" s="177"/>
      <c r="AA772" s="176"/>
      <c r="AB772" s="176"/>
      <c r="AC772" s="176"/>
      <c r="AD772" s="178"/>
      <c r="AF772" s="179"/>
      <c r="AG772" s="179"/>
      <c r="AI772" s="180"/>
      <c r="AJ772" s="180"/>
      <c r="AK772" s="180"/>
      <c r="AL772" s="180"/>
      <c r="AM772" s="181"/>
      <c r="AN772" s="180"/>
      <c r="AO772" s="180"/>
      <c r="AP772" s="180"/>
    </row>
    <row r="773">
      <c r="D773" s="172"/>
      <c r="E773" s="172"/>
      <c r="G773" s="173"/>
      <c r="H773" s="173"/>
      <c r="I773" s="173"/>
      <c r="M773" s="173"/>
      <c r="R773" s="174"/>
      <c r="S773" s="174"/>
      <c r="T773" s="90"/>
      <c r="U773" s="176"/>
      <c r="V773" s="176"/>
      <c r="W773" s="176"/>
      <c r="X773" s="176"/>
      <c r="Y773" s="176"/>
      <c r="Z773" s="177"/>
      <c r="AA773" s="176"/>
      <c r="AB773" s="176"/>
      <c r="AC773" s="176"/>
      <c r="AD773" s="178"/>
      <c r="AF773" s="179"/>
      <c r="AG773" s="179"/>
      <c r="AI773" s="180"/>
      <c r="AJ773" s="180"/>
      <c r="AK773" s="180"/>
      <c r="AL773" s="180"/>
      <c r="AM773" s="181"/>
      <c r="AN773" s="180"/>
      <c r="AO773" s="180"/>
      <c r="AP773" s="180"/>
    </row>
    <row r="774">
      <c r="D774" s="172"/>
      <c r="E774" s="172"/>
      <c r="G774" s="173"/>
      <c r="H774" s="173"/>
      <c r="I774" s="173"/>
      <c r="M774" s="173"/>
      <c r="R774" s="174"/>
      <c r="S774" s="174"/>
      <c r="T774" s="90"/>
      <c r="U774" s="176"/>
      <c r="V774" s="176"/>
      <c r="W774" s="176"/>
      <c r="X774" s="176"/>
      <c r="Y774" s="176"/>
      <c r="Z774" s="177"/>
      <c r="AA774" s="176"/>
      <c r="AB774" s="176"/>
      <c r="AC774" s="176"/>
      <c r="AD774" s="178"/>
      <c r="AF774" s="179"/>
      <c r="AG774" s="179"/>
      <c r="AI774" s="180"/>
      <c r="AJ774" s="180"/>
      <c r="AK774" s="180"/>
      <c r="AL774" s="180"/>
      <c r="AM774" s="181"/>
      <c r="AN774" s="180"/>
      <c r="AO774" s="180"/>
      <c r="AP774" s="180"/>
    </row>
    <row r="775">
      <c r="D775" s="172"/>
      <c r="E775" s="172"/>
      <c r="G775" s="173"/>
      <c r="H775" s="173"/>
      <c r="I775" s="173"/>
      <c r="M775" s="173"/>
      <c r="R775" s="174"/>
      <c r="S775" s="174"/>
      <c r="T775" s="90"/>
      <c r="U775" s="176"/>
      <c r="V775" s="176"/>
      <c r="W775" s="176"/>
      <c r="X775" s="176"/>
      <c r="Y775" s="176"/>
      <c r="Z775" s="177"/>
      <c r="AA775" s="176"/>
      <c r="AB775" s="176"/>
      <c r="AC775" s="176"/>
      <c r="AD775" s="178"/>
      <c r="AF775" s="179"/>
      <c r="AG775" s="179"/>
      <c r="AI775" s="180"/>
      <c r="AJ775" s="180"/>
      <c r="AK775" s="180"/>
      <c r="AL775" s="180"/>
      <c r="AM775" s="181"/>
      <c r="AN775" s="180"/>
      <c r="AO775" s="180"/>
      <c r="AP775" s="180"/>
    </row>
    <row r="776">
      <c r="D776" s="172"/>
      <c r="E776" s="172"/>
      <c r="G776" s="173"/>
      <c r="H776" s="173"/>
      <c r="I776" s="173"/>
      <c r="M776" s="173"/>
      <c r="R776" s="174"/>
      <c r="S776" s="174"/>
      <c r="T776" s="90"/>
      <c r="U776" s="176"/>
      <c r="V776" s="176"/>
      <c r="W776" s="176"/>
      <c r="X776" s="176"/>
      <c r="Y776" s="176"/>
      <c r="Z776" s="177"/>
      <c r="AA776" s="176"/>
      <c r="AB776" s="176"/>
      <c r="AC776" s="176"/>
      <c r="AD776" s="178"/>
      <c r="AF776" s="179"/>
      <c r="AG776" s="179"/>
      <c r="AI776" s="180"/>
      <c r="AJ776" s="180"/>
      <c r="AK776" s="180"/>
      <c r="AL776" s="180"/>
      <c r="AM776" s="181"/>
      <c r="AN776" s="180"/>
      <c r="AO776" s="180"/>
      <c r="AP776" s="180"/>
    </row>
    <row r="777">
      <c r="D777" s="172"/>
      <c r="E777" s="172"/>
      <c r="G777" s="173"/>
      <c r="H777" s="173"/>
      <c r="I777" s="173"/>
      <c r="M777" s="173"/>
      <c r="R777" s="174"/>
      <c r="S777" s="174"/>
      <c r="T777" s="90"/>
      <c r="U777" s="176"/>
      <c r="V777" s="176"/>
      <c r="W777" s="176"/>
      <c r="X777" s="176"/>
      <c r="Y777" s="176"/>
      <c r="Z777" s="177"/>
      <c r="AA777" s="176"/>
      <c r="AB777" s="176"/>
      <c r="AC777" s="176"/>
      <c r="AD777" s="178"/>
      <c r="AF777" s="179"/>
      <c r="AG777" s="179"/>
      <c r="AI777" s="180"/>
      <c r="AJ777" s="180"/>
      <c r="AK777" s="180"/>
      <c r="AL777" s="180"/>
      <c r="AM777" s="181"/>
      <c r="AN777" s="180"/>
      <c r="AO777" s="180"/>
      <c r="AP777" s="180"/>
    </row>
    <row r="778">
      <c r="D778" s="172"/>
      <c r="E778" s="172"/>
      <c r="G778" s="173"/>
      <c r="H778" s="173"/>
      <c r="I778" s="173"/>
      <c r="M778" s="173"/>
      <c r="R778" s="174"/>
      <c r="S778" s="174"/>
      <c r="T778" s="90"/>
      <c r="U778" s="176"/>
      <c r="V778" s="176"/>
      <c r="W778" s="176"/>
      <c r="X778" s="176"/>
      <c r="Y778" s="176"/>
      <c r="Z778" s="177"/>
      <c r="AA778" s="176"/>
      <c r="AB778" s="176"/>
      <c r="AC778" s="176"/>
      <c r="AD778" s="178"/>
      <c r="AF778" s="179"/>
      <c r="AG778" s="179"/>
      <c r="AI778" s="180"/>
      <c r="AJ778" s="180"/>
      <c r="AK778" s="180"/>
      <c r="AL778" s="180"/>
      <c r="AM778" s="181"/>
      <c r="AN778" s="180"/>
      <c r="AO778" s="180"/>
      <c r="AP778" s="180"/>
    </row>
    <row r="779">
      <c r="D779" s="172"/>
      <c r="E779" s="172"/>
      <c r="G779" s="173"/>
      <c r="H779" s="173"/>
      <c r="I779" s="173"/>
      <c r="M779" s="173"/>
      <c r="R779" s="174"/>
      <c r="S779" s="174"/>
      <c r="T779" s="90"/>
      <c r="U779" s="176"/>
      <c r="V779" s="176"/>
      <c r="W779" s="176"/>
      <c r="X779" s="176"/>
      <c r="Y779" s="176"/>
      <c r="Z779" s="177"/>
      <c r="AA779" s="176"/>
      <c r="AB779" s="176"/>
      <c r="AC779" s="176"/>
      <c r="AD779" s="178"/>
      <c r="AF779" s="179"/>
      <c r="AG779" s="179"/>
      <c r="AI779" s="180"/>
      <c r="AJ779" s="180"/>
      <c r="AK779" s="180"/>
      <c r="AL779" s="180"/>
      <c r="AM779" s="181"/>
      <c r="AN779" s="180"/>
      <c r="AO779" s="180"/>
      <c r="AP779" s="180"/>
    </row>
    <row r="780">
      <c r="D780" s="172"/>
      <c r="E780" s="172"/>
      <c r="G780" s="173"/>
      <c r="H780" s="173"/>
      <c r="I780" s="173"/>
      <c r="M780" s="173"/>
      <c r="R780" s="174"/>
      <c r="S780" s="174"/>
      <c r="T780" s="90"/>
      <c r="U780" s="176"/>
      <c r="V780" s="176"/>
      <c r="W780" s="176"/>
      <c r="X780" s="176"/>
      <c r="Y780" s="176"/>
      <c r="Z780" s="177"/>
      <c r="AA780" s="176"/>
      <c r="AB780" s="176"/>
      <c r="AC780" s="176"/>
      <c r="AD780" s="178"/>
      <c r="AF780" s="179"/>
      <c r="AG780" s="179"/>
      <c r="AI780" s="180"/>
      <c r="AJ780" s="180"/>
      <c r="AK780" s="180"/>
      <c r="AL780" s="180"/>
      <c r="AM780" s="181"/>
      <c r="AN780" s="180"/>
      <c r="AO780" s="180"/>
      <c r="AP780" s="180"/>
    </row>
    <row r="781">
      <c r="D781" s="172"/>
      <c r="E781" s="172"/>
      <c r="G781" s="173"/>
      <c r="H781" s="173"/>
      <c r="I781" s="173"/>
      <c r="M781" s="173"/>
      <c r="R781" s="174"/>
      <c r="S781" s="174"/>
      <c r="T781" s="90"/>
      <c r="U781" s="176"/>
      <c r="V781" s="176"/>
      <c r="W781" s="176"/>
      <c r="X781" s="176"/>
      <c r="Y781" s="176"/>
      <c r="Z781" s="177"/>
      <c r="AA781" s="176"/>
      <c r="AB781" s="176"/>
      <c r="AC781" s="176"/>
      <c r="AD781" s="178"/>
      <c r="AF781" s="179"/>
      <c r="AG781" s="179"/>
      <c r="AI781" s="180"/>
      <c r="AJ781" s="180"/>
      <c r="AK781" s="180"/>
      <c r="AL781" s="180"/>
      <c r="AM781" s="181"/>
      <c r="AN781" s="180"/>
      <c r="AO781" s="180"/>
      <c r="AP781" s="180"/>
    </row>
    <row r="782">
      <c r="D782" s="172"/>
      <c r="E782" s="172"/>
      <c r="G782" s="173"/>
      <c r="H782" s="173"/>
      <c r="I782" s="173"/>
      <c r="M782" s="173"/>
      <c r="R782" s="174"/>
      <c r="S782" s="174"/>
      <c r="T782" s="90"/>
      <c r="U782" s="176"/>
      <c r="V782" s="176"/>
      <c r="W782" s="176"/>
      <c r="X782" s="176"/>
      <c r="Y782" s="176"/>
      <c r="Z782" s="177"/>
      <c r="AA782" s="176"/>
      <c r="AB782" s="176"/>
      <c r="AC782" s="176"/>
      <c r="AD782" s="178"/>
      <c r="AF782" s="179"/>
      <c r="AG782" s="179"/>
      <c r="AI782" s="180"/>
      <c r="AJ782" s="180"/>
      <c r="AK782" s="180"/>
      <c r="AL782" s="180"/>
      <c r="AM782" s="181"/>
      <c r="AN782" s="180"/>
      <c r="AO782" s="180"/>
      <c r="AP782" s="180"/>
    </row>
    <row r="783">
      <c r="D783" s="172"/>
      <c r="E783" s="172"/>
      <c r="G783" s="173"/>
      <c r="H783" s="173"/>
      <c r="I783" s="173"/>
      <c r="M783" s="173"/>
      <c r="R783" s="174"/>
      <c r="S783" s="174"/>
      <c r="T783" s="90"/>
      <c r="U783" s="176"/>
      <c r="V783" s="176"/>
      <c r="W783" s="176"/>
      <c r="X783" s="176"/>
      <c r="Y783" s="176"/>
      <c r="Z783" s="177"/>
      <c r="AA783" s="176"/>
      <c r="AB783" s="176"/>
      <c r="AC783" s="176"/>
      <c r="AD783" s="178"/>
      <c r="AF783" s="179"/>
      <c r="AG783" s="179"/>
      <c r="AI783" s="180"/>
      <c r="AJ783" s="180"/>
      <c r="AK783" s="180"/>
      <c r="AL783" s="180"/>
      <c r="AM783" s="181"/>
      <c r="AN783" s="180"/>
      <c r="AO783" s="180"/>
      <c r="AP783" s="180"/>
    </row>
    <row r="784">
      <c r="D784" s="172"/>
      <c r="E784" s="172"/>
      <c r="G784" s="173"/>
      <c r="H784" s="173"/>
      <c r="I784" s="173"/>
      <c r="M784" s="173"/>
      <c r="R784" s="174"/>
      <c r="S784" s="174"/>
      <c r="T784" s="90"/>
      <c r="U784" s="176"/>
      <c r="V784" s="176"/>
      <c r="W784" s="176"/>
      <c r="X784" s="176"/>
      <c r="Y784" s="176"/>
      <c r="Z784" s="177"/>
      <c r="AA784" s="176"/>
      <c r="AB784" s="176"/>
      <c r="AC784" s="176"/>
      <c r="AD784" s="178"/>
      <c r="AF784" s="179"/>
      <c r="AG784" s="179"/>
      <c r="AI784" s="180"/>
      <c r="AJ784" s="180"/>
      <c r="AK784" s="180"/>
      <c r="AL784" s="180"/>
      <c r="AM784" s="181"/>
      <c r="AN784" s="180"/>
      <c r="AO784" s="180"/>
      <c r="AP784" s="180"/>
    </row>
    <row r="785">
      <c r="D785" s="172"/>
      <c r="E785" s="172"/>
      <c r="G785" s="173"/>
      <c r="H785" s="173"/>
      <c r="I785" s="173"/>
      <c r="M785" s="173"/>
      <c r="R785" s="174"/>
      <c r="S785" s="174"/>
      <c r="T785" s="90"/>
      <c r="U785" s="176"/>
      <c r="V785" s="176"/>
      <c r="W785" s="176"/>
      <c r="X785" s="176"/>
      <c r="Y785" s="176"/>
      <c r="Z785" s="177"/>
      <c r="AA785" s="176"/>
      <c r="AB785" s="176"/>
      <c r="AC785" s="176"/>
      <c r="AD785" s="178"/>
      <c r="AF785" s="179"/>
      <c r="AG785" s="179"/>
      <c r="AI785" s="180"/>
      <c r="AJ785" s="180"/>
      <c r="AK785" s="180"/>
      <c r="AL785" s="180"/>
      <c r="AM785" s="181"/>
      <c r="AN785" s="180"/>
      <c r="AO785" s="180"/>
      <c r="AP785" s="180"/>
    </row>
    <row r="786">
      <c r="D786" s="172"/>
      <c r="E786" s="172"/>
      <c r="G786" s="173"/>
      <c r="H786" s="173"/>
      <c r="I786" s="173"/>
      <c r="M786" s="173"/>
      <c r="R786" s="174"/>
      <c r="S786" s="174"/>
      <c r="T786" s="90"/>
      <c r="U786" s="176"/>
      <c r="V786" s="176"/>
      <c r="W786" s="176"/>
      <c r="X786" s="176"/>
      <c r="Y786" s="176"/>
      <c r="Z786" s="177"/>
      <c r="AA786" s="176"/>
      <c r="AB786" s="176"/>
      <c r="AC786" s="176"/>
      <c r="AD786" s="178"/>
      <c r="AF786" s="179"/>
      <c r="AG786" s="179"/>
      <c r="AI786" s="180"/>
      <c r="AJ786" s="180"/>
      <c r="AK786" s="180"/>
      <c r="AL786" s="180"/>
      <c r="AM786" s="181"/>
      <c r="AN786" s="180"/>
      <c r="AO786" s="180"/>
      <c r="AP786" s="180"/>
    </row>
    <row r="787">
      <c r="D787" s="172"/>
      <c r="E787" s="172"/>
      <c r="G787" s="173"/>
      <c r="H787" s="173"/>
      <c r="I787" s="173"/>
      <c r="M787" s="173"/>
      <c r="R787" s="174"/>
      <c r="S787" s="174"/>
      <c r="T787" s="90"/>
      <c r="U787" s="176"/>
      <c r="V787" s="176"/>
      <c r="W787" s="176"/>
      <c r="X787" s="176"/>
      <c r="Y787" s="176"/>
      <c r="Z787" s="177"/>
      <c r="AA787" s="176"/>
      <c r="AB787" s="176"/>
      <c r="AC787" s="176"/>
      <c r="AD787" s="178"/>
      <c r="AF787" s="179"/>
      <c r="AG787" s="179"/>
      <c r="AI787" s="180"/>
      <c r="AJ787" s="180"/>
      <c r="AK787" s="180"/>
      <c r="AL787" s="180"/>
      <c r="AM787" s="181"/>
      <c r="AN787" s="180"/>
      <c r="AO787" s="180"/>
      <c r="AP787" s="180"/>
    </row>
    <row r="788">
      <c r="D788" s="172"/>
      <c r="E788" s="172"/>
      <c r="G788" s="173"/>
      <c r="H788" s="173"/>
      <c r="I788" s="173"/>
      <c r="M788" s="173"/>
      <c r="R788" s="174"/>
      <c r="S788" s="174"/>
      <c r="T788" s="90"/>
      <c r="U788" s="176"/>
      <c r="V788" s="176"/>
      <c r="W788" s="176"/>
      <c r="X788" s="176"/>
      <c r="Y788" s="176"/>
      <c r="Z788" s="177"/>
      <c r="AA788" s="176"/>
      <c r="AB788" s="176"/>
      <c r="AC788" s="176"/>
      <c r="AD788" s="178"/>
      <c r="AF788" s="179"/>
      <c r="AG788" s="179"/>
      <c r="AI788" s="180"/>
      <c r="AJ788" s="180"/>
      <c r="AK788" s="180"/>
      <c r="AL788" s="180"/>
      <c r="AM788" s="181"/>
      <c r="AN788" s="180"/>
      <c r="AO788" s="180"/>
      <c r="AP788" s="180"/>
    </row>
    <row r="789">
      <c r="D789" s="172"/>
      <c r="E789" s="172"/>
      <c r="G789" s="173"/>
      <c r="H789" s="173"/>
      <c r="I789" s="173"/>
      <c r="M789" s="173"/>
      <c r="R789" s="174"/>
      <c r="S789" s="174"/>
      <c r="T789" s="90"/>
      <c r="U789" s="176"/>
      <c r="V789" s="176"/>
      <c r="W789" s="176"/>
      <c r="X789" s="176"/>
      <c r="Y789" s="176"/>
      <c r="Z789" s="177"/>
      <c r="AA789" s="176"/>
      <c r="AB789" s="176"/>
      <c r="AC789" s="176"/>
      <c r="AD789" s="178"/>
      <c r="AF789" s="179"/>
      <c r="AG789" s="179"/>
      <c r="AI789" s="180"/>
      <c r="AJ789" s="180"/>
      <c r="AK789" s="180"/>
      <c r="AL789" s="180"/>
      <c r="AM789" s="181"/>
      <c r="AN789" s="180"/>
      <c r="AO789" s="180"/>
      <c r="AP789" s="180"/>
    </row>
    <row r="790">
      <c r="D790" s="172"/>
      <c r="E790" s="172"/>
      <c r="G790" s="173"/>
      <c r="H790" s="173"/>
      <c r="I790" s="173"/>
      <c r="M790" s="173"/>
      <c r="R790" s="174"/>
      <c r="S790" s="174"/>
      <c r="T790" s="90"/>
      <c r="U790" s="176"/>
      <c r="V790" s="176"/>
      <c r="W790" s="176"/>
      <c r="X790" s="176"/>
      <c r="Y790" s="176"/>
      <c r="Z790" s="177"/>
      <c r="AA790" s="176"/>
      <c r="AB790" s="176"/>
      <c r="AC790" s="176"/>
      <c r="AD790" s="178"/>
      <c r="AF790" s="179"/>
      <c r="AG790" s="179"/>
      <c r="AI790" s="180"/>
      <c r="AJ790" s="180"/>
      <c r="AK790" s="180"/>
      <c r="AL790" s="180"/>
      <c r="AM790" s="181"/>
      <c r="AN790" s="180"/>
      <c r="AO790" s="180"/>
      <c r="AP790" s="180"/>
    </row>
    <row r="791">
      <c r="D791" s="172"/>
      <c r="E791" s="172"/>
      <c r="G791" s="173"/>
      <c r="H791" s="173"/>
      <c r="I791" s="173"/>
      <c r="M791" s="173"/>
      <c r="R791" s="174"/>
      <c r="S791" s="174"/>
      <c r="T791" s="90"/>
      <c r="U791" s="176"/>
      <c r="V791" s="176"/>
      <c r="W791" s="176"/>
      <c r="X791" s="176"/>
      <c r="Y791" s="176"/>
      <c r="Z791" s="177"/>
      <c r="AA791" s="176"/>
      <c r="AB791" s="176"/>
      <c r="AC791" s="176"/>
      <c r="AD791" s="178"/>
      <c r="AF791" s="179"/>
      <c r="AG791" s="179"/>
      <c r="AI791" s="180"/>
      <c r="AJ791" s="180"/>
      <c r="AK791" s="180"/>
      <c r="AL791" s="180"/>
      <c r="AM791" s="181"/>
      <c r="AN791" s="180"/>
      <c r="AO791" s="180"/>
      <c r="AP791" s="180"/>
    </row>
    <row r="792">
      <c r="D792" s="172"/>
      <c r="E792" s="172"/>
      <c r="G792" s="173"/>
      <c r="H792" s="173"/>
      <c r="I792" s="173"/>
      <c r="M792" s="173"/>
      <c r="R792" s="174"/>
      <c r="S792" s="174"/>
      <c r="T792" s="90"/>
      <c r="U792" s="176"/>
      <c r="V792" s="176"/>
      <c r="W792" s="176"/>
      <c r="X792" s="176"/>
      <c r="Y792" s="176"/>
      <c r="Z792" s="177"/>
      <c r="AA792" s="176"/>
      <c r="AB792" s="176"/>
      <c r="AC792" s="176"/>
      <c r="AD792" s="178"/>
      <c r="AF792" s="179"/>
      <c r="AG792" s="179"/>
      <c r="AI792" s="180"/>
      <c r="AJ792" s="180"/>
      <c r="AK792" s="180"/>
      <c r="AL792" s="180"/>
      <c r="AM792" s="181"/>
      <c r="AN792" s="180"/>
      <c r="AO792" s="180"/>
      <c r="AP792" s="180"/>
    </row>
    <row r="793">
      <c r="D793" s="172"/>
      <c r="E793" s="172"/>
      <c r="G793" s="173"/>
      <c r="H793" s="173"/>
      <c r="I793" s="173"/>
      <c r="M793" s="173"/>
      <c r="R793" s="174"/>
      <c r="S793" s="174"/>
      <c r="T793" s="90"/>
      <c r="U793" s="176"/>
      <c r="V793" s="176"/>
      <c r="W793" s="176"/>
      <c r="X793" s="176"/>
      <c r="Y793" s="176"/>
      <c r="Z793" s="177"/>
      <c r="AA793" s="176"/>
      <c r="AB793" s="176"/>
      <c r="AC793" s="176"/>
      <c r="AD793" s="178"/>
      <c r="AF793" s="179"/>
      <c r="AG793" s="179"/>
      <c r="AI793" s="180"/>
      <c r="AJ793" s="180"/>
      <c r="AK793" s="180"/>
      <c r="AL793" s="180"/>
      <c r="AM793" s="181"/>
      <c r="AN793" s="180"/>
      <c r="AO793" s="180"/>
      <c r="AP793" s="180"/>
    </row>
    <row r="794">
      <c r="D794" s="172"/>
      <c r="E794" s="172"/>
      <c r="G794" s="173"/>
      <c r="H794" s="173"/>
      <c r="I794" s="173"/>
      <c r="M794" s="173"/>
      <c r="R794" s="174"/>
      <c r="S794" s="174"/>
      <c r="T794" s="90"/>
      <c r="U794" s="176"/>
      <c r="V794" s="176"/>
      <c r="W794" s="176"/>
      <c r="X794" s="176"/>
      <c r="Y794" s="176"/>
      <c r="Z794" s="177"/>
      <c r="AA794" s="176"/>
      <c r="AB794" s="176"/>
      <c r="AC794" s="176"/>
      <c r="AD794" s="178"/>
      <c r="AF794" s="179"/>
      <c r="AG794" s="179"/>
      <c r="AI794" s="180"/>
      <c r="AJ794" s="180"/>
      <c r="AK794" s="180"/>
      <c r="AL794" s="180"/>
      <c r="AM794" s="181"/>
      <c r="AN794" s="180"/>
      <c r="AO794" s="180"/>
      <c r="AP794" s="180"/>
    </row>
    <row r="795">
      <c r="D795" s="172"/>
      <c r="E795" s="172"/>
      <c r="G795" s="173"/>
      <c r="H795" s="173"/>
      <c r="I795" s="173"/>
      <c r="M795" s="173"/>
      <c r="R795" s="174"/>
      <c r="S795" s="174"/>
      <c r="T795" s="90"/>
      <c r="U795" s="176"/>
      <c r="V795" s="176"/>
      <c r="W795" s="176"/>
      <c r="X795" s="176"/>
      <c r="Y795" s="176"/>
      <c r="Z795" s="177"/>
      <c r="AA795" s="176"/>
      <c r="AB795" s="176"/>
      <c r="AC795" s="176"/>
      <c r="AD795" s="178"/>
      <c r="AF795" s="179"/>
      <c r="AG795" s="179"/>
      <c r="AI795" s="180"/>
      <c r="AJ795" s="180"/>
      <c r="AK795" s="180"/>
      <c r="AL795" s="180"/>
      <c r="AM795" s="181"/>
      <c r="AN795" s="180"/>
      <c r="AO795" s="180"/>
      <c r="AP795" s="180"/>
    </row>
    <row r="796">
      <c r="D796" s="172"/>
      <c r="E796" s="172"/>
      <c r="G796" s="173"/>
      <c r="H796" s="173"/>
      <c r="I796" s="173"/>
      <c r="M796" s="173"/>
      <c r="R796" s="174"/>
      <c r="S796" s="174"/>
      <c r="T796" s="90"/>
      <c r="U796" s="176"/>
      <c r="V796" s="176"/>
      <c r="W796" s="176"/>
      <c r="X796" s="176"/>
      <c r="Y796" s="176"/>
      <c r="Z796" s="177"/>
      <c r="AA796" s="176"/>
      <c r="AB796" s="176"/>
      <c r="AC796" s="176"/>
      <c r="AD796" s="178"/>
      <c r="AF796" s="179"/>
      <c r="AG796" s="179"/>
      <c r="AI796" s="180"/>
      <c r="AJ796" s="180"/>
      <c r="AK796" s="180"/>
      <c r="AL796" s="180"/>
      <c r="AM796" s="181"/>
      <c r="AN796" s="180"/>
      <c r="AO796" s="180"/>
      <c r="AP796" s="180"/>
    </row>
    <row r="797">
      <c r="D797" s="172"/>
      <c r="E797" s="172"/>
      <c r="G797" s="173"/>
      <c r="H797" s="173"/>
      <c r="I797" s="173"/>
      <c r="M797" s="173"/>
      <c r="R797" s="174"/>
      <c r="S797" s="174"/>
      <c r="T797" s="90"/>
      <c r="U797" s="176"/>
      <c r="V797" s="176"/>
      <c r="W797" s="176"/>
      <c r="X797" s="176"/>
      <c r="Y797" s="176"/>
      <c r="Z797" s="177"/>
      <c r="AA797" s="176"/>
      <c r="AB797" s="176"/>
      <c r="AC797" s="176"/>
      <c r="AD797" s="178"/>
      <c r="AF797" s="179"/>
      <c r="AG797" s="179"/>
      <c r="AI797" s="180"/>
      <c r="AJ797" s="180"/>
      <c r="AK797" s="180"/>
      <c r="AL797" s="180"/>
      <c r="AM797" s="181"/>
      <c r="AN797" s="180"/>
      <c r="AO797" s="180"/>
      <c r="AP797" s="180"/>
    </row>
    <row r="798">
      <c r="D798" s="172"/>
      <c r="E798" s="172"/>
      <c r="G798" s="173"/>
      <c r="H798" s="173"/>
      <c r="I798" s="173"/>
      <c r="M798" s="173"/>
      <c r="R798" s="174"/>
      <c r="S798" s="174"/>
      <c r="T798" s="90"/>
      <c r="U798" s="176"/>
      <c r="V798" s="176"/>
      <c r="W798" s="176"/>
      <c r="X798" s="176"/>
      <c r="Y798" s="176"/>
      <c r="Z798" s="177"/>
      <c r="AA798" s="176"/>
      <c r="AB798" s="176"/>
      <c r="AC798" s="176"/>
      <c r="AD798" s="178"/>
      <c r="AF798" s="179"/>
      <c r="AG798" s="179"/>
      <c r="AI798" s="180"/>
      <c r="AJ798" s="180"/>
      <c r="AK798" s="180"/>
      <c r="AL798" s="180"/>
      <c r="AM798" s="181"/>
      <c r="AN798" s="180"/>
      <c r="AO798" s="180"/>
      <c r="AP798" s="180"/>
    </row>
    <row r="799">
      <c r="D799" s="172"/>
      <c r="E799" s="172"/>
      <c r="G799" s="173"/>
      <c r="H799" s="173"/>
      <c r="I799" s="173"/>
      <c r="M799" s="173"/>
      <c r="R799" s="174"/>
      <c r="S799" s="174"/>
      <c r="T799" s="90"/>
      <c r="U799" s="176"/>
      <c r="V799" s="176"/>
      <c r="W799" s="176"/>
      <c r="X799" s="176"/>
      <c r="Y799" s="176"/>
      <c r="Z799" s="177"/>
      <c r="AA799" s="176"/>
      <c r="AB799" s="176"/>
      <c r="AC799" s="176"/>
      <c r="AD799" s="178"/>
      <c r="AF799" s="179"/>
      <c r="AG799" s="179"/>
      <c r="AI799" s="180"/>
      <c r="AJ799" s="180"/>
      <c r="AK799" s="180"/>
      <c r="AL799" s="180"/>
      <c r="AM799" s="181"/>
      <c r="AN799" s="180"/>
      <c r="AO799" s="180"/>
      <c r="AP799" s="180"/>
    </row>
    <row r="800">
      <c r="D800" s="172"/>
      <c r="E800" s="172"/>
      <c r="G800" s="173"/>
      <c r="H800" s="173"/>
      <c r="I800" s="173"/>
      <c r="M800" s="173"/>
      <c r="R800" s="174"/>
      <c r="S800" s="174"/>
      <c r="T800" s="90"/>
      <c r="U800" s="176"/>
      <c r="V800" s="176"/>
      <c r="W800" s="176"/>
      <c r="X800" s="176"/>
      <c r="Y800" s="176"/>
      <c r="Z800" s="177"/>
      <c r="AA800" s="176"/>
      <c r="AB800" s="176"/>
      <c r="AC800" s="176"/>
      <c r="AD800" s="178"/>
      <c r="AF800" s="179"/>
      <c r="AG800" s="179"/>
      <c r="AI800" s="180"/>
      <c r="AJ800" s="180"/>
      <c r="AK800" s="180"/>
      <c r="AL800" s="180"/>
      <c r="AM800" s="181"/>
      <c r="AN800" s="180"/>
      <c r="AO800" s="180"/>
      <c r="AP800" s="180"/>
    </row>
    <row r="801">
      <c r="D801" s="172"/>
      <c r="E801" s="172"/>
      <c r="G801" s="173"/>
      <c r="H801" s="173"/>
      <c r="I801" s="173"/>
      <c r="M801" s="173"/>
      <c r="R801" s="174"/>
      <c r="S801" s="174"/>
      <c r="T801" s="90"/>
      <c r="U801" s="176"/>
      <c r="V801" s="176"/>
      <c r="W801" s="176"/>
      <c r="X801" s="176"/>
      <c r="Y801" s="176"/>
      <c r="Z801" s="177"/>
      <c r="AA801" s="176"/>
      <c r="AB801" s="176"/>
      <c r="AC801" s="176"/>
      <c r="AD801" s="178"/>
      <c r="AF801" s="179"/>
      <c r="AG801" s="179"/>
      <c r="AI801" s="180"/>
      <c r="AJ801" s="180"/>
      <c r="AK801" s="180"/>
      <c r="AL801" s="180"/>
      <c r="AM801" s="181"/>
      <c r="AN801" s="180"/>
      <c r="AO801" s="180"/>
      <c r="AP801" s="180"/>
    </row>
    <row r="802">
      <c r="D802" s="172"/>
      <c r="E802" s="172"/>
      <c r="G802" s="173"/>
      <c r="H802" s="173"/>
      <c r="I802" s="173"/>
      <c r="M802" s="173"/>
      <c r="R802" s="174"/>
      <c r="S802" s="174"/>
      <c r="T802" s="90"/>
      <c r="U802" s="176"/>
      <c r="V802" s="176"/>
      <c r="W802" s="176"/>
      <c r="X802" s="176"/>
      <c r="Y802" s="176"/>
      <c r="Z802" s="177"/>
      <c r="AA802" s="176"/>
      <c r="AB802" s="176"/>
      <c r="AC802" s="176"/>
      <c r="AD802" s="178"/>
      <c r="AF802" s="179"/>
      <c r="AG802" s="179"/>
      <c r="AI802" s="180"/>
      <c r="AJ802" s="180"/>
      <c r="AK802" s="180"/>
      <c r="AL802" s="180"/>
      <c r="AM802" s="181"/>
      <c r="AN802" s="180"/>
      <c r="AO802" s="180"/>
      <c r="AP802" s="180"/>
    </row>
    <row r="803">
      <c r="D803" s="172"/>
      <c r="E803" s="172"/>
      <c r="G803" s="173"/>
      <c r="H803" s="173"/>
      <c r="I803" s="173"/>
      <c r="M803" s="173"/>
      <c r="R803" s="174"/>
      <c r="S803" s="174"/>
      <c r="T803" s="90"/>
      <c r="U803" s="176"/>
      <c r="V803" s="176"/>
      <c r="W803" s="176"/>
      <c r="X803" s="176"/>
      <c r="Y803" s="176"/>
      <c r="Z803" s="177"/>
      <c r="AA803" s="176"/>
      <c r="AB803" s="176"/>
      <c r="AC803" s="176"/>
      <c r="AD803" s="178"/>
      <c r="AF803" s="179"/>
      <c r="AG803" s="179"/>
      <c r="AI803" s="180"/>
      <c r="AJ803" s="180"/>
      <c r="AK803" s="180"/>
      <c r="AL803" s="180"/>
      <c r="AM803" s="181"/>
      <c r="AN803" s="180"/>
      <c r="AO803" s="180"/>
      <c r="AP803" s="180"/>
    </row>
    <row r="804">
      <c r="D804" s="172"/>
      <c r="E804" s="172"/>
      <c r="G804" s="173"/>
      <c r="H804" s="173"/>
      <c r="I804" s="173"/>
      <c r="M804" s="173"/>
      <c r="R804" s="174"/>
      <c r="S804" s="174"/>
      <c r="T804" s="90"/>
      <c r="U804" s="176"/>
      <c r="V804" s="176"/>
      <c r="W804" s="176"/>
      <c r="X804" s="176"/>
      <c r="Y804" s="176"/>
      <c r="Z804" s="177"/>
      <c r="AA804" s="176"/>
      <c r="AB804" s="176"/>
      <c r="AC804" s="176"/>
      <c r="AD804" s="178"/>
      <c r="AF804" s="179"/>
      <c r="AG804" s="179"/>
      <c r="AI804" s="180"/>
      <c r="AJ804" s="180"/>
      <c r="AK804" s="180"/>
      <c r="AL804" s="180"/>
      <c r="AM804" s="181"/>
      <c r="AN804" s="180"/>
      <c r="AO804" s="180"/>
      <c r="AP804" s="180"/>
    </row>
    <row r="805">
      <c r="D805" s="172"/>
      <c r="E805" s="172"/>
      <c r="G805" s="173"/>
      <c r="H805" s="173"/>
      <c r="I805" s="173"/>
      <c r="M805" s="173"/>
      <c r="R805" s="174"/>
      <c r="S805" s="174"/>
      <c r="T805" s="90"/>
      <c r="U805" s="176"/>
      <c r="V805" s="176"/>
      <c r="W805" s="176"/>
      <c r="X805" s="176"/>
      <c r="Y805" s="176"/>
      <c r="Z805" s="177"/>
      <c r="AA805" s="176"/>
      <c r="AB805" s="176"/>
      <c r="AC805" s="176"/>
      <c r="AD805" s="178"/>
      <c r="AF805" s="179"/>
      <c r="AG805" s="179"/>
      <c r="AI805" s="180"/>
      <c r="AJ805" s="180"/>
      <c r="AK805" s="180"/>
      <c r="AL805" s="180"/>
      <c r="AM805" s="181"/>
      <c r="AN805" s="180"/>
      <c r="AO805" s="180"/>
      <c r="AP805" s="180"/>
    </row>
    <row r="806">
      <c r="D806" s="172"/>
      <c r="E806" s="172"/>
      <c r="G806" s="173"/>
      <c r="H806" s="173"/>
      <c r="I806" s="173"/>
      <c r="M806" s="173"/>
      <c r="R806" s="174"/>
      <c r="S806" s="174"/>
      <c r="T806" s="90"/>
      <c r="U806" s="176"/>
      <c r="V806" s="176"/>
      <c r="W806" s="176"/>
      <c r="X806" s="176"/>
      <c r="Y806" s="176"/>
      <c r="Z806" s="177"/>
      <c r="AA806" s="176"/>
      <c r="AB806" s="176"/>
      <c r="AC806" s="176"/>
      <c r="AD806" s="178"/>
      <c r="AF806" s="179"/>
      <c r="AG806" s="179"/>
      <c r="AI806" s="180"/>
      <c r="AJ806" s="180"/>
      <c r="AK806" s="180"/>
      <c r="AL806" s="180"/>
      <c r="AM806" s="181"/>
      <c r="AN806" s="180"/>
      <c r="AO806" s="180"/>
      <c r="AP806" s="180"/>
    </row>
    <row r="807">
      <c r="D807" s="172"/>
      <c r="E807" s="172"/>
      <c r="G807" s="173"/>
      <c r="H807" s="173"/>
      <c r="I807" s="173"/>
      <c r="M807" s="173"/>
      <c r="R807" s="174"/>
      <c r="S807" s="174"/>
      <c r="T807" s="90"/>
      <c r="U807" s="176"/>
      <c r="V807" s="176"/>
      <c r="W807" s="176"/>
      <c r="X807" s="176"/>
      <c r="Y807" s="176"/>
      <c r="Z807" s="177"/>
      <c r="AA807" s="176"/>
      <c r="AB807" s="176"/>
      <c r="AC807" s="176"/>
      <c r="AD807" s="178"/>
      <c r="AF807" s="179"/>
      <c r="AG807" s="179"/>
      <c r="AI807" s="180"/>
      <c r="AJ807" s="180"/>
      <c r="AK807" s="180"/>
      <c r="AL807" s="180"/>
      <c r="AM807" s="181"/>
      <c r="AN807" s="180"/>
      <c r="AO807" s="180"/>
      <c r="AP807" s="180"/>
    </row>
    <row r="808">
      <c r="D808" s="172"/>
      <c r="E808" s="172"/>
      <c r="G808" s="173"/>
      <c r="H808" s="173"/>
      <c r="I808" s="173"/>
      <c r="M808" s="173"/>
      <c r="R808" s="174"/>
      <c r="S808" s="174"/>
      <c r="T808" s="90"/>
      <c r="U808" s="176"/>
      <c r="V808" s="176"/>
      <c r="W808" s="176"/>
      <c r="X808" s="176"/>
      <c r="Y808" s="176"/>
      <c r="Z808" s="177"/>
      <c r="AA808" s="176"/>
      <c r="AB808" s="176"/>
      <c r="AC808" s="176"/>
      <c r="AD808" s="178"/>
      <c r="AF808" s="179"/>
      <c r="AG808" s="179"/>
      <c r="AI808" s="180"/>
      <c r="AJ808" s="180"/>
      <c r="AK808" s="180"/>
      <c r="AL808" s="180"/>
      <c r="AM808" s="181"/>
      <c r="AN808" s="180"/>
      <c r="AO808" s="180"/>
      <c r="AP808" s="180"/>
    </row>
    <row r="809">
      <c r="D809" s="172"/>
      <c r="E809" s="172"/>
      <c r="G809" s="173"/>
      <c r="H809" s="173"/>
      <c r="I809" s="173"/>
      <c r="M809" s="173"/>
      <c r="R809" s="174"/>
      <c r="S809" s="174"/>
      <c r="T809" s="90"/>
      <c r="U809" s="176"/>
      <c r="V809" s="176"/>
      <c r="W809" s="176"/>
      <c r="X809" s="176"/>
      <c r="Y809" s="176"/>
      <c r="Z809" s="177"/>
      <c r="AA809" s="176"/>
      <c r="AB809" s="176"/>
      <c r="AC809" s="176"/>
      <c r="AD809" s="178"/>
      <c r="AF809" s="179"/>
      <c r="AG809" s="179"/>
      <c r="AI809" s="180"/>
      <c r="AJ809" s="180"/>
      <c r="AK809" s="180"/>
      <c r="AL809" s="180"/>
      <c r="AM809" s="181"/>
      <c r="AN809" s="180"/>
      <c r="AO809" s="180"/>
      <c r="AP809" s="180"/>
    </row>
    <row r="810">
      <c r="D810" s="172"/>
      <c r="E810" s="172"/>
      <c r="G810" s="173"/>
      <c r="H810" s="173"/>
      <c r="I810" s="173"/>
      <c r="M810" s="173"/>
      <c r="R810" s="174"/>
      <c r="S810" s="174"/>
      <c r="T810" s="90"/>
      <c r="U810" s="176"/>
      <c r="V810" s="176"/>
      <c r="W810" s="176"/>
      <c r="X810" s="176"/>
      <c r="Y810" s="176"/>
      <c r="Z810" s="177"/>
      <c r="AA810" s="176"/>
      <c r="AB810" s="176"/>
      <c r="AC810" s="176"/>
      <c r="AD810" s="178"/>
      <c r="AF810" s="179"/>
      <c r="AG810" s="179"/>
      <c r="AI810" s="180"/>
      <c r="AJ810" s="180"/>
      <c r="AK810" s="180"/>
      <c r="AL810" s="180"/>
      <c r="AM810" s="181"/>
      <c r="AN810" s="180"/>
      <c r="AO810" s="180"/>
      <c r="AP810" s="180"/>
    </row>
    <row r="811">
      <c r="D811" s="172"/>
      <c r="E811" s="172"/>
      <c r="G811" s="173"/>
      <c r="H811" s="173"/>
      <c r="I811" s="173"/>
      <c r="M811" s="173"/>
      <c r="R811" s="174"/>
      <c r="S811" s="174"/>
      <c r="T811" s="90"/>
      <c r="U811" s="176"/>
      <c r="V811" s="176"/>
      <c r="W811" s="176"/>
      <c r="X811" s="176"/>
      <c r="Y811" s="176"/>
      <c r="Z811" s="177"/>
      <c r="AA811" s="176"/>
      <c r="AB811" s="176"/>
      <c r="AC811" s="176"/>
      <c r="AD811" s="178"/>
      <c r="AF811" s="179"/>
      <c r="AG811" s="179"/>
      <c r="AI811" s="180"/>
      <c r="AJ811" s="180"/>
      <c r="AK811" s="180"/>
      <c r="AL811" s="180"/>
      <c r="AM811" s="181"/>
      <c r="AN811" s="180"/>
      <c r="AO811" s="180"/>
      <c r="AP811" s="180"/>
    </row>
    <row r="812">
      <c r="D812" s="172"/>
      <c r="E812" s="172"/>
      <c r="G812" s="173"/>
      <c r="H812" s="173"/>
      <c r="I812" s="173"/>
      <c r="M812" s="173"/>
      <c r="R812" s="174"/>
      <c r="S812" s="174"/>
      <c r="T812" s="90"/>
      <c r="U812" s="176"/>
      <c r="V812" s="176"/>
      <c r="W812" s="176"/>
      <c r="X812" s="176"/>
      <c r="Y812" s="176"/>
      <c r="Z812" s="177"/>
      <c r="AA812" s="176"/>
      <c r="AB812" s="176"/>
      <c r="AC812" s="176"/>
      <c r="AD812" s="178"/>
      <c r="AF812" s="179"/>
      <c r="AG812" s="179"/>
      <c r="AI812" s="180"/>
      <c r="AJ812" s="180"/>
      <c r="AK812" s="180"/>
      <c r="AL812" s="180"/>
      <c r="AM812" s="181"/>
      <c r="AN812" s="180"/>
      <c r="AO812" s="180"/>
      <c r="AP812" s="180"/>
    </row>
    <row r="813">
      <c r="D813" s="172"/>
      <c r="E813" s="172"/>
      <c r="G813" s="173"/>
      <c r="H813" s="173"/>
      <c r="I813" s="173"/>
      <c r="M813" s="173"/>
      <c r="R813" s="174"/>
      <c r="S813" s="174"/>
      <c r="T813" s="90"/>
      <c r="U813" s="176"/>
      <c r="V813" s="176"/>
      <c r="W813" s="176"/>
      <c r="X813" s="176"/>
      <c r="Y813" s="176"/>
      <c r="Z813" s="177"/>
      <c r="AA813" s="176"/>
      <c r="AB813" s="176"/>
      <c r="AC813" s="176"/>
      <c r="AD813" s="178"/>
      <c r="AF813" s="179"/>
      <c r="AG813" s="179"/>
      <c r="AI813" s="180"/>
      <c r="AJ813" s="180"/>
      <c r="AK813" s="180"/>
      <c r="AL813" s="180"/>
      <c r="AM813" s="181"/>
      <c r="AN813" s="180"/>
      <c r="AO813" s="180"/>
      <c r="AP813" s="180"/>
    </row>
    <row r="814">
      <c r="D814" s="172"/>
      <c r="E814" s="172"/>
      <c r="G814" s="173"/>
      <c r="H814" s="173"/>
      <c r="I814" s="173"/>
      <c r="M814" s="173"/>
      <c r="R814" s="174"/>
      <c r="S814" s="174"/>
      <c r="T814" s="90"/>
      <c r="U814" s="176"/>
      <c r="V814" s="176"/>
      <c r="W814" s="176"/>
      <c r="X814" s="176"/>
      <c r="Y814" s="176"/>
      <c r="Z814" s="177"/>
      <c r="AA814" s="176"/>
      <c r="AB814" s="176"/>
      <c r="AC814" s="176"/>
      <c r="AD814" s="178"/>
      <c r="AF814" s="179"/>
      <c r="AG814" s="179"/>
      <c r="AI814" s="180"/>
      <c r="AJ814" s="180"/>
      <c r="AK814" s="180"/>
      <c r="AL814" s="180"/>
      <c r="AM814" s="181"/>
      <c r="AN814" s="180"/>
      <c r="AO814" s="180"/>
      <c r="AP814" s="180"/>
    </row>
    <row r="815">
      <c r="D815" s="172"/>
      <c r="E815" s="172"/>
      <c r="G815" s="173"/>
      <c r="H815" s="173"/>
      <c r="I815" s="173"/>
      <c r="M815" s="173"/>
      <c r="R815" s="174"/>
      <c r="S815" s="174"/>
      <c r="T815" s="90"/>
      <c r="U815" s="176"/>
      <c r="V815" s="176"/>
      <c r="W815" s="176"/>
      <c r="X815" s="176"/>
      <c r="Y815" s="176"/>
      <c r="Z815" s="177"/>
      <c r="AA815" s="176"/>
      <c r="AB815" s="176"/>
      <c r="AC815" s="176"/>
      <c r="AD815" s="178"/>
      <c r="AF815" s="179"/>
      <c r="AG815" s="179"/>
      <c r="AI815" s="180"/>
      <c r="AJ815" s="180"/>
      <c r="AK815" s="180"/>
      <c r="AL815" s="180"/>
      <c r="AM815" s="181"/>
      <c r="AN815" s="180"/>
      <c r="AO815" s="180"/>
      <c r="AP815" s="180"/>
    </row>
    <row r="816">
      <c r="D816" s="172"/>
      <c r="E816" s="172"/>
      <c r="G816" s="173"/>
      <c r="H816" s="173"/>
      <c r="I816" s="173"/>
      <c r="M816" s="173"/>
      <c r="R816" s="174"/>
      <c r="S816" s="174"/>
      <c r="T816" s="90"/>
      <c r="U816" s="176"/>
      <c r="V816" s="176"/>
      <c r="W816" s="176"/>
      <c r="X816" s="176"/>
      <c r="Y816" s="176"/>
      <c r="Z816" s="177"/>
      <c r="AA816" s="176"/>
      <c r="AB816" s="176"/>
      <c r="AC816" s="176"/>
      <c r="AD816" s="178"/>
      <c r="AF816" s="179"/>
      <c r="AG816" s="179"/>
      <c r="AI816" s="180"/>
      <c r="AJ816" s="180"/>
      <c r="AK816" s="180"/>
      <c r="AL816" s="180"/>
      <c r="AM816" s="181"/>
      <c r="AN816" s="180"/>
      <c r="AO816" s="180"/>
      <c r="AP816" s="180"/>
    </row>
    <row r="817">
      <c r="D817" s="172"/>
      <c r="E817" s="172"/>
      <c r="G817" s="173"/>
      <c r="H817" s="173"/>
      <c r="I817" s="173"/>
      <c r="M817" s="173"/>
      <c r="R817" s="174"/>
      <c r="S817" s="174"/>
      <c r="T817" s="90"/>
      <c r="U817" s="176"/>
      <c r="V817" s="176"/>
      <c r="W817" s="176"/>
      <c r="X817" s="176"/>
      <c r="Y817" s="176"/>
      <c r="Z817" s="177"/>
      <c r="AA817" s="176"/>
      <c r="AB817" s="176"/>
      <c r="AC817" s="176"/>
      <c r="AD817" s="178"/>
      <c r="AF817" s="179"/>
      <c r="AG817" s="179"/>
      <c r="AI817" s="180"/>
      <c r="AJ817" s="180"/>
      <c r="AK817" s="180"/>
      <c r="AL817" s="180"/>
      <c r="AM817" s="181"/>
      <c r="AN817" s="180"/>
      <c r="AO817" s="180"/>
      <c r="AP817" s="180"/>
    </row>
    <row r="818">
      <c r="D818" s="172"/>
      <c r="E818" s="172"/>
      <c r="G818" s="173"/>
      <c r="H818" s="173"/>
      <c r="I818" s="173"/>
      <c r="M818" s="173"/>
      <c r="R818" s="174"/>
      <c r="S818" s="174"/>
      <c r="T818" s="90"/>
      <c r="U818" s="176"/>
      <c r="V818" s="176"/>
      <c r="W818" s="176"/>
      <c r="X818" s="176"/>
      <c r="Y818" s="176"/>
      <c r="Z818" s="177"/>
      <c r="AA818" s="176"/>
      <c r="AB818" s="176"/>
      <c r="AC818" s="176"/>
      <c r="AD818" s="178"/>
      <c r="AF818" s="179"/>
      <c r="AG818" s="179"/>
      <c r="AI818" s="180"/>
      <c r="AJ818" s="180"/>
      <c r="AK818" s="180"/>
      <c r="AL818" s="180"/>
      <c r="AM818" s="181"/>
      <c r="AN818" s="180"/>
      <c r="AO818" s="180"/>
      <c r="AP818" s="180"/>
    </row>
    <row r="819">
      <c r="D819" s="172"/>
      <c r="E819" s="172"/>
      <c r="G819" s="173"/>
      <c r="H819" s="173"/>
      <c r="I819" s="173"/>
      <c r="M819" s="173"/>
      <c r="R819" s="174"/>
      <c r="S819" s="174"/>
      <c r="T819" s="90"/>
      <c r="U819" s="176"/>
      <c r="V819" s="176"/>
      <c r="W819" s="176"/>
      <c r="X819" s="176"/>
      <c r="Y819" s="176"/>
      <c r="Z819" s="177"/>
      <c r="AA819" s="176"/>
      <c r="AB819" s="176"/>
      <c r="AC819" s="176"/>
      <c r="AD819" s="178"/>
      <c r="AF819" s="179"/>
      <c r="AG819" s="179"/>
      <c r="AI819" s="180"/>
      <c r="AJ819" s="180"/>
      <c r="AK819" s="180"/>
      <c r="AL819" s="180"/>
      <c r="AM819" s="181"/>
      <c r="AN819" s="180"/>
      <c r="AO819" s="180"/>
      <c r="AP819" s="180"/>
    </row>
    <row r="820">
      <c r="D820" s="172"/>
      <c r="E820" s="172"/>
      <c r="G820" s="173"/>
      <c r="H820" s="173"/>
      <c r="I820" s="173"/>
      <c r="M820" s="173"/>
      <c r="R820" s="174"/>
      <c r="S820" s="174"/>
      <c r="T820" s="90"/>
      <c r="U820" s="176"/>
      <c r="V820" s="176"/>
      <c r="W820" s="176"/>
      <c r="X820" s="176"/>
      <c r="Y820" s="176"/>
      <c r="Z820" s="177"/>
      <c r="AA820" s="176"/>
      <c r="AB820" s="176"/>
      <c r="AC820" s="176"/>
      <c r="AD820" s="178"/>
      <c r="AF820" s="179"/>
      <c r="AG820" s="179"/>
      <c r="AI820" s="180"/>
      <c r="AJ820" s="180"/>
      <c r="AK820" s="180"/>
      <c r="AL820" s="180"/>
      <c r="AM820" s="181"/>
      <c r="AN820" s="180"/>
      <c r="AO820" s="180"/>
      <c r="AP820" s="180"/>
    </row>
    <row r="821">
      <c r="D821" s="172"/>
      <c r="E821" s="172"/>
      <c r="G821" s="173"/>
      <c r="H821" s="173"/>
      <c r="I821" s="173"/>
      <c r="M821" s="173"/>
      <c r="R821" s="174"/>
      <c r="S821" s="174"/>
      <c r="T821" s="90"/>
      <c r="U821" s="176"/>
      <c r="V821" s="176"/>
      <c r="W821" s="176"/>
      <c r="X821" s="176"/>
      <c r="Y821" s="176"/>
      <c r="Z821" s="177"/>
      <c r="AA821" s="176"/>
      <c r="AB821" s="176"/>
      <c r="AC821" s="176"/>
      <c r="AD821" s="178"/>
      <c r="AF821" s="179"/>
      <c r="AG821" s="179"/>
      <c r="AI821" s="180"/>
      <c r="AJ821" s="180"/>
      <c r="AK821" s="180"/>
      <c r="AL821" s="180"/>
      <c r="AM821" s="181"/>
      <c r="AN821" s="180"/>
      <c r="AO821" s="180"/>
      <c r="AP821" s="180"/>
    </row>
    <row r="822">
      <c r="D822" s="172"/>
      <c r="E822" s="172"/>
      <c r="G822" s="173"/>
      <c r="H822" s="173"/>
      <c r="I822" s="173"/>
      <c r="M822" s="173"/>
      <c r="R822" s="174"/>
      <c r="S822" s="174"/>
      <c r="T822" s="90"/>
      <c r="U822" s="176"/>
      <c r="V822" s="176"/>
      <c r="W822" s="176"/>
      <c r="X822" s="176"/>
      <c r="Y822" s="176"/>
      <c r="Z822" s="177"/>
      <c r="AA822" s="176"/>
      <c r="AB822" s="176"/>
      <c r="AC822" s="176"/>
      <c r="AD822" s="178"/>
      <c r="AF822" s="179"/>
      <c r="AG822" s="179"/>
      <c r="AI822" s="180"/>
      <c r="AJ822" s="180"/>
      <c r="AK822" s="180"/>
      <c r="AL822" s="180"/>
      <c r="AM822" s="181"/>
      <c r="AN822" s="180"/>
      <c r="AO822" s="180"/>
      <c r="AP822" s="180"/>
    </row>
    <row r="823">
      <c r="D823" s="172"/>
      <c r="E823" s="172"/>
      <c r="G823" s="173"/>
      <c r="H823" s="173"/>
      <c r="I823" s="173"/>
      <c r="M823" s="173"/>
      <c r="R823" s="174"/>
      <c r="S823" s="174"/>
      <c r="T823" s="90"/>
      <c r="U823" s="176"/>
      <c r="V823" s="176"/>
      <c r="W823" s="176"/>
      <c r="X823" s="176"/>
      <c r="Y823" s="176"/>
      <c r="Z823" s="177"/>
      <c r="AA823" s="176"/>
      <c r="AB823" s="176"/>
      <c r="AC823" s="176"/>
      <c r="AD823" s="178"/>
      <c r="AF823" s="179"/>
      <c r="AG823" s="179"/>
      <c r="AI823" s="180"/>
      <c r="AJ823" s="180"/>
      <c r="AK823" s="180"/>
      <c r="AL823" s="180"/>
      <c r="AM823" s="181"/>
      <c r="AN823" s="180"/>
      <c r="AO823" s="180"/>
      <c r="AP823" s="180"/>
    </row>
    <row r="824">
      <c r="D824" s="172"/>
      <c r="E824" s="172"/>
      <c r="G824" s="173"/>
      <c r="H824" s="173"/>
      <c r="I824" s="173"/>
      <c r="M824" s="173"/>
      <c r="R824" s="174"/>
      <c r="S824" s="174"/>
      <c r="T824" s="90"/>
      <c r="U824" s="176"/>
      <c r="V824" s="176"/>
      <c r="W824" s="176"/>
      <c r="X824" s="176"/>
      <c r="Y824" s="176"/>
      <c r="Z824" s="177"/>
      <c r="AA824" s="176"/>
      <c r="AB824" s="176"/>
      <c r="AC824" s="176"/>
      <c r="AD824" s="178"/>
      <c r="AF824" s="179"/>
      <c r="AG824" s="179"/>
      <c r="AI824" s="180"/>
      <c r="AJ824" s="180"/>
      <c r="AK824" s="180"/>
      <c r="AL824" s="180"/>
      <c r="AM824" s="181"/>
      <c r="AN824" s="180"/>
      <c r="AO824" s="180"/>
      <c r="AP824" s="180"/>
    </row>
    <row r="825">
      <c r="D825" s="172"/>
      <c r="E825" s="172"/>
      <c r="G825" s="173"/>
      <c r="H825" s="173"/>
      <c r="I825" s="173"/>
      <c r="M825" s="173"/>
      <c r="R825" s="174"/>
      <c r="S825" s="174"/>
      <c r="T825" s="90"/>
      <c r="U825" s="176"/>
      <c r="V825" s="176"/>
      <c r="W825" s="176"/>
      <c r="X825" s="176"/>
      <c r="Y825" s="176"/>
      <c r="Z825" s="177"/>
      <c r="AA825" s="176"/>
      <c r="AB825" s="176"/>
      <c r="AC825" s="176"/>
      <c r="AD825" s="178"/>
      <c r="AF825" s="179"/>
      <c r="AG825" s="179"/>
      <c r="AI825" s="180"/>
      <c r="AJ825" s="180"/>
      <c r="AK825" s="180"/>
      <c r="AL825" s="180"/>
      <c r="AM825" s="181"/>
      <c r="AN825" s="180"/>
      <c r="AO825" s="180"/>
      <c r="AP825" s="180"/>
    </row>
    <row r="826">
      <c r="D826" s="172"/>
      <c r="E826" s="172"/>
      <c r="G826" s="173"/>
      <c r="H826" s="173"/>
      <c r="I826" s="173"/>
      <c r="M826" s="173"/>
      <c r="R826" s="174"/>
      <c r="S826" s="174"/>
      <c r="T826" s="90"/>
      <c r="U826" s="176"/>
      <c r="V826" s="176"/>
      <c r="W826" s="176"/>
      <c r="X826" s="176"/>
      <c r="Y826" s="176"/>
      <c r="Z826" s="177"/>
      <c r="AA826" s="176"/>
      <c r="AB826" s="176"/>
      <c r="AC826" s="176"/>
      <c r="AD826" s="178"/>
      <c r="AF826" s="179"/>
      <c r="AG826" s="179"/>
      <c r="AI826" s="180"/>
      <c r="AJ826" s="180"/>
      <c r="AK826" s="180"/>
      <c r="AL826" s="180"/>
      <c r="AM826" s="181"/>
      <c r="AN826" s="180"/>
      <c r="AO826" s="180"/>
      <c r="AP826" s="180"/>
    </row>
    <row r="827">
      <c r="D827" s="172"/>
      <c r="E827" s="172"/>
      <c r="G827" s="173"/>
      <c r="H827" s="173"/>
      <c r="I827" s="173"/>
      <c r="M827" s="173"/>
      <c r="R827" s="174"/>
      <c r="S827" s="174"/>
      <c r="T827" s="90"/>
      <c r="U827" s="176"/>
      <c r="V827" s="176"/>
      <c r="W827" s="176"/>
      <c r="X827" s="176"/>
      <c r="Y827" s="176"/>
      <c r="Z827" s="177"/>
      <c r="AA827" s="176"/>
      <c r="AB827" s="176"/>
      <c r="AC827" s="176"/>
      <c r="AD827" s="178"/>
      <c r="AF827" s="179"/>
      <c r="AG827" s="179"/>
      <c r="AI827" s="180"/>
      <c r="AJ827" s="180"/>
      <c r="AK827" s="180"/>
      <c r="AL827" s="180"/>
      <c r="AM827" s="181"/>
      <c r="AN827" s="180"/>
      <c r="AO827" s="180"/>
      <c r="AP827" s="180"/>
    </row>
    <row r="828">
      <c r="D828" s="172"/>
      <c r="E828" s="172"/>
      <c r="G828" s="173"/>
      <c r="H828" s="173"/>
      <c r="I828" s="173"/>
      <c r="M828" s="173"/>
      <c r="R828" s="174"/>
      <c r="S828" s="174"/>
      <c r="T828" s="90"/>
      <c r="U828" s="176"/>
      <c r="V828" s="176"/>
      <c r="W828" s="176"/>
      <c r="X828" s="176"/>
      <c r="Y828" s="176"/>
      <c r="Z828" s="177"/>
      <c r="AA828" s="176"/>
      <c r="AB828" s="176"/>
      <c r="AC828" s="176"/>
      <c r="AD828" s="178"/>
      <c r="AF828" s="179"/>
      <c r="AG828" s="179"/>
      <c r="AI828" s="180"/>
      <c r="AJ828" s="180"/>
      <c r="AK828" s="180"/>
      <c r="AL828" s="180"/>
      <c r="AM828" s="181"/>
      <c r="AN828" s="180"/>
      <c r="AO828" s="180"/>
      <c r="AP828" s="180"/>
    </row>
    <row r="829">
      <c r="D829" s="172"/>
      <c r="E829" s="172"/>
      <c r="G829" s="173"/>
      <c r="H829" s="173"/>
      <c r="I829" s="173"/>
      <c r="M829" s="173"/>
      <c r="R829" s="174"/>
      <c r="S829" s="174"/>
      <c r="T829" s="90"/>
      <c r="U829" s="176"/>
      <c r="V829" s="176"/>
      <c r="W829" s="176"/>
      <c r="X829" s="176"/>
      <c r="Y829" s="176"/>
      <c r="Z829" s="177"/>
      <c r="AA829" s="176"/>
      <c r="AB829" s="176"/>
      <c r="AC829" s="176"/>
      <c r="AD829" s="178"/>
      <c r="AF829" s="179"/>
      <c r="AG829" s="179"/>
      <c r="AI829" s="180"/>
      <c r="AJ829" s="180"/>
      <c r="AK829" s="180"/>
      <c r="AL829" s="180"/>
      <c r="AM829" s="181"/>
      <c r="AN829" s="180"/>
      <c r="AO829" s="180"/>
      <c r="AP829" s="180"/>
    </row>
    <row r="830">
      <c r="D830" s="172"/>
      <c r="E830" s="172"/>
      <c r="G830" s="173"/>
      <c r="H830" s="173"/>
      <c r="I830" s="173"/>
      <c r="M830" s="173"/>
      <c r="R830" s="174"/>
      <c r="S830" s="174"/>
      <c r="T830" s="90"/>
      <c r="U830" s="176"/>
      <c r="V830" s="176"/>
      <c r="W830" s="176"/>
      <c r="X830" s="176"/>
      <c r="Y830" s="176"/>
      <c r="Z830" s="177"/>
      <c r="AA830" s="176"/>
      <c r="AB830" s="176"/>
      <c r="AC830" s="176"/>
      <c r="AD830" s="178"/>
      <c r="AF830" s="179"/>
      <c r="AG830" s="179"/>
      <c r="AI830" s="180"/>
      <c r="AJ830" s="180"/>
      <c r="AK830" s="180"/>
      <c r="AL830" s="180"/>
      <c r="AM830" s="181"/>
      <c r="AN830" s="180"/>
      <c r="AO830" s="180"/>
      <c r="AP830" s="180"/>
    </row>
    <row r="831">
      <c r="D831" s="172"/>
      <c r="E831" s="172"/>
      <c r="G831" s="173"/>
      <c r="H831" s="173"/>
      <c r="I831" s="173"/>
      <c r="M831" s="173"/>
      <c r="R831" s="174"/>
      <c r="S831" s="174"/>
      <c r="T831" s="90"/>
      <c r="U831" s="176"/>
      <c r="V831" s="176"/>
      <c r="W831" s="176"/>
      <c r="X831" s="176"/>
      <c r="Y831" s="176"/>
      <c r="Z831" s="177"/>
      <c r="AA831" s="176"/>
      <c r="AB831" s="176"/>
      <c r="AC831" s="176"/>
      <c r="AD831" s="178"/>
      <c r="AF831" s="179"/>
      <c r="AG831" s="179"/>
      <c r="AI831" s="180"/>
      <c r="AJ831" s="180"/>
      <c r="AK831" s="180"/>
      <c r="AL831" s="180"/>
      <c r="AM831" s="181"/>
      <c r="AN831" s="180"/>
      <c r="AO831" s="180"/>
      <c r="AP831" s="180"/>
    </row>
    <row r="832">
      <c r="D832" s="172"/>
      <c r="E832" s="172"/>
      <c r="G832" s="173"/>
      <c r="H832" s="173"/>
      <c r="I832" s="173"/>
      <c r="M832" s="173"/>
      <c r="R832" s="174"/>
      <c r="S832" s="174"/>
      <c r="T832" s="90"/>
      <c r="U832" s="176"/>
      <c r="V832" s="176"/>
      <c r="W832" s="176"/>
      <c r="X832" s="176"/>
      <c r="Y832" s="176"/>
      <c r="Z832" s="177"/>
      <c r="AA832" s="176"/>
      <c r="AB832" s="176"/>
      <c r="AC832" s="176"/>
      <c r="AD832" s="178"/>
      <c r="AF832" s="179"/>
      <c r="AG832" s="179"/>
      <c r="AI832" s="180"/>
      <c r="AJ832" s="180"/>
      <c r="AK832" s="180"/>
      <c r="AL832" s="180"/>
      <c r="AM832" s="181"/>
      <c r="AN832" s="180"/>
      <c r="AO832" s="180"/>
      <c r="AP832" s="180"/>
    </row>
    <row r="833">
      <c r="D833" s="172"/>
      <c r="E833" s="172"/>
      <c r="G833" s="173"/>
      <c r="H833" s="173"/>
      <c r="I833" s="173"/>
      <c r="M833" s="173"/>
      <c r="R833" s="174"/>
      <c r="S833" s="174"/>
      <c r="T833" s="90"/>
      <c r="U833" s="176"/>
      <c r="V833" s="176"/>
      <c r="W833" s="176"/>
      <c r="X833" s="176"/>
      <c r="Y833" s="176"/>
      <c r="Z833" s="177"/>
      <c r="AA833" s="176"/>
      <c r="AB833" s="176"/>
      <c r="AC833" s="176"/>
      <c r="AD833" s="178"/>
      <c r="AF833" s="179"/>
      <c r="AG833" s="179"/>
      <c r="AI833" s="180"/>
      <c r="AJ833" s="180"/>
      <c r="AK833" s="180"/>
      <c r="AL833" s="180"/>
      <c r="AM833" s="181"/>
      <c r="AN833" s="180"/>
      <c r="AO833" s="180"/>
      <c r="AP833" s="180"/>
    </row>
    <row r="834">
      <c r="D834" s="172"/>
      <c r="E834" s="172"/>
      <c r="G834" s="173"/>
      <c r="H834" s="173"/>
      <c r="I834" s="173"/>
      <c r="M834" s="173"/>
      <c r="R834" s="174"/>
      <c r="S834" s="174"/>
      <c r="T834" s="90"/>
      <c r="U834" s="176"/>
      <c r="V834" s="176"/>
      <c r="W834" s="176"/>
      <c r="X834" s="176"/>
      <c r="Y834" s="176"/>
      <c r="Z834" s="177"/>
      <c r="AA834" s="176"/>
      <c r="AB834" s="176"/>
      <c r="AC834" s="176"/>
      <c r="AD834" s="178"/>
      <c r="AF834" s="179"/>
      <c r="AG834" s="179"/>
      <c r="AI834" s="180"/>
      <c r="AJ834" s="180"/>
      <c r="AK834" s="180"/>
      <c r="AL834" s="180"/>
      <c r="AM834" s="181"/>
      <c r="AN834" s="180"/>
      <c r="AO834" s="180"/>
      <c r="AP834" s="180"/>
    </row>
    <row r="835">
      <c r="D835" s="172"/>
      <c r="E835" s="172"/>
      <c r="G835" s="173"/>
      <c r="H835" s="173"/>
      <c r="I835" s="173"/>
      <c r="M835" s="173"/>
      <c r="R835" s="174"/>
      <c r="S835" s="174"/>
      <c r="T835" s="90"/>
      <c r="U835" s="176"/>
      <c r="V835" s="176"/>
      <c r="W835" s="176"/>
      <c r="X835" s="176"/>
      <c r="Y835" s="176"/>
      <c r="Z835" s="177"/>
      <c r="AA835" s="176"/>
      <c r="AB835" s="176"/>
      <c r="AC835" s="176"/>
      <c r="AD835" s="178"/>
      <c r="AF835" s="179"/>
      <c r="AG835" s="179"/>
      <c r="AI835" s="180"/>
      <c r="AJ835" s="180"/>
      <c r="AK835" s="180"/>
      <c r="AL835" s="180"/>
      <c r="AM835" s="181"/>
      <c r="AN835" s="180"/>
      <c r="AO835" s="180"/>
      <c r="AP835" s="180"/>
    </row>
    <row r="836">
      <c r="D836" s="172"/>
      <c r="E836" s="172"/>
      <c r="G836" s="173"/>
      <c r="H836" s="173"/>
      <c r="I836" s="173"/>
      <c r="M836" s="173"/>
      <c r="R836" s="174"/>
      <c r="S836" s="174"/>
      <c r="T836" s="90"/>
      <c r="U836" s="176"/>
      <c r="V836" s="176"/>
      <c r="W836" s="176"/>
      <c r="X836" s="176"/>
      <c r="Y836" s="176"/>
      <c r="Z836" s="177"/>
      <c r="AA836" s="176"/>
      <c r="AB836" s="176"/>
      <c r="AC836" s="176"/>
      <c r="AD836" s="178"/>
      <c r="AF836" s="179"/>
      <c r="AG836" s="179"/>
      <c r="AI836" s="180"/>
      <c r="AJ836" s="180"/>
      <c r="AK836" s="180"/>
      <c r="AL836" s="180"/>
      <c r="AM836" s="181"/>
      <c r="AN836" s="180"/>
      <c r="AO836" s="180"/>
      <c r="AP836" s="180"/>
    </row>
    <row r="837">
      <c r="D837" s="172"/>
      <c r="E837" s="172"/>
      <c r="G837" s="173"/>
      <c r="H837" s="173"/>
      <c r="I837" s="173"/>
      <c r="M837" s="173"/>
      <c r="R837" s="174"/>
      <c r="S837" s="174"/>
      <c r="T837" s="90"/>
      <c r="U837" s="176"/>
      <c r="V837" s="176"/>
      <c r="W837" s="176"/>
      <c r="X837" s="176"/>
      <c r="Y837" s="176"/>
      <c r="Z837" s="177"/>
      <c r="AA837" s="176"/>
      <c r="AB837" s="176"/>
      <c r="AC837" s="176"/>
      <c r="AD837" s="178"/>
      <c r="AF837" s="179"/>
      <c r="AG837" s="179"/>
      <c r="AI837" s="180"/>
      <c r="AJ837" s="180"/>
      <c r="AK837" s="180"/>
      <c r="AL837" s="180"/>
      <c r="AM837" s="181"/>
      <c r="AN837" s="180"/>
      <c r="AO837" s="180"/>
      <c r="AP837" s="180"/>
    </row>
    <row r="838">
      <c r="D838" s="172"/>
      <c r="E838" s="172"/>
      <c r="G838" s="173"/>
      <c r="H838" s="173"/>
      <c r="I838" s="173"/>
      <c r="M838" s="173"/>
      <c r="R838" s="174"/>
      <c r="S838" s="174"/>
      <c r="T838" s="90"/>
      <c r="U838" s="176"/>
      <c r="V838" s="176"/>
      <c r="W838" s="176"/>
      <c r="X838" s="176"/>
      <c r="Y838" s="176"/>
      <c r="Z838" s="177"/>
      <c r="AA838" s="176"/>
      <c r="AB838" s="176"/>
      <c r="AC838" s="176"/>
      <c r="AD838" s="178"/>
      <c r="AF838" s="179"/>
      <c r="AG838" s="179"/>
      <c r="AI838" s="180"/>
      <c r="AJ838" s="180"/>
      <c r="AK838" s="180"/>
      <c r="AL838" s="180"/>
      <c r="AM838" s="181"/>
      <c r="AN838" s="180"/>
      <c r="AO838" s="180"/>
      <c r="AP838" s="180"/>
    </row>
    <row r="839">
      <c r="D839" s="172"/>
      <c r="E839" s="172"/>
      <c r="G839" s="173"/>
      <c r="H839" s="173"/>
      <c r="I839" s="173"/>
      <c r="M839" s="173"/>
      <c r="R839" s="174"/>
      <c r="S839" s="174"/>
      <c r="T839" s="90"/>
      <c r="U839" s="176"/>
      <c r="V839" s="176"/>
      <c r="W839" s="176"/>
      <c r="X839" s="176"/>
      <c r="Y839" s="176"/>
      <c r="Z839" s="177"/>
      <c r="AA839" s="176"/>
      <c r="AB839" s="176"/>
      <c r="AC839" s="176"/>
      <c r="AD839" s="178"/>
      <c r="AF839" s="179"/>
      <c r="AG839" s="179"/>
      <c r="AI839" s="180"/>
      <c r="AJ839" s="180"/>
      <c r="AK839" s="180"/>
      <c r="AL839" s="180"/>
      <c r="AM839" s="181"/>
      <c r="AN839" s="180"/>
      <c r="AO839" s="180"/>
      <c r="AP839" s="180"/>
    </row>
    <row r="840">
      <c r="D840" s="172"/>
      <c r="E840" s="172"/>
      <c r="G840" s="173"/>
      <c r="H840" s="173"/>
      <c r="I840" s="173"/>
      <c r="M840" s="173"/>
      <c r="R840" s="174"/>
      <c r="S840" s="174"/>
      <c r="T840" s="90"/>
      <c r="U840" s="176"/>
      <c r="V840" s="176"/>
      <c r="W840" s="176"/>
      <c r="X840" s="176"/>
      <c r="Y840" s="176"/>
      <c r="Z840" s="177"/>
      <c r="AA840" s="176"/>
      <c r="AB840" s="176"/>
      <c r="AC840" s="176"/>
      <c r="AD840" s="178"/>
      <c r="AF840" s="179"/>
      <c r="AG840" s="179"/>
      <c r="AI840" s="180"/>
      <c r="AJ840" s="180"/>
      <c r="AK840" s="180"/>
      <c r="AL840" s="180"/>
      <c r="AM840" s="181"/>
      <c r="AN840" s="180"/>
      <c r="AO840" s="180"/>
      <c r="AP840" s="180"/>
    </row>
    <row r="841">
      <c r="D841" s="172"/>
      <c r="E841" s="172"/>
      <c r="G841" s="173"/>
      <c r="H841" s="173"/>
      <c r="I841" s="173"/>
      <c r="M841" s="173"/>
      <c r="R841" s="174"/>
      <c r="S841" s="174"/>
      <c r="T841" s="90"/>
      <c r="U841" s="176"/>
      <c r="V841" s="176"/>
      <c r="W841" s="176"/>
      <c r="X841" s="176"/>
      <c r="Y841" s="176"/>
      <c r="Z841" s="177"/>
      <c r="AA841" s="176"/>
      <c r="AB841" s="176"/>
      <c r="AC841" s="176"/>
      <c r="AD841" s="178"/>
      <c r="AF841" s="179"/>
      <c r="AG841" s="179"/>
      <c r="AI841" s="180"/>
      <c r="AJ841" s="180"/>
      <c r="AK841" s="180"/>
      <c r="AL841" s="180"/>
      <c r="AM841" s="181"/>
      <c r="AN841" s="180"/>
      <c r="AO841" s="180"/>
      <c r="AP841" s="180"/>
    </row>
    <row r="842">
      <c r="D842" s="172"/>
      <c r="E842" s="172"/>
      <c r="G842" s="173"/>
      <c r="H842" s="173"/>
      <c r="I842" s="173"/>
      <c r="M842" s="173"/>
      <c r="R842" s="174"/>
      <c r="S842" s="174"/>
      <c r="T842" s="90"/>
      <c r="U842" s="176"/>
      <c r="V842" s="176"/>
      <c r="W842" s="176"/>
      <c r="X842" s="176"/>
      <c r="Y842" s="176"/>
      <c r="Z842" s="177"/>
      <c r="AA842" s="176"/>
      <c r="AB842" s="176"/>
      <c r="AC842" s="176"/>
      <c r="AD842" s="178"/>
      <c r="AF842" s="179"/>
      <c r="AG842" s="179"/>
      <c r="AI842" s="180"/>
      <c r="AJ842" s="180"/>
      <c r="AK842" s="180"/>
      <c r="AL842" s="180"/>
      <c r="AM842" s="181"/>
      <c r="AN842" s="180"/>
      <c r="AO842" s="180"/>
      <c r="AP842" s="180"/>
    </row>
    <row r="843">
      <c r="D843" s="172"/>
      <c r="E843" s="172"/>
      <c r="G843" s="173"/>
      <c r="H843" s="173"/>
      <c r="I843" s="173"/>
      <c r="M843" s="173"/>
      <c r="R843" s="174"/>
      <c r="S843" s="174"/>
      <c r="T843" s="90"/>
      <c r="U843" s="176"/>
      <c r="V843" s="176"/>
      <c r="W843" s="176"/>
      <c r="X843" s="176"/>
      <c r="Y843" s="176"/>
      <c r="Z843" s="177"/>
      <c r="AA843" s="176"/>
      <c r="AB843" s="176"/>
      <c r="AC843" s="176"/>
      <c r="AD843" s="178"/>
      <c r="AF843" s="179"/>
      <c r="AG843" s="179"/>
      <c r="AI843" s="180"/>
      <c r="AJ843" s="180"/>
      <c r="AK843" s="180"/>
      <c r="AL843" s="180"/>
      <c r="AM843" s="181"/>
      <c r="AN843" s="180"/>
      <c r="AO843" s="180"/>
      <c r="AP843" s="180"/>
    </row>
    <row r="844">
      <c r="D844" s="172"/>
      <c r="E844" s="172"/>
      <c r="G844" s="173"/>
      <c r="H844" s="173"/>
      <c r="I844" s="173"/>
      <c r="M844" s="173"/>
      <c r="R844" s="174"/>
      <c r="S844" s="174"/>
      <c r="T844" s="90"/>
      <c r="U844" s="176"/>
      <c r="V844" s="176"/>
      <c r="W844" s="176"/>
      <c r="X844" s="176"/>
      <c r="Y844" s="176"/>
      <c r="Z844" s="177"/>
      <c r="AA844" s="176"/>
      <c r="AB844" s="176"/>
      <c r="AC844" s="176"/>
      <c r="AD844" s="178"/>
      <c r="AF844" s="179"/>
      <c r="AG844" s="179"/>
      <c r="AI844" s="180"/>
      <c r="AJ844" s="180"/>
      <c r="AK844" s="180"/>
      <c r="AL844" s="180"/>
      <c r="AM844" s="181"/>
      <c r="AN844" s="180"/>
      <c r="AO844" s="180"/>
      <c r="AP844" s="180"/>
    </row>
    <row r="845">
      <c r="D845" s="172"/>
      <c r="E845" s="172"/>
      <c r="G845" s="173"/>
      <c r="H845" s="173"/>
      <c r="I845" s="173"/>
      <c r="M845" s="173"/>
      <c r="R845" s="174"/>
      <c r="S845" s="174"/>
      <c r="T845" s="90"/>
      <c r="U845" s="176"/>
      <c r="V845" s="176"/>
      <c r="W845" s="176"/>
      <c r="X845" s="176"/>
      <c r="Y845" s="176"/>
      <c r="Z845" s="177"/>
      <c r="AA845" s="176"/>
      <c r="AB845" s="176"/>
      <c r="AC845" s="176"/>
      <c r="AD845" s="178"/>
      <c r="AF845" s="179"/>
      <c r="AG845" s="179"/>
      <c r="AI845" s="180"/>
      <c r="AJ845" s="180"/>
      <c r="AK845" s="180"/>
      <c r="AL845" s="180"/>
      <c r="AM845" s="181"/>
      <c r="AN845" s="180"/>
      <c r="AO845" s="180"/>
      <c r="AP845" s="180"/>
    </row>
    <row r="846">
      <c r="D846" s="172"/>
      <c r="E846" s="172"/>
      <c r="G846" s="173"/>
      <c r="H846" s="173"/>
      <c r="I846" s="173"/>
      <c r="M846" s="173"/>
      <c r="R846" s="174"/>
      <c r="S846" s="174"/>
      <c r="T846" s="90"/>
      <c r="U846" s="176"/>
      <c r="V846" s="176"/>
      <c r="W846" s="176"/>
      <c r="X846" s="176"/>
      <c r="Y846" s="176"/>
      <c r="Z846" s="177"/>
      <c r="AA846" s="176"/>
      <c r="AB846" s="176"/>
      <c r="AC846" s="176"/>
      <c r="AD846" s="178"/>
      <c r="AF846" s="179"/>
      <c r="AG846" s="179"/>
      <c r="AI846" s="180"/>
      <c r="AJ846" s="180"/>
      <c r="AK846" s="180"/>
      <c r="AL846" s="180"/>
      <c r="AM846" s="181"/>
      <c r="AN846" s="180"/>
      <c r="AO846" s="180"/>
      <c r="AP846" s="180"/>
    </row>
    <row r="847">
      <c r="D847" s="172"/>
      <c r="E847" s="172"/>
      <c r="G847" s="173"/>
      <c r="H847" s="173"/>
      <c r="I847" s="173"/>
      <c r="M847" s="173"/>
      <c r="R847" s="174"/>
      <c r="S847" s="174"/>
      <c r="T847" s="90"/>
      <c r="U847" s="176"/>
      <c r="V847" s="176"/>
      <c r="W847" s="176"/>
      <c r="X847" s="176"/>
      <c r="Y847" s="176"/>
      <c r="Z847" s="177"/>
      <c r="AA847" s="176"/>
      <c r="AB847" s="176"/>
      <c r="AC847" s="176"/>
      <c r="AD847" s="178"/>
      <c r="AF847" s="179"/>
      <c r="AG847" s="179"/>
      <c r="AI847" s="180"/>
      <c r="AJ847" s="180"/>
      <c r="AK847" s="180"/>
      <c r="AL847" s="180"/>
      <c r="AM847" s="181"/>
      <c r="AN847" s="180"/>
      <c r="AO847" s="180"/>
      <c r="AP847" s="180"/>
    </row>
    <row r="848">
      <c r="D848" s="172"/>
      <c r="E848" s="172"/>
      <c r="G848" s="173"/>
      <c r="H848" s="173"/>
      <c r="I848" s="173"/>
      <c r="M848" s="173"/>
      <c r="R848" s="174"/>
      <c r="S848" s="174"/>
      <c r="T848" s="90"/>
      <c r="U848" s="176"/>
      <c r="V848" s="176"/>
      <c r="W848" s="176"/>
      <c r="X848" s="176"/>
      <c r="Y848" s="176"/>
      <c r="Z848" s="177"/>
      <c r="AA848" s="176"/>
      <c r="AB848" s="176"/>
      <c r="AC848" s="176"/>
      <c r="AD848" s="178"/>
      <c r="AF848" s="179"/>
      <c r="AG848" s="179"/>
      <c r="AI848" s="180"/>
      <c r="AJ848" s="180"/>
      <c r="AK848" s="180"/>
      <c r="AL848" s="180"/>
      <c r="AM848" s="181"/>
      <c r="AN848" s="180"/>
      <c r="AO848" s="180"/>
      <c r="AP848" s="180"/>
    </row>
    <row r="849">
      <c r="D849" s="172"/>
      <c r="E849" s="172"/>
      <c r="G849" s="173"/>
      <c r="H849" s="173"/>
      <c r="I849" s="173"/>
      <c r="M849" s="173"/>
      <c r="R849" s="174"/>
      <c r="S849" s="174"/>
      <c r="T849" s="90"/>
      <c r="U849" s="176"/>
      <c r="V849" s="176"/>
      <c r="W849" s="176"/>
      <c r="X849" s="176"/>
      <c r="Y849" s="176"/>
      <c r="Z849" s="177"/>
      <c r="AA849" s="176"/>
      <c r="AB849" s="176"/>
      <c r="AC849" s="176"/>
      <c r="AD849" s="178"/>
      <c r="AF849" s="179"/>
      <c r="AG849" s="179"/>
      <c r="AI849" s="180"/>
      <c r="AJ849" s="180"/>
      <c r="AK849" s="180"/>
      <c r="AL849" s="180"/>
      <c r="AM849" s="181"/>
      <c r="AN849" s="180"/>
      <c r="AO849" s="180"/>
      <c r="AP849" s="180"/>
    </row>
    <row r="850">
      <c r="D850" s="172"/>
      <c r="E850" s="172"/>
      <c r="G850" s="173"/>
      <c r="H850" s="173"/>
      <c r="I850" s="173"/>
      <c r="M850" s="173"/>
      <c r="R850" s="174"/>
      <c r="S850" s="174"/>
      <c r="T850" s="90"/>
      <c r="U850" s="176"/>
      <c r="V850" s="176"/>
      <c r="W850" s="176"/>
      <c r="X850" s="176"/>
      <c r="Y850" s="176"/>
      <c r="Z850" s="177"/>
      <c r="AA850" s="176"/>
      <c r="AB850" s="176"/>
      <c r="AC850" s="176"/>
      <c r="AD850" s="178"/>
      <c r="AF850" s="179"/>
      <c r="AG850" s="179"/>
      <c r="AI850" s="180"/>
      <c r="AJ850" s="180"/>
      <c r="AK850" s="180"/>
      <c r="AL850" s="180"/>
      <c r="AM850" s="181"/>
      <c r="AN850" s="180"/>
      <c r="AO850" s="180"/>
      <c r="AP850" s="180"/>
    </row>
    <row r="851">
      <c r="D851" s="172"/>
      <c r="E851" s="172"/>
      <c r="G851" s="173"/>
      <c r="H851" s="173"/>
      <c r="I851" s="173"/>
      <c r="M851" s="173"/>
      <c r="R851" s="174"/>
      <c r="S851" s="174"/>
      <c r="T851" s="90"/>
      <c r="U851" s="176"/>
      <c r="V851" s="176"/>
      <c r="W851" s="176"/>
      <c r="X851" s="176"/>
      <c r="Y851" s="176"/>
      <c r="Z851" s="177"/>
      <c r="AA851" s="176"/>
      <c r="AB851" s="176"/>
      <c r="AC851" s="176"/>
      <c r="AD851" s="178"/>
      <c r="AF851" s="179"/>
      <c r="AG851" s="179"/>
      <c r="AI851" s="180"/>
      <c r="AJ851" s="180"/>
      <c r="AK851" s="180"/>
      <c r="AL851" s="180"/>
      <c r="AM851" s="181"/>
      <c r="AN851" s="180"/>
      <c r="AO851" s="180"/>
      <c r="AP851" s="180"/>
    </row>
    <row r="852">
      <c r="D852" s="172"/>
      <c r="E852" s="172"/>
      <c r="G852" s="173"/>
      <c r="H852" s="173"/>
      <c r="I852" s="173"/>
      <c r="M852" s="173"/>
      <c r="R852" s="174"/>
      <c r="S852" s="174"/>
      <c r="T852" s="90"/>
      <c r="U852" s="176"/>
      <c r="V852" s="176"/>
      <c r="W852" s="176"/>
      <c r="X852" s="176"/>
      <c r="Y852" s="176"/>
      <c r="Z852" s="177"/>
      <c r="AA852" s="176"/>
      <c r="AB852" s="176"/>
      <c r="AC852" s="176"/>
      <c r="AD852" s="178"/>
      <c r="AF852" s="179"/>
      <c r="AG852" s="179"/>
      <c r="AI852" s="180"/>
      <c r="AJ852" s="180"/>
      <c r="AK852" s="180"/>
      <c r="AL852" s="180"/>
      <c r="AM852" s="181"/>
      <c r="AN852" s="180"/>
      <c r="AO852" s="180"/>
      <c r="AP852" s="180"/>
    </row>
    <row r="853">
      <c r="D853" s="172"/>
      <c r="E853" s="172"/>
      <c r="G853" s="173"/>
      <c r="H853" s="173"/>
      <c r="I853" s="173"/>
      <c r="M853" s="173"/>
      <c r="R853" s="174"/>
      <c r="S853" s="174"/>
      <c r="T853" s="90"/>
      <c r="U853" s="176"/>
      <c r="V853" s="176"/>
      <c r="W853" s="176"/>
      <c r="X853" s="176"/>
      <c r="Y853" s="176"/>
      <c r="Z853" s="177"/>
      <c r="AA853" s="176"/>
      <c r="AB853" s="176"/>
      <c r="AC853" s="176"/>
      <c r="AD853" s="178"/>
      <c r="AF853" s="179"/>
      <c r="AG853" s="179"/>
      <c r="AI853" s="180"/>
      <c r="AJ853" s="180"/>
      <c r="AK853" s="180"/>
      <c r="AL853" s="180"/>
      <c r="AM853" s="181"/>
      <c r="AN853" s="180"/>
      <c r="AO853" s="180"/>
      <c r="AP853" s="180"/>
    </row>
    <row r="854">
      <c r="D854" s="172"/>
      <c r="E854" s="172"/>
      <c r="G854" s="173"/>
      <c r="H854" s="173"/>
      <c r="I854" s="173"/>
      <c r="M854" s="173"/>
      <c r="R854" s="174"/>
      <c r="S854" s="174"/>
      <c r="T854" s="90"/>
      <c r="U854" s="176"/>
      <c r="V854" s="176"/>
      <c r="W854" s="176"/>
      <c r="X854" s="176"/>
      <c r="Y854" s="176"/>
      <c r="Z854" s="177"/>
      <c r="AA854" s="176"/>
      <c r="AB854" s="176"/>
      <c r="AC854" s="176"/>
      <c r="AD854" s="178"/>
      <c r="AF854" s="179"/>
      <c r="AG854" s="179"/>
      <c r="AI854" s="180"/>
      <c r="AJ854" s="180"/>
      <c r="AK854" s="180"/>
      <c r="AL854" s="180"/>
      <c r="AM854" s="181"/>
      <c r="AN854" s="180"/>
      <c r="AO854" s="180"/>
      <c r="AP854" s="180"/>
    </row>
    <row r="855">
      <c r="D855" s="172"/>
      <c r="E855" s="172"/>
      <c r="G855" s="173"/>
      <c r="H855" s="173"/>
      <c r="I855" s="173"/>
      <c r="M855" s="173"/>
      <c r="R855" s="174"/>
      <c r="S855" s="174"/>
      <c r="T855" s="90"/>
      <c r="U855" s="176"/>
      <c r="V855" s="176"/>
      <c r="W855" s="176"/>
      <c r="X855" s="176"/>
      <c r="Y855" s="176"/>
      <c r="Z855" s="177"/>
      <c r="AA855" s="176"/>
      <c r="AB855" s="176"/>
      <c r="AC855" s="176"/>
      <c r="AD855" s="178"/>
      <c r="AF855" s="179"/>
      <c r="AG855" s="179"/>
      <c r="AI855" s="180"/>
      <c r="AJ855" s="180"/>
      <c r="AK855" s="180"/>
      <c r="AL855" s="180"/>
      <c r="AM855" s="181"/>
      <c r="AN855" s="180"/>
      <c r="AO855" s="180"/>
      <c r="AP855" s="180"/>
    </row>
    <row r="856">
      <c r="D856" s="172"/>
      <c r="E856" s="172"/>
      <c r="G856" s="173"/>
      <c r="H856" s="173"/>
      <c r="I856" s="173"/>
      <c r="M856" s="173"/>
      <c r="R856" s="174"/>
      <c r="S856" s="174"/>
      <c r="T856" s="90"/>
      <c r="U856" s="176"/>
      <c r="V856" s="176"/>
      <c r="W856" s="176"/>
      <c r="X856" s="176"/>
      <c r="Y856" s="176"/>
      <c r="Z856" s="177"/>
      <c r="AA856" s="176"/>
      <c r="AB856" s="176"/>
      <c r="AC856" s="176"/>
      <c r="AD856" s="178"/>
      <c r="AF856" s="179"/>
      <c r="AG856" s="179"/>
      <c r="AI856" s="180"/>
      <c r="AJ856" s="180"/>
      <c r="AK856" s="180"/>
      <c r="AL856" s="180"/>
      <c r="AM856" s="181"/>
      <c r="AN856" s="180"/>
      <c r="AO856" s="180"/>
      <c r="AP856" s="180"/>
    </row>
    <row r="857">
      <c r="D857" s="172"/>
      <c r="E857" s="172"/>
      <c r="G857" s="173"/>
      <c r="H857" s="173"/>
      <c r="I857" s="173"/>
      <c r="M857" s="173"/>
      <c r="R857" s="174"/>
      <c r="S857" s="174"/>
      <c r="T857" s="90"/>
      <c r="U857" s="176"/>
      <c r="V857" s="176"/>
      <c r="W857" s="176"/>
      <c r="X857" s="176"/>
      <c r="Y857" s="176"/>
      <c r="Z857" s="177"/>
      <c r="AA857" s="176"/>
      <c r="AB857" s="176"/>
      <c r="AC857" s="176"/>
      <c r="AD857" s="178"/>
      <c r="AF857" s="179"/>
      <c r="AG857" s="179"/>
      <c r="AI857" s="180"/>
      <c r="AJ857" s="180"/>
      <c r="AK857" s="180"/>
      <c r="AL857" s="180"/>
      <c r="AM857" s="181"/>
      <c r="AN857" s="180"/>
      <c r="AO857" s="180"/>
      <c r="AP857" s="180"/>
    </row>
    <row r="858">
      <c r="D858" s="172"/>
      <c r="E858" s="172"/>
      <c r="G858" s="173"/>
      <c r="H858" s="173"/>
      <c r="I858" s="173"/>
      <c r="M858" s="173"/>
      <c r="R858" s="174"/>
      <c r="S858" s="174"/>
      <c r="T858" s="90"/>
      <c r="U858" s="176"/>
      <c r="V858" s="176"/>
      <c r="W858" s="176"/>
      <c r="X858" s="176"/>
      <c r="Y858" s="176"/>
      <c r="Z858" s="177"/>
      <c r="AA858" s="176"/>
      <c r="AB858" s="176"/>
      <c r="AC858" s="176"/>
      <c r="AD858" s="178"/>
      <c r="AF858" s="179"/>
      <c r="AG858" s="179"/>
      <c r="AI858" s="180"/>
      <c r="AJ858" s="180"/>
      <c r="AK858" s="180"/>
      <c r="AL858" s="180"/>
      <c r="AM858" s="181"/>
      <c r="AN858" s="180"/>
      <c r="AO858" s="180"/>
      <c r="AP858" s="180"/>
    </row>
    <row r="859">
      <c r="D859" s="172"/>
      <c r="E859" s="172"/>
      <c r="G859" s="173"/>
      <c r="H859" s="173"/>
      <c r="I859" s="173"/>
      <c r="M859" s="173"/>
      <c r="R859" s="174"/>
      <c r="S859" s="174"/>
      <c r="T859" s="90"/>
      <c r="U859" s="176"/>
      <c r="V859" s="176"/>
      <c r="W859" s="176"/>
      <c r="X859" s="176"/>
      <c r="Y859" s="176"/>
      <c r="Z859" s="177"/>
      <c r="AA859" s="176"/>
      <c r="AB859" s="176"/>
      <c r="AC859" s="176"/>
      <c r="AD859" s="178"/>
      <c r="AF859" s="179"/>
      <c r="AG859" s="179"/>
      <c r="AI859" s="180"/>
      <c r="AJ859" s="180"/>
      <c r="AK859" s="180"/>
      <c r="AL859" s="180"/>
      <c r="AM859" s="181"/>
      <c r="AN859" s="180"/>
      <c r="AO859" s="180"/>
      <c r="AP859" s="180"/>
    </row>
    <row r="860">
      <c r="D860" s="172"/>
      <c r="E860" s="172"/>
      <c r="G860" s="173"/>
      <c r="H860" s="173"/>
      <c r="I860" s="173"/>
      <c r="M860" s="173"/>
      <c r="R860" s="174"/>
      <c r="S860" s="174"/>
      <c r="T860" s="90"/>
      <c r="U860" s="176"/>
      <c r="V860" s="176"/>
      <c r="W860" s="176"/>
      <c r="X860" s="176"/>
      <c r="Y860" s="176"/>
      <c r="Z860" s="177"/>
      <c r="AA860" s="176"/>
      <c r="AB860" s="176"/>
      <c r="AC860" s="176"/>
      <c r="AD860" s="178"/>
      <c r="AF860" s="179"/>
      <c r="AG860" s="179"/>
      <c r="AI860" s="180"/>
      <c r="AJ860" s="180"/>
      <c r="AK860" s="180"/>
      <c r="AL860" s="180"/>
      <c r="AM860" s="181"/>
      <c r="AN860" s="180"/>
      <c r="AO860" s="180"/>
      <c r="AP860" s="180"/>
    </row>
    <row r="861">
      <c r="D861" s="172"/>
      <c r="E861" s="172"/>
      <c r="G861" s="173"/>
      <c r="H861" s="173"/>
      <c r="I861" s="173"/>
      <c r="M861" s="173"/>
      <c r="R861" s="174"/>
      <c r="S861" s="174"/>
      <c r="T861" s="90"/>
      <c r="U861" s="176"/>
      <c r="V861" s="176"/>
      <c r="W861" s="176"/>
      <c r="X861" s="176"/>
      <c r="Y861" s="176"/>
      <c r="Z861" s="177"/>
      <c r="AA861" s="176"/>
      <c r="AB861" s="176"/>
      <c r="AC861" s="176"/>
      <c r="AD861" s="178"/>
      <c r="AF861" s="179"/>
      <c r="AG861" s="179"/>
      <c r="AI861" s="180"/>
      <c r="AJ861" s="180"/>
      <c r="AK861" s="180"/>
      <c r="AL861" s="180"/>
      <c r="AM861" s="181"/>
      <c r="AN861" s="180"/>
      <c r="AO861" s="180"/>
      <c r="AP861" s="180"/>
    </row>
    <row r="862">
      <c r="D862" s="172"/>
      <c r="E862" s="172"/>
      <c r="G862" s="173"/>
      <c r="H862" s="173"/>
      <c r="I862" s="173"/>
      <c r="M862" s="173"/>
      <c r="R862" s="174"/>
      <c r="S862" s="174"/>
      <c r="T862" s="90"/>
      <c r="U862" s="176"/>
      <c r="V862" s="176"/>
      <c r="W862" s="176"/>
      <c r="X862" s="176"/>
      <c r="Y862" s="176"/>
      <c r="Z862" s="177"/>
      <c r="AA862" s="176"/>
      <c r="AB862" s="176"/>
      <c r="AC862" s="176"/>
      <c r="AD862" s="178"/>
      <c r="AF862" s="179"/>
      <c r="AG862" s="179"/>
      <c r="AI862" s="180"/>
      <c r="AJ862" s="180"/>
      <c r="AK862" s="180"/>
      <c r="AL862" s="180"/>
      <c r="AM862" s="181"/>
      <c r="AN862" s="180"/>
      <c r="AO862" s="180"/>
      <c r="AP862" s="180"/>
    </row>
    <row r="863">
      <c r="D863" s="172"/>
      <c r="E863" s="172"/>
      <c r="G863" s="173"/>
      <c r="H863" s="173"/>
      <c r="I863" s="173"/>
      <c r="M863" s="173"/>
      <c r="R863" s="174"/>
      <c r="S863" s="174"/>
      <c r="T863" s="90"/>
      <c r="U863" s="176"/>
      <c r="V863" s="176"/>
      <c r="W863" s="176"/>
      <c r="X863" s="176"/>
      <c r="Y863" s="176"/>
      <c r="Z863" s="177"/>
      <c r="AA863" s="176"/>
      <c r="AB863" s="176"/>
      <c r="AC863" s="176"/>
      <c r="AD863" s="178"/>
      <c r="AF863" s="179"/>
      <c r="AG863" s="179"/>
      <c r="AI863" s="180"/>
      <c r="AJ863" s="180"/>
      <c r="AK863" s="180"/>
      <c r="AL863" s="180"/>
      <c r="AM863" s="181"/>
      <c r="AN863" s="180"/>
      <c r="AO863" s="180"/>
      <c r="AP863" s="180"/>
    </row>
    <row r="864">
      <c r="D864" s="172"/>
      <c r="E864" s="172"/>
      <c r="G864" s="173"/>
      <c r="H864" s="173"/>
      <c r="I864" s="173"/>
      <c r="M864" s="173"/>
      <c r="R864" s="174"/>
      <c r="S864" s="174"/>
      <c r="T864" s="90"/>
      <c r="U864" s="176"/>
      <c r="V864" s="176"/>
      <c r="W864" s="176"/>
      <c r="X864" s="176"/>
      <c r="Y864" s="176"/>
      <c r="Z864" s="177"/>
      <c r="AA864" s="176"/>
      <c r="AB864" s="176"/>
      <c r="AC864" s="176"/>
      <c r="AD864" s="178"/>
      <c r="AF864" s="179"/>
      <c r="AG864" s="179"/>
      <c r="AI864" s="180"/>
      <c r="AJ864" s="180"/>
      <c r="AK864" s="180"/>
      <c r="AL864" s="180"/>
      <c r="AM864" s="181"/>
      <c r="AN864" s="180"/>
      <c r="AO864" s="180"/>
      <c r="AP864" s="180"/>
    </row>
    <row r="865">
      <c r="D865" s="172"/>
      <c r="E865" s="172"/>
      <c r="G865" s="173"/>
      <c r="H865" s="173"/>
      <c r="I865" s="173"/>
      <c r="M865" s="173"/>
      <c r="R865" s="174"/>
      <c r="S865" s="174"/>
      <c r="T865" s="90"/>
      <c r="U865" s="176"/>
      <c r="V865" s="176"/>
      <c r="W865" s="176"/>
      <c r="X865" s="176"/>
      <c r="Y865" s="176"/>
      <c r="Z865" s="177"/>
      <c r="AA865" s="176"/>
      <c r="AB865" s="176"/>
      <c r="AC865" s="176"/>
      <c r="AD865" s="178"/>
      <c r="AF865" s="179"/>
      <c r="AG865" s="179"/>
      <c r="AI865" s="180"/>
      <c r="AJ865" s="180"/>
      <c r="AK865" s="180"/>
      <c r="AL865" s="180"/>
      <c r="AM865" s="181"/>
      <c r="AN865" s="180"/>
      <c r="AO865" s="180"/>
      <c r="AP865" s="180"/>
    </row>
    <row r="866">
      <c r="D866" s="172"/>
      <c r="E866" s="172"/>
      <c r="G866" s="173"/>
      <c r="H866" s="173"/>
      <c r="I866" s="173"/>
      <c r="M866" s="173"/>
      <c r="R866" s="174"/>
      <c r="S866" s="174"/>
      <c r="T866" s="90"/>
      <c r="U866" s="176"/>
      <c r="V866" s="176"/>
      <c r="W866" s="176"/>
      <c r="X866" s="176"/>
      <c r="Y866" s="176"/>
      <c r="Z866" s="177"/>
      <c r="AA866" s="176"/>
      <c r="AB866" s="176"/>
      <c r="AC866" s="176"/>
      <c r="AD866" s="178"/>
      <c r="AF866" s="179"/>
      <c r="AG866" s="179"/>
      <c r="AI866" s="180"/>
      <c r="AJ866" s="180"/>
      <c r="AK866" s="180"/>
      <c r="AL866" s="180"/>
      <c r="AM866" s="181"/>
      <c r="AN866" s="180"/>
      <c r="AO866" s="180"/>
      <c r="AP866" s="180"/>
    </row>
    <row r="867">
      <c r="D867" s="172"/>
      <c r="E867" s="172"/>
      <c r="G867" s="173"/>
      <c r="H867" s="173"/>
      <c r="I867" s="173"/>
      <c r="M867" s="173"/>
      <c r="R867" s="174"/>
      <c r="S867" s="174"/>
      <c r="T867" s="90"/>
      <c r="U867" s="176"/>
      <c r="V867" s="176"/>
      <c r="W867" s="176"/>
      <c r="X867" s="176"/>
      <c r="Y867" s="176"/>
      <c r="Z867" s="177"/>
      <c r="AA867" s="176"/>
      <c r="AB867" s="176"/>
      <c r="AC867" s="176"/>
      <c r="AD867" s="178"/>
      <c r="AF867" s="179"/>
      <c r="AG867" s="179"/>
      <c r="AI867" s="180"/>
      <c r="AJ867" s="180"/>
      <c r="AK867" s="180"/>
      <c r="AL867" s="180"/>
      <c r="AM867" s="181"/>
      <c r="AN867" s="180"/>
      <c r="AO867" s="180"/>
      <c r="AP867" s="180"/>
    </row>
    <row r="868">
      <c r="D868" s="172"/>
      <c r="E868" s="172"/>
      <c r="G868" s="173"/>
      <c r="H868" s="173"/>
      <c r="I868" s="173"/>
      <c r="M868" s="173"/>
      <c r="R868" s="174"/>
      <c r="S868" s="174"/>
      <c r="T868" s="90"/>
      <c r="U868" s="176"/>
      <c r="V868" s="176"/>
      <c r="W868" s="176"/>
      <c r="X868" s="176"/>
      <c r="Y868" s="176"/>
      <c r="Z868" s="177"/>
      <c r="AA868" s="176"/>
      <c r="AB868" s="176"/>
      <c r="AC868" s="176"/>
      <c r="AD868" s="178"/>
      <c r="AF868" s="179"/>
      <c r="AG868" s="179"/>
      <c r="AI868" s="180"/>
      <c r="AJ868" s="180"/>
      <c r="AK868" s="180"/>
      <c r="AL868" s="180"/>
      <c r="AM868" s="181"/>
      <c r="AN868" s="180"/>
      <c r="AO868" s="180"/>
      <c r="AP868" s="180"/>
    </row>
    <row r="869">
      <c r="D869" s="172"/>
      <c r="E869" s="172"/>
      <c r="G869" s="173"/>
      <c r="H869" s="173"/>
      <c r="I869" s="173"/>
      <c r="M869" s="173"/>
      <c r="R869" s="174"/>
      <c r="S869" s="174"/>
      <c r="T869" s="90"/>
      <c r="U869" s="176"/>
      <c r="V869" s="176"/>
      <c r="W869" s="176"/>
      <c r="X869" s="176"/>
      <c r="Y869" s="176"/>
      <c r="Z869" s="177"/>
      <c r="AA869" s="176"/>
      <c r="AB869" s="176"/>
      <c r="AC869" s="176"/>
      <c r="AD869" s="178"/>
      <c r="AF869" s="179"/>
      <c r="AG869" s="179"/>
      <c r="AI869" s="180"/>
      <c r="AJ869" s="180"/>
      <c r="AK869" s="180"/>
      <c r="AL869" s="180"/>
      <c r="AM869" s="181"/>
      <c r="AN869" s="180"/>
      <c r="AO869" s="180"/>
      <c r="AP869" s="180"/>
    </row>
    <row r="870">
      <c r="D870" s="172"/>
      <c r="E870" s="172"/>
      <c r="G870" s="173"/>
      <c r="H870" s="173"/>
      <c r="I870" s="173"/>
      <c r="M870" s="173"/>
      <c r="R870" s="174"/>
      <c r="S870" s="174"/>
      <c r="T870" s="90"/>
      <c r="U870" s="176"/>
      <c r="V870" s="176"/>
      <c r="W870" s="176"/>
      <c r="X870" s="176"/>
      <c r="Y870" s="176"/>
      <c r="Z870" s="177"/>
      <c r="AA870" s="176"/>
      <c r="AB870" s="176"/>
      <c r="AC870" s="176"/>
      <c r="AD870" s="178"/>
      <c r="AF870" s="179"/>
      <c r="AG870" s="179"/>
      <c r="AI870" s="180"/>
      <c r="AJ870" s="180"/>
      <c r="AK870" s="180"/>
      <c r="AL870" s="180"/>
      <c r="AM870" s="181"/>
      <c r="AN870" s="180"/>
      <c r="AO870" s="180"/>
      <c r="AP870" s="180"/>
    </row>
    <row r="871">
      <c r="D871" s="172"/>
      <c r="E871" s="172"/>
      <c r="G871" s="173"/>
      <c r="H871" s="173"/>
      <c r="I871" s="173"/>
      <c r="M871" s="173"/>
      <c r="R871" s="174"/>
      <c r="S871" s="174"/>
      <c r="T871" s="90"/>
      <c r="U871" s="176"/>
      <c r="V871" s="176"/>
      <c r="W871" s="176"/>
      <c r="X871" s="176"/>
      <c r="Y871" s="176"/>
      <c r="Z871" s="177"/>
      <c r="AA871" s="176"/>
      <c r="AB871" s="176"/>
      <c r="AC871" s="176"/>
      <c r="AD871" s="178"/>
      <c r="AF871" s="179"/>
      <c r="AG871" s="179"/>
      <c r="AI871" s="180"/>
      <c r="AJ871" s="180"/>
      <c r="AK871" s="180"/>
      <c r="AL871" s="180"/>
      <c r="AM871" s="181"/>
      <c r="AN871" s="180"/>
      <c r="AO871" s="180"/>
      <c r="AP871" s="180"/>
    </row>
    <row r="872">
      <c r="D872" s="172"/>
      <c r="E872" s="172"/>
      <c r="G872" s="173"/>
      <c r="H872" s="173"/>
      <c r="I872" s="173"/>
      <c r="M872" s="173"/>
      <c r="R872" s="174"/>
      <c r="S872" s="174"/>
      <c r="T872" s="90"/>
      <c r="U872" s="176"/>
      <c r="V872" s="176"/>
      <c r="W872" s="176"/>
      <c r="X872" s="176"/>
      <c r="Y872" s="176"/>
      <c r="Z872" s="177"/>
      <c r="AA872" s="176"/>
      <c r="AB872" s="176"/>
      <c r="AC872" s="176"/>
      <c r="AD872" s="178"/>
      <c r="AF872" s="179"/>
      <c r="AG872" s="179"/>
      <c r="AI872" s="180"/>
      <c r="AJ872" s="180"/>
      <c r="AK872" s="180"/>
      <c r="AL872" s="180"/>
      <c r="AM872" s="181"/>
      <c r="AN872" s="180"/>
      <c r="AO872" s="180"/>
      <c r="AP872" s="180"/>
    </row>
    <row r="873">
      <c r="D873" s="172"/>
      <c r="E873" s="172"/>
      <c r="G873" s="173"/>
      <c r="H873" s="173"/>
      <c r="I873" s="173"/>
      <c r="M873" s="173"/>
      <c r="R873" s="174"/>
      <c r="S873" s="174"/>
      <c r="T873" s="90"/>
      <c r="U873" s="176"/>
      <c r="V873" s="176"/>
      <c r="W873" s="176"/>
      <c r="X873" s="176"/>
      <c r="Y873" s="176"/>
      <c r="Z873" s="177"/>
      <c r="AA873" s="176"/>
      <c r="AB873" s="176"/>
      <c r="AC873" s="176"/>
      <c r="AD873" s="178"/>
      <c r="AF873" s="179"/>
      <c r="AG873" s="179"/>
      <c r="AI873" s="180"/>
      <c r="AJ873" s="180"/>
      <c r="AK873" s="180"/>
      <c r="AL873" s="180"/>
      <c r="AM873" s="181"/>
      <c r="AN873" s="180"/>
      <c r="AO873" s="180"/>
      <c r="AP873" s="180"/>
    </row>
    <row r="874">
      <c r="D874" s="172"/>
      <c r="E874" s="172"/>
      <c r="G874" s="173"/>
      <c r="H874" s="173"/>
      <c r="I874" s="173"/>
      <c r="M874" s="173"/>
      <c r="R874" s="174"/>
      <c r="S874" s="174"/>
      <c r="T874" s="90"/>
      <c r="U874" s="176"/>
      <c r="V874" s="176"/>
      <c r="W874" s="176"/>
      <c r="X874" s="176"/>
      <c r="Y874" s="176"/>
      <c r="Z874" s="177"/>
      <c r="AA874" s="176"/>
      <c r="AB874" s="176"/>
      <c r="AC874" s="176"/>
      <c r="AD874" s="178"/>
      <c r="AF874" s="179"/>
      <c r="AG874" s="179"/>
      <c r="AI874" s="180"/>
      <c r="AJ874" s="180"/>
      <c r="AK874" s="180"/>
      <c r="AL874" s="180"/>
      <c r="AM874" s="181"/>
      <c r="AN874" s="180"/>
      <c r="AO874" s="180"/>
      <c r="AP874" s="180"/>
    </row>
    <row r="875">
      <c r="D875" s="172"/>
      <c r="E875" s="172"/>
      <c r="G875" s="173"/>
      <c r="H875" s="173"/>
      <c r="I875" s="173"/>
      <c r="M875" s="173"/>
      <c r="R875" s="174"/>
      <c r="S875" s="174"/>
      <c r="T875" s="90"/>
      <c r="U875" s="176"/>
      <c r="V875" s="176"/>
      <c r="W875" s="176"/>
      <c r="X875" s="176"/>
      <c r="Y875" s="176"/>
      <c r="Z875" s="177"/>
      <c r="AA875" s="176"/>
      <c r="AB875" s="176"/>
      <c r="AC875" s="176"/>
      <c r="AD875" s="178"/>
      <c r="AF875" s="179"/>
      <c r="AG875" s="179"/>
      <c r="AI875" s="180"/>
      <c r="AJ875" s="180"/>
      <c r="AK875" s="180"/>
      <c r="AL875" s="180"/>
      <c r="AM875" s="181"/>
      <c r="AN875" s="180"/>
      <c r="AO875" s="180"/>
      <c r="AP875" s="180"/>
    </row>
    <row r="876">
      <c r="D876" s="172"/>
      <c r="E876" s="172"/>
      <c r="G876" s="173"/>
      <c r="H876" s="173"/>
      <c r="I876" s="173"/>
      <c r="M876" s="173"/>
      <c r="R876" s="174"/>
      <c r="S876" s="174"/>
      <c r="T876" s="90"/>
      <c r="U876" s="176"/>
      <c r="V876" s="176"/>
      <c r="W876" s="176"/>
      <c r="X876" s="176"/>
      <c r="Y876" s="176"/>
      <c r="Z876" s="177"/>
      <c r="AA876" s="176"/>
      <c r="AB876" s="176"/>
      <c r="AC876" s="176"/>
      <c r="AD876" s="178"/>
      <c r="AF876" s="179"/>
      <c r="AG876" s="179"/>
      <c r="AI876" s="180"/>
      <c r="AJ876" s="180"/>
      <c r="AK876" s="180"/>
      <c r="AL876" s="180"/>
      <c r="AM876" s="181"/>
      <c r="AN876" s="180"/>
      <c r="AO876" s="180"/>
      <c r="AP876" s="180"/>
    </row>
    <row r="877">
      <c r="D877" s="172"/>
      <c r="E877" s="172"/>
      <c r="G877" s="173"/>
      <c r="H877" s="173"/>
      <c r="I877" s="173"/>
      <c r="M877" s="173"/>
      <c r="R877" s="174"/>
      <c r="S877" s="174"/>
      <c r="T877" s="90"/>
      <c r="U877" s="176"/>
      <c r="V877" s="176"/>
      <c r="W877" s="176"/>
      <c r="X877" s="176"/>
      <c r="Y877" s="176"/>
      <c r="Z877" s="177"/>
      <c r="AA877" s="176"/>
      <c r="AB877" s="176"/>
      <c r="AC877" s="176"/>
      <c r="AD877" s="178"/>
      <c r="AF877" s="179"/>
      <c r="AG877" s="179"/>
      <c r="AI877" s="180"/>
      <c r="AJ877" s="180"/>
      <c r="AK877" s="180"/>
      <c r="AL877" s="180"/>
      <c r="AM877" s="181"/>
      <c r="AN877" s="180"/>
      <c r="AO877" s="180"/>
      <c r="AP877" s="180"/>
    </row>
    <row r="878">
      <c r="D878" s="172"/>
      <c r="E878" s="172"/>
      <c r="G878" s="173"/>
      <c r="H878" s="173"/>
      <c r="I878" s="173"/>
      <c r="M878" s="173"/>
      <c r="R878" s="174"/>
      <c r="S878" s="174"/>
      <c r="T878" s="90"/>
      <c r="U878" s="176"/>
      <c r="V878" s="176"/>
      <c r="W878" s="176"/>
      <c r="X878" s="176"/>
      <c r="Y878" s="176"/>
      <c r="Z878" s="177"/>
      <c r="AA878" s="176"/>
      <c r="AB878" s="176"/>
      <c r="AC878" s="176"/>
      <c r="AD878" s="178"/>
      <c r="AF878" s="179"/>
      <c r="AG878" s="179"/>
      <c r="AI878" s="180"/>
      <c r="AJ878" s="180"/>
      <c r="AK878" s="180"/>
      <c r="AL878" s="180"/>
      <c r="AM878" s="181"/>
      <c r="AN878" s="180"/>
      <c r="AO878" s="180"/>
      <c r="AP878" s="180"/>
    </row>
    <row r="879">
      <c r="D879" s="172"/>
      <c r="E879" s="172"/>
      <c r="G879" s="173"/>
      <c r="H879" s="173"/>
      <c r="I879" s="173"/>
      <c r="M879" s="173"/>
      <c r="R879" s="174"/>
      <c r="S879" s="174"/>
      <c r="T879" s="90"/>
      <c r="U879" s="176"/>
      <c r="V879" s="176"/>
      <c r="W879" s="176"/>
      <c r="X879" s="176"/>
      <c r="Y879" s="176"/>
      <c r="Z879" s="177"/>
      <c r="AA879" s="176"/>
      <c r="AB879" s="176"/>
      <c r="AC879" s="176"/>
      <c r="AD879" s="178"/>
      <c r="AF879" s="179"/>
      <c r="AG879" s="179"/>
      <c r="AI879" s="180"/>
      <c r="AJ879" s="180"/>
      <c r="AK879" s="180"/>
      <c r="AL879" s="180"/>
      <c r="AM879" s="181"/>
      <c r="AN879" s="180"/>
      <c r="AO879" s="180"/>
      <c r="AP879" s="180"/>
    </row>
    <row r="880">
      <c r="D880" s="172"/>
      <c r="E880" s="172"/>
      <c r="G880" s="173"/>
      <c r="H880" s="173"/>
      <c r="I880" s="173"/>
      <c r="M880" s="173"/>
      <c r="R880" s="174"/>
      <c r="S880" s="174"/>
      <c r="T880" s="90"/>
      <c r="U880" s="176"/>
      <c r="V880" s="176"/>
      <c r="W880" s="176"/>
      <c r="X880" s="176"/>
      <c r="Y880" s="176"/>
      <c r="Z880" s="177"/>
      <c r="AA880" s="176"/>
      <c r="AB880" s="176"/>
      <c r="AC880" s="176"/>
      <c r="AD880" s="178"/>
      <c r="AF880" s="179"/>
      <c r="AG880" s="179"/>
      <c r="AI880" s="180"/>
      <c r="AJ880" s="180"/>
      <c r="AK880" s="180"/>
      <c r="AL880" s="180"/>
      <c r="AM880" s="181"/>
      <c r="AN880" s="180"/>
      <c r="AO880" s="180"/>
      <c r="AP880" s="180"/>
    </row>
    <row r="881">
      <c r="D881" s="172"/>
      <c r="E881" s="172"/>
      <c r="G881" s="173"/>
      <c r="H881" s="173"/>
      <c r="I881" s="173"/>
      <c r="M881" s="173"/>
      <c r="R881" s="174"/>
      <c r="S881" s="174"/>
      <c r="T881" s="90"/>
      <c r="U881" s="176"/>
      <c r="V881" s="176"/>
      <c r="W881" s="176"/>
      <c r="X881" s="176"/>
      <c r="Y881" s="176"/>
      <c r="Z881" s="177"/>
      <c r="AA881" s="176"/>
      <c r="AB881" s="176"/>
      <c r="AC881" s="176"/>
      <c r="AD881" s="178"/>
      <c r="AF881" s="179"/>
      <c r="AG881" s="179"/>
      <c r="AI881" s="180"/>
      <c r="AJ881" s="180"/>
      <c r="AK881" s="180"/>
      <c r="AL881" s="180"/>
      <c r="AM881" s="181"/>
      <c r="AN881" s="180"/>
      <c r="AO881" s="180"/>
      <c r="AP881" s="180"/>
    </row>
    <row r="882">
      <c r="D882" s="172"/>
      <c r="E882" s="172"/>
      <c r="G882" s="173"/>
      <c r="H882" s="173"/>
      <c r="I882" s="173"/>
      <c r="M882" s="173"/>
      <c r="R882" s="174"/>
      <c r="S882" s="174"/>
      <c r="T882" s="90"/>
      <c r="U882" s="176"/>
      <c r="V882" s="176"/>
      <c r="W882" s="176"/>
      <c r="X882" s="176"/>
      <c r="Y882" s="176"/>
      <c r="Z882" s="177"/>
      <c r="AA882" s="176"/>
      <c r="AB882" s="176"/>
      <c r="AC882" s="176"/>
      <c r="AD882" s="178"/>
      <c r="AF882" s="179"/>
      <c r="AG882" s="179"/>
      <c r="AI882" s="180"/>
      <c r="AJ882" s="180"/>
      <c r="AK882" s="180"/>
      <c r="AL882" s="180"/>
      <c r="AM882" s="181"/>
      <c r="AN882" s="180"/>
      <c r="AO882" s="180"/>
      <c r="AP882" s="180"/>
    </row>
    <row r="883">
      <c r="D883" s="172"/>
      <c r="E883" s="172"/>
      <c r="G883" s="173"/>
      <c r="H883" s="173"/>
      <c r="I883" s="173"/>
      <c r="M883" s="173"/>
      <c r="R883" s="174"/>
      <c r="S883" s="174"/>
      <c r="T883" s="90"/>
      <c r="U883" s="176"/>
      <c r="V883" s="176"/>
      <c r="W883" s="176"/>
      <c r="X883" s="176"/>
      <c r="Y883" s="176"/>
      <c r="Z883" s="177"/>
      <c r="AA883" s="176"/>
      <c r="AB883" s="176"/>
      <c r="AC883" s="176"/>
      <c r="AD883" s="178"/>
      <c r="AF883" s="179"/>
      <c r="AG883" s="179"/>
      <c r="AI883" s="180"/>
      <c r="AJ883" s="180"/>
      <c r="AK883" s="180"/>
      <c r="AL883" s="180"/>
      <c r="AM883" s="181"/>
      <c r="AN883" s="180"/>
      <c r="AO883" s="180"/>
      <c r="AP883" s="180"/>
    </row>
    <row r="884">
      <c r="D884" s="172"/>
      <c r="E884" s="172"/>
      <c r="G884" s="173"/>
      <c r="H884" s="173"/>
      <c r="I884" s="173"/>
      <c r="M884" s="173"/>
      <c r="R884" s="174"/>
      <c r="S884" s="174"/>
      <c r="T884" s="90"/>
      <c r="U884" s="176"/>
      <c r="V884" s="176"/>
      <c r="W884" s="176"/>
      <c r="X884" s="176"/>
      <c r="Y884" s="176"/>
      <c r="Z884" s="177"/>
      <c r="AA884" s="176"/>
      <c r="AB884" s="176"/>
      <c r="AC884" s="176"/>
      <c r="AD884" s="178"/>
      <c r="AF884" s="179"/>
      <c r="AG884" s="179"/>
      <c r="AI884" s="180"/>
      <c r="AJ884" s="180"/>
      <c r="AK884" s="180"/>
      <c r="AL884" s="180"/>
      <c r="AM884" s="181"/>
      <c r="AN884" s="180"/>
      <c r="AO884" s="180"/>
      <c r="AP884" s="180"/>
    </row>
    <row r="885">
      <c r="D885" s="172"/>
      <c r="E885" s="172"/>
      <c r="G885" s="173"/>
      <c r="H885" s="173"/>
      <c r="I885" s="173"/>
      <c r="M885" s="173"/>
      <c r="R885" s="174"/>
      <c r="S885" s="174"/>
      <c r="T885" s="90"/>
      <c r="U885" s="176"/>
      <c r="V885" s="176"/>
      <c r="W885" s="176"/>
      <c r="X885" s="176"/>
      <c r="Y885" s="176"/>
      <c r="Z885" s="177"/>
      <c r="AA885" s="176"/>
      <c r="AB885" s="176"/>
      <c r="AC885" s="176"/>
      <c r="AD885" s="178"/>
      <c r="AF885" s="179"/>
      <c r="AG885" s="179"/>
      <c r="AI885" s="180"/>
      <c r="AJ885" s="180"/>
      <c r="AK885" s="180"/>
      <c r="AL885" s="180"/>
      <c r="AM885" s="181"/>
      <c r="AN885" s="180"/>
      <c r="AO885" s="180"/>
      <c r="AP885" s="180"/>
    </row>
    <row r="886">
      <c r="D886" s="172"/>
      <c r="E886" s="172"/>
      <c r="G886" s="173"/>
      <c r="H886" s="173"/>
      <c r="I886" s="173"/>
      <c r="M886" s="173"/>
      <c r="R886" s="174"/>
      <c r="S886" s="174"/>
      <c r="T886" s="90"/>
      <c r="U886" s="176"/>
      <c r="V886" s="176"/>
      <c r="W886" s="176"/>
      <c r="X886" s="176"/>
      <c r="Y886" s="176"/>
      <c r="Z886" s="177"/>
      <c r="AA886" s="176"/>
      <c r="AB886" s="176"/>
      <c r="AC886" s="176"/>
      <c r="AD886" s="178"/>
      <c r="AF886" s="179"/>
      <c r="AG886" s="179"/>
      <c r="AI886" s="180"/>
      <c r="AJ886" s="180"/>
      <c r="AK886" s="180"/>
      <c r="AL886" s="180"/>
      <c r="AM886" s="181"/>
      <c r="AN886" s="180"/>
      <c r="AO886" s="180"/>
      <c r="AP886" s="180"/>
    </row>
    <row r="887">
      <c r="D887" s="172"/>
      <c r="E887" s="172"/>
      <c r="G887" s="173"/>
      <c r="H887" s="173"/>
      <c r="I887" s="173"/>
      <c r="M887" s="173"/>
      <c r="R887" s="174"/>
      <c r="S887" s="174"/>
      <c r="T887" s="90"/>
      <c r="U887" s="176"/>
      <c r="V887" s="176"/>
      <c r="W887" s="176"/>
      <c r="X887" s="176"/>
      <c r="Y887" s="176"/>
      <c r="Z887" s="177"/>
      <c r="AA887" s="176"/>
      <c r="AB887" s="176"/>
      <c r="AC887" s="176"/>
      <c r="AD887" s="178"/>
      <c r="AF887" s="179"/>
      <c r="AG887" s="179"/>
      <c r="AI887" s="180"/>
      <c r="AJ887" s="180"/>
      <c r="AK887" s="180"/>
      <c r="AL887" s="180"/>
      <c r="AM887" s="181"/>
      <c r="AN887" s="180"/>
      <c r="AO887" s="180"/>
      <c r="AP887" s="180"/>
    </row>
    <row r="888">
      <c r="D888" s="172"/>
      <c r="E888" s="172"/>
      <c r="G888" s="173"/>
      <c r="H888" s="173"/>
      <c r="I888" s="173"/>
      <c r="M888" s="173"/>
      <c r="R888" s="174"/>
      <c r="S888" s="174"/>
      <c r="T888" s="90"/>
      <c r="U888" s="176"/>
      <c r="V888" s="176"/>
      <c r="W888" s="176"/>
      <c r="X888" s="176"/>
      <c r="Y888" s="176"/>
      <c r="Z888" s="177"/>
      <c r="AA888" s="176"/>
      <c r="AB888" s="176"/>
      <c r="AC888" s="176"/>
      <c r="AD888" s="178"/>
      <c r="AF888" s="179"/>
      <c r="AG888" s="179"/>
      <c r="AI888" s="180"/>
      <c r="AJ888" s="180"/>
      <c r="AK888" s="180"/>
      <c r="AL888" s="180"/>
      <c r="AM888" s="181"/>
      <c r="AN888" s="180"/>
      <c r="AO888" s="180"/>
      <c r="AP888" s="180"/>
    </row>
    <row r="889">
      <c r="D889" s="172"/>
      <c r="E889" s="172"/>
      <c r="G889" s="173"/>
      <c r="H889" s="173"/>
      <c r="I889" s="173"/>
      <c r="M889" s="173"/>
      <c r="R889" s="174"/>
      <c r="S889" s="174"/>
      <c r="T889" s="90"/>
      <c r="U889" s="176"/>
      <c r="V889" s="176"/>
      <c r="W889" s="176"/>
      <c r="X889" s="176"/>
      <c r="Y889" s="176"/>
      <c r="Z889" s="177"/>
      <c r="AA889" s="176"/>
      <c r="AB889" s="176"/>
      <c r="AC889" s="176"/>
      <c r="AD889" s="178"/>
      <c r="AF889" s="179"/>
      <c r="AG889" s="179"/>
      <c r="AI889" s="180"/>
      <c r="AJ889" s="180"/>
      <c r="AK889" s="180"/>
      <c r="AL889" s="180"/>
      <c r="AM889" s="181"/>
      <c r="AN889" s="180"/>
      <c r="AO889" s="180"/>
      <c r="AP889" s="180"/>
    </row>
    <row r="890">
      <c r="D890" s="172"/>
      <c r="E890" s="172"/>
      <c r="G890" s="173"/>
      <c r="H890" s="173"/>
      <c r="I890" s="173"/>
      <c r="M890" s="173"/>
      <c r="R890" s="174"/>
      <c r="S890" s="174"/>
      <c r="T890" s="90"/>
      <c r="U890" s="176"/>
      <c r="V890" s="176"/>
      <c r="W890" s="176"/>
      <c r="X890" s="176"/>
      <c r="Y890" s="176"/>
      <c r="Z890" s="177"/>
      <c r="AA890" s="176"/>
      <c r="AB890" s="176"/>
      <c r="AC890" s="176"/>
      <c r="AD890" s="178"/>
      <c r="AF890" s="179"/>
      <c r="AG890" s="179"/>
      <c r="AI890" s="180"/>
      <c r="AJ890" s="180"/>
      <c r="AK890" s="180"/>
      <c r="AL890" s="180"/>
      <c r="AM890" s="181"/>
      <c r="AN890" s="180"/>
      <c r="AO890" s="180"/>
      <c r="AP890" s="180"/>
    </row>
    <row r="891">
      <c r="D891" s="172"/>
      <c r="E891" s="172"/>
      <c r="G891" s="173"/>
      <c r="H891" s="173"/>
      <c r="I891" s="173"/>
      <c r="M891" s="173"/>
      <c r="R891" s="174"/>
      <c r="S891" s="174"/>
      <c r="T891" s="90"/>
      <c r="U891" s="176"/>
      <c r="V891" s="176"/>
      <c r="W891" s="176"/>
      <c r="X891" s="176"/>
      <c r="Y891" s="176"/>
      <c r="Z891" s="177"/>
      <c r="AA891" s="176"/>
      <c r="AB891" s="176"/>
      <c r="AC891" s="176"/>
      <c r="AD891" s="178"/>
      <c r="AF891" s="179"/>
      <c r="AG891" s="179"/>
      <c r="AI891" s="180"/>
      <c r="AJ891" s="180"/>
      <c r="AK891" s="180"/>
      <c r="AL891" s="180"/>
      <c r="AM891" s="181"/>
      <c r="AN891" s="180"/>
      <c r="AO891" s="180"/>
      <c r="AP891" s="180"/>
    </row>
    <row r="892">
      <c r="D892" s="172"/>
      <c r="E892" s="172"/>
      <c r="G892" s="173"/>
      <c r="H892" s="173"/>
      <c r="I892" s="173"/>
      <c r="M892" s="173"/>
      <c r="R892" s="174"/>
      <c r="S892" s="174"/>
      <c r="T892" s="90"/>
      <c r="U892" s="176"/>
      <c r="V892" s="176"/>
      <c r="W892" s="176"/>
      <c r="X892" s="176"/>
      <c r="Y892" s="176"/>
      <c r="Z892" s="177"/>
      <c r="AA892" s="176"/>
      <c r="AB892" s="176"/>
      <c r="AC892" s="176"/>
      <c r="AD892" s="178"/>
      <c r="AF892" s="179"/>
      <c r="AG892" s="179"/>
      <c r="AI892" s="180"/>
      <c r="AJ892" s="180"/>
      <c r="AK892" s="180"/>
      <c r="AL892" s="180"/>
      <c r="AM892" s="181"/>
      <c r="AN892" s="180"/>
      <c r="AO892" s="180"/>
      <c r="AP892" s="180"/>
    </row>
    <row r="893">
      <c r="D893" s="172"/>
      <c r="E893" s="172"/>
      <c r="G893" s="173"/>
      <c r="H893" s="173"/>
      <c r="I893" s="173"/>
      <c r="M893" s="173"/>
      <c r="R893" s="174"/>
      <c r="S893" s="174"/>
      <c r="T893" s="90"/>
      <c r="U893" s="176"/>
      <c r="V893" s="176"/>
      <c r="W893" s="176"/>
      <c r="X893" s="176"/>
      <c r="Y893" s="176"/>
      <c r="Z893" s="177"/>
      <c r="AA893" s="176"/>
      <c r="AB893" s="176"/>
      <c r="AC893" s="176"/>
      <c r="AD893" s="178"/>
      <c r="AF893" s="179"/>
      <c r="AG893" s="179"/>
      <c r="AI893" s="180"/>
      <c r="AJ893" s="180"/>
      <c r="AK893" s="180"/>
      <c r="AL893" s="180"/>
      <c r="AM893" s="181"/>
      <c r="AN893" s="180"/>
      <c r="AO893" s="180"/>
      <c r="AP893" s="180"/>
    </row>
    <row r="894">
      <c r="D894" s="172"/>
      <c r="E894" s="172"/>
      <c r="G894" s="173"/>
      <c r="H894" s="173"/>
      <c r="I894" s="173"/>
      <c r="M894" s="173"/>
      <c r="R894" s="174"/>
      <c r="S894" s="174"/>
      <c r="T894" s="90"/>
      <c r="U894" s="176"/>
      <c r="V894" s="176"/>
      <c r="W894" s="176"/>
      <c r="X894" s="176"/>
      <c r="Y894" s="176"/>
      <c r="Z894" s="177"/>
      <c r="AA894" s="176"/>
      <c r="AB894" s="176"/>
      <c r="AC894" s="176"/>
      <c r="AD894" s="178"/>
      <c r="AF894" s="179"/>
      <c r="AG894" s="179"/>
      <c r="AI894" s="180"/>
      <c r="AJ894" s="180"/>
      <c r="AK894" s="180"/>
      <c r="AL894" s="180"/>
      <c r="AM894" s="181"/>
      <c r="AN894" s="180"/>
      <c r="AO894" s="180"/>
      <c r="AP894" s="180"/>
    </row>
    <row r="895">
      <c r="D895" s="172"/>
      <c r="E895" s="172"/>
      <c r="G895" s="173"/>
      <c r="H895" s="173"/>
      <c r="I895" s="173"/>
      <c r="M895" s="173"/>
      <c r="R895" s="174"/>
      <c r="S895" s="174"/>
      <c r="T895" s="90"/>
      <c r="U895" s="176"/>
      <c r="V895" s="176"/>
      <c r="W895" s="176"/>
      <c r="X895" s="176"/>
      <c r="Y895" s="176"/>
      <c r="Z895" s="177"/>
      <c r="AA895" s="176"/>
      <c r="AB895" s="176"/>
      <c r="AC895" s="176"/>
      <c r="AD895" s="178"/>
      <c r="AF895" s="179"/>
      <c r="AG895" s="179"/>
      <c r="AI895" s="180"/>
      <c r="AJ895" s="180"/>
      <c r="AK895" s="180"/>
      <c r="AL895" s="180"/>
      <c r="AM895" s="181"/>
      <c r="AN895" s="180"/>
      <c r="AO895" s="180"/>
      <c r="AP895" s="180"/>
    </row>
    <row r="896">
      <c r="D896" s="172"/>
      <c r="E896" s="172"/>
      <c r="G896" s="173"/>
      <c r="H896" s="173"/>
      <c r="I896" s="173"/>
      <c r="M896" s="173"/>
      <c r="R896" s="174"/>
      <c r="S896" s="174"/>
      <c r="T896" s="90"/>
      <c r="U896" s="176"/>
      <c r="V896" s="176"/>
      <c r="W896" s="176"/>
      <c r="X896" s="176"/>
      <c r="Y896" s="176"/>
      <c r="Z896" s="177"/>
      <c r="AA896" s="176"/>
      <c r="AB896" s="176"/>
      <c r="AC896" s="176"/>
      <c r="AD896" s="178"/>
      <c r="AF896" s="179"/>
      <c r="AG896" s="179"/>
      <c r="AI896" s="180"/>
      <c r="AJ896" s="180"/>
      <c r="AK896" s="180"/>
      <c r="AL896" s="180"/>
      <c r="AM896" s="181"/>
      <c r="AN896" s="180"/>
      <c r="AO896" s="180"/>
      <c r="AP896" s="180"/>
    </row>
    <row r="897">
      <c r="D897" s="172"/>
      <c r="E897" s="172"/>
      <c r="G897" s="173"/>
      <c r="H897" s="173"/>
      <c r="I897" s="173"/>
      <c r="M897" s="173"/>
      <c r="R897" s="174"/>
      <c r="S897" s="174"/>
      <c r="T897" s="90"/>
      <c r="U897" s="176"/>
      <c r="V897" s="176"/>
      <c r="W897" s="176"/>
      <c r="X897" s="176"/>
      <c r="Y897" s="176"/>
      <c r="Z897" s="177"/>
      <c r="AA897" s="176"/>
      <c r="AB897" s="176"/>
      <c r="AC897" s="176"/>
      <c r="AD897" s="178"/>
      <c r="AF897" s="179"/>
      <c r="AG897" s="179"/>
      <c r="AI897" s="180"/>
      <c r="AJ897" s="180"/>
      <c r="AK897" s="180"/>
      <c r="AL897" s="180"/>
      <c r="AM897" s="181"/>
      <c r="AN897" s="180"/>
      <c r="AO897" s="180"/>
      <c r="AP897" s="180"/>
    </row>
    <row r="898">
      <c r="D898" s="172"/>
      <c r="E898" s="172"/>
      <c r="G898" s="173"/>
      <c r="H898" s="173"/>
      <c r="I898" s="173"/>
      <c r="M898" s="173"/>
      <c r="R898" s="174"/>
      <c r="S898" s="174"/>
      <c r="T898" s="90"/>
      <c r="U898" s="176"/>
      <c r="V898" s="176"/>
      <c r="W898" s="176"/>
      <c r="X898" s="176"/>
      <c r="Y898" s="176"/>
      <c r="Z898" s="177"/>
      <c r="AA898" s="176"/>
      <c r="AB898" s="176"/>
      <c r="AC898" s="176"/>
      <c r="AD898" s="178"/>
      <c r="AF898" s="179"/>
      <c r="AG898" s="179"/>
      <c r="AI898" s="180"/>
      <c r="AJ898" s="180"/>
      <c r="AK898" s="180"/>
      <c r="AL898" s="180"/>
      <c r="AM898" s="181"/>
      <c r="AN898" s="180"/>
      <c r="AO898" s="180"/>
      <c r="AP898" s="180"/>
    </row>
    <row r="899">
      <c r="D899" s="172"/>
      <c r="E899" s="172"/>
      <c r="G899" s="173"/>
      <c r="H899" s="173"/>
      <c r="I899" s="173"/>
      <c r="M899" s="173"/>
      <c r="R899" s="174"/>
      <c r="S899" s="174"/>
      <c r="T899" s="90"/>
      <c r="U899" s="176"/>
      <c r="V899" s="176"/>
      <c r="W899" s="176"/>
      <c r="X899" s="176"/>
      <c r="Y899" s="176"/>
      <c r="Z899" s="177"/>
      <c r="AA899" s="176"/>
      <c r="AB899" s="176"/>
      <c r="AC899" s="176"/>
      <c r="AD899" s="178"/>
      <c r="AF899" s="179"/>
      <c r="AG899" s="179"/>
      <c r="AI899" s="180"/>
      <c r="AJ899" s="180"/>
      <c r="AK899" s="180"/>
      <c r="AL899" s="180"/>
      <c r="AM899" s="181"/>
      <c r="AN899" s="180"/>
      <c r="AO899" s="180"/>
      <c r="AP899" s="180"/>
    </row>
    <row r="900">
      <c r="D900" s="172"/>
      <c r="E900" s="172"/>
      <c r="G900" s="173"/>
      <c r="H900" s="173"/>
      <c r="I900" s="173"/>
      <c r="M900" s="173"/>
      <c r="R900" s="174"/>
      <c r="S900" s="174"/>
      <c r="T900" s="90"/>
      <c r="U900" s="176"/>
      <c r="V900" s="176"/>
      <c r="W900" s="176"/>
      <c r="X900" s="176"/>
      <c r="Y900" s="176"/>
      <c r="Z900" s="177"/>
      <c r="AA900" s="176"/>
      <c r="AB900" s="176"/>
      <c r="AC900" s="176"/>
      <c r="AD900" s="178"/>
      <c r="AF900" s="179"/>
      <c r="AG900" s="179"/>
      <c r="AI900" s="180"/>
      <c r="AJ900" s="180"/>
      <c r="AK900" s="180"/>
      <c r="AL900" s="180"/>
      <c r="AM900" s="181"/>
      <c r="AN900" s="180"/>
      <c r="AO900" s="180"/>
      <c r="AP900" s="180"/>
    </row>
    <row r="901">
      <c r="D901" s="172"/>
      <c r="E901" s="172"/>
      <c r="G901" s="173"/>
      <c r="H901" s="173"/>
      <c r="I901" s="173"/>
      <c r="M901" s="173"/>
      <c r="R901" s="174"/>
      <c r="S901" s="174"/>
      <c r="T901" s="90"/>
      <c r="U901" s="176"/>
      <c r="V901" s="176"/>
      <c r="W901" s="176"/>
      <c r="X901" s="176"/>
      <c r="Y901" s="176"/>
      <c r="Z901" s="177"/>
      <c r="AA901" s="176"/>
      <c r="AB901" s="176"/>
      <c r="AC901" s="176"/>
      <c r="AD901" s="178"/>
      <c r="AF901" s="179"/>
      <c r="AG901" s="179"/>
      <c r="AI901" s="180"/>
      <c r="AJ901" s="180"/>
      <c r="AK901" s="180"/>
      <c r="AL901" s="180"/>
      <c r="AM901" s="181"/>
      <c r="AN901" s="180"/>
      <c r="AO901" s="180"/>
      <c r="AP901" s="180"/>
    </row>
    <row r="902">
      <c r="D902" s="172"/>
      <c r="E902" s="172"/>
      <c r="G902" s="173"/>
      <c r="H902" s="173"/>
      <c r="I902" s="173"/>
      <c r="M902" s="173"/>
      <c r="R902" s="174"/>
      <c r="S902" s="174"/>
      <c r="T902" s="90"/>
      <c r="U902" s="176"/>
      <c r="V902" s="176"/>
      <c r="W902" s="176"/>
      <c r="X902" s="176"/>
      <c r="Y902" s="176"/>
      <c r="Z902" s="177"/>
      <c r="AA902" s="176"/>
      <c r="AB902" s="176"/>
      <c r="AC902" s="176"/>
      <c r="AD902" s="178"/>
      <c r="AF902" s="179"/>
      <c r="AG902" s="179"/>
      <c r="AI902" s="180"/>
      <c r="AJ902" s="180"/>
      <c r="AK902" s="180"/>
      <c r="AL902" s="180"/>
      <c r="AM902" s="181"/>
      <c r="AN902" s="180"/>
      <c r="AO902" s="180"/>
      <c r="AP902" s="180"/>
    </row>
    <row r="903">
      <c r="D903" s="172"/>
      <c r="E903" s="172"/>
      <c r="G903" s="173"/>
      <c r="H903" s="173"/>
      <c r="I903" s="173"/>
      <c r="M903" s="173"/>
      <c r="R903" s="174"/>
      <c r="S903" s="174"/>
      <c r="T903" s="90"/>
      <c r="U903" s="176"/>
      <c r="V903" s="176"/>
      <c r="W903" s="176"/>
      <c r="X903" s="176"/>
      <c r="Y903" s="176"/>
      <c r="Z903" s="177"/>
      <c r="AA903" s="176"/>
      <c r="AB903" s="176"/>
      <c r="AC903" s="176"/>
      <c r="AD903" s="178"/>
      <c r="AF903" s="179"/>
      <c r="AG903" s="179"/>
      <c r="AI903" s="180"/>
      <c r="AJ903" s="180"/>
      <c r="AK903" s="180"/>
      <c r="AL903" s="180"/>
      <c r="AM903" s="181"/>
      <c r="AN903" s="180"/>
      <c r="AO903" s="180"/>
      <c r="AP903" s="180"/>
    </row>
    <row r="904">
      <c r="D904" s="172"/>
      <c r="E904" s="172"/>
      <c r="G904" s="173"/>
      <c r="H904" s="173"/>
      <c r="I904" s="173"/>
      <c r="M904" s="173"/>
      <c r="R904" s="174"/>
      <c r="S904" s="174"/>
      <c r="T904" s="90"/>
      <c r="U904" s="176"/>
      <c r="V904" s="176"/>
      <c r="W904" s="176"/>
      <c r="X904" s="176"/>
      <c r="Y904" s="176"/>
      <c r="Z904" s="177"/>
      <c r="AA904" s="176"/>
      <c r="AB904" s="176"/>
      <c r="AC904" s="176"/>
      <c r="AD904" s="178"/>
      <c r="AF904" s="179"/>
      <c r="AG904" s="179"/>
      <c r="AI904" s="180"/>
      <c r="AJ904" s="180"/>
      <c r="AK904" s="180"/>
      <c r="AL904" s="180"/>
      <c r="AM904" s="181"/>
      <c r="AN904" s="180"/>
      <c r="AO904" s="180"/>
      <c r="AP904" s="180"/>
    </row>
    <row r="905">
      <c r="D905" s="172"/>
      <c r="E905" s="172"/>
      <c r="G905" s="173"/>
      <c r="H905" s="173"/>
      <c r="I905" s="173"/>
      <c r="M905" s="173"/>
      <c r="R905" s="174"/>
      <c r="S905" s="174"/>
      <c r="T905" s="90"/>
      <c r="U905" s="176"/>
      <c r="V905" s="176"/>
      <c r="W905" s="176"/>
      <c r="X905" s="176"/>
      <c r="Y905" s="176"/>
      <c r="Z905" s="177"/>
      <c r="AA905" s="176"/>
      <c r="AB905" s="176"/>
      <c r="AC905" s="176"/>
      <c r="AD905" s="178"/>
      <c r="AF905" s="179"/>
      <c r="AG905" s="179"/>
      <c r="AI905" s="180"/>
      <c r="AJ905" s="180"/>
      <c r="AK905" s="180"/>
      <c r="AL905" s="180"/>
      <c r="AM905" s="181"/>
      <c r="AN905" s="180"/>
      <c r="AO905" s="180"/>
      <c r="AP905" s="180"/>
    </row>
    <row r="906">
      <c r="D906" s="172"/>
      <c r="E906" s="172"/>
      <c r="G906" s="173"/>
      <c r="H906" s="173"/>
      <c r="I906" s="173"/>
      <c r="M906" s="173"/>
      <c r="R906" s="174"/>
      <c r="S906" s="174"/>
      <c r="T906" s="90"/>
      <c r="U906" s="176"/>
      <c r="V906" s="176"/>
      <c r="W906" s="176"/>
      <c r="X906" s="176"/>
      <c r="Y906" s="176"/>
      <c r="Z906" s="177"/>
      <c r="AA906" s="176"/>
      <c r="AB906" s="176"/>
      <c r="AC906" s="176"/>
      <c r="AD906" s="178"/>
      <c r="AF906" s="179"/>
      <c r="AG906" s="179"/>
      <c r="AI906" s="180"/>
      <c r="AJ906" s="180"/>
      <c r="AK906" s="180"/>
      <c r="AL906" s="180"/>
      <c r="AM906" s="181"/>
      <c r="AN906" s="180"/>
      <c r="AO906" s="180"/>
      <c r="AP906" s="180"/>
    </row>
    <row r="907">
      <c r="D907" s="172"/>
      <c r="E907" s="172"/>
      <c r="G907" s="173"/>
      <c r="H907" s="173"/>
      <c r="I907" s="173"/>
      <c r="M907" s="173"/>
      <c r="R907" s="174"/>
      <c r="S907" s="174"/>
      <c r="T907" s="90"/>
      <c r="U907" s="176"/>
      <c r="V907" s="176"/>
      <c r="W907" s="176"/>
      <c r="X907" s="176"/>
      <c r="Y907" s="176"/>
      <c r="Z907" s="177"/>
      <c r="AA907" s="176"/>
      <c r="AB907" s="176"/>
      <c r="AC907" s="176"/>
      <c r="AD907" s="178"/>
      <c r="AF907" s="179"/>
      <c r="AG907" s="179"/>
      <c r="AI907" s="180"/>
      <c r="AJ907" s="180"/>
      <c r="AK907" s="180"/>
      <c r="AL907" s="180"/>
      <c r="AM907" s="181"/>
      <c r="AN907" s="180"/>
      <c r="AO907" s="180"/>
      <c r="AP907" s="180"/>
    </row>
    <row r="908">
      <c r="D908" s="172"/>
      <c r="E908" s="172"/>
      <c r="G908" s="173"/>
      <c r="H908" s="173"/>
      <c r="I908" s="173"/>
      <c r="M908" s="173"/>
      <c r="R908" s="174"/>
      <c r="S908" s="174"/>
      <c r="T908" s="90"/>
      <c r="U908" s="176"/>
      <c r="V908" s="176"/>
      <c r="W908" s="176"/>
      <c r="X908" s="176"/>
      <c r="Y908" s="176"/>
      <c r="Z908" s="177"/>
      <c r="AA908" s="176"/>
      <c r="AB908" s="176"/>
      <c r="AC908" s="176"/>
      <c r="AD908" s="178"/>
      <c r="AF908" s="179"/>
      <c r="AG908" s="179"/>
      <c r="AI908" s="180"/>
      <c r="AJ908" s="180"/>
      <c r="AK908" s="180"/>
      <c r="AL908" s="180"/>
      <c r="AM908" s="181"/>
      <c r="AN908" s="180"/>
      <c r="AO908" s="180"/>
      <c r="AP908" s="180"/>
    </row>
    <row r="909">
      <c r="D909" s="172"/>
      <c r="E909" s="172"/>
      <c r="G909" s="173"/>
      <c r="H909" s="173"/>
      <c r="I909" s="173"/>
      <c r="M909" s="173"/>
      <c r="R909" s="174"/>
      <c r="S909" s="174"/>
      <c r="T909" s="90"/>
      <c r="U909" s="176"/>
      <c r="V909" s="176"/>
      <c r="W909" s="176"/>
      <c r="X909" s="176"/>
      <c r="Y909" s="176"/>
      <c r="Z909" s="177"/>
      <c r="AA909" s="176"/>
      <c r="AB909" s="176"/>
      <c r="AC909" s="176"/>
      <c r="AD909" s="178"/>
      <c r="AF909" s="179"/>
      <c r="AG909" s="179"/>
      <c r="AI909" s="180"/>
      <c r="AJ909" s="180"/>
      <c r="AK909" s="180"/>
      <c r="AL909" s="180"/>
      <c r="AM909" s="181"/>
      <c r="AN909" s="180"/>
      <c r="AO909" s="180"/>
      <c r="AP909" s="180"/>
    </row>
    <row r="910">
      <c r="D910" s="172"/>
      <c r="E910" s="172"/>
      <c r="G910" s="173"/>
      <c r="H910" s="173"/>
      <c r="I910" s="173"/>
      <c r="M910" s="173"/>
      <c r="R910" s="174"/>
      <c r="S910" s="174"/>
      <c r="T910" s="90"/>
      <c r="U910" s="176"/>
      <c r="V910" s="176"/>
      <c r="W910" s="176"/>
      <c r="X910" s="176"/>
      <c r="Y910" s="176"/>
      <c r="Z910" s="177"/>
      <c r="AA910" s="176"/>
      <c r="AB910" s="176"/>
      <c r="AC910" s="176"/>
      <c r="AD910" s="178"/>
      <c r="AF910" s="179"/>
      <c r="AG910" s="179"/>
      <c r="AI910" s="180"/>
      <c r="AJ910" s="180"/>
      <c r="AK910" s="180"/>
      <c r="AL910" s="180"/>
      <c r="AM910" s="181"/>
      <c r="AN910" s="180"/>
      <c r="AO910" s="180"/>
      <c r="AP910" s="180"/>
    </row>
    <row r="911">
      <c r="D911" s="172"/>
      <c r="E911" s="172"/>
      <c r="G911" s="173"/>
      <c r="H911" s="173"/>
      <c r="I911" s="173"/>
      <c r="M911" s="173"/>
      <c r="R911" s="174"/>
      <c r="S911" s="174"/>
      <c r="T911" s="90"/>
      <c r="U911" s="176"/>
      <c r="V911" s="176"/>
      <c r="W911" s="176"/>
      <c r="X911" s="176"/>
      <c r="Y911" s="176"/>
      <c r="Z911" s="177"/>
      <c r="AA911" s="176"/>
      <c r="AB911" s="176"/>
      <c r="AC911" s="176"/>
      <c r="AD911" s="178"/>
      <c r="AF911" s="179"/>
      <c r="AG911" s="179"/>
      <c r="AI911" s="180"/>
      <c r="AJ911" s="180"/>
      <c r="AK911" s="180"/>
      <c r="AL911" s="180"/>
      <c r="AM911" s="181"/>
      <c r="AN911" s="180"/>
      <c r="AO911" s="180"/>
      <c r="AP911" s="180"/>
    </row>
    <row r="912">
      <c r="D912" s="172"/>
      <c r="E912" s="172"/>
      <c r="G912" s="173"/>
      <c r="H912" s="173"/>
      <c r="I912" s="173"/>
      <c r="M912" s="173"/>
      <c r="R912" s="174"/>
      <c r="S912" s="174"/>
      <c r="T912" s="90"/>
      <c r="U912" s="176"/>
      <c r="V912" s="176"/>
      <c r="W912" s="176"/>
      <c r="X912" s="176"/>
      <c r="Y912" s="176"/>
      <c r="Z912" s="177"/>
      <c r="AA912" s="176"/>
      <c r="AB912" s="176"/>
      <c r="AC912" s="176"/>
      <c r="AD912" s="178"/>
      <c r="AF912" s="179"/>
      <c r="AG912" s="179"/>
      <c r="AI912" s="180"/>
      <c r="AJ912" s="180"/>
      <c r="AK912" s="180"/>
      <c r="AL912" s="180"/>
      <c r="AM912" s="181"/>
      <c r="AN912" s="180"/>
      <c r="AO912" s="180"/>
      <c r="AP912" s="180"/>
    </row>
    <row r="913">
      <c r="D913" s="172"/>
      <c r="E913" s="172"/>
      <c r="G913" s="173"/>
      <c r="H913" s="173"/>
      <c r="I913" s="173"/>
      <c r="M913" s="173"/>
      <c r="R913" s="174"/>
      <c r="S913" s="174"/>
      <c r="T913" s="90"/>
      <c r="U913" s="176"/>
      <c r="V913" s="176"/>
      <c r="W913" s="176"/>
      <c r="X913" s="176"/>
      <c r="Y913" s="176"/>
      <c r="Z913" s="177"/>
      <c r="AA913" s="176"/>
      <c r="AB913" s="176"/>
      <c r="AC913" s="176"/>
      <c r="AD913" s="178"/>
      <c r="AF913" s="179"/>
      <c r="AG913" s="179"/>
      <c r="AI913" s="180"/>
      <c r="AJ913" s="180"/>
      <c r="AK913" s="180"/>
      <c r="AL913" s="180"/>
      <c r="AM913" s="181"/>
      <c r="AN913" s="180"/>
      <c r="AO913" s="180"/>
      <c r="AP913" s="180"/>
    </row>
    <row r="914">
      <c r="D914" s="172"/>
      <c r="E914" s="172"/>
      <c r="G914" s="173"/>
      <c r="H914" s="173"/>
      <c r="I914" s="173"/>
      <c r="M914" s="173"/>
      <c r="R914" s="174"/>
      <c r="S914" s="174"/>
      <c r="T914" s="90"/>
      <c r="U914" s="176"/>
      <c r="V914" s="176"/>
      <c r="W914" s="176"/>
      <c r="X914" s="176"/>
      <c r="Y914" s="176"/>
      <c r="Z914" s="177"/>
      <c r="AA914" s="176"/>
      <c r="AB914" s="176"/>
      <c r="AC914" s="176"/>
      <c r="AD914" s="178"/>
      <c r="AF914" s="179"/>
      <c r="AG914" s="179"/>
      <c r="AI914" s="180"/>
      <c r="AJ914" s="180"/>
      <c r="AK914" s="180"/>
      <c r="AL914" s="180"/>
      <c r="AM914" s="181"/>
      <c r="AN914" s="180"/>
      <c r="AO914" s="180"/>
      <c r="AP914" s="180"/>
    </row>
    <row r="915">
      <c r="D915" s="172"/>
      <c r="E915" s="172"/>
      <c r="G915" s="173"/>
      <c r="H915" s="173"/>
      <c r="I915" s="173"/>
      <c r="M915" s="173"/>
      <c r="R915" s="174"/>
      <c r="S915" s="174"/>
      <c r="T915" s="90"/>
      <c r="U915" s="176"/>
      <c r="V915" s="176"/>
      <c r="W915" s="176"/>
      <c r="X915" s="176"/>
      <c r="Y915" s="176"/>
      <c r="Z915" s="177"/>
      <c r="AA915" s="176"/>
      <c r="AB915" s="176"/>
      <c r="AC915" s="176"/>
      <c r="AD915" s="178"/>
      <c r="AF915" s="179"/>
      <c r="AG915" s="179"/>
      <c r="AI915" s="180"/>
      <c r="AJ915" s="180"/>
      <c r="AK915" s="180"/>
      <c r="AL915" s="180"/>
      <c r="AM915" s="181"/>
      <c r="AN915" s="180"/>
      <c r="AO915" s="180"/>
      <c r="AP915" s="180"/>
    </row>
    <row r="916">
      <c r="D916" s="172"/>
      <c r="E916" s="172"/>
      <c r="G916" s="173"/>
      <c r="H916" s="173"/>
      <c r="I916" s="173"/>
      <c r="M916" s="173"/>
      <c r="R916" s="174"/>
      <c r="S916" s="174"/>
      <c r="T916" s="90"/>
      <c r="U916" s="176"/>
      <c r="V916" s="176"/>
      <c r="W916" s="176"/>
      <c r="X916" s="176"/>
      <c r="Y916" s="176"/>
      <c r="Z916" s="177"/>
      <c r="AA916" s="176"/>
      <c r="AB916" s="176"/>
      <c r="AC916" s="176"/>
      <c r="AD916" s="178"/>
      <c r="AF916" s="179"/>
      <c r="AG916" s="179"/>
      <c r="AI916" s="180"/>
      <c r="AJ916" s="180"/>
      <c r="AK916" s="180"/>
      <c r="AL916" s="180"/>
      <c r="AM916" s="181"/>
      <c r="AN916" s="180"/>
      <c r="AO916" s="180"/>
      <c r="AP916" s="180"/>
    </row>
    <row r="917">
      <c r="D917" s="172"/>
      <c r="E917" s="172"/>
      <c r="G917" s="173"/>
      <c r="H917" s="173"/>
      <c r="I917" s="173"/>
      <c r="M917" s="173"/>
      <c r="R917" s="174"/>
      <c r="S917" s="174"/>
      <c r="T917" s="90"/>
      <c r="U917" s="176"/>
      <c r="V917" s="176"/>
      <c r="W917" s="176"/>
      <c r="X917" s="176"/>
      <c r="Y917" s="176"/>
      <c r="Z917" s="177"/>
      <c r="AA917" s="176"/>
      <c r="AB917" s="176"/>
      <c r="AC917" s="176"/>
      <c r="AD917" s="178"/>
      <c r="AF917" s="179"/>
      <c r="AG917" s="179"/>
      <c r="AI917" s="180"/>
      <c r="AJ917" s="180"/>
      <c r="AK917" s="180"/>
      <c r="AL917" s="180"/>
      <c r="AM917" s="181"/>
      <c r="AN917" s="180"/>
      <c r="AO917" s="180"/>
      <c r="AP917" s="180"/>
    </row>
    <row r="918">
      <c r="D918" s="172"/>
      <c r="E918" s="172"/>
      <c r="G918" s="173"/>
      <c r="H918" s="173"/>
      <c r="I918" s="173"/>
      <c r="M918" s="173"/>
      <c r="R918" s="174"/>
      <c r="S918" s="174"/>
      <c r="T918" s="90"/>
      <c r="U918" s="176"/>
      <c r="V918" s="176"/>
      <c r="W918" s="176"/>
      <c r="X918" s="176"/>
      <c r="Y918" s="176"/>
      <c r="Z918" s="177"/>
      <c r="AA918" s="176"/>
      <c r="AB918" s="176"/>
      <c r="AC918" s="176"/>
      <c r="AD918" s="178"/>
      <c r="AF918" s="179"/>
      <c r="AG918" s="179"/>
      <c r="AI918" s="180"/>
      <c r="AJ918" s="180"/>
      <c r="AK918" s="180"/>
      <c r="AL918" s="180"/>
      <c r="AM918" s="181"/>
      <c r="AN918" s="180"/>
      <c r="AO918" s="180"/>
      <c r="AP918" s="180"/>
    </row>
    <row r="919">
      <c r="D919" s="172"/>
      <c r="E919" s="172"/>
      <c r="G919" s="173"/>
      <c r="H919" s="173"/>
      <c r="I919" s="173"/>
      <c r="M919" s="173"/>
      <c r="R919" s="174"/>
      <c r="S919" s="174"/>
      <c r="T919" s="90"/>
      <c r="U919" s="176"/>
      <c r="V919" s="176"/>
      <c r="W919" s="176"/>
      <c r="X919" s="176"/>
      <c r="Y919" s="176"/>
      <c r="Z919" s="177"/>
      <c r="AA919" s="176"/>
      <c r="AB919" s="176"/>
      <c r="AC919" s="176"/>
      <c r="AD919" s="178"/>
      <c r="AF919" s="179"/>
      <c r="AG919" s="179"/>
      <c r="AI919" s="180"/>
      <c r="AJ919" s="180"/>
      <c r="AK919" s="180"/>
      <c r="AL919" s="180"/>
      <c r="AM919" s="181"/>
      <c r="AN919" s="180"/>
      <c r="AO919" s="180"/>
      <c r="AP919" s="180"/>
    </row>
    <row r="920">
      <c r="D920" s="172"/>
      <c r="E920" s="172"/>
      <c r="G920" s="173"/>
      <c r="H920" s="173"/>
      <c r="I920" s="173"/>
      <c r="M920" s="173"/>
      <c r="R920" s="174"/>
      <c r="S920" s="174"/>
      <c r="T920" s="90"/>
      <c r="U920" s="176"/>
      <c r="V920" s="176"/>
      <c r="W920" s="176"/>
      <c r="X920" s="176"/>
      <c r="Y920" s="176"/>
      <c r="Z920" s="177"/>
      <c r="AA920" s="176"/>
      <c r="AB920" s="176"/>
      <c r="AC920" s="176"/>
      <c r="AD920" s="178"/>
      <c r="AF920" s="179"/>
      <c r="AG920" s="179"/>
      <c r="AI920" s="180"/>
      <c r="AJ920" s="180"/>
      <c r="AK920" s="180"/>
      <c r="AL920" s="180"/>
      <c r="AM920" s="181"/>
      <c r="AN920" s="180"/>
      <c r="AO920" s="180"/>
      <c r="AP920" s="180"/>
    </row>
    <row r="921">
      <c r="D921" s="172"/>
      <c r="E921" s="172"/>
      <c r="G921" s="173"/>
      <c r="H921" s="173"/>
      <c r="I921" s="173"/>
      <c r="M921" s="173"/>
      <c r="R921" s="174"/>
      <c r="S921" s="174"/>
      <c r="T921" s="90"/>
      <c r="U921" s="176"/>
      <c r="V921" s="176"/>
      <c r="W921" s="176"/>
      <c r="X921" s="176"/>
      <c r="Y921" s="176"/>
      <c r="Z921" s="177"/>
      <c r="AA921" s="176"/>
      <c r="AB921" s="176"/>
      <c r="AC921" s="176"/>
      <c r="AD921" s="178"/>
      <c r="AF921" s="179"/>
      <c r="AG921" s="179"/>
      <c r="AI921" s="180"/>
      <c r="AJ921" s="180"/>
      <c r="AK921" s="180"/>
      <c r="AL921" s="180"/>
      <c r="AM921" s="181"/>
      <c r="AN921" s="180"/>
      <c r="AO921" s="180"/>
      <c r="AP921" s="180"/>
    </row>
    <row r="922">
      <c r="D922" s="172"/>
      <c r="E922" s="172"/>
      <c r="G922" s="173"/>
      <c r="H922" s="173"/>
      <c r="I922" s="173"/>
      <c r="M922" s="173"/>
      <c r="R922" s="174"/>
      <c r="S922" s="174"/>
      <c r="T922" s="90"/>
      <c r="U922" s="176"/>
      <c r="V922" s="176"/>
      <c r="W922" s="176"/>
      <c r="X922" s="176"/>
      <c r="Y922" s="176"/>
      <c r="Z922" s="177"/>
      <c r="AA922" s="176"/>
      <c r="AB922" s="176"/>
      <c r="AC922" s="176"/>
      <c r="AD922" s="178"/>
      <c r="AF922" s="179"/>
      <c r="AG922" s="179"/>
      <c r="AI922" s="180"/>
      <c r="AJ922" s="180"/>
      <c r="AK922" s="180"/>
      <c r="AL922" s="180"/>
      <c r="AM922" s="181"/>
      <c r="AN922" s="180"/>
      <c r="AO922" s="180"/>
      <c r="AP922" s="180"/>
    </row>
    <row r="923">
      <c r="D923" s="172"/>
      <c r="E923" s="172"/>
      <c r="G923" s="173"/>
      <c r="H923" s="173"/>
      <c r="I923" s="173"/>
      <c r="M923" s="173"/>
      <c r="R923" s="174"/>
      <c r="S923" s="174"/>
      <c r="T923" s="90"/>
      <c r="U923" s="176"/>
      <c r="V923" s="176"/>
      <c r="W923" s="176"/>
      <c r="X923" s="176"/>
      <c r="Y923" s="176"/>
      <c r="Z923" s="177"/>
      <c r="AA923" s="176"/>
      <c r="AB923" s="176"/>
      <c r="AC923" s="176"/>
      <c r="AD923" s="178"/>
      <c r="AF923" s="179"/>
      <c r="AG923" s="179"/>
      <c r="AI923" s="180"/>
      <c r="AJ923" s="180"/>
      <c r="AK923" s="180"/>
      <c r="AL923" s="180"/>
      <c r="AM923" s="181"/>
      <c r="AN923" s="180"/>
      <c r="AO923" s="180"/>
      <c r="AP923" s="180"/>
    </row>
    <row r="924">
      <c r="D924" s="172"/>
      <c r="E924" s="172"/>
      <c r="G924" s="173"/>
      <c r="H924" s="173"/>
      <c r="I924" s="173"/>
      <c r="M924" s="173"/>
      <c r="R924" s="174"/>
      <c r="S924" s="174"/>
      <c r="T924" s="90"/>
      <c r="U924" s="176"/>
      <c r="V924" s="176"/>
      <c r="W924" s="176"/>
      <c r="X924" s="176"/>
      <c r="Y924" s="176"/>
      <c r="Z924" s="177"/>
      <c r="AA924" s="176"/>
      <c r="AB924" s="176"/>
      <c r="AC924" s="176"/>
      <c r="AD924" s="178"/>
      <c r="AF924" s="179"/>
      <c r="AG924" s="179"/>
      <c r="AI924" s="180"/>
      <c r="AJ924" s="180"/>
      <c r="AK924" s="180"/>
      <c r="AL924" s="180"/>
      <c r="AM924" s="181"/>
      <c r="AN924" s="180"/>
      <c r="AO924" s="180"/>
      <c r="AP924" s="180"/>
    </row>
    <row r="925">
      <c r="D925" s="172"/>
      <c r="E925" s="172"/>
      <c r="G925" s="173"/>
      <c r="H925" s="173"/>
      <c r="I925" s="173"/>
      <c r="M925" s="173"/>
      <c r="R925" s="174"/>
      <c r="S925" s="174"/>
      <c r="T925" s="90"/>
      <c r="U925" s="176"/>
      <c r="V925" s="176"/>
      <c r="W925" s="176"/>
      <c r="X925" s="176"/>
      <c r="Y925" s="176"/>
      <c r="Z925" s="177"/>
      <c r="AA925" s="176"/>
      <c r="AB925" s="176"/>
      <c r="AC925" s="176"/>
      <c r="AD925" s="178"/>
      <c r="AF925" s="179"/>
      <c r="AG925" s="179"/>
      <c r="AI925" s="180"/>
      <c r="AJ925" s="180"/>
      <c r="AK925" s="180"/>
      <c r="AL925" s="180"/>
      <c r="AM925" s="181"/>
      <c r="AN925" s="180"/>
      <c r="AO925" s="180"/>
      <c r="AP925" s="180"/>
    </row>
    <row r="926">
      <c r="D926" s="172"/>
      <c r="E926" s="172"/>
      <c r="G926" s="173"/>
      <c r="H926" s="173"/>
      <c r="I926" s="173"/>
      <c r="M926" s="173"/>
      <c r="R926" s="174"/>
      <c r="S926" s="174"/>
      <c r="T926" s="90"/>
      <c r="U926" s="176"/>
      <c r="V926" s="176"/>
      <c r="W926" s="176"/>
      <c r="X926" s="176"/>
      <c r="Y926" s="176"/>
      <c r="Z926" s="177"/>
      <c r="AA926" s="176"/>
      <c r="AB926" s="176"/>
      <c r="AC926" s="176"/>
      <c r="AD926" s="178"/>
      <c r="AF926" s="179"/>
      <c r="AG926" s="179"/>
      <c r="AI926" s="180"/>
      <c r="AJ926" s="180"/>
      <c r="AK926" s="180"/>
      <c r="AL926" s="180"/>
      <c r="AM926" s="181"/>
      <c r="AN926" s="180"/>
      <c r="AO926" s="180"/>
      <c r="AP926" s="180"/>
    </row>
    <row r="927">
      <c r="D927" s="172"/>
      <c r="E927" s="172"/>
      <c r="G927" s="173"/>
      <c r="H927" s="173"/>
      <c r="I927" s="173"/>
      <c r="M927" s="173"/>
      <c r="R927" s="174"/>
      <c r="S927" s="174"/>
      <c r="T927" s="90"/>
      <c r="U927" s="176"/>
      <c r="V927" s="176"/>
      <c r="W927" s="176"/>
      <c r="X927" s="176"/>
      <c r="Y927" s="176"/>
      <c r="Z927" s="177"/>
      <c r="AA927" s="176"/>
      <c r="AB927" s="176"/>
      <c r="AC927" s="176"/>
      <c r="AD927" s="178"/>
      <c r="AF927" s="179"/>
      <c r="AG927" s="179"/>
      <c r="AI927" s="180"/>
      <c r="AJ927" s="180"/>
      <c r="AK927" s="180"/>
      <c r="AL927" s="180"/>
      <c r="AM927" s="181"/>
      <c r="AN927" s="180"/>
      <c r="AO927" s="180"/>
      <c r="AP927" s="180"/>
    </row>
    <row r="928">
      <c r="D928" s="172"/>
      <c r="E928" s="172"/>
      <c r="G928" s="173"/>
      <c r="H928" s="173"/>
      <c r="I928" s="173"/>
      <c r="M928" s="173"/>
      <c r="R928" s="174"/>
      <c r="S928" s="174"/>
      <c r="T928" s="90"/>
      <c r="U928" s="176"/>
      <c r="V928" s="176"/>
      <c r="W928" s="176"/>
      <c r="X928" s="176"/>
      <c r="Y928" s="176"/>
      <c r="Z928" s="177"/>
      <c r="AA928" s="176"/>
      <c r="AB928" s="176"/>
      <c r="AC928" s="176"/>
      <c r="AD928" s="178"/>
      <c r="AF928" s="179"/>
      <c r="AG928" s="179"/>
      <c r="AI928" s="180"/>
      <c r="AJ928" s="180"/>
      <c r="AK928" s="180"/>
      <c r="AL928" s="180"/>
      <c r="AM928" s="181"/>
      <c r="AN928" s="180"/>
      <c r="AO928" s="180"/>
      <c r="AP928" s="180"/>
    </row>
    <row r="929">
      <c r="D929" s="172"/>
      <c r="E929" s="172"/>
      <c r="G929" s="173"/>
      <c r="H929" s="173"/>
      <c r="I929" s="173"/>
      <c r="M929" s="173"/>
      <c r="R929" s="174"/>
      <c r="S929" s="174"/>
      <c r="T929" s="90"/>
      <c r="U929" s="176"/>
      <c r="V929" s="176"/>
      <c r="W929" s="176"/>
      <c r="X929" s="176"/>
      <c r="Y929" s="176"/>
      <c r="Z929" s="177"/>
      <c r="AA929" s="176"/>
      <c r="AB929" s="176"/>
      <c r="AC929" s="176"/>
      <c r="AD929" s="178"/>
      <c r="AF929" s="179"/>
      <c r="AG929" s="179"/>
      <c r="AI929" s="180"/>
      <c r="AJ929" s="180"/>
      <c r="AK929" s="180"/>
      <c r="AL929" s="180"/>
      <c r="AM929" s="181"/>
      <c r="AN929" s="180"/>
      <c r="AO929" s="180"/>
      <c r="AP929" s="180"/>
    </row>
    <row r="930">
      <c r="D930" s="172"/>
      <c r="E930" s="172"/>
      <c r="G930" s="173"/>
      <c r="H930" s="173"/>
      <c r="I930" s="173"/>
      <c r="M930" s="173"/>
      <c r="R930" s="174"/>
      <c r="S930" s="174"/>
      <c r="T930" s="90"/>
      <c r="U930" s="176"/>
      <c r="V930" s="176"/>
      <c r="W930" s="176"/>
      <c r="X930" s="176"/>
      <c r="Y930" s="176"/>
      <c r="Z930" s="177"/>
      <c r="AA930" s="176"/>
      <c r="AB930" s="176"/>
      <c r="AC930" s="176"/>
      <c r="AD930" s="178"/>
      <c r="AF930" s="179"/>
      <c r="AG930" s="179"/>
      <c r="AI930" s="180"/>
      <c r="AJ930" s="180"/>
      <c r="AK930" s="180"/>
      <c r="AL930" s="180"/>
      <c r="AM930" s="181"/>
      <c r="AN930" s="180"/>
      <c r="AO930" s="180"/>
      <c r="AP930" s="180"/>
    </row>
    <row r="931">
      <c r="D931" s="172"/>
      <c r="E931" s="172"/>
      <c r="G931" s="173"/>
      <c r="H931" s="173"/>
      <c r="I931" s="173"/>
      <c r="M931" s="173"/>
      <c r="R931" s="174"/>
      <c r="S931" s="174"/>
      <c r="T931" s="90"/>
      <c r="U931" s="176"/>
      <c r="V931" s="176"/>
      <c r="W931" s="176"/>
      <c r="X931" s="176"/>
      <c r="Y931" s="176"/>
      <c r="Z931" s="177"/>
      <c r="AA931" s="176"/>
      <c r="AB931" s="176"/>
      <c r="AC931" s="176"/>
      <c r="AD931" s="178"/>
      <c r="AF931" s="179"/>
      <c r="AG931" s="179"/>
      <c r="AI931" s="180"/>
      <c r="AJ931" s="180"/>
      <c r="AK931" s="180"/>
      <c r="AL931" s="180"/>
      <c r="AM931" s="181"/>
      <c r="AN931" s="180"/>
      <c r="AO931" s="180"/>
      <c r="AP931" s="180"/>
    </row>
    <row r="932">
      <c r="D932" s="172"/>
      <c r="E932" s="172"/>
      <c r="G932" s="173"/>
      <c r="H932" s="173"/>
      <c r="I932" s="173"/>
      <c r="M932" s="173"/>
      <c r="R932" s="174"/>
      <c r="S932" s="174"/>
      <c r="T932" s="90"/>
      <c r="U932" s="176"/>
      <c r="V932" s="176"/>
      <c r="W932" s="176"/>
      <c r="X932" s="176"/>
      <c r="Y932" s="176"/>
      <c r="Z932" s="177"/>
      <c r="AA932" s="176"/>
      <c r="AB932" s="176"/>
      <c r="AC932" s="176"/>
      <c r="AD932" s="178"/>
      <c r="AF932" s="179"/>
      <c r="AG932" s="179"/>
      <c r="AI932" s="180"/>
      <c r="AJ932" s="180"/>
      <c r="AK932" s="180"/>
      <c r="AL932" s="180"/>
      <c r="AM932" s="181"/>
      <c r="AN932" s="180"/>
      <c r="AO932" s="180"/>
      <c r="AP932" s="180"/>
    </row>
    <row r="933">
      <c r="D933" s="172"/>
      <c r="E933" s="172"/>
      <c r="G933" s="173"/>
      <c r="H933" s="173"/>
      <c r="I933" s="173"/>
      <c r="M933" s="173"/>
      <c r="R933" s="174"/>
      <c r="S933" s="174"/>
      <c r="T933" s="90"/>
      <c r="U933" s="176"/>
      <c r="V933" s="176"/>
      <c r="W933" s="176"/>
      <c r="X933" s="176"/>
      <c r="Y933" s="176"/>
      <c r="Z933" s="177"/>
      <c r="AA933" s="176"/>
      <c r="AB933" s="176"/>
      <c r="AC933" s="176"/>
      <c r="AD933" s="178"/>
      <c r="AF933" s="179"/>
      <c r="AG933" s="179"/>
      <c r="AI933" s="180"/>
      <c r="AJ933" s="180"/>
      <c r="AK933" s="180"/>
      <c r="AL933" s="180"/>
      <c r="AM933" s="181"/>
      <c r="AN933" s="180"/>
      <c r="AO933" s="180"/>
      <c r="AP933" s="180"/>
    </row>
    <row r="934">
      <c r="D934" s="172"/>
      <c r="E934" s="172"/>
      <c r="G934" s="173"/>
      <c r="H934" s="173"/>
      <c r="I934" s="173"/>
      <c r="M934" s="173"/>
      <c r="R934" s="174"/>
      <c r="S934" s="174"/>
      <c r="T934" s="90"/>
      <c r="U934" s="176"/>
      <c r="V934" s="176"/>
      <c r="W934" s="176"/>
      <c r="X934" s="176"/>
      <c r="Y934" s="176"/>
      <c r="Z934" s="177"/>
      <c r="AA934" s="176"/>
      <c r="AB934" s="176"/>
      <c r="AC934" s="176"/>
      <c r="AD934" s="178"/>
      <c r="AF934" s="179"/>
      <c r="AG934" s="179"/>
      <c r="AI934" s="180"/>
      <c r="AJ934" s="180"/>
      <c r="AK934" s="180"/>
      <c r="AL934" s="180"/>
      <c r="AM934" s="181"/>
      <c r="AN934" s="180"/>
      <c r="AO934" s="180"/>
      <c r="AP934" s="180"/>
    </row>
    <row r="935">
      <c r="D935" s="172"/>
      <c r="E935" s="172"/>
      <c r="G935" s="173"/>
      <c r="H935" s="173"/>
      <c r="I935" s="173"/>
      <c r="M935" s="173"/>
      <c r="R935" s="174"/>
      <c r="S935" s="174"/>
      <c r="T935" s="90"/>
      <c r="U935" s="176"/>
      <c r="V935" s="176"/>
      <c r="W935" s="176"/>
      <c r="X935" s="176"/>
      <c r="Y935" s="176"/>
      <c r="Z935" s="177"/>
      <c r="AA935" s="176"/>
      <c r="AB935" s="176"/>
      <c r="AC935" s="176"/>
      <c r="AD935" s="178"/>
      <c r="AF935" s="179"/>
      <c r="AG935" s="179"/>
      <c r="AI935" s="180"/>
      <c r="AJ935" s="180"/>
      <c r="AK935" s="180"/>
      <c r="AL935" s="180"/>
      <c r="AM935" s="181"/>
      <c r="AN935" s="180"/>
      <c r="AO935" s="180"/>
      <c r="AP935" s="180"/>
    </row>
    <row r="936">
      <c r="D936" s="172"/>
      <c r="E936" s="172"/>
      <c r="G936" s="173"/>
      <c r="H936" s="173"/>
      <c r="I936" s="173"/>
      <c r="M936" s="173"/>
      <c r="R936" s="174"/>
      <c r="S936" s="174"/>
      <c r="T936" s="90"/>
      <c r="U936" s="176"/>
      <c r="V936" s="176"/>
      <c r="W936" s="176"/>
      <c r="X936" s="176"/>
      <c r="Y936" s="176"/>
      <c r="Z936" s="177"/>
      <c r="AA936" s="176"/>
      <c r="AB936" s="176"/>
      <c r="AC936" s="176"/>
      <c r="AD936" s="178"/>
      <c r="AF936" s="179"/>
      <c r="AG936" s="179"/>
      <c r="AI936" s="180"/>
      <c r="AJ936" s="180"/>
      <c r="AK936" s="180"/>
      <c r="AL936" s="180"/>
      <c r="AM936" s="181"/>
      <c r="AN936" s="180"/>
      <c r="AO936" s="180"/>
      <c r="AP936" s="180"/>
    </row>
    <row r="937">
      <c r="D937" s="172"/>
      <c r="E937" s="172"/>
      <c r="G937" s="173"/>
      <c r="H937" s="173"/>
      <c r="I937" s="173"/>
      <c r="M937" s="173"/>
      <c r="R937" s="174"/>
      <c r="S937" s="174"/>
      <c r="T937" s="90"/>
      <c r="U937" s="176"/>
      <c r="V937" s="176"/>
      <c r="W937" s="176"/>
      <c r="X937" s="176"/>
      <c r="Y937" s="176"/>
      <c r="Z937" s="177"/>
      <c r="AA937" s="176"/>
      <c r="AB937" s="176"/>
      <c r="AC937" s="176"/>
      <c r="AD937" s="178"/>
      <c r="AF937" s="179"/>
      <c r="AG937" s="179"/>
      <c r="AI937" s="180"/>
      <c r="AJ937" s="180"/>
      <c r="AK937" s="180"/>
      <c r="AL937" s="180"/>
      <c r="AM937" s="181"/>
      <c r="AN937" s="180"/>
      <c r="AO937" s="180"/>
      <c r="AP937" s="180"/>
    </row>
    <row r="938">
      <c r="D938" s="172"/>
      <c r="E938" s="172"/>
      <c r="G938" s="173"/>
      <c r="H938" s="173"/>
      <c r="I938" s="173"/>
      <c r="M938" s="173"/>
      <c r="R938" s="174"/>
      <c r="S938" s="174"/>
      <c r="T938" s="90"/>
      <c r="U938" s="176"/>
      <c r="V938" s="176"/>
      <c r="W938" s="176"/>
      <c r="X938" s="176"/>
      <c r="Y938" s="176"/>
      <c r="Z938" s="177"/>
      <c r="AA938" s="176"/>
      <c r="AB938" s="176"/>
      <c r="AC938" s="176"/>
      <c r="AD938" s="178"/>
      <c r="AF938" s="179"/>
      <c r="AG938" s="179"/>
      <c r="AI938" s="180"/>
      <c r="AJ938" s="180"/>
      <c r="AK938" s="180"/>
      <c r="AL938" s="180"/>
      <c r="AM938" s="181"/>
      <c r="AN938" s="180"/>
      <c r="AO938" s="180"/>
      <c r="AP938" s="180"/>
    </row>
    <row r="939">
      <c r="D939" s="172"/>
      <c r="E939" s="172"/>
      <c r="G939" s="173"/>
      <c r="H939" s="173"/>
      <c r="I939" s="173"/>
      <c r="M939" s="173"/>
      <c r="R939" s="174"/>
      <c r="S939" s="174"/>
      <c r="T939" s="90"/>
      <c r="U939" s="176"/>
      <c r="V939" s="176"/>
      <c r="W939" s="176"/>
      <c r="X939" s="176"/>
      <c r="Y939" s="176"/>
      <c r="Z939" s="177"/>
      <c r="AA939" s="176"/>
      <c r="AB939" s="176"/>
      <c r="AC939" s="176"/>
      <c r="AD939" s="178"/>
      <c r="AF939" s="179"/>
      <c r="AG939" s="179"/>
      <c r="AI939" s="180"/>
      <c r="AJ939" s="180"/>
      <c r="AK939" s="180"/>
      <c r="AL939" s="180"/>
      <c r="AM939" s="181"/>
      <c r="AN939" s="180"/>
      <c r="AO939" s="180"/>
      <c r="AP939" s="180"/>
    </row>
    <row r="940">
      <c r="D940" s="172"/>
      <c r="E940" s="172"/>
      <c r="G940" s="173"/>
      <c r="H940" s="173"/>
      <c r="I940" s="173"/>
      <c r="M940" s="173"/>
      <c r="R940" s="174"/>
      <c r="S940" s="174"/>
      <c r="T940" s="90"/>
      <c r="U940" s="176"/>
      <c r="V940" s="176"/>
      <c r="W940" s="176"/>
      <c r="X940" s="176"/>
      <c r="Y940" s="176"/>
      <c r="Z940" s="177"/>
      <c r="AA940" s="176"/>
      <c r="AB940" s="176"/>
      <c r="AC940" s="176"/>
      <c r="AD940" s="178"/>
      <c r="AF940" s="179"/>
      <c r="AG940" s="179"/>
      <c r="AI940" s="180"/>
      <c r="AJ940" s="180"/>
      <c r="AK940" s="180"/>
      <c r="AL940" s="180"/>
      <c r="AM940" s="181"/>
      <c r="AN940" s="180"/>
      <c r="AO940" s="180"/>
      <c r="AP940" s="180"/>
    </row>
    <row r="941">
      <c r="D941" s="172"/>
      <c r="E941" s="172"/>
      <c r="G941" s="173"/>
      <c r="H941" s="173"/>
      <c r="I941" s="173"/>
      <c r="M941" s="173"/>
      <c r="R941" s="174"/>
      <c r="S941" s="174"/>
      <c r="T941" s="90"/>
      <c r="U941" s="176"/>
      <c r="V941" s="176"/>
      <c r="W941" s="176"/>
      <c r="X941" s="176"/>
      <c r="Y941" s="176"/>
      <c r="Z941" s="177"/>
      <c r="AA941" s="176"/>
      <c r="AB941" s="176"/>
      <c r="AC941" s="176"/>
      <c r="AD941" s="178"/>
      <c r="AF941" s="179"/>
      <c r="AG941" s="179"/>
      <c r="AI941" s="180"/>
      <c r="AJ941" s="180"/>
      <c r="AK941" s="180"/>
      <c r="AL941" s="180"/>
      <c r="AM941" s="181"/>
      <c r="AN941" s="180"/>
      <c r="AO941" s="180"/>
      <c r="AP941" s="180"/>
    </row>
    <row r="942">
      <c r="D942" s="172"/>
      <c r="E942" s="172"/>
      <c r="G942" s="173"/>
      <c r="H942" s="173"/>
      <c r="I942" s="173"/>
      <c r="M942" s="173"/>
      <c r="R942" s="174"/>
      <c r="S942" s="174"/>
      <c r="T942" s="90"/>
      <c r="U942" s="176"/>
      <c r="V942" s="176"/>
      <c r="W942" s="176"/>
      <c r="X942" s="176"/>
      <c r="Y942" s="176"/>
      <c r="Z942" s="177"/>
      <c r="AA942" s="176"/>
      <c r="AB942" s="176"/>
      <c r="AC942" s="176"/>
      <c r="AD942" s="178"/>
      <c r="AF942" s="179"/>
      <c r="AG942" s="179"/>
      <c r="AI942" s="180"/>
      <c r="AJ942" s="180"/>
      <c r="AK942" s="180"/>
      <c r="AL942" s="180"/>
      <c r="AM942" s="181"/>
      <c r="AN942" s="180"/>
      <c r="AO942" s="180"/>
      <c r="AP942" s="180"/>
    </row>
    <row r="943">
      <c r="D943" s="172"/>
      <c r="E943" s="172"/>
      <c r="G943" s="173"/>
      <c r="H943" s="173"/>
      <c r="I943" s="173"/>
      <c r="M943" s="173"/>
      <c r="R943" s="174"/>
      <c r="S943" s="174"/>
      <c r="T943" s="90"/>
      <c r="U943" s="176"/>
      <c r="V943" s="176"/>
      <c r="W943" s="176"/>
      <c r="X943" s="176"/>
      <c r="Y943" s="176"/>
      <c r="Z943" s="177"/>
      <c r="AA943" s="176"/>
      <c r="AB943" s="176"/>
      <c r="AC943" s="176"/>
      <c r="AD943" s="178"/>
      <c r="AF943" s="179"/>
      <c r="AG943" s="179"/>
      <c r="AI943" s="180"/>
      <c r="AJ943" s="180"/>
      <c r="AK943" s="180"/>
      <c r="AL943" s="180"/>
      <c r="AM943" s="181"/>
      <c r="AN943" s="180"/>
      <c r="AO943" s="180"/>
      <c r="AP943" s="180"/>
    </row>
    <row r="944">
      <c r="D944" s="172"/>
      <c r="E944" s="172"/>
      <c r="G944" s="173"/>
      <c r="H944" s="173"/>
      <c r="I944" s="173"/>
      <c r="M944" s="173"/>
      <c r="R944" s="174"/>
      <c r="S944" s="174"/>
      <c r="T944" s="90"/>
      <c r="U944" s="176"/>
      <c r="V944" s="176"/>
      <c r="W944" s="176"/>
      <c r="X944" s="176"/>
      <c r="Y944" s="176"/>
      <c r="Z944" s="177"/>
      <c r="AA944" s="176"/>
      <c r="AB944" s="176"/>
      <c r="AC944" s="176"/>
      <c r="AD944" s="178"/>
      <c r="AF944" s="179"/>
      <c r="AG944" s="179"/>
      <c r="AI944" s="180"/>
      <c r="AJ944" s="180"/>
      <c r="AK944" s="180"/>
      <c r="AL944" s="180"/>
      <c r="AM944" s="181"/>
      <c r="AN944" s="180"/>
      <c r="AO944" s="180"/>
      <c r="AP944" s="180"/>
    </row>
    <row r="945">
      <c r="D945" s="172"/>
      <c r="E945" s="172"/>
      <c r="G945" s="173"/>
      <c r="H945" s="173"/>
      <c r="I945" s="173"/>
      <c r="M945" s="173"/>
      <c r="R945" s="174"/>
      <c r="S945" s="174"/>
      <c r="T945" s="90"/>
      <c r="U945" s="176"/>
      <c r="V945" s="176"/>
      <c r="W945" s="176"/>
      <c r="X945" s="176"/>
      <c r="Y945" s="176"/>
      <c r="Z945" s="177"/>
      <c r="AA945" s="176"/>
      <c r="AB945" s="176"/>
      <c r="AC945" s="176"/>
      <c r="AD945" s="178"/>
      <c r="AF945" s="179"/>
      <c r="AG945" s="179"/>
      <c r="AI945" s="180"/>
      <c r="AJ945" s="180"/>
      <c r="AK945" s="180"/>
      <c r="AL945" s="180"/>
      <c r="AM945" s="181"/>
      <c r="AN945" s="180"/>
      <c r="AO945" s="180"/>
      <c r="AP945" s="180"/>
    </row>
    <row r="946">
      <c r="D946" s="172"/>
      <c r="E946" s="172"/>
      <c r="G946" s="173"/>
      <c r="H946" s="173"/>
      <c r="I946" s="173"/>
      <c r="M946" s="173"/>
      <c r="R946" s="174"/>
      <c r="S946" s="174"/>
      <c r="T946" s="90"/>
      <c r="U946" s="176"/>
      <c r="V946" s="176"/>
      <c r="W946" s="176"/>
      <c r="X946" s="176"/>
      <c r="Y946" s="176"/>
      <c r="Z946" s="177"/>
      <c r="AA946" s="176"/>
      <c r="AB946" s="176"/>
      <c r="AC946" s="176"/>
      <c r="AD946" s="178"/>
      <c r="AF946" s="179"/>
      <c r="AG946" s="179"/>
      <c r="AI946" s="180"/>
      <c r="AJ946" s="180"/>
      <c r="AK946" s="180"/>
      <c r="AL946" s="180"/>
      <c r="AM946" s="181"/>
      <c r="AN946" s="180"/>
      <c r="AO946" s="180"/>
      <c r="AP946" s="180"/>
    </row>
    <row r="947">
      <c r="D947" s="172"/>
      <c r="E947" s="172"/>
      <c r="G947" s="173"/>
      <c r="H947" s="173"/>
      <c r="I947" s="173"/>
      <c r="M947" s="173"/>
      <c r="R947" s="174"/>
      <c r="S947" s="174"/>
      <c r="T947" s="90"/>
      <c r="U947" s="176"/>
      <c r="V947" s="176"/>
      <c r="W947" s="176"/>
      <c r="X947" s="176"/>
      <c r="Y947" s="176"/>
      <c r="Z947" s="177"/>
      <c r="AA947" s="176"/>
      <c r="AB947" s="176"/>
      <c r="AC947" s="176"/>
      <c r="AD947" s="178"/>
      <c r="AF947" s="179"/>
      <c r="AG947" s="179"/>
      <c r="AI947" s="180"/>
      <c r="AJ947" s="180"/>
      <c r="AK947" s="180"/>
      <c r="AL947" s="180"/>
      <c r="AM947" s="181"/>
      <c r="AN947" s="180"/>
      <c r="AO947" s="180"/>
      <c r="AP947" s="180"/>
    </row>
    <row r="948">
      <c r="D948" s="172"/>
      <c r="E948" s="172"/>
      <c r="G948" s="173"/>
      <c r="H948" s="173"/>
      <c r="I948" s="173"/>
      <c r="M948" s="173"/>
      <c r="R948" s="174"/>
      <c r="S948" s="174"/>
      <c r="T948" s="90"/>
      <c r="U948" s="176"/>
      <c r="V948" s="176"/>
      <c r="W948" s="176"/>
      <c r="X948" s="176"/>
      <c r="Y948" s="176"/>
      <c r="Z948" s="177"/>
      <c r="AA948" s="176"/>
      <c r="AB948" s="176"/>
      <c r="AC948" s="176"/>
      <c r="AD948" s="178"/>
      <c r="AF948" s="179"/>
      <c r="AG948" s="179"/>
      <c r="AI948" s="180"/>
      <c r="AJ948" s="180"/>
      <c r="AK948" s="180"/>
      <c r="AL948" s="180"/>
      <c r="AM948" s="181"/>
      <c r="AN948" s="180"/>
      <c r="AO948" s="180"/>
      <c r="AP948" s="180"/>
    </row>
    <row r="949">
      <c r="D949" s="172"/>
      <c r="E949" s="172"/>
      <c r="G949" s="173"/>
      <c r="H949" s="173"/>
      <c r="I949" s="173"/>
      <c r="M949" s="173"/>
      <c r="R949" s="174"/>
      <c r="S949" s="174"/>
      <c r="T949" s="90"/>
      <c r="U949" s="176"/>
      <c r="V949" s="176"/>
      <c r="W949" s="176"/>
      <c r="X949" s="176"/>
      <c r="Y949" s="176"/>
      <c r="Z949" s="177"/>
      <c r="AA949" s="176"/>
      <c r="AB949" s="176"/>
      <c r="AC949" s="176"/>
      <c r="AD949" s="178"/>
      <c r="AF949" s="179"/>
      <c r="AG949" s="179"/>
      <c r="AI949" s="180"/>
      <c r="AJ949" s="180"/>
      <c r="AK949" s="180"/>
      <c r="AL949" s="180"/>
      <c r="AM949" s="181"/>
      <c r="AN949" s="180"/>
      <c r="AO949" s="180"/>
      <c r="AP949" s="180"/>
    </row>
    <row r="950">
      <c r="D950" s="172"/>
      <c r="E950" s="172"/>
      <c r="G950" s="173"/>
      <c r="H950" s="173"/>
      <c r="I950" s="173"/>
      <c r="M950" s="173"/>
      <c r="R950" s="174"/>
      <c r="S950" s="174"/>
      <c r="T950" s="90"/>
      <c r="U950" s="176"/>
      <c r="V950" s="176"/>
      <c r="W950" s="176"/>
      <c r="X950" s="176"/>
      <c r="Y950" s="176"/>
      <c r="Z950" s="177"/>
      <c r="AA950" s="176"/>
      <c r="AB950" s="176"/>
      <c r="AC950" s="176"/>
      <c r="AD950" s="178"/>
      <c r="AF950" s="179"/>
      <c r="AG950" s="179"/>
      <c r="AI950" s="180"/>
      <c r="AJ950" s="180"/>
      <c r="AK950" s="180"/>
      <c r="AL950" s="180"/>
      <c r="AM950" s="181"/>
      <c r="AN950" s="180"/>
      <c r="AO950" s="180"/>
      <c r="AP950" s="180"/>
    </row>
    <row r="951">
      <c r="D951" s="172"/>
      <c r="E951" s="172"/>
      <c r="G951" s="173"/>
      <c r="H951" s="173"/>
      <c r="I951" s="173"/>
      <c r="M951" s="173"/>
      <c r="R951" s="174"/>
      <c r="S951" s="174"/>
      <c r="T951" s="90"/>
      <c r="U951" s="176"/>
      <c r="V951" s="176"/>
      <c r="W951" s="176"/>
      <c r="X951" s="176"/>
      <c r="Y951" s="176"/>
      <c r="Z951" s="177"/>
      <c r="AA951" s="176"/>
      <c r="AB951" s="176"/>
      <c r="AC951" s="176"/>
      <c r="AD951" s="178"/>
      <c r="AF951" s="179"/>
      <c r="AG951" s="179"/>
      <c r="AI951" s="180"/>
      <c r="AJ951" s="180"/>
      <c r="AK951" s="180"/>
      <c r="AL951" s="180"/>
      <c r="AM951" s="181"/>
      <c r="AN951" s="180"/>
      <c r="AO951" s="180"/>
      <c r="AP951" s="180"/>
    </row>
    <row r="952">
      <c r="D952" s="172"/>
      <c r="E952" s="172"/>
      <c r="G952" s="173"/>
      <c r="H952" s="173"/>
      <c r="I952" s="173"/>
      <c r="M952" s="173"/>
      <c r="R952" s="174"/>
      <c r="S952" s="174"/>
      <c r="T952" s="90"/>
      <c r="U952" s="176"/>
      <c r="V952" s="176"/>
      <c r="W952" s="176"/>
      <c r="X952" s="176"/>
      <c r="Y952" s="176"/>
      <c r="Z952" s="177"/>
      <c r="AA952" s="176"/>
      <c r="AB952" s="176"/>
      <c r="AC952" s="176"/>
      <c r="AD952" s="178"/>
      <c r="AF952" s="179"/>
      <c r="AG952" s="179"/>
      <c r="AI952" s="180"/>
      <c r="AJ952" s="180"/>
      <c r="AK952" s="180"/>
      <c r="AL952" s="180"/>
      <c r="AM952" s="181"/>
      <c r="AN952" s="180"/>
      <c r="AO952" s="180"/>
      <c r="AP952" s="180"/>
    </row>
    <row r="953">
      <c r="D953" s="172"/>
      <c r="E953" s="172"/>
      <c r="G953" s="173"/>
      <c r="H953" s="173"/>
      <c r="I953" s="173"/>
      <c r="M953" s="173"/>
      <c r="R953" s="174"/>
      <c r="S953" s="174"/>
      <c r="T953" s="90"/>
      <c r="U953" s="176"/>
      <c r="V953" s="176"/>
      <c r="W953" s="176"/>
      <c r="X953" s="176"/>
      <c r="Y953" s="176"/>
      <c r="Z953" s="177"/>
      <c r="AA953" s="176"/>
      <c r="AB953" s="176"/>
      <c r="AC953" s="176"/>
      <c r="AD953" s="178"/>
      <c r="AF953" s="179"/>
      <c r="AG953" s="179"/>
      <c r="AI953" s="180"/>
      <c r="AJ953" s="180"/>
      <c r="AK953" s="180"/>
      <c r="AL953" s="180"/>
      <c r="AM953" s="181"/>
      <c r="AN953" s="180"/>
      <c r="AO953" s="180"/>
      <c r="AP953" s="180"/>
    </row>
    <row r="954">
      <c r="D954" s="172"/>
      <c r="E954" s="172"/>
      <c r="G954" s="173"/>
      <c r="H954" s="173"/>
      <c r="I954" s="173"/>
      <c r="M954" s="173"/>
      <c r="R954" s="174"/>
      <c r="S954" s="174"/>
      <c r="T954" s="90"/>
      <c r="U954" s="176"/>
      <c r="V954" s="176"/>
      <c r="W954" s="176"/>
      <c r="X954" s="176"/>
      <c r="Y954" s="176"/>
      <c r="Z954" s="177"/>
      <c r="AA954" s="176"/>
      <c r="AB954" s="176"/>
      <c r="AC954" s="176"/>
      <c r="AD954" s="178"/>
      <c r="AF954" s="179"/>
      <c r="AG954" s="179"/>
      <c r="AI954" s="180"/>
      <c r="AJ954" s="180"/>
      <c r="AK954" s="180"/>
      <c r="AL954" s="180"/>
      <c r="AM954" s="181"/>
      <c r="AN954" s="180"/>
      <c r="AO954" s="180"/>
      <c r="AP954" s="180"/>
    </row>
    <row r="955">
      <c r="D955" s="172"/>
      <c r="E955" s="172"/>
      <c r="G955" s="173"/>
      <c r="H955" s="173"/>
      <c r="I955" s="173"/>
      <c r="M955" s="173"/>
      <c r="R955" s="174"/>
      <c r="S955" s="174"/>
      <c r="T955" s="90"/>
      <c r="U955" s="176"/>
      <c r="V955" s="176"/>
      <c r="W955" s="176"/>
      <c r="X955" s="176"/>
      <c r="Y955" s="176"/>
      <c r="Z955" s="177"/>
      <c r="AA955" s="176"/>
      <c r="AB955" s="176"/>
      <c r="AC955" s="176"/>
      <c r="AD955" s="178"/>
      <c r="AF955" s="179"/>
      <c r="AG955" s="179"/>
      <c r="AI955" s="180"/>
      <c r="AJ955" s="180"/>
      <c r="AK955" s="180"/>
      <c r="AL955" s="180"/>
      <c r="AM955" s="181"/>
      <c r="AN955" s="180"/>
      <c r="AO955" s="180"/>
      <c r="AP955" s="180"/>
    </row>
    <row r="956">
      <c r="D956" s="172"/>
      <c r="E956" s="172"/>
      <c r="G956" s="173"/>
      <c r="H956" s="173"/>
      <c r="I956" s="173"/>
      <c r="M956" s="173"/>
      <c r="R956" s="174"/>
      <c r="S956" s="174"/>
      <c r="T956" s="90"/>
      <c r="U956" s="176"/>
      <c r="V956" s="176"/>
      <c r="W956" s="176"/>
      <c r="X956" s="176"/>
      <c r="Y956" s="176"/>
      <c r="Z956" s="177"/>
      <c r="AA956" s="176"/>
      <c r="AB956" s="176"/>
      <c r="AC956" s="176"/>
      <c r="AD956" s="178"/>
      <c r="AF956" s="179"/>
      <c r="AG956" s="179"/>
      <c r="AI956" s="180"/>
      <c r="AJ956" s="180"/>
      <c r="AK956" s="180"/>
      <c r="AL956" s="180"/>
      <c r="AM956" s="181"/>
      <c r="AN956" s="180"/>
      <c r="AO956" s="180"/>
      <c r="AP956" s="180"/>
    </row>
    <row r="957">
      <c r="D957" s="172"/>
      <c r="E957" s="172"/>
      <c r="G957" s="173"/>
      <c r="H957" s="173"/>
      <c r="I957" s="173"/>
      <c r="M957" s="173"/>
      <c r="R957" s="174"/>
      <c r="S957" s="174"/>
      <c r="T957" s="90"/>
      <c r="U957" s="176"/>
      <c r="V957" s="176"/>
      <c r="W957" s="176"/>
      <c r="X957" s="176"/>
      <c r="Y957" s="176"/>
      <c r="Z957" s="177"/>
      <c r="AA957" s="176"/>
      <c r="AB957" s="176"/>
      <c r="AC957" s="176"/>
      <c r="AD957" s="178"/>
      <c r="AF957" s="179"/>
      <c r="AG957" s="179"/>
      <c r="AI957" s="180"/>
      <c r="AJ957" s="180"/>
      <c r="AK957" s="180"/>
      <c r="AL957" s="180"/>
      <c r="AM957" s="181"/>
      <c r="AN957" s="180"/>
      <c r="AO957" s="180"/>
      <c r="AP957" s="180"/>
    </row>
    <row r="958">
      <c r="D958" s="172"/>
      <c r="E958" s="172"/>
      <c r="G958" s="173"/>
      <c r="H958" s="173"/>
      <c r="I958" s="173"/>
      <c r="M958" s="173"/>
      <c r="R958" s="174"/>
      <c r="S958" s="174"/>
      <c r="T958" s="90"/>
      <c r="U958" s="176"/>
      <c r="V958" s="176"/>
      <c r="W958" s="176"/>
      <c r="X958" s="176"/>
      <c r="Y958" s="176"/>
      <c r="Z958" s="177"/>
      <c r="AA958" s="176"/>
      <c r="AB958" s="176"/>
      <c r="AC958" s="176"/>
      <c r="AD958" s="178"/>
      <c r="AF958" s="179"/>
      <c r="AG958" s="179"/>
      <c r="AI958" s="180"/>
      <c r="AJ958" s="180"/>
      <c r="AK958" s="180"/>
      <c r="AL958" s="180"/>
      <c r="AM958" s="181"/>
      <c r="AN958" s="180"/>
      <c r="AO958" s="180"/>
      <c r="AP958" s="180"/>
    </row>
    <row r="959">
      <c r="D959" s="172"/>
      <c r="E959" s="172"/>
      <c r="G959" s="173"/>
      <c r="H959" s="173"/>
      <c r="I959" s="173"/>
      <c r="M959" s="173"/>
      <c r="R959" s="174"/>
      <c r="S959" s="174"/>
      <c r="T959" s="90"/>
      <c r="U959" s="176"/>
      <c r="V959" s="176"/>
      <c r="W959" s="176"/>
      <c r="X959" s="176"/>
      <c r="Y959" s="176"/>
      <c r="Z959" s="177"/>
      <c r="AA959" s="176"/>
      <c r="AB959" s="176"/>
      <c r="AC959" s="176"/>
      <c r="AD959" s="178"/>
      <c r="AF959" s="179"/>
      <c r="AG959" s="179"/>
      <c r="AI959" s="180"/>
      <c r="AJ959" s="180"/>
      <c r="AK959" s="180"/>
      <c r="AL959" s="180"/>
      <c r="AM959" s="181"/>
      <c r="AN959" s="180"/>
      <c r="AO959" s="180"/>
      <c r="AP959" s="180"/>
    </row>
    <row r="960">
      <c r="D960" s="172"/>
      <c r="E960" s="172"/>
      <c r="G960" s="173"/>
      <c r="H960" s="173"/>
      <c r="I960" s="173"/>
      <c r="M960" s="173"/>
      <c r="R960" s="174"/>
      <c r="S960" s="174"/>
      <c r="T960" s="90"/>
      <c r="U960" s="176"/>
      <c r="V960" s="176"/>
      <c r="W960" s="176"/>
      <c r="X960" s="176"/>
      <c r="Y960" s="176"/>
      <c r="Z960" s="177"/>
      <c r="AA960" s="176"/>
      <c r="AB960" s="176"/>
      <c r="AC960" s="176"/>
      <c r="AD960" s="178"/>
      <c r="AF960" s="179"/>
      <c r="AG960" s="179"/>
      <c r="AI960" s="180"/>
      <c r="AJ960" s="180"/>
      <c r="AK960" s="180"/>
      <c r="AL960" s="180"/>
      <c r="AM960" s="181"/>
      <c r="AN960" s="180"/>
      <c r="AO960" s="180"/>
      <c r="AP960" s="180"/>
    </row>
    <row r="961">
      <c r="D961" s="172"/>
      <c r="E961" s="172"/>
      <c r="G961" s="173"/>
      <c r="H961" s="173"/>
      <c r="I961" s="173"/>
      <c r="M961" s="173"/>
      <c r="R961" s="174"/>
      <c r="S961" s="174"/>
      <c r="T961" s="90"/>
      <c r="U961" s="176"/>
      <c r="V961" s="176"/>
      <c r="W961" s="176"/>
      <c r="X961" s="176"/>
      <c r="Y961" s="176"/>
      <c r="Z961" s="177"/>
      <c r="AA961" s="176"/>
      <c r="AB961" s="176"/>
      <c r="AC961" s="176"/>
      <c r="AD961" s="178"/>
      <c r="AF961" s="179"/>
      <c r="AG961" s="179"/>
      <c r="AI961" s="180"/>
      <c r="AJ961" s="180"/>
      <c r="AK961" s="180"/>
      <c r="AL961" s="180"/>
      <c r="AM961" s="181"/>
      <c r="AN961" s="180"/>
      <c r="AO961" s="180"/>
      <c r="AP961" s="180"/>
    </row>
    <row r="962">
      <c r="D962" s="172"/>
      <c r="E962" s="172"/>
      <c r="G962" s="173"/>
      <c r="H962" s="173"/>
      <c r="I962" s="173"/>
      <c r="M962" s="173"/>
      <c r="R962" s="174"/>
      <c r="S962" s="174"/>
      <c r="T962" s="90"/>
      <c r="U962" s="176"/>
      <c r="V962" s="176"/>
      <c r="W962" s="176"/>
      <c r="X962" s="176"/>
      <c r="Y962" s="176"/>
      <c r="Z962" s="177"/>
      <c r="AA962" s="176"/>
      <c r="AB962" s="176"/>
      <c r="AC962" s="176"/>
      <c r="AD962" s="178"/>
      <c r="AF962" s="179"/>
      <c r="AG962" s="179"/>
      <c r="AI962" s="180"/>
      <c r="AJ962" s="180"/>
      <c r="AK962" s="180"/>
      <c r="AL962" s="180"/>
      <c r="AM962" s="181"/>
      <c r="AN962" s="180"/>
      <c r="AO962" s="180"/>
      <c r="AP962" s="180"/>
    </row>
    <row r="963">
      <c r="D963" s="172"/>
      <c r="E963" s="172"/>
      <c r="G963" s="173"/>
      <c r="H963" s="173"/>
      <c r="I963" s="173"/>
      <c r="M963" s="173"/>
      <c r="R963" s="174"/>
      <c r="S963" s="174"/>
      <c r="T963" s="90"/>
      <c r="U963" s="176"/>
      <c r="V963" s="176"/>
      <c r="W963" s="176"/>
      <c r="X963" s="176"/>
      <c r="Y963" s="176"/>
      <c r="Z963" s="177"/>
      <c r="AA963" s="176"/>
      <c r="AB963" s="176"/>
      <c r="AC963" s="176"/>
      <c r="AD963" s="178"/>
      <c r="AF963" s="179"/>
      <c r="AG963" s="179"/>
      <c r="AI963" s="180"/>
      <c r="AJ963" s="180"/>
      <c r="AK963" s="180"/>
      <c r="AL963" s="180"/>
      <c r="AM963" s="181"/>
      <c r="AN963" s="180"/>
      <c r="AO963" s="180"/>
      <c r="AP963" s="180"/>
    </row>
    <row r="964">
      <c r="D964" s="172"/>
      <c r="E964" s="172"/>
      <c r="G964" s="173"/>
      <c r="H964" s="173"/>
      <c r="I964" s="173"/>
      <c r="M964" s="173"/>
      <c r="R964" s="174"/>
      <c r="S964" s="174"/>
      <c r="T964" s="90"/>
      <c r="U964" s="176"/>
      <c r="V964" s="176"/>
      <c r="W964" s="176"/>
      <c r="X964" s="176"/>
      <c r="Y964" s="176"/>
      <c r="Z964" s="177"/>
      <c r="AA964" s="176"/>
      <c r="AB964" s="176"/>
      <c r="AC964" s="176"/>
      <c r="AD964" s="178"/>
      <c r="AF964" s="179"/>
      <c r="AG964" s="179"/>
      <c r="AI964" s="180"/>
      <c r="AJ964" s="180"/>
      <c r="AK964" s="180"/>
      <c r="AL964" s="180"/>
      <c r="AM964" s="181"/>
      <c r="AN964" s="180"/>
      <c r="AO964" s="180"/>
      <c r="AP964" s="180"/>
    </row>
    <row r="965">
      <c r="D965" s="172"/>
      <c r="E965" s="172"/>
      <c r="G965" s="173"/>
      <c r="H965" s="173"/>
      <c r="I965" s="173"/>
      <c r="M965" s="173"/>
      <c r="R965" s="174"/>
      <c r="S965" s="174"/>
      <c r="T965" s="90"/>
      <c r="U965" s="176"/>
      <c r="V965" s="176"/>
      <c r="W965" s="176"/>
      <c r="X965" s="176"/>
      <c r="Y965" s="176"/>
      <c r="Z965" s="177"/>
      <c r="AA965" s="176"/>
      <c r="AB965" s="176"/>
      <c r="AC965" s="176"/>
      <c r="AD965" s="178"/>
      <c r="AF965" s="179"/>
      <c r="AG965" s="179"/>
      <c r="AI965" s="180"/>
      <c r="AJ965" s="180"/>
      <c r="AK965" s="180"/>
      <c r="AL965" s="180"/>
      <c r="AM965" s="181"/>
      <c r="AN965" s="180"/>
      <c r="AO965" s="180"/>
      <c r="AP965" s="180"/>
    </row>
    <row r="966">
      <c r="D966" s="172"/>
      <c r="E966" s="172"/>
      <c r="G966" s="173"/>
      <c r="H966" s="173"/>
      <c r="I966" s="173"/>
      <c r="M966" s="173"/>
      <c r="R966" s="174"/>
      <c r="S966" s="174"/>
      <c r="T966" s="90"/>
      <c r="U966" s="176"/>
      <c r="V966" s="176"/>
      <c r="W966" s="176"/>
      <c r="X966" s="176"/>
      <c r="Y966" s="176"/>
      <c r="Z966" s="177"/>
      <c r="AA966" s="176"/>
      <c r="AB966" s="176"/>
      <c r="AC966" s="176"/>
      <c r="AD966" s="178"/>
      <c r="AF966" s="179"/>
      <c r="AG966" s="179"/>
      <c r="AI966" s="180"/>
      <c r="AJ966" s="180"/>
      <c r="AK966" s="180"/>
      <c r="AL966" s="180"/>
      <c r="AM966" s="181"/>
      <c r="AN966" s="180"/>
      <c r="AO966" s="180"/>
      <c r="AP966" s="180"/>
    </row>
    <row r="967">
      <c r="D967" s="172"/>
      <c r="E967" s="172"/>
      <c r="G967" s="173"/>
      <c r="H967" s="173"/>
      <c r="I967" s="173"/>
      <c r="M967" s="173"/>
      <c r="R967" s="174"/>
      <c r="S967" s="174"/>
      <c r="T967" s="90"/>
      <c r="U967" s="176"/>
      <c r="V967" s="176"/>
      <c r="W967" s="176"/>
      <c r="X967" s="176"/>
      <c r="Y967" s="176"/>
      <c r="Z967" s="177"/>
      <c r="AA967" s="176"/>
      <c r="AB967" s="176"/>
      <c r="AC967" s="176"/>
      <c r="AD967" s="178"/>
      <c r="AF967" s="179"/>
      <c r="AG967" s="179"/>
      <c r="AI967" s="180"/>
      <c r="AJ967" s="180"/>
      <c r="AK967" s="180"/>
      <c r="AL967" s="180"/>
      <c r="AM967" s="181"/>
      <c r="AN967" s="180"/>
      <c r="AO967" s="180"/>
      <c r="AP967" s="180"/>
    </row>
    <row r="968">
      <c r="D968" s="172"/>
      <c r="E968" s="172"/>
      <c r="G968" s="173"/>
      <c r="H968" s="173"/>
      <c r="I968" s="173"/>
      <c r="M968" s="173"/>
      <c r="R968" s="174"/>
      <c r="S968" s="174"/>
      <c r="T968" s="90"/>
      <c r="U968" s="176"/>
      <c r="V968" s="176"/>
      <c r="W968" s="176"/>
      <c r="X968" s="176"/>
      <c r="Y968" s="176"/>
      <c r="Z968" s="177"/>
      <c r="AA968" s="176"/>
      <c r="AB968" s="176"/>
      <c r="AC968" s="176"/>
      <c r="AD968" s="178"/>
      <c r="AF968" s="179"/>
      <c r="AG968" s="179"/>
      <c r="AI968" s="180"/>
      <c r="AJ968" s="180"/>
      <c r="AK968" s="180"/>
      <c r="AL968" s="180"/>
      <c r="AM968" s="181"/>
      <c r="AN968" s="180"/>
      <c r="AO968" s="180"/>
      <c r="AP968" s="180"/>
    </row>
    <row r="969">
      <c r="D969" s="172"/>
      <c r="E969" s="172"/>
      <c r="G969" s="173"/>
      <c r="H969" s="173"/>
      <c r="I969" s="173"/>
      <c r="M969" s="173"/>
      <c r="R969" s="174"/>
      <c r="S969" s="174"/>
      <c r="T969" s="90"/>
      <c r="U969" s="176"/>
      <c r="V969" s="176"/>
      <c r="W969" s="176"/>
      <c r="X969" s="176"/>
      <c r="Y969" s="176"/>
      <c r="Z969" s="177"/>
      <c r="AA969" s="176"/>
      <c r="AB969" s="176"/>
      <c r="AC969" s="176"/>
      <c r="AD969" s="178"/>
      <c r="AF969" s="179"/>
      <c r="AG969" s="179"/>
      <c r="AI969" s="180"/>
      <c r="AJ969" s="180"/>
      <c r="AK969" s="180"/>
      <c r="AL969" s="180"/>
      <c r="AM969" s="181"/>
      <c r="AN969" s="180"/>
      <c r="AO969" s="180"/>
      <c r="AP969" s="180"/>
    </row>
    <row r="970">
      <c r="D970" s="172"/>
      <c r="E970" s="172"/>
      <c r="G970" s="173"/>
      <c r="H970" s="173"/>
      <c r="I970" s="173"/>
      <c r="M970" s="173"/>
      <c r="R970" s="174"/>
      <c r="S970" s="174"/>
      <c r="T970" s="90"/>
      <c r="U970" s="176"/>
      <c r="V970" s="176"/>
      <c r="W970" s="176"/>
      <c r="X970" s="176"/>
      <c r="Y970" s="176"/>
      <c r="Z970" s="177"/>
      <c r="AA970" s="176"/>
      <c r="AB970" s="176"/>
      <c r="AC970" s="176"/>
      <c r="AD970" s="178"/>
      <c r="AF970" s="179"/>
      <c r="AG970" s="179"/>
      <c r="AI970" s="180"/>
      <c r="AJ970" s="180"/>
      <c r="AK970" s="180"/>
      <c r="AL970" s="180"/>
      <c r="AM970" s="181"/>
      <c r="AN970" s="180"/>
      <c r="AO970" s="180"/>
      <c r="AP970" s="180"/>
    </row>
    <row r="971">
      <c r="D971" s="172"/>
      <c r="E971" s="172"/>
      <c r="G971" s="173"/>
      <c r="H971" s="173"/>
      <c r="I971" s="173"/>
      <c r="M971" s="173"/>
      <c r="R971" s="174"/>
      <c r="S971" s="174"/>
      <c r="T971" s="90"/>
      <c r="U971" s="176"/>
      <c r="V971" s="176"/>
      <c r="W971" s="176"/>
      <c r="X971" s="176"/>
      <c r="Y971" s="176"/>
      <c r="Z971" s="177"/>
      <c r="AA971" s="176"/>
      <c r="AB971" s="176"/>
      <c r="AC971" s="176"/>
      <c r="AD971" s="178"/>
      <c r="AF971" s="179"/>
      <c r="AG971" s="179"/>
      <c r="AI971" s="180"/>
      <c r="AJ971" s="180"/>
      <c r="AK971" s="180"/>
      <c r="AL971" s="180"/>
      <c r="AM971" s="181"/>
      <c r="AN971" s="180"/>
      <c r="AO971" s="180"/>
      <c r="AP971" s="180"/>
    </row>
    <row r="972">
      <c r="D972" s="172"/>
      <c r="E972" s="172"/>
      <c r="G972" s="173"/>
      <c r="H972" s="173"/>
      <c r="I972" s="173"/>
      <c r="M972" s="173"/>
      <c r="R972" s="174"/>
      <c r="S972" s="174"/>
      <c r="T972" s="90"/>
      <c r="U972" s="176"/>
      <c r="V972" s="176"/>
      <c r="W972" s="176"/>
      <c r="X972" s="176"/>
      <c r="Y972" s="176"/>
      <c r="Z972" s="177"/>
      <c r="AA972" s="176"/>
      <c r="AB972" s="176"/>
      <c r="AC972" s="176"/>
      <c r="AD972" s="178"/>
      <c r="AF972" s="179"/>
      <c r="AG972" s="179"/>
      <c r="AI972" s="180"/>
      <c r="AJ972" s="180"/>
      <c r="AK972" s="180"/>
      <c r="AL972" s="180"/>
      <c r="AM972" s="181"/>
      <c r="AN972" s="180"/>
      <c r="AO972" s="180"/>
      <c r="AP972" s="180"/>
    </row>
    <row r="973">
      <c r="D973" s="172"/>
      <c r="E973" s="172"/>
      <c r="G973" s="173"/>
      <c r="H973" s="173"/>
      <c r="I973" s="173"/>
      <c r="M973" s="173"/>
      <c r="R973" s="174"/>
      <c r="S973" s="174"/>
      <c r="T973" s="90"/>
      <c r="U973" s="176"/>
      <c r="V973" s="176"/>
      <c r="W973" s="176"/>
      <c r="X973" s="176"/>
      <c r="Y973" s="176"/>
      <c r="Z973" s="177"/>
      <c r="AA973" s="176"/>
      <c r="AB973" s="176"/>
      <c r="AC973" s="176"/>
      <c r="AD973" s="178"/>
      <c r="AF973" s="179"/>
      <c r="AG973" s="179"/>
      <c r="AI973" s="180"/>
      <c r="AJ973" s="180"/>
      <c r="AK973" s="180"/>
      <c r="AL973" s="180"/>
      <c r="AM973" s="181"/>
      <c r="AN973" s="180"/>
      <c r="AO973" s="180"/>
      <c r="AP973" s="180"/>
    </row>
    <row r="974">
      <c r="D974" s="172"/>
      <c r="E974" s="172"/>
      <c r="G974" s="173"/>
      <c r="H974" s="173"/>
      <c r="I974" s="173"/>
      <c r="M974" s="173"/>
      <c r="R974" s="174"/>
      <c r="S974" s="174"/>
      <c r="T974" s="90"/>
      <c r="U974" s="176"/>
      <c r="V974" s="176"/>
      <c r="W974" s="176"/>
      <c r="X974" s="176"/>
      <c r="Y974" s="176"/>
      <c r="Z974" s="177"/>
      <c r="AA974" s="176"/>
      <c r="AB974" s="176"/>
      <c r="AC974" s="176"/>
      <c r="AD974" s="178"/>
      <c r="AF974" s="179"/>
      <c r="AG974" s="179"/>
      <c r="AI974" s="180"/>
      <c r="AJ974" s="180"/>
      <c r="AK974" s="180"/>
      <c r="AL974" s="180"/>
      <c r="AM974" s="181"/>
      <c r="AN974" s="180"/>
      <c r="AO974" s="180"/>
      <c r="AP974" s="180"/>
    </row>
    <row r="975">
      <c r="D975" s="172"/>
      <c r="E975" s="172"/>
      <c r="G975" s="173"/>
      <c r="H975" s="173"/>
      <c r="I975" s="173"/>
      <c r="M975" s="173"/>
      <c r="R975" s="174"/>
      <c r="S975" s="174"/>
      <c r="T975" s="90"/>
      <c r="U975" s="176"/>
      <c r="V975" s="176"/>
      <c r="W975" s="176"/>
      <c r="X975" s="176"/>
      <c r="Y975" s="176"/>
      <c r="Z975" s="177"/>
      <c r="AA975" s="176"/>
      <c r="AB975" s="176"/>
      <c r="AC975" s="176"/>
      <c r="AD975" s="178"/>
      <c r="AF975" s="179"/>
      <c r="AG975" s="179"/>
      <c r="AI975" s="180"/>
      <c r="AJ975" s="180"/>
      <c r="AK975" s="180"/>
      <c r="AL975" s="180"/>
      <c r="AM975" s="181"/>
      <c r="AN975" s="180"/>
      <c r="AO975" s="180"/>
      <c r="AP975" s="180"/>
    </row>
    <row r="976">
      <c r="D976" s="172"/>
      <c r="E976" s="172"/>
      <c r="G976" s="173"/>
      <c r="H976" s="173"/>
      <c r="I976" s="173"/>
      <c r="M976" s="173"/>
      <c r="R976" s="174"/>
      <c r="S976" s="174"/>
      <c r="T976" s="90"/>
      <c r="U976" s="176"/>
      <c r="V976" s="176"/>
      <c r="W976" s="176"/>
      <c r="X976" s="176"/>
      <c r="Y976" s="176"/>
      <c r="Z976" s="177"/>
      <c r="AA976" s="176"/>
      <c r="AB976" s="176"/>
      <c r="AC976" s="176"/>
      <c r="AD976" s="178"/>
      <c r="AF976" s="179"/>
      <c r="AG976" s="179"/>
      <c r="AI976" s="180"/>
      <c r="AJ976" s="180"/>
      <c r="AK976" s="180"/>
      <c r="AL976" s="180"/>
      <c r="AM976" s="181"/>
      <c r="AN976" s="180"/>
      <c r="AO976" s="180"/>
      <c r="AP976" s="180"/>
    </row>
    <row r="977">
      <c r="D977" s="172"/>
      <c r="E977" s="172"/>
      <c r="G977" s="173"/>
      <c r="H977" s="173"/>
      <c r="I977" s="173"/>
      <c r="M977" s="173"/>
      <c r="R977" s="174"/>
      <c r="S977" s="174"/>
      <c r="T977" s="90"/>
      <c r="U977" s="176"/>
      <c r="V977" s="176"/>
      <c r="W977" s="176"/>
      <c r="X977" s="176"/>
      <c r="Y977" s="176"/>
      <c r="Z977" s="177"/>
      <c r="AA977" s="176"/>
      <c r="AB977" s="176"/>
      <c r="AC977" s="176"/>
      <c r="AD977" s="178"/>
      <c r="AF977" s="179"/>
      <c r="AG977" s="179"/>
      <c r="AI977" s="180"/>
      <c r="AJ977" s="180"/>
      <c r="AK977" s="180"/>
      <c r="AL977" s="180"/>
      <c r="AM977" s="181"/>
      <c r="AN977" s="180"/>
      <c r="AO977" s="180"/>
      <c r="AP977" s="180"/>
    </row>
    <row r="978">
      <c r="D978" s="172"/>
      <c r="E978" s="172"/>
      <c r="G978" s="173"/>
      <c r="H978" s="173"/>
      <c r="I978" s="173"/>
      <c r="M978" s="173"/>
      <c r="R978" s="174"/>
      <c r="S978" s="174"/>
      <c r="T978" s="90"/>
      <c r="U978" s="176"/>
      <c r="V978" s="176"/>
      <c r="W978" s="176"/>
      <c r="X978" s="176"/>
      <c r="Y978" s="176"/>
      <c r="Z978" s="177"/>
      <c r="AA978" s="176"/>
      <c r="AB978" s="176"/>
      <c r="AC978" s="176"/>
      <c r="AD978" s="178"/>
      <c r="AF978" s="179"/>
      <c r="AG978" s="179"/>
      <c r="AI978" s="180"/>
      <c r="AJ978" s="180"/>
      <c r="AK978" s="180"/>
      <c r="AL978" s="180"/>
      <c r="AM978" s="181"/>
      <c r="AN978" s="180"/>
      <c r="AO978" s="180"/>
      <c r="AP978" s="180"/>
    </row>
    <row r="979">
      <c r="D979" s="172"/>
      <c r="E979" s="172"/>
      <c r="G979" s="173"/>
      <c r="H979" s="173"/>
      <c r="I979" s="173"/>
      <c r="M979" s="173"/>
      <c r="R979" s="174"/>
      <c r="S979" s="174"/>
      <c r="T979" s="90"/>
      <c r="U979" s="176"/>
      <c r="V979" s="176"/>
      <c r="W979" s="176"/>
      <c r="X979" s="176"/>
      <c r="Y979" s="176"/>
      <c r="Z979" s="177"/>
      <c r="AA979" s="176"/>
      <c r="AB979" s="176"/>
      <c r="AC979" s="176"/>
      <c r="AD979" s="178"/>
      <c r="AF979" s="179"/>
      <c r="AG979" s="179"/>
      <c r="AI979" s="180"/>
      <c r="AJ979" s="180"/>
      <c r="AK979" s="180"/>
      <c r="AL979" s="180"/>
      <c r="AM979" s="181"/>
      <c r="AN979" s="180"/>
      <c r="AO979" s="180"/>
      <c r="AP979" s="180"/>
    </row>
    <row r="980">
      <c r="D980" s="172"/>
      <c r="E980" s="172"/>
      <c r="G980" s="173"/>
      <c r="H980" s="173"/>
      <c r="I980" s="173"/>
      <c r="M980" s="173"/>
      <c r="R980" s="174"/>
      <c r="S980" s="174"/>
      <c r="T980" s="90"/>
      <c r="U980" s="176"/>
      <c r="V980" s="176"/>
      <c r="W980" s="176"/>
      <c r="X980" s="176"/>
      <c r="Y980" s="176"/>
      <c r="Z980" s="177"/>
      <c r="AA980" s="176"/>
      <c r="AB980" s="176"/>
      <c r="AC980" s="176"/>
      <c r="AD980" s="178"/>
      <c r="AF980" s="179"/>
      <c r="AG980" s="179"/>
      <c r="AI980" s="180"/>
      <c r="AJ980" s="180"/>
      <c r="AK980" s="180"/>
      <c r="AL980" s="180"/>
      <c r="AM980" s="181"/>
      <c r="AN980" s="180"/>
      <c r="AO980" s="180"/>
      <c r="AP980" s="180"/>
    </row>
    <row r="981">
      <c r="D981" s="172"/>
      <c r="E981" s="172"/>
      <c r="G981" s="173"/>
      <c r="H981" s="173"/>
      <c r="I981" s="173"/>
      <c r="M981" s="173"/>
      <c r="R981" s="174"/>
      <c r="S981" s="174"/>
      <c r="T981" s="90"/>
      <c r="U981" s="176"/>
      <c r="V981" s="176"/>
      <c r="W981" s="176"/>
      <c r="X981" s="176"/>
      <c r="Y981" s="176"/>
      <c r="Z981" s="177"/>
      <c r="AA981" s="176"/>
      <c r="AB981" s="176"/>
      <c r="AC981" s="176"/>
      <c r="AD981" s="178"/>
      <c r="AF981" s="179"/>
      <c r="AG981" s="179"/>
      <c r="AI981" s="180"/>
      <c r="AJ981" s="180"/>
      <c r="AK981" s="180"/>
      <c r="AL981" s="180"/>
      <c r="AM981" s="181"/>
      <c r="AN981" s="180"/>
      <c r="AO981" s="180"/>
      <c r="AP981" s="180"/>
    </row>
    <row r="982">
      <c r="D982" s="172"/>
      <c r="E982" s="172"/>
      <c r="G982" s="173"/>
      <c r="H982" s="173"/>
      <c r="I982" s="173"/>
      <c r="M982" s="173"/>
      <c r="R982" s="174"/>
      <c r="S982" s="174"/>
      <c r="T982" s="90"/>
      <c r="U982" s="176"/>
      <c r="V982" s="176"/>
      <c r="W982" s="176"/>
      <c r="X982" s="176"/>
      <c r="Y982" s="176"/>
      <c r="Z982" s="177"/>
      <c r="AA982" s="176"/>
      <c r="AB982" s="176"/>
      <c r="AC982" s="176"/>
      <c r="AD982" s="178"/>
      <c r="AF982" s="179"/>
      <c r="AG982" s="179"/>
      <c r="AI982" s="180"/>
      <c r="AJ982" s="180"/>
      <c r="AK982" s="180"/>
      <c r="AL982" s="180"/>
      <c r="AM982" s="181"/>
      <c r="AN982" s="180"/>
      <c r="AO982" s="180"/>
      <c r="AP982" s="180"/>
    </row>
    <row r="983">
      <c r="D983" s="172"/>
      <c r="E983" s="172"/>
      <c r="G983" s="173"/>
      <c r="H983" s="173"/>
      <c r="I983" s="173"/>
      <c r="M983" s="173"/>
      <c r="R983" s="174"/>
      <c r="S983" s="174"/>
      <c r="T983" s="90"/>
      <c r="U983" s="176"/>
      <c r="V983" s="176"/>
      <c r="W983" s="176"/>
      <c r="X983" s="176"/>
      <c r="Y983" s="176"/>
      <c r="Z983" s="177"/>
      <c r="AA983" s="176"/>
      <c r="AB983" s="176"/>
      <c r="AC983" s="176"/>
      <c r="AD983" s="178"/>
      <c r="AF983" s="179"/>
      <c r="AG983" s="179"/>
      <c r="AI983" s="180"/>
      <c r="AJ983" s="180"/>
      <c r="AK983" s="180"/>
      <c r="AL983" s="180"/>
      <c r="AM983" s="181"/>
      <c r="AN983" s="180"/>
      <c r="AO983" s="180"/>
      <c r="AP983" s="180"/>
    </row>
    <row r="984">
      <c r="D984" s="172"/>
      <c r="E984" s="172"/>
      <c r="G984" s="173"/>
      <c r="H984" s="173"/>
      <c r="I984" s="173"/>
      <c r="M984" s="173"/>
      <c r="R984" s="174"/>
      <c r="S984" s="174"/>
      <c r="T984" s="90"/>
      <c r="U984" s="176"/>
      <c r="V984" s="176"/>
      <c r="W984" s="176"/>
      <c r="X984" s="176"/>
      <c r="Y984" s="176"/>
      <c r="Z984" s="177"/>
      <c r="AA984" s="176"/>
      <c r="AB984" s="176"/>
      <c r="AC984" s="176"/>
      <c r="AD984" s="178"/>
      <c r="AF984" s="179"/>
      <c r="AG984" s="179"/>
      <c r="AI984" s="180"/>
      <c r="AJ984" s="180"/>
      <c r="AK984" s="180"/>
      <c r="AL984" s="180"/>
      <c r="AM984" s="181"/>
      <c r="AN984" s="180"/>
      <c r="AO984" s="180"/>
      <c r="AP984" s="180"/>
    </row>
    <row r="985">
      <c r="D985" s="172"/>
      <c r="E985" s="172"/>
      <c r="G985" s="173"/>
      <c r="H985" s="173"/>
      <c r="I985" s="173"/>
      <c r="M985" s="173"/>
      <c r="R985" s="174"/>
      <c r="S985" s="174"/>
      <c r="T985" s="90"/>
      <c r="U985" s="176"/>
      <c r="V985" s="176"/>
      <c r="W985" s="176"/>
      <c r="X985" s="176"/>
      <c r="Y985" s="176"/>
      <c r="Z985" s="177"/>
      <c r="AA985" s="176"/>
      <c r="AB985" s="176"/>
      <c r="AC985" s="176"/>
      <c r="AD985" s="178"/>
      <c r="AF985" s="179"/>
      <c r="AG985" s="179"/>
      <c r="AI985" s="180"/>
      <c r="AJ985" s="180"/>
      <c r="AK985" s="180"/>
      <c r="AL985" s="180"/>
      <c r="AM985" s="181"/>
      <c r="AN985" s="180"/>
      <c r="AO985" s="180"/>
      <c r="AP985" s="180"/>
    </row>
    <row r="986">
      <c r="D986" s="172"/>
      <c r="E986" s="172"/>
      <c r="G986" s="173"/>
      <c r="H986" s="173"/>
      <c r="I986" s="173"/>
      <c r="M986" s="173"/>
      <c r="R986" s="174"/>
      <c r="S986" s="174"/>
      <c r="T986" s="90"/>
      <c r="U986" s="176"/>
      <c r="V986" s="176"/>
      <c r="W986" s="176"/>
      <c r="X986" s="176"/>
      <c r="Y986" s="176"/>
      <c r="Z986" s="177"/>
      <c r="AA986" s="176"/>
      <c r="AB986" s="176"/>
      <c r="AC986" s="176"/>
      <c r="AD986" s="178"/>
      <c r="AF986" s="179"/>
      <c r="AG986" s="179"/>
      <c r="AI986" s="180"/>
      <c r="AJ986" s="180"/>
      <c r="AK986" s="180"/>
      <c r="AL986" s="180"/>
      <c r="AM986" s="181"/>
      <c r="AN986" s="180"/>
      <c r="AO986" s="180"/>
      <c r="AP986" s="180"/>
    </row>
    <row r="987">
      <c r="D987" s="172"/>
      <c r="E987" s="172"/>
      <c r="G987" s="173"/>
      <c r="H987" s="173"/>
      <c r="I987" s="173"/>
      <c r="M987" s="173"/>
      <c r="R987" s="174"/>
      <c r="S987" s="174"/>
      <c r="T987" s="90"/>
      <c r="U987" s="176"/>
      <c r="V987" s="176"/>
      <c r="W987" s="176"/>
      <c r="X987" s="176"/>
      <c r="Y987" s="176"/>
      <c r="Z987" s="177"/>
      <c r="AA987" s="176"/>
      <c r="AB987" s="176"/>
      <c r="AC987" s="176"/>
      <c r="AD987" s="178"/>
      <c r="AF987" s="179"/>
      <c r="AG987" s="179"/>
      <c r="AI987" s="180"/>
      <c r="AJ987" s="180"/>
      <c r="AK987" s="180"/>
      <c r="AL987" s="180"/>
      <c r="AM987" s="181"/>
      <c r="AN987" s="180"/>
      <c r="AO987" s="180"/>
      <c r="AP987" s="180"/>
    </row>
    <row r="988">
      <c r="D988" s="172"/>
      <c r="E988" s="172"/>
      <c r="G988" s="173"/>
      <c r="H988" s="173"/>
      <c r="I988" s="173"/>
      <c r="M988" s="173"/>
      <c r="R988" s="174"/>
      <c r="S988" s="174"/>
      <c r="T988" s="90"/>
      <c r="U988" s="176"/>
      <c r="V988" s="176"/>
      <c r="W988" s="176"/>
      <c r="X988" s="176"/>
      <c r="Y988" s="176"/>
      <c r="Z988" s="177"/>
      <c r="AA988" s="176"/>
      <c r="AB988" s="176"/>
      <c r="AC988" s="176"/>
      <c r="AD988" s="178"/>
      <c r="AF988" s="179"/>
      <c r="AG988" s="179"/>
      <c r="AI988" s="180"/>
      <c r="AJ988" s="180"/>
      <c r="AK988" s="180"/>
      <c r="AL988" s="180"/>
      <c r="AM988" s="181"/>
      <c r="AN988" s="180"/>
      <c r="AO988" s="180"/>
      <c r="AP988" s="180"/>
    </row>
    <row r="989">
      <c r="D989" s="172"/>
      <c r="E989" s="172"/>
      <c r="G989" s="173"/>
      <c r="H989" s="173"/>
      <c r="I989" s="173"/>
      <c r="M989" s="173"/>
      <c r="R989" s="174"/>
      <c r="S989" s="174"/>
      <c r="T989" s="90"/>
      <c r="U989" s="176"/>
      <c r="V989" s="176"/>
      <c r="W989" s="176"/>
      <c r="X989" s="176"/>
      <c r="Y989" s="176"/>
      <c r="Z989" s="177"/>
      <c r="AA989" s="176"/>
      <c r="AB989" s="176"/>
      <c r="AC989" s="176"/>
      <c r="AD989" s="178"/>
      <c r="AF989" s="179"/>
      <c r="AG989" s="179"/>
      <c r="AI989" s="180"/>
      <c r="AJ989" s="180"/>
      <c r="AK989" s="180"/>
      <c r="AL989" s="180"/>
      <c r="AM989" s="181"/>
      <c r="AN989" s="180"/>
      <c r="AO989" s="180"/>
      <c r="AP989" s="180"/>
    </row>
    <row r="990">
      <c r="D990" s="172"/>
      <c r="E990" s="172"/>
      <c r="G990" s="173"/>
      <c r="H990" s="173"/>
      <c r="I990" s="173"/>
      <c r="M990" s="173"/>
      <c r="R990" s="174"/>
      <c r="S990" s="174"/>
      <c r="T990" s="90"/>
      <c r="U990" s="176"/>
      <c r="V990" s="176"/>
      <c r="W990" s="176"/>
      <c r="X990" s="176"/>
      <c r="Y990" s="176"/>
      <c r="Z990" s="177"/>
      <c r="AA990" s="176"/>
      <c r="AB990" s="176"/>
      <c r="AC990" s="176"/>
      <c r="AD990" s="178"/>
      <c r="AF990" s="179"/>
      <c r="AG990" s="179"/>
      <c r="AI990" s="180"/>
      <c r="AJ990" s="180"/>
      <c r="AK990" s="180"/>
      <c r="AL990" s="180"/>
      <c r="AM990" s="181"/>
      <c r="AN990" s="180"/>
      <c r="AO990" s="180"/>
      <c r="AP990" s="180"/>
    </row>
    <row r="991">
      <c r="D991" s="172"/>
      <c r="E991" s="172"/>
      <c r="G991" s="173"/>
      <c r="H991" s="173"/>
      <c r="I991" s="173"/>
      <c r="M991" s="173"/>
      <c r="R991" s="174"/>
      <c r="S991" s="174"/>
      <c r="T991" s="90"/>
      <c r="U991" s="176"/>
      <c r="V991" s="176"/>
      <c r="W991" s="176"/>
      <c r="X991" s="176"/>
      <c r="Y991" s="176"/>
      <c r="Z991" s="177"/>
      <c r="AA991" s="176"/>
      <c r="AB991" s="176"/>
      <c r="AC991" s="176"/>
      <c r="AD991" s="178"/>
      <c r="AF991" s="179"/>
      <c r="AG991" s="179"/>
      <c r="AI991" s="180"/>
      <c r="AJ991" s="180"/>
      <c r="AK991" s="180"/>
      <c r="AL991" s="180"/>
      <c r="AM991" s="181"/>
      <c r="AN991" s="180"/>
      <c r="AO991" s="180"/>
      <c r="AP991" s="180"/>
    </row>
    <row r="992">
      <c r="D992" s="172"/>
      <c r="E992" s="172"/>
      <c r="G992" s="173"/>
      <c r="H992" s="173"/>
      <c r="I992" s="173"/>
      <c r="M992" s="173"/>
      <c r="R992" s="174"/>
      <c r="S992" s="174"/>
      <c r="T992" s="90"/>
      <c r="U992" s="176"/>
      <c r="V992" s="176"/>
      <c r="W992" s="176"/>
      <c r="X992" s="176"/>
      <c r="Y992" s="176"/>
      <c r="Z992" s="177"/>
      <c r="AA992" s="176"/>
      <c r="AB992" s="176"/>
      <c r="AC992" s="176"/>
      <c r="AD992" s="178"/>
      <c r="AF992" s="179"/>
      <c r="AG992" s="179"/>
      <c r="AI992" s="180"/>
      <c r="AJ992" s="180"/>
      <c r="AK992" s="180"/>
      <c r="AL992" s="180"/>
      <c r="AM992" s="181"/>
      <c r="AN992" s="180"/>
      <c r="AO992" s="180"/>
      <c r="AP992" s="180"/>
    </row>
    <row r="993">
      <c r="D993" s="172"/>
      <c r="E993" s="172"/>
      <c r="G993" s="173"/>
      <c r="H993" s="173"/>
      <c r="I993" s="173"/>
      <c r="M993" s="173"/>
      <c r="R993" s="174"/>
      <c r="S993" s="174"/>
      <c r="T993" s="90"/>
      <c r="U993" s="176"/>
      <c r="V993" s="176"/>
      <c r="W993" s="176"/>
      <c r="X993" s="176"/>
      <c r="Y993" s="176"/>
      <c r="Z993" s="177"/>
      <c r="AA993" s="176"/>
      <c r="AB993" s="176"/>
      <c r="AC993" s="176"/>
      <c r="AD993" s="178"/>
      <c r="AF993" s="179"/>
      <c r="AG993" s="179"/>
      <c r="AI993" s="180"/>
      <c r="AJ993" s="180"/>
      <c r="AK993" s="180"/>
      <c r="AL993" s="180"/>
      <c r="AM993" s="181"/>
      <c r="AN993" s="180"/>
      <c r="AO993" s="180"/>
      <c r="AP993" s="180"/>
    </row>
    <row r="994">
      <c r="D994" s="172"/>
      <c r="E994" s="172"/>
      <c r="G994" s="173"/>
      <c r="H994" s="173"/>
      <c r="I994" s="173"/>
      <c r="M994" s="173"/>
      <c r="R994" s="174"/>
      <c r="S994" s="174"/>
      <c r="T994" s="90"/>
      <c r="U994" s="176"/>
      <c r="V994" s="176"/>
      <c r="W994" s="176"/>
      <c r="X994" s="176"/>
      <c r="Y994" s="176"/>
      <c r="Z994" s="177"/>
      <c r="AA994" s="176"/>
      <c r="AB994" s="176"/>
      <c r="AC994" s="176"/>
      <c r="AD994" s="178"/>
      <c r="AF994" s="179"/>
      <c r="AG994" s="179"/>
      <c r="AI994" s="180"/>
      <c r="AJ994" s="180"/>
      <c r="AK994" s="180"/>
      <c r="AL994" s="180"/>
      <c r="AM994" s="181"/>
      <c r="AN994" s="180"/>
      <c r="AO994" s="180"/>
      <c r="AP994" s="180"/>
    </row>
    <row r="995">
      <c r="D995" s="172"/>
      <c r="E995" s="172"/>
      <c r="G995" s="173"/>
      <c r="H995" s="173"/>
      <c r="I995" s="173"/>
      <c r="M995" s="173"/>
      <c r="R995" s="174"/>
      <c r="S995" s="174"/>
      <c r="T995" s="90"/>
      <c r="U995" s="176"/>
      <c r="V995" s="176"/>
      <c r="W995" s="176"/>
      <c r="X995" s="176"/>
      <c r="Y995" s="176"/>
      <c r="Z995" s="177"/>
      <c r="AA995" s="176"/>
      <c r="AB995" s="176"/>
      <c r="AC995" s="176"/>
      <c r="AD995" s="178"/>
      <c r="AF995" s="179"/>
      <c r="AG995" s="179"/>
      <c r="AI995" s="180"/>
      <c r="AJ995" s="180"/>
      <c r="AK995" s="180"/>
      <c r="AL995" s="180"/>
      <c r="AM995" s="181"/>
      <c r="AN995" s="180"/>
      <c r="AO995" s="180"/>
      <c r="AP995" s="180"/>
    </row>
    <row r="996">
      <c r="D996" s="172"/>
      <c r="E996" s="172"/>
      <c r="G996" s="173"/>
      <c r="H996" s="173"/>
      <c r="I996" s="173"/>
      <c r="M996" s="173"/>
      <c r="R996" s="174"/>
      <c r="S996" s="174"/>
      <c r="T996" s="90"/>
      <c r="U996" s="176"/>
      <c r="V996" s="176"/>
      <c r="W996" s="176"/>
      <c r="X996" s="176"/>
      <c r="Y996" s="176"/>
      <c r="Z996" s="177"/>
      <c r="AA996" s="176"/>
      <c r="AB996" s="176"/>
      <c r="AC996" s="176"/>
      <c r="AD996" s="178"/>
      <c r="AF996" s="179"/>
      <c r="AG996" s="179"/>
      <c r="AI996" s="180"/>
      <c r="AJ996" s="180"/>
      <c r="AK996" s="180"/>
      <c r="AL996" s="180"/>
      <c r="AM996" s="181"/>
      <c r="AN996" s="180"/>
      <c r="AO996" s="180"/>
      <c r="AP996" s="180"/>
    </row>
    <row r="997">
      <c r="D997" s="172"/>
      <c r="E997" s="172"/>
      <c r="G997" s="173"/>
      <c r="H997" s="173"/>
      <c r="I997" s="173"/>
      <c r="M997" s="173"/>
      <c r="R997" s="174"/>
      <c r="S997" s="174"/>
      <c r="T997" s="90"/>
      <c r="U997" s="176"/>
      <c r="V997" s="176"/>
      <c r="W997" s="176"/>
      <c r="X997" s="176"/>
      <c r="Y997" s="176"/>
      <c r="Z997" s="177"/>
      <c r="AA997" s="176"/>
      <c r="AB997" s="176"/>
      <c r="AC997" s="176"/>
      <c r="AD997" s="178"/>
      <c r="AF997" s="179"/>
      <c r="AG997" s="179"/>
      <c r="AI997" s="180"/>
      <c r="AJ997" s="180"/>
      <c r="AK997" s="180"/>
      <c r="AL997" s="180"/>
      <c r="AM997" s="181"/>
      <c r="AN997" s="180"/>
      <c r="AO997" s="180"/>
      <c r="AP997" s="180"/>
    </row>
    <row r="998">
      <c r="D998" s="172"/>
      <c r="E998" s="172"/>
      <c r="G998" s="173"/>
      <c r="H998" s="173"/>
      <c r="I998" s="173"/>
      <c r="M998" s="173"/>
      <c r="R998" s="174"/>
      <c r="S998" s="174"/>
      <c r="T998" s="90"/>
      <c r="U998" s="176"/>
      <c r="V998" s="176"/>
      <c r="W998" s="176"/>
      <c r="X998" s="176"/>
      <c r="Y998" s="176"/>
      <c r="Z998" s="177"/>
      <c r="AA998" s="176"/>
      <c r="AB998" s="176"/>
      <c r="AC998" s="176"/>
      <c r="AD998" s="178"/>
      <c r="AF998" s="179"/>
      <c r="AG998" s="179"/>
      <c r="AI998" s="180"/>
      <c r="AJ998" s="180"/>
      <c r="AK998" s="180"/>
      <c r="AL998" s="180"/>
      <c r="AM998" s="181"/>
      <c r="AN998" s="180"/>
      <c r="AO998" s="180"/>
      <c r="AP998" s="180"/>
    </row>
    <row r="999">
      <c r="D999" s="172"/>
      <c r="E999" s="172"/>
      <c r="G999" s="173"/>
      <c r="H999" s="173"/>
      <c r="I999" s="173"/>
      <c r="M999" s="173"/>
      <c r="R999" s="174"/>
      <c r="S999" s="174"/>
      <c r="T999" s="90"/>
      <c r="U999" s="176"/>
      <c r="V999" s="176"/>
      <c r="W999" s="176"/>
      <c r="X999" s="176"/>
      <c r="Y999" s="176"/>
      <c r="Z999" s="177"/>
      <c r="AA999" s="176"/>
      <c r="AB999" s="176"/>
      <c r="AC999" s="176"/>
      <c r="AD999" s="178"/>
      <c r="AF999" s="179"/>
      <c r="AG999" s="179"/>
      <c r="AI999" s="180"/>
      <c r="AJ999" s="180"/>
      <c r="AK999" s="180"/>
      <c r="AL999" s="180"/>
      <c r="AM999" s="181"/>
      <c r="AN999" s="180"/>
      <c r="AO999" s="180"/>
      <c r="AP999" s="180"/>
    </row>
    <row r="1000">
      <c r="D1000" s="172"/>
      <c r="E1000" s="172"/>
      <c r="G1000" s="173"/>
      <c r="H1000" s="173"/>
      <c r="I1000" s="173"/>
      <c r="M1000" s="173"/>
      <c r="R1000" s="174"/>
      <c r="S1000" s="174"/>
      <c r="T1000" s="90"/>
      <c r="U1000" s="176"/>
      <c r="V1000" s="176"/>
      <c r="W1000" s="176"/>
      <c r="X1000" s="176"/>
      <c r="Y1000" s="176"/>
      <c r="Z1000" s="177"/>
      <c r="AA1000" s="176"/>
      <c r="AB1000" s="176"/>
      <c r="AC1000" s="176"/>
      <c r="AD1000" s="178"/>
      <c r="AF1000" s="179"/>
      <c r="AG1000" s="179"/>
      <c r="AI1000" s="180"/>
      <c r="AJ1000" s="180"/>
      <c r="AK1000" s="180"/>
      <c r="AL1000" s="180"/>
      <c r="AM1000" s="181"/>
      <c r="AN1000" s="180"/>
      <c r="AO1000" s="180"/>
      <c r="AP1000" s="180"/>
    </row>
    <row r="1001">
      <c r="D1001" s="172"/>
      <c r="E1001" s="172"/>
      <c r="G1001" s="173"/>
      <c r="H1001" s="173"/>
      <c r="I1001" s="173"/>
      <c r="M1001" s="173"/>
      <c r="R1001" s="174"/>
      <c r="S1001" s="174"/>
      <c r="T1001" s="90"/>
      <c r="U1001" s="176"/>
      <c r="V1001" s="176"/>
      <c r="W1001" s="176"/>
      <c r="X1001" s="176"/>
      <c r="Y1001" s="176"/>
      <c r="Z1001" s="177"/>
      <c r="AA1001" s="176"/>
      <c r="AB1001" s="176"/>
      <c r="AC1001" s="176"/>
      <c r="AD1001" s="178"/>
      <c r="AF1001" s="179"/>
      <c r="AG1001" s="179"/>
      <c r="AI1001" s="180"/>
      <c r="AJ1001" s="180"/>
      <c r="AK1001" s="180"/>
      <c r="AL1001" s="180"/>
      <c r="AM1001" s="181"/>
      <c r="AN1001" s="180"/>
      <c r="AO1001" s="180"/>
      <c r="AP1001" s="180"/>
    </row>
    <row r="1002">
      <c r="D1002" s="172"/>
      <c r="E1002" s="172"/>
      <c r="G1002" s="173"/>
      <c r="H1002" s="173"/>
      <c r="I1002" s="173"/>
      <c r="M1002" s="173"/>
      <c r="R1002" s="174"/>
      <c r="S1002" s="174"/>
      <c r="T1002" s="90"/>
      <c r="U1002" s="176"/>
      <c r="V1002" s="176"/>
      <c r="W1002" s="176"/>
      <c r="X1002" s="176"/>
      <c r="Y1002" s="176"/>
      <c r="Z1002" s="177"/>
      <c r="AA1002" s="176"/>
      <c r="AB1002" s="176"/>
      <c r="AC1002" s="176"/>
      <c r="AD1002" s="178"/>
      <c r="AF1002" s="179"/>
      <c r="AG1002" s="179"/>
      <c r="AI1002" s="180"/>
      <c r="AJ1002" s="180"/>
      <c r="AK1002" s="180"/>
      <c r="AL1002" s="180"/>
      <c r="AM1002" s="181"/>
      <c r="AN1002" s="180"/>
      <c r="AO1002" s="180"/>
      <c r="AP1002" s="180"/>
    </row>
    <row r="1003">
      <c r="D1003" s="172"/>
      <c r="E1003" s="172"/>
      <c r="G1003" s="173"/>
      <c r="H1003" s="173"/>
      <c r="I1003" s="173"/>
      <c r="M1003" s="173"/>
      <c r="R1003" s="174"/>
      <c r="S1003" s="174"/>
      <c r="T1003" s="90"/>
      <c r="U1003" s="176"/>
      <c r="V1003" s="176"/>
      <c r="W1003" s="176"/>
      <c r="X1003" s="176"/>
      <c r="Y1003" s="176"/>
      <c r="Z1003" s="177"/>
      <c r="AA1003" s="176"/>
      <c r="AB1003" s="176"/>
      <c r="AC1003" s="176"/>
      <c r="AD1003" s="178"/>
      <c r="AF1003" s="179"/>
      <c r="AG1003" s="179"/>
      <c r="AI1003" s="180"/>
      <c r="AJ1003" s="180"/>
      <c r="AK1003" s="180"/>
      <c r="AL1003" s="180"/>
      <c r="AM1003" s="181"/>
      <c r="AN1003" s="180"/>
      <c r="AO1003" s="180"/>
      <c r="AP1003" s="180"/>
    </row>
    <row r="1004">
      <c r="D1004" s="172"/>
      <c r="E1004" s="172"/>
      <c r="G1004" s="173"/>
      <c r="H1004" s="173"/>
      <c r="I1004" s="173"/>
      <c r="M1004" s="173"/>
      <c r="R1004" s="174"/>
      <c r="S1004" s="174"/>
      <c r="T1004" s="90"/>
      <c r="U1004" s="176"/>
      <c r="V1004" s="176"/>
      <c r="W1004" s="176"/>
      <c r="X1004" s="176"/>
      <c r="Y1004" s="176"/>
      <c r="Z1004" s="177"/>
      <c r="AA1004" s="176"/>
      <c r="AB1004" s="176"/>
      <c r="AC1004" s="176"/>
      <c r="AD1004" s="178"/>
      <c r="AF1004" s="179"/>
      <c r="AG1004" s="179"/>
      <c r="AI1004" s="180"/>
      <c r="AJ1004" s="180"/>
      <c r="AK1004" s="180"/>
      <c r="AL1004" s="180"/>
      <c r="AM1004" s="181"/>
      <c r="AN1004" s="180"/>
      <c r="AO1004" s="180"/>
      <c r="AP1004" s="180"/>
    </row>
    <row r="1005">
      <c r="D1005" s="172"/>
      <c r="E1005" s="172"/>
      <c r="G1005" s="173"/>
      <c r="H1005" s="173"/>
      <c r="I1005" s="173"/>
      <c r="M1005" s="173"/>
      <c r="R1005" s="174"/>
      <c r="S1005" s="174"/>
      <c r="T1005" s="90"/>
      <c r="U1005" s="176"/>
      <c r="V1005" s="176"/>
      <c r="W1005" s="176"/>
      <c r="X1005" s="176"/>
      <c r="Y1005" s="176"/>
      <c r="Z1005" s="177"/>
      <c r="AA1005" s="176"/>
      <c r="AB1005" s="176"/>
      <c r="AC1005" s="176"/>
      <c r="AD1005" s="178"/>
      <c r="AF1005" s="179"/>
      <c r="AG1005" s="179"/>
      <c r="AI1005" s="180"/>
      <c r="AJ1005" s="180"/>
      <c r="AK1005" s="180"/>
      <c r="AL1005" s="180"/>
      <c r="AM1005" s="181"/>
      <c r="AN1005" s="180"/>
      <c r="AO1005" s="180"/>
      <c r="AP1005" s="180"/>
    </row>
    <row r="1006">
      <c r="D1006" s="172"/>
      <c r="E1006" s="172"/>
      <c r="G1006" s="173"/>
      <c r="H1006" s="173"/>
      <c r="I1006" s="173"/>
      <c r="M1006" s="173"/>
      <c r="R1006" s="174"/>
      <c r="S1006" s="174"/>
      <c r="T1006" s="90"/>
      <c r="U1006" s="176"/>
      <c r="V1006" s="176"/>
      <c r="W1006" s="176"/>
      <c r="X1006" s="176"/>
      <c r="Y1006" s="176"/>
      <c r="Z1006" s="177"/>
      <c r="AA1006" s="176"/>
      <c r="AB1006" s="176"/>
      <c r="AC1006" s="176"/>
      <c r="AD1006" s="178"/>
      <c r="AF1006" s="179"/>
      <c r="AG1006" s="179"/>
      <c r="AI1006" s="180"/>
      <c r="AJ1006" s="180"/>
      <c r="AK1006" s="180"/>
      <c r="AL1006" s="180"/>
      <c r="AM1006" s="181"/>
      <c r="AN1006" s="180"/>
      <c r="AO1006" s="180"/>
      <c r="AP1006" s="180"/>
    </row>
    <row r="1007">
      <c r="D1007" s="172"/>
      <c r="E1007" s="172"/>
      <c r="G1007" s="173"/>
      <c r="H1007" s="173"/>
      <c r="I1007" s="173"/>
      <c r="M1007" s="173"/>
      <c r="R1007" s="174"/>
      <c r="S1007" s="174"/>
      <c r="T1007" s="90"/>
      <c r="U1007" s="176"/>
      <c r="V1007" s="176"/>
      <c r="W1007" s="176"/>
      <c r="X1007" s="176"/>
      <c r="Y1007" s="176"/>
      <c r="Z1007" s="177"/>
      <c r="AA1007" s="176"/>
      <c r="AB1007" s="176"/>
      <c r="AC1007" s="176"/>
      <c r="AD1007" s="178"/>
      <c r="AF1007" s="179"/>
      <c r="AG1007" s="179"/>
      <c r="AI1007" s="180"/>
      <c r="AJ1007" s="180"/>
      <c r="AK1007" s="180"/>
      <c r="AL1007" s="180"/>
      <c r="AM1007" s="181"/>
      <c r="AN1007" s="180"/>
      <c r="AO1007" s="180"/>
      <c r="AP1007" s="180"/>
    </row>
    <row r="1008">
      <c r="D1008" s="172"/>
      <c r="E1008" s="172"/>
      <c r="G1008" s="173"/>
      <c r="H1008" s="173"/>
      <c r="I1008" s="173"/>
      <c r="M1008" s="173"/>
      <c r="R1008" s="174"/>
      <c r="S1008" s="174"/>
      <c r="T1008" s="90"/>
      <c r="U1008" s="176"/>
      <c r="V1008" s="176"/>
      <c r="W1008" s="176"/>
      <c r="X1008" s="176"/>
      <c r="Y1008" s="176"/>
      <c r="Z1008" s="177"/>
      <c r="AA1008" s="176"/>
      <c r="AB1008" s="176"/>
      <c r="AC1008" s="176"/>
      <c r="AD1008" s="178"/>
      <c r="AF1008" s="179"/>
      <c r="AG1008" s="179"/>
      <c r="AI1008" s="180"/>
      <c r="AJ1008" s="180"/>
      <c r="AK1008" s="180"/>
      <c r="AL1008" s="180"/>
      <c r="AM1008" s="181"/>
      <c r="AN1008" s="180"/>
      <c r="AO1008" s="180"/>
      <c r="AP1008" s="180"/>
    </row>
    <row r="1009">
      <c r="D1009" s="172"/>
      <c r="E1009" s="172"/>
      <c r="G1009" s="173"/>
      <c r="H1009" s="173"/>
      <c r="I1009" s="173"/>
      <c r="M1009" s="173"/>
      <c r="R1009" s="174"/>
      <c r="S1009" s="174"/>
      <c r="T1009" s="90"/>
      <c r="U1009" s="176"/>
      <c r="V1009" s="176"/>
      <c r="W1009" s="176"/>
      <c r="X1009" s="176"/>
      <c r="Y1009" s="176"/>
      <c r="Z1009" s="177"/>
      <c r="AA1009" s="176"/>
      <c r="AB1009" s="176"/>
      <c r="AC1009" s="176"/>
      <c r="AD1009" s="178"/>
      <c r="AF1009" s="179"/>
      <c r="AG1009" s="179"/>
      <c r="AI1009" s="180"/>
      <c r="AJ1009" s="180"/>
      <c r="AK1009" s="180"/>
      <c r="AL1009" s="180"/>
      <c r="AM1009" s="181"/>
      <c r="AN1009" s="180"/>
      <c r="AO1009" s="180"/>
      <c r="AP1009" s="180"/>
    </row>
    <row r="1010">
      <c r="D1010" s="172"/>
      <c r="E1010" s="172"/>
      <c r="G1010" s="173"/>
      <c r="H1010" s="173"/>
      <c r="I1010" s="173"/>
      <c r="M1010" s="173"/>
      <c r="R1010" s="174"/>
      <c r="S1010" s="174"/>
      <c r="T1010" s="90"/>
      <c r="U1010" s="176"/>
      <c r="V1010" s="176"/>
      <c r="W1010" s="176"/>
      <c r="X1010" s="176"/>
      <c r="Y1010" s="176"/>
      <c r="Z1010" s="177"/>
      <c r="AA1010" s="176"/>
      <c r="AB1010" s="176"/>
      <c r="AC1010" s="176"/>
      <c r="AD1010" s="178"/>
      <c r="AF1010" s="179"/>
      <c r="AG1010" s="179"/>
      <c r="AI1010" s="180"/>
      <c r="AJ1010" s="180"/>
      <c r="AK1010" s="180"/>
      <c r="AL1010" s="180"/>
      <c r="AM1010" s="181"/>
      <c r="AN1010" s="180"/>
      <c r="AO1010" s="180"/>
      <c r="AP1010" s="180"/>
    </row>
    <row r="1011">
      <c r="D1011" s="172"/>
      <c r="E1011" s="172"/>
      <c r="G1011" s="173"/>
      <c r="H1011" s="173"/>
      <c r="I1011" s="173"/>
      <c r="M1011" s="173"/>
      <c r="R1011" s="174"/>
      <c r="S1011" s="174"/>
      <c r="T1011" s="90"/>
      <c r="U1011" s="176"/>
      <c r="V1011" s="176"/>
      <c r="W1011" s="176"/>
      <c r="X1011" s="176"/>
      <c r="Y1011" s="176"/>
      <c r="Z1011" s="177"/>
      <c r="AA1011" s="176"/>
      <c r="AB1011" s="176"/>
      <c r="AC1011" s="176"/>
      <c r="AD1011" s="178"/>
      <c r="AF1011" s="179"/>
      <c r="AG1011" s="179"/>
      <c r="AI1011" s="180"/>
      <c r="AJ1011" s="180"/>
      <c r="AK1011" s="180"/>
      <c r="AL1011" s="180"/>
      <c r="AM1011" s="181"/>
      <c r="AN1011" s="180"/>
      <c r="AO1011" s="180"/>
      <c r="AP1011" s="180"/>
    </row>
    <row r="1012">
      <c r="D1012" s="172"/>
      <c r="E1012" s="172"/>
      <c r="G1012" s="173"/>
      <c r="H1012" s="173"/>
      <c r="I1012" s="173"/>
      <c r="M1012" s="173"/>
      <c r="R1012" s="174"/>
      <c r="S1012" s="174"/>
      <c r="T1012" s="90"/>
      <c r="U1012" s="176"/>
      <c r="V1012" s="176"/>
      <c r="W1012" s="176"/>
      <c r="X1012" s="176"/>
      <c r="Y1012" s="176"/>
      <c r="Z1012" s="177"/>
      <c r="AA1012" s="176"/>
      <c r="AB1012" s="176"/>
      <c r="AC1012" s="176"/>
      <c r="AD1012" s="178"/>
      <c r="AF1012" s="179"/>
      <c r="AG1012" s="179"/>
      <c r="AI1012" s="180"/>
      <c r="AJ1012" s="180"/>
      <c r="AK1012" s="180"/>
      <c r="AL1012" s="180"/>
      <c r="AM1012" s="181"/>
      <c r="AN1012" s="180"/>
      <c r="AO1012" s="180"/>
      <c r="AP1012" s="180"/>
    </row>
    <row r="1013">
      <c r="D1013" s="172"/>
      <c r="E1013" s="172"/>
      <c r="G1013" s="173"/>
      <c r="H1013" s="173"/>
      <c r="I1013" s="173"/>
      <c r="M1013" s="173"/>
      <c r="R1013" s="174"/>
      <c r="S1013" s="174"/>
      <c r="T1013" s="90"/>
      <c r="U1013" s="176"/>
      <c r="V1013" s="176"/>
      <c r="W1013" s="176"/>
      <c r="X1013" s="176"/>
      <c r="Y1013" s="176"/>
      <c r="Z1013" s="177"/>
      <c r="AA1013" s="176"/>
      <c r="AB1013" s="176"/>
      <c r="AC1013" s="176"/>
      <c r="AD1013" s="178"/>
      <c r="AF1013" s="179"/>
      <c r="AG1013" s="179"/>
      <c r="AI1013" s="180"/>
      <c r="AJ1013" s="180"/>
      <c r="AK1013" s="180"/>
      <c r="AL1013" s="180"/>
      <c r="AM1013" s="181"/>
      <c r="AN1013" s="180"/>
      <c r="AO1013" s="180"/>
      <c r="AP1013" s="180"/>
    </row>
    <row r="1014">
      <c r="D1014" s="172"/>
      <c r="E1014" s="172"/>
      <c r="G1014" s="173"/>
      <c r="H1014" s="173"/>
      <c r="I1014" s="173"/>
      <c r="M1014" s="173"/>
      <c r="R1014" s="174"/>
      <c r="S1014" s="174"/>
      <c r="T1014" s="90"/>
      <c r="U1014" s="176"/>
      <c r="V1014" s="176"/>
      <c r="W1014" s="176"/>
      <c r="X1014" s="176"/>
      <c r="Y1014" s="176"/>
      <c r="Z1014" s="177"/>
      <c r="AA1014" s="176"/>
      <c r="AB1014" s="176"/>
      <c r="AC1014" s="176"/>
      <c r="AD1014" s="178"/>
      <c r="AF1014" s="179"/>
      <c r="AG1014" s="179"/>
      <c r="AI1014" s="180"/>
      <c r="AJ1014" s="180"/>
      <c r="AK1014" s="180"/>
      <c r="AL1014" s="180"/>
      <c r="AM1014" s="181"/>
      <c r="AN1014" s="180"/>
      <c r="AO1014" s="180"/>
      <c r="AP1014" s="180"/>
    </row>
    <row r="1015">
      <c r="D1015" s="172"/>
      <c r="E1015" s="172"/>
      <c r="G1015" s="173"/>
      <c r="H1015" s="173"/>
      <c r="I1015" s="173"/>
      <c r="M1015" s="173"/>
      <c r="R1015" s="174"/>
      <c r="S1015" s="174"/>
      <c r="T1015" s="90"/>
      <c r="U1015" s="176"/>
      <c r="V1015" s="176"/>
      <c r="W1015" s="176"/>
      <c r="X1015" s="176"/>
      <c r="Y1015" s="176"/>
      <c r="Z1015" s="177"/>
      <c r="AA1015" s="176"/>
      <c r="AB1015" s="176"/>
      <c r="AC1015" s="176"/>
      <c r="AD1015" s="178"/>
      <c r="AF1015" s="179"/>
      <c r="AG1015" s="179"/>
      <c r="AI1015" s="180"/>
      <c r="AJ1015" s="180"/>
      <c r="AK1015" s="180"/>
      <c r="AL1015" s="180"/>
      <c r="AM1015" s="181"/>
      <c r="AN1015" s="180"/>
      <c r="AO1015" s="180"/>
      <c r="AP1015" s="180"/>
    </row>
    <row r="1016">
      <c r="D1016" s="172"/>
      <c r="E1016" s="172"/>
      <c r="G1016" s="173"/>
      <c r="H1016" s="173"/>
      <c r="I1016" s="173"/>
      <c r="M1016" s="173"/>
      <c r="R1016" s="174"/>
      <c r="S1016" s="174"/>
      <c r="T1016" s="90"/>
      <c r="U1016" s="176"/>
      <c r="V1016" s="176"/>
      <c r="W1016" s="176"/>
      <c r="X1016" s="176"/>
      <c r="Y1016" s="176"/>
      <c r="Z1016" s="177"/>
      <c r="AA1016" s="176"/>
      <c r="AB1016" s="176"/>
      <c r="AC1016" s="176"/>
      <c r="AD1016" s="178"/>
      <c r="AF1016" s="179"/>
      <c r="AG1016" s="179"/>
      <c r="AI1016" s="180"/>
      <c r="AJ1016" s="180"/>
      <c r="AK1016" s="180"/>
      <c r="AL1016" s="180"/>
      <c r="AM1016" s="181"/>
      <c r="AN1016" s="180"/>
      <c r="AO1016" s="180"/>
      <c r="AP1016" s="180"/>
    </row>
  </sheetData>
  <customSheetViews>
    <customSheetView guid="{1455BF22-F75D-45A9-953B-3DEA8E135465}" filter="1" showAutoFilter="1">
      <autoFilter ref="$A$1:$BF$1016">
        <filterColumn colId="4">
          <filters>
            <filter val="train"/>
          </filters>
        </filterColumn>
      </autoFilter>
    </customSheetView>
    <customSheetView guid="{FE912595-CAC9-4715-968D-BE526036883B}"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25"/>
  </cols>
  <sheetData>
    <row r="5">
      <c r="B5" s="1" t="s">
        <v>1438</v>
      </c>
    </row>
    <row r="6">
      <c r="B6" s="1" t="s">
        <v>1439</v>
      </c>
    </row>
    <row r="7">
      <c r="C7" s="1" t="s">
        <v>1440</v>
      </c>
    </row>
    <row r="8">
      <c r="C8" s="1" t="s">
        <v>1439</v>
      </c>
      <c r="D8" s="1" t="s">
        <v>1441</v>
      </c>
    </row>
    <row r="9">
      <c r="D9" s="91" t="s">
        <v>1442</v>
      </c>
    </row>
    <row r="10">
      <c r="D10" s="91" t="s">
        <v>1443</v>
      </c>
    </row>
    <row r="11">
      <c r="D11" s="91" t="s">
        <v>1444</v>
      </c>
    </row>
    <row r="12">
      <c r="D12" s="91" t="s">
        <v>1445</v>
      </c>
    </row>
    <row r="13">
      <c r="D13" s="91" t="s">
        <v>1446</v>
      </c>
    </row>
    <row r="14">
      <c r="D14" s="1" t="s">
        <v>1447</v>
      </c>
    </row>
    <row r="16">
      <c r="D16" s="1" t="s">
        <v>1448</v>
      </c>
    </row>
    <row r="17">
      <c r="D17" s="1" t="s">
        <v>1449</v>
      </c>
    </row>
    <row r="19">
      <c r="C19" s="1" t="s">
        <v>1450</v>
      </c>
    </row>
    <row r="20">
      <c r="C20" s="1" t="s">
        <v>1451</v>
      </c>
      <c r="D20" s="91" t="s">
        <v>1452</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25"/>
    <col customWidth="1" min="2" max="16" width="11.0"/>
  </cols>
  <sheetData>
    <row r="1">
      <c r="A1" s="6"/>
      <c r="B1" s="182" t="s">
        <v>1453</v>
      </c>
      <c r="C1" s="183" t="s">
        <v>1454</v>
      </c>
      <c r="J1" s="184" t="s">
        <v>1455</v>
      </c>
      <c r="O1" s="182" t="s">
        <v>1456</v>
      </c>
      <c r="Q1" s="7"/>
      <c r="R1" s="7"/>
      <c r="S1" s="7"/>
      <c r="T1" s="7"/>
      <c r="U1" s="7"/>
      <c r="V1" s="7"/>
      <c r="W1" s="7"/>
      <c r="X1" s="7"/>
      <c r="Y1" s="7"/>
      <c r="Z1" s="7"/>
      <c r="AA1" s="7"/>
      <c r="AB1" s="7"/>
      <c r="AC1" s="7"/>
      <c r="AD1" s="7"/>
    </row>
    <row r="2">
      <c r="A2" s="6" t="s">
        <v>1457</v>
      </c>
      <c r="B2" s="185" t="s">
        <v>1458</v>
      </c>
      <c r="C2" s="185" t="s">
        <v>1459</v>
      </c>
      <c r="D2" s="185" t="s">
        <v>1460</v>
      </c>
      <c r="E2" s="186" t="s">
        <v>1461</v>
      </c>
      <c r="F2" s="186" t="s">
        <v>1462</v>
      </c>
      <c r="G2" s="186" t="s">
        <v>1463</v>
      </c>
      <c r="H2" s="186" t="s">
        <v>1464</v>
      </c>
      <c r="I2" s="186" t="s">
        <v>1465</v>
      </c>
      <c r="J2" s="185" t="s">
        <v>1458</v>
      </c>
      <c r="K2" s="186" t="s">
        <v>1462</v>
      </c>
      <c r="L2" s="186" t="s">
        <v>1463</v>
      </c>
      <c r="M2" s="186" t="s">
        <v>1464</v>
      </c>
      <c r="N2" s="186" t="s">
        <v>1465</v>
      </c>
      <c r="O2" s="185" t="s">
        <v>1466</v>
      </c>
      <c r="P2" s="186" t="s">
        <v>1467</v>
      </c>
      <c r="Q2" s="82" t="s">
        <v>1468</v>
      </c>
      <c r="R2" s="7"/>
      <c r="S2" s="7"/>
      <c r="T2" s="7"/>
      <c r="U2" s="7"/>
      <c r="V2" s="7"/>
      <c r="W2" s="7"/>
      <c r="X2" s="7"/>
      <c r="Y2" s="7"/>
      <c r="Z2" s="7"/>
      <c r="AA2" s="7"/>
      <c r="AB2" s="7"/>
      <c r="AC2" s="7"/>
      <c r="AD2" s="7"/>
    </row>
    <row r="3">
      <c r="A3" s="187">
        <v>45488.0</v>
      </c>
      <c r="B3" s="188">
        <f t="shared" ref="B3:B34" si="1">C3+J3</f>
        <v>20</v>
      </c>
      <c r="C3" s="188">
        <v>20.0</v>
      </c>
      <c r="D3" s="189"/>
      <c r="E3" s="189"/>
      <c r="F3" s="189">
        <v>0.0</v>
      </c>
      <c r="G3" s="189">
        <f>2*80+60+20</f>
        <v>240</v>
      </c>
      <c r="H3" s="189">
        <v>0.0</v>
      </c>
      <c r="I3" s="190">
        <f t="shared" ref="I3:I34" si="2">CEILING(H3/100,1)</f>
        <v>0</v>
      </c>
      <c r="J3" s="188">
        <v>0.0</v>
      </c>
      <c r="K3" s="189">
        <v>0.0</v>
      </c>
      <c r="L3" s="189">
        <v>0.0</v>
      </c>
      <c r="M3" s="189">
        <v>0.0</v>
      </c>
      <c r="N3" s="190">
        <f t="shared" ref="N3:N34" si="3">CEILING(M3/100,1)</f>
        <v>0</v>
      </c>
      <c r="O3" s="191">
        <f t="shared" ref="O3:O34" si="4">I7+N7</f>
        <v>0</v>
      </c>
      <c r="P3" s="190">
        <f t="shared" ref="P3:P34" si="5">O3*80</f>
        <v>0</v>
      </c>
      <c r="Q3" s="192"/>
      <c r="R3" s="192"/>
      <c r="S3" s="192"/>
      <c r="T3" s="192"/>
      <c r="U3" s="192"/>
      <c r="V3" s="192"/>
      <c r="W3" s="192"/>
      <c r="X3" s="192"/>
      <c r="Y3" s="192"/>
      <c r="Z3" s="192"/>
      <c r="AA3" s="192"/>
      <c r="AB3" s="192"/>
      <c r="AC3" s="192"/>
      <c r="AD3" s="192"/>
    </row>
    <row r="4">
      <c r="A4" s="193">
        <f t="shared" ref="A4:A34" si="6">A3+7</f>
        <v>45495</v>
      </c>
      <c r="B4" s="188">
        <f t="shared" si="1"/>
        <v>15</v>
      </c>
      <c r="C4" s="188">
        <v>15.0</v>
      </c>
      <c r="D4" s="189"/>
      <c r="E4" s="189"/>
      <c r="F4" s="189">
        <v>0.0</v>
      </c>
      <c r="G4" s="189">
        <f>G3-C4+H3</f>
        <v>225</v>
      </c>
      <c r="H4" s="189">
        <v>0.0</v>
      </c>
      <c r="I4" s="190">
        <f t="shared" si="2"/>
        <v>0</v>
      </c>
      <c r="J4" s="188">
        <v>0.0</v>
      </c>
      <c r="K4" s="189">
        <v>0.0</v>
      </c>
      <c r="L4" s="190">
        <f t="shared" ref="L4:L34" si="7">L3-J4+M4</f>
        <v>0</v>
      </c>
      <c r="M4" s="190">
        <f t="shared" ref="M4:M34" si="8">J4</f>
        <v>0</v>
      </c>
      <c r="N4" s="190">
        <f t="shared" si="3"/>
        <v>0</v>
      </c>
      <c r="O4" s="191">
        <f t="shared" si="4"/>
        <v>0</v>
      </c>
      <c r="P4" s="190">
        <f t="shared" si="5"/>
        <v>0</v>
      </c>
      <c r="Q4" s="192"/>
      <c r="R4" s="192"/>
      <c r="S4" s="192"/>
      <c r="T4" s="192"/>
      <c r="U4" s="192"/>
      <c r="V4" s="192"/>
      <c r="W4" s="192"/>
      <c r="X4" s="192"/>
      <c r="Y4" s="192"/>
      <c r="Z4" s="192"/>
      <c r="AA4" s="192"/>
      <c r="AB4" s="192"/>
      <c r="AC4" s="192"/>
      <c r="AD4" s="192"/>
    </row>
    <row r="5">
      <c r="A5" s="193">
        <f t="shared" si="6"/>
        <v>45502</v>
      </c>
      <c r="B5" s="188">
        <f t="shared" si="1"/>
        <v>15</v>
      </c>
      <c r="C5" s="188">
        <v>15.0</v>
      </c>
      <c r="D5" s="189"/>
      <c r="E5" s="189"/>
      <c r="F5" s="189">
        <v>0.0</v>
      </c>
      <c r="G5" s="189">
        <f>G4-C5+H4+3*80</f>
        <v>450</v>
      </c>
      <c r="H5" s="189">
        <v>0.0</v>
      </c>
      <c r="I5" s="190">
        <f t="shared" si="2"/>
        <v>0</v>
      </c>
      <c r="J5" s="188">
        <v>0.0</v>
      </c>
      <c r="K5" s="189">
        <v>0.0</v>
      </c>
      <c r="L5" s="190">
        <f t="shared" si="7"/>
        <v>0</v>
      </c>
      <c r="M5" s="190">
        <f t="shared" si="8"/>
        <v>0</v>
      </c>
      <c r="N5" s="190">
        <f t="shared" si="3"/>
        <v>0</v>
      </c>
      <c r="O5" s="191">
        <f t="shared" si="4"/>
        <v>0</v>
      </c>
      <c r="P5" s="190">
        <f t="shared" si="5"/>
        <v>0</v>
      </c>
      <c r="Q5" s="192"/>
      <c r="R5" s="192"/>
      <c r="S5" s="192"/>
      <c r="T5" s="192"/>
      <c r="U5" s="192"/>
      <c r="V5" s="192"/>
      <c r="W5" s="192"/>
      <c r="X5" s="192"/>
      <c r="Y5" s="192"/>
      <c r="Z5" s="192"/>
      <c r="AA5" s="192"/>
      <c r="AB5" s="192"/>
      <c r="AC5" s="192"/>
      <c r="AD5" s="192"/>
    </row>
    <row r="6">
      <c r="A6" s="194">
        <f t="shared" si="6"/>
        <v>45509</v>
      </c>
      <c r="B6" s="195">
        <f t="shared" si="1"/>
        <v>40</v>
      </c>
      <c r="C6" s="195">
        <v>40.0</v>
      </c>
      <c r="D6" s="196"/>
      <c r="E6" s="196"/>
      <c r="F6" s="196">
        <v>0.0</v>
      </c>
      <c r="G6" s="196">
        <f t="shared" ref="G6:G11" si="9">G5-C6+H5</f>
        <v>410</v>
      </c>
      <c r="H6" s="196">
        <v>0.0</v>
      </c>
      <c r="I6" s="197">
        <f t="shared" si="2"/>
        <v>0</v>
      </c>
      <c r="J6" s="195">
        <v>0.0</v>
      </c>
      <c r="K6" s="196">
        <v>0.0</v>
      </c>
      <c r="L6" s="198">
        <f t="shared" si="7"/>
        <v>0</v>
      </c>
      <c r="M6" s="198">
        <f t="shared" si="8"/>
        <v>0</v>
      </c>
      <c r="N6" s="198">
        <f t="shared" si="3"/>
        <v>0</v>
      </c>
      <c r="O6" s="199">
        <f t="shared" si="4"/>
        <v>1</v>
      </c>
      <c r="P6" s="197">
        <f t="shared" si="5"/>
        <v>80</v>
      </c>
      <c r="Q6" s="1">
        <v>0.0</v>
      </c>
    </row>
    <row r="7">
      <c r="A7" s="194">
        <f t="shared" si="6"/>
        <v>45516</v>
      </c>
      <c r="B7" s="195">
        <f t="shared" si="1"/>
        <v>0</v>
      </c>
      <c r="C7" s="195"/>
      <c r="D7" s="196"/>
      <c r="E7" s="196"/>
      <c r="F7" s="196">
        <v>0.0</v>
      </c>
      <c r="G7" s="196">
        <f t="shared" si="9"/>
        <v>410</v>
      </c>
      <c r="H7" s="196">
        <v>0.0</v>
      </c>
      <c r="I7" s="197">
        <f t="shared" si="2"/>
        <v>0</v>
      </c>
      <c r="J7" s="195">
        <v>0.0</v>
      </c>
      <c r="K7" s="196">
        <v>0.0</v>
      </c>
      <c r="L7" s="198">
        <f t="shared" si="7"/>
        <v>0</v>
      </c>
      <c r="M7" s="198">
        <f t="shared" si="8"/>
        <v>0</v>
      </c>
      <c r="N7" s="198">
        <f t="shared" si="3"/>
        <v>0</v>
      </c>
      <c r="O7" s="199">
        <f t="shared" si="4"/>
        <v>1</v>
      </c>
      <c r="P7" s="197">
        <f t="shared" si="5"/>
        <v>80</v>
      </c>
      <c r="Q7" s="1">
        <v>0.0</v>
      </c>
    </row>
    <row r="8">
      <c r="A8" s="194">
        <f t="shared" si="6"/>
        <v>45523</v>
      </c>
      <c r="B8" s="195">
        <f t="shared" si="1"/>
        <v>0</v>
      </c>
      <c r="C8" s="195"/>
      <c r="D8" s="196"/>
      <c r="E8" s="196"/>
      <c r="F8" s="196">
        <v>0.0</v>
      </c>
      <c r="G8" s="196">
        <f t="shared" si="9"/>
        <v>410</v>
      </c>
      <c r="H8" s="196">
        <v>0.0</v>
      </c>
      <c r="I8" s="197">
        <f t="shared" si="2"/>
        <v>0</v>
      </c>
      <c r="J8" s="195">
        <v>0.0</v>
      </c>
      <c r="K8" s="196">
        <v>0.0</v>
      </c>
      <c r="L8" s="198">
        <f t="shared" si="7"/>
        <v>0</v>
      </c>
      <c r="M8" s="198">
        <f t="shared" si="8"/>
        <v>0</v>
      </c>
      <c r="N8" s="198">
        <f t="shared" si="3"/>
        <v>0</v>
      </c>
      <c r="O8" s="199">
        <f t="shared" si="4"/>
        <v>1</v>
      </c>
      <c r="P8" s="197">
        <f t="shared" si="5"/>
        <v>80</v>
      </c>
      <c r="Q8" s="1">
        <v>40.0</v>
      </c>
    </row>
    <row r="9">
      <c r="A9" s="194">
        <f t="shared" si="6"/>
        <v>45530</v>
      </c>
      <c r="B9" s="195">
        <f t="shared" si="1"/>
        <v>16</v>
      </c>
      <c r="C9" s="200">
        <v>16.0</v>
      </c>
      <c r="D9" s="196"/>
      <c r="E9" s="196"/>
      <c r="F9" s="196">
        <v>0.0</v>
      </c>
      <c r="G9" s="196">
        <f t="shared" si="9"/>
        <v>394</v>
      </c>
      <c r="H9" s="196">
        <v>0.0</v>
      </c>
      <c r="I9" s="197">
        <f t="shared" si="2"/>
        <v>0</v>
      </c>
      <c r="J9" s="195">
        <v>0.0</v>
      </c>
      <c r="K9" s="196">
        <v>0.0</v>
      </c>
      <c r="L9" s="198">
        <f t="shared" si="7"/>
        <v>0</v>
      </c>
      <c r="M9" s="198">
        <f t="shared" si="8"/>
        <v>0</v>
      </c>
      <c r="N9" s="198">
        <f t="shared" si="3"/>
        <v>0</v>
      </c>
      <c r="O9" s="199">
        <f t="shared" si="4"/>
        <v>1</v>
      </c>
      <c r="P9" s="197">
        <f t="shared" si="5"/>
        <v>80</v>
      </c>
      <c r="Q9" s="1">
        <v>160.0</v>
      </c>
    </row>
    <row r="10">
      <c r="A10" s="193">
        <f t="shared" si="6"/>
        <v>45537</v>
      </c>
      <c r="B10" s="188">
        <f t="shared" si="1"/>
        <v>32</v>
      </c>
      <c r="C10" s="201">
        <v>32.0</v>
      </c>
      <c r="D10" s="189"/>
      <c r="E10" s="189"/>
      <c r="F10" s="189">
        <v>0.0</v>
      </c>
      <c r="G10" s="189">
        <f t="shared" si="9"/>
        <v>362</v>
      </c>
      <c r="H10" s="189">
        <v>20.0</v>
      </c>
      <c r="I10" s="190">
        <f t="shared" si="2"/>
        <v>1</v>
      </c>
      <c r="J10" s="188">
        <v>0.0</v>
      </c>
      <c r="K10" s="189">
        <v>0.0</v>
      </c>
      <c r="L10" s="190">
        <f t="shared" si="7"/>
        <v>0</v>
      </c>
      <c r="M10" s="190">
        <f t="shared" si="8"/>
        <v>0</v>
      </c>
      <c r="N10" s="190">
        <f t="shared" si="3"/>
        <v>0</v>
      </c>
      <c r="O10" s="191">
        <f t="shared" si="4"/>
        <v>1</v>
      </c>
      <c r="P10" s="190">
        <f t="shared" si="5"/>
        <v>80</v>
      </c>
      <c r="Q10" s="202">
        <v>120.0</v>
      </c>
      <c r="R10" s="192"/>
      <c r="S10" s="192"/>
      <c r="T10" s="192"/>
      <c r="U10" s="192"/>
      <c r="V10" s="192"/>
      <c r="W10" s="192"/>
      <c r="X10" s="192"/>
      <c r="Y10" s="192"/>
      <c r="Z10" s="192"/>
      <c r="AA10" s="192"/>
      <c r="AB10" s="192"/>
      <c r="AC10" s="192"/>
      <c r="AD10" s="192"/>
    </row>
    <row r="11">
      <c r="A11" s="193">
        <f t="shared" si="6"/>
        <v>45544</v>
      </c>
      <c r="B11" s="188">
        <f t="shared" si="1"/>
        <v>50</v>
      </c>
      <c r="C11" s="188">
        <v>50.0</v>
      </c>
      <c r="D11" s="189">
        <v>0.0</v>
      </c>
      <c r="E11" s="203">
        <v>49.0</v>
      </c>
      <c r="F11" s="189">
        <v>0.0</v>
      </c>
      <c r="G11" s="189">
        <f t="shared" si="9"/>
        <v>332</v>
      </c>
      <c r="H11" s="190">
        <f t="shared" ref="H11:H34" si="10">C11</f>
        <v>50</v>
      </c>
      <c r="I11" s="190">
        <f t="shared" si="2"/>
        <v>1</v>
      </c>
      <c r="J11" s="188">
        <v>0.0</v>
      </c>
      <c r="K11" s="189">
        <v>0.0</v>
      </c>
      <c r="L11" s="190">
        <f t="shared" si="7"/>
        <v>0</v>
      </c>
      <c r="M11" s="190">
        <f t="shared" si="8"/>
        <v>0</v>
      </c>
      <c r="N11" s="190">
        <f t="shared" si="3"/>
        <v>0</v>
      </c>
      <c r="O11" s="191">
        <f t="shared" si="4"/>
        <v>1</v>
      </c>
      <c r="P11" s="190">
        <f t="shared" si="5"/>
        <v>80</v>
      </c>
      <c r="Q11" s="202">
        <v>120.0</v>
      </c>
      <c r="R11" s="192"/>
      <c r="S11" s="192"/>
      <c r="T11" s="192"/>
      <c r="U11" s="192"/>
      <c r="V11" s="192"/>
      <c r="W11" s="192"/>
      <c r="X11" s="192"/>
      <c r="Y11" s="192"/>
      <c r="Z11" s="192"/>
      <c r="AA11" s="192"/>
      <c r="AB11" s="192"/>
      <c r="AC11" s="192"/>
      <c r="AD11" s="192"/>
    </row>
    <row r="12">
      <c r="A12" s="193">
        <f t="shared" si="6"/>
        <v>45551</v>
      </c>
      <c r="B12" s="188">
        <f t="shared" si="1"/>
        <v>45</v>
      </c>
      <c r="C12" s="188">
        <v>45.0</v>
      </c>
      <c r="D12" s="189">
        <v>0.0</v>
      </c>
      <c r="E12" s="203">
        <v>45.7</v>
      </c>
      <c r="F12" s="189">
        <v>137.0</v>
      </c>
      <c r="G12" s="189">
        <v>0.0</v>
      </c>
      <c r="H12" s="190">
        <f t="shared" si="10"/>
        <v>45</v>
      </c>
      <c r="I12" s="190">
        <f t="shared" si="2"/>
        <v>1</v>
      </c>
      <c r="J12" s="188">
        <v>0.0</v>
      </c>
      <c r="K12" s="189">
        <v>0.0</v>
      </c>
      <c r="L12" s="190">
        <f t="shared" si="7"/>
        <v>0</v>
      </c>
      <c r="M12" s="190">
        <f t="shared" si="8"/>
        <v>0</v>
      </c>
      <c r="N12" s="190">
        <f t="shared" si="3"/>
        <v>0</v>
      </c>
      <c r="O12" s="191">
        <f t="shared" si="4"/>
        <v>1</v>
      </c>
      <c r="P12" s="190">
        <f t="shared" si="5"/>
        <v>80</v>
      </c>
      <c r="Q12" s="202">
        <v>120.0</v>
      </c>
      <c r="R12" s="192"/>
      <c r="S12" s="192"/>
      <c r="T12" s="192"/>
      <c r="U12" s="192"/>
      <c r="V12" s="192"/>
      <c r="W12" s="192"/>
      <c r="X12" s="192"/>
      <c r="Y12" s="192"/>
      <c r="Z12" s="192"/>
      <c r="AA12" s="192"/>
      <c r="AB12" s="192"/>
      <c r="AC12" s="192"/>
      <c r="AD12" s="192"/>
    </row>
    <row r="13">
      <c r="A13" s="193">
        <f t="shared" si="6"/>
        <v>45558</v>
      </c>
      <c r="B13" s="188">
        <f t="shared" si="1"/>
        <v>45</v>
      </c>
      <c r="C13" s="188">
        <v>45.0</v>
      </c>
      <c r="D13" s="189">
        <v>0.0</v>
      </c>
      <c r="E13" s="203">
        <v>75.0</v>
      </c>
      <c r="F13" s="189">
        <v>137.0</v>
      </c>
      <c r="G13" s="189">
        <v>100.0</v>
      </c>
      <c r="H13" s="190">
        <f t="shared" si="10"/>
        <v>45</v>
      </c>
      <c r="I13" s="190">
        <f t="shared" si="2"/>
        <v>1</v>
      </c>
      <c r="J13" s="188">
        <v>0.0</v>
      </c>
      <c r="K13" s="189">
        <v>0.0</v>
      </c>
      <c r="L13" s="190">
        <f t="shared" si="7"/>
        <v>0</v>
      </c>
      <c r="M13" s="190">
        <f t="shared" si="8"/>
        <v>0</v>
      </c>
      <c r="N13" s="190">
        <f t="shared" si="3"/>
        <v>0</v>
      </c>
      <c r="O13" s="191">
        <f t="shared" si="4"/>
        <v>1</v>
      </c>
      <c r="P13" s="190">
        <f t="shared" si="5"/>
        <v>80</v>
      </c>
      <c r="Q13" s="202">
        <v>120.0</v>
      </c>
      <c r="R13" s="192"/>
      <c r="S13" s="192"/>
      <c r="T13" s="192"/>
      <c r="U13" s="192"/>
      <c r="V13" s="192"/>
      <c r="W13" s="192"/>
      <c r="X13" s="192"/>
      <c r="Y13" s="192"/>
      <c r="Z13" s="192"/>
      <c r="AA13" s="192"/>
      <c r="AB13" s="192"/>
      <c r="AC13" s="192"/>
      <c r="AD13" s="192"/>
    </row>
    <row r="14">
      <c r="A14" s="193">
        <f t="shared" si="6"/>
        <v>45565</v>
      </c>
      <c r="B14" s="188">
        <f t="shared" si="1"/>
        <v>45</v>
      </c>
      <c r="C14" s="188">
        <v>45.0</v>
      </c>
      <c r="D14" s="189">
        <v>0.0</v>
      </c>
      <c r="E14" s="189">
        <v>80.0</v>
      </c>
      <c r="F14" s="189">
        <v>137.0</v>
      </c>
      <c r="G14" s="189">
        <v>100.0</v>
      </c>
      <c r="H14" s="190">
        <f t="shared" si="10"/>
        <v>45</v>
      </c>
      <c r="I14" s="190">
        <f t="shared" si="2"/>
        <v>1</v>
      </c>
      <c r="J14" s="188">
        <v>0.0</v>
      </c>
      <c r="K14" s="189">
        <v>0.0</v>
      </c>
      <c r="L14" s="190">
        <f t="shared" si="7"/>
        <v>0</v>
      </c>
      <c r="M14" s="190">
        <f t="shared" si="8"/>
        <v>0</v>
      </c>
      <c r="N14" s="190">
        <f t="shared" si="3"/>
        <v>0</v>
      </c>
      <c r="O14" s="191">
        <f t="shared" si="4"/>
        <v>1</v>
      </c>
      <c r="P14" s="190">
        <f t="shared" si="5"/>
        <v>80</v>
      </c>
      <c r="Q14" s="202">
        <v>120.0</v>
      </c>
      <c r="R14" s="192"/>
      <c r="S14" s="192"/>
      <c r="T14" s="192"/>
      <c r="U14" s="192"/>
      <c r="V14" s="192"/>
      <c r="W14" s="192"/>
      <c r="X14" s="192"/>
      <c r="Y14" s="192"/>
      <c r="Z14" s="192"/>
      <c r="AA14" s="192"/>
      <c r="AB14" s="192"/>
      <c r="AC14" s="192"/>
      <c r="AD14" s="192"/>
    </row>
    <row r="15">
      <c r="A15" s="194">
        <f t="shared" si="6"/>
        <v>45572</v>
      </c>
      <c r="B15" s="195">
        <f t="shared" si="1"/>
        <v>45</v>
      </c>
      <c r="C15" s="195">
        <v>45.0</v>
      </c>
      <c r="D15" s="196">
        <v>23.0</v>
      </c>
      <c r="E15" s="196">
        <v>80.0</v>
      </c>
      <c r="F15" s="196">
        <v>137.0</v>
      </c>
      <c r="G15" s="196">
        <v>100.0</v>
      </c>
      <c r="H15" s="197">
        <f t="shared" si="10"/>
        <v>45</v>
      </c>
      <c r="I15" s="197">
        <f t="shared" si="2"/>
        <v>1</v>
      </c>
      <c r="J15" s="195">
        <v>0.0</v>
      </c>
      <c r="K15" s="196">
        <v>0.0</v>
      </c>
      <c r="L15" s="198">
        <f t="shared" si="7"/>
        <v>0</v>
      </c>
      <c r="M15" s="198">
        <f t="shared" si="8"/>
        <v>0</v>
      </c>
      <c r="N15" s="198">
        <f t="shared" si="3"/>
        <v>0</v>
      </c>
      <c r="O15" s="199">
        <f t="shared" si="4"/>
        <v>1</v>
      </c>
      <c r="P15" s="197">
        <f t="shared" si="5"/>
        <v>80</v>
      </c>
      <c r="Q15" s="1">
        <v>140.0</v>
      </c>
    </row>
    <row r="16">
      <c r="A16" s="194">
        <f t="shared" si="6"/>
        <v>45579</v>
      </c>
      <c r="B16" s="195">
        <f t="shared" si="1"/>
        <v>45</v>
      </c>
      <c r="C16" s="195">
        <v>45.0</v>
      </c>
      <c r="D16" s="196">
        <v>23.0</v>
      </c>
      <c r="E16" s="196">
        <v>80.0</v>
      </c>
      <c r="F16" s="196">
        <v>137.0</v>
      </c>
      <c r="G16" s="196">
        <v>100.0</v>
      </c>
      <c r="H16" s="197">
        <f t="shared" si="10"/>
        <v>45</v>
      </c>
      <c r="I16" s="197">
        <f t="shared" si="2"/>
        <v>1</v>
      </c>
      <c r="J16" s="195">
        <v>0.0</v>
      </c>
      <c r="K16" s="196">
        <v>0.0</v>
      </c>
      <c r="L16" s="198">
        <f t="shared" si="7"/>
        <v>0</v>
      </c>
      <c r="M16" s="198">
        <f t="shared" si="8"/>
        <v>0</v>
      </c>
      <c r="N16" s="198">
        <f t="shared" si="3"/>
        <v>0</v>
      </c>
      <c r="O16" s="199">
        <f t="shared" si="4"/>
        <v>1</v>
      </c>
      <c r="P16" s="197">
        <f t="shared" si="5"/>
        <v>80</v>
      </c>
      <c r="Q16" s="1">
        <v>140.0</v>
      </c>
    </row>
    <row r="17">
      <c r="A17" s="194">
        <f t="shared" si="6"/>
        <v>45586</v>
      </c>
      <c r="B17" s="195">
        <f t="shared" si="1"/>
        <v>45</v>
      </c>
      <c r="C17" s="195">
        <v>45.0</v>
      </c>
      <c r="D17" s="196">
        <v>44.0</v>
      </c>
      <c r="E17" s="196">
        <v>80.0</v>
      </c>
      <c r="F17" s="196">
        <v>137.0</v>
      </c>
      <c r="G17" s="196">
        <v>100.0</v>
      </c>
      <c r="H17" s="197">
        <f t="shared" si="10"/>
        <v>45</v>
      </c>
      <c r="I17" s="197">
        <f t="shared" si="2"/>
        <v>1</v>
      </c>
      <c r="J17" s="195">
        <v>0.0</v>
      </c>
      <c r="K17" s="196">
        <v>0.0</v>
      </c>
      <c r="L17" s="198">
        <f t="shared" si="7"/>
        <v>0</v>
      </c>
      <c r="M17" s="198">
        <f t="shared" si="8"/>
        <v>0</v>
      </c>
      <c r="N17" s="198">
        <f t="shared" si="3"/>
        <v>0</v>
      </c>
      <c r="O17" s="199">
        <f t="shared" si="4"/>
        <v>1</v>
      </c>
      <c r="P17" s="197">
        <f t="shared" si="5"/>
        <v>80</v>
      </c>
      <c r="Q17" s="1">
        <v>160.0</v>
      </c>
    </row>
    <row r="18">
      <c r="A18" s="194">
        <f t="shared" si="6"/>
        <v>45593</v>
      </c>
      <c r="B18" s="195">
        <f t="shared" si="1"/>
        <v>45</v>
      </c>
      <c r="C18" s="195">
        <v>45.0</v>
      </c>
      <c r="D18" s="196">
        <v>23.0</v>
      </c>
      <c r="E18" s="196">
        <v>80.0</v>
      </c>
      <c r="F18" s="196">
        <v>137.0</v>
      </c>
      <c r="G18" s="196">
        <v>100.0</v>
      </c>
      <c r="H18" s="197">
        <f t="shared" si="10"/>
        <v>45</v>
      </c>
      <c r="I18" s="197">
        <f t="shared" si="2"/>
        <v>1</v>
      </c>
      <c r="J18" s="195">
        <v>0.0</v>
      </c>
      <c r="K18" s="196">
        <v>0.0</v>
      </c>
      <c r="L18" s="198">
        <f t="shared" si="7"/>
        <v>0</v>
      </c>
      <c r="M18" s="198">
        <f t="shared" si="8"/>
        <v>0</v>
      </c>
      <c r="N18" s="198">
        <f t="shared" si="3"/>
        <v>0</v>
      </c>
      <c r="O18" s="199">
        <f t="shared" si="4"/>
        <v>1</v>
      </c>
      <c r="P18" s="197">
        <f t="shared" si="5"/>
        <v>80</v>
      </c>
      <c r="Q18" s="1">
        <v>160.0</v>
      </c>
    </row>
    <row r="19">
      <c r="A19" s="193">
        <f t="shared" si="6"/>
        <v>45600</v>
      </c>
      <c r="B19" s="188">
        <f t="shared" si="1"/>
        <v>75</v>
      </c>
      <c r="C19" s="188">
        <v>75.0</v>
      </c>
      <c r="D19" s="189">
        <v>23.0</v>
      </c>
      <c r="E19" s="189">
        <v>80.0</v>
      </c>
      <c r="F19" s="189">
        <v>137.0</v>
      </c>
      <c r="G19" s="189">
        <v>100.0</v>
      </c>
      <c r="H19" s="190">
        <f t="shared" si="10"/>
        <v>75</v>
      </c>
      <c r="I19" s="190">
        <f t="shared" si="2"/>
        <v>1</v>
      </c>
      <c r="J19" s="188">
        <v>0.0</v>
      </c>
      <c r="K19" s="189">
        <v>0.0</v>
      </c>
      <c r="L19" s="190">
        <f t="shared" si="7"/>
        <v>0</v>
      </c>
      <c r="M19" s="190">
        <f t="shared" si="8"/>
        <v>0</v>
      </c>
      <c r="N19" s="190">
        <f t="shared" si="3"/>
        <v>0</v>
      </c>
      <c r="O19" s="191">
        <f t="shared" si="4"/>
        <v>2</v>
      </c>
      <c r="P19" s="190">
        <f t="shared" si="5"/>
        <v>160</v>
      </c>
      <c r="Q19" s="202">
        <v>180.0</v>
      </c>
      <c r="R19" s="192"/>
      <c r="S19" s="192"/>
      <c r="T19" s="192"/>
      <c r="U19" s="192"/>
      <c r="V19" s="192"/>
      <c r="W19" s="192"/>
      <c r="X19" s="192"/>
      <c r="Y19" s="192"/>
      <c r="Z19" s="192"/>
      <c r="AA19" s="192"/>
      <c r="AB19" s="192"/>
      <c r="AC19" s="192"/>
      <c r="AD19" s="192"/>
    </row>
    <row r="20">
      <c r="A20" s="193">
        <f t="shared" si="6"/>
        <v>45607</v>
      </c>
      <c r="B20" s="188">
        <f t="shared" si="1"/>
        <v>75</v>
      </c>
      <c r="C20" s="188">
        <v>75.0</v>
      </c>
      <c r="D20" s="189">
        <v>23.0</v>
      </c>
      <c r="E20" s="189">
        <v>80.0</v>
      </c>
      <c r="F20" s="189">
        <v>137.0</v>
      </c>
      <c r="G20" s="189">
        <v>100.0</v>
      </c>
      <c r="H20" s="190">
        <f t="shared" si="10"/>
        <v>75</v>
      </c>
      <c r="I20" s="190">
        <f t="shared" si="2"/>
        <v>1</v>
      </c>
      <c r="J20" s="188">
        <v>0.0</v>
      </c>
      <c r="K20" s="189">
        <v>0.0</v>
      </c>
      <c r="L20" s="190">
        <f t="shared" si="7"/>
        <v>0</v>
      </c>
      <c r="M20" s="190">
        <f t="shared" si="8"/>
        <v>0</v>
      </c>
      <c r="N20" s="190">
        <f t="shared" si="3"/>
        <v>0</v>
      </c>
      <c r="O20" s="191">
        <f t="shared" si="4"/>
        <v>2</v>
      </c>
      <c r="P20" s="190">
        <f t="shared" si="5"/>
        <v>160</v>
      </c>
      <c r="Q20" s="202">
        <v>180.0</v>
      </c>
      <c r="R20" s="192"/>
      <c r="S20" s="192"/>
      <c r="T20" s="192"/>
      <c r="U20" s="192"/>
      <c r="V20" s="192"/>
      <c r="W20" s="192"/>
      <c r="X20" s="192"/>
      <c r="Y20" s="192"/>
      <c r="Z20" s="192"/>
      <c r="AA20" s="192"/>
      <c r="AB20" s="192"/>
      <c r="AC20" s="192"/>
      <c r="AD20" s="192"/>
    </row>
    <row r="21">
      <c r="A21" s="193">
        <f t="shared" si="6"/>
        <v>45614</v>
      </c>
      <c r="B21" s="188">
        <f t="shared" si="1"/>
        <v>75</v>
      </c>
      <c r="C21" s="188">
        <v>75.0</v>
      </c>
      <c r="D21" s="189">
        <v>44.0</v>
      </c>
      <c r="E21" s="189">
        <v>80.0</v>
      </c>
      <c r="F21" s="189">
        <v>137.0</v>
      </c>
      <c r="G21" s="189">
        <v>100.0</v>
      </c>
      <c r="H21" s="190">
        <f t="shared" si="10"/>
        <v>75</v>
      </c>
      <c r="I21" s="190">
        <f t="shared" si="2"/>
        <v>1</v>
      </c>
      <c r="J21" s="188">
        <v>0.0</v>
      </c>
      <c r="K21" s="189">
        <v>0.0</v>
      </c>
      <c r="L21" s="190">
        <f t="shared" si="7"/>
        <v>0</v>
      </c>
      <c r="M21" s="190">
        <f t="shared" si="8"/>
        <v>0</v>
      </c>
      <c r="N21" s="190">
        <f t="shared" si="3"/>
        <v>0</v>
      </c>
      <c r="O21" s="191">
        <f t="shared" si="4"/>
        <v>2</v>
      </c>
      <c r="P21" s="190">
        <f t="shared" si="5"/>
        <v>160</v>
      </c>
      <c r="Q21" s="202">
        <v>240.0</v>
      </c>
      <c r="R21" s="192"/>
      <c r="S21" s="192"/>
      <c r="T21" s="192"/>
      <c r="U21" s="192"/>
      <c r="V21" s="192"/>
      <c r="W21" s="192"/>
      <c r="X21" s="192"/>
      <c r="Y21" s="192"/>
      <c r="Z21" s="192"/>
      <c r="AA21" s="192"/>
      <c r="AB21" s="192"/>
      <c r="AC21" s="192"/>
      <c r="AD21" s="192"/>
    </row>
    <row r="22">
      <c r="A22" s="193">
        <f t="shared" si="6"/>
        <v>45621</v>
      </c>
      <c r="B22" s="188">
        <f t="shared" si="1"/>
        <v>75</v>
      </c>
      <c r="C22" s="188">
        <v>75.0</v>
      </c>
      <c r="D22" s="189">
        <v>23.0</v>
      </c>
      <c r="E22" s="189">
        <v>80.0</v>
      </c>
      <c r="F22" s="189">
        <v>137.0</v>
      </c>
      <c r="G22" s="189">
        <v>100.0</v>
      </c>
      <c r="H22" s="190">
        <f t="shared" si="10"/>
        <v>75</v>
      </c>
      <c r="I22" s="190">
        <f t="shared" si="2"/>
        <v>1</v>
      </c>
      <c r="J22" s="188">
        <v>0.0</v>
      </c>
      <c r="K22" s="189">
        <v>0.0</v>
      </c>
      <c r="L22" s="190">
        <f t="shared" si="7"/>
        <v>0</v>
      </c>
      <c r="M22" s="190">
        <f t="shared" si="8"/>
        <v>0</v>
      </c>
      <c r="N22" s="190">
        <f t="shared" si="3"/>
        <v>0</v>
      </c>
      <c r="O22" s="191">
        <f t="shared" si="4"/>
        <v>2</v>
      </c>
      <c r="P22" s="190">
        <f t="shared" si="5"/>
        <v>160</v>
      </c>
      <c r="Q22" s="202">
        <v>240.0</v>
      </c>
      <c r="R22" s="192"/>
      <c r="S22" s="192"/>
      <c r="T22" s="192"/>
      <c r="U22" s="192"/>
      <c r="V22" s="192"/>
      <c r="W22" s="192"/>
      <c r="X22" s="192"/>
      <c r="Y22" s="192"/>
      <c r="Z22" s="192"/>
      <c r="AA22" s="192"/>
      <c r="AB22" s="192"/>
      <c r="AC22" s="192"/>
      <c r="AD22" s="192"/>
    </row>
    <row r="23">
      <c r="A23" s="194">
        <f t="shared" si="6"/>
        <v>45628</v>
      </c>
      <c r="B23" s="195">
        <f t="shared" si="1"/>
        <v>135</v>
      </c>
      <c r="C23" s="195">
        <v>75.0</v>
      </c>
      <c r="D23" s="196">
        <v>23.0</v>
      </c>
      <c r="E23" s="196">
        <v>120.0</v>
      </c>
      <c r="F23" s="196">
        <v>137.0</v>
      </c>
      <c r="G23" s="196">
        <v>100.0</v>
      </c>
      <c r="H23" s="197">
        <f t="shared" si="10"/>
        <v>75</v>
      </c>
      <c r="I23" s="197">
        <f t="shared" si="2"/>
        <v>1</v>
      </c>
      <c r="J23" s="195">
        <v>60.0</v>
      </c>
      <c r="K23" s="196">
        <v>0.0</v>
      </c>
      <c r="L23" s="198">
        <f t="shared" si="7"/>
        <v>0</v>
      </c>
      <c r="M23" s="198">
        <f t="shared" si="8"/>
        <v>60</v>
      </c>
      <c r="N23" s="198">
        <f t="shared" si="3"/>
        <v>1</v>
      </c>
      <c r="O23" s="199">
        <f t="shared" si="4"/>
        <v>2</v>
      </c>
      <c r="P23" s="197">
        <f t="shared" si="5"/>
        <v>160</v>
      </c>
      <c r="Q23" s="1">
        <v>240.0</v>
      </c>
    </row>
    <row r="24">
      <c r="A24" s="194">
        <f t="shared" si="6"/>
        <v>45635</v>
      </c>
      <c r="B24" s="195">
        <f t="shared" si="1"/>
        <v>135</v>
      </c>
      <c r="C24" s="195">
        <v>75.0</v>
      </c>
      <c r="D24" s="196">
        <v>44.0</v>
      </c>
      <c r="E24" s="196">
        <v>120.0</v>
      </c>
      <c r="F24" s="196">
        <v>137.0</v>
      </c>
      <c r="G24" s="196">
        <v>100.0</v>
      </c>
      <c r="H24" s="197">
        <f t="shared" si="10"/>
        <v>75</v>
      </c>
      <c r="I24" s="197">
        <f t="shared" si="2"/>
        <v>1</v>
      </c>
      <c r="J24" s="195">
        <v>60.0</v>
      </c>
      <c r="K24" s="196">
        <v>0.0</v>
      </c>
      <c r="L24" s="198">
        <f t="shared" si="7"/>
        <v>0</v>
      </c>
      <c r="M24" s="198">
        <f t="shared" si="8"/>
        <v>60</v>
      </c>
      <c r="N24" s="198">
        <f t="shared" si="3"/>
        <v>1</v>
      </c>
      <c r="O24" s="199">
        <f t="shared" si="4"/>
        <v>2</v>
      </c>
      <c r="P24" s="197">
        <f t="shared" si="5"/>
        <v>160</v>
      </c>
      <c r="Q24" s="1">
        <v>240.0</v>
      </c>
    </row>
    <row r="25">
      <c r="A25" s="194">
        <f t="shared" si="6"/>
        <v>45642</v>
      </c>
      <c r="B25" s="195">
        <f t="shared" si="1"/>
        <v>135</v>
      </c>
      <c r="C25" s="195">
        <v>75.0</v>
      </c>
      <c r="D25" s="196">
        <v>23.0</v>
      </c>
      <c r="E25" s="196">
        <v>120.0</v>
      </c>
      <c r="F25" s="196">
        <v>137.0</v>
      </c>
      <c r="G25" s="196">
        <v>100.0</v>
      </c>
      <c r="H25" s="197">
        <f t="shared" si="10"/>
        <v>75</v>
      </c>
      <c r="I25" s="197">
        <f t="shared" si="2"/>
        <v>1</v>
      </c>
      <c r="J25" s="195">
        <v>60.0</v>
      </c>
      <c r="K25" s="196">
        <v>0.0</v>
      </c>
      <c r="L25" s="198">
        <f t="shared" si="7"/>
        <v>0</v>
      </c>
      <c r="M25" s="198">
        <f t="shared" si="8"/>
        <v>60</v>
      </c>
      <c r="N25" s="198">
        <f t="shared" si="3"/>
        <v>1</v>
      </c>
      <c r="O25" s="199">
        <f t="shared" si="4"/>
        <v>2</v>
      </c>
      <c r="P25" s="197">
        <f t="shared" si="5"/>
        <v>160</v>
      </c>
      <c r="Q25" s="1">
        <v>240.0</v>
      </c>
    </row>
    <row r="26">
      <c r="A26" s="194">
        <f t="shared" si="6"/>
        <v>45649</v>
      </c>
      <c r="B26" s="195">
        <f t="shared" si="1"/>
        <v>135</v>
      </c>
      <c r="C26" s="195">
        <v>75.0</v>
      </c>
      <c r="D26" s="196">
        <v>23.0</v>
      </c>
      <c r="E26" s="196">
        <v>120.0</v>
      </c>
      <c r="F26" s="196">
        <v>137.0</v>
      </c>
      <c r="G26" s="196">
        <v>100.0</v>
      </c>
      <c r="H26" s="197">
        <f t="shared" si="10"/>
        <v>75</v>
      </c>
      <c r="I26" s="197">
        <f t="shared" si="2"/>
        <v>1</v>
      </c>
      <c r="J26" s="195">
        <v>60.0</v>
      </c>
      <c r="K26" s="196">
        <v>0.0</v>
      </c>
      <c r="L26" s="198">
        <f t="shared" si="7"/>
        <v>0</v>
      </c>
      <c r="M26" s="198">
        <f t="shared" si="8"/>
        <v>60</v>
      </c>
      <c r="N26" s="198">
        <f t="shared" si="3"/>
        <v>1</v>
      </c>
      <c r="O26" s="199">
        <f t="shared" si="4"/>
        <v>2</v>
      </c>
      <c r="P26" s="197">
        <f t="shared" si="5"/>
        <v>160</v>
      </c>
      <c r="Q26" s="1">
        <v>240.0</v>
      </c>
    </row>
    <row r="27">
      <c r="A27" s="194">
        <f t="shared" si="6"/>
        <v>45656</v>
      </c>
      <c r="B27" s="195">
        <f t="shared" si="1"/>
        <v>135</v>
      </c>
      <c r="C27" s="195">
        <v>75.0</v>
      </c>
      <c r="D27" s="196">
        <v>44.0</v>
      </c>
      <c r="E27" s="196">
        <v>120.0</v>
      </c>
      <c r="F27" s="196">
        <v>137.0</v>
      </c>
      <c r="G27" s="196">
        <v>100.0</v>
      </c>
      <c r="H27" s="197">
        <f t="shared" si="10"/>
        <v>75</v>
      </c>
      <c r="I27" s="197">
        <f t="shared" si="2"/>
        <v>1</v>
      </c>
      <c r="J27" s="195">
        <v>60.0</v>
      </c>
      <c r="K27" s="196">
        <v>0.0</v>
      </c>
      <c r="L27" s="198">
        <f t="shared" si="7"/>
        <v>0</v>
      </c>
      <c r="M27" s="198">
        <f t="shared" si="8"/>
        <v>60</v>
      </c>
      <c r="N27" s="198">
        <f t="shared" si="3"/>
        <v>1</v>
      </c>
      <c r="O27" s="199">
        <f t="shared" si="4"/>
        <v>2</v>
      </c>
      <c r="P27" s="197">
        <f t="shared" si="5"/>
        <v>160</v>
      </c>
      <c r="Q27" s="1">
        <v>240.0</v>
      </c>
    </row>
    <row r="28">
      <c r="A28" s="193">
        <f t="shared" si="6"/>
        <v>45663</v>
      </c>
      <c r="B28" s="188">
        <f t="shared" si="1"/>
        <v>180</v>
      </c>
      <c r="C28" s="188">
        <v>180.0</v>
      </c>
      <c r="D28" s="189"/>
      <c r="E28" s="189"/>
      <c r="F28" s="189">
        <v>137.0</v>
      </c>
      <c r="G28" s="189">
        <v>100.0</v>
      </c>
      <c r="H28" s="190">
        <f t="shared" si="10"/>
        <v>180</v>
      </c>
      <c r="I28" s="190">
        <f t="shared" si="2"/>
        <v>2</v>
      </c>
      <c r="J28" s="188"/>
      <c r="K28" s="189">
        <v>0.0</v>
      </c>
      <c r="L28" s="190">
        <f t="shared" si="7"/>
        <v>0</v>
      </c>
      <c r="M28" s="190" t="str">
        <f t="shared" si="8"/>
        <v/>
      </c>
      <c r="N28" s="190">
        <f t="shared" si="3"/>
        <v>0</v>
      </c>
      <c r="O28" s="191">
        <f t="shared" si="4"/>
        <v>2</v>
      </c>
      <c r="P28" s="190">
        <f t="shared" si="5"/>
        <v>160</v>
      </c>
      <c r="Q28" s="192"/>
      <c r="R28" s="192"/>
      <c r="S28" s="192"/>
      <c r="T28" s="192"/>
      <c r="U28" s="192"/>
      <c r="V28" s="192"/>
      <c r="W28" s="192"/>
      <c r="X28" s="192"/>
      <c r="Y28" s="192"/>
      <c r="Z28" s="192"/>
      <c r="AA28" s="192"/>
      <c r="AB28" s="192"/>
      <c r="AC28" s="192"/>
      <c r="AD28" s="192"/>
    </row>
    <row r="29">
      <c r="A29" s="193">
        <f t="shared" si="6"/>
        <v>45670</v>
      </c>
      <c r="B29" s="188">
        <f t="shared" si="1"/>
        <v>180</v>
      </c>
      <c r="C29" s="188">
        <v>180.0</v>
      </c>
      <c r="D29" s="189"/>
      <c r="E29" s="189"/>
      <c r="F29" s="189">
        <v>137.0</v>
      </c>
      <c r="G29" s="189">
        <v>100.0</v>
      </c>
      <c r="H29" s="190">
        <f t="shared" si="10"/>
        <v>180</v>
      </c>
      <c r="I29" s="190">
        <f t="shared" si="2"/>
        <v>2</v>
      </c>
      <c r="J29" s="188"/>
      <c r="K29" s="189">
        <v>0.0</v>
      </c>
      <c r="L29" s="190">
        <f t="shared" si="7"/>
        <v>0</v>
      </c>
      <c r="M29" s="190" t="str">
        <f t="shared" si="8"/>
        <v/>
      </c>
      <c r="N29" s="190">
        <f t="shared" si="3"/>
        <v>0</v>
      </c>
      <c r="O29" s="191">
        <f t="shared" si="4"/>
        <v>2</v>
      </c>
      <c r="P29" s="190">
        <f t="shared" si="5"/>
        <v>160</v>
      </c>
      <c r="Q29" s="192"/>
      <c r="R29" s="192"/>
      <c r="S29" s="192"/>
      <c r="T29" s="192"/>
      <c r="U29" s="192"/>
      <c r="V29" s="192"/>
      <c r="W29" s="192"/>
      <c r="X29" s="192"/>
      <c r="Y29" s="192"/>
      <c r="Z29" s="192"/>
      <c r="AA29" s="192"/>
      <c r="AB29" s="192"/>
      <c r="AC29" s="192"/>
      <c r="AD29" s="192"/>
    </row>
    <row r="30">
      <c r="A30" s="193">
        <f t="shared" si="6"/>
        <v>45677</v>
      </c>
      <c r="B30" s="188">
        <f t="shared" si="1"/>
        <v>180</v>
      </c>
      <c r="C30" s="188">
        <v>180.0</v>
      </c>
      <c r="D30" s="189"/>
      <c r="E30" s="189"/>
      <c r="F30" s="189">
        <v>137.0</v>
      </c>
      <c r="G30" s="189">
        <v>100.0</v>
      </c>
      <c r="H30" s="190">
        <f t="shared" si="10"/>
        <v>180</v>
      </c>
      <c r="I30" s="190">
        <f t="shared" si="2"/>
        <v>2</v>
      </c>
      <c r="J30" s="188"/>
      <c r="K30" s="189">
        <v>0.0</v>
      </c>
      <c r="L30" s="190">
        <f t="shared" si="7"/>
        <v>0</v>
      </c>
      <c r="M30" s="190" t="str">
        <f t="shared" si="8"/>
        <v/>
      </c>
      <c r="N30" s="190">
        <f t="shared" si="3"/>
        <v>0</v>
      </c>
      <c r="O30" s="191">
        <f t="shared" si="4"/>
        <v>2</v>
      </c>
      <c r="P30" s="190">
        <f t="shared" si="5"/>
        <v>160</v>
      </c>
      <c r="Q30" s="192"/>
      <c r="R30" s="192"/>
      <c r="S30" s="192"/>
      <c r="T30" s="192"/>
      <c r="U30" s="192"/>
      <c r="V30" s="192"/>
      <c r="W30" s="192"/>
      <c r="X30" s="192"/>
      <c r="Y30" s="192"/>
      <c r="Z30" s="192"/>
      <c r="AA30" s="192"/>
      <c r="AB30" s="192"/>
      <c r="AC30" s="192"/>
      <c r="AD30" s="192"/>
    </row>
    <row r="31">
      <c r="A31" s="193">
        <f t="shared" si="6"/>
        <v>45684</v>
      </c>
      <c r="B31" s="188">
        <f t="shared" si="1"/>
        <v>180</v>
      </c>
      <c r="C31" s="188">
        <v>180.0</v>
      </c>
      <c r="D31" s="189"/>
      <c r="E31" s="189"/>
      <c r="F31" s="189">
        <v>137.0</v>
      </c>
      <c r="G31" s="189">
        <v>100.0</v>
      </c>
      <c r="H31" s="190">
        <f t="shared" si="10"/>
        <v>180</v>
      </c>
      <c r="I31" s="190">
        <f t="shared" si="2"/>
        <v>2</v>
      </c>
      <c r="J31" s="188"/>
      <c r="K31" s="189">
        <v>0.0</v>
      </c>
      <c r="L31" s="190">
        <f t="shared" si="7"/>
        <v>0</v>
      </c>
      <c r="M31" s="190" t="str">
        <f t="shared" si="8"/>
        <v/>
      </c>
      <c r="N31" s="190">
        <f t="shared" si="3"/>
        <v>0</v>
      </c>
      <c r="O31" s="191">
        <f t="shared" si="4"/>
        <v>0</v>
      </c>
      <c r="P31" s="190">
        <f t="shared" si="5"/>
        <v>0</v>
      </c>
      <c r="Q31" s="192"/>
      <c r="R31" s="192"/>
      <c r="S31" s="192"/>
      <c r="T31" s="192"/>
      <c r="U31" s="192"/>
      <c r="V31" s="192"/>
      <c r="W31" s="192"/>
      <c r="X31" s="192"/>
      <c r="Y31" s="192"/>
      <c r="Z31" s="192"/>
      <c r="AA31" s="192"/>
      <c r="AB31" s="192"/>
      <c r="AC31" s="192"/>
      <c r="AD31" s="192"/>
    </row>
    <row r="32">
      <c r="A32" s="194">
        <f t="shared" si="6"/>
        <v>45691</v>
      </c>
      <c r="B32" s="195">
        <f t="shared" si="1"/>
        <v>180</v>
      </c>
      <c r="C32" s="195">
        <v>180.0</v>
      </c>
      <c r="D32" s="196"/>
      <c r="E32" s="196"/>
      <c r="F32" s="196">
        <v>137.0</v>
      </c>
      <c r="G32" s="196">
        <v>100.0</v>
      </c>
      <c r="H32" s="197">
        <f t="shared" si="10"/>
        <v>180</v>
      </c>
      <c r="I32" s="197">
        <f t="shared" si="2"/>
        <v>2</v>
      </c>
      <c r="J32" s="195"/>
      <c r="K32" s="196">
        <v>0.0</v>
      </c>
      <c r="L32" s="198">
        <f t="shared" si="7"/>
        <v>0</v>
      </c>
      <c r="M32" s="198" t="str">
        <f t="shared" si="8"/>
        <v/>
      </c>
      <c r="N32" s="198">
        <f t="shared" si="3"/>
        <v>0</v>
      </c>
      <c r="O32" s="199">
        <f t="shared" si="4"/>
        <v>0</v>
      </c>
      <c r="P32" s="197">
        <f t="shared" si="5"/>
        <v>0</v>
      </c>
    </row>
    <row r="33">
      <c r="A33" s="194">
        <f t="shared" si="6"/>
        <v>45698</v>
      </c>
      <c r="B33" s="195">
        <f t="shared" si="1"/>
        <v>180</v>
      </c>
      <c r="C33" s="195">
        <v>180.0</v>
      </c>
      <c r="D33" s="196"/>
      <c r="E33" s="196"/>
      <c r="F33" s="196">
        <v>137.0</v>
      </c>
      <c r="G33" s="196">
        <v>100.0</v>
      </c>
      <c r="H33" s="197">
        <f t="shared" si="10"/>
        <v>180</v>
      </c>
      <c r="I33" s="197">
        <f t="shared" si="2"/>
        <v>2</v>
      </c>
      <c r="J33" s="195"/>
      <c r="K33" s="196">
        <v>0.0</v>
      </c>
      <c r="L33" s="198">
        <f t="shared" si="7"/>
        <v>0</v>
      </c>
      <c r="M33" s="198" t="str">
        <f t="shared" si="8"/>
        <v/>
      </c>
      <c r="N33" s="198">
        <f t="shared" si="3"/>
        <v>0</v>
      </c>
      <c r="O33" s="199">
        <f t="shared" si="4"/>
        <v>0</v>
      </c>
      <c r="P33" s="197">
        <f t="shared" si="5"/>
        <v>0</v>
      </c>
    </row>
    <row r="34">
      <c r="A34" s="194">
        <f t="shared" si="6"/>
        <v>45705</v>
      </c>
      <c r="B34" s="195">
        <f t="shared" si="1"/>
        <v>180</v>
      </c>
      <c r="C34" s="195">
        <v>180.0</v>
      </c>
      <c r="D34" s="196"/>
      <c r="E34" s="196"/>
      <c r="F34" s="196">
        <v>137.0</v>
      </c>
      <c r="G34" s="196">
        <v>100.0</v>
      </c>
      <c r="H34" s="197">
        <f t="shared" si="10"/>
        <v>180</v>
      </c>
      <c r="I34" s="197">
        <f t="shared" si="2"/>
        <v>2</v>
      </c>
      <c r="J34" s="195"/>
      <c r="K34" s="196">
        <v>0.0</v>
      </c>
      <c r="L34" s="198">
        <f t="shared" si="7"/>
        <v>0</v>
      </c>
      <c r="M34" s="198" t="str">
        <f t="shared" si="8"/>
        <v/>
      </c>
      <c r="N34" s="198">
        <f t="shared" si="3"/>
        <v>0</v>
      </c>
      <c r="O34" s="199">
        <f t="shared" si="4"/>
        <v>0</v>
      </c>
      <c r="P34" s="197">
        <f t="shared" si="5"/>
        <v>0</v>
      </c>
    </row>
    <row r="35">
      <c r="A35" s="172"/>
      <c r="B35" s="204"/>
      <c r="C35" s="204"/>
      <c r="D35" s="197"/>
      <c r="E35" s="197"/>
      <c r="F35" s="197"/>
      <c r="G35" s="197"/>
      <c r="H35" s="197"/>
      <c r="I35" s="197"/>
      <c r="J35" s="204"/>
      <c r="K35" s="197"/>
      <c r="L35" s="197"/>
      <c r="M35" s="197"/>
      <c r="N35" s="197"/>
      <c r="O35" s="204"/>
      <c r="P35" s="197"/>
    </row>
    <row r="36">
      <c r="A36" s="172"/>
      <c r="B36" s="204"/>
      <c r="C36" s="204"/>
      <c r="D36" s="197"/>
      <c r="E36" s="197"/>
      <c r="F36" s="197"/>
      <c r="G36" s="197"/>
      <c r="H36" s="197"/>
      <c r="I36" s="197"/>
      <c r="J36" s="204"/>
      <c r="K36" s="197"/>
      <c r="L36" s="197"/>
      <c r="M36" s="197"/>
      <c r="N36" s="197"/>
      <c r="O36" s="204"/>
      <c r="P36" s="197"/>
    </row>
    <row r="37">
      <c r="A37" s="172"/>
      <c r="B37" s="204"/>
      <c r="C37" s="204"/>
      <c r="D37" s="197"/>
      <c r="E37" s="197"/>
      <c r="F37" s="197"/>
      <c r="G37" s="197"/>
      <c r="H37" s="197"/>
      <c r="I37" s="197"/>
      <c r="J37" s="204"/>
      <c r="K37" s="197"/>
      <c r="L37" s="197"/>
      <c r="M37" s="197"/>
      <c r="N37" s="197"/>
      <c r="O37" s="204"/>
      <c r="P37" s="197"/>
    </row>
    <row r="38">
      <c r="A38" s="172"/>
      <c r="B38" s="204"/>
      <c r="C38" s="204"/>
      <c r="D38" s="197"/>
      <c r="E38" s="197"/>
      <c r="F38" s="197"/>
      <c r="G38" s="197"/>
      <c r="H38" s="197"/>
      <c r="I38" s="197"/>
      <c r="J38" s="204"/>
      <c r="K38" s="197"/>
      <c r="L38" s="197"/>
      <c r="M38" s="197"/>
      <c r="N38" s="197"/>
      <c r="O38" s="204"/>
      <c r="P38" s="197"/>
    </row>
    <row r="39">
      <c r="A39" s="172"/>
      <c r="B39" s="204"/>
      <c r="C39" s="204"/>
      <c r="D39" s="197"/>
      <c r="E39" s="197"/>
      <c r="F39" s="197"/>
      <c r="G39" s="197"/>
      <c r="H39" s="197"/>
      <c r="I39" s="197"/>
      <c r="J39" s="204"/>
      <c r="K39" s="197"/>
      <c r="L39" s="197"/>
      <c r="M39" s="197"/>
      <c r="N39" s="197"/>
      <c r="O39" s="204"/>
      <c r="P39" s="197"/>
    </row>
    <row r="40">
      <c r="A40" s="172"/>
      <c r="B40" s="204"/>
      <c r="C40" s="204"/>
      <c r="D40" s="197"/>
      <c r="E40" s="197"/>
      <c r="F40" s="197"/>
      <c r="G40" s="197"/>
      <c r="H40" s="197"/>
      <c r="I40" s="197"/>
      <c r="J40" s="204"/>
      <c r="K40" s="197"/>
      <c r="L40" s="197"/>
      <c r="M40" s="197"/>
      <c r="N40" s="197"/>
      <c r="O40" s="204"/>
      <c r="P40" s="197"/>
    </row>
    <row r="41">
      <c r="A41" s="172"/>
      <c r="B41" s="204"/>
      <c r="C41" s="204"/>
      <c r="D41" s="197"/>
      <c r="E41" s="197"/>
      <c r="F41" s="197"/>
      <c r="G41" s="197"/>
      <c r="H41" s="197"/>
      <c r="I41" s="197"/>
      <c r="J41" s="204"/>
      <c r="K41" s="197"/>
      <c r="L41" s="197"/>
      <c r="M41" s="197"/>
      <c r="N41" s="197"/>
      <c r="O41" s="204"/>
      <c r="P41" s="197"/>
    </row>
    <row r="42">
      <c r="A42" s="172"/>
      <c r="B42" s="204"/>
      <c r="C42" s="204"/>
      <c r="D42" s="197"/>
      <c r="E42" s="197"/>
      <c r="F42" s="197"/>
      <c r="G42" s="197"/>
      <c r="H42" s="197"/>
      <c r="I42" s="197"/>
      <c r="J42" s="204"/>
      <c r="K42" s="197"/>
      <c r="L42" s="197"/>
      <c r="M42" s="197"/>
      <c r="N42" s="197"/>
      <c r="O42" s="204"/>
      <c r="P42" s="197"/>
    </row>
    <row r="43">
      <c r="A43" s="172"/>
      <c r="B43" s="204"/>
      <c r="C43" s="204"/>
      <c r="D43" s="197"/>
      <c r="E43" s="197"/>
      <c r="F43" s="197"/>
      <c r="G43" s="197"/>
      <c r="H43" s="197"/>
      <c r="I43" s="197"/>
      <c r="J43" s="204"/>
      <c r="K43" s="197"/>
      <c r="L43" s="197"/>
      <c r="M43" s="197"/>
      <c r="N43" s="197"/>
      <c r="O43" s="204"/>
      <c r="P43" s="197"/>
    </row>
    <row r="44">
      <c r="A44" s="172"/>
      <c r="B44" s="204"/>
      <c r="C44" s="204"/>
      <c r="D44" s="197"/>
      <c r="E44" s="197"/>
      <c r="F44" s="197"/>
      <c r="G44" s="197"/>
      <c r="H44" s="197"/>
      <c r="I44" s="197"/>
      <c r="J44" s="204"/>
      <c r="K44" s="197"/>
      <c r="L44" s="197"/>
      <c r="M44" s="197"/>
      <c r="N44" s="197"/>
      <c r="O44" s="204"/>
      <c r="P44" s="197"/>
    </row>
    <row r="45">
      <c r="A45" s="172"/>
      <c r="B45" s="204"/>
      <c r="C45" s="204"/>
      <c r="D45" s="197"/>
      <c r="E45" s="197"/>
      <c r="F45" s="197"/>
      <c r="G45" s="197"/>
      <c r="H45" s="197"/>
      <c r="I45" s="197"/>
      <c r="J45" s="204"/>
      <c r="K45" s="197"/>
      <c r="L45" s="197"/>
      <c r="M45" s="197"/>
      <c r="N45" s="197"/>
      <c r="O45" s="204"/>
      <c r="P45" s="197"/>
    </row>
    <row r="46">
      <c r="A46" s="172"/>
      <c r="B46" s="204"/>
      <c r="C46" s="204"/>
      <c r="D46" s="197"/>
      <c r="E46" s="197"/>
      <c r="F46" s="197"/>
      <c r="G46" s="197"/>
      <c r="H46" s="197"/>
      <c r="I46" s="197"/>
      <c r="J46" s="204"/>
      <c r="K46" s="197"/>
      <c r="L46" s="197"/>
      <c r="M46" s="197"/>
      <c r="N46" s="197"/>
      <c r="O46" s="204"/>
      <c r="P46" s="197"/>
    </row>
    <row r="47">
      <c r="A47" s="172"/>
      <c r="B47" s="204"/>
      <c r="C47" s="204"/>
      <c r="D47" s="197"/>
      <c r="E47" s="197"/>
      <c r="F47" s="197"/>
      <c r="G47" s="197"/>
      <c r="H47" s="197"/>
      <c r="I47" s="197"/>
      <c r="J47" s="204"/>
      <c r="K47" s="197"/>
      <c r="L47" s="197"/>
      <c r="M47" s="197"/>
      <c r="N47" s="197"/>
      <c r="O47" s="204"/>
      <c r="P47" s="197"/>
    </row>
    <row r="48">
      <c r="A48" s="172"/>
      <c r="B48" s="204"/>
      <c r="C48" s="204"/>
      <c r="D48" s="197"/>
      <c r="E48" s="197"/>
      <c r="F48" s="197"/>
      <c r="G48" s="197"/>
      <c r="H48" s="197"/>
      <c r="I48" s="197"/>
      <c r="J48" s="204"/>
      <c r="K48" s="197"/>
      <c r="L48" s="197"/>
      <c r="M48" s="197"/>
      <c r="N48" s="197"/>
      <c r="O48" s="204"/>
      <c r="P48" s="197"/>
    </row>
    <row r="49">
      <c r="A49" s="172"/>
      <c r="B49" s="204"/>
      <c r="C49" s="204"/>
      <c r="D49" s="197"/>
      <c r="E49" s="197"/>
      <c r="F49" s="197"/>
      <c r="G49" s="197"/>
      <c r="H49" s="197"/>
      <c r="I49" s="197"/>
      <c r="J49" s="204"/>
      <c r="K49" s="197"/>
      <c r="L49" s="197"/>
      <c r="M49" s="197"/>
      <c r="N49" s="197"/>
      <c r="O49" s="204"/>
      <c r="P49" s="197"/>
    </row>
    <row r="50">
      <c r="A50" s="172"/>
      <c r="B50" s="204"/>
      <c r="C50" s="204"/>
      <c r="D50" s="197"/>
      <c r="E50" s="197"/>
      <c r="F50" s="197"/>
      <c r="G50" s="197"/>
      <c r="H50" s="197"/>
      <c r="I50" s="197"/>
      <c r="J50" s="204"/>
      <c r="K50" s="197"/>
      <c r="L50" s="197"/>
      <c r="M50" s="197"/>
      <c r="N50" s="197"/>
      <c r="O50" s="204"/>
      <c r="P50" s="197"/>
    </row>
    <row r="51">
      <c r="A51" s="172"/>
      <c r="B51" s="204"/>
      <c r="C51" s="204"/>
      <c r="D51" s="197"/>
      <c r="E51" s="197"/>
      <c r="F51" s="197"/>
      <c r="G51" s="197"/>
      <c r="H51" s="197"/>
      <c r="I51" s="197"/>
      <c r="J51" s="204"/>
      <c r="K51" s="197"/>
      <c r="L51" s="197"/>
      <c r="M51" s="197"/>
      <c r="N51" s="197"/>
      <c r="O51" s="204"/>
      <c r="P51" s="197"/>
    </row>
    <row r="52">
      <c r="A52" s="172"/>
      <c r="B52" s="204"/>
      <c r="C52" s="204"/>
      <c r="D52" s="197"/>
      <c r="E52" s="197"/>
      <c r="F52" s="197"/>
      <c r="G52" s="197"/>
      <c r="H52" s="197"/>
      <c r="I52" s="197"/>
      <c r="J52" s="204"/>
      <c r="K52" s="197"/>
      <c r="L52" s="197"/>
      <c r="M52" s="197"/>
      <c r="N52" s="197"/>
      <c r="O52" s="204"/>
      <c r="P52" s="197"/>
    </row>
    <row r="53">
      <c r="A53" s="172"/>
      <c r="B53" s="204"/>
      <c r="C53" s="204"/>
      <c r="D53" s="197"/>
      <c r="E53" s="197"/>
      <c r="F53" s="197"/>
      <c r="G53" s="197"/>
      <c r="H53" s="197"/>
      <c r="I53" s="197"/>
      <c r="J53" s="204"/>
      <c r="K53" s="197"/>
      <c r="L53" s="197"/>
      <c r="M53" s="197"/>
      <c r="N53" s="197"/>
      <c r="O53" s="204"/>
      <c r="P53" s="197"/>
    </row>
    <row r="54">
      <c r="A54" s="172"/>
      <c r="B54" s="204"/>
      <c r="C54" s="204"/>
      <c r="D54" s="197"/>
      <c r="E54" s="197"/>
      <c r="F54" s="197"/>
      <c r="G54" s="197"/>
      <c r="H54" s="197"/>
      <c r="I54" s="197"/>
      <c r="J54" s="204"/>
      <c r="K54" s="197"/>
      <c r="L54" s="197"/>
      <c r="M54" s="197"/>
      <c r="N54" s="197"/>
      <c r="O54" s="204"/>
      <c r="P54" s="197"/>
    </row>
    <row r="55">
      <c r="A55" s="172"/>
      <c r="B55" s="204"/>
      <c r="C55" s="204"/>
      <c r="D55" s="197"/>
      <c r="E55" s="197"/>
      <c r="F55" s="197"/>
      <c r="G55" s="197"/>
      <c r="H55" s="197"/>
      <c r="I55" s="197"/>
      <c r="J55" s="204"/>
      <c r="K55" s="197"/>
      <c r="L55" s="197"/>
      <c r="M55" s="197"/>
      <c r="N55" s="197"/>
      <c r="O55" s="204"/>
      <c r="P55" s="197"/>
    </row>
    <row r="56">
      <c r="A56" s="172"/>
      <c r="B56" s="204"/>
      <c r="C56" s="204"/>
      <c r="D56" s="197"/>
      <c r="E56" s="197"/>
      <c r="F56" s="197"/>
      <c r="G56" s="197"/>
      <c r="H56" s="197"/>
      <c r="I56" s="197"/>
      <c r="J56" s="204"/>
      <c r="K56" s="197"/>
      <c r="L56" s="197"/>
      <c r="M56" s="197"/>
      <c r="N56" s="197"/>
      <c r="O56" s="204"/>
      <c r="P56" s="197"/>
    </row>
    <row r="57">
      <c r="A57" s="172"/>
      <c r="B57" s="204"/>
      <c r="C57" s="204"/>
      <c r="D57" s="197"/>
      <c r="E57" s="197"/>
      <c r="F57" s="197"/>
      <c r="G57" s="197"/>
      <c r="H57" s="197"/>
      <c r="I57" s="197"/>
      <c r="J57" s="204"/>
      <c r="K57" s="197"/>
      <c r="L57" s="197"/>
      <c r="M57" s="197"/>
      <c r="N57" s="197"/>
      <c r="O57" s="204"/>
      <c r="P57" s="197"/>
    </row>
    <row r="58">
      <c r="A58" s="172"/>
      <c r="B58" s="204"/>
      <c r="C58" s="204"/>
      <c r="D58" s="197"/>
      <c r="E58" s="197"/>
      <c r="F58" s="197"/>
      <c r="G58" s="197"/>
      <c r="H58" s="197"/>
      <c r="I58" s="197"/>
      <c r="J58" s="204"/>
      <c r="K58" s="197"/>
      <c r="L58" s="197"/>
      <c r="M58" s="197"/>
      <c r="N58" s="197"/>
      <c r="O58" s="204"/>
      <c r="P58" s="197"/>
    </row>
    <row r="59">
      <c r="A59" s="172"/>
      <c r="B59" s="204"/>
      <c r="C59" s="204"/>
      <c r="D59" s="197"/>
      <c r="E59" s="197"/>
      <c r="F59" s="197"/>
      <c r="G59" s="197"/>
      <c r="H59" s="197"/>
      <c r="I59" s="197"/>
      <c r="J59" s="204"/>
      <c r="K59" s="197"/>
      <c r="L59" s="197"/>
      <c r="M59" s="197"/>
      <c r="N59" s="197"/>
      <c r="O59" s="204"/>
      <c r="P59" s="197"/>
    </row>
    <row r="60">
      <c r="A60" s="172"/>
      <c r="B60" s="204"/>
      <c r="C60" s="204"/>
      <c r="D60" s="197"/>
      <c r="E60" s="197"/>
      <c r="F60" s="197"/>
      <c r="G60" s="197"/>
      <c r="H60" s="197"/>
      <c r="I60" s="197"/>
      <c r="J60" s="204"/>
      <c r="K60" s="197"/>
      <c r="L60" s="197"/>
      <c r="M60" s="197"/>
      <c r="N60" s="197"/>
      <c r="O60" s="204"/>
      <c r="P60" s="197"/>
    </row>
    <row r="61">
      <c r="A61" s="172"/>
      <c r="B61" s="204"/>
      <c r="C61" s="204"/>
      <c r="D61" s="197"/>
      <c r="E61" s="197"/>
      <c r="F61" s="197"/>
      <c r="G61" s="197"/>
      <c r="H61" s="197"/>
      <c r="I61" s="197"/>
      <c r="J61" s="204"/>
      <c r="K61" s="197"/>
      <c r="L61" s="197"/>
      <c r="M61" s="197"/>
      <c r="N61" s="197"/>
      <c r="O61" s="204"/>
      <c r="P61" s="197"/>
    </row>
    <row r="62">
      <c r="A62" s="172"/>
      <c r="B62" s="204"/>
      <c r="C62" s="204"/>
      <c r="D62" s="197"/>
      <c r="E62" s="197"/>
      <c r="F62" s="197"/>
      <c r="G62" s="197"/>
      <c r="H62" s="197"/>
      <c r="I62" s="197"/>
      <c r="J62" s="204"/>
      <c r="K62" s="197"/>
      <c r="L62" s="197"/>
      <c r="M62" s="197"/>
      <c r="N62" s="197"/>
      <c r="O62" s="204"/>
      <c r="P62" s="197"/>
    </row>
    <row r="63">
      <c r="A63" s="172"/>
      <c r="B63" s="204"/>
      <c r="C63" s="204"/>
      <c r="D63" s="197"/>
      <c r="E63" s="197"/>
      <c r="F63" s="197"/>
      <c r="G63" s="197"/>
      <c r="H63" s="197"/>
      <c r="I63" s="197"/>
      <c r="J63" s="204"/>
      <c r="K63" s="197"/>
      <c r="L63" s="197"/>
      <c r="M63" s="197"/>
      <c r="N63" s="197"/>
      <c r="O63" s="204"/>
      <c r="P63" s="197"/>
    </row>
    <row r="64">
      <c r="A64" s="172"/>
      <c r="B64" s="204"/>
      <c r="C64" s="204"/>
      <c r="D64" s="197"/>
      <c r="E64" s="197"/>
      <c r="F64" s="197"/>
      <c r="G64" s="197"/>
      <c r="H64" s="197"/>
      <c r="I64" s="197"/>
      <c r="J64" s="204"/>
      <c r="K64" s="197"/>
      <c r="L64" s="197"/>
      <c r="M64" s="197"/>
      <c r="N64" s="197"/>
      <c r="O64" s="204"/>
      <c r="P64" s="197"/>
    </row>
    <row r="65">
      <c r="A65" s="172"/>
      <c r="B65" s="204"/>
      <c r="C65" s="204"/>
      <c r="D65" s="197"/>
      <c r="E65" s="197"/>
      <c r="F65" s="197"/>
      <c r="G65" s="197"/>
      <c r="H65" s="197"/>
      <c r="I65" s="197"/>
      <c r="J65" s="204"/>
      <c r="K65" s="197"/>
      <c r="L65" s="197"/>
      <c r="M65" s="197"/>
      <c r="N65" s="197"/>
      <c r="O65" s="204"/>
      <c r="P65" s="197"/>
    </row>
    <row r="66">
      <c r="A66" s="172"/>
      <c r="B66" s="204"/>
      <c r="C66" s="204"/>
      <c r="D66" s="197"/>
      <c r="E66" s="197"/>
      <c r="F66" s="197"/>
      <c r="G66" s="197"/>
      <c r="H66" s="197"/>
      <c r="I66" s="197"/>
      <c r="J66" s="204"/>
      <c r="K66" s="197"/>
      <c r="L66" s="197"/>
      <c r="M66" s="197"/>
      <c r="N66" s="197"/>
      <c r="O66" s="204"/>
      <c r="P66" s="197"/>
    </row>
    <row r="67">
      <c r="A67" s="172"/>
      <c r="B67" s="204"/>
      <c r="C67" s="204"/>
      <c r="D67" s="197"/>
      <c r="E67" s="197"/>
      <c r="F67" s="197"/>
      <c r="G67" s="197"/>
      <c r="H67" s="197"/>
      <c r="I67" s="197"/>
      <c r="J67" s="204"/>
      <c r="K67" s="197"/>
      <c r="L67" s="197"/>
      <c r="M67" s="197"/>
      <c r="N67" s="197"/>
      <c r="O67" s="204"/>
      <c r="P67" s="197"/>
    </row>
    <row r="68">
      <c r="A68" s="172"/>
      <c r="B68" s="204"/>
      <c r="C68" s="204"/>
      <c r="D68" s="197"/>
      <c r="E68" s="197"/>
      <c r="F68" s="197"/>
      <c r="G68" s="197"/>
      <c r="H68" s="197"/>
      <c r="I68" s="197"/>
      <c r="J68" s="204"/>
      <c r="K68" s="197"/>
      <c r="L68" s="197"/>
      <c r="M68" s="197"/>
      <c r="N68" s="197"/>
      <c r="O68" s="204"/>
      <c r="P68" s="197"/>
    </row>
    <row r="69">
      <c r="A69" s="172"/>
      <c r="B69" s="204"/>
      <c r="C69" s="204"/>
      <c r="D69" s="197"/>
      <c r="E69" s="197"/>
      <c r="F69" s="197"/>
      <c r="G69" s="197"/>
      <c r="H69" s="197"/>
      <c r="I69" s="197"/>
      <c r="J69" s="204"/>
      <c r="K69" s="197"/>
      <c r="L69" s="197"/>
      <c r="M69" s="197"/>
      <c r="N69" s="197"/>
      <c r="O69" s="204"/>
      <c r="P69" s="197"/>
    </row>
    <row r="70">
      <c r="A70" s="172"/>
      <c r="B70" s="204"/>
      <c r="C70" s="204"/>
      <c r="D70" s="197"/>
      <c r="E70" s="197"/>
      <c r="F70" s="197"/>
      <c r="G70" s="197"/>
      <c r="H70" s="197"/>
      <c r="I70" s="197"/>
      <c r="J70" s="204"/>
      <c r="K70" s="197"/>
      <c r="L70" s="197"/>
      <c r="M70" s="197"/>
      <c r="N70" s="197"/>
      <c r="O70" s="204"/>
      <c r="P70" s="197"/>
    </row>
    <row r="71">
      <c r="A71" s="172"/>
      <c r="B71" s="204"/>
      <c r="C71" s="204"/>
      <c r="D71" s="197"/>
      <c r="E71" s="197"/>
      <c r="F71" s="197"/>
      <c r="G71" s="197"/>
      <c r="H71" s="197"/>
      <c r="I71" s="197"/>
      <c r="J71" s="204"/>
      <c r="K71" s="197"/>
      <c r="L71" s="197"/>
      <c r="M71" s="197"/>
      <c r="N71" s="197"/>
      <c r="O71" s="204"/>
      <c r="P71" s="197"/>
    </row>
    <row r="72">
      <c r="A72" s="172"/>
      <c r="B72" s="204"/>
      <c r="C72" s="204"/>
      <c r="D72" s="197"/>
      <c r="E72" s="197"/>
      <c r="F72" s="197"/>
      <c r="G72" s="197"/>
      <c r="H72" s="197"/>
      <c r="I72" s="197"/>
      <c r="J72" s="204"/>
      <c r="K72" s="197"/>
      <c r="L72" s="197"/>
      <c r="M72" s="197"/>
      <c r="N72" s="197"/>
      <c r="O72" s="204"/>
      <c r="P72" s="197"/>
    </row>
    <row r="73">
      <c r="A73" s="172"/>
      <c r="B73" s="204"/>
      <c r="C73" s="204"/>
      <c r="D73" s="197"/>
      <c r="E73" s="197"/>
      <c r="F73" s="197"/>
      <c r="G73" s="197"/>
      <c r="H73" s="197"/>
      <c r="I73" s="197"/>
      <c r="J73" s="204"/>
      <c r="K73" s="197"/>
      <c r="L73" s="197"/>
      <c r="M73" s="197"/>
      <c r="N73" s="197"/>
      <c r="O73" s="204"/>
      <c r="P73" s="197"/>
    </row>
    <row r="74">
      <c r="A74" s="172"/>
      <c r="B74" s="204"/>
      <c r="C74" s="204"/>
      <c r="D74" s="197"/>
      <c r="E74" s="197"/>
      <c r="F74" s="197"/>
      <c r="G74" s="197"/>
      <c r="H74" s="197"/>
      <c r="I74" s="197"/>
      <c r="J74" s="204"/>
      <c r="K74" s="197"/>
      <c r="L74" s="197"/>
      <c r="M74" s="197"/>
      <c r="N74" s="197"/>
      <c r="O74" s="204"/>
      <c r="P74" s="197"/>
    </row>
    <row r="75">
      <c r="A75" s="172"/>
      <c r="B75" s="204"/>
      <c r="C75" s="204"/>
      <c r="D75" s="197"/>
      <c r="E75" s="197"/>
      <c r="F75" s="197"/>
      <c r="G75" s="197"/>
      <c r="H75" s="197"/>
      <c r="I75" s="197"/>
      <c r="J75" s="204"/>
      <c r="K75" s="197"/>
      <c r="L75" s="197"/>
      <c r="M75" s="197"/>
      <c r="N75" s="197"/>
      <c r="O75" s="204"/>
      <c r="P75" s="197"/>
    </row>
    <row r="76">
      <c r="A76" s="172"/>
      <c r="B76" s="204"/>
      <c r="C76" s="204"/>
      <c r="D76" s="197"/>
      <c r="E76" s="197"/>
      <c r="F76" s="197"/>
      <c r="G76" s="197"/>
      <c r="H76" s="197"/>
      <c r="I76" s="197"/>
      <c r="J76" s="204"/>
      <c r="K76" s="197"/>
      <c r="L76" s="197"/>
      <c r="M76" s="197"/>
      <c r="N76" s="197"/>
      <c r="O76" s="204"/>
      <c r="P76" s="197"/>
    </row>
    <row r="77">
      <c r="A77" s="172"/>
      <c r="B77" s="204"/>
      <c r="C77" s="204"/>
      <c r="D77" s="197"/>
      <c r="E77" s="197"/>
      <c r="F77" s="197"/>
      <c r="G77" s="197"/>
      <c r="H77" s="197"/>
      <c r="I77" s="197"/>
      <c r="J77" s="204"/>
      <c r="K77" s="197"/>
      <c r="L77" s="197"/>
      <c r="M77" s="197"/>
      <c r="N77" s="197"/>
      <c r="O77" s="204"/>
      <c r="P77" s="197"/>
    </row>
    <row r="78">
      <c r="A78" s="172"/>
      <c r="B78" s="204"/>
      <c r="C78" s="204"/>
      <c r="D78" s="197"/>
      <c r="E78" s="197"/>
      <c r="F78" s="197"/>
      <c r="G78" s="197"/>
      <c r="H78" s="197"/>
      <c r="I78" s="197"/>
      <c r="J78" s="204"/>
      <c r="K78" s="197"/>
      <c r="L78" s="197"/>
      <c r="M78" s="197"/>
      <c r="N78" s="197"/>
      <c r="O78" s="204"/>
      <c r="P78" s="197"/>
    </row>
    <row r="79">
      <c r="A79" s="172"/>
      <c r="B79" s="204"/>
      <c r="C79" s="204"/>
      <c r="D79" s="197"/>
      <c r="E79" s="197"/>
      <c r="F79" s="197"/>
      <c r="G79" s="197"/>
      <c r="H79" s="197"/>
      <c r="I79" s="197"/>
      <c r="J79" s="204"/>
      <c r="K79" s="197"/>
      <c r="L79" s="197"/>
      <c r="M79" s="197"/>
      <c r="N79" s="197"/>
      <c r="O79" s="204"/>
      <c r="P79" s="197"/>
    </row>
    <row r="80">
      <c r="A80" s="172"/>
      <c r="B80" s="204"/>
      <c r="C80" s="204"/>
      <c r="D80" s="197"/>
      <c r="E80" s="197"/>
      <c r="F80" s="197"/>
      <c r="G80" s="197"/>
      <c r="H80" s="197"/>
      <c r="I80" s="197"/>
      <c r="J80" s="204"/>
      <c r="K80" s="197"/>
      <c r="L80" s="197"/>
      <c r="M80" s="197"/>
      <c r="N80" s="197"/>
      <c r="O80" s="204"/>
      <c r="P80" s="197"/>
    </row>
    <row r="81">
      <c r="A81" s="172"/>
      <c r="B81" s="204"/>
      <c r="C81" s="204"/>
      <c r="D81" s="197"/>
      <c r="E81" s="197"/>
      <c r="F81" s="197"/>
      <c r="G81" s="197"/>
      <c r="H81" s="197"/>
      <c r="I81" s="197"/>
      <c r="J81" s="204"/>
      <c r="K81" s="197"/>
      <c r="L81" s="197"/>
      <c r="M81" s="197"/>
      <c r="N81" s="197"/>
      <c r="O81" s="204"/>
      <c r="P81" s="197"/>
    </row>
    <row r="82">
      <c r="A82" s="172"/>
      <c r="B82" s="204"/>
      <c r="C82" s="204"/>
      <c r="D82" s="197"/>
      <c r="E82" s="197"/>
      <c r="F82" s="197"/>
      <c r="G82" s="197"/>
      <c r="H82" s="197"/>
      <c r="I82" s="197"/>
      <c r="J82" s="204"/>
      <c r="K82" s="197"/>
      <c r="L82" s="197"/>
      <c r="M82" s="197"/>
      <c r="N82" s="197"/>
      <c r="O82" s="204"/>
      <c r="P82" s="197"/>
    </row>
    <row r="83">
      <c r="A83" s="172"/>
      <c r="B83" s="204"/>
      <c r="C83" s="204"/>
      <c r="D83" s="197"/>
      <c r="E83" s="197"/>
      <c r="F83" s="197"/>
      <c r="G83" s="197"/>
      <c r="H83" s="197"/>
      <c r="I83" s="197"/>
      <c r="J83" s="204"/>
      <c r="K83" s="197"/>
      <c r="L83" s="197"/>
      <c r="M83" s="197"/>
      <c r="N83" s="197"/>
      <c r="O83" s="204"/>
      <c r="P83" s="197"/>
    </row>
    <row r="84">
      <c r="A84" s="172"/>
      <c r="B84" s="204"/>
      <c r="C84" s="204"/>
      <c r="D84" s="197"/>
      <c r="E84" s="197"/>
      <c r="F84" s="197"/>
      <c r="G84" s="197"/>
      <c r="H84" s="197"/>
      <c r="I84" s="197"/>
      <c r="J84" s="204"/>
      <c r="K84" s="197"/>
      <c r="L84" s="197"/>
      <c r="M84" s="197"/>
      <c r="N84" s="197"/>
      <c r="O84" s="204"/>
      <c r="P84" s="197"/>
    </row>
    <row r="85">
      <c r="A85" s="172"/>
      <c r="B85" s="204"/>
      <c r="C85" s="204"/>
      <c r="D85" s="197"/>
      <c r="E85" s="197"/>
      <c r="F85" s="197"/>
      <c r="G85" s="197"/>
      <c r="H85" s="197"/>
      <c r="I85" s="197"/>
      <c r="J85" s="204"/>
      <c r="K85" s="197"/>
      <c r="L85" s="197"/>
      <c r="M85" s="197"/>
      <c r="N85" s="197"/>
      <c r="O85" s="204"/>
      <c r="P85" s="197"/>
    </row>
    <row r="86">
      <c r="A86" s="172"/>
      <c r="B86" s="204"/>
      <c r="C86" s="204"/>
      <c r="D86" s="197"/>
      <c r="E86" s="197"/>
      <c r="F86" s="197"/>
      <c r="G86" s="197"/>
      <c r="H86" s="197"/>
      <c r="I86" s="197"/>
      <c r="J86" s="204"/>
      <c r="K86" s="197"/>
      <c r="L86" s="197"/>
      <c r="M86" s="197"/>
      <c r="N86" s="197"/>
      <c r="O86" s="204"/>
      <c r="P86" s="197"/>
    </row>
    <row r="87">
      <c r="A87" s="172"/>
      <c r="B87" s="204"/>
      <c r="C87" s="204"/>
      <c r="D87" s="197"/>
      <c r="E87" s="197"/>
      <c r="F87" s="197"/>
      <c r="G87" s="197"/>
      <c r="H87" s="197"/>
      <c r="I87" s="197"/>
      <c r="J87" s="204"/>
      <c r="K87" s="197"/>
      <c r="L87" s="197"/>
      <c r="M87" s="197"/>
      <c r="N87" s="197"/>
      <c r="O87" s="204"/>
      <c r="P87" s="197"/>
    </row>
    <row r="88">
      <c r="A88" s="172"/>
      <c r="B88" s="204"/>
      <c r="C88" s="204"/>
      <c r="D88" s="197"/>
      <c r="E88" s="197"/>
      <c r="F88" s="197"/>
      <c r="G88" s="197"/>
      <c r="H88" s="197"/>
      <c r="I88" s="197"/>
      <c r="J88" s="204"/>
      <c r="K88" s="197"/>
      <c r="L88" s="197"/>
      <c r="M88" s="197"/>
      <c r="N88" s="197"/>
      <c r="O88" s="204"/>
      <c r="P88" s="197"/>
    </row>
    <row r="89">
      <c r="A89" s="172"/>
      <c r="B89" s="204"/>
      <c r="C89" s="204"/>
      <c r="D89" s="197"/>
      <c r="E89" s="197"/>
      <c r="F89" s="197"/>
      <c r="G89" s="197"/>
      <c r="H89" s="197"/>
      <c r="I89" s="197"/>
      <c r="J89" s="204"/>
      <c r="K89" s="197"/>
      <c r="L89" s="197"/>
      <c r="M89" s="197"/>
      <c r="N89" s="197"/>
      <c r="O89" s="204"/>
      <c r="P89" s="197"/>
    </row>
    <row r="90">
      <c r="A90" s="172"/>
      <c r="B90" s="204"/>
      <c r="C90" s="204"/>
      <c r="D90" s="197"/>
      <c r="E90" s="197"/>
      <c r="F90" s="197"/>
      <c r="G90" s="197"/>
      <c r="H90" s="197"/>
      <c r="I90" s="197"/>
      <c r="J90" s="204"/>
      <c r="K90" s="197"/>
      <c r="L90" s="197"/>
      <c r="M90" s="197"/>
      <c r="N90" s="197"/>
      <c r="O90" s="204"/>
      <c r="P90" s="197"/>
    </row>
    <row r="91">
      <c r="A91" s="172"/>
      <c r="B91" s="204"/>
      <c r="C91" s="204"/>
      <c r="D91" s="197"/>
      <c r="E91" s="197"/>
      <c r="F91" s="197"/>
      <c r="G91" s="197"/>
      <c r="H91" s="197"/>
      <c r="I91" s="197"/>
      <c r="J91" s="204"/>
      <c r="K91" s="197"/>
      <c r="L91" s="197"/>
      <c r="M91" s="197"/>
      <c r="N91" s="197"/>
      <c r="O91" s="204"/>
      <c r="P91" s="197"/>
    </row>
    <row r="92">
      <c r="A92" s="172"/>
      <c r="B92" s="204"/>
      <c r="C92" s="204"/>
      <c r="D92" s="197"/>
      <c r="E92" s="197"/>
      <c r="F92" s="197"/>
      <c r="G92" s="197"/>
      <c r="H92" s="197"/>
      <c r="I92" s="197"/>
      <c r="J92" s="204"/>
      <c r="K92" s="197"/>
      <c r="L92" s="197"/>
      <c r="M92" s="197"/>
      <c r="N92" s="197"/>
      <c r="O92" s="204"/>
      <c r="P92" s="197"/>
    </row>
    <row r="93">
      <c r="A93" s="172"/>
      <c r="B93" s="204"/>
      <c r="C93" s="204"/>
      <c r="D93" s="197"/>
      <c r="E93" s="197"/>
      <c r="F93" s="197"/>
      <c r="G93" s="197"/>
      <c r="H93" s="197"/>
      <c r="I93" s="197"/>
      <c r="J93" s="204"/>
      <c r="K93" s="197"/>
      <c r="L93" s="197"/>
      <c r="M93" s="197"/>
      <c r="N93" s="197"/>
      <c r="O93" s="204"/>
      <c r="P93" s="197"/>
    </row>
    <row r="94">
      <c r="A94" s="172"/>
      <c r="B94" s="204"/>
      <c r="C94" s="204"/>
      <c r="D94" s="197"/>
      <c r="E94" s="197"/>
      <c r="F94" s="197"/>
      <c r="G94" s="197"/>
      <c r="H94" s="197"/>
      <c r="I94" s="197"/>
      <c r="J94" s="204"/>
      <c r="K94" s="197"/>
      <c r="L94" s="197"/>
      <c r="M94" s="197"/>
      <c r="N94" s="197"/>
      <c r="O94" s="204"/>
      <c r="P94" s="197"/>
    </row>
    <row r="95">
      <c r="A95" s="172"/>
      <c r="B95" s="204"/>
      <c r="C95" s="204"/>
      <c r="D95" s="197"/>
      <c r="E95" s="197"/>
      <c r="F95" s="197"/>
      <c r="G95" s="197"/>
      <c r="H95" s="197"/>
      <c r="I95" s="197"/>
      <c r="J95" s="204"/>
      <c r="K95" s="197"/>
      <c r="L95" s="197"/>
      <c r="M95" s="197"/>
      <c r="N95" s="197"/>
      <c r="O95" s="204"/>
      <c r="P95" s="197"/>
    </row>
    <row r="96">
      <c r="A96" s="172"/>
      <c r="B96" s="204"/>
      <c r="C96" s="204"/>
      <c r="D96" s="197"/>
      <c r="E96" s="197"/>
      <c r="F96" s="197"/>
      <c r="G96" s="197"/>
      <c r="H96" s="197"/>
      <c r="I96" s="197"/>
      <c r="J96" s="204"/>
      <c r="K96" s="197"/>
      <c r="L96" s="197"/>
      <c r="M96" s="197"/>
      <c r="N96" s="197"/>
      <c r="O96" s="204"/>
      <c r="P96" s="197"/>
    </row>
    <row r="97">
      <c r="A97" s="172"/>
      <c r="B97" s="204"/>
      <c r="C97" s="204"/>
      <c r="D97" s="197"/>
      <c r="E97" s="197"/>
      <c r="F97" s="197"/>
      <c r="G97" s="197"/>
      <c r="H97" s="197"/>
      <c r="I97" s="197"/>
      <c r="J97" s="204"/>
      <c r="K97" s="197"/>
      <c r="L97" s="197"/>
      <c r="M97" s="197"/>
      <c r="N97" s="197"/>
      <c r="O97" s="204"/>
      <c r="P97" s="197"/>
    </row>
    <row r="98">
      <c r="A98" s="172"/>
      <c r="B98" s="204"/>
      <c r="C98" s="204"/>
      <c r="D98" s="197"/>
      <c r="E98" s="197"/>
      <c r="F98" s="197"/>
      <c r="G98" s="197"/>
      <c r="H98" s="197"/>
      <c r="I98" s="197"/>
      <c r="J98" s="204"/>
      <c r="K98" s="197"/>
      <c r="L98" s="197"/>
      <c r="M98" s="197"/>
      <c r="N98" s="197"/>
      <c r="O98" s="204"/>
      <c r="P98" s="197"/>
    </row>
    <row r="99">
      <c r="A99" s="172"/>
      <c r="B99" s="204"/>
      <c r="C99" s="204"/>
      <c r="D99" s="197"/>
      <c r="E99" s="197"/>
      <c r="F99" s="197"/>
      <c r="G99" s="197"/>
      <c r="H99" s="197"/>
      <c r="I99" s="197"/>
      <c r="J99" s="204"/>
      <c r="K99" s="197"/>
      <c r="L99" s="197"/>
      <c r="M99" s="197"/>
      <c r="N99" s="197"/>
      <c r="O99" s="204"/>
      <c r="P99" s="197"/>
    </row>
    <row r="100">
      <c r="A100" s="172"/>
      <c r="B100" s="204"/>
      <c r="C100" s="204"/>
      <c r="D100" s="197"/>
      <c r="E100" s="197"/>
      <c r="F100" s="197"/>
      <c r="G100" s="197"/>
      <c r="H100" s="197"/>
      <c r="I100" s="197"/>
      <c r="J100" s="204"/>
      <c r="K100" s="197"/>
      <c r="L100" s="197"/>
      <c r="M100" s="197"/>
      <c r="N100" s="197"/>
      <c r="O100" s="204"/>
      <c r="P100" s="197"/>
    </row>
    <row r="101">
      <c r="A101" s="172"/>
      <c r="B101" s="204"/>
      <c r="C101" s="204"/>
      <c r="D101" s="197"/>
      <c r="E101" s="197"/>
      <c r="F101" s="197"/>
      <c r="G101" s="197"/>
      <c r="H101" s="197"/>
      <c r="I101" s="197"/>
      <c r="J101" s="204"/>
      <c r="K101" s="197"/>
      <c r="L101" s="197"/>
      <c r="M101" s="197"/>
      <c r="N101" s="197"/>
      <c r="O101" s="204"/>
      <c r="P101" s="197"/>
    </row>
    <row r="102">
      <c r="A102" s="172"/>
      <c r="B102" s="204"/>
      <c r="C102" s="204"/>
      <c r="D102" s="197"/>
      <c r="E102" s="197"/>
      <c r="F102" s="197"/>
      <c r="G102" s="197"/>
      <c r="H102" s="197"/>
      <c r="I102" s="197"/>
      <c r="J102" s="204"/>
      <c r="K102" s="197"/>
      <c r="L102" s="197"/>
      <c r="M102" s="197"/>
      <c r="N102" s="197"/>
      <c r="O102" s="204"/>
      <c r="P102" s="197"/>
    </row>
    <row r="103">
      <c r="A103" s="172"/>
      <c r="B103" s="204"/>
      <c r="C103" s="204"/>
      <c r="D103" s="197"/>
      <c r="E103" s="197"/>
      <c r="F103" s="197"/>
      <c r="G103" s="197"/>
      <c r="H103" s="197"/>
      <c r="I103" s="197"/>
      <c r="J103" s="204"/>
      <c r="K103" s="197"/>
      <c r="L103" s="197"/>
      <c r="M103" s="197"/>
      <c r="N103" s="197"/>
      <c r="O103" s="204"/>
      <c r="P103" s="197"/>
    </row>
    <row r="104">
      <c r="A104" s="172"/>
      <c r="B104" s="204"/>
      <c r="C104" s="204"/>
      <c r="D104" s="197"/>
      <c r="E104" s="197"/>
      <c r="F104" s="197"/>
      <c r="G104" s="197"/>
      <c r="H104" s="197"/>
      <c r="I104" s="197"/>
      <c r="J104" s="204"/>
      <c r="K104" s="197"/>
      <c r="L104" s="197"/>
      <c r="M104" s="197"/>
      <c r="N104" s="197"/>
      <c r="O104" s="204"/>
      <c r="P104" s="197"/>
    </row>
    <row r="105">
      <c r="A105" s="172"/>
      <c r="B105" s="204"/>
      <c r="C105" s="204"/>
      <c r="D105" s="197"/>
      <c r="E105" s="197"/>
      <c r="F105" s="197"/>
      <c r="G105" s="197"/>
      <c r="H105" s="197"/>
      <c r="I105" s="197"/>
      <c r="J105" s="204"/>
      <c r="K105" s="197"/>
      <c r="L105" s="197"/>
      <c r="M105" s="197"/>
      <c r="N105" s="197"/>
      <c r="O105" s="204"/>
      <c r="P105" s="197"/>
    </row>
    <row r="106">
      <c r="A106" s="172"/>
      <c r="B106" s="204"/>
      <c r="C106" s="204"/>
      <c r="D106" s="197"/>
      <c r="E106" s="197"/>
      <c r="F106" s="197"/>
      <c r="G106" s="197"/>
      <c r="H106" s="197"/>
      <c r="I106" s="197"/>
      <c r="J106" s="204"/>
      <c r="K106" s="197"/>
      <c r="L106" s="197"/>
      <c r="M106" s="197"/>
      <c r="N106" s="197"/>
      <c r="O106" s="204"/>
      <c r="P106" s="197"/>
    </row>
    <row r="107">
      <c r="A107" s="172"/>
      <c r="B107" s="204"/>
      <c r="C107" s="204"/>
      <c r="D107" s="197"/>
      <c r="E107" s="197"/>
      <c r="F107" s="197"/>
      <c r="G107" s="197"/>
      <c r="H107" s="197"/>
      <c r="I107" s="197"/>
      <c r="J107" s="204"/>
      <c r="K107" s="197"/>
      <c r="L107" s="197"/>
      <c r="M107" s="197"/>
      <c r="N107" s="197"/>
      <c r="O107" s="204"/>
      <c r="P107" s="197"/>
    </row>
    <row r="108">
      <c r="A108" s="172"/>
      <c r="B108" s="204"/>
      <c r="C108" s="204"/>
      <c r="D108" s="197"/>
      <c r="E108" s="197"/>
      <c r="F108" s="197"/>
      <c r="G108" s="197"/>
      <c r="H108" s="197"/>
      <c r="I108" s="197"/>
      <c r="J108" s="204"/>
      <c r="K108" s="197"/>
      <c r="L108" s="197"/>
      <c r="M108" s="197"/>
      <c r="N108" s="197"/>
      <c r="O108" s="204"/>
      <c r="P108" s="197"/>
    </row>
    <row r="109">
      <c r="A109" s="172"/>
      <c r="B109" s="204"/>
      <c r="C109" s="204"/>
      <c r="D109" s="197"/>
      <c r="E109" s="197"/>
      <c r="F109" s="197"/>
      <c r="G109" s="197"/>
      <c r="H109" s="197"/>
      <c r="I109" s="197"/>
      <c r="J109" s="204"/>
      <c r="K109" s="197"/>
      <c r="L109" s="197"/>
      <c r="M109" s="197"/>
      <c r="N109" s="197"/>
      <c r="O109" s="204"/>
      <c r="P109" s="197"/>
    </row>
    <row r="110">
      <c r="A110" s="172"/>
      <c r="B110" s="204"/>
      <c r="C110" s="204"/>
      <c r="D110" s="197"/>
      <c r="E110" s="197"/>
      <c r="F110" s="197"/>
      <c r="G110" s="197"/>
      <c r="H110" s="197"/>
      <c r="I110" s="197"/>
      <c r="J110" s="204"/>
      <c r="K110" s="197"/>
      <c r="L110" s="197"/>
      <c r="M110" s="197"/>
      <c r="N110" s="197"/>
      <c r="O110" s="204"/>
      <c r="P110" s="197"/>
    </row>
    <row r="111">
      <c r="A111" s="172"/>
      <c r="B111" s="204"/>
      <c r="C111" s="204"/>
      <c r="D111" s="197"/>
      <c r="E111" s="197"/>
      <c r="F111" s="197"/>
      <c r="G111" s="197"/>
      <c r="H111" s="197"/>
      <c r="I111" s="197"/>
      <c r="J111" s="204"/>
      <c r="K111" s="197"/>
      <c r="L111" s="197"/>
      <c r="M111" s="197"/>
      <c r="N111" s="197"/>
      <c r="O111" s="204"/>
      <c r="P111" s="197"/>
    </row>
    <row r="112">
      <c r="A112" s="172"/>
      <c r="B112" s="204"/>
      <c r="C112" s="204"/>
      <c r="D112" s="197"/>
      <c r="E112" s="197"/>
      <c r="F112" s="197"/>
      <c r="G112" s="197"/>
      <c r="H112" s="197"/>
      <c r="I112" s="197"/>
      <c r="J112" s="204"/>
      <c r="K112" s="197"/>
      <c r="L112" s="197"/>
      <c r="M112" s="197"/>
      <c r="N112" s="197"/>
      <c r="O112" s="204"/>
      <c r="P112" s="197"/>
    </row>
    <row r="113">
      <c r="A113" s="172"/>
      <c r="B113" s="204"/>
      <c r="C113" s="204"/>
      <c r="D113" s="197"/>
      <c r="E113" s="197"/>
      <c r="F113" s="197"/>
      <c r="G113" s="197"/>
      <c r="H113" s="197"/>
      <c r="I113" s="197"/>
      <c r="J113" s="204"/>
      <c r="K113" s="197"/>
      <c r="L113" s="197"/>
      <c r="M113" s="197"/>
      <c r="N113" s="197"/>
      <c r="O113" s="204"/>
      <c r="P113" s="197"/>
    </row>
    <row r="114">
      <c r="A114" s="172"/>
      <c r="B114" s="204"/>
      <c r="C114" s="204"/>
      <c r="D114" s="197"/>
      <c r="E114" s="197"/>
      <c r="F114" s="197"/>
      <c r="G114" s="197"/>
      <c r="H114" s="197"/>
      <c r="I114" s="197"/>
      <c r="J114" s="204"/>
      <c r="K114" s="197"/>
      <c r="L114" s="197"/>
      <c r="M114" s="197"/>
      <c r="N114" s="197"/>
      <c r="O114" s="204"/>
      <c r="P114" s="197"/>
    </row>
    <row r="115">
      <c r="A115" s="172"/>
      <c r="B115" s="204"/>
      <c r="C115" s="204"/>
      <c r="D115" s="197"/>
      <c r="E115" s="197"/>
      <c r="F115" s="197"/>
      <c r="G115" s="197"/>
      <c r="H115" s="197"/>
      <c r="I115" s="197"/>
      <c r="J115" s="204"/>
      <c r="K115" s="197"/>
      <c r="L115" s="197"/>
      <c r="M115" s="197"/>
      <c r="N115" s="197"/>
      <c r="O115" s="204"/>
      <c r="P115" s="197"/>
    </row>
    <row r="116">
      <c r="A116" s="172"/>
      <c r="B116" s="204"/>
      <c r="C116" s="204"/>
      <c r="D116" s="197"/>
      <c r="E116" s="197"/>
      <c r="F116" s="197"/>
      <c r="G116" s="197"/>
      <c r="H116" s="197"/>
      <c r="I116" s="197"/>
      <c r="J116" s="204"/>
      <c r="K116" s="197"/>
      <c r="L116" s="197"/>
      <c r="M116" s="197"/>
      <c r="N116" s="197"/>
      <c r="O116" s="204"/>
      <c r="P116" s="197"/>
    </row>
    <row r="117">
      <c r="A117" s="172"/>
      <c r="B117" s="204"/>
      <c r="C117" s="204"/>
      <c r="D117" s="197"/>
      <c r="E117" s="197"/>
      <c r="F117" s="197"/>
      <c r="G117" s="197"/>
      <c r="H117" s="197"/>
      <c r="I117" s="197"/>
      <c r="J117" s="204"/>
      <c r="K117" s="197"/>
      <c r="L117" s="197"/>
      <c r="M117" s="197"/>
      <c r="N117" s="197"/>
      <c r="O117" s="204"/>
      <c r="P117" s="197"/>
    </row>
    <row r="118">
      <c r="A118" s="172"/>
      <c r="B118" s="204"/>
      <c r="C118" s="204"/>
      <c r="D118" s="197"/>
      <c r="E118" s="197"/>
      <c r="F118" s="197"/>
      <c r="G118" s="197"/>
      <c r="H118" s="197"/>
      <c r="I118" s="197"/>
      <c r="J118" s="204"/>
      <c r="K118" s="197"/>
      <c r="L118" s="197"/>
      <c r="M118" s="197"/>
      <c r="N118" s="197"/>
      <c r="O118" s="204"/>
      <c r="P118" s="197"/>
    </row>
    <row r="119">
      <c r="A119" s="172"/>
      <c r="B119" s="204"/>
      <c r="C119" s="204"/>
      <c r="D119" s="197"/>
      <c r="E119" s="197"/>
      <c r="F119" s="197"/>
      <c r="G119" s="197"/>
      <c r="H119" s="197"/>
      <c r="I119" s="197"/>
      <c r="J119" s="204"/>
      <c r="K119" s="197"/>
      <c r="L119" s="197"/>
      <c r="M119" s="197"/>
      <c r="N119" s="197"/>
      <c r="O119" s="204"/>
      <c r="P119" s="197"/>
    </row>
    <row r="120">
      <c r="A120" s="172"/>
      <c r="B120" s="204"/>
      <c r="C120" s="204"/>
      <c r="D120" s="197"/>
      <c r="E120" s="197"/>
      <c r="F120" s="197"/>
      <c r="G120" s="197"/>
      <c r="H120" s="197"/>
      <c r="I120" s="197"/>
      <c r="J120" s="204"/>
      <c r="K120" s="197"/>
      <c r="L120" s="197"/>
      <c r="M120" s="197"/>
      <c r="N120" s="197"/>
      <c r="O120" s="204"/>
      <c r="P120" s="197"/>
    </row>
    <row r="121">
      <c r="A121" s="172"/>
      <c r="B121" s="204"/>
      <c r="C121" s="204"/>
      <c r="D121" s="197"/>
      <c r="E121" s="197"/>
      <c r="F121" s="197"/>
      <c r="G121" s="197"/>
      <c r="H121" s="197"/>
      <c r="I121" s="197"/>
      <c r="J121" s="204"/>
      <c r="K121" s="197"/>
      <c r="L121" s="197"/>
      <c r="M121" s="197"/>
      <c r="N121" s="197"/>
      <c r="O121" s="204"/>
      <c r="P121" s="197"/>
    </row>
    <row r="122">
      <c r="A122" s="172"/>
      <c r="B122" s="204"/>
      <c r="C122" s="204"/>
      <c r="D122" s="197"/>
      <c r="E122" s="197"/>
      <c r="F122" s="197"/>
      <c r="G122" s="197"/>
      <c r="H122" s="197"/>
      <c r="I122" s="197"/>
      <c r="J122" s="204"/>
      <c r="K122" s="197"/>
      <c r="L122" s="197"/>
      <c r="M122" s="197"/>
      <c r="N122" s="197"/>
      <c r="O122" s="204"/>
      <c r="P122" s="197"/>
    </row>
    <row r="123">
      <c r="A123" s="172"/>
      <c r="B123" s="204"/>
      <c r="C123" s="204"/>
      <c r="D123" s="197"/>
      <c r="E123" s="197"/>
      <c r="F123" s="197"/>
      <c r="G123" s="197"/>
      <c r="H123" s="197"/>
      <c r="I123" s="197"/>
      <c r="J123" s="204"/>
      <c r="K123" s="197"/>
      <c r="L123" s="197"/>
      <c r="M123" s="197"/>
      <c r="N123" s="197"/>
      <c r="O123" s="204"/>
      <c r="P123" s="197"/>
    </row>
    <row r="124">
      <c r="A124" s="172"/>
      <c r="B124" s="204"/>
      <c r="C124" s="204"/>
      <c r="D124" s="197"/>
      <c r="E124" s="197"/>
      <c r="F124" s="197"/>
      <c r="G124" s="197"/>
      <c r="H124" s="197"/>
      <c r="I124" s="197"/>
      <c r="J124" s="204"/>
      <c r="K124" s="197"/>
      <c r="L124" s="197"/>
      <c r="M124" s="197"/>
      <c r="N124" s="197"/>
      <c r="O124" s="204"/>
      <c r="P124" s="197"/>
    </row>
    <row r="125">
      <c r="A125" s="172"/>
      <c r="B125" s="204"/>
      <c r="C125" s="204"/>
      <c r="D125" s="197"/>
      <c r="E125" s="197"/>
      <c r="F125" s="197"/>
      <c r="G125" s="197"/>
      <c r="H125" s="197"/>
      <c r="I125" s="197"/>
      <c r="J125" s="204"/>
      <c r="K125" s="197"/>
      <c r="L125" s="197"/>
      <c r="M125" s="197"/>
      <c r="N125" s="197"/>
      <c r="O125" s="204"/>
      <c r="P125" s="197"/>
    </row>
    <row r="126">
      <c r="A126" s="172"/>
      <c r="B126" s="204"/>
      <c r="C126" s="204"/>
      <c r="D126" s="197"/>
      <c r="E126" s="197"/>
      <c r="F126" s="197"/>
      <c r="G126" s="197"/>
      <c r="H126" s="197"/>
      <c r="I126" s="197"/>
      <c r="J126" s="204"/>
      <c r="K126" s="197"/>
      <c r="L126" s="197"/>
      <c r="M126" s="197"/>
      <c r="N126" s="197"/>
      <c r="O126" s="204"/>
      <c r="P126" s="197"/>
    </row>
    <row r="127">
      <c r="A127" s="172"/>
      <c r="B127" s="204"/>
      <c r="C127" s="204"/>
      <c r="D127" s="197"/>
      <c r="E127" s="197"/>
      <c r="F127" s="197"/>
      <c r="G127" s="197"/>
      <c r="H127" s="197"/>
      <c r="I127" s="197"/>
      <c r="J127" s="204"/>
      <c r="K127" s="197"/>
      <c r="L127" s="197"/>
      <c r="M127" s="197"/>
      <c r="N127" s="197"/>
      <c r="O127" s="204"/>
      <c r="P127" s="197"/>
    </row>
    <row r="128">
      <c r="A128" s="172"/>
      <c r="B128" s="204"/>
      <c r="C128" s="204"/>
      <c r="D128" s="197"/>
      <c r="E128" s="197"/>
      <c r="F128" s="197"/>
      <c r="G128" s="197"/>
      <c r="H128" s="197"/>
      <c r="I128" s="197"/>
      <c r="J128" s="204"/>
      <c r="K128" s="197"/>
      <c r="L128" s="197"/>
      <c r="M128" s="197"/>
      <c r="N128" s="197"/>
      <c r="O128" s="204"/>
      <c r="P128" s="197"/>
    </row>
    <row r="129">
      <c r="A129" s="172"/>
      <c r="B129" s="204"/>
      <c r="C129" s="204"/>
      <c r="D129" s="197"/>
      <c r="E129" s="197"/>
      <c r="F129" s="197"/>
      <c r="G129" s="197"/>
      <c r="H129" s="197"/>
      <c r="I129" s="197"/>
      <c r="J129" s="204"/>
      <c r="K129" s="197"/>
      <c r="L129" s="197"/>
      <c r="M129" s="197"/>
      <c r="N129" s="197"/>
      <c r="O129" s="204"/>
      <c r="P129" s="197"/>
    </row>
    <row r="130">
      <c r="A130" s="172"/>
      <c r="B130" s="204"/>
      <c r="C130" s="204"/>
      <c r="D130" s="197"/>
      <c r="E130" s="197"/>
      <c r="F130" s="197"/>
      <c r="G130" s="197"/>
      <c r="H130" s="197"/>
      <c r="I130" s="197"/>
      <c r="J130" s="204"/>
      <c r="K130" s="197"/>
      <c r="L130" s="197"/>
      <c r="M130" s="197"/>
      <c r="N130" s="197"/>
      <c r="O130" s="204"/>
      <c r="P130" s="197"/>
    </row>
    <row r="131">
      <c r="A131" s="172"/>
      <c r="B131" s="204"/>
      <c r="C131" s="204"/>
      <c r="D131" s="197"/>
      <c r="E131" s="197"/>
      <c r="F131" s="197"/>
      <c r="G131" s="197"/>
      <c r="H131" s="197"/>
      <c r="I131" s="197"/>
      <c r="J131" s="204"/>
      <c r="K131" s="197"/>
      <c r="L131" s="197"/>
      <c r="M131" s="197"/>
      <c r="N131" s="197"/>
      <c r="O131" s="204"/>
      <c r="P131" s="197"/>
    </row>
    <row r="132">
      <c r="A132" s="172"/>
      <c r="B132" s="204"/>
      <c r="C132" s="204"/>
      <c r="D132" s="197"/>
      <c r="E132" s="197"/>
      <c r="F132" s="197"/>
      <c r="G132" s="197"/>
      <c r="H132" s="197"/>
      <c r="I132" s="197"/>
      <c r="J132" s="204"/>
      <c r="K132" s="197"/>
      <c r="L132" s="197"/>
      <c r="M132" s="197"/>
      <c r="N132" s="197"/>
      <c r="O132" s="204"/>
      <c r="P132" s="197"/>
    </row>
    <row r="133">
      <c r="A133" s="172"/>
      <c r="B133" s="204"/>
      <c r="C133" s="204"/>
      <c r="D133" s="197"/>
      <c r="E133" s="197"/>
      <c r="F133" s="197"/>
      <c r="G133" s="197"/>
      <c r="H133" s="197"/>
      <c r="I133" s="197"/>
      <c r="J133" s="204"/>
      <c r="K133" s="197"/>
      <c r="L133" s="197"/>
      <c r="M133" s="197"/>
      <c r="N133" s="197"/>
      <c r="O133" s="204"/>
      <c r="P133" s="197"/>
    </row>
    <row r="134">
      <c r="A134" s="172"/>
      <c r="B134" s="204"/>
      <c r="C134" s="204"/>
      <c r="D134" s="197"/>
      <c r="E134" s="197"/>
      <c r="F134" s="197"/>
      <c r="G134" s="197"/>
      <c r="H134" s="197"/>
      <c r="I134" s="197"/>
      <c r="J134" s="204"/>
      <c r="K134" s="197"/>
      <c r="L134" s="197"/>
      <c r="M134" s="197"/>
      <c r="N134" s="197"/>
      <c r="O134" s="204"/>
      <c r="P134" s="197"/>
    </row>
    <row r="135">
      <c r="A135" s="172"/>
      <c r="B135" s="204"/>
      <c r="C135" s="204"/>
      <c r="D135" s="197"/>
      <c r="E135" s="197"/>
      <c r="F135" s="197"/>
      <c r="G135" s="197"/>
      <c r="H135" s="197"/>
      <c r="I135" s="197"/>
      <c r="J135" s="204"/>
      <c r="K135" s="197"/>
      <c r="L135" s="197"/>
      <c r="M135" s="197"/>
      <c r="N135" s="197"/>
      <c r="O135" s="204"/>
      <c r="P135" s="197"/>
    </row>
    <row r="136">
      <c r="A136" s="172"/>
      <c r="B136" s="204"/>
      <c r="C136" s="204"/>
      <c r="D136" s="197"/>
      <c r="E136" s="197"/>
      <c r="F136" s="197"/>
      <c r="G136" s="197"/>
      <c r="H136" s="197"/>
      <c r="I136" s="197"/>
      <c r="J136" s="204"/>
      <c r="K136" s="197"/>
      <c r="L136" s="197"/>
      <c r="M136" s="197"/>
      <c r="N136" s="197"/>
      <c r="O136" s="204"/>
      <c r="P136" s="197"/>
    </row>
    <row r="137">
      <c r="A137" s="172"/>
      <c r="B137" s="204"/>
      <c r="C137" s="204"/>
      <c r="D137" s="197"/>
      <c r="E137" s="197"/>
      <c r="F137" s="197"/>
      <c r="G137" s="197"/>
      <c r="H137" s="197"/>
      <c r="I137" s="197"/>
      <c r="J137" s="204"/>
      <c r="K137" s="197"/>
      <c r="L137" s="197"/>
      <c r="M137" s="197"/>
      <c r="N137" s="197"/>
      <c r="O137" s="204"/>
      <c r="P137" s="197"/>
    </row>
    <row r="138">
      <c r="A138" s="172"/>
      <c r="B138" s="204"/>
      <c r="C138" s="204"/>
      <c r="D138" s="197"/>
      <c r="E138" s="197"/>
      <c r="F138" s="197"/>
      <c r="G138" s="197"/>
      <c r="H138" s="197"/>
      <c r="I138" s="197"/>
      <c r="J138" s="204"/>
      <c r="K138" s="197"/>
      <c r="L138" s="197"/>
      <c r="M138" s="197"/>
      <c r="N138" s="197"/>
      <c r="O138" s="204"/>
      <c r="P138" s="197"/>
    </row>
    <row r="139">
      <c r="A139" s="172"/>
      <c r="B139" s="204"/>
      <c r="C139" s="204"/>
      <c r="D139" s="197"/>
      <c r="E139" s="197"/>
      <c r="F139" s="197"/>
      <c r="G139" s="197"/>
      <c r="H139" s="197"/>
      <c r="I139" s="197"/>
      <c r="J139" s="204"/>
      <c r="K139" s="197"/>
      <c r="L139" s="197"/>
      <c r="M139" s="197"/>
      <c r="N139" s="197"/>
      <c r="O139" s="204"/>
      <c r="P139" s="197"/>
    </row>
    <row r="140">
      <c r="A140" s="172"/>
      <c r="B140" s="204"/>
      <c r="C140" s="204"/>
      <c r="D140" s="197"/>
      <c r="E140" s="197"/>
      <c r="F140" s="197"/>
      <c r="G140" s="197"/>
      <c r="H140" s="197"/>
      <c r="I140" s="197"/>
      <c r="J140" s="204"/>
      <c r="K140" s="197"/>
      <c r="L140" s="197"/>
      <c r="M140" s="197"/>
      <c r="N140" s="197"/>
      <c r="O140" s="204"/>
      <c r="P140" s="197"/>
    </row>
    <row r="141">
      <c r="A141" s="172"/>
      <c r="B141" s="204"/>
      <c r="C141" s="204"/>
      <c r="D141" s="197"/>
      <c r="E141" s="197"/>
      <c r="F141" s="197"/>
      <c r="G141" s="197"/>
      <c r="H141" s="197"/>
      <c r="I141" s="197"/>
      <c r="J141" s="204"/>
      <c r="K141" s="197"/>
      <c r="L141" s="197"/>
      <c r="M141" s="197"/>
      <c r="N141" s="197"/>
      <c r="O141" s="204"/>
      <c r="P141" s="197"/>
    </row>
    <row r="142">
      <c r="A142" s="172"/>
      <c r="B142" s="204"/>
      <c r="C142" s="204"/>
      <c r="D142" s="197"/>
      <c r="E142" s="197"/>
      <c r="F142" s="197"/>
      <c r="G142" s="197"/>
      <c r="H142" s="197"/>
      <c r="I142" s="197"/>
      <c r="J142" s="204"/>
      <c r="K142" s="197"/>
      <c r="L142" s="197"/>
      <c r="M142" s="197"/>
      <c r="N142" s="197"/>
      <c r="O142" s="204"/>
      <c r="P142" s="197"/>
    </row>
    <row r="143">
      <c r="A143" s="172"/>
      <c r="B143" s="204"/>
      <c r="C143" s="204"/>
      <c r="D143" s="197"/>
      <c r="E143" s="197"/>
      <c r="F143" s="197"/>
      <c r="G143" s="197"/>
      <c r="H143" s="197"/>
      <c r="I143" s="197"/>
      <c r="J143" s="204"/>
      <c r="K143" s="197"/>
      <c r="L143" s="197"/>
      <c r="M143" s="197"/>
      <c r="N143" s="197"/>
      <c r="O143" s="204"/>
      <c r="P143" s="197"/>
    </row>
    <row r="144">
      <c r="A144" s="172"/>
      <c r="B144" s="204"/>
      <c r="C144" s="204"/>
      <c r="D144" s="197"/>
      <c r="E144" s="197"/>
      <c r="F144" s="197"/>
      <c r="G144" s="197"/>
      <c r="H144" s="197"/>
      <c r="I144" s="197"/>
      <c r="J144" s="204"/>
      <c r="K144" s="197"/>
      <c r="L144" s="197"/>
      <c r="M144" s="197"/>
      <c r="N144" s="197"/>
      <c r="O144" s="204"/>
      <c r="P144" s="197"/>
    </row>
    <row r="145">
      <c r="A145" s="172"/>
      <c r="B145" s="204"/>
      <c r="C145" s="204"/>
      <c r="D145" s="197"/>
      <c r="E145" s="197"/>
      <c r="F145" s="197"/>
      <c r="G145" s="197"/>
      <c r="H145" s="197"/>
      <c r="I145" s="197"/>
      <c r="J145" s="204"/>
      <c r="K145" s="197"/>
      <c r="L145" s="197"/>
      <c r="M145" s="197"/>
      <c r="N145" s="197"/>
      <c r="O145" s="204"/>
      <c r="P145" s="197"/>
    </row>
    <row r="146">
      <c r="A146" s="172"/>
      <c r="B146" s="204"/>
      <c r="C146" s="204"/>
      <c r="D146" s="197"/>
      <c r="E146" s="197"/>
      <c r="F146" s="197"/>
      <c r="G146" s="197"/>
      <c r="H146" s="197"/>
      <c r="I146" s="197"/>
      <c r="J146" s="204"/>
      <c r="K146" s="197"/>
      <c r="L146" s="197"/>
      <c r="M146" s="197"/>
      <c r="N146" s="197"/>
      <c r="O146" s="204"/>
      <c r="P146" s="197"/>
    </row>
    <row r="147">
      <c r="A147" s="172"/>
      <c r="B147" s="204"/>
      <c r="C147" s="204"/>
      <c r="D147" s="197"/>
      <c r="E147" s="197"/>
      <c r="F147" s="197"/>
      <c r="G147" s="197"/>
      <c r="H147" s="197"/>
      <c r="I147" s="197"/>
      <c r="J147" s="204"/>
      <c r="K147" s="197"/>
      <c r="L147" s="197"/>
      <c r="M147" s="197"/>
      <c r="N147" s="197"/>
      <c r="O147" s="204"/>
      <c r="P147" s="197"/>
    </row>
    <row r="148">
      <c r="A148" s="172"/>
      <c r="B148" s="204"/>
      <c r="C148" s="204"/>
      <c r="D148" s="197"/>
      <c r="E148" s="197"/>
      <c r="F148" s="197"/>
      <c r="G148" s="197"/>
      <c r="H148" s="197"/>
      <c r="I148" s="197"/>
      <c r="J148" s="204"/>
      <c r="K148" s="197"/>
      <c r="L148" s="197"/>
      <c r="M148" s="197"/>
      <c r="N148" s="197"/>
      <c r="O148" s="204"/>
      <c r="P148" s="197"/>
    </row>
    <row r="149">
      <c r="A149" s="172"/>
      <c r="B149" s="204"/>
      <c r="C149" s="204"/>
      <c r="D149" s="197"/>
      <c r="E149" s="197"/>
      <c r="F149" s="197"/>
      <c r="G149" s="197"/>
      <c r="H149" s="197"/>
      <c r="I149" s="197"/>
      <c r="J149" s="204"/>
      <c r="K149" s="197"/>
      <c r="L149" s="197"/>
      <c r="M149" s="197"/>
      <c r="N149" s="197"/>
      <c r="O149" s="204"/>
      <c r="P149" s="197"/>
    </row>
    <row r="150">
      <c r="A150" s="172"/>
      <c r="B150" s="204"/>
      <c r="C150" s="204"/>
      <c r="D150" s="197"/>
      <c r="E150" s="197"/>
      <c r="F150" s="197"/>
      <c r="G150" s="197"/>
      <c r="H150" s="197"/>
      <c r="I150" s="197"/>
      <c r="J150" s="204"/>
      <c r="K150" s="197"/>
      <c r="L150" s="197"/>
      <c r="M150" s="197"/>
      <c r="N150" s="197"/>
      <c r="O150" s="204"/>
      <c r="P150" s="197"/>
    </row>
    <row r="151">
      <c r="A151" s="172"/>
      <c r="B151" s="204"/>
      <c r="C151" s="204"/>
      <c r="D151" s="197"/>
      <c r="E151" s="197"/>
      <c r="F151" s="197"/>
      <c r="G151" s="197"/>
      <c r="H151" s="197"/>
      <c r="I151" s="197"/>
      <c r="J151" s="204"/>
      <c r="K151" s="197"/>
      <c r="L151" s="197"/>
      <c r="M151" s="197"/>
      <c r="N151" s="197"/>
      <c r="O151" s="204"/>
      <c r="P151" s="197"/>
    </row>
    <row r="152">
      <c r="A152" s="172"/>
      <c r="B152" s="204"/>
      <c r="C152" s="204"/>
      <c r="D152" s="197"/>
      <c r="E152" s="197"/>
      <c r="F152" s="197"/>
      <c r="G152" s="197"/>
      <c r="H152" s="197"/>
      <c r="I152" s="197"/>
      <c r="J152" s="204"/>
      <c r="K152" s="197"/>
      <c r="L152" s="197"/>
      <c r="M152" s="197"/>
      <c r="N152" s="197"/>
      <c r="O152" s="204"/>
      <c r="P152" s="197"/>
    </row>
    <row r="153">
      <c r="A153" s="172"/>
      <c r="B153" s="204"/>
      <c r="C153" s="204"/>
      <c r="D153" s="197"/>
      <c r="E153" s="197"/>
      <c r="F153" s="197"/>
      <c r="G153" s="197"/>
      <c r="H153" s="197"/>
      <c r="I153" s="197"/>
      <c r="J153" s="204"/>
      <c r="K153" s="197"/>
      <c r="L153" s="197"/>
      <c r="M153" s="197"/>
      <c r="N153" s="197"/>
      <c r="O153" s="204"/>
      <c r="P153" s="197"/>
    </row>
    <row r="154">
      <c r="A154" s="172"/>
      <c r="B154" s="204"/>
      <c r="C154" s="204"/>
      <c r="D154" s="197"/>
      <c r="E154" s="197"/>
      <c r="F154" s="197"/>
      <c r="G154" s="197"/>
      <c r="H154" s="197"/>
      <c r="I154" s="197"/>
      <c r="J154" s="204"/>
      <c r="K154" s="197"/>
      <c r="L154" s="197"/>
      <c r="M154" s="197"/>
      <c r="N154" s="197"/>
      <c r="O154" s="204"/>
      <c r="P154" s="197"/>
    </row>
    <row r="155">
      <c r="A155" s="172"/>
      <c r="B155" s="204"/>
      <c r="C155" s="204"/>
      <c r="D155" s="197"/>
      <c r="E155" s="197"/>
      <c r="F155" s="197"/>
      <c r="G155" s="197"/>
      <c r="H155" s="197"/>
      <c r="I155" s="197"/>
      <c r="J155" s="204"/>
      <c r="K155" s="197"/>
      <c r="L155" s="197"/>
      <c r="M155" s="197"/>
      <c r="N155" s="197"/>
      <c r="O155" s="204"/>
      <c r="P155" s="197"/>
    </row>
    <row r="156">
      <c r="A156" s="172"/>
      <c r="B156" s="204"/>
      <c r="C156" s="204"/>
      <c r="D156" s="197"/>
      <c r="E156" s="197"/>
      <c r="F156" s="197"/>
      <c r="G156" s="197"/>
      <c r="H156" s="197"/>
      <c r="I156" s="197"/>
      <c r="J156" s="204"/>
      <c r="K156" s="197"/>
      <c r="L156" s="197"/>
      <c r="M156" s="197"/>
      <c r="N156" s="197"/>
      <c r="O156" s="204"/>
      <c r="P156" s="197"/>
    </row>
    <row r="157">
      <c r="A157" s="172"/>
      <c r="B157" s="204"/>
      <c r="C157" s="204"/>
      <c r="D157" s="197"/>
      <c r="E157" s="197"/>
      <c r="F157" s="197"/>
      <c r="G157" s="197"/>
      <c r="H157" s="197"/>
      <c r="I157" s="197"/>
      <c r="J157" s="204"/>
      <c r="K157" s="197"/>
      <c r="L157" s="197"/>
      <c r="M157" s="197"/>
      <c r="N157" s="197"/>
      <c r="O157" s="204"/>
      <c r="P157" s="197"/>
    </row>
    <row r="158">
      <c r="A158" s="172"/>
      <c r="B158" s="204"/>
      <c r="C158" s="204"/>
      <c r="D158" s="197"/>
      <c r="E158" s="197"/>
      <c r="F158" s="197"/>
      <c r="G158" s="197"/>
      <c r="H158" s="197"/>
      <c r="I158" s="197"/>
      <c r="J158" s="204"/>
      <c r="K158" s="197"/>
      <c r="L158" s="197"/>
      <c r="M158" s="197"/>
      <c r="N158" s="197"/>
      <c r="O158" s="204"/>
      <c r="P158" s="197"/>
    </row>
    <row r="159">
      <c r="A159" s="172"/>
      <c r="B159" s="204"/>
      <c r="C159" s="204"/>
      <c r="D159" s="197"/>
      <c r="E159" s="197"/>
      <c r="F159" s="197"/>
      <c r="G159" s="197"/>
      <c r="H159" s="197"/>
      <c r="I159" s="197"/>
      <c r="J159" s="204"/>
      <c r="K159" s="197"/>
      <c r="L159" s="197"/>
      <c r="M159" s="197"/>
      <c r="N159" s="197"/>
      <c r="O159" s="204"/>
      <c r="P159" s="197"/>
    </row>
    <row r="160">
      <c r="A160" s="172"/>
      <c r="B160" s="204"/>
      <c r="C160" s="204"/>
      <c r="D160" s="197"/>
      <c r="E160" s="197"/>
      <c r="F160" s="197"/>
      <c r="G160" s="197"/>
      <c r="H160" s="197"/>
      <c r="I160" s="197"/>
      <c r="J160" s="204"/>
      <c r="K160" s="197"/>
      <c r="L160" s="197"/>
      <c r="M160" s="197"/>
      <c r="N160" s="197"/>
      <c r="O160" s="204"/>
      <c r="P160" s="197"/>
    </row>
    <row r="161">
      <c r="A161" s="172"/>
      <c r="B161" s="204"/>
      <c r="C161" s="204"/>
      <c r="D161" s="197"/>
      <c r="E161" s="197"/>
      <c r="F161" s="197"/>
      <c r="G161" s="197"/>
      <c r="H161" s="197"/>
      <c r="I161" s="197"/>
      <c r="J161" s="204"/>
      <c r="K161" s="197"/>
      <c r="L161" s="197"/>
      <c r="M161" s="197"/>
      <c r="N161" s="197"/>
      <c r="O161" s="204"/>
      <c r="P161" s="197"/>
    </row>
    <row r="162">
      <c r="A162" s="172"/>
      <c r="B162" s="204"/>
      <c r="C162" s="204"/>
      <c r="D162" s="197"/>
      <c r="E162" s="197"/>
      <c r="F162" s="197"/>
      <c r="G162" s="197"/>
      <c r="H162" s="197"/>
      <c r="I162" s="197"/>
      <c r="J162" s="204"/>
      <c r="K162" s="197"/>
      <c r="L162" s="197"/>
      <c r="M162" s="197"/>
      <c r="N162" s="197"/>
      <c r="O162" s="204"/>
      <c r="P162" s="197"/>
    </row>
    <row r="163">
      <c r="A163" s="172"/>
      <c r="B163" s="204"/>
      <c r="C163" s="204"/>
      <c r="D163" s="197"/>
      <c r="E163" s="197"/>
      <c r="F163" s="197"/>
      <c r="G163" s="197"/>
      <c r="H163" s="197"/>
      <c r="I163" s="197"/>
      <c r="J163" s="204"/>
      <c r="K163" s="197"/>
      <c r="L163" s="197"/>
      <c r="M163" s="197"/>
      <c r="N163" s="197"/>
      <c r="O163" s="204"/>
      <c r="P163" s="197"/>
    </row>
    <row r="164">
      <c r="A164" s="172"/>
      <c r="B164" s="204"/>
      <c r="C164" s="204"/>
      <c r="D164" s="197"/>
      <c r="E164" s="197"/>
      <c r="F164" s="197"/>
      <c r="G164" s="197"/>
      <c r="H164" s="197"/>
      <c r="I164" s="197"/>
      <c r="J164" s="204"/>
      <c r="K164" s="197"/>
      <c r="L164" s="197"/>
      <c r="M164" s="197"/>
      <c r="N164" s="197"/>
      <c r="O164" s="204"/>
      <c r="P164" s="197"/>
    </row>
    <row r="165">
      <c r="A165" s="172"/>
      <c r="B165" s="204"/>
      <c r="C165" s="204"/>
      <c r="D165" s="197"/>
      <c r="E165" s="197"/>
      <c r="F165" s="197"/>
      <c r="G165" s="197"/>
      <c r="H165" s="197"/>
      <c r="I165" s="197"/>
      <c r="J165" s="204"/>
      <c r="K165" s="197"/>
      <c r="L165" s="197"/>
      <c r="M165" s="197"/>
      <c r="N165" s="197"/>
      <c r="O165" s="204"/>
      <c r="P165" s="197"/>
    </row>
    <row r="166">
      <c r="A166" s="172"/>
      <c r="B166" s="204"/>
      <c r="C166" s="204"/>
      <c r="D166" s="197"/>
      <c r="E166" s="197"/>
      <c r="F166" s="197"/>
      <c r="G166" s="197"/>
      <c r="H166" s="197"/>
      <c r="I166" s="197"/>
      <c r="J166" s="204"/>
      <c r="K166" s="197"/>
      <c r="L166" s="197"/>
      <c r="M166" s="197"/>
      <c r="N166" s="197"/>
      <c r="O166" s="204"/>
      <c r="P166" s="197"/>
    </row>
    <row r="167">
      <c r="A167" s="172"/>
      <c r="B167" s="204"/>
      <c r="C167" s="204"/>
      <c r="D167" s="197"/>
      <c r="E167" s="197"/>
      <c r="F167" s="197"/>
      <c r="G167" s="197"/>
      <c r="H167" s="197"/>
      <c r="I167" s="197"/>
      <c r="J167" s="204"/>
      <c r="K167" s="197"/>
      <c r="L167" s="197"/>
      <c r="M167" s="197"/>
      <c r="N167" s="197"/>
      <c r="O167" s="204"/>
      <c r="P167" s="197"/>
    </row>
    <row r="168">
      <c r="A168" s="172"/>
      <c r="B168" s="204"/>
      <c r="C168" s="204"/>
      <c r="D168" s="197"/>
      <c r="E168" s="197"/>
      <c r="F168" s="197"/>
      <c r="G168" s="197"/>
      <c r="H168" s="197"/>
      <c r="I168" s="197"/>
      <c r="J168" s="204"/>
      <c r="K168" s="197"/>
      <c r="L168" s="197"/>
      <c r="M168" s="197"/>
      <c r="N168" s="197"/>
      <c r="O168" s="204"/>
      <c r="P168" s="197"/>
    </row>
    <row r="169">
      <c r="A169" s="172"/>
      <c r="B169" s="204"/>
      <c r="C169" s="204"/>
      <c r="D169" s="197"/>
      <c r="E169" s="197"/>
      <c r="F169" s="197"/>
      <c r="G169" s="197"/>
      <c r="H169" s="197"/>
      <c r="I169" s="197"/>
      <c r="J169" s="204"/>
      <c r="K169" s="197"/>
      <c r="L169" s="197"/>
      <c r="M169" s="197"/>
      <c r="N169" s="197"/>
      <c r="O169" s="204"/>
      <c r="P169" s="197"/>
    </row>
    <row r="170">
      <c r="A170" s="172"/>
      <c r="B170" s="204"/>
      <c r="C170" s="204"/>
      <c r="D170" s="197"/>
      <c r="E170" s="197"/>
      <c r="F170" s="197"/>
      <c r="G170" s="197"/>
      <c r="H170" s="197"/>
      <c r="I170" s="197"/>
      <c r="J170" s="204"/>
      <c r="K170" s="197"/>
      <c r="L170" s="197"/>
      <c r="M170" s="197"/>
      <c r="N170" s="197"/>
      <c r="O170" s="204"/>
      <c r="P170" s="197"/>
    </row>
    <row r="171">
      <c r="A171" s="172"/>
      <c r="B171" s="204"/>
      <c r="C171" s="204"/>
      <c r="D171" s="197"/>
      <c r="E171" s="197"/>
      <c r="F171" s="197"/>
      <c r="G171" s="197"/>
      <c r="H171" s="197"/>
      <c r="I171" s="197"/>
      <c r="J171" s="204"/>
      <c r="K171" s="197"/>
      <c r="L171" s="197"/>
      <c r="M171" s="197"/>
      <c r="N171" s="197"/>
      <c r="O171" s="204"/>
      <c r="P171" s="197"/>
    </row>
    <row r="172">
      <c r="A172" s="172"/>
      <c r="B172" s="204"/>
      <c r="C172" s="204"/>
      <c r="D172" s="197"/>
      <c r="E172" s="197"/>
      <c r="F172" s="197"/>
      <c r="G172" s="197"/>
      <c r="H172" s="197"/>
      <c r="I172" s="197"/>
      <c r="J172" s="204"/>
      <c r="K172" s="197"/>
      <c r="L172" s="197"/>
      <c r="M172" s="197"/>
      <c r="N172" s="197"/>
      <c r="O172" s="204"/>
      <c r="P172" s="197"/>
    </row>
    <row r="173">
      <c r="A173" s="172"/>
      <c r="B173" s="204"/>
      <c r="C173" s="204"/>
      <c r="D173" s="197"/>
      <c r="E173" s="197"/>
      <c r="F173" s="197"/>
      <c r="G173" s="197"/>
      <c r="H173" s="197"/>
      <c r="I173" s="197"/>
      <c r="J173" s="204"/>
      <c r="K173" s="197"/>
      <c r="L173" s="197"/>
      <c r="M173" s="197"/>
      <c r="N173" s="197"/>
      <c r="O173" s="204"/>
      <c r="P173" s="197"/>
    </row>
    <row r="174">
      <c r="A174" s="172"/>
      <c r="B174" s="204"/>
      <c r="C174" s="204"/>
      <c r="D174" s="197"/>
      <c r="E174" s="197"/>
      <c r="F174" s="197"/>
      <c r="G174" s="197"/>
      <c r="H174" s="197"/>
      <c r="I174" s="197"/>
      <c r="J174" s="204"/>
      <c r="K174" s="197"/>
      <c r="L174" s="197"/>
      <c r="M174" s="197"/>
      <c r="N174" s="197"/>
      <c r="O174" s="204"/>
      <c r="P174" s="197"/>
    </row>
    <row r="175">
      <c r="A175" s="172"/>
      <c r="B175" s="204"/>
      <c r="C175" s="204"/>
      <c r="D175" s="197"/>
      <c r="E175" s="197"/>
      <c r="F175" s="197"/>
      <c r="G175" s="197"/>
      <c r="H175" s="197"/>
      <c r="I175" s="197"/>
      <c r="J175" s="204"/>
      <c r="K175" s="197"/>
      <c r="L175" s="197"/>
      <c r="M175" s="197"/>
      <c r="N175" s="197"/>
      <c r="O175" s="204"/>
      <c r="P175" s="197"/>
    </row>
    <row r="176">
      <c r="A176" s="172"/>
      <c r="B176" s="204"/>
      <c r="C176" s="204"/>
      <c r="D176" s="197"/>
      <c r="E176" s="197"/>
      <c r="F176" s="197"/>
      <c r="G176" s="197"/>
      <c r="H176" s="197"/>
      <c r="I176" s="197"/>
      <c r="J176" s="204"/>
      <c r="K176" s="197"/>
      <c r="L176" s="197"/>
      <c r="M176" s="197"/>
      <c r="N176" s="197"/>
      <c r="O176" s="204"/>
      <c r="P176" s="197"/>
    </row>
    <row r="177">
      <c r="A177" s="172"/>
      <c r="B177" s="204"/>
      <c r="C177" s="204"/>
      <c r="D177" s="197"/>
      <c r="E177" s="197"/>
      <c r="F177" s="197"/>
      <c r="G177" s="197"/>
      <c r="H177" s="197"/>
      <c r="I177" s="197"/>
      <c r="J177" s="204"/>
      <c r="K177" s="197"/>
      <c r="L177" s="197"/>
      <c r="M177" s="197"/>
      <c r="N177" s="197"/>
      <c r="O177" s="204"/>
      <c r="P177" s="197"/>
    </row>
    <row r="178">
      <c r="A178" s="172"/>
      <c r="B178" s="204"/>
      <c r="C178" s="204"/>
      <c r="D178" s="197"/>
      <c r="E178" s="197"/>
      <c r="F178" s="197"/>
      <c r="G178" s="197"/>
      <c r="H178" s="197"/>
      <c r="I178" s="197"/>
      <c r="J178" s="204"/>
      <c r="K178" s="197"/>
      <c r="L178" s="197"/>
      <c r="M178" s="197"/>
      <c r="N178" s="197"/>
      <c r="O178" s="204"/>
      <c r="P178" s="197"/>
    </row>
    <row r="179">
      <c r="A179" s="172"/>
      <c r="B179" s="204"/>
      <c r="C179" s="204"/>
      <c r="D179" s="197"/>
      <c r="E179" s="197"/>
      <c r="F179" s="197"/>
      <c r="G179" s="197"/>
      <c r="H179" s="197"/>
      <c r="I179" s="197"/>
      <c r="J179" s="204"/>
      <c r="K179" s="197"/>
      <c r="L179" s="197"/>
      <c r="M179" s="197"/>
      <c r="N179" s="197"/>
      <c r="O179" s="204"/>
      <c r="P179" s="197"/>
    </row>
    <row r="180">
      <c r="A180" s="172"/>
      <c r="B180" s="204"/>
      <c r="C180" s="204"/>
      <c r="D180" s="197"/>
      <c r="E180" s="197"/>
      <c r="F180" s="197"/>
      <c r="G180" s="197"/>
      <c r="H180" s="197"/>
      <c r="I180" s="197"/>
      <c r="J180" s="204"/>
      <c r="K180" s="197"/>
      <c r="L180" s="197"/>
      <c r="M180" s="197"/>
      <c r="N180" s="197"/>
      <c r="O180" s="204"/>
      <c r="P180" s="197"/>
    </row>
    <row r="181">
      <c r="A181" s="172"/>
      <c r="B181" s="204"/>
      <c r="C181" s="204"/>
      <c r="D181" s="197"/>
      <c r="E181" s="197"/>
      <c r="F181" s="197"/>
      <c r="G181" s="197"/>
      <c r="H181" s="197"/>
      <c r="I181" s="197"/>
      <c r="J181" s="204"/>
      <c r="K181" s="197"/>
      <c r="L181" s="197"/>
      <c r="M181" s="197"/>
      <c r="N181" s="197"/>
      <c r="O181" s="204"/>
      <c r="P181" s="197"/>
    </row>
    <row r="182">
      <c r="A182" s="172"/>
      <c r="B182" s="204"/>
      <c r="C182" s="204"/>
      <c r="D182" s="197"/>
      <c r="E182" s="197"/>
      <c r="F182" s="197"/>
      <c r="G182" s="197"/>
      <c r="H182" s="197"/>
      <c r="I182" s="197"/>
      <c r="J182" s="204"/>
      <c r="K182" s="197"/>
      <c r="L182" s="197"/>
      <c r="M182" s="197"/>
      <c r="N182" s="197"/>
      <c r="O182" s="204"/>
      <c r="P182" s="197"/>
    </row>
    <row r="183">
      <c r="A183" s="172"/>
      <c r="B183" s="204"/>
      <c r="C183" s="204"/>
      <c r="D183" s="197"/>
      <c r="E183" s="197"/>
      <c r="F183" s="197"/>
      <c r="G183" s="197"/>
      <c r="H183" s="197"/>
      <c r="I183" s="197"/>
      <c r="J183" s="204"/>
      <c r="K183" s="197"/>
      <c r="L183" s="197"/>
      <c r="M183" s="197"/>
      <c r="N183" s="197"/>
      <c r="O183" s="204"/>
      <c r="P183" s="197"/>
    </row>
    <row r="184">
      <c r="A184" s="172"/>
      <c r="B184" s="204"/>
      <c r="C184" s="204"/>
      <c r="D184" s="197"/>
      <c r="E184" s="197"/>
      <c r="F184" s="197"/>
      <c r="G184" s="197"/>
      <c r="H184" s="197"/>
      <c r="I184" s="197"/>
      <c r="J184" s="204"/>
      <c r="K184" s="197"/>
      <c r="L184" s="197"/>
      <c r="M184" s="197"/>
      <c r="N184" s="197"/>
      <c r="O184" s="204"/>
      <c r="P184" s="197"/>
    </row>
    <row r="185">
      <c r="A185" s="172"/>
      <c r="B185" s="204"/>
      <c r="C185" s="204"/>
      <c r="D185" s="197"/>
      <c r="E185" s="197"/>
      <c r="F185" s="197"/>
      <c r="G185" s="197"/>
      <c r="H185" s="197"/>
      <c r="I185" s="197"/>
      <c r="J185" s="204"/>
      <c r="K185" s="197"/>
      <c r="L185" s="197"/>
      <c r="M185" s="197"/>
      <c r="N185" s="197"/>
      <c r="O185" s="204"/>
      <c r="P185" s="197"/>
    </row>
    <row r="186">
      <c r="A186" s="172"/>
      <c r="B186" s="204"/>
      <c r="C186" s="204"/>
      <c r="D186" s="197"/>
      <c r="E186" s="197"/>
      <c r="F186" s="197"/>
      <c r="G186" s="197"/>
      <c r="H186" s="197"/>
      <c r="I186" s="197"/>
      <c r="J186" s="204"/>
      <c r="K186" s="197"/>
      <c r="L186" s="197"/>
      <c r="M186" s="197"/>
      <c r="N186" s="197"/>
      <c r="O186" s="204"/>
      <c r="P186" s="197"/>
    </row>
    <row r="187">
      <c r="A187" s="172"/>
      <c r="B187" s="204"/>
      <c r="C187" s="204"/>
      <c r="D187" s="197"/>
      <c r="E187" s="197"/>
      <c r="F187" s="197"/>
      <c r="G187" s="197"/>
      <c r="H187" s="197"/>
      <c r="I187" s="197"/>
      <c r="J187" s="204"/>
      <c r="K187" s="197"/>
      <c r="L187" s="197"/>
      <c r="M187" s="197"/>
      <c r="N187" s="197"/>
      <c r="O187" s="204"/>
      <c r="P187" s="197"/>
    </row>
    <row r="188">
      <c r="A188" s="172"/>
      <c r="B188" s="204"/>
      <c r="C188" s="204"/>
      <c r="D188" s="197"/>
      <c r="E188" s="197"/>
      <c r="F188" s="197"/>
      <c r="G188" s="197"/>
      <c r="H188" s="197"/>
      <c r="I188" s="197"/>
      <c r="J188" s="204"/>
      <c r="K188" s="197"/>
      <c r="L188" s="197"/>
      <c r="M188" s="197"/>
      <c r="N188" s="197"/>
      <c r="O188" s="204"/>
      <c r="P188" s="197"/>
    </row>
    <row r="189">
      <c r="A189" s="172"/>
      <c r="B189" s="204"/>
      <c r="C189" s="204"/>
      <c r="D189" s="197"/>
      <c r="E189" s="197"/>
      <c r="F189" s="197"/>
      <c r="G189" s="197"/>
      <c r="H189" s="197"/>
      <c r="I189" s="197"/>
      <c r="J189" s="204"/>
      <c r="K189" s="197"/>
      <c r="L189" s="197"/>
      <c r="M189" s="197"/>
      <c r="N189" s="197"/>
      <c r="O189" s="204"/>
      <c r="P189" s="197"/>
    </row>
    <row r="190">
      <c r="A190" s="172"/>
      <c r="B190" s="204"/>
      <c r="C190" s="204"/>
      <c r="D190" s="197"/>
      <c r="E190" s="197"/>
      <c r="F190" s="197"/>
      <c r="G190" s="197"/>
      <c r="H190" s="197"/>
      <c r="I190" s="197"/>
      <c r="J190" s="204"/>
      <c r="K190" s="197"/>
      <c r="L190" s="197"/>
      <c r="M190" s="197"/>
      <c r="N190" s="197"/>
      <c r="O190" s="204"/>
      <c r="P190" s="197"/>
    </row>
    <row r="191">
      <c r="A191" s="172"/>
      <c r="B191" s="204"/>
      <c r="C191" s="204"/>
      <c r="D191" s="197"/>
      <c r="E191" s="197"/>
      <c r="F191" s="197"/>
      <c r="G191" s="197"/>
      <c r="H191" s="197"/>
      <c r="I191" s="197"/>
      <c r="J191" s="204"/>
      <c r="K191" s="197"/>
      <c r="L191" s="197"/>
      <c r="M191" s="197"/>
      <c r="N191" s="197"/>
      <c r="O191" s="204"/>
      <c r="P191" s="197"/>
    </row>
    <row r="192">
      <c r="A192" s="172"/>
      <c r="B192" s="204"/>
      <c r="C192" s="204"/>
      <c r="D192" s="197"/>
      <c r="E192" s="197"/>
      <c r="F192" s="197"/>
      <c r="G192" s="197"/>
      <c r="H192" s="197"/>
      <c r="I192" s="197"/>
      <c r="J192" s="204"/>
      <c r="K192" s="197"/>
      <c r="L192" s="197"/>
      <c r="M192" s="197"/>
      <c r="N192" s="197"/>
      <c r="O192" s="204"/>
      <c r="P192" s="197"/>
    </row>
    <row r="193">
      <c r="A193" s="172"/>
      <c r="B193" s="204"/>
      <c r="C193" s="204"/>
      <c r="D193" s="197"/>
      <c r="E193" s="197"/>
      <c r="F193" s="197"/>
      <c r="G193" s="197"/>
      <c r="H193" s="197"/>
      <c r="I193" s="197"/>
      <c r="J193" s="204"/>
      <c r="K193" s="197"/>
      <c r="L193" s="197"/>
      <c r="M193" s="197"/>
      <c r="N193" s="197"/>
      <c r="O193" s="204"/>
      <c r="P193" s="197"/>
    </row>
    <row r="194">
      <c r="A194" s="172"/>
      <c r="B194" s="204"/>
      <c r="C194" s="204"/>
      <c r="D194" s="197"/>
      <c r="E194" s="197"/>
      <c r="F194" s="197"/>
      <c r="G194" s="197"/>
      <c r="H194" s="197"/>
      <c r="I194" s="197"/>
      <c r="J194" s="204"/>
      <c r="K194" s="197"/>
      <c r="L194" s="197"/>
      <c r="M194" s="197"/>
      <c r="N194" s="197"/>
      <c r="O194" s="204"/>
      <c r="P194" s="197"/>
    </row>
    <row r="195">
      <c r="A195" s="172"/>
      <c r="B195" s="204"/>
      <c r="C195" s="204"/>
      <c r="D195" s="197"/>
      <c r="E195" s="197"/>
      <c r="F195" s="197"/>
      <c r="G195" s="197"/>
      <c r="H195" s="197"/>
      <c r="I195" s="197"/>
      <c r="J195" s="204"/>
      <c r="K195" s="197"/>
      <c r="L195" s="197"/>
      <c r="M195" s="197"/>
      <c r="N195" s="197"/>
      <c r="O195" s="204"/>
      <c r="P195" s="197"/>
    </row>
    <row r="196">
      <c r="A196" s="172"/>
      <c r="B196" s="204"/>
      <c r="C196" s="204"/>
      <c r="D196" s="197"/>
      <c r="E196" s="197"/>
      <c r="F196" s="197"/>
      <c r="G196" s="197"/>
      <c r="H196" s="197"/>
      <c r="I196" s="197"/>
      <c r="J196" s="204"/>
      <c r="K196" s="197"/>
      <c r="L196" s="197"/>
      <c r="M196" s="197"/>
      <c r="N196" s="197"/>
      <c r="O196" s="204"/>
      <c r="P196" s="197"/>
    </row>
    <row r="197">
      <c r="A197" s="172"/>
      <c r="B197" s="204"/>
      <c r="C197" s="204"/>
      <c r="D197" s="197"/>
      <c r="E197" s="197"/>
      <c r="F197" s="197"/>
      <c r="G197" s="197"/>
      <c r="H197" s="197"/>
      <c r="I197" s="197"/>
      <c r="J197" s="204"/>
      <c r="K197" s="197"/>
      <c r="L197" s="197"/>
      <c r="M197" s="197"/>
      <c r="N197" s="197"/>
      <c r="O197" s="204"/>
      <c r="P197" s="197"/>
    </row>
    <row r="198">
      <c r="A198" s="172"/>
      <c r="B198" s="204"/>
      <c r="C198" s="204"/>
      <c r="D198" s="197"/>
      <c r="E198" s="197"/>
      <c r="F198" s="197"/>
      <c r="G198" s="197"/>
      <c r="H198" s="197"/>
      <c r="I198" s="197"/>
      <c r="J198" s="204"/>
      <c r="K198" s="197"/>
      <c r="L198" s="197"/>
      <c r="M198" s="197"/>
      <c r="N198" s="197"/>
      <c r="O198" s="204"/>
      <c r="P198" s="197"/>
    </row>
    <row r="199">
      <c r="A199" s="172"/>
      <c r="B199" s="204"/>
      <c r="C199" s="204"/>
      <c r="D199" s="197"/>
      <c r="E199" s="197"/>
      <c r="F199" s="197"/>
      <c r="G199" s="197"/>
      <c r="H199" s="197"/>
      <c r="I199" s="197"/>
      <c r="J199" s="204"/>
      <c r="K199" s="197"/>
      <c r="L199" s="197"/>
      <c r="M199" s="197"/>
      <c r="N199" s="197"/>
      <c r="O199" s="204"/>
      <c r="P199" s="197"/>
    </row>
    <row r="200">
      <c r="A200" s="172"/>
      <c r="B200" s="204"/>
      <c r="C200" s="204"/>
      <c r="D200" s="197"/>
      <c r="E200" s="197"/>
      <c r="F200" s="197"/>
      <c r="G200" s="197"/>
      <c r="H200" s="197"/>
      <c r="I200" s="197"/>
      <c r="J200" s="204"/>
      <c r="K200" s="197"/>
      <c r="L200" s="197"/>
      <c r="M200" s="197"/>
      <c r="N200" s="197"/>
      <c r="O200" s="204"/>
      <c r="P200" s="197"/>
    </row>
    <row r="201">
      <c r="A201" s="172"/>
      <c r="B201" s="204"/>
      <c r="C201" s="204"/>
      <c r="D201" s="197"/>
      <c r="E201" s="197"/>
      <c r="F201" s="197"/>
      <c r="G201" s="197"/>
      <c r="H201" s="197"/>
      <c r="I201" s="197"/>
      <c r="J201" s="204"/>
      <c r="K201" s="197"/>
      <c r="L201" s="197"/>
      <c r="M201" s="197"/>
      <c r="N201" s="197"/>
      <c r="O201" s="204"/>
      <c r="P201" s="197"/>
    </row>
    <row r="202">
      <c r="A202" s="172"/>
      <c r="B202" s="204"/>
      <c r="C202" s="204"/>
      <c r="D202" s="197"/>
      <c r="E202" s="197"/>
      <c r="F202" s="197"/>
      <c r="G202" s="197"/>
      <c r="H202" s="197"/>
      <c r="I202" s="197"/>
      <c r="J202" s="204"/>
      <c r="K202" s="197"/>
      <c r="L202" s="197"/>
      <c r="M202" s="197"/>
      <c r="N202" s="197"/>
      <c r="O202" s="204"/>
      <c r="P202" s="197"/>
    </row>
    <row r="203">
      <c r="A203" s="172"/>
      <c r="B203" s="204"/>
      <c r="C203" s="204"/>
      <c r="D203" s="197"/>
      <c r="E203" s="197"/>
      <c r="F203" s="197"/>
      <c r="G203" s="197"/>
      <c r="H203" s="197"/>
      <c r="I203" s="197"/>
      <c r="J203" s="204"/>
      <c r="K203" s="197"/>
      <c r="L203" s="197"/>
      <c r="M203" s="197"/>
      <c r="N203" s="197"/>
      <c r="O203" s="204"/>
      <c r="P203" s="197"/>
    </row>
    <row r="204">
      <c r="A204" s="172"/>
      <c r="B204" s="204"/>
      <c r="C204" s="204"/>
      <c r="D204" s="197"/>
      <c r="E204" s="197"/>
      <c r="F204" s="197"/>
      <c r="G204" s="197"/>
      <c r="H204" s="197"/>
      <c r="I204" s="197"/>
      <c r="J204" s="204"/>
      <c r="K204" s="197"/>
      <c r="L204" s="197"/>
      <c r="M204" s="197"/>
      <c r="N204" s="197"/>
      <c r="O204" s="204"/>
      <c r="P204" s="197"/>
    </row>
    <row r="205">
      <c r="A205" s="172"/>
      <c r="B205" s="204"/>
      <c r="C205" s="204"/>
      <c r="D205" s="197"/>
      <c r="E205" s="197"/>
      <c r="F205" s="197"/>
      <c r="G205" s="197"/>
      <c r="H205" s="197"/>
      <c r="I205" s="197"/>
      <c r="J205" s="204"/>
      <c r="K205" s="197"/>
      <c r="L205" s="197"/>
      <c r="M205" s="197"/>
      <c r="N205" s="197"/>
      <c r="O205" s="204"/>
      <c r="P205" s="197"/>
    </row>
    <row r="206">
      <c r="A206" s="172"/>
      <c r="B206" s="204"/>
      <c r="C206" s="204"/>
      <c r="D206" s="197"/>
      <c r="E206" s="197"/>
      <c r="F206" s="197"/>
      <c r="G206" s="197"/>
      <c r="H206" s="197"/>
      <c r="I206" s="197"/>
      <c r="J206" s="204"/>
      <c r="K206" s="197"/>
      <c r="L206" s="197"/>
      <c r="M206" s="197"/>
      <c r="N206" s="197"/>
      <c r="O206" s="204"/>
      <c r="P206" s="197"/>
    </row>
    <row r="207">
      <c r="A207" s="172"/>
      <c r="B207" s="204"/>
      <c r="C207" s="204"/>
      <c r="D207" s="197"/>
      <c r="E207" s="197"/>
      <c r="F207" s="197"/>
      <c r="G207" s="197"/>
      <c r="H207" s="197"/>
      <c r="I207" s="197"/>
      <c r="J207" s="204"/>
      <c r="K207" s="197"/>
      <c r="L207" s="197"/>
      <c r="M207" s="197"/>
      <c r="N207" s="197"/>
      <c r="O207" s="204"/>
      <c r="P207" s="197"/>
    </row>
    <row r="208">
      <c r="A208" s="172"/>
      <c r="B208" s="204"/>
      <c r="C208" s="204"/>
      <c r="D208" s="197"/>
      <c r="E208" s="197"/>
      <c r="F208" s="197"/>
      <c r="G208" s="197"/>
      <c r="H208" s="197"/>
      <c r="I208" s="197"/>
      <c r="J208" s="204"/>
      <c r="K208" s="197"/>
      <c r="L208" s="197"/>
      <c r="M208" s="197"/>
      <c r="N208" s="197"/>
      <c r="O208" s="204"/>
      <c r="P208" s="197"/>
    </row>
    <row r="209">
      <c r="A209" s="172"/>
      <c r="B209" s="204"/>
      <c r="C209" s="204"/>
      <c r="D209" s="197"/>
      <c r="E209" s="197"/>
      <c r="F209" s="197"/>
      <c r="G209" s="197"/>
      <c r="H209" s="197"/>
      <c r="I209" s="197"/>
      <c r="J209" s="204"/>
      <c r="K209" s="197"/>
      <c r="L209" s="197"/>
      <c r="M209" s="197"/>
      <c r="N209" s="197"/>
      <c r="O209" s="204"/>
      <c r="P209" s="197"/>
    </row>
    <row r="210">
      <c r="A210" s="172"/>
      <c r="B210" s="204"/>
      <c r="C210" s="204"/>
      <c r="D210" s="197"/>
      <c r="E210" s="197"/>
      <c r="F210" s="197"/>
      <c r="G210" s="197"/>
      <c r="H210" s="197"/>
      <c r="I210" s="197"/>
      <c r="J210" s="204"/>
      <c r="K210" s="197"/>
      <c r="L210" s="197"/>
      <c r="M210" s="197"/>
      <c r="N210" s="197"/>
      <c r="O210" s="204"/>
      <c r="P210" s="197"/>
    </row>
    <row r="211">
      <c r="A211" s="172"/>
      <c r="B211" s="204"/>
      <c r="C211" s="204"/>
      <c r="D211" s="197"/>
      <c r="E211" s="197"/>
      <c r="F211" s="197"/>
      <c r="G211" s="197"/>
      <c r="H211" s="197"/>
      <c r="I211" s="197"/>
      <c r="J211" s="204"/>
      <c r="K211" s="197"/>
      <c r="L211" s="197"/>
      <c r="M211" s="197"/>
      <c r="N211" s="197"/>
      <c r="O211" s="204"/>
      <c r="P211" s="197"/>
    </row>
    <row r="212">
      <c r="A212" s="172"/>
      <c r="B212" s="204"/>
      <c r="C212" s="204"/>
      <c r="D212" s="197"/>
      <c r="E212" s="197"/>
      <c r="F212" s="197"/>
      <c r="G212" s="197"/>
      <c r="H212" s="197"/>
      <c r="I212" s="197"/>
      <c r="J212" s="204"/>
      <c r="K212" s="197"/>
      <c r="L212" s="197"/>
      <c r="M212" s="197"/>
      <c r="N212" s="197"/>
      <c r="O212" s="204"/>
      <c r="P212" s="197"/>
    </row>
    <row r="213">
      <c r="A213" s="172"/>
      <c r="B213" s="204"/>
      <c r="C213" s="204"/>
      <c r="D213" s="197"/>
      <c r="E213" s="197"/>
      <c r="F213" s="197"/>
      <c r="G213" s="197"/>
      <c r="H213" s="197"/>
      <c r="I213" s="197"/>
      <c r="J213" s="204"/>
      <c r="K213" s="197"/>
      <c r="L213" s="197"/>
      <c r="M213" s="197"/>
      <c r="N213" s="197"/>
      <c r="O213" s="204"/>
      <c r="P213" s="197"/>
    </row>
    <row r="214">
      <c r="A214" s="172"/>
      <c r="B214" s="204"/>
      <c r="C214" s="204"/>
      <c r="D214" s="197"/>
      <c r="E214" s="197"/>
      <c r="F214" s="197"/>
      <c r="G214" s="197"/>
      <c r="H214" s="197"/>
      <c r="I214" s="197"/>
      <c r="J214" s="204"/>
      <c r="K214" s="197"/>
      <c r="L214" s="197"/>
      <c r="M214" s="197"/>
      <c r="N214" s="197"/>
      <c r="O214" s="204"/>
      <c r="P214" s="197"/>
    </row>
    <row r="215">
      <c r="A215" s="172"/>
      <c r="B215" s="204"/>
      <c r="C215" s="204"/>
      <c r="D215" s="197"/>
      <c r="E215" s="197"/>
      <c r="F215" s="197"/>
      <c r="G215" s="197"/>
      <c r="H215" s="197"/>
      <c r="I215" s="197"/>
      <c r="J215" s="204"/>
      <c r="K215" s="197"/>
      <c r="L215" s="197"/>
      <c r="M215" s="197"/>
      <c r="N215" s="197"/>
      <c r="O215" s="204"/>
      <c r="P215" s="197"/>
    </row>
    <row r="216">
      <c r="A216" s="172"/>
      <c r="B216" s="204"/>
      <c r="C216" s="204"/>
      <c r="D216" s="197"/>
      <c r="E216" s="197"/>
      <c r="F216" s="197"/>
      <c r="G216" s="197"/>
      <c r="H216" s="197"/>
      <c r="I216" s="197"/>
      <c r="J216" s="204"/>
      <c r="K216" s="197"/>
      <c r="L216" s="197"/>
      <c r="M216" s="197"/>
      <c r="N216" s="197"/>
      <c r="O216" s="204"/>
      <c r="P216" s="197"/>
    </row>
    <row r="217">
      <c r="A217" s="172"/>
      <c r="B217" s="204"/>
      <c r="C217" s="204"/>
      <c r="D217" s="197"/>
      <c r="E217" s="197"/>
      <c r="F217" s="197"/>
      <c r="G217" s="197"/>
      <c r="H217" s="197"/>
      <c r="I217" s="197"/>
      <c r="J217" s="204"/>
      <c r="K217" s="197"/>
      <c r="L217" s="197"/>
      <c r="M217" s="197"/>
      <c r="N217" s="197"/>
      <c r="O217" s="204"/>
      <c r="P217" s="197"/>
    </row>
    <row r="218">
      <c r="A218" s="172"/>
      <c r="B218" s="204"/>
      <c r="C218" s="204"/>
      <c r="D218" s="197"/>
      <c r="E218" s="197"/>
      <c r="F218" s="197"/>
      <c r="G218" s="197"/>
      <c r="H218" s="197"/>
      <c r="I218" s="197"/>
      <c r="J218" s="204"/>
      <c r="K218" s="197"/>
      <c r="L218" s="197"/>
      <c r="M218" s="197"/>
      <c r="N218" s="197"/>
      <c r="O218" s="204"/>
      <c r="P218" s="197"/>
    </row>
    <row r="219">
      <c r="A219" s="172"/>
      <c r="B219" s="204"/>
      <c r="C219" s="204"/>
      <c r="D219" s="197"/>
      <c r="E219" s="197"/>
      <c r="F219" s="197"/>
      <c r="G219" s="197"/>
      <c r="H219" s="197"/>
      <c r="I219" s="197"/>
      <c r="J219" s="204"/>
      <c r="K219" s="197"/>
      <c r="L219" s="197"/>
      <c r="M219" s="197"/>
      <c r="N219" s="197"/>
      <c r="O219" s="204"/>
      <c r="P219" s="197"/>
    </row>
    <row r="220">
      <c r="A220" s="172"/>
      <c r="B220" s="204"/>
      <c r="C220" s="204"/>
      <c r="D220" s="197"/>
      <c r="E220" s="197"/>
      <c r="F220" s="197"/>
      <c r="G220" s="197"/>
      <c r="H220" s="197"/>
      <c r="I220" s="197"/>
      <c r="J220" s="204"/>
      <c r="K220" s="197"/>
      <c r="L220" s="197"/>
      <c r="M220" s="197"/>
      <c r="N220" s="197"/>
      <c r="O220" s="204"/>
      <c r="P220" s="197"/>
    </row>
    <row r="221">
      <c r="A221" s="172"/>
      <c r="B221" s="204"/>
      <c r="C221" s="204"/>
      <c r="D221" s="197"/>
      <c r="E221" s="197"/>
      <c r="F221" s="197"/>
      <c r="G221" s="197"/>
      <c r="H221" s="197"/>
      <c r="I221" s="197"/>
      <c r="J221" s="204"/>
      <c r="K221" s="197"/>
      <c r="L221" s="197"/>
      <c r="M221" s="197"/>
      <c r="N221" s="197"/>
      <c r="O221" s="204"/>
      <c r="P221" s="197"/>
    </row>
    <row r="222">
      <c r="A222" s="172"/>
      <c r="B222" s="204"/>
      <c r="C222" s="204"/>
      <c r="D222" s="197"/>
      <c r="E222" s="197"/>
      <c r="F222" s="197"/>
      <c r="G222" s="197"/>
      <c r="H222" s="197"/>
      <c r="I222" s="197"/>
      <c r="J222" s="204"/>
      <c r="K222" s="197"/>
      <c r="L222" s="197"/>
      <c r="M222" s="197"/>
      <c r="N222" s="197"/>
      <c r="O222" s="204"/>
      <c r="P222" s="197"/>
    </row>
    <row r="223">
      <c r="A223" s="172"/>
      <c r="B223" s="204"/>
      <c r="C223" s="204"/>
      <c r="D223" s="197"/>
      <c r="E223" s="197"/>
      <c r="F223" s="197"/>
      <c r="G223" s="197"/>
      <c r="H223" s="197"/>
      <c r="I223" s="197"/>
      <c r="J223" s="204"/>
      <c r="K223" s="197"/>
      <c r="L223" s="197"/>
      <c r="M223" s="197"/>
      <c r="N223" s="197"/>
      <c r="O223" s="204"/>
      <c r="P223" s="197"/>
    </row>
    <row r="224">
      <c r="A224" s="172"/>
      <c r="B224" s="204"/>
      <c r="C224" s="204"/>
      <c r="D224" s="197"/>
      <c r="E224" s="197"/>
      <c r="F224" s="197"/>
      <c r="G224" s="197"/>
      <c r="H224" s="197"/>
      <c r="I224" s="197"/>
      <c r="J224" s="204"/>
      <c r="K224" s="197"/>
      <c r="L224" s="197"/>
      <c r="M224" s="197"/>
      <c r="N224" s="197"/>
      <c r="O224" s="204"/>
      <c r="P224" s="197"/>
    </row>
    <row r="225">
      <c r="A225" s="172"/>
      <c r="B225" s="204"/>
      <c r="C225" s="204"/>
      <c r="D225" s="197"/>
      <c r="E225" s="197"/>
      <c r="F225" s="197"/>
      <c r="G225" s="197"/>
      <c r="H225" s="197"/>
      <c r="I225" s="197"/>
      <c r="J225" s="204"/>
      <c r="K225" s="197"/>
      <c r="L225" s="197"/>
      <c r="M225" s="197"/>
      <c r="N225" s="197"/>
      <c r="O225" s="204"/>
      <c r="P225" s="197"/>
    </row>
    <row r="226">
      <c r="A226" s="172"/>
      <c r="B226" s="204"/>
      <c r="C226" s="204"/>
      <c r="D226" s="197"/>
      <c r="E226" s="197"/>
      <c r="F226" s="197"/>
      <c r="G226" s="197"/>
      <c r="H226" s="197"/>
      <c r="I226" s="197"/>
      <c r="J226" s="204"/>
      <c r="K226" s="197"/>
      <c r="L226" s="197"/>
      <c r="M226" s="197"/>
      <c r="N226" s="197"/>
      <c r="O226" s="204"/>
      <c r="P226" s="197"/>
    </row>
    <row r="227">
      <c r="A227" s="172"/>
      <c r="B227" s="204"/>
      <c r="C227" s="204"/>
      <c r="D227" s="197"/>
      <c r="E227" s="197"/>
      <c r="F227" s="197"/>
      <c r="G227" s="197"/>
      <c r="H227" s="197"/>
      <c r="I227" s="197"/>
      <c r="J227" s="204"/>
      <c r="K227" s="197"/>
      <c r="L227" s="197"/>
      <c r="M227" s="197"/>
      <c r="N227" s="197"/>
      <c r="O227" s="204"/>
      <c r="P227" s="197"/>
    </row>
    <row r="228">
      <c r="A228" s="172"/>
      <c r="B228" s="204"/>
      <c r="C228" s="204"/>
      <c r="D228" s="197"/>
      <c r="E228" s="197"/>
      <c r="F228" s="197"/>
      <c r="G228" s="197"/>
      <c r="H228" s="197"/>
      <c r="I228" s="197"/>
      <c r="J228" s="204"/>
      <c r="K228" s="197"/>
      <c r="L228" s="197"/>
      <c r="M228" s="197"/>
      <c r="N228" s="197"/>
      <c r="O228" s="204"/>
      <c r="P228" s="197"/>
    </row>
    <row r="229">
      <c r="A229" s="172"/>
      <c r="B229" s="204"/>
      <c r="C229" s="204"/>
      <c r="D229" s="197"/>
      <c r="E229" s="197"/>
      <c r="F229" s="197"/>
      <c r="G229" s="197"/>
      <c r="H229" s="197"/>
      <c r="I229" s="197"/>
      <c r="J229" s="204"/>
      <c r="K229" s="197"/>
      <c r="L229" s="197"/>
      <c r="M229" s="197"/>
      <c r="N229" s="197"/>
      <c r="O229" s="204"/>
      <c r="P229" s="197"/>
    </row>
    <row r="230">
      <c r="A230" s="172"/>
      <c r="B230" s="204"/>
      <c r="C230" s="204"/>
      <c r="D230" s="197"/>
      <c r="E230" s="197"/>
      <c r="F230" s="197"/>
      <c r="G230" s="197"/>
      <c r="H230" s="197"/>
      <c r="I230" s="197"/>
      <c r="J230" s="204"/>
      <c r="K230" s="197"/>
      <c r="L230" s="197"/>
      <c r="M230" s="197"/>
      <c r="N230" s="197"/>
      <c r="O230" s="204"/>
      <c r="P230" s="197"/>
    </row>
    <row r="231">
      <c r="A231" s="172"/>
      <c r="B231" s="204"/>
      <c r="C231" s="204"/>
      <c r="D231" s="197"/>
      <c r="E231" s="197"/>
      <c r="F231" s="197"/>
      <c r="G231" s="197"/>
      <c r="H231" s="197"/>
      <c r="I231" s="197"/>
      <c r="J231" s="204"/>
      <c r="K231" s="197"/>
      <c r="L231" s="197"/>
      <c r="M231" s="197"/>
      <c r="N231" s="197"/>
      <c r="O231" s="204"/>
      <c r="P231" s="197"/>
    </row>
    <row r="232">
      <c r="A232" s="172"/>
      <c r="B232" s="204"/>
      <c r="C232" s="204"/>
      <c r="D232" s="197"/>
      <c r="E232" s="197"/>
      <c r="F232" s="197"/>
      <c r="G232" s="197"/>
      <c r="H232" s="197"/>
      <c r="I232" s="197"/>
      <c r="J232" s="204"/>
      <c r="K232" s="197"/>
      <c r="L232" s="197"/>
      <c r="M232" s="197"/>
      <c r="N232" s="197"/>
      <c r="O232" s="204"/>
      <c r="P232" s="197"/>
    </row>
    <row r="233">
      <c r="A233" s="172"/>
      <c r="B233" s="204"/>
      <c r="C233" s="204"/>
      <c r="D233" s="197"/>
      <c r="E233" s="197"/>
      <c r="F233" s="197"/>
      <c r="G233" s="197"/>
      <c r="H233" s="197"/>
      <c r="I233" s="197"/>
      <c r="J233" s="204"/>
      <c r="K233" s="197"/>
      <c r="L233" s="197"/>
      <c r="M233" s="197"/>
      <c r="N233" s="197"/>
      <c r="O233" s="204"/>
      <c r="P233" s="197"/>
    </row>
    <row r="234">
      <c r="A234" s="172"/>
      <c r="B234" s="204"/>
      <c r="C234" s="204"/>
      <c r="D234" s="197"/>
      <c r="E234" s="197"/>
      <c r="F234" s="197"/>
      <c r="G234" s="197"/>
      <c r="H234" s="197"/>
      <c r="I234" s="197"/>
      <c r="J234" s="204"/>
      <c r="K234" s="197"/>
      <c r="L234" s="197"/>
      <c r="M234" s="197"/>
      <c r="N234" s="197"/>
      <c r="O234" s="204"/>
      <c r="P234" s="197"/>
    </row>
    <row r="235">
      <c r="A235" s="172"/>
      <c r="B235" s="204"/>
      <c r="C235" s="204"/>
      <c r="D235" s="197"/>
      <c r="E235" s="197"/>
      <c r="F235" s="197"/>
      <c r="G235" s="197"/>
      <c r="H235" s="197"/>
      <c r="I235" s="197"/>
      <c r="J235" s="204"/>
      <c r="K235" s="197"/>
      <c r="L235" s="197"/>
      <c r="M235" s="197"/>
      <c r="N235" s="197"/>
      <c r="O235" s="204"/>
      <c r="P235" s="197"/>
    </row>
    <row r="236">
      <c r="A236" s="172"/>
      <c r="B236" s="204"/>
      <c r="C236" s="204"/>
      <c r="D236" s="197"/>
      <c r="E236" s="197"/>
      <c r="F236" s="197"/>
      <c r="G236" s="197"/>
      <c r="H236" s="197"/>
      <c r="I236" s="197"/>
      <c r="J236" s="204"/>
      <c r="K236" s="197"/>
      <c r="L236" s="197"/>
      <c r="M236" s="197"/>
      <c r="N236" s="197"/>
      <c r="O236" s="204"/>
      <c r="P236" s="197"/>
    </row>
    <row r="237">
      <c r="A237" s="172"/>
      <c r="B237" s="204"/>
      <c r="C237" s="204"/>
      <c r="D237" s="197"/>
      <c r="E237" s="197"/>
      <c r="F237" s="197"/>
      <c r="G237" s="197"/>
      <c r="H237" s="197"/>
      <c r="I237" s="197"/>
      <c r="J237" s="204"/>
      <c r="K237" s="197"/>
      <c r="L237" s="197"/>
      <c r="M237" s="197"/>
      <c r="N237" s="197"/>
      <c r="O237" s="204"/>
      <c r="P237" s="197"/>
    </row>
    <row r="238">
      <c r="A238" s="172"/>
      <c r="B238" s="204"/>
      <c r="C238" s="204"/>
      <c r="D238" s="197"/>
      <c r="E238" s="197"/>
      <c r="F238" s="197"/>
      <c r="G238" s="197"/>
      <c r="H238" s="197"/>
      <c r="I238" s="197"/>
      <c r="J238" s="204"/>
      <c r="K238" s="197"/>
      <c r="L238" s="197"/>
      <c r="M238" s="197"/>
      <c r="N238" s="197"/>
      <c r="O238" s="204"/>
      <c r="P238" s="197"/>
    </row>
    <row r="239">
      <c r="A239" s="172"/>
      <c r="B239" s="204"/>
      <c r="C239" s="204"/>
      <c r="D239" s="197"/>
      <c r="E239" s="197"/>
      <c r="F239" s="197"/>
      <c r="G239" s="197"/>
      <c r="H239" s="197"/>
      <c r="I239" s="197"/>
      <c r="J239" s="204"/>
      <c r="K239" s="197"/>
      <c r="L239" s="197"/>
      <c r="M239" s="197"/>
      <c r="N239" s="197"/>
      <c r="O239" s="204"/>
      <c r="P239" s="197"/>
    </row>
    <row r="240">
      <c r="A240" s="172"/>
      <c r="B240" s="204"/>
      <c r="C240" s="204"/>
      <c r="D240" s="197"/>
      <c r="E240" s="197"/>
      <c r="F240" s="197"/>
      <c r="G240" s="197"/>
      <c r="H240" s="197"/>
      <c r="I240" s="197"/>
      <c r="J240" s="204"/>
      <c r="K240" s="197"/>
      <c r="L240" s="197"/>
      <c r="M240" s="197"/>
      <c r="N240" s="197"/>
      <c r="O240" s="204"/>
      <c r="P240" s="197"/>
    </row>
    <row r="241">
      <c r="A241" s="172"/>
      <c r="B241" s="204"/>
      <c r="C241" s="204"/>
      <c r="D241" s="197"/>
      <c r="E241" s="197"/>
      <c r="F241" s="197"/>
      <c r="G241" s="197"/>
      <c r="H241" s="197"/>
      <c r="I241" s="197"/>
      <c r="J241" s="204"/>
      <c r="K241" s="197"/>
      <c r="L241" s="197"/>
      <c r="M241" s="197"/>
      <c r="N241" s="197"/>
      <c r="O241" s="204"/>
      <c r="P241" s="197"/>
    </row>
    <row r="242">
      <c r="A242" s="172"/>
      <c r="B242" s="204"/>
      <c r="C242" s="204"/>
      <c r="D242" s="197"/>
      <c r="E242" s="197"/>
      <c r="F242" s="197"/>
      <c r="G242" s="197"/>
      <c r="H242" s="197"/>
      <c r="I242" s="197"/>
      <c r="J242" s="204"/>
      <c r="K242" s="197"/>
      <c r="L242" s="197"/>
      <c r="M242" s="197"/>
      <c r="N242" s="197"/>
      <c r="O242" s="204"/>
      <c r="P242" s="197"/>
    </row>
    <row r="243">
      <c r="A243" s="172"/>
      <c r="B243" s="204"/>
      <c r="C243" s="204"/>
      <c r="D243" s="197"/>
      <c r="E243" s="197"/>
      <c r="F243" s="197"/>
      <c r="G243" s="197"/>
      <c r="H243" s="197"/>
      <c r="I243" s="197"/>
      <c r="J243" s="204"/>
      <c r="K243" s="197"/>
      <c r="L243" s="197"/>
      <c r="M243" s="197"/>
      <c r="N243" s="197"/>
      <c r="O243" s="204"/>
      <c r="P243" s="197"/>
    </row>
    <row r="244">
      <c r="A244" s="172"/>
      <c r="B244" s="204"/>
      <c r="C244" s="204"/>
      <c r="D244" s="197"/>
      <c r="E244" s="197"/>
      <c r="F244" s="197"/>
      <c r="G244" s="197"/>
      <c r="H244" s="197"/>
      <c r="I244" s="197"/>
      <c r="J244" s="204"/>
      <c r="K244" s="197"/>
      <c r="L244" s="197"/>
      <c r="M244" s="197"/>
      <c r="N244" s="197"/>
      <c r="O244" s="204"/>
      <c r="P244" s="197"/>
    </row>
    <row r="245">
      <c r="A245" s="172"/>
      <c r="B245" s="204"/>
      <c r="C245" s="204"/>
      <c r="D245" s="197"/>
      <c r="E245" s="197"/>
      <c r="F245" s="197"/>
      <c r="G245" s="197"/>
      <c r="H245" s="197"/>
      <c r="I245" s="197"/>
      <c r="J245" s="204"/>
      <c r="K245" s="197"/>
      <c r="L245" s="197"/>
      <c r="M245" s="197"/>
      <c r="N245" s="197"/>
      <c r="O245" s="204"/>
      <c r="P245" s="197"/>
    </row>
    <row r="246">
      <c r="A246" s="172"/>
      <c r="B246" s="204"/>
      <c r="C246" s="204"/>
      <c r="D246" s="197"/>
      <c r="E246" s="197"/>
      <c r="F246" s="197"/>
      <c r="G246" s="197"/>
      <c r="H246" s="197"/>
      <c r="I246" s="197"/>
      <c r="J246" s="204"/>
      <c r="K246" s="197"/>
      <c r="L246" s="197"/>
      <c r="M246" s="197"/>
      <c r="N246" s="197"/>
      <c r="O246" s="204"/>
      <c r="P246" s="197"/>
    </row>
    <row r="247">
      <c r="A247" s="172"/>
      <c r="B247" s="204"/>
      <c r="C247" s="204"/>
      <c r="D247" s="197"/>
      <c r="E247" s="197"/>
      <c r="F247" s="197"/>
      <c r="G247" s="197"/>
      <c r="H247" s="197"/>
      <c r="I247" s="197"/>
      <c r="J247" s="204"/>
      <c r="K247" s="197"/>
      <c r="L247" s="197"/>
      <c r="M247" s="197"/>
      <c r="N247" s="197"/>
      <c r="O247" s="204"/>
      <c r="P247" s="197"/>
    </row>
    <row r="248">
      <c r="A248" s="172"/>
      <c r="B248" s="204"/>
      <c r="C248" s="204"/>
      <c r="D248" s="197"/>
      <c r="E248" s="197"/>
      <c r="F248" s="197"/>
      <c r="G248" s="197"/>
      <c r="H248" s="197"/>
      <c r="I248" s="197"/>
      <c r="J248" s="204"/>
      <c r="K248" s="197"/>
      <c r="L248" s="197"/>
      <c r="M248" s="197"/>
      <c r="N248" s="197"/>
      <c r="O248" s="204"/>
      <c r="P248" s="197"/>
    </row>
    <row r="249">
      <c r="A249" s="172"/>
      <c r="B249" s="204"/>
      <c r="C249" s="204"/>
      <c r="D249" s="197"/>
      <c r="E249" s="197"/>
      <c r="F249" s="197"/>
      <c r="G249" s="197"/>
      <c r="H249" s="197"/>
      <c r="I249" s="197"/>
      <c r="J249" s="204"/>
      <c r="K249" s="197"/>
      <c r="L249" s="197"/>
      <c r="M249" s="197"/>
      <c r="N249" s="197"/>
      <c r="O249" s="204"/>
      <c r="P249" s="197"/>
    </row>
    <row r="250">
      <c r="A250" s="172"/>
      <c r="B250" s="204"/>
      <c r="C250" s="204"/>
      <c r="D250" s="197"/>
      <c r="E250" s="197"/>
      <c r="F250" s="197"/>
      <c r="G250" s="197"/>
      <c r="H250" s="197"/>
      <c r="I250" s="197"/>
      <c r="J250" s="204"/>
      <c r="K250" s="197"/>
      <c r="L250" s="197"/>
      <c r="M250" s="197"/>
      <c r="N250" s="197"/>
      <c r="O250" s="204"/>
      <c r="P250" s="197"/>
    </row>
    <row r="251">
      <c r="A251" s="172"/>
      <c r="B251" s="204"/>
      <c r="C251" s="204"/>
      <c r="D251" s="197"/>
      <c r="E251" s="197"/>
      <c r="F251" s="197"/>
      <c r="G251" s="197"/>
      <c r="H251" s="197"/>
      <c r="I251" s="197"/>
      <c r="J251" s="204"/>
      <c r="K251" s="197"/>
      <c r="L251" s="197"/>
      <c r="M251" s="197"/>
      <c r="N251" s="197"/>
      <c r="O251" s="204"/>
      <c r="P251" s="197"/>
    </row>
    <row r="252">
      <c r="A252" s="172"/>
      <c r="B252" s="204"/>
      <c r="C252" s="204"/>
      <c r="D252" s="197"/>
      <c r="E252" s="197"/>
      <c r="F252" s="197"/>
      <c r="G252" s="197"/>
      <c r="H252" s="197"/>
      <c r="I252" s="197"/>
      <c r="J252" s="204"/>
      <c r="K252" s="197"/>
      <c r="L252" s="197"/>
      <c r="M252" s="197"/>
      <c r="N252" s="197"/>
      <c r="O252" s="204"/>
      <c r="P252" s="197"/>
    </row>
    <row r="253">
      <c r="A253" s="172"/>
      <c r="B253" s="204"/>
      <c r="C253" s="204"/>
      <c r="D253" s="197"/>
      <c r="E253" s="197"/>
      <c r="F253" s="197"/>
      <c r="G253" s="197"/>
      <c r="H253" s="197"/>
      <c r="I253" s="197"/>
      <c r="J253" s="204"/>
      <c r="K253" s="197"/>
      <c r="L253" s="197"/>
      <c r="M253" s="197"/>
      <c r="N253" s="197"/>
      <c r="O253" s="204"/>
      <c r="P253" s="197"/>
    </row>
    <row r="254">
      <c r="A254" s="172"/>
      <c r="B254" s="204"/>
      <c r="C254" s="204"/>
      <c r="D254" s="197"/>
      <c r="E254" s="197"/>
      <c r="F254" s="197"/>
      <c r="G254" s="197"/>
      <c r="H254" s="197"/>
      <c r="I254" s="197"/>
      <c r="J254" s="204"/>
      <c r="K254" s="197"/>
      <c r="L254" s="197"/>
      <c r="M254" s="197"/>
      <c r="N254" s="197"/>
      <c r="O254" s="204"/>
      <c r="P254" s="197"/>
    </row>
    <row r="255">
      <c r="A255" s="172"/>
      <c r="B255" s="204"/>
      <c r="C255" s="204"/>
      <c r="D255" s="197"/>
      <c r="E255" s="197"/>
      <c r="F255" s="197"/>
      <c r="G255" s="197"/>
      <c r="H255" s="197"/>
      <c r="I255" s="197"/>
      <c r="J255" s="204"/>
      <c r="K255" s="197"/>
      <c r="L255" s="197"/>
      <c r="M255" s="197"/>
      <c r="N255" s="197"/>
      <c r="O255" s="204"/>
      <c r="P255" s="197"/>
    </row>
    <row r="256">
      <c r="A256" s="172"/>
      <c r="B256" s="204"/>
      <c r="C256" s="204"/>
      <c r="D256" s="197"/>
      <c r="E256" s="197"/>
      <c r="F256" s="197"/>
      <c r="G256" s="197"/>
      <c r="H256" s="197"/>
      <c r="I256" s="197"/>
      <c r="J256" s="204"/>
      <c r="K256" s="197"/>
      <c r="L256" s="197"/>
      <c r="M256" s="197"/>
      <c r="N256" s="197"/>
      <c r="O256" s="204"/>
      <c r="P256" s="197"/>
    </row>
    <row r="257">
      <c r="A257" s="172"/>
      <c r="B257" s="204"/>
      <c r="C257" s="204"/>
      <c r="D257" s="197"/>
      <c r="E257" s="197"/>
      <c r="F257" s="197"/>
      <c r="G257" s="197"/>
      <c r="H257" s="197"/>
      <c r="I257" s="197"/>
      <c r="J257" s="204"/>
      <c r="K257" s="197"/>
      <c r="L257" s="197"/>
      <c r="M257" s="197"/>
      <c r="N257" s="197"/>
      <c r="O257" s="204"/>
      <c r="P257" s="197"/>
    </row>
    <row r="258">
      <c r="A258" s="172"/>
      <c r="B258" s="204"/>
      <c r="C258" s="204"/>
      <c r="D258" s="197"/>
      <c r="E258" s="197"/>
      <c r="F258" s="197"/>
      <c r="G258" s="197"/>
      <c r="H258" s="197"/>
      <c r="I258" s="197"/>
      <c r="J258" s="204"/>
      <c r="K258" s="197"/>
      <c r="L258" s="197"/>
      <c r="M258" s="197"/>
      <c r="N258" s="197"/>
      <c r="O258" s="204"/>
      <c r="P258" s="197"/>
    </row>
    <row r="259">
      <c r="A259" s="172"/>
      <c r="B259" s="204"/>
      <c r="C259" s="204"/>
      <c r="D259" s="197"/>
      <c r="E259" s="197"/>
      <c r="F259" s="197"/>
      <c r="G259" s="197"/>
      <c r="H259" s="197"/>
      <c r="I259" s="197"/>
      <c r="J259" s="204"/>
      <c r="K259" s="197"/>
      <c r="L259" s="197"/>
      <c r="M259" s="197"/>
      <c r="N259" s="197"/>
      <c r="O259" s="204"/>
      <c r="P259" s="197"/>
    </row>
    <row r="260">
      <c r="A260" s="172"/>
      <c r="B260" s="204"/>
      <c r="C260" s="204"/>
      <c r="D260" s="197"/>
      <c r="E260" s="197"/>
      <c r="F260" s="197"/>
      <c r="G260" s="197"/>
      <c r="H260" s="197"/>
      <c r="I260" s="197"/>
      <c r="J260" s="204"/>
      <c r="K260" s="197"/>
      <c r="L260" s="197"/>
      <c r="M260" s="197"/>
      <c r="N260" s="197"/>
      <c r="O260" s="204"/>
      <c r="P260" s="197"/>
    </row>
    <row r="261">
      <c r="A261" s="172"/>
      <c r="B261" s="204"/>
      <c r="C261" s="204"/>
      <c r="D261" s="197"/>
      <c r="E261" s="197"/>
      <c r="F261" s="197"/>
      <c r="G261" s="197"/>
      <c r="H261" s="197"/>
      <c r="I261" s="197"/>
      <c r="J261" s="204"/>
      <c r="K261" s="197"/>
      <c r="L261" s="197"/>
      <c r="M261" s="197"/>
      <c r="N261" s="197"/>
      <c r="O261" s="204"/>
      <c r="P261" s="197"/>
    </row>
    <row r="262">
      <c r="A262" s="172"/>
      <c r="B262" s="204"/>
      <c r="C262" s="204"/>
      <c r="D262" s="197"/>
      <c r="E262" s="197"/>
      <c r="F262" s="197"/>
      <c r="G262" s="197"/>
      <c r="H262" s="197"/>
      <c r="I262" s="197"/>
      <c r="J262" s="204"/>
      <c r="K262" s="197"/>
      <c r="L262" s="197"/>
      <c r="M262" s="197"/>
      <c r="N262" s="197"/>
      <c r="O262" s="204"/>
      <c r="P262" s="197"/>
    </row>
    <row r="263">
      <c r="A263" s="172"/>
      <c r="B263" s="204"/>
      <c r="C263" s="204"/>
      <c r="D263" s="197"/>
      <c r="E263" s="197"/>
      <c r="F263" s="197"/>
      <c r="G263" s="197"/>
      <c r="H263" s="197"/>
      <c r="I263" s="197"/>
      <c r="J263" s="204"/>
      <c r="K263" s="197"/>
      <c r="L263" s="197"/>
      <c r="M263" s="197"/>
      <c r="N263" s="197"/>
      <c r="O263" s="204"/>
      <c r="P263" s="197"/>
    </row>
    <row r="264">
      <c r="A264" s="172"/>
      <c r="B264" s="204"/>
      <c r="C264" s="204"/>
      <c r="D264" s="197"/>
      <c r="E264" s="197"/>
      <c r="F264" s="197"/>
      <c r="G264" s="197"/>
      <c r="H264" s="197"/>
      <c r="I264" s="197"/>
      <c r="J264" s="204"/>
      <c r="K264" s="197"/>
      <c r="L264" s="197"/>
      <c r="M264" s="197"/>
      <c r="N264" s="197"/>
      <c r="O264" s="204"/>
      <c r="P264" s="197"/>
    </row>
    <row r="265">
      <c r="A265" s="172"/>
      <c r="B265" s="204"/>
      <c r="C265" s="204"/>
      <c r="D265" s="197"/>
      <c r="E265" s="197"/>
      <c r="F265" s="197"/>
      <c r="G265" s="197"/>
      <c r="H265" s="197"/>
      <c r="I265" s="197"/>
      <c r="J265" s="204"/>
      <c r="K265" s="197"/>
      <c r="L265" s="197"/>
      <c r="M265" s="197"/>
      <c r="N265" s="197"/>
      <c r="O265" s="204"/>
      <c r="P265" s="197"/>
    </row>
    <row r="266">
      <c r="A266" s="172"/>
      <c r="B266" s="204"/>
      <c r="C266" s="204"/>
      <c r="D266" s="197"/>
      <c r="E266" s="197"/>
      <c r="F266" s="197"/>
      <c r="G266" s="197"/>
      <c r="H266" s="197"/>
      <c r="I266" s="197"/>
      <c r="J266" s="204"/>
      <c r="K266" s="197"/>
      <c r="L266" s="197"/>
      <c r="M266" s="197"/>
      <c r="N266" s="197"/>
      <c r="O266" s="204"/>
      <c r="P266" s="197"/>
    </row>
    <row r="267">
      <c r="A267" s="172"/>
      <c r="B267" s="204"/>
      <c r="C267" s="204"/>
      <c r="D267" s="197"/>
      <c r="E267" s="197"/>
      <c r="F267" s="197"/>
      <c r="G267" s="197"/>
      <c r="H267" s="197"/>
      <c r="I267" s="197"/>
      <c r="J267" s="204"/>
      <c r="K267" s="197"/>
      <c r="L267" s="197"/>
      <c r="M267" s="197"/>
      <c r="N267" s="197"/>
      <c r="O267" s="204"/>
      <c r="P267" s="197"/>
    </row>
    <row r="268">
      <c r="A268" s="172"/>
      <c r="B268" s="204"/>
      <c r="C268" s="204"/>
      <c r="D268" s="197"/>
      <c r="E268" s="197"/>
      <c r="F268" s="197"/>
      <c r="G268" s="197"/>
      <c r="H268" s="197"/>
      <c r="I268" s="197"/>
      <c r="J268" s="204"/>
      <c r="K268" s="197"/>
      <c r="L268" s="197"/>
      <c r="M268" s="197"/>
      <c r="N268" s="197"/>
      <c r="O268" s="204"/>
      <c r="P268" s="197"/>
    </row>
    <row r="269">
      <c r="A269" s="172"/>
      <c r="B269" s="204"/>
      <c r="C269" s="204"/>
      <c r="D269" s="197"/>
      <c r="E269" s="197"/>
      <c r="F269" s="197"/>
      <c r="G269" s="197"/>
      <c r="H269" s="197"/>
      <c r="I269" s="197"/>
      <c r="J269" s="204"/>
      <c r="K269" s="197"/>
      <c r="L269" s="197"/>
      <c r="M269" s="197"/>
      <c r="N269" s="197"/>
      <c r="O269" s="204"/>
      <c r="P269" s="197"/>
    </row>
    <row r="270">
      <c r="A270" s="172"/>
      <c r="B270" s="204"/>
      <c r="C270" s="204"/>
      <c r="D270" s="197"/>
      <c r="E270" s="197"/>
      <c r="F270" s="197"/>
      <c r="G270" s="197"/>
      <c r="H270" s="197"/>
      <c r="I270" s="197"/>
      <c r="J270" s="204"/>
      <c r="K270" s="197"/>
      <c r="L270" s="197"/>
      <c r="M270" s="197"/>
      <c r="N270" s="197"/>
      <c r="O270" s="204"/>
      <c r="P270" s="197"/>
    </row>
    <row r="271">
      <c r="A271" s="172"/>
      <c r="B271" s="204"/>
      <c r="C271" s="204"/>
      <c r="D271" s="197"/>
      <c r="E271" s="197"/>
      <c r="F271" s="197"/>
      <c r="G271" s="197"/>
      <c r="H271" s="197"/>
      <c r="I271" s="197"/>
      <c r="J271" s="204"/>
      <c r="K271" s="197"/>
      <c r="L271" s="197"/>
      <c r="M271" s="197"/>
      <c r="N271" s="197"/>
      <c r="O271" s="204"/>
      <c r="P271" s="197"/>
    </row>
    <row r="272">
      <c r="A272" s="172"/>
      <c r="B272" s="204"/>
      <c r="C272" s="204"/>
      <c r="D272" s="197"/>
      <c r="E272" s="197"/>
      <c r="F272" s="197"/>
      <c r="G272" s="197"/>
      <c r="H272" s="197"/>
      <c r="I272" s="197"/>
      <c r="J272" s="204"/>
      <c r="K272" s="197"/>
      <c r="L272" s="197"/>
      <c r="M272" s="197"/>
      <c r="N272" s="197"/>
      <c r="O272" s="204"/>
      <c r="P272" s="197"/>
    </row>
    <row r="273">
      <c r="A273" s="172"/>
      <c r="B273" s="204"/>
      <c r="C273" s="204"/>
      <c r="D273" s="197"/>
      <c r="E273" s="197"/>
      <c r="F273" s="197"/>
      <c r="G273" s="197"/>
      <c r="H273" s="197"/>
      <c r="I273" s="197"/>
      <c r="J273" s="204"/>
      <c r="K273" s="197"/>
      <c r="L273" s="197"/>
      <c r="M273" s="197"/>
      <c r="N273" s="197"/>
      <c r="O273" s="204"/>
      <c r="P273" s="197"/>
    </row>
    <row r="274">
      <c r="A274" s="172"/>
      <c r="B274" s="204"/>
      <c r="C274" s="204"/>
      <c r="D274" s="197"/>
      <c r="E274" s="197"/>
      <c r="F274" s="197"/>
      <c r="G274" s="197"/>
      <c r="H274" s="197"/>
      <c r="I274" s="197"/>
      <c r="J274" s="204"/>
      <c r="K274" s="197"/>
      <c r="L274" s="197"/>
      <c r="M274" s="197"/>
      <c r="N274" s="197"/>
      <c r="O274" s="204"/>
      <c r="P274" s="197"/>
    </row>
    <row r="275">
      <c r="A275" s="172"/>
      <c r="B275" s="204"/>
      <c r="C275" s="204"/>
      <c r="D275" s="197"/>
      <c r="E275" s="197"/>
      <c r="F275" s="197"/>
      <c r="G275" s="197"/>
      <c r="H275" s="197"/>
      <c r="I275" s="197"/>
      <c r="J275" s="204"/>
      <c r="K275" s="197"/>
      <c r="L275" s="197"/>
      <c r="M275" s="197"/>
      <c r="N275" s="197"/>
      <c r="O275" s="204"/>
      <c r="P275" s="197"/>
    </row>
    <row r="276">
      <c r="A276" s="172"/>
      <c r="B276" s="204"/>
      <c r="C276" s="204"/>
      <c r="D276" s="197"/>
      <c r="E276" s="197"/>
      <c r="F276" s="197"/>
      <c r="G276" s="197"/>
      <c r="H276" s="197"/>
      <c r="I276" s="197"/>
      <c r="J276" s="204"/>
      <c r="K276" s="197"/>
      <c r="L276" s="197"/>
      <c r="M276" s="197"/>
      <c r="N276" s="197"/>
      <c r="O276" s="204"/>
      <c r="P276" s="197"/>
    </row>
    <row r="277">
      <c r="A277" s="172"/>
      <c r="B277" s="204"/>
      <c r="C277" s="204"/>
      <c r="D277" s="197"/>
      <c r="E277" s="197"/>
      <c r="F277" s="197"/>
      <c r="G277" s="197"/>
      <c r="H277" s="197"/>
      <c r="I277" s="197"/>
      <c r="J277" s="204"/>
      <c r="K277" s="197"/>
      <c r="L277" s="197"/>
      <c r="M277" s="197"/>
      <c r="N277" s="197"/>
      <c r="O277" s="204"/>
      <c r="P277" s="197"/>
    </row>
    <row r="278">
      <c r="A278" s="172"/>
      <c r="B278" s="204"/>
      <c r="C278" s="204"/>
      <c r="D278" s="197"/>
      <c r="E278" s="197"/>
      <c r="F278" s="197"/>
      <c r="G278" s="197"/>
      <c r="H278" s="197"/>
      <c r="I278" s="197"/>
      <c r="J278" s="204"/>
      <c r="K278" s="197"/>
      <c r="L278" s="197"/>
      <c r="M278" s="197"/>
      <c r="N278" s="197"/>
      <c r="O278" s="204"/>
      <c r="P278" s="197"/>
    </row>
    <row r="279">
      <c r="A279" s="172"/>
      <c r="B279" s="204"/>
      <c r="C279" s="204"/>
      <c r="D279" s="197"/>
      <c r="E279" s="197"/>
      <c r="F279" s="197"/>
      <c r="G279" s="197"/>
      <c r="H279" s="197"/>
      <c r="I279" s="197"/>
      <c r="J279" s="204"/>
      <c r="K279" s="197"/>
      <c r="L279" s="197"/>
      <c r="M279" s="197"/>
      <c r="N279" s="197"/>
      <c r="O279" s="204"/>
      <c r="P279" s="197"/>
    </row>
    <row r="280">
      <c r="A280" s="172"/>
      <c r="B280" s="204"/>
      <c r="C280" s="204"/>
      <c r="D280" s="197"/>
      <c r="E280" s="197"/>
      <c r="F280" s="197"/>
      <c r="G280" s="197"/>
      <c r="H280" s="197"/>
      <c r="I280" s="197"/>
      <c r="J280" s="204"/>
      <c r="K280" s="197"/>
      <c r="L280" s="197"/>
      <c r="M280" s="197"/>
      <c r="N280" s="197"/>
      <c r="O280" s="204"/>
      <c r="P280" s="197"/>
    </row>
    <row r="281">
      <c r="A281" s="172"/>
      <c r="B281" s="204"/>
      <c r="C281" s="204"/>
      <c r="D281" s="197"/>
      <c r="E281" s="197"/>
      <c r="F281" s="197"/>
      <c r="G281" s="197"/>
      <c r="H281" s="197"/>
      <c r="I281" s="197"/>
      <c r="J281" s="204"/>
      <c r="K281" s="197"/>
      <c r="L281" s="197"/>
      <c r="M281" s="197"/>
      <c r="N281" s="197"/>
      <c r="O281" s="204"/>
      <c r="P281" s="197"/>
    </row>
    <row r="282">
      <c r="A282" s="172"/>
      <c r="B282" s="204"/>
      <c r="C282" s="204"/>
      <c r="D282" s="197"/>
      <c r="E282" s="197"/>
      <c r="F282" s="197"/>
      <c r="G282" s="197"/>
      <c r="H282" s="197"/>
      <c r="I282" s="197"/>
      <c r="J282" s="204"/>
      <c r="K282" s="197"/>
      <c r="L282" s="197"/>
      <c r="M282" s="197"/>
      <c r="N282" s="197"/>
      <c r="O282" s="204"/>
      <c r="P282" s="197"/>
    </row>
    <row r="283">
      <c r="A283" s="172"/>
      <c r="B283" s="204"/>
      <c r="C283" s="204"/>
      <c r="D283" s="197"/>
      <c r="E283" s="197"/>
      <c r="F283" s="197"/>
      <c r="G283" s="197"/>
      <c r="H283" s="197"/>
      <c r="I283" s="197"/>
      <c r="J283" s="204"/>
      <c r="K283" s="197"/>
      <c r="L283" s="197"/>
      <c r="M283" s="197"/>
      <c r="N283" s="197"/>
      <c r="O283" s="204"/>
      <c r="P283" s="197"/>
    </row>
    <row r="284">
      <c r="A284" s="172"/>
      <c r="B284" s="204"/>
      <c r="C284" s="204"/>
      <c r="D284" s="197"/>
      <c r="E284" s="197"/>
      <c r="F284" s="197"/>
      <c r="G284" s="197"/>
      <c r="H284" s="197"/>
      <c r="I284" s="197"/>
      <c r="J284" s="204"/>
      <c r="K284" s="197"/>
      <c r="L284" s="197"/>
      <c r="M284" s="197"/>
      <c r="N284" s="197"/>
      <c r="O284" s="204"/>
      <c r="P284" s="197"/>
    </row>
    <row r="285">
      <c r="A285" s="172"/>
      <c r="B285" s="204"/>
      <c r="C285" s="204"/>
      <c r="D285" s="197"/>
      <c r="E285" s="197"/>
      <c r="F285" s="197"/>
      <c r="G285" s="197"/>
      <c r="H285" s="197"/>
      <c r="I285" s="197"/>
      <c r="J285" s="204"/>
      <c r="K285" s="197"/>
      <c r="L285" s="197"/>
      <c r="M285" s="197"/>
      <c r="N285" s="197"/>
      <c r="O285" s="204"/>
      <c r="P285" s="197"/>
    </row>
    <row r="286">
      <c r="A286" s="172"/>
      <c r="B286" s="204"/>
      <c r="C286" s="204"/>
      <c r="D286" s="197"/>
      <c r="E286" s="197"/>
      <c r="F286" s="197"/>
      <c r="G286" s="197"/>
      <c r="H286" s="197"/>
      <c r="I286" s="197"/>
      <c r="J286" s="204"/>
      <c r="K286" s="197"/>
      <c r="L286" s="197"/>
      <c r="M286" s="197"/>
      <c r="N286" s="197"/>
      <c r="O286" s="204"/>
      <c r="P286" s="197"/>
    </row>
    <row r="287">
      <c r="A287" s="172"/>
      <c r="B287" s="204"/>
      <c r="C287" s="204"/>
      <c r="D287" s="197"/>
      <c r="E287" s="197"/>
      <c r="F287" s="197"/>
      <c r="G287" s="197"/>
      <c r="H287" s="197"/>
      <c r="I287" s="197"/>
      <c r="J287" s="204"/>
      <c r="K287" s="197"/>
      <c r="L287" s="197"/>
      <c r="M287" s="197"/>
      <c r="N287" s="197"/>
      <c r="O287" s="204"/>
      <c r="P287" s="197"/>
    </row>
    <row r="288">
      <c r="A288" s="172"/>
      <c r="B288" s="204"/>
      <c r="C288" s="204"/>
      <c r="D288" s="197"/>
      <c r="E288" s="197"/>
      <c r="F288" s="197"/>
      <c r="G288" s="197"/>
      <c r="H288" s="197"/>
      <c r="I288" s="197"/>
      <c r="J288" s="204"/>
      <c r="K288" s="197"/>
      <c r="L288" s="197"/>
      <c r="M288" s="197"/>
      <c r="N288" s="197"/>
      <c r="O288" s="204"/>
      <c r="P288" s="197"/>
    </row>
    <row r="289">
      <c r="A289" s="172"/>
      <c r="B289" s="204"/>
      <c r="C289" s="204"/>
      <c r="D289" s="197"/>
      <c r="E289" s="197"/>
      <c r="F289" s="197"/>
      <c r="G289" s="197"/>
      <c r="H289" s="197"/>
      <c r="I289" s="197"/>
      <c r="J289" s="204"/>
      <c r="K289" s="197"/>
      <c r="L289" s="197"/>
      <c r="M289" s="197"/>
      <c r="N289" s="197"/>
      <c r="O289" s="204"/>
      <c r="P289" s="197"/>
    </row>
    <row r="290">
      <c r="A290" s="172"/>
      <c r="B290" s="204"/>
      <c r="C290" s="204"/>
      <c r="D290" s="197"/>
      <c r="E290" s="197"/>
      <c r="F290" s="197"/>
      <c r="G290" s="197"/>
      <c r="H290" s="197"/>
      <c r="I290" s="197"/>
      <c r="J290" s="204"/>
      <c r="K290" s="197"/>
      <c r="L290" s="197"/>
      <c r="M290" s="197"/>
      <c r="N290" s="197"/>
      <c r="O290" s="204"/>
      <c r="P290" s="197"/>
    </row>
    <row r="291">
      <c r="A291" s="172"/>
      <c r="B291" s="204"/>
      <c r="C291" s="204"/>
      <c r="D291" s="197"/>
      <c r="E291" s="197"/>
      <c r="F291" s="197"/>
      <c r="G291" s="197"/>
      <c r="H291" s="197"/>
      <c r="I291" s="197"/>
      <c r="J291" s="204"/>
      <c r="K291" s="197"/>
      <c r="L291" s="197"/>
      <c r="M291" s="197"/>
      <c r="N291" s="197"/>
      <c r="O291" s="204"/>
      <c r="P291" s="197"/>
    </row>
    <row r="292">
      <c r="A292" s="172"/>
      <c r="B292" s="204"/>
      <c r="C292" s="204"/>
      <c r="D292" s="197"/>
      <c r="E292" s="197"/>
      <c r="F292" s="197"/>
      <c r="G292" s="197"/>
      <c r="H292" s="197"/>
      <c r="I292" s="197"/>
      <c r="J292" s="204"/>
      <c r="K292" s="197"/>
      <c r="L292" s="197"/>
      <c r="M292" s="197"/>
      <c r="N292" s="197"/>
      <c r="O292" s="204"/>
      <c r="P292" s="197"/>
    </row>
    <row r="293">
      <c r="A293" s="172"/>
      <c r="B293" s="204"/>
      <c r="C293" s="204"/>
      <c r="D293" s="197"/>
      <c r="E293" s="197"/>
      <c r="F293" s="197"/>
      <c r="G293" s="197"/>
      <c r="H293" s="197"/>
      <c r="I293" s="197"/>
      <c r="J293" s="204"/>
      <c r="K293" s="197"/>
      <c r="L293" s="197"/>
      <c r="M293" s="197"/>
      <c r="N293" s="197"/>
      <c r="O293" s="204"/>
      <c r="P293" s="197"/>
    </row>
    <row r="294">
      <c r="A294" s="172"/>
      <c r="B294" s="204"/>
      <c r="C294" s="204"/>
      <c r="D294" s="197"/>
      <c r="E294" s="197"/>
      <c r="F294" s="197"/>
      <c r="G294" s="197"/>
      <c r="H294" s="197"/>
      <c r="I294" s="197"/>
      <c r="J294" s="204"/>
      <c r="K294" s="197"/>
      <c r="L294" s="197"/>
      <c r="M294" s="197"/>
      <c r="N294" s="197"/>
      <c r="O294" s="204"/>
      <c r="P294" s="197"/>
    </row>
    <row r="295">
      <c r="A295" s="172"/>
      <c r="B295" s="204"/>
      <c r="C295" s="204"/>
      <c r="D295" s="197"/>
      <c r="E295" s="197"/>
      <c r="F295" s="197"/>
      <c r="G295" s="197"/>
      <c r="H295" s="197"/>
      <c r="I295" s="197"/>
      <c r="J295" s="204"/>
      <c r="K295" s="197"/>
      <c r="L295" s="197"/>
      <c r="M295" s="197"/>
      <c r="N295" s="197"/>
      <c r="O295" s="204"/>
      <c r="P295" s="197"/>
    </row>
    <row r="296">
      <c r="A296" s="172"/>
      <c r="B296" s="204"/>
      <c r="C296" s="204"/>
      <c r="D296" s="197"/>
      <c r="E296" s="197"/>
      <c r="F296" s="197"/>
      <c r="G296" s="197"/>
      <c r="H296" s="197"/>
      <c r="I296" s="197"/>
      <c r="J296" s="204"/>
      <c r="K296" s="197"/>
      <c r="L296" s="197"/>
      <c r="M296" s="197"/>
      <c r="N296" s="197"/>
      <c r="O296" s="204"/>
      <c r="P296" s="197"/>
    </row>
    <row r="297">
      <c r="A297" s="172"/>
      <c r="B297" s="204"/>
      <c r="C297" s="204"/>
      <c r="D297" s="197"/>
      <c r="E297" s="197"/>
      <c r="F297" s="197"/>
      <c r="G297" s="197"/>
      <c r="H297" s="197"/>
      <c r="I297" s="197"/>
      <c r="J297" s="204"/>
      <c r="K297" s="197"/>
      <c r="L297" s="197"/>
      <c r="M297" s="197"/>
      <c r="N297" s="197"/>
      <c r="O297" s="204"/>
      <c r="P297" s="197"/>
    </row>
    <row r="298">
      <c r="A298" s="172"/>
      <c r="B298" s="204"/>
      <c r="C298" s="204"/>
      <c r="D298" s="197"/>
      <c r="E298" s="197"/>
      <c r="F298" s="197"/>
      <c r="G298" s="197"/>
      <c r="H298" s="197"/>
      <c r="I298" s="197"/>
      <c r="J298" s="204"/>
      <c r="K298" s="197"/>
      <c r="L298" s="197"/>
      <c r="M298" s="197"/>
      <c r="N298" s="197"/>
      <c r="O298" s="204"/>
      <c r="P298" s="197"/>
    </row>
    <row r="299">
      <c r="A299" s="172"/>
      <c r="B299" s="204"/>
      <c r="C299" s="204"/>
      <c r="D299" s="197"/>
      <c r="E299" s="197"/>
      <c r="F299" s="197"/>
      <c r="G299" s="197"/>
      <c r="H299" s="197"/>
      <c r="I299" s="197"/>
      <c r="J299" s="204"/>
      <c r="K299" s="197"/>
      <c r="L299" s="197"/>
      <c r="M299" s="197"/>
      <c r="N299" s="197"/>
      <c r="O299" s="204"/>
      <c r="P299" s="197"/>
    </row>
    <row r="300">
      <c r="A300" s="172"/>
      <c r="B300" s="204"/>
      <c r="C300" s="204"/>
      <c r="D300" s="197"/>
      <c r="E300" s="197"/>
      <c r="F300" s="197"/>
      <c r="G300" s="197"/>
      <c r="H300" s="197"/>
      <c r="I300" s="197"/>
      <c r="J300" s="204"/>
      <c r="K300" s="197"/>
      <c r="L300" s="197"/>
      <c r="M300" s="197"/>
      <c r="N300" s="197"/>
      <c r="O300" s="204"/>
      <c r="P300" s="197"/>
    </row>
    <row r="301">
      <c r="A301" s="172"/>
      <c r="B301" s="204"/>
      <c r="C301" s="204"/>
      <c r="D301" s="197"/>
      <c r="E301" s="197"/>
      <c r="F301" s="197"/>
      <c r="G301" s="197"/>
      <c r="H301" s="197"/>
      <c r="I301" s="197"/>
      <c r="J301" s="204"/>
      <c r="K301" s="197"/>
      <c r="L301" s="197"/>
      <c r="M301" s="197"/>
      <c r="N301" s="197"/>
      <c r="O301" s="204"/>
      <c r="P301" s="197"/>
    </row>
    <row r="302">
      <c r="A302" s="172"/>
      <c r="B302" s="204"/>
      <c r="C302" s="204"/>
      <c r="D302" s="197"/>
      <c r="E302" s="197"/>
      <c r="F302" s="197"/>
      <c r="G302" s="197"/>
      <c r="H302" s="197"/>
      <c r="I302" s="197"/>
      <c r="J302" s="204"/>
      <c r="K302" s="197"/>
      <c r="L302" s="197"/>
      <c r="M302" s="197"/>
      <c r="N302" s="197"/>
      <c r="O302" s="204"/>
      <c r="P302" s="197"/>
    </row>
    <row r="303">
      <c r="A303" s="172"/>
      <c r="B303" s="204"/>
      <c r="C303" s="204"/>
      <c r="D303" s="197"/>
      <c r="E303" s="197"/>
      <c r="F303" s="197"/>
      <c r="G303" s="197"/>
      <c r="H303" s="197"/>
      <c r="I303" s="197"/>
      <c r="J303" s="204"/>
      <c r="K303" s="197"/>
      <c r="L303" s="197"/>
      <c r="M303" s="197"/>
      <c r="N303" s="197"/>
      <c r="O303" s="204"/>
      <c r="P303" s="197"/>
    </row>
    <row r="304">
      <c r="A304" s="172"/>
      <c r="B304" s="204"/>
      <c r="C304" s="204"/>
      <c r="D304" s="197"/>
      <c r="E304" s="197"/>
      <c r="F304" s="197"/>
      <c r="G304" s="197"/>
      <c r="H304" s="197"/>
      <c r="I304" s="197"/>
      <c r="J304" s="204"/>
      <c r="K304" s="197"/>
      <c r="L304" s="197"/>
      <c r="M304" s="197"/>
      <c r="N304" s="197"/>
      <c r="O304" s="204"/>
      <c r="P304" s="197"/>
    </row>
    <row r="305">
      <c r="A305" s="172"/>
      <c r="B305" s="204"/>
      <c r="C305" s="204"/>
      <c r="D305" s="197"/>
      <c r="E305" s="197"/>
      <c r="F305" s="197"/>
      <c r="G305" s="197"/>
      <c r="H305" s="197"/>
      <c r="I305" s="197"/>
      <c r="J305" s="204"/>
      <c r="K305" s="197"/>
      <c r="L305" s="197"/>
      <c r="M305" s="197"/>
      <c r="N305" s="197"/>
      <c r="O305" s="204"/>
      <c r="P305" s="197"/>
    </row>
    <row r="306">
      <c r="A306" s="172"/>
      <c r="B306" s="204"/>
      <c r="C306" s="204"/>
      <c r="D306" s="197"/>
      <c r="E306" s="197"/>
      <c r="F306" s="197"/>
      <c r="G306" s="197"/>
      <c r="H306" s="197"/>
      <c r="I306" s="197"/>
      <c r="J306" s="204"/>
      <c r="K306" s="197"/>
      <c r="L306" s="197"/>
      <c r="M306" s="197"/>
      <c r="N306" s="197"/>
      <c r="O306" s="204"/>
      <c r="P306" s="197"/>
    </row>
    <row r="307">
      <c r="A307" s="172"/>
      <c r="B307" s="204"/>
      <c r="C307" s="204"/>
      <c r="D307" s="197"/>
      <c r="E307" s="197"/>
      <c r="F307" s="197"/>
      <c r="G307" s="197"/>
      <c r="H307" s="197"/>
      <c r="I307" s="197"/>
      <c r="J307" s="204"/>
      <c r="K307" s="197"/>
      <c r="L307" s="197"/>
      <c r="M307" s="197"/>
      <c r="N307" s="197"/>
      <c r="O307" s="204"/>
      <c r="P307" s="197"/>
    </row>
    <row r="308">
      <c r="A308" s="172"/>
      <c r="B308" s="204"/>
      <c r="C308" s="204"/>
      <c r="D308" s="197"/>
      <c r="E308" s="197"/>
      <c r="F308" s="197"/>
      <c r="G308" s="197"/>
      <c r="H308" s="197"/>
      <c r="I308" s="197"/>
      <c r="J308" s="204"/>
      <c r="K308" s="197"/>
      <c r="L308" s="197"/>
      <c r="M308" s="197"/>
      <c r="N308" s="197"/>
      <c r="O308" s="204"/>
      <c r="P308" s="197"/>
    </row>
    <row r="309">
      <c r="A309" s="172"/>
      <c r="B309" s="204"/>
      <c r="C309" s="204"/>
      <c r="D309" s="197"/>
      <c r="E309" s="197"/>
      <c r="F309" s="197"/>
      <c r="G309" s="197"/>
      <c r="H309" s="197"/>
      <c r="I309" s="197"/>
      <c r="J309" s="204"/>
      <c r="K309" s="197"/>
      <c r="L309" s="197"/>
      <c r="M309" s="197"/>
      <c r="N309" s="197"/>
      <c r="O309" s="204"/>
      <c r="P309" s="197"/>
    </row>
    <row r="310">
      <c r="A310" s="172"/>
      <c r="B310" s="204"/>
      <c r="C310" s="204"/>
      <c r="D310" s="197"/>
      <c r="E310" s="197"/>
      <c r="F310" s="197"/>
      <c r="G310" s="197"/>
      <c r="H310" s="197"/>
      <c r="I310" s="197"/>
      <c r="J310" s="204"/>
      <c r="K310" s="197"/>
      <c r="L310" s="197"/>
      <c r="M310" s="197"/>
      <c r="N310" s="197"/>
      <c r="O310" s="204"/>
      <c r="P310" s="197"/>
    </row>
    <row r="311">
      <c r="A311" s="172"/>
      <c r="B311" s="204"/>
      <c r="C311" s="204"/>
      <c r="D311" s="197"/>
      <c r="E311" s="197"/>
      <c r="F311" s="197"/>
      <c r="G311" s="197"/>
      <c r="H311" s="197"/>
      <c r="I311" s="197"/>
      <c r="J311" s="204"/>
      <c r="K311" s="197"/>
      <c r="L311" s="197"/>
      <c r="M311" s="197"/>
      <c r="N311" s="197"/>
      <c r="O311" s="204"/>
      <c r="P311" s="197"/>
    </row>
    <row r="312">
      <c r="A312" s="172"/>
      <c r="B312" s="204"/>
      <c r="C312" s="204"/>
      <c r="D312" s="197"/>
      <c r="E312" s="197"/>
      <c r="F312" s="197"/>
      <c r="G312" s="197"/>
      <c r="H312" s="197"/>
      <c r="I312" s="197"/>
      <c r="J312" s="204"/>
      <c r="K312" s="197"/>
      <c r="L312" s="197"/>
      <c r="M312" s="197"/>
      <c r="N312" s="197"/>
      <c r="O312" s="204"/>
      <c r="P312" s="197"/>
    </row>
    <row r="313">
      <c r="A313" s="172"/>
      <c r="B313" s="204"/>
      <c r="C313" s="204"/>
      <c r="D313" s="197"/>
      <c r="E313" s="197"/>
      <c r="F313" s="197"/>
      <c r="G313" s="197"/>
      <c r="H313" s="197"/>
      <c r="I313" s="197"/>
      <c r="J313" s="204"/>
      <c r="K313" s="197"/>
      <c r="L313" s="197"/>
      <c r="M313" s="197"/>
      <c r="N313" s="197"/>
      <c r="O313" s="204"/>
      <c r="P313" s="197"/>
    </row>
    <row r="314">
      <c r="A314" s="172"/>
      <c r="B314" s="204"/>
      <c r="C314" s="204"/>
      <c r="D314" s="197"/>
      <c r="E314" s="197"/>
      <c r="F314" s="197"/>
      <c r="G314" s="197"/>
      <c r="H314" s="197"/>
      <c r="I314" s="197"/>
      <c r="J314" s="204"/>
      <c r="K314" s="197"/>
      <c r="L314" s="197"/>
      <c r="M314" s="197"/>
      <c r="N314" s="197"/>
      <c r="O314" s="204"/>
      <c r="P314" s="197"/>
    </row>
    <row r="315">
      <c r="A315" s="172"/>
      <c r="B315" s="204"/>
      <c r="C315" s="204"/>
      <c r="D315" s="197"/>
      <c r="E315" s="197"/>
      <c r="F315" s="197"/>
      <c r="G315" s="197"/>
      <c r="H315" s="197"/>
      <c r="I315" s="197"/>
      <c r="J315" s="204"/>
      <c r="K315" s="197"/>
      <c r="L315" s="197"/>
      <c r="M315" s="197"/>
      <c r="N315" s="197"/>
      <c r="O315" s="204"/>
      <c r="P315" s="197"/>
    </row>
    <row r="316">
      <c r="A316" s="172"/>
      <c r="B316" s="204"/>
      <c r="C316" s="204"/>
      <c r="D316" s="197"/>
      <c r="E316" s="197"/>
      <c r="F316" s="197"/>
      <c r="G316" s="197"/>
      <c r="H316" s="197"/>
      <c r="I316" s="197"/>
      <c r="J316" s="204"/>
      <c r="K316" s="197"/>
      <c r="L316" s="197"/>
      <c r="M316" s="197"/>
      <c r="N316" s="197"/>
      <c r="O316" s="204"/>
      <c r="P316" s="197"/>
    </row>
    <row r="317">
      <c r="A317" s="172"/>
      <c r="B317" s="204"/>
      <c r="C317" s="204"/>
      <c r="D317" s="197"/>
      <c r="E317" s="197"/>
      <c r="F317" s="197"/>
      <c r="G317" s="197"/>
      <c r="H317" s="197"/>
      <c r="I317" s="197"/>
      <c r="J317" s="204"/>
      <c r="K317" s="197"/>
      <c r="L317" s="197"/>
      <c r="M317" s="197"/>
      <c r="N317" s="197"/>
      <c r="O317" s="204"/>
      <c r="P317" s="197"/>
    </row>
    <row r="318">
      <c r="A318" s="172"/>
      <c r="B318" s="204"/>
      <c r="C318" s="204"/>
      <c r="D318" s="197"/>
      <c r="E318" s="197"/>
      <c r="F318" s="197"/>
      <c r="G318" s="197"/>
      <c r="H318" s="197"/>
      <c r="I318" s="197"/>
      <c r="J318" s="204"/>
      <c r="K318" s="197"/>
      <c r="L318" s="197"/>
      <c r="M318" s="197"/>
      <c r="N318" s="197"/>
      <c r="O318" s="204"/>
      <c r="P318" s="197"/>
    </row>
    <row r="319">
      <c r="A319" s="172"/>
      <c r="B319" s="204"/>
      <c r="C319" s="204"/>
      <c r="D319" s="197"/>
      <c r="E319" s="197"/>
      <c r="F319" s="197"/>
      <c r="G319" s="197"/>
      <c r="H319" s="197"/>
      <c r="I319" s="197"/>
      <c r="J319" s="204"/>
      <c r="K319" s="197"/>
      <c r="L319" s="197"/>
      <c r="M319" s="197"/>
      <c r="N319" s="197"/>
      <c r="O319" s="204"/>
      <c r="P319" s="197"/>
    </row>
    <row r="320">
      <c r="A320" s="172"/>
      <c r="B320" s="204"/>
      <c r="C320" s="204"/>
      <c r="D320" s="197"/>
      <c r="E320" s="197"/>
      <c r="F320" s="197"/>
      <c r="G320" s="197"/>
      <c r="H320" s="197"/>
      <c r="I320" s="197"/>
      <c r="J320" s="204"/>
      <c r="K320" s="197"/>
      <c r="L320" s="197"/>
      <c r="M320" s="197"/>
      <c r="N320" s="197"/>
      <c r="O320" s="204"/>
      <c r="P320" s="197"/>
    </row>
    <row r="321">
      <c r="A321" s="172"/>
      <c r="B321" s="204"/>
      <c r="C321" s="204"/>
      <c r="D321" s="197"/>
      <c r="E321" s="197"/>
      <c r="F321" s="197"/>
      <c r="G321" s="197"/>
      <c r="H321" s="197"/>
      <c r="I321" s="197"/>
      <c r="J321" s="204"/>
      <c r="K321" s="197"/>
      <c r="L321" s="197"/>
      <c r="M321" s="197"/>
      <c r="N321" s="197"/>
      <c r="O321" s="204"/>
      <c r="P321" s="197"/>
    </row>
    <row r="322">
      <c r="A322" s="172"/>
      <c r="B322" s="204"/>
      <c r="C322" s="204"/>
      <c r="D322" s="197"/>
      <c r="E322" s="197"/>
      <c r="F322" s="197"/>
      <c r="G322" s="197"/>
      <c r="H322" s="197"/>
      <c r="I322" s="197"/>
      <c r="J322" s="204"/>
      <c r="K322" s="197"/>
      <c r="L322" s="197"/>
      <c r="M322" s="197"/>
      <c r="N322" s="197"/>
      <c r="O322" s="204"/>
      <c r="P322" s="197"/>
    </row>
    <row r="323">
      <c r="A323" s="172"/>
      <c r="B323" s="204"/>
      <c r="C323" s="204"/>
      <c r="D323" s="197"/>
      <c r="E323" s="197"/>
      <c r="F323" s="197"/>
      <c r="G323" s="197"/>
      <c r="H323" s="197"/>
      <c r="I323" s="197"/>
      <c r="J323" s="204"/>
      <c r="K323" s="197"/>
      <c r="L323" s="197"/>
      <c r="M323" s="197"/>
      <c r="N323" s="197"/>
      <c r="O323" s="204"/>
      <c r="P323" s="197"/>
    </row>
    <row r="324">
      <c r="A324" s="172"/>
      <c r="B324" s="204"/>
      <c r="C324" s="204"/>
      <c r="D324" s="197"/>
      <c r="E324" s="197"/>
      <c r="F324" s="197"/>
      <c r="G324" s="197"/>
      <c r="H324" s="197"/>
      <c r="I324" s="197"/>
      <c r="J324" s="204"/>
      <c r="K324" s="197"/>
      <c r="L324" s="197"/>
      <c r="M324" s="197"/>
      <c r="N324" s="197"/>
      <c r="O324" s="204"/>
      <c r="P324" s="197"/>
    </row>
    <row r="325">
      <c r="A325" s="172"/>
      <c r="B325" s="204"/>
      <c r="C325" s="204"/>
      <c r="D325" s="197"/>
      <c r="E325" s="197"/>
      <c r="F325" s="197"/>
      <c r="G325" s="197"/>
      <c r="H325" s="197"/>
      <c r="I325" s="197"/>
      <c r="J325" s="204"/>
      <c r="K325" s="197"/>
      <c r="L325" s="197"/>
      <c r="M325" s="197"/>
      <c r="N325" s="197"/>
      <c r="O325" s="204"/>
      <c r="P325" s="197"/>
    </row>
    <row r="326">
      <c r="A326" s="172"/>
      <c r="B326" s="204"/>
      <c r="C326" s="204"/>
      <c r="D326" s="197"/>
      <c r="E326" s="197"/>
      <c r="F326" s="197"/>
      <c r="G326" s="197"/>
      <c r="H326" s="197"/>
      <c r="I326" s="197"/>
      <c r="J326" s="204"/>
      <c r="K326" s="197"/>
      <c r="L326" s="197"/>
      <c r="M326" s="197"/>
      <c r="N326" s="197"/>
      <c r="O326" s="204"/>
      <c r="P326" s="197"/>
    </row>
    <row r="327">
      <c r="A327" s="172"/>
      <c r="B327" s="204"/>
      <c r="C327" s="204"/>
      <c r="D327" s="197"/>
      <c r="E327" s="197"/>
      <c r="F327" s="197"/>
      <c r="G327" s="197"/>
      <c r="H327" s="197"/>
      <c r="I327" s="197"/>
      <c r="J327" s="204"/>
      <c r="K327" s="197"/>
      <c r="L327" s="197"/>
      <c r="M327" s="197"/>
      <c r="N327" s="197"/>
      <c r="O327" s="204"/>
      <c r="P327" s="197"/>
    </row>
    <row r="328">
      <c r="A328" s="172"/>
      <c r="B328" s="204"/>
      <c r="C328" s="204"/>
      <c r="D328" s="197"/>
      <c r="E328" s="197"/>
      <c r="F328" s="197"/>
      <c r="G328" s="197"/>
      <c r="H328" s="197"/>
      <c r="I328" s="197"/>
      <c r="J328" s="204"/>
      <c r="K328" s="197"/>
      <c r="L328" s="197"/>
      <c r="M328" s="197"/>
      <c r="N328" s="197"/>
      <c r="O328" s="204"/>
      <c r="P328" s="197"/>
    </row>
    <row r="329">
      <c r="A329" s="172"/>
      <c r="B329" s="204"/>
      <c r="C329" s="204"/>
      <c r="D329" s="197"/>
      <c r="E329" s="197"/>
      <c r="F329" s="197"/>
      <c r="G329" s="197"/>
      <c r="H329" s="197"/>
      <c r="I329" s="197"/>
      <c r="J329" s="204"/>
      <c r="K329" s="197"/>
      <c r="L329" s="197"/>
      <c r="M329" s="197"/>
      <c r="N329" s="197"/>
      <c r="O329" s="204"/>
      <c r="P329" s="197"/>
    </row>
    <row r="330">
      <c r="A330" s="172"/>
      <c r="B330" s="204"/>
      <c r="C330" s="204"/>
      <c r="D330" s="197"/>
      <c r="E330" s="197"/>
      <c r="F330" s="197"/>
      <c r="G330" s="197"/>
      <c r="H330" s="197"/>
      <c r="I330" s="197"/>
      <c r="J330" s="204"/>
      <c r="K330" s="197"/>
      <c r="L330" s="197"/>
      <c r="M330" s="197"/>
      <c r="N330" s="197"/>
      <c r="O330" s="204"/>
      <c r="P330" s="197"/>
    </row>
    <row r="331">
      <c r="A331" s="172"/>
      <c r="B331" s="204"/>
      <c r="C331" s="204"/>
      <c r="D331" s="197"/>
      <c r="E331" s="197"/>
      <c r="F331" s="197"/>
      <c r="G331" s="197"/>
      <c r="H331" s="197"/>
      <c r="I331" s="197"/>
      <c r="J331" s="204"/>
      <c r="K331" s="197"/>
      <c r="L331" s="197"/>
      <c r="M331" s="197"/>
      <c r="N331" s="197"/>
      <c r="O331" s="204"/>
      <c r="P331" s="197"/>
    </row>
    <row r="332">
      <c r="A332" s="172"/>
      <c r="B332" s="204"/>
      <c r="C332" s="204"/>
      <c r="D332" s="197"/>
      <c r="E332" s="197"/>
      <c r="F332" s="197"/>
      <c r="G332" s="197"/>
      <c r="H332" s="197"/>
      <c r="I332" s="197"/>
      <c r="J332" s="204"/>
      <c r="K332" s="197"/>
      <c r="L332" s="197"/>
      <c r="M332" s="197"/>
      <c r="N332" s="197"/>
      <c r="O332" s="204"/>
      <c r="P332" s="197"/>
    </row>
    <row r="333">
      <c r="A333" s="172"/>
      <c r="B333" s="204"/>
      <c r="C333" s="204"/>
      <c r="D333" s="197"/>
      <c r="E333" s="197"/>
      <c r="F333" s="197"/>
      <c r="G333" s="197"/>
      <c r="H333" s="197"/>
      <c r="I333" s="197"/>
      <c r="J333" s="204"/>
      <c r="K333" s="197"/>
      <c r="L333" s="197"/>
      <c r="M333" s="197"/>
      <c r="N333" s="197"/>
      <c r="O333" s="204"/>
      <c r="P333" s="197"/>
    </row>
    <row r="334">
      <c r="A334" s="172"/>
      <c r="B334" s="204"/>
      <c r="C334" s="204"/>
      <c r="D334" s="197"/>
      <c r="E334" s="197"/>
      <c r="F334" s="197"/>
      <c r="G334" s="197"/>
      <c r="H334" s="197"/>
      <c r="I334" s="197"/>
      <c r="J334" s="204"/>
      <c r="K334" s="197"/>
      <c r="L334" s="197"/>
      <c r="M334" s="197"/>
      <c r="N334" s="197"/>
      <c r="O334" s="204"/>
      <c r="P334" s="197"/>
    </row>
    <row r="335">
      <c r="A335" s="172"/>
      <c r="B335" s="204"/>
      <c r="C335" s="204"/>
      <c r="D335" s="197"/>
      <c r="E335" s="197"/>
      <c r="F335" s="197"/>
      <c r="G335" s="197"/>
      <c r="H335" s="197"/>
      <c r="I335" s="197"/>
      <c r="J335" s="204"/>
      <c r="K335" s="197"/>
      <c r="L335" s="197"/>
      <c r="M335" s="197"/>
      <c r="N335" s="197"/>
      <c r="O335" s="204"/>
      <c r="P335" s="197"/>
    </row>
    <row r="336">
      <c r="A336" s="172"/>
      <c r="B336" s="204"/>
      <c r="C336" s="204"/>
      <c r="D336" s="197"/>
      <c r="E336" s="197"/>
      <c r="F336" s="197"/>
      <c r="G336" s="197"/>
      <c r="H336" s="197"/>
      <c r="I336" s="197"/>
      <c r="J336" s="204"/>
      <c r="K336" s="197"/>
      <c r="L336" s="197"/>
      <c r="M336" s="197"/>
      <c r="N336" s="197"/>
      <c r="O336" s="204"/>
      <c r="P336" s="197"/>
    </row>
    <row r="337">
      <c r="A337" s="172"/>
      <c r="B337" s="204"/>
      <c r="C337" s="204"/>
      <c r="D337" s="197"/>
      <c r="E337" s="197"/>
      <c r="F337" s="197"/>
      <c r="G337" s="197"/>
      <c r="H337" s="197"/>
      <c r="I337" s="197"/>
      <c r="J337" s="204"/>
      <c r="K337" s="197"/>
      <c r="L337" s="197"/>
      <c r="M337" s="197"/>
      <c r="N337" s="197"/>
      <c r="O337" s="204"/>
      <c r="P337" s="197"/>
    </row>
    <row r="338">
      <c r="A338" s="172"/>
      <c r="B338" s="204"/>
      <c r="C338" s="204"/>
      <c r="D338" s="197"/>
      <c r="E338" s="197"/>
      <c r="F338" s="197"/>
      <c r="G338" s="197"/>
      <c r="H338" s="197"/>
      <c r="I338" s="197"/>
      <c r="J338" s="204"/>
      <c r="K338" s="197"/>
      <c r="L338" s="197"/>
      <c r="M338" s="197"/>
      <c r="N338" s="197"/>
      <c r="O338" s="204"/>
      <c r="P338" s="197"/>
    </row>
    <row r="339">
      <c r="A339" s="172"/>
      <c r="B339" s="204"/>
      <c r="C339" s="204"/>
      <c r="D339" s="197"/>
      <c r="E339" s="197"/>
      <c r="F339" s="197"/>
      <c r="G339" s="197"/>
      <c r="H339" s="197"/>
      <c r="I339" s="197"/>
      <c r="J339" s="204"/>
      <c r="K339" s="197"/>
      <c r="L339" s="197"/>
      <c r="M339" s="197"/>
      <c r="N339" s="197"/>
      <c r="O339" s="204"/>
      <c r="P339" s="197"/>
    </row>
    <row r="340">
      <c r="A340" s="172"/>
      <c r="B340" s="204"/>
      <c r="C340" s="204"/>
      <c r="D340" s="197"/>
      <c r="E340" s="197"/>
      <c r="F340" s="197"/>
      <c r="G340" s="197"/>
      <c r="H340" s="197"/>
      <c r="I340" s="197"/>
      <c r="J340" s="204"/>
      <c r="K340" s="197"/>
      <c r="L340" s="197"/>
      <c r="M340" s="197"/>
      <c r="N340" s="197"/>
      <c r="O340" s="204"/>
      <c r="P340" s="197"/>
    </row>
    <row r="341">
      <c r="A341" s="172"/>
      <c r="B341" s="204"/>
      <c r="C341" s="204"/>
      <c r="D341" s="197"/>
      <c r="E341" s="197"/>
      <c r="F341" s="197"/>
      <c r="G341" s="197"/>
      <c r="H341" s="197"/>
      <c r="I341" s="197"/>
      <c r="J341" s="204"/>
      <c r="K341" s="197"/>
      <c r="L341" s="197"/>
      <c r="M341" s="197"/>
      <c r="N341" s="197"/>
      <c r="O341" s="204"/>
      <c r="P341" s="197"/>
    </row>
    <row r="342">
      <c r="A342" s="172"/>
      <c r="B342" s="204"/>
      <c r="C342" s="204"/>
      <c r="D342" s="197"/>
      <c r="E342" s="197"/>
      <c r="F342" s="197"/>
      <c r="G342" s="197"/>
      <c r="H342" s="197"/>
      <c r="I342" s="197"/>
      <c r="J342" s="204"/>
      <c r="K342" s="197"/>
      <c r="L342" s="197"/>
      <c r="M342" s="197"/>
      <c r="N342" s="197"/>
      <c r="O342" s="204"/>
      <c r="P342" s="197"/>
    </row>
    <row r="343">
      <c r="A343" s="172"/>
      <c r="B343" s="204"/>
      <c r="C343" s="204"/>
      <c r="D343" s="197"/>
      <c r="E343" s="197"/>
      <c r="F343" s="197"/>
      <c r="G343" s="197"/>
      <c r="H343" s="197"/>
      <c r="I343" s="197"/>
      <c r="J343" s="204"/>
      <c r="K343" s="197"/>
      <c r="L343" s="197"/>
      <c r="M343" s="197"/>
      <c r="N343" s="197"/>
      <c r="O343" s="204"/>
      <c r="P343" s="197"/>
    </row>
    <row r="344">
      <c r="A344" s="172"/>
      <c r="B344" s="204"/>
      <c r="C344" s="204"/>
      <c r="D344" s="197"/>
      <c r="E344" s="197"/>
      <c r="F344" s="197"/>
      <c r="G344" s="197"/>
      <c r="H344" s="197"/>
      <c r="I344" s="197"/>
      <c r="J344" s="204"/>
      <c r="K344" s="197"/>
      <c r="L344" s="197"/>
      <c r="M344" s="197"/>
      <c r="N344" s="197"/>
      <c r="O344" s="204"/>
      <c r="P344" s="197"/>
    </row>
    <row r="345">
      <c r="A345" s="172"/>
      <c r="B345" s="204"/>
      <c r="C345" s="204"/>
      <c r="D345" s="197"/>
      <c r="E345" s="197"/>
      <c r="F345" s="197"/>
      <c r="G345" s="197"/>
      <c r="H345" s="197"/>
      <c r="I345" s="197"/>
      <c r="J345" s="204"/>
      <c r="K345" s="197"/>
      <c r="L345" s="197"/>
      <c r="M345" s="197"/>
      <c r="N345" s="197"/>
      <c r="O345" s="204"/>
      <c r="P345" s="197"/>
    </row>
    <row r="346">
      <c r="A346" s="172"/>
      <c r="B346" s="204"/>
      <c r="C346" s="204"/>
      <c r="D346" s="197"/>
      <c r="E346" s="197"/>
      <c r="F346" s="197"/>
      <c r="G346" s="197"/>
      <c r="H346" s="197"/>
      <c r="I346" s="197"/>
      <c r="J346" s="204"/>
      <c r="K346" s="197"/>
      <c r="L346" s="197"/>
      <c r="M346" s="197"/>
      <c r="N346" s="197"/>
      <c r="O346" s="204"/>
      <c r="P346" s="197"/>
    </row>
    <row r="347">
      <c r="A347" s="172"/>
      <c r="B347" s="204"/>
      <c r="C347" s="204"/>
      <c r="D347" s="197"/>
      <c r="E347" s="197"/>
      <c r="F347" s="197"/>
      <c r="G347" s="197"/>
      <c r="H347" s="197"/>
      <c r="I347" s="197"/>
      <c r="J347" s="204"/>
      <c r="K347" s="197"/>
      <c r="L347" s="197"/>
      <c r="M347" s="197"/>
      <c r="N347" s="197"/>
      <c r="O347" s="204"/>
      <c r="P347" s="197"/>
    </row>
    <row r="348">
      <c r="A348" s="172"/>
      <c r="B348" s="204"/>
      <c r="C348" s="204"/>
      <c r="D348" s="197"/>
      <c r="E348" s="197"/>
      <c r="F348" s="197"/>
      <c r="G348" s="197"/>
      <c r="H348" s="197"/>
      <c r="I348" s="197"/>
      <c r="J348" s="204"/>
      <c r="K348" s="197"/>
      <c r="L348" s="197"/>
      <c r="M348" s="197"/>
      <c r="N348" s="197"/>
      <c r="O348" s="204"/>
      <c r="P348" s="197"/>
    </row>
    <row r="349">
      <c r="A349" s="172"/>
      <c r="B349" s="204"/>
      <c r="C349" s="204"/>
      <c r="D349" s="197"/>
      <c r="E349" s="197"/>
      <c r="F349" s="197"/>
      <c r="G349" s="197"/>
      <c r="H349" s="197"/>
      <c r="I349" s="197"/>
      <c r="J349" s="204"/>
      <c r="K349" s="197"/>
      <c r="L349" s="197"/>
      <c r="M349" s="197"/>
      <c r="N349" s="197"/>
      <c r="O349" s="204"/>
      <c r="P349" s="197"/>
    </row>
    <row r="350">
      <c r="A350" s="172"/>
      <c r="B350" s="204"/>
      <c r="C350" s="204"/>
      <c r="D350" s="197"/>
      <c r="E350" s="197"/>
      <c r="F350" s="197"/>
      <c r="G350" s="197"/>
      <c r="H350" s="197"/>
      <c r="I350" s="197"/>
      <c r="J350" s="204"/>
      <c r="K350" s="197"/>
      <c r="L350" s="197"/>
      <c r="M350" s="197"/>
      <c r="N350" s="197"/>
      <c r="O350" s="204"/>
      <c r="P350" s="197"/>
    </row>
    <row r="351">
      <c r="A351" s="172"/>
      <c r="B351" s="204"/>
      <c r="C351" s="204"/>
      <c r="D351" s="197"/>
      <c r="E351" s="197"/>
      <c r="F351" s="197"/>
      <c r="G351" s="197"/>
      <c r="H351" s="197"/>
      <c r="I351" s="197"/>
      <c r="J351" s="204"/>
      <c r="K351" s="197"/>
      <c r="L351" s="197"/>
      <c r="M351" s="197"/>
      <c r="N351" s="197"/>
      <c r="O351" s="204"/>
      <c r="P351" s="197"/>
    </row>
    <row r="352">
      <c r="A352" s="172"/>
      <c r="B352" s="204"/>
      <c r="C352" s="204"/>
      <c r="D352" s="197"/>
      <c r="E352" s="197"/>
      <c r="F352" s="197"/>
      <c r="G352" s="197"/>
      <c r="H352" s="197"/>
      <c r="I352" s="197"/>
      <c r="J352" s="204"/>
      <c r="K352" s="197"/>
      <c r="L352" s="197"/>
      <c r="M352" s="197"/>
      <c r="N352" s="197"/>
      <c r="O352" s="204"/>
      <c r="P352" s="197"/>
    </row>
    <row r="353">
      <c r="A353" s="172"/>
      <c r="B353" s="204"/>
      <c r="C353" s="204"/>
      <c r="D353" s="197"/>
      <c r="E353" s="197"/>
      <c r="F353" s="197"/>
      <c r="G353" s="197"/>
      <c r="H353" s="197"/>
      <c r="I353" s="197"/>
      <c r="J353" s="204"/>
      <c r="K353" s="197"/>
      <c r="L353" s="197"/>
      <c r="M353" s="197"/>
      <c r="N353" s="197"/>
      <c r="O353" s="204"/>
      <c r="P353" s="197"/>
    </row>
    <row r="354">
      <c r="A354" s="172"/>
      <c r="B354" s="204"/>
      <c r="C354" s="204"/>
      <c r="D354" s="197"/>
      <c r="E354" s="197"/>
      <c r="F354" s="197"/>
      <c r="G354" s="197"/>
      <c r="H354" s="197"/>
      <c r="I354" s="197"/>
      <c r="J354" s="204"/>
      <c r="K354" s="197"/>
      <c r="L354" s="197"/>
      <c r="M354" s="197"/>
      <c r="N354" s="197"/>
      <c r="O354" s="204"/>
      <c r="P354" s="197"/>
    </row>
    <row r="355">
      <c r="A355" s="172"/>
      <c r="B355" s="204"/>
      <c r="C355" s="204"/>
      <c r="D355" s="197"/>
      <c r="E355" s="197"/>
      <c r="F355" s="197"/>
      <c r="G355" s="197"/>
      <c r="H355" s="197"/>
      <c r="I355" s="197"/>
      <c r="J355" s="204"/>
      <c r="K355" s="197"/>
      <c r="L355" s="197"/>
      <c r="M355" s="197"/>
      <c r="N355" s="197"/>
      <c r="O355" s="204"/>
      <c r="P355" s="197"/>
    </row>
    <row r="356">
      <c r="A356" s="172"/>
      <c r="B356" s="204"/>
      <c r="C356" s="204"/>
      <c r="D356" s="197"/>
      <c r="E356" s="197"/>
      <c r="F356" s="197"/>
      <c r="G356" s="197"/>
      <c r="H356" s="197"/>
      <c r="I356" s="197"/>
      <c r="J356" s="204"/>
      <c r="K356" s="197"/>
      <c r="L356" s="197"/>
      <c r="M356" s="197"/>
      <c r="N356" s="197"/>
      <c r="O356" s="204"/>
      <c r="P356" s="197"/>
    </row>
    <row r="357">
      <c r="A357" s="172"/>
      <c r="B357" s="204"/>
      <c r="C357" s="204"/>
      <c r="D357" s="197"/>
      <c r="E357" s="197"/>
      <c r="F357" s="197"/>
      <c r="G357" s="197"/>
      <c r="H357" s="197"/>
      <c r="I357" s="197"/>
      <c r="J357" s="204"/>
      <c r="K357" s="197"/>
      <c r="L357" s="197"/>
      <c r="M357" s="197"/>
      <c r="N357" s="197"/>
      <c r="O357" s="204"/>
      <c r="P357" s="197"/>
    </row>
    <row r="358">
      <c r="A358" s="172"/>
      <c r="B358" s="204"/>
      <c r="C358" s="204"/>
      <c r="D358" s="197"/>
      <c r="E358" s="197"/>
      <c r="F358" s="197"/>
      <c r="G358" s="197"/>
      <c r="H358" s="197"/>
      <c r="I358" s="197"/>
      <c r="J358" s="204"/>
      <c r="K358" s="197"/>
      <c r="L358" s="197"/>
      <c r="M358" s="197"/>
      <c r="N358" s="197"/>
      <c r="O358" s="204"/>
      <c r="P358" s="197"/>
    </row>
    <row r="359">
      <c r="A359" s="172"/>
      <c r="B359" s="204"/>
      <c r="C359" s="204"/>
      <c r="D359" s="197"/>
      <c r="E359" s="197"/>
      <c r="F359" s="197"/>
      <c r="G359" s="197"/>
      <c r="H359" s="197"/>
      <c r="I359" s="197"/>
      <c r="J359" s="204"/>
      <c r="K359" s="197"/>
      <c r="L359" s="197"/>
      <c r="M359" s="197"/>
      <c r="N359" s="197"/>
      <c r="O359" s="204"/>
      <c r="P359" s="197"/>
    </row>
    <row r="360">
      <c r="A360" s="172"/>
      <c r="B360" s="204"/>
      <c r="C360" s="204"/>
      <c r="D360" s="197"/>
      <c r="E360" s="197"/>
      <c r="F360" s="197"/>
      <c r="G360" s="197"/>
      <c r="H360" s="197"/>
      <c r="I360" s="197"/>
      <c r="J360" s="204"/>
      <c r="K360" s="197"/>
      <c r="L360" s="197"/>
      <c r="M360" s="197"/>
      <c r="N360" s="197"/>
      <c r="O360" s="204"/>
      <c r="P360" s="197"/>
    </row>
    <row r="361">
      <c r="A361" s="172"/>
      <c r="B361" s="204"/>
      <c r="C361" s="204"/>
      <c r="D361" s="197"/>
      <c r="E361" s="197"/>
      <c r="F361" s="197"/>
      <c r="G361" s="197"/>
      <c r="H361" s="197"/>
      <c r="I361" s="197"/>
      <c r="J361" s="204"/>
      <c r="K361" s="197"/>
      <c r="L361" s="197"/>
      <c r="M361" s="197"/>
      <c r="N361" s="197"/>
      <c r="O361" s="204"/>
      <c r="P361" s="197"/>
    </row>
    <row r="362">
      <c r="A362" s="172"/>
      <c r="B362" s="204"/>
      <c r="C362" s="204"/>
      <c r="D362" s="197"/>
      <c r="E362" s="197"/>
      <c r="F362" s="197"/>
      <c r="G362" s="197"/>
      <c r="H362" s="197"/>
      <c r="I362" s="197"/>
      <c r="J362" s="204"/>
      <c r="K362" s="197"/>
      <c r="L362" s="197"/>
      <c r="M362" s="197"/>
      <c r="N362" s="197"/>
      <c r="O362" s="204"/>
      <c r="P362" s="197"/>
    </row>
    <row r="363">
      <c r="A363" s="172"/>
      <c r="B363" s="204"/>
      <c r="C363" s="204"/>
      <c r="D363" s="197"/>
      <c r="E363" s="197"/>
      <c r="F363" s="197"/>
      <c r="G363" s="197"/>
      <c r="H363" s="197"/>
      <c r="I363" s="197"/>
      <c r="J363" s="204"/>
      <c r="K363" s="197"/>
      <c r="L363" s="197"/>
      <c r="M363" s="197"/>
      <c r="N363" s="197"/>
      <c r="O363" s="204"/>
      <c r="P363" s="197"/>
    </row>
    <row r="364">
      <c r="A364" s="172"/>
      <c r="B364" s="204"/>
      <c r="C364" s="204"/>
      <c r="D364" s="197"/>
      <c r="E364" s="197"/>
      <c r="F364" s="197"/>
      <c r="G364" s="197"/>
      <c r="H364" s="197"/>
      <c r="I364" s="197"/>
      <c r="J364" s="204"/>
      <c r="K364" s="197"/>
      <c r="L364" s="197"/>
      <c r="M364" s="197"/>
      <c r="N364" s="197"/>
      <c r="O364" s="204"/>
      <c r="P364" s="197"/>
    </row>
    <row r="365">
      <c r="A365" s="172"/>
      <c r="B365" s="204"/>
      <c r="C365" s="204"/>
      <c r="D365" s="197"/>
      <c r="E365" s="197"/>
      <c r="F365" s="197"/>
      <c r="G365" s="197"/>
      <c r="H365" s="197"/>
      <c r="I365" s="197"/>
      <c r="J365" s="204"/>
      <c r="K365" s="197"/>
      <c r="L365" s="197"/>
      <c r="M365" s="197"/>
      <c r="N365" s="197"/>
      <c r="O365" s="204"/>
      <c r="P365" s="197"/>
    </row>
    <row r="366">
      <c r="A366" s="172"/>
      <c r="B366" s="204"/>
      <c r="C366" s="204"/>
      <c r="D366" s="197"/>
      <c r="E366" s="197"/>
      <c r="F366" s="197"/>
      <c r="G366" s="197"/>
      <c r="H366" s="197"/>
      <c r="I366" s="197"/>
      <c r="J366" s="204"/>
      <c r="K366" s="197"/>
      <c r="L366" s="197"/>
      <c r="M366" s="197"/>
      <c r="N366" s="197"/>
      <c r="O366" s="204"/>
      <c r="P366" s="197"/>
    </row>
    <row r="367">
      <c r="A367" s="172"/>
      <c r="B367" s="204"/>
      <c r="C367" s="204"/>
      <c r="D367" s="197"/>
      <c r="E367" s="197"/>
      <c r="F367" s="197"/>
      <c r="G367" s="197"/>
      <c r="H367" s="197"/>
      <c r="I367" s="197"/>
      <c r="J367" s="204"/>
      <c r="K367" s="197"/>
      <c r="L367" s="197"/>
      <c r="M367" s="197"/>
      <c r="N367" s="197"/>
      <c r="O367" s="204"/>
      <c r="P367" s="197"/>
    </row>
    <row r="368">
      <c r="A368" s="172"/>
      <c r="B368" s="204"/>
      <c r="C368" s="204"/>
      <c r="D368" s="197"/>
      <c r="E368" s="197"/>
      <c r="F368" s="197"/>
      <c r="G368" s="197"/>
      <c r="H368" s="197"/>
      <c r="I368" s="197"/>
      <c r="J368" s="204"/>
      <c r="K368" s="197"/>
      <c r="L368" s="197"/>
      <c r="M368" s="197"/>
      <c r="N368" s="197"/>
      <c r="O368" s="204"/>
      <c r="P368" s="197"/>
    </row>
    <row r="369">
      <c r="A369" s="172"/>
      <c r="B369" s="204"/>
      <c r="C369" s="204"/>
      <c r="D369" s="197"/>
      <c r="E369" s="197"/>
      <c r="F369" s="197"/>
      <c r="G369" s="197"/>
      <c r="H369" s="197"/>
      <c r="I369" s="197"/>
      <c r="J369" s="204"/>
      <c r="K369" s="197"/>
      <c r="L369" s="197"/>
      <c r="M369" s="197"/>
      <c r="N369" s="197"/>
      <c r="O369" s="204"/>
      <c r="P369" s="197"/>
    </row>
    <row r="370">
      <c r="A370" s="172"/>
      <c r="B370" s="204"/>
      <c r="C370" s="204"/>
      <c r="D370" s="197"/>
      <c r="E370" s="197"/>
      <c r="F370" s="197"/>
      <c r="G370" s="197"/>
      <c r="H370" s="197"/>
      <c r="I370" s="197"/>
      <c r="J370" s="204"/>
      <c r="K370" s="197"/>
      <c r="L370" s="197"/>
      <c r="M370" s="197"/>
      <c r="N370" s="197"/>
      <c r="O370" s="204"/>
      <c r="P370" s="197"/>
    </row>
    <row r="371">
      <c r="A371" s="172"/>
      <c r="B371" s="204"/>
      <c r="C371" s="204"/>
      <c r="D371" s="197"/>
      <c r="E371" s="197"/>
      <c r="F371" s="197"/>
      <c r="G371" s="197"/>
      <c r="H371" s="197"/>
      <c r="I371" s="197"/>
      <c r="J371" s="204"/>
      <c r="K371" s="197"/>
      <c r="L371" s="197"/>
      <c r="M371" s="197"/>
      <c r="N371" s="197"/>
      <c r="O371" s="204"/>
      <c r="P371" s="197"/>
    </row>
    <row r="372">
      <c r="A372" s="172"/>
      <c r="B372" s="204"/>
      <c r="C372" s="204"/>
      <c r="D372" s="197"/>
      <c r="E372" s="197"/>
      <c r="F372" s="197"/>
      <c r="G372" s="197"/>
      <c r="H372" s="197"/>
      <c r="I372" s="197"/>
      <c r="J372" s="204"/>
      <c r="K372" s="197"/>
      <c r="L372" s="197"/>
      <c r="M372" s="197"/>
      <c r="N372" s="197"/>
      <c r="O372" s="204"/>
      <c r="P372" s="197"/>
    </row>
    <row r="373">
      <c r="A373" s="172"/>
      <c r="B373" s="204"/>
      <c r="C373" s="204"/>
      <c r="D373" s="197"/>
      <c r="E373" s="197"/>
      <c r="F373" s="197"/>
      <c r="G373" s="197"/>
      <c r="H373" s="197"/>
      <c r="I373" s="197"/>
      <c r="J373" s="204"/>
      <c r="K373" s="197"/>
      <c r="L373" s="197"/>
      <c r="M373" s="197"/>
      <c r="N373" s="197"/>
      <c r="O373" s="204"/>
      <c r="P373" s="197"/>
    </row>
    <row r="374">
      <c r="A374" s="172"/>
      <c r="B374" s="204"/>
      <c r="C374" s="204"/>
      <c r="D374" s="197"/>
      <c r="E374" s="197"/>
      <c r="F374" s="197"/>
      <c r="G374" s="197"/>
      <c r="H374" s="197"/>
      <c r="I374" s="197"/>
      <c r="J374" s="204"/>
      <c r="K374" s="197"/>
      <c r="L374" s="197"/>
      <c r="M374" s="197"/>
      <c r="N374" s="197"/>
      <c r="O374" s="204"/>
      <c r="P374" s="197"/>
    </row>
    <row r="375">
      <c r="A375" s="172"/>
      <c r="B375" s="204"/>
      <c r="C375" s="204"/>
      <c r="D375" s="197"/>
      <c r="E375" s="197"/>
      <c r="F375" s="197"/>
      <c r="G375" s="197"/>
      <c r="H375" s="197"/>
      <c r="I375" s="197"/>
      <c r="J375" s="204"/>
      <c r="K375" s="197"/>
      <c r="L375" s="197"/>
      <c r="M375" s="197"/>
      <c r="N375" s="197"/>
      <c r="O375" s="204"/>
      <c r="P375" s="197"/>
    </row>
    <row r="376">
      <c r="A376" s="172"/>
      <c r="B376" s="204"/>
      <c r="C376" s="204"/>
      <c r="D376" s="197"/>
      <c r="E376" s="197"/>
      <c r="F376" s="197"/>
      <c r="G376" s="197"/>
      <c r="H376" s="197"/>
      <c r="I376" s="197"/>
      <c r="J376" s="204"/>
      <c r="K376" s="197"/>
      <c r="L376" s="197"/>
      <c r="M376" s="197"/>
      <c r="N376" s="197"/>
      <c r="O376" s="204"/>
      <c r="P376" s="197"/>
    </row>
    <row r="377">
      <c r="A377" s="172"/>
      <c r="B377" s="204"/>
      <c r="C377" s="204"/>
      <c r="D377" s="197"/>
      <c r="E377" s="197"/>
      <c r="F377" s="197"/>
      <c r="G377" s="197"/>
      <c r="H377" s="197"/>
      <c r="I377" s="197"/>
      <c r="J377" s="204"/>
      <c r="K377" s="197"/>
      <c r="L377" s="197"/>
      <c r="M377" s="197"/>
      <c r="N377" s="197"/>
      <c r="O377" s="204"/>
      <c r="P377" s="197"/>
    </row>
    <row r="378">
      <c r="A378" s="172"/>
      <c r="B378" s="204"/>
      <c r="C378" s="204"/>
      <c r="D378" s="197"/>
      <c r="E378" s="197"/>
      <c r="F378" s="197"/>
      <c r="G378" s="197"/>
      <c r="H378" s="197"/>
      <c r="I378" s="197"/>
      <c r="J378" s="204"/>
      <c r="K378" s="197"/>
      <c r="L378" s="197"/>
      <c r="M378" s="197"/>
      <c r="N378" s="197"/>
      <c r="O378" s="204"/>
      <c r="P378" s="197"/>
    </row>
    <row r="379">
      <c r="A379" s="172"/>
      <c r="B379" s="204"/>
      <c r="C379" s="204"/>
      <c r="D379" s="197"/>
      <c r="E379" s="197"/>
      <c r="F379" s="197"/>
      <c r="G379" s="197"/>
      <c r="H379" s="197"/>
      <c r="I379" s="197"/>
      <c r="J379" s="204"/>
      <c r="K379" s="197"/>
      <c r="L379" s="197"/>
      <c r="M379" s="197"/>
      <c r="N379" s="197"/>
      <c r="O379" s="204"/>
      <c r="P379" s="197"/>
    </row>
    <row r="380">
      <c r="A380" s="172"/>
      <c r="B380" s="204"/>
      <c r="C380" s="204"/>
      <c r="D380" s="197"/>
      <c r="E380" s="197"/>
      <c r="F380" s="197"/>
      <c r="G380" s="197"/>
      <c r="H380" s="197"/>
      <c r="I380" s="197"/>
      <c r="J380" s="204"/>
      <c r="K380" s="197"/>
      <c r="L380" s="197"/>
      <c r="M380" s="197"/>
      <c r="N380" s="197"/>
      <c r="O380" s="204"/>
      <c r="P380" s="197"/>
    </row>
    <row r="381">
      <c r="A381" s="172"/>
      <c r="B381" s="204"/>
      <c r="C381" s="204"/>
      <c r="D381" s="197"/>
      <c r="E381" s="197"/>
      <c r="F381" s="197"/>
      <c r="G381" s="197"/>
      <c r="H381" s="197"/>
      <c r="I381" s="197"/>
      <c r="J381" s="204"/>
      <c r="K381" s="197"/>
      <c r="L381" s="197"/>
      <c r="M381" s="197"/>
      <c r="N381" s="197"/>
      <c r="O381" s="204"/>
      <c r="P381" s="197"/>
    </row>
    <row r="382">
      <c r="A382" s="172"/>
      <c r="B382" s="204"/>
      <c r="C382" s="204"/>
      <c r="D382" s="197"/>
      <c r="E382" s="197"/>
      <c r="F382" s="197"/>
      <c r="G382" s="197"/>
      <c r="H382" s="197"/>
      <c r="I382" s="197"/>
      <c r="J382" s="204"/>
      <c r="K382" s="197"/>
      <c r="L382" s="197"/>
      <c r="M382" s="197"/>
      <c r="N382" s="197"/>
      <c r="O382" s="204"/>
      <c r="P382" s="197"/>
    </row>
    <row r="383">
      <c r="A383" s="172"/>
      <c r="B383" s="204"/>
      <c r="C383" s="204"/>
      <c r="D383" s="197"/>
      <c r="E383" s="197"/>
      <c r="F383" s="197"/>
      <c r="G383" s="197"/>
      <c r="H383" s="197"/>
      <c r="I383" s="197"/>
      <c r="J383" s="204"/>
      <c r="K383" s="197"/>
      <c r="L383" s="197"/>
      <c r="M383" s="197"/>
      <c r="N383" s="197"/>
      <c r="O383" s="204"/>
      <c r="P383" s="197"/>
    </row>
    <row r="384">
      <c r="A384" s="172"/>
      <c r="B384" s="204"/>
      <c r="C384" s="204"/>
      <c r="D384" s="197"/>
      <c r="E384" s="197"/>
      <c r="F384" s="197"/>
      <c r="G384" s="197"/>
      <c r="H384" s="197"/>
      <c r="I384" s="197"/>
      <c r="J384" s="204"/>
      <c r="K384" s="197"/>
      <c r="L384" s="197"/>
      <c r="M384" s="197"/>
      <c r="N384" s="197"/>
      <c r="O384" s="204"/>
      <c r="P384" s="197"/>
    </row>
    <row r="385">
      <c r="A385" s="172"/>
      <c r="B385" s="204"/>
      <c r="C385" s="204"/>
      <c r="D385" s="197"/>
      <c r="E385" s="197"/>
      <c r="F385" s="197"/>
      <c r="G385" s="197"/>
      <c r="H385" s="197"/>
      <c r="I385" s="197"/>
      <c r="J385" s="204"/>
      <c r="K385" s="197"/>
      <c r="L385" s="197"/>
      <c r="M385" s="197"/>
      <c r="N385" s="197"/>
      <c r="O385" s="204"/>
      <c r="P385" s="197"/>
    </row>
    <row r="386">
      <c r="A386" s="172"/>
      <c r="B386" s="204"/>
      <c r="C386" s="204"/>
      <c r="D386" s="197"/>
      <c r="E386" s="197"/>
      <c r="F386" s="197"/>
      <c r="G386" s="197"/>
      <c r="H386" s="197"/>
      <c r="I386" s="197"/>
      <c r="J386" s="204"/>
      <c r="K386" s="197"/>
      <c r="L386" s="197"/>
      <c r="M386" s="197"/>
      <c r="N386" s="197"/>
      <c r="O386" s="204"/>
      <c r="P386" s="197"/>
    </row>
    <row r="387">
      <c r="A387" s="172"/>
      <c r="B387" s="204"/>
      <c r="C387" s="204"/>
      <c r="D387" s="197"/>
      <c r="E387" s="197"/>
      <c r="F387" s="197"/>
      <c r="G387" s="197"/>
      <c r="H387" s="197"/>
      <c r="I387" s="197"/>
      <c r="J387" s="204"/>
      <c r="K387" s="197"/>
      <c r="L387" s="197"/>
      <c r="M387" s="197"/>
      <c r="N387" s="197"/>
      <c r="O387" s="204"/>
      <c r="P387" s="197"/>
    </row>
    <row r="388">
      <c r="A388" s="172"/>
      <c r="B388" s="204"/>
      <c r="C388" s="204"/>
      <c r="D388" s="197"/>
      <c r="E388" s="197"/>
      <c r="F388" s="197"/>
      <c r="G388" s="197"/>
      <c r="H388" s="197"/>
      <c r="I388" s="197"/>
      <c r="J388" s="204"/>
      <c r="K388" s="197"/>
      <c r="L388" s="197"/>
      <c r="M388" s="197"/>
      <c r="N388" s="197"/>
      <c r="O388" s="204"/>
      <c r="P388" s="197"/>
    </row>
    <row r="389">
      <c r="A389" s="172"/>
      <c r="B389" s="204"/>
      <c r="C389" s="204"/>
      <c r="D389" s="197"/>
      <c r="E389" s="197"/>
      <c r="F389" s="197"/>
      <c r="G389" s="197"/>
      <c r="H389" s="197"/>
      <c r="I389" s="197"/>
      <c r="J389" s="204"/>
      <c r="K389" s="197"/>
      <c r="L389" s="197"/>
      <c r="M389" s="197"/>
      <c r="N389" s="197"/>
      <c r="O389" s="204"/>
      <c r="P389" s="197"/>
    </row>
    <row r="390">
      <c r="A390" s="172"/>
      <c r="B390" s="204"/>
      <c r="C390" s="204"/>
      <c r="D390" s="197"/>
      <c r="E390" s="197"/>
      <c r="F390" s="197"/>
      <c r="G390" s="197"/>
      <c r="H390" s="197"/>
      <c r="I390" s="197"/>
      <c r="J390" s="204"/>
      <c r="K390" s="197"/>
      <c r="L390" s="197"/>
      <c r="M390" s="197"/>
      <c r="N390" s="197"/>
      <c r="O390" s="204"/>
      <c r="P390" s="197"/>
    </row>
    <row r="391">
      <c r="A391" s="172"/>
      <c r="B391" s="204"/>
      <c r="C391" s="204"/>
      <c r="D391" s="197"/>
      <c r="E391" s="197"/>
      <c r="F391" s="197"/>
      <c r="G391" s="197"/>
      <c r="H391" s="197"/>
      <c r="I391" s="197"/>
      <c r="J391" s="204"/>
      <c r="K391" s="197"/>
      <c r="L391" s="197"/>
      <c r="M391" s="197"/>
      <c r="N391" s="197"/>
      <c r="O391" s="204"/>
      <c r="P391" s="197"/>
    </row>
    <row r="392">
      <c r="A392" s="172"/>
      <c r="B392" s="204"/>
      <c r="C392" s="204"/>
      <c r="D392" s="197"/>
      <c r="E392" s="197"/>
      <c r="F392" s="197"/>
      <c r="G392" s="197"/>
      <c r="H392" s="197"/>
      <c r="I392" s="197"/>
      <c r="J392" s="204"/>
      <c r="K392" s="197"/>
      <c r="L392" s="197"/>
      <c r="M392" s="197"/>
      <c r="N392" s="197"/>
      <c r="O392" s="204"/>
      <c r="P392" s="197"/>
    </row>
    <row r="393">
      <c r="A393" s="172"/>
      <c r="B393" s="204"/>
      <c r="C393" s="204"/>
      <c r="D393" s="197"/>
      <c r="E393" s="197"/>
      <c r="F393" s="197"/>
      <c r="G393" s="197"/>
      <c r="H393" s="197"/>
      <c r="I393" s="197"/>
      <c r="J393" s="204"/>
      <c r="K393" s="197"/>
      <c r="L393" s="197"/>
      <c r="M393" s="197"/>
      <c r="N393" s="197"/>
      <c r="O393" s="204"/>
      <c r="P393" s="197"/>
    </row>
    <row r="394">
      <c r="A394" s="172"/>
      <c r="B394" s="204"/>
      <c r="C394" s="204"/>
      <c r="D394" s="197"/>
      <c r="E394" s="197"/>
      <c r="F394" s="197"/>
      <c r="G394" s="197"/>
      <c r="H394" s="197"/>
      <c r="I394" s="197"/>
      <c r="J394" s="204"/>
      <c r="K394" s="197"/>
      <c r="L394" s="197"/>
      <c r="M394" s="197"/>
      <c r="N394" s="197"/>
      <c r="O394" s="204"/>
      <c r="P394" s="197"/>
    </row>
    <row r="395">
      <c r="A395" s="172"/>
      <c r="B395" s="204"/>
      <c r="C395" s="204"/>
      <c r="D395" s="197"/>
      <c r="E395" s="197"/>
      <c r="F395" s="197"/>
      <c r="G395" s="197"/>
      <c r="H395" s="197"/>
      <c r="I395" s="197"/>
      <c r="J395" s="204"/>
      <c r="K395" s="197"/>
      <c r="L395" s="197"/>
      <c r="M395" s="197"/>
      <c r="N395" s="197"/>
      <c r="O395" s="204"/>
      <c r="P395" s="197"/>
    </row>
    <row r="396">
      <c r="A396" s="172"/>
      <c r="B396" s="204"/>
      <c r="C396" s="204"/>
      <c r="D396" s="197"/>
      <c r="E396" s="197"/>
      <c r="F396" s="197"/>
      <c r="G396" s="197"/>
      <c r="H396" s="197"/>
      <c r="I396" s="197"/>
      <c r="J396" s="204"/>
      <c r="K396" s="197"/>
      <c r="L396" s="197"/>
      <c r="M396" s="197"/>
      <c r="N396" s="197"/>
      <c r="O396" s="204"/>
      <c r="P396" s="197"/>
    </row>
    <row r="397">
      <c r="A397" s="172"/>
      <c r="B397" s="204"/>
      <c r="C397" s="204"/>
      <c r="D397" s="197"/>
      <c r="E397" s="197"/>
      <c r="F397" s="197"/>
      <c r="G397" s="197"/>
      <c r="H397" s="197"/>
      <c r="I397" s="197"/>
      <c r="J397" s="204"/>
      <c r="K397" s="197"/>
      <c r="L397" s="197"/>
      <c r="M397" s="197"/>
      <c r="N397" s="197"/>
      <c r="O397" s="204"/>
      <c r="P397" s="197"/>
    </row>
    <row r="398">
      <c r="A398" s="172"/>
      <c r="B398" s="204"/>
      <c r="C398" s="204"/>
      <c r="D398" s="197"/>
      <c r="E398" s="197"/>
      <c r="F398" s="197"/>
      <c r="G398" s="197"/>
      <c r="H398" s="197"/>
      <c r="I398" s="197"/>
      <c r="J398" s="204"/>
      <c r="K398" s="197"/>
      <c r="L398" s="197"/>
      <c r="M398" s="197"/>
      <c r="N398" s="197"/>
      <c r="O398" s="204"/>
      <c r="P398" s="197"/>
    </row>
    <row r="399">
      <c r="A399" s="172"/>
      <c r="B399" s="204"/>
      <c r="C399" s="204"/>
      <c r="D399" s="197"/>
      <c r="E399" s="197"/>
      <c r="F399" s="197"/>
      <c r="G399" s="197"/>
      <c r="H399" s="197"/>
      <c r="I399" s="197"/>
      <c r="J399" s="204"/>
      <c r="K399" s="197"/>
      <c r="L399" s="197"/>
      <c r="M399" s="197"/>
      <c r="N399" s="197"/>
      <c r="O399" s="204"/>
      <c r="P399" s="197"/>
    </row>
    <row r="400">
      <c r="A400" s="172"/>
      <c r="B400" s="204"/>
      <c r="C400" s="204"/>
      <c r="D400" s="197"/>
      <c r="E400" s="197"/>
      <c r="F400" s="197"/>
      <c r="G400" s="197"/>
      <c r="H400" s="197"/>
      <c r="I400" s="197"/>
      <c r="J400" s="204"/>
      <c r="K400" s="197"/>
      <c r="L400" s="197"/>
      <c r="M400" s="197"/>
      <c r="N400" s="197"/>
      <c r="O400" s="204"/>
      <c r="P400" s="197"/>
    </row>
    <row r="401">
      <c r="A401" s="172"/>
      <c r="B401" s="204"/>
      <c r="C401" s="204"/>
      <c r="D401" s="197"/>
      <c r="E401" s="197"/>
      <c r="F401" s="197"/>
      <c r="G401" s="197"/>
      <c r="H401" s="197"/>
      <c r="I401" s="197"/>
      <c r="J401" s="204"/>
      <c r="K401" s="197"/>
      <c r="L401" s="197"/>
      <c r="M401" s="197"/>
      <c r="N401" s="197"/>
      <c r="O401" s="204"/>
      <c r="P401" s="197"/>
    </row>
    <row r="402">
      <c r="A402" s="172"/>
      <c r="B402" s="204"/>
      <c r="C402" s="204"/>
      <c r="D402" s="197"/>
      <c r="E402" s="197"/>
      <c r="F402" s="197"/>
      <c r="G402" s="197"/>
      <c r="H402" s="197"/>
      <c r="I402" s="197"/>
      <c r="J402" s="204"/>
      <c r="K402" s="197"/>
      <c r="L402" s="197"/>
      <c r="M402" s="197"/>
      <c r="N402" s="197"/>
      <c r="O402" s="204"/>
      <c r="P402" s="197"/>
    </row>
    <row r="403">
      <c r="A403" s="172"/>
      <c r="B403" s="204"/>
      <c r="C403" s="204"/>
      <c r="D403" s="197"/>
      <c r="E403" s="197"/>
      <c r="F403" s="197"/>
      <c r="G403" s="197"/>
      <c r="H403" s="197"/>
      <c r="I403" s="197"/>
      <c r="J403" s="204"/>
      <c r="K403" s="197"/>
      <c r="L403" s="197"/>
      <c r="M403" s="197"/>
      <c r="N403" s="197"/>
      <c r="O403" s="204"/>
      <c r="P403" s="197"/>
    </row>
    <row r="404">
      <c r="A404" s="172"/>
      <c r="B404" s="204"/>
      <c r="C404" s="204"/>
      <c r="D404" s="197"/>
      <c r="E404" s="197"/>
      <c r="F404" s="197"/>
      <c r="G404" s="197"/>
      <c r="H404" s="197"/>
      <c r="I404" s="197"/>
      <c r="J404" s="204"/>
      <c r="K404" s="197"/>
      <c r="L404" s="197"/>
      <c r="M404" s="197"/>
      <c r="N404" s="197"/>
      <c r="O404" s="204"/>
      <c r="P404" s="197"/>
    </row>
    <row r="405">
      <c r="A405" s="172"/>
      <c r="B405" s="204"/>
      <c r="C405" s="204"/>
      <c r="D405" s="197"/>
      <c r="E405" s="197"/>
      <c r="F405" s="197"/>
      <c r="G405" s="197"/>
      <c r="H405" s="197"/>
      <c r="I405" s="197"/>
      <c r="J405" s="204"/>
      <c r="K405" s="197"/>
      <c r="L405" s="197"/>
      <c r="M405" s="197"/>
      <c r="N405" s="197"/>
      <c r="O405" s="204"/>
      <c r="P405" s="197"/>
    </row>
    <row r="406">
      <c r="A406" s="172"/>
      <c r="B406" s="204"/>
      <c r="C406" s="204"/>
      <c r="D406" s="197"/>
      <c r="E406" s="197"/>
      <c r="F406" s="197"/>
      <c r="G406" s="197"/>
      <c r="H406" s="197"/>
      <c r="I406" s="197"/>
      <c r="J406" s="204"/>
      <c r="K406" s="197"/>
      <c r="L406" s="197"/>
      <c r="M406" s="197"/>
      <c r="N406" s="197"/>
      <c r="O406" s="204"/>
      <c r="P406" s="197"/>
    </row>
    <row r="407">
      <c r="A407" s="172"/>
      <c r="B407" s="204"/>
      <c r="C407" s="204"/>
      <c r="D407" s="197"/>
      <c r="E407" s="197"/>
      <c r="F407" s="197"/>
      <c r="G407" s="197"/>
      <c r="H407" s="197"/>
      <c r="I407" s="197"/>
      <c r="J407" s="204"/>
      <c r="K407" s="197"/>
      <c r="L407" s="197"/>
      <c r="M407" s="197"/>
      <c r="N407" s="197"/>
      <c r="O407" s="204"/>
      <c r="P407" s="197"/>
    </row>
    <row r="408">
      <c r="A408" s="172"/>
      <c r="B408" s="204"/>
      <c r="C408" s="204"/>
      <c r="D408" s="197"/>
      <c r="E408" s="197"/>
      <c r="F408" s="197"/>
      <c r="G408" s="197"/>
      <c r="H408" s="197"/>
      <c r="I408" s="197"/>
      <c r="J408" s="204"/>
      <c r="K408" s="197"/>
      <c r="L408" s="197"/>
      <c r="M408" s="197"/>
      <c r="N408" s="197"/>
      <c r="O408" s="204"/>
      <c r="P408" s="197"/>
    </row>
    <row r="409">
      <c r="A409" s="172"/>
      <c r="B409" s="204"/>
      <c r="C409" s="204"/>
      <c r="D409" s="197"/>
      <c r="E409" s="197"/>
      <c r="F409" s="197"/>
      <c r="G409" s="197"/>
      <c r="H409" s="197"/>
      <c r="I409" s="197"/>
      <c r="J409" s="204"/>
      <c r="K409" s="197"/>
      <c r="L409" s="197"/>
      <c r="M409" s="197"/>
      <c r="N409" s="197"/>
      <c r="O409" s="204"/>
      <c r="P409" s="197"/>
    </row>
    <row r="410">
      <c r="A410" s="172"/>
      <c r="B410" s="204"/>
      <c r="C410" s="204"/>
      <c r="D410" s="197"/>
      <c r="E410" s="197"/>
      <c r="F410" s="197"/>
      <c r="G410" s="197"/>
      <c r="H410" s="197"/>
      <c r="I410" s="197"/>
      <c r="J410" s="204"/>
      <c r="K410" s="197"/>
      <c r="L410" s="197"/>
      <c r="M410" s="197"/>
      <c r="N410" s="197"/>
      <c r="O410" s="204"/>
      <c r="P410" s="197"/>
    </row>
    <row r="411">
      <c r="A411" s="172"/>
      <c r="B411" s="204"/>
      <c r="C411" s="204"/>
      <c r="D411" s="197"/>
      <c r="E411" s="197"/>
      <c r="F411" s="197"/>
      <c r="G411" s="197"/>
      <c r="H411" s="197"/>
      <c r="I411" s="197"/>
      <c r="J411" s="204"/>
      <c r="K411" s="197"/>
      <c r="L411" s="197"/>
      <c r="M411" s="197"/>
      <c r="N411" s="197"/>
      <c r="O411" s="204"/>
      <c r="P411" s="197"/>
    </row>
    <row r="412">
      <c r="A412" s="172"/>
      <c r="B412" s="204"/>
      <c r="C412" s="204"/>
      <c r="D412" s="197"/>
      <c r="E412" s="197"/>
      <c r="F412" s="197"/>
      <c r="G412" s="197"/>
      <c r="H412" s="197"/>
      <c r="I412" s="197"/>
      <c r="J412" s="204"/>
      <c r="K412" s="197"/>
      <c r="L412" s="197"/>
      <c r="M412" s="197"/>
      <c r="N412" s="197"/>
      <c r="O412" s="204"/>
      <c r="P412" s="197"/>
    </row>
    <row r="413">
      <c r="A413" s="172"/>
      <c r="B413" s="204"/>
      <c r="C413" s="204"/>
      <c r="D413" s="197"/>
      <c r="E413" s="197"/>
      <c r="F413" s="197"/>
      <c r="G413" s="197"/>
      <c r="H413" s="197"/>
      <c r="I413" s="197"/>
      <c r="J413" s="204"/>
      <c r="K413" s="197"/>
      <c r="L413" s="197"/>
      <c r="M413" s="197"/>
      <c r="N413" s="197"/>
      <c r="O413" s="204"/>
      <c r="P413" s="197"/>
    </row>
    <row r="414">
      <c r="A414" s="172"/>
      <c r="B414" s="204"/>
      <c r="C414" s="204"/>
      <c r="D414" s="197"/>
      <c r="E414" s="197"/>
      <c r="F414" s="197"/>
      <c r="G414" s="197"/>
      <c r="H414" s="197"/>
      <c r="I414" s="197"/>
      <c r="J414" s="204"/>
      <c r="K414" s="197"/>
      <c r="L414" s="197"/>
      <c r="M414" s="197"/>
      <c r="N414" s="197"/>
      <c r="O414" s="204"/>
      <c r="P414" s="197"/>
    </row>
    <row r="415">
      <c r="A415" s="172"/>
      <c r="B415" s="204"/>
      <c r="C415" s="204"/>
      <c r="D415" s="197"/>
      <c r="E415" s="197"/>
      <c r="F415" s="197"/>
      <c r="G415" s="197"/>
      <c r="H415" s="197"/>
      <c r="I415" s="197"/>
      <c r="J415" s="204"/>
      <c r="K415" s="197"/>
      <c r="L415" s="197"/>
      <c r="M415" s="197"/>
      <c r="N415" s="197"/>
      <c r="O415" s="204"/>
      <c r="P415" s="197"/>
    </row>
    <row r="416">
      <c r="A416" s="172"/>
      <c r="B416" s="204"/>
      <c r="C416" s="204"/>
      <c r="D416" s="197"/>
      <c r="E416" s="197"/>
      <c r="F416" s="197"/>
      <c r="G416" s="197"/>
      <c r="H416" s="197"/>
      <c r="I416" s="197"/>
      <c r="J416" s="204"/>
      <c r="K416" s="197"/>
      <c r="L416" s="197"/>
      <c r="M416" s="197"/>
      <c r="N416" s="197"/>
      <c r="O416" s="204"/>
      <c r="P416" s="197"/>
    </row>
    <row r="417">
      <c r="A417" s="172"/>
      <c r="B417" s="204"/>
      <c r="C417" s="204"/>
      <c r="D417" s="197"/>
      <c r="E417" s="197"/>
      <c r="F417" s="197"/>
      <c r="G417" s="197"/>
      <c r="H417" s="197"/>
      <c r="I417" s="197"/>
      <c r="J417" s="204"/>
      <c r="K417" s="197"/>
      <c r="L417" s="197"/>
      <c r="M417" s="197"/>
      <c r="N417" s="197"/>
      <c r="O417" s="204"/>
      <c r="P417" s="197"/>
    </row>
    <row r="418">
      <c r="A418" s="172"/>
      <c r="B418" s="204"/>
      <c r="C418" s="204"/>
      <c r="D418" s="197"/>
      <c r="E418" s="197"/>
      <c r="F418" s="197"/>
      <c r="G418" s="197"/>
      <c r="H418" s="197"/>
      <c r="I418" s="197"/>
      <c r="J418" s="204"/>
      <c r="K418" s="197"/>
      <c r="L418" s="197"/>
      <c r="M418" s="197"/>
      <c r="N418" s="197"/>
      <c r="O418" s="204"/>
      <c r="P418" s="197"/>
    </row>
    <row r="419">
      <c r="A419" s="172"/>
      <c r="B419" s="204"/>
      <c r="C419" s="204"/>
      <c r="D419" s="197"/>
      <c r="E419" s="197"/>
      <c r="F419" s="197"/>
      <c r="G419" s="197"/>
      <c r="H419" s="197"/>
      <c r="I419" s="197"/>
      <c r="J419" s="204"/>
      <c r="K419" s="197"/>
      <c r="L419" s="197"/>
      <c r="M419" s="197"/>
      <c r="N419" s="197"/>
      <c r="O419" s="204"/>
      <c r="P419" s="197"/>
    </row>
    <row r="420">
      <c r="A420" s="172"/>
      <c r="B420" s="204"/>
      <c r="C420" s="204"/>
      <c r="D420" s="197"/>
      <c r="E420" s="197"/>
      <c r="F420" s="197"/>
      <c r="G420" s="197"/>
      <c r="H420" s="197"/>
      <c r="I420" s="197"/>
      <c r="J420" s="204"/>
      <c r="K420" s="197"/>
      <c r="L420" s="197"/>
      <c r="M420" s="197"/>
      <c r="N420" s="197"/>
      <c r="O420" s="204"/>
      <c r="P420" s="197"/>
    </row>
    <row r="421">
      <c r="A421" s="172"/>
      <c r="B421" s="204"/>
      <c r="C421" s="204"/>
      <c r="D421" s="197"/>
      <c r="E421" s="197"/>
      <c r="F421" s="197"/>
      <c r="G421" s="197"/>
      <c r="H421" s="197"/>
      <c r="I421" s="197"/>
      <c r="J421" s="204"/>
      <c r="K421" s="197"/>
      <c r="L421" s="197"/>
      <c r="M421" s="197"/>
      <c r="N421" s="197"/>
      <c r="O421" s="204"/>
      <c r="P421" s="197"/>
    </row>
    <row r="422">
      <c r="A422" s="172"/>
      <c r="B422" s="204"/>
      <c r="C422" s="204"/>
      <c r="D422" s="197"/>
      <c r="E422" s="197"/>
      <c r="F422" s="197"/>
      <c r="G422" s="197"/>
      <c r="H422" s="197"/>
      <c r="I422" s="197"/>
      <c r="J422" s="204"/>
      <c r="K422" s="197"/>
      <c r="L422" s="197"/>
      <c r="M422" s="197"/>
      <c r="N422" s="197"/>
      <c r="O422" s="204"/>
      <c r="P422" s="197"/>
    </row>
    <row r="423">
      <c r="A423" s="172"/>
      <c r="B423" s="204"/>
      <c r="C423" s="204"/>
      <c r="D423" s="197"/>
      <c r="E423" s="197"/>
      <c r="F423" s="197"/>
      <c r="G423" s="197"/>
      <c r="H423" s="197"/>
      <c r="I423" s="197"/>
      <c r="J423" s="204"/>
      <c r="K423" s="197"/>
      <c r="L423" s="197"/>
      <c r="M423" s="197"/>
      <c r="N423" s="197"/>
      <c r="O423" s="204"/>
      <c r="P423" s="197"/>
    </row>
    <row r="424">
      <c r="A424" s="172"/>
      <c r="B424" s="204"/>
      <c r="C424" s="204"/>
      <c r="D424" s="197"/>
      <c r="E424" s="197"/>
      <c r="F424" s="197"/>
      <c r="G424" s="197"/>
      <c r="H424" s="197"/>
      <c r="I424" s="197"/>
      <c r="J424" s="204"/>
      <c r="K424" s="197"/>
      <c r="L424" s="197"/>
      <c r="M424" s="197"/>
      <c r="N424" s="197"/>
      <c r="O424" s="204"/>
      <c r="P424" s="197"/>
    </row>
    <row r="425">
      <c r="A425" s="172"/>
      <c r="B425" s="204"/>
      <c r="C425" s="204"/>
      <c r="D425" s="197"/>
      <c r="E425" s="197"/>
      <c r="F425" s="197"/>
      <c r="G425" s="197"/>
      <c r="H425" s="197"/>
      <c r="I425" s="197"/>
      <c r="J425" s="204"/>
      <c r="K425" s="197"/>
      <c r="L425" s="197"/>
      <c r="M425" s="197"/>
      <c r="N425" s="197"/>
      <c r="O425" s="204"/>
      <c r="P425" s="197"/>
    </row>
    <row r="426">
      <c r="A426" s="172"/>
      <c r="B426" s="204"/>
      <c r="C426" s="204"/>
      <c r="D426" s="197"/>
      <c r="E426" s="197"/>
      <c r="F426" s="197"/>
      <c r="G426" s="197"/>
      <c r="H426" s="197"/>
      <c r="I426" s="197"/>
      <c r="J426" s="204"/>
      <c r="K426" s="197"/>
      <c r="L426" s="197"/>
      <c r="M426" s="197"/>
      <c r="N426" s="197"/>
      <c r="O426" s="204"/>
      <c r="P426" s="197"/>
    </row>
    <row r="427">
      <c r="A427" s="172"/>
      <c r="B427" s="204"/>
      <c r="C427" s="204"/>
      <c r="D427" s="197"/>
      <c r="E427" s="197"/>
      <c r="F427" s="197"/>
      <c r="G427" s="197"/>
      <c r="H427" s="197"/>
      <c r="I427" s="197"/>
      <c r="J427" s="204"/>
      <c r="K427" s="197"/>
      <c r="L427" s="197"/>
      <c r="M427" s="197"/>
      <c r="N427" s="197"/>
      <c r="O427" s="204"/>
      <c r="P427" s="197"/>
    </row>
    <row r="428">
      <c r="A428" s="172"/>
      <c r="B428" s="204"/>
      <c r="C428" s="204"/>
      <c r="D428" s="197"/>
      <c r="E428" s="197"/>
      <c r="F428" s="197"/>
      <c r="G428" s="197"/>
      <c r="H428" s="197"/>
      <c r="I428" s="197"/>
      <c r="J428" s="204"/>
      <c r="K428" s="197"/>
      <c r="L428" s="197"/>
      <c r="M428" s="197"/>
      <c r="N428" s="197"/>
      <c r="O428" s="204"/>
      <c r="P428" s="197"/>
    </row>
    <row r="429">
      <c r="A429" s="172"/>
      <c r="B429" s="204"/>
      <c r="C429" s="204"/>
      <c r="D429" s="197"/>
      <c r="E429" s="197"/>
      <c r="F429" s="197"/>
      <c r="G429" s="197"/>
      <c r="H429" s="197"/>
      <c r="I429" s="197"/>
      <c r="J429" s="204"/>
      <c r="K429" s="197"/>
      <c r="L429" s="197"/>
      <c r="M429" s="197"/>
      <c r="N429" s="197"/>
      <c r="O429" s="204"/>
      <c r="P429" s="197"/>
    </row>
    <row r="430">
      <c r="A430" s="172"/>
      <c r="B430" s="204"/>
      <c r="C430" s="204"/>
      <c r="D430" s="197"/>
      <c r="E430" s="197"/>
      <c r="F430" s="197"/>
      <c r="G430" s="197"/>
      <c r="H430" s="197"/>
      <c r="I430" s="197"/>
      <c r="J430" s="204"/>
      <c r="K430" s="197"/>
      <c r="L430" s="197"/>
      <c r="M430" s="197"/>
      <c r="N430" s="197"/>
      <c r="O430" s="204"/>
      <c r="P430" s="197"/>
    </row>
    <row r="431">
      <c r="A431" s="172"/>
      <c r="B431" s="204"/>
      <c r="C431" s="204"/>
      <c r="D431" s="197"/>
      <c r="E431" s="197"/>
      <c r="F431" s="197"/>
      <c r="G431" s="197"/>
      <c r="H431" s="197"/>
      <c r="I431" s="197"/>
      <c r="J431" s="204"/>
      <c r="K431" s="197"/>
      <c r="L431" s="197"/>
      <c r="M431" s="197"/>
      <c r="N431" s="197"/>
      <c r="O431" s="204"/>
      <c r="P431" s="197"/>
    </row>
    <row r="432">
      <c r="A432" s="172"/>
      <c r="B432" s="204"/>
      <c r="C432" s="204"/>
      <c r="D432" s="197"/>
      <c r="E432" s="197"/>
      <c r="F432" s="197"/>
      <c r="G432" s="197"/>
      <c r="H432" s="197"/>
      <c r="I432" s="197"/>
      <c r="J432" s="204"/>
      <c r="K432" s="197"/>
      <c r="L432" s="197"/>
      <c r="M432" s="197"/>
      <c r="N432" s="197"/>
      <c r="O432" s="204"/>
      <c r="P432" s="197"/>
    </row>
    <row r="433">
      <c r="A433" s="172"/>
      <c r="B433" s="204"/>
      <c r="C433" s="204"/>
      <c r="D433" s="197"/>
      <c r="E433" s="197"/>
      <c r="F433" s="197"/>
      <c r="G433" s="197"/>
      <c r="H433" s="197"/>
      <c r="I433" s="197"/>
      <c r="J433" s="204"/>
      <c r="K433" s="197"/>
      <c r="L433" s="197"/>
      <c r="M433" s="197"/>
      <c r="N433" s="197"/>
      <c r="O433" s="204"/>
      <c r="P433" s="197"/>
    </row>
    <row r="434">
      <c r="A434" s="172"/>
      <c r="B434" s="204"/>
      <c r="C434" s="204"/>
      <c r="D434" s="197"/>
      <c r="E434" s="197"/>
      <c r="F434" s="197"/>
      <c r="G434" s="197"/>
      <c r="H434" s="197"/>
      <c r="I434" s="197"/>
      <c r="J434" s="204"/>
      <c r="K434" s="197"/>
      <c r="L434" s="197"/>
      <c r="M434" s="197"/>
      <c r="N434" s="197"/>
      <c r="O434" s="204"/>
      <c r="P434" s="197"/>
    </row>
    <row r="435">
      <c r="A435" s="172"/>
      <c r="B435" s="204"/>
      <c r="C435" s="204"/>
      <c r="D435" s="197"/>
      <c r="E435" s="197"/>
      <c r="F435" s="197"/>
      <c r="G435" s="197"/>
      <c r="H435" s="197"/>
      <c r="I435" s="197"/>
      <c r="J435" s="204"/>
      <c r="K435" s="197"/>
      <c r="L435" s="197"/>
      <c r="M435" s="197"/>
      <c r="N435" s="197"/>
      <c r="O435" s="204"/>
      <c r="P435" s="197"/>
    </row>
    <row r="436">
      <c r="A436" s="172"/>
      <c r="B436" s="204"/>
      <c r="C436" s="204"/>
      <c r="D436" s="197"/>
      <c r="E436" s="197"/>
      <c r="F436" s="197"/>
      <c r="G436" s="197"/>
      <c r="H436" s="197"/>
      <c r="I436" s="197"/>
      <c r="J436" s="204"/>
      <c r="K436" s="197"/>
      <c r="L436" s="197"/>
      <c r="M436" s="197"/>
      <c r="N436" s="197"/>
      <c r="O436" s="204"/>
      <c r="P436" s="197"/>
    </row>
    <row r="437">
      <c r="A437" s="172"/>
      <c r="B437" s="204"/>
      <c r="C437" s="204"/>
      <c r="D437" s="197"/>
      <c r="E437" s="197"/>
      <c r="F437" s="197"/>
      <c r="G437" s="197"/>
      <c r="H437" s="197"/>
      <c r="I437" s="197"/>
      <c r="J437" s="204"/>
      <c r="K437" s="197"/>
      <c r="L437" s="197"/>
      <c r="M437" s="197"/>
      <c r="N437" s="197"/>
      <c r="O437" s="204"/>
      <c r="P437" s="197"/>
    </row>
    <row r="438">
      <c r="A438" s="172"/>
      <c r="B438" s="204"/>
      <c r="C438" s="204"/>
      <c r="D438" s="197"/>
      <c r="E438" s="197"/>
      <c r="F438" s="197"/>
      <c r="G438" s="197"/>
      <c r="H438" s="197"/>
      <c r="I438" s="197"/>
      <c r="J438" s="204"/>
      <c r="K438" s="197"/>
      <c r="L438" s="197"/>
      <c r="M438" s="197"/>
      <c r="N438" s="197"/>
      <c r="O438" s="204"/>
      <c r="P438" s="197"/>
    </row>
    <row r="439">
      <c r="A439" s="172"/>
      <c r="B439" s="204"/>
      <c r="C439" s="204"/>
      <c r="D439" s="197"/>
      <c r="E439" s="197"/>
      <c r="F439" s="197"/>
      <c r="G439" s="197"/>
      <c r="H439" s="197"/>
      <c r="I439" s="197"/>
      <c r="J439" s="204"/>
      <c r="K439" s="197"/>
      <c r="L439" s="197"/>
      <c r="M439" s="197"/>
      <c r="N439" s="197"/>
      <c r="O439" s="204"/>
      <c r="P439" s="197"/>
    </row>
    <row r="440">
      <c r="A440" s="172"/>
      <c r="B440" s="204"/>
      <c r="C440" s="204"/>
      <c r="D440" s="197"/>
      <c r="E440" s="197"/>
      <c r="F440" s="197"/>
      <c r="G440" s="197"/>
      <c r="H440" s="197"/>
      <c r="I440" s="197"/>
      <c r="J440" s="204"/>
      <c r="K440" s="197"/>
      <c r="L440" s="197"/>
      <c r="M440" s="197"/>
      <c r="N440" s="197"/>
      <c r="O440" s="204"/>
      <c r="P440" s="197"/>
    </row>
    <row r="441">
      <c r="A441" s="172"/>
      <c r="B441" s="204"/>
      <c r="C441" s="204"/>
      <c r="D441" s="197"/>
      <c r="E441" s="197"/>
      <c r="F441" s="197"/>
      <c r="G441" s="197"/>
      <c r="H441" s="197"/>
      <c r="I441" s="197"/>
      <c r="J441" s="204"/>
      <c r="K441" s="197"/>
      <c r="L441" s="197"/>
      <c r="M441" s="197"/>
      <c r="N441" s="197"/>
      <c r="O441" s="204"/>
      <c r="P441" s="197"/>
    </row>
    <row r="442">
      <c r="A442" s="172"/>
      <c r="B442" s="204"/>
      <c r="C442" s="204"/>
      <c r="D442" s="197"/>
      <c r="E442" s="197"/>
      <c r="F442" s="197"/>
      <c r="G442" s="197"/>
      <c r="H442" s="197"/>
      <c r="I442" s="197"/>
      <c r="J442" s="204"/>
      <c r="K442" s="197"/>
      <c r="L442" s="197"/>
      <c r="M442" s="197"/>
      <c r="N442" s="197"/>
      <c r="O442" s="204"/>
      <c r="P442" s="197"/>
    </row>
    <row r="443">
      <c r="A443" s="172"/>
      <c r="B443" s="204"/>
      <c r="C443" s="204"/>
      <c r="D443" s="197"/>
      <c r="E443" s="197"/>
      <c r="F443" s="197"/>
      <c r="G443" s="197"/>
      <c r="H443" s="197"/>
      <c r="I443" s="197"/>
      <c r="J443" s="204"/>
      <c r="K443" s="197"/>
      <c r="L443" s="197"/>
      <c r="M443" s="197"/>
      <c r="N443" s="197"/>
      <c r="O443" s="204"/>
      <c r="P443" s="197"/>
    </row>
    <row r="444">
      <c r="A444" s="172"/>
      <c r="B444" s="204"/>
      <c r="C444" s="204"/>
      <c r="D444" s="197"/>
      <c r="E444" s="197"/>
      <c r="F444" s="197"/>
      <c r="G444" s="197"/>
      <c r="H444" s="197"/>
      <c r="I444" s="197"/>
      <c r="J444" s="204"/>
      <c r="K444" s="197"/>
      <c r="L444" s="197"/>
      <c r="M444" s="197"/>
      <c r="N444" s="197"/>
      <c r="O444" s="204"/>
      <c r="P444" s="197"/>
    </row>
    <row r="445">
      <c r="A445" s="172"/>
      <c r="B445" s="204"/>
      <c r="C445" s="204"/>
      <c r="D445" s="197"/>
      <c r="E445" s="197"/>
      <c r="F445" s="197"/>
      <c r="G445" s="197"/>
      <c r="H445" s="197"/>
      <c r="I445" s="197"/>
      <c r="J445" s="204"/>
      <c r="K445" s="197"/>
      <c r="L445" s="197"/>
      <c r="M445" s="197"/>
      <c r="N445" s="197"/>
      <c r="O445" s="204"/>
      <c r="P445" s="197"/>
    </row>
    <row r="446">
      <c r="A446" s="172"/>
      <c r="B446" s="204"/>
      <c r="C446" s="204"/>
      <c r="D446" s="197"/>
      <c r="E446" s="197"/>
      <c r="F446" s="197"/>
      <c r="G446" s="197"/>
      <c r="H446" s="197"/>
      <c r="I446" s="197"/>
      <c r="J446" s="204"/>
      <c r="K446" s="197"/>
      <c r="L446" s="197"/>
      <c r="M446" s="197"/>
      <c r="N446" s="197"/>
      <c r="O446" s="204"/>
      <c r="P446" s="197"/>
    </row>
    <row r="447">
      <c r="A447" s="172"/>
      <c r="B447" s="204"/>
      <c r="C447" s="204"/>
      <c r="D447" s="197"/>
      <c r="E447" s="197"/>
      <c r="F447" s="197"/>
      <c r="G447" s="197"/>
      <c r="H447" s="197"/>
      <c r="I447" s="197"/>
      <c r="J447" s="204"/>
      <c r="K447" s="197"/>
      <c r="L447" s="197"/>
      <c r="M447" s="197"/>
      <c r="N447" s="197"/>
      <c r="O447" s="204"/>
      <c r="P447" s="197"/>
    </row>
    <row r="448">
      <c r="A448" s="172"/>
      <c r="B448" s="204"/>
      <c r="C448" s="204"/>
      <c r="D448" s="197"/>
      <c r="E448" s="197"/>
      <c r="F448" s="197"/>
      <c r="G448" s="197"/>
      <c r="H448" s="197"/>
      <c r="I448" s="197"/>
      <c r="J448" s="204"/>
      <c r="K448" s="197"/>
      <c r="L448" s="197"/>
      <c r="M448" s="197"/>
      <c r="N448" s="197"/>
      <c r="O448" s="204"/>
      <c r="P448" s="197"/>
    </row>
    <row r="449">
      <c r="A449" s="172"/>
      <c r="B449" s="204"/>
      <c r="C449" s="204"/>
      <c r="D449" s="197"/>
      <c r="E449" s="197"/>
      <c r="F449" s="197"/>
      <c r="G449" s="197"/>
      <c r="H449" s="197"/>
      <c r="I449" s="197"/>
      <c r="J449" s="204"/>
      <c r="K449" s="197"/>
      <c r="L449" s="197"/>
      <c r="M449" s="197"/>
      <c r="N449" s="197"/>
      <c r="O449" s="204"/>
      <c r="P449" s="197"/>
    </row>
    <row r="450">
      <c r="A450" s="172"/>
      <c r="B450" s="204"/>
      <c r="C450" s="204"/>
      <c r="D450" s="197"/>
      <c r="E450" s="197"/>
      <c r="F450" s="197"/>
      <c r="G450" s="197"/>
      <c r="H450" s="197"/>
      <c r="I450" s="197"/>
      <c r="J450" s="204"/>
      <c r="K450" s="197"/>
      <c r="L450" s="197"/>
      <c r="M450" s="197"/>
      <c r="N450" s="197"/>
      <c r="O450" s="204"/>
      <c r="P450" s="197"/>
    </row>
    <row r="451">
      <c r="A451" s="172"/>
      <c r="B451" s="204"/>
      <c r="C451" s="204"/>
      <c r="D451" s="197"/>
      <c r="E451" s="197"/>
      <c r="F451" s="197"/>
      <c r="G451" s="197"/>
      <c r="H451" s="197"/>
      <c r="I451" s="197"/>
      <c r="J451" s="204"/>
      <c r="K451" s="197"/>
      <c r="L451" s="197"/>
      <c r="M451" s="197"/>
      <c r="N451" s="197"/>
      <c r="O451" s="204"/>
      <c r="P451" s="197"/>
    </row>
    <row r="452">
      <c r="A452" s="172"/>
      <c r="B452" s="204"/>
      <c r="C452" s="204"/>
      <c r="D452" s="197"/>
      <c r="E452" s="197"/>
      <c r="F452" s="197"/>
      <c r="G452" s="197"/>
      <c r="H452" s="197"/>
      <c r="I452" s="197"/>
      <c r="J452" s="204"/>
      <c r="K452" s="197"/>
      <c r="L452" s="197"/>
      <c r="M452" s="197"/>
      <c r="N452" s="197"/>
      <c r="O452" s="204"/>
      <c r="P452" s="197"/>
    </row>
    <row r="453">
      <c r="A453" s="172"/>
      <c r="B453" s="204"/>
      <c r="C453" s="204"/>
      <c r="D453" s="197"/>
      <c r="E453" s="197"/>
      <c r="F453" s="197"/>
      <c r="G453" s="197"/>
      <c r="H453" s="197"/>
      <c r="I453" s="197"/>
      <c r="J453" s="204"/>
      <c r="K453" s="197"/>
      <c r="L453" s="197"/>
      <c r="M453" s="197"/>
      <c r="N453" s="197"/>
      <c r="O453" s="204"/>
      <c r="P453" s="197"/>
    </row>
    <row r="454">
      <c r="A454" s="172"/>
      <c r="B454" s="204"/>
      <c r="C454" s="204"/>
      <c r="D454" s="197"/>
      <c r="E454" s="197"/>
      <c r="F454" s="197"/>
      <c r="G454" s="197"/>
      <c r="H454" s="197"/>
      <c r="I454" s="197"/>
      <c r="J454" s="204"/>
      <c r="K454" s="197"/>
      <c r="L454" s="197"/>
      <c r="M454" s="197"/>
      <c r="N454" s="197"/>
      <c r="O454" s="204"/>
      <c r="P454" s="197"/>
    </row>
    <row r="455">
      <c r="A455" s="172"/>
      <c r="B455" s="204"/>
      <c r="C455" s="204"/>
      <c r="D455" s="197"/>
      <c r="E455" s="197"/>
      <c r="F455" s="197"/>
      <c r="G455" s="197"/>
      <c r="H455" s="197"/>
      <c r="I455" s="197"/>
      <c r="J455" s="204"/>
      <c r="K455" s="197"/>
      <c r="L455" s="197"/>
      <c r="M455" s="197"/>
      <c r="N455" s="197"/>
      <c r="O455" s="204"/>
      <c r="P455" s="197"/>
    </row>
    <row r="456">
      <c r="A456" s="172"/>
      <c r="B456" s="204"/>
      <c r="C456" s="204"/>
      <c r="D456" s="197"/>
      <c r="E456" s="197"/>
      <c r="F456" s="197"/>
      <c r="G456" s="197"/>
      <c r="H456" s="197"/>
      <c r="I456" s="197"/>
      <c r="J456" s="204"/>
      <c r="K456" s="197"/>
      <c r="L456" s="197"/>
      <c r="M456" s="197"/>
      <c r="N456" s="197"/>
      <c r="O456" s="204"/>
      <c r="P456" s="197"/>
    </row>
    <row r="457">
      <c r="A457" s="172"/>
      <c r="B457" s="204"/>
      <c r="C457" s="204"/>
      <c r="D457" s="197"/>
      <c r="E457" s="197"/>
      <c r="F457" s="197"/>
      <c r="G457" s="197"/>
      <c r="H457" s="197"/>
      <c r="I457" s="197"/>
      <c r="J457" s="204"/>
      <c r="K457" s="197"/>
      <c r="L457" s="197"/>
      <c r="M457" s="197"/>
      <c r="N457" s="197"/>
      <c r="O457" s="204"/>
      <c r="P457" s="197"/>
    </row>
    <row r="458">
      <c r="A458" s="172"/>
      <c r="B458" s="204"/>
      <c r="C458" s="204"/>
      <c r="D458" s="197"/>
      <c r="E458" s="197"/>
      <c r="F458" s="197"/>
      <c r="G458" s="197"/>
      <c r="H458" s="197"/>
      <c r="I458" s="197"/>
      <c r="J458" s="204"/>
      <c r="K458" s="197"/>
      <c r="L458" s="197"/>
      <c r="M458" s="197"/>
      <c r="N458" s="197"/>
      <c r="O458" s="204"/>
      <c r="P458" s="197"/>
    </row>
    <row r="459">
      <c r="A459" s="172"/>
      <c r="B459" s="204"/>
      <c r="C459" s="204"/>
      <c r="D459" s="197"/>
      <c r="E459" s="197"/>
      <c r="F459" s="197"/>
      <c r="G459" s="197"/>
      <c r="H459" s="197"/>
      <c r="I459" s="197"/>
      <c r="J459" s="204"/>
      <c r="K459" s="197"/>
      <c r="L459" s="197"/>
      <c r="M459" s="197"/>
      <c r="N459" s="197"/>
      <c r="O459" s="204"/>
      <c r="P459" s="197"/>
    </row>
    <row r="460">
      <c r="A460" s="172"/>
      <c r="B460" s="204"/>
      <c r="C460" s="204"/>
      <c r="D460" s="197"/>
      <c r="E460" s="197"/>
      <c r="F460" s="197"/>
      <c r="G460" s="197"/>
      <c r="H460" s="197"/>
      <c r="I460" s="197"/>
      <c r="J460" s="204"/>
      <c r="K460" s="197"/>
      <c r="L460" s="197"/>
      <c r="M460" s="197"/>
      <c r="N460" s="197"/>
      <c r="O460" s="204"/>
      <c r="P460" s="197"/>
    </row>
    <row r="461">
      <c r="A461" s="172"/>
      <c r="B461" s="204"/>
      <c r="C461" s="204"/>
      <c r="D461" s="197"/>
      <c r="E461" s="197"/>
      <c r="F461" s="197"/>
      <c r="G461" s="197"/>
      <c r="H461" s="197"/>
      <c r="I461" s="197"/>
      <c r="J461" s="204"/>
      <c r="K461" s="197"/>
      <c r="L461" s="197"/>
      <c r="M461" s="197"/>
      <c r="N461" s="197"/>
      <c r="O461" s="204"/>
      <c r="P461" s="197"/>
    </row>
    <row r="462">
      <c r="A462" s="172"/>
      <c r="B462" s="204"/>
      <c r="C462" s="204"/>
      <c r="D462" s="197"/>
      <c r="E462" s="197"/>
      <c r="F462" s="197"/>
      <c r="G462" s="197"/>
      <c r="H462" s="197"/>
      <c r="I462" s="197"/>
      <c r="J462" s="204"/>
      <c r="K462" s="197"/>
      <c r="L462" s="197"/>
      <c r="M462" s="197"/>
      <c r="N462" s="197"/>
      <c r="O462" s="204"/>
      <c r="P462" s="197"/>
    </row>
    <row r="463">
      <c r="A463" s="172"/>
      <c r="B463" s="204"/>
      <c r="C463" s="204"/>
      <c r="D463" s="197"/>
      <c r="E463" s="197"/>
      <c r="F463" s="197"/>
      <c r="G463" s="197"/>
      <c r="H463" s="197"/>
      <c r="I463" s="197"/>
      <c r="J463" s="204"/>
      <c r="K463" s="197"/>
      <c r="L463" s="197"/>
      <c r="M463" s="197"/>
      <c r="N463" s="197"/>
      <c r="O463" s="204"/>
      <c r="P463" s="197"/>
    </row>
    <row r="464">
      <c r="A464" s="172"/>
      <c r="B464" s="204"/>
      <c r="C464" s="204"/>
      <c r="D464" s="197"/>
      <c r="E464" s="197"/>
      <c r="F464" s="197"/>
      <c r="G464" s="197"/>
      <c r="H464" s="197"/>
      <c r="I464" s="197"/>
      <c r="J464" s="204"/>
      <c r="K464" s="197"/>
      <c r="L464" s="197"/>
      <c r="M464" s="197"/>
      <c r="N464" s="197"/>
      <c r="O464" s="204"/>
      <c r="P464" s="197"/>
    </row>
    <row r="465">
      <c r="A465" s="172"/>
      <c r="B465" s="204"/>
      <c r="C465" s="204"/>
      <c r="D465" s="197"/>
      <c r="E465" s="197"/>
      <c r="F465" s="197"/>
      <c r="G465" s="197"/>
      <c r="H465" s="197"/>
      <c r="I465" s="197"/>
      <c r="J465" s="204"/>
      <c r="K465" s="197"/>
      <c r="L465" s="197"/>
      <c r="M465" s="197"/>
      <c r="N465" s="197"/>
      <c r="O465" s="204"/>
      <c r="P465" s="197"/>
    </row>
    <row r="466">
      <c r="A466" s="172"/>
      <c r="B466" s="204"/>
      <c r="C466" s="204"/>
      <c r="D466" s="197"/>
      <c r="E466" s="197"/>
      <c r="F466" s="197"/>
      <c r="G466" s="197"/>
      <c r="H466" s="197"/>
      <c r="I466" s="197"/>
      <c r="J466" s="204"/>
      <c r="K466" s="197"/>
      <c r="L466" s="197"/>
      <c r="M466" s="197"/>
      <c r="N466" s="197"/>
      <c r="O466" s="204"/>
      <c r="P466" s="197"/>
    </row>
    <row r="467">
      <c r="A467" s="172"/>
      <c r="B467" s="204"/>
      <c r="C467" s="204"/>
      <c r="D467" s="197"/>
      <c r="E467" s="197"/>
      <c r="F467" s="197"/>
      <c r="G467" s="197"/>
      <c r="H467" s="197"/>
      <c r="I467" s="197"/>
      <c r="J467" s="204"/>
      <c r="K467" s="197"/>
      <c r="L467" s="197"/>
      <c r="M467" s="197"/>
      <c r="N467" s="197"/>
      <c r="O467" s="204"/>
      <c r="P467" s="197"/>
    </row>
    <row r="468">
      <c r="A468" s="172"/>
      <c r="B468" s="204"/>
      <c r="C468" s="204"/>
      <c r="D468" s="197"/>
      <c r="E468" s="197"/>
      <c r="F468" s="197"/>
      <c r="G468" s="197"/>
      <c r="H468" s="197"/>
      <c r="I468" s="197"/>
      <c r="J468" s="204"/>
      <c r="K468" s="197"/>
      <c r="L468" s="197"/>
      <c r="M468" s="197"/>
      <c r="N468" s="197"/>
      <c r="O468" s="204"/>
      <c r="P468" s="197"/>
    </row>
    <row r="469">
      <c r="A469" s="172"/>
      <c r="B469" s="204"/>
      <c r="C469" s="204"/>
      <c r="D469" s="197"/>
      <c r="E469" s="197"/>
      <c r="F469" s="197"/>
      <c r="G469" s="197"/>
      <c r="H469" s="197"/>
      <c r="I469" s="197"/>
      <c r="J469" s="204"/>
      <c r="K469" s="197"/>
      <c r="L469" s="197"/>
      <c r="M469" s="197"/>
      <c r="N469" s="197"/>
      <c r="O469" s="204"/>
      <c r="P469" s="197"/>
    </row>
    <row r="470">
      <c r="A470" s="172"/>
      <c r="B470" s="204"/>
      <c r="C470" s="204"/>
      <c r="D470" s="197"/>
      <c r="E470" s="197"/>
      <c r="F470" s="197"/>
      <c r="G470" s="197"/>
      <c r="H470" s="197"/>
      <c r="I470" s="197"/>
      <c r="J470" s="204"/>
      <c r="K470" s="197"/>
      <c r="L470" s="197"/>
      <c r="M470" s="197"/>
      <c r="N470" s="197"/>
      <c r="O470" s="204"/>
      <c r="P470" s="197"/>
    </row>
    <row r="471">
      <c r="A471" s="172"/>
      <c r="B471" s="204"/>
      <c r="C471" s="204"/>
      <c r="D471" s="197"/>
      <c r="E471" s="197"/>
      <c r="F471" s="197"/>
      <c r="G471" s="197"/>
      <c r="H471" s="197"/>
      <c r="I471" s="197"/>
      <c r="J471" s="204"/>
      <c r="K471" s="197"/>
      <c r="L471" s="197"/>
      <c r="M471" s="197"/>
      <c r="N471" s="197"/>
      <c r="O471" s="204"/>
      <c r="P471" s="197"/>
    </row>
    <row r="472">
      <c r="A472" s="172"/>
      <c r="B472" s="204"/>
      <c r="C472" s="204"/>
      <c r="D472" s="197"/>
      <c r="E472" s="197"/>
      <c r="F472" s="197"/>
      <c r="G472" s="197"/>
      <c r="H472" s="197"/>
      <c r="I472" s="197"/>
      <c r="J472" s="204"/>
      <c r="K472" s="197"/>
      <c r="L472" s="197"/>
      <c r="M472" s="197"/>
      <c r="N472" s="197"/>
      <c r="O472" s="204"/>
      <c r="P472" s="197"/>
    </row>
    <row r="473">
      <c r="A473" s="172"/>
      <c r="B473" s="204"/>
      <c r="C473" s="204"/>
      <c r="D473" s="197"/>
      <c r="E473" s="197"/>
      <c r="F473" s="197"/>
      <c r="G473" s="197"/>
      <c r="H473" s="197"/>
      <c r="I473" s="197"/>
      <c r="J473" s="204"/>
      <c r="K473" s="197"/>
      <c r="L473" s="197"/>
      <c r="M473" s="197"/>
      <c r="N473" s="197"/>
      <c r="O473" s="204"/>
      <c r="P473" s="197"/>
    </row>
    <row r="474">
      <c r="A474" s="172"/>
      <c r="B474" s="204"/>
      <c r="C474" s="204"/>
      <c r="D474" s="197"/>
      <c r="E474" s="197"/>
      <c r="F474" s="197"/>
      <c r="G474" s="197"/>
      <c r="H474" s="197"/>
      <c r="I474" s="197"/>
      <c r="J474" s="204"/>
      <c r="K474" s="197"/>
      <c r="L474" s="197"/>
      <c r="M474" s="197"/>
      <c r="N474" s="197"/>
      <c r="O474" s="204"/>
      <c r="P474" s="197"/>
    </row>
    <row r="475">
      <c r="A475" s="172"/>
      <c r="B475" s="204"/>
      <c r="C475" s="204"/>
      <c r="D475" s="197"/>
      <c r="E475" s="197"/>
      <c r="F475" s="197"/>
      <c r="G475" s="197"/>
      <c r="H475" s="197"/>
      <c r="I475" s="197"/>
      <c r="J475" s="204"/>
      <c r="K475" s="197"/>
      <c r="L475" s="197"/>
      <c r="M475" s="197"/>
      <c r="N475" s="197"/>
      <c r="O475" s="204"/>
      <c r="P475" s="197"/>
    </row>
    <row r="476">
      <c r="A476" s="172"/>
      <c r="B476" s="204"/>
      <c r="C476" s="204"/>
      <c r="D476" s="197"/>
      <c r="E476" s="197"/>
      <c r="F476" s="197"/>
      <c r="G476" s="197"/>
      <c r="H476" s="197"/>
      <c r="I476" s="197"/>
      <c r="J476" s="204"/>
      <c r="K476" s="197"/>
      <c r="L476" s="197"/>
      <c r="M476" s="197"/>
      <c r="N476" s="197"/>
      <c r="O476" s="204"/>
      <c r="P476" s="197"/>
    </row>
    <row r="477">
      <c r="A477" s="172"/>
      <c r="B477" s="204"/>
      <c r="C477" s="204"/>
      <c r="D477" s="197"/>
      <c r="E477" s="197"/>
      <c r="F477" s="197"/>
      <c r="G477" s="197"/>
      <c r="H477" s="197"/>
      <c r="I477" s="197"/>
      <c r="J477" s="204"/>
      <c r="K477" s="197"/>
      <c r="L477" s="197"/>
      <c r="M477" s="197"/>
      <c r="N477" s="197"/>
      <c r="O477" s="204"/>
      <c r="P477" s="197"/>
    </row>
    <row r="478">
      <c r="A478" s="172"/>
      <c r="B478" s="204"/>
      <c r="C478" s="204"/>
      <c r="D478" s="197"/>
      <c r="E478" s="197"/>
      <c r="F478" s="197"/>
      <c r="G478" s="197"/>
      <c r="H478" s="197"/>
      <c r="I478" s="197"/>
      <c r="J478" s="204"/>
      <c r="K478" s="197"/>
      <c r="L478" s="197"/>
      <c r="M478" s="197"/>
      <c r="N478" s="197"/>
      <c r="O478" s="204"/>
      <c r="P478" s="197"/>
    </row>
    <row r="479">
      <c r="A479" s="172"/>
      <c r="B479" s="204"/>
      <c r="C479" s="204"/>
      <c r="D479" s="197"/>
      <c r="E479" s="197"/>
      <c r="F479" s="197"/>
      <c r="G479" s="197"/>
      <c r="H479" s="197"/>
      <c r="I479" s="197"/>
      <c r="J479" s="204"/>
      <c r="K479" s="197"/>
      <c r="L479" s="197"/>
      <c r="M479" s="197"/>
      <c r="N479" s="197"/>
      <c r="O479" s="204"/>
      <c r="P479" s="197"/>
    </row>
    <row r="480">
      <c r="A480" s="172"/>
      <c r="B480" s="204"/>
      <c r="C480" s="204"/>
      <c r="D480" s="197"/>
      <c r="E480" s="197"/>
      <c r="F480" s="197"/>
      <c r="G480" s="197"/>
      <c r="H480" s="197"/>
      <c r="I480" s="197"/>
      <c r="J480" s="204"/>
      <c r="K480" s="197"/>
      <c r="L480" s="197"/>
      <c r="M480" s="197"/>
      <c r="N480" s="197"/>
      <c r="O480" s="204"/>
      <c r="P480" s="197"/>
    </row>
    <row r="481">
      <c r="A481" s="172"/>
      <c r="B481" s="204"/>
      <c r="C481" s="204"/>
      <c r="D481" s="197"/>
      <c r="E481" s="197"/>
      <c r="F481" s="197"/>
      <c r="G481" s="197"/>
      <c r="H481" s="197"/>
      <c r="I481" s="197"/>
      <c r="J481" s="204"/>
      <c r="K481" s="197"/>
      <c r="L481" s="197"/>
      <c r="M481" s="197"/>
      <c r="N481" s="197"/>
      <c r="O481" s="204"/>
      <c r="P481" s="197"/>
    </row>
    <row r="482">
      <c r="A482" s="172"/>
      <c r="B482" s="204"/>
      <c r="C482" s="204"/>
      <c r="D482" s="197"/>
      <c r="E482" s="197"/>
      <c r="F482" s="197"/>
      <c r="G482" s="197"/>
      <c r="H482" s="197"/>
      <c r="I482" s="197"/>
      <c r="J482" s="204"/>
      <c r="K482" s="197"/>
      <c r="L482" s="197"/>
      <c r="M482" s="197"/>
      <c r="N482" s="197"/>
      <c r="O482" s="204"/>
      <c r="P482" s="197"/>
    </row>
    <row r="483">
      <c r="A483" s="172"/>
      <c r="B483" s="204"/>
      <c r="C483" s="204"/>
      <c r="D483" s="197"/>
      <c r="E483" s="197"/>
      <c r="F483" s="197"/>
      <c r="G483" s="197"/>
      <c r="H483" s="197"/>
      <c r="I483" s="197"/>
      <c r="J483" s="204"/>
      <c r="K483" s="197"/>
      <c r="L483" s="197"/>
      <c r="M483" s="197"/>
      <c r="N483" s="197"/>
      <c r="O483" s="204"/>
      <c r="P483" s="197"/>
    </row>
    <row r="484">
      <c r="A484" s="172"/>
      <c r="B484" s="204"/>
      <c r="C484" s="204"/>
      <c r="D484" s="197"/>
      <c r="E484" s="197"/>
      <c r="F484" s="197"/>
      <c r="G484" s="197"/>
      <c r="H484" s="197"/>
      <c r="I484" s="197"/>
      <c r="J484" s="204"/>
      <c r="K484" s="197"/>
      <c r="L484" s="197"/>
      <c r="M484" s="197"/>
      <c r="N484" s="197"/>
      <c r="O484" s="204"/>
      <c r="P484" s="197"/>
    </row>
    <row r="485">
      <c r="A485" s="172"/>
      <c r="B485" s="204"/>
      <c r="C485" s="204"/>
      <c r="D485" s="197"/>
      <c r="E485" s="197"/>
      <c r="F485" s="197"/>
      <c r="G485" s="197"/>
      <c r="H485" s="197"/>
      <c r="I485" s="197"/>
      <c r="J485" s="204"/>
      <c r="K485" s="197"/>
      <c r="L485" s="197"/>
      <c r="M485" s="197"/>
      <c r="N485" s="197"/>
      <c r="O485" s="204"/>
      <c r="P485" s="197"/>
    </row>
    <row r="486">
      <c r="A486" s="172"/>
      <c r="B486" s="204"/>
      <c r="C486" s="204"/>
      <c r="D486" s="197"/>
      <c r="E486" s="197"/>
      <c r="F486" s="197"/>
      <c r="G486" s="197"/>
      <c r="H486" s="197"/>
      <c r="I486" s="197"/>
      <c r="J486" s="204"/>
      <c r="K486" s="197"/>
      <c r="L486" s="197"/>
      <c r="M486" s="197"/>
      <c r="N486" s="197"/>
      <c r="O486" s="204"/>
      <c r="P486" s="197"/>
    </row>
    <row r="487">
      <c r="A487" s="172"/>
      <c r="B487" s="204"/>
      <c r="C487" s="204"/>
      <c r="D487" s="197"/>
      <c r="E487" s="197"/>
      <c r="F487" s="197"/>
      <c r="G487" s="197"/>
      <c r="H487" s="197"/>
      <c r="I487" s="197"/>
      <c r="J487" s="204"/>
      <c r="K487" s="197"/>
      <c r="L487" s="197"/>
      <c r="M487" s="197"/>
      <c r="N487" s="197"/>
      <c r="O487" s="204"/>
      <c r="P487" s="197"/>
    </row>
    <row r="488">
      <c r="A488" s="172"/>
      <c r="B488" s="204"/>
      <c r="C488" s="204"/>
      <c r="D488" s="197"/>
      <c r="E488" s="197"/>
      <c r="F488" s="197"/>
      <c r="G488" s="197"/>
      <c r="H488" s="197"/>
      <c r="I488" s="197"/>
      <c r="J488" s="204"/>
      <c r="K488" s="197"/>
      <c r="L488" s="197"/>
      <c r="M488" s="197"/>
      <c r="N488" s="197"/>
      <c r="O488" s="204"/>
      <c r="P488" s="197"/>
    </row>
    <row r="489">
      <c r="A489" s="172"/>
      <c r="B489" s="204"/>
      <c r="C489" s="204"/>
      <c r="D489" s="197"/>
      <c r="E489" s="197"/>
      <c r="F489" s="197"/>
      <c r="G489" s="197"/>
      <c r="H489" s="197"/>
      <c r="I489" s="197"/>
      <c r="J489" s="204"/>
      <c r="K489" s="197"/>
      <c r="L489" s="197"/>
      <c r="M489" s="197"/>
      <c r="N489" s="197"/>
      <c r="O489" s="204"/>
      <c r="P489" s="197"/>
    </row>
    <row r="490">
      <c r="A490" s="172"/>
      <c r="B490" s="204"/>
      <c r="C490" s="204"/>
      <c r="D490" s="197"/>
      <c r="E490" s="197"/>
      <c r="F490" s="197"/>
      <c r="G490" s="197"/>
      <c r="H490" s="197"/>
      <c r="I490" s="197"/>
      <c r="J490" s="204"/>
      <c r="K490" s="197"/>
      <c r="L490" s="197"/>
      <c r="M490" s="197"/>
      <c r="N490" s="197"/>
      <c r="O490" s="204"/>
      <c r="P490" s="197"/>
    </row>
    <row r="491">
      <c r="A491" s="172"/>
      <c r="B491" s="204"/>
      <c r="C491" s="204"/>
      <c r="D491" s="197"/>
      <c r="E491" s="197"/>
      <c r="F491" s="197"/>
      <c r="G491" s="197"/>
      <c r="H491" s="197"/>
      <c r="I491" s="197"/>
      <c r="J491" s="204"/>
      <c r="K491" s="197"/>
      <c r="L491" s="197"/>
      <c r="M491" s="197"/>
      <c r="N491" s="197"/>
      <c r="O491" s="204"/>
      <c r="P491" s="197"/>
    </row>
    <row r="492">
      <c r="A492" s="172"/>
      <c r="B492" s="204"/>
      <c r="C492" s="204"/>
      <c r="D492" s="197"/>
      <c r="E492" s="197"/>
      <c r="F492" s="197"/>
      <c r="G492" s="197"/>
      <c r="H492" s="197"/>
      <c r="I492" s="197"/>
      <c r="J492" s="204"/>
      <c r="K492" s="197"/>
      <c r="L492" s="197"/>
      <c r="M492" s="197"/>
      <c r="N492" s="197"/>
      <c r="O492" s="204"/>
      <c r="P492" s="197"/>
    </row>
    <row r="493">
      <c r="A493" s="172"/>
      <c r="B493" s="204"/>
      <c r="C493" s="204"/>
      <c r="D493" s="197"/>
      <c r="E493" s="197"/>
      <c r="F493" s="197"/>
      <c r="G493" s="197"/>
      <c r="H493" s="197"/>
      <c r="I493" s="197"/>
      <c r="J493" s="204"/>
      <c r="K493" s="197"/>
      <c r="L493" s="197"/>
      <c r="M493" s="197"/>
      <c r="N493" s="197"/>
      <c r="O493" s="204"/>
      <c r="P493" s="197"/>
    </row>
    <row r="494">
      <c r="A494" s="172"/>
      <c r="B494" s="204"/>
      <c r="C494" s="204"/>
      <c r="D494" s="197"/>
      <c r="E494" s="197"/>
      <c r="F494" s="197"/>
      <c r="G494" s="197"/>
      <c r="H494" s="197"/>
      <c r="I494" s="197"/>
      <c r="J494" s="204"/>
      <c r="K494" s="197"/>
      <c r="L494" s="197"/>
      <c r="M494" s="197"/>
      <c r="N494" s="197"/>
      <c r="O494" s="204"/>
      <c r="P494" s="197"/>
    </row>
    <row r="495">
      <c r="A495" s="172"/>
      <c r="B495" s="204"/>
      <c r="C495" s="204"/>
      <c r="D495" s="197"/>
      <c r="E495" s="197"/>
      <c r="F495" s="197"/>
      <c r="G495" s="197"/>
      <c r="H495" s="197"/>
      <c r="I495" s="197"/>
      <c r="J495" s="204"/>
      <c r="K495" s="197"/>
      <c r="L495" s="197"/>
      <c r="M495" s="197"/>
      <c r="N495" s="197"/>
      <c r="O495" s="204"/>
      <c r="P495" s="197"/>
    </row>
    <row r="496">
      <c r="A496" s="172"/>
      <c r="B496" s="204"/>
      <c r="C496" s="204"/>
      <c r="D496" s="197"/>
      <c r="E496" s="197"/>
      <c r="F496" s="197"/>
      <c r="G496" s="197"/>
      <c r="H496" s="197"/>
      <c r="I496" s="197"/>
      <c r="J496" s="204"/>
      <c r="K496" s="197"/>
      <c r="L496" s="197"/>
      <c r="M496" s="197"/>
      <c r="N496" s="197"/>
      <c r="O496" s="204"/>
      <c r="P496" s="197"/>
    </row>
    <row r="497">
      <c r="A497" s="172"/>
      <c r="B497" s="204"/>
      <c r="C497" s="204"/>
      <c r="D497" s="197"/>
      <c r="E497" s="197"/>
      <c r="F497" s="197"/>
      <c r="G497" s="197"/>
      <c r="H497" s="197"/>
      <c r="I497" s="197"/>
      <c r="J497" s="204"/>
      <c r="K497" s="197"/>
      <c r="L497" s="197"/>
      <c r="M497" s="197"/>
      <c r="N497" s="197"/>
      <c r="O497" s="204"/>
      <c r="P497" s="197"/>
    </row>
    <row r="498">
      <c r="A498" s="172"/>
      <c r="B498" s="204"/>
      <c r="C498" s="204"/>
      <c r="D498" s="197"/>
      <c r="E498" s="197"/>
      <c r="F498" s="197"/>
      <c r="G498" s="197"/>
      <c r="H498" s="197"/>
      <c r="I498" s="197"/>
      <c r="J498" s="204"/>
      <c r="K498" s="197"/>
      <c r="L498" s="197"/>
      <c r="M498" s="197"/>
      <c r="N498" s="197"/>
      <c r="O498" s="204"/>
      <c r="P498" s="197"/>
    </row>
    <row r="499">
      <c r="A499" s="172"/>
      <c r="B499" s="204"/>
      <c r="C499" s="204"/>
      <c r="D499" s="197"/>
      <c r="E499" s="197"/>
      <c r="F499" s="197"/>
      <c r="G499" s="197"/>
      <c r="H499" s="197"/>
      <c r="I499" s="197"/>
      <c r="J499" s="204"/>
      <c r="K499" s="197"/>
      <c r="L499" s="197"/>
      <c r="M499" s="197"/>
      <c r="N499" s="197"/>
      <c r="O499" s="204"/>
      <c r="P499" s="197"/>
    </row>
    <row r="500">
      <c r="A500" s="172"/>
      <c r="B500" s="204"/>
      <c r="C500" s="204"/>
      <c r="D500" s="197"/>
      <c r="E500" s="197"/>
      <c r="F500" s="197"/>
      <c r="G500" s="197"/>
      <c r="H500" s="197"/>
      <c r="I500" s="197"/>
      <c r="J500" s="204"/>
      <c r="K500" s="197"/>
      <c r="L500" s="197"/>
      <c r="M500" s="197"/>
      <c r="N500" s="197"/>
      <c r="O500" s="204"/>
      <c r="P500" s="197"/>
    </row>
    <row r="501">
      <c r="A501" s="172"/>
      <c r="B501" s="204"/>
      <c r="C501" s="204"/>
      <c r="D501" s="197"/>
      <c r="E501" s="197"/>
      <c r="F501" s="197"/>
      <c r="G501" s="197"/>
      <c r="H501" s="197"/>
      <c r="I501" s="197"/>
      <c r="J501" s="204"/>
      <c r="K501" s="197"/>
      <c r="L501" s="197"/>
      <c r="M501" s="197"/>
      <c r="N501" s="197"/>
      <c r="O501" s="204"/>
      <c r="P501" s="197"/>
    </row>
    <row r="502">
      <c r="A502" s="172"/>
      <c r="B502" s="204"/>
      <c r="C502" s="204"/>
      <c r="D502" s="197"/>
      <c r="E502" s="197"/>
      <c r="F502" s="197"/>
      <c r="G502" s="197"/>
      <c r="H502" s="197"/>
      <c r="I502" s="197"/>
      <c r="J502" s="204"/>
      <c r="K502" s="197"/>
      <c r="L502" s="197"/>
      <c r="M502" s="197"/>
      <c r="N502" s="197"/>
      <c r="O502" s="204"/>
      <c r="P502" s="197"/>
    </row>
    <row r="503">
      <c r="A503" s="172"/>
      <c r="B503" s="204"/>
      <c r="C503" s="204"/>
      <c r="D503" s="197"/>
      <c r="E503" s="197"/>
      <c r="F503" s="197"/>
      <c r="G503" s="197"/>
      <c r="H503" s="197"/>
      <c r="I503" s="197"/>
      <c r="J503" s="204"/>
      <c r="K503" s="197"/>
      <c r="L503" s="197"/>
      <c r="M503" s="197"/>
      <c r="N503" s="197"/>
      <c r="O503" s="204"/>
      <c r="P503" s="197"/>
    </row>
    <row r="504">
      <c r="A504" s="172"/>
      <c r="B504" s="204"/>
      <c r="C504" s="204"/>
      <c r="D504" s="197"/>
      <c r="E504" s="197"/>
      <c r="F504" s="197"/>
      <c r="G504" s="197"/>
      <c r="H504" s="197"/>
      <c r="I504" s="197"/>
      <c r="J504" s="204"/>
      <c r="K504" s="197"/>
      <c r="L504" s="197"/>
      <c r="M504" s="197"/>
      <c r="N504" s="197"/>
      <c r="O504" s="204"/>
      <c r="P504" s="197"/>
    </row>
    <row r="505">
      <c r="A505" s="172"/>
      <c r="B505" s="204"/>
      <c r="C505" s="204"/>
      <c r="D505" s="197"/>
      <c r="E505" s="197"/>
      <c r="F505" s="197"/>
      <c r="G505" s="197"/>
      <c r="H505" s="197"/>
      <c r="I505" s="197"/>
      <c r="J505" s="204"/>
      <c r="K505" s="197"/>
      <c r="L505" s="197"/>
      <c r="M505" s="197"/>
      <c r="N505" s="197"/>
      <c r="O505" s="204"/>
      <c r="P505" s="197"/>
    </row>
    <row r="506">
      <c r="A506" s="172"/>
      <c r="B506" s="204"/>
      <c r="C506" s="204"/>
      <c r="D506" s="197"/>
      <c r="E506" s="197"/>
      <c r="F506" s="197"/>
      <c r="G506" s="197"/>
      <c r="H506" s="197"/>
      <c r="I506" s="197"/>
      <c r="J506" s="204"/>
      <c r="K506" s="197"/>
      <c r="L506" s="197"/>
      <c r="M506" s="197"/>
      <c r="N506" s="197"/>
      <c r="O506" s="204"/>
      <c r="P506" s="197"/>
    </row>
    <row r="507">
      <c r="A507" s="172"/>
      <c r="B507" s="204"/>
      <c r="C507" s="204"/>
      <c r="D507" s="197"/>
      <c r="E507" s="197"/>
      <c r="F507" s="197"/>
      <c r="G507" s="197"/>
      <c r="H507" s="197"/>
      <c r="I507" s="197"/>
      <c r="J507" s="204"/>
      <c r="K507" s="197"/>
      <c r="L507" s="197"/>
      <c r="M507" s="197"/>
      <c r="N507" s="197"/>
      <c r="O507" s="204"/>
      <c r="P507" s="197"/>
    </row>
    <row r="508">
      <c r="A508" s="172"/>
      <c r="B508" s="204"/>
      <c r="C508" s="204"/>
      <c r="D508" s="197"/>
      <c r="E508" s="197"/>
      <c r="F508" s="197"/>
      <c r="G508" s="197"/>
      <c r="H508" s="197"/>
      <c r="I508" s="197"/>
      <c r="J508" s="204"/>
      <c r="K508" s="197"/>
      <c r="L508" s="197"/>
      <c r="M508" s="197"/>
      <c r="N508" s="197"/>
      <c r="O508" s="204"/>
      <c r="P508" s="197"/>
    </row>
    <row r="509">
      <c r="A509" s="172"/>
      <c r="B509" s="204"/>
      <c r="C509" s="204"/>
      <c r="D509" s="197"/>
      <c r="E509" s="197"/>
      <c r="F509" s="197"/>
      <c r="G509" s="197"/>
      <c r="H509" s="197"/>
      <c r="I509" s="197"/>
      <c r="J509" s="204"/>
      <c r="K509" s="197"/>
      <c r="L509" s="197"/>
      <c r="M509" s="197"/>
      <c r="N509" s="197"/>
      <c r="O509" s="204"/>
      <c r="P509" s="197"/>
    </row>
    <row r="510">
      <c r="A510" s="172"/>
      <c r="B510" s="204"/>
      <c r="C510" s="204"/>
      <c r="D510" s="197"/>
      <c r="E510" s="197"/>
      <c r="F510" s="197"/>
      <c r="G510" s="197"/>
      <c r="H510" s="197"/>
      <c r="I510" s="197"/>
      <c r="J510" s="204"/>
      <c r="K510" s="197"/>
      <c r="L510" s="197"/>
      <c r="M510" s="197"/>
      <c r="N510" s="197"/>
      <c r="O510" s="204"/>
      <c r="P510" s="197"/>
    </row>
    <row r="511">
      <c r="A511" s="172"/>
      <c r="B511" s="204"/>
      <c r="C511" s="204"/>
      <c r="D511" s="197"/>
      <c r="E511" s="197"/>
      <c r="F511" s="197"/>
      <c r="G511" s="197"/>
      <c r="H511" s="197"/>
      <c r="I511" s="197"/>
      <c r="J511" s="204"/>
      <c r="K511" s="197"/>
      <c r="L511" s="197"/>
      <c r="M511" s="197"/>
      <c r="N511" s="197"/>
      <c r="O511" s="204"/>
      <c r="P511" s="197"/>
    </row>
    <row r="512">
      <c r="A512" s="172"/>
      <c r="B512" s="204"/>
      <c r="C512" s="204"/>
      <c r="D512" s="197"/>
      <c r="E512" s="197"/>
      <c r="F512" s="197"/>
      <c r="G512" s="197"/>
      <c r="H512" s="197"/>
      <c r="I512" s="197"/>
      <c r="J512" s="204"/>
      <c r="K512" s="197"/>
      <c r="L512" s="197"/>
      <c r="M512" s="197"/>
      <c r="N512" s="197"/>
      <c r="O512" s="204"/>
      <c r="P512" s="197"/>
    </row>
    <row r="513">
      <c r="A513" s="172"/>
      <c r="B513" s="204"/>
      <c r="C513" s="204"/>
      <c r="D513" s="197"/>
      <c r="E513" s="197"/>
      <c r="F513" s="197"/>
      <c r="G513" s="197"/>
      <c r="H513" s="197"/>
      <c r="I513" s="197"/>
      <c r="J513" s="204"/>
      <c r="K513" s="197"/>
      <c r="L513" s="197"/>
      <c r="M513" s="197"/>
      <c r="N513" s="197"/>
      <c r="O513" s="204"/>
      <c r="P513" s="197"/>
    </row>
    <row r="514">
      <c r="A514" s="172"/>
      <c r="B514" s="204"/>
      <c r="C514" s="204"/>
      <c r="D514" s="197"/>
      <c r="E514" s="197"/>
      <c r="F514" s="197"/>
      <c r="G514" s="197"/>
      <c r="H514" s="197"/>
      <c r="I514" s="197"/>
      <c r="J514" s="204"/>
      <c r="K514" s="197"/>
      <c r="L514" s="197"/>
      <c r="M514" s="197"/>
      <c r="N514" s="197"/>
      <c r="O514" s="204"/>
      <c r="P514" s="197"/>
    </row>
    <row r="515">
      <c r="A515" s="172"/>
      <c r="B515" s="204"/>
      <c r="C515" s="204"/>
      <c r="D515" s="197"/>
      <c r="E515" s="197"/>
      <c r="F515" s="197"/>
      <c r="G515" s="197"/>
      <c r="H515" s="197"/>
      <c r="I515" s="197"/>
      <c r="J515" s="204"/>
      <c r="K515" s="197"/>
      <c r="L515" s="197"/>
      <c r="M515" s="197"/>
      <c r="N515" s="197"/>
      <c r="O515" s="204"/>
      <c r="P515" s="197"/>
    </row>
    <row r="516">
      <c r="A516" s="172"/>
      <c r="B516" s="204"/>
      <c r="C516" s="204"/>
      <c r="D516" s="197"/>
      <c r="E516" s="197"/>
      <c r="F516" s="197"/>
      <c r="G516" s="197"/>
      <c r="H516" s="197"/>
      <c r="I516" s="197"/>
      <c r="J516" s="204"/>
      <c r="K516" s="197"/>
      <c r="L516" s="197"/>
      <c r="M516" s="197"/>
      <c r="N516" s="197"/>
      <c r="O516" s="204"/>
      <c r="P516" s="197"/>
    </row>
    <row r="517">
      <c r="A517" s="172"/>
      <c r="B517" s="204"/>
      <c r="C517" s="204"/>
      <c r="D517" s="197"/>
      <c r="E517" s="197"/>
      <c r="F517" s="197"/>
      <c r="G517" s="197"/>
      <c r="H517" s="197"/>
      <c r="I517" s="197"/>
      <c r="J517" s="204"/>
      <c r="K517" s="197"/>
      <c r="L517" s="197"/>
      <c r="M517" s="197"/>
      <c r="N517" s="197"/>
      <c r="O517" s="204"/>
      <c r="P517" s="197"/>
    </row>
    <row r="518">
      <c r="A518" s="172"/>
      <c r="B518" s="204"/>
      <c r="C518" s="204"/>
      <c r="D518" s="197"/>
      <c r="E518" s="197"/>
      <c r="F518" s="197"/>
      <c r="G518" s="197"/>
      <c r="H518" s="197"/>
      <c r="I518" s="197"/>
      <c r="J518" s="204"/>
      <c r="K518" s="197"/>
      <c r="L518" s="197"/>
      <c r="M518" s="197"/>
      <c r="N518" s="197"/>
      <c r="O518" s="204"/>
      <c r="P518" s="197"/>
    </row>
    <row r="519">
      <c r="A519" s="172"/>
      <c r="B519" s="204"/>
      <c r="C519" s="204"/>
      <c r="D519" s="197"/>
      <c r="E519" s="197"/>
      <c r="F519" s="197"/>
      <c r="G519" s="197"/>
      <c r="H519" s="197"/>
      <c r="I519" s="197"/>
      <c r="J519" s="204"/>
      <c r="K519" s="197"/>
      <c r="L519" s="197"/>
      <c r="M519" s="197"/>
      <c r="N519" s="197"/>
      <c r="O519" s="204"/>
      <c r="P519" s="197"/>
    </row>
    <row r="520">
      <c r="A520" s="172"/>
      <c r="B520" s="204"/>
      <c r="C520" s="204"/>
      <c r="D520" s="197"/>
      <c r="E520" s="197"/>
      <c r="F520" s="197"/>
      <c r="G520" s="197"/>
      <c r="H520" s="197"/>
      <c r="I520" s="197"/>
      <c r="J520" s="204"/>
      <c r="K520" s="197"/>
      <c r="L520" s="197"/>
      <c r="M520" s="197"/>
      <c r="N520" s="197"/>
      <c r="O520" s="204"/>
      <c r="P520" s="197"/>
    </row>
    <row r="521">
      <c r="A521" s="172"/>
      <c r="B521" s="204"/>
      <c r="C521" s="204"/>
      <c r="D521" s="197"/>
      <c r="E521" s="197"/>
      <c r="F521" s="197"/>
      <c r="G521" s="197"/>
      <c r="H521" s="197"/>
      <c r="I521" s="197"/>
      <c r="J521" s="204"/>
      <c r="K521" s="197"/>
      <c r="L521" s="197"/>
      <c r="M521" s="197"/>
      <c r="N521" s="197"/>
      <c r="O521" s="204"/>
      <c r="P521" s="197"/>
    </row>
    <row r="522">
      <c r="A522" s="172"/>
      <c r="B522" s="204"/>
      <c r="C522" s="204"/>
      <c r="D522" s="197"/>
      <c r="E522" s="197"/>
      <c r="F522" s="197"/>
      <c r="G522" s="197"/>
      <c r="H522" s="197"/>
      <c r="I522" s="197"/>
      <c r="J522" s="204"/>
      <c r="K522" s="197"/>
      <c r="L522" s="197"/>
      <c r="M522" s="197"/>
      <c r="N522" s="197"/>
      <c r="O522" s="204"/>
      <c r="P522" s="197"/>
    </row>
    <row r="523">
      <c r="A523" s="172"/>
      <c r="B523" s="204"/>
      <c r="C523" s="204"/>
      <c r="D523" s="197"/>
      <c r="E523" s="197"/>
      <c r="F523" s="197"/>
      <c r="G523" s="197"/>
      <c r="H523" s="197"/>
      <c r="I523" s="197"/>
      <c r="J523" s="204"/>
      <c r="K523" s="197"/>
      <c r="L523" s="197"/>
      <c r="M523" s="197"/>
      <c r="N523" s="197"/>
      <c r="O523" s="204"/>
      <c r="P523" s="197"/>
    </row>
    <row r="524">
      <c r="A524" s="172"/>
      <c r="B524" s="204"/>
      <c r="C524" s="204"/>
      <c r="D524" s="197"/>
      <c r="E524" s="197"/>
      <c r="F524" s="197"/>
      <c r="G524" s="197"/>
      <c r="H524" s="197"/>
      <c r="I524" s="197"/>
      <c r="J524" s="204"/>
      <c r="K524" s="197"/>
      <c r="L524" s="197"/>
      <c r="M524" s="197"/>
      <c r="N524" s="197"/>
      <c r="O524" s="204"/>
      <c r="P524" s="197"/>
    </row>
    <row r="525">
      <c r="A525" s="172"/>
      <c r="B525" s="204"/>
      <c r="C525" s="204"/>
      <c r="D525" s="197"/>
      <c r="E525" s="197"/>
      <c r="F525" s="197"/>
      <c r="G525" s="197"/>
      <c r="H525" s="197"/>
      <c r="I525" s="197"/>
      <c r="J525" s="204"/>
      <c r="K525" s="197"/>
      <c r="L525" s="197"/>
      <c r="M525" s="197"/>
      <c r="N525" s="197"/>
      <c r="O525" s="204"/>
      <c r="P525" s="197"/>
    </row>
    <row r="526">
      <c r="A526" s="172"/>
      <c r="B526" s="204"/>
      <c r="C526" s="204"/>
      <c r="D526" s="197"/>
      <c r="E526" s="197"/>
      <c r="F526" s="197"/>
      <c r="G526" s="197"/>
      <c r="H526" s="197"/>
      <c r="I526" s="197"/>
      <c r="J526" s="204"/>
      <c r="K526" s="197"/>
      <c r="L526" s="197"/>
      <c r="M526" s="197"/>
      <c r="N526" s="197"/>
      <c r="O526" s="204"/>
      <c r="P526" s="197"/>
    </row>
    <row r="527">
      <c r="A527" s="172"/>
      <c r="B527" s="204"/>
      <c r="C527" s="204"/>
      <c r="D527" s="197"/>
      <c r="E527" s="197"/>
      <c r="F527" s="197"/>
      <c r="G527" s="197"/>
      <c r="H527" s="197"/>
      <c r="I527" s="197"/>
      <c r="J527" s="204"/>
      <c r="K527" s="197"/>
      <c r="L527" s="197"/>
      <c r="M527" s="197"/>
      <c r="N527" s="197"/>
      <c r="O527" s="204"/>
      <c r="P527" s="197"/>
    </row>
    <row r="528">
      <c r="A528" s="172"/>
      <c r="B528" s="204"/>
      <c r="C528" s="204"/>
      <c r="D528" s="197"/>
      <c r="E528" s="197"/>
      <c r="F528" s="197"/>
      <c r="G528" s="197"/>
      <c r="H528" s="197"/>
      <c r="I528" s="197"/>
      <c r="J528" s="204"/>
      <c r="K528" s="197"/>
      <c r="L528" s="197"/>
      <c r="M528" s="197"/>
      <c r="N528" s="197"/>
      <c r="O528" s="204"/>
      <c r="P528" s="197"/>
    </row>
    <row r="529">
      <c r="A529" s="172"/>
      <c r="B529" s="204"/>
      <c r="C529" s="204"/>
      <c r="D529" s="197"/>
      <c r="E529" s="197"/>
      <c r="F529" s="197"/>
      <c r="G529" s="197"/>
      <c r="H529" s="197"/>
      <c r="I529" s="197"/>
      <c r="J529" s="204"/>
      <c r="K529" s="197"/>
      <c r="L529" s="197"/>
      <c r="M529" s="197"/>
      <c r="N529" s="197"/>
      <c r="O529" s="204"/>
      <c r="P529" s="197"/>
    </row>
    <row r="530">
      <c r="A530" s="172"/>
      <c r="B530" s="204"/>
      <c r="C530" s="204"/>
      <c r="D530" s="197"/>
      <c r="E530" s="197"/>
      <c r="F530" s="197"/>
      <c r="G530" s="197"/>
      <c r="H530" s="197"/>
      <c r="I530" s="197"/>
      <c r="J530" s="204"/>
      <c r="K530" s="197"/>
      <c r="L530" s="197"/>
      <c r="M530" s="197"/>
      <c r="N530" s="197"/>
      <c r="O530" s="204"/>
      <c r="P530" s="197"/>
    </row>
    <row r="531">
      <c r="A531" s="172"/>
      <c r="B531" s="204"/>
      <c r="C531" s="204"/>
      <c r="D531" s="197"/>
      <c r="E531" s="197"/>
      <c r="F531" s="197"/>
      <c r="G531" s="197"/>
      <c r="H531" s="197"/>
      <c r="I531" s="197"/>
      <c r="J531" s="204"/>
      <c r="K531" s="197"/>
      <c r="L531" s="197"/>
      <c r="M531" s="197"/>
      <c r="N531" s="197"/>
      <c r="O531" s="204"/>
      <c r="P531" s="197"/>
    </row>
    <row r="532">
      <c r="A532" s="172"/>
      <c r="B532" s="204"/>
      <c r="C532" s="204"/>
      <c r="D532" s="197"/>
      <c r="E532" s="197"/>
      <c r="F532" s="197"/>
      <c r="G532" s="197"/>
      <c r="H532" s="197"/>
      <c r="I532" s="197"/>
      <c r="J532" s="204"/>
      <c r="K532" s="197"/>
      <c r="L532" s="197"/>
      <c r="M532" s="197"/>
      <c r="N532" s="197"/>
      <c r="O532" s="204"/>
      <c r="P532" s="197"/>
    </row>
    <row r="533">
      <c r="A533" s="172"/>
      <c r="B533" s="204"/>
      <c r="C533" s="204"/>
      <c r="D533" s="197"/>
      <c r="E533" s="197"/>
      <c r="F533" s="197"/>
      <c r="G533" s="197"/>
      <c r="H533" s="197"/>
      <c r="I533" s="197"/>
      <c r="J533" s="204"/>
      <c r="K533" s="197"/>
      <c r="L533" s="197"/>
      <c r="M533" s="197"/>
      <c r="N533" s="197"/>
      <c r="O533" s="204"/>
      <c r="P533" s="197"/>
    </row>
    <row r="534">
      <c r="A534" s="172"/>
      <c r="B534" s="204"/>
      <c r="C534" s="204"/>
      <c r="D534" s="197"/>
      <c r="E534" s="197"/>
      <c r="F534" s="197"/>
      <c r="G534" s="197"/>
      <c r="H534" s="197"/>
      <c r="I534" s="197"/>
      <c r="J534" s="204"/>
      <c r="K534" s="197"/>
      <c r="L534" s="197"/>
      <c r="M534" s="197"/>
      <c r="N534" s="197"/>
      <c r="O534" s="204"/>
      <c r="P534" s="197"/>
    </row>
    <row r="535">
      <c r="A535" s="172"/>
      <c r="B535" s="204"/>
      <c r="C535" s="204"/>
      <c r="D535" s="197"/>
      <c r="E535" s="197"/>
      <c r="F535" s="197"/>
      <c r="G535" s="197"/>
      <c r="H535" s="197"/>
      <c r="I535" s="197"/>
      <c r="J535" s="204"/>
      <c r="K535" s="197"/>
      <c r="L535" s="197"/>
      <c r="M535" s="197"/>
      <c r="N535" s="197"/>
      <c r="O535" s="204"/>
      <c r="P535" s="197"/>
    </row>
    <row r="536">
      <c r="A536" s="172"/>
      <c r="B536" s="204"/>
      <c r="C536" s="204"/>
      <c r="D536" s="197"/>
      <c r="E536" s="197"/>
      <c r="F536" s="197"/>
      <c r="G536" s="197"/>
      <c r="H536" s="197"/>
      <c r="I536" s="197"/>
      <c r="J536" s="204"/>
      <c r="K536" s="197"/>
      <c r="L536" s="197"/>
      <c r="M536" s="197"/>
      <c r="N536" s="197"/>
      <c r="O536" s="204"/>
      <c r="P536" s="197"/>
    </row>
    <row r="537">
      <c r="A537" s="172"/>
      <c r="B537" s="204"/>
      <c r="C537" s="204"/>
      <c r="D537" s="197"/>
      <c r="E537" s="197"/>
      <c r="F537" s="197"/>
      <c r="G537" s="197"/>
      <c r="H537" s="197"/>
      <c r="I537" s="197"/>
      <c r="J537" s="204"/>
      <c r="K537" s="197"/>
      <c r="L537" s="197"/>
      <c r="M537" s="197"/>
      <c r="N537" s="197"/>
      <c r="O537" s="204"/>
      <c r="P537" s="197"/>
    </row>
    <row r="538">
      <c r="A538" s="172"/>
      <c r="B538" s="204"/>
      <c r="C538" s="204"/>
      <c r="D538" s="197"/>
      <c r="E538" s="197"/>
      <c r="F538" s="197"/>
      <c r="G538" s="197"/>
      <c r="H538" s="197"/>
      <c r="I538" s="197"/>
      <c r="J538" s="204"/>
      <c r="K538" s="197"/>
      <c r="L538" s="197"/>
      <c r="M538" s="197"/>
      <c r="N538" s="197"/>
      <c r="O538" s="204"/>
      <c r="P538" s="197"/>
    </row>
    <row r="539">
      <c r="A539" s="172"/>
      <c r="B539" s="204"/>
      <c r="C539" s="204"/>
      <c r="D539" s="197"/>
      <c r="E539" s="197"/>
      <c r="F539" s="197"/>
      <c r="G539" s="197"/>
      <c r="H539" s="197"/>
      <c r="I539" s="197"/>
      <c r="J539" s="204"/>
      <c r="K539" s="197"/>
      <c r="L539" s="197"/>
      <c r="M539" s="197"/>
      <c r="N539" s="197"/>
      <c r="O539" s="204"/>
      <c r="P539" s="197"/>
    </row>
    <row r="540">
      <c r="A540" s="172"/>
      <c r="B540" s="204"/>
      <c r="C540" s="204"/>
      <c r="D540" s="197"/>
      <c r="E540" s="197"/>
      <c r="F540" s="197"/>
      <c r="G540" s="197"/>
      <c r="H540" s="197"/>
      <c r="I540" s="197"/>
      <c r="J540" s="204"/>
      <c r="K540" s="197"/>
      <c r="L540" s="197"/>
      <c r="M540" s="197"/>
      <c r="N540" s="197"/>
      <c r="O540" s="204"/>
      <c r="P540" s="197"/>
    </row>
    <row r="541">
      <c r="A541" s="172"/>
      <c r="B541" s="204"/>
      <c r="C541" s="204"/>
      <c r="D541" s="197"/>
      <c r="E541" s="197"/>
      <c r="F541" s="197"/>
      <c r="G541" s="197"/>
      <c r="H541" s="197"/>
      <c r="I541" s="197"/>
      <c r="J541" s="204"/>
      <c r="K541" s="197"/>
      <c r="L541" s="197"/>
      <c r="M541" s="197"/>
      <c r="N541" s="197"/>
      <c r="O541" s="204"/>
      <c r="P541" s="197"/>
    </row>
    <row r="542">
      <c r="A542" s="172"/>
      <c r="B542" s="204"/>
      <c r="C542" s="204"/>
      <c r="D542" s="197"/>
      <c r="E542" s="197"/>
      <c r="F542" s="197"/>
      <c r="G542" s="197"/>
      <c r="H542" s="197"/>
      <c r="I542" s="197"/>
      <c r="J542" s="204"/>
      <c r="K542" s="197"/>
      <c r="L542" s="197"/>
      <c r="M542" s="197"/>
      <c r="N542" s="197"/>
      <c r="O542" s="204"/>
      <c r="P542" s="197"/>
    </row>
    <row r="543">
      <c r="A543" s="172"/>
      <c r="B543" s="204"/>
      <c r="C543" s="204"/>
      <c r="D543" s="197"/>
      <c r="E543" s="197"/>
      <c r="F543" s="197"/>
      <c r="G543" s="197"/>
      <c r="H543" s="197"/>
      <c r="I543" s="197"/>
      <c r="J543" s="204"/>
      <c r="K543" s="197"/>
      <c r="L543" s="197"/>
      <c r="M543" s="197"/>
      <c r="N543" s="197"/>
      <c r="O543" s="204"/>
      <c r="P543" s="197"/>
    </row>
    <row r="544">
      <c r="A544" s="172"/>
      <c r="B544" s="204"/>
      <c r="C544" s="204"/>
      <c r="D544" s="197"/>
      <c r="E544" s="197"/>
      <c r="F544" s="197"/>
      <c r="G544" s="197"/>
      <c r="H544" s="197"/>
      <c r="I544" s="197"/>
      <c r="J544" s="204"/>
      <c r="K544" s="197"/>
      <c r="L544" s="197"/>
      <c r="M544" s="197"/>
      <c r="N544" s="197"/>
      <c r="O544" s="204"/>
      <c r="P544" s="197"/>
    </row>
    <row r="545">
      <c r="A545" s="172"/>
      <c r="B545" s="204"/>
      <c r="C545" s="204"/>
      <c r="D545" s="197"/>
      <c r="E545" s="197"/>
      <c r="F545" s="197"/>
      <c r="G545" s="197"/>
      <c r="H545" s="197"/>
      <c r="I545" s="197"/>
      <c r="J545" s="204"/>
      <c r="K545" s="197"/>
      <c r="L545" s="197"/>
      <c r="M545" s="197"/>
      <c r="N545" s="197"/>
      <c r="O545" s="204"/>
      <c r="P545" s="197"/>
    </row>
    <row r="546">
      <c r="A546" s="172"/>
      <c r="B546" s="204"/>
      <c r="C546" s="204"/>
      <c r="D546" s="197"/>
      <c r="E546" s="197"/>
      <c r="F546" s="197"/>
      <c r="G546" s="197"/>
      <c r="H546" s="197"/>
      <c r="I546" s="197"/>
      <c r="J546" s="204"/>
      <c r="K546" s="197"/>
      <c r="L546" s="197"/>
      <c r="M546" s="197"/>
      <c r="N546" s="197"/>
      <c r="O546" s="204"/>
      <c r="P546" s="197"/>
    </row>
    <row r="547">
      <c r="A547" s="172"/>
      <c r="B547" s="204"/>
      <c r="C547" s="204"/>
      <c r="D547" s="197"/>
      <c r="E547" s="197"/>
      <c r="F547" s="197"/>
      <c r="G547" s="197"/>
      <c r="H547" s="197"/>
      <c r="I547" s="197"/>
      <c r="J547" s="204"/>
      <c r="K547" s="197"/>
      <c r="L547" s="197"/>
      <c r="M547" s="197"/>
      <c r="N547" s="197"/>
      <c r="O547" s="204"/>
      <c r="P547" s="197"/>
    </row>
    <row r="548">
      <c r="A548" s="172"/>
      <c r="B548" s="204"/>
      <c r="C548" s="204"/>
      <c r="D548" s="197"/>
      <c r="E548" s="197"/>
      <c r="F548" s="197"/>
      <c r="G548" s="197"/>
      <c r="H548" s="197"/>
      <c r="I548" s="197"/>
      <c r="J548" s="204"/>
      <c r="K548" s="197"/>
      <c r="L548" s="197"/>
      <c r="M548" s="197"/>
      <c r="N548" s="197"/>
      <c r="O548" s="204"/>
      <c r="P548" s="197"/>
    </row>
    <row r="549">
      <c r="A549" s="172"/>
      <c r="B549" s="204"/>
      <c r="C549" s="204"/>
      <c r="D549" s="197"/>
      <c r="E549" s="197"/>
      <c r="F549" s="197"/>
      <c r="G549" s="197"/>
      <c r="H549" s="197"/>
      <c r="I549" s="197"/>
      <c r="J549" s="204"/>
      <c r="K549" s="197"/>
      <c r="L549" s="197"/>
      <c r="M549" s="197"/>
      <c r="N549" s="197"/>
      <c r="O549" s="204"/>
      <c r="P549" s="197"/>
    </row>
    <row r="550">
      <c r="A550" s="172"/>
      <c r="B550" s="204"/>
      <c r="C550" s="204"/>
      <c r="D550" s="197"/>
      <c r="E550" s="197"/>
      <c r="F550" s="197"/>
      <c r="G550" s="197"/>
      <c r="H550" s="197"/>
      <c r="I550" s="197"/>
      <c r="J550" s="204"/>
      <c r="K550" s="197"/>
      <c r="L550" s="197"/>
      <c r="M550" s="197"/>
      <c r="N550" s="197"/>
      <c r="O550" s="204"/>
      <c r="P550" s="197"/>
    </row>
    <row r="551">
      <c r="A551" s="172"/>
      <c r="B551" s="204"/>
      <c r="C551" s="204"/>
      <c r="D551" s="197"/>
      <c r="E551" s="197"/>
      <c r="F551" s="197"/>
      <c r="G551" s="197"/>
      <c r="H551" s="197"/>
      <c r="I551" s="197"/>
      <c r="J551" s="204"/>
      <c r="K551" s="197"/>
      <c r="L551" s="197"/>
      <c r="M551" s="197"/>
      <c r="N551" s="197"/>
      <c r="O551" s="204"/>
      <c r="P551" s="197"/>
    </row>
    <row r="552">
      <c r="A552" s="172"/>
      <c r="B552" s="204"/>
      <c r="C552" s="204"/>
      <c r="D552" s="197"/>
      <c r="E552" s="197"/>
      <c r="F552" s="197"/>
      <c r="G552" s="197"/>
      <c r="H552" s="197"/>
      <c r="I552" s="197"/>
      <c r="J552" s="204"/>
      <c r="K552" s="197"/>
      <c r="L552" s="197"/>
      <c r="M552" s="197"/>
      <c r="N552" s="197"/>
      <c r="O552" s="204"/>
      <c r="P552" s="197"/>
    </row>
    <row r="553">
      <c r="A553" s="172"/>
      <c r="B553" s="204"/>
      <c r="C553" s="204"/>
      <c r="D553" s="197"/>
      <c r="E553" s="197"/>
      <c r="F553" s="197"/>
      <c r="G553" s="197"/>
      <c r="H553" s="197"/>
      <c r="I553" s="197"/>
      <c r="J553" s="204"/>
      <c r="K553" s="197"/>
      <c r="L553" s="197"/>
      <c r="M553" s="197"/>
      <c r="N553" s="197"/>
      <c r="O553" s="204"/>
      <c r="P553" s="197"/>
    </row>
    <row r="554">
      <c r="A554" s="172"/>
      <c r="B554" s="204"/>
      <c r="C554" s="204"/>
      <c r="D554" s="197"/>
      <c r="E554" s="197"/>
      <c r="F554" s="197"/>
      <c r="G554" s="197"/>
      <c r="H554" s="197"/>
      <c r="I554" s="197"/>
      <c r="J554" s="204"/>
      <c r="K554" s="197"/>
      <c r="L554" s="197"/>
      <c r="M554" s="197"/>
      <c r="N554" s="197"/>
      <c r="O554" s="204"/>
      <c r="P554" s="197"/>
    </row>
    <row r="555">
      <c r="A555" s="172"/>
      <c r="B555" s="204"/>
      <c r="C555" s="204"/>
      <c r="D555" s="197"/>
      <c r="E555" s="197"/>
      <c r="F555" s="197"/>
      <c r="G555" s="197"/>
      <c r="H555" s="197"/>
      <c r="I555" s="197"/>
      <c r="J555" s="204"/>
      <c r="K555" s="197"/>
      <c r="L555" s="197"/>
      <c r="M555" s="197"/>
      <c r="N555" s="197"/>
      <c r="O555" s="204"/>
      <c r="P555" s="197"/>
    </row>
    <row r="556">
      <c r="A556" s="172"/>
      <c r="B556" s="204"/>
      <c r="C556" s="204"/>
      <c r="D556" s="197"/>
      <c r="E556" s="197"/>
      <c r="F556" s="197"/>
      <c r="G556" s="197"/>
      <c r="H556" s="197"/>
      <c r="I556" s="197"/>
      <c r="J556" s="204"/>
      <c r="K556" s="197"/>
      <c r="L556" s="197"/>
      <c r="M556" s="197"/>
      <c r="N556" s="197"/>
      <c r="O556" s="204"/>
      <c r="P556" s="197"/>
    </row>
    <row r="557">
      <c r="A557" s="172"/>
      <c r="B557" s="204"/>
      <c r="C557" s="204"/>
      <c r="D557" s="197"/>
      <c r="E557" s="197"/>
      <c r="F557" s="197"/>
      <c r="G557" s="197"/>
      <c r="H557" s="197"/>
      <c r="I557" s="197"/>
      <c r="J557" s="204"/>
      <c r="K557" s="197"/>
      <c r="L557" s="197"/>
      <c r="M557" s="197"/>
      <c r="N557" s="197"/>
      <c r="O557" s="204"/>
      <c r="P557" s="197"/>
    </row>
    <row r="558">
      <c r="A558" s="172"/>
      <c r="B558" s="204"/>
      <c r="C558" s="204"/>
      <c r="D558" s="197"/>
      <c r="E558" s="197"/>
      <c r="F558" s="197"/>
      <c r="G558" s="197"/>
      <c r="H558" s="197"/>
      <c r="I558" s="197"/>
      <c r="J558" s="204"/>
      <c r="K558" s="197"/>
      <c r="L558" s="197"/>
      <c r="M558" s="197"/>
      <c r="N558" s="197"/>
      <c r="O558" s="204"/>
      <c r="P558" s="197"/>
    </row>
    <row r="559">
      <c r="A559" s="172"/>
      <c r="B559" s="204"/>
      <c r="C559" s="204"/>
      <c r="D559" s="197"/>
      <c r="E559" s="197"/>
      <c r="F559" s="197"/>
      <c r="G559" s="197"/>
      <c r="H559" s="197"/>
      <c r="I559" s="197"/>
      <c r="J559" s="204"/>
      <c r="K559" s="197"/>
      <c r="L559" s="197"/>
      <c r="M559" s="197"/>
      <c r="N559" s="197"/>
      <c r="O559" s="204"/>
      <c r="P559" s="197"/>
    </row>
    <row r="560">
      <c r="A560" s="172"/>
      <c r="B560" s="204"/>
      <c r="C560" s="204"/>
      <c r="D560" s="197"/>
      <c r="E560" s="197"/>
      <c r="F560" s="197"/>
      <c r="G560" s="197"/>
      <c r="H560" s="197"/>
      <c r="I560" s="197"/>
      <c r="J560" s="204"/>
      <c r="K560" s="197"/>
      <c r="L560" s="197"/>
      <c r="M560" s="197"/>
      <c r="N560" s="197"/>
      <c r="O560" s="204"/>
      <c r="P560" s="197"/>
    </row>
    <row r="561">
      <c r="A561" s="172"/>
      <c r="B561" s="204"/>
      <c r="C561" s="204"/>
      <c r="D561" s="197"/>
      <c r="E561" s="197"/>
      <c r="F561" s="197"/>
      <c r="G561" s="197"/>
      <c r="H561" s="197"/>
      <c r="I561" s="197"/>
      <c r="J561" s="204"/>
      <c r="K561" s="197"/>
      <c r="L561" s="197"/>
      <c r="M561" s="197"/>
      <c r="N561" s="197"/>
      <c r="O561" s="204"/>
      <c r="P561" s="197"/>
    </row>
    <row r="562">
      <c r="A562" s="172"/>
      <c r="B562" s="204"/>
      <c r="C562" s="204"/>
      <c r="D562" s="197"/>
      <c r="E562" s="197"/>
      <c r="F562" s="197"/>
      <c r="G562" s="197"/>
      <c r="H562" s="197"/>
      <c r="I562" s="197"/>
      <c r="J562" s="204"/>
      <c r="K562" s="197"/>
      <c r="L562" s="197"/>
      <c r="M562" s="197"/>
      <c r="N562" s="197"/>
      <c r="O562" s="204"/>
      <c r="P562" s="197"/>
    </row>
    <row r="563">
      <c r="A563" s="172"/>
      <c r="B563" s="204"/>
      <c r="C563" s="204"/>
      <c r="D563" s="197"/>
      <c r="E563" s="197"/>
      <c r="F563" s="197"/>
      <c r="G563" s="197"/>
      <c r="H563" s="197"/>
      <c r="I563" s="197"/>
      <c r="J563" s="204"/>
      <c r="K563" s="197"/>
      <c r="L563" s="197"/>
      <c r="M563" s="197"/>
      <c r="N563" s="197"/>
      <c r="O563" s="204"/>
      <c r="P563" s="197"/>
    </row>
    <row r="564">
      <c r="A564" s="172"/>
      <c r="B564" s="204"/>
      <c r="C564" s="204"/>
      <c r="D564" s="197"/>
      <c r="E564" s="197"/>
      <c r="F564" s="197"/>
      <c r="G564" s="197"/>
      <c r="H564" s="197"/>
      <c r="I564" s="197"/>
      <c r="J564" s="204"/>
      <c r="K564" s="197"/>
      <c r="L564" s="197"/>
      <c r="M564" s="197"/>
      <c r="N564" s="197"/>
      <c r="O564" s="204"/>
      <c r="P564" s="197"/>
    </row>
    <row r="565">
      <c r="A565" s="172"/>
      <c r="B565" s="204"/>
      <c r="C565" s="204"/>
      <c r="D565" s="197"/>
      <c r="E565" s="197"/>
      <c r="F565" s="197"/>
      <c r="G565" s="197"/>
      <c r="H565" s="197"/>
      <c r="I565" s="197"/>
      <c r="J565" s="204"/>
      <c r="K565" s="197"/>
      <c r="L565" s="197"/>
      <c r="M565" s="197"/>
      <c r="N565" s="197"/>
      <c r="O565" s="204"/>
      <c r="P565" s="197"/>
    </row>
    <row r="566">
      <c r="A566" s="172"/>
      <c r="B566" s="204"/>
      <c r="C566" s="204"/>
      <c r="D566" s="197"/>
      <c r="E566" s="197"/>
      <c r="F566" s="197"/>
      <c r="G566" s="197"/>
      <c r="H566" s="197"/>
      <c r="I566" s="197"/>
      <c r="J566" s="204"/>
      <c r="K566" s="197"/>
      <c r="L566" s="197"/>
      <c r="M566" s="197"/>
      <c r="N566" s="197"/>
      <c r="O566" s="204"/>
      <c r="P566" s="197"/>
    </row>
    <row r="567">
      <c r="A567" s="172"/>
      <c r="B567" s="204"/>
      <c r="C567" s="204"/>
      <c r="D567" s="197"/>
      <c r="E567" s="197"/>
      <c r="F567" s="197"/>
      <c r="G567" s="197"/>
      <c r="H567" s="197"/>
      <c r="I567" s="197"/>
      <c r="J567" s="204"/>
      <c r="K567" s="197"/>
      <c r="L567" s="197"/>
      <c r="M567" s="197"/>
      <c r="N567" s="197"/>
      <c r="O567" s="204"/>
      <c r="P567" s="197"/>
    </row>
    <row r="568">
      <c r="A568" s="172"/>
      <c r="B568" s="204"/>
      <c r="C568" s="204"/>
      <c r="D568" s="197"/>
      <c r="E568" s="197"/>
      <c r="F568" s="197"/>
      <c r="G568" s="197"/>
      <c r="H568" s="197"/>
      <c r="I568" s="197"/>
      <c r="J568" s="204"/>
      <c r="K568" s="197"/>
      <c r="L568" s="197"/>
      <c r="M568" s="197"/>
      <c r="N568" s="197"/>
      <c r="O568" s="204"/>
      <c r="P568" s="197"/>
    </row>
    <row r="569">
      <c r="A569" s="172"/>
      <c r="B569" s="204"/>
      <c r="C569" s="204"/>
      <c r="D569" s="197"/>
      <c r="E569" s="197"/>
      <c r="F569" s="197"/>
      <c r="G569" s="197"/>
      <c r="H569" s="197"/>
      <c r="I569" s="197"/>
      <c r="J569" s="204"/>
      <c r="K569" s="197"/>
      <c r="L569" s="197"/>
      <c r="M569" s="197"/>
      <c r="N569" s="197"/>
      <c r="O569" s="204"/>
      <c r="P569" s="197"/>
    </row>
    <row r="570">
      <c r="A570" s="172"/>
      <c r="B570" s="204"/>
      <c r="C570" s="204"/>
      <c r="D570" s="197"/>
      <c r="E570" s="197"/>
      <c r="F570" s="197"/>
      <c r="G570" s="197"/>
      <c r="H570" s="197"/>
      <c r="I570" s="197"/>
      <c r="J570" s="204"/>
      <c r="K570" s="197"/>
      <c r="L570" s="197"/>
      <c r="M570" s="197"/>
      <c r="N570" s="197"/>
      <c r="O570" s="204"/>
      <c r="P570" s="197"/>
    </row>
    <row r="571">
      <c r="A571" s="172"/>
      <c r="B571" s="204"/>
      <c r="C571" s="204"/>
      <c r="D571" s="197"/>
      <c r="E571" s="197"/>
      <c r="F571" s="197"/>
      <c r="G571" s="197"/>
      <c r="H571" s="197"/>
      <c r="I571" s="197"/>
      <c r="J571" s="204"/>
      <c r="K571" s="197"/>
      <c r="L571" s="197"/>
      <c r="M571" s="197"/>
      <c r="N571" s="197"/>
      <c r="O571" s="204"/>
      <c r="P571" s="197"/>
    </row>
    <row r="572">
      <c r="A572" s="172"/>
      <c r="B572" s="204"/>
      <c r="C572" s="204"/>
      <c r="D572" s="197"/>
      <c r="E572" s="197"/>
      <c r="F572" s="197"/>
      <c r="G572" s="197"/>
      <c r="H572" s="197"/>
      <c r="I572" s="197"/>
      <c r="J572" s="204"/>
      <c r="K572" s="197"/>
      <c r="L572" s="197"/>
      <c r="M572" s="197"/>
      <c r="N572" s="197"/>
      <c r="O572" s="204"/>
      <c r="P572" s="197"/>
    </row>
    <row r="573">
      <c r="A573" s="172"/>
      <c r="B573" s="204"/>
      <c r="C573" s="204"/>
      <c r="D573" s="197"/>
      <c r="E573" s="197"/>
      <c r="F573" s="197"/>
      <c r="G573" s="197"/>
      <c r="H573" s="197"/>
      <c r="I573" s="197"/>
      <c r="J573" s="204"/>
      <c r="K573" s="197"/>
      <c r="L573" s="197"/>
      <c r="M573" s="197"/>
      <c r="N573" s="197"/>
      <c r="O573" s="204"/>
      <c r="P573" s="197"/>
    </row>
    <row r="574">
      <c r="A574" s="172"/>
      <c r="B574" s="204"/>
      <c r="C574" s="204"/>
      <c r="D574" s="197"/>
      <c r="E574" s="197"/>
      <c r="F574" s="197"/>
      <c r="G574" s="197"/>
      <c r="H574" s="197"/>
      <c r="I574" s="197"/>
      <c r="J574" s="204"/>
      <c r="K574" s="197"/>
      <c r="L574" s="197"/>
      <c r="M574" s="197"/>
      <c r="N574" s="197"/>
      <c r="O574" s="204"/>
      <c r="P574" s="197"/>
    </row>
    <row r="575">
      <c r="A575" s="172"/>
      <c r="B575" s="204"/>
      <c r="C575" s="204"/>
      <c r="D575" s="197"/>
      <c r="E575" s="197"/>
      <c r="F575" s="197"/>
      <c r="G575" s="197"/>
      <c r="H575" s="197"/>
      <c r="I575" s="197"/>
      <c r="J575" s="204"/>
      <c r="K575" s="197"/>
      <c r="L575" s="197"/>
      <c r="M575" s="197"/>
      <c r="N575" s="197"/>
      <c r="O575" s="204"/>
      <c r="P575" s="197"/>
    </row>
    <row r="576">
      <c r="A576" s="172"/>
      <c r="B576" s="204"/>
      <c r="C576" s="204"/>
      <c r="D576" s="197"/>
      <c r="E576" s="197"/>
      <c r="F576" s="197"/>
      <c r="G576" s="197"/>
      <c r="H576" s="197"/>
      <c r="I576" s="197"/>
      <c r="J576" s="204"/>
      <c r="K576" s="197"/>
      <c r="L576" s="197"/>
      <c r="M576" s="197"/>
      <c r="N576" s="197"/>
      <c r="O576" s="204"/>
      <c r="P576" s="197"/>
    </row>
    <row r="577">
      <c r="A577" s="172"/>
      <c r="B577" s="204"/>
      <c r="C577" s="204"/>
      <c r="D577" s="197"/>
      <c r="E577" s="197"/>
      <c r="F577" s="197"/>
      <c r="G577" s="197"/>
      <c r="H577" s="197"/>
      <c r="I577" s="197"/>
      <c r="J577" s="204"/>
      <c r="K577" s="197"/>
      <c r="L577" s="197"/>
      <c r="M577" s="197"/>
      <c r="N577" s="197"/>
      <c r="O577" s="204"/>
      <c r="P577" s="197"/>
    </row>
    <row r="578">
      <c r="A578" s="172"/>
      <c r="B578" s="204"/>
      <c r="C578" s="204"/>
      <c r="D578" s="197"/>
      <c r="E578" s="197"/>
      <c r="F578" s="197"/>
      <c r="G578" s="197"/>
      <c r="H578" s="197"/>
      <c r="I578" s="197"/>
      <c r="J578" s="204"/>
      <c r="K578" s="197"/>
      <c r="L578" s="197"/>
      <c r="M578" s="197"/>
      <c r="N578" s="197"/>
      <c r="O578" s="204"/>
      <c r="P578" s="197"/>
    </row>
    <row r="579">
      <c r="A579" s="172"/>
      <c r="B579" s="204"/>
      <c r="C579" s="204"/>
      <c r="D579" s="197"/>
      <c r="E579" s="197"/>
      <c r="F579" s="197"/>
      <c r="G579" s="197"/>
      <c r="H579" s="197"/>
      <c r="I579" s="197"/>
      <c r="J579" s="204"/>
      <c r="K579" s="197"/>
      <c r="L579" s="197"/>
      <c r="M579" s="197"/>
      <c r="N579" s="197"/>
      <c r="O579" s="204"/>
      <c r="P579" s="197"/>
    </row>
    <row r="580">
      <c r="A580" s="172"/>
      <c r="B580" s="204"/>
      <c r="C580" s="204"/>
      <c r="D580" s="197"/>
      <c r="E580" s="197"/>
      <c r="F580" s="197"/>
      <c r="G580" s="197"/>
      <c r="H580" s="197"/>
      <c r="I580" s="197"/>
      <c r="J580" s="204"/>
      <c r="K580" s="197"/>
      <c r="L580" s="197"/>
      <c r="M580" s="197"/>
      <c r="N580" s="197"/>
      <c r="O580" s="204"/>
      <c r="P580" s="197"/>
    </row>
    <row r="581">
      <c r="A581" s="172"/>
      <c r="B581" s="204"/>
      <c r="C581" s="204"/>
      <c r="D581" s="197"/>
      <c r="E581" s="197"/>
      <c r="F581" s="197"/>
      <c r="G581" s="197"/>
      <c r="H581" s="197"/>
      <c r="I581" s="197"/>
      <c r="J581" s="204"/>
      <c r="K581" s="197"/>
      <c r="L581" s="197"/>
      <c r="M581" s="197"/>
      <c r="N581" s="197"/>
      <c r="O581" s="204"/>
      <c r="P581" s="197"/>
    </row>
    <row r="582">
      <c r="A582" s="172"/>
      <c r="B582" s="204"/>
      <c r="C582" s="204"/>
      <c r="D582" s="197"/>
      <c r="E582" s="197"/>
      <c r="F582" s="197"/>
      <c r="G582" s="197"/>
      <c r="H582" s="197"/>
      <c r="I582" s="197"/>
      <c r="J582" s="204"/>
      <c r="K582" s="197"/>
      <c r="L582" s="197"/>
      <c r="M582" s="197"/>
      <c r="N582" s="197"/>
      <c r="O582" s="204"/>
      <c r="P582" s="197"/>
    </row>
    <row r="583">
      <c r="A583" s="172"/>
      <c r="B583" s="204"/>
      <c r="C583" s="204"/>
      <c r="D583" s="197"/>
      <c r="E583" s="197"/>
      <c r="F583" s="197"/>
      <c r="G583" s="197"/>
      <c r="H583" s="197"/>
      <c r="I583" s="197"/>
      <c r="J583" s="204"/>
      <c r="K583" s="197"/>
      <c r="L583" s="197"/>
      <c r="M583" s="197"/>
      <c r="N583" s="197"/>
      <c r="O583" s="204"/>
      <c r="P583" s="197"/>
    </row>
    <row r="584">
      <c r="A584" s="172"/>
      <c r="B584" s="204"/>
      <c r="C584" s="204"/>
      <c r="D584" s="197"/>
      <c r="E584" s="197"/>
      <c r="F584" s="197"/>
      <c r="G584" s="197"/>
      <c r="H584" s="197"/>
      <c r="I584" s="197"/>
      <c r="J584" s="204"/>
      <c r="K584" s="197"/>
      <c r="L584" s="197"/>
      <c r="M584" s="197"/>
      <c r="N584" s="197"/>
      <c r="O584" s="204"/>
      <c r="P584" s="197"/>
    </row>
    <row r="585">
      <c r="A585" s="172"/>
      <c r="B585" s="204"/>
      <c r="C585" s="204"/>
      <c r="D585" s="197"/>
      <c r="E585" s="197"/>
      <c r="F585" s="197"/>
      <c r="G585" s="197"/>
      <c r="H585" s="197"/>
      <c r="I585" s="197"/>
      <c r="J585" s="204"/>
      <c r="K585" s="197"/>
      <c r="L585" s="197"/>
      <c r="M585" s="197"/>
      <c r="N585" s="197"/>
      <c r="O585" s="204"/>
      <c r="P585" s="197"/>
    </row>
    <row r="586">
      <c r="A586" s="172"/>
      <c r="B586" s="204"/>
      <c r="C586" s="204"/>
      <c r="D586" s="197"/>
      <c r="E586" s="197"/>
      <c r="F586" s="197"/>
      <c r="G586" s="197"/>
      <c r="H586" s="197"/>
      <c r="I586" s="197"/>
      <c r="J586" s="204"/>
      <c r="K586" s="197"/>
      <c r="L586" s="197"/>
      <c r="M586" s="197"/>
      <c r="N586" s="197"/>
      <c r="O586" s="204"/>
      <c r="P586" s="197"/>
    </row>
    <row r="587">
      <c r="A587" s="172"/>
      <c r="B587" s="204"/>
      <c r="C587" s="204"/>
      <c r="D587" s="197"/>
      <c r="E587" s="197"/>
      <c r="F587" s="197"/>
      <c r="G587" s="197"/>
      <c r="H587" s="197"/>
      <c r="I587" s="197"/>
      <c r="J587" s="204"/>
      <c r="K587" s="197"/>
      <c r="L587" s="197"/>
      <c r="M587" s="197"/>
      <c r="N587" s="197"/>
      <c r="O587" s="204"/>
      <c r="P587" s="197"/>
    </row>
    <row r="588">
      <c r="A588" s="172"/>
      <c r="B588" s="204"/>
      <c r="C588" s="204"/>
      <c r="D588" s="197"/>
      <c r="E588" s="197"/>
      <c r="F588" s="197"/>
      <c r="G588" s="197"/>
      <c r="H588" s="197"/>
      <c r="I588" s="197"/>
      <c r="J588" s="204"/>
      <c r="K588" s="197"/>
      <c r="L588" s="197"/>
      <c r="M588" s="197"/>
      <c r="N588" s="197"/>
      <c r="O588" s="204"/>
      <c r="P588" s="197"/>
    </row>
    <row r="589">
      <c r="A589" s="172"/>
      <c r="B589" s="204"/>
      <c r="C589" s="204"/>
      <c r="D589" s="197"/>
      <c r="E589" s="197"/>
      <c r="F589" s="197"/>
      <c r="G589" s="197"/>
      <c r="H589" s="197"/>
      <c r="I589" s="197"/>
      <c r="J589" s="204"/>
      <c r="K589" s="197"/>
      <c r="L589" s="197"/>
      <c r="M589" s="197"/>
      <c r="N589" s="197"/>
      <c r="O589" s="204"/>
      <c r="P589" s="197"/>
    </row>
    <row r="590">
      <c r="A590" s="172"/>
      <c r="B590" s="204"/>
      <c r="C590" s="204"/>
      <c r="D590" s="197"/>
      <c r="E590" s="197"/>
      <c r="F590" s="197"/>
      <c r="G590" s="197"/>
      <c r="H590" s="197"/>
      <c r="I590" s="197"/>
      <c r="J590" s="204"/>
      <c r="K590" s="197"/>
      <c r="L590" s="197"/>
      <c r="M590" s="197"/>
      <c r="N590" s="197"/>
      <c r="O590" s="204"/>
      <c r="P590" s="197"/>
    </row>
    <row r="591">
      <c r="A591" s="172"/>
      <c r="B591" s="204"/>
      <c r="C591" s="204"/>
      <c r="D591" s="197"/>
      <c r="E591" s="197"/>
      <c r="F591" s="197"/>
      <c r="G591" s="197"/>
      <c r="H591" s="197"/>
      <c r="I591" s="197"/>
      <c r="J591" s="204"/>
      <c r="K591" s="197"/>
      <c r="L591" s="197"/>
      <c r="M591" s="197"/>
      <c r="N591" s="197"/>
      <c r="O591" s="204"/>
      <c r="P591" s="197"/>
    </row>
    <row r="592">
      <c r="A592" s="172"/>
      <c r="B592" s="204"/>
      <c r="C592" s="204"/>
      <c r="D592" s="197"/>
      <c r="E592" s="197"/>
      <c r="F592" s="197"/>
      <c r="G592" s="197"/>
      <c r="H592" s="197"/>
      <c r="I592" s="197"/>
      <c r="J592" s="204"/>
      <c r="K592" s="197"/>
      <c r="L592" s="197"/>
      <c r="M592" s="197"/>
      <c r="N592" s="197"/>
      <c r="O592" s="204"/>
      <c r="P592" s="197"/>
    </row>
    <row r="593">
      <c r="A593" s="172"/>
      <c r="B593" s="204"/>
      <c r="C593" s="204"/>
      <c r="D593" s="197"/>
      <c r="E593" s="197"/>
      <c r="F593" s="197"/>
      <c r="G593" s="197"/>
      <c r="H593" s="197"/>
      <c r="I593" s="197"/>
      <c r="J593" s="204"/>
      <c r="K593" s="197"/>
      <c r="L593" s="197"/>
      <c r="M593" s="197"/>
      <c r="N593" s="197"/>
      <c r="O593" s="204"/>
      <c r="P593" s="197"/>
    </row>
    <row r="594">
      <c r="A594" s="172"/>
      <c r="B594" s="204"/>
      <c r="C594" s="204"/>
      <c r="D594" s="197"/>
      <c r="E594" s="197"/>
      <c r="F594" s="197"/>
      <c r="G594" s="197"/>
      <c r="H594" s="197"/>
      <c r="I594" s="197"/>
      <c r="J594" s="204"/>
      <c r="K594" s="197"/>
      <c r="L594" s="197"/>
      <c r="M594" s="197"/>
      <c r="N594" s="197"/>
      <c r="O594" s="204"/>
      <c r="P594" s="197"/>
    </row>
    <row r="595">
      <c r="A595" s="172"/>
      <c r="B595" s="204"/>
      <c r="C595" s="204"/>
      <c r="D595" s="197"/>
      <c r="E595" s="197"/>
      <c r="F595" s="197"/>
      <c r="G595" s="197"/>
      <c r="H595" s="197"/>
      <c r="I595" s="197"/>
      <c r="J595" s="204"/>
      <c r="K595" s="197"/>
      <c r="L595" s="197"/>
      <c r="M595" s="197"/>
      <c r="N595" s="197"/>
      <c r="O595" s="204"/>
      <c r="P595" s="197"/>
    </row>
    <row r="596">
      <c r="A596" s="172"/>
      <c r="B596" s="204"/>
      <c r="C596" s="204"/>
      <c r="D596" s="197"/>
      <c r="E596" s="197"/>
      <c r="F596" s="197"/>
      <c r="G596" s="197"/>
      <c r="H596" s="197"/>
      <c r="I596" s="197"/>
      <c r="J596" s="204"/>
      <c r="K596" s="197"/>
      <c r="L596" s="197"/>
      <c r="M596" s="197"/>
      <c r="N596" s="197"/>
      <c r="O596" s="204"/>
      <c r="P596" s="197"/>
    </row>
    <row r="597">
      <c r="A597" s="172"/>
      <c r="B597" s="204"/>
      <c r="C597" s="204"/>
      <c r="D597" s="197"/>
      <c r="E597" s="197"/>
      <c r="F597" s="197"/>
      <c r="G597" s="197"/>
      <c r="H597" s="197"/>
      <c r="I597" s="197"/>
      <c r="J597" s="204"/>
      <c r="K597" s="197"/>
      <c r="L597" s="197"/>
      <c r="M597" s="197"/>
      <c r="N597" s="197"/>
      <c r="O597" s="204"/>
      <c r="P597" s="197"/>
    </row>
    <row r="598">
      <c r="A598" s="172"/>
      <c r="B598" s="204"/>
      <c r="C598" s="204"/>
      <c r="D598" s="197"/>
      <c r="E598" s="197"/>
      <c r="F598" s="197"/>
      <c r="G598" s="197"/>
      <c r="H598" s="197"/>
      <c r="I598" s="197"/>
      <c r="J598" s="204"/>
      <c r="K598" s="197"/>
      <c r="L598" s="197"/>
      <c r="M598" s="197"/>
      <c r="N598" s="197"/>
      <c r="O598" s="204"/>
      <c r="P598" s="197"/>
    </row>
    <row r="599">
      <c r="A599" s="172"/>
      <c r="B599" s="204"/>
      <c r="C599" s="204"/>
      <c r="D599" s="197"/>
      <c r="E599" s="197"/>
      <c r="F599" s="197"/>
      <c r="G599" s="197"/>
      <c r="H599" s="197"/>
      <c r="I599" s="197"/>
      <c r="J599" s="204"/>
      <c r="K599" s="197"/>
      <c r="L599" s="197"/>
      <c r="M599" s="197"/>
      <c r="N599" s="197"/>
      <c r="O599" s="204"/>
      <c r="P599" s="197"/>
    </row>
    <row r="600">
      <c r="A600" s="172"/>
      <c r="B600" s="204"/>
      <c r="C600" s="204"/>
      <c r="D600" s="197"/>
      <c r="E600" s="197"/>
      <c r="F600" s="197"/>
      <c r="G600" s="197"/>
      <c r="H600" s="197"/>
      <c r="I600" s="197"/>
      <c r="J600" s="204"/>
      <c r="K600" s="197"/>
      <c r="L600" s="197"/>
      <c r="M600" s="197"/>
      <c r="N600" s="197"/>
      <c r="O600" s="204"/>
      <c r="P600" s="197"/>
    </row>
    <row r="601">
      <c r="A601" s="172"/>
      <c r="B601" s="204"/>
      <c r="C601" s="204"/>
      <c r="D601" s="197"/>
      <c r="E601" s="197"/>
      <c r="F601" s="197"/>
      <c r="G601" s="197"/>
      <c r="H601" s="197"/>
      <c r="I601" s="197"/>
      <c r="J601" s="204"/>
      <c r="K601" s="197"/>
      <c r="L601" s="197"/>
      <c r="M601" s="197"/>
      <c r="N601" s="197"/>
      <c r="O601" s="204"/>
      <c r="P601" s="197"/>
    </row>
    <row r="602">
      <c r="A602" s="172"/>
      <c r="B602" s="204"/>
      <c r="C602" s="204"/>
      <c r="D602" s="197"/>
      <c r="E602" s="197"/>
      <c r="F602" s="197"/>
      <c r="G602" s="197"/>
      <c r="H602" s="197"/>
      <c r="I602" s="197"/>
      <c r="J602" s="204"/>
      <c r="K602" s="197"/>
      <c r="L602" s="197"/>
      <c r="M602" s="197"/>
      <c r="N602" s="197"/>
      <c r="O602" s="204"/>
      <c r="P602" s="197"/>
    </row>
    <row r="603">
      <c r="A603" s="172"/>
      <c r="B603" s="204"/>
      <c r="C603" s="204"/>
      <c r="D603" s="197"/>
      <c r="E603" s="197"/>
      <c r="F603" s="197"/>
      <c r="G603" s="197"/>
      <c r="H603" s="197"/>
      <c r="I603" s="197"/>
      <c r="J603" s="204"/>
      <c r="K603" s="197"/>
      <c r="L603" s="197"/>
      <c r="M603" s="197"/>
      <c r="N603" s="197"/>
      <c r="O603" s="204"/>
      <c r="P603" s="197"/>
    </row>
    <row r="604">
      <c r="A604" s="172"/>
      <c r="B604" s="204"/>
      <c r="C604" s="204"/>
      <c r="D604" s="197"/>
      <c r="E604" s="197"/>
      <c r="F604" s="197"/>
      <c r="G604" s="197"/>
      <c r="H604" s="197"/>
      <c r="I604" s="197"/>
      <c r="J604" s="204"/>
      <c r="K604" s="197"/>
      <c r="L604" s="197"/>
      <c r="M604" s="197"/>
      <c r="N604" s="197"/>
      <c r="O604" s="204"/>
      <c r="P604" s="197"/>
    </row>
    <row r="605">
      <c r="A605" s="172"/>
      <c r="B605" s="204"/>
      <c r="C605" s="204"/>
      <c r="D605" s="197"/>
      <c r="E605" s="197"/>
      <c r="F605" s="197"/>
      <c r="G605" s="197"/>
      <c r="H605" s="197"/>
      <c r="I605" s="197"/>
      <c r="J605" s="204"/>
      <c r="K605" s="197"/>
      <c r="L605" s="197"/>
      <c r="M605" s="197"/>
      <c r="N605" s="197"/>
      <c r="O605" s="204"/>
      <c r="P605" s="197"/>
    </row>
    <row r="606">
      <c r="A606" s="172"/>
      <c r="B606" s="204"/>
      <c r="C606" s="204"/>
      <c r="D606" s="197"/>
      <c r="E606" s="197"/>
      <c r="F606" s="197"/>
      <c r="G606" s="197"/>
      <c r="H606" s="197"/>
      <c r="I606" s="197"/>
      <c r="J606" s="204"/>
      <c r="K606" s="197"/>
      <c r="L606" s="197"/>
      <c r="M606" s="197"/>
      <c r="N606" s="197"/>
      <c r="O606" s="204"/>
      <c r="P606" s="197"/>
    </row>
    <row r="607">
      <c r="A607" s="172"/>
      <c r="B607" s="204"/>
      <c r="C607" s="204"/>
      <c r="D607" s="197"/>
      <c r="E607" s="197"/>
      <c r="F607" s="197"/>
      <c r="G607" s="197"/>
      <c r="H607" s="197"/>
      <c r="I607" s="197"/>
      <c r="J607" s="204"/>
      <c r="K607" s="197"/>
      <c r="L607" s="197"/>
      <c r="M607" s="197"/>
      <c r="N607" s="197"/>
      <c r="O607" s="204"/>
      <c r="P607" s="197"/>
    </row>
    <row r="608">
      <c r="A608" s="172"/>
      <c r="B608" s="204"/>
      <c r="C608" s="204"/>
      <c r="D608" s="197"/>
      <c r="E608" s="197"/>
      <c r="F608" s="197"/>
      <c r="G608" s="197"/>
      <c r="H608" s="197"/>
      <c r="I608" s="197"/>
      <c r="J608" s="204"/>
      <c r="K608" s="197"/>
      <c r="L608" s="197"/>
      <c r="M608" s="197"/>
      <c r="N608" s="197"/>
      <c r="O608" s="204"/>
      <c r="P608" s="197"/>
    </row>
    <row r="609">
      <c r="A609" s="172"/>
      <c r="B609" s="204"/>
      <c r="C609" s="204"/>
      <c r="D609" s="197"/>
      <c r="E609" s="197"/>
      <c r="F609" s="197"/>
      <c r="G609" s="197"/>
      <c r="H609" s="197"/>
      <c r="I609" s="197"/>
      <c r="J609" s="204"/>
      <c r="K609" s="197"/>
      <c r="L609" s="197"/>
      <c r="M609" s="197"/>
      <c r="N609" s="197"/>
      <c r="O609" s="204"/>
      <c r="P609" s="197"/>
    </row>
    <row r="610">
      <c r="A610" s="172"/>
      <c r="B610" s="204"/>
      <c r="C610" s="204"/>
      <c r="D610" s="197"/>
      <c r="E610" s="197"/>
      <c r="F610" s="197"/>
      <c r="G610" s="197"/>
      <c r="H610" s="197"/>
      <c r="I610" s="197"/>
      <c r="J610" s="204"/>
      <c r="K610" s="197"/>
      <c r="L610" s="197"/>
      <c r="M610" s="197"/>
      <c r="N610" s="197"/>
      <c r="O610" s="204"/>
      <c r="P610" s="197"/>
    </row>
    <row r="611">
      <c r="A611" s="172"/>
      <c r="B611" s="204"/>
      <c r="C611" s="204"/>
      <c r="D611" s="197"/>
      <c r="E611" s="197"/>
      <c r="F611" s="197"/>
      <c r="G611" s="197"/>
      <c r="H611" s="197"/>
      <c r="I611" s="197"/>
      <c r="J611" s="204"/>
      <c r="K611" s="197"/>
      <c r="L611" s="197"/>
      <c r="M611" s="197"/>
      <c r="N611" s="197"/>
      <c r="O611" s="204"/>
      <c r="P611" s="197"/>
    </row>
    <row r="612">
      <c r="A612" s="172"/>
      <c r="B612" s="204"/>
      <c r="C612" s="204"/>
      <c r="D612" s="197"/>
      <c r="E612" s="197"/>
      <c r="F612" s="197"/>
      <c r="G612" s="197"/>
      <c r="H612" s="197"/>
      <c r="I612" s="197"/>
      <c r="J612" s="204"/>
      <c r="K612" s="197"/>
      <c r="L612" s="197"/>
      <c r="M612" s="197"/>
      <c r="N612" s="197"/>
      <c r="O612" s="204"/>
      <c r="P612" s="197"/>
    </row>
    <row r="613">
      <c r="A613" s="172"/>
      <c r="B613" s="204"/>
      <c r="C613" s="204"/>
      <c r="D613" s="197"/>
      <c r="E613" s="197"/>
      <c r="F613" s="197"/>
      <c r="G613" s="197"/>
      <c r="H613" s="197"/>
      <c r="I613" s="197"/>
      <c r="J613" s="204"/>
      <c r="K613" s="197"/>
      <c r="L613" s="197"/>
      <c r="M613" s="197"/>
      <c r="N613" s="197"/>
      <c r="O613" s="204"/>
      <c r="P613" s="197"/>
    </row>
    <row r="614">
      <c r="A614" s="172"/>
      <c r="B614" s="204"/>
      <c r="C614" s="204"/>
      <c r="D614" s="197"/>
      <c r="E614" s="197"/>
      <c r="F614" s="197"/>
      <c r="G614" s="197"/>
      <c r="H614" s="197"/>
      <c r="I614" s="197"/>
      <c r="J614" s="204"/>
      <c r="K614" s="197"/>
      <c r="L614" s="197"/>
      <c r="M614" s="197"/>
      <c r="N614" s="197"/>
      <c r="O614" s="204"/>
      <c r="P614" s="197"/>
    </row>
    <row r="615">
      <c r="A615" s="172"/>
      <c r="B615" s="204"/>
      <c r="C615" s="204"/>
      <c r="D615" s="197"/>
      <c r="E615" s="197"/>
      <c r="F615" s="197"/>
      <c r="G615" s="197"/>
      <c r="H615" s="197"/>
      <c r="I615" s="197"/>
      <c r="J615" s="204"/>
      <c r="K615" s="197"/>
      <c r="L615" s="197"/>
      <c r="M615" s="197"/>
      <c r="N615" s="197"/>
      <c r="O615" s="204"/>
      <c r="P615" s="197"/>
    </row>
    <row r="616">
      <c r="A616" s="172"/>
      <c r="B616" s="204"/>
      <c r="C616" s="204"/>
      <c r="D616" s="197"/>
      <c r="E616" s="197"/>
      <c r="F616" s="197"/>
      <c r="G616" s="197"/>
      <c r="H616" s="197"/>
      <c r="I616" s="197"/>
      <c r="J616" s="204"/>
      <c r="K616" s="197"/>
      <c r="L616" s="197"/>
      <c r="M616" s="197"/>
      <c r="N616" s="197"/>
      <c r="O616" s="204"/>
      <c r="P616" s="197"/>
    </row>
    <row r="617">
      <c r="A617" s="172"/>
      <c r="B617" s="204"/>
      <c r="C617" s="204"/>
      <c r="D617" s="197"/>
      <c r="E617" s="197"/>
      <c r="F617" s="197"/>
      <c r="G617" s="197"/>
      <c r="H617" s="197"/>
      <c r="I617" s="197"/>
      <c r="J617" s="204"/>
      <c r="K617" s="197"/>
      <c r="L617" s="197"/>
      <c r="M617" s="197"/>
      <c r="N617" s="197"/>
      <c r="O617" s="204"/>
      <c r="P617" s="197"/>
    </row>
    <row r="618">
      <c r="A618" s="172"/>
      <c r="B618" s="204"/>
      <c r="C618" s="204"/>
      <c r="D618" s="197"/>
      <c r="E618" s="197"/>
      <c r="F618" s="197"/>
      <c r="G618" s="197"/>
      <c r="H618" s="197"/>
      <c r="I618" s="197"/>
      <c r="J618" s="204"/>
      <c r="K618" s="197"/>
      <c r="L618" s="197"/>
      <c r="M618" s="197"/>
      <c r="N618" s="197"/>
      <c r="O618" s="204"/>
      <c r="P618" s="197"/>
    </row>
    <row r="619">
      <c r="A619" s="172"/>
      <c r="B619" s="204"/>
      <c r="C619" s="204"/>
      <c r="D619" s="197"/>
      <c r="E619" s="197"/>
      <c r="F619" s="197"/>
      <c r="G619" s="197"/>
      <c r="H619" s="197"/>
      <c r="I619" s="197"/>
      <c r="J619" s="204"/>
      <c r="K619" s="197"/>
      <c r="L619" s="197"/>
      <c r="M619" s="197"/>
      <c r="N619" s="197"/>
      <c r="O619" s="204"/>
      <c r="P619" s="197"/>
    </row>
    <row r="620">
      <c r="A620" s="172"/>
      <c r="B620" s="204"/>
      <c r="C620" s="204"/>
      <c r="D620" s="197"/>
      <c r="E620" s="197"/>
      <c r="F620" s="197"/>
      <c r="G620" s="197"/>
      <c r="H620" s="197"/>
      <c r="I620" s="197"/>
      <c r="J620" s="204"/>
      <c r="K620" s="197"/>
      <c r="L620" s="197"/>
      <c r="M620" s="197"/>
      <c r="N620" s="197"/>
      <c r="O620" s="204"/>
      <c r="P620" s="197"/>
    </row>
    <row r="621">
      <c r="A621" s="172"/>
      <c r="B621" s="204"/>
      <c r="C621" s="204"/>
      <c r="D621" s="197"/>
      <c r="E621" s="197"/>
      <c r="F621" s="197"/>
      <c r="G621" s="197"/>
      <c r="H621" s="197"/>
      <c r="I621" s="197"/>
      <c r="J621" s="204"/>
      <c r="K621" s="197"/>
      <c r="L621" s="197"/>
      <c r="M621" s="197"/>
      <c r="N621" s="197"/>
      <c r="O621" s="204"/>
      <c r="P621" s="197"/>
    </row>
    <row r="622">
      <c r="A622" s="172"/>
      <c r="B622" s="204"/>
      <c r="C622" s="204"/>
      <c r="D622" s="197"/>
      <c r="E622" s="197"/>
      <c r="F622" s="197"/>
      <c r="G622" s="197"/>
      <c r="H622" s="197"/>
      <c r="I622" s="197"/>
      <c r="J622" s="204"/>
      <c r="K622" s="197"/>
      <c r="L622" s="197"/>
      <c r="M622" s="197"/>
      <c r="N622" s="197"/>
      <c r="O622" s="204"/>
      <c r="P622" s="197"/>
    </row>
    <row r="623">
      <c r="A623" s="172"/>
      <c r="B623" s="204"/>
      <c r="C623" s="204"/>
      <c r="D623" s="197"/>
      <c r="E623" s="197"/>
      <c r="F623" s="197"/>
      <c r="G623" s="197"/>
      <c r="H623" s="197"/>
      <c r="I623" s="197"/>
      <c r="J623" s="204"/>
      <c r="K623" s="197"/>
      <c r="L623" s="197"/>
      <c r="M623" s="197"/>
      <c r="N623" s="197"/>
      <c r="O623" s="204"/>
      <c r="P623" s="197"/>
    </row>
    <row r="624">
      <c r="A624" s="172"/>
      <c r="B624" s="204"/>
      <c r="C624" s="204"/>
      <c r="D624" s="197"/>
      <c r="E624" s="197"/>
      <c r="F624" s="197"/>
      <c r="G624" s="197"/>
      <c r="H624" s="197"/>
      <c r="I624" s="197"/>
      <c r="J624" s="204"/>
      <c r="K624" s="197"/>
      <c r="L624" s="197"/>
      <c r="M624" s="197"/>
      <c r="N624" s="197"/>
      <c r="O624" s="204"/>
      <c r="P624" s="197"/>
    </row>
    <row r="625">
      <c r="A625" s="172"/>
      <c r="B625" s="204"/>
      <c r="C625" s="204"/>
      <c r="D625" s="197"/>
      <c r="E625" s="197"/>
      <c r="F625" s="197"/>
      <c r="G625" s="197"/>
      <c r="H625" s="197"/>
      <c r="I625" s="197"/>
      <c r="J625" s="204"/>
      <c r="K625" s="197"/>
      <c r="L625" s="197"/>
      <c r="M625" s="197"/>
      <c r="N625" s="197"/>
      <c r="O625" s="204"/>
      <c r="P625" s="197"/>
    </row>
    <row r="626">
      <c r="A626" s="172"/>
      <c r="B626" s="204"/>
      <c r="C626" s="204"/>
      <c r="D626" s="197"/>
      <c r="E626" s="197"/>
      <c r="F626" s="197"/>
      <c r="G626" s="197"/>
      <c r="H626" s="197"/>
      <c r="I626" s="197"/>
      <c r="J626" s="204"/>
      <c r="K626" s="197"/>
      <c r="L626" s="197"/>
      <c r="M626" s="197"/>
      <c r="N626" s="197"/>
      <c r="O626" s="204"/>
      <c r="P626" s="197"/>
    </row>
    <row r="627">
      <c r="A627" s="172"/>
      <c r="B627" s="204"/>
      <c r="C627" s="204"/>
      <c r="D627" s="197"/>
      <c r="E627" s="197"/>
      <c r="F627" s="197"/>
      <c r="G627" s="197"/>
      <c r="H627" s="197"/>
      <c r="I627" s="197"/>
      <c r="J627" s="204"/>
      <c r="K627" s="197"/>
      <c r="L627" s="197"/>
      <c r="M627" s="197"/>
      <c r="N627" s="197"/>
      <c r="O627" s="204"/>
      <c r="P627" s="197"/>
    </row>
    <row r="628">
      <c r="A628" s="172"/>
      <c r="B628" s="204"/>
      <c r="C628" s="204"/>
      <c r="D628" s="197"/>
      <c r="E628" s="197"/>
      <c r="F628" s="197"/>
      <c r="G628" s="197"/>
      <c r="H628" s="197"/>
      <c r="I628" s="197"/>
      <c r="J628" s="204"/>
      <c r="K628" s="197"/>
      <c r="L628" s="197"/>
      <c r="M628" s="197"/>
      <c r="N628" s="197"/>
      <c r="O628" s="204"/>
      <c r="P628" s="197"/>
    </row>
    <row r="629">
      <c r="A629" s="172"/>
      <c r="B629" s="204"/>
      <c r="C629" s="204"/>
      <c r="D629" s="197"/>
      <c r="E629" s="197"/>
      <c r="F629" s="197"/>
      <c r="G629" s="197"/>
      <c r="H629" s="197"/>
      <c r="I629" s="197"/>
      <c r="J629" s="204"/>
      <c r="K629" s="197"/>
      <c r="L629" s="197"/>
      <c r="M629" s="197"/>
      <c r="N629" s="197"/>
      <c r="O629" s="204"/>
      <c r="P629" s="197"/>
    </row>
    <row r="630">
      <c r="A630" s="172"/>
      <c r="B630" s="204"/>
      <c r="C630" s="204"/>
      <c r="D630" s="197"/>
      <c r="E630" s="197"/>
      <c r="F630" s="197"/>
      <c r="G630" s="197"/>
      <c r="H630" s="197"/>
      <c r="I630" s="197"/>
      <c r="J630" s="204"/>
      <c r="K630" s="197"/>
      <c r="L630" s="197"/>
      <c r="M630" s="197"/>
      <c r="N630" s="197"/>
      <c r="O630" s="204"/>
      <c r="P630" s="197"/>
    </row>
    <row r="631">
      <c r="A631" s="172"/>
      <c r="B631" s="204"/>
      <c r="C631" s="204"/>
      <c r="D631" s="197"/>
      <c r="E631" s="197"/>
      <c r="F631" s="197"/>
      <c r="G631" s="197"/>
      <c r="H631" s="197"/>
      <c r="I631" s="197"/>
      <c r="J631" s="204"/>
      <c r="K631" s="197"/>
      <c r="L631" s="197"/>
      <c r="M631" s="197"/>
      <c r="N631" s="197"/>
      <c r="O631" s="204"/>
      <c r="P631" s="197"/>
    </row>
    <row r="632">
      <c r="A632" s="172"/>
      <c r="B632" s="204"/>
      <c r="C632" s="204"/>
      <c r="D632" s="197"/>
      <c r="E632" s="197"/>
      <c r="F632" s="197"/>
      <c r="G632" s="197"/>
      <c r="H632" s="197"/>
      <c r="I632" s="197"/>
      <c r="J632" s="204"/>
      <c r="K632" s="197"/>
      <c r="L632" s="197"/>
      <c r="M632" s="197"/>
      <c r="N632" s="197"/>
      <c r="O632" s="204"/>
      <c r="P632" s="197"/>
    </row>
    <row r="633">
      <c r="A633" s="172"/>
      <c r="B633" s="204"/>
      <c r="C633" s="204"/>
      <c r="D633" s="197"/>
      <c r="E633" s="197"/>
      <c r="F633" s="197"/>
      <c r="G633" s="197"/>
      <c r="H633" s="197"/>
      <c r="I633" s="197"/>
      <c r="J633" s="204"/>
      <c r="K633" s="197"/>
      <c r="L633" s="197"/>
      <c r="M633" s="197"/>
      <c r="N633" s="197"/>
      <c r="O633" s="204"/>
      <c r="P633" s="197"/>
    </row>
    <row r="634">
      <c r="A634" s="172"/>
      <c r="B634" s="204"/>
      <c r="C634" s="204"/>
      <c r="D634" s="197"/>
      <c r="E634" s="197"/>
      <c r="F634" s="197"/>
      <c r="G634" s="197"/>
      <c r="H634" s="197"/>
      <c r="I634" s="197"/>
      <c r="J634" s="204"/>
      <c r="K634" s="197"/>
      <c r="L634" s="197"/>
      <c r="M634" s="197"/>
      <c r="N634" s="197"/>
      <c r="O634" s="204"/>
      <c r="P634" s="197"/>
    </row>
    <row r="635">
      <c r="A635" s="172"/>
      <c r="B635" s="204"/>
      <c r="C635" s="204"/>
      <c r="D635" s="197"/>
      <c r="E635" s="197"/>
      <c r="F635" s="197"/>
      <c r="G635" s="197"/>
      <c r="H635" s="197"/>
      <c r="I635" s="197"/>
      <c r="J635" s="204"/>
      <c r="K635" s="197"/>
      <c r="L635" s="197"/>
      <c r="M635" s="197"/>
      <c r="N635" s="197"/>
      <c r="O635" s="204"/>
      <c r="P635" s="197"/>
    </row>
    <row r="636">
      <c r="A636" s="172"/>
      <c r="B636" s="204"/>
      <c r="C636" s="204"/>
      <c r="D636" s="197"/>
      <c r="E636" s="197"/>
      <c r="F636" s="197"/>
      <c r="G636" s="197"/>
      <c r="H636" s="197"/>
      <c r="I636" s="197"/>
      <c r="J636" s="204"/>
      <c r="K636" s="197"/>
      <c r="L636" s="197"/>
      <c r="M636" s="197"/>
      <c r="N636" s="197"/>
      <c r="O636" s="204"/>
      <c r="P636" s="197"/>
    </row>
    <row r="637">
      <c r="A637" s="172"/>
      <c r="B637" s="204"/>
      <c r="C637" s="204"/>
      <c r="D637" s="197"/>
      <c r="E637" s="197"/>
      <c r="F637" s="197"/>
      <c r="G637" s="197"/>
      <c r="H637" s="197"/>
      <c r="I637" s="197"/>
      <c r="J637" s="204"/>
      <c r="K637" s="197"/>
      <c r="L637" s="197"/>
      <c r="M637" s="197"/>
      <c r="N637" s="197"/>
      <c r="O637" s="204"/>
      <c r="P637" s="197"/>
    </row>
    <row r="638">
      <c r="A638" s="172"/>
      <c r="B638" s="204"/>
      <c r="C638" s="204"/>
      <c r="D638" s="197"/>
      <c r="E638" s="197"/>
      <c r="F638" s="197"/>
      <c r="G638" s="197"/>
      <c r="H638" s="197"/>
      <c r="I638" s="197"/>
      <c r="J638" s="204"/>
      <c r="K638" s="197"/>
      <c r="L638" s="197"/>
      <c r="M638" s="197"/>
      <c r="N638" s="197"/>
      <c r="O638" s="204"/>
      <c r="P638" s="197"/>
    </row>
    <row r="639">
      <c r="A639" s="172"/>
      <c r="B639" s="204"/>
      <c r="C639" s="204"/>
      <c r="D639" s="197"/>
      <c r="E639" s="197"/>
      <c r="F639" s="197"/>
      <c r="G639" s="197"/>
      <c r="H639" s="197"/>
      <c r="I639" s="197"/>
      <c r="J639" s="204"/>
      <c r="K639" s="197"/>
      <c r="L639" s="197"/>
      <c r="M639" s="197"/>
      <c r="N639" s="197"/>
      <c r="O639" s="204"/>
      <c r="P639" s="197"/>
    </row>
    <row r="640">
      <c r="A640" s="172"/>
      <c r="B640" s="204"/>
      <c r="C640" s="204"/>
      <c r="D640" s="197"/>
      <c r="E640" s="197"/>
      <c r="F640" s="197"/>
      <c r="G640" s="197"/>
      <c r="H640" s="197"/>
      <c r="I640" s="197"/>
      <c r="J640" s="204"/>
      <c r="K640" s="197"/>
      <c r="L640" s="197"/>
      <c r="M640" s="197"/>
      <c r="N640" s="197"/>
      <c r="O640" s="204"/>
      <c r="P640" s="197"/>
    </row>
    <row r="641">
      <c r="A641" s="172"/>
      <c r="B641" s="204"/>
      <c r="C641" s="204"/>
      <c r="D641" s="197"/>
      <c r="E641" s="197"/>
      <c r="F641" s="197"/>
      <c r="G641" s="197"/>
      <c r="H641" s="197"/>
      <c r="I641" s="197"/>
      <c r="J641" s="204"/>
      <c r="K641" s="197"/>
      <c r="L641" s="197"/>
      <c r="M641" s="197"/>
      <c r="N641" s="197"/>
      <c r="O641" s="204"/>
      <c r="P641" s="197"/>
    </row>
    <row r="642">
      <c r="A642" s="172"/>
      <c r="B642" s="204"/>
      <c r="C642" s="204"/>
      <c r="D642" s="197"/>
      <c r="E642" s="197"/>
      <c r="F642" s="197"/>
      <c r="G642" s="197"/>
      <c r="H642" s="197"/>
      <c r="I642" s="197"/>
      <c r="J642" s="204"/>
      <c r="K642" s="197"/>
      <c r="L642" s="197"/>
      <c r="M642" s="197"/>
      <c r="N642" s="197"/>
      <c r="O642" s="204"/>
      <c r="P642" s="197"/>
    </row>
    <row r="643">
      <c r="A643" s="172"/>
      <c r="B643" s="204"/>
      <c r="C643" s="204"/>
      <c r="D643" s="197"/>
      <c r="E643" s="197"/>
      <c r="F643" s="197"/>
      <c r="G643" s="197"/>
      <c r="H643" s="197"/>
      <c r="I643" s="197"/>
      <c r="J643" s="204"/>
      <c r="K643" s="197"/>
      <c r="L643" s="197"/>
      <c r="M643" s="197"/>
      <c r="N643" s="197"/>
      <c r="O643" s="204"/>
      <c r="P643" s="197"/>
    </row>
    <row r="644">
      <c r="A644" s="172"/>
      <c r="B644" s="204"/>
      <c r="C644" s="204"/>
      <c r="D644" s="197"/>
      <c r="E644" s="197"/>
      <c r="F644" s="197"/>
      <c r="G644" s="197"/>
      <c r="H644" s="197"/>
      <c r="I644" s="197"/>
      <c r="J644" s="204"/>
      <c r="K644" s="197"/>
      <c r="L644" s="197"/>
      <c r="M644" s="197"/>
      <c r="N644" s="197"/>
      <c r="O644" s="204"/>
      <c r="P644" s="197"/>
    </row>
    <row r="645">
      <c r="A645" s="172"/>
      <c r="B645" s="204"/>
      <c r="C645" s="204"/>
      <c r="D645" s="197"/>
      <c r="E645" s="197"/>
      <c r="F645" s="197"/>
      <c r="G645" s="197"/>
      <c r="H645" s="197"/>
      <c r="I645" s="197"/>
      <c r="J645" s="204"/>
      <c r="K645" s="197"/>
      <c r="L645" s="197"/>
      <c r="M645" s="197"/>
      <c r="N645" s="197"/>
      <c r="O645" s="204"/>
      <c r="P645" s="197"/>
    </row>
    <row r="646">
      <c r="A646" s="172"/>
      <c r="B646" s="204"/>
      <c r="C646" s="204"/>
      <c r="D646" s="197"/>
      <c r="E646" s="197"/>
      <c r="F646" s="197"/>
      <c r="G646" s="197"/>
      <c r="H646" s="197"/>
      <c r="I646" s="197"/>
      <c r="J646" s="204"/>
      <c r="K646" s="197"/>
      <c r="L646" s="197"/>
      <c r="M646" s="197"/>
      <c r="N646" s="197"/>
      <c r="O646" s="204"/>
      <c r="P646" s="197"/>
    </row>
    <row r="647">
      <c r="A647" s="172"/>
      <c r="B647" s="204"/>
      <c r="C647" s="204"/>
      <c r="D647" s="197"/>
      <c r="E647" s="197"/>
      <c r="F647" s="197"/>
      <c r="G647" s="197"/>
      <c r="H647" s="197"/>
      <c r="I647" s="197"/>
      <c r="J647" s="204"/>
      <c r="K647" s="197"/>
      <c r="L647" s="197"/>
      <c r="M647" s="197"/>
      <c r="N647" s="197"/>
      <c r="O647" s="204"/>
      <c r="P647" s="197"/>
    </row>
    <row r="648">
      <c r="A648" s="172"/>
      <c r="B648" s="204"/>
      <c r="C648" s="204"/>
      <c r="D648" s="197"/>
      <c r="E648" s="197"/>
      <c r="F648" s="197"/>
      <c r="G648" s="197"/>
      <c r="H648" s="197"/>
      <c r="I648" s="197"/>
      <c r="J648" s="204"/>
      <c r="K648" s="197"/>
      <c r="L648" s="197"/>
      <c r="M648" s="197"/>
      <c r="N648" s="197"/>
      <c r="O648" s="204"/>
      <c r="P648" s="197"/>
    </row>
    <row r="649">
      <c r="A649" s="172"/>
      <c r="B649" s="204"/>
      <c r="C649" s="204"/>
      <c r="D649" s="197"/>
      <c r="E649" s="197"/>
      <c r="F649" s="197"/>
      <c r="G649" s="197"/>
      <c r="H649" s="197"/>
      <c r="I649" s="197"/>
      <c r="J649" s="204"/>
      <c r="K649" s="197"/>
      <c r="L649" s="197"/>
      <c r="M649" s="197"/>
      <c r="N649" s="197"/>
      <c r="O649" s="204"/>
      <c r="P649" s="197"/>
    </row>
    <row r="650">
      <c r="A650" s="172"/>
      <c r="B650" s="204"/>
      <c r="C650" s="204"/>
      <c r="D650" s="197"/>
      <c r="E650" s="197"/>
      <c r="F650" s="197"/>
      <c r="G650" s="197"/>
      <c r="H650" s="197"/>
      <c r="I650" s="197"/>
      <c r="J650" s="204"/>
      <c r="K650" s="197"/>
      <c r="L650" s="197"/>
      <c r="M650" s="197"/>
      <c r="N650" s="197"/>
      <c r="O650" s="204"/>
      <c r="P650" s="197"/>
    </row>
    <row r="651">
      <c r="A651" s="172"/>
      <c r="B651" s="204"/>
      <c r="C651" s="204"/>
      <c r="D651" s="197"/>
      <c r="E651" s="197"/>
      <c r="F651" s="197"/>
      <c r="G651" s="197"/>
      <c r="H651" s="197"/>
      <c r="I651" s="197"/>
      <c r="J651" s="204"/>
      <c r="K651" s="197"/>
      <c r="L651" s="197"/>
      <c r="M651" s="197"/>
      <c r="N651" s="197"/>
      <c r="O651" s="204"/>
      <c r="P651" s="197"/>
    </row>
    <row r="652">
      <c r="A652" s="172"/>
      <c r="B652" s="204"/>
      <c r="C652" s="204"/>
      <c r="D652" s="197"/>
      <c r="E652" s="197"/>
      <c r="F652" s="197"/>
      <c r="G652" s="197"/>
      <c r="H652" s="197"/>
      <c r="I652" s="197"/>
      <c r="J652" s="204"/>
      <c r="K652" s="197"/>
      <c r="L652" s="197"/>
      <c r="M652" s="197"/>
      <c r="N652" s="197"/>
      <c r="O652" s="204"/>
      <c r="P652" s="197"/>
    </row>
    <row r="653">
      <c r="A653" s="172"/>
      <c r="B653" s="204"/>
      <c r="C653" s="204"/>
      <c r="D653" s="197"/>
      <c r="E653" s="197"/>
      <c r="F653" s="197"/>
      <c r="G653" s="197"/>
      <c r="H653" s="197"/>
      <c r="I653" s="197"/>
      <c r="J653" s="204"/>
      <c r="K653" s="197"/>
      <c r="L653" s="197"/>
      <c r="M653" s="197"/>
      <c r="N653" s="197"/>
      <c r="O653" s="204"/>
      <c r="P653" s="197"/>
    </row>
    <row r="654">
      <c r="A654" s="172"/>
      <c r="B654" s="204"/>
      <c r="C654" s="204"/>
      <c r="D654" s="197"/>
      <c r="E654" s="197"/>
      <c r="F654" s="197"/>
      <c r="G654" s="197"/>
      <c r="H654" s="197"/>
      <c r="I654" s="197"/>
      <c r="J654" s="204"/>
      <c r="K654" s="197"/>
      <c r="L654" s="197"/>
      <c r="M654" s="197"/>
      <c r="N654" s="197"/>
      <c r="O654" s="204"/>
      <c r="P654" s="197"/>
    </row>
    <row r="655">
      <c r="A655" s="172"/>
      <c r="B655" s="204"/>
      <c r="C655" s="204"/>
      <c r="D655" s="197"/>
      <c r="E655" s="197"/>
      <c r="F655" s="197"/>
      <c r="G655" s="197"/>
      <c r="H655" s="197"/>
      <c r="I655" s="197"/>
      <c r="J655" s="204"/>
      <c r="K655" s="197"/>
      <c r="L655" s="197"/>
      <c r="M655" s="197"/>
      <c r="N655" s="197"/>
      <c r="O655" s="204"/>
      <c r="P655" s="197"/>
    </row>
    <row r="656">
      <c r="A656" s="172"/>
      <c r="B656" s="204"/>
      <c r="C656" s="204"/>
      <c r="D656" s="197"/>
      <c r="E656" s="197"/>
      <c r="F656" s="197"/>
      <c r="G656" s="197"/>
      <c r="H656" s="197"/>
      <c r="I656" s="197"/>
      <c r="J656" s="204"/>
      <c r="K656" s="197"/>
      <c r="L656" s="197"/>
      <c r="M656" s="197"/>
      <c r="N656" s="197"/>
      <c r="O656" s="204"/>
      <c r="P656" s="197"/>
    </row>
    <row r="657">
      <c r="A657" s="172"/>
      <c r="B657" s="204"/>
      <c r="C657" s="204"/>
      <c r="D657" s="197"/>
      <c r="E657" s="197"/>
      <c r="F657" s="197"/>
      <c r="G657" s="197"/>
      <c r="H657" s="197"/>
      <c r="I657" s="197"/>
      <c r="J657" s="204"/>
      <c r="K657" s="197"/>
      <c r="L657" s="197"/>
      <c r="M657" s="197"/>
      <c r="N657" s="197"/>
      <c r="O657" s="204"/>
      <c r="P657" s="197"/>
    </row>
    <row r="658">
      <c r="A658" s="172"/>
      <c r="B658" s="204"/>
      <c r="C658" s="204"/>
      <c r="D658" s="197"/>
      <c r="E658" s="197"/>
      <c r="F658" s="197"/>
      <c r="G658" s="197"/>
      <c r="H658" s="197"/>
      <c r="I658" s="197"/>
      <c r="J658" s="204"/>
      <c r="K658" s="197"/>
      <c r="L658" s="197"/>
      <c r="M658" s="197"/>
      <c r="N658" s="197"/>
      <c r="O658" s="204"/>
      <c r="P658" s="197"/>
    </row>
    <row r="659">
      <c r="A659" s="172"/>
      <c r="B659" s="204"/>
      <c r="C659" s="204"/>
      <c r="D659" s="197"/>
      <c r="E659" s="197"/>
      <c r="F659" s="197"/>
      <c r="G659" s="197"/>
      <c r="H659" s="197"/>
      <c r="I659" s="197"/>
      <c r="J659" s="204"/>
      <c r="K659" s="197"/>
      <c r="L659" s="197"/>
      <c r="M659" s="197"/>
      <c r="N659" s="197"/>
      <c r="O659" s="204"/>
      <c r="P659" s="197"/>
    </row>
    <row r="660">
      <c r="A660" s="172"/>
      <c r="B660" s="204"/>
      <c r="C660" s="204"/>
      <c r="D660" s="197"/>
      <c r="E660" s="197"/>
      <c r="F660" s="197"/>
      <c r="G660" s="197"/>
      <c r="H660" s="197"/>
      <c r="I660" s="197"/>
      <c r="J660" s="204"/>
      <c r="K660" s="197"/>
      <c r="L660" s="197"/>
      <c r="M660" s="197"/>
      <c r="N660" s="197"/>
      <c r="O660" s="204"/>
      <c r="P660" s="197"/>
    </row>
    <row r="661">
      <c r="A661" s="172"/>
      <c r="B661" s="204"/>
      <c r="C661" s="204"/>
      <c r="D661" s="197"/>
      <c r="E661" s="197"/>
      <c r="F661" s="197"/>
      <c r="G661" s="197"/>
      <c r="H661" s="197"/>
      <c r="I661" s="197"/>
      <c r="J661" s="204"/>
      <c r="K661" s="197"/>
      <c r="L661" s="197"/>
      <c r="M661" s="197"/>
      <c r="N661" s="197"/>
      <c r="O661" s="204"/>
      <c r="P661" s="197"/>
    </row>
    <row r="662">
      <c r="A662" s="172"/>
      <c r="B662" s="204"/>
      <c r="C662" s="204"/>
      <c r="D662" s="197"/>
      <c r="E662" s="197"/>
      <c r="F662" s="197"/>
      <c r="G662" s="197"/>
      <c r="H662" s="197"/>
      <c r="I662" s="197"/>
      <c r="J662" s="204"/>
      <c r="K662" s="197"/>
      <c r="L662" s="197"/>
      <c r="M662" s="197"/>
      <c r="N662" s="197"/>
      <c r="O662" s="204"/>
      <c r="P662" s="197"/>
    </row>
    <row r="663">
      <c r="A663" s="172"/>
      <c r="B663" s="204"/>
      <c r="C663" s="204"/>
      <c r="D663" s="197"/>
      <c r="E663" s="197"/>
      <c r="F663" s="197"/>
      <c r="G663" s="197"/>
      <c r="H663" s="197"/>
      <c r="I663" s="197"/>
      <c r="J663" s="204"/>
      <c r="K663" s="197"/>
      <c r="L663" s="197"/>
      <c r="M663" s="197"/>
      <c r="N663" s="197"/>
      <c r="O663" s="204"/>
      <c r="P663" s="197"/>
    </row>
    <row r="664">
      <c r="A664" s="172"/>
      <c r="B664" s="204"/>
      <c r="C664" s="204"/>
      <c r="D664" s="197"/>
      <c r="E664" s="197"/>
      <c r="F664" s="197"/>
      <c r="G664" s="197"/>
      <c r="H664" s="197"/>
      <c r="I664" s="197"/>
      <c r="J664" s="204"/>
      <c r="K664" s="197"/>
      <c r="L664" s="197"/>
      <c r="M664" s="197"/>
      <c r="N664" s="197"/>
      <c r="O664" s="204"/>
      <c r="P664" s="197"/>
    </row>
    <row r="665">
      <c r="A665" s="172"/>
      <c r="B665" s="204"/>
      <c r="C665" s="204"/>
      <c r="D665" s="197"/>
      <c r="E665" s="197"/>
      <c r="F665" s="197"/>
      <c r="G665" s="197"/>
      <c r="H665" s="197"/>
      <c r="I665" s="197"/>
      <c r="J665" s="204"/>
      <c r="K665" s="197"/>
      <c r="L665" s="197"/>
      <c r="M665" s="197"/>
      <c r="N665" s="197"/>
      <c r="O665" s="204"/>
      <c r="P665" s="197"/>
    </row>
    <row r="666">
      <c r="A666" s="172"/>
      <c r="B666" s="204"/>
      <c r="C666" s="204"/>
      <c r="D666" s="197"/>
      <c r="E666" s="197"/>
      <c r="F666" s="197"/>
      <c r="G666" s="197"/>
      <c r="H666" s="197"/>
      <c r="I666" s="197"/>
      <c r="J666" s="204"/>
      <c r="K666" s="197"/>
      <c r="L666" s="197"/>
      <c r="M666" s="197"/>
      <c r="N666" s="197"/>
      <c r="O666" s="204"/>
      <c r="P666" s="197"/>
    </row>
    <row r="667">
      <c r="A667" s="172"/>
      <c r="B667" s="204"/>
      <c r="C667" s="204"/>
      <c r="D667" s="197"/>
      <c r="E667" s="197"/>
      <c r="F667" s="197"/>
      <c r="G667" s="197"/>
      <c r="H667" s="197"/>
      <c r="I667" s="197"/>
      <c r="J667" s="204"/>
      <c r="K667" s="197"/>
      <c r="L667" s="197"/>
      <c r="M667" s="197"/>
      <c r="N667" s="197"/>
      <c r="O667" s="204"/>
      <c r="P667" s="197"/>
    </row>
    <row r="668">
      <c r="A668" s="172"/>
      <c r="B668" s="204"/>
      <c r="C668" s="204"/>
      <c r="D668" s="197"/>
      <c r="E668" s="197"/>
      <c r="F668" s="197"/>
      <c r="G668" s="197"/>
      <c r="H668" s="197"/>
      <c r="I668" s="197"/>
      <c r="J668" s="204"/>
      <c r="K668" s="197"/>
      <c r="L668" s="197"/>
      <c r="M668" s="197"/>
      <c r="N668" s="197"/>
      <c r="O668" s="204"/>
      <c r="P668" s="197"/>
    </row>
    <row r="669">
      <c r="A669" s="172"/>
      <c r="B669" s="204"/>
      <c r="C669" s="204"/>
      <c r="D669" s="197"/>
      <c r="E669" s="197"/>
      <c r="F669" s="197"/>
      <c r="G669" s="197"/>
      <c r="H669" s="197"/>
      <c r="I669" s="197"/>
      <c r="J669" s="204"/>
      <c r="K669" s="197"/>
      <c r="L669" s="197"/>
      <c r="M669" s="197"/>
      <c r="N669" s="197"/>
      <c r="O669" s="204"/>
      <c r="P669" s="197"/>
    </row>
    <row r="670">
      <c r="A670" s="172"/>
      <c r="B670" s="204"/>
      <c r="C670" s="204"/>
      <c r="D670" s="197"/>
      <c r="E670" s="197"/>
      <c r="F670" s="197"/>
      <c r="G670" s="197"/>
      <c r="H670" s="197"/>
      <c r="I670" s="197"/>
      <c r="J670" s="204"/>
      <c r="K670" s="197"/>
      <c r="L670" s="197"/>
      <c r="M670" s="197"/>
      <c r="N670" s="197"/>
      <c r="O670" s="204"/>
      <c r="P670" s="197"/>
    </row>
    <row r="671">
      <c r="A671" s="172"/>
      <c r="B671" s="204"/>
      <c r="C671" s="204"/>
      <c r="D671" s="197"/>
      <c r="E671" s="197"/>
      <c r="F671" s="197"/>
      <c r="G671" s="197"/>
      <c r="H671" s="197"/>
      <c r="I671" s="197"/>
      <c r="J671" s="204"/>
      <c r="K671" s="197"/>
      <c r="L671" s="197"/>
      <c r="M671" s="197"/>
      <c r="N671" s="197"/>
      <c r="O671" s="204"/>
      <c r="P671" s="197"/>
    </row>
    <row r="672">
      <c r="A672" s="172"/>
      <c r="B672" s="204"/>
      <c r="C672" s="204"/>
      <c r="D672" s="197"/>
      <c r="E672" s="197"/>
      <c r="F672" s="197"/>
      <c r="G672" s="197"/>
      <c r="H672" s="197"/>
      <c r="I672" s="197"/>
      <c r="J672" s="204"/>
      <c r="K672" s="197"/>
      <c r="L672" s="197"/>
      <c r="M672" s="197"/>
      <c r="N672" s="197"/>
      <c r="O672" s="204"/>
      <c r="P672" s="197"/>
    </row>
    <row r="673">
      <c r="A673" s="172"/>
      <c r="B673" s="204"/>
      <c r="C673" s="204"/>
      <c r="D673" s="197"/>
      <c r="E673" s="197"/>
      <c r="F673" s="197"/>
      <c r="G673" s="197"/>
      <c r="H673" s="197"/>
      <c r="I673" s="197"/>
      <c r="J673" s="204"/>
      <c r="K673" s="197"/>
      <c r="L673" s="197"/>
      <c r="M673" s="197"/>
      <c r="N673" s="197"/>
      <c r="O673" s="204"/>
      <c r="P673" s="197"/>
    </row>
    <row r="674">
      <c r="A674" s="172"/>
      <c r="B674" s="204"/>
      <c r="C674" s="204"/>
      <c r="D674" s="197"/>
      <c r="E674" s="197"/>
      <c r="F674" s="197"/>
      <c r="G674" s="197"/>
      <c r="H674" s="197"/>
      <c r="I674" s="197"/>
      <c r="J674" s="204"/>
      <c r="K674" s="197"/>
      <c r="L674" s="197"/>
      <c r="M674" s="197"/>
      <c r="N674" s="197"/>
      <c r="O674" s="204"/>
      <c r="P674" s="197"/>
    </row>
    <row r="675">
      <c r="A675" s="172"/>
      <c r="B675" s="204"/>
      <c r="C675" s="204"/>
      <c r="D675" s="197"/>
      <c r="E675" s="197"/>
      <c r="F675" s="197"/>
      <c r="G675" s="197"/>
      <c r="H675" s="197"/>
      <c r="I675" s="197"/>
      <c r="J675" s="204"/>
      <c r="K675" s="197"/>
      <c r="L675" s="197"/>
      <c r="M675" s="197"/>
      <c r="N675" s="197"/>
      <c r="O675" s="204"/>
      <c r="P675" s="197"/>
    </row>
    <row r="676">
      <c r="A676" s="172"/>
      <c r="B676" s="204"/>
      <c r="C676" s="204"/>
      <c r="D676" s="197"/>
      <c r="E676" s="197"/>
      <c r="F676" s="197"/>
      <c r="G676" s="197"/>
      <c r="H676" s="197"/>
      <c r="I676" s="197"/>
      <c r="J676" s="204"/>
      <c r="K676" s="197"/>
      <c r="L676" s="197"/>
      <c r="M676" s="197"/>
      <c r="N676" s="197"/>
      <c r="O676" s="204"/>
      <c r="P676" s="197"/>
    </row>
    <row r="677">
      <c r="A677" s="172"/>
      <c r="B677" s="204"/>
      <c r="C677" s="204"/>
      <c r="D677" s="197"/>
      <c r="E677" s="197"/>
      <c r="F677" s="197"/>
      <c r="G677" s="197"/>
      <c r="H677" s="197"/>
      <c r="I677" s="197"/>
      <c r="J677" s="204"/>
      <c r="K677" s="197"/>
      <c r="L677" s="197"/>
      <c r="M677" s="197"/>
      <c r="N677" s="197"/>
      <c r="O677" s="204"/>
      <c r="P677" s="197"/>
    </row>
    <row r="678">
      <c r="A678" s="172"/>
      <c r="B678" s="204"/>
      <c r="C678" s="204"/>
      <c r="D678" s="197"/>
      <c r="E678" s="197"/>
      <c r="F678" s="197"/>
      <c r="G678" s="197"/>
      <c r="H678" s="197"/>
      <c r="I678" s="197"/>
      <c r="J678" s="204"/>
      <c r="K678" s="197"/>
      <c r="L678" s="197"/>
      <c r="M678" s="197"/>
      <c r="N678" s="197"/>
      <c r="O678" s="204"/>
      <c r="P678" s="197"/>
    </row>
    <row r="679">
      <c r="A679" s="172"/>
      <c r="B679" s="204"/>
      <c r="C679" s="204"/>
      <c r="D679" s="197"/>
      <c r="E679" s="197"/>
      <c r="F679" s="197"/>
      <c r="G679" s="197"/>
      <c r="H679" s="197"/>
      <c r="I679" s="197"/>
      <c r="J679" s="204"/>
      <c r="K679" s="197"/>
      <c r="L679" s="197"/>
      <c r="M679" s="197"/>
      <c r="N679" s="197"/>
      <c r="O679" s="204"/>
      <c r="P679" s="197"/>
    </row>
    <row r="680">
      <c r="A680" s="172"/>
      <c r="B680" s="204"/>
      <c r="C680" s="204"/>
      <c r="D680" s="197"/>
      <c r="E680" s="197"/>
      <c r="F680" s="197"/>
      <c r="G680" s="197"/>
      <c r="H680" s="197"/>
      <c r="I680" s="197"/>
      <c r="J680" s="204"/>
      <c r="K680" s="197"/>
      <c r="L680" s="197"/>
      <c r="M680" s="197"/>
      <c r="N680" s="197"/>
      <c r="O680" s="204"/>
      <c r="P680" s="197"/>
    </row>
    <row r="681">
      <c r="A681" s="172"/>
      <c r="B681" s="204"/>
      <c r="C681" s="204"/>
      <c r="D681" s="197"/>
      <c r="E681" s="197"/>
      <c r="F681" s="197"/>
      <c r="G681" s="197"/>
      <c r="H681" s="197"/>
      <c r="I681" s="197"/>
      <c r="J681" s="204"/>
      <c r="K681" s="197"/>
      <c r="L681" s="197"/>
      <c r="M681" s="197"/>
      <c r="N681" s="197"/>
      <c r="O681" s="204"/>
      <c r="P681" s="197"/>
    </row>
    <row r="682">
      <c r="A682" s="172"/>
      <c r="B682" s="204"/>
      <c r="C682" s="204"/>
      <c r="D682" s="197"/>
      <c r="E682" s="197"/>
      <c r="F682" s="197"/>
      <c r="G682" s="197"/>
      <c r="H682" s="197"/>
      <c r="I682" s="197"/>
      <c r="J682" s="204"/>
      <c r="K682" s="197"/>
      <c r="L682" s="197"/>
      <c r="M682" s="197"/>
      <c r="N682" s="197"/>
      <c r="O682" s="204"/>
      <c r="P682" s="197"/>
    </row>
    <row r="683">
      <c r="A683" s="172"/>
      <c r="B683" s="204"/>
      <c r="C683" s="204"/>
      <c r="D683" s="197"/>
      <c r="E683" s="197"/>
      <c r="F683" s="197"/>
      <c r="G683" s="197"/>
      <c r="H683" s="197"/>
      <c r="I683" s="197"/>
      <c r="J683" s="204"/>
      <c r="K683" s="197"/>
      <c r="L683" s="197"/>
      <c r="M683" s="197"/>
      <c r="N683" s="197"/>
      <c r="O683" s="204"/>
      <c r="P683" s="197"/>
    </row>
    <row r="684">
      <c r="A684" s="172"/>
      <c r="B684" s="204"/>
      <c r="C684" s="204"/>
      <c r="D684" s="197"/>
      <c r="E684" s="197"/>
      <c r="F684" s="197"/>
      <c r="G684" s="197"/>
      <c r="H684" s="197"/>
      <c r="I684" s="197"/>
      <c r="J684" s="204"/>
      <c r="K684" s="197"/>
      <c r="L684" s="197"/>
      <c r="M684" s="197"/>
      <c r="N684" s="197"/>
      <c r="O684" s="204"/>
      <c r="P684" s="197"/>
    </row>
    <row r="685">
      <c r="A685" s="172"/>
      <c r="B685" s="204"/>
      <c r="C685" s="204"/>
      <c r="D685" s="197"/>
      <c r="E685" s="197"/>
      <c r="F685" s="197"/>
      <c r="G685" s="197"/>
      <c r="H685" s="197"/>
      <c r="I685" s="197"/>
      <c r="J685" s="204"/>
      <c r="K685" s="197"/>
      <c r="L685" s="197"/>
      <c r="M685" s="197"/>
      <c r="N685" s="197"/>
      <c r="O685" s="204"/>
      <c r="P685" s="197"/>
    </row>
    <row r="686">
      <c r="A686" s="172"/>
      <c r="B686" s="204"/>
      <c r="C686" s="204"/>
      <c r="D686" s="197"/>
      <c r="E686" s="197"/>
      <c r="F686" s="197"/>
      <c r="G686" s="197"/>
      <c r="H686" s="197"/>
      <c r="I686" s="197"/>
      <c r="J686" s="204"/>
      <c r="K686" s="197"/>
      <c r="L686" s="197"/>
      <c r="M686" s="197"/>
      <c r="N686" s="197"/>
      <c r="O686" s="204"/>
      <c r="P686" s="197"/>
    </row>
    <row r="687">
      <c r="A687" s="172"/>
      <c r="B687" s="204"/>
      <c r="C687" s="204"/>
      <c r="D687" s="197"/>
      <c r="E687" s="197"/>
      <c r="F687" s="197"/>
      <c r="G687" s="197"/>
      <c r="H687" s="197"/>
      <c r="I687" s="197"/>
      <c r="J687" s="204"/>
      <c r="K687" s="197"/>
      <c r="L687" s="197"/>
      <c r="M687" s="197"/>
      <c r="N687" s="197"/>
      <c r="O687" s="204"/>
      <c r="P687" s="197"/>
    </row>
    <row r="688">
      <c r="A688" s="172"/>
      <c r="B688" s="204"/>
      <c r="C688" s="204"/>
      <c r="D688" s="197"/>
      <c r="E688" s="197"/>
      <c r="F688" s="197"/>
      <c r="G688" s="197"/>
      <c r="H688" s="197"/>
      <c r="I688" s="197"/>
      <c r="J688" s="204"/>
      <c r="K688" s="197"/>
      <c r="L688" s="197"/>
      <c r="M688" s="197"/>
      <c r="N688" s="197"/>
      <c r="O688" s="204"/>
      <c r="P688" s="197"/>
    </row>
    <row r="689">
      <c r="A689" s="172"/>
      <c r="B689" s="204"/>
      <c r="C689" s="204"/>
      <c r="D689" s="197"/>
      <c r="E689" s="197"/>
      <c r="F689" s="197"/>
      <c r="G689" s="197"/>
      <c r="H689" s="197"/>
      <c r="I689" s="197"/>
      <c r="J689" s="204"/>
      <c r="K689" s="197"/>
      <c r="L689" s="197"/>
      <c r="M689" s="197"/>
      <c r="N689" s="197"/>
      <c r="O689" s="204"/>
      <c r="P689" s="197"/>
    </row>
    <row r="690">
      <c r="A690" s="172"/>
      <c r="B690" s="204"/>
      <c r="C690" s="204"/>
      <c r="D690" s="197"/>
      <c r="E690" s="197"/>
      <c r="F690" s="197"/>
      <c r="G690" s="197"/>
      <c r="H690" s="197"/>
      <c r="I690" s="197"/>
      <c r="J690" s="204"/>
      <c r="K690" s="197"/>
      <c r="L690" s="197"/>
      <c r="M690" s="197"/>
      <c r="N690" s="197"/>
      <c r="O690" s="204"/>
      <c r="P690" s="197"/>
    </row>
    <row r="691">
      <c r="A691" s="172"/>
      <c r="B691" s="204"/>
      <c r="C691" s="204"/>
      <c r="D691" s="197"/>
      <c r="E691" s="197"/>
      <c r="F691" s="197"/>
      <c r="G691" s="197"/>
      <c r="H691" s="197"/>
      <c r="I691" s="197"/>
      <c r="J691" s="204"/>
      <c r="K691" s="197"/>
      <c r="L691" s="197"/>
      <c r="M691" s="197"/>
      <c r="N691" s="197"/>
      <c r="O691" s="204"/>
      <c r="P691" s="197"/>
    </row>
    <row r="692">
      <c r="A692" s="172"/>
      <c r="B692" s="204"/>
      <c r="C692" s="204"/>
      <c r="D692" s="197"/>
      <c r="E692" s="197"/>
      <c r="F692" s="197"/>
      <c r="G692" s="197"/>
      <c r="H692" s="197"/>
      <c r="I692" s="197"/>
      <c r="J692" s="204"/>
      <c r="K692" s="197"/>
      <c r="L692" s="197"/>
      <c r="M692" s="197"/>
      <c r="N692" s="197"/>
      <c r="O692" s="204"/>
      <c r="P692" s="197"/>
    </row>
    <row r="693">
      <c r="A693" s="172"/>
      <c r="B693" s="204"/>
      <c r="C693" s="204"/>
      <c r="D693" s="197"/>
      <c r="E693" s="197"/>
      <c r="F693" s="197"/>
      <c r="G693" s="197"/>
      <c r="H693" s="197"/>
      <c r="I693" s="197"/>
      <c r="J693" s="204"/>
      <c r="K693" s="197"/>
      <c r="L693" s="197"/>
      <c r="M693" s="197"/>
      <c r="N693" s="197"/>
      <c r="O693" s="204"/>
      <c r="P693" s="197"/>
    </row>
    <row r="694">
      <c r="A694" s="172"/>
      <c r="B694" s="204"/>
      <c r="C694" s="204"/>
      <c r="D694" s="197"/>
      <c r="E694" s="197"/>
      <c r="F694" s="197"/>
      <c r="G694" s="197"/>
      <c r="H694" s="197"/>
      <c r="I694" s="197"/>
      <c r="J694" s="204"/>
      <c r="K694" s="197"/>
      <c r="L694" s="197"/>
      <c r="M694" s="197"/>
      <c r="N694" s="197"/>
      <c r="O694" s="204"/>
      <c r="P694" s="197"/>
    </row>
    <row r="695">
      <c r="A695" s="172"/>
      <c r="B695" s="204"/>
      <c r="C695" s="204"/>
      <c r="D695" s="197"/>
      <c r="E695" s="197"/>
      <c r="F695" s="197"/>
      <c r="G695" s="197"/>
      <c r="H695" s="197"/>
      <c r="I695" s="197"/>
      <c r="J695" s="204"/>
      <c r="K695" s="197"/>
      <c r="L695" s="197"/>
      <c r="M695" s="197"/>
      <c r="N695" s="197"/>
      <c r="O695" s="204"/>
      <c r="P695" s="197"/>
    </row>
    <row r="696">
      <c r="A696" s="172"/>
      <c r="B696" s="204"/>
      <c r="C696" s="204"/>
      <c r="D696" s="197"/>
      <c r="E696" s="197"/>
      <c r="F696" s="197"/>
      <c r="G696" s="197"/>
      <c r="H696" s="197"/>
      <c r="I696" s="197"/>
      <c r="J696" s="204"/>
      <c r="K696" s="197"/>
      <c r="L696" s="197"/>
      <c r="M696" s="197"/>
      <c r="N696" s="197"/>
      <c r="O696" s="204"/>
      <c r="P696" s="197"/>
    </row>
    <row r="697">
      <c r="A697" s="172"/>
      <c r="B697" s="204"/>
      <c r="C697" s="204"/>
      <c r="D697" s="197"/>
      <c r="E697" s="197"/>
      <c r="F697" s="197"/>
      <c r="G697" s="197"/>
      <c r="H697" s="197"/>
      <c r="I697" s="197"/>
      <c r="J697" s="204"/>
      <c r="K697" s="197"/>
      <c r="L697" s="197"/>
      <c r="M697" s="197"/>
      <c r="N697" s="197"/>
      <c r="O697" s="204"/>
      <c r="P697" s="197"/>
    </row>
    <row r="698">
      <c r="A698" s="172"/>
      <c r="B698" s="204"/>
      <c r="C698" s="204"/>
      <c r="D698" s="197"/>
      <c r="E698" s="197"/>
      <c r="F698" s="197"/>
      <c r="G698" s="197"/>
      <c r="H698" s="197"/>
      <c r="I698" s="197"/>
      <c r="J698" s="204"/>
      <c r="K698" s="197"/>
      <c r="L698" s="197"/>
      <c r="M698" s="197"/>
      <c r="N698" s="197"/>
      <c r="O698" s="204"/>
      <c r="P698" s="197"/>
    </row>
    <row r="699">
      <c r="A699" s="172"/>
      <c r="B699" s="204"/>
      <c r="C699" s="204"/>
      <c r="D699" s="197"/>
      <c r="E699" s="197"/>
      <c r="F699" s="197"/>
      <c r="G699" s="197"/>
      <c r="H699" s="197"/>
      <c r="I699" s="197"/>
      <c r="J699" s="204"/>
      <c r="K699" s="197"/>
      <c r="L699" s="197"/>
      <c r="M699" s="197"/>
      <c r="N699" s="197"/>
      <c r="O699" s="204"/>
      <c r="P699" s="197"/>
    </row>
    <row r="700">
      <c r="A700" s="172"/>
      <c r="B700" s="204"/>
      <c r="C700" s="204"/>
      <c r="D700" s="197"/>
      <c r="E700" s="197"/>
      <c r="F700" s="197"/>
      <c r="G700" s="197"/>
      <c r="H700" s="197"/>
      <c r="I700" s="197"/>
      <c r="J700" s="204"/>
      <c r="K700" s="197"/>
      <c r="L700" s="197"/>
      <c r="M700" s="197"/>
      <c r="N700" s="197"/>
      <c r="O700" s="204"/>
      <c r="P700" s="197"/>
    </row>
    <row r="701">
      <c r="A701" s="172"/>
      <c r="B701" s="204"/>
      <c r="C701" s="204"/>
      <c r="D701" s="197"/>
      <c r="E701" s="197"/>
      <c r="F701" s="197"/>
      <c r="G701" s="197"/>
      <c r="H701" s="197"/>
      <c r="I701" s="197"/>
      <c r="J701" s="204"/>
      <c r="K701" s="197"/>
      <c r="L701" s="197"/>
      <c r="M701" s="197"/>
      <c r="N701" s="197"/>
      <c r="O701" s="204"/>
      <c r="P701" s="197"/>
    </row>
    <row r="702">
      <c r="A702" s="172"/>
      <c r="B702" s="204"/>
      <c r="C702" s="204"/>
      <c r="D702" s="197"/>
      <c r="E702" s="197"/>
      <c r="F702" s="197"/>
      <c r="G702" s="197"/>
      <c r="H702" s="197"/>
      <c r="I702" s="197"/>
      <c r="J702" s="204"/>
      <c r="K702" s="197"/>
      <c r="L702" s="197"/>
      <c r="M702" s="197"/>
      <c r="N702" s="197"/>
      <c r="O702" s="204"/>
      <c r="P702" s="197"/>
    </row>
    <row r="703">
      <c r="A703" s="172"/>
      <c r="B703" s="204"/>
      <c r="C703" s="204"/>
      <c r="D703" s="197"/>
      <c r="E703" s="197"/>
      <c r="F703" s="197"/>
      <c r="G703" s="197"/>
      <c r="H703" s="197"/>
      <c r="I703" s="197"/>
      <c r="J703" s="204"/>
      <c r="K703" s="197"/>
      <c r="L703" s="197"/>
      <c r="M703" s="197"/>
      <c r="N703" s="197"/>
      <c r="O703" s="204"/>
      <c r="P703" s="197"/>
    </row>
    <row r="704">
      <c r="A704" s="172"/>
      <c r="B704" s="204"/>
      <c r="C704" s="204"/>
      <c r="D704" s="197"/>
      <c r="E704" s="197"/>
      <c r="F704" s="197"/>
      <c r="G704" s="197"/>
      <c r="H704" s="197"/>
      <c r="I704" s="197"/>
      <c r="J704" s="204"/>
      <c r="K704" s="197"/>
      <c r="L704" s="197"/>
      <c r="M704" s="197"/>
      <c r="N704" s="197"/>
      <c r="O704" s="204"/>
      <c r="P704" s="197"/>
    </row>
    <row r="705">
      <c r="A705" s="172"/>
      <c r="B705" s="204"/>
      <c r="C705" s="204"/>
      <c r="D705" s="197"/>
      <c r="E705" s="197"/>
      <c r="F705" s="197"/>
      <c r="G705" s="197"/>
      <c r="H705" s="197"/>
      <c r="I705" s="197"/>
      <c r="J705" s="204"/>
      <c r="K705" s="197"/>
      <c r="L705" s="197"/>
      <c r="M705" s="197"/>
      <c r="N705" s="197"/>
      <c r="O705" s="204"/>
      <c r="P705" s="197"/>
    </row>
    <row r="706">
      <c r="A706" s="172"/>
      <c r="B706" s="204"/>
      <c r="C706" s="204"/>
      <c r="D706" s="197"/>
      <c r="E706" s="197"/>
      <c r="F706" s="197"/>
      <c r="G706" s="197"/>
      <c r="H706" s="197"/>
      <c r="I706" s="197"/>
      <c r="J706" s="204"/>
      <c r="K706" s="197"/>
      <c r="L706" s="197"/>
      <c r="M706" s="197"/>
      <c r="N706" s="197"/>
      <c r="O706" s="204"/>
      <c r="P706" s="197"/>
    </row>
    <row r="707">
      <c r="A707" s="172"/>
      <c r="B707" s="204"/>
      <c r="C707" s="204"/>
      <c r="D707" s="197"/>
      <c r="E707" s="197"/>
      <c r="F707" s="197"/>
      <c r="G707" s="197"/>
      <c r="H707" s="197"/>
      <c r="I707" s="197"/>
      <c r="J707" s="204"/>
      <c r="K707" s="197"/>
      <c r="L707" s="197"/>
      <c r="M707" s="197"/>
      <c r="N707" s="197"/>
      <c r="O707" s="204"/>
      <c r="P707" s="197"/>
    </row>
    <row r="708">
      <c r="A708" s="172"/>
      <c r="B708" s="204"/>
      <c r="C708" s="204"/>
      <c r="D708" s="197"/>
      <c r="E708" s="197"/>
      <c r="F708" s="197"/>
      <c r="G708" s="197"/>
      <c r="H708" s="197"/>
      <c r="I708" s="197"/>
      <c r="J708" s="204"/>
      <c r="K708" s="197"/>
      <c r="L708" s="197"/>
      <c r="M708" s="197"/>
      <c r="N708" s="197"/>
      <c r="O708" s="204"/>
      <c r="P708" s="197"/>
    </row>
    <row r="709">
      <c r="A709" s="172"/>
      <c r="B709" s="204"/>
      <c r="C709" s="204"/>
      <c r="D709" s="197"/>
      <c r="E709" s="197"/>
      <c r="F709" s="197"/>
      <c r="G709" s="197"/>
      <c r="H709" s="197"/>
      <c r="I709" s="197"/>
      <c r="J709" s="204"/>
      <c r="K709" s="197"/>
      <c r="L709" s="197"/>
      <c r="M709" s="197"/>
      <c r="N709" s="197"/>
      <c r="O709" s="204"/>
      <c r="P709" s="197"/>
    </row>
    <row r="710">
      <c r="A710" s="172"/>
      <c r="B710" s="204"/>
      <c r="C710" s="204"/>
      <c r="D710" s="197"/>
      <c r="E710" s="197"/>
      <c r="F710" s="197"/>
      <c r="G710" s="197"/>
      <c r="H710" s="197"/>
      <c r="I710" s="197"/>
      <c r="J710" s="204"/>
      <c r="K710" s="197"/>
      <c r="L710" s="197"/>
      <c r="M710" s="197"/>
      <c r="N710" s="197"/>
      <c r="O710" s="204"/>
      <c r="P710" s="197"/>
    </row>
    <row r="711">
      <c r="A711" s="172"/>
      <c r="B711" s="204"/>
      <c r="C711" s="204"/>
      <c r="D711" s="197"/>
      <c r="E711" s="197"/>
      <c r="F711" s="197"/>
      <c r="G711" s="197"/>
      <c r="H711" s="197"/>
      <c r="I711" s="197"/>
      <c r="J711" s="204"/>
      <c r="K711" s="197"/>
      <c r="L711" s="197"/>
      <c r="M711" s="197"/>
      <c r="N711" s="197"/>
      <c r="O711" s="204"/>
      <c r="P711" s="197"/>
    </row>
    <row r="712">
      <c r="A712" s="172"/>
      <c r="B712" s="204"/>
      <c r="C712" s="204"/>
      <c r="D712" s="197"/>
      <c r="E712" s="197"/>
      <c r="F712" s="197"/>
      <c r="G712" s="197"/>
      <c r="H712" s="197"/>
      <c r="I712" s="197"/>
      <c r="J712" s="204"/>
      <c r="K712" s="197"/>
      <c r="L712" s="197"/>
      <c r="M712" s="197"/>
      <c r="N712" s="197"/>
      <c r="O712" s="204"/>
      <c r="P712" s="197"/>
    </row>
    <row r="713">
      <c r="A713" s="172"/>
      <c r="B713" s="204"/>
      <c r="C713" s="204"/>
      <c r="D713" s="197"/>
      <c r="E713" s="197"/>
      <c r="F713" s="197"/>
      <c r="G713" s="197"/>
      <c r="H713" s="197"/>
      <c r="I713" s="197"/>
      <c r="J713" s="204"/>
      <c r="K713" s="197"/>
      <c r="L713" s="197"/>
      <c r="M713" s="197"/>
      <c r="N713" s="197"/>
      <c r="O713" s="204"/>
      <c r="P713" s="197"/>
    </row>
    <row r="714">
      <c r="A714" s="172"/>
      <c r="B714" s="204"/>
      <c r="C714" s="204"/>
      <c r="D714" s="197"/>
      <c r="E714" s="197"/>
      <c r="F714" s="197"/>
      <c r="G714" s="197"/>
      <c r="H714" s="197"/>
      <c r="I714" s="197"/>
      <c r="J714" s="204"/>
      <c r="K714" s="197"/>
      <c r="L714" s="197"/>
      <c r="M714" s="197"/>
      <c r="N714" s="197"/>
      <c r="O714" s="204"/>
      <c r="P714" s="197"/>
    </row>
    <row r="715">
      <c r="A715" s="172"/>
      <c r="B715" s="204"/>
      <c r="C715" s="204"/>
      <c r="D715" s="197"/>
      <c r="E715" s="197"/>
      <c r="F715" s="197"/>
      <c r="G715" s="197"/>
      <c r="H715" s="197"/>
      <c r="I715" s="197"/>
      <c r="J715" s="204"/>
      <c r="K715" s="197"/>
      <c r="L715" s="197"/>
      <c r="M715" s="197"/>
      <c r="N715" s="197"/>
      <c r="O715" s="204"/>
      <c r="P715" s="197"/>
    </row>
    <row r="716">
      <c r="A716" s="172"/>
      <c r="B716" s="204"/>
      <c r="C716" s="204"/>
      <c r="D716" s="197"/>
      <c r="E716" s="197"/>
      <c r="F716" s="197"/>
      <c r="G716" s="197"/>
      <c r="H716" s="197"/>
      <c r="I716" s="197"/>
      <c r="J716" s="204"/>
      <c r="K716" s="197"/>
      <c r="L716" s="197"/>
      <c r="M716" s="197"/>
      <c r="N716" s="197"/>
      <c r="O716" s="204"/>
      <c r="P716" s="197"/>
    </row>
    <row r="717">
      <c r="A717" s="172"/>
      <c r="B717" s="204"/>
      <c r="C717" s="204"/>
      <c r="D717" s="197"/>
      <c r="E717" s="197"/>
      <c r="F717" s="197"/>
      <c r="G717" s="197"/>
      <c r="H717" s="197"/>
      <c r="I717" s="197"/>
      <c r="J717" s="204"/>
      <c r="K717" s="197"/>
      <c r="L717" s="197"/>
      <c r="M717" s="197"/>
      <c r="N717" s="197"/>
      <c r="O717" s="204"/>
      <c r="P717" s="197"/>
    </row>
    <row r="718">
      <c r="A718" s="172"/>
      <c r="B718" s="204"/>
      <c r="C718" s="204"/>
      <c r="D718" s="197"/>
      <c r="E718" s="197"/>
      <c r="F718" s="197"/>
      <c r="G718" s="197"/>
      <c r="H718" s="197"/>
      <c r="I718" s="197"/>
      <c r="J718" s="204"/>
      <c r="K718" s="197"/>
      <c r="L718" s="197"/>
      <c r="M718" s="197"/>
      <c r="N718" s="197"/>
      <c r="O718" s="204"/>
      <c r="P718" s="197"/>
    </row>
    <row r="719">
      <c r="A719" s="172"/>
      <c r="B719" s="204"/>
      <c r="C719" s="204"/>
      <c r="D719" s="197"/>
      <c r="E719" s="197"/>
      <c r="F719" s="197"/>
      <c r="G719" s="197"/>
      <c r="H719" s="197"/>
      <c r="I719" s="197"/>
      <c r="J719" s="204"/>
      <c r="K719" s="197"/>
      <c r="L719" s="197"/>
      <c r="M719" s="197"/>
      <c r="N719" s="197"/>
      <c r="O719" s="204"/>
      <c r="P719" s="197"/>
    </row>
    <row r="720">
      <c r="A720" s="172"/>
      <c r="B720" s="204"/>
      <c r="C720" s="204"/>
      <c r="D720" s="197"/>
      <c r="E720" s="197"/>
      <c r="F720" s="197"/>
      <c r="G720" s="197"/>
      <c r="H720" s="197"/>
      <c r="I720" s="197"/>
      <c r="J720" s="204"/>
      <c r="K720" s="197"/>
      <c r="L720" s="197"/>
      <c r="M720" s="197"/>
      <c r="N720" s="197"/>
      <c r="O720" s="204"/>
      <c r="P720" s="197"/>
    </row>
    <row r="721">
      <c r="A721" s="172"/>
      <c r="B721" s="204"/>
      <c r="C721" s="204"/>
      <c r="D721" s="197"/>
      <c r="E721" s="197"/>
      <c r="F721" s="197"/>
      <c r="G721" s="197"/>
      <c r="H721" s="197"/>
      <c r="I721" s="197"/>
      <c r="J721" s="204"/>
      <c r="K721" s="197"/>
      <c r="L721" s="197"/>
      <c r="M721" s="197"/>
      <c r="N721" s="197"/>
      <c r="O721" s="204"/>
      <c r="P721" s="197"/>
    </row>
    <row r="722">
      <c r="A722" s="172"/>
      <c r="B722" s="204"/>
      <c r="C722" s="204"/>
      <c r="D722" s="197"/>
      <c r="E722" s="197"/>
      <c r="F722" s="197"/>
      <c r="G722" s="197"/>
      <c r="H722" s="197"/>
      <c r="I722" s="197"/>
      <c r="J722" s="204"/>
      <c r="K722" s="197"/>
      <c r="L722" s="197"/>
      <c r="M722" s="197"/>
      <c r="N722" s="197"/>
      <c r="O722" s="204"/>
      <c r="P722" s="197"/>
    </row>
    <row r="723">
      <c r="A723" s="172"/>
      <c r="B723" s="204"/>
      <c r="C723" s="204"/>
      <c r="D723" s="197"/>
      <c r="E723" s="197"/>
      <c r="F723" s="197"/>
      <c r="G723" s="197"/>
      <c r="H723" s="197"/>
      <c r="I723" s="197"/>
      <c r="J723" s="204"/>
      <c r="K723" s="197"/>
      <c r="L723" s="197"/>
      <c r="M723" s="197"/>
      <c r="N723" s="197"/>
      <c r="O723" s="204"/>
      <c r="P723" s="197"/>
    </row>
    <row r="724">
      <c r="A724" s="172"/>
      <c r="B724" s="204"/>
      <c r="C724" s="204"/>
      <c r="D724" s="197"/>
      <c r="E724" s="197"/>
      <c r="F724" s="197"/>
      <c r="G724" s="197"/>
      <c r="H724" s="197"/>
      <c r="I724" s="197"/>
      <c r="J724" s="204"/>
      <c r="K724" s="197"/>
      <c r="L724" s="197"/>
      <c r="M724" s="197"/>
      <c r="N724" s="197"/>
      <c r="O724" s="204"/>
      <c r="P724" s="197"/>
    </row>
    <row r="725">
      <c r="A725" s="172"/>
      <c r="B725" s="204"/>
      <c r="C725" s="204"/>
      <c r="D725" s="197"/>
      <c r="E725" s="197"/>
      <c r="F725" s="197"/>
      <c r="G725" s="197"/>
      <c r="H725" s="197"/>
      <c r="I725" s="197"/>
      <c r="J725" s="204"/>
      <c r="K725" s="197"/>
      <c r="L725" s="197"/>
      <c r="M725" s="197"/>
      <c r="N725" s="197"/>
      <c r="O725" s="204"/>
      <c r="P725" s="197"/>
    </row>
    <row r="726">
      <c r="A726" s="172"/>
      <c r="B726" s="204"/>
      <c r="C726" s="204"/>
      <c r="D726" s="197"/>
      <c r="E726" s="197"/>
      <c r="F726" s="197"/>
      <c r="G726" s="197"/>
      <c r="H726" s="197"/>
      <c r="I726" s="197"/>
      <c r="J726" s="204"/>
      <c r="K726" s="197"/>
      <c r="L726" s="197"/>
      <c r="M726" s="197"/>
      <c r="N726" s="197"/>
      <c r="O726" s="204"/>
      <c r="P726" s="197"/>
    </row>
    <row r="727">
      <c r="A727" s="172"/>
      <c r="B727" s="204"/>
      <c r="C727" s="204"/>
      <c r="D727" s="197"/>
      <c r="E727" s="197"/>
      <c r="F727" s="197"/>
      <c r="G727" s="197"/>
      <c r="H727" s="197"/>
      <c r="I727" s="197"/>
      <c r="J727" s="204"/>
      <c r="K727" s="197"/>
      <c r="L727" s="197"/>
      <c r="M727" s="197"/>
      <c r="N727" s="197"/>
      <c r="O727" s="204"/>
      <c r="P727" s="197"/>
    </row>
    <row r="728">
      <c r="A728" s="172"/>
      <c r="B728" s="204"/>
      <c r="C728" s="204"/>
      <c r="D728" s="197"/>
      <c r="E728" s="197"/>
      <c r="F728" s="197"/>
      <c r="G728" s="197"/>
      <c r="H728" s="197"/>
      <c r="I728" s="197"/>
      <c r="J728" s="204"/>
      <c r="K728" s="197"/>
      <c r="L728" s="197"/>
      <c r="M728" s="197"/>
      <c r="N728" s="197"/>
      <c r="O728" s="204"/>
      <c r="P728" s="197"/>
    </row>
    <row r="729">
      <c r="A729" s="172"/>
      <c r="B729" s="204"/>
      <c r="C729" s="204"/>
      <c r="D729" s="197"/>
      <c r="E729" s="197"/>
      <c r="F729" s="197"/>
      <c r="G729" s="197"/>
      <c r="H729" s="197"/>
      <c r="I729" s="197"/>
      <c r="J729" s="204"/>
      <c r="K729" s="197"/>
      <c r="L729" s="197"/>
      <c r="M729" s="197"/>
      <c r="N729" s="197"/>
      <c r="O729" s="204"/>
      <c r="P729" s="197"/>
    </row>
    <row r="730">
      <c r="A730" s="172"/>
      <c r="B730" s="204"/>
      <c r="C730" s="204"/>
      <c r="D730" s="197"/>
      <c r="E730" s="197"/>
      <c r="F730" s="197"/>
      <c r="G730" s="197"/>
      <c r="H730" s="197"/>
      <c r="I730" s="197"/>
      <c r="J730" s="204"/>
      <c r="K730" s="197"/>
      <c r="L730" s="197"/>
      <c r="M730" s="197"/>
      <c r="N730" s="197"/>
      <c r="O730" s="204"/>
      <c r="P730" s="197"/>
    </row>
    <row r="731">
      <c r="A731" s="172"/>
      <c r="B731" s="204"/>
      <c r="C731" s="204"/>
      <c r="D731" s="197"/>
      <c r="E731" s="197"/>
      <c r="F731" s="197"/>
      <c r="G731" s="197"/>
      <c r="H731" s="197"/>
      <c r="I731" s="197"/>
      <c r="J731" s="204"/>
      <c r="K731" s="197"/>
      <c r="L731" s="197"/>
      <c r="M731" s="197"/>
      <c r="N731" s="197"/>
      <c r="O731" s="204"/>
      <c r="P731" s="197"/>
    </row>
    <row r="732">
      <c r="A732" s="172"/>
      <c r="B732" s="204"/>
      <c r="C732" s="204"/>
      <c r="D732" s="197"/>
      <c r="E732" s="197"/>
      <c r="F732" s="197"/>
      <c r="G732" s="197"/>
      <c r="H732" s="197"/>
      <c r="I732" s="197"/>
      <c r="J732" s="204"/>
      <c r="K732" s="197"/>
      <c r="L732" s="197"/>
      <c r="M732" s="197"/>
      <c r="N732" s="197"/>
      <c r="O732" s="204"/>
      <c r="P732" s="197"/>
    </row>
    <row r="733">
      <c r="A733" s="172"/>
      <c r="B733" s="204"/>
      <c r="C733" s="204"/>
      <c r="D733" s="197"/>
      <c r="E733" s="197"/>
      <c r="F733" s="197"/>
      <c r="G733" s="197"/>
      <c r="H733" s="197"/>
      <c r="I733" s="197"/>
      <c r="J733" s="204"/>
      <c r="K733" s="197"/>
      <c r="L733" s="197"/>
      <c r="M733" s="197"/>
      <c r="N733" s="197"/>
      <c r="O733" s="204"/>
      <c r="P733" s="197"/>
    </row>
    <row r="734">
      <c r="A734" s="172"/>
      <c r="B734" s="204"/>
      <c r="C734" s="204"/>
      <c r="D734" s="197"/>
      <c r="E734" s="197"/>
      <c r="F734" s="197"/>
      <c r="G734" s="197"/>
      <c r="H734" s="197"/>
      <c r="I734" s="197"/>
      <c r="J734" s="204"/>
      <c r="K734" s="197"/>
      <c r="L734" s="197"/>
      <c r="M734" s="197"/>
      <c r="N734" s="197"/>
      <c r="O734" s="204"/>
      <c r="P734" s="197"/>
    </row>
    <row r="735">
      <c r="A735" s="172"/>
      <c r="B735" s="204"/>
      <c r="C735" s="204"/>
      <c r="D735" s="197"/>
      <c r="E735" s="197"/>
      <c r="F735" s="197"/>
      <c r="G735" s="197"/>
      <c r="H735" s="197"/>
      <c r="I735" s="197"/>
      <c r="J735" s="204"/>
      <c r="K735" s="197"/>
      <c r="L735" s="197"/>
      <c r="M735" s="197"/>
      <c r="N735" s="197"/>
      <c r="O735" s="204"/>
      <c r="P735" s="197"/>
    </row>
    <row r="736">
      <c r="A736" s="172"/>
      <c r="B736" s="204"/>
      <c r="C736" s="204"/>
      <c r="D736" s="197"/>
      <c r="E736" s="197"/>
      <c r="F736" s="197"/>
      <c r="G736" s="197"/>
      <c r="H736" s="197"/>
      <c r="I736" s="197"/>
      <c r="J736" s="204"/>
      <c r="K736" s="197"/>
      <c r="L736" s="197"/>
      <c r="M736" s="197"/>
      <c r="N736" s="197"/>
      <c r="O736" s="204"/>
      <c r="P736" s="197"/>
    </row>
    <row r="737">
      <c r="A737" s="172"/>
      <c r="B737" s="204"/>
      <c r="C737" s="204"/>
      <c r="D737" s="197"/>
      <c r="E737" s="197"/>
      <c r="F737" s="197"/>
      <c r="G737" s="197"/>
      <c r="H737" s="197"/>
      <c r="I737" s="197"/>
      <c r="J737" s="204"/>
      <c r="K737" s="197"/>
      <c r="L737" s="197"/>
      <c r="M737" s="197"/>
      <c r="N737" s="197"/>
      <c r="O737" s="204"/>
      <c r="P737" s="197"/>
    </row>
    <row r="738">
      <c r="A738" s="172"/>
      <c r="B738" s="204"/>
      <c r="C738" s="204"/>
      <c r="D738" s="197"/>
      <c r="E738" s="197"/>
      <c r="F738" s="197"/>
      <c r="G738" s="197"/>
      <c r="H738" s="197"/>
      <c r="I738" s="197"/>
      <c r="J738" s="204"/>
      <c r="K738" s="197"/>
      <c r="L738" s="197"/>
      <c r="M738" s="197"/>
      <c r="N738" s="197"/>
      <c r="O738" s="204"/>
      <c r="P738" s="197"/>
    </row>
    <row r="739">
      <c r="A739" s="172"/>
      <c r="B739" s="204"/>
      <c r="C739" s="204"/>
      <c r="D739" s="197"/>
      <c r="E739" s="197"/>
      <c r="F739" s="197"/>
      <c r="G739" s="197"/>
      <c r="H739" s="197"/>
      <c r="I739" s="197"/>
      <c r="J739" s="204"/>
      <c r="K739" s="197"/>
      <c r="L739" s="197"/>
      <c r="M739" s="197"/>
      <c r="N739" s="197"/>
      <c r="O739" s="204"/>
      <c r="P739" s="197"/>
    </row>
    <row r="740">
      <c r="A740" s="172"/>
      <c r="B740" s="204"/>
      <c r="C740" s="204"/>
      <c r="D740" s="197"/>
      <c r="E740" s="197"/>
      <c r="F740" s="197"/>
      <c r="G740" s="197"/>
      <c r="H740" s="197"/>
      <c r="I740" s="197"/>
      <c r="J740" s="204"/>
      <c r="K740" s="197"/>
      <c r="L740" s="197"/>
      <c r="M740" s="197"/>
      <c r="N740" s="197"/>
      <c r="O740" s="204"/>
      <c r="P740" s="197"/>
    </row>
    <row r="741">
      <c r="A741" s="172"/>
      <c r="B741" s="204"/>
      <c r="C741" s="204"/>
      <c r="D741" s="197"/>
      <c r="E741" s="197"/>
      <c r="F741" s="197"/>
      <c r="G741" s="197"/>
      <c r="H741" s="197"/>
      <c r="I741" s="197"/>
      <c r="J741" s="204"/>
      <c r="K741" s="197"/>
      <c r="L741" s="197"/>
      <c r="M741" s="197"/>
      <c r="N741" s="197"/>
      <c r="O741" s="204"/>
      <c r="P741" s="197"/>
    </row>
    <row r="742">
      <c r="A742" s="172"/>
      <c r="B742" s="204"/>
      <c r="C742" s="204"/>
      <c r="D742" s="197"/>
      <c r="E742" s="197"/>
      <c r="F742" s="197"/>
      <c r="G742" s="197"/>
      <c r="H742" s="197"/>
      <c r="I742" s="197"/>
      <c r="J742" s="204"/>
      <c r="K742" s="197"/>
      <c r="L742" s="197"/>
      <c r="M742" s="197"/>
      <c r="N742" s="197"/>
      <c r="O742" s="204"/>
      <c r="P742" s="197"/>
    </row>
    <row r="743">
      <c r="A743" s="172"/>
      <c r="B743" s="204"/>
      <c r="C743" s="204"/>
      <c r="D743" s="197"/>
      <c r="E743" s="197"/>
      <c r="F743" s="197"/>
      <c r="G743" s="197"/>
      <c r="H743" s="197"/>
      <c r="I743" s="197"/>
      <c r="J743" s="204"/>
      <c r="K743" s="197"/>
      <c r="L743" s="197"/>
      <c r="M743" s="197"/>
      <c r="N743" s="197"/>
      <c r="O743" s="204"/>
      <c r="P743" s="197"/>
    </row>
    <row r="744">
      <c r="A744" s="172"/>
      <c r="B744" s="204"/>
      <c r="C744" s="204"/>
      <c r="D744" s="197"/>
      <c r="E744" s="197"/>
      <c r="F744" s="197"/>
      <c r="G744" s="197"/>
      <c r="H744" s="197"/>
      <c r="I744" s="197"/>
      <c r="J744" s="204"/>
      <c r="K744" s="197"/>
      <c r="L744" s="197"/>
      <c r="M744" s="197"/>
      <c r="N744" s="197"/>
      <c r="O744" s="204"/>
      <c r="P744" s="197"/>
    </row>
    <row r="745">
      <c r="A745" s="172"/>
      <c r="B745" s="204"/>
      <c r="C745" s="204"/>
      <c r="D745" s="197"/>
      <c r="E745" s="197"/>
      <c r="F745" s="197"/>
      <c r="G745" s="197"/>
      <c r="H745" s="197"/>
      <c r="I745" s="197"/>
      <c r="J745" s="204"/>
      <c r="K745" s="197"/>
      <c r="L745" s="197"/>
      <c r="M745" s="197"/>
      <c r="N745" s="197"/>
      <c r="O745" s="204"/>
      <c r="P745" s="197"/>
    </row>
    <row r="746">
      <c r="A746" s="172"/>
      <c r="B746" s="204"/>
      <c r="C746" s="204"/>
      <c r="D746" s="197"/>
      <c r="E746" s="197"/>
      <c r="F746" s="197"/>
      <c r="G746" s="197"/>
      <c r="H746" s="197"/>
      <c r="I746" s="197"/>
      <c r="J746" s="204"/>
      <c r="K746" s="197"/>
      <c r="L746" s="197"/>
      <c r="M746" s="197"/>
      <c r="N746" s="197"/>
      <c r="O746" s="204"/>
      <c r="P746" s="197"/>
    </row>
    <row r="747">
      <c r="A747" s="172"/>
      <c r="B747" s="204"/>
      <c r="C747" s="204"/>
      <c r="D747" s="197"/>
      <c r="E747" s="197"/>
      <c r="F747" s="197"/>
      <c r="G747" s="197"/>
      <c r="H747" s="197"/>
      <c r="I747" s="197"/>
      <c r="J747" s="204"/>
      <c r="K747" s="197"/>
      <c r="L747" s="197"/>
      <c r="M747" s="197"/>
      <c r="N747" s="197"/>
      <c r="O747" s="204"/>
      <c r="P747" s="197"/>
    </row>
    <row r="748">
      <c r="A748" s="172"/>
      <c r="B748" s="204"/>
      <c r="C748" s="204"/>
      <c r="D748" s="197"/>
      <c r="E748" s="197"/>
      <c r="F748" s="197"/>
      <c r="G748" s="197"/>
      <c r="H748" s="197"/>
      <c r="I748" s="197"/>
      <c r="J748" s="204"/>
      <c r="K748" s="197"/>
      <c r="L748" s="197"/>
      <c r="M748" s="197"/>
      <c r="N748" s="197"/>
      <c r="O748" s="204"/>
      <c r="P748" s="197"/>
    </row>
    <row r="749">
      <c r="A749" s="172"/>
      <c r="B749" s="204"/>
      <c r="C749" s="204"/>
      <c r="D749" s="197"/>
      <c r="E749" s="197"/>
      <c r="F749" s="197"/>
      <c r="G749" s="197"/>
      <c r="H749" s="197"/>
      <c r="I749" s="197"/>
      <c r="J749" s="204"/>
      <c r="K749" s="197"/>
      <c r="L749" s="197"/>
      <c r="M749" s="197"/>
      <c r="N749" s="197"/>
      <c r="O749" s="204"/>
      <c r="P749" s="197"/>
    </row>
    <row r="750">
      <c r="A750" s="172"/>
      <c r="B750" s="204"/>
      <c r="C750" s="204"/>
      <c r="D750" s="197"/>
      <c r="E750" s="197"/>
      <c r="F750" s="197"/>
      <c r="G750" s="197"/>
      <c r="H750" s="197"/>
      <c r="I750" s="197"/>
      <c r="J750" s="204"/>
      <c r="K750" s="197"/>
      <c r="L750" s="197"/>
      <c r="M750" s="197"/>
      <c r="N750" s="197"/>
      <c r="O750" s="204"/>
      <c r="P750" s="197"/>
    </row>
    <row r="751">
      <c r="A751" s="172"/>
      <c r="B751" s="204"/>
      <c r="C751" s="204"/>
      <c r="D751" s="197"/>
      <c r="E751" s="197"/>
      <c r="F751" s="197"/>
      <c r="G751" s="197"/>
      <c r="H751" s="197"/>
      <c r="I751" s="197"/>
      <c r="J751" s="204"/>
      <c r="K751" s="197"/>
      <c r="L751" s="197"/>
      <c r="M751" s="197"/>
      <c r="N751" s="197"/>
      <c r="O751" s="204"/>
      <c r="P751" s="197"/>
    </row>
    <row r="752">
      <c r="A752" s="172"/>
      <c r="B752" s="204"/>
      <c r="C752" s="204"/>
      <c r="D752" s="197"/>
      <c r="E752" s="197"/>
      <c r="F752" s="197"/>
      <c r="G752" s="197"/>
      <c r="H752" s="197"/>
      <c r="I752" s="197"/>
      <c r="J752" s="204"/>
      <c r="K752" s="197"/>
      <c r="L752" s="197"/>
      <c r="M752" s="197"/>
      <c r="N752" s="197"/>
      <c r="O752" s="204"/>
      <c r="P752" s="197"/>
    </row>
    <row r="753">
      <c r="A753" s="172"/>
      <c r="B753" s="204"/>
      <c r="C753" s="204"/>
      <c r="D753" s="197"/>
      <c r="E753" s="197"/>
      <c r="F753" s="197"/>
      <c r="G753" s="197"/>
      <c r="H753" s="197"/>
      <c r="I753" s="197"/>
      <c r="J753" s="204"/>
      <c r="K753" s="197"/>
      <c r="L753" s="197"/>
      <c r="M753" s="197"/>
      <c r="N753" s="197"/>
      <c r="O753" s="204"/>
      <c r="P753" s="197"/>
    </row>
    <row r="754">
      <c r="A754" s="172"/>
      <c r="B754" s="204"/>
      <c r="C754" s="204"/>
      <c r="D754" s="197"/>
      <c r="E754" s="197"/>
      <c r="F754" s="197"/>
      <c r="G754" s="197"/>
      <c r="H754" s="197"/>
      <c r="I754" s="197"/>
      <c r="J754" s="204"/>
      <c r="K754" s="197"/>
      <c r="L754" s="197"/>
      <c r="M754" s="197"/>
      <c r="N754" s="197"/>
      <c r="O754" s="204"/>
      <c r="P754" s="197"/>
    </row>
    <row r="755">
      <c r="A755" s="172"/>
      <c r="B755" s="204"/>
      <c r="C755" s="204"/>
      <c r="D755" s="197"/>
      <c r="E755" s="197"/>
      <c r="F755" s="197"/>
      <c r="G755" s="197"/>
      <c r="H755" s="197"/>
      <c r="I755" s="197"/>
      <c r="J755" s="204"/>
      <c r="K755" s="197"/>
      <c r="L755" s="197"/>
      <c r="M755" s="197"/>
      <c r="N755" s="197"/>
      <c r="O755" s="204"/>
      <c r="P755" s="197"/>
    </row>
    <row r="756">
      <c r="A756" s="172"/>
      <c r="B756" s="204"/>
      <c r="C756" s="204"/>
      <c r="D756" s="197"/>
      <c r="E756" s="197"/>
      <c r="F756" s="197"/>
      <c r="G756" s="197"/>
      <c r="H756" s="197"/>
      <c r="I756" s="197"/>
      <c r="J756" s="204"/>
      <c r="K756" s="197"/>
      <c r="L756" s="197"/>
      <c r="M756" s="197"/>
      <c r="N756" s="197"/>
      <c r="O756" s="204"/>
      <c r="P756" s="197"/>
    </row>
    <row r="757">
      <c r="A757" s="172"/>
      <c r="B757" s="204"/>
      <c r="C757" s="204"/>
      <c r="D757" s="197"/>
      <c r="E757" s="197"/>
      <c r="F757" s="197"/>
      <c r="G757" s="197"/>
      <c r="H757" s="197"/>
      <c r="I757" s="197"/>
      <c r="J757" s="204"/>
      <c r="K757" s="197"/>
      <c r="L757" s="197"/>
      <c r="M757" s="197"/>
      <c r="N757" s="197"/>
      <c r="O757" s="204"/>
      <c r="P757" s="197"/>
    </row>
    <row r="758">
      <c r="A758" s="172"/>
      <c r="B758" s="204"/>
      <c r="C758" s="204"/>
      <c r="D758" s="197"/>
      <c r="E758" s="197"/>
      <c r="F758" s="197"/>
      <c r="G758" s="197"/>
      <c r="H758" s="197"/>
      <c r="I758" s="197"/>
      <c r="J758" s="204"/>
      <c r="K758" s="197"/>
      <c r="L758" s="197"/>
      <c r="M758" s="197"/>
      <c r="N758" s="197"/>
      <c r="O758" s="204"/>
      <c r="P758" s="197"/>
    </row>
    <row r="759">
      <c r="A759" s="172"/>
      <c r="B759" s="204"/>
      <c r="C759" s="204"/>
      <c r="D759" s="197"/>
      <c r="E759" s="197"/>
      <c r="F759" s="197"/>
      <c r="G759" s="197"/>
      <c r="H759" s="197"/>
      <c r="I759" s="197"/>
      <c r="J759" s="204"/>
      <c r="K759" s="197"/>
      <c r="L759" s="197"/>
      <c r="M759" s="197"/>
      <c r="N759" s="197"/>
      <c r="O759" s="204"/>
      <c r="P759" s="197"/>
    </row>
    <row r="760">
      <c r="A760" s="172"/>
      <c r="B760" s="204"/>
      <c r="C760" s="204"/>
      <c r="D760" s="197"/>
      <c r="E760" s="197"/>
      <c r="F760" s="197"/>
      <c r="G760" s="197"/>
      <c r="H760" s="197"/>
      <c r="I760" s="197"/>
      <c r="J760" s="204"/>
      <c r="K760" s="197"/>
      <c r="L760" s="197"/>
      <c r="M760" s="197"/>
      <c r="N760" s="197"/>
      <c r="O760" s="204"/>
      <c r="P760" s="197"/>
    </row>
    <row r="761">
      <c r="A761" s="172"/>
      <c r="B761" s="204"/>
      <c r="C761" s="204"/>
      <c r="D761" s="197"/>
      <c r="E761" s="197"/>
      <c r="F761" s="197"/>
      <c r="G761" s="197"/>
      <c r="H761" s="197"/>
      <c r="I761" s="197"/>
      <c r="J761" s="204"/>
      <c r="K761" s="197"/>
      <c r="L761" s="197"/>
      <c r="M761" s="197"/>
      <c r="N761" s="197"/>
      <c r="O761" s="204"/>
      <c r="P761" s="197"/>
    </row>
    <row r="762">
      <c r="A762" s="172"/>
      <c r="B762" s="204"/>
      <c r="C762" s="204"/>
      <c r="D762" s="197"/>
      <c r="E762" s="197"/>
      <c r="F762" s="197"/>
      <c r="G762" s="197"/>
      <c r="H762" s="197"/>
      <c r="I762" s="197"/>
      <c r="J762" s="204"/>
      <c r="K762" s="197"/>
      <c r="L762" s="197"/>
      <c r="M762" s="197"/>
      <c r="N762" s="197"/>
      <c r="O762" s="204"/>
      <c r="P762" s="197"/>
    </row>
    <row r="763">
      <c r="A763" s="172"/>
      <c r="B763" s="204"/>
      <c r="C763" s="204"/>
      <c r="D763" s="197"/>
      <c r="E763" s="197"/>
      <c r="F763" s="197"/>
      <c r="G763" s="197"/>
      <c r="H763" s="197"/>
      <c r="I763" s="197"/>
      <c r="J763" s="204"/>
      <c r="K763" s="197"/>
      <c r="L763" s="197"/>
      <c r="M763" s="197"/>
      <c r="N763" s="197"/>
      <c r="O763" s="204"/>
      <c r="P763" s="197"/>
    </row>
    <row r="764">
      <c r="A764" s="172"/>
      <c r="B764" s="204"/>
      <c r="C764" s="204"/>
      <c r="D764" s="197"/>
      <c r="E764" s="197"/>
      <c r="F764" s="197"/>
      <c r="G764" s="197"/>
      <c r="H764" s="197"/>
      <c r="I764" s="197"/>
      <c r="J764" s="204"/>
      <c r="K764" s="197"/>
      <c r="L764" s="197"/>
      <c r="M764" s="197"/>
      <c r="N764" s="197"/>
      <c r="O764" s="204"/>
      <c r="P764" s="197"/>
    </row>
    <row r="765">
      <c r="A765" s="172"/>
      <c r="B765" s="204"/>
      <c r="C765" s="204"/>
      <c r="D765" s="197"/>
      <c r="E765" s="197"/>
      <c r="F765" s="197"/>
      <c r="G765" s="197"/>
      <c r="H765" s="197"/>
      <c r="I765" s="197"/>
      <c r="J765" s="204"/>
      <c r="K765" s="197"/>
      <c r="L765" s="197"/>
      <c r="M765" s="197"/>
      <c r="N765" s="197"/>
      <c r="O765" s="204"/>
      <c r="P765" s="197"/>
    </row>
    <row r="766">
      <c r="A766" s="172"/>
      <c r="B766" s="204"/>
      <c r="C766" s="204"/>
      <c r="D766" s="197"/>
      <c r="E766" s="197"/>
      <c r="F766" s="197"/>
      <c r="G766" s="197"/>
      <c r="H766" s="197"/>
      <c r="I766" s="197"/>
      <c r="J766" s="204"/>
      <c r="K766" s="197"/>
      <c r="L766" s="197"/>
      <c r="M766" s="197"/>
      <c r="N766" s="197"/>
      <c r="O766" s="204"/>
      <c r="P766" s="197"/>
    </row>
    <row r="767">
      <c r="A767" s="172"/>
      <c r="B767" s="204"/>
      <c r="C767" s="204"/>
      <c r="D767" s="197"/>
      <c r="E767" s="197"/>
      <c r="F767" s="197"/>
      <c r="G767" s="197"/>
      <c r="H767" s="197"/>
      <c r="I767" s="197"/>
      <c r="J767" s="204"/>
      <c r="K767" s="197"/>
      <c r="L767" s="197"/>
      <c r="M767" s="197"/>
      <c r="N767" s="197"/>
      <c r="O767" s="204"/>
      <c r="P767" s="197"/>
    </row>
    <row r="768">
      <c r="A768" s="172"/>
      <c r="B768" s="204"/>
      <c r="C768" s="204"/>
      <c r="D768" s="197"/>
      <c r="E768" s="197"/>
      <c r="F768" s="197"/>
      <c r="G768" s="197"/>
      <c r="H768" s="197"/>
      <c r="I768" s="197"/>
      <c r="J768" s="204"/>
      <c r="K768" s="197"/>
      <c r="L768" s="197"/>
      <c r="M768" s="197"/>
      <c r="N768" s="197"/>
      <c r="O768" s="204"/>
      <c r="P768" s="197"/>
    </row>
    <row r="769">
      <c r="A769" s="172"/>
      <c r="B769" s="204"/>
      <c r="C769" s="204"/>
      <c r="D769" s="197"/>
      <c r="E769" s="197"/>
      <c r="F769" s="197"/>
      <c r="G769" s="197"/>
      <c r="H769" s="197"/>
      <c r="I769" s="197"/>
      <c r="J769" s="204"/>
      <c r="K769" s="197"/>
      <c r="L769" s="197"/>
      <c r="M769" s="197"/>
      <c r="N769" s="197"/>
      <c r="O769" s="204"/>
      <c r="P769" s="197"/>
    </row>
    <row r="770">
      <c r="A770" s="172"/>
      <c r="B770" s="204"/>
      <c r="C770" s="204"/>
      <c r="D770" s="197"/>
      <c r="E770" s="197"/>
      <c r="F770" s="197"/>
      <c r="G770" s="197"/>
      <c r="H770" s="197"/>
      <c r="I770" s="197"/>
      <c r="J770" s="204"/>
      <c r="K770" s="197"/>
      <c r="L770" s="197"/>
      <c r="M770" s="197"/>
      <c r="N770" s="197"/>
      <c r="O770" s="204"/>
      <c r="P770" s="197"/>
    </row>
    <row r="771">
      <c r="A771" s="172"/>
      <c r="B771" s="204"/>
      <c r="C771" s="204"/>
      <c r="D771" s="197"/>
      <c r="E771" s="197"/>
      <c r="F771" s="197"/>
      <c r="G771" s="197"/>
      <c r="H771" s="197"/>
      <c r="I771" s="197"/>
      <c r="J771" s="204"/>
      <c r="K771" s="197"/>
      <c r="L771" s="197"/>
      <c r="M771" s="197"/>
      <c r="N771" s="197"/>
      <c r="O771" s="204"/>
      <c r="P771" s="197"/>
    </row>
    <row r="772">
      <c r="A772" s="172"/>
      <c r="B772" s="204"/>
      <c r="C772" s="204"/>
      <c r="D772" s="197"/>
      <c r="E772" s="197"/>
      <c r="F772" s="197"/>
      <c r="G772" s="197"/>
      <c r="H772" s="197"/>
      <c r="I772" s="197"/>
      <c r="J772" s="204"/>
      <c r="K772" s="197"/>
      <c r="L772" s="197"/>
      <c r="M772" s="197"/>
      <c r="N772" s="197"/>
      <c r="O772" s="204"/>
      <c r="P772" s="197"/>
    </row>
    <row r="773">
      <c r="A773" s="172"/>
      <c r="B773" s="204"/>
      <c r="C773" s="204"/>
      <c r="D773" s="197"/>
      <c r="E773" s="197"/>
      <c r="F773" s="197"/>
      <c r="G773" s="197"/>
      <c r="H773" s="197"/>
      <c r="I773" s="197"/>
      <c r="J773" s="204"/>
      <c r="K773" s="197"/>
      <c r="L773" s="197"/>
      <c r="M773" s="197"/>
      <c r="N773" s="197"/>
      <c r="O773" s="204"/>
      <c r="P773" s="197"/>
    </row>
    <row r="774">
      <c r="A774" s="172"/>
      <c r="B774" s="204"/>
      <c r="C774" s="204"/>
      <c r="D774" s="197"/>
      <c r="E774" s="197"/>
      <c r="F774" s="197"/>
      <c r="G774" s="197"/>
      <c r="H774" s="197"/>
      <c r="I774" s="197"/>
      <c r="J774" s="204"/>
      <c r="K774" s="197"/>
      <c r="L774" s="197"/>
      <c r="M774" s="197"/>
      <c r="N774" s="197"/>
      <c r="O774" s="204"/>
      <c r="P774" s="197"/>
    </row>
    <row r="775">
      <c r="A775" s="172"/>
      <c r="B775" s="204"/>
      <c r="C775" s="204"/>
      <c r="D775" s="197"/>
      <c r="E775" s="197"/>
      <c r="F775" s="197"/>
      <c r="G775" s="197"/>
      <c r="H775" s="197"/>
      <c r="I775" s="197"/>
      <c r="J775" s="204"/>
      <c r="K775" s="197"/>
      <c r="L775" s="197"/>
      <c r="M775" s="197"/>
      <c r="N775" s="197"/>
      <c r="O775" s="204"/>
      <c r="P775" s="197"/>
    </row>
    <row r="776">
      <c r="A776" s="172"/>
      <c r="B776" s="204"/>
      <c r="C776" s="204"/>
      <c r="D776" s="197"/>
      <c r="E776" s="197"/>
      <c r="F776" s="197"/>
      <c r="G776" s="197"/>
      <c r="H776" s="197"/>
      <c r="I776" s="197"/>
      <c r="J776" s="204"/>
      <c r="K776" s="197"/>
      <c r="L776" s="197"/>
      <c r="M776" s="197"/>
      <c r="N776" s="197"/>
      <c r="O776" s="204"/>
      <c r="P776" s="197"/>
    </row>
    <row r="777">
      <c r="A777" s="172"/>
      <c r="B777" s="204"/>
      <c r="C777" s="204"/>
      <c r="D777" s="197"/>
      <c r="E777" s="197"/>
      <c r="F777" s="197"/>
      <c r="G777" s="197"/>
      <c r="H777" s="197"/>
      <c r="I777" s="197"/>
      <c r="J777" s="204"/>
      <c r="K777" s="197"/>
      <c r="L777" s="197"/>
      <c r="M777" s="197"/>
      <c r="N777" s="197"/>
      <c r="O777" s="204"/>
      <c r="P777" s="197"/>
    </row>
    <row r="778">
      <c r="A778" s="172"/>
      <c r="B778" s="204"/>
      <c r="C778" s="204"/>
      <c r="D778" s="197"/>
      <c r="E778" s="197"/>
      <c r="F778" s="197"/>
      <c r="G778" s="197"/>
      <c r="H778" s="197"/>
      <c r="I778" s="197"/>
      <c r="J778" s="204"/>
      <c r="K778" s="197"/>
      <c r="L778" s="197"/>
      <c r="M778" s="197"/>
      <c r="N778" s="197"/>
      <c r="O778" s="204"/>
      <c r="P778" s="197"/>
    </row>
    <row r="779">
      <c r="A779" s="172"/>
      <c r="B779" s="204"/>
      <c r="C779" s="204"/>
      <c r="D779" s="197"/>
      <c r="E779" s="197"/>
      <c r="F779" s="197"/>
      <c r="G779" s="197"/>
      <c r="H779" s="197"/>
      <c r="I779" s="197"/>
      <c r="J779" s="204"/>
      <c r="K779" s="197"/>
      <c r="L779" s="197"/>
      <c r="M779" s="197"/>
      <c r="N779" s="197"/>
      <c r="O779" s="204"/>
      <c r="P779" s="197"/>
    </row>
    <row r="780">
      <c r="A780" s="172"/>
      <c r="B780" s="204"/>
      <c r="C780" s="204"/>
      <c r="D780" s="197"/>
      <c r="E780" s="197"/>
      <c r="F780" s="197"/>
      <c r="G780" s="197"/>
      <c r="H780" s="197"/>
      <c r="I780" s="197"/>
      <c r="J780" s="204"/>
      <c r="K780" s="197"/>
      <c r="L780" s="197"/>
      <c r="M780" s="197"/>
      <c r="N780" s="197"/>
      <c r="O780" s="204"/>
      <c r="P780" s="197"/>
    </row>
    <row r="781">
      <c r="A781" s="172"/>
      <c r="B781" s="204"/>
      <c r="C781" s="204"/>
      <c r="D781" s="197"/>
      <c r="E781" s="197"/>
      <c r="F781" s="197"/>
      <c r="G781" s="197"/>
      <c r="H781" s="197"/>
      <c r="I781" s="197"/>
      <c r="J781" s="204"/>
      <c r="K781" s="197"/>
      <c r="L781" s="197"/>
      <c r="M781" s="197"/>
      <c r="N781" s="197"/>
      <c r="O781" s="204"/>
      <c r="P781" s="197"/>
    </row>
    <row r="782">
      <c r="A782" s="172"/>
      <c r="B782" s="204"/>
      <c r="C782" s="204"/>
      <c r="D782" s="197"/>
      <c r="E782" s="197"/>
      <c r="F782" s="197"/>
      <c r="G782" s="197"/>
      <c r="H782" s="197"/>
      <c r="I782" s="197"/>
      <c r="J782" s="204"/>
      <c r="K782" s="197"/>
      <c r="L782" s="197"/>
      <c r="M782" s="197"/>
      <c r="N782" s="197"/>
      <c r="O782" s="204"/>
      <c r="P782" s="197"/>
    </row>
    <row r="783">
      <c r="A783" s="172"/>
      <c r="B783" s="204"/>
      <c r="C783" s="204"/>
      <c r="D783" s="197"/>
      <c r="E783" s="197"/>
      <c r="F783" s="197"/>
      <c r="G783" s="197"/>
      <c r="H783" s="197"/>
      <c r="I783" s="197"/>
      <c r="J783" s="204"/>
      <c r="K783" s="197"/>
      <c r="L783" s="197"/>
      <c r="M783" s="197"/>
      <c r="N783" s="197"/>
      <c r="O783" s="204"/>
      <c r="P783" s="197"/>
    </row>
    <row r="784">
      <c r="A784" s="172"/>
      <c r="B784" s="204"/>
      <c r="C784" s="204"/>
      <c r="D784" s="197"/>
      <c r="E784" s="197"/>
      <c r="F784" s="197"/>
      <c r="G784" s="197"/>
      <c r="H784" s="197"/>
      <c r="I784" s="197"/>
      <c r="J784" s="204"/>
      <c r="K784" s="197"/>
      <c r="L784" s="197"/>
      <c r="M784" s="197"/>
      <c r="N784" s="197"/>
      <c r="O784" s="204"/>
      <c r="P784" s="197"/>
    </row>
    <row r="785">
      <c r="A785" s="172"/>
      <c r="B785" s="204"/>
      <c r="C785" s="204"/>
      <c r="D785" s="197"/>
      <c r="E785" s="197"/>
      <c r="F785" s="197"/>
      <c r="G785" s="197"/>
      <c r="H785" s="197"/>
      <c r="I785" s="197"/>
      <c r="J785" s="204"/>
      <c r="K785" s="197"/>
      <c r="L785" s="197"/>
      <c r="M785" s="197"/>
      <c r="N785" s="197"/>
      <c r="O785" s="204"/>
      <c r="P785" s="197"/>
    </row>
    <row r="786">
      <c r="A786" s="172"/>
      <c r="B786" s="204"/>
      <c r="C786" s="204"/>
      <c r="D786" s="197"/>
      <c r="E786" s="197"/>
      <c r="F786" s="197"/>
      <c r="G786" s="197"/>
      <c r="H786" s="197"/>
      <c r="I786" s="197"/>
      <c r="J786" s="204"/>
      <c r="K786" s="197"/>
      <c r="L786" s="197"/>
      <c r="M786" s="197"/>
      <c r="N786" s="197"/>
      <c r="O786" s="204"/>
      <c r="P786" s="197"/>
    </row>
    <row r="787">
      <c r="A787" s="172"/>
      <c r="B787" s="204"/>
      <c r="C787" s="204"/>
      <c r="D787" s="197"/>
      <c r="E787" s="197"/>
      <c r="F787" s="197"/>
      <c r="G787" s="197"/>
      <c r="H787" s="197"/>
      <c r="I787" s="197"/>
      <c r="J787" s="204"/>
      <c r="K787" s="197"/>
      <c r="L787" s="197"/>
      <c r="M787" s="197"/>
      <c r="N787" s="197"/>
      <c r="O787" s="204"/>
      <c r="P787" s="197"/>
    </row>
    <row r="788">
      <c r="A788" s="172"/>
      <c r="B788" s="204"/>
      <c r="C788" s="204"/>
      <c r="D788" s="197"/>
      <c r="E788" s="197"/>
      <c r="F788" s="197"/>
      <c r="G788" s="197"/>
      <c r="H788" s="197"/>
      <c r="I788" s="197"/>
      <c r="J788" s="204"/>
      <c r="K788" s="197"/>
      <c r="L788" s="197"/>
      <c r="M788" s="197"/>
      <c r="N788" s="197"/>
      <c r="O788" s="204"/>
      <c r="P788" s="197"/>
    </row>
    <row r="789">
      <c r="A789" s="172"/>
      <c r="B789" s="204"/>
      <c r="C789" s="204"/>
      <c r="D789" s="197"/>
      <c r="E789" s="197"/>
      <c r="F789" s="197"/>
      <c r="G789" s="197"/>
      <c r="H789" s="197"/>
      <c r="I789" s="197"/>
      <c r="J789" s="204"/>
      <c r="K789" s="197"/>
      <c r="L789" s="197"/>
      <c r="M789" s="197"/>
      <c r="N789" s="197"/>
      <c r="O789" s="204"/>
      <c r="P789" s="197"/>
    </row>
    <row r="790">
      <c r="A790" s="172"/>
      <c r="B790" s="204"/>
      <c r="C790" s="204"/>
      <c r="D790" s="197"/>
      <c r="E790" s="197"/>
      <c r="F790" s="197"/>
      <c r="G790" s="197"/>
      <c r="H790" s="197"/>
      <c r="I790" s="197"/>
      <c r="J790" s="204"/>
      <c r="K790" s="197"/>
      <c r="L790" s="197"/>
      <c r="M790" s="197"/>
      <c r="N790" s="197"/>
      <c r="O790" s="204"/>
      <c r="P790" s="197"/>
    </row>
    <row r="791">
      <c r="A791" s="172"/>
      <c r="B791" s="204"/>
      <c r="C791" s="204"/>
      <c r="D791" s="197"/>
      <c r="E791" s="197"/>
      <c r="F791" s="197"/>
      <c r="G791" s="197"/>
      <c r="H791" s="197"/>
      <c r="I791" s="197"/>
      <c r="J791" s="204"/>
      <c r="K791" s="197"/>
      <c r="L791" s="197"/>
      <c r="M791" s="197"/>
      <c r="N791" s="197"/>
      <c r="O791" s="204"/>
      <c r="P791" s="197"/>
    </row>
    <row r="792">
      <c r="A792" s="172"/>
      <c r="B792" s="204"/>
      <c r="C792" s="204"/>
      <c r="D792" s="197"/>
      <c r="E792" s="197"/>
      <c r="F792" s="197"/>
      <c r="G792" s="197"/>
      <c r="H792" s="197"/>
      <c r="I792" s="197"/>
      <c r="J792" s="204"/>
      <c r="K792" s="197"/>
      <c r="L792" s="197"/>
      <c r="M792" s="197"/>
      <c r="N792" s="197"/>
      <c r="O792" s="204"/>
      <c r="P792" s="197"/>
    </row>
    <row r="793">
      <c r="A793" s="172"/>
      <c r="B793" s="204"/>
      <c r="C793" s="204"/>
      <c r="D793" s="197"/>
      <c r="E793" s="197"/>
      <c r="F793" s="197"/>
      <c r="G793" s="197"/>
      <c r="H793" s="197"/>
      <c r="I793" s="197"/>
      <c r="J793" s="204"/>
      <c r="K793" s="197"/>
      <c r="L793" s="197"/>
      <c r="M793" s="197"/>
      <c r="N793" s="197"/>
      <c r="O793" s="204"/>
      <c r="P793" s="197"/>
    </row>
    <row r="794">
      <c r="A794" s="172"/>
      <c r="B794" s="204"/>
      <c r="C794" s="204"/>
      <c r="D794" s="197"/>
      <c r="E794" s="197"/>
      <c r="F794" s="197"/>
      <c r="G794" s="197"/>
      <c r="H794" s="197"/>
      <c r="I794" s="197"/>
      <c r="J794" s="204"/>
      <c r="K794" s="197"/>
      <c r="L794" s="197"/>
      <c r="M794" s="197"/>
      <c r="N794" s="197"/>
      <c r="O794" s="204"/>
      <c r="P794" s="197"/>
    </row>
    <row r="795">
      <c r="A795" s="172"/>
      <c r="B795" s="204"/>
      <c r="C795" s="204"/>
      <c r="D795" s="197"/>
      <c r="E795" s="197"/>
      <c r="F795" s="197"/>
      <c r="G795" s="197"/>
      <c r="H795" s="197"/>
      <c r="I795" s="197"/>
      <c r="J795" s="204"/>
      <c r="K795" s="197"/>
      <c r="L795" s="197"/>
      <c r="M795" s="197"/>
      <c r="N795" s="197"/>
      <c r="O795" s="204"/>
      <c r="P795" s="197"/>
    </row>
    <row r="796">
      <c r="A796" s="172"/>
      <c r="B796" s="204"/>
      <c r="C796" s="204"/>
      <c r="D796" s="197"/>
      <c r="E796" s="197"/>
      <c r="F796" s="197"/>
      <c r="G796" s="197"/>
      <c r="H796" s="197"/>
      <c r="I796" s="197"/>
      <c r="J796" s="204"/>
      <c r="K796" s="197"/>
      <c r="L796" s="197"/>
      <c r="M796" s="197"/>
      <c r="N796" s="197"/>
      <c r="O796" s="204"/>
      <c r="P796" s="197"/>
    </row>
    <row r="797">
      <c r="A797" s="172"/>
      <c r="B797" s="204"/>
      <c r="C797" s="204"/>
      <c r="D797" s="197"/>
      <c r="E797" s="197"/>
      <c r="F797" s="197"/>
      <c r="G797" s="197"/>
      <c r="H797" s="197"/>
      <c r="I797" s="197"/>
      <c r="J797" s="204"/>
      <c r="K797" s="197"/>
      <c r="L797" s="197"/>
      <c r="M797" s="197"/>
      <c r="N797" s="197"/>
      <c r="O797" s="204"/>
      <c r="P797" s="197"/>
    </row>
    <row r="798">
      <c r="A798" s="172"/>
      <c r="B798" s="204"/>
      <c r="C798" s="204"/>
      <c r="D798" s="197"/>
      <c r="E798" s="197"/>
      <c r="F798" s="197"/>
      <c r="G798" s="197"/>
      <c r="H798" s="197"/>
      <c r="I798" s="197"/>
      <c r="J798" s="204"/>
      <c r="K798" s="197"/>
      <c r="L798" s="197"/>
      <c r="M798" s="197"/>
      <c r="N798" s="197"/>
      <c r="O798" s="204"/>
      <c r="P798" s="197"/>
    </row>
    <row r="799">
      <c r="A799" s="172"/>
      <c r="B799" s="204"/>
      <c r="C799" s="204"/>
      <c r="D799" s="197"/>
      <c r="E799" s="197"/>
      <c r="F799" s="197"/>
      <c r="G799" s="197"/>
      <c r="H799" s="197"/>
      <c r="I799" s="197"/>
      <c r="J799" s="204"/>
      <c r="K799" s="197"/>
      <c r="L799" s="197"/>
      <c r="M799" s="197"/>
      <c r="N799" s="197"/>
      <c r="O799" s="204"/>
      <c r="P799" s="197"/>
    </row>
    <row r="800">
      <c r="A800" s="172"/>
      <c r="B800" s="204"/>
      <c r="C800" s="204"/>
      <c r="D800" s="197"/>
      <c r="E800" s="197"/>
      <c r="F800" s="197"/>
      <c r="G800" s="197"/>
      <c r="H800" s="197"/>
      <c r="I800" s="197"/>
      <c r="J800" s="204"/>
      <c r="K800" s="197"/>
      <c r="L800" s="197"/>
      <c r="M800" s="197"/>
      <c r="N800" s="197"/>
      <c r="O800" s="204"/>
      <c r="P800" s="197"/>
    </row>
    <row r="801">
      <c r="A801" s="172"/>
      <c r="B801" s="204"/>
      <c r="C801" s="204"/>
      <c r="D801" s="197"/>
      <c r="E801" s="197"/>
      <c r="F801" s="197"/>
      <c r="G801" s="197"/>
      <c r="H801" s="197"/>
      <c r="I801" s="197"/>
      <c r="J801" s="204"/>
      <c r="K801" s="197"/>
      <c r="L801" s="197"/>
      <c r="M801" s="197"/>
      <c r="N801" s="197"/>
      <c r="O801" s="204"/>
      <c r="P801" s="197"/>
    </row>
    <row r="802">
      <c r="A802" s="172"/>
      <c r="B802" s="204"/>
      <c r="C802" s="204"/>
      <c r="D802" s="197"/>
      <c r="E802" s="197"/>
      <c r="F802" s="197"/>
      <c r="G802" s="197"/>
      <c r="H802" s="197"/>
      <c r="I802" s="197"/>
      <c r="J802" s="204"/>
      <c r="K802" s="197"/>
      <c r="L802" s="197"/>
      <c r="M802" s="197"/>
      <c r="N802" s="197"/>
      <c r="O802" s="204"/>
      <c r="P802" s="197"/>
    </row>
    <row r="803">
      <c r="A803" s="172"/>
      <c r="B803" s="204"/>
      <c r="C803" s="204"/>
      <c r="D803" s="197"/>
      <c r="E803" s="197"/>
      <c r="F803" s="197"/>
      <c r="G803" s="197"/>
      <c r="H803" s="197"/>
      <c r="I803" s="197"/>
      <c r="J803" s="204"/>
      <c r="K803" s="197"/>
      <c r="L803" s="197"/>
      <c r="M803" s="197"/>
      <c r="N803" s="197"/>
      <c r="O803" s="204"/>
      <c r="P803" s="197"/>
    </row>
    <row r="804">
      <c r="A804" s="172"/>
      <c r="B804" s="204"/>
      <c r="C804" s="204"/>
      <c r="D804" s="197"/>
      <c r="E804" s="197"/>
      <c r="F804" s="197"/>
      <c r="G804" s="197"/>
      <c r="H804" s="197"/>
      <c r="I804" s="197"/>
      <c r="J804" s="204"/>
      <c r="K804" s="197"/>
      <c r="L804" s="197"/>
      <c r="M804" s="197"/>
      <c r="N804" s="197"/>
      <c r="O804" s="204"/>
      <c r="P804" s="197"/>
    </row>
    <row r="805">
      <c r="A805" s="172"/>
      <c r="B805" s="204"/>
      <c r="C805" s="204"/>
      <c r="D805" s="197"/>
      <c r="E805" s="197"/>
      <c r="F805" s="197"/>
      <c r="G805" s="197"/>
      <c r="H805" s="197"/>
      <c r="I805" s="197"/>
      <c r="J805" s="204"/>
      <c r="K805" s="197"/>
      <c r="L805" s="197"/>
      <c r="M805" s="197"/>
      <c r="N805" s="197"/>
      <c r="O805" s="204"/>
      <c r="P805" s="197"/>
    </row>
    <row r="806">
      <c r="A806" s="172"/>
      <c r="B806" s="204"/>
      <c r="C806" s="204"/>
      <c r="D806" s="197"/>
      <c r="E806" s="197"/>
      <c r="F806" s="197"/>
      <c r="G806" s="197"/>
      <c r="H806" s="197"/>
      <c r="I806" s="197"/>
      <c r="J806" s="204"/>
      <c r="K806" s="197"/>
      <c r="L806" s="197"/>
      <c r="M806" s="197"/>
      <c r="N806" s="197"/>
      <c r="O806" s="204"/>
      <c r="P806" s="197"/>
    </row>
    <row r="807">
      <c r="A807" s="172"/>
      <c r="B807" s="204"/>
      <c r="C807" s="204"/>
      <c r="D807" s="197"/>
      <c r="E807" s="197"/>
      <c r="F807" s="197"/>
      <c r="G807" s="197"/>
      <c r="H807" s="197"/>
      <c r="I807" s="197"/>
      <c r="J807" s="204"/>
      <c r="K807" s="197"/>
      <c r="L807" s="197"/>
      <c r="M807" s="197"/>
      <c r="N807" s="197"/>
      <c r="O807" s="204"/>
      <c r="P807" s="197"/>
    </row>
    <row r="808">
      <c r="A808" s="172"/>
      <c r="B808" s="204"/>
      <c r="C808" s="204"/>
      <c r="D808" s="197"/>
      <c r="E808" s="197"/>
      <c r="F808" s="197"/>
      <c r="G808" s="197"/>
      <c r="H808" s="197"/>
      <c r="I808" s="197"/>
      <c r="J808" s="204"/>
      <c r="K808" s="197"/>
      <c r="L808" s="197"/>
      <c r="M808" s="197"/>
      <c r="N808" s="197"/>
      <c r="O808" s="204"/>
      <c r="P808" s="197"/>
    </row>
    <row r="809">
      <c r="A809" s="172"/>
      <c r="B809" s="204"/>
      <c r="C809" s="204"/>
      <c r="D809" s="197"/>
      <c r="E809" s="197"/>
      <c r="F809" s="197"/>
      <c r="G809" s="197"/>
      <c r="H809" s="197"/>
      <c r="I809" s="197"/>
      <c r="J809" s="204"/>
      <c r="K809" s="197"/>
      <c r="L809" s="197"/>
      <c r="M809" s="197"/>
      <c r="N809" s="197"/>
      <c r="O809" s="204"/>
      <c r="P809" s="197"/>
    </row>
    <row r="810">
      <c r="A810" s="172"/>
      <c r="B810" s="204"/>
      <c r="C810" s="204"/>
      <c r="D810" s="197"/>
      <c r="E810" s="197"/>
      <c r="F810" s="197"/>
      <c r="G810" s="197"/>
      <c r="H810" s="197"/>
      <c r="I810" s="197"/>
      <c r="J810" s="204"/>
      <c r="K810" s="197"/>
      <c r="L810" s="197"/>
      <c r="M810" s="197"/>
      <c r="N810" s="197"/>
      <c r="O810" s="204"/>
      <c r="P810" s="197"/>
    </row>
    <row r="811">
      <c r="A811" s="172"/>
      <c r="B811" s="204"/>
      <c r="C811" s="204"/>
      <c r="D811" s="197"/>
      <c r="E811" s="197"/>
      <c r="F811" s="197"/>
      <c r="G811" s="197"/>
      <c r="H811" s="197"/>
      <c r="I811" s="197"/>
      <c r="J811" s="204"/>
      <c r="K811" s="197"/>
      <c r="L811" s="197"/>
      <c r="M811" s="197"/>
      <c r="N811" s="197"/>
      <c r="O811" s="204"/>
      <c r="P811" s="197"/>
    </row>
    <row r="812">
      <c r="A812" s="172"/>
      <c r="B812" s="204"/>
      <c r="C812" s="204"/>
      <c r="D812" s="197"/>
      <c r="E812" s="197"/>
      <c r="F812" s="197"/>
      <c r="G812" s="197"/>
      <c r="H812" s="197"/>
      <c r="I812" s="197"/>
      <c r="J812" s="204"/>
      <c r="K812" s="197"/>
      <c r="L812" s="197"/>
      <c r="M812" s="197"/>
      <c r="N812" s="197"/>
      <c r="O812" s="204"/>
      <c r="P812" s="197"/>
    </row>
    <row r="813">
      <c r="A813" s="172"/>
      <c r="B813" s="204"/>
      <c r="C813" s="204"/>
      <c r="D813" s="197"/>
      <c r="E813" s="197"/>
      <c r="F813" s="197"/>
      <c r="G813" s="197"/>
      <c r="H813" s="197"/>
      <c r="I813" s="197"/>
      <c r="J813" s="204"/>
      <c r="K813" s="197"/>
      <c r="L813" s="197"/>
      <c r="M813" s="197"/>
      <c r="N813" s="197"/>
      <c r="O813" s="204"/>
      <c r="P813" s="197"/>
    </row>
    <row r="814">
      <c r="A814" s="172"/>
      <c r="B814" s="204"/>
      <c r="C814" s="204"/>
      <c r="D814" s="197"/>
      <c r="E814" s="197"/>
      <c r="F814" s="197"/>
      <c r="G814" s="197"/>
      <c r="H814" s="197"/>
      <c r="I814" s="197"/>
      <c r="J814" s="204"/>
      <c r="K814" s="197"/>
      <c r="L814" s="197"/>
      <c r="M814" s="197"/>
      <c r="N814" s="197"/>
      <c r="O814" s="204"/>
      <c r="P814" s="197"/>
    </row>
    <row r="815">
      <c r="A815" s="172"/>
      <c r="B815" s="204"/>
      <c r="C815" s="204"/>
      <c r="D815" s="197"/>
      <c r="E815" s="197"/>
      <c r="F815" s="197"/>
      <c r="G815" s="197"/>
      <c r="H815" s="197"/>
      <c r="I815" s="197"/>
      <c r="J815" s="204"/>
      <c r="K815" s="197"/>
      <c r="L815" s="197"/>
      <c r="M815" s="197"/>
      <c r="N815" s="197"/>
      <c r="O815" s="204"/>
      <c r="P815" s="197"/>
    </row>
    <row r="816">
      <c r="A816" s="172"/>
      <c r="B816" s="204"/>
      <c r="C816" s="204"/>
      <c r="D816" s="197"/>
      <c r="E816" s="197"/>
      <c r="F816" s="197"/>
      <c r="G816" s="197"/>
      <c r="H816" s="197"/>
      <c r="I816" s="197"/>
      <c r="J816" s="204"/>
      <c r="K816" s="197"/>
      <c r="L816" s="197"/>
      <c r="M816" s="197"/>
      <c r="N816" s="197"/>
      <c r="O816" s="204"/>
      <c r="P816" s="197"/>
    </row>
    <row r="817">
      <c r="A817" s="172"/>
      <c r="B817" s="204"/>
      <c r="C817" s="204"/>
      <c r="D817" s="197"/>
      <c r="E817" s="197"/>
      <c r="F817" s="197"/>
      <c r="G817" s="197"/>
      <c r="H817" s="197"/>
      <c r="I817" s="197"/>
      <c r="J817" s="204"/>
      <c r="K817" s="197"/>
      <c r="L817" s="197"/>
      <c r="M817" s="197"/>
      <c r="N817" s="197"/>
      <c r="O817" s="204"/>
      <c r="P817" s="197"/>
    </row>
    <row r="818">
      <c r="A818" s="172"/>
      <c r="B818" s="204"/>
      <c r="C818" s="204"/>
      <c r="D818" s="197"/>
      <c r="E818" s="197"/>
      <c r="F818" s="197"/>
      <c r="G818" s="197"/>
      <c r="H818" s="197"/>
      <c r="I818" s="197"/>
      <c r="J818" s="204"/>
      <c r="K818" s="197"/>
      <c r="L818" s="197"/>
      <c r="M818" s="197"/>
      <c r="N818" s="197"/>
      <c r="O818" s="204"/>
      <c r="P818" s="197"/>
    </row>
    <row r="819">
      <c r="A819" s="172"/>
      <c r="B819" s="204"/>
      <c r="C819" s="204"/>
      <c r="D819" s="197"/>
      <c r="E819" s="197"/>
      <c r="F819" s="197"/>
      <c r="G819" s="197"/>
      <c r="H819" s="197"/>
      <c r="I819" s="197"/>
      <c r="J819" s="204"/>
      <c r="K819" s="197"/>
      <c r="L819" s="197"/>
      <c r="M819" s="197"/>
      <c r="N819" s="197"/>
      <c r="O819" s="204"/>
      <c r="P819" s="197"/>
    </row>
    <row r="820">
      <c r="A820" s="172"/>
      <c r="B820" s="204"/>
      <c r="C820" s="204"/>
      <c r="D820" s="197"/>
      <c r="E820" s="197"/>
      <c r="F820" s="197"/>
      <c r="G820" s="197"/>
      <c r="H820" s="197"/>
      <c r="I820" s="197"/>
      <c r="J820" s="204"/>
      <c r="K820" s="197"/>
      <c r="L820" s="197"/>
      <c r="M820" s="197"/>
      <c r="N820" s="197"/>
      <c r="O820" s="204"/>
      <c r="P820" s="197"/>
    </row>
    <row r="821">
      <c r="A821" s="172"/>
      <c r="B821" s="204"/>
      <c r="C821" s="204"/>
      <c r="D821" s="197"/>
      <c r="E821" s="197"/>
      <c r="F821" s="197"/>
      <c r="G821" s="197"/>
      <c r="H821" s="197"/>
      <c r="I821" s="197"/>
      <c r="J821" s="204"/>
      <c r="K821" s="197"/>
      <c r="L821" s="197"/>
      <c r="M821" s="197"/>
      <c r="N821" s="197"/>
      <c r="O821" s="204"/>
      <c r="P821" s="197"/>
    </row>
    <row r="822">
      <c r="A822" s="172"/>
      <c r="B822" s="204"/>
      <c r="C822" s="204"/>
      <c r="D822" s="197"/>
      <c r="E822" s="197"/>
      <c r="F822" s="197"/>
      <c r="G822" s="197"/>
      <c r="H822" s="197"/>
      <c r="I822" s="197"/>
      <c r="J822" s="204"/>
      <c r="K822" s="197"/>
      <c r="L822" s="197"/>
      <c r="M822" s="197"/>
      <c r="N822" s="197"/>
      <c r="O822" s="204"/>
      <c r="P822" s="197"/>
    </row>
    <row r="823">
      <c r="A823" s="172"/>
      <c r="B823" s="204"/>
      <c r="C823" s="204"/>
      <c r="D823" s="197"/>
      <c r="E823" s="197"/>
      <c r="F823" s="197"/>
      <c r="G823" s="197"/>
      <c r="H823" s="197"/>
      <c r="I823" s="197"/>
      <c r="J823" s="204"/>
      <c r="K823" s="197"/>
      <c r="L823" s="197"/>
      <c r="M823" s="197"/>
      <c r="N823" s="197"/>
      <c r="O823" s="204"/>
      <c r="P823" s="197"/>
    </row>
    <row r="824">
      <c r="A824" s="172"/>
      <c r="B824" s="204"/>
      <c r="C824" s="204"/>
      <c r="D824" s="197"/>
      <c r="E824" s="197"/>
      <c r="F824" s="197"/>
      <c r="G824" s="197"/>
      <c r="H824" s="197"/>
      <c r="I824" s="197"/>
      <c r="J824" s="204"/>
      <c r="K824" s="197"/>
      <c r="L824" s="197"/>
      <c r="M824" s="197"/>
      <c r="N824" s="197"/>
      <c r="O824" s="204"/>
      <c r="P824" s="197"/>
    </row>
    <row r="825">
      <c r="A825" s="172"/>
      <c r="B825" s="204"/>
      <c r="C825" s="204"/>
      <c r="D825" s="197"/>
      <c r="E825" s="197"/>
      <c r="F825" s="197"/>
      <c r="G825" s="197"/>
      <c r="H825" s="197"/>
      <c r="I825" s="197"/>
      <c r="J825" s="204"/>
      <c r="K825" s="197"/>
      <c r="L825" s="197"/>
      <c r="M825" s="197"/>
      <c r="N825" s="197"/>
      <c r="O825" s="204"/>
      <c r="P825" s="197"/>
    </row>
    <row r="826">
      <c r="A826" s="172"/>
      <c r="B826" s="204"/>
      <c r="C826" s="204"/>
      <c r="D826" s="197"/>
      <c r="E826" s="197"/>
      <c r="F826" s="197"/>
      <c r="G826" s="197"/>
      <c r="H826" s="197"/>
      <c r="I826" s="197"/>
      <c r="J826" s="204"/>
      <c r="K826" s="197"/>
      <c r="L826" s="197"/>
      <c r="M826" s="197"/>
      <c r="N826" s="197"/>
      <c r="O826" s="204"/>
      <c r="P826" s="197"/>
    </row>
    <row r="827">
      <c r="A827" s="172"/>
      <c r="B827" s="204"/>
      <c r="C827" s="204"/>
      <c r="D827" s="197"/>
      <c r="E827" s="197"/>
      <c r="F827" s="197"/>
      <c r="G827" s="197"/>
      <c r="H827" s="197"/>
      <c r="I827" s="197"/>
      <c r="J827" s="204"/>
      <c r="K827" s="197"/>
      <c r="L827" s="197"/>
      <c r="M827" s="197"/>
      <c r="N827" s="197"/>
      <c r="O827" s="204"/>
      <c r="P827" s="197"/>
    </row>
    <row r="828">
      <c r="A828" s="172"/>
      <c r="B828" s="204"/>
      <c r="C828" s="204"/>
      <c r="D828" s="197"/>
      <c r="E828" s="197"/>
      <c r="F828" s="197"/>
      <c r="G828" s="197"/>
      <c r="H828" s="197"/>
      <c r="I828" s="197"/>
      <c r="J828" s="204"/>
      <c r="K828" s="197"/>
      <c r="L828" s="197"/>
      <c r="M828" s="197"/>
      <c r="N828" s="197"/>
      <c r="O828" s="204"/>
      <c r="P828" s="197"/>
    </row>
    <row r="829">
      <c r="A829" s="172"/>
      <c r="B829" s="204"/>
      <c r="C829" s="204"/>
      <c r="D829" s="197"/>
      <c r="E829" s="197"/>
      <c r="F829" s="197"/>
      <c r="G829" s="197"/>
      <c r="H829" s="197"/>
      <c r="I829" s="197"/>
      <c r="J829" s="204"/>
      <c r="K829" s="197"/>
      <c r="L829" s="197"/>
      <c r="M829" s="197"/>
      <c r="N829" s="197"/>
      <c r="O829" s="204"/>
      <c r="P829" s="197"/>
    </row>
    <row r="830">
      <c r="A830" s="172"/>
      <c r="B830" s="204"/>
      <c r="C830" s="204"/>
      <c r="D830" s="197"/>
      <c r="E830" s="197"/>
      <c r="F830" s="197"/>
      <c r="G830" s="197"/>
      <c r="H830" s="197"/>
      <c r="I830" s="197"/>
      <c r="J830" s="204"/>
      <c r="K830" s="197"/>
      <c r="L830" s="197"/>
      <c r="M830" s="197"/>
      <c r="N830" s="197"/>
      <c r="O830" s="204"/>
      <c r="P830" s="197"/>
    </row>
    <row r="831">
      <c r="A831" s="172"/>
      <c r="B831" s="204"/>
      <c r="C831" s="204"/>
      <c r="D831" s="197"/>
      <c r="E831" s="197"/>
      <c r="F831" s="197"/>
      <c r="G831" s="197"/>
      <c r="H831" s="197"/>
      <c r="I831" s="197"/>
      <c r="J831" s="204"/>
      <c r="K831" s="197"/>
      <c r="L831" s="197"/>
      <c r="M831" s="197"/>
      <c r="N831" s="197"/>
      <c r="O831" s="204"/>
      <c r="P831" s="197"/>
    </row>
    <row r="832">
      <c r="A832" s="172"/>
      <c r="B832" s="204"/>
      <c r="C832" s="204"/>
      <c r="D832" s="197"/>
      <c r="E832" s="197"/>
      <c r="F832" s="197"/>
      <c r="G832" s="197"/>
      <c r="H832" s="197"/>
      <c r="I832" s="197"/>
      <c r="J832" s="204"/>
      <c r="K832" s="197"/>
      <c r="L832" s="197"/>
      <c r="M832" s="197"/>
      <c r="N832" s="197"/>
      <c r="O832" s="204"/>
      <c r="P832" s="197"/>
    </row>
    <row r="833">
      <c r="A833" s="172"/>
      <c r="B833" s="204"/>
      <c r="C833" s="204"/>
      <c r="D833" s="197"/>
      <c r="E833" s="197"/>
      <c r="F833" s="197"/>
      <c r="G833" s="197"/>
      <c r="H833" s="197"/>
      <c r="I833" s="197"/>
      <c r="J833" s="204"/>
      <c r="K833" s="197"/>
      <c r="L833" s="197"/>
      <c r="M833" s="197"/>
      <c r="N833" s="197"/>
      <c r="O833" s="204"/>
      <c r="P833" s="197"/>
    </row>
    <row r="834">
      <c r="A834" s="172"/>
      <c r="B834" s="204"/>
      <c r="C834" s="204"/>
      <c r="D834" s="197"/>
      <c r="E834" s="197"/>
      <c r="F834" s="197"/>
      <c r="G834" s="197"/>
      <c r="H834" s="197"/>
      <c r="I834" s="197"/>
      <c r="J834" s="204"/>
      <c r="K834" s="197"/>
      <c r="L834" s="197"/>
      <c r="M834" s="197"/>
      <c r="N834" s="197"/>
      <c r="O834" s="204"/>
      <c r="P834" s="197"/>
    </row>
    <row r="835">
      <c r="A835" s="172"/>
      <c r="B835" s="204"/>
      <c r="C835" s="204"/>
      <c r="D835" s="197"/>
      <c r="E835" s="197"/>
      <c r="F835" s="197"/>
      <c r="G835" s="197"/>
      <c r="H835" s="197"/>
      <c r="I835" s="197"/>
      <c r="J835" s="204"/>
      <c r="K835" s="197"/>
      <c r="L835" s="197"/>
      <c r="M835" s="197"/>
      <c r="N835" s="197"/>
      <c r="O835" s="204"/>
      <c r="P835" s="197"/>
    </row>
    <row r="836">
      <c r="A836" s="172"/>
      <c r="B836" s="204"/>
      <c r="C836" s="204"/>
      <c r="D836" s="197"/>
      <c r="E836" s="197"/>
      <c r="F836" s="197"/>
      <c r="G836" s="197"/>
      <c r="H836" s="197"/>
      <c r="I836" s="197"/>
      <c r="J836" s="204"/>
      <c r="K836" s="197"/>
      <c r="L836" s="197"/>
      <c r="M836" s="197"/>
      <c r="N836" s="197"/>
      <c r="O836" s="204"/>
      <c r="P836" s="197"/>
    </row>
    <row r="837">
      <c r="A837" s="172"/>
      <c r="B837" s="204"/>
      <c r="C837" s="204"/>
      <c r="D837" s="197"/>
      <c r="E837" s="197"/>
      <c r="F837" s="197"/>
      <c r="G837" s="197"/>
      <c r="H837" s="197"/>
      <c r="I837" s="197"/>
      <c r="J837" s="204"/>
      <c r="K837" s="197"/>
      <c r="L837" s="197"/>
      <c r="M837" s="197"/>
      <c r="N837" s="197"/>
      <c r="O837" s="204"/>
      <c r="P837" s="197"/>
    </row>
    <row r="838">
      <c r="A838" s="172"/>
      <c r="B838" s="204"/>
      <c r="C838" s="204"/>
      <c r="D838" s="197"/>
      <c r="E838" s="197"/>
      <c r="F838" s="197"/>
      <c r="G838" s="197"/>
      <c r="H838" s="197"/>
      <c r="I838" s="197"/>
      <c r="J838" s="204"/>
      <c r="K838" s="197"/>
      <c r="L838" s="197"/>
      <c r="M838" s="197"/>
      <c r="N838" s="197"/>
      <c r="O838" s="204"/>
      <c r="P838" s="197"/>
    </row>
    <row r="839">
      <c r="A839" s="172"/>
      <c r="B839" s="204"/>
      <c r="C839" s="204"/>
      <c r="D839" s="197"/>
      <c r="E839" s="197"/>
      <c r="F839" s="197"/>
      <c r="G839" s="197"/>
      <c r="H839" s="197"/>
      <c r="I839" s="197"/>
      <c r="J839" s="204"/>
      <c r="K839" s="197"/>
      <c r="L839" s="197"/>
      <c r="M839" s="197"/>
      <c r="N839" s="197"/>
      <c r="O839" s="204"/>
      <c r="P839" s="197"/>
    </row>
    <row r="840">
      <c r="A840" s="172"/>
      <c r="B840" s="204"/>
      <c r="C840" s="204"/>
      <c r="D840" s="197"/>
      <c r="E840" s="197"/>
      <c r="F840" s="197"/>
      <c r="G840" s="197"/>
      <c r="H840" s="197"/>
      <c r="I840" s="197"/>
      <c r="J840" s="204"/>
      <c r="K840" s="197"/>
      <c r="L840" s="197"/>
      <c r="M840" s="197"/>
      <c r="N840" s="197"/>
      <c r="O840" s="204"/>
      <c r="P840" s="197"/>
    </row>
    <row r="841">
      <c r="A841" s="172"/>
      <c r="B841" s="204"/>
      <c r="C841" s="204"/>
      <c r="D841" s="197"/>
      <c r="E841" s="197"/>
      <c r="F841" s="197"/>
      <c r="G841" s="197"/>
      <c r="H841" s="197"/>
      <c r="I841" s="197"/>
      <c r="J841" s="204"/>
      <c r="K841" s="197"/>
      <c r="L841" s="197"/>
      <c r="M841" s="197"/>
      <c r="N841" s="197"/>
      <c r="O841" s="204"/>
      <c r="P841" s="197"/>
    </row>
    <row r="842">
      <c r="A842" s="172"/>
      <c r="B842" s="204"/>
      <c r="C842" s="204"/>
      <c r="D842" s="197"/>
      <c r="E842" s="197"/>
      <c r="F842" s="197"/>
      <c r="G842" s="197"/>
      <c r="H842" s="197"/>
      <c r="I842" s="197"/>
      <c r="J842" s="204"/>
      <c r="K842" s="197"/>
      <c r="L842" s="197"/>
      <c r="M842" s="197"/>
      <c r="N842" s="197"/>
      <c r="O842" s="204"/>
      <c r="P842" s="197"/>
    </row>
    <row r="843">
      <c r="A843" s="172"/>
      <c r="B843" s="204"/>
      <c r="C843" s="204"/>
      <c r="D843" s="197"/>
      <c r="E843" s="197"/>
      <c r="F843" s="197"/>
      <c r="G843" s="197"/>
      <c r="H843" s="197"/>
      <c r="I843" s="197"/>
      <c r="J843" s="204"/>
      <c r="K843" s="197"/>
      <c r="L843" s="197"/>
      <c r="M843" s="197"/>
      <c r="N843" s="197"/>
      <c r="O843" s="204"/>
      <c r="P843" s="197"/>
    </row>
    <row r="844">
      <c r="A844" s="172"/>
      <c r="B844" s="204"/>
      <c r="C844" s="204"/>
      <c r="D844" s="197"/>
      <c r="E844" s="197"/>
      <c r="F844" s="197"/>
      <c r="G844" s="197"/>
      <c r="H844" s="197"/>
      <c r="I844" s="197"/>
      <c r="J844" s="204"/>
      <c r="K844" s="197"/>
      <c r="L844" s="197"/>
      <c r="M844" s="197"/>
      <c r="N844" s="197"/>
      <c r="O844" s="204"/>
      <c r="P844" s="197"/>
    </row>
    <row r="845">
      <c r="A845" s="172"/>
      <c r="B845" s="204"/>
      <c r="C845" s="204"/>
      <c r="D845" s="197"/>
      <c r="E845" s="197"/>
      <c r="F845" s="197"/>
      <c r="G845" s="197"/>
      <c r="H845" s="197"/>
      <c r="I845" s="197"/>
      <c r="J845" s="204"/>
      <c r="K845" s="197"/>
      <c r="L845" s="197"/>
      <c r="M845" s="197"/>
      <c r="N845" s="197"/>
      <c r="O845" s="204"/>
      <c r="P845" s="197"/>
    </row>
    <row r="846">
      <c r="A846" s="172"/>
      <c r="B846" s="204"/>
      <c r="C846" s="204"/>
      <c r="D846" s="197"/>
      <c r="E846" s="197"/>
      <c r="F846" s="197"/>
      <c r="G846" s="197"/>
      <c r="H846" s="197"/>
      <c r="I846" s="197"/>
      <c r="J846" s="204"/>
      <c r="K846" s="197"/>
      <c r="L846" s="197"/>
      <c r="M846" s="197"/>
      <c r="N846" s="197"/>
      <c r="O846" s="204"/>
      <c r="P846" s="197"/>
    </row>
    <row r="847">
      <c r="A847" s="172"/>
      <c r="B847" s="204"/>
      <c r="C847" s="204"/>
      <c r="D847" s="197"/>
      <c r="E847" s="197"/>
      <c r="F847" s="197"/>
      <c r="G847" s="197"/>
      <c r="H847" s="197"/>
      <c r="I847" s="197"/>
      <c r="J847" s="204"/>
      <c r="K847" s="197"/>
      <c r="L847" s="197"/>
      <c r="M847" s="197"/>
      <c r="N847" s="197"/>
      <c r="O847" s="204"/>
      <c r="P847" s="197"/>
    </row>
    <row r="848">
      <c r="A848" s="172"/>
      <c r="B848" s="204"/>
      <c r="C848" s="204"/>
      <c r="D848" s="197"/>
      <c r="E848" s="197"/>
      <c r="F848" s="197"/>
      <c r="G848" s="197"/>
      <c r="H848" s="197"/>
      <c r="I848" s="197"/>
      <c r="J848" s="204"/>
      <c r="K848" s="197"/>
      <c r="L848" s="197"/>
      <c r="M848" s="197"/>
      <c r="N848" s="197"/>
      <c r="O848" s="204"/>
      <c r="P848" s="197"/>
    </row>
    <row r="849">
      <c r="A849" s="172"/>
      <c r="B849" s="204"/>
      <c r="C849" s="204"/>
      <c r="D849" s="197"/>
      <c r="E849" s="197"/>
      <c r="F849" s="197"/>
      <c r="G849" s="197"/>
      <c r="H849" s="197"/>
      <c r="I849" s="197"/>
      <c r="J849" s="204"/>
      <c r="K849" s="197"/>
      <c r="L849" s="197"/>
      <c r="M849" s="197"/>
      <c r="N849" s="197"/>
      <c r="O849" s="204"/>
      <c r="P849" s="197"/>
    </row>
    <row r="850">
      <c r="A850" s="172"/>
      <c r="B850" s="204"/>
      <c r="C850" s="204"/>
      <c r="D850" s="197"/>
      <c r="E850" s="197"/>
      <c r="F850" s="197"/>
      <c r="G850" s="197"/>
      <c r="H850" s="197"/>
      <c r="I850" s="197"/>
      <c r="J850" s="204"/>
      <c r="K850" s="197"/>
      <c r="L850" s="197"/>
      <c r="M850" s="197"/>
      <c r="N850" s="197"/>
      <c r="O850" s="204"/>
      <c r="P850" s="197"/>
    </row>
    <row r="851">
      <c r="A851" s="172"/>
      <c r="B851" s="204"/>
      <c r="C851" s="204"/>
      <c r="D851" s="197"/>
      <c r="E851" s="197"/>
      <c r="F851" s="197"/>
      <c r="G851" s="197"/>
      <c r="H851" s="197"/>
      <c r="I851" s="197"/>
      <c r="J851" s="204"/>
      <c r="K851" s="197"/>
      <c r="L851" s="197"/>
      <c r="M851" s="197"/>
      <c r="N851" s="197"/>
      <c r="O851" s="204"/>
      <c r="P851" s="197"/>
    </row>
    <row r="852">
      <c r="A852" s="172"/>
      <c r="B852" s="204"/>
      <c r="C852" s="204"/>
      <c r="D852" s="197"/>
      <c r="E852" s="197"/>
      <c r="F852" s="197"/>
      <c r="G852" s="197"/>
      <c r="H852" s="197"/>
      <c r="I852" s="197"/>
      <c r="J852" s="204"/>
      <c r="K852" s="197"/>
      <c r="L852" s="197"/>
      <c r="M852" s="197"/>
      <c r="N852" s="197"/>
      <c r="O852" s="204"/>
      <c r="P852" s="197"/>
    </row>
    <row r="853">
      <c r="A853" s="172"/>
      <c r="B853" s="204"/>
      <c r="C853" s="204"/>
      <c r="D853" s="197"/>
      <c r="E853" s="197"/>
      <c r="F853" s="197"/>
      <c r="G853" s="197"/>
      <c r="H853" s="197"/>
      <c r="I853" s="197"/>
      <c r="J853" s="204"/>
      <c r="K853" s="197"/>
      <c r="L853" s="197"/>
      <c r="M853" s="197"/>
      <c r="N853" s="197"/>
      <c r="O853" s="204"/>
      <c r="P853" s="197"/>
    </row>
    <row r="854">
      <c r="A854" s="172"/>
      <c r="B854" s="204"/>
      <c r="C854" s="204"/>
      <c r="D854" s="197"/>
      <c r="E854" s="197"/>
      <c r="F854" s="197"/>
      <c r="G854" s="197"/>
      <c r="H854" s="197"/>
      <c r="I854" s="197"/>
      <c r="J854" s="204"/>
      <c r="K854" s="197"/>
      <c r="L854" s="197"/>
      <c r="M854" s="197"/>
      <c r="N854" s="197"/>
      <c r="O854" s="204"/>
      <c r="P854" s="197"/>
    </row>
    <row r="855">
      <c r="A855" s="172"/>
      <c r="B855" s="204"/>
      <c r="C855" s="204"/>
      <c r="D855" s="197"/>
      <c r="E855" s="197"/>
      <c r="F855" s="197"/>
      <c r="G855" s="197"/>
      <c r="H855" s="197"/>
      <c r="I855" s="197"/>
      <c r="J855" s="204"/>
      <c r="K855" s="197"/>
      <c r="L855" s="197"/>
      <c r="M855" s="197"/>
      <c r="N855" s="197"/>
      <c r="O855" s="204"/>
      <c r="P855" s="197"/>
    </row>
    <row r="856">
      <c r="A856" s="172"/>
      <c r="B856" s="204"/>
      <c r="C856" s="204"/>
      <c r="D856" s="197"/>
      <c r="E856" s="197"/>
      <c r="F856" s="197"/>
      <c r="G856" s="197"/>
      <c r="H856" s="197"/>
      <c r="I856" s="197"/>
      <c r="J856" s="204"/>
      <c r="K856" s="197"/>
      <c r="L856" s="197"/>
      <c r="M856" s="197"/>
      <c r="N856" s="197"/>
      <c r="O856" s="204"/>
      <c r="P856" s="197"/>
    </row>
    <row r="857">
      <c r="A857" s="172"/>
      <c r="B857" s="204"/>
      <c r="C857" s="204"/>
      <c r="D857" s="197"/>
      <c r="E857" s="197"/>
      <c r="F857" s="197"/>
      <c r="G857" s="197"/>
      <c r="H857" s="197"/>
      <c r="I857" s="197"/>
      <c r="J857" s="204"/>
      <c r="K857" s="197"/>
      <c r="L857" s="197"/>
      <c r="M857" s="197"/>
      <c r="N857" s="197"/>
      <c r="O857" s="204"/>
      <c r="P857" s="197"/>
    </row>
    <row r="858">
      <c r="A858" s="172"/>
      <c r="B858" s="204"/>
      <c r="C858" s="204"/>
      <c r="D858" s="197"/>
      <c r="E858" s="197"/>
      <c r="F858" s="197"/>
      <c r="G858" s="197"/>
      <c r="H858" s="197"/>
      <c r="I858" s="197"/>
      <c r="J858" s="204"/>
      <c r="K858" s="197"/>
      <c r="L858" s="197"/>
      <c r="M858" s="197"/>
      <c r="N858" s="197"/>
      <c r="O858" s="204"/>
      <c r="P858" s="197"/>
    </row>
    <row r="859">
      <c r="A859" s="172"/>
      <c r="B859" s="204"/>
      <c r="C859" s="204"/>
      <c r="D859" s="197"/>
      <c r="E859" s="197"/>
      <c r="F859" s="197"/>
      <c r="G859" s="197"/>
      <c r="H859" s="197"/>
      <c r="I859" s="197"/>
      <c r="J859" s="204"/>
      <c r="K859" s="197"/>
      <c r="L859" s="197"/>
      <c r="M859" s="197"/>
      <c r="N859" s="197"/>
      <c r="O859" s="204"/>
      <c r="P859" s="197"/>
    </row>
    <row r="860">
      <c r="A860" s="172"/>
      <c r="B860" s="204"/>
      <c r="C860" s="204"/>
      <c r="D860" s="197"/>
      <c r="E860" s="197"/>
      <c r="F860" s="197"/>
      <c r="G860" s="197"/>
      <c r="H860" s="197"/>
      <c r="I860" s="197"/>
      <c r="J860" s="204"/>
      <c r="K860" s="197"/>
      <c r="L860" s="197"/>
      <c r="M860" s="197"/>
      <c r="N860" s="197"/>
      <c r="O860" s="204"/>
      <c r="P860" s="197"/>
    </row>
    <row r="861">
      <c r="A861" s="172"/>
      <c r="B861" s="204"/>
      <c r="C861" s="204"/>
      <c r="D861" s="197"/>
      <c r="E861" s="197"/>
      <c r="F861" s="197"/>
      <c r="G861" s="197"/>
      <c r="H861" s="197"/>
      <c r="I861" s="197"/>
      <c r="J861" s="204"/>
      <c r="K861" s="197"/>
      <c r="L861" s="197"/>
      <c r="M861" s="197"/>
      <c r="N861" s="197"/>
      <c r="O861" s="204"/>
      <c r="P861" s="197"/>
    </row>
    <row r="862">
      <c r="A862" s="172"/>
      <c r="B862" s="204"/>
      <c r="C862" s="204"/>
      <c r="D862" s="197"/>
      <c r="E862" s="197"/>
      <c r="F862" s="197"/>
      <c r="G862" s="197"/>
      <c r="H862" s="197"/>
      <c r="I862" s="197"/>
      <c r="J862" s="204"/>
      <c r="K862" s="197"/>
      <c r="L862" s="197"/>
      <c r="M862" s="197"/>
      <c r="N862" s="197"/>
      <c r="O862" s="204"/>
      <c r="P862" s="197"/>
    </row>
    <row r="863">
      <c r="A863" s="172"/>
      <c r="B863" s="204"/>
      <c r="C863" s="204"/>
      <c r="D863" s="197"/>
      <c r="E863" s="197"/>
      <c r="F863" s="197"/>
      <c r="G863" s="197"/>
      <c r="H863" s="197"/>
      <c r="I863" s="197"/>
      <c r="J863" s="204"/>
      <c r="K863" s="197"/>
      <c r="L863" s="197"/>
      <c r="M863" s="197"/>
      <c r="N863" s="197"/>
      <c r="O863" s="204"/>
      <c r="P863" s="197"/>
    </row>
    <row r="864">
      <c r="A864" s="172"/>
      <c r="B864" s="204"/>
      <c r="C864" s="204"/>
      <c r="D864" s="197"/>
      <c r="E864" s="197"/>
      <c r="F864" s="197"/>
      <c r="G864" s="197"/>
      <c r="H864" s="197"/>
      <c r="I864" s="197"/>
      <c r="J864" s="204"/>
      <c r="K864" s="197"/>
      <c r="L864" s="197"/>
      <c r="M864" s="197"/>
      <c r="N864" s="197"/>
      <c r="O864" s="204"/>
      <c r="P864" s="197"/>
    </row>
    <row r="865">
      <c r="A865" s="172"/>
      <c r="B865" s="204"/>
      <c r="C865" s="204"/>
      <c r="D865" s="197"/>
      <c r="E865" s="197"/>
      <c r="F865" s="197"/>
      <c r="G865" s="197"/>
      <c r="H865" s="197"/>
      <c r="I865" s="197"/>
      <c r="J865" s="204"/>
      <c r="K865" s="197"/>
      <c r="L865" s="197"/>
      <c r="M865" s="197"/>
      <c r="N865" s="197"/>
      <c r="O865" s="204"/>
      <c r="P865" s="197"/>
    </row>
    <row r="866">
      <c r="A866" s="172"/>
      <c r="B866" s="204"/>
      <c r="C866" s="204"/>
      <c r="D866" s="197"/>
      <c r="E866" s="197"/>
      <c r="F866" s="197"/>
      <c r="G866" s="197"/>
      <c r="H866" s="197"/>
      <c r="I866" s="197"/>
      <c r="J866" s="204"/>
      <c r="K866" s="197"/>
      <c r="L866" s="197"/>
      <c r="M866" s="197"/>
      <c r="N866" s="197"/>
      <c r="O866" s="204"/>
      <c r="P866" s="197"/>
    </row>
    <row r="867">
      <c r="A867" s="172"/>
      <c r="B867" s="204"/>
      <c r="C867" s="204"/>
      <c r="D867" s="197"/>
      <c r="E867" s="197"/>
      <c r="F867" s="197"/>
      <c r="G867" s="197"/>
      <c r="H867" s="197"/>
      <c r="I867" s="197"/>
      <c r="J867" s="204"/>
      <c r="K867" s="197"/>
      <c r="L867" s="197"/>
      <c r="M867" s="197"/>
      <c r="N867" s="197"/>
      <c r="O867" s="204"/>
      <c r="P867" s="197"/>
    </row>
    <row r="868">
      <c r="A868" s="172"/>
      <c r="B868" s="204"/>
      <c r="C868" s="204"/>
      <c r="D868" s="197"/>
      <c r="E868" s="197"/>
      <c r="F868" s="197"/>
      <c r="G868" s="197"/>
      <c r="H868" s="197"/>
      <c r="I868" s="197"/>
      <c r="J868" s="204"/>
      <c r="K868" s="197"/>
      <c r="L868" s="197"/>
      <c r="M868" s="197"/>
      <c r="N868" s="197"/>
      <c r="O868" s="204"/>
      <c r="P868" s="197"/>
    </row>
    <row r="869">
      <c r="A869" s="172"/>
      <c r="B869" s="204"/>
      <c r="C869" s="204"/>
      <c r="D869" s="197"/>
      <c r="E869" s="197"/>
      <c r="F869" s="197"/>
      <c r="G869" s="197"/>
      <c r="H869" s="197"/>
      <c r="I869" s="197"/>
      <c r="J869" s="204"/>
      <c r="K869" s="197"/>
      <c r="L869" s="197"/>
      <c r="M869" s="197"/>
      <c r="N869" s="197"/>
      <c r="O869" s="204"/>
      <c r="P869" s="197"/>
    </row>
    <row r="870">
      <c r="A870" s="172"/>
      <c r="B870" s="204"/>
      <c r="C870" s="204"/>
      <c r="D870" s="197"/>
      <c r="E870" s="197"/>
      <c r="F870" s="197"/>
      <c r="G870" s="197"/>
      <c r="H870" s="197"/>
      <c r="I870" s="197"/>
      <c r="J870" s="204"/>
      <c r="K870" s="197"/>
      <c r="L870" s="197"/>
      <c r="M870" s="197"/>
      <c r="N870" s="197"/>
      <c r="O870" s="204"/>
      <c r="P870" s="197"/>
    </row>
    <row r="871">
      <c r="A871" s="172"/>
      <c r="B871" s="204"/>
      <c r="C871" s="204"/>
      <c r="D871" s="197"/>
      <c r="E871" s="197"/>
      <c r="F871" s="197"/>
      <c r="G871" s="197"/>
      <c r="H871" s="197"/>
      <c r="I871" s="197"/>
      <c r="J871" s="204"/>
      <c r="K871" s="197"/>
      <c r="L871" s="197"/>
      <c r="M871" s="197"/>
      <c r="N871" s="197"/>
      <c r="O871" s="204"/>
      <c r="P871" s="197"/>
    </row>
    <row r="872">
      <c r="A872" s="172"/>
      <c r="B872" s="204"/>
      <c r="C872" s="204"/>
      <c r="D872" s="197"/>
      <c r="E872" s="197"/>
      <c r="F872" s="197"/>
      <c r="G872" s="197"/>
      <c r="H872" s="197"/>
      <c r="I872" s="197"/>
      <c r="J872" s="204"/>
      <c r="K872" s="197"/>
      <c r="L872" s="197"/>
      <c r="M872" s="197"/>
      <c r="N872" s="197"/>
      <c r="O872" s="204"/>
      <c r="P872" s="197"/>
    </row>
    <row r="873">
      <c r="A873" s="172"/>
      <c r="B873" s="204"/>
      <c r="C873" s="204"/>
      <c r="D873" s="197"/>
      <c r="E873" s="197"/>
      <c r="F873" s="197"/>
      <c r="G873" s="197"/>
      <c r="H873" s="197"/>
      <c r="I873" s="197"/>
      <c r="J873" s="204"/>
      <c r="K873" s="197"/>
      <c r="L873" s="197"/>
      <c r="M873" s="197"/>
      <c r="N873" s="197"/>
      <c r="O873" s="204"/>
      <c r="P873" s="197"/>
    </row>
    <row r="874">
      <c r="A874" s="172"/>
      <c r="B874" s="204"/>
      <c r="C874" s="204"/>
      <c r="D874" s="197"/>
      <c r="E874" s="197"/>
      <c r="F874" s="197"/>
      <c r="G874" s="197"/>
      <c r="H874" s="197"/>
      <c r="I874" s="197"/>
      <c r="J874" s="204"/>
      <c r="K874" s="197"/>
      <c r="L874" s="197"/>
      <c r="M874" s="197"/>
      <c r="N874" s="197"/>
      <c r="O874" s="204"/>
      <c r="P874" s="197"/>
    </row>
    <row r="875">
      <c r="A875" s="172"/>
      <c r="B875" s="204"/>
      <c r="C875" s="204"/>
      <c r="D875" s="197"/>
      <c r="E875" s="197"/>
      <c r="F875" s="197"/>
      <c r="G875" s="197"/>
      <c r="H875" s="197"/>
      <c r="I875" s="197"/>
      <c r="J875" s="204"/>
      <c r="K875" s="197"/>
      <c r="L875" s="197"/>
      <c r="M875" s="197"/>
      <c r="N875" s="197"/>
      <c r="O875" s="204"/>
      <c r="P875" s="197"/>
    </row>
    <row r="876">
      <c r="A876" s="172"/>
      <c r="B876" s="204"/>
      <c r="C876" s="204"/>
      <c r="D876" s="197"/>
      <c r="E876" s="197"/>
      <c r="F876" s="197"/>
      <c r="G876" s="197"/>
      <c r="H876" s="197"/>
      <c r="I876" s="197"/>
      <c r="J876" s="204"/>
      <c r="K876" s="197"/>
      <c r="L876" s="197"/>
      <c r="M876" s="197"/>
      <c r="N876" s="197"/>
      <c r="O876" s="204"/>
      <c r="P876" s="197"/>
    </row>
    <row r="877">
      <c r="A877" s="172"/>
      <c r="B877" s="204"/>
      <c r="C877" s="204"/>
      <c r="D877" s="197"/>
      <c r="E877" s="197"/>
      <c r="F877" s="197"/>
      <c r="G877" s="197"/>
      <c r="H877" s="197"/>
      <c r="I877" s="197"/>
      <c r="J877" s="204"/>
      <c r="K877" s="197"/>
      <c r="L877" s="197"/>
      <c r="M877" s="197"/>
      <c r="N877" s="197"/>
      <c r="O877" s="204"/>
      <c r="P877" s="197"/>
    </row>
    <row r="878">
      <c r="A878" s="172"/>
      <c r="B878" s="204"/>
      <c r="C878" s="204"/>
      <c r="D878" s="197"/>
      <c r="E878" s="197"/>
      <c r="F878" s="197"/>
      <c r="G878" s="197"/>
      <c r="H878" s="197"/>
      <c r="I878" s="197"/>
      <c r="J878" s="204"/>
      <c r="K878" s="197"/>
      <c r="L878" s="197"/>
      <c r="M878" s="197"/>
      <c r="N878" s="197"/>
      <c r="O878" s="204"/>
      <c r="P878" s="197"/>
    </row>
    <row r="879">
      <c r="A879" s="172"/>
      <c r="B879" s="204"/>
      <c r="C879" s="204"/>
      <c r="D879" s="197"/>
      <c r="E879" s="197"/>
      <c r="F879" s="197"/>
      <c r="G879" s="197"/>
      <c r="H879" s="197"/>
      <c r="I879" s="197"/>
      <c r="J879" s="204"/>
      <c r="K879" s="197"/>
      <c r="L879" s="197"/>
      <c r="M879" s="197"/>
      <c r="N879" s="197"/>
      <c r="O879" s="204"/>
      <c r="P879" s="197"/>
    </row>
    <row r="880">
      <c r="A880" s="172"/>
      <c r="B880" s="204"/>
      <c r="C880" s="204"/>
      <c r="D880" s="197"/>
      <c r="E880" s="197"/>
      <c r="F880" s="197"/>
      <c r="G880" s="197"/>
      <c r="H880" s="197"/>
      <c r="I880" s="197"/>
      <c r="J880" s="204"/>
      <c r="K880" s="197"/>
      <c r="L880" s="197"/>
      <c r="M880" s="197"/>
      <c r="N880" s="197"/>
      <c r="O880" s="204"/>
      <c r="P880" s="197"/>
    </row>
    <row r="881">
      <c r="A881" s="172"/>
      <c r="B881" s="204"/>
      <c r="C881" s="204"/>
      <c r="D881" s="197"/>
      <c r="E881" s="197"/>
      <c r="F881" s="197"/>
      <c r="G881" s="197"/>
      <c r="H881" s="197"/>
      <c r="I881" s="197"/>
      <c r="J881" s="204"/>
      <c r="K881" s="197"/>
      <c r="L881" s="197"/>
      <c r="M881" s="197"/>
      <c r="N881" s="197"/>
      <c r="O881" s="204"/>
      <c r="P881" s="197"/>
    </row>
    <row r="882">
      <c r="A882" s="172"/>
      <c r="B882" s="204"/>
      <c r="C882" s="204"/>
      <c r="D882" s="197"/>
      <c r="E882" s="197"/>
      <c r="F882" s="197"/>
      <c r="G882" s="197"/>
      <c r="H882" s="197"/>
      <c r="I882" s="197"/>
      <c r="J882" s="204"/>
      <c r="K882" s="197"/>
      <c r="L882" s="197"/>
      <c r="M882" s="197"/>
      <c r="N882" s="197"/>
      <c r="O882" s="204"/>
      <c r="P882" s="197"/>
    </row>
    <row r="883">
      <c r="A883" s="172"/>
      <c r="B883" s="204"/>
      <c r="C883" s="204"/>
      <c r="D883" s="197"/>
      <c r="E883" s="197"/>
      <c r="F883" s="197"/>
      <c r="G883" s="197"/>
      <c r="H883" s="197"/>
      <c r="I883" s="197"/>
      <c r="J883" s="204"/>
      <c r="K883" s="197"/>
      <c r="L883" s="197"/>
      <c r="M883" s="197"/>
      <c r="N883" s="197"/>
      <c r="O883" s="204"/>
      <c r="P883" s="197"/>
    </row>
    <row r="884">
      <c r="A884" s="172"/>
      <c r="B884" s="204"/>
      <c r="C884" s="204"/>
      <c r="D884" s="197"/>
      <c r="E884" s="197"/>
      <c r="F884" s="197"/>
      <c r="G884" s="197"/>
      <c r="H884" s="197"/>
      <c r="I884" s="197"/>
      <c r="J884" s="204"/>
      <c r="K884" s="197"/>
      <c r="L884" s="197"/>
      <c r="M884" s="197"/>
      <c r="N884" s="197"/>
      <c r="O884" s="204"/>
      <c r="P884" s="197"/>
    </row>
    <row r="885">
      <c r="A885" s="172"/>
      <c r="B885" s="204"/>
      <c r="C885" s="204"/>
      <c r="D885" s="197"/>
      <c r="E885" s="197"/>
      <c r="F885" s="197"/>
      <c r="G885" s="197"/>
      <c r="H885" s="197"/>
      <c r="I885" s="197"/>
      <c r="J885" s="204"/>
      <c r="K885" s="197"/>
      <c r="L885" s="197"/>
      <c r="M885" s="197"/>
      <c r="N885" s="197"/>
      <c r="O885" s="204"/>
      <c r="P885" s="197"/>
    </row>
    <row r="886">
      <c r="A886" s="172"/>
      <c r="B886" s="204"/>
      <c r="C886" s="204"/>
      <c r="D886" s="197"/>
      <c r="E886" s="197"/>
      <c r="F886" s="197"/>
      <c r="G886" s="197"/>
      <c r="H886" s="197"/>
      <c r="I886" s="197"/>
      <c r="J886" s="204"/>
      <c r="K886" s="197"/>
      <c r="L886" s="197"/>
      <c r="M886" s="197"/>
      <c r="N886" s="197"/>
      <c r="O886" s="204"/>
      <c r="P886" s="197"/>
    </row>
    <row r="887">
      <c r="A887" s="172"/>
      <c r="B887" s="204"/>
      <c r="C887" s="204"/>
      <c r="D887" s="197"/>
      <c r="E887" s="197"/>
      <c r="F887" s="197"/>
      <c r="G887" s="197"/>
      <c r="H887" s="197"/>
      <c r="I887" s="197"/>
      <c r="J887" s="204"/>
      <c r="K887" s="197"/>
      <c r="L887" s="197"/>
      <c r="M887" s="197"/>
      <c r="N887" s="197"/>
      <c r="O887" s="204"/>
      <c r="P887" s="197"/>
    </row>
    <row r="888">
      <c r="A888" s="172"/>
      <c r="B888" s="204"/>
      <c r="C888" s="204"/>
      <c r="D888" s="197"/>
      <c r="E888" s="197"/>
      <c r="F888" s="197"/>
      <c r="G888" s="197"/>
      <c r="H888" s="197"/>
      <c r="I888" s="197"/>
      <c r="J888" s="204"/>
      <c r="K888" s="197"/>
      <c r="L888" s="197"/>
      <c r="M888" s="197"/>
      <c r="N888" s="197"/>
      <c r="O888" s="204"/>
      <c r="P888" s="197"/>
    </row>
    <row r="889">
      <c r="A889" s="172"/>
      <c r="B889" s="204"/>
      <c r="C889" s="204"/>
      <c r="D889" s="197"/>
      <c r="E889" s="197"/>
      <c r="F889" s="197"/>
      <c r="G889" s="197"/>
      <c r="H889" s="197"/>
      <c r="I889" s="197"/>
      <c r="J889" s="204"/>
      <c r="K889" s="197"/>
      <c r="L889" s="197"/>
      <c r="M889" s="197"/>
      <c r="N889" s="197"/>
      <c r="O889" s="204"/>
      <c r="P889" s="197"/>
    </row>
    <row r="890">
      <c r="A890" s="172"/>
      <c r="B890" s="204"/>
      <c r="C890" s="204"/>
      <c r="D890" s="197"/>
      <c r="E890" s="197"/>
      <c r="F890" s="197"/>
      <c r="G890" s="197"/>
      <c r="H890" s="197"/>
      <c r="I890" s="197"/>
      <c r="J890" s="204"/>
      <c r="K890" s="197"/>
      <c r="L890" s="197"/>
      <c r="M890" s="197"/>
      <c r="N890" s="197"/>
      <c r="O890" s="204"/>
      <c r="P890" s="197"/>
    </row>
    <row r="891">
      <c r="A891" s="172"/>
      <c r="B891" s="204"/>
      <c r="C891" s="204"/>
      <c r="D891" s="197"/>
      <c r="E891" s="197"/>
      <c r="F891" s="197"/>
      <c r="G891" s="197"/>
      <c r="H891" s="197"/>
      <c r="I891" s="197"/>
      <c r="J891" s="204"/>
      <c r="K891" s="197"/>
      <c r="L891" s="197"/>
      <c r="M891" s="197"/>
      <c r="N891" s="197"/>
      <c r="O891" s="204"/>
      <c r="P891" s="197"/>
    </row>
    <row r="892">
      <c r="A892" s="172"/>
      <c r="B892" s="204"/>
      <c r="C892" s="204"/>
      <c r="D892" s="197"/>
      <c r="E892" s="197"/>
      <c r="F892" s="197"/>
      <c r="G892" s="197"/>
      <c r="H892" s="197"/>
      <c r="I892" s="197"/>
      <c r="J892" s="204"/>
      <c r="K892" s="197"/>
      <c r="L892" s="197"/>
      <c r="M892" s="197"/>
      <c r="N892" s="197"/>
      <c r="O892" s="204"/>
      <c r="P892" s="197"/>
    </row>
    <row r="893">
      <c r="A893" s="172"/>
      <c r="B893" s="204"/>
      <c r="C893" s="204"/>
      <c r="D893" s="197"/>
      <c r="E893" s="197"/>
      <c r="F893" s="197"/>
      <c r="G893" s="197"/>
      <c r="H893" s="197"/>
      <c r="I893" s="197"/>
      <c r="J893" s="204"/>
      <c r="K893" s="197"/>
      <c r="L893" s="197"/>
      <c r="M893" s="197"/>
      <c r="N893" s="197"/>
      <c r="O893" s="204"/>
      <c r="P893" s="197"/>
    </row>
    <row r="894">
      <c r="A894" s="172"/>
      <c r="B894" s="204"/>
      <c r="C894" s="204"/>
      <c r="D894" s="197"/>
      <c r="E894" s="197"/>
      <c r="F894" s="197"/>
      <c r="G894" s="197"/>
      <c r="H894" s="197"/>
      <c r="I894" s="197"/>
      <c r="J894" s="204"/>
      <c r="K894" s="197"/>
      <c r="L894" s="197"/>
      <c r="M894" s="197"/>
      <c r="N894" s="197"/>
      <c r="O894" s="204"/>
      <c r="P894" s="197"/>
    </row>
    <row r="895">
      <c r="A895" s="172"/>
      <c r="B895" s="204"/>
      <c r="C895" s="204"/>
      <c r="D895" s="197"/>
      <c r="E895" s="197"/>
      <c r="F895" s="197"/>
      <c r="G895" s="197"/>
      <c r="H895" s="197"/>
      <c r="I895" s="197"/>
      <c r="J895" s="204"/>
      <c r="K895" s="197"/>
      <c r="L895" s="197"/>
      <c r="M895" s="197"/>
      <c r="N895" s="197"/>
      <c r="O895" s="204"/>
      <c r="P895" s="197"/>
    </row>
    <row r="896">
      <c r="A896" s="172"/>
      <c r="B896" s="204"/>
      <c r="C896" s="204"/>
      <c r="D896" s="197"/>
      <c r="E896" s="197"/>
      <c r="F896" s="197"/>
      <c r="G896" s="197"/>
      <c r="H896" s="197"/>
      <c r="I896" s="197"/>
      <c r="J896" s="204"/>
      <c r="K896" s="197"/>
      <c r="L896" s="197"/>
      <c r="M896" s="197"/>
      <c r="N896" s="197"/>
      <c r="O896" s="204"/>
      <c r="P896" s="197"/>
    </row>
    <row r="897">
      <c r="A897" s="172"/>
      <c r="B897" s="204"/>
      <c r="C897" s="204"/>
      <c r="D897" s="197"/>
      <c r="E897" s="197"/>
      <c r="F897" s="197"/>
      <c r="G897" s="197"/>
      <c r="H897" s="197"/>
      <c r="I897" s="197"/>
      <c r="J897" s="204"/>
      <c r="K897" s="197"/>
      <c r="L897" s="197"/>
      <c r="M897" s="197"/>
      <c r="N897" s="197"/>
      <c r="O897" s="204"/>
      <c r="P897" s="197"/>
    </row>
    <row r="898">
      <c r="A898" s="172"/>
      <c r="B898" s="204"/>
      <c r="C898" s="204"/>
      <c r="D898" s="197"/>
      <c r="E898" s="197"/>
      <c r="F898" s="197"/>
      <c r="G898" s="197"/>
      <c r="H898" s="197"/>
      <c r="I898" s="197"/>
      <c r="J898" s="204"/>
      <c r="K898" s="197"/>
      <c r="L898" s="197"/>
      <c r="M898" s="197"/>
      <c r="N898" s="197"/>
      <c r="O898" s="204"/>
      <c r="P898" s="197"/>
    </row>
    <row r="899">
      <c r="A899" s="172"/>
      <c r="B899" s="204"/>
      <c r="C899" s="204"/>
      <c r="D899" s="197"/>
      <c r="E899" s="197"/>
      <c r="F899" s="197"/>
      <c r="G899" s="197"/>
      <c r="H899" s="197"/>
      <c r="I899" s="197"/>
      <c r="J899" s="204"/>
      <c r="K899" s="197"/>
      <c r="L899" s="197"/>
      <c r="M899" s="197"/>
      <c r="N899" s="197"/>
      <c r="O899" s="204"/>
      <c r="P899" s="197"/>
    </row>
    <row r="900">
      <c r="A900" s="172"/>
      <c r="B900" s="204"/>
      <c r="C900" s="204"/>
      <c r="D900" s="197"/>
      <c r="E900" s="197"/>
      <c r="F900" s="197"/>
      <c r="G900" s="197"/>
      <c r="H900" s="197"/>
      <c r="I900" s="197"/>
      <c r="J900" s="204"/>
      <c r="K900" s="197"/>
      <c r="L900" s="197"/>
      <c r="M900" s="197"/>
      <c r="N900" s="197"/>
      <c r="O900" s="204"/>
      <c r="P900" s="197"/>
    </row>
    <row r="901">
      <c r="A901" s="172"/>
      <c r="B901" s="204"/>
      <c r="C901" s="204"/>
      <c r="D901" s="197"/>
      <c r="E901" s="197"/>
      <c r="F901" s="197"/>
      <c r="G901" s="197"/>
      <c r="H901" s="197"/>
      <c r="I901" s="197"/>
      <c r="J901" s="204"/>
      <c r="K901" s="197"/>
      <c r="L901" s="197"/>
      <c r="M901" s="197"/>
      <c r="N901" s="197"/>
      <c r="O901" s="204"/>
      <c r="P901" s="197"/>
    </row>
    <row r="902">
      <c r="A902" s="172"/>
      <c r="B902" s="204"/>
      <c r="C902" s="204"/>
      <c r="D902" s="197"/>
      <c r="E902" s="197"/>
      <c r="F902" s="197"/>
      <c r="G902" s="197"/>
      <c r="H902" s="197"/>
      <c r="I902" s="197"/>
      <c r="J902" s="204"/>
      <c r="K902" s="197"/>
      <c r="L902" s="197"/>
      <c r="M902" s="197"/>
      <c r="N902" s="197"/>
      <c r="O902" s="204"/>
      <c r="P902" s="197"/>
    </row>
    <row r="903">
      <c r="A903" s="172"/>
      <c r="B903" s="204"/>
      <c r="C903" s="204"/>
      <c r="D903" s="197"/>
      <c r="E903" s="197"/>
      <c r="F903" s="197"/>
      <c r="G903" s="197"/>
      <c r="H903" s="197"/>
      <c r="I903" s="197"/>
      <c r="J903" s="204"/>
      <c r="K903" s="197"/>
      <c r="L903" s="197"/>
      <c r="M903" s="197"/>
      <c r="N903" s="197"/>
      <c r="O903" s="204"/>
      <c r="P903" s="197"/>
    </row>
    <row r="904">
      <c r="A904" s="172"/>
      <c r="B904" s="204"/>
      <c r="C904" s="204"/>
      <c r="D904" s="197"/>
      <c r="E904" s="197"/>
      <c r="F904" s="197"/>
      <c r="G904" s="197"/>
      <c r="H904" s="197"/>
      <c r="I904" s="197"/>
      <c r="J904" s="204"/>
      <c r="K904" s="197"/>
      <c r="L904" s="197"/>
      <c r="M904" s="197"/>
      <c r="N904" s="197"/>
      <c r="O904" s="204"/>
      <c r="P904" s="197"/>
    </row>
    <row r="905">
      <c r="A905" s="172"/>
      <c r="B905" s="204"/>
      <c r="C905" s="204"/>
      <c r="D905" s="197"/>
      <c r="E905" s="197"/>
      <c r="F905" s="197"/>
      <c r="G905" s="197"/>
      <c r="H905" s="197"/>
      <c r="I905" s="197"/>
      <c r="J905" s="204"/>
      <c r="K905" s="197"/>
      <c r="L905" s="197"/>
      <c r="M905" s="197"/>
      <c r="N905" s="197"/>
      <c r="O905" s="204"/>
      <c r="P905" s="197"/>
    </row>
    <row r="906">
      <c r="A906" s="172"/>
      <c r="B906" s="204"/>
      <c r="C906" s="204"/>
      <c r="D906" s="197"/>
      <c r="E906" s="197"/>
      <c r="F906" s="197"/>
      <c r="G906" s="197"/>
      <c r="H906" s="197"/>
      <c r="I906" s="197"/>
      <c r="J906" s="204"/>
      <c r="K906" s="197"/>
      <c r="L906" s="197"/>
      <c r="M906" s="197"/>
      <c r="N906" s="197"/>
      <c r="O906" s="204"/>
      <c r="P906" s="197"/>
    </row>
    <row r="907">
      <c r="A907" s="172"/>
      <c r="B907" s="204"/>
      <c r="C907" s="204"/>
      <c r="D907" s="197"/>
      <c r="E907" s="197"/>
      <c r="F907" s="197"/>
      <c r="G907" s="197"/>
      <c r="H907" s="197"/>
      <c r="I907" s="197"/>
      <c r="J907" s="204"/>
      <c r="K907" s="197"/>
      <c r="L907" s="197"/>
      <c r="M907" s="197"/>
      <c r="N907" s="197"/>
      <c r="O907" s="204"/>
      <c r="P907" s="197"/>
    </row>
    <row r="908">
      <c r="A908" s="172"/>
      <c r="B908" s="204"/>
      <c r="C908" s="204"/>
      <c r="D908" s="197"/>
      <c r="E908" s="197"/>
      <c r="F908" s="197"/>
      <c r="G908" s="197"/>
      <c r="H908" s="197"/>
      <c r="I908" s="197"/>
      <c r="J908" s="204"/>
      <c r="K908" s="197"/>
      <c r="L908" s="197"/>
      <c r="M908" s="197"/>
      <c r="N908" s="197"/>
      <c r="O908" s="204"/>
      <c r="P908" s="197"/>
    </row>
    <row r="909">
      <c r="A909" s="172"/>
      <c r="B909" s="204"/>
      <c r="C909" s="204"/>
      <c r="D909" s="197"/>
      <c r="E909" s="197"/>
      <c r="F909" s="197"/>
      <c r="G909" s="197"/>
      <c r="H909" s="197"/>
      <c r="I909" s="197"/>
      <c r="J909" s="204"/>
      <c r="K909" s="197"/>
      <c r="L909" s="197"/>
      <c r="M909" s="197"/>
      <c r="N909" s="197"/>
      <c r="O909" s="204"/>
      <c r="P909" s="197"/>
    </row>
    <row r="910">
      <c r="A910" s="172"/>
      <c r="B910" s="204"/>
      <c r="C910" s="204"/>
      <c r="D910" s="197"/>
      <c r="E910" s="197"/>
      <c r="F910" s="197"/>
      <c r="G910" s="197"/>
      <c r="H910" s="197"/>
      <c r="I910" s="197"/>
      <c r="J910" s="204"/>
      <c r="K910" s="197"/>
      <c r="L910" s="197"/>
      <c r="M910" s="197"/>
      <c r="N910" s="197"/>
      <c r="O910" s="204"/>
      <c r="P910" s="197"/>
    </row>
    <row r="911">
      <c r="A911" s="172"/>
      <c r="B911" s="204"/>
      <c r="C911" s="204"/>
      <c r="D911" s="197"/>
      <c r="E911" s="197"/>
      <c r="F911" s="197"/>
      <c r="G911" s="197"/>
      <c r="H911" s="197"/>
      <c r="I911" s="197"/>
      <c r="J911" s="204"/>
      <c r="K911" s="197"/>
      <c r="L911" s="197"/>
      <c r="M911" s="197"/>
      <c r="N911" s="197"/>
      <c r="O911" s="204"/>
      <c r="P911" s="197"/>
    </row>
    <row r="912">
      <c r="A912" s="172"/>
      <c r="B912" s="204"/>
      <c r="C912" s="204"/>
      <c r="D912" s="197"/>
      <c r="E912" s="197"/>
      <c r="F912" s="197"/>
      <c r="G912" s="197"/>
      <c r="H912" s="197"/>
      <c r="I912" s="197"/>
      <c r="J912" s="204"/>
      <c r="K912" s="197"/>
      <c r="L912" s="197"/>
      <c r="M912" s="197"/>
      <c r="N912" s="197"/>
      <c r="O912" s="204"/>
      <c r="P912" s="197"/>
    </row>
    <row r="913">
      <c r="A913" s="172"/>
      <c r="B913" s="204"/>
      <c r="C913" s="204"/>
      <c r="D913" s="197"/>
      <c r="E913" s="197"/>
      <c r="F913" s="197"/>
      <c r="G913" s="197"/>
      <c r="H913" s="197"/>
      <c r="I913" s="197"/>
      <c r="J913" s="204"/>
      <c r="K913" s="197"/>
      <c r="L913" s="197"/>
      <c r="M913" s="197"/>
      <c r="N913" s="197"/>
      <c r="O913" s="204"/>
      <c r="P913" s="197"/>
    </row>
    <row r="914">
      <c r="A914" s="172"/>
      <c r="B914" s="204"/>
      <c r="C914" s="204"/>
      <c r="D914" s="197"/>
      <c r="E914" s="197"/>
      <c r="F914" s="197"/>
      <c r="G914" s="197"/>
      <c r="H914" s="197"/>
      <c r="I914" s="197"/>
      <c r="J914" s="204"/>
      <c r="K914" s="197"/>
      <c r="L914" s="197"/>
      <c r="M914" s="197"/>
      <c r="N914" s="197"/>
      <c r="O914" s="204"/>
      <c r="P914" s="197"/>
    </row>
    <row r="915">
      <c r="A915" s="172"/>
      <c r="B915" s="204"/>
      <c r="C915" s="204"/>
      <c r="D915" s="197"/>
      <c r="E915" s="197"/>
      <c r="F915" s="197"/>
      <c r="G915" s="197"/>
      <c r="H915" s="197"/>
      <c r="I915" s="197"/>
      <c r="J915" s="204"/>
      <c r="K915" s="197"/>
      <c r="L915" s="197"/>
      <c r="M915" s="197"/>
      <c r="N915" s="197"/>
      <c r="O915" s="204"/>
      <c r="P915" s="197"/>
    </row>
    <row r="916">
      <c r="A916" s="172"/>
      <c r="B916" s="204"/>
      <c r="C916" s="204"/>
      <c r="D916" s="197"/>
      <c r="E916" s="197"/>
      <c r="F916" s="197"/>
      <c r="G916" s="197"/>
      <c r="H916" s="197"/>
      <c r="I916" s="197"/>
      <c r="J916" s="204"/>
      <c r="K916" s="197"/>
      <c r="L916" s="197"/>
      <c r="M916" s="197"/>
      <c r="N916" s="197"/>
      <c r="O916" s="204"/>
      <c r="P916" s="197"/>
    </row>
    <row r="917">
      <c r="A917" s="172"/>
      <c r="B917" s="204"/>
      <c r="C917" s="204"/>
      <c r="D917" s="197"/>
      <c r="E917" s="197"/>
      <c r="F917" s="197"/>
      <c r="G917" s="197"/>
      <c r="H917" s="197"/>
      <c r="I917" s="197"/>
      <c r="J917" s="204"/>
      <c r="K917" s="197"/>
      <c r="L917" s="197"/>
      <c r="M917" s="197"/>
      <c r="N917" s="197"/>
      <c r="O917" s="204"/>
      <c r="P917" s="197"/>
    </row>
    <row r="918">
      <c r="A918" s="172"/>
      <c r="B918" s="204"/>
      <c r="C918" s="204"/>
      <c r="D918" s="197"/>
      <c r="E918" s="197"/>
      <c r="F918" s="197"/>
      <c r="G918" s="197"/>
      <c r="H918" s="197"/>
      <c r="I918" s="197"/>
      <c r="J918" s="204"/>
      <c r="K918" s="197"/>
      <c r="L918" s="197"/>
      <c r="M918" s="197"/>
      <c r="N918" s="197"/>
      <c r="O918" s="204"/>
      <c r="P918" s="197"/>
    </row>
    <row r="919">
      <c r="A919" s="172"/>
      <c r="B919" s="204"/>
      <c r="C919" s="204"/>
      <c r="D919" s="197"/>
      <c r="E919" s="197"/>
      <c r="F919" s="197"/>
      <c r="G919" s="197"/>
      <c r="H919" s="197"/>
      <c r="I919" s="197"/>
      <c r="J919" s="204"/>
      <c r="K919" s="197"/>
      <c r="L919" s="197"/>
      <c r="M919" s="197"/>
      <c r="N919" s="197"/>
      <c r="O919" s="204"/>
      <c r="P919" s="197"/>
    </row>
    <row r="920">
      <c r="A920" s="172"/>
      <c r="B920" s="204"/>
      <c r="C920" s="204"/>
      <c r="D920" s="197"/>
      <c r="E920" s="197"/>
      <c r="F920" s="197"/>
      <c r="G920" s="197"/>
      <c r="H920" s="197"/>
      <c r="I920" s="197"/>
      <c r="J920" s="204"/>
      <c r="K920" s="197"/>
      <c r="L920" s="197"/>
      <c r="M920" s="197"/>
      <c r="N920" s="197"/>
      <c r="O920" s="204"/>
      <c r="P920" s="197"/>
    </row>
    <row r="921">
      <c r="A921" s="172"/>
      <c r="B921" s="204"/>
      <c r="C921" s="204"/>
      <c r="D921" s="197"/>
      <c r="E921" s="197"/>
      <c r="F921" s="197"/>
      <c r="G921" s="197"/>
      <c r="H921" s="197"/>
      <c r="I921" s="197"/>
      <c r="J921" s="204"/>
      <c r="K921" s="197"/>
      <c r="L921" s="197"/>
      <c r="M921" s="197"/>
      <c r="N921" s="197"/>
      <c r="O921" s="204"/>
      <c r="P921" s="197"/>
    </row>
    <row r="922">
      <c r="A922" s="172"/>
      <c r="B922" s="204"/>
      <c r="C922" s="204"/>
      <c r="D922" s="197"/>
      <c r="E922" s="197"/>
      <c r="F922" s="197"/>
      <c r="G922" s="197"/>
      <c r="H922" s="197"/>
      <c r="I922" s="197"/>
      <c r="J922" s="204"/>
      <c r="K922" s="197"/>
      <c r="L922" s="197"/>
      <c r="M922" s="197"/>
      <c r="N922" s="197"/>
      <c r="O922" s="204"/>
      <c r="P922" s="197"/>
    </row>
    <row r="923">
      <c r="A923" s="172"/>
      <c r="B923" s="204"/>
      <c r="C923" s="204"/>
      <c r="D923" s="197"/>
      <c r="E923" s="197"/>
      <c r="F923" s="197"/>
      <c r="G923" s="197"/>
      <c r="H923" s="197"/>
      <c r="I923" s="197"/>
      <c r="J923" s="204"/>
      <c r="K923" s="197"/>
      <c r="L923" s="197"/>
      <c r="M923" s="197"/>
      <c r="N923" s="197"/>
      <c r="O923" s="204"/>
      <c r="P923" s="197"/>
    </row>
    <row r="924">
      <c r="A924" s="172"/>
      <c r="B924" s="204"/>
      <c r="C924" s="204"/>
      <c r="D924" s="197"/>
      <c r="E924" s="197"/>
      <c r="F924" s="197"/>
      <c r="G924" s="197"/>
      <c r="H924" s="197"/>
      <c r="I924" s="197"/>
      <c r="J924" s="204"/>
      <c r="K924" s="197"/>
      <c r="L924" s="197"/>
      <c r="M924" s="197"/>
      <c r="N924" s="197"/>
      <c r="O924" s="204"/>
      <c r="P924" s="197"/>
    </row>
    <row r="925">
      <c r="A925" s="172"/>
      <c r="B925" s="204"/>
      <c r="C925" s="204"/>
      <c r="D925" s="197"/>
      <c r="E925" s="197"/>
      <c r="F925" s="197"/>
      <c r="G925" s="197"/>
      <c r="H925" s="197"/>
      <c r="I925" s="197"/>
      <c r="J925" s="204"/>
      <c r="K925" s="197"/>
      <c r="L925" s="197"/>
      <c r="M925" s="197"/>
      <c r="N925" s="197"/>
      <c r="O925" s="204"/>
      <c r="P925" s="197"/>
    </row>
    <row r="926">
      <c r="A926" s="172"/>
      <c r="B926" s="204"/>
      <c r="C926" s="204"/>
      <c r="D926" s="197"/>
      <c r="E926" s="197"/>
      <c r="F926" s="197"/>
      <c r="G926" s="197"/>
      <c r="H926" s="197"/>
      <c r="I926" s="197"/>
      <c r="J926" s="204"/>
      <c r="K926" s="197"/>
      <c r="L926" s="197"/>
      <c r="M926" s="197"/>
      <c r="N926" s="197"/>
      <c r="O926" s="204"/>
      <c r="P926" s="197"/>
    </row>
    <row r="927">
      <c r="A927" s="172"/>
      <c r="B927" s="204"/>
      <c r="C927" s="204"/>
      <c r="D927" s="197"/>
      <c r="E927" s="197"/>
      <c r="F927" s="197"/>
      <c r="G927" s="197"/>
      <c r="H927" s="197"/>
      <c r="I927" s="197"/>
      <c r="J927" s="204"/>
      <c r="K927" s="197"/>
      <c r="L927" s="197"/>
      <c r="M927" s="197"/>
      <c r="N927" s="197"/>
      <c r="O927" s="204"/>
      <c r="P927" s="197"/>
    </row>
    <row r="928">
      <c r="A928" s="172"/>
      <c r="B928" s="204"/>
      <c r="C928" s="204"/>
      <c r="D928" s="197"/>
      <c r="E928" s="197"/>
      <c r="F928" s="197"/>
      <c r="G928" s="197"/>
      <c r="H928" s="197"/>
      <c r="I928" s="197"/>
      <c r="J928" s="204"/>
      <c r="K928" s="197"/>
      <c r="L928" s="197"/>
      <c r="M928" s="197"/>
      <c r="N928" s="197"/>
      <c r="O928" s="204"/>
      <c r="P928" s="197"/>
    </row>
    <row r="929">
      <c r="A929" s="172"/>
      <c r="B929" s="204"/>
      <c r="C929" s="204"/>
      <c r="D929" s="197"/>
      <c r="E929" s="197"/>
      <c r="F929" s="197"/>
      <c r="G929" s="197"/>
      <c r="H929" s="197"/>
      <c r="I929" s="197"/>
      <c r="J929" s="204"/>
      <c r="K929" s="197"/>
      <c r="L929" s="197"/>
      <c r="M929" s="197"/>
      <c r="N929" s="197"/>
      <c r="O929" s="204"/>
      <c r="P929" s="197"/>
    </row>
    <row r="930">
      <c r="A930" s="172"/>
      <c r="B930" s="204"/>
      <c r="C930" s="204"/>
      <c r="D930" s="197"/>
      <c r="E930" s="197"/>
      <c r="F930" s="197"/>
      <c r="G930" s="197"/>
      <c r="H930" s="197"/>
      <c r="I930" s="197"/>
      <c r="J930" s="204"/>
      <c r="K930" s="197"/>
      <c r="L930" s="197"/>
      <c r="M930" s="197"/>
      <c r="N930" s="197"/>
      <c r="O930" s="204"/>
      <c r="P930" s="197"/>
    </row>
    <row r="931">
      <c r="A931" s="172"/>
      <c r="B931" s="204"/>
      <c r="C931" s="204"/>
      <c r="D931" s="197"/>
      <c r="E931" s="197"/>
      <c r="F931" s="197"/>
      <c r="G931" s="197"/>
      <c r="H931" s="197"/>
      <c r="I931" s="197"/>
      <c r="J931" s="204"/>
      <c r="K931" s="197"/>
      <c r="L931" s="197"/>
      <c r="M931" s="197"/>
      <c r="N931" s="197"/>
      <c r="O931" s="204"/>
      <c r="P931" s="197"/>
    </row>
    <row r="932">
      <c r="A932" s="172"/>
      <c r="B932" s="204"/>
      <c r="C932" s="204"/>
      <c r="D932" s="197"/>
      <c r="E932" s="197"/>
      <c r="F932" s="197"/>
      <c r="G932" s="197"/>
      <c r="H932" s="197"/>
      <c r="I932" s="197"/>
      <c r="J932" s="204"/>
      <c r="K932" s="197"/>
      <c r="L932" s="197"/>
      <c r="M932" s="197"/>
      <c r="N932" s="197"/>
      <c r="O932" s="204"/>
      <c r="P932" s="197"/>
    </row>
    <row r="933">
      <c r="A933" s="172"/>
      <c r="B933" s="204"/>
      <c r="C933" s="204"/>
      <c r="D933" s="197"/>
      <c r="E933" s="197"/>
      <c r="F933" s="197"/>
      <c r="G933" s="197"/>
      <c r="H933" s="197"/>
      <c r="I933" s="197"/>
      <c r="J933" s="204"/>
      <c r="K933" s="197"/>
      <c r="L933" s="197"/>
      <c r="M933" s="197"/>
      <c r="N933" s="197"/>
      <c r="O933" s="204"/>
      <c r="P933" s="197"/>
    </row>
    <row r="934">
      <c r="A934" s="172"/>
      <c r="B934" s="204"/>
      <c r="C934" s="204"/>
      <c r="D934" s="197"/>
      <c r="E934" s="197"/>
      <c r="F934" s="197"/>
      <c r="G934" s="197"/>
      <c r="H934" s="197"/>
      <c r="I934" s="197"/>
      <c r="J934" s="204"/>
      <c r="K934" s="197"/>
      <c r="L934" s="197"/>
      <c r="M934" s="197"/>
      <c r="N934" s="197"/>
      <c r="O934" s="204"/>
      <c r="P934" s="197"/>
    </row>
    <row r="935">
      <c r="A935" s="172"/>
      <c r="B935" s="204"/>
      <c r="C935" s="204"/>
      <c r="D935" s="197"/>
      <c r="E935" s="197"/>
      <c r="F935" s="197"/>
      <c r="G935" s="197"/>
      <c r="H935" s="197"/>
      <c r="I935" s="197"/>
      <c r="J935" s="204"/>
      <c r="K935" s="197"/>
      <c r="L935" s="197"/>
      <c r="M935" s="197"/>
      <c r="N935" s="197"/>
      <c r="O935" s="204"/>
      <c r="P935" s="197"/>
    </row>
    <row r="936">
      <c r="A936" s="172"/>
      <c r="B936" s="204"/>
      <c r="C936" s="204"/>
      <c r="D936" s="197"/>
      <c r="E936" s="197"/>
      <c r="F936" s="197"/>
      <c r="G936" s="197"/>
      <c r="H936" s="197"/>
      <c r="I936" s="197"/>
      <c r="J936" s="204"/>
      <c r="K936" s="197"/>
      <c r="L936" s="197"/>
      <c r="M936" s="197"/>
      <c r="N936" s="197"/>
      <c r="O936" s="204"/>
      <c r="P936" s="197"/>
    </row>
    <row r="937">
      <c r="A937" s="172"/>
      <c r="B937" s="204"/>
      <c r="C937" s="204"/>
      <c r="D937" s="197"/>
      <c r="E937" s="197"/>
      <c r="F937" s="197"/>
      <c r="G937" s="197"/>
      <c r="H937" s="197"/>
      <c r="I937" s="197"/>
      <c r="J937" s="204"/>
      <c r="K937" s="197"/>
      <c r="L937" s="197"/>
      <c r="M937" s="197"/>
      <c r="N937" s="197"/>
      <c r="O937" s="204"/>
      <c r="P937" s="197"/>
    </row>
    <row r="938">
      <c r="A938" s="172"/>
      <c r="B938" s="204"/>
      <c r="C938" s="204"/>
      <c r="D938" s="197"/>
      <c r="E938" s="197"/>
      <c r="F938" s="197"/>
      <c r="G938" s="197"/>
      <c r="H938" s="197"/>
      <c r="I938" s="197"/>
      <c r="J938" s="204"/>
      <c r="K938" s="197"/>
      <c r="L938" s="197"/>
      <c r="M938" s="197"/>
      <c r="N938" s="197"/>
      <c r="O938" s="204"/>
      <c r="P938" s="197"/>
    </row>
    <row r="939">
      <c r="A939" s="172"/>
      <c r="B939" s="204"/>
      <c r="C939" s="204"/>
      <c r="D939" s="197"/>
      <c r="E939" s="197"/>
      <c r="F939" s="197"/>
      <c r="G939" s="197"/>
      <c r="H939" s="197"/>
      <c r="I939" s="197"/>
      <c r="J939" s="204"/>
      <c r="K939" s="197"/>
      <c r="L939" s="197"/>
      <c r="M939" s="197"/>
      <c r="N939" s="197"/>
      <c r="O939" s="204"/>
      <c r="P939" s="197"/>
    </row>
    <row r="940">
      <c r="A940" s="172"/>
      <c r="B940" s="204"/>
      <c r="C940" s="204"/>
      <c r="D940" s="197"/>
      <c r="E940" s="197"/>
      <c r="F940" s="197"/>
      <c r="G940" s="197"/>
      <c r="H940" s="197"/>
      <c r="I940" s="197"/>
      <c r="J940" s="204"/>
      <c r="K940" s="197"/>
      <c r="L940" s="197"/>
      <c r="M940" s="197"/>
      <c r="N940" s="197"/>
      <c r="O940" s="204"/>
      <c r="P940" s="197"/>
    </row>
    <row r="941">
      <c r="A941" s="172"/>
      <c r="B941" s="204"/>
      <c r="C941" s="204"/>
      <c r="D941" s="197"/>
      <c r="E941" s="197"/>
      <c r="F941" s="197"/>
      <c r="G941" s="197"/>
      <c r="H941" s="197"/>
      <c r="I941" s="197"/>
      <c r="J941" s="204"/>
      <c r="K941" s="197"/>
      <c r="L941" s="197"/>
      <c r="M941" s="197"/>
      <c r="N941" s="197"/>
      <c r="O941" s="204"/>
      <c r="P941" s="197"/>
    </row>
    <row r="942">
      <c r="A942" s="172"/>
      <c r="B942" s="204"/>
      <c r="C942" s="204"/>
      <c r="D942" s="197"/>
      <c r="E942" s="197"/>
      <c r="F942" s="197"/>
      <c r="G942" s="197"/>
      <c r="H942" s="197"/>
      <c r="I942" s="197"/>
      <c r="J942" s="204"/>
      <c r="K942" s="197"/>
      <c r="L942" s="197"/>
      <c r="M942" s="197"/>
      <c r="N942" s="197"/>
      <c r="O942" s="204"/>
      <c r="P942" s="197"/>
    </row>
    <row r="943">
      <c r="A943" s="172"/>
      <c r="B943" s="204"/>
      <c r="C943" s="204"/>
      <c r="D943" s="197"/>
      <c r="E943" s="197"/>
      <c r="F943" s="197"/>
      <c r="G943" s="197"/>
      <c r="H943" s="197"/>
      <c r="I943" s="197"/>
      <c r="J943" s="204"/>
      <c r="K943" s="197"/>
      <c r="L943" s="197"/>
      <c r="M943" s="197"/>
      <c r="N943" s="197"/>
      <c r="O943" s="204"/>
      <c r="P943" s="197"/>
    </row>
    <row r="944">
      <c r="A944" s="172"/>
      <c r="B944" s="204"/>
      <c r="C944" s="204"/>
      <c r="D944" s="197"/>
      <c r="E944" s="197"/>
      <c r="F944" s="197"/>
      <c r="G944" s="197"/>
      <c r="H944" s="197"/>
      <c r="I944" s="197"/>
      <c r="J944" s="204"/>
      <c r="K944" s="197"/>
      <c r="L944" s="197"/>
      <c r="M944" s="197"/>
      <c r="N944" s="197"/>
      <c r="O944" s="204"/>
      <c r="P944" s="197"/>
    </row>
    <row r="945">
      <c r="A945" s="172"/>
      <c r="B945" s="204"/>
      <c r="C945" s="204"/>
      <c r="D945" s="197"/>
      <c r="E945" s="197"/>
      <c r="F945" s="197"/>
      <c r="G945" s="197"/>
      <c r="H945" s="197"/>
      <c r="I945" s="197"/>
      <c r="J945" s="204"/>
      <c r="K945" s="197"/>
      <c r="L945" s="197"/>
      <c r="M945" s="197"/>
      <c r="N945" s="197"/>
      <c r="O945" s="204"/>
      <c r="P945" s="197"/>
    </row>
    <row r="946">
      <c r="A946" s="172"/>
      <c r="B946" s="204"/>
      <c r="C946" s="204"/>
      <c r="D946" s="197"/>
      <c r="E946" s="197"/>
      <c r="F946" s="197"/>
      <c r="G946" s="197"/>
      <c r="H946" s="197"/>
      <c r="I946" s="197"/>
      <c r="J946" s="204"/>
      <c r="K946" s="197"/>
      <c r="L946" s="197"/>
      <c r="M946" s="197"/>
      <c r="N946" s="197"/>
      <c r="O946" s="204"/>
      <c r="P946" s="197"/>
    </row>
    <row r="947">
      <c r="A947" s="172"/>
      <c r="B947" s="204"/>
      <c r="C947" s="204"/>
      <c r="D947" s="197"/>
      <c r="E947" s="197"/>
      <c r="F947" s="197"/>
      <c r="G947" s="197"/>
      <c r="H947" s="197"/>
      <c r="I947" s="197"/>
      <c r="J947" s="204"/>
      <c r="K947" s="197"/>
      <c r="L947" s="197"/>
      <c r="M947" s="197"/>
      <c r="N947" s="197"/>
      <c r="O947" s="204"/>
      <c r="P947" s="197"/>
    </row>
    <row r="948">
      <c r="A948" s="172"/>
      <c r="B948" s="204"/>
      <c r="C948" s="204"/>
      <c r="D948" s="197"/>
      <c r="E948" s="197"/>
      <c r="F948" s="197"/>
      <c r="G948" s="197"/>
      <c r="H948" s="197"/>
      <c r="I948" s="197"/>
      <c r="J948" s="204"/>
      <c r="K948" s="197"/>
      <c r="L948" s="197"/>
      <c r="M948" s="197"/>
      <c r="N948" s="197"/>
      <c r="O948" s="204"/>
      <c r="P948" s="197"/>
    </row>
    <row r="949">
      <c r="A949" s="172"/>
      <c r="B949" s="204"/>
      <c r="C949" s="204"/>
      <c r="D949" s="197"/>
      <c r="E949" s="197"/>
      <c r="F949" s="197"/>
      <c r="G949" s="197"/>
      <c r="H949" s="197"/>
      <c r="I949" s="197"/>
      <c r="J949" s="204"/>
      <c r="K949" s="197"/>
      <c r="L949" s="197"/>
      <c r="M949" s="197"/>
      <c r="N949" s="197"/>
      <c r="O949" s="204"/>
      <c r="P949" s="197"/>
    </row>
    <row r="950">
      <c r="A950" s="172"/>
      <c r="B950" s="204"/>
      <c r="C950" s="204"/>
      <c r="D950" s="197"/>
      <c r="E950" s="197"/>
      <c r="F950" s="197"/>
      <c r="G950" s="197"/>
      <c r="H950" s="197"/>
      <c r="I950" s="197"/>
      <c r="J950" s="204"/>
      <c r="K950" s="197"/>
      <c r="L950" s="197"/>
      <c r="M950" s="197"/>
      <c r="N950" s="197"/>
      <c r="O950" s="204"/>
      <c r="P950" s="197"/>
    </row>
    <row r="951">
      <c r="A951" s="172"/>
      <c r="B951" s="204"/>
      <c r="C951" s="204"/>
      <c r="D951" s="197"/>
      <c r="E951" s="197"/>
      <c r="F951" s="197"/>
      <c r="G951" s="197"/>
      <c r="H951" s="197"/>
      <c r="I951" s="197"/>
      <c r="J951" s="204"/>
      <c r="K951" s="197"/>
      <c r="L951" s="197"/>
      <c r="M951" s="197"/>
      <c r="N951" s="197"/>
      <c r="O951" s="204"/>
      <c r="P951" s="197"/>
    </row>
    <row r="952">
      <c r="A952" s="172"/>
      <c r="B952" s="204"/>
      <c r="C952" s="204"/>
      <c r="D952" s="197"/>
      <c r="E952" s="197"/>
      <c r="F952" s="197"/>
      <c r="G952" s="197"/>
      <c r="H952" s="197"/>
      <c r="I952" s="197"/>
      <c r="J952" s="204"/>
      <c r="K952" s="197"/>
      <c r="L952" s="197"/>
      <c r="M952" s="197"/>
      <c r="N952" s="197"/>
      <c r="O952" s="204"/>
      <c r="P952" s="197"/>
    </row>
    <row r="953">
      <c r="A953" s="172"/>
      <c r="B953" s="204"/>
      <c r="C953" s="204"/>
      <c r="D953" s="197"/>
      <c r="E953" s="197"/>
      <c r="F953" s="197"/>
      <c r="G953" s="197"/>
      <c r="H953" s="197"/>
      <c r="I953" s="197"/>
      <c r="J953" s="204"/>
      <c r="K953" s="197"/>
      <c r="L953" s="197"/>
      <c r="M953" s="197"/>
      <c r="N953" s="197"/>
      <c r="O953" s="204"/>
      <c r="P953" s="197"/>
    </row>
    <row r="954">
      <c r="A954" s="172"/>
      <c r="B954" s="204"/>
      <c r="C954" s="204"/>
      <c r="D954" s="197"/>
      <c r="E954" s="197"/>
      <c r="F954" s="197"/>
      <c r="G954" s="197"/>
      <c r="H954" s="197"/>
      <c r="I954" s="197"/>
      <c r="J954" s="204"/>
      <c r="K954" s="197"/>
      <c r="L954" s="197"/>
      <c r="M954" s="197"/>
      <c r="N954" s="197"/>
      <c r="O954" s="204"/>
      <c r="P954" s="197"/>
    </row>
    <row r="955">
      <c r="A955" s="172"/>
      <c r="B955" s="204"/>
      <c r="C955" s="204"/>
      <c r="D955" s="197"/>
      <c r="E955" s="197"/>
      <c r="F955" s="197"/>
      <c r="G955" s="197"/>
      <c r="H955" s="197"/>
      <c r="I955" s="197"/>
      <c r="J955" s="204"/>
      <c r="K955" s="197"/>
      <c r="L955" s="197"/>
      <c r="M955" s="197"/>
      <c r="N955" s="197"/>
      <c r="O955" s="204"/>
      <c r="P955" s="197"/>
    </row>
    <row r="956">
      <c r="A956" s="172"/>
      <c r="B956" s="204"/>
      <c r="C956" s="204"/>
      <c r="D956" s="197"/>
      <c r="E956" s="197"/>
      <c r="F956" s="197"/>
      <c r="G956" s="197"/>
      <c r="H956" s="197"/>
      <c r="I956" s="197"/>
      <c r="J956" s="204"/>
      <c r="K956" s="197"/>
      <c r="L956" s="197"/>
      <c r="M956" s="197"/>
      <c r="N956" s="197"/>
      <c r="O956" s="204"/>
      <c r="P956" s="197"/>
    </row>
    <row r="957">
      <c r="A957" s="172"/>
      <c r="B957" s="204"/>
      <c r="C957" s="204"/>
      <c r="D957" s="197"/>
      <c r="E957" s="197"/>
      <c r="F957" s="197"/>
      <c r="G957" s="197"/>
      <c r="H957" s="197"/>
      <c r="I957" s="197"/>
      <c r="J957" s="204"/>
      <c r="K957" s="197"/>
      <c r="L957" s="197"/>
      <c r="M957" s="197"/>
      <c r="N957" s="197"/>
      <c r="O957" s="204"/>
      <c r="P957" s="197"/>
    </row>
    <row r="958">
      <c r="A958" s="172"/>
      <c r="B958" s="204"/>
      <c r="C958" s="204"/>
      <c r="D958" s="197"/>
      <c r="E958" s="197"/>
      <c r="F958" s="197"/>
      <c r="G958" s="197"/>
      <c r="H958" s="197"/>
      <c r="I958" s="197"/>
      <c r="J958" s="204"/>
      <c r="K958" s="197"/>
      <c r="L958" s="197"/>
      <c r="M958" s="197"/>
      <c r="N958" s="197"/>
      <c r="O958" s="204"/>
      <c r="P958" s="197"/>
    </row>
    <row r="959">
      <c r="A959" s="172"/>
      <c r="B959" s="204"/>
      <c r="C959" s="204"/>
      <c r="D959" s="197"/>
      <c r="E959" s="197"/>
      <c r="F959" s="197"/>
      <c r="G959" s="197"/>
      <c r="H959" s="197"/>
      <c r="I959" s="197"/>
      <c r="J959" s="204"/>
      <c r="K959" s="197"/>
      <c r="L959" s="197"/>
      <c r="M959" s="197"/>
      <c r="N959" s="197"/>
      <c r="O959" s="204"/>
      <c r="P959" s="197"/>
    </row>
    <row r="960">
      <c r="A960" s="172"/>
      <c r="B960" s="204"/>
      <c r="C960" s="204"/>
      <c r="D960" s="197"/>
      <c r="E960" s="197"/>
      <c r="F960" s="197"/>
      <c r="G960" s="197"/>
      <c r="H960" s="197"/>
      <c r="I960" s="197"/>
      <c r="J960" s="204"/>
      <c r="K960" s="197"/>
      <c r="L960" s="197"/>
      <c r="M960" s="197"/>
      <c r="N960" s="197"/>
      <c r="O960" s="204"/>
      <c r="P960" s="197"/>
    </row>
    <row r="961">
      <c r="A961" s="172"/>
      <c r="B961" s="204"/>
      <c r="C961" s="204"/>
      <c r="D961" s="197"/>
      <c r="E961" s="197"/>
      <c r="F961" s="197"/>
      <c r="G961" s="197"/>
      <c r="H961" s="197"/>
      <c r="I961" s="197"/>
      <c r="J961" s="204"/>
      <c r="K961" s="197"/>
      <c r="L961" s="197"/>
      <c r="M961" s="197"/>
      <c r="N961" s="197"/>
      <c r="O961" s="204"/>
      <c r="P961" s="197"/>
    </row>
    <row r="962">
      <c r="A962" s="172"/>
      <c r="B962" s="204"/>
      <c r="C962" s="204"/>
      <c r="D962" s="197"/>
      <c r="E962" s="197"/>
      <c r="F962" s="197"/>
      <c r="G962" s="197"/>
      <c r="H962" s="197"/>
      <c r="I962" s="197"/>
      <c r="J962" s="204"/>
      <c r="K962" s="197"/>
      <c r="L962" s="197"/>
      <c r="M962" s="197"/>
      <c r="N962" s="197"/>
      <c r="O962" s="204"/>
      <c r="P962" s="197"/>
    </row>
    <row r="963">
      <c r="A963" s="172"/>
      <c r="B963" s="204"/>
      <c r="C963" s="204"/>
      <c r="D963" s="197"/>
      <c r="E963" s="197"/>
      <c r="F963" s="197"/>
      <c r="G963" s="197"/>
      <c r="H963" s="197"/>
      <c r="I963" s="197"/>
      <c r="J963" s="204"/>
      <c r="K963" s="197"/>
      <c r="L963" s="197"/>
      <c r="M963" s="197"/>
      <c r="N963" s="197"/>
      <c r="O963" s="204"/>
      <c r="P963" s="197"/>
    </row>
    <row r="964">
      <c r="A964" s="172"/>
      <c r="B964" s="204"/>
      <c r="C964" s="204"/>
      <c r="D964" s="197"/>
      <c r="E964" s="197"/>
      <c r="F964" s="197"/>
      <c r="G964" s="197"/>
      <c r="H964" s="197"/>
      <c r="I964" s="197"/>
      <c r="J964" s="204"/>
      <c r="K964" s="197"/>
      <c r="L964" s="197"/>
      <c r="M964" s="197"/>
      <c r="N964" s="197"/>
      <c r="O964" s="204"/>
      <c r="P964" s="197"/>
    </row>
    <row r="965">
      <c r="A965" s="172"/>
      <c r="B965" s="204"/>
      <c r="C965" s="204"/>
      <c r="D965" s="197"/>
      <c r="E965" s="197"/>
      <c r="F965" s="197"/>
      <c r="G965" s="197"/>
      <c r="H965" s="197"/>
      <c r="I965" s="197"/>
      <c r="J965" s="204"/>
      <c r="K965" s="197"/>
      <c r="L965" s="197"/>
      <c r="M965" s="197"/>
      <c r="N965" s="197"/>
      <c r="O965" s="204"/>
      <c r="P965" s="197"/>
    </row>
    <row r="966">
      <c r="A966" s="172"/>
      <c r="B966" s="204"/>
      <c r="C966" s="204"/>
      <c r="D966" s="197"/>
      <c r="E966" s="197"/>
      <c r="F966" s="197"/>
      <c r="G966" s="197"/>
      <c r="H966" s="197"/>
      <c r="I966" s="197"/>
      <c r="J966" s="204"/>
      <c r="K966" s="197"/>
      <c r="L966" s="197"/>
      <c r="M966" s="197"/>
      <c r="N966" s="197"/>
      <c r="O966" s="204"/>
      <c r="P966" s="197"/>
    </row>
    <row r="967">
      <c r="A967" s="172"/>
      <c r="B967" s="204"/>
      <c r="C967" s="204"/>
      <c r="D967" s="197"/>
      <c r="E967" s="197"/>
      <c r="F967" s="197"/>
      <c r="G967" s="197"/>
      <c r="H967" s="197"/>
      <c r="I967" s="197"/>
      <c r="J967" s="204"/>
      <c r="K967" s="197"/>
      <c r="L967" s="197"/>
      <c r="M967" s="197"/>
      <c r="N967" s="197"/>
      <c r="O967" s="204"/>
      <c r="P967" s="197"/>
    </row>
    <row r="968">
      <c r="A968" s="172"/>
      <c r="B968" s="204"/>
      <c r="C968" s="204"/>
      <c r="D968" s="197"/>
      <c r="E968" s="197"/>
      <c r="F968" s="197"/>
      <c r="G968" s="197"/>
      <c r="H968" s="197"/>
      <c r="I968" s="197"/>
      <c r="J968" s="204"/>
      <c r="K968" s="197"/>
      <c r="L968" s="197"/>
      <c r="M968" s="197"/>
      <c r="N968" s="197"/>
      <c r="O968" s="204"/>
      <c r="P968" s="197"/>
    </row>
    <row r="969">
      <c r="A969" s="172"/>
      <c r="B969" s="204"/>
      <c r="C969" s="204"/>
      <c r="D969" s="197"/>
      <c r="E969" s="197"/>
      <c r="F969" s="197"/>
      <c r="G969" s="197"/>
      <c r="H969" s="197"/>
      <c r="I969" s="197"/>
      <c r="J969" s="204"/>
      <c r="K969" s="197"/>
      <c r="L969" s="197"/>
      <c r="M969" s="197"/>
      <c r="N969" s="197"/>
      <c r="O969" s="204"/>
      <c r="P969" s="197"/>
    </row>
    <row r="970">
      <c r="A970" s="172"/>
      <c r="B970" s="204"/>
      <c r="C970" s="204"/>
      <c r="D970" s="197"/>
      <c r="E970" s="197"/>
      <c r="F970" s="197"/>
      <c r="G970" s="197"/>
      <c r="H970" s="197"/>
      <c r="I970" s="197"/>
      <c r="J970" s="204"/>
      <c r="K970" s="197"/>
      <c r="L970" s="197"/>
      <c r="M970" s="197"/>
      <c r="N970" s="197"/>
      <c r="O970" s="204"/>
      <c r="P970" s="197"/>
    </row>
    <row r="971">
      <c r="A971" s="172"/>
      <c r="B971" s="204"/>
      <c r="C971" s="204"/>
      <c r="D971" s="197"/>
      <c r="E971" s="197"/>
      <c r="F971" s="197"/>
      <c r="G971" s="197"/>
      <c r="H971" s="197"/>
      <c r="I971" s="197"/>
      <c r="J971" s="204"/>
      <c r="K971" s="197"/>
      <c r="L971" s="197"/>
      <c r="M971" s="197"/>
      <c r="N971" s="197"/>
      <c r="O971" s="204"/>
      <c r="P971" s="197"/>
    </row>
    <row r="972">
      <c r="A972" s="172"/>
      <c r="B972" s="204"/>
      <c r="C972" s="204"/>
      <c r="D972" s="197"/>
      <c r="E972" s="197"/>
      <c r="F972" s="197"/>
      <c r="G972" s="197"/>
      <c r="H972" s="197"/>
      <c r="I972" s="197"/>
      <c r="J972" s="204"/>
      <c r="K972" s="197"/>
      <c r="L972" s="197"/>
      <c r="M972" s="197"/>
      <c r="N972" s="197"/>
      <c r="O972" s="204"/>
      <c r="P972" s="197"/>
    </row>
    <row r="973">
      <c r="A973" s="172"/>
      <c r="B973" s="204"/>
      <c r="C973" s="204"/>
      <c r="D973" s="197"/>
      <c r="E973" s="197"/>
      <c r="F973" s="197"/>
      <c r="G973" s="197"/>
      <c r="H973" s="197"/>
      <c r="I973" s="197"/>
      <c r="J973" s="204"/>
      <c r="K973" s="197"/>
      <c r="L973" s="197"/>
      <c r="M973" s="197"/>
      <c r="N973" s="197"/>
      <c r="O973" s="204"/>
      <c r="P973" s="197"/>
    </row>
    <row r="974">
      <c r="A974" s="172"/>
      <c r="B974" s="204"/>
      <c r="C974" s="204"/>
      <c r="D974" s="197"/>
      <c r="E974" s="197"/>
      <c r="F974" s="197"/>
      <c r="G974" s="197"/>
      <c r="H974" s="197"/>
      <c r="I974" s="197"/>
      <c r="J974" s="204"/>
      <c r="K974" s="197"/>
      <c r="L974" s="197"/>
      <c r="M974" s="197"/>
      <c r="N974" s="197"/>
      <c r="O974" s="204"/>
      <c r="P974" s="197"/>
    </row>
    <row r="975">
      <c r="A975" s="172"/>
      <c r="B975" s="204"/>
      <c r="C975" s="204"/>
      <c r="D975" s="197"/>
      <c r="E975" s="197"/>
      <c r="F975" s="197"/>
      <c r="G975" s="197"/>
      <c r="H975" s="197"/>
      <c r="I975" s="197"/>
      <c r="J975" s="204"/>
      <c r="K975" s="197"/>
      <c r="L975" s="197"/>
      <c r="M975" s="197"/>
      <c r="N975" s="197"/>
      <c r="O975" s="204"/>
      <c r="P975" s="197"/>
    </row>
    <row r="976">
      <c r="A976" s="172"/>
      <c r="B976" s="204"/>
      <c r="C976" s="204"/>
      <c r="D976" s="197"/>
      <c r="E976" s="197"/>
      <c r="F976" s="197"/>
      <c r="G976" s="197"/>
      <c r="H976" s="197"/>
      <c r="I976" s="197"/>
      <c r="J976" s="204"/>
      <c r="K976" s="197"/>
      <c r="L976" s="197"/>
      <c r="M976" s="197"/>
      <c r="N976" s="197"/>
      <c r="O976" s="204"/>
      <c r="P976" s="197"/>
    </row>
    <row r="977">
      <c r="A977" s="172"/>
      <c r="B977" s="204"/>
      <c r="C977" s="204"/>
      <c r="D977" s="197"/>
      <c r="E977" s="197"/>
      <c r="F977" s="197"/>
      <c r="G977" s="197"/>
      <c r="H977" s="197"/>
      <c r="I977" s="197"/>
      <c r="J977" s="204"/>
      <c r="K977" s="197"/>
      <c r="L977" s="197"/>
      <c r="M977" s="197"/>
      <c r="N977" s="197"/>
      <c r="O977" s="204"/>
      <c r="P977" s="197"/>
    </row>
    <row r="978">
      <c r="A978" s="172"/>
      <c r="B978" s="204"/>
      <c r="C978" s="204"/>
      <c r="D978" s="197"/>
      <c r="E978" s="197"/>
      <c r="F978" s="197"/>
      <c r="G978" s="197"/>
      <c r="H978" s="197"/>
      <c r="I978" s="197"/>
      <c r="J978" s="204"/>
      <c r="K978" s="197"/>
      <c r="L978" s="197"/>
      <c r="M978" s="197"/>
      <c r="N978" s="197"/>
      <c r="O978" s="204"/>
      <c r="P978" s="197"/>
    </row>
    <row r="979">
      <c r="A979" s="172"/>
      <c r="B979" s="204"/>
      <c r="C979" s="204"/>
      <c r="D979" s="197"/>
      <c r="E979" s="197"/>
      <c r="F979" s="197"/>
      <c r="G979" s="197"/>
      <c r="H979" s="197"/>
      <c r="I979" s="197"/>
      <c r="J979" s="204"/>
      <c r="K979" s="197"/>
      <c r="L979" s="197"/>
      <c r="M979" s="197"/>
      <c r="N979" s="197"/>
      <c r="O979" s="204"/>
      <c r="P979" s="197"/>
    </row>
    <row r="980">
      <c r="A980" s="172"/>
      <c r="B980" s="204"/>
      <c r="C980" s="204"/>
      <c r="D980" s="197"/>
      <c r="E980" s="197"/>
      <c r="F980" s="197"/>
      <c r="G980" s="197"/>
      <c r="H980" s="197"/>
      <c r="I980" s="197"/>
      <c r="J980" s="204"/>
      <c r="K980" s="197"/>
      <c r="L980" s="197"/>
      <c r="M980" s="197"/>
      <c r="N980" s="197"/>
      <c r="O980" s="204"/>
      <c r="P980" s="197"/>
    </row>
    <row r="981">
      <c r="A981" s="172"/>
      <c r="B981" s="204"/>
      <c r="C981" s="204"/>
      <c r="D981" s="197"/>
      <c r="E981" s="197"/>
      <c r="F981" s="197"/>
      <c r="G981" s="197"/>
      <c r="H981" s="197"/>
      <c r="I981" s="197"/>
      <c r="J981" s="204"/>
      <c r="K981" s="197"/>
      <c r="L981" s="197"/>
      <c r="M981" s="197"/>
      <c r="N981" s="197"/>
      <c r="O981" s="204"/>
      <c r="P981" s="197"/>
    </row>
    <row r="982">
      <c r="A982" s="172"/>
      <c r="B982" s="204"/>
      <c r="C982" s="204"/>
      <c r="D982" s="197"/>
      <c r="E982" s="197"/>
      <c r="F982" s="197"/>
      <c r="G982" s="197"/>
      <c r="H982" s="197"/>
      <c r="I982" s="197"/>
      <c r="J982" s="204"/>
      <c r="K982" s="197"/>
      <c r="L982" s="197"/>
      <c r="M982" s="197"/>
      <c r="N982" s="197"/>
      <c r="O982" s="204"/>
      <c r="P982" s="197"/>
    </row>
    <row r="983">
      <c r="A983" s="172"/>
      <c r="B983" s="204"/>
      <c r="C983" s="204"/>
      <c r="D983" s="197"/>
      <c r="E983" s="197"/>
      <c r="F983" s="197"/>
      <c r="G983" s="197"/>
      <c r="H983" s="197"/>
      <c r="I983" s="197"/>
      <c r="J983" s="204"/>
      <c r="K983" s="197"/>
      <c r="L983" s="197"/>
      <c r="M983" s="197"/>
      <c r="N983" s="197"/>
      <c r="O983" s="204"/>
      <c r="P983" s="197"/>
    </row>
    <row r="984">
      <c r="A984" s="172"/>
      <c r="B984" s="204"/>
      <c r="C984" s="204"/>
      <c r="D984" s="197"/>
      <c r="E984" s="197"/>
      <c r="F984" s="197"/>
      <c r="G984" s="197"/>
      <c r="H984" s="197"/>
      <c r="I984" s="197"/>
      <c r="J984" s="204"/>
      <c r="K984" s="197"/>
      <c r="L984" s="197"/>
      <c r="M984" s="197"/>
      <c r="N984" s="197"/>
      <c r="O984" s="204"/>
      <c r="P984" s="197"/>
    </row>
    <row r="985">
      <c r="A985" s="172"/>
      <c r="B985" s="204"/>
      <c r="C985" s="204"/>
      <c r="D985" s="197"/>
      <c r="E985" s="197"/>
      <c r="F985" s="197"/>
      <c r="G985" s="197"/>
      <c r="H985" s="197"/>
      <c r="I985" s="197"/>
      <c r="J985" s="204"/>
      <c r="K985" s="197"/>
      <c r="L985" s="197"/>
      <c r="M985" s="197"/>
      <c r="N985" s="197"/>
      <c r="O985" s="204"/>
      <c r="P985" s="197"/>
    </row>
    <row r="986">
      <c r="A986" s="172"/>
      <c r="B986" s="204"/>
      <c r="C986" s="204"/>
      <c r="D986" s="197"/>
      <c r="E986" s="197"/>
      <c r="F986" s="197"/>
      <c r="G986" s="197"/>
      <c r="H986" s="197"/>
      <c r="I986" s="197"/>
      <c r="J986" s="204"/>
      <c r="K986" s="197"/>
      <c r="L986" s="197"/>
      <c r="M986" s="197"/>
      <c r="N986" s="197"/>
      <c r="O986" s="204"/>
      <c r="P986" s="197"/>
    </row>
    <row r="987">
      <c r="A987" s="172"/>
      <c r="B987" s="204"/>
      <c r="C987" s="204"/>
      <c r="D987" s="197"/>
      <c r="E987" s="197"/>
      <c r="F987" s="197"/>
      <c r="G987" s="197"/>
      <c r="H987" s="197"/>
      <c r="I987" s="197"/>
      <c r="J987" s="204"/>
      <c r="K987" s="197"/>
      <c r="L987" s="197"/>
      <c r="M987" s="197"/>
      <c r="N987" s="197"/>
      <c r="O987" s="204"/>
      <c r="P987" s="197"/>
    </row>
    <row r="988">
      <c r="A988" s="172"/>
      <c r="B988" s="204"/>
      <c r="C988" s="204"/>
      <c r="D988" s="197"/>
      <c r="E988" s="197"/>
      <c r="F988" s="197"/>
      <c r="G988" s="197"/>
      <c r="H988" s="197"/>
      <c r="I988" s="197"/>
      <c r="J988" s="204"/>
      <c r="K988" s="197"/>
      <c r="L988" s="197"/>
      <c r="M988" s="197"/>
      <c r="N988" s="197"/>
      <c r="O988" s="204"/>
      <c r="P988" s="197"/>
    </row>
    <row r="989">
      <c r="A989" s="172"/>
      <c r="B989" s="204"/>
      <c r="C989" s="204"/>
      <c r="D989" s="197"/>
      <c r="E989" s="197"/>
      <c r="F989" s="197"/>
      <c r="G989" s="197"/>
      <c r="H989" s="197"/>
      <c r="I989" s="197"/>
      <c r="J989" s="204"/>
      <c r="K989" s="197"/>
      <c r="L989" s="197"/>
      <c r="M989" s="197"/>
      <c r="N989" s="197"/>
      <c r="O989" s="204"/>
      <c r="P989" s="197"/>
    </row>
    <row r="990">
      <c r="A990" s="172"/>
      <c r="B990" s="204"/>
      <c r="C990" s="204"/>
      <c r="D990" s="197"/>
      <c r="E990" s="197"/>
      <c r="F990" s="197"/>
      <c r="G990" s="197"/>
      <c r="H990" s="197"/>
      <c r="I990" s="197"/>
      <c r="J990" s="204"/>
      <c r="K990" s="197"/>
      <c r="L990" s="197"/>
      <c r="M990" s="197"/>
      <c r="N990" s="197"/>
      <c r="O990" s="204"/>
      <c r="P990" s="197"/>
    </row>
    <row r="991">
      <c r="A991" s="172"/>
      <c r="B991" s="204"/>
      <c r="C991" s="204"/>
      <c r="D991" s="197"/>
      <c r="E991" s="197"/>
      <c r="F991" s="197"/>
      <c r="G991" s="197"/>
      <c r="H991" s="197"/>
      <c r="I991" s="197"/>
      <c r="J991" s="204"/>
      <c r="K991" s="197"/>
      <c r="L991" s="197"/>
      <c r="M991" s="197"/>
      <c r="N991" s="197"/>
      <c r="O991" s="204"/>
      <c r="P991" s="197"/>
    </row>
    <row r="992">
      <c r="A992" s="172"/>
      <c r="B992" s="204"/>
      <c r="C992" s="204"/>
      <c r="D992" s="197"/>
      <c r="E992" s="197"/>
      <c r="F992" s="197"/>
      <c r="G992" s="197"/>
      <c r="H992" s="197"/>
      <c r="I992" s="197"/>
      <c r="J992" s="204"/>
      <c r="K992" s="197"/>
      <c r="L992" s="197"/>
      <c r="M992" s="197"/>
      <c r="N992" s="197"/>
      <c r="O992" s="204"/>
      <c r="P992" s="197"/>
    </row>
    <row r="993">
      <c r="A993" s="172"/>
      <c r="B993" s="204"/>
      <c r="C993" s="204"/>
      <c r="D993" s="197"/>
      <c r="E993" s="197"/>
      <c r="F993" s="197"/>
      <c r="G993" s="197"/>
      <c r="H993" s="197"/>
      <c r="I993" s="197"/>
      <c r="J993" s="204"/>
      <c r="K993" s="197"/>
      <c r="L993" s="197"/>
      <c r="M993" s="197"/>
      <c r="N993" s="197"/>
      <c r="O993" s="204"/>
      <c r="P993" s="197"/>
    </row>
    <row r="994">
      <c r="A994" s="172"/>
      <c r="B994" s="204"/>
      <c r="C994" s="204"/>
      <c r="D994" s="197"/>
      <c r="E994" s="197"/>
      <c r="F994" s="197"/>
      <c r="G994" s="197"/>
      <c r="H994" s="197"/>
      <c r="I994" s="197"/>
      <c r="J994" s="204"/>
      <c r="K994" s="197"/>
      <c r="L994" s="197"/>
      <c r="M994" s="197"/>
      <c r="N994" s="197"/>
      <c r="O994" s="204"/>
      <c r="P994" s="197"/>
    </row>
    <row r="995">
      <c r="A995" s="172"/>
      <c r="B995" s="204"/>
      <c r="C995" s="204"/>
      <c r="D995" s="197"/>
      <c r="E995" s="197"/>
      <c r="F995" s="197"/>
      <c r="G995" s="197"/>
      <c r="H995" s="197"/>
      <c r="I995" s="197"/>
      <c r="J995" s="204"/>
      <c r="K995" s="197"/>
      <c r="L995" s="197"/>
      <c r="M995" s="197"/>
      <c r="N995" s="197"/>
      <c r="O995" s="204"/>
      <c r="P995" s="197"/>
    </row>
    <row r="996">
      <c r="A996" s="172"/>
      <c r="B996" s="204"/>
      <c r="C996" s="204"/>
      <c r="D996" s="197"/>
      <c r="E996" s="197"/>
      <c r="F996" s="197"/>
      <c r="G996" s="197"/>
      <c r="H996" s="197"/>
      <c r="I996" s="197"/>
      <c r="J996" s="204"/>
      <c r="K996" s="197"/>
      <c r="L996" s="197"/>
      <c r="M996" s="197"/>
      <c r="N996" s="197"/>
      <c r="O996" s="204"/>
      <c r="P996" s="197"/>
    </row>
    <row r="997">
      <c r="A997" s="172"/>
      <c r="B997" s="204"/>
      <c r="C997" s="204"/>
      <c r="D997" s="197"/>
      <c r="E997" s="197"/>
      <c r="F997" s="197"/>
      <c r="G997" s="197"/>
      <c r="H997" s="197"/>
      <c r="I997" s="197"/>
      <c r="J997" s="204"/>
      <c r="K997" s="197"/>
      <c r="L997" s="197"/>
      <c r="M997" s="197"/>
      <c r="N997" s="197"/>
      <c r="O997" s="204"/>
      <c r="P997" s="197"/>
    </row>
    <row r="998">
      <c r="A998" s="172"/>
      <c r="B998" s="204"/>
      <c r="C998" s="204"/>
      <c r="D998" s="197"/>
      <c r="E998" s="197"/>
      <c r="F998" s="197"/>
      <c r="G998" s="197"/>
      <c r="H998" s="197"/>
      <c r="I998" s="197"/>
      <c r="J998" s="204"/>
      <c r="K998" s="197"/>
      <c r="L998" s="197"/>
      <c r="M998" s="197"/>
      <c r="N998" s="197"/>
      <c r="O998" s="204"/>
      <c r="P998" s="197"/>
    </row>
    <row r="999">
      <c r="A999" s="172"/>
      <c r="B999" s="204"/>
      <c r="C999" s="204"/>
      <c r="D999" s="197"/>
      <c r="E999" s="197"/>
      <c r="F999" s="197"/>
      <c r="G999" s="197"/>
      <c r="H999" s="197"/>
      <c r="I999" s="197"/>
      <c r="J999" s="204"/>
      <c r="K999" s="197"/>
      <c r="L999" s="197"/>
      <c r="M999" s="197"/>
      <c r="N999" s="197"/>
      <c r="O999" s="204"/>
      <c r="P999" s="197"/>
    </row>
    <row r="1000">
      <c r="A1000" s="172"/>
      <c r="B1000" s="204"/>
      <c r="C1000" s="204"/>
      <c r="D1000" s="197"/>
      <c r="E1000" s="197"/>
      <c r="F1000" s="197"/>
      <c r="G1000" s="197"/>
      <c r="H1000" s="197"/>
      <c r="I1000" s="197"/>
      <c r="J1000" s="204"/>
      <c r="K1000" s="197"/>
      <c r="L1000" s="197"/>
      <c r="M1000" s="197"/>
      <c r="N1000" s="197"/>
      <c r="O1000" s="204"/>
      <c r="P1000" s="197"/>
    </row>
    <row r="1001">
      <c r="A1001" s="172"/>
      <c r="B1001" s="204"/>
      <c r="C1001" s="204"/>
      <c r="D1001" s="197"/>
      <c r="E1001" s="197"/>
      <c r="F1001" s="197"/>
      <c r="G1001" s="197"/>
      <c r="H1001" s="197"/>
      <c r="I1001" s="197"/>
      <c r="J1001" s="204"/>
      <c r="K1001" s="197"/>
      <c r="L1001" s="197"/>
      <c r="M1001" s="197"/>
      <c r="N1001" s="197"/>
      <c r="O1001" s="204"/>
      <c r="P1001" s="197"/>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38"/>
    <col customWidth="1" min="5" max="5" width="14.5"/>
    <col customWidth="1" min="6" max="6" width="14.13"/>
    <col customWidth="1" min="7" max="7" width="18.88"/>
    <col customWidth="1" min="8" max="8" width="16.13"/>
  </cols>
  <sheetData>
    <row r="1">
      <c r="A1" s="205" t="s">
        <v>34</v>
      </c>
      <c r="B1" s="205" t="s">
        <v>36</v>
      </c>
      <c r="C1" s="205" t="s">
        <v>48</v>
      </c>
      <c r="D1" s="205" t="s">
        <v>1469</v>
      </c>
      <c r="E1" s="205" t="s">
        <v>1470</v>
      </c>
      <c r="F1" s="205" t="s">
        <v>1471</v>
      </c>
      <c r="G1" s="205" t="s">
        <v>44</v>
      </c>
      <c r="H1" s="205" t="s">
        <v>1472</v>
      </c>
      <c r="I1" s="206"/>
      <c r="J1" s="206"/>
      <c r="K1" s="206"/>
      <c r="L1" s="206"/>
      <c r="M1" s="206"/>
      <c r="N1" s="206"/>
      <c r="O1" s="206"/>
      <c r="P1" s="206"/>
      <c r="Q1" s="206"/>
      <c r="R1" s="206"/>
      <c r="S1" s="206"/>
      <c r="T1" s="206"/>
      <c r="U1" s="206"/>
      <c r="V1" s="206"/>
      <c r="W1" s="206"/>
      <c r="X1" s="206"/>
      <c r="Y1" s="206"/>
    </row>
    <row r="2">
      <c r="A2" s="207">
        <v>133.0</v>
      </c>
      <c r="B2" s="207" t="s">
        <v>1473</v>
      </c>
      <c r="C2" s="208">
        <v>45757.0</v>
      </c>
      <c r="D2" s="209">
        <v>0.5625</v>
      </c>
      <c r="E2" s="209">
        <v>0.6041666666666666</v>
      </c>
      <c r="F2" s="207">
        <v>118.8</v>
      </c>
      <c r="G2" s="207" t="s">
        <v>82</v>
      </c>
      <c r="H2" s="207">
        <v>36.0</v>
      </c>
      <c r="I2" s="210"/>
      <c r="J2" s="210"/>
      <c r="K2" s="210"/>
      <c r="L2" s="210"/>
      <c r="M2" s="210"/>
      <c r="N2" s="210"/>
      <c r="O2" s="210"/>
      <c r="P2" s="210"/>
      <c r="Q2" s="210"/>
      <c r="R2" s="210"/>
      <c r="S2" s="210"/>
      <c r="T2" s="210"/>
      <c r="U2" s="210"/>
      <c r="V2" s="210"/>
      <c r="W2" s="210"/>
      <c r="X2" s="210"/>
      <c r="Y2" s="210"/>
    </row>
    <row r="3">
      <c r="A3" s="207">
        <v>135.0</v>
      </c>
      <c r="B3" s="207" t="s">
        <v>400</v>
      </c>
      <c r="C3" s="208">
        <v>45758.0</v>
      </c>
      <c r="D3" s="210"/>
      <c r="E3" s="210"/>
      <c r="F3" s="207">
        <v>104.0</v>
      </c>
      <c r="G3" s="207" t="s">
        <v>82</v>
      </c>
      <c r="H3" s="207">
        <v>38.0</v>
      </c>
      <c r="I3" s="210"/>
      <c r="J3" s="210"/>
      <c r="K3" s="210"/>
      <c r="L3" s="210"/>
      <c r="M3" s="210"/>
      <c r="N3" s="210"/>
      <c r="O3" s="210"/>
      <c r="P3" s="210"/>
      <c r="Q3" s="210"/>
      <c r="R3" s="210"/>
      <c r="S3" s="210"/>
      <c r="T3" s="210"/>
      <c r="U3" s="210"/>
      <c r="V3" s="210"/>
      <c r="W3" s="210"/>
      <c r="X3" s="210"/>
      <c r="Y3" s="210"/>
    </row>
    <row r="4">
      <c r="A4" s="210">
        <v>136.0</v>
      </c>
      <c r="B4" s="210" t="s">
        <v>401</v>
      </c>
      <c r="C4" s="208">
        <v>45758.0</v>
      </c>
      <c r="D4" s="209">
        <v>0.6354166666666666</v>
      </c>
      <c r="E4" s="209">
        <v>0.6770833333333334</v>
      </c>
      <c r="F4" s="207">
        <v>98.0</v>
      </c>
      <c r="G4" s="207" t="s">
        <v>233</v>
      </c>
      <c r="H4" s="207">
        <v>41.15</v>
      </c>
      <c r="I4" s="210"/>
      <c r="J4" s="210"/>
      <c r="K4" s="210"/>
      <c r="L4" s="210"/>
      <c r="M4" s="210"/>
      <c r="N4" s="210"/>
      <c r="O4" s="210"/>
      <c r="P4" s="210"/>
      <c r="Q4" s="210"/>
      <c r="R4" s="210"/>
      <c r="S4" s="210"/>
      <c r="T4" s="210"/>
      <c r="U4" s="210"/>
      <c r="V4" s="210"/>
      <c r="W4" s="210"/>
      <c r="X4" s="210"/>
      <c r="Y4" s="210"/>
    </row>
    <row r="5">
      <c r="A5" s="210">
        <v>134.0</v>
      </c>
      <c r="B5" s="210" t="s">
        <v>403</v>
      </c>
      <c r="C5" s="208">
        <v>45759.0</v>
      </c>
      <c r="D5" s="209">
        <v>0.3854166666666667</v>
      </c>
      <c r="E5" s="209">
        <v>0.3854166666666667</v>
      </c>
      <c r="F5" s="207">
        <v>115.0</v>
      </c>
      <c r="G5" s="207" t="s">
        <v>82</v>
      </c>
      <c r="H5" s="207">
        <v>35.0</v>
      </c>
      <c r="I5" s="210"/>
      <c r="J5" s="210"/>
      <c r="K5" s="210"/>
      <c r="L5" s="210"/>
      <c r="M5" s="210"/>
      <c r="N5" s="210"/>
      <c r="O5" s="210"/>
      <c r="P5" s="210"/>
      <c r="Q5" s="210"/>
      <c r="R5" s="210"/>
      <c r="S5" s="210"/>
      <c r="T5" s="210"/>
      <c r="U5" s="210"/>
      <c r="V5" s="210"/>
      <c r="W5" s="210"/>
      <c r="X5" s="210"/>
      <c r="Y5" s="210"/>
    </row>
    <row r="6">
      <c r="A6" s="207">
        <v>138.0</v>
      </c>
      <c r="B6" s="207" t="s">
        <v>405</v>
      </c>
      <c r="C6" s="208">
        <v>45761.0</v>
      </c>
      <c r="D6" s="209">
        <v>0.5347222222222222</v>
      </c>
      <c r="E6" s="209">
        <v>0.5763888888888888</v>
      </c>
      <c r="F6" s="207">
        <v>154.0</v>
      </c>
      <c r="G6" s="207" t="s">
        <v>233</v>
      </c>
      <c r="H6" s="207">
        <v>31.0</v>
      </c>
      <c r="I6" s="210"/>
      <c r="J6" s="210"/>
      <c r="K6" s="210"/>
      <c r="L6" s="210"/>
      <c r="M6" s="210"/>
      <c r="N6" s="210"/>
      <c r="O6" s="210"/>
      <c r="P6" s="210"/>
      <c r="Q6" s="210"/>
      <c r="R6" s="210"/>
      <c r="S6" s="210"/>
      <c r="T6" s="210"/>
      <c r="U6" s="210"/>
      <c r="V6" s="210"/>
      <c r="W6" s="210"/>
      <c r="X6" s="210"/>
      <c r="Y6" s="210"/>
    </row>
    <row r="7">
      <c r="A7" s="207">
        <v>137.0</v>
      </c>
      <c r="B7" s="207" t="s">
        <v>404</v>
      </c>
      <c r="C7" s="208">
        <v>45761.0</v>
      </c>
      <c r="D7" s="209">
        <v>0.625</v>
      </c>
      <c r="E7" s="209">
        <v>0.6666666666666666</v>
      </c>
      <c r="F7" s="207">
        <v>94.2</v>
      </c>
      <c r="G7" s="207" t="s">
        <v>233</v>
      </c>
      <c r="H7" s="207">
        <v>47.0</v>
      </c>
      <c r="I7" s="210"/>
      <c r="J7" s="210"/>
      <c r="K7" s="210"/>
      <c r="L7" s="210"/>
      <c r="M7" s="210"/>
      <c r="N7" s="210"/>
      <c r="O7" s="210"/>
      <c r="P7" s="210"/>
      <c r="Q7" s="210"/>
      <c r="R7" s="210"/>
      <c r="S7" s="210"/>
      <c r="T7" s="210"/>
      <c r="U7" s="210"/>
      <c r="V7" s="210"/>
      <c r="W7" s="210"/>
      <c r="X7" s="210"/>
      <c r="Y7" s="210"/>
    </row>
    <row r="8">
      <c r="A8" s="207">
        <v>140.0</v>
      </c>
      <c r="B8" s="207" t="s">
        <v>410</v>
      </c>
      <c r="C8" s="208">
        <v>45762.0</v>
      </c>
      <c r="D8" s="209"/>
      <c r="E8" s="209"/>
      <c r="F8" s="207">
        <v>87.0</v>
      </c>
      <c r="G8" s="207" t="s">
        <v>233</v>
      </c>
      <c r="H8" s="207"/>
      <c r="I8" s="210"/>
      <c r="J8" s="210"/>
      <c r="K8" s="210"/>
      <c r="L8" s="210"/>
      <c r="M8" s="210"/>
      <c r="N8" s="210"/>
      <c r="O8" s="210"/>
      <c r="P8" s="210"/>
      <c r="Q8" s="210"/>
      <c r="R8" s="210"/>
      <c r="S8" s="210"/>
      <c r="T8" s="210"/>
      <c r="U8" s="210"/>
      <c r="V8" s="210"/>
      <c r="W8" s="210"/>
      <c r="X8" s="210"/>
      <c r="Y8" s="210"/>
    </row>
    <row r="9">
      <c r="A9" s="207">
        <v>139.0</v>
      </c>
      <c r="B9" s="207" t="s">
        <v>408</v>
      </c>
      <c r="C9" s="208">
        <v>45763.0</v>
      </c>
      <c r="D9" s="209">
        <v>0.3645833333333333</v>
      </c>
      <c r="E9" s="209">
        <v>0.3784722222222222</v>
      </c>
      <c r="F9" s="207">
        <v>116.7</v>
      </c>
      <c r="G9" s="207" t="s">
        <v>233</v>
      </c>
      <c r="H9" s="207">
        <v>38.0</v>
      </c>
      <c r="I9" s="210"/>
      <c r="J9" s="210"/>
      <c r="K9" s="210"/>
      <c r="L9" s="210"/>
      <c r="M9" s="210"/>
      <c r="N9" s="210"/>
      <c r="O9" s="210"/>
      <c r="P9" s="210"/>
      <c r="Q9" s="210"/>
      <c r="R9" s="210"/>
      <c r="S9" s="210"/>
      <c r="T9" s="210"/>
      <c r="U9" s="210"/>
      <c r="V9" s="210"/>
      <c r="W9" s="210"/>
      <c r="X9" s="210"/>
      <c r="Y9" s="210"/>
    </row>
    <row r="10">
      <c r="A10" s="207">
        <v>141.0</v>
      </c>
      <c r="B10" s="207" t="s">
        <v>411</v>
      </c>
      <c r="C10" s="208">
        <v>45763.0</v>
      </c>
      <c r="D10" s="210"/>
      <c r="E10" s="210"/>
      <c r="F10" s="207">
        <v>130.1</v>
      </c>
      <c r="G10" s="207" t="s">
        <v>233</v>
      </c>
      <c r="H10" s="207">
        <v>32.0</v>
      </c>
      <c r="I10" s="210"/>
      <c r="J10" s="210"/>
      <c r="K10" s="210"/>
      <c r="L10" s="210"/>
      <c r="M10" s="210"/>
      <c r="N10" s="210"/>
      <c r="O10" s="210"/>
      <c r="P10" s="210"/>
      <c r="Q10" s="210"/>
      <c r="R10" s="210"/>
      <c r="S10" s="210"/>
      <c r="T10" s="210"/>
      <c r="U10" s="210"/>
      <c r="V10" s="210"/>
      <c r="W10" s="210"/>
      <c r="X10" s="210"/>
      <c r="Y10" s="210"/>
    </row>
    <row r="11">
      <c r="A11" s="207">
        <v>142.0</v>
      </c>
      <c r="B11" s="207" t="s">
        <v>413</v>
      </c>
      <c r="C11" s="208">
        <v>45763.0</v>
      </c>
      <c r="D11" s="209">
        <v>0.6041666666666666</v>
      </c>
      <c r="E11" s="209">
        <v>0.6090277777777777</v>
      </c>
      <c r="F11" s="207">
        <v>105.8</v>
      </c>
      <c r="G11" s="207" t="s">
        <v>233</v>
      </c>
      <c r="H11" s="207">
        <v>32.0</v>
      </c>
      <c r="I11" s="210"/>
      <c r="J11" s="210"/>
      <c r="K11" s="210"/>
      <c r="L11" s="210"/>
      <c r="M11" s="210"/>
      <c r="N11" s="210"/>
      <c r="O11" s="210"/>
      <c r="P11" s="210"/>
      <c r="Q11" s="210"/>
      <c r="R11" s="210"/>
      <c r="S11" s="210"/>
      <c r="T11" s="210"/>
      <c r="U11" s="210"/>
      <c r="V11" s="210"/>
      <c r="W11" s="210"/>
      <c r="X11" s="210"/>
      <c r="Y11" s="210"/>
    </row>
    <row r="12">
      <c r="A12" s="207">
        <v>143.0</v>
      </c>
      <c r="B12" s="207" t="s">
        <v>415</v>
      </c>
      <c r="C12" s="208">
        <v>45767.0</v>
      </c>
      <c r="D12" s="209">
        <v>0.4166666666666667</v>
      </c>
      <c r="E12" s="209">
        <v>0.4326388888888889</v>
      </c>
      <c r="F12" s="207">
        <v>124.7</v>
      </c>
      <c r="G12" s="207" t="s">
        <v>82</v>
      </c>
      <c r="H12" s="207">
        <v>35.0</v>
      </c>
      <c r="I12" s="210"/>
      <c r="J12" s="210"/>
      <c r="K12" s="210"/>
      <c r="L12" s="210"/>
      <c r="M12" s="210"/>
      <c r="N12" s="210"/>
      <c r="O12" s="210"/>
      <c r="P12" s="210"/>
      <c r="Q12" s="210"/>
      <c r="R12" s="210"/>
      <c r="S12" s="210"/>
      <c r="T12" s="210"/>
      <c r="U12" s="210"/>
      <c r="V12" s="210"/>
      <c r="W12" s="210"/>
      <c r="X12" s="210"/>
      <c r="Y12" s="210"/>
    </row>
    <row r="13">
      <c r="A13" s="210">
        <v>144.0</v>
      </c>
      <c r="B13" s="210" t="s">
        <v>417</v>
      </c>
      <c r="C13" s="208">
        <v>45768.0</v>
      </c>
      <c r="D13" s="209">
        <v>0.5520833333333334</v>
      </c>
      <c r="E13" s="209">
        <v>0.5555555555555556</v>
      </c>
      <c r="F13" s="207">
        <v>112.8</v>
      </c>
      <c r="G13" s="207" t="s">
        <v>233</v>
      </c>
      <c r="H13" s="207">
        <v>38.0</v>
      </c>
      <c r="I13" s="210"/>
      <c r="J13" s="210"/>
      <c r="K13" s="210"/>
      <c r="L13" s="210"/>
      <c r="M13" s="210"/>
      <c r="N13" s="210"/>
      <c r="O13" s="210"/>
      <c r="P13" s="210"/>
      <c r="Q13" s="210"/>
      <c r="R13" s="210"/>
      <c r="S13" s="210"/>
      <c r="T13" s="210"/>
      <c r="U13" s="210"/>
      <c r="V13" s="210"/>
      <c r="W13" s="210"/>
      <c r="X13" s="210"/>
      <c r="Y13" s="210"/>
    </row>
    <row r="14">
      <c r="A14" s="207">
        <v>145.0</v>
      </c>
      <c r="B14" s="207" t="s">
        <v>419</v>
      </c>
      <c r="C14" s="208">
        <v>45768.0</v>
      </c>
      <c r="D14" s="209">
        <v>0.6041666666666666</v>
      </c>
      <c r="E14" s="209">
        <v>0.6805555555555556</v>
      </c>
      <c r="F14" s="207">
        <v>106.9</v>
      </c>
      <c r="G14" s="207" t="s">
        <v>82</v>
      </c>
      <c r="H14" s="207">
        <v>37.85</v>
      </c>
      <c r="I14" s="210"/>
      <c r="J14" s="210"/>
      <c r="K14" s="210"/>
      <c r="L14" s="210"/>
      <c r="M14" s="210"/>
      <c r="N14" s="210"/>
      <c r="O14" s="210"/>
      <c r="P14" s="210"/>
      <c r="Q14" s="210"/>
      <c r="R14" s="210"/>
      <c r="S14" s="210"/>
      <c r="T14" s="210"/>
      <c r="U14" s="210"/>
      <c r="V14" s="210"/>
      <c r="W14" s="210"/>
      <c r="X14" s="210"/>
      <c r="Y14" s="210"/>
    </row>
    <row r="15">
      <c r="A15" s="207">
        <v>146.0</v>
      </c>
      <c r="B15" s="207" t="s">
        <v>421</v>
      </c>
      <c r="C15" s="208">
        <v>45769.0</v>
      </c>
      <c r="D15" s="209">
        <v>0.6180555555555556</v>
      </c>
      <c r="E15" s="209">
        <v>0.6472222222222223</v>
      </c>
      <c r="F15" s="207">
        <v>114.6</v>
      </c>
      <c r="G15" s="207" t="s">
        <v>233</v>
      </c>
      <c r="H15" s="207">
        <v>37.8</v>
      </c>
      <c r="I15" s="210"/>
      <c r="J15" s="210"/>
      <c r="K15" s="210"/>
      <c r="L15" s="210"/>
      <c r="M15" s="210"/>
      <c r="N15" s="210"/>
      <c r="O15" s="210"/>
      <c r="P15" s="210"/>
      <c r="Q15" s="210"/>
      <c r="R15" s="210"/>
      <c r="S15" s="210"/>
      <c r="T15" s="210"/>
      <c r="U15" s="210"/>
      <c r="V15" s="210"/>
      <c r="W15" s="210"/>
      <c r="X15" s="210"/>
      <c r="Y15" s="210"/>
    </row>
    <row r="16">
      <c r="A16" s="207">
        <v>148.0</v>
      </c>
      <c r="B16" s="207" t="s">
        <v>425</v>
      </c>
      <c r="C16" s="208">
        <v>45769.0</v>
      </c>
      <c r="D16" s="210"/>
      <c r="E16" s="210"/>
      <c r="F16" s="207">
        <v>154.8</v>
      </c>
      <c r="G16" s="207" t="s">
        <v>233</v>
      </c>
      <c r="H16" s="207">
        <v>31.85</v>
      </c>
      <c r="I16" s="210"/>
      <c r="J16" s="210"/>
      <c r="K16" s="210"/>
      <c r="L16" s="210"/>
      <c r="M16" s="210"/>
      <c r="N16" s="210"/>
      <c r="O16" s="210"/>
      <c r="P16" s="210"/>
      <c r="Q16" s="210"/>
      <c r="R16" s="210"/>
      <c r="S16" s="210"/>
      <c r="T16" s="210"/>
      <c r="U16" s="210"/>
      <c r="V16" s="210"/>
      <c r="W16" s="210"/>
      <c r="X16" s="210"/>
      <c r="Y16" s="210"/>
    </row>
    <row r="17">
      <c r="A17" s="207">
        <v>147.0</v>
      </c>
      <c r="B17" s="207" t="s">
        <v>423</v>
      </c>
      <c r="C17" s="208">
        <v>45769.0</v>
      </c>
      <c r="D17" s="210"/>
      <c r="E17" s="210"/>
      <c r="F17" s="207">
        <v>122.7</v>
      </c>
      <c r="G17" s="207" t="s">
        <v>233</v>
      </c>
      <c r="H17" s="207">
        <v>36.53</v>
      </c>
      <c r="I17" s="210"/>
      <c r="J17" s="210"/>
      <c r="K17" s="210"/>
      <c r="L17" s="210"/>
      <c r="M17" s="210"/>
      <c r="N17" s="210"/>
      <c r="O17" s="210"/>
      <c r="P17" s="210"/>
      <c r="Q17" s="210"/>
      <c r="R17" s="210"/>
      <c r="S17" s="210"/>
      <c r="T17" s="210"/>
      <c r="U17" s="210"/>
      <c r="V17" s="210"/>
      <c r="W17" s="210"/>
      <c r="X17" s="210"/>
      <c r="Y17" s="210"/>
    </row>
    <row r="18">
      <c r="A18" s="210">
        <v>149.0</v>
      </c>
      <c r="B18" s="210" t="s">
        <v>427</v>
      </c>
      <c r="C18" s="208">
        <v>45771.0</v>
      </c>
      <c r="D18" s="209">
        <v>0.3229166666666667</v>
      </c>
      <c r="E18" s="209">
        <v>0.3263888888888889</v>
      </c>
      <c r="F18" s="207" t="s">
        <v>1474</v>
      </c>
      <c r="G18" s="207" t="s">
        <v>233</v>
      </c>
      <c r="H18" s="207">
        <v>39.0</v>
      </c>
      <c r="I18" s="210"/>
      <c r="J18" s="210"/>
      <c r="K18" s="210"/>
      <c r="L18" s="210"/>
      <c r="M18" s="210"/>
      <c r="N18" s="210"/>
      <c r="O18" s="210"/>
      <c r="P18" s="210"/>
      <c r="Q18" s="210"/>
      <c r="R18" s="210"/>
      <c r="S18" s="210"/>
      <c r="T18" s="210"/>
      <c r="U18" s="210"/>
      <c r="V18" s="210"/>
      <c r="W18" s="210"/>
      <c r="X18" s="210"/>
      <c r="Y18" s="210"/>
    </row>
    <row r="19">
      <c r="A19" s="210">
        <v>150.0</v>
      </c>
      <c r="B19" s="210" t="s">
        <v>429</v>
      </c>
      <c r="C19" s="208">
        <v>45772.0</v>
      </c>
      <c r="D19" s="209">
        <v>0.4583333333333333</v>
      </c>
      <c r="E19" s="209">
        <v>0.4583333333333333</v>
      </c>
      <c r="F19" s="207">
        <v>108.3</v>
      </c>
      <c r="G19" s="207" t="s">
        <v>233</v>
      </c>
      <c r="H19" s="207">
        <v>37.0</v>
      </c>
      <c r="I19" s="210"/>
      <c r="J19" s="210"/>
      <c r="K19" s="210"/>
      <c r="L19" s="210"/>
      <c r="M19" s="210"/>
      <c r="N19" s="210"/>
      <c r="O19" s="210"/>
      <c r="P19" s="210"/>
      <c r="Q19" s="210"/>
      <c r="R19" s="210"/>
      <c r="S19" s="210"/>
      <c r="T19" s="210"/>
      <c r="U19" s="210"/>
      <c r="V19" s="210"/>
      <c r="W19" s="210"/>
      <c r="X19" s="210"/>
      <c r="Y19" s="210"/>
    </row>
    <row r="20">
      <c r="A20" s="210">
        <v>151.0</v>
      </c>
      <c r="B20" s="210" t="s">
        <v>432</v>
      </c>
      <c r="C20" s="208">
        <v>45773.0</v>
      </c>
      <c r="D20" s="209">
        <v>0.3333333333333333</v>
      </c>
      <c r="E20" s="209">
        <v>0.3333333333333333</v>
      </c>
      <c r="F20" s="207">
        <v>125.0</v>
      </c>
      <c r="G20" s="207" t="s">
        <v>233</v>
      </c>
      <c r="H20" s="207">
        <v>39.0</v>
      </c>
      <c r="I20" s="210"/>
      <c r="J20" s="210"/>
      <c r="K20" s="210"/>
      <c r="L20" s="210"/>
      <c r="M20" s="210"/>
      <c r="N20" s="210"/>
      <c r="O20" s="210"/>
      <c r="P20" s="210"/>
      <c r="Q20" s="210"/>
      <c r="R20" s="210"/>
      <c r="S20" s="210"/>
      <c r="T20" s="210"/>
      <c r="U20" s="210"/>
      <c r="V20" s="210"/>
      <c r="W20" s="210"/>
      <c r="X20" s="210"/>
      <c r="Y20" s="210"/>
    </row>
    <row r="21">
      <c r="A21" s="210">
        <v>152.0</v>
      </c>
      <c r="B21" s="210" t="s">
        <v>434</v>
      </c>
      <c r="C21" s="208">
        <v>45775.0</v>
      </c>
      <c r="D21" s="209">
        <v>0.5555555555555556</v>
      </c>
      <c r="E21" s="209">
        <v>0.5625</v>
      </c>
      <c r="F21" s="207">
        <v>90.1</v>
      </c>
      <c r="G21" s="207" t="s">
        <v>233</v>
      </c>
      <c r="H21" s="207">
        <v>45.0</v>
      </c>
      <c r="I21" s="210"/>
      <c r="J21" s="210"/>
      <c r="K21" s="210"/>
      <c r="L21" s="210"/>
      <c r="M21" s="210"/>
      <c r="N21" s="210"/>
      <c r="O21" s="210"/>
      <c r="P21" s="210"/>
      <c r="Q21" s="210"/>
      <c r="R21" s="210"/>
      <c r="S21" s="210"/>
      <c r="T21" s="210"/>
      <c r="U21" s="210"/>
      <c r="V21" s="210"/>
      <c r="W21" s="210"/>
      <c r="X21" s="210"/>
      <c r="Y21" s="210"/>
    </row>
    <row r="22">
      <c r="A22" s="210">
        <v>153.0</v>
      </c>
      <c r="B22" s="210" t="s">
        <v>437</v>
      </c>
      <c r="C22" s="208">
        <v>45775.0</v>
      </c>
      <c r="D22" s="209">
        <v>0.5625</v>
      </c>
      <c r="E22" s="209">
        <v>0.5819444444444445</v>
      </c>
      <c r="F22" s="207">
        <v>96.4</v>
      </c>
      <c r="G22" s="207" t="s">
        <v>233</v>
      </c>
      <c r="H22" s="207">
        <v>34.0</v>
      </c>
      <c r="I22" s="210"/>
      <c r="J22" s="210"/>
      <c r="K22" s="210"/>
      <c r="L22" s="210"/>
      <c r="M22" s="210"/>
      <c r="N22" s="210"/>
      <c r="O22" s="210"/>
      <c r="P22" s="210"/>
      <c r="Q22" s="210"/>
      <c r="R22" s="210"/>
      <c r="S22" s="210"/>
      <c r="T22" s="210"/>
      <c r="U22" s="210"/>
      <c r="V22" s="210"/>
      <c r="W22" s="210"/>
      <c r="X22" s="210"/>
      <c r="Y22" s="210"/>
    </row>
    <row r="23">
      <c r="A23" s="210">
        <v>154.0</v>
      </c>
      <c r="B23" s="210" t="s">
        <v>438</v>
      </c>
      <c r="C23" s="208">
        <v>45776.0</v>
      </c>
      <c r="D23" s="209">
        <v>0.3159722222222222</v>
      </c>
      <c r="E23" s="209">
        <v>0.3263888888888889</v>
      </c>
      <c r="F23" s="207">
        <v>109.0</v>
      </c>
      <c r="G23" s="207" t="s">
        <v>82</v>
      </c>
      <c r="H23" s="207">
        <v>39.0</v>
      </c>
      <c r="I23" s="210"/>
      <c r="J23" s="210"/>
      <c r="K23" s="210"/>
      <c r="L23" s="210"/>
      <c r="M23" s="210"/>
      <c r="N23" s="210"/>
      <c r="O23" s="210"/>
      <c r="P23" s="210"/>
      <c r="Q23" s="210"/>
      <c r="R23" s="210"/>
      <c r="S23" s="210"/>
      <c r="T23" s="210"/>
      <c r="U23" s="210"/>
      <c r="V23" s="210"/>
      <c r="W23" s="210"/>
      <c r="X23" s="210"/>
      <c r="Y23" s="210"/>
    </row>
    <row r="24">
      <c r="A24" s="210">
        <v>155.0</v>
      </c>
      <c r="B24" s="210" t="s">
        <v>439</v>
      </c>
      <c r="C24" s="208">
        <v>45776.0</v>
      </c>
      <c r="D24" s="209">
        <v>0.8645833333333334</v>
      </c>
      <c r="E24" s="209">
        <v>0.8645833333333334</v>
      </c>
      <c r="F24" s="207">
        <v>119.7</v>
      </c>
      <c r="G24" s="207" t="s">
        <v>233</v>
      </c>
      <c r="H24" s="207">
        <v>39.5</v>
      </c>
      <c r="I24" s="210"/>
      <c r="J24" s="210"/>
      <c r="K24" s="210"/>
      <c r="L24" s="210"/>
      <c r="M24" s="210"/>
      <c r="N24" s="210"/>
      <c r="O24" s="210"/>
      <c r="P24" s="210"/>
      <c r="Q24" s="210"/>
      <c r="R24" s="210"/>
      <c r="S24" s="210"/>
      <c r="T24" s="210"/>
      <c r="U24" s="210"/>
      <c r="V24" s="210"/>
      <c r="W24" s="210"/>
      <c r="X24" s="210"/>
      <c r="Y24" s="210"/>
    </row>
    <row r="25">
      <c r="A25" s="207">
        <v>156.0</v>
      </c>
      <c r="B25" s="207" t="s">
        <v>441</v>
      </c>
      <c r="C25" s="208">
        <v>45778.0</v>
      </c>
      <c r="D25" s="210"/>
      <c r="E25" s="209">
        <v>0.7638888888888888</v>
      </c>
      <c r="F25" s="207">
        <v>115.0</v>
      </c>
      <c r="G25" s="207" t="s">
        <v>233</v>
      </c>
      <c r="H25" s="207">
        <v>35.0</v>
      </c>
      <c r="I25" s="210"/>
      <c r="J25" s="210"/>
      <c r="K25" s="210"/>
      <c r="L25" s="210"/>
      <c r="M25" s="210"/>
      <c r="N25" s="210"/>
      <c r="O25" s="210"/>
      <c r="P25" s="210"/>
      <c r="Q25" s="210"/>
      <c r="R25" s="210"/>
      <c r="S25" s="210"/>
      <c r="T25" s="210"/>
      <c r="U25" s="210"/>
      <c r="V25" s="210"/>
      <c r="W25" s="210"/>
      <c r="X25" s="210"/>
      <c r="Y25" s="210"/>
    </row>
    <row r="26">
      <c r="A26" s="210">
        <v>157.0</v>
      </c>
      <c r="B26" s="210" t="s">
        <v>444</v>
      </c>
      <c r="C26" s="208">
        <v>45779.0</v>
      </c>
      <c r="D26" s="209">
        <v>0.3645833333333333</v>
      </c>
      <c r="E26" s="209">
        <v>0.3680555555555556</v>
      </c>
      <c r="F26" s="207">
        <v>118.0</v>
      </c>
      <c r="G26" s="207" t="s">
        <v>233</v>
      </c>
      <c r="H26" s="207">
        <v>38.0</v>
      </c>
      <c r="I26" s="210"/>
      <c r="J26" s="210"/>
      <c r="K26" s="210"/>
      <c r="L26" s="210"/>
      <c r="M26" s="210"/>
      <c r="N26" s="210"/>
      <c r="O26" s="210"/>
      <c r="P26" s="210"/>
      <c r="Q26" s="210"/>
      <c r="R26" s="210"/>
      <c r="S26" s="210"/>
      <c r="T26" s="210"/>
      <c r="U26" s="210"/>
      <c r="V26" s="210"/>
      <c r="W26" s="210"/>
      <c r="X26" s="210"/>
      <c r="Y26" s="210"/>
    </row>
    <row r="27">
      <c r="A27" s="207">
        <v>158.0</v>
      </c>
      <c r="B27" s="207" t="s">
        <v>445</v>
      </c>
      <c r="C27" s="208">
        <v>45779.0</v>
      </c>
      <c r="D27" s="209">
        <v>0.5833333333333334</v>
      </c>
      <c r="E27" s="209">
        <v>0.6041666666666666</v>
      </c>
      <c r="F27" s="207">
        <v>114.0</v>
      </c>
      <c r="G27" s="207" t="s">
        <v>82</v>
      </c>
      <c r="H27" s="207">
        <v>37.0</v>
      </c>
      <c r="I27" s="210"/>
      <c r="J27" s="210"/>
      <c r="K27" s="210"/>
      <c r="L27" s="210"/>
      <c r="M27" s="210"/>
      <c r="N27" s="210"/>
      <c r="O27" s="210"/>
      <c r="P27" s="210"/>
      <c r="Q27" s="210"/>
      <c r="R27" s="210"/>
      <c r="S27" s="210"/>
      <c r="T27" s="210"/>
      <c r="U27" s="210"/>
      <c r="V27" s="210"/>
      <c r="W27" s="210"/>
      <c r="X27" s="210"/>
      <c r="Y27" s="210"/>
    </row>
    <row r="28">
      <c r="A28" s="207">
        <v>159.0</v>
      </c>
      <c r="B28" s="207" t="s">
        <v>447</v>
      </c>
      <c r="C28" s="208">
        <v>45779.0</v>
      </c>
      <c r="D28" s="209">
        <v>0.6006944444444444</v>
      </c>
      <c r="E28" s="209">
        <v>0.6180555555555556</v>
      </c>
      <c r="F28" s="207">
        <v>93.4</v>
      </c>
      <c r="G28" s="207" t="s">
        <v>233</v>
      </c>
      <c r="H28" s="207">
        <v>46.0</v>
      </c>
      <c r="I28" s="210"/>
      <c r="J28" s="210"/>
      <c r="K28" s="210"/>
      <c r="L28" s="210"/>
      <c r="M28" s="210"/>
      <c r="N28" s="210"/>
      <c r="O28" s="210"/>
      <c r="P28" s="210"/>
      <c r="Q28" s="210"/>
      <c r="R28" s="210"/>
      <c r="S28" s="210"/>
      <c r="T28" s="210"/>
      <c r="U28" s="210"/>
      <c r="V28" s="210"/>
      <c r="W28" s="210"/>
      <c r="X28" s="210"/>
      <c r="Y28" s="210"/>
    </row>
    <row r="29">
      <c r="A29" s="210">
        <v>160.0</v>
      </c>
      <c r="B29" s="210" t="s">
        <v>448</v>
      </c>
      <c r="C29" s="208">
        <v>45785.0</v>
      </c>
      <c r="D29" s="209">
        <v>0.36666666666666664</v>
      </c>
      <c r="E29" s="209">
        <v>0.36666666666666664</v>
      </c>
      <c r="F29" s="207">
        <v>133.7</v>
      </c>
      <c r="G29" s="207" t="s">
        <v>82</v>
      </c>
      <c r="H29" s="207">
        <v>36.0</v>
      </c>
      <c r="I29" s="210"/>
      <c r="J29" s="210"/>
      <c r="K29" s="210"/>
      <c r="L29" s="210"/>
      <c r="M29" s="210"/>
      <c r="N29" s="210"/>
      <c r="O29" s="210"/>
      <c r="P29" s="210"/>
      <c r="Q29" s="210"/>
      <c r="R29" s="210"/>
      <c r="S29" s="210"/>
      <c r="T29" s="210"/>
      <c r="U29" s="210"/>
      <c r="V29" s="210"/>
      <c r="W29" s="210"/>
      <c r="X29" s="210"/>
      <c r="Y29" s="210"/>
    </row>
    <row r="30">
      <c r="A30" s="210">
        <v>162.0</v>
      </c>
      <c r="B30" s="210" t="s">
        <v>452</v>
      </c>
      <c r="C30" s="208">
        <v>45786.0</v>
      </c>
      <c r="D30" s="209">
        <v>0.08333333333333333</v>
      </c>
      <c r="E30" s="210"/>
      <c r="F30" s="207">
        <v>105.0</v>
      </c>
      <c r="G30" s="207" t="s">
        <v>233</v>
      </c>
      <c r="H30" s="207">
        <v>39.0</v>
      </c>
      <c r="I30" s="210"/>
      <c r="J30" s="210"/>
      <c r="K30" s="210"/>
      <c r="L30" s="210"/>
      <c r="M30" s="210"/>
      <c r="N30" s="210"/>
      <c r="O30" s="210"/>
      <c r="P30" s="210"/>
      <c r="Q30" s="210"/>
      <c r="R30" s="210"/>
      <c r="S30" s="210"/>
      <c r="T30" s="210"/>
      <c r="U30" s="210"/>
      <c r="V30" s="210"/>
      <c r="W30" s="210"/>
      <c r="X30" s="210"/>
      <c r="Y30" s="210"/>
    </row>
    <row r="31">
      <c r="A31" s="210">
        <v>163.0</v>
      </c>
      <c r="B31" s="210" t="s">
        <v>455</v>
      </c>
      <c r="C31" s="208">
        <v>45786.0</v>
      </c>
      <c r="D31" s="210"/>
      <c r="E31" s="210"/>
      <c r="F31" s="207">
        <v>99.0</v>
      </c>
      <c r="G31" s="207" t="s">
        <v>233</v>
      </c>
      <c r="H31" s="207">
        <v>43.0</v>
      </c>
      <c r="I31" s="210"/>
      <c r="J31" s="210"/>
      <c r="K31" s="210"/>
      <c r="L31" s="210"/>
      <c r="M31" s="210"/>
      <c r="N31" s="210"/>
      <c r="O31" s="210"/>
      <c r="P31" s="210"/>
      <c r="Q31" s="210"/>
      <c r="R31" s="210"/>
      <c r="S31" s="210"/>
      <c r="T31" s="210"/>
      <c r="U31" s="210"/>
      <c r="V31" s="210"/>
      <c r="W31" s="210"/>
      <c r="X31" s="210"/>
      <c r="Y31" s="210"/>
    </row>
    <row r="32">
      <c r="A32" s="207">
        <v>161.0</v>
      </c>
      <c r="B32" s="207" t="s">
        <v>450</v>
      </c>
      <c r="C32" s="208">
        <v>45786.0</v>
      </c>
      <c r="D32" s="210"/>
      <c r="E32" s="210"/>
      <c r="F32" s="207">
        <v>137.0</v>
      </c>
      <c r="G32" s="207" t="s">
        <v>233</v>
      </c>
      <c r="H32" s="207">
        <v>34.0</v>
      </c>
      <c r="I32" s="210"/>
      <c r="J32" s="210"/>
      <c r="K32" s="210"/>
      <c r="L32" s="210"/>
      <c r="M32" s="210"/>
      <c r="N32" s="210"/>
      <c r="O32" s="210"/>
      <c r="P32" s="210"/>
      <c r="Q32" s="210"/>
      <c r="R32" s="210"/>
      <c r="S32" s="210"/>
      <c r="T32" s="210"/>
      <c r="U32" s="210"/>
      <c r="V32" s="210"/>
      <c r="W32" s="210"/>
      <c r="X32" s="210"/>
      <c r="Y32" s="210"/>
    </row>
    <row r="33">
      <c r="A33" s="210">
        <v>165.0</v>
      </c>
      <c r="B33" s="210" t="s">
        <v>458</v>
      </c>
      <c r="C33" s="208">
        <v>45791.0</v>
      </c>
      <c r="D33" s="210"/>
      <c r="E33" s="210"/>
      <c r="F33" s="207">
        <v>101.0</v>
      </c>
      <c r="G33" s="207" t="s">
        <v>233</v>
      </c>
      <c r="H33" s="207">
        <v>47.0</v>
      </c>
      <c r="I33" s="210"/>
      <c r="J33" s="210"/>
      <c r="K33" s="210"/>
      <c r="L33" s="210"/>
      <c r="M33" s="210"/>
      <c r="N33" s="210"/>
      <c r="O33" s="210"/>
      <c r="P33" s="210"/>
      <c r="Q33" s="210"/>
      <c r="R33" s="210"/>
      <c r="S33" s="210"/>
      <c r="T33" s="210"/>
      <c r="U33" s="210"/>
      <c r="V33" s="210"/>
      <c r="W33" s="210"/>
      <c r="X33" s="210"/>
      <c r="Y33" s="210"/>
    </row>
    <row r="34">
      <c r="A34" s="210">
        <v>164.0</v>
      </c>
      <c r="B34" s="210" t="s">
        <v>456</v>
      </c>
      <c r="C34" s="208">
        <v>45786.0</v>
      </c>
      <c r="D34" s="210"/>
      <c r="E34" s="210"/>
      <c r="F34" s="207">
        <v>115.0</v>
      </c>
      <c r="G34" s="207" t="s">
        <v>82</v>
      </c>
      <c r="H34" s="210"/>
      <c r="I34" s="210"/>
      <c r="J34" s="210"/>
      <c r="K34" s="210"/>
      <c r="L34" s="210"/>
      <c r="M34" s="210"/>
      <c r="N34" s="210"/>
      <c r="O34" s="210"/>
      <c r="P34" s="210"/>
      <c r="Q34" s="210"/>
      <c r="R34" s="210"/>
      <c r="S34" s="210"/>
      <c r="T34" s="210"/>
      <c r="U34" s="210"/>
      <c r="V34" s="210"/>
      <c r="W34" s="210"/>
      <c r="X34" s="210"/>
      <c r="Y34" s="210"/>
    </row>
    <row r="35">
      <c r="A35" s="207">
        <v>166.0</v>
      </c>
      <c r="B35" s="207" t="s">
        <v>1475</v>
      </c>
      <c r="C35" s="208">
        <v>45792.0</v>
      </c>
      <c r="D35" s="209">
        <v>0.4375</v>
      </c>
      <c r="E35" s="209">
        <v>0.4375</v>
      </c>
      <c r="F35" s="207">
        <v>115.0</v>
      </c>
      <c r="G35" s="207" t="s">
        <v>82</v>
      </c>
      <c r="H35" s="207">
        <v>40.0</v>
      </c>
      <c r="I35" s="210"/>
      <c r="J35" s="210"/>
      <c r="K35" s="210"/>
      <c r="L35" s="210"/>
      <c r="M35" s="210"/>
      <c r="N35" s="210"/>
      <c r="O35" s="210"/>
      <c r="P35" s="210"/>
      <c r="Q35" s="210"/>
      <c r="R35" s="210"/>
      <c r="S35" s="210"/>
      <c r="T35" s="210"/>
      <c r="U35" s="210"/>
      <c r="V35" s="210"/>
      <c r="W35" s="210"/>
      <c r="X35" s="210"/>
      <c r="Y35" s="210"/>
    </row>
    <row r="36">
      <c r="A36" s="210">
        <v>167.0</v>
      </c>
      <c r="B36" s="210" t="s">
        <v>461</v>
      </c>
      <c r="C36" s="208">
        <v>45792.0</v>
      </c>
      <c r="D36" s="210"/>
      <c r="E36" s="210"/>
      <c r="F36" s="207">
        <v>98.6</v>
      </c>
      <c r="G36" s="207" t="s">
        <v>233</v>
      </c>
      <c r="H36" s="207">
        <v>30.0</v>
      </c>
      <c r="I36" s="210"/>
      <c r="J36" s="210"/>
      <c r="K36" s="210"/>
      <c r="L36" s="210"/>
      <c r="M36" s="210"/>
      <c r="N36" s="210"/>
      <c r="O36" s="210"/>
      <c r="P36" s="210"/>
      <c r="Q36" s="210"/>
      <c r="R36" s="210"/>
      <c r="S36" s="210"/>
      <c r="T36" s="210"/>
      <c r="U36" s="210"/>
      <c r="V36" s="210"/>
      <c r="W36" s="210"/>
      <c r="X36" s="210"/>
      <c r="Y36" s="210"/>
    </row>
    <row r="37">
      <c r="A37" s="207">
        <v>168.0</v>
      </c>
      <c r="B37" s="207" t="s">
        <v>1476</v>
      </c>
      <c r="C37" s="208">
        <v>45796.0</v>
      </c>
      <c r="D37" s="210"/>
      <c r="E37" s="210"/>
      <c r="F37" s="207">
        <v>125.0</v>
      </c>
      <c r="G37" s="207" t="s">
        <v>233</v>
      </c>
      <c r="H37" s="207">
        <v>35.0</v>
      </c>
      <c r="I37" s="210"/>
      <c r="J37" s="210"/>
      <c r="K37" s="210"/>
      <c r="L37" s="210"/>
      <c r="M37" s="210"/>
      <c r="N37" s="210"/>
      <c r="O37" s="210"/>
      <c r="P37" s="210"/>
      <c r="Q37" s="210"/>
      <c r="R37" s="210"/>
      <c r="S37" s="210"/>
      <c r="T37" s="210"/>
      <c r="U37" s="210"/>
      <c r="V37" s="210"/>
      <c r="W37" s="210"/>
      <c r="X37" s="210"/>
      <c r="Y37" s="210"/>
    </row>
    <row r="38">
      <c r="A38" s="207">
        <v>169.0</v>
      </c>
      <c r="B38" s="207" t="s">
        <v>1477</v>
      </c>
      <c r="C38" s="208">
        <v>45797.0</v>
      </c>
      <c r="D38" s="210"/>
      <c r="E38" s="210"/>
      <c r="F38" s="207">
        <v>111.0</v>
      </c>
      <c r="G38" s="207" t="s">
        <v>233</v>
      </c>
      <c r="H38" s="210"/>
      <c r="I38" s="210"/>
      <c r="J38" s="210"/>
      <c r="K38" s="210"/>
      <c r="L38" s="210"/>
      <c r="M38" s="210"/>
      <c r="N38" s="210"/>
      <c r="O38" s="210"/>
      <c r="P38" s="210"/>
      <c r="Q38" s="210"/>
      <c r="R38" s="210"/>
      <c r="S38" s="210"/>
      <c r="T38" s="210"/>
      <c r="U38" s="210"/>
      <c r="V38" s="210"/>
      <c r="W38" s="210"/>
      <c r="X38" s="210"/>
      <c r="Y38" s="210"/>
    </row>
    <row r="39">
      <c r="A39" s="207">
        <v>170.0</v>
      </c>
      <c r="B39" s="207" t="s">
        <v>466</v>
      </c>
      <c r="C39" s="208">
        <v>45799.0</v>
      </c>
      <c r="D39" s="209">
        <v>0.5</v>
      </c>
      <c r="E39" s="209">
        <v>0.5138888888888888</v>
      </c>
      <c r="F39" s="207">
        <v>115.0</v>
      </c>
      <c r="G39" s="207" t="s">
        <v>233</v>
      </c>
      <c r="H39" s="207">
        <v>40.0</v>
      </c>
      <c r="I39" s="210"/>
      <c r="J39" s="210"/>
      <c r="K39" s="210"/>
      <c r="L39" s="210"/>
      <c r="M39" s="210"/>
      <c r="N39" s="210"/>
      <c r="O39" s="210"/>
      <c r="P39" s="210"/>
      <c r="Q39" s="210"/>
      <c r="R39" s="210"/>
      <c r="S39" s="210"/>
      <c r="T39" s="210"/>
      <c r="U39" s="210"/>
      <c r="V39" s="210"/>
      <c r="W39" s="210"/>
      <c r="X39" s="210"/>
      <c r="Y39" s="210"/>
    </row>
    <row r="40">
      <c r="A40" s="210">
        <v>172.0</v>
      </c>
      <c r="B40" s="210" t="s">
        <v>472</v>
      </c>
      <c r="C40" s="208">
        <v>45800.0</v>
      </c>
      <c r="D40" s="209">
        <v>0.5833333333333334</v>
      </c>
      <c r="E40" s="210"/>
      <c r="F40" s="207">
        <v>118.0</v>
      </c>
      <c r="G40" s="207" t="s">
        <v>82</v>
      </c>
      <c r="H40" s="207">
        <v>39.0</v>
      </c>
      <c r="I40" s="210"/>
      <c r="J40" s="210"/>
      <c r="K40" s="210"/>
      <c r="L40" s="210"/>
      <c r="M40" s="210"/>
      <c r="N40" s="210"/>
      <c r="O40" s="210"/>
      <c r="P40" s="210"/>
      <c r="Q40" s="210"/>
      <c r="R40" s="210"/>
      <c r="S40" s="210"/>
      <c r="T40" s="210"/>
      <c r="U40" s="210"/>
      <c r="V40" s="210"/>
      <c r="W40" s="210"/>
      <c r="X40" s="210"/>
      <c r="Y40" s="210"/>
    </row>
    <row r="41">
      <c r="A41" s="207">
        <v>171.0</v>
      </c>
      <c r="B41" s="207" t="s">
        <v>469</v>
      </c>
      <c r="C41" s="208">
        <v>45801.0</v>
      </c>
      <c r="D41" s="211">
        <v>0.44583333333333336</v>
      </c>
      <c r="E41" s="211">
        <v>0.46111111111111114</v>
      </c>
      <c r="F41" s="207">
        <v>125.0</v>
      </c>
      <c r="G41" s="207" t="s">
        <v>233</v>
      </c>
      <c r="H41" s="207">
        <v>34.0</v>
      </c>
      <c r="I41" s="210"/>
      <c r="J41" s="210"/>
      <c r="K41" s="210"/>
      <c r="L41" s="210"/>
      <c r="M41" s="210"/>
      <c r="N41" s="210"/>
      <c r="O41" s="210"/>
      <c r="P41" s="210"/>
      <c r="Q41" s="210"/>
      <c r="R41" s="210"/>
      <c r="S41" s="210"/>
      <c r="T41" s="210"/>
      <c r="U41" s="210"/>
      <c r="V41" s="210"/>
      <c r="W41" s="210"/>
      <c r="X41" s="210"/>
      <c r="Y41" s="210"/>
    </row>
    <row r="42">
      <c r="A42" s="207">
        <v>173.0</v>
      </c>
      <c r="B42" s="207" t="s">
        <v>473</v>
      </c>
      <c r="C42" s="208">
        <v>45803.0</v>
      </c>
      <c r="D42" s="209">
        <v>0.2986111111111111</v>
      </c>
      <c r="E42" s="210"/>
      <c r="F42" s="207">
        <v>114.0</v>
      </c>
      <c r="G42" s="207" t="s">
        <v>233</v>
      </c>
      <c r="H42" s="207">
        <v>42.0</v>
      </c>
      <c r="I42" s="210"/>
      <c r="J42" s="210"/>
      <c r="K42" s="210"/>
      <c r="L42" s="210"/>
      <c r="M42" s="210"/>
      <c r="N42" s="210"/>
      <c r="O42" s="210"/>
      <c r="P42" s="210"/>
      <c r="Q42" s="210"/>
      <c r="R42" s="210"/>
      <c r="S42" s="210"/>
      <c r="T42" s="210"/>
      <c r="U42" s="210"/>
      <c r="V42" s="210"/>
      <c r="W42" s="210"/>
      <c r="X42" s="210"/>
      <c r="Y42" s="210"/>
    </row>
    <row r="43">
      <c r="A43" s="207">
        <v>174.0</v>
      </c>
      <c r="B43" s="207" t="s">
        <v>1478</v>
      </c>
      <c r="C43" s="208">
        <v>45814.0</v>
      </c>
      <c r="D43" s="209">
        <v>0.375</v>
      </c>
      <c r="E43" s="210"/>
      <c r="F43" s="207">
        <v>107.0</v>
      </c>
      <c r="G43" s="207" t="s">
        <v>233</v>
      </c>
      <c r="H43" s="207">
        <v>43.0</v>
      </c>
      <c r="I43" s="210"/>
      <c r="J43" s="210"/>
      <c r="K43" s="210"/>
      <c r="L43" s="210"/>
      <c r="M43" s="210"/>
      <c r="N43" s="210"/>
      <c r="O43" s="210"/>
      <c r="P43" s="210"/>
      <c r="Q43" s="210"/>
      <c r="R43" s="210"/>
      <c r="S43" s="210"/>
      <c r="T43" s="210"/>
      <c r="U43" s="210"/>
      <c r="V43" s="210"/>
      <c r="W43" s="210"/>
      <c r="X43" s="210"/>
      <c r="Y43" s="210"/>
    </row>
    <row r="44">
      <c r="A44" s="207">
        <v>175.0</v>
      </c>
      <c r="B44" s="207" t="s">
        <v>478</v>
      </c>
      <c r="C44" s="208">
        <v>45815.0</v>
      </c>
      <c r="D44" s="209">
        <v>0.3333333333333333</v>
      </c>
      <c r="E44" s="210"/>
      <c r="F44" s="207">
        <v>92.5</v>
      </c>
      <c r="G44" s="207" t="s">
        <v>233</v>
      </c>
      <c r="H44" s="207">
        <v>45.0</v>
      </c>
      <c r="I44" s="210"/>
      <c r="J44" s="210"/>
      <c r="K44" s="210"/>
      <c r="L44" s="210"/>
      <c r="M44" s="210"/>
      <c r="N44" s="210"/>
      <c r="O44" s="210"/>
      <c r="P44" s="210"/>
      <c r="Q44" s="210"/>
      <c r="R44" s="210"/>
      <c r="S44" s="210"/>
      <c r="T44" s="210"/>
      <c r="U44" s="210"/>
      <c r="V44" s="210"/>
      <c r="W44" s="210"/>
      <c r="X44" s="210"/>
      <c r="Y44" s="210"/>
    </row>
    <row r="45">
      <c r="A45" s="207">
        <v>176.0</v>
      </c>
      <c r="B45" s="207" t="s">
        <v>481</v>
      </c>
      <c r="C45" s="208">
        <v>45815.0</v>
      </c>
      <c r="D45" s="209">
        <v>0.4583333333333333</v>
      </c>
      <c r="E45" s="210"/>
      <c r="F45" s="207">
        <v>102.0</v>
      </c>
      <c r="G45" s="207" t="s">
        <v>82</v>
      </c>
      <c r="H45" s="207">
        <v>49.0</v>
      </c>
      <c r="I45" s="210"/>
      <c r="J45" s="210"/>
      <c r="K45" s="210"/>
      <c r="L45" s="210"/>
      <c r="M45" s="210"/>
      <c r="N45" s="210"/>
      <c r="O45" s="210"/>
      <c r="P45" s="210"/>
      <c r="Q45" s="210"/>
      <c r="R45" s="210"/>
      <c r="S45" s="210"/>
      <c r="T45" s="210"/>
      <c r="U45" s="210"/>
      <c r="V45" s="210"/>
      <c r="W45" s="210"/>
      <c r="X45" s="210"/>
      <c r="Y45" s="210"/>
    </row>
    <row r="46">
      <c r="A46" s="207">
        <v>180.0</v>
      </c>
      <c r="B46" s="207" t="s">
        <v>488</v>
      </c>
      <c r="C46" s="208">
        <v>45816.0</v>
      </c>
      <c r="D46" s="210"/>
      <c r="E46" s="210"/>
      <c r="F46" s="207">
        <v>124.0</v>
      </c>
      <c r="G46" s="207" t="s">
        <v>82</v>
      </c>
      <c r="H46" s="207">
        <v>36.0</v>
      </c>
      <c r="I46" s="210"/>
      <c r="J46" s="210"/>
      <c r="K46" s="210"/>
      <c r="L46" s="210"/>
      <c r="M46" s="210"/>
      <c r="N46" s="210"/>
      <c r="O46" s="210"/>
      <c r="P46" s="210"/>
      <c r="Q46" s="210"/>
      <c r="R46" s="210"/>
      <c r="S46" s="210"/>
      <c r="T46" s="210"/>
      <c r="U46" s="210"/>
      <c r="V46" s="210"/>
      <c r="W46" s="210"/>
      <c r="X46" s="210"/>
      <c r="Y46" s="210"/>
    </row>
    <row r="47">
      <c r="A47" s="207">
        <v>178.0</v>
      </c>
      <c r="B47" s="207" t="s">
        <v>486</v>
      </c>
      <c r="C47" s="208">
        <v>45816.0</v>
      </c>
      <c r="D47" s="210"/>
      <c r="E47" s="210"/>
      <c r="F47" s="207">
        <v>131.0</v>
      </c>
      <c r="G47" s="207" t="s">
        <v>233</v>
      </c>
      <c r="H47" s="207" t="s">
        <v>1479</v>
      </c>
      <c r="I47" s="210"/>
      <c r="J47" s="210"/>
      <c r="K47" s="210"/>
      <c r="L47" s="210"/>
      <c r="M47" s="210"/>
      <c r="N47" s="210"/>
      <c r="O47" s="210"/>
      <c r="P47" s="210"/>
      <c r="Q47" s="210"/>
      <c r="R47" s="210"/>
      <c r="S47" s="210"/>
      <c r="T47" s="210"/>
      <c r="U47" s="210"/>
      <c r="V47" s="210"/>
      <c r="W47" s="210"/>
      <c r="X47" s="210"/>
      <c r="Y47" s="210"/>
    </row>
    <row r="48">
      <c r="A48" s="207">
        <v>177.0</v>
      </c>
      <c r="B48" s="207" t="s">
        <v>483</v>
      </c>
      <c r="C48" s="208">
        <v>45816.0</v>
      </c>
      <c r="D48" s="210"/>
      <c r="E48" s="210"/>
      <c r="F48" s="207">
        <v>99.0</v>
      </c>
      <c r="G48" s="207" t="s">
        <v>233</v>
      </c>
      <c r="H48" s="207">
        <v>49.0</v>
      </c>
      <c r="I48" s="210"/>
      <c r="J48" s="210"/>
      <c r="K48" s="210"/>
      <c r="L48" s="210"/>
      <c r="M48" s="210"/>
      <c r="N48" s="210"/>
      <c r="O48" s="210"/>
      <c r="P48" s="210"/>
      <c r="Q48" s="210"/>
      <c r="R48" s="210"/>
      <c r="S48" s="210"/>
      <c r="T48" s="210"/>
      <c r="U48" s="210"/>
      <c r="V48" s="210"/>
      <c r="W48" s="210"/>
      <c r="X48" s="210"/>
      <c r="Y48" s="210"/>
    </row>
    <row r="49">
      <c r="A49" s="207">
        <v>179.0</v>
      </c>
      <c r="B49" s="207" t="s">
        <v>487</v>
      </c>
      <c r="C49" s="208">
        <v>45817.0</v>
      </c>
      <c r="D49" s="209">
        <v>0.5208333333333334</v>
      </c>
      <c r="E49" s="210"/>
      <c r="F49" s="207">
        <v>126.3</v>
      </c>
      <c r="G49" s="207" t="s">
        <v>233</v>
      </c>
      <c r="H49" s="207">
        <v>43.0</v>
      </c>
      <c r="I49" s="210"/>
      <c r="J49" s="210"/>
      <c r="K49" s="210"/>
      <c r="L49" s="210"/>
      <c r="M49" s="210"/>
      <c r="N49" s="210"/>
      <c r="O49" s="210"/>
      <c r="P49" s="210"/>
      <c r="Q49" s="210"/>
      <c r="R49" s="210"/>
      <c r="S49" s="210"/>
      <c r="T49" s="210"/>
      <c r="U49" s="210"/>
      <c r="V49" s="210"/>
      <c r="W49" s="210"/>
      <c r="X49" s="210"/>
      <c r="Y49" s="210"/>
    </row>
    <row r="50">
      <c r="A50" s="207">
        <v>181.0</v>
      </c>
      <c r="B50" s="207" t="s">
        <v>489</v>
      </c>
      <c r="C50" s="208">
        <v>45831.0</v>
      </c>
      <c r="D50" s="210"/>
      <c r="E50" s="210"/>
      <c r="F50" s="207">
        <v>104.0</v>
      </c>
      <c r="G50" s="207" t="s">
        <v>1480</v>
      </c>
      <c r="H50" s="207">
        <v>38.0</v>
      </c>
      <c r="I50" s="210"/>
      <c r="J50" s="210"/>
      <c r="K50" s="210"/>
      <c r="L50" s="210"/>
      <c r="M50" s="210"/>
      <c r="N50" s="210"/>
      <c r="O50" s="210"/>
      <c r="P50" s="210"/>
      <c r="Q50" s="210"/>
      <c r="R50" s="210"/>
      <c r="S50" s="210"/>
      <c r="T50" s="210"/>
      <c r="U50" s="210"/>
      <c r="V50" s="210"/>
      <c r="W50" s="210"/>
      <c r="X50" s="210"/>
      <c r="Y50" s="210"/>
    </row>
    <row r="51">
      <c r="A51" s="210">
        <v>182.0</v>
      </c>
      <c r="B51" s="210" t="s">
        <v>493</v>
      </c>
      <c r="C51" s="208">
        <v>45835.0</v>
      </c>
      <c r="D51" s="210"/>
      <c r="E51" s="210"/>
      <c r="F51" s="207">
        <v>104.0</v>
      </c>
      <c r="G51" s="207" t="s">
        <v>233</v>
      </c>
      <c r="H51" s="207">
        <v>50.0</v>
      </c>
      <c r="I51" s="210"/>
      <c r="J51" s="210"/>
      <c r="K51" s="210"/>
      <c r="L51" s="210"/>
      <c r="M51" s="210"/>
      <c r="N51" s="210"/>
      <c r="O51" s="210"/>
      <c r="P51" s="210"/>
      <c r="Q51" s="210"/>
      <c r="R51" s="210"/>
      <c r="S51" s="210"/>
      <c r="T51" s="210"/>
      <c r="U51" s="210"/>
      <c r="V51" s="210"/>
      <c r="W51" s="210"/>
      <c r="X51" s="210"/>
      <c r="Y51" s="210"/>
    </row>
    <row r="52">
      <c r="A52" s="210">
        <v>184.0</v>
      </c>
      <c r="B52" s="210" t="s">
        <v>496</v>
      </c>
      <c r="C52" s="212">
        <v>45838.0</v>
      </c>
      <c r="E52" s="210"/>
      <c r="F52" s="207">
        <v>92.0</v>
      </c>
      <c r="G52" s="210" t="s">
        <v>233</v>
      </c>
      <c r="H52" s="207">
        <v>49.0</v>
      </c>
      <c r="I52" s="210"/>
      <c r="J52" s="210"/>
      <c r="K52" s="210"/>
      <c r="L52" s="210"/>
      <c r="M52" s="210"/>
      <c r="N52" s="210"/>
      <c r="O52" s="210"/>
      <c r="P52" s="210"/>
      <c r="Q52" s="210"/>
      <c r="R52" s="210"/>
      <c r="S52" s="210"/>
      <c r="T52" s="210"/>
      <c r="U52" s="210"/>
      <c r="V52" s="210"/>
      <c r="W52" s="210"/>
      <c r="X52" s="210"/>
      <c r="Y52" s="210"/>
    </row>
    <row r="53">
      <c r="A53" s="207">
        <v>185.0</v>
      </c>
      <c r="B53" s="207" t="s">
        <v>1481</v>
      </c>
      <c r="C53" s="213">
        <v>45841.0</v>
      </c>
      <c r="D53" s="209">
        <v>0.25</v>
      </c>
      <c r="E53" s="210"/>
      <c r="F53" s="207">
        <v>93.0</v>
      </c>
      <c r="G53" s="210" t="s">
        <v>233</v>
      </c>
      <c r="H53" s="207">
        <v>48.0</v>
      </c>
      <c r="I53" s="210"/>
      <c r="J53" s="210"/>
      <c r="K53" s="210"/>
      <c r="L53" s="210"/>
      <c r="M53" s="210"/>
      <c r="N53" s="210"/>
      <c r="O53" s="210"/>
      <c r="P53" s="210"/>
      <c r="Q53" s="210"/>
      <c r="R53" s="210"/>
      <c r="S53" s="210"/>
      <c r="T53" s="210"/>
      <c r="U53" s="210"/>
      <c r="V53" s="210"/>
      <c r="W53" s="210"/>
      <c r="X53" s="210"/>
      <c r="Y53" s="210"/>
    </row>
    <row r="54">
      <c r="A54" s="207">
        <v>186.0</v>
      </c>
      <c r="B54" s="207" t="s">
        <v>499</v>
      </c>
      <c r="C54" s="213">
        <v>45842.0</v>
      </c>
      <c r="D54" s="210"/>
      <c r="E54" s="210"/>
      <c r="F54" s="207">
        <v>91.0</v>
      </c>
      <c r="G54" s="210" t="s">
        <v>233</v>
      </c>
      <c r="H54" s="207">
        <v>25.0</v>
      </c>
      <c r="I54" s="210"/>
      <c r="J54" s="210"/>
      <c r="K54" s="210"/>
      <c r="L54" s="210"/>
      <c r="M54" s="210"/>
      <c r="N54" s="210"/>
      <c r="O54" s="210"/>
      <c r="P54" s="210"/>
      <c r="Q54" s="210"/>
      <c r="R54" s="210"/>
      <c r="S54" s="210"/>
      <c r="T54" s="210"/>
      <c r="U54" s="210"/>
      <c r="V54" s="210"/>
      <c r="W54" s="210"/>
      <c r="X54" s="210"/>
      <c r="Y54" s="210"/>
    </row>
    <row r="55">
      <c r="A55" s="207">
        <v>188.0</v>
      </c>
      <c r="B55" s="207" t="s">
        <v>504</v>
      </c>
      <c r="C55" s="213">
        <v>45845.0</v>
      </c>
      <c r="D55" s="210"/>
      <c r="E55" s="210"/>
      <c r="F55" s="207">
        <v>103.0</v>
      </c>
      <c r="G55" s="207" t="s">
        <v>505</v>
      </c>
      <c r="H55" s="207">
        <v>43.0</v>
      </c>
      <c r="I55" s="210"/>
      <c r="J55" s="210"/>
      <c r="K55" s="210"/>
      <c r="L55" s="210"/>
      <c r="M55" s="210"/>
      <c r="N55" s="210"/>
      <c r="O55" s="210"/>
      <c r="P55" s="210"/>
      <c r="Q55" s="210"/>
      <c r="R55" s="210"/>
      <c r="S55" s="210"/>
      <c r="T55" s="210"/>
      <c r="U55" s="210"/>
      <c r="V55" s="210"/>
      <c r="W55" s="210"/>
      <c r="X55" s="210"/>
      <c r="Y55" s="210"/>
    </row>
    <row r="56">
      <c r="A56" s="207">
        <v>187.0</v>
      </c>
      <c r="B56" s="207" t="s">
        <v>1482</v>
      </c>
      <c r="C56" s="213">
        <v>45845.0</v>
      </c>
      <c r="D56" s="210"/>
      <c r="E56" s="210"/>
      <c r="F56" s="207">
        <v>95.0</v>
      </c>
      <c r="G56" s="210" t="s">
        <v>233</v>
      </c>
      <c r="H56" s="207">
        <v>49.0</v>
      </c>
      <c r="I56" s="210"/>
      <c r="J56" s="210"/>
      <c r="K56" s="210"/>
      <c r="L56" s="210"/>
      <c r="M56" s="210"/>
      <c r="N56" s="210"/>
      <c r="O56" s="210"/>
      <c r="P56" s="210"/>
      <c r="Q56" s="210"/>
      <c r="R56" s="210"/>
      <c r="S56" s="210"/>
      <c r="T56" s="210"/>
      <c r="U56" s="210"/>
      <c r="V56" s="210"/>
      <c r="W56" s="210"/>
      <c r="X56" s="210"/>
      <c r="Y56" s="210"/>
    </row>
    <row r="57">
      <c r="A57" s="207">
        <v>189.0</v>
      </c>
      <c r="B57" s="207" t="s">
        <v>507</v>
      </c>
      <c r="C57" s="213">
        <v>45847.0</v>
      </c>
      <c r="D57" s="210"/>
      <c r="E57" s="210"/>
      <c r="F57" s="207">
        <v>125.0</v>
      </c>
      <c r="G57" s="207" t="s">
        <v>82</v>
      </c>
      <c r="H57" s="207">
        <v>39.0</v>
      </c>
      <c r="I57" s="210"/>
      <c r="J57" s="210"/>
      <c r="K57" s="210"/>
      <c r="L57" s="210"/>
      <c r="M57" s="210"/>
      <c r="N57" s="210"/>
      <c r="O57" s="210"/>
      <c r="P57" s="210"/>
      <c r="Q57" s="210"/>
      <c r="R57" s="210"/>
      <c r="S57" s="210"/>
      <c r="T57" s="210"/>
      <c r="U57" s="210"/>
      <c r="V57" s="210"/>
      <c r="W57" s="210"/>
      <c r="X57" s="210"/>
      <c r="Y57" s="210"/>
    </row>
    <row r="58">
      <c r="A58" s="207">
        <v>190.0</v>
      </c>
      <c r="B58" s="207" t="s">
        <v>508</v>
      </c>
      <c r="C58" s="213">
        <v>45846.0</v>
      </c>
      <c r="D58" s="210"/>
      <c r="E58" s="210"/>
      <c r="F58" s="207">
        <v>108.0</v>
      </c>
      <c r="G58" s="207" t="s">
        <v>82</v>
      </c>
      <c r="H58" s="207">
        <v>37.0</v>
      </c>
      <c r="I58" s="210"/>
      <c r="J58" s="210"/>
      <c r="K58" s="210"/>
      <c r="L58" s="210"/>
      <c r="M58" s="210"/>
      <c r="N58" s="210"/>
      <c r="O58" s="210"/>
      <c r="P58" s="210"/>
      <c r="Q58" s="210"/>
      <c r="R58" s="210"/>
      <c r="S58" s="210"/>
      <c r="T58" s="210"/>
      <c r="U58" s="210"/>
      <c r="V58" s="210"/>
      <c r="W58" s="210"/>
      <c r="X58" s="210"/>
      <c r="Y58" s="210"/>
    </row>
    <row r="59">
      <c r="A59" s="207">
        <v>191.0</v>
      </c>
      <c r="B59" s="207" t="s">
        <v>510</v>
      </c>
      <c r="C59" s="213">
        <v>45850.0</v>
      </c>
      <c r="D59" s="210"/>
      <c r="E59" s="210"/>
      <c r="F59" s="207">
        <v>94.0</v>
      </c>
      <c r="G59" s="210" t="s">
        <v>233</v>
      </c>
      <c r="H59" s="207">
        <v>46.0</v>
      </c>
      <c r="I59" s="210"/>
      <c r="J59" s="210"/>
      <c r="K59" s="210"/>
      <c r="L59" s="210"/>
      <c r="M59" s="210"/>
      <c r="N59" s="210"/>
      <c r="O59" s="210"/>
      <c r="P59" s="210"/>
      <c r="Q59" s="210"/>
      <c r="R59" s="210"/>
      <c r="S59" s="210"/>
      <c r="T59" s="210"/>
      <c r="U59" s="210"/>
      <c r="V59" s="210"/>
      <c r="W59" s="210"/>
      <c r="X59" s="210"/>
      <c r="Y59" s="210"/>
    </row>
    <row r="60">
      <c r="A60" s="207">
        <v>192.0</v>
      </c>
      <c r="B60" s="207" t="s">
        <v>513</v>
      </c>
      <c r="C60" s="213">
        <v>45850.0</v>
      </c>
      <c r="D60" s="210"/>
      <c r="E60" s="210"/>
      <c r="F60" s="207">
        <v>100.0</v>
      </c>
      <c r="G60" s="207" t="s">
        <v>505</v>
      </c>
      <c r="H60" s="207">
        <v>44.0</v>
      </c>
      <c r="I60" s="210"/>
      <c r="J60" s="210"/>
      <c r="K60" s="210"/>
      <c r="L60" s="210"/>
      <c r="M60" s="210"/>
      <c r="N60" s="210"/>
      <c r="O60" s="210"/>
      <c r="P60" s="210"/>
      <c r="Q60" s="210"/>
      <c r="R60" s="210"/>
      <c r="S60" s="210"/>
      <c r="T60" s="210"/>
      <c r="U60" s="210"/>
      <c r="V60" s="210"/>
      <c r="W60" s="210"/>
      <c r="X60" s="210"/>
      <c r="Y60" s="210"/>
    </row>
    <row r="61">
      <c r="A61" s="207">
        <v>194.0</v>
      </c>
      <c r="B61" s="207">
        <v>2195.0</v>
      </c>
      <c r="C61" s="213">
        <v>45853.0</v>
      </c>
      <c r="D61" s="210"/>
      <c r="E61" s="210"/>
      <c r="F61" s="207">
        <v>98.0</v>
      </c>
      <c r="G61" s="207" t="s">
        <v>505</v>
      </c>
      <c r="H61" s="207">
        <v>49.0</v>
      </c>
      <c r="I61" s="210"/>
      <c r="J61" s="210"/>
      <c r="K61" s="210"/>
      <c r="L61" s="210"/>
      <c r="M61" s="210"/>
      <c r="N61" s="210"/>
      <c r="O61" s="210"/>
      <c r="P61" s="210"/>
      <c r="Q61" s="210"/>
      <c r="R61" s="210"/>
      <c r="S61" s="210"/>
      <c r="T61" s="210"/>
      <c r="U61" s="210"/>
      <c r="V61" s="210"/>
      <c r="W61" s="210"/>
      <c r="X61" s="210"/>
      <c r="Y61" s="210"/>
    </row>
    <row r="62">
      <c r="A62" s="207">
        <v>195.0</v>
      </c>
      <c r="B62" s="207" t="s">
        <v>520</v>
      </c>
      <c r="C62" s="213">
        <v>45855.0</v>
      </c>
      <c r="D62" s="210"/>
      <c r="E62" s="210"/>
      <c r="F62" s="207">
        <v>100.0</v>
      </c>
      <c r="G62" s="207" t="s">
        <v>82</v>
      </c>
      <c r="H62" s="207">
        <v>45.0</v>
      </c>
      <c r="I62" s="210"/>
      <c r="J62" s="210"/>
      <c r="K62" s="210"/>
      <c r="L62" s="210"/>
      <c r="M62" s="210"/>
      <c r="N62" s="210"/>
      <c r="O62" s="210"/>
      <c r="P62" s="210"/>
      <c r="Q62" s="210"/>
      <c r="R62" s="210"/>
      <c r="S62" s="210"/>
      <c r="T62" s="210"/>
      <c r="U62" s="210"/>
      <c r="V62" s="210"/>
      <c r="W62" s="210"/>
      <c r="X62" s="210"/>
      <c r="Y62" s="210"/>
    </row>
    <row r="63">
      <c r="A63" s="207">
        <v>197.0</v>
      </c>
      <c r="B63" s="207" t="s">
        <v>523</v>
      </c>
      <c r="C63" s="213">
        <v>45856.0</v>
      </c>
      <c r="D63" s="210"/>
      <c r="E63" s="210"/>
      <c r="F63" s="207">
        <v>100.0</v>
      </c>
      <c r="G63" s="210" t="s">
        <v>233</v>
      </c>
      <c r="H63" s="207">
        <v>42.0</v>
      </c>
      <c r="I63" s="210"/>
      <c r="J63" s="210"/>
      <c r="K63" s="210"/>
      <c r="L63" s="210"/>
      <c r="M63" s="210"/>
      <c r="N63" s="210"/>
      <c r="O63" s="210"/>
      <c r="P63" s="210"/>
      <c r="Q63" s="210"/>
      <c r="R63" s="210"/>
      <c r="S63" s="210"/>
      <c r="T63" s="210"/>
      <c r="U63" s="210"/>
      <c r="V63" s="210"/>
      <c r="W63" s="210"/>
      <c r="X63" s="210"/>
      <c r="Y63" s="210"/>
    </row>
    <row r="64">
      <c r="A64" s="207">
        <v>196.0</v>
      </c>
      <c r="B64" s="207" t="s">
        <v>522</v>
      </c>
      <c r="C64" s="213">
        <v>45856.0</v>
      </c>
      <c r="D64" s="210"/>
      <c r="E64" s="210"/>
      <c r="F64" s="207">
        <v>97.0</v>
      </c>
      <c r="G64" s="210" t="s">
        <v>233</v>
      </c>
      <c r="H64" s="207">
        <v>50.0</v>
      </c>
      <c r="I64" s="210"/>
      <c r="J64" s="210"/>
      <c r="K64" s="210"/>
      <c r="L64" s="210"/>
      <c r="M64" s="210"/>
      <c r="N64" s="210"/>
      <c r="O64" s="210"/>
      <c r="P64" s="210"/>
      <c r="Q64" s="210"/>
      <c r="R64" s="210"/>
      <c r="S64" s="210"/>
      <c r="T64" s="210"/>
      <c r="U64" s="210"/>
      <c r="V64" s="210"/>
      <c r="W64" s="210"/>
      <c r="X64" s="210"/>
      <c r="Y64" s="210"/>
    </row>
    <row r="65">
      <c r="A65" s="207">
        <v>198.0</v>
      </c>
      <c r="B65" s="207" t="s">
        <v>1483</v>
      </c>
      <c r="C65" s="213">
        <v>45856.0</v>
      </c>
      <c r="D65" s="210"/>
      <c r="E65" s="210"/>
      <c r="F65" s="207">
        <v>104.0</v>
      </c>
      <c r="G65" s="210" t="s">
        <v>233</v>
      </c>
      <c r="H65" s="207">
        <v>42.0</v>
      </c>
      <c r="I65" s="210"/>
      <c r="J65" s="210"/>
      <c r="K65" s="210"/>
      <c r="L65" s="210"/>
      <c r="M65" s="210"/>
      <c r="N65" s="210"/>
      <c r="O65" s="210"/>
      <c r="P65" s="210"/>
      <c r="Q65" s="210"/>
      <c r="R65" s="210"/>
      <c r="S65" s="210"/>
      <c r="T65" s="210"/>
      <c r="U65" s="210"/>
      <c r="V65" s="210"/>
      <c r="W65" s="210"/>
      <c r="X65" s="210"/>
      <c r="Y65" s="210"/>
    </row>
    <row r="66">
      <c r="A66" s="207">
        <v>200.0</v>
      </c>
      <c r="B66" s="207" t="s">
        <v>530</v>
      </c>
      <c r="C66" s="213">
        <v>45857.0</v>
      </c>
      <c r="D66" s="210"/>
      <c r="E66" s="210"/>
      <c r="F66" s="207">
        <v>104.0</v>
      </c>
      <c r="G66" s="207" t="s">
        <v>82</v>
      </c>
      <c r="H66" s="207">
        <v>42.0</v>
      </c>
      <c r="I66" s="210"/>
      <c r="J66" s="210"/>
      <c r="K66" s="210"/>
      <c r="L66" s="210"/>
      <c r="M66" s="210"/>
      <c r="N66" s="210"/>
      <c r="O66" s="210"/>
      <c r="P66" s="210"/>
      <c r="Q66" s="210"/>
      <c r="R66" s="210"/>
      <c r="S66" s="210"/>
      <c r="T66" s="210"/>
      <c r="U66" s="210"/>
      <c r="V66" s="210"/>
      <c r="W66" s="210"/>
      <c r="X66" s="210"/>
      <c r="Y66" s="210"/>
    </row>
    <row r="67">
      <c r="A67" s="207">
        <v>201.0</v>
      </c>
      <c r="B67" s="207" t="s">
        <v>531</v>
      </c>
      <c r="C67" s="213">
        <v>45857.0</v>
      </c>
      <c r="D67" s="210"/>
      <c r="E67" s="210"/>
      <c r="F67" s="207">
        <v>102.0</v>
      </c>
      <c r="G67" s="210" t="s">
        <v>233</v>
      </c>
      <c r="H67" s="210"/>
      <c r="I67" s="210"/>
      <c r="J67" s="210"/>
      <c r="K67" s="210"/>
      <c r="L67" s="210"/>
      <c r="M67" s="210"/>
      <c r="N67" s="210"/>
      <c r="O67" s="210"/>
      <c r="P67" s="210"/>
      <c r="Q67" s="210"/>
      <c r="R67" s="210"/>
      <c r="S67" s="210"/>
      <c r="T67" s="210"/>
      <c r="U67" s="210"/>
      <c r="V67" s="210"/>
      <c r="W67" s="210"/>
      <c r="X67" s="210"/>
      <c r="Y67" s="210"/>
    </row>
    <row r="68">
      <c r="A68" s="207">
        <v>199.0</v>
      </c>
      <c r="B68" s="207" t="s">
        <v>527</v>
      </c>
      <c r="C68" s="213">
        <v>45858.0</v>
      </c>
      <c r="D68" s="210"/>
      <c r="E68" s="210"/>
      <c r="F68" s="207">
        <v>104.0</v>
      </c>
      <c r="G68" s="210" t="s">
        <v>233</v>
      </c>
      <c r="H68" s="207">
        <v>42.0</v>
      </c>
      <c r="I68" s="210"/>
      <c r="J68" s="210"/>
      <c r="K68" s="210"/>
      <c r="L68" s="210"/>
      <c r="M68" s="210"/>
      <c r="N68" s="210"/>
      <c r="O68" s="210"/>
      <c r="P68" s="210"/>
      <c r="Q68" s="210"/>
      <c r="R68" s="210"/>
      <c r="S68" s="210"/>
      <c r="T68" s="210"/>
      <c r="U68" s="210"/>
      <c r="V68" s="210"/>
      <c r="W68" s="210"/>
      <c r="X68" s="210"/>
      <c r="Y68" s="210"/>
    </row>
    <row r="69">
      <c r="A69" s="207">
        <v>202.0</v>
      </c>
      <c r="B69" s="207" t="s">
        <v>1484</v>
      </c>
      <c r="C69" s="213">
        <v>45863.0</v>
      </c>
      <c r="D69" s="210"/>
      <c r="E69" s="210"/>
      <c r="F69" s="207">
        <v>98.6</v>
      </c>
      <c r="G69" s="207" t="s">
        <v>1480</v>
      </c>
      <c r="H69" s="207">
        <v>45.0</v>
      </c>
      <c r="I69" s="210"/>
      <c r="J69" s="210"/>
      <c r="K69" s="210"/>
      <c r="L69" s="210"/>
      <c r="M69" s="210"/>
      <c r="N69" s="210"/>
      <c r="O69" s="210"/>
      <c r="P69" s="210"/>
      <c r="Q69" s="210"/>
      <c r="R69" s="210"/>
      <c r="S69" s="210"/>
      <c r="T69" s="210"/>
      <c r="U69" s="210"/>
      <c r="V69" s="210"/>
      <c r="W69" s="210"/>
      <c r="X69" s="210"/>
      <c r="Y69" s="210"/>
    </row>
    <row r="70">
      <c r="A70" s="207">
        <v>203.0</v>
      </c>
      <c r="B70" s="207" t="s">
        <v>535</v>
      </c>
      <c r="C70" s="213">
        <v>45863.0</v>
      </c>
      <c r="D70" s="210"/>
      <c r="E70" s="210"/>
      <c r="F70" s="207">
        <v>98.5</v>
      </c>
      <c r="G70" s="207" t="s">
        <v>505</v>
      </c>
      <c r="H70" s="207">
        <v>45.0</v>
      </c>
      <c r="I70" s="210"/>
      <c r="J70" s="210"/>
      <c r="K70" s="210"/>
      <c r="L70" s="210"/>
      <c r="M70" s="210"/>
      <c r="N70" s="210"/>
      <c r="O70" s="210"/>
      <c r="P70" s="210"/>
      <c r="Q70" s="210"/>
      <c r="R70" s="210"/>
      <c r="S70" s="210"/>
      <c r="T70" s="210"/>
      <c r="U70" s="210"/>
      <c r="V70" s="210"/>
      <c r="W70" s="210"/>
      <c r="X70" s="210"/>
      <c r="Y70" s="210"/>
    </row>
    <row r="71">
      <c r="A71" s="207">
        <v>204.0</v>
      </c>
      <c r="B71" s="207" t="s">
        <v>537</v>
      </c>
      <c r="C71" s="213">
        <v>45864.0</v>
      </c>
      <c r="D71" s="210"/>
      <c r="E71" s="210"/>
      <c r="F71" s="207">
        <v>99.0</v>
      </c>
      <c r="G71" s="207" t="s">
        <v>505</v>
      </c>
      <c r="H71" s="207">
        <v>43.0</v>
      </c>
      <c r="I71" s="210"/>
      <c r="J71" s="210"/>
      <c r="K71" s="210"/>
      <c r="L71" s="210"/>
      <c r="M71" s="210"/>
      <c r="N71" s="210"/>
      <c r="O71" s="210"/>
      <c r="P71" s="210"/>
      <c r="Q71" s="210"/>
      <c r="R71" s="210"/>
      <c r="S71" s="210"/>
      <c r="T71" s="210"/>
      <c r="U71" s="210"/>
      <c r="V71" s="210"/>
      <c r="W71" s="210"/>
      <c r="X71" s="210"/>
      <c r="Y71" s="210"/>
    </row>
    <row r="72">
      <c r="A72" s="207">
        <v>205.0</v>
      </c>
      <c r="B72" s="207" t="s">
        <v>538</v>
      </c>
      <c r="C72" s="213">
        <v>45865.0</v>
      </c>
      <c r="D72" s="210"/>
      <c r="E72" s="210"/>
      <c r="F72" s="207">
        <v>98.0</v>
      </c>
      <c r="G72" s="207" t="s">
        <v>1480</v>
      </c>
      <c r="H72" s="207">
        <v>44.0</v>
      </c>
      <c r="I72" s="210"/>
      <c r="J72" s="210"/>
      <c r="K72" s="210"/>
      <c r="L72" s="210"/>
      <c r="M72" s="210"/>
      <c r="N72" s="210"/>
      <c r="O72" s="210"/>
      <c r="P72" s="210"/>
      <c r="Q72" s="210"/>
      <c r="R72" s="210"/>
      <c r="S72" s="210"/>
      <c r="T72" s="210"/>
      <c r="U72" s="210"/>
      <c r="V72" s="210"/>
      <c r="W72" s="210"/>
      <c r="X72" s="210"/>
      <c r="Y72" s="210"/>
    </row>
    <row r="73">
      <c r="A73" s="207">
        <v>208.0</v>
      </c>
      <c r="B73" s="207" t="s">
        <v>544</v>
      </c>
      <c r="C73" s="213">
        <v>45868.0</v>
      </c>
      <c r="D73" s="210"/>
      <c r="E73" s="210"/>
      <c r="F73" s="207">
        <v>100.0</v>
      </c>
      <c r="G73" s="210" t="s">
        <v>233</v>
      </c>
      <c r="H73" s="207">
        <v>47.0</v>
      </c>
      <c r="I73" s="210"/>
      <c r="J73" s="210"/>
      <c r="K73" s="210"/>
      <c r="L73" s="210"/>
      <c r="M73" s="210"/>
      <c r="N73" s="210"/>
      <c r="O73" s="210"/>
      <c r="P73" s="210"/>
      <c r="Q73" s="210"/>
      <c r="R73" s="210"/>
      <c r="S73" s="210"/>
      <c r="T73" s="210"/>
      <c r="U73" s="210"/>
      <c r="V73" s="210"/>
      <c r="W73" s="210"/>
      <c r="X73" s="210"/>
      <c r="Y73" s="210"/>
    </row>
    <row r="74">
      <c r="A74" s="207">
        <v>209.0</v>
      </c>
      <c r="B74" s="207" t="s">
        <v>546</v>
      </c>
      <c r="C74" s="213">
        <v>45871.0</v>
      </c>
      <c r="D74" s="210"/>
      <c r="E74" s="210"/>
      <c r="F74" s="207">
        <v>102.0</v>
      </c>
      <c r="G74" s="207" t="s">
        <v>1480</v>
      </c>
      <c r="H74" s="207">
        <v>35.0</v>
      </c>
      <c r="I74" s="210"/>
      <c r="J74" s="210"/>
      <c r="K74" s="210"/>
      <c r="L74" s="210"/>
      <c r="M74" s="210"/>
      <c r="N74" s="210"/>
      <c r="O74" s="210"/>
      <c r="P74" s="210"/>
      <c r="Q74" s="210"/>
      <c r="R74" s="210"/>
      <c r="S74" s="210"/>
      <c r="T74" s="210"/>
      <c r="U74" s="210"/>
      <c r="V74" s="210"/>
      <c r="W74" s="210"/>
      <c r="X74" s="210"/>
      <c r="Y74" s="210"/>
    </row>
    <row r="75">
      <c r="A75" s="207">
        <v>210.0</v>
      </c>
      <c r="B75" s="207" t="s">
        <v>549</v>
      </c>
      <c r="C75" s="213">
        <v>45883.0</v>
      </c>
      <c r="D75" s="210"/>
      <c r="E75" s="210"/>
      <c r="F75" s="207">
        <v>104.0</v>
      </c>
      <c r="G75" s="207" t="s">
        <v>505</v>
      </c>
      <c r="H75" s="207">
        <v>45.0</v>
      </c>
      <c r="I75" s="210"/>
      <c r="J75" s="210"/>
      <c r="K75" s="210"/>
      <c r="L75" s="210"/>
      <c r="M75" s="210"/>
      <c r="N75" s="210"/>
      <c r="O75" s="210"/>
      <c r="P75" s="210"/>
      <c r="Q75" s="210"/>
      <c r="R75" s="210"/>
      <c r="S75" s="210"/>
      <c r="T75" s="210"/>
      <c r="U75" s="210"/>
      <c r="V75" s="210"/>
      <c r="W75" s="210"/>
      <c r="X75" s="210"/>
      <c r="Y75" s="210"/>
    </row>
    <row r="76">
      <c r="A76" s="207">
        <v>211.0</v>
      </c>
      <c r="B76" s="207" t="s">
        <v>552</v>
      </c>
      <c r="C76" s="213">
        <v>45884.0</v>
      </c>
      <c r="D76" s="210"/>
      <c r="E76" s="210"/>
      <c r="F76" s="207">
        <v>100.0</v>
      </c>
      <c r="G76" s="207" t="s">
        <v>505</v>
      </c>
      <c r="H76" s="207">
        <v>45.0</v>
      </c>
      <c r="I76" s="210"/>
      <c r="J76" s="210"/>
      <c r="K76" s="210"/>
      <c r="L76" s="210"/>
      <c r="M76" s="210"/>
      <c r="N76" s="210"/>
      <c r="O76" s="210"/>
      <c r="P76" s="210"/>
      <c r="Q76" s="210"/>
      <c r="R76" s="210"/>
      <c r="S76" s="210"/>
      <c r="T76" s="210"/>
      <c r="U76" s="210"/>
      <c r="V76" s="210"/>
      <c r="W76" s="210"/>
      <c r="X76" s="210"/>
      <c r="Y76" s="210"/>
    </row>
    <row r="77">
      <c r="A77" s="214" t="s">
        <v>553</v>
      </c>
      <c r="B77" s="207" t="s">
        <v>554</v>
      </c>
      <c r="C77" s="213">
        <v>45889.0</v>
      </c>
      <c r="D77" s="210"/>
      <c r="E77" s="210"/>
      <c r="F77" s="207">
        <v>95.0</v>
      </c>
      <c r="G77" s="207" t="s">
        <v>233</v>
      </c>
      <c r="H77" s="207">
        <v>50.0</v>
      </c>
      <c r="I77" s="210"/>
      <c r="J77" s="210"/>
      <c r="K77" s="210"/>
      <c r="L77" s="210"/>
      <c r="M77" s="210"/>
      <c r="N77" s="210"/>
      <c r="O77" s="210"/>
      <c r="P77" s="210"/>
      <c r="Q77" s="210"/>
      <c r="R77" s="210"/>
      <c r="S77" s="210"/>
      <c r="T77" s="210"/>
      <c r="U77" s="210"/>
      <c r="V77" s="210"/>
      <c r="W77" s="210"/>
      <c r="X77" s="210"/>
      <c r="Y77" s="210"/>
    </row>
    <row r="78">
      <c r="A78" s="214" t="s">
        <v>556</v>
      </c>
      <c r="B78" s="207" t="s">
        <v>557</v>
      </c>
      <c r="C78" s="213">
        <v>45889.0</v>
      </c>
      <c r="D78" s="210"/>
      <c r="E78" s="210"/>
      <c r="F78" s="207">
        <v>98.0</v>
      </c>
      <c r="G78" s="207" t="s">
        <v>505</v>
      </c>
      <c r="H78" s="207">
        <v>49.0</v>
      </c>
      <c r="I78" s="210"/>
      <c r="J78" s="210"/>
      <c r="K78" s="210"/>
      <c r="L78" s="210"/>
      <c r="M78" s="210"/>
      <c r="N78" s="210"/>
      <c r="O78" s="210"/>
      <c r="P78" s="210"/>
      <c r="Q78" s="210"/>
      <c r="R78" s="210"/>
      <c r="S78" s="210"/>
      <c r="T78" s="210"/>
      <c r="U78" s="210"/>
      <c r="V78" s="210"/>
      <c r="W78" s="210"/>
      <c r="X78" s="210"/>
      <c r="Y78" s="210"/>
    </row>
    <row r="79">
      <c r="A79" s="214" t="s">
        <v>559</v>
      </c>
      <c r="B79" s="207" t="s">
        <v>560</v>
      </c>
      <c r="C79" s="213">
        <v>45893.0</v>
      </c>
      <c r="D79" s="210"/>
      <c r="E79" s="210"/>
      <c r="F79" s="207">
        <v>96.0</v>
      </c>
      <c r="G79" s="207" t="s">
        <v>491</v>
      </c>
      <c r="H79" s="207">
        <v>58.0</v>
      </c>
      <c r="I79" s="210"/>
      <c r="J79" s="210"/>
      <c r="K79" s="210"/>
      <c r="L79" s="210"/>
      <c r="M79" s="210"/>
      <c r="N79" s="210"/>
      <c r="O79" s="210"/>
      <c r="P79" s="210"/>
      <c r="Q79" s="210"/>
      <c r="R79" s="210"/>
      <c r="S79" s="210"/>
      <c r="T79" s="210"/>
      <c r="U79" s="210"/>
      <c r="V79" s="210"/>
      <c r="W79" s="210"/>
      <c r="X79" s="210"/>
      <c r="Y79" s="210"/>
    </row>
    <row r="80">
      <c r="A80" s="214" t="s">
        <v>562</v>
      </c>
      <c r="B80" s="207" t="s">
        <v>563</v>
      </c>
      <c r="C80" s="213">
        <v>45892.0</v>
      </c>
      <c r="D80" s="210"/>
      <c r="E80" s="210"/>
      <c r="F80" s="207">
        <v>104.0</v>
      </c>
      <c r="G80" s="207" t="s">
        <v>505</v>
      </c>
      <c r="H80" s="207">
        <v>46.0</v>
      </c>
      <c r="I80" s="210"/>
      <c r="J80" s="210"/>
      <c r="K80" s="210"/>
      <c r="L80" s="210"/>
      <c r="M80" s="210"/>
      <c r="N80" s="210"/>
      <c r="O80" s="210"/>
      <c r="P80" s="210"/>
      <c r="Q80" s="210"/>
      <c r="R80" s="210"/>
      <c r="S80" s="210"/>
      <c r="T80" s="210"/>
      <c r="U80" s="210"/>
      <c r="V80" s="210"/>
      <c r="W80" s="210"/>
      <c r="X80" s="210"/>
      <c r="Y80" s="210"/>
    </row>
    <row r="81">
      <c r="A81" s="214" t="s">
        <v>575</v>
      </c>
      <c r="B81" s="207" t="s">
        <v>576</v>
      </c>
      <c r="C81" s="208">
        <v>45913.0</v>
      </c>
      <c r="D81" s="210"/>
      <c r="E81" s="210"/>
      <c r="F81" s="207">
        <v>95.0</v>
      </c>
      <c r="G81" s="210" t="s">
        <v>233</v>
      </c>
      <c r="H81" s="207">
        <v>48.0</v>
      </c>
      <c r="I81" s="210"/>
      <c r="J81" s="210"/>
      <c r="K81" s="210"/>
      <c r="L81" s="210"/>
      <c r="M81" s="210"/>
      <c r="N81" s="210"/>
      <c r="O81" s="210"/>
      <c r="P81" s="210"/>
      <c r="Q81" s="210"/>
      <c r="R81" s="210"/>
      <c r="S81" s="210"/>
      <c r="T81" s="210"/>
      <c r="U81" s="210"/>
      <c r="V81" s="210"/>
      <c r="W81" s="210"/>
      <c r="X81" s="210"/>
      <c r="Y81" s="210"/>
    </row>
    <row r="82">
      <c r="A82" s="214" t="s">
        <v>579</v>
      </c>
      <c r="B82" s="207" t="s">
        <v>1485</v>
      </c>
      <c r="C82" s="208">
        <v>45914.0</v>
      </c>
      <c r="D82" s="210"/>
      <c r="E82" s="210"/>
      <c r="F82" s="207">
        <v>93.0</v>
      </c>
      <c r="G82" s="210" t="s">
        <v>233</v>
      </c>
      <c r="H82" s="207">
        <v>46.0</v>
      </c>
      <c r="I82" s="210"/>
      <c r="J82" s="210"/>
      <c r="K82" s="210"/>
      <c r="L82" s="210"/>
      <c r="M82" s="210"/>
      <c r="N82" s="210"/>
      <c r="O82" s="210"/>
      <c r="P82" s="210"/>
      <c r="Q82" s="210"/>
      <c r="R82" s="210"/>
      <c r="S82" s="210"/>
      <c r="T82" s="210"/>
      <c r="U82" s="210"/>
      <c r="V82" s="210"/>
      <c r="W82" s="210"/>
      <c r="X82" s="210"/>
      <c r="Y82" s="210"/>
    </row>
    <row r="83">
      <c r="A83" s="207">
        <v>223.0</v>
      </c>
      <c r="B83" s="207" t="s">
        <v>585</v>
      </c>
      <c r="C83" s="208">
        <v>45917.0</v>
      </c>
      <c r="D83" s="210"/>
      <c r="E83" s="210"/>
      <c r="F83" s="207">
        <v>98.0</v>
      </c>
      <c r="G83" s="207" t="s">
        <v>505</v>
      </c>
      <c r="H83" s="207">
        <v>47.0</v>
      </c>
      <c r="I83" s="210"/>
      <c r="J83" s="210"/>
      <c r="K83" s="210"/>
      <c r="L83" s="210"/>
      <c r="M83" s="210"/>
      <c r="N83" s="210"/>
      <c r="O83" s="210"/>
      <c r="P83" s="210"/>
      <c r="Q83" s="210"/>
      <c r="R83" s="210"/>
      <c r="S83" s="210"/>
      <c r="T83" s="210"/>
      <c r="U83" s="210"/>
      <c r="V83" s="210"/>
      <c r="W83" s="210"/>
      <c r="X83" s="210"/>
      <c r="Y83" s="210"/>
    </row>
    <row r="84">
      <c r="A84" s="207">
        <v>222.0</v>
      </c>
      <c r="B84" s="207" t="s">
        <v>582</v>
      </c>
      <c r="C84" s="208">
        <v>45917.0</v>
      </c>
      <c r="D84" s="210"/>
      <c r="E84" s="210"/>
      <c r="F84" s="207">
        <v>92.0</v>
      </c>
      <c r="G84" s="207" t="s">
        <v>505</v>
      </c>
      <c r="H84" s="207">
        <v>50.0</v>
      </c>
      <c r="I84" s="210"/>
      <c r="J84" s="210"/>
      <c r="K84" s="210"/>
      <c r="L84" s="210"/>
      <c r="M84" s="210"/>
      <c r="N84" s="210"/>
      <c r="O84" s="210"/>
      <c r="P84" s="210"/>
      <c r="Q84" s="210"/>
      <c r="R84" s="210"/>
      <c r="S84" s="210"/>
      <c r="T84" s="210"/>
      <c r="U84" s="210"/>
      <c r="V84" s="210"/>
      <c r="W84" s="210"/>
      <c r="X84" s="210"/>
      <c r="Y84" s="210"/>
    </row>
    <row r="85">
      <c r="A85" s="215" t="s">
        <v>586</v>
      </c>
      <c r="B85" s="210" t="s">
        <v>587</v>
      </c>
      <c r="C85" s="208">
        <v>45921.0</v>
      </c>
      <c r="D85" s="210"/>
      <c r="E85" s="210"/>
      <c r="F85" s="207">
        <v>106.0</v>
      </c>
      <c r="G85" s="207" t="s">
        <v>491</v>
      </c>
      <c r="H85" s="207">
        <v>50.0</v>
      </c>
      <c r="I85" s="210"/>
      <c r="J85" s="210"/>
      <c r="K85" s="210"/>
      <c r="L85" s="210"/>
      <c r="M85" s="210"/>
      <c r="N85" s="210"/>
      <c r="O85" s="210"/>
      <c r="P85" s="210"/>
      <c r="Q85" s="210"/>
      <c r="R85" s="210"/>
      <c r="S85" s="210"/>
      <c r="T85" s="210"/>
      <c r="U85" s="210"/>
      <c r="V85" s="210"/>
      <c r="W85" s="210"/>
      <c r="X85" s="210"/>
      <c r="Y85" s="210"/>
    </row>
    <row r="86">
      <c r="A86" s="215" t="s">
        <v>589</v>
      </c>
      <c r="B86" s="210" t="s">
        <v>590</v>
      </c>
      <c r="C86" s="208">
        <v>45922.0</v>
      </c>
      <c r="D86" s="210"/>
      <c r="E86" s="210"/>
      <c r="F86" s="207">
        <v>94.0</v>
      </c>
      <c r="G86" s="207" t="s">
        <v>491</v>
      </c>
      <c r="H86" s="207">
        <v>49.0</v>
      </c>
      <c r="I86" s="210"/>
      <c r="J86" s="210"/>
      <c r="K86" s="210"/>
      <c r="L86" s="210"/>
      <c r="M86" s="210"/>
      <c r="N86" s="210"/>
      <c r="O86" s="210"/>
      <c r="P86" s="210"/>
      <c r="Q86" s="210"/>
      <c r="R86" s="210"/>
      <c r="S86" s="210"/>
      <c r="T86" s="210"/>
      <c r="U86" s="210"/>
      <c r="V86" s="210"/>
      <c r="W86" s="210"/>
      <c r="X86" s="210"/>
      <c r="Y86" s="210"/>
    </row>
    <row r="87">
      <c r="A87" s="215" t="s">
        <v>591</v>
      </c>
      <c r="B87" s="210" t="s">
        <v>592</v>
      </c>
      <c r="C87" s="208">
        <v>45926.0</v>
      </c>
      <c r="D87" s="210"/>
      <c r="E87" s="210"/>
      <c r="F87" s="207">
        <v>96.0</v>
      </c>
      <c r="G87" s="207" t="s">
        <v>505</v>
      </c>
      <c r="H87" s="207">
        <v>45.0</v>
      </c>
      <c r="I87" s="210"/>
      <c r="J87" s="210"/>
      <c r="K87" s="210"/>
      <c r="L87" s="210"/>
      <c r="M87" s="210"/>
      <c r="N87" s="210"/>
      <c r="O87" s="210"/>
      <c r="P87" s="210"/>
      <c r="Q87" s="210"/>
      <c r="R87" s="210"/>
      <c r="S87" s="210"/>
      <c r="T87" s="210"/>
      <c r="U87" s="210"/>
      <c r="V87" s="210"/>
      <c r="W87" s="210"/>
      <c r="X87" s="210"/>
      <c r="Y87" s="210"/>
    </row>
    <row r="88">
      <c r="A88" s="215" t="s">
        <v>603</v>
      </c>
      <c r="B88" s="210" t="s">
        <v>604</v>
      </c>
      <c r="C88" s="208">
        <v>45930.0</v>
      </c>
      <c r="D88" s="210"/>
      <c r="E88" s="210"/>
      <c r="F88" s="210"/>
      <c r="G88" s="210"/>
      <c r="H88" s="210"/>
      <c r="I88" s="210"/>
      <c r="J88" s="210"/>
      <c r="K88" s="210"/>
      <c r="L88" s="210"/>
      <c r="M88" s="210"/>
      <c r="N88" s="210"/>
      <c r="O88" s="210"/>
      <c r="P88" s="210"/>
      <c r="Q88" s="210"/>
      <c r="R88" s="210"/>
      <c r="S88" s="210"/>
      <c r="T88" s="210"/>
      <c r="U88" s="210"/>
      <c r="V88" s="210"/>
      <c r="W88" s="210"/>
      <c r="X88" s="210"/>
      <c r="Y88" s="210"/>
    </row>
    <row r="89">
      <c r="A89" s="215" t="s">
        <v>609</v>
      </c>
      <c r="B89" s="210" t="s">
        <v>610</v>
      </c>
      <c r="C89" s="208">
        <v>45930.0</v>
      </c>
      <c r="D89" s="210"/>
      <c r="E89" s="210"/>
      <c r="F89" s="207">
        <v>94.0</v>
      </c>
      <c r="G89" s="207" t="s">
        <v>505</v>
      </c>
      <c r="H89" s="207">
        <v>49.0</v>
      </c>
      <c r="I89" s="210"/>
      <c r="J89" s="210"/>
      <c r="K89" s="210"/>
      <c r="L89" s="210"/>
      <c r="M89" s="210"/>
      <c r="N89" s="210"/>
      <c r="O89" s="210"/>
      <c r="P89" s="210"/>
      <c r="Q89" s="210"/>
      <c r="R89" s="210"/>
      <c r="S89" s="210"/>
      <c r="T89" s="210"/>
      <c r="U89" s="210"/>
      <c r="V89" s="210"/>
      <c r="W89" s="210"/>
      <c r="X89" s="210"/>
      <c r="Y89" s="210"/>
    </row>
    <row r="90">
      <c r="A90" s="214" t="s">
        <v>606</v>
      </c>
      <c r="B90" s="1" t="s">
        <v>1486</v>
      </c>
      <c r="C90" s="208">
        <v>45932.0</v>
      </c>
      <c r="D90" s="210"/>
      <c r="E90" s="210"/>
      <c r="F90" s="207">
        <v>94.0</v>
      </c>
      <c r="G90" s="207" t="s">
        <v>491</v>
      </c>
      <c r="H90" s="207">
        <v>48.0</v>
      </c>
      <c r="I90" s="210"/>
      <c r="J90" s="210"/>
      <c r="K90" s="210"/>
      <c r="L90" s="210"/>
      <c r="M90" s="210"/>
      <c r="N90" s="210"/>
      <c r="O90" s="210"/>
      <c r="P90" s="210"/>
      <c r="Q90" s="210"/>
      <c r="R90" s="210"/>
      <c r="S90" s="210"/>
      <c r="T90" s="210"/>
      <c r="U90" s="210"/>
      <c r="V90" s="210"/>
      <c r="W90" s="210"/>
      <c r="X90" s="210"/>
      <c r="Y90" s="210"/>
    </row>
    <row r="91">
      <c r="A91" s="214" t="s">
        <v>611</v>
      </c>
      <c r="B91" s="207" t="s">
        <v>613</v>
      </c>
      <c r="C91" s="208">
        <v>45942.0</v>
      </c>
      <c r="D91" s="210"/>
      <c r="E91" s="210"/>
      <c r="F91" s="207">
        <v>90.0</v>
      </c>
      <c r="G91" s="207" t="s">
        <v>505</v>
      </c>
      <c r="H91" s="207">
        <v>42.0</v>
      </c>
      <c r="I91" s="210"/>
      <c r="J91" s="210"/>
      <c r="K91" s="210"/>
      <c r="L91" s="210"/>
      <c r="M91" s="210"/>
      <c r="N91" s="210"/>
      <c r="O91" s="210"/>
      <c r="P91" s="210"/>
      <c r="Q91" s="210"/>
      <c r="R91" s="210"/>
      <c r="S91" s="210"/>
      <c r="T91" s="210"/>
      <c r="U91" s="210"/>
      <c r="V91" s="210"/>
      <c r="W91" s="210"/>
      <c r="X91" s="210"/>
      <c r="Y91" s="210"/>
    </row>
    <row r="92">
      <c r="A92" s="214" t="s">
        <v>616</v>
      </c>
      <c r="B92" s="207" t="s">
        <v>617</v>
      </c>
      <c r="C92" s="208">
        <v>45942.0</v>
      </c>
      <c r="D92" s="210"/>
      <c r="E92" s="210"/>
      <c r="F92" s="207">
        <v>86.0</v>
      </c>
      <c r="G92" s="207" t="s">
        <v>233</v>
      </c>
      <c r="H92" s="207">
        <v>57.0</v>
      </c>
      <c r="I92" s="210"/>
      <c r="J92" s="210"/>
      <c r="K92" s="210"/>
      <c r="L92" s="210"/>
      <c r="M92" s="210"/>
      <c r="N92" s="210"/>
      <c r="O92" s="210"/>
      <c r="P92" s="210"/>
      <c r="Q92" s="210"/>
      <c r="R92" s="210"/>
      <c r="S92" s="210"/>
      <c r="T92" s="210"/>
      <c r="U92" s="210"/>
      <c r="V92" s="210"/>
      <c r="W92" s="210"/>
      <c r="X92" s="210"/>
      <c r="Y92" s="210"/>
    </row>
    <row r="93">
      <c r="A93" s="214" t="s">
        <v>618</v>
      </c>
      <c r="B93" s="207" t="s">
        <v>619</v>
      </c>
      <c r="C93" s="208">
        <v>45946.0</v>
      </c>
      <c r="D93" s="210"/>
      <c r="E93" s="210"/>
      <c r="F93" s="207">
        <v>88.0</v>
      </c>
      <c r="G93" s="207" t="s">
        <v>491</v>
      </c>
      <c r="H93" s="207">
        <v>58.0</v>
      </c>
      <c r="I93" s="210"/>
      <c r="J93" s="210"/>
      <c r="K93" s="210"/>
      <c r="L93" s="210"/>
      <c r="M93" s="210"/>
      <c r="N93" s="210"/>
      <c r="O93" s="210"/>
      <c r="P93" s="210"/>
      <c r="Q93" s="210"/>
      <c r="R93" s="210"/>
      <c r="S93" s="210"/>
      <c r="T93" s="210"/>
      <c r="U93" s="210"/>
      <c r="V93" s="210"/>
      <c r="W93" s="210"/>
      <c r="X93" s="210"/>
      <c r="Y93" s="210"/>
    </row>
    <row r="94">
      <c r="A94" s="215" t="s">
        <v>621</v>
      </c>
      <c r="B94" s="210" t="s">
        <v>622</v>
      </c>
      <c r="C94" s="208">
        <v>45946.0</v>
      </c>
      <c r="D94" s="210"/>
      <c r="E94" s="210"/>
      <c r="F94" s="207">
        <v>94.0</v>
      </c>
      <c r="G94" s="207" t="s">
        <v>491</v>
      </c>
      <c r="H94" s="207">
        <v>48.0</v>
      </c>
      <c r="I94" s="210"/>
      <c r="J94" s="210"/>
      <c r="K94" s="210"/>
      <c r="L94" s="210"/>
      <c r="M94" s="210"/>
      <c r="N94" s="210"/>
      <c r="O94" s="210"/>
      <c r="P94" s="210"/>
      <c r="Q94" s="210"/>
      <c r="R94" s="210"/>
      <c r="S94" s="210"/>
      <c r="T94" s="210"/>
      <c r="U94" s="210"/>
      <c r="V94" s="210"/>
      <c r="W94" s="210"/>
      <c r="X94" s="210"/>
      <c r="Y94" s="210"/>
    </row>
    <row r="95">
      <c r="A95" s="215" t="s">
        <v>623</v>
      </c>
      <c r="B95" s="210" t="s">
        <v>624</v>
      </c>
      <c r="C95" s="208">
        <v>45951.0</v>
      </c>
      <c r="D95" s="210"/>
      <c r="E95" s="210"/>
      <c r="F95" s="207">
        <v>90.0</v>
      </c>
      <c r="G95" s="207" t="s">
        <v>491</v>
      </c>
      <c r="H95" s="207">
        <v>50.0</v>
      </c>
      <c r="I95" s="210"/>
      <c r="J95" s="210"/>
      <c r="K95" s="210"/>
      <c r="L95" s="210"/>
      <c r="M95" s="210"/>
      <c r="N95" s="210"/>
      <c r="O95" s="210"/>
      <c r="P95" s="210"/>
      <c r="Q95" s="210"/>
      <c r="R95" s="210"/>
      <c r="S95" s="210"/>
      <c r="T95" s="210"/>
      <c r="U95" s="210"/>
      <c r="V95" s="210"/>
      <c r="W95" s="210"/>
      <c r="X95" s="210"/>
      <c r="Y95" s="210"/>
    </row>
    <row r="96">
      <c r="A96" s="215" t="s">
        <v>627</v>
      </c>
      <c r="B96" s="210" t="s">
        <v>628</v>
      </c>
      <c r="C96" s="208">
        <v>45951.0</v>
      </c>
      <c r="D96" s="210"/>
      <c r="E96" s="210"/>
      <c r="F96" s="207">
        <v>89.0</v>
      </c>
      <c r="G96" s="207" t="s">
        <v>491</v>
      </c>
      <c r="H96" s="207">
        <v>52.0</v>
      </c>
      <c r="I96" s="210"/>
      <c r="J96" s="210"/>
      <c r="K96" s="210"/>
      <c r="L96" s="210"/>
      <c r="M96" s="210"/>
      <c r="N96" s="210"/>
      <c r="O96" s="210"/>
      <c r="P96" s="210"/>
      <c r="Q96" s="210"/>
      <c r="R96" s="210"/>
      <c r="S96" s="210"/>
      <c r="T96" s="210"/>
      <c r="U96" s="210"/>
      <c r="V96" s="210"/>
      <c r="W96" s="210"/>
      <c r="X96" s="210"/>
      <c r="Y96" s="210"/>
    </row>
    <row r="97">
      <c r="A97" s="215" t="s">
        <v>630</v>
      </c>
      <c r="B97" s="210" t="s">
        <v>631</v>
      </c>
      <c r="C97" s="208">
        <v>45954.0</v>
      </c>
      <c r="D97" s="210"/>
      <c r="E97" s="210"/>
      <c r="F97" s="207">
        <v>85.0</v>
      </c>
      <c r="G97" s="207" t="s">
        <v>505</v>
      </c>
      <c r="H97" s="207">
        <v>58.0</v>
      </c>
      <c r="I97" s="210"/>
      <c r="J97" s="210"/>
      <c r="K97" s="210"/>
      <c r="L97" s="210"/>
      <c r="M97" s="210"/>
      <c r="N97" s="210"/>
      <c r="O97" s="210"/>
      <c r="P97" s="210"/>
      <c r="Q97" s="210"/>
      <c r="R97" s="210"/>
      <c r="S97" s="210"/>
      <c r="T97" s="210"/>
      <c r="U97" s="210"/>
      <c r="V97" s="210"/>
      <c r="W97" s="210"/>
      <c r="X97" s="210"/>
      <c r="Y97" s="210"/>
    </row>
    <row r="98">
      <c r="A98" s="215" t="s">
        <v>633</v>
      </c>
      <c r="B98" s="210" t="s">
        <v>634</v>
      </c>
      <c r="C98" s="208">
        <v>45954.0</v>
      </c>
      <c r="D98" s="210"/>
      <c r="E98" s="210"/>
      <c r="F98" s="207">
        <v>85.0</v>
      </c>
      <c r="G98" s="207" t="s">
        <v>505</v>
      </c>
      <c r="H98" s="207">
        <v>56.0</v>
      </c>
      <c r="I98" s="210"/>
      <c r="J98" s="210"/>
      <c r="K98" s="210"/>
      <c r="L98" s="210"/>
      <c r="M98" s="210"/>
      <c r="N98" s="210"/>
      <c r="O98" s="210"/>
      <c r="P98" s="210"/>
      <c r="Q98" s="210"/>
      <c r="R98" s="210"/>
      <c r="S98" s="210"/>
      <c r="T98" s="210"/>
      <c r="U98" s="210"/>
      <c r="V98" s="210"/>
      <c r="W98" s="210"/>
      <c r="X98" s="210"/>
      <c r="Y98" s="210"/>
    </row>
    <row r="99">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row>
    <row r="100">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row>
    <row r="10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row>
    <row r="102">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row>
    <row r="103">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row>
    <row r="104">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row>
    <row r="105">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row>
    <row r="106">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row>
    <row r="107">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row>
    <row r="108">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row>
    <row r="109">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row>
    <row r="110">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row>
    <row r="11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row>
    <row r="112">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row>
    <row r="113">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row>
    <row r="114">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row>
    <row r="115">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row>
    <row r="116">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row>
    <row r="117">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row>
    <row r="118">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row>
    <row r="119">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row>
    <row r="120">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row>
    <row r="12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row>
    <row r="122">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row>
    <row r="123">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row>
    <row r="124">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row>
    <row r="12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row>
    <row r="126">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row>
    <row r="127">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row>
    <row r="128">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row>
    <row r="129">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row>
    <row r="130">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row>
    <row r="13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row>
    <row r="132">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row>
    <row r="133">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row>
    <row r="134">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row>
    <row r="13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row>
    <row r="136">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row>
    <row r="137">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row>
    <row r="138">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row>
    <row r="139">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row>
    <row r="140">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row>
    <row r="14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row>
    <row r="142">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row>
    <row r="143">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row>
    <row r="144">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row>
    <row r="14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row>
    <row r="146">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row>
    <row r="147">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row>
    <row r="148">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row>
    <row r="149">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row>
    <row r="150">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row>
    <row r="15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row>
    <row r="152">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row>
    <row r="153">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row>
    <row r="154">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row>
    <row r="15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row>
    <row r="156">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row>
    <row r="157">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row>
    <row r="158">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row>
    <row r="159">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row>
    <row r="160">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row>
    <row r="16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row>
    <row r="162">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row>
    <row r="163">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row>
    <row r="164">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row>
    <row r="16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row>
    <row r="166">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row>
    <row r="167">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row>
    <row r="168">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row>
    <row r="169">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row>
    <row r="170">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row>
    <row r="17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row>
    <row r="172">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row>
    <row r="173">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row>
    <row r="174">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row>
    <row r="17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row>
    <row r="176">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row>
    <row r="177">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row>
    <row r="178">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row>
    <row r="179">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row>
    <row r="180">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row>
    <row r="18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row>
    <row r="182">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row>
    <row r="183">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row>
    <row r="184">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row>
    <row r="18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row>
    <row r="186">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row>
    <row r="187">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row>
    <row r="188">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row>
    <row r="189">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row>
    <row r="190">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row>
    <row r="19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row>
    <row r="192">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row>
    <row r="193">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row>
    <row r="194">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row>
    <row r="19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row>
    <row r="196">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row>
    <row r="197">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row>
    <row r="198">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row>
    <row r="199">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row>
    <row r="200">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row>
    <row r="20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row>
    <row r="202">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row>
    <row r="203">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row>
    <row r="204">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row>
    <row r="20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row>
    <row r="206">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row>
    <row r="207">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row>
    <row r="208">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row>
    <row r="209">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row>
    <row r="210">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row>
    <row r="21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row>
    <row r="212">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row>
    <row r="213">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row>
    <row r="214">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row>
    <row r="21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row>
    <row r="216">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row>
    <row r="217">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row>
    <row r="218">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row>
    <row r="219">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row>
    <row r="220">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row>
    <row r="22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row>
    <row r="222">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row>
    <row r="223">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row>
    <row r="224">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row>
    <row r="2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row>
    <row r="226">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row>
    <row r="227">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row>
    <row r="228">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row>
    <row r="229">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row>
    <row r="230">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row>
    <row r="23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row>
    <row r="232">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row>
    <row r="233">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row>
    <row r="234">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row>
    <row r="23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row>
    <row r="236">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row>
    <row r="237">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row>
    <row r="238">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row>
    <row r="239">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row>
    <row r="240">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row>
    <row r="24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row>
    <row r="242">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row>
    <row r="243">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row>
    <row r="244">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row>
    <row r="24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row>
    <row r="246">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row>
    <row r="247">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row>
    <row r="248">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row>
    <row r="249">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row>
    <row r="250">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row>
    <row r="25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row>
    <row r="252">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row>
    <row r="253">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row>
    <row r="254">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row>
    <row r="2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row>
    <row r="256">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row>
    <row r="257">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row>
    <row r="258">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row>
    <row r="259">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row>
    <row r="260">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row>
    <row r="26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row>
    <row r="262">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row>
    <row r="263">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row>
    <row r="264">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row>
    <row r="26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row>
    <row r="266">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row>
    <row r="267">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row>
    <row r="268">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row>
    <row r="269">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row>
    <row r="270">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row>
    <row r="27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row>
    <row r="272">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row>
    <row r="273">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row>
    <row r="274">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row>
    <row r="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row>
    <row r="276">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row>
    <row r="277">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row>
    <row r="278">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row>
    <row r="279">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row>
    <row r="280">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row>
    <row r="28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row>
    <row r="282">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row>
    <row r="283">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row>
    <row r="284">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row>
    <row r="28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row>
    <row r="286">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row>
    <row r="287">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row>
    <row r="288">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row>
    <row r="289">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row>
    <row r="290">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row>
    <row r="29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row>
    <row r="292">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row>
    <row r="293">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row>
    <row r="294">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row>
    <row r="29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row>
    <row r="296">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row>
    <row r="297">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row>
    <row r="298">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row>
    <row r="299">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row>
    <row r="300">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row>
    <row r="30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row>
    <row r="302">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row>
    <row r="303">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row>
    <row r="304">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row>
    <row r="30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row>
    <row r="306">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row>
    <row r="307">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row>
    <row r="308">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row>
    <row r="309">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row>
    <row r="310">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row>
    <row r="31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row>
    <row r="312">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row>
    <row r="313">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row>
    <row r="314">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row>
    <row r="31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row>
    <row r="316">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row>
    <row r="317">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row>
    <row r="318">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row>
    <row r="319">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row>
    <row r="320">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row>
    <row r="32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row>
    <row r="322">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row>
    <row r="323">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row>
    <row r="324">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row>
    <row r="32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row>
    <row r="326">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row>
    <row r="327">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row>
    <row r="328">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row>
    <row r="329">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row>
    <row r="330">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row>
    <row r="33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row>
    <row r="332">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row>
    <row r="333">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row>
    <row r="334">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row>
    <row r="33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row>
    <row r="336">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row>
    <row r="337">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row>
    <row r="338">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row>
    <row r="339">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row>
    <row r="340">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row>
    <row r="34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row>
    <row r="342">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row>
    <row r="343">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row>
    <row r="344">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row>
    <row r="34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row>
    <row r="346">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row>
    <row r="347">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row>
    <row r="348">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row>
    <row r="349">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row>
    <row r="350">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row>
    <row r="35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row>
    <row r="352">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row>
    <row r="353">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row>
    <row r="354">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row>
    <row r="3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row>
    <row r="356">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row>
    <row r="357">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row>
    <row r="358">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row>
    <row r="359">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row>
    <row r="360">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row>
    <row r="36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row>
    <row r="362">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row>
    <row r="363">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row>
    <row r="364">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row>
    <row r="36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row>
    <row r="366">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row>
    <row r="367">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row>
    <row r="368">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row>
    <row r="369">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row>
    <row r="370">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row>
    <row r="37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row>
    <row r="372">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row>
    <row r="373">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row>
    <row r="374">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row>
    <row r="3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row>
    <row r="376">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row>
    <row r="377">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row>
    <row r="378">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row>
    <row r="379">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row>
    <row r="380">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row>
    <row r="38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row>
    <row r="382">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row>
    <row r="383">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row>
    <row r="384">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row>
    <row r="38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row>
    <row r="386">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row>
    <row r="387">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row>
    <row r="388">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row>
    <row r="389">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row>
    <row r="390">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row>
    <row r="39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row>
    <row r="392">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row>
    <row r="393">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row>
    <row r="394">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row>
    <row r="39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row>
    <row r="396">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row>
    <row r="397">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row>
    <row r="398">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row>
    <row r="399">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row>
    <row r="400">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row>
    <row r="40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row>
    <row r="402">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row>
    <row r="403">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row>
    <row r="404">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row>
    <row r="40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row>
    <row r="406">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row>
    <row r="407">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row>
    <row r="408">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row>
    <row r="409">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row>
    <row r="410">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row>
    <row r="41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row>
    <row r="412">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row>
    <row r="413">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row>
    <row r="414">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row>
    <row r="41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row>
    <row r="416">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row>
    <row r="417">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row>
    <row r="418">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row>
    <row r="419">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row>
    <row r="420">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row>
    <row r="42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row>
    <row r="422">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row>
    <row r="423">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row>
    <row r="424">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row>
    <row r="42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row>
    <row r="426">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row>
    <row r="427">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row>
    <row r="428">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row>
    <row r="429">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row>
    <row r="430">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row>
    <row r="43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row>
    <row r="432">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row>
    <row r="433">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row>
    <row r="434">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row>
    <row r="43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row>
    <row r="436">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row>
    <row r="437">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row>
    <row r="438">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row>
    <row r="439">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row>
    <row r="440">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row>
    <row r="44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row>
    <row r="442">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row>
    <row r="443">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row>
    <row r="444">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row>
    <row r="44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row>
    <row r="446">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row>
    <row r="447">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row>
    <row r="448">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row>
    <row r="449">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row>
    <row r="450">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row>
    <row r="45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row>
    <row r="452">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row>
    <row r="453">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row>
    <row r="454">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row>
    <row r="4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row>
    <row r="456">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row>
    <row r="457">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row>
    <row r="458">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row>
    <row r="459">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row>
    <row r="460">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row>
    <row r="46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row>
    <row r="462">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row>
    <row r="463">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row>
    <row r="464">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row>
    <row r="46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row>
    <row r="466">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row>
    <row r="467">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row>
    <row r="468">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row>
    <row r="469">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row>
    <row r="470">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row>
    <row r="47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row>
    <row r="472">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row>
    <row r="473">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row>
    <row r="474">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row>
    <row r="4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row>
    <row r="476">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row>
    <row r="477">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row>
    <row r="478">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row>
    <row r="479">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row>
    <row r="480">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row>
    <row r="48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row>
    <row r="482">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row>
    <row r="483">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row>
    <row r="484">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row>
    <row r="48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row>
    <row r="486">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row>
    <row r="487">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row>
    <row r="488">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row>
    <row r="489">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row>
    <row r="490">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row>
    <row r="49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row>
    <row r="492">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row>
    <row r="493">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row>
    <row r="494">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row>
    <row r="49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row>
    <row r="496">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row>
    <row r="497">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row>
    <row r="498">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row>
    <row r="499">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row>
    <row r="500">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row>
    <row r="50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row>
    <row r="502">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row>
    <row r="503">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row>
    <row r="504">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row>
    <row r="50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row>
    <row r="506">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row>
    <row r="507">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row>
    <row r="508">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row>
    <row r="509">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row>
    <row r="510">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row>
    <row r="51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row>
    <row r="512">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row>
    <row r="513">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row>
    <row r="514">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row>
    <row r="51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row>
    <row r="516">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row>
    <row r="517">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row>
    <row r="518">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row>
    <row r="519">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row>
    <row r="520">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row>
    <row r="52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row>
    <row r="522">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row>
    <row r="523">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row>
    <row r="524">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row>
    <row r="52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row>
    <row r="526">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row>
    <row r="527">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row>
    <row r="528">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row>
    <row r="529">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row>
    <row r="530">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row>
    <row r="53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row>
    <row r="532">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row>
    <row r="533">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row>
    <row r="534">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row>
    <row r="53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row>
    <row r="536">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row>
    <row r="537">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row>
    <row r="538">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row>
    <row r="539">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row>
    <row r="540">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row>
    <row r="54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row>
    <row r="542">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row>
    <row r="543">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row>
    <row r="544">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row>
    <row r="54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row>
    <row r="546">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row>
    <row r="547">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row>
    <row r="548">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row>
    <row r="549">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row>
    <row r="550">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row>
    <row r="55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row>
    <row r="552">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row>
    <row r="553">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row>
    <row r="554">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row>
    <row r="5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row>
    <row r="556">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row>
    <row r="557">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row>
    <row r="558">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row>
    <row r="559">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row>
    <row r="560">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row>
    <row r="56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row>
    <row r="562">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row>
    <row r="563">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row>
    <row r="564">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row>
    <row r="56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row>
    <row r="566">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row>
    <row r="567">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row>
    <row r="568">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row>
    <row r="569">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row>
    <row r="570">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row>
    <row r="57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row>
    <row r="572">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row>
    <row r="573">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row>
    <row r="574">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row>
    <row r="5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row>
    <row r="576">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row>
    <row r="577">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row>
    <row r="578">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row>
    <row r="579">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row>
    <row r="580">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row>
    <row r="58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row>
    <row r="582">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row>
    <row r="583">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row>
    <row r="584">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row>
    <row r="58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row>
    <row r="586">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row>
    <row r="587">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row>
    <row r="588">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row>
    <row r="589">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row>
    <row r="590">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row>
    <row r="59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row>
    <row r="592">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row>
    <row r="593">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row>
    <row r="594">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row>
    <row r="59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row>
    <row r="596">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row>
    <row r="597">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row>
    <row r="598">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row>
    <row r="599">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row>
    <row r="600">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row>
    <row r="60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row>
    <row r="602">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row>
    <row r="603">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row>
    <row r="604">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row>
    <row r="60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row>
    <row r="606">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row>
    <row r="607">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row>
    <row r="608">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row>
    <row r="609">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row>
    <row r="610">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row>
    <row r="61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row>
    <row r="612">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row>
    <row r="613">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row>
    <row r="614">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row>
    <row r="61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row>
    <row r="616">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row>
    <row r="617">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row>
    <row r="618">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row>
    <row r="619">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row>
    <row r="620">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row>
    <row r="62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row>
    <row r="622">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row>
    <row r="623">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row>
    <row r="624">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row>
    <row r="62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row>
    <row r="626">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row>
    <row r="627">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row>
    <row r="628">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row>
    <row r="629">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row>
    <row r="630">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row>
    <row r="63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row>
    <row r="632">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row>
    <row r="633">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row>
    <row r="634">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row>
    <row r="63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row>
    <row r="636">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row>
    <row r="637">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row>
    <row r="638">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row>
    <row r="639">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row>
    <row r="640">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row>
    <row r="64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row>
    <row r="642">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row>
    <row r="643">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row>
    <row r="644">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row>
    <row r="64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row>
    <row r="646">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row>
    <row r="647">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row>
    <row r="648">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row>
    <row r="649">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row>
    <row r="650">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row>
    <row r="65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row>
    <row r="652">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row>
    <row r="653">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row>
    <row r="654">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row>
    <row r="6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row>
    <row r="656">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row>
    <row r="657">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row>
    <row r="658">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row>
    <row r="659">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row>
    <row r="660">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row>
    <row r="66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row>
    <row r="662">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row>
    <row r="663">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row>
    <row r="664">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row>
    <row r="66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row>
    <row r="666">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row>
    <row r="667">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row>
    <row r="668">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row>
    <row r="669">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row>
    <row r="670">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row>
    <row r="67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row>
    <row r="672">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row>
    <row r="673">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row>
    <row r="674">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row>
    <row r="6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row>
    <row r="676">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row>
    <row r="677">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row>
    <row r="678">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row>
    <row r="679">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row>
    <row r="680">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row>
    <row r="68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row>
    <row r="682">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row>
    <row r="683">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row>
    <row r="684">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row>
    <row r="68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row>
    <row r="686">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row>
    <row r="687">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row>
    <row r="688">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row>
    <row r="689">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row>
    <row r="690">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row>
    <row r="69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row>
    <row r="692">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row>
    <row r="693">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row>
    <row r="694">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row>
    <row r="69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row>
    <row r="696">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row>
    <row r="697">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row>
    <row r="698">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row>
    <row r="699">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row>
    <row r="700">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row>
    <row r="70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row>
    <row r="702">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row>
    <row r="703">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row>
    <row r="704">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row>
    <row r="70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row>
    <row r="706">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row>
    <row r="707">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row>
    <row r="708">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row>
    <row r="709">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row>
    <row r="710">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row>
    <row r="71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row>
    <row r="712">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row>
    <row r="713">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row>
    <row r="714">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row>
    <row r="71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row>
    <row r="716">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row>
    <row r="717">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row>
    <row r="718">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row>
    <row r="719">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row>
    <row r="720">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row>
    <row r="72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row>
    <row r="722">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row>
    <row r="723">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row>
    <row r="724">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row>
    <row r="72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row>
    <row r="726">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row>
    <row r="727">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row>
    <row r="728">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row>
    <row r="729">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row>
    <row r="730">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row>
    <row r="73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row>
    <row r="732">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row>
    <row r="733">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row>
    <row r="734">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row>
    <row r="73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row>
    <row r="736">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row>
    <row r="737">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row>
    <row r="738">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row>
    <row r="739">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row>
    <row r="740">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row>
    <row r="74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row>
    <row r="742">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row>
    <row r="743">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row>
    <row r="744">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row>
    <row r="74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row>
    <row r="746">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row>
    <row r="747">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row>
    <row r="748">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row>
    <row r="749">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row>
    <row r="750">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row>
    <row r="75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row>
    <row r="752">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row>
    <row r="753">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row>
    <row r="754">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row>
    <row r="7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row>
    <row r="756">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row>
    <row r="757">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row>
    <row r="758">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row>
    <row r="759">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row>
    <row r="760">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row>
    <row r="76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row>
    <row r="762">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row>
    <row r="763">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row>
    <row r="764">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row>
    <row r="76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row>
    <row r="766">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row>
    <row r="767">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row>
    <row r="768">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row>
    <row r="769">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row>
    <row r="770">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row>
    <row r="77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row>
    <row r="772">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row>
    <row r="773">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row>
    <row r="774">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row>
    <row r="7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row>
    <row r="776">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row>
    <row r="777">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row>
    <row r="778">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row>
    <row r="779">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row>
    <row r="780">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row>
    <row r="78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row>
    <row r="782">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row>
    <row r="783">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row>
    <row r="784">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row>
    <row r="78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row>
    <row r="786">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row>
    <row r="787">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row>
    <row r="788">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row>
    <row r="789">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row>
    <row r="790">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row>
    <row r="79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row>
    <row r="792">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row>
    <row r="793">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row>
    <row r="794">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row>
    <row r="79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row>
    <row r="796">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row>
    <row r="797">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row>
    <row r="798">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row>
    <row r="799">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row>
    <row r="800">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row>
    <row r="80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row>
    <row r="802">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row>
    <row r="803">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row>
    <row r="804">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row>
    <row r="80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row>
    <row r="806">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row>
    <row r="807">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row>
    <row r="808">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row>
    <row r="809">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row>
    <row r="810">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row>
    <row r="81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row>
    <row r="812">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row>
    <row r="813">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row>
    <row r="814">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row>
    <row r="81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row>
    <row r="816">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row>
    <row r="817">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row>
    <row r="818">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row>
    <row r="819">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row>
    <row r="820">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row>
    <row r="82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row>
    <row r="822">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row>
    <row r="823">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row>
    <row r="824">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row>
    <row r="82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row>
    <row r="826">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row>
    <row r="827">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row>
    <row r="828">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row>
    <row r="829">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row>
    <row r="830">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row>
    <row r="83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row>
    <row r="832">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row>
    <row r="833">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row>
    <row r="834">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row>
    <row r="83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row>
    <row r="836">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row>
    <row r="837">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row>
    <row r="838">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row>
    <row r="839">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row>
    <row r="840">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row>
    <row r="84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row>
    <row r="842">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row>
    <row r="843">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row>
    <row r="844">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row>
    <row r="84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row>
    <row r="846">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row>
    <row r="847">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row>
    <row r="848">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row>
    <row r="849">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row>
    <row r="850">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row>
    <row r="85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row>
    <row r="852">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row>
    <row r="853">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row>
    <row r="854">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row>
    <row r="8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row>
    <row r="856">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row>
    <row r="857">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row>
    <row r="858">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row>
    <row r="859">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row>
    <row r="860">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row>
    <row r="86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row>
    <row r="862">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row>
    <row r="863">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row>
    <row r="864">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row>
    <row r="86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row>
    <row r="866">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row>
    <row r="867">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row>
    <row r="868">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row>
    <row r="869">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row>
    <row r="870">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row>
    <row r="87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row>
    <row r="872">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row>
    <row r="873">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row>
    <row r="874">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row>
    <row r="8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row>
    <row r="876">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row>
    <row r="877">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row>
    <row r="878">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row>
    <row r="879">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row>
    <row r="880">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row>
    <row r="88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row>
    <row r="882">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row>
    <row r="883">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row>
    <row r="884">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row>
    <row r="88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row>
    <row r="886">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row>
    <row r="887">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row>
    <row r="888">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row>
    <row r="889">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row>
    <row r="890">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row>
    <row r="89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row>
    <row r="892">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row>
    <row r="893">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row>
    <row r="894">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row>
    <row r="89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row>
    <row r="896">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row>
    <row r="897">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row>
    <row r="898">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row>
    <row r="899">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row>
    <row r="900">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row>
    <row r="90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row>
    <row r="902">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row>
    <row r="903">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row>
    <row r="904">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row>
    <row r="90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row>
    <row r="906">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row>
    <row r="907">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row>
    <row r="908">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row>
    <row r="909">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row>
    <row r="910">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row>
    <row r="91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row>
    <row r="912">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row>
    <row r="913">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row>
    <row r="914">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row>
    <row r="91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row>
    <row r="916">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row>
    <row r="917">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row>
    <row r="918">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row>
    <row r="919">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row>
    <row r="920">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row>
    <row r="92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row>
    <row r="922">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row>
    <row r="923">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row>
    <row r="924">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row>
    <row r="92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row>
    <row r="926">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row>
    <row r="927">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row>
    <row r="928">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row>
    <row r="929">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row>
    <row r="930">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row>
    <row r="93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row>
    <row r="932">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row>
    <row r="933">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row>
    <row r="934">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row>
    <row r="93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row>
    <row r="936">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row>
    <row r="937">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row>
    <row r="938">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row>
    <row r="939">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row>
    <row r="940">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row>
    <row r="94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row>
    <row r="942">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row>
    <row r="943">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row>
    <row r="944">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row>
    <row r="94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row>
    <row r="946">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row>
    <row r="947">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row>
    <row r="948">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row>
    <row r="949">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row>
    <row r="950">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row>
    <row r="95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row>
    <row r="952">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row>
    <row r="953">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row>
    <row r="954">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row>
    <row r="9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row>
    <row r="956">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row>
    <row r="957">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row>
    <row r="958">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row>
    <row r="959">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row>
    <row r="960">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row>
    <row r="96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row>
    <row r="962">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row>
    <row r="963">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row>
    <row r="964">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row>
    <row r="96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row>
    <row r="966">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row>
    <row r="967">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row>
    <row r="968">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row>
    <row r="969">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row>
    <row r="970">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row>
    <row r="97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row>
    <row r="972">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row>
    <row r="973">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row>
    <row r="974">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row>
    <row r="9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row>
    <row r="976">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row>
    <row r="977">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row>
    <row r="978">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row>
    <row r="979">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row>
    <row r="980">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row>
    <row r="98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row>
    <row r="982">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row>
    <row r="983">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row>
    <row r="984">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row>
    <row r="98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row>
    <row r="986">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row>
    <row r="987">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row>
    <row r="988">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row>
    <row r="989">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row>
    <row r="990">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row>
    <row r="99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row>
    <row r="992">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row>
    <row r="993">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row>
    <row r="994">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row>
    <row r="99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row>
    <row r="996">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row>
    <row r="997">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row>
    <row r="998">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row>
    <row r="999">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row>
    <row r="1000">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8.75"/>
    <col customWidth="1" min="3" max="3" width="9.0"/>
    <col customWidth="1" min="4" max="4" width="13.75"/>
    <col customWidth="1" min="5" max="5" width="8.25"/>
    <col customWidth="1" min="6" max="6" width="95.38"/>
  </cols>
  <sheetData>
    <row r="1">
      <c r="A1" s="216" t="s">
        <v>1487</v>
      </c>
      <c r="B1" s="82" t="s">
        <v>35</v>
      </c>
      <c r="C1" s="82" t="s">
        <v>1488</v>
      </c>
      <c r="D1" s="82" t="s">
        <v>1489</v>
      </c>
      <c r="E1" s="82" t="s">
        <v>1490</v>
      </c>
      <c r="F1" s="82" t="s">
        <v>887</v>
      </c>
      <c r="G1" s="82" t="s">
        <v>1491</v>
      </c>
      <c r="H1" s="7"/>
      <c r="I1" s="7"/>
      <c r="J1" s="7"/>
      <c r="K1" s="7"/>
      <c r="L1" s="7"/>
      <c r="M1" s="7"/>
      <c r="N1" s="7"/>
      <c r="O1" s="7"/>
      <c r="P1" s="7"/>
      <c r="Q1" s="7"/>
      <c r="R1" s="7"/>
      <c r="S1" s="7"/>
      <c r="T1" s="7"/>
      <c r="U1" s="7"/>
      <c r="V1" s="7"/>
      <c r="W1" s="7"/>
      <c r="X1" s="7"/>
      <c r="Y1" s="7"/>
      <c r="Z1" s="7"/>
      <c r="AA1" s="7"/>
      <c r="AB1" s="7"/>
    </row>
    <row r="2">
      <c r="A2" s="217">
        <v>45481.0</v>
      </c>
      <c r="B2" s="1" t="s">
        <v>1492</v>
      </c>
      <c r="C2" s="84">
        <v>1425.0</v>
      </c>
      <c r="D2" s="1" t="s">
        <v>1493</v>
      </c>
      <c r="E2" s="84">
        <v>25.81</v>
      </c>
      <c r="F2" s="91" t="s">
        <v>1494</v>
      </c>
    </row>
    <row r="3">
      <c r="A3" s="217">
        <v>45481.0</v>
      </c>
      <c r="B3" s="1" t="s">
        <v>1492</v>
      </c>
      <c r="C3" s="84">
        <v>1425.0</v>
      </c>
      <c r="D3" s="1" t="s">
        <v>1493</v>
      </c>
      <c r="E3" s="84">
        <v>25.81</v>
      </c>
      <c r="F3" s="86" t="s">
        <v>1495</v>
      </c>
    </row>
    <row r="4">
      <c r="A4" s="217">
        <v>45524.0</v>
      </c>
      <c r="B4" s="1" t="s">
        <v>1496</v>
      </c>
      <c r="C4" s="84">
        <v>1533.0</v>
      </c>
      <c r="D4" s="1" t="s">
        <v>202</v>
      </c>
      <c r="E4" s="84">
        <v>26.38</v>
      </c>
      <c r="F4" s="86" t="s">
        <v>1497</v>
      </c>
    </row>
    <row r="5">
      <c r="A5" s="217">
        <v>45524.0</v>
      </c>
      <c r="B5" s="1" t="s">
        <v>1496</v>
      </c>
      <c r="C5" s="84">
        <v>1532.0</v>
      </c>
      <c r="D5" s="1" t="s">
        <v>202</v>
      </c>
      <c r="E5" s="84">
        <v>26.05</v>
      </c>
      <c r="F5" s="86" t="s">
        <v>1498</v>
      </c>
    </row>
    <row r="6">
      <c r="A6" s="217">
        <v>45524.0</v>
      </c>
      <c r="B6" s="1" t="s">
        <v>1496</v>
      </c>
      <c r="C6" s="84">
        <v>1533.0</v>
      </c>
      <c r="D6" s="1" t="s">
        <v>202</v>
      </c>
      <c r="E6" s="84">
        <v>26.38</v>
      </c>
      <c r="F6" s="86" t="s">
        <v>1499</v>
      </c>
    </row>
    <row r="7">
      <c r="A7" s="217">
        <v>45530.0</v>
      </c>
      <c r="B7" s="1" t="s">
        <v>1500</v>
      </c>
      <c r="C7" s="84">
        <v>1548.0</v>
      </c>
      <c r="D7" s="1" t="s">
        <v>1501</v>
      </c>
      <c r="E7" s="84">
        <v>26.43</v>
      </c>
      <c r="F7" s="86" t="s">
        <v>1502</v>
      </c>
    </row>
    <row r="8">
      <c r="A8" s="217">
        <v>45531.0</v>
      </c>
      <c r="B8" s="1" t="s">
        <v>1503</v>
      </c>
      <c r="C8" s="84">
        <v>1550.0</v>
      </c>
      <c r="D8" s="1" t="s">
        <v>1501</v>
      </c>
      <c r="E8" s="84">
        <v>26.31</v>
      </c>
      <c r="F8" s="86" t="s">
        <v>1504</v>
      </c>
    </row>
    <row r="9">
      <c r="A9" s="217">
        <v>45551.0</v>
      </c>
      <c r="B9" s="1" t="s">
        <v>1505</v>
      </c>
      <c r="C9" s="84">
        <v>16404.0</v>
      </c>
      <c r="D9" s="1" t="s">
        <v>913</v>
      </c>
      <c r="E9" s="84">
        <v>26.67</v>
      </c>
      <c r="F9" s="86" t="s">
        <v>1506</v>
      </c>
    </row>
    <row r="10">
      <c r="A10" s="218"/>
      <c r="B10" s="1" t="s">
        <v>1505</v>
      </c>
      <c r="C10" s="84">
        <v>1607.0</v>
      </c>
      <c r="D10" s="1" t="s">
        <v>889</v>
      </c>
      <c r="E10" s="84">
        <v>26.34</v>
      </c>
      <c r="F10" s="86" t="s">
        <v>1507</v>
      </c>
    </row>
    <row r="11">
      <c r="A11" s="218"/>
      <c r="B11" s="1" t="s">
        <v>1505</v>
      </c>
      <c r="C11" s="84">
        <v>1610.0</v>
      </c>
      <c r="D11" s="1" t="s">
        <v>1508</v>
      </c>
      <c r="E11" s="84">
        <v>26.13</v>
      </c>
      <c r="F11" s="86" t="s">
        <v>1509</v>
      </c>
    </row>
    <row r="12">
      <c r="A12" s="218"/>
      <c r="B12" s="1" t="s">
        <v>1505</v>
      </c>
      <c r="C12" s="1" t="s">
        <v>1510</v>
      </c>
      <c r="D12" s="1" t="s">
        <v>889</v>
      </c>
      <c r="E12" s="84">
        <v>26.34</v>
      </c>
      <c r="F12" s="86" t="s">
        <v>1511</v>
      </c>
    </row>
    <row r="13">
      <c r="A13" s="218"/>
      <c r="B13" s="1" t="s">
        <v>1512</v>
      </c>
      <c r="C13" s="84">
        <v>1648.0</v>
      </c>
      <c r="D13" s="1" t="s">
        <v>926</v>
      </c>
      <c r="E13" s="84">
        <v>26.38</v>
      </c>
      <c r="F13" s="86" t="s">
        <v>1513</v>
      </c>
    </row>
    <row r="14">
      <c r="A14" s="218"/>
      <c r="B14" s="1" t="s">
        <v>1512</v>
      </c>
      <c r="C14" s="84">
        <v>1659.0</v>
      </c>
      <c r="D14" s="1" t="s">
        <v>1514</v>
      </c>
      <c r="E14" s="84">
        <v>26.47</v>
      </c>
      <c r="F14" s="86" t="s">
        <v>1515</v>
      </c>
    </row>
    <row r="15">
      <c r="A15" s="218"/>
      <c r="B15" s="1" t="s">
        <v>1512</v>
      </c>
      <c r="C15" s="84">
        <v>1651.0</v>
      </c>
      <c r="D15" s="1" t="s">
        <v>1516</v>
      </c>
      <c r="E15" s="84">
        <v>26.45</v>
      </c>
      <c r="F15" s="86" t="s">
        <v>1517</v>
      </c>
    </row>
    <row r="16">
      <c r="A16" s="218"/>
      <c r="B16" s="1" t="s">
        <v>1512</v>
      </c>
      <c r="C16" s="84">
        <v>1702.0</v>
      </c>
      <c r="D16" s="1" t="s">
        <v>1518</v>
      </c>
      <c r="E16" s="84">
        <v>26.46</v>
      </c>
      <c r="F16" s="86" t="s">
        <v>1519</v>
      </c>
    </row>
    <row r="17">
      <c r="A17" s="218"/>
      <c r="B17" s="1" t="s">
        <v>1500</v>
      </c>
      <c r="C17" s="84">
        <v>1536.0</v>
      </c>
      <c r="D17" s="1" t="s">
        <v>202</v>
      </c>
      <c r="E17" s="84">
        <v>26.14</v>
      </c>
      <c r="F17" s="86" t="s">
        <v>1520</v>
      </c>
    </row>
    <row r="18">
      <c r="A18" s="218"/>
      <c r="B18" s="1" t="s">
        <v>1500</v>
      </c>
      <c r="C18" s="84">
        <v>1536.0</v>
      </c>
      <c r="D18" s="1" t="s">
        <v>1521</v>
      </c>
      <c r="E18" s="84">
        <v>26.14</v>
      </c>
      <c r="F18" s="86" t="s">
        <v>1522</v>
      </c>
    </row>
    <row r="19">
      <c r="A19" s="218"/>
      <c r="B19" s="1" t="s">
        <v>1500</v>
      </c>
      <c r="C19" s="84">
        <v>1536.0</v>
      </c>
      <c r="D19" s="1" t="s">
        <v>202</v>
      </c>
      <c r="E19" s="84">
        <v>26.144</v>
      </c>
      <c r="F19" s="86" t="s">
        <v>1523</v>
      </c>
    </row>
    <row r="20">
      <c r="A20" s="218"/>
      <c r="B20" s="1" t="s">
        <v>1524</v>
      </c>
      <c r="C20" s="84">
        <v>17105.0</v>
      </c>
      <c r="D20" s="1" t="s">
        <v>1525</v>
      </c>
      <c r="E20" s="84">
        <v>26.67</v>
      </c>
      <c r="F20" s="86" t="s">
        <v>1526</v>
      </c>
    </row>
    <row r="21">
      <c r="A21" s="218"/>
      <c r="B21" s="1" t="s">
        <v>1512</v>
      </c>
      <c r="C21" s="1" t="s">
        <v>1527</v>
      </c>
      <c r="D21" s="1" t="s">
        <v>1528</v>
      </c>
      <c r="E21" s="84">
        <v>26.58</v>
      </c>
      <c r="F21" s="86" t="s">
        <v>1529</v>
      </c>
    </row>
    <row r="22">
      <c r="A22" s="218"/>
      <c r="B22" s="1" t="s">
        <v>1530</v>
      </c>
      <c r="C22" s="84">
        <v>1708.0</v>
      </c>
      <c r="D22" s="1" t="s">
        <v>1527</v>
      </c>
      <c r="E22" s="84">
        <v>26.67</v>
      </c>
      <c r="F22" s="86" t="s">
        <v>1531</v>
      </c>
    </row>
    <row r="23">
      <c r="A23" s="218"/>
      <c r="B23" s="1" t="s">
        <v>1532</v>
      </c>
      <c r="C23" s="84">
        <v>1720.0</v>
      </c>
      <c r="D23" s="1" t="s">
        <v>1533</v>
      </c>
      <c r="E23" s="84">
        <v>26.92</v>
      </c>
      <c r="F23" s="86" t="s">
        <v>1534</v>
      </c>
    </row>
    <row r="24">
      <c r="A24" s="218"/>
      <c r="B24" s="1" t="s">
        <v>1512</v>
      </c>
      <c r="C24" s="84">
        <v>1653.0</v>
      </c>
      <c r="D24" s="1" t="s">
        <v>928</v>
      </c>
      <c r="E24" s="84">
        <v>25.966</v>
      </c>
      <c r="F24" s="86" t="s">
        <v>1535</v>
      </c>
    </row>
    <row r="25">
      <c r="A25" s="218"/>
      <c r="B25" s="1" t="s">
        <v>1500</v>
      </c>
      <c r="C25" s="84">
        <v>1536.0</v>
      </c>
      <c r="D25" s="1" t="s">
        <v>202</v>
      </c>
      <c r="E25" s="84">
        <v>26.383</v>
      </c>
      <c r="F25" s="86" t="s">
        <v>1536</v>
      </c>
    </row>
    <row r="26">
      <c r="A26" s="218"/>
      <c r="B26" s="1" t="s">
        <v>1537</v>
      </c>
      <c r="C26" s="84">
        <v>1703.0</v>
      </c>
      <c r="D26" s="1" t="s">
        <v>223</v>
      </c>
      <c r="E26" s="84">
        <v>26.71</v>
      </c>
      <c r="F26" s="86" t="s">
        <v>1538</v>
      </c>
    </row>
    <row r="27">
      <c r="A27" s="218"/>
      <c r="B27" s="1" t="s">
        <v>1500</v>
      </c>
      <c r="C27" s="84">
        <v>1536.0</v>
      </c>
      <c r="D27" s="1" t="s">
        <v>202</v>
      </c>
      <c r="E27" s="84">
        <v>26.38</v>
      </c>
      <c r="F27" s="86" t="s">
        <v>1539</v>
      </c>
    </row>
    <row r="28">
      <c r="A28" s="218"/>
      <c r="B28" s="1" t="s">
        <v>1500</v>
      </c>
      <c r="C28" s="84">
        <v>1536.0</v>
      </c>
      <c r="D28" s="1" t="s">
        <v>202</v>
      </c>
      <c r="E28" s="84">
        <v>26.38</v>
      </c>
      <c r="F28" s="86" t="s">
        <v>1540</v>
      </c>
    </row>
    <row r="29">
      <c r="A29" s="218"/>
      <c r="B29" s="1" t="s">
        <v>1512</v>
      </c>
      <c r="C29" s="84">
        <v>1706.0</v>
      </c>
      <c r="D29" s="1" t="s">
        <v>223</v>
      </c>
      <c r="E29" s="84">
        <v>26.75</v>
      </c>
      <c r="F29" s="86" t="s">
        <v>1541</v>
      </c>
    </row>
    <row r="30">
      <c r="A30" s="218"/>
      <c r="B30" s="1" t="s">
        <v>1532</v>
      </c>
      <c r="C30" s="84">
        <v>1720.0</v>
      </c>
      <c r="D30" s="1" t="s">
        <v>942</v>
      </c>
      <c r="E30" s="84">
        <v>26.62</v>
      </c>
      <c r="F30" s="86" t="s">
        <v>1542</v>
      </c>
    </row>
    <row r="31">
      <c r="A31" s="218"/>
      <c r="B31" s="1" t="s">
        <v>1500</v>
      </c>
      <c r="C31" s="84">
        <v>1536.0</v>
      </c>
      <c r="D31" s="1" t="s">
        <v>202</v>
      </c>
      <c r="E31" s="84">
        <v>26.38</v>
      </c>
      <c r="F31" s="86" t="s">
        <v>1543</v>
      </c>
    </row>
    <row r="32">
      <c r="A32" s="218"/>
      <c r="B32" s="1" t="s">
        <v>1500</v>
      </c>
      <c r="C32" s="84">
        <v>1536.0</v>
      </c>
      <c r="D32" s="1" t="s">
        <v>202</v>
      </c>
      <c r="E32" s="84">
        <v>26.383</v>
      </c>
      <c r="F32" s="86" t="s">
        <v>1544</v>
      </c>
    </row>
    <row r="33">
      <c r="A33" s="218"/>
      <c r="B33" s="1" t="s">
        <v>1512</v>
      </c>
      <c r="C33" s="84">
        <v>1705.0</v>
      </c>
      <c r="D33" s="1" t="s">
        <v>223</v>
      </c>
      <c r="E33" s="84">
        <v>26.67</v>
      </c>
      <c r="F33" s="86" t="s">
        <v>1545</v>
      </c>
    </row>
    <row r="34">
      <c r="A34" s="218"/>
      <c r="B34" s="1" t="s">
        <v>1546</v>
      </c>
      <c r="C34" s="1" t="s">
        <v>1547</v>
      </c>
      <c r="D34" s="1" t="s">
        <v>1548</v>
      </c>
      <c r="E34" s="84">
        <v>26.16</v>
      </c>
      <c r="F34" s="86" t="s">
        <v>1549</v>
      </c>
    </row>
    <row r="35">
      <c r="A35" s="218"/>
      <c r="B35" s="1" t="s">
        <v>1500</v>
      </c>
      <c r="C35" s="84">
        <v>1536.0</v>
      </c>
      <c r="D35" s="1" t="s">
        <v>202</v>
      </c>
      <c r="E35" s="84">
        <v>26.38</v>
      </c>
      <c r="F35" s="86" t="s">
        <v>1550</v>
      </c>
    </row>
    <row r="36">
      <c r="A36" s="218"/>
      <c r="B36" s="1" t="s">
        <v>1524</v>
      </c>
      <c r="C36" s="84">
        <v>1704.0</v>
      </c>
      <c r="D36" s="1" t="s">
        <v>223</v>
      </c>
      <c r="E36" s="84">
        <v>26.76</v>
      </c>
      <c r="F36" s="86" t="s">
        <v>1551</v>
      </c>
    </row>
    <row r="37">
      <c r="A37" s="218"/>
      <c r="B37" s="1" t="s">
        <v>1512</v>
      </c>
      <c r="C37" s="84">
        <v>1655.0</v>
      </c>
      <c r="D37" s="1" t="s">
        <v>928</v>
      </c>
      <c r="E37" s="84">
        <v>26.14</v>
      </c>
      <c r="F37" s="86" t="s">
        <v>1552</v>
      </c>
    </row>
    <row r="38">
      <c r="A38" s="218"/>
      <c r="B38" s="1" t="s">
        <v>1512</v>
      </c>
      <c r="C38" s="84">
        <v>1657.0</v>
      </c>
      <c r="D38" s="1" t="s">
        <v>1514</v>
      </c>
      <c r="E38" s="84">
        <v>26.16</v>
      </c>
      <c r="F38" s="86" t="s">
        <v>1553</v>
      </c>
    </row>
    <row r="39">
      <c r="A39" s="218"/>
      <c r="B39" s="1" t="s">
        <v>1554</v>
      </c>
      <c r="C39" s="84">
        <v>1653.0</v>
      </c>
      <c r="D39" s="1" t="s">
        <v>928</v>
      </c>
      <c r="E39" s="84">
        <v>26.13</v>
      </c>
      <c r="F39" s="86" t="s">
        <v>1555</v>
      </c>
    </row>
    <row r="40">
      <c r="A40" s="218"/>
      <c r="B40" s="1" t="s">
        <v>1532</v>
      </c>
      <c r="C40" s="84">
        <v>1721.0</v>
      </c>
      <c r="D40" s="1" t="s">
        <v>942</v>
      </c>
      <c r="E40" s="84">
        <v>26.67</v>
      </c>
      <c r="F40" s="86" t="s">
        <v>1556</v>
      </c>
    </row>
    <row r="41">
      <c r="A41" s="218"/>
    </row>
    <row r="42">
      <c r="A42" s="218"/>
    </row>
    <row r="43">
      <c r="A43" s="218"/>
    </row>
    <row r="44">
      <c r="A44" s="218"/>
    </row>
    <row r="45">
      <c r="A45" s="218"/>
    </row>
    <row r="46">
      <c r="A46" s="218"/>
    </row>
    <row r="47">
      <c r="A47" s="218"/>
    </row>
    <row r="48">
      <c r="A48" s="218"/>
    </row>
    <row r="49">
      <c r="A49" s="218"/>
    </row>
    <row r="50">
      <c r="A50" s="218"/>
    </row>
    <row r="51">
      <c r="A51" s="218"/>
    </row>
    <row r="52">
      <c r="A52" s="218"/>
    </row>
    <row r="53">
      <c r="A53" s="218"/>
    </row>
    <row r="54">
      <c r="A54" s="218"/>
    </row>
    <row r="55">
      <c r="A55" s="218"/>
    </row>
    <row r="56">
      <c r="A56" s="218"/>
    </row>
    <row r="57">
      <c r="A57" s="218"/>
    </row>
    <row r="58">
      <c r="A58" s="218"/>
    </row>
    <row r="59">
      <c r="A59" s="218"/>
    </row>
    <row r="60">
      <c r="A60" s="218"/>
    </row>
    <row r="61">
      <c r="A61" s="218"/>
    </row>
    <row r="62">
      <c r="A62" s="218"/>
    </row>
    <row r="63">
      <c r="A63" s="218"/>
    </row>
    <row r="64">
      <c r="A64" s="218"/>
    </row>
    <row r="65">
      <c r="A65" s="218"/>
    </row>
    <row r="66">
      <c r="A66" s="218"/>
    </row>
    <row r="67">
      <c r="A67" s="218"/>
    </row>
    <row r="68">
      <c r="A68" s="218"/>
    </row>
    <row r="69">
      <c r="A69" s="218"/>
    </row>
    <row r="70">
      <c r="A70" s="218"/>
    </row>
    <row r="71">
      <c r="A71" s="218"/>
    </row>
    <row r="72">
      <c r="A72" s="218"/>
    </row>
    <row r="73">
      <c r="A73" s="218"/>
    </row>
    <row r="74">
      <c r="A74" s="218"/>
    </row>
    <row r="75">
      <c r="A75" s="218"/>
    </row>
    <row r="76">
      <c r="A76" s="218"/>
    </row>
    <row r="77">
      <c r="A77" s="218"/>
    </row>
    <row r="78">
      <c r="A78" s="218"/>
    </row>
    <row r="79">
      <c r="A79" s="218"/>
    </row>
    <row r="80">
      <c r="A80" s="218"/>
    </row>
    <row r="81">
      <c r="A81" s="218"/>
    </row>
    <row r="82">
      <c r="A82" s="218"/>
    </row>
    <row r="83">
      <c r="A83" s="218"/>
    </row>
    <row r="84">
      <c r="A84" s="218"/>
    </row>
    <row r="85">
      <c r="A85" s="218"/>
    </row>
    <row r="86">
      <c r="A86" s="218"/>
    </row>
    <row r="87">
      <c r="A87" s="218"/>
    </row>
    <row r="88">
      <c r="A88" s="218"/>
    </row>
    <row r="89">
      <c r="A89" s="218"/>
    </row>
    <row r="90">
      <c r="A90" s="218"/>
    </row>
    <row r="91">
      <c r="A91" s="218"/>
    </row>
    <row r="92">
      <c r="A92" s="218"/>
    </row>
    <row r="93">
      <c r="A93" s="218"/>
    </row>
    <row r="94">
      <c r="A94" s="218"/>
    </row>
    <row r="95">
      <c r="A95" s="218"/>
    </row>
    <row r="96">
      <c r="A96" s="218"/>
    </row>
    <row r="97">
      <c r="A97" s="218"/>
    </row>
    <row r="98">
      <c r="A98" s="218"/>
    </row>
    <row r="99">
      <c r="A99" s="218"/>
    </row>
    <row r="100">
      <c r="A100" s="218"/>
    </row>
    <row r="101">
      <c r="A101" s="218"/>
    </row>
    <row r="102">
      <c r="A102" s="218"/>
    </row>
    <row r="103">
      <c r="A103" s="218"/>
    </row>
    <row r="104">
      <c r="A104" s="218"/>
    </row>
    <row r="105">
      <c r="A105" s="218"/>
    </row>
    <row r="106">
      <c r="A106" s="218"/>
    </row>
    <row r="107">
      <c r="A107" s="218"/>
    </row>
    <row r="108">
      <c r="A108" s="218"/>
    </row>
    <row r="109">
      <c r="A109" s="218"/>
    </row>
    <row r="110">
      <c r="A110" s="218"/>
    </row>
    <row r="111">
      <c r="A111" s="218"/>
    </row>
    <row r="112">
      <c r="A112" s="218"/>
    </row>
    <row r="113">
      <c r="A113" s="218"/>
    </row>
    <row r="114">
      <c r="A114" s="218"/>
    </row>
    <row r="115">
      <c r="A115" s="218"/>
    </row>
    <row r="116">
      <c r="A116" s="218"/>
    </row>
    <row r="117">
      <c r="A117" s="218"/>
    </row>
    <row r="118">
      <c r="A118" s="218"/>
    </row>
    <row r="119">
      <c r="A119" s="218"/>
    </row>
    <row r="120">
      <c r="A120" s="218"/>
    </row>
    <row r="121">
      <c r="A121" s="218"/>
    </row>
    <row r="122">
      <c r="A122" s="218"/>
    </row>
    <row r="123">
      <c r="A123" s="218"/>
    </row>
    <row r="124">
      <c r="A124" s="218"/>
    </row>
    <row r="125">
      <c r="A125" s="218"/>
    </row>
    <row r="126">
      <c r="A126" s="218"/>
    </row>
    <row r="127">
      <c r="A127" s="218"/>
    </row>
    <row r="128">
      <c r="A128" s="218"/>
    </row>
    <row r="129">
      <c r="A129" s="218"/>
    </row>
    <row r="130">
      <c r="A130" s="218"/>
    </row>
    <row r="131">
      <c r="A131" s="218"/>
    </row>
    <row r="132">
      <c r="A132" s="218"/>
    </row>
    <row r="133">
      <c r="A133" s="218"/>
    </row>
    <row r="134">
      <c r="A134" s="218"/>
    </row>
    <row r="135">
      <c r="A135" s="218"/>
    </row>
    <row r="136">
      <c r="A136" s="218"/>
    </row>
    <row r="137">
      <c r="A137" s="218"/>
    </row>
    <row r="138">
      <c r="A138" s="218"/>
    </row>
    <row r="139">
      <c r="A139" s="218"/>
    </row>
    <row r="140">
      <c r="A140" s="218"/>
    </row>
    <row r="141">
      <c r="A141" s="218"/>
    </row>
    <row r="142">
      <c r="A142" s="218"/>
    </row>
    <row r="143">
      <c r="A143" s="218"/>
    </row>
    <row r="144">
      <c r="A144" s="218"/>
    </row>
    <row r="145">
      <c r="A145" s="218"/>
    </row>
    <row r="146">
      <c r="A146" s="218"/>
    </row>
    <row r="147">
      <c r="A147" s="218"/>
    </row>
    <row r="148">
      <c r="A148" s="218"/>
    </row>
    <row r="149">
      <c r="A149" s="218"/>
    </row>
    <row r="150">
      <c r="A150" s="218"/>
    </row>
    <row r="151">
      <c r="A151" s="218"/>
    </row>
    <row r="152">
      <c r="A152" s="218"/>
    </row>
    <row r="153">
      <c r="A153" s="218"/>
    </row>
    <row r="154">
      <c r="A154" s="218"/>
    </row>
    <row r="155">
      <c r="A155" s="218"/>
    </row>
    <row r="156">
      <c r="A156" s="218"/>
    </row>
    <row r="157">
      <c r="A157" s="218"/>
    </row>
    <row r="158">
      <c r="A158" s="218"/>
    </row>
    <row r="159">
      <c r="A159" s="218"/>
    </row>
    <row r="160">
      <c r="A160" s="218"/>
    </row>
    <row r="161">
      <c r="A161" s="218"/>
    </row>
    <row r="162">
      <c r="A162" s="218"/>
    </row>
    <row r="163">
      <c r="A163" s="218"/>
    </row>
    <row r="164">
      <c r="A164" s="218"/>
    </row>
    <row r="165">
      <c r="A165" s="218"/>
    </row>
    <row r="166">
      <c r="A166" s="218"/>
    </row>
    <row r="167">
      <c r="A167" s="218"/>
    </row>
    <row r="168">
      <c r="A168" s="218"/>
    </row>
    <row r="169">
      <c r="A169" s="218"/>
    </row>
    <row r="170">
      <c r="A170" s="218"/>
    </row>
    <row r="171">
      <c r="A171" s="218"/>
    </row>
    <row r="172">
      <c r="A172" s="218"/>
    </row>
    <row r="173">
      <c r="A173" s="218"/>
    </row>
    <row r="174">
      <c r="A174" s="218"/>
    </row>
    <row r="175">
      <c r="A175" s="218"/>
    </row>
    <row r="176">
      <c r="A176" s="218"/>
    </row>
    <row r="177">
      <c r="A177" s="218"/>
    </row>
    <row r="178">
      <c r="A178" s="218"/>
    </row>
    <row r="179">
      <c r="A179" s="218"/>
    </row>
    <row r="180">
      <c r="A180" s="218"/>
    </row>
    <row r="181">
      <c r="A181" s="218"/>
    </row>
    <row r="182">
      <c r="A182" s="218"/>
    </row>
    <row r="183">
      <c r="A183" s="218"/>
    </row>
    <row r="184">
      <c r="A184" s="218"/>
    </row>
    <row r="185">
      <c r="A185" s="218"/>
    </row>
    <row r="186">
      <c r="A186" s="218"/>
    </row>
    <row r="187">
      <c r="A187" s="218"/>
    </row>
    <row r="188">
      <c r="A188" s="218"/>
    </row>
    <row r="189">
      <c r="A189" s="218"/>
    </row>
    <row r="190">
      <c r="A190" s="218"/>
    </row>
    <row r="191">
      <c r="A191" s="218"/>
    </row>
    <row r="192">
      <c r="A192" s="218"/>
    </row>
    <row r="193">
      <c r="A193" s="218"/>
    </row>
    <row r="194">
      <c r="A194" s="218"/>
    </row>
    <row r="195">
      <c r="A195" s="218"/>
    </row>
    <row r="196">
      <c r="A196" s="218"/>
    </row>
    <row r="197">
      <c r="A197" s="218"/>
    </row>
    <row r="198">
      <c r="A198" s="218"/>
    </row>
    <row r="199">
      <c r="A199" s="218"/>
    </row>
    <row r="200">
      <c r="A200" s="218"/>
    </row>
    <row r="201">
      <c r="A201" s="218"/>
    </row>
    <row r="202">
      <c r="A202" s="218"/>
    </row>
    <row r="203">
      <c r="A203" s="218"/>
    </row>
    <row r="204">
      <c r="A204" s="218"/>
    </row>
    <row r="205">
      <c r="A205" s="218"/>
    </row>
    <row r="206">
      <c r="A206" s="218"/>
    </row>
    <row r="207">
      <c r="A207" s="218"/>
    </row>
    <row r="208">
      <c r="A208" s="218"/>
    </row>
    <row r="209">
      <c r="A209" s="218"/>
    </row>
    <row r="210">
      <c r="A210" s="218"/>
    </row>
    <row r="211">
      <c r="A211" s="218"/>
    </row>
    <row r="212">
      <c r="A212" s="218"/>
    </row>
    <row r="213">
      <c r="A213" s="218"/>
    </row>
    <row r="214">
      <c r="A214" s="218"/>
    </row>
    <row r="215">
      <c r="A215" s="218"/>
    </row>
    <row r="216">
      <c r="A216" s="218"/>
    </row>
    <row r="217">
      <c r="A217" s="218"/>
    </row>
    <row r="218">
      <c r="A218" s="218"/>
    </row>
    <row r="219">
      <c r="A219" s="218"/>
    </row>
    <row r="220">
      <c r="A220" s="218"/>
    </row>
    <row r="221">
      <c r="A221" s="218"/>
    </row>
    <row r="222">
      <c r="A222" s="218"/>
    </row>
    <row r="223">
      <c r="A223" s="218"/>
    </row>
    <row r="224">
      <c r="A224" s="218"/>
    </row>
    <row r="225">
      <c r="A225" s="218"/>
    </row>
    <row r="226">
      <c r="A226" s="218"/>
    </row>
    <row r="227">
      <c r="A227" s="218"/>
    </row>
    <row r="228">
      <c r="A228" s="218"/>
    </row>
    <row r="229">
      <c r="A229" s="218"/>
    </row>
    <row r="230">
      <c r="A230" s="218"/>
    </row>
    <row r="231">
      <c r="A231" s="218"/>
    </row>
    <row r="232">
      <c r="A232" s="218"/>
    </row>
    <row r="233">
      <c r="A233" s="218"/>
    </row>
    <row r="234">
      <c r="A234" s="218"/>
    </row>
    <row r="235">
      <c r="A235" s="218"/>
    </row>
    <row r="236">
      <c r="A236" s="218"/>
    </row>
    <row r="237">
      <c r="A237" s="218"/>
    </row>
    <row r="238">
      <c r="A238" s="218"/>
    </row>
    <row r="239">
      <c r="A239" s="218"/>
    </row>
    <row r="240">
      <c r="A240" s="218"/>
    </row>
    <row r="241">
      <c r="A241" s="218"/>
    </row>
    <row r="242">
      <c r="A242" s="218"/>
    </row>
    <row r="243">
      <c r="A243" s="218"/>
    </row>
    <row r="244">
      <c r="A244" s="218"/>
    </row>
    <row r="245">
      <c r="A245" s="218"/>
    </row>
    <row r="246">
      <c r="A246" s="218"/>
    </row>
    <row r="247">
      <c r="A247" s="218"/>
    </row>
    <row r="248">
      <c r="A248" s="218"/>
    </row>
    <row r="249">
      <c r="A249" s="218"/>
    </row>
    <row r="250">
      <c r="A250" s="218"/>
    </row>
    <row r="251">
      <c r="A251" s="218"/>
    </row>
    <row r="252">
      <c r="A252" s="218"/>
    </row>
    <row r="253">
      <c r="A253" s="218"/>
    </row>
    <row r="254">
      <c r="A254" s="218"/>
    </row>
    <row r="255">
      <c r="A255" s="218"/>
    </row>
    <row r="256">
      <c r="A256" s="218"/>
    </row>
    <row r="257">
      <c r="A257" s="218"/>
    </row>
    <row r="258">
      <c r="A258" s="218"/>
    </row>
    <row r="259">
      <c r="A259" s="218"/>
    </row>
    <row r="260">
      <c r="A260" s="218"/>
    </row>
    <row r="261">
      <c r="A261" s="218"/>
    </row>
    <row r="262">
      <c r="A262" s="218"/>
    </row>
    <row r="263">
      <c r="A263" s="218"/>
    </row>
    <row r="264">
      <c r="A264" s="218"/>
    </row>
    <row r="265">
      <c r="A265" s="218"/>
    </row>
    <row r="266">
      <c r="A266" s="218"/>
    </row>
    <row r="267">
      <c r="A267" s="218"/>
    </row>
    <row r="268">
      <c r="A268" s="218"/>
    </row>
    <row r="269">
      <c r="A269" s="218"/>
    </row>
    <row r="270">
      <c r="A270" s="218"/>
    </row>
    <row r="271">
      <c r="A271" s="218"/>
    </row>
    <row r="272">
      <c r="A272" s="218"/>
    </row>
    <row r="273">
      <c r="A273" s="218"/>
    </row>
    <row r="274">
      <c r="A274" s="218"/>
    </row>
    <row r="275">
      <c r="A275" s="218"/>
    </row>
    <row r="276">
      <c r="A276" s="218"/>
    </row>
    <row r="277">
      <c r="A277" s="218"/>
    </row>
    <row r="278">
      <c r="A278" s="218"/>
    </row>
    <row r="279">
      <c r="A279" s="218"/>
    </row>
    <row r="280">
      <c r="A280" s="218"/>
    </row>
    <row r="281">
      <c r="A281" s="218"/>
    </row>
    <row r="282">
      <c r="A282" s="218"/>
    </row>
    <row r="283">
      <c r="A283" s="218"/>
    </row>
    <row r="284">
      <c r="A284" s="218"/>
    </row>
    <row r="285">
      <c r="A285" s="218"/>
    </row>
    <row r="286">
      <c r="A286" s="218"/>
    </row>
    <row r="287">
      <c r="A287" s="218"/>
    </row>
    <row r="288">
      <c r="A288" s="218"/>
    </row>
    <row r="289">
      <c r="A289" s="218"/>
    </row>
    <row r="290">
      <c r="A290" s="218"/>
    </row>
    <row r="291">
      <c r="A291" s="218"/>
    </row>
    <row r="292">
      <c r="A292" s="218"/>
    </row>
    <row r="293">
      <c r="A293" s="218"/>
    </row>
    <row r="294">
      <c r="A294" s="218"/>
    </row>
    <row r="295">
      <c r="A295" s="218"/>
    </row>
    <row r="296">
      <c r="A296" s="218"/>
    </row>
    <row r="297">
      <c r="A297" s="218"/>
    </row>
    <row r="298">
      <c r="A298" s="218"/>
    </row>
    <row r="299">
      <c r="A299" s="218"/>
    </row>
    <row r="300">
      <c r="A300" s="218"/>
    </row>
    <row r="301">
      <c r="A301" s="218"/>
    </row>
    <row r="302">
      <c r="A302" s="218"/>
    </row>
    <row r="303">
      <c r="A303" s="218"/>
    </row>
    <row r="304">
      <c r="A304" s="218"/>
    </row>
    <row r="305">
      <c r="A305" s="218"/>
    </row>
    <row r="306">
      <c r="A306" s="218"/>
    </row>
    <row r="307">
      <c r="A307" s="218"/>
    </row>
    <row r="308">
      <c r="A308" s="218"/>
    </row>
    <row r="309">
      <c r="A309" s="218"/>
    </row>
    <row r="310">
      <c r="A310" s="218"/>
    </row>
    <row r="311">
      <c r="A311" s="218"/>
    </row>
    <row r="312">
      <c r="A312" s="218"/>
    </row>
    <row r="313">
      <c r="A313" s="218"/>
    </row>
    <row r="314">
      <c r="A314" s="218"/>
    </row>
    <row r="315">
      <c r="A315" s="218"/>
    </row>
    <row r="316">
      <c r="A316" s="218"/>
    </row>
    <row r="317">
      <c r="A317" s="218"/>
    </row>
    <row r="318">
      <c r="A318" s="218"/>
    </row>
    <row r="319">
      <c r="A319" s="218"/>
    </row>
    <row r="320">
      <c r="A320" s="218"/>
    </row>
    <row r="321">
      <c r="A321" s="218"/>
    </row>
    <row r="322">
      <c r="A322" s="218"/>
    </row>
    <row r="323">
      <c r="A323" s="218"/>
    </row>
    <row r="324">
      <c r="A324" s="218"/>
    </row>
    <row r="325">
      <c r="A325" s="218"/>
    </row>
    <row r="326">
      <c r="A326" s="218"/>
    </row>
    <row r="327">
      <c r="A327" s="218"/>
    </row>
    <row r="328">
      <c r="A328" s="218"/>
    </row>
    <row r="329">
      <c r="A329" s="218"/>
    </row>
    <row r="330">
      <c r="A330" s="218"/>
    </row>
    <row r="331">
      <c r="A331" s="218"/>
    </row>
    <row r="332">
      <c r="A332" s="218"/>
    </row>
    <row r="333">
      <c r="A333" s="218"/>
    </row>
    <row r="334">
      <c r="A334" s="218"/>
    </row>
    <row r="335">
      <c r="A335" s="218"/>
    </row>
    <row r="336">
      <c r="A336" s="218"/>
    </row>
    <row r="337">
      <c r="A337" s="218"/>
    </row>
    <row r="338">
      <c r="A338" s="218"/>
    </row>
    <row r="339">
      <c r="A339" s="218"/>
    </row>
    <row r="340">
      <c r="A340" s="218"/>
    </row>
    <row r="341">
      <c r="A341" s="218"/>
    </row>
    <row r="342">
      <c r="A342" s="218"/>
    </row>
    <row r="343">
      <c r="A343" s="218"/>
    </row>
    <row r="344">
      <c r="A344" s="218"/>
    </row>
    <row r="345">
      <c r="A345" s="218"/>
    </row>
    <row r="346">
      <c r="A346" s="218"/>
    </row>
    <row r="347">
      <c r="A347" s="218"/>
    </row>
    <row r="348">
      <c r="A348" s="218"/>
    </row>
    <row r="349">
      <c r="A349" s="218"/>
    </row>
    <row r="350">
      <c r="A350" s="218"/>
    </row>
    <row r="351">
      <c r="A351" s="218"/>
    </row>
    <row r="352">
      <c r="A352" s="218"/>
    </row>
    <row r="353">
      <c r="A353" s="218"/>
    </row>
    <row r="354">
      <c r="A354" s="218"/>
    </row>
    <row r="355">
      <c r="A355" s="218"/>
    </row>
    <row r="356">
      <c r="A356" s="218"/>
    </row>
    <row r="357">
      <c r="A357" s="218"/>
    </row>
    <row r="358">
      <c r="A358" s="218"/>
    </row>
    <row r="359">
      <c r="A359" s="218"/>
    </row>
    <row r="360">
      <c r="A360" s="218"/>
    </row>
    <row r="361">
      <c r="A361" s="218"/>
    </row>
    <row r="362">
      <c r="A362" s="218"/>
    </row>
    <row r="363">
      <c r="A363" s="218"/>
    </row>
    <row r="364">
      <c r="A364" s="218"/>
    </row>
    <row r="365">
      <c r="A365" s="218"/>
    </row>
    <row r="366">
      <c r="A366" s="218"/>
    </row>
    <row r="367">
      <c r="A367" s="218"/>
    </row>
    <row r="368">
      <c r="A368" s="218"/>
    </row>
    <row r="369">
      <c r="A369" s="218"/>
    </row>
    <row r="370">
      <c r="A370" s="218"/>
    </row>
    <row r="371">
      <c r="A371" s="218"/>
    </row>
    <row r="372">
      <c r="A372" s="218"/>
    </row>
    <row r="373">
      <c r="A373" s="218"/>
    </row>
    <row r="374">
      <c r="A374" s="218"/>
    </row>
    <row r="375">
      <c r="A375" s="218"/>
    </row>
    <row r="376">
      <c r="A376" s="218"/>
    </row>
    <row r="377">
      <c r="A377" s="218"/>
    </row>
    <row r="378">
      <c r="A378" s="218"/>
    </row>
    <row r="379">
      <c r="A379" s="218"/>
    </row>
    <row r="380">
      <c r="A380" s="218"/>
    </row>
    <row r="381">
      <c r="A381" s="218"/>
    </row>
    <row r="382">
      <c r="A382" s="218"/>
    </row>
    <row r="383">
      <c r="A383" s="218"/>
    </row>
    <row r="384">
      <c r="A384" s="218"/>
    </row>
    <row r="385">
      <c r="A385" s="218"/>
    </row>
    <row r="386">
      <c r="A386" s="218"/>
    </row>
    <row r="387">
      <c r="A387" s="218"/>
    </row>
    <row r="388">
      <c r="A388" s="218"/>
    </row>
    <row r="389">
      <c r="A389" s="218"/>
    </row>
    <row r="390">
      <c r="A390" s="218"/>
    </row>
    <row r="391">
      <c r="A391" s="218"/>
    </row>
    <row r="392">
      <c r="A392" s="218"/>
    </row>
    <row r="393">
      <c r="A393" s="218"/>
    </row>
    <row r="394">
      <c r="A394" s="218"/>
    </row>
    <row r="395">
      <c r="A395" s="218"/>
    </row>
    <row r="396">
      <c r="A396" s="218"/>
    </row>
    <row r="397">
      <c r="A397" s="218"/>
    </row>
    <row r="398">
      <c r="A398" s="218"/>
    </row>
    <row r="399">
      <c r="A399" s="218"/>
    </row>
    <row r="400">
      <c r="A400" s="218"/>
    </row>
    <row r="401">
      <c r="A401" s="218"/>
    </row>
    <row r="402">
      <c r="A402" s="218"/>
    </row>
    <row r="403">
      <c r="A403" s="218"/>
    </row>
    <row r="404">
      <c r="A404" s="218"/>
    </row>
    <row r="405">
      <c r="A405" s="218"/>
    </row>
    <row r="406">
      <c r="A406" s="218"/>
    </row>
    <row r="407">
      <c r="A407" s="218"/>
    </row>
    <row r="408">
      <c r="A408" s="218"/>
    </row>
    <row r="409">
      <c r="A409" s="218"/>
    </row>
    <row r="410">
      <c r="A410" s="218"/>
    </row>
    <row r="411">
      <c r="A411" s="218"/>
    </row>
    <row r="412">
      <c r="A412" s="218"/>
    </row>
    <row r="413">
      <c r="A413" s="218"/>
    </row>
    <row r="414">
      <c r="A414" s="218"/>
    </row>
    <row r="415">
      <c r="A415" s="218"/>
    </row>
    <row r="416">
      <c r="A416" s="218"/>
    </row>
    <row r="417">
      <c r="A417" s="218"/>
    </row>
    <row r="418">
      <c r="A418" s="218"/>
    </row>
    <row r="419">
      <c r="A419" s="218"/>
    </row>
    <row r="420">
      <c r="A420" s="218"/>
    </row>
    <row r="421">
      <c r="A421" s="218"/>
    </row>
    <row r="422">
      <c r="A422" s="218"/>
    </row>
    <row r="423">
      <c r="A423" s="218"/>
    </row>
    <row r="424">
      <c r="A424" s="218"/>
    </row>
    <row r="425">
      <c r="A425" s="218"/>
    </row>
    <row r="426">
      <c r="A426" s="218"/>
    </row>
    <row r="427">
      <c r="A427" s="218"/>
    </row>
    <row r="428">
      <c r="A428" s="218"/>
    </row>
    <row r="429">
      <c r="A429" s="218"/>
    </row>
    <row r="430">
      <c r="A430" s="218"/>
    </row>
    <row r="431">
      <c r="A431" s="218"/>
    </row>
    <row r="432">
      <c r="A432" s="218"/>
    </row>
    <row r="433">
      <c r="A433" s="218"/>
    </row>
    <row r="434">
      <c r="A434" s="218"/>
    </row>
    <row r="435">
      <c r="A435" s="218"/>
    </row>
    <row r="436">
      <c r="A436" s="218"/>
    </row>
    <row r="437">
      <c r="A437" s="218"/>
    </row>
    <row r="438">
      <c r="A438" s="218"/>
    </row>
    <row r="439">
      <c r="A439" s="218"/>
    </row>
    <row r="440">
      <c r="A440" s="218"/>
    </row>
    <row r="441">
      <c r="A441" s="218"/>
    </row>
    <row r="442">
      <c r="A442" s="218"/>
    </row>
    <row r="443">
      <c r="A443" s="218"/>
    </row>
    <row r="444">
      <c r="A444" s="218"/>
    </row>
    <row r="445">
      <c r="A445" s="218"/>
    </row>
    <row r="446">
      <c r="A446" s="218"/>
    </row>
    <row r="447">
      <c r="A447" s="218"/>
    </row>
    <row r="448">
      <c r="A448" s="218"/>
    </row>
    <row r="449">
      <c r="A449" s="218"/>
    </row>
    <row r="450">
      <c r="A450" s="218"/>
    </row>
    <row r="451">
      <c r="A451" s="218"/>
    </row>
    <row r="452">
      <c r="A452" s="218"/>
    </row>
    <row r="453">
      <c r="A453" s="218"/>
    </row>
    <row r="454">
      <c r="A454" s="218"/>
    </row>
    <row r="455">
      <c r="A455" s="218"/>
    </row>
    <row r="456">
      <c r="A456" s="218"/>
    </row>
    <row r="457">
      <c r="A457" s="218"/>
    </row>
    <row r="458">
      <c r="A458" s="218"/>
    </row>
    <row r="459">
      <c r="A459" s="218"/>
    </row>
    <row r="460">
      <c r="A460" s="218"/>
    </row>
    <row r="461">
      <c r="A461" s="218"/>
    </row>
    <row r="462">
      <c r="A462" s="218"/>
    </row>
    <row r="463">
      <c r="A463" s="218"/>
    </row>
    <row r="464">
      <c r="A464" s="218"/>
    </row>
    <row r="465">
      <c r="A465" s="218"/>
    </row>
    <row r="466">
      <c r="A466" s="218"/>
    </row>
    <row r="467">
      <c r="A467" s="218"/>
    </row>
    <row r="468">
      <c r="A468" s="218"/>
    </row>
    <row r="469">
      <c r="A469" s="218"/>
    </row>
    <row r="470">
      <c r="A470" s="218"/>
    </row>
    <row r="471">
      <c r="A471" s="218"/>
    </row>
    <row r="472">
      <c r="A472" s="218"/>
    </row>
    <row r="473">
      <c r="A473" s="218"/>
    </row>
    <row r="474">
      <c r="A474" s="218"/>
    </row>
    <row r="475">
      <c r="A475" s="218"/>
    </row>
    <row r="476">
      <c r="A476" s="218"/>
    </row>
    <row r="477">
      <c r="A477" s="218"/>
    </row>
    <row r="478">
      <c r="A478" s="218"/>
    </row>
    <row r="479">
      <c r="A479" s="218"/>
    </row>
    <row r="480">
      <c r="A480" s="218"/>
    </row>
    <row r="481">
      <c r="A481" s="218"/>
    </row>
    <row r="482">
      <c r="A482" s="218"/>
    </row>
    <row r="483">
      <c r="A483" s="218"/>
    </row>
    <row r="484">
      <c r="A484" s="218"/>
    </row>
    <row r="485">
      <c r="A485" s="218"/>
    </row>
    <row r="486">
      <c r="A486" s="218"/>
    </row>
    <row r="487">
      <c r="A487" s="218"/>
    </row>
    <row r="488">
      <c r="A488" s="218"/>
    </row>
    <row r="489">
      <c r="A489" s="218"/>
    </row>
    <row r="490">
      <c r="A490" s="218"/>
    </row>
    <row r="491">
      <c r="A491" s="218"/>
    </row>
    <row r="492">
      <c r="A492" s="218"/>
    </row>
    <row r="493">
      <c r="A493" s="218"/>
    </row>
    <row r="494">
      <c r="A494" s="218"/>
    </row>
    <row r="495">
      <c r="A495" s="218"/>
    </row>
    <row r="496">
      <c r="A496" s="218"/>
    </row>
    <row r="497">
      <c r="A497" s="218"/>
    </row>
    <row r="498">
      <c r="A498" s="218"/>
    </row>
    <row r="499">
      <c r="A499" s="218"/>
    </row>
    <row r="500">
      <c r="A500" s="218"/>
    </row>
    <row r="501">
      <c r="A501" s="218"/>
    </row>
    <row r="502">
      <c r="A502" s="218"/>
    </row>
    <row r="503">
      <c r="A503" s="218"/>
    </row>
    <row r="504">
      <c r="A504" s="218"/>
    </row>
    <row r="505">
      <c r="A505" s="218"/>
    </row>
    <row r="506">
      <c r="A506" s="218"/>
    </row>
    <row r="507">
      <c r="A507" s="218"/>
    </row>
    <row r="508">
      <c r="A508" s="218"/>
    </row>
    <row r="509">
      <c r="A509" s="218"/>
    </row>
    <row r="510">
      <c r="A510" s="218"/>
    </row>
    <row r="511">
      <c r="A511" s="218"/>
    </row>
    <row r="512">
      <c r="A512" s="218"/>
    </row>
    <row r="513">
      <c r="A513" s="218"/>
    </row>
    <row r="514">
      <c r="A514" s="218"/>
    </row>
    <row r="515">
      <c r="A515" s="218"/>
    </row>
    <row r="516">
      <c r="A516" s="218"/>
    </row>
    <row r="517">
      <c r="A517" s="218"/>
    </row>
    <row r="518">
      <c r="A518" s="218"/>
    </row>
    <row r="519">
      <c r="A519" s="218"/>
    </row>
    <row r="520">
      <c r="A520" s="218"/>
    </row>
    <row r="521">
      <c r="A521" s="218"/>
    </row>
    <row r="522">
      <c r="A522" s="218"/>
    </row>
    <row r="523">
      <c r="A523" s="218"/>
    </row>
    <row r="524">
      <c r="A524" s="218"/>
    </row>
    <row r="525">
      <c r="A525" s="218"/>
    </row>
    <row r="526">
      <c r="A526" s="218"/>
    </row>
    <row r="527">
      <c r="A527" s="218"/>
    </row>
    <row r="528">
      <c r="A528" s="218"/>
    </row>
    <row r="529">
      <c r="A529" s="218"/>
    </row>
    <row r="530">
      <c r="A530" s="218"/>
    </row>
    <row r="531">
      <c r="A531" s="218"/>
    </row>
    <row r="532">
      <c r="A532" s="218"/>
    </row>
    <row r="533">
      <c r="A533" s="218"/>
    </row>
    <row r="534">
      <c r="A534" s="218"/>
    </row>
    <row r="535">
      <c r="A535" s="218"/>
    </row>
    <row r="536">
      <c r="A536" s="218"/>
    </row>
    <row r="537">
      <c r="A537" s="218"/>
    </row>
    <row r="538">
      <c r="A538" s="218"/>
    </row>
    <row r="539">
      <c r="A539" s="218"/>
    </row>
    <row r="540">
      <c r="A540" s="218"/>
    </row>
    <row r="541">
      <c r="A541" s="218"/>
    </row>
    <row r="542">
      <c r="A542" s="218"/>
    </row>
    <row r="543">
      <c r="A543" s="218"/>
    </row>
    <row r="544">
      <c r="A544" s="218"/>
    </row>
    <row r="545">
      <c r="A545" s="218"/>
    </row>
    <row r="546">
      <c r="A546" s="218"/>
    </row>
    <row r="547">
      <c r="A547" s="218"/>
    </row>
    <row r="548">
      <c r="A548" s="218"/>
    </row>
    <row r="549">
      <c r="A549" s="218"/>
    </row>
    <row r="550">
      <c r="A550" s="218"/>
    </row>
    <row r="551">
      <c r="A551" s="218"/>
    </row>
    <row r="552">
      <c r="A552" s="218"/>
    </row>
    <row r="553">
      <c r="A553" s="218"/>
    </row>
    <row r="554">
      <c r="A554" s="218"/>
    </row>
    <row r="555">
      <c r="A555" s="218"/>
    </row>
    <row r="556">
      <c r="A556" s="218"/>
    </row>
    <row r="557">
      <c r="A557" s="218"/>
    </row>
    <row r="558">
      <c r="A558" s="218"/>
    </row>
    <row r="559">
      <c r="A559" s="218"/>
    </row>
    <row r="560">
      <c r="A560" s="218"/>
    </row>
    <row r="561">
      <c r="A561" s="218"/>
    </row>
    <row r="562">
      <c r="A562" s="218"/>
    </row>
    <row r="563">
      <c r="A563" s="218"/>
    </row>
    <row r="564">
      <c r="A564" s="218"/>
    </row>
    <row r="565">
      <c r="A565" s="218"/>
    </row>
    <row r="566">
      <c r="A566" s="218"/>
    </row>
    <row r="567">
      <c r="A567" s="218"/>
    </row>
    <row r="568">
      <c r="A568" s="218"/>
    </row>
    <row r="569">
      <c r="A569" s="218"/>
    </row>
    <row r="570">
      <c r="A570" s="218"/>
    </row>
    <row r="571">
      <c r="A571" s="218"/>
    </row>
    <row r="572">
      <c r="A572" s="218"/>
    </row>
    <row r="573">
      <c r="A573" s="218"/>
    </row>
    <row r="574">
      <c r="A574" s="218"/>
    </row>
    <row r="575">
      <c r="A575" s="218"/>
    </row>
    <row r="576">
      <c r="A576" s="218"/>
    </row>
    <row r="577">
      <c r="A577" s="218"/>
    </row>
    <row r="578">
      <c r="A578" s="218"/>
    </row>
    <row r="579">
      <c r="A579" s="218"/>
    </row>
    <row r="580">
      <c r="A580" s="218"/>
    </row>
    <row r="581">
      <c r="A581" s="218"/>
    </row>
    <row r="582">
      <c r="A582" s="218"/>
    </row>
    <row r="583">
      <c r="A583" s="218"/>
    </row>
    <row r="584">
      <c r="A584" s="218"/>
    </row>
    <row r="585">
      <c r="A585" s="218"/>
    </row>
    <row r="586">
      <c r="A586" s="218"/>
    </row>
    <row r="587">
      <c r="A587" s="218"/>
    </row>
    <row r="588">
      <c r="A588" s="218"/>
    </row>
    <row r="589">
      <c r="A589" s="218"/>
    </row>
    <row r="590">
      <c r="A590" s="218"/>
    </row>
    <row r="591">
      <c r="A591" s="218"/>
    </row>
    <row r="592">
      <c r="A592" s="218"/>
    </row>
    <row r="593">
      <c r="A593" s="218"/>
    </row>
    <row r="594">
      <c r="A594" s="218"/>
    </row>
    <row r="595">
      <c r="A595" s="218"/>
    </row>
    <row r="596">
      <c r="A596" s="218"/>
    </row>
    <row r="597">
      <c r="A597" s="218"/>
    </row>
    <row r="598">
      <c r="A598" s="218"/>
    </row>
    <row r="599">
      <c r="A599" s="218"/>
    </row>
    <row r="600">
      <c r="A600" s="218"/>
    </row>
    <row r="601">
      <c r="A601" s="218"/>
    </row>
    <row r="602">
      <c r="A602" s="218"/>
    </row>
    <row r="603">
      <c r="A603" s="218"/>
    </row>
    <row r="604">
      <c r="A604" s="218"/>
    </row>
    <row r="605">
      <c r="A605" s="218"/>
    </row>
    <row r="606">
      <c r="A606" s="218"/>
    </row>
    <row r="607">
      <c r="A607" s="218"/>
    </row>
    <row r="608">
      <c r="A608" s="218"/>
    </row>
    <row r="609">
      <c r="A609" s="218"/>
    </row>
    <row r="610">
      <c r="A610" s="218"/>
    </row>
    <row r="611">
      <c r="A611" s="218"/>
    </row>
    <row r="612">
      <c r="A612" s="218"/>
    </row>
    <row r="613">
      <c r="A613" s="218"/>
    </row>
    <row r="614">
      <c r="A614" s="218"/>
    </row>
    <row r="615">
      <c r="A615" s="218"/>
    </row>
    <row r="616">
      <c r="A616" s="218"/>
    </row>
    <row r="617">
      <c r="A617" s="218"/>
    </row>
    <row r="618">
      <c r="A618" s="218"/>
    </row>
    <row r="619">
      <c r="A619" s="218"/>
    </row>
    <row r="620">
      <c r="A620" s="218"/>
    </row>
    <row r="621">
      <c r="A621" s="218"/>
    </row>
    <row r="622">
      <c r="A622" s="218"/>
    </row>
    <row r="623">
      <c r="A623" s="218"/>
    </row>
    <row r="624">
      <c r="A624" s="218"/>
    </row>
    <row r="625">
      <c r="A625" s="218"/>
    </row>
    <row r="626">
      <c r="A626" s="218"/>
    </row>
    <row r="627">
      <c r="A627" s="218"/>
    </row>
    <row r="628">
      <c r="A628" s="218"/>
    </row>
    <row r="629">
      <c r="A629" s="218"/>
    </row>
    <row r="630">
      <c r="A630" s="218"/>
    </row>
    <row r="631">
      <c r="A631" s="218"/>
    </row>
    <row r="632">
      <c r="A632" s="218"/>
    </row>
    <row r="633">
      <c r="A633" s="218"/>
    </row>
    <row r="634">
      <c r="A634" s="218"/>
    </row>
    <row r="635">
      <c r="A635" s="218"/>
    </row>
    <row r="636">
      <c r="A636" s="218"/>
    </row>
    <row r="637">
      <c r="A637" s="218"/>
    </row>
    <row r="638">
      <c r="A638" s="218"/>
    </row>
    <row r="639">
      <c r="A639" s="218"/>
    </row>
    <row r="640">
      <c r="A640" s="218"/>
    </row>
    <row r="641">
      <c r="A641" s="218"/>
    </row>
    <row r="642">
      <c r="A642" s="218"/>
    </row>
    <row r="643">
      <c r="A643" s="218"/>
    </row>
    <row r="644">
      <c r="A644" s="218"/>
    </row>
    <row r="645">
      <c r="A645" s="218"/>
    </row>
    <row r="646">
      <c r="A646" s="218"/>
    </row>
    <row r="647">
      <c r="A647" s="218"/>
    </row>
    <row r="648">
      <c r="A648" s="218"/>
    </row>
    <row r="649">
      <c r="A649" s="218"/>
    </row>
    <row r="650">
      <c r="A650" s="218"/>
    </row>
    <row r="651">
      <c r="A651" s="218"/>
    </row>
    <row r="652">
      <c r="A652" s="218"/>
    </row>
    <row r="653">
      <c r="A653" s="218"/>
    </row>
    <row r="654">
      <c r="A654" s="218"/>
    </row>
    <row r="655">
      <c r="A655" s="218"/>
    </row>
    <row r="656">
      <c r="A656" s="218"/>
    </row>
    <row r="657">
      <c r="A657" s="218"/>
    </row>
    <row r="658">
      <c r="A658" s="218"/>
    </row>
    <row r="659">
      <c r="A659" s="218"/>
    </row>
    <row r="660">
      <c r="A660" s="218"/>
    </row>
    <row r="661">
      <c r="A661" s="218"/>
    </row>
    <row r="662">
      <c r="A662" s="218"/>
    </row>
    <row r="663">
      <c r="A663" s="218"/>
    </row>
    <row r="664">
      <c r="A664" s="218"/>
    </row>
    <row r="665">
      <c r="A665" s="218"/>
    </row>
    <row r="666">
      <c r="A666" s="218"/>
    </row>
    <row r="667">
      <c r="A667" s="218"/>
    </row>
    <row r="668">
      <c r="A668" s="218"/>
    </row>
    <row r="669">
      <c r="A669" s="218"/>
    </row>
    <row r="670">
      <c r="A670" s="218"/>
    </row>
    <row r="671">
      <c r="A671" s="218"/>
    </row>
    <row r="672">
      <c r="A672" s="218"/>
    </row>
    <row r="673">
      <c r="A673" s="218"/>
    </row>
    <row r="674">
      <c r="A674" s="218"/>
    </row>
    <row r="675">
      <c r="A675" s="218"/>
    </row>
    <row r="676">
      <c r="A676" s="218"/>
    </row>
    <row r="677">
      <c r="A677" s="218"/>
    </row>
    <row r="678">
      <c r="A678" s="218"/>
    </row>
    <row r="679">
      <c r="A679" s="218"/>
    </row>
    <row r="680">
      <c r="A680" s="218"/>
    </row>
    <row r="681">
      <c r="A681" s="218"/>
    </row>
    <row r="682">
      <c r="A682" s="218"/>
    </row>
    <row r="683">
      <c r="A683" s="218"/>
    </row>
    <row r="684">
      <c r="A684" s="218"/>
    </row>
    <row r="685">
      <c r="A685" s="218"/>
    </row>
    <row r="686">
      <c r="A686" s="218"/>
    </row>
    <row r="687">
      <c r="A687" s="218"/>
    </row>
    <row r="688">
      <c r="A688" s="218"/>
    </row>
    <row r="689">
      <c r="A689" s="218"/>
    </row>
    <row r="690">
      <c r="A690" s="218"/>
    </row>
    <row r="691">
      <c r="A691" s="218"/>
    </row>
    <row r="692">
      <c r="A692" s="218"/>
    </row>
    <row r="693">
      <c r="A693" s="218"/>
    </row>
    <row r="694">
      <c r="A694" s="218"/>
    </row>
    <row r="695">
      <c r="A695" s="218"/>
    </row>
    <row r="696">
      <c r="A696" s="218"/>
    </row>
    <row r="697">
      <c r="A697" s="218"/>
    </row>
    <row r="698">
      <c r="A698" s="218"/>
    </row>
    <row r="699">
      <c r="A699" s="218"/>
    </row>
    <row r="700">
      <c r="A700" s="218"/>
    </row>
    <row r="701">
      <c r="A701" s="218"/>
    </row>
    <row r="702">
      <c r="A702" s="218"/>
    </row>
    <row r="703">
      <c r="A703" s="218"/>
    </row>
    <row r="704">
      <c r="A704" s="218"/>
    </row>
    <row r="705">
      <c r="A705" s="218"/>
    </row>
    <row r="706">
      <c r="A706" s="218"/>
    </row>
    <row r="707">
      <c r="A707" s="218"/>
    </row>
    <row r="708">
      <c r="A708" s="218"/>
    </row>
    <row r="709">
      <c r="A709" s="218"/>
    </row>
    <row r="710">
      <c r="A710" s="218"/>
    </row>
    <row r="711">
      <c r="A711" s="218"/>
    </row>
    <row r="712">
      <c r="A712" s="218"/>
    </row>
    <row r="713">
      <c r="A713" s="218"/>
    </row>
    <row r="714">
      <c r="A714" s="218"/>
    </row>
    <row r="715">
      <c r="A715" s="218"/>
    </row>
    <row r="716">
      <c r="A716" s="218"/>
    </row>
    <row r="717">
      <c r="A717" s="218"/>
    </row>
    <row r="718">
      <c r="A718" s="218"/>
    </row>
    <row r="719">
      <c r="A719" s="218"/>
    </row>
    <row r="720">
      <c r="A720" s="218"/>
    </row>
    <row r="721">
      <c r="A721" s="218"/>
    </row>
    <row r="722">
      <c r="A722" s="218"/>
    </row>
    <row r="723">
      <c r="A723" s="218"/>
    </row>
    <row r="724">
      <c r="A724" s="218"/>
    </row>
    <row r="725">
      <c r="A725" s="218"/>
    </row>
    <row r="726">
      <c r="A726" s="218"/>
    </row>
    <row r="727">
      <c r="A727" s="218"/>
    </row>
    <row r="728">
      <c r="A728" s="218"/>
    </row>
    <row r="729">
      <c r="A729" s="218"/>
    </row>
    <row r="730">
      <c r="A730" s="218"/>
    </row>
    <row r="731">
      <c r="A731" s="218"/>
    </row>
    <row r="732">
      <c r="A732" s="218"/>
    </row>
    <row r="733">
      <c r="A733" s="218"/>
    </row>
    <row r="734">
      <c r="A734" s="218"/>
    </row>
    <row r="735">
      <c r="A735" s="218"/>
    </row>
    <row r="736">
      <c r="A736" s="218"/>
    </row>
    <row r="737">
      <c r="A737" s="218"/>
    </row>
    <row r="738">
      <c r="A738" s="218"/>
    </row>
    <row r="739">
      <c r="A739" s="218"/>
    </row>
    <row r="740">
      <c r="A740" s="218"/>
    </row>
    <row r="741">
      <c r="A741" s="218"/>
    </row>
    <row r="742">
      <c r="A742" s="218"/>
    </row>
    <row r="743">
      <c r="A743" s="218"/>
    </row>
    <row r="744">
      <c r="A744" s="218"/>
    </row>
    <row r="745">
      <c r="A745" s="218"/>
    </row>
    <row r="746">
      <c r="A746" s="218"/>
    </row>
    <row r="747">
      <c r="A747" s="218"/>
    </row>
    <row r="748">
      <c r="A748" s="218"/>
    </row>
    <row r="749">
      <c r="A749" s="218"/>
    </row>
    <row r="750">
      <c r="A750" s="218"/>
    </row>
    <row r="751">
      <c r="A751" s="218"/>
    </row>
    <row r="752">
      <c r="A752" s="218"/>
    </row>
    <row r="753">
      <c r="A753" s="218"/>
    </row>
    <row r="754">
      <c r="A754" s="218"/>
    </row>
    <row r="755">
      <c r="A755" s="218"/>
    </row>
    <row r="756">
      <c r="A756" s="218"/>
    </row>
    <row r="757">
      <c r="A757" s="218"/>
    </row>
    <row r="758">
      <c r="A758" s="218"/>
    </row>
    <row r="759">
      <c r="A759" s="218"/>
    </row>
    <row r="760">
      <c r="A760" s="218"/>
    </row>
    <row r="761">
      <c r="A761" s="218"/>
    </row>
    <row r="762">
      <c r="A762" s="218"/>
    </row>
    <row r="763">
      <c r="A763" s="218"/>
    </row>
    <row r="764">
      <c r="A764" s="218"/>
    </row>
    <row r="765">
      <c r="A765" s="218"/>
    </row>
    <row r="766">
      <c r="A766" s="218"/>
    </row>
    <row r="767">
      <c r="A767" s="218"/>
    </row>
    <row r="768">
      <c r="A768" s="218"/>
    </row>
    <row r="769">
      <c r="A769" s="218"/>
    </row>
    <row r="770">
      <c r="A770" s="218"/>
    </row>
    <row r="771">
      <c r="A771" s="218"/>
    </row>
    <row r="772">
      <c r="A772" s="218"/>
    </row>
    <row r="773">
      <c r="A773" s="218"/>
    </row>
    <row r="774">
      <c r="A774" s="218"/>
    </row>
    <row r="775">
      <c r="A775" s="218"/>
    </row>
    <row r="776">
      <c r="A776" s="218"/>
    </row>
    <row r="777">
      <c r="A777" s="218"/>
    </row>
    <row r="778">
      <c r="A778" s="218"/>
    </row>
    <row r="779">
      <c r="A779" s="218"/>
    </row>
    <row r="780">
      <c r="A780" s="218"/>
    </row>
    <row r="781">
      <c r="A781" s="218"/>
    </row>
    <row r="782">
      <c r="A782" s="218"/>
    </row>
    <row r="783">
      <c r="A783" s="218"/>
    </row>
    <row r="784">
      <c r="A784" s="218"/>
    </row>
    <row r="785">
      <c r="A785" s="218"/>
    </row>
    <row r="786">
      <c r="A786" s="218"/>
    </row>
    <row r="787">
      <c r="A787" s="218"/>
    </row>
    <row r="788">
      <c r="A788" s="218"/>
    </row>
    <row r="789">
      <c r="A789" s="218"/>
    </row>
    <row r="790">
      <c r="A790" s="218"/>
    </row>
    <row r="791">
      <c r="A791" s="218"/>
    </row>
    <row r="792">
      <c r="A792" s="218"/>
    </row>
    <row r="793">
      <c r="A793" s="218"/>
    </row>
    <row r="794">
      <c r="A794" s="218"/>
    </row>
    <row r="795">
      <c r="A795" s="218"/>
    </row>
    <row r="796">
      <c r="A796" s="218"/>
    </row>
    <row r="797">
      <c r="A797" s="218"/>
    </row>
    <row r="798">
      <c r="A798" s="218"/>
    </row>
    <row r="799">
      <c r="A799" s="218"/>
    </row>
    <row r="800">
      <c r="A800" s="218"/>
    </row>
    <row r="801">
      <c r="A801" s="218"/>
    </row>
    <row r="802">
      <c r="A802" s="218"/>
    </row>
    <row r="803">
      <c r="A803" s="218"/>
    </row>
    <row r="804">
      <c r="A804" s="218"/>
    </row>
    <row r="805">
      <c r="A805" s="218"/>
    </row>
    <row r="806">
      <c r="A806" s="218"/>
    </row>
    <row r="807">
      <c r="A807" s="218"/>
    </row>
    <row r="808">
      <c r="A808" s="218"/>
    </row>
    <row r="809">
      <c r="A809" s="218"/>
    </row>
    <row r="810">
      <c r="A810" s="218"/>
    </row>
    <row r="811">
      <c r="A811" s="218"/>
    </row>
    <row r="812">
      <c r="A812" s="218"/>
    </row>
    <row r="813">
      <c r="A813" s="218"/>
    </row>
    <row r="814">
      <c r="A814" s="218"/>
    </row>
    <row r="815">
      <c r="A815" s="218"/>
    </row>
    <row r="816">
      <c r="A816" s="218"/>
    </row>
    <row r="817">
      <c r="A817" s="218"/>
    </row>
    <row r="818">
      <c r="A818" s="218"/>
    </row>
    <row r="819">
      <c r="A819" s="218"/>
    </row>
    <row r="820">
      <c r="A820" s="218"/>
    </row>
    <row r="821">
      <c r="A821" s="218"/>
    </row>
    <row r="822">
      <c r="A822" s="218"/>
    </row>
    <row r="823">
      <c r="A823" s="218"/>
    </row>
    <row r="824">
      <c r="A824" s="218"/>
    </row>
    <row r="825">
      <c r="A825" s="218"/>
    </row>
    <row r="826">
      <c r="A826" s="218"/>
    </row>
    <row r="827">
      <c r="A827" s="218"/>
    </row>
    <row r="828">
      <c r="A828" s="218"/>
    </row>
    <row r="829">
      <c r="A829" s="218"/>
    </row>
    <row r="830">
      <c r="A830" s="218"/>
    </row>
    <row r="831">
      <c r="A831" s="218"/>
    </row>
    <row r="832">
      <c r="A832" s="218"/>
    </row>
    <row r="833">
      <c r="A833" s="218"/>
    </row>
    <row r="834">
      <c r="A834" s="218"/>
    </row>
    <row r="835">
      <c r="A835" s="218"/>
    </row>
    <row r="836">
      <c r="A836" s="218"/>
    </row>
    <row r="837">
      <c r="A837" s="218"/>
    </row>
    <row r="838">
      <c r="A838" s="218"/>
    </row>
    <row r="839">
      <c r="A839" s="218"/>
    </row>
    <row r="840">
      <c r="A840" s="218"/>
    </row>
    <row r="841">
      <c r="A841" s="218"/>
    </row>
    <row r="842">
      <c r="A842" s="218"/>
    </row>
    <row r="843">
      <c r="A843" s="218"/>
    </row>
    <row r="844">
      <c r="A844" s="218"/>
    </row>
    <row r="845">
      <c r="A845" s="218"/>
    </row>
    <row r="846">
      <c r="A846" s="218"/>
    </row>
    <row r="847">
      <c r="A847" s="218"/>
    </row>
    <row r="848">
      <c r="A848" s="218"/>
    </row>
    <row r="849">
      <c r="A849" s="218"/>
    </row>
    <row r="850">
      <c r="A850" s="218"/>
    </row>
    <row r="851">
      <c r="A851" s="218"/>
    </row>
    <row r="852">
      <c r="A852" s="218"/>
    </row>
    <row r="853">
      <c r="A853" s="218"/>
    </row>
    <row r="854">
      <c r="A854" s="218"/>
    </row>
    <row r="855">
      <c r="A855" s="218"/>
    </row>
    <row r="856">
      <c r="A856" s="218"/>
    </row>
    <row r="857">
      <c r="A857" s="218"/>
    </row>
    <row r="858">
      <c r="A858" s="218"/>
    </row>
    <row r="859">
      <c r="A859" s="218"/>
    </row>
    <row r="860">
      <c r="A860" s="218"/>
    </row>
    <row r="861">
      <c r="A861" s="218"/>
    </row>
    <row r="862">
      <c r="A862" s="218"/>
    </row>
    <row r="863">
      <c r="A863" s="218"/>
    </row>
    <row r="864">
      <c r="A864" s="218"/>
    </row>
    <row r="865">
      <c r="A865" s="218"/>
    </row>
    <row r="866">
      <c r="A866" s="218"/>
    </row>
    <row r="867">
      <c r="A867" s="218"/>
    </row>
    <row r="868">
      <c r="A868" s="218"/>
    </row>
    <row r="869">
      <c r="A869" s="218"/>
    </row>
    <row r="870">
      <c r="A870" s="218"/>
    </row>
    <row r="871">
      <c r="A871" s="218"/>
    </row>
    <row r="872">
      <c r="A872" s="218"/>
    </row>
    <row r="873">
      <c r="A873" s="218"/>
    </row>
    <row r="874">
      <c r="A874" s="218"/>
    </row>
    <row r="875">
      <c r="A875" s="218"/>
    </row>
    <row r="876">
      <c r="A876" s="218"/>
    </row>
    <row r="877">
      <c r="A877" s="218"/>
    </row>
    <row r="878">
      <c r="A878" s="218"/>
    </row>
    <row r="879">
      <c r="A879" s="218"/>
    </row>
    <row r="880">
      <c r="A880" s="218"/>
    </row>
    <row r="881">
      <c r="A881" s="218"/>
    </row>
    <row r="882">
      <c r="A882" s="218"/>
    </row>
    <row r="883">
      <c r="A883" s="218"/>
    </row>
    <row r="884">
      <c r="A884" s="218"/>
    </row>
    <row r="885">
      <c r="A885" s="218"/>
    </row>
    <row r="886">
      <c r="A886" s="218"/>
    </row>
    <row r="887">
      <c r="A887" s="218"/>
    </row>
    <row r="888">
      <c r="A888" s="218"/>
    </row>
    <row r="889">
      <c r="A889" s="218"/>
    </row>
    <row r="890">
      <c r="A890" s="218"/>
    </row>
    <row r="891">
      <c r="A891" s="218"/>
    </row>
    <row r="892">
      <c r="A892" s="218"/>
    </row>
    <row r="893">
      <c r="A893" s="218"/>
    </row>
    <row r="894">
      <c r="A894" s="218"/>
    </row>
    <row r="895">
      <c r="A895" s="218"/>
    </row>
    <row r="896">
      <c r="A896" s="218"/>
    </row>
    <row r="897">
      <c r="A897" s="218"/>
    </row>
    <row r="898">
      <c r="A898" s="218"/>
    </row>
    <row r="899">
      <c r="A899" s="218"/>
    </row>
    <row r="900">
      <c r="A900" s="218"/>
    </row>
    <row r="901">
      <c r="A901" s="218"/>
    </row>
    <row r="902">
      <c r="A902" s="218"/>
    </row>
    <row r="903">
      <c r="A903" s="218"/>
    </row>
    <row r="904">
      <c r="A904" s="218"/>
    </row>
    <row r="905">
      <c r="A905" s="218"/>
    </row>
    <row r="906">
      <c r="A906" s="218"/>
    </row>
    <row r="907">
      <c r="A907" s="218"/>
    </row>
    <row r="908">
      <c r="A908" s="218"/>
    </row>
    <row r="909">
      <c r="A909" s="218"/>
    </row>
    <row r="910">
      <c r="A910" s="218"/>
    </row>
    <row r="911">
      <c r="A911" s="218"/>
    </row>
    <row r="912">
      <c r="A912" s="218"/>
    </row>
    <row r="913">
      <c r="A913" s="218"/>
    </row>
    <row r="914">
      <c r="A914" s="218"/>
    </row>
    <row r="915">
      <c r="A915" s="218"/>
    </row>
    <row r="916">
      <c r="A916" s="218"/>
    </row>
    <row r="917">
      <c r="A917" s="218"/>
    </row>
    <row r="918">
      <c r="A918" s="218"/>
    </row>
    <row r="919">
      <c r="A919" s="218"/>
    </row>
    <row r="920">
      <c r="A920" s="218"/>
    </row>
    <row r="921">
      <c r="A921" s="218"/>
    </row>
    <row r="922">
      <c r="A922" s="218"/>
    </row>
    <row r="923">
      <c r="A923" s="218"/>
    </row>
    <row r="924">
      <c r="A924" s="218"/>
    </row>
    <row r="925">
      <c r="A925" s="218"/>
    </row>
    <row r="926">
      <c r="A926" s="218"/>
    </row>
    <row r="927">
      <c r="A927" s="218"/>
    </row>
    <row r="928">
      <c r="A928" s="218"/>
    </row>
    <row r="929">
      <c r="A929" s="218"/>
    </row>
    <row r="930">
      <c r="A930" s="218"/>
    </row>
    <row r="931">
      <c r="A931" s="218"/>
    </row>
    <row r="932">
      <c r="A932" s="218"/>
    </row>
    <row r="933">
      <c r="A933" s="218"/>
    </row>
    <row r="934">
      <c r="A934" s="218"/>
    </row>
    <row r="935">
      <c r="A935" s="218"/>
    </row>
    <row r="936">
      <c r="A936" s="218"/>
    </row>
    <row r="937">
      <c r="A937" s="218"/>
    </row>
    <row r="938">
      <c r="A938" s="218"/>
    </row>
    <row r="939">
      <c r="A939" s="218"/>
    </row>
    <row r="940">
      <c r="A940" s="218"/>
    </row>
    <row r="941">
      <c r="A941" s="218"/>
    </row>
    <row r="942">
      <c r="A942" s="218"/>
    </row>
    <row r="943">
      <c r="A943" s="218"/>
    </row>
    <row r="944">
      <c r="A944" s="218"/>
    </row>
    <row r="945">
      <c r="A945" s="218"/>
    </row>
    <row r="946">
      <c r="A946" s="218"/>
    </row>
    <row r="947">
      <c r="A947" s="218"/>
    </row>
    <row r="948">
      <c r="A948" s="218"/>
    </row>
    <row r="949">
      <c r="A949" s="218"/>
    </row>
    <row r="950">
      <c r="A950" s="218"/>
    </row>
    <row r="951">
      <c r="A951" s="218"/>
    </row>
    <row r="952">
      <c r="A952" s="218"/>
    </row>
    <row r="953">
      <c r="A953" s="218"/>
    </row>
    <row r="954">
      <c r="A954" s="218"/>
    </row>
    <row r="955">
      <c r="A955" s="218"/>
    </row>
    <row r="956">
      <c r="A956" s="218"/>
    </row>
    <row r="957">
      <c r="A957" s="218"/>
    </row>
    <row r="958">
      <c r="A958" s="218"/>
    </row>
    <row r="959">
      <c r="A959" s="218"/>
    </row>
    <row r="960">
      <c r="A960" s="218"/>
    </row>
    <row r="961">
      <c r="A961" s="218"/>
    </row>
    <row r="962">
      <c r="A962" s="218"/>
    </row>
    <row r="963">
      <c r="A963" s="218"/>
    </row>
    <row r="964">
      <c r="A964" s="218"/>
    </row>
    <row r="965">
      <c r="A965" s="218"/>
    </row>
    <row r="966">
      <c r="A966" s="218"/>
    </row>
    <row r="967">
      <c r="A967" s="218"/>
    </row>
    <row r="968">
      <c r="A968" s="218"/>
    </row>
    <row r="969">
      <c r="A969" s="218"/>
    </row>
    <row r="970">
      <c r="A970" s="218"/>
    </row>
    <row r="971">
      <c r="A971" s="218"/>
    </row>
    <row r="972">
      <c r="A972" s="218"/>
    </row>
    <row r="973">
      <c r="A973" s="218"/>
    </row>
    <row r="974">
      <c r="A974" s="218"/>
    </row>
    <row r="975">
      <c r="A975" s="218"/>
    </row>
    <row r="976">
      <c r="A976" s="218"/>
    </row>
    <row r="977">
      <c r="A977" s="218"/>
    </row>
    <row r="978">
      <c r="A978" s="218"/>
    </row>
    <row r="979">
      <c r="A979" s="218"/>
    </row>
    <row r="980">
      <c r="A980" s="218"/>
    </row>
    <row r="981">
      <c r="A981" s="218"/>
    </row>
    <row r="982">
      <c r="A982" s="218"/>
    </row>
    <row r="983">
      <c r="A983" s="218"/>
    </row>
    <row r="984">
      <c r="A984" s="218"/>
    </row>
    <row r="985">
      <c r="A985" s="218"/>
    </row>
    <row r="986">
      <c r="A986" s="218"/>
    </row>
    <row r="987">
      <c r="A987" s="218"/>
    </row>
    <row r="988">
      <c r="A988" s="218"/>
    </row>
    <row r="989">
      <c r="A989" s="218"/>
    </row>
    <row r="990">
      <c r="A990" s="218"/>
    </row>
    <row r="991">
      <c r="A991" s="218"/>
    </row>
    <row r="992">
      <c r="A992" s="218"/>
    </row>
    <row r="993">
      <c r="A993" s="218"/>
    </row>
    <row r="994">
      <c r="A994" s="218"/>
    </row>
    <row r="995">
      <c r="A995" s="218"/>
    </row>
    <row r="996">
      <c r="A996" s="218"/>
    </row>
    <row r="997">
      <c r="A997" s="218"/>
    </row>
    <row r="998">
      <c r="A998" s="218"/>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219" t="s">
        <v>1557</v>
      </c>
      <c r="B1" s="219" t="s">
        <v>36</v>
      </c>
      <c r="C1" s="219" t="s">
        <v>1558</v>
      </c>
      <c r="D1" s="219" t="s">
        <v>1559</v>
      </c>
      <c r="E1" s="219" t="s">
        <v>1560</v>
      </c>
      <c r="F1" s="219" t="s">
        <v>1561</v>
      </c>
      <c r="G1" s="219" t="s">
        <v>1562</v>
      </c>
      <c r="H1" s="219" t="s">
        <v>1563</v>
      </c>
      <c r="I1" s="219" t="s">
        <v>1564</v>
      </c>
      <c r="J1" s="219" t="s">
        <v>1453</v>
      </c>
      <c r="K1" s="220"/>
      <c r="L1" s="220"/>
      <c r="M1" s="220"/>
      <c r="N1" s="220"/>
      <c r="O1" s="220"/>
      <c r="P1" s="220"/>
      <c r="Q1" s="220"/>
      <c r="R1" s="220"/>
      <c r="S1" s="220"/>
      <c r="T1" s="220"/>
      <c r="U1" s="220"/>
      <c r="V1" s="220"/>
      <c r="W1" s="220"/>
      <c r="X1" s="220"/>
      <c r="Y1" s="220"/>
      <c r="Z1" s="220"/>
      <c r="AA1" s="220"/>
      <c r="AB1" s="220"/>
    </row>
    <row r="2">
      <c r="A2" s="221">
        <v>133.0</v>
      </c>
      <c r="B2" s="222" t="s">
        <v>1473</v>
      </c>
      <c r="C2" s="221" t="s">
        <v>1565</v>
      </c>
      <c r="D2" s="223">
        <v>45754.0</v>
      </c>
      <c r="E2" s="224">
        <v>17.5</v>
      </c>
      <c r="F2" s="225">
        <v>15.0</v>
      </c>
      <c r="G2" s="225">
        <v>143.0</v>
      </c>
      <c r="H2" s="226"/>
      <c r="I2" s="226"/>
      <c r="J2" s="227">
        <f t="shared" ref="J2:J36" si="1">sum(E2+F2+G2+H2)</f>
        <v>175.5</v>
      </c>
      <c r="K2" s="226"/>
      <c r="L2" s="226"/>
      <c r="M2" s="226"/>
      <c r="N2" s="226"/>
      <c r="O2" s="226"/>
      <c r="P2" s="226"/>
      <c r="Q2" s="226"/>
      <c r="R2" s="226"/>
      <c r="S2" s="226"/>
      <c r="T2" s="226"/>
      <c r="U2" s="226"/>
      <c r="V2" s="226"/>
      <c r="W2" s="226"/>
      <c r="X2" s="226"/>
      <c r="Y2" s="226"/>
      <c r="Z2" s="226"/>
      <c r="AA2" s="226"/>
      <c r="AB2" s="226"/>
    </row>
    <row r="3">
      <c r="A3" s="228">
        <v>136.0</v>
      </c>
      <c r="B3" s="229" t="s">
        <v>401</v>
      </c>
      <c r="C3" s="228" t="s">
        <v>1566</v>
      </c>
      <c r="D3" s="230">
        <v>45755.0</v>
      </c>
      <c r="E3" s="231">
        <v>17.5</v>
      </c>
      <c r="F3" s="232">
        <v>15.0</v>
      </c>
      <c r="G3" s="232">
        <v>143.0</v>
      </c>
      <c r="H3" s="233"/>
      <c r="I3" s="233"/>
      <c r="J3" s="234">
        <f t="shared" si="1"/>
        <v>175.5</v>
      </c>
      <c r="K3" s="233"/>
      <c r="L3" s="233"/>
      <c r="M3" s="233"/>
      <c r="N3" s="233"/>
      <c r="O3" s="233"/>
      <c r="P3" s="233"/>
      <c r="Q3" s="233"/>
      <c r="R3" s="233"/>
      <c r="S3" s="233"/>
      <c r="T3" s="233"/>
      <c r="U3" s="233"/>
      <c r="V3" s="233"/>
      <c r="W3" s="233"/>
      <c r="X3" s="233"/>
      <c r="Y3" s="233"/>
      <c r="Z3" s="233"/>
      <c r="AA3" s="233"/>
      <c r="AB3" s="233"/>
    </row>
    <row r="4">
      <c r="A4" s="221">
        <v>134.0</v>
      </c>
      <c r="B4" s="222" t="s">
        <v>403</v>
      </c>
      <c r="C4" s="221" t="s">
        <v>1567</v>
      </c>
      <c r="D4" s="223">
        <v>45756.0</v>
      </c>
      <c r="E4" s="224">
        <v>17.5</v>
      </c>
      <c r="F4" s="225">
        <v>15.0</v>
      </c>
      <c r="G4" s="225">
        <v>143.0</v>
      </c>
      <c r="H4" s="226"/>
      <c r="I4" s="226"/>
      <c r="J4" s="227">
        <f t="shared" si="1"/>
        <v>175.5</v>
      </c>
      <c r="K4" s="226"/>
      <c r="L4" s="226"/>
      <c r="M4" s="226"/>
      <c r="N4" s="226"/>
      <c r="O4" s="226"/>
      <c r="P4" s="226"/>
      <c r="Q4" s="226"/>
      <c r="R4" s="226"/>
      <c r="S4" s="226"/>
      <c r="T4" s="226"/>
      <c r="U4" s="226"/>
      <c r="V4" s="226"/>
      <c r="W4" s="226"/>
      <c r="X4" s="226"/>
      <c r="Y4" s="226"/>
      <c r="Z4" s="226"/>
      <c r="AA4" s="226"/>
      <c r="AB4" s="226"/>
    </row>
    <row r="5">
      <c r="A5" s="228">
        <v>135.0</v>
      </c>
      <c r="B5" s="229" t="s">
        <v>400</v>
      </c>
      <c r="C5" s="228" t="s">
        <v>1568</v>
      </c>
      <c r="D5" s="230">
        <v>45756.0</v>
      </c>
      <c r="E5" s="231">
        <v>17.5</v>
      </c>
      <c r="F5" s="232">
        <v>15.0</v>
      </c>
      <c r="G5" s="232">
        <v>143.0</v>
      </c>
      <c r="H5" s="233"/>
      <c r="I5" s="233"/>
      <c r="J5" s="234">
        <f t="shared" si="1"/>
        <v>175.5</v>
      </c>
      <c r="K5" s="233"/>
      <c r="L5" s="233"/>
      <c r="M5" s="233"/>
      <c r="N5" s="233"/>
      <c r="O5" s="233"/>
      <c r="P5" s="233"/>
      <c r="Q5" s="233"/>
      <c r="R5" s="233"/>
      <c r="S5" s="233"/>
      <c r="T5" s="233"/>
      <c r="U5" s="233"/>
      <c r="V5" s="233"/>
      <c r="W5" s="233"/>
      <c r="X5" s="233"/>
      <c r="Y5" s="233"/>
      <c r="Z5" s="233"/>
      <c r="AA5" s="233"/>
      <c r="AB5" s="233"/>
    </row>
    <row r="6">
      <c r="A6" s="221">
        <v>137.0</v>
      </c>
      <c r="B6" s="222" t="s">
        <v>404</v>
      </c>
      <c r="C6" s="221" t="s">
        <v>1569</v>
      </c>
      <c r="D6" s="223">
        <v>45758.0</v>
      </c>
      <c r="E6" s="224">
        <v>17.5</v>
      </c>
      <c r="F6" s="225">
        <v>15.0</v>
      </c>
      <c r="G6" s="225">
        <v>143.0</v>
      </c>
      <c r="H6" s="225"/>
      <c r="I6" s="225"/>
      <c r="J6" s="227">
        <f t="shared" si="1"/>
        <v>175.5</v>
      </c>
      <c r="K6" s="226"/>
      <c r="L6" s="226"/>
      <c r="M6" s="226"/>
      <c r="N6" s="226"/>
      <c r="O6" s="226"/>
      <c r="P6" s="226"/>
      <c r="Q6" s="226"/>
      <c r="R6" s="226"/>
      <c r="S6" s="226"/>
      <c r="T6" s="226"/>
      <c r="U6" s="226"/>
      <c r="V6" s="226"/>
      <c r="W6" s="226"/>
      <c r="X6" s="226"/>
      <c r="Y6" s="226"/>
      <c r="Z6" s="226"/>
      <c r="AA6" s="226"/>
      <c r="AB6" s="226"/>
    </row>
    <row r="7">
      <c r="A7" s="228">
        <v>139.0</v>
      </c>
      <c r="B7" s="229" t="s">
        <v>408</v>
      </c>
      <c r="C7" s="228" t="s">
        <v>1570</v>
      </c>
      <c r="D7" s="230">
        <v>45758.0</v>
      </c>
      <c r="E7" s="231">
        <v>17.5</v>
      </c>
      <c r="F7" s="232">
        <v>15.0</v>
      </c>
      <c r="G7" s="232">
        <v>143.0</v>
      </c>
      <c r="H7" s="233"/>
      <c r="I7" s="233"/>
      <c r="J7" s="234">
        <f t="shared" si="1"/>
        <v>175.5</v>
      </c>
      <c r="K7" s="233"/>
      <c r="L7" s="233"/>
      <c r="M7" s="233"/>
      <c r="N7" s="233"/>
      <c r="O7" s="233"/>
      <c r="P7" s="233"/>
      <c r="Q7" s="233"/>
      <c r="R7" s="233"/>
      <c r="S7" s="233"/>
      <c r="T7" s="233"/>
      <c r="U7" s="233"/>
      <c r="V7" s="233"/>
      <c r="W7" s="233"/>
      <c r="X7" s="233"/>
      <c r="Y7" s="233"/>
      <c r="Z7" s="233"/>
      <c r="AA7" s="233"/>
      <c r="AB7" s="233"/>
    </row>
    <row r="8">
      <c r="A8" s="221">
        <v>138.0</v>
      </c>
      <c r="B8" s="222" t="s">
        <v>405</v>
      </c>
      <c r="C8" s="221" t="s">
        <v>1571</v>
      </c>
      <c r="D8" s="223">
        <v>45759.0</v>
      </c>
      <c r="E8" s="224">
        <v>17.5</v>
      </c>
      <c r="F8" s="225">
        <v>15.0</v>
      </c>
      <c r="G8" s="225">
        <v>143.0</v>
      </c>
      <c r="H8" s="225">
        <v>25.0</v>
      </c>
      <c r="I8" s="225"/>
      <c r="J8" s="227">
        <f t="shared" si="1"/>
        <v>200.5</v>
      </c>
      <c r="K8" s="226"/>
      <c r="L8" s="226"/>
      <c r="M8" s="226"/>
      <c r="N8" s="226"/>
      <c r="O8" s="226"/>
      <c r="P8" s="226"/>
      <c r="Q8" s="226"/>
      <c r="R8" s="226"/>
      <c r="S8" s="226"/>
      <c r="T8" s="226"/>
      <c r="U8" s="226"/>
      <c r="V8" s="226"/>
      <c r="W8" s="226"/>
      <c r="X8" s="226"/>
      <c r="Y8" s="226"/>
      <c r="Z8" s="226"/>
      <c r="AA8" s="226"/>
      <c r="AB8" s="226"/>
    </row>
    <row r="9">
      <c r="A9" s="228">
        <v>140.0</v>
      </c>
      <c r="B9" s="229" t="s">
        <v>410</v>
      </c>
      <c r="C9" s="228" t="s">
        <v>1572</v>
      </c>
      <c r="D9" s="230">
        <v>45760.0</v>
      </c>
      <c r="E9" s="231">
        <v>17.5</v>
      </c>
      <c r="F9" s="232">
        <v>15.0</v>
      </c>
      <c r="G9" s="232">
        <v>143.0</v>
      </c>
      <c r="H9" s="232"/>
      <c r="I9" s="232"/>
      <c r="J9" s="234">
        <f t="shared" si="1"/>
        <v>175.5</v>
      </c>
      <c r="K9" s="233"/>
      <c r="L9" s="233"/>
      <c r="M9" s="233"/>
      <c r="N9" s="233"/>
      <c r="O9" s="233"/>
      <c r="P9" s="233"/>
      <c r="Q9" s="233"/>
      <c r="R9" s="233"/>
      <c r="S9" s="233"/>
      <c r="T9" s="233"/>
      <c r="U9" s="233"/>
      <c r="V9" s="233"/>
      <c r="W9" s="233"/>
      <c r="X9" s="233"/>
      <c r="Y9" s="233"/>
      <c r="Z9" s="233"/>
      <c r="AA9" s="233"/>
      <c r="AB9" s="233"/>
    </row>
    <row r="10">
      <c r="A10" s="221">
        <v>142.0</v>
      </c>
      <c r="B10" s="222" t="s">
        <v>413</v>
      </c>
      <c r="C10" s="221" t="s">
        <v>1573</v>
      </c>
      <c r="D10" s="223">
        <v>45761.0</v>
      </c>
      <c r="E10" s="224">
        <v>17.5</v>
      </c>
      <c r="F10" s="225">
        <v>15.0</v>
      </c>
      <c r="G10" s="225">
        <v>143.0</v>
      </c>
      <c r="H10" s="226"/>
      <c r="I10" s="226"/>
      <c r="J10" s="227">
        <f t="shared" si="1"/>
        <v>175.5</v>
      </c>
      <c r="K10" s="226"/>
      <c r="L10" s="226"/>
      <c r="M10" s="226"/>
      <c r="N10" s="226"/>
      <c r="O10" s="226"/>
      <c r="P10" s="226"/>
      <c r="Q10" s="226"/>
      <c r="R10" s="226"/>
      <c r="S10" s="226"/>
      <c r="T10" s="226"/>
      <c r="U10" s="226"/>
      <c r="V10" s="226"/>
      <c r="W10" s="226"/>
      <c r="X10" s="226"/>
      <c r="Y10" s="226"/>
      <c r="Z10" s="226"/>
      <c r="AA10" s="226"/>
      <c r="AB10" s="226"/>
    </row>
    <row r="11">
      <c r="A11" s="228">
        <v>141.0</v>
      </c>
      <c r="B11" s="229" t="s">
        <v>411</v>
      </c>
      <c r="C11" s="228" t="s">
        <v>1574</v>
      </c>
      <c r="D11" s="230">
        <v>45762.0</v>
      </c>
      <c r="E11" s="231">
        <v>17.5</v>
      </c>
      <c r="F11" s="232">
        <v>15.0</v>
      </c>
      <c r="G11" s="232">
        <v>143.0</v>
      </c>
      <c r="H11" s="232"/>
      <c r="I11" s="232"/>
      <c r="J11" s="234">
        <f t="shared" si="1"/>
        <v>175.5</v>
      </c>
      <c r="K11" s="233"/>
      <c r="L11" s="233"/>
      <c r="M11" s="233"/>
      <c r="N11" s="233"/>
      <c r="O11" s="233"/>
      <c r="P11" s="233"/>
      <c r="Q11" s="233"/>
      <c r="R11" s="233"/>
      <c r="S11" s="233"/>
      <c r="T11" s="233"/>
      <c r="U11" s="233"/>
      <c r="V11" s="233"/>
      <c r="W11" s="233"/>
      <c r="X11" s="233"/>
      <c r="Y11" s="233"/>
      <c r="Z11" s="233"/>
      <c r="AA11" s="233"/>
      <c r="AB11" s="233"/>
    </row>
    <row r="12">
      <c r="A12" s="221">
        <v>143.0</v>
      </c>
      <c r="B12" s="222" t="s">
        <v>415</v>
      </c>
      <c r="C12" s="221" t="s">
        <v>1575</v>
      </c>
      <c r="D12" s="223">
        <v>45762.0</v>
      </c>
      <c r="E12" s="224">
        <v>17.5</v>
      </c>
      <c r="F12" s="225">
        <v>15.0</v>
      </c>
      <c r="G12" s="225">
        <v>143.0</v>
      </c>
      <c r="H12" s="225"/>
      <c r="I12" s="225"/>
      <c r="J12" s="227">
        <f t="shared" si="1"/>
        <v>175.5</v>
      </c>
      <c r="K12" s="226"/>
      <c r="L12" s="226"/>
      <c r="M12" s="226"/>
      <c r="N12" s="226"/>
      <c r="O12" s="226"/>
      <c r="P12" s="226"/>
      <c r="Q12" s="226"/>
      <c r="R12" s="226"/>
      <c r="S12" s="226"/>
      <c r="T12" s="226"/>
      <c r="U12" s="226"/>
      <c r="V12" s="226"/>
      <c r="W12" s="226"/>
      <c r="X12" s="226"/>
      <c r="Y12" s="226"/>
      <c r="Z12" s="226"/>
      <c r="AA12" s="226"/>
      <c r="AB12" s="226"/>
    </row>
    <row r="13">
      <c r="A13" s="228">
        <v>145.0</v>
      </c>
      <c r="B13" s="229" t="s">
        <v>419</v>
      </c>
      <c r="C13" s="228" t="s">
        <v>1576</v>
      </c>
      <c r="D13" s="230">
        <v>45763.0</v>
      </c>
      <c r="E13" s="231">
        <v>17.5</v>
      </c>
      <c r="F13" s="232">
        <v>15.0</v>
      </c>
      <c r="G13" s="232">
        <v>143.0</v>
      </c>
      <c r="H13" s="232"/>
      <c r="I13" s="232"/>
      <c r="J13" s="234">
        <f t="shared" si="1"/>
        <v>175.5</v>
      </c>
      <c r="K13" s="233"/>
      <c r="L13" s="233"/>
      <c r="M13" s="233"/>
      <c r="N13" s="233"/>
      <c r="O13" s="233"/>
      <c r="P13" s="233"/>
      <c r="Q13" s="233"/>
      <c r="R13" s="233"/>
      <c r="S13" s="233"/>
      <c r="T13" s="233"/>
      <c r="U13" s="233"/>
      <c r="V13" s="233"/>
      <c r="W13" s="233"/>
      <c r="X13" s="233"/>
      <c r="Y13" s="233"/>
      <c r="Z13" s="233"/>
      <c r="AA13" s="233"/>
      <c r="AB13" s="233"/>
    </row>
    <row r="14">
      <c r="A14" s="221">
        <v>144.0</v>
      </c>
      <c r="B14" s="222" t="s">
        <v>417</v>
      </c>
      <c r="C14" s="221" t="s">
        <v>1577</v>
      </c>
      <c r="D14" s="223">
        <v>45764.0</v>
      </c>
      <c r="E14" s="224">
        <v>17.5</v>
      </c>
      <c r="F14" s="225">
        <v>15.0</v>
      </c>
      <c r="G14" s="225">
        <v>143.0</v>
      </c>
      <c r="H14" s="225"/>
      <c r="I14" s="225"/>
      <c r="J14" s="227">
        <f t="shared" si="1"/>
        <v>175.5</v>
      </c>
      <c r="K14" s="226"/>
      <c r="L14" s="226"/>
      <c r="M14" s="226"/>
      <c r="N14" s="226"/>
      <c r="O14" s="226"/>
      <c r="P14" s="226"/>
      <c r="Q14" s="226"/>
      <c r="R14" s="226"/>
      <c r="S14" s="226"/>
      <c r="T14" s="226"/>
      <c r="U14" s="226"/>
      <c r="V14" s="226"/>
      <c r="W14" s="226"/>
      <c r="X14" s="226"/>
      <c r="Y14" s="226"/>
      <c r="Z14" s="226"/>
      <c r="AA14" s="226"/>
      <c r="AB14" s="226"/>
    </row>
    <row r="15">
      <c r="A15" s="228">
        <v>147.0</v>
      </c>
      <c r="B15" s="229" t="s">
        <v>423</v>
      </c>
      <c r="C15" s="228" t="s">
        <v>1578</v>
      </c>
      <c r="D15" s="230">
        <v>45765.0</v>
      </c>
      <c r="E15" s="231">
        <v>17.5</v>
      </c>
      <c r="F15" s="232">
        <v>15.0</v>
      </c>
      <c r="G15" s="232">
        <v>143.0</v>
      </c>
      <c r="H15" s="232"/>
      <c r="I15" s="232"/>
      <c r="J15" s="234">
        <f t="shared" si="1"/>
        <v>175.5</v>
      </c>
      <c r="K15" s="233"/>
      <c r="L15" s="233"/>
      <c r="M15" s="233"/>
      <c r="N15" s="233"/>
      <c r="O15" s="233"/>
      <c r="P15" s="233"/>
      <c r="Q15" s="233"/>
      <c r="R15" s="233"/>
      <c r="S15" s="233"/>
      <c r="T15" s="233"/>
      <c r="U15" s="233"/>
      <c r="V15" s="233"/>
      <c r="W15" s="233"/>
      <c r="X15" s="233"/>
      <c r="Y15" s="233"/>
      <c r="Z15" s="233"/>
      <c r="AA15" s="233"/>
      <c r="AB15" s="233"/>
    </row>
    <row r="16">
      <c r="A16" s="221">
        <v>148.0</v>
      </c>
      <c r="B16" s="222" t="s">
        <v>425</v>
      </c>
      <c r="C16" s="221" t="s">
        <v>1579</v>
      </c>
      <c r="D16" s="223">
        <v>45767.0</v>
      </c>
      <c r="E16" s="224">
        <v>17.5</v>
      </c>
      <c r="F16" s="225">
        <v>15.0</v>
      </c>
      <c r="G16" s="225">
        <v>143.0</v>
      </c>
      <c r="H16" s="225"/>
      <c r="I16" s="225"/>
      <c r="J16" s="227">
        <f t="shared" si="1"/>
        <v>175.5</v>
      </c>
      <c r="K16" s="226"/>
      <c r="L16" s="226"/>
      <c r="M16" s="226"/>
      <c r="N16" s="226"/>
      <c r="O16" s="226"/>
      <c r="P16" s="226"/>
      <c r="Q16" s="226"/>
      <c r="R16" s="226"/>
      <c r="S16" s="226"/>
      <c r="T16" s="226"/>
      <c r="U16" s="226"/>
      <c r="V16" s="226"/>
      <c r="W16" s="226"/>
      <c r="X16" s="226"/>
      <c r="Y16" s="226"/>
      <c r="Z16" s="226"/>
      <c r="AA16" s="226"/>
      <c r="AB16" s="226"/>
    </row>
    <row r="17">
      <c r="A17" s="228">
        <v>146.0</v>
      </c>
      <c r="B17" s="229" t="s">
        <v>421</v>
      </c>
      <c r="C17" s="228" t="s">
        <v>1580</v>
      </c>
      <c r="D17" s="230">
        <v>45768.0</v>
      </c>
      <c r="E17" s="231">
        <v>17.5</v>
      </c>
      <c r="F17" s="232">
        <v>15.0</v>
      </c>
      <c r="G17" s="232">
        <v>143.0</v>
      </c>
      <c r="H17" s="232"/>
      <c r="I17" s="232"/>
      <c r="J17" s="234">
        <f t="shared" si="1"/>
        <v>175.5</v>
      </c>
      <c r="K17" s="233"/>
      <c r="L17" s="233"/>
      <c r="M17" s="233"/>
      <c r="N17" s="233"/>
      <c r="O17" s="233"/>
      <c r="P17" s="233"/>
      <c r="Q17" s="233"/>
      <c r="R17" s="233"/>
      <c r="S17" s="233"/>
      <c r="T17" s="233"/>
      <c r="U17" s="233"/>
      <c r="V17" s="233"/>
      <c r="W17" s="233"/>
      <c r="X17" s="233"/>
      <c r="Y17" s="233"/>
      <c r="Z17" s="233"/>
      <c r="AA17" s="233"/>
      <c r="AB17" s="233"/>
    </row>
    <row r="18">
      <c r="A18" s="235">
        <v>149.0</v>
      </c>
      <c r="B18" s="236" t="s">
        <v>427</v>
      </c>
      <c r="C18" s="235" t="s">
        <v>1581</v>
      </c>
      <c r="D18" s="237">
        <v>45769.0</v>
      </c>
      <c r="E18" s="238">
        <v>17.5</v>
      </c>
      <c r="F18" s="239">
        <v>15.0</v>
      </c>
      <c r="G18" s="239">
        <v>143.0</v>
      </c>
      <c r="H18" s="240"/>
      <c r="I18" s="240"/>
      <c r="J18" s="241">
        <f t="shared" si="1"/>
        <v>175.5</v>
      </c>
      <c r="K18" s="240"/>
      <c r="L18" s="226"/>
      <c r="M18" s="226"/>
      <c r="N18" s="226"/>
      <c r="O18" s="226"/>
      <c r="P18" s="226"/>
      <c r="Q18" s="226"/>
      <c r="R18" s="226"/>
      <c r="S18" s="226"/>
      <c r="T18" s="226"/>
      <c r="U18" s="226"/>
      <c r="V18" s="226"/>
      <c r="W18" s="226"/>
      <c r="X18" s="226"/>
      <c r="Y18" s="226"/>
      <c r="Z18" s="226"/>
      <c r="AA18" s="226"/>
      <c r="AB18" s="226"/>
    </row>
    <row r="19">
      <c r="A19" s="242">
        <v>151.0</v>
      </c>
      <c r="B19" s="243" t="s">
        <v>432</v>
      </c>
      <c r="C19" s="242" t="s">
        <v>1582</v>
      </c>
      <c r="D19" s="244">
        <v>45770.0</v>
      </c>
      <c r="E19" s="245">
        <v>17.5</v>
      </c>
      <c r="F19" s="246">
        <v>15.0</v>
      </c>
      <c r="G19" s="246">
        <v>143.0</v>
      </c>
      <c r="H19" s="247"/>
      <c r="I19" s="247"/>
      <c r="J19" s="248">
        <f t="shared" si="1"/>
        <v>175.5</v>
      </c>
      <c r="K19" s="247"/>
      <c r="L19" s="233"/>
      <c r="M19" s="233"/>
      <c r="N19" s="233"/>
      <c r="O19" s="233"/>
      <c r="P19" s="233"/>
      <c r="Q19" s="233"/>
      <c r="R19" s="233"/>
      <c r="S19" s="233"/>
      <c r="T19" s="233"/>
      <c r="U19" s="233"/>
      <c r="V19" s="233"/>
      <c r="W19" s="233"/>
      <c r="X19" s="233"/>
      <c r="Y19" s="233"/>
      <c r="Z19" s="233"/>
      <c r="AA19" s="233"/>
      <c r="AB19" s="233"/>
    </row>
    <row r="20">
      <c r="A20" s="235">
        <v>150.0</v>
      </c>
      <c r="B20" s="236" t="s">
        <v>429</v>
      </c>
      <c r="C20" s="235" t="s">
        <v>1583</v>
      </c>
      <c r="D20" s="237">
        <v>45770.0</v>
      </c>
      <c r="E20" s="238">
        <v>17.5</v>
      </c>
      <c r="F20" s="239">
        <v>15.0</v>
      </c>
      <c r="G20" s="239">
        <v>143.0</v>
      </c>
      <c r="H20" s="240"/>
      <c r="I20" s="240"/>
      <c r="J20" s="241">
        <f t="shared" si="1"/>
        <v>175.5</v>
      </c>
      <c r="K20" s="240"/>
      <c r="L20" s="226"/>
      <c r="M20" s="226"/>
      <c r="N20" s="226"/>
      <c r="O20" s="226"/>
      <c r="P20" s="226"/>
      <c r="Q20" s="226"/>
      <c r="R20" s="226"/>
      <c r="S20" s="226"/>
      <c r="T20" s="226"/>
      <c r="U20" s="226"/>
      <c r="V20" s="226"/>
      <c r="W20" s="226"/>
      <c r="X20" s="226"/>
      <c r="Y20" s="226"/>
      <c r="Z20" s="226"/>
      <c r="AA20" s="226"/>
      <c r="AB20" s="226"/>
    </row>
    <row r="21">
      <c r="A21" s="242">
        <v>154.0</v>
      </c>
      <c r="B21" s="243" t="s">
        <v>438</v>
      </c>
      <c r="C21" s="242" t="s">
        <v>1584</v>
      </c>
      <c r="D21" s="244">
        <v>45771.0</v>
      </c>
      <c r="E21" s="245">
        <v>17.5</v>
      </c>
      <c r="F21" s="246">
        <v>15.0</v>
      </c>
      <c r="G21" s="246">
        <v>143.0</v>
      </c>
      <c r="H21" s="247"/>
      <c r="I21" s="247"/>
      <c r="J21" s="248">
        <f t="shared" si="1"/>
        <v>175.5</v>
      </c>
      <c r="K21" s="247"/>
      <c r="L21" s="247"/>
      <c r="M21" s="247"/>
      <c r="N21" s="247"/>
      <c r="O21" s="247"/>
      <c r="P21" s="247"/>
      <c r="Q21" s="247"/>
      <c r="R21" s="247"/>
      <c r="S21" s="247"/>
      <c r="T21" s="247"/>
      <c r="U21" s="247"/>
      <c r="V21" s="247"/>
      <c r="W21" s="247"/>
      <c r="X21" s="247"/>
      <c r="Y21" s="247"/>
      <c r="Z21" s="247"/>
      <c r="AA21" s="247"/>
      <c r="AB21" s="247"/>
    </row>
    <row r="22">
      <c r="A22" s="235">
        <v>151.0</v>
      </c>
      <c r="B22" s="236" t="s">
        <v>432</v>
      </c>
      <c r="C22" s="235" t="s">
        <v>1582</v>
      </c>
      <c r="D22" s="237">
        <v>45772.0</v>
      </c>
      <c r="E22" s="240"/>
      <c r="F22" s="240"/>
      <c r="G22" s="240"/>
      <c r="H22" s="239">
        <v>25.0</v>
      </c>
      <c r="I22" s="239"/>
      <c r="J22" s="249">
        <f t="shared" si="1"/>
        <v>25</v>
      </c>
      <c r="K22" s="240"/>
      <c r="L22" s="240"/>
      <c r="M22" s="240"/>
      <c r="N22" s="240"/>
      <c r="O22" s="240"/>
      <c r="P22" s="240"/>
      <c r="Q22" s="240"/>
      <c r="R22" s="240"/>
      <c r="S22" s="240"/>
      <c r="T22" s="240"/>
      <c r="U22" s="240"/>
      <c r="V22" s="240"/>
      <c r="W22" s="240"/>
      <c r="X22" s="240"/>
      <c r="Y22" s="240"/>
      <c r="Z22" s="240"/>
      <c r="AA22" s="240"/>
      <c r="AB22" s="240"/>
    </row>
    <row r="23">
      <c r="A23" s="228">
        <v>152.0</v>
      </c>
      <c r="B23" s="229" t="s">
        <v>434</v>
      </c>
      <c r="C23" s="250" t="s">
        <v>1585</v>
      </c>
      <c r="D23" s="230">
        <v>45773.0</v>
      </c>
      <c r="E23" s="231">
        <v>17.5</v>
      </c>
      <c r="F23" s="232">
        <v>15.0</v>
      </c>
      <c r="G23" s="232">
        <v>143.0</v>
      </c>
      <c r="H23" s="233"/>
      <c r="I23" s="233"/>
      <c r="J23" s="234">
        <f t="shared" si="1"/>
        <v>175.5</v>
      </c>
      <c r="K23" s="233"/>
      <c r="L23" s="247"/>
      <c r="M23" s="247"/>
      <c r="N23" s="247"/>
      <c r="O23" s="247"/>
      <c r="P23" s="247"/>
      <c r="Q23" s="247"/>
      <c r="R23" s="247"/>
      <c r="S23" s="247"/>
      <c r="T23" s="247"/>
      <c r="U23" s="247"/>
      <c r="V23" s="247"/>
      <c r="W23" s="247"/>
      <c r="X23" s="247"/>
      <c r="Y23" s="247"/>
      <c r="Z23" s="247"/>
      <c r="AA23" s="247"/>
      <c r="AB23" s="247"/>
    </row>
    <row r="24">
      <c r="A24" s="221">
        <v>153.0</v>
      </c>
      <c r="B24" s="222" t="s">
        <v>437</v>
      </c>
      <c r="C24" s="221" t="s">
        <v>1586</v>
      </c>
      <c r="D24" s="223">
        <v>45773.0</v>
      </c>
      <c r="E24" s="224">
        <v>17.5</v>
      </c>
      <c r="F24" s="225">
        <v>15.0</v>
      </c>
      <c r="G24" s="225">
        <v>143.0</v>
      </c>
      <c r="H24" s="226"/>
      <c r="I24" s="226"/>
      <c r="J24" s="227">
        <f t="shared" si="1"/>
        <v>175.5</v>
      </c>
      <c r="K24" s="226"/>
      <c r="L24" s="240"/>
      <c r="M24" s="240"/>
      <c r="N24" s="240"/>
      <c r="O24" s="240"/>
      <c r="P24" s="240"/>
      <c r="Q24" s="240"/>
      <c r="R24" s="240"/>
      <c r="S24" s="240"/>
      <c r="T24" s="240"/>
      <c r="U24" s="240"/>
      <c r="V24" s="240"/>
      <c r="W24" s="240"/>
      <c r="X24" s="240"/>
      <c r="Y24" s="240"/>
      <c r="Z24" s="240"/>
      <c r="AA24" s="240"/>
      <c r="AB24" s="240"/>
    </row>
    <row r="25">
      <c r="A25" s="242">
        <v>152.0</v>
      </c>
      <c r="B25" s="243" t="s">
        <v>434</v>
      </c>
      <c r="C25" s="242" t="s">
        <v>1585</v>
      </c>
      <c r="D25" s="244">
        <v>45773.0</v>
      </c>
      <c r="E25" s="245">
        <v>17.5</v>
      </c>
      <c r="F25" s="246">
        <v>15.0</v>
      </c>
      <c r="G25" s="246">
        <v>143.0</v>
      </c>
      <c r="H25" s="247"/>
      <c r="I25" s="247"/>
      <c r="J25" s="248">
        <f t="shared" si="1"/>
        <v>175.5</v>
      </c>
      <c r="K25" s="247"/>
      <c r="L25" s="247"/>
      <c r="M25" s="247"/>
      <c r="N25" s="247"/>
      <c r="O25" s="247"/>
      <c r="P25" s="247"/>
      <c r="Q25" s="247"/>
      <c r="R25" s="247"/>
      <c r="S25" s="247"/>
      <c r="T25" s="247"/>
      <c r="U25" s="247"/>
      <c r="V25" s="247"/>
      <c r="W25" s="247"/>
      <c r="X25" s="247"/>
      <c r="Y25" s="247"/>
      <c r="Z25" s="247"/>
      <c r="AA25" s="247"/>
      <c r="AB25" s="247"/>
    </row>
    <row r="26">
      <c r="A26" s="235">
        <v>153.0</v>
      </c>
      <c r="B26" s="236" t="s">
        <v>437</v>
      </c>
      <c r="C26" s="235" t="s">
        <v>1586</v>
      </c>
      <c r="D26" s="237">
        <v>45773.0</v>
      </c>
      <c r="E26" s="238">
        <v>17.5</v>
      </c>
      <c r="F26" s="239">
        <v>15.0</v>
      </c>
      <c r="G26" s="239">
        <v>143.0</v>
      </c>
      <c r="H26" s="240"/>
      <c r="I26" s="240"/>
      <c r="J26" s="241">
        <f t="shared" si="1"/>
        <v>175.5</v>
      </c>
      <c r="K26" s="240"/>
      <c r="L26" s="240"/>
      <c r="M26" s="240"/>
      <c r="N26" s="240"/>
      <c r="O26" s="240"/>
      <c r="P26" s="240"/>
      <c r="Q26" s="240"/>
      <c r="R26" s="240"/>
      <c r="S26" s="240"/>
      <c r="T26" s="240"/>
      <c r="U26" s="240"/>
      <c r="V26" s="240"/>
      <c r="W26" s="240"/>
      <c r="X26" s="240"/>
      <c r="Y26" s="240"/>
      <c r="Z26" s="240"/>
      <c r="AA26" s="240"/>
      <c r="AB26" s="240"/>
    </row>
    <row r="27">
      <c r="A27" s="228">
        <v>156.0</v>
      </c>
      <c r="B27" s="229" t="s">
        <v>441</v>
      </c>
      <c r="C27" s="228" t="s">
        <v>1587</v>
      </c>
      <c r="D27" s="230">
        <v>45774.0</v>
      </c>
      <c r="E27" s="231">
        <v>17.5</v>
      </c>
      <c r="F27" s="232">
        <v>15.0</v>
      </c>
      <c r="G27" s="232">
        <v>143.0</v>
      </c>
      <c r="H27" s="233"/>
      <c r="I27" s="233"/>
      <c r="J27" s="234">
        <f t="shared" si="1"/>
        <v>175.5</v>
      </c>
      <c r="K27" s="233"/>
      <c r="L27" s="247"/>
      <c r="M27" s="247"/>
      <c r="N27" s="247"/>
      <c r="O27" s="247"/>
      <c r="P27" s="247"/>
      <c r="Q27" s="247"/>
      <c r="R27" s="247"/>
      <c r="S27" s="247"/>
      <c r="T27" s="247"/>
      <c r="U27" s="247"/>
      <c r="V27" s="247"/>
      <c r="W27" s="247"/>
      <c r="X27" s="247"/>
      <c r="Y27" s="247"/>
      <c r="Z27" s="247"/>
      <c r="AA27" s="247"/>
      <c r="AB27" s="247"/>
    </row>
    <row r="28">
      <c r="A28" s="235">
        <v>155.0</v>
      </c>
      <c r="B28" s="236" t="s">
        <v>439</v>
      </c>
      <c r="C28" s="235" t="s">
        <v>1588</v>
      </c>
      <c r="D28" s="237">
        <v>45774.0</v>
      </c>
      <c r="E28" s="238">
        <v>17.5</v>
      </c>
      <c r="F28" s="239">
        <v>15.0</v>
      </c>
      <c r="G28" s="239">
        <v>143.0</v>
      </c>
      <c r="H28" s="240"/>
      <c r="I28" s="240"/>
      <c r="J28" s="241">
        <f t="shared" si="1"/>
        <v>175.5</v>
      </c>
      <c r="K28" s="240"/>
      <c r="L28" s="240"/>
      <c r="M28" s="240"/>
      <c r="N28" s="240"/>
      <c r="O28" s="240"/>
      <c r="P28" s="240"/>
      <c r="Q28" s="240"/>
      <c r="R28" s="240"/>
      <c r="S28" s="240"/>
      <c r="T28" s="240"/>
      <c r="U28" s="240"/>
      <c r="V28" s="240"/>
      <c r="W28" s="240"/>
      <c r="X28" s="240"/>
      <c r="Y28" s="240"/>
      <c r="Z28" s="240"/>
      <c r="AA28" s="240"/>
      <c r="AB28" s="240"/>
    </row>
    <row r="29">
      <c r="A29" s="242">
        <v>156.0</v>
      </c>
      <c r="B29" s="243" t="s">
        <v>441</v>
      </c>
      <c r="C29" s="242" t="s">
        <v>1587</v>
      </c>
      <c r="D29" s="244">
        <v>45774.0</v>
      </c>
      <c r="E29" s="245">
        <v>17.5</v>
      </c>
      <c r="F29" s="246">
        <v>15.0</v>
      </c>
      <c r="G29" s="246">
        <v>143.0</v>
      </c>
      <c r="H29" s="247"/>
      <c r="I29" s="247"/>
      <c r="J29" s="248">
        <f t="shared" si="1"/>
        <v>175.5</v>
      </c>
      <c r="K29" s="247"/>
      <c r="L29" s="247"/>
      <c r="M29" s="247"/>
      <c r="N29" s="247"/>
      <c r="O29" s="247"/>
      <c r="P29" s="247"/>
      <c r="Q29" s="247"/>
      <c r="R29" s="247"/>
      <c r="S29" s="247"/>
      <c r="T29" s="247"/>
      <c r="U29" s="247"/>
      <c r="V29" s="247"/>
      <c r="W29" s="247"/>
      <c r="X29" s="247"/>
      <c r="Y29" s="247"/>
      <c r="Z29" s="247"/>
      <c r="AA29" s="247"/>
      <c r="AB29" s="247"/>
    </row>
    <row r="30">
      <c r="A30" s="235">
        <v>155.0</v>
      </c>
      <c r="B30" s="236" t="s">
        <v>439</v>
      </c>
      <c r="C30" s="235" t="s">
        <v>1588</v>
      </c>
      <c r="D30" s="237">
        <v>45774.0</v>
      </c>
      <c r="E30" s="238">
        <v>17.5</v>
      </c>
      <c r="F30" s="239">
        <v>15.0</v>
      </c>
      <c r="G30" s="239">
        <v>143.0</v>
      </c>
      <c r="H30" s="240"/>
      <c r="I30" s="240"/>
      <c r="J30" s="241">
        <f t="shared" si="1"/>
        <v>175.5</v>
      </c>
      <c r="K30" s="240"/>
      <c r="L30" s="240"/>
      <c r="M30" s="240"/>
      <c r="N30" s="240"/>
      <c r="O30" s="240"/>
      <c r="P30" s="240"/>
      <c r="Q30" s="240"/>
      <c r="R30" s="240"/>
      <c r="S30" s="240"/>
      <c r="T30" s="240"/>
      <c r="U30" s="240"/>
      <c r="V30" s="240"/>
      <c r="W30" s="240"/>
      <c r="X30" s="240"/>
      <c r="Y30" s="240"/>
      <c r="Z30" s="240"/>
      <c r="AA30" s="240"/>
      <c r="AB30" s="240"/>
    </row>
    <row r="31">
      <c r="A31" s="242">
        <v>157.0</v>
      </c>
      <c r="B31" s="243" t="s">
        <v>444</v>
      </c>
      <c r="C31" s="242" t="s">
        <v>1589</v>
      </c>
      <c r="D31" s="244">
        <v>45776.0</v>
      </c>
      <c r="E31" s="245">
        <v>17.5</v>
      </c>
      <c r="F31" s="246">
        <v>15.0</v>
      </c>
      <c r="G31" s="246">
        <v>143.0</v>
      </c>
      <c r="H31" s="247"/>
      <c r="I31" s="247"/>
      <c r="J31" s="248">
        <f t="shared" si="1"/>
        <v>175.5</v>
      </c>
      <c r="K31" s="247"/>
      <c r="L31" s="247"/>
      <c r="M31" s="247"/>
      <c r="N31" s="247"/>
      <c r="O31" s="247"/>
      <c r="P31" s="247"/>
      <c r="Q31" s="247"/>
      <c r="R31" s="247"/>
      <c r="S31" s="247"/>
      <c r="T31" s="247"/>
      <c r="U31" s="247"/>
      <c r="V31" s="247"/>
      <c r="W31" s="247"/>
      <c r="X31" s="247"/>
      <c r="Y31" s="247"/>
      <c r="Z31" s="247"/>
      <c r="AA31" s="247"/>
      <c r="AB31" s="247"/>
    </row>
    <row r="32">
      <c r="A32" s="235">
        <v>157.0</v>
      </c>
      <c r="B32" s="236" t="s">
        <v>444</v>
      </c>
      <c r="C32" s="235" t="s">
        <v>1589</v>
      </c>
      <c r="D32" s="237">
        <v>45776.0</v>
      </c>
      <c r="E32" s="238">
        <v>17.5</v>
      </c>
      <c r="F32" s="239">
        <v>15.0</v>
      </c>
      <c r="G32" s="239">
        <v>143.0</v>
      </c>
      <c r="H32" s="240"/>
      <c r="I32" s="240"/>
      <c r="J32" s="241">
        <f t="shared" si="1"/>
        <v>175.5</v>
      </c>
      <c r="K32" s="240"/>
      <c r="L32" s="240"/>
      <c r="M32" s="240"/>
      <c r="N32" s="240"/>
      <c r="O32" s="240"/>
      <c r="P32" s="240"/>
      <c r="Q32" s="240"/>
      <c r="R32" s="240"/>
      <c r="S32" s="240"/>
      <c r="T32" s="240"/>
      <c r="U32" s="240"/>
      <c r="V32" s="240"/>
      <c r="W32" s="240"/>
      <c r="X32" s="240"/>
      <c r="Y32" s="240"/>
      <c r="Z32" s="240"/>
      <c r="AA32" s="240"/>
      <c r="AB32" s="240"/>
    </row>
    <row r="33">
      <c r="A33" s="242">
        <v>158.0</v>
      </c>
      <c r="B33" s="243" t="s">
        <v>445</v>
      </c>
      <c r="C33" s="242" t="s">
        <v>1590</v>
      </c>
      <c r="D33" s="244">
        <v>45777.0</v>
      </c>
      <c r="E33" s="245">
        <v>17.5</v>
      </c>
      <c r="F33" s="246">
        <v>15.0</v>
      </c>
      <c r="G33" s="246">
        <v>143.0</v>
      </c>
      <c r="H33" s="247"/>
      <c r="I33" s="247"/>
      <c r="J33" s="248">
        <f t="shared" si="1"/>
        <v>175.5</v>
      </c>
      <c r="K33" s="247"/>
      <c r="L33" s="247"/>
      <c r="M33" s="247"/>
      <c r="N33" s="247"/>
      <c r="O33" s="247"/>
      <c r="P33" s="247"/>
      <c r="Q33" s="247"/>
      <c r="R33" s="247"/>
      <c r="S33" s="247"/>
      <c r="T33" s="247"/>
      <c r="U33" s="247"/>
      <c r="V33" s="247"/>
      <c r="W33" s="247"/>
      <c r="X33" s="247"/>
      <c r="Y33" s="247"/>
      <c r="Z33" s="247"/>
      <c r="AA33" s="247"/>
      <c r="AB33" s="247"/>
    </row>
    <row r="34" ht="16.5" customHeight="1">
      <c r="A34" s="235">
        <v>159.0</v>
      </c>
      <c r="B34" s="236" t="s">
        <v>447</v>
      </c>
      <c r="C34" s="235" t="s">
        <v>1591</v>
      </c>
      <c r="D34" s="237">
        <v>45777.0</v>
      </c>
      <c r="E34" s="238">
        <v>17.5</v>
      </c>
      <c r="F34" s="239">
        <v>15.0</v>
      </c>
      <c r="G34" s="239">
        <v>143.0</v>
      </c>
      <c r="H34" s="240"/>
      <c r="I34" s="240"/>
      <c r="J34" s="241">
        <f t="shared" si="1"/>
        <v>175.5</v>
      </c>
      <c r="K34" s="235" t="s">
        <v>1592</v>
      </c>
      <c r="L34" s="240"/>
      <c r="M34" s="240"/>
      <c r="N34" s="240"/>
      <c r="O34" s="240"/>
      <c r="P34" s="240"/>
      <c r="Q34" s="240"/>
      <c r="R34" s="240"/>
      <c r="S34" s="240"/>
      <c r="T34" s="240"/>
      <c r="U34" s="240"/>
      <c r="V34" s="240"/>
      <c r="W34" s="240"/>
      <c r="X34" s="240"/>
      <c r="Y34" s="240"/>
      <c r="Z34" s="240"/>
      <c r="AA34" s="240"/>
      <c r="AB34" s="240"/>
    </row>
    <row r="35">
      <c r="A35" s="242">
        <v>160.0</v>
      </c>
      <c r="B35" s="243" t="s">
        <v>448</v>
      </c>
      <c r="C35" s="242" t="s">
        <v>1593</v>
      </c>
      <c r="D35" s="244">
        <v>45780.0</v>
      </c>
      <c r="E35" s="245">
        <v>17.5</v>
      </c>
      <c r="F35" s="246">
        <v>15.0</v>
      </c>
      <c r="G35" s="246">
        <v>143.0</v>
      </c>
      <c r="H35" s="247"/>
      <c r="I35" s="247"/>
      <c r="J35" s="248">
        <f t="shared" si="1"/>
        <v>175.5</v>
      </c>
      <c r="K35" s="242" t="s">
        <v>1592</v>
      </c>
      <c r="L35" s="247"/>
      <c r="M35" s="247"/>
      <c r="N35" s="247"/>
      <c r="O35" s="247"/>
      <c r="P35" s="247"/>
      <c r="Q35" s="247"/>
      <c r="R35" s="247"/>
      <c r="S35" s="247"/>
      <c r="T35" s="247"/>
      <c r="U35" s="247"/>
      <c r="V35" s="247"/>
      <c r="W35" s="247"/>
      <c r="X35" s="247"/>
      <c r="Y35" s="247"/>
      <c r="Z35" s="247"/>
      <c r="AA35" s="247"/>
      <c r="AB35" s="247"/>
    </row>
    <row r="36">
      <c r="A36" s="235">
        <v>161.0</v>
      </c>
      <c r="B36" s="236" t="s">
        <v>450</v>
      </c>
      <c r="C36" s="235" t="s">
        <v>1594</v>
      </c>
      <c r="D36" s="237">
        <v>45781.0</v>
      </c>
      <c r="E36" s="238">
        <v>17.5</v>
      </c>
      <c r="F36" s="239">
        <v>15.0</v>
      </c>
      <c r="G36" s="239">
        <v>143.0</v>
      </c>
      <c r="H36" s="240"/>
      <c r="I36" s="240"/>
      <c r="J36" s="241">
        <f t="shared" si="1"/>
        <v>175.5</v>
      </c>
      <c r="K36" s="235" t="s">
        <v>1592</v>
      </c>
      <c r="L36" s="240"/>
      <c r="M36" s="240"/>
      <c r="N36" s="240"/>
      <c r="O36" s="240"/>
      <c r="P36" s="240"/>
      <c r="Q36" s="240"/>
      <c r="R36" s="240"/>
      <c r="S36" s="240"/>
      <c r="T36" s="240"/>
      <c r="U36" s="240"/>
      <c r="V36" s="240"/>
      <c r="W36" s="240"/>
      <c r="X36" s="240"/>
      <c r="Y36" s="240"/>
      <c r="Z36" s="240"/>
      <c r="AA36" s="240"/>
      <c r="AB36" s="240"/>
    </row>
    <row r="37">
      <c r="A37" s="242">
        <v>163.0</v>
      </c>
      <c r="B37" s="243" t="s">
        <v>1595</v>
      </c>
      <c r="C37" s="242" t="s">
        <v>1596</v>
      </c>
      <c r="D37" s="244">
        <v>45783.0</v>
      </c>
      <c r="E37" s="245">
        <v>17.5</v>
      </c>
      <c r="F37" s="246">
        <v>15.0</v>
      </c>
      <c r="G37" s="246">
        <v>143.0</v>
      </c>
      <c r="H37" s="247"/>
      <c r="I37" s="246">
        <v>23.0</v>
      </c>
      <c r="J37" s="248">
        <f t="shared" ref="J37:J182" si="2">sum(E37+F37+G37+H37+I37)</f>
        <v>198.5</v>
      </c>
      <c r="K37" s="242" t="s">
        <v>281</v>
      </c>
      <c r="L37" s="247"/>
      <c r="M37" s="247"/>
      <c r="N37" s="247"/>
      <c r="O37" s="247"/>
      <c r="P37" s="247"/>
      <c r="Q37" s="247"/>
      <c r="R37" s="247"/>
      <c r="S37" s="247"/>
      <c r="T37" s="247"/>
      <c r="U37" s="247"/>
      <c r="V37" s="247"/>
      <c r="W37" s="247"/>
      <c r="X37" s="247"/>
      <c r="Y37" s="247"/>
      <c r="Z37" s="247"/>
      <c r="AA37" s="247"/>
      <c r="AB37" s="247"/>
    </row>
    <row r="38">
      <c r="A38" s="235">
        <v>162.0</v>
      </c>
      <c r="B38" s="236" t="s">
        <v>452</v>
      </c>
      <c r="C38" s="235" t="s">
        <v>1597</v>
      </c>
      <c r="D38" s="237">
        <v>45783.0</v>
      </c>
      <c r="E38" s="238">
        <v>17.5</v>
      </c>
      <c r="F38" s="239">
        <v>15.0</v>
      </c>
      <c r="G38" s="239">
        <v>143.0</v>
      </c>
      <c r="H38" s="240"/>
      <c r="I38" s="239">
        <v>23.0</v>
      </c>
      <c r="J38" s="241">
        <f t="shared" si="2"/>
        <v>198.5</v>
      </c>
      <c r="K38" s="235" t="s">
        <v>1592</v>
      </c>
      <c r="L38" s="240"/>
      <c r="M38" s="240"/>
      <c r="N38" s="240"/>
      <c r="O38" s="240"/>
      <c r="P38" s="240"/>
      <c r="Q38" s="240"/>
      <c r="R38" s="240"/>
      <c r="S38" s="240"/>
      <c r="T38" s="240"/>
      <c r="U38" s="240"/>
      <c r="V38" s="240"/>
      <c r="W38" s="240"/>
      <c r="X38" s="240"/>
      <c r="Y38" s="240"/>
      <c r="Z38" s="240"/>
      <c r="AA38" s="240"/>
      <c r="AB38" s="240"/>
    </row>
    <row r="39">
      <c r="A39" s="242">
        <v>166.0</v>
      </c>
      <c r="B39" s="243" t="s">
        <v>459</v>
      </c>
      <c r="C39" s="242" t="s">
        <v>1598</v>
      </c>
      <c r="D39" s="244">
        <v>45788.0</v>
      </c>
      <c r="E39" s="245">
        <v>17.5</v>
      </c>
      <c r="F39" s="246">
        <v>15.0</v>
      </c>
      <c r="G39" s="246">
        <v>143.0</v>
      </c>
      <c r="H39" s="247"/>
      <c r="I39" s="246">
        <v>23.0</v>
      </c>
      <c r="J39" s="248">
        <f t="shared" si="2"/>
        <v>198.5</v>
      </c>
      <c r="K39" s="242" t="s">
        <v>281</v>
      </c>
      <c r="L39" s="247"/>
      <c r="M39" s="247"/>
      <c r="N39" s="247"/>
      <c r="O39" s="247"/>
      <c r="P39" s="247"/>
      <c r="Q39" s="247"/>
      <c r="R39" s="247"/>
      <c r="S39" s="247"/>
      <c r="T39" s="247"/>
      <c r="U39" s="247"/>
      <c r="V39" s="247"/>
      <c r="W39" s="247"/>
      <c r="X39" s="247"/>
      <c r="Y39" s="247"/>
      <c r="Z39" s="247"/>
      <c r="AA39" s="247"/>
      <c r="AB39" s="247"/>
    </row>
    <row r="40">
      <c r="A40" s="235">
        <v>167.0</v>
      </c>
      <c r="B40" s="236" t="s">
        <v>461</v>
      </c>
      <c r="C40" s="235" t="s">
        <v>1599</v>
      </c>
      <c r="D40" s="237">
        <v>45790.0</v>
      </c>
      <c r="E40" s="238">
        <v>17.5</v>
      </c>
      <c r="F40" s="239">
        <v>15.0</v>
      </c>
      <c r="G40" s="239">
        <v>143.0</v>
      </c>
      <c r="H40" s="240"/>
      <c r="I40" s="239">
        <v>23.0</v>
      </c>
      <c r="J40" s="241">
        <f t="shared" si="2"/>
        <v>198.5</v>
      </c>
      <c r="K40" s="235" t="s">
        <v>281</v>
      </c>
      <c r="L40" s="240"/>
      <c r="M40" s="240"/>
      <c r="N40" s="240"/>
      <c r="O40" s="240"/>
      <c r="P40" s="240"/>
      <c r="Q40" s="240"/>
      <c r="R40" s="240"/>
      <c r="S40" s="240"/>
      <c r="T40" s="240"/>
      <c r="U40" s="240"/>
      <c r="V40" s="240"/>
      <c r="W40" s="240"/>
      <c r="X40" s="240"/>
      <c r="Y40" s="240"/>
      <c r="Z40" s="240"/>
      <c r="AA40" s="240"/>
      <c r="AB40" s="240"/>
    </row>
    <row r="41">
      <c r="A41" s="242">
        <v>164.0</v>
      </c>
      <c r="B41" s="243" t="s">
        <v>456</v>
      </c>
      <c r="C41" s="242" t="s">
        <v>1600</v>
      </c>
      <c r="D41" s="244">
        <v>45793.0</v>
      </c>
      <c r="E41" s="245">
        <v>17.5</v>
      </c>
      <c r="F41" s="246">
        <v>15.0</v>
      </c>
      <c r="G41" s="246">
        <v>150.0</v>
      </c>
      <c r="H41" s="247"/>
      <c r="I41" s="246">
        <v>23.0</v>
      </c>
      <c r="J41" s="248">
        <f t="shared" si="2"/>
        <v>205.5</v>
      </c>
      <c r="K41" s="242" t="s">
        <v>281</v>
      </c>
      <c r="L41" s="247"/>
      <c r="M41" s="247"/>
      <c r="N41" s="247"/>
      <c r="O41" s="247"/>
      <c r="P41" s="247"/>
      <c r="Q41" s="247"/>
      <c r="R41" s="247"/>
      <c r="S41" s="247"/>
      <c r="T41" s="247"/>
      <c r="U41" s="247"/>
      <c r="V41" s="247"/>
      <c r="W41" s="247"/>
      <c r="X41" s="247"/>
      <c r="Y41" s="247"/>
      <c r="Z41" s="247"/>
      <c r="AA41" s="247"/>
      <c r="AB41" s="247"/>
    </row>
    <row r="42">
      <c r="A42" s="235">
        <v>168.0</v>
      </c>
      <c r="B42" s="236" t="s">
        <v>462</v>
      </c>
      <c r="C42" s="235" t="s">
        <v>1601</v>
      </c>
      <c r="D42" s="237">
        <v>45793.0</v>
      </c>
      <c r="E42" s="238">
        <v>17.5</v>
      </c>
      <c r="F42" s="239">
        <v>15.0</v>
      </c>
      <c r="G42" s="239">
        <v>143.0</v>
      </c>
      <c r="H42" s="240"/>
      <c r="I42" s="239">
        <v>23.0</v>
      </c>
      <c r="J42" s="241">
        <f t="shared" si="2"/>
        <v>198.5</v>
      </c>
      <c r="K42" s="235" t="s">
        <v>281</v>
      </c>
      <c r="L42" s="240"/>
      <c r="M42" s="240"/>
      <c r="N42" s="240"/>
      <c r="O42" s="240"/>
      <c r="P42" s="240"/>
      <c r="Q42" s="240"/>
      <c r="R42" s="240"/>
      <c r="S42" s="240"/>
      <c r="T42" s="240"/>
      <c r="U42" s="240"/>
      <c r="V42" s="240"/>
      <c r="W42" s="240"/>
      <c r="X42" s="240"/>
      <c r="Y42" s="240"/>
      <c r="Z42" s="240"/>
      <c r="AA42" s="240"/>
      <c r="AB42" s="240"/>
    </row>
    <row r="43">
      <c r="A43" s="242">
        <v>165.0</v>
      </c>
      <c r="B43" s="243" t="s">
        <v>458</v>
      </c>
      <c r="C43" s="242" t="s">
        <v>1602</v>
      </c>
      <c r="D43" s="244">
        <v>45796.0</v>
      </c>
      <c r="E43" s="245">
        <v>17.5</v>
      </c>
      <c r="F43" s="246">
        <v>15.0</v>
      </c>
      <c r="G43" s="246">
        <v>143.0</v>
      </c>
      <c r="H43" s="246">
        <v>25.0</v>
      </c>
      <c r="I43" s="246">
        <v>23.0</v>
      </c>
      <c r="J43" s="248">
        <f t="shared" si="2"/>
        <v>223.5</v>
      </c>
      <c r="K43" s="242" t="s">
        <v>281</v>
      </c>
      <c r="L43" s="247"/>
      <c r="M43" s="247"/>
      <c r="N43" s="247"/>
      <c r="O43" s="247"/>
      <c r="P43" s="247"/>
      <c r="Q43" s="247"/>
      <c r="R43" s="247"/>
      <c r="S43" s="247"/>
      <c r="T43" s="247"/>
      <c r="U43" s="247"/>
      <c r="V43" s="247"/>
      <c r="W43" s="247"/>
      <c r="X43" s="247"/>
      <c r="Y43" s="247"/>
      <c r="Z43" s="247"/>
      <c r="AA43" s="247"/>
      <c r="AB43" s="247"/>
    </row>
    <row r="44">
      <c r="A44" s="235">
        <v>170.0</v>
      </c>
      <c r="B44" s="236" t="s">
        <v>466</v>
      </c>
      <c r="C44" s="235" t="s">
        <v>1603</v>
      </c>
      <c r="D44" s="237">
        <v>45796.0</v>
      </c>
      <c r="E44" s="238">
        <v>17.5</v>
      </c>
      <c r="F44" s="239">
        <v>15.0</v>
      </c>
      <c r="G44" s="239">
        <v>143.0</v>
      </c>
      <c r="H44" s="240"/>
      <c r="I44" s="239">
        <v>23.0</v>
      </c>
      <c r="J44" s="241">
        <f t="shared" si="2"/>
        <v>198.5</v>
      </c>
      <c r="K44" s="235" t="s">
        <v>1592</v>
      </c>
      <c r="L44" s="240"/>
      <c r="M44" s="240"/>
      <c r="N44" s="240"/>
      <c r="O44" s="240"/>
      <c r="P44" s="240"/>
      <c r="Q44" s="240"/>
      <c r="R44" s="240"/>
      <c r="S44" s="240"/>
      <c r="T44" s="240"/>
      <c r="U44" s="240"/>
      <c r="V44" s="240"/>
      <c r="W44" s="240"/>
      <c r="X44" s="240"/>
      <c r="Y44" s="240"/>
      <c r="Z44" s="240"/>
      <c r="AA44" s="240"/>
      <c r="AB44" s="240"/>
    </row>
    <row r="45">
      <c r="A45" s="242">
        <v>169.0</v>
      </c>
      <c r="B45" s="243" t="s">
        <v>464</v>
      </c>
      <c r="C45" s="242" t="s">
        <v>1604</v>
      </c>
      <c r="D45" s="244">
        <v>45796.0</v>
      </c>
      <c r="E45" s="245">
        <v>17.5</v>
      </c>
      <c r="F45" s="246">
        <v>15.0</v>
      </c>
      <c r="G45" s="246">
        <v>143.0</v>
      </c>
      <c r="H45" s="247"/>
      <c r="I45" s="246">
        <v>23.0</v>
      </c>
      <c r="J45" s="248">
        <f t="shared" si="2"/>
        <v>198.5</v>
      </c>
      <c r="K45" s="242" t="s">
        <v>1592</v>
      </c>
      <c r="L45" s="247"/>
      <c r="M45" s="247"/>
      <c r="N45" s="247"/>
      <c r="O45" s="247"/>
      <c r="P45" s="247"/>
      <c r="Q45" s="247"/>
      <c r="R45" s="247"/>
      <c r="S45" s="247"/>
      <c r="T45" s="247"/>
      <c r="U45" s="247"/>
      <c r="V45" s="247"/>
      <c r="W45" s="247"/>
      <c r="X45" s="247"/>
      <c r="Y45" s="247"/>
      <c r="Z45" s="247"/>
      <c r="AA45" s="247"/>
      <c r="AB45" s="247"/>
    </row>
    <row r="46">
      <c r="A46" s="235">
        <v>172.0</v>
      </c>
      <c r="B46" s="236" t="s">
        <v>472</v>
      </c>
      <c r="C46" s="235" t="s">
        <v>1605</v>
      </c>
      <c r="D46" s="237">
        <v>45797.0</v>
      </c>
      <c r="E46" s="238">
        <v>17.5</v>
      </c>
      <c r="F46" s="239">
        <v>15.0</v>
      </c>
      <c r="G46" s="239">
        <v>143.0</v>
      </c>
      <c r="H46" s="240"/>
      <c r="I46" s="239">
        <v>23.0</v>
      </c>
      <c r="J46" s="241">
        <f t="shared" si="2"/>
        <v>198.5</v>
      </c>
      <c r="K46" s="235" t="s">
        <v>1592</v>
      </c>
      <c r="L46" s="240"/>
      <c r="M46" s="240"/>
      <c r="N46" s="240"/>
      <c r="O46" s="240"/>
      <c r="P46" s="240"/>
      <c r="Q46" s="240"/>
      <c r="R46" s="240"/>
      <c r="S46" s="240"/>
      <c r="T46" s="240"/>
      <c r="U46" s="240"/>
      <c r="V46" s="240"/>
      <c r="W46" s="240"/>
      <c r="X46" s="240"/>
      <c r="Y46" s="240"/>
      <c r="Z46" s="240"/>
      <c r="AA46" s="240"/>
      <c r="AB46" s="240"/>
    </row>
    <row r="47">
      <c r="A47" s="242">
        <v>171.0</v>
      </c>
      <c r="B47" s="243" t="s">
        <v>469</v>
      </c>
      <c r="C47" s="242" t="s">
        <v>1606</v>
      </c>
      <c r="D47" s="244">
        <v>45798.0</v>
      </c>
      <c r="E47" s="245">
        <v>17.5</v>
      </c>
      <c r="F47" s="246">
        <v>15.0</v>
      </c>
      <c r="G47" s="246">
        <v>150.0</v>
      </c>
      <c r="H47" s="247"/>
      <c r="I47" s="246">
        <v>23.0</v>
      </c>
      <c r="J47" s="248">
        <f t="shared" si="2"/>
        <v>205.5</v>
      </c>
      <c r="K47" s="242" t="s">
        <v>1592</v>
      </c>
      <c r="L47" s="247"/>
      <c r="M47" s="247"/>
      <c r="N47" s="247"/>
      <c r="O47" s="247"/>
      <c r="P47" s="247"/>
      <c r="Q47" s="247"/>
      <c r="R47" s="247"/>
      <c r="S47" s="247"/>
      <c r="T47" s="247"/>
      <c r="U47" s="247"/>
      <c r="V47" s="247"/>
      <c r="W47" s="247"/>
      <c r="X47" s="247"/>
      <c r="Y47" s="247"/>
      <c r="Z47" s="247"/>
      <c r="AA47" s="247"/>
      <c r="AB47" s="247"/>
    </row>
    <row r="48">
      <c r="A48" s="235">
        <v>173.0</v>
      </c>
      <c r="B48" s="236" t="s">
        <v>473</v>
      </c>
      <c r="C48" s="235" t="s">
        <v>1607</v>
      </c>
      <c r="D48" s="237">
        <v>45804.0</v>
      </c>
      <c r="E48" s="238">
        <v>17.5</v>
      </c>
      <c r="F48" s="239">
        <v>15.0</v>
      </c>
      <c r="G48" s="239">
        <v>150.0</v>
      </c>
      <c r="H48" s="240"/>
      <c r="I48" s="239">
        <v>23.0</v>
      </c>
      <c r="J48" s="241">
        <f t="shared" si="2"/>
        <v>205.5</v>
      </c>
      <c r="K48" s="235" t="s">
        <v>1592</v>
      </c>
      <c r="L48" s="240"/>
      <c r="M48" s="240"/>
      <c r="N48" s="240"/>
      <c r="O48" s="240"/>
      <c r="P48" s="240"/>
      <c r="Q48" s="240"/>
      <c r="R48" s="240"/>
      <c r="S48" s="240"/>
      <c r="T48" s="240"/>
      <c r="U48" s="240"/>
      <c r="V48" s="240"/>
      <c r="W48" s="240"/>
      <c r="X48" s="240"/>
      <c r="Y48" s="240"/>
      <c r="Z48" s="240"/>
      <c r="AA48" s="240"/>
      <c r="AB48" s="240"/>
    </row>
    <row r="49">
      <c r="A49" s="228">
        <v>174.0</v>
      </c>
      <c r="B49" s="229" t="s">
        <v>476</v>
      </c>
      <c r="C49" s="228" t="s">
        <v>1608</v>
      </c>
      <c r="D49" s="230">
        <v>45809.0</v>
      </c>
      <c r="E49" s="231">
        <v>17.5</v>
      </c>
      <c r="F49" s="232">
        <v>15.0</v>
      </c>
      <c r="G49" s="232">
        <v>143.0</v>
      </c>
      <c r="H49" s="233"/>
      <c r="I49" s="232">
        <v>23.0</v>
      </c>
      <c r="J49" s="234">
        <f t="shared" si="2"/>
        <v>198.5</v>
      </c>
      <c r="K49" s="228" t="s">
        <v>1592</v>
      </c>
      <c r="L49" s="233"/>
      <c r="M49" s="233"/>
      <c r="N49" s="233"/>
      <c r="O49" s="233"/>
      <c r="P49" s="233"/>
      <c r="Q49" s="233"/>
      <c r="R49" s="233"/>
      <c r="S49" s="233"/>
      <c r="T49" s="233"/>
      <c r="U49" s="233"/>
      <c r="V49" s="233"/>
      <c r="W49" s="233"/>
      <c r="X49" s="233"/>
      <c r="Y49" s="233"/>
      <c r="Z49" s="233"/>
      <c r="AA49" s="233"/>
      <c r="AB49" s="233"/>
    </row>
    <row r="50">
      <c r="A50" s="221">
        <v>176.0</v>
      </c>
      <c r="B50" s="222" t="s">
        <v>481</v>
      </c>
      <c r="C50" s="221" t="s">
        <v>1609</v>
      </c>
      <c r="D50" s="223">
        <v>45812.0</v>
      </c>
      <c r="E50" s="224">
        <v>17.5</v>
      </c>
      <c r="F50" s="225">
        <v>15.0</v>
      </c>
      <c r="G50" s="225">
        <v>150.0</v>
      </c>
      <c r="H50" s="226"/>
      <c r="I50" s="225">
        <v>23.0</v>
      </c>
      <c r="J50" s="227">
        <f t="shared" si="2"/>
        <v>205.5</v>
      </c>
      <c r="K50" s="221" t="s">
        <v>1592</v>
      </c>
      <c r="L50" s="240"/>
      <c r="M50" s="240"/>
      <c r="N50" s="240"/>
      <c r="O50" s="240"/>
      <c r="P50" s="240"/>
      <c r="Q50" s="240"/>
      <c r="R50" s="240"/>
      <c r="S50" s="240"/>
      <c r="T50" s="240"/>
      <c r="U50" s="240"/>
      <c r="V50" s="240"/>
      <c r="W50" s="240"/>
      <c r="X50" s="240"/>
      <c r="Y50" s="240"/>
      <c r="Z50" s="240"/>
      <c r="AA50" s="240"/>
      <c r="AB50" s="240"/>
    </row>
    <row r="51">
      <c r="A51" s="228">
        <v>175.0</v>
      </c>
      <c r="B51" s="229" t="s">
        <v>478</v>
      </c>
      <c r="C51" s="228" t="s">
        <v>1610</v>
      </c>
      <c r="D51" s="230">
        <v>45812.0</v>
      </c>
      <c r="E51" s="231">
        <v>17.5</v>
      </c>
      <c r="F51" s="232">
        <v>15.0</v>
      </c>
      <c r="G51" s="232">
        <v>143.0</v>
      </c>
      <c r="H51" s="232">
        <v>25.0</v>
      </c>
      <c r="I51" s="232">
        <v>23.0</v>
      </c>
      <c r="J51" s="234">
        <f t="shared" si="2"/>
        <v>223.5</v>
      </c>
      <c r="K51" s="228" t="s">
        <v>1592</v>
      </c>
      <c r="L51" s="233"/>
      <c r="M51" s="233"/>
      <c r="N51" s="233"/>
      <c r="O51" s="233"/>
      <c r="P51" s="233"/>
      <c r="Q51" s="233"/>
      <c r="R51" s="233"/>
      <c r="S51" s="233"/>
      <c r="T51" s="233"/>
      <c r="U51" s="233"/>
      <c r="V51" s="233"/>
      <c r="W51" s="233"/>
      <c r="X51" s="233"/>
      <c r="Y51" s="233"/>
      <c r="Z51" s="233"/>
      <c r="AA51" s="233"/>
      <c r="AB51" s="233"/>
    </row>
    <row r="52">
      <c r="A52" s="221">
        <v>179.0</v>
      </c>
      <c r="B52" s="222" t="s">
        <v>487</v>
      </c>
      <c r="C52" s="221" t="s">
        <v>1611</v>
      </c>
      <c r="D52" s="223">
        <v>45817.0</v>
      </c>
      <c r="E52" s="224">
        <v>17.5</v>
      </c>
      <c r="F52" s="225">
        <v>15.0</v>
      </c>
      <c r="G52" s="225">
        <v>143.0</v>
      </c>
      <c r="H52" s="226"/>
      <c r="I52" s="225">
        <v>23.0</v>
      </c>
      <c r="J52" s="227">
        <f t="shared" si="2"/>
        <v>198.5</v>
      </c>
      <c r="K52" s="221" t="s">
        <v>1592</v>
      </c>
      <c r="L52" s="226"/>
      <c r="M52" s="226"/>
      <c r="N52" s="226"/>
      <c r="O52" s="226"/>
      <c r="P52" s="226"/>
      <c r="Q52" s="226"/>
      <c r="R52" s="226"/>
      <c r="S52" s="226"/>
      <c r="T52" s="226"/>
      <c r="U52" s="226"/>
      <c r="V52" s="226"/>
      <c r="W52" s="226"/>
      <c r="X52" s="226"/>
      <c r="Y52" s="226"/>
      <c r="Z52" s="226"/>
      <c r="AA52" s="226"/>
      <c r="AB52" s="226"/>
    </row>
    <row r="53">
      <c r="A53" s="228">
        <v>180.0</v>
      </c>
      <c r="B53" s="229" t="s">
        <v>488</v>
      </c>
      <c r="C53" s="228" t="s">
        <v>1612</v>
      </c>
      <c r="D53" s="230">
        <v>45821.0</v>
      </c>
      <c r="E53" s="231">
        <v>17.5</v>
      </c>
      <c r="F53" s="232">
        <v>15.0</v>
      </c>
      <c r="G53" s="232">
        <v>143.0</v>
      </c>
      <c r="H53" s="233"/>
      <c r="I53" s="232">
        <v>23.0</v>
      </c>
      <c r="J53" s="234">
        <f t="shared" si="2"/>
        <v>198.5</v>
      </c>
      <c r="K53" s="228" t="s">
        <v>1592</v>
      </c>
      <c r="L53" s="233"/>
      <c r="M53" s="233"/>
      <c r="N53" s="233"/>
      <c r="O53" s="233"/>
      <c r="P53" s="233"/>
      <c r="Q53" s="233"/>
      <c r="R53" s="233"/>
      <c r="S53" s="233"/>
      <c r="T53" s="233"/>
      <c r="U53" s="233"/>
      <c r="V53" s="233"/>
      <c r="W53" s="233"/>
      <c r="X53" s="233"/>
      <c r="Y53" s="233"/>
      <c r="Z53" s="233"/>
      <c r="AA53" s="233"/>
      <c r="AB53" s="233"/>
    </row>
    <row r="54">
      <c r="A54" s="221">
        <v>177.0</v>
      </c>
      <c r="B54" s="222" t="s">
        <v>483</v>
      </c>
      <c r="C54" s="221" t="s">
        <v>1613</v>
      </c>
      <c r="D54" s="223">
        <v>45821.0</v>
      </c>
      <c r="E54" s="224">
        <v>17.5</v>
      </c>
      <c r="F54" s="225">
        <v>15.0</v>
      </c>
      <c r="G54" s="225">
        <v>143.0</v>
      </c>
      <c r="H54" s="226"/>
      <c r="I54" s="225">
        <v>23.0</v>
      </c>
      <c r="J54" s="227">
        <f t="shared" si="2"/>
        <v>198.5</v>
      </c>
      <c r="K54" s="221" t="s">
        <v>1592</v>
      </c>
      <c r="L54" s="226"/>
      <c r="M54" s="226"/>
      <c r="N54" s="226"/>
      <c r="O54" s="226"/>
      <c r="P54" s="226"/>
      <c r="Q54" s="226"/>
      <c r="R54" s="226"/>
      <c r="S54" s="226"/>
      <c r="T54" s="226"/>
      <c r="U54" s="226"/>
      <c r="V54" s="226"/>
      <c r="W54" s="226"/>
      <c r="X54" s="226"/>
      <c r="Y54" s="226"/>
      <c r="Z54" s="226"/>
      <c r="AA54" s="226"/>
      <c r="AB54" s="226"/>
    </row>
    <row r="55">
      <c r="A55" s="228">
        <v>178.0</v>
      </c>
      <c r="B55" s="229" t="s">
        <v>486</v>
      </c>
      <c r="C55" s="228" t="s">
        <v>1614</v>
      </c>
      <c r="D55" s="230">
        <v>45821.0</v>
      </c>
      <c r="E55" s="231">
        <v>17.5</v>
      </c>
      <c r="F55" s="232">
        <v>15.0</v>
      </c>
      <c r="G55" s="232">
        <v>143.0</v>
      </c>
      <c r="H55" s="233"/>
      <c r="I55" s="233"/>
      <c r="J55" s="234">
        <f t="shared" si="2"/>
        <v>175.5</v>
      </c>
      <c r="K55" s="228" t="s">
        <v>1592</v>
      </c>
      <c r="L55" s="233"/>
      <c r="M55" s="233"/>
      <c r="N55" s="233"/>
      <c r="O55" s="233"/>
      <c r="P55" s="233"/>
      <c r="Q55" s="233"/>
      <c r="R55" s="233"/>
      <c r="S55" s="233"/>
      <c r="T55" s="233"/>
      <c r="U55" s="233"/>
      <c r="V55" s="233"/>
      <c r="W55" s="233"/>
      <c r="X55" s="233"/>
      <c r="Y55" s="233"/>
      <c r="Z55" s="233"/>
      <c r="AA55" s="233"/>
      <c r="AB55" s="233"/>
    </row>
    <row r="56">
      <c r="A56" s="221">
        <v>181.0</v>
      </c>
      <c r="B56" s="222" t="s">
        <v>489</v>
      </c>
      <c r="C56" s="221" t="s">
        <v>1615</v>
      </c>
      <c r="D56" s="223">
        <v>45829.0</v>
      </c>
      <c r="E56" s="224">
        <v>17.5</v>
      </c>
      <c r="F56" s="225">
        <v>15.0</v>
      </c>
      <c r="G56" s="225">
        <v>143.0</v>
      </c>
      <c r="H56" s="226"/>
      <c r="I56" s="225">
        <v>23.0</v>
      </c>
      <c r="J56" s="227">
        <f t="shared" si="2"/>
        <v>198.5</v>
      </c>
      <c r="K56" s="221" t="s">
        <v>1592</v>
      </c>
      <c r="L56" s="226"/>
      <c r="M56" s="226"/>
      <c r="N56" s="226"/>
      <c r="O56" s="226"/>
      <c r="P56" s="226"/>
      <c r="Q56" s="226"/>
      <c r="R56" s="226"/>
      <c r="S56" s="226"/>
      <c r="T56" s="226"/>
      <c r="U56" s="226"/>
      <c r="V56" s="226"/>
      <c r="W56" s="226"/>
      <c r="X56" s="226"/>
      <c r="Y56" s="226"/>
      <c r="Z56" s="226"/>
      <c r="AA56" s="226"/>
      <c r="AB56" s="226"/>
    </row>
    <row r="57">
      <c r="A57" s="228">
        <v>183.0</v>
      </c>
      <c r="B57" s="229" t="s">
        <v>495</v>
      </c>
      <c r="C57" s="228" t="s">
        <v>1616</v>
      </c>
      <c r="D57" s="230">
        <v>45831.0</v>
      </c>
      <c r="E57" s="231">
        <v>17.5</v>
      </c>
      <c r="F57" s="232">
        <v>15.0</v>
      </c>
      <c r="G57" s="232">
        <v>143.0</v>
      </c>
      <c r="H57" s="233"/>
      <c r="I57" s="232">
        <v>23.0</v>
      </c>
      <c r="J57" s="234">
        <f t="shared" si="2"/>
        <v>198.5</v>
      </c>
      <c r="K57" s="228" t="s">
        <v>1592</v>
      </c>
      <c r="L57" s="233"/>
      <c r="M57" s="233"/>
      <c r="N57" s="233"/>
      <c r="O57" s="233"/>
      <c r="P57" s="233"/>
      <c r="Q57" s="233"/>
      <c r="R57" s="233"/>
      <c r="S57" s="233"/>
      <c r="T57" s="233"/>
      <c r="U57" s="233"/>
      <c r="V57" s="233"/>
      <c r="W57" s="233"/>
      <c r="X57" s="233"/>
      <c r="Y57" s="233"/>
      <c r="Z57" s="233"/>
      <c r="AA57" s="233"/>
      <c r="AB57" s="233"/>
    </row>
    <row r="58">
      <c r="A58" s="221">
        <v>182.0</v>
      </c>
      <c r="B58" s="222" t="s">
        <v>493</v>
      </c>
      <c r="C58" s="221" t="s">
        <v>1617</v>
      </c>
      <c r="D58" s="223">
        <v>45833.0</v>
      </c>
      <c r="E58" s="224">
        <v>17.5</v>
      </c>
      <c r="F58" s="225">
        <v>15.0</v>
      </c>
      <c r="G58" s="225">
        <v>143.0</v>
      </c>
      <c r="H58" s="225">
        <v>25.0</v>
      </c>
      <c r="I58" s="225">
        <v>23.0</v>
      </c>
      <c r="J58" s="227">
        <f t="shared" si="2"/>
        <v>223.5</v>
      </c>
      <c r="K58" s="221" t="s">
        <v>1592</v>
      </c>
      <c r="L58" s="226"/>
      <c r="M58" s="226"/>
      <c r="N58" s="226"/>
      <c r="O58" s="226"/>
      <c r="P58" s="226"/>
      <c r="Q58" s="226"/>
      <c r="R58" s="226"/>
      <c r="S58" s="226"/>
      <c r="T58" s="226"/>
      <c r="U58" s="226"/>
      <c r="V58" s="226"/>
      <c r="W58" s="226"/>
      <c r="X58" s="226"/>
      <c r="Y58" s="226"/>
      <c r="Z58" s="226"/>
      <c r="AA58" s="226"/>
      <c r="AB58" s="226"/>
    </row>
    <row r="59">
      <c r="A59" s="228">
        <v>184.0</v>
      </c>
      <c r="B59" s="229" t="s">
        <v>496</v>
      </c>
      <c r="C59" s="228" t="s">
        <v>1618</v>
      </c>
      <c r="D59" s="230">
        <v>45833.0</v>
      </c>
      <c r="E59" s="231">
        <v>17.5</v>
      </c>
      <c r="F59" s="232">
        <v>15.0</v>
      </c>
      <c r="G59" s="232">
        <v>143.0</v>
      </c>
      <c r="H59" s="233"/>
      <c r="I59" s="232">
        <v>23.0</v>
      </c>
      <c r="J59" s="234">
        <f t="shared" si="2"/>
        <v>198.5</v>
      </c>
      <c r="K59" s="228" t="s">
        <v>1592</v>
      </c>
      <c r="L59" s="233"/>
      <c r="M59" s="233"/>
      <c r="N59" s="233"/>
      <c r="O59" s="233"/>
      <c r="P59" s="233"/>
      <c r="Q59" s="233"/>
      <c r="R59" s="233"/>
      <c r="S59" s="233"/>
      <c r="T59" s="233"/>
      <c r="U59" s="233"/>
      <c r="V59" s="233"/>
      <c r="W59" s="233"/>
      <c r="X59" s="233"/>
      <c r="Y59" s="233"/>
      <c r="Z59" s="233"/>
      <c r="AA59" s="233"/>
      <c r="AB59" s="233"/>
    </row>
    <row r="60">
      <c r="A60" s="235">
        <v>186.0</v>
      </c>
      <c r="B60" s="236" t="s">
        <v>499</v>
      </c>
      <c r="C60" s="235" t="s">
        <v>1619</v>
      </c>
      <c r="D60" s="237">
        <v>45838.0</v>
      </c>
      <c r="E60" s="238">
        <v>17.5</v>
      </c>
      <c r="F60" s="239">
        <v>15.0</v>
      </c>
      <c r="G60" s="239">
        <v>143.0</v>
      </c>
      <c r="H60" s="240"/>
      <c r="I60" s="239">
        <v>23.0</v>
      </c>
      <c r="J60" s="241">
        <f t="shared" si="2"/>
        <v>198.5</v>
      </c>
      <c r="K60" s="235" t="s">
        <v>1592</v>
      </c>
      <c r="L60" s="240"/>
      <c r="M60" s="240"/>
      <c r="N60" s="240"/>
      <c r="O60" s="240"/>
      <c r="P60" s="240"/>
      <c r="Q60" s="240"/>
      <c r="R60" s="240"/>
      <c r="S60" s="240"/>
      <c r="T60" s="240"/>
      <c r="U60" s="240"/>
      <c r="V60" s="240"/>
      <c r="W60" s="240"/>
      <c r="X60" s="240"/>
      <c r="Y60" s="240"/>
      <c r="Z60" s="240"/>
      <c r="AA60" s="240"/>
      <c r="AB60" s="240"/>
    </row>
    <row r="61">
      <c r="A61" s="242">
        <v>185.0</v>
      </c>
      <c r="B61" s="243" t="s">
        <v>497</v>
      </c>
      <c r="C61" s="242" t="s">
        <v>1620</v>
      </c>
      <c r="D61" s="244">
        <v>45839.0</v>
      </c>
      <c r="E61" s="245">
        <v>17.5</v>
      </c>
      <c r="F61" s="246">
        <v>15.0</v>
      </c>
      <c r="G61" s="246">
        <v>143.0</v>
      </c>
      <c r="H61" s="246">
        <v>25.0</v>
      </c>
      <c r="I61" s="246">
        <v>23.0</v>
      </c>
      <c r="J61" s="248">
        <f t="shared" si="2"/>
        <v>223.5</v>
      </c>
      <c r="K61" s="242" t="s">
        <v>1592</v>
      </c>
      <c r="L61" s="247"/>
      <c r="M61" s="247"/>
      <c r="N61" s="247"/>
      <c r="O61" s="247"/>
      <c r="P61" s="247"/>
      <c r="Q61" s="247"/>
      <c r="R61" s="247"/>
      <c r="S61" s="247"/>
      <c r="T61" s="247"/>
      <c r="U61" s="247"/>
      <c r="V61" s="247"/>
      <c r="W61" s="247"/>
      <c r="X61" s="247"/>
      <c r="Y61" s="247"/>
      <c r="Z61" s="247"/>
      <c r="AA61" s="247"/>
      <c r="AB61" s="247"/>
    </row>
    <row r="62">
      <c r="A62" s="235">
        <v>187.0</v>
      </c>
      <c r="B62" s="236" t="s">
        <v>501</v>
      </c>
      <c r="C62" s="235" t="s">
        <v>1621</v>
      </c>
      <c r="D62" s="237">
        <v>45840.0</v>
      </c>
      <c r="E62" s="238">
        <v>17.5</v>
      </c>
      <c r="F62" s="239">
        <v>15.0</v>
      </c>
      <c r="G62" s="239">
        <v>143.0</v>
      </c>
      <c r="H62" s="240"/>
      <c r="I62" s="239">
        <v>23.0</v>
      </c>
      <c r="J62" s="241">
        <f t="shared" si="2"/>
        <v>198.5</v>
      </c>
      <c r="K62" s="235" t="s">
        <v>1592</v>
      </c>
      <c r="L62" s="240"/>
      <c r="M62" s="240"/>
      <c r="N62" s="240"/>
      <c r="O62" s="240"/>
      <c r="P62" s="240"/>
      <c r="Q62" s="240"/>
      <c r="R62" s="240"/>
      <c r="S62" s="240"/>
      <c r="T62" s="240"/>
      <c r="U62" s="240"/>
      <c r="V62" s="240"/>
      <c r="W62" s="240"/>
      <c r="X62" s="240"/>
      <c r="Y62" s="240"/>
      <c r="Z62" s="240"/>
      <c r="AA62" s="240"/>
      <c r="AB62" s="240"/>
    </row>
    <row r="63">
      <c r="A63" s="242">
        <v>188.0</v>
      </c>
      <c r="B63" s="243" t="s">
        <v>504</v>
      </c>
      <c r="C63" s="242" t="s">
        <v>1622</v>
      </c>
      <c r="D63" s="244">
        <v>45842.0</v>
      </c>
      <c r="E63" s="245">
        <v>17.5</v>
      </c>
      <c r="F63" s="246">
        <v>15.0</v>
      </c>
      <c r="G63" s="246">
        <v>143.0</v>
      </c>
      <c r="H63" s="247"/>
      <c r="I63" s="246">
        <v>23.0</v>
      </c>
      <c r="J63" s="248">
        <f t="shared" si="2"/>
        <v>198.5</v>
      </c>
      <c r="K63" s="242" t="s">
        <v>1592</v>
      </c>
      <c r="L63" s="247"/>
      <c r="M63" s="247"/>
      <c r="N63" s="247"/>
      <c r="O63" s="247"/>
      <c r="P63" s="247"/>
      <c r="Q63" s="247"/>
      <c r="R63" s="247"/>
      <c r="S63" s="247"/>
      <c r="T63" s="247"/>
      <c r="U63" s="247"/>
      <c r="V63" s="247"/>
      <c r="W63" s="247"/>
      <c r="X63" s="247"/>
      <c r="Y63" s="247"/>
      <c r="Z63" s="247"/>
      <c r="AA63" s="247"/>
      <c r="AB63" s="247"/>
    </row>
    <row r="64">
      <c r="A64" s="235">
        <v>191.0</v>
      </c>
      <c r="B64" s="236" t="s">
        <v>510</v>
      </c>
      <c r="C64" s="235" t="s">
        <v>1623</v>
      </c>
      <c r="D64" s="237">
        <v>45847.0</v>
      </c>
      <c r="E64" s="238">
        <v>17.5</v>
      </c>
      <c r="F64" s="239">
        <v>15.0</v>
      </c>
      <c r="G64" s="239">
        <v>143.0</v>
      </c>
      <c r="H64" s="240"/>
      <c r="I64" s="239">
        <v>23.0</v>
      </c>
      <c r="J64" s="241">
        <f t="shared" si="2"/>
        <v>198.5</v>
      </c>
      <c r="K64" s="235" t="s">
        <v>1592</v>
      </c>
      <c r="L64" s="240"/>
      <c r="M64" s="240"/>
      <c r="N64" s="240"/>
      <c r="O64" s="240"/>
      <c r="P64" s="240"/>
      <c r="Q64" s="240"/>
      <c r="R64" s="240"/>
      <c r="S64" s="240"/>
      <c r="T64" s="240"/>
      <c r="U64" s="240"/>
      <c r="V64" s="240"/>
      <c r="W64" s="240"/>
      <c r="X64" s="240"/>
      <c r="Y64" s="240"/>
      <c r="Z64" s="240"/>
      <c r="AA64" s="240"/>
      <c r="AB64" s="240"/>
    </row>
    <row r="65">
      <c r="A65" s="242">
        <v>192.0</v>
      </c>
      <c r="B65" s="243" t="s">
        <v>513</v>
      </c>
      <c r="C65" s="242" t="s">
        <v>1624</v>
      </c>
      <c r="D65" s="244">
        <v>45847.0</v>
      </c>
      <c r="E65" s="245">
        <v>17.5</v>
      </c>
      <c r="F65" s="246">
        <v>15.0</v>
      </c>
      <c r="G65" s="246">
        <v>143.0</v>
      </c>
      <c r="H65" s="247"/>
      <c r="I65" s="246">
        <v>23.0</v>
      </c>
      <c r="J65" s="248">
        <f t="shared" si="2"/>
        <v>198.5</v>
      </c>
      <c r="K65" s="242" t="s">
        <v>1592</v>
      </c>
      <c r="L65" s="247"/>
      <c r="M65" s="247"/>
      <c r="N65" s="247"/>
      <c r="O65" s="247"/>
      <c r="P65" s="247"/>
      <c r="Q65" s="247"/>
      <c r="R65" s="247"/>
      <c r="S65" s="247"/>
      <c r="T65" s="247"/>
      <c r="U65" s="247"/>
      <c r="V65" s="247"/>
      <c r="W65" s="247"/>
      <c r="X65" s="247"/>
      <c r="Y65" s="247"/>
      <c r="Z65" s="247"/>
      <c r="AA65" s="247"/>
      <c r="AB65" s="247"/>
    </row>
    <row r="66">
      <c r="A66" s="235">
        <v>193.0</v>
      </c>
      <c r="B66" s="236" t="s">
        <v>514</v>
      </c>
      <c r="C66" s="235" t="s">
        <v>1625</v>
      </c>
      <c r="D66" s="237">
        <v>45849.0</v>
      </c>
      <c r="E66" s="238">
        <v>17.5</v>
      </c>
      <c r="F66" s="239">
        <v>15.0</v>
      </c>
      <c r="G66" s="239">
        <v>143.0</v>
      </c>
      <c r="H66" s="240"/>
      <c r="I66" s="239">
        <v>23.0</v>
      </c>
      <c r="J66" s="241">
        <f t="shared" si="2"/>
        <v>198.5</v>
      </c>
      <c r="K66" s="235" t="s">
        <v>1592</v>
      </c>
      <c r="L66" s="240"/>
      <c r="M66" s="240"/>
      <c r="N66" s="240"/>
      <c r="O66" s="240"/>
      <c r="P66" s="240"/>
      <c r="Q66" s="240"/>
      <c r="R66" s="240"/>
      <c r="S66" s="240"/>
      <c r="T66" s="240"/>
      <c r="U66" s="240"/>
      <c r="V66" s="240"/>
      <c r="W66" s="240"/>
      <c r="X66" s="240"/>
      <c r="Y66" s="240"/>
      <c r="Z66" s="240"/>
      <c r="AA66" s="240"/>
      <c r="AB66" s="240"/>
    </row>
    <row r="67">
      <c r="A67" s="242">
        <v>194.0</v>
      </c>
      <c r="B67" s="243" t="s">
        <v>517</v>
      </c>
      <c r="C67" s="242" t="s">
        <v>1626</v>
      </c>
      <c r="D67" s="244">
        <v>45850.0</v>
      </c>
      <c r="E67" s="245">
        <v>17.5</v>
      </c>
      <c r="F67" s="246">
        <v>15.0</v>
      </c>
      <c r="G67" s="246">
        <v>143.0</v>
      </c>
      <c r="H67" s="247"/>
      <c r="I67" s="246">
        <v>23.0</v>
      </c>
      <c r="J67" s="248">
        <f t="shared" si="2"/>
        <v>198.5</v>
      </c>
      <c r="K67" s="242" t="s">
        <v>1592</v>
      </c>
      <c r="L67" s="247"/>
      <c r="M67" s="247"/>
      <c r="N67" s="247"/>
      <c r="O67" s="247"/>
      <c r="P67" s="247"/>
      <c r="Q67" s="247"/>
      <c r="R67" s="247"/>
      <c r="S67" s="247"/>
      <c r="T67" s="247"/>
      <c r="U67" s="247"/>
      <c r="V67" s="247"/>
      <c r="W67" s="247"/>
      <c r="X67" s="247"/>
      <c r="Y67" s="247"/>
      <c r="Z67" s="247"/>
      <c r="AA67" s="247"/>
      <c r="AB67" s="247"/>
    </row>
    <row r="68">
      <c r="A68" s="235">
        <v>200.0</v>
      </c>
      <c r="B68" s="236" t="s">
        <v>530</v>
      </c>
      <c r="C68" s="235" t="s">
        <v>1627</v>
      </c>
      <c r="D68" s="237">
        <v>45853.0</v>
      </c>
      <c r="E68" s="238">
        <v>17.5</v>
      </c>
      <c r="F68" s="239">
        <v>15.0</v>
      </c>
      <c r="G68" s="239">
        <v>143.0</v>
      </c>
      <c r="H68" s="240"/>
      <c r="I68" s="239">
        <v>23.0</v>
      </c>
      <c r="J68" s="241">
        <f t="shared" si="2"/>
        <v>198.5</v>
      </c>
      <c r="K68" s="235" t="s">
        <v>1592</v>
      </c>
      <c r="L68" s="240"/>
      <c r="M68" s="240"/>
      <c r="N68" s="240"/>
      <c r="O68" s="240"/>
      <c r="P68" s="240"/>
      <c r="Q68" s="240"/>
      <c r="R68" s="240"/>
      <c r="S68" s="240"/>
      <c r="T68" s="240"/>
      <c r="U68" s="240"/>
      <c r="V68" s="240"/>
      <c r="W68" s="240"/>
      <c r="X68" s="240"/>
      <c r="Y68" s="240"/>
      <c r="Z68" s="240"/>
      <c r="AA68" s="240"/>
      <c r="AB68" s="240"/>
    </row>
    <row r="69">
      <c r="A69" s="242">
        <v>195.0</v>
      </c>
      <c r="B69" s="243" t="s">
        <v>520</v>
      </c>
      <c r="C69" s="242" t="s">
        <v>1628</v>
      </c>
      <c r="D69" s="244">
        <v>45853.0</v>
      </c>
      <c r="E69" s="245">
        <v>17.5</v>
      </c>
      <c r="F69" s="246">
        <v>15.0</v>
      </c>
      <c r="G69" s="246">
        <v>143.0</v>
      </c>
      <c r="H69" s="247"/>
      <c r="I69" s="246">
        <v>23.0</v>
      </c>
      <c r="J69" s="248">
        <f t="shared" si="2"/>
        <v>198.5</v>
      </c>
      <c r="K69" s="242" t="s">
        <v>1592</v>
      </c>
      <c r="L69" s="247"/>
      <c r="M69" s="247"/>
      <c r="N69" s="247"/>
      <c r="O69" s="247"/>
      <c r="P69" s="247"/>
      <c r="Q69" s="247"/>
      <c r="R69" s="247"/>
      <c r="S69" s="247"/>
      <c r="T69" s="247"/>
      <c r="U69" s="247"/>
      <c r="V69" s="247"/>
      <c r="W69" s="247"/>
      <c r="X69" s="247"/>
      <c r="Y69" s="247"/>
      <c r="Z69" s="247"/>
      <c r="AA69" s="247"/>
      <c r="AB69" s="247"/>
    </row>
    <row r="70">
      <c r="A70" s="235">
        <v>196.0</v>
      </c>
      <c r="B70" s="236" t="s">
        <v>522</v>
      </c>
      <c r="C70" s="235" t="s">
        <v>1629</v>
      </c>
      <c r="D70" s="237">
        <v>45853.0</v>
      </c>
      <c r="E70" s="238">
        <v>17.5</v>
      </c>
      <c r="F70" s="239">
        <v>15.0</v>
      </c>
      <c r="G70" s="239">
        <v>143.0</v>
      </c>
      <c r="H70" s="240"/>
      <c r="I70" s="239">
        <v>23.0</v>
      </c>
      <c r="J70" s="241">
        <f t="shared" si="2"/>
        <v>198.5</v>
      </c>
      <c r="K70" s="235" t="s">
        <v>1592</v>
      </c>
      <c r="L70" s="240"/>
      <c r="M70" s="240"/>
      <c r="N70" s="240"/>
      <c r="O70" s="240"/>
      <c r="P70" s="240"/>
      <c r="Q70" s="240"/>
      <c r="R70" s="240"/>
      <c r="S70" s="240"/>
      <c r="T70" s="240"/>
      <c r="U70" s="240"/>
      <c r="V70" s="240"/>
      <c r="W70" s="240"/>
      <c r="X70" s="240"/>
      <c r="Y70" s="240"/>
      <c r="Z70" s="240"/>
      <c r="AA70" s="240"/>
      <c r="AB70" s="240"/>
    </row>
    <row r="71">
      <c r="A71" s="242">
        <v>189.0</v>
      </c>
      <c r="B71" s="243" t="s">
        <v>507</v>
      </c>
      <c r="C71" s="242" t="s">
        <v>1630</v>
      </c>
      <c r="D71" s="244">
        <v>45854.0</v>
      </c>
      <c r="E71" s="245">
        <v>17.5</v>
      </c>
      <c r="F71" s="246">
        <v>15.0</v>
      </c>
      <c r="G71" s="246">
        <v>143.0</v>
      </c>
      <c r="H71" s="247"/>
      <c r="I71" s="246">
        <v>23.0</v>
      </c>
      <c r="J71" s="248">
        <f t="shared" si="2"/>
        <v>198.5</v>
      </c>
      <c r="K71" s="242" t="s">
        <v>1592</v>
      </c>
      <c r="L71" s="247"/>
      <c r="M71" s="247"/>
      <c r="N71" s="247"/>
      <c r="O71" s="247"/>
      <c r="P71" s="247"/>
      <c r="Q71" s="247"/>
      <c r="R71" s="247"/>
      <c r="S71" s="247"/>
      <c r="T71" s="247"/>
      <c r="U71" s="247"/>
      <c r="V71" s="247"/>
      <c r="W71" s="247"/>
      <c r="X71" s="247"/>
      <c r="Y71" s="247"/>
      <c r="Z71" s="247"/>
      <c r="AA71" s="247"/>
      <c r="AB71" s="247"/>
    </row>
    <row r="72">
      <c r="A72" s="235">
        <v>190.0</v>
      </c>
      <c r="B72" s="236" t="s">
        <v>508</v>
      </c>
      <c r="C72" s="235" t="s">
        <v>1631</v>
      </c>
      <c r="D72" s="237">
        <v>45854.0</v>
      </c>
      <c r="E72" s="238">
        <v>17.5</v>
      </c>
      <c r="F72" s="239">
        <v>15.0</v>
      </c>
      <c r="G72" s="239">
        <v>143.0</v>
      </c>
      <c r="H72" s="240"/>
      <c r="I72" s="239">
        <v>23.0</v>
      </c>
      <c r="J72" s="241">
        <f t="shared" si="2"/>
        <v>198.5</v>
      </c>
      <c r="K72" s="235" t="s">
        <v>1592</v>
      </c>
      <c r="L72" s="240"/>
      <c r="M72" s="240"/>
      <c r="N72" s="240"/>
      <c r="O72" s="240"/>
      <c r="P72" s="240"/>
      <c r="Q72" s="240"/>
      <c r="R72" s="240"/>
      <c r="S72" s="240"/>
      <c r="T72" s="240"/>
      <c r="U72" s="240"/>
      <c r="V72" s="240"/>
      <c r="W72" s="240"/>
      <c r="X72" s="240"/>
      <c r="Y72" s="240"/>
      <c r="Z72" s="240"/>
      <c r="AA72" s="240"/>
      <c r="AB72" s="240"/>
    </row>
    <row r="73">
      <c r="A73" s="242">
        <v>197.0</v>
      </c>
      <c r="B73" s="243" t="s">
        <v>523</v>
      </c>
      <c r="C73" s="242" t="s">
        <v>1632</v>
      </c>
      <c r="D73" s="244">
        <v>45854.0</v>
      </c>
      <c r="E73" s="245">
        <v>17.5</v>
      </c>
      <c r="F73" s="246">
        <v>15.0</v>
      </c>
      <c r="G73" s="246">
        <v>143.0</v>
      </c>
      <c r="H73" s="247"/>
      <c r="I73" s="246">
        <v>23.0</v>
      </c>
      <c r="J73" s="248">
        <f t="shared" si="2"/>
        <v>198.5</v>
      </c>
      <c r="K73" s="242" t="s">
        <v>1592</v>
      </c>
      <c r="L73" s="247"/>
      <c r="M73" s="247"/>
      <c r="N73" s="247"/>
      <c r="O73" s="247"/>
      <c r="P73" s="247"/>
      <c r="Q73" s="247"/>
      <c r="R73" s="247"/>
      <c r="S73" s="247"/>
      <c r="T73" s="247"/>
      <c r="U73" s="247"/>
      <c r="V73" s="247"/>
      <c r="W73" s="247"/>
      <c r="X73" s="247"/>
      <c r="Y73" s="247"/>
      <c r="Z73" s="247"/>
      <c r="AA73" s="247"/>
      <c r="AB73" s="247"/>
    </row>
    <row r="74">
      <c r="A74" s="235">
        <v>201.0</v>
      </c>
      <c r="B74" s="236" t="s">
        <v>531</v>
      </c>
      <c r="C74" s="235" t="s">
        <v>1633</v>
      </c>
      <c r="D74" s="237">
        <v>45854.0</v>
      </c>
      <c r="E74" s="238">
        <v>17.5</v>
      </c>
      <c r="F74" s="239">
        <v>15.0</v>
      </c>
      <c r="G74" s="239">
        <v>138.0</v>
      </c>
      <c r="H74" s="240"/>
      <c r="I74" s="239">
        <v>23.0</v>
      </c>
      <c r="J74" s="241">
        <f t="shared" si="2"/>
        <v>193.5</v>
      </c>
      <c r="K74" s="235" t="s">
        <v>1592</v>
      </c>
      <c r="L74" s="240"/>
      <c r="M74" s="240"/>
      <c r="N74" s="240"/>
      <c r="O74" s="240"/>
      <c r="P74" s="240"/>
      <c r="Q74" s="240"/>
      <c r="R74" s="240"/>
      <c r="S74" s="240"/>
      <c r="T74" s="240"/>
      <c r="U74" s="240"/>
      <c r="V74" s="240"/>
      <c r="W74" s="240"/>
      <c r="X74" s="240"/>
      <c r="Y74" s="240"/>
      <c r="Z74" s="240"/>
      <c r="AA74" s="240"/>
      <c r="AB74" s="240"/>
    </row>
    <row r="75">
      <c r="A75" s="242">
        <v>199.0</v>
      </c>
      <c r="B75" s="243" t="s">
        <v>527</v>
      </c>
      <c r="C75" s="242" t="s">
        <v>1634</v>
      </c>
      <c r="D75" s="244">
        <v>45854.0</v>
      </c>
      <c r="E75" s="245">
        <v>17.5</v>
      </c>
      <c r="F75" s="246">
        <v>15.0</v>
      </c>
      <c r="G75" s="246">
        <v>143.0</v>
      </c>
      <c r="H75" s="247"/>
      <c r="I75" s="246">
        <v>23.0</v>
      </c>
      <c r="J75" s="248">
        <f t="shared" si="2"/>
        <v>198.5</v>
      </c>
      <c r="K75" s="242" t="s">
        <v>1592</v>
      </c>
      <c r="L75" s="247"/>
      <c r="M75" s="247"/>
      <c r="N75" s="247"/>
      <c r="O75" s="247"/>
      <c r="P75" s="247"/>
      <c r="Q75" s="247"/>
      <c r="R75" s="247"/>
      <c r="S75" s="247"/>
      <c r="T75" s="247"/>
      <c r="U75" s="247"/>
      <c r="V75" s="247"/>
      <c r="W75" s="247"/>
      <c r="X75" s="247"/>
      <c r="Y75" s="247"/>
      <c r="Z75" s="247"/>
      <c r="AA75" s="247"/>
      <c r="AB75" s="247"/>
    </row>
    <row r="76">
      <c r="A76" s="235">
        <v>198.0</v>
      </c>
      <c r="B76" s="236" t="s">
        <v>526</v>
      </c>
      <c r="C76" s="235" t="s">
        <v>1635</v>
      </c>
      <c r="D76" s="237">
        <v>45855.0</v>
      </c>
      <c r="E76" s="238">
        <v>17.5</v>
      </c>
      <c r="F76" s="239">
        <v>15.0</v>
      </c>
      <c r="G76" s="239">
        <v>143.0</v>
      </c>
      <c r="H76" s="240"/>
      <c r="I76" s="239">
        <v>23.0</v>
      </c>
      <c r="J76" s="241">
        <f t="shared" si="2"/>
        <v>198.5</v>
      </c>
      <c r="K76" s="235" t="s">
        <v>1592</v>
      </c>
      <c r="L76" s="240"/>
      <c r="M76" s="240"/>
      <c r="N76" s="240"/>
      <c r="O76" s="240"/>
      <c r="P76" s="240"/>
      <c r="Q76" s="240"/>
      <c r="R76" s="240"/>
      <c r="S76" s="240"/>
      <c r="T76" s="240"/>
      <c r="U76" s="240"/>
      <c r="V76" s="240"/>
      <c r="W76" s="240"/>
      <c r="X76" s="240"/>
      <c r="Y76" s="240"/>
      <c r="Z76" s="240"/>
      <c r="AA76" s="240"/>
      <c r="AB76" s="240"/>
    </row>
    <row r="77">
      <c r="A77" s="242">
        <v>202.0</v>
      </c>
      <c r="B77" s="243" t="s">
        <v>1484</v>
      </c>
      <c r="C77" s="242" t="s">
        <v>1636</v>
      </c>
      <c r="D77" s="244">
        <v>45856.0</v>
      </c>
      <c r="E77" s="245">
        <v>17.5</v>
      </c>
      <c r="F77" s="246">
        <v>15.0</v>
      </c>
      <c r="G77" s="246">
        <v>143.0</v>
      </c>
      <c r="H77" s="246">
        <v>25.0</v>
      </c>
      <c r="I77" s="246">
        <v>23.0</v>
      </c>
      <c r="J77" s="248">
        <f t="shared" si="2"/>
        <v>223.5</v>
      </c>
      <c r="K77" s="242" t="s">
        <v>1592</v>
      </c>
      <c r="L77" s="247"/>
      <c r="M77" s="247"/>
      <c r="N77" s="247"/>
      <c r="O77" s="247"/>
      <c r="P77" s="247"/>
      <c r="Q77" s="247"/>
      <c r="R77" s="247"/>
      <c r="S77" s="247"/>
      <c r="T77" s="247"/>
      <c r="U77" s="247"/>
      <c r="V77" s="247"/>
      <c r="W77" s="247"/>
      <c r="X77" s="247"/>
      <c r="Y77" s="247"/>
      <c r="Z77" s="247"/>
      <c r="AA77" s="247"/>
      <c r="AB77" s="247"/>
    </row>
    <row r="78">
      <c r="A78" s="235">
        <v>205.0</v>
      </c>
      <c r="B78" s="236" t="s">
        <v>538</v>
      </c>
      <c r="C78" s="235" t="s">
        <v>1637</v>
      </c>
      <c r="D78" s="237">
        <v>45860.0</v>
      </c>
      <c r="E78" s="238">
        <v>17.5</v>
      </c>
      <c r="F78" s="239">
        <v>15.0</v>
      </c>
      <c r="G78" s="239">
        <v>143.0</v>
      </c>
      <c r="H78" s="240"/>
      <c r="I78" s="239">
        <v>23.0</v>
      </c>
      <c r="J78" s="241">
        <f t="shared" si="2"/>
        <v>198.5</v>
      </c>
      <c r="K78" s="235" t="s">
        <v>1592</v>
      </c>
      <c r="L78" s="240"/>
      <c r="M78" s="240"/>
      <c r="N78" s="240"/>
      <c r="O78" s="240"/>
      <c r="P78" s="240"/>
      <c r="Q78" s="240"/>
      <c r="R78" s="240"/>
      <c r="S78" s="240"/>
      <c r="T78" s="240"/>
      <c r="U78" s="240"/>
      <c r="V78" s="240"/>
      <c r="W78" s="240"/>
      <c r="X78" s="240"/>
      <c r="Y78" s="240"/>
      <c r="Z78" s="240"/>
      <c r="AA78" s="240"/>
      <c r="AB78" s="240"/>
    </row>
    <row r="79">
      <c r="A79" s="242">
        <v>204.0</v>
      </c>
      <c r="B79" s="243" t="s">
        <v>537</v>
      </c>
      <c r="C79" s="242" t="s">
        <v>1638</v>
      </c>
      <c r="D79" s="244">
        <v>45861.0</v>
      </c>
      <c r="E79" s="245">
        <v>17.5</v>
      </c>
      <c r="F79" s="246">
        <v>15.0</v>
      </c>
      <c r="G79" s="246">
        <v>143.0</v>
      </c>
      <c r="H79" s="247"/>
      <c r="I79" s="246">
        <v>23.0</v>
      </c>
      <c r="J79" s="248">
        <f t="shared" si="2"/>
        <v>198.5</v>
      </c>
      <c r="K79" s="242" t="s">
        <v>1592</v>
      </c>
      <c r="L79" s="247"/>
      <c r="M79" s="247"/>
      <c r="N79" s="247"/>
      <c r="O79" s="247"/>
      <c r="P79" s="247"/>
      <c r="Q79" s="247"/>
      <c r="R79" s="247"/>
      <c r="S79" s="247"/>
      <c r="T79" s="247"/>
      <c r="U79" s="247"/>
      <c r="V79" s="247"/>
      <c r="W79" s="247"/>
      <c r="X79" s="247"/>
      <c r="Y79" s="247"/>
      <c r="Z79" s="247"/>
      <c r="AA79" s="247"/>
      <c r="AB79" s="247"/>
    </row>
    <row r="80">
      <c r="A80" s="235">
        <v>207.0</v>
      </c>
      <c r="B80" s="236" t="s">
        <v>542</v>
      </c>
      <c r="C80" s="235" t="s">
        <v>1639</v>
      </c>
      <c r="D80" s="237">
        <v>45862.0</v>
      </c>
      <c r="E80" s="238">
        <v>17.5</v>
      </c>
      <c r="F80" s="239">
        <v>15.0</v>
      </c>
      <c r="G80" s="239">
        <v>143.0</v>
      </c>
      <c r="H80" s="240"/>
      <c r="I80" s="239">
        <v>23.0</v>
      </c>
      <c r="J80" s="241">
        <f t="shared" si="2"/>
        <v>198.5</v>
      </c>
      <c r="K80" s="235" t="s">
        <v>1592</v>
      </c>
      <c r="L80" s="240"/>
      <c r="M80" s="240"/>
      <c r="N80" s="240"/>
      <c r="O80" s="240"/>
      <c r="P80" s="240"/>
      <c r="Q80" s="240"/>
      <c r="R80" s="240"/>
      <c r="S80" s="240"/>
      <c r="T80" s="240"/>
      <c r="U80" s="240"/>
      <c r="V80" s="240"/>
      <c r="W80" s="240"/>
      <c r="X80" s="240"/>
      <c r="Y80" s="240"/>
      <c r="Z80" s="240"/>
      <c r="AA80" s="240"/>
      <c r="AB80" s="240"/>
    </row>
    <row r="81">
      <c r="A81" s="242">
        <v>206.0</v>
      </c>
      <c r="B81" s="243" t="s">
        <v>539</v>
      </c>
      <c r="C81" s="242" t="s">
        <v>1640</v>
      </c>
      <c r="D81" s="244">
        <v>45863.0</v>
      </c>
      <c r="E81" s="245">
        <v>17.5</v>
      </c>
      <c r="F81" s="246">
        <v>15.0</v>
      </c>
      <c r="G81" s="246">
        <v>143.0</v>
      </c>
      <c r="H81" s="246">
        <v>25.0</v>
      </c>
      <c r="I81" s="246">
        <v>23.0</v>
      </c>
      <c r="J81" s="248">
        <f t="shared" si="2"/>
        <v>223.5</v>
      </c>
      <c r="K81" s="242" t="s">
        <v>1592</v>
      </c>
      <c r="L81" s="247"/>
      <c r="M81" s="247"/>
      <c r="N81" s="247"/>
      <c r="O81" s="247"/>
      <c r="P81" s="247"/>
      <c r="Q81" s="247"/>
      <c r="R81" s="247"/>
      <c r="S81" s="247"/>
      <c r="T81" s="247"/>
      <c r="U81" s="247"/>
      <c r="V81" s="247"/>
      <c r="W81" s="247"/>
      <c r="X81" s="247"/>
      <c r="Y81" s="247"/>
      <c r="Z81" s="247"/>
      <c r="AA81" s="247"/>
      <c r="AB81" s="247"/>
    </row>
    <row r="82">
      <c r="A82" s="235">
        <v>209.0</v>
      </c>
      <c r="B82" s="236" t="s">
        <v>546</v>
      </c>
      <c r="C82" s="235" t="s">
        <v>1641</v>
      </c>
      <c r="D82" s="237">
        <v>45867.0</v>
      </c>
      <c r="E82" s="238">
        <v>17.5</v>
      </c>
      <c r="F82" s="239">
        <v>15.0</v>
      </c>
      <c r="G82" s="239">
        <v>143.0</v>
      </c>
      <c r="H82" s="240"/>
      <c r="I82" s="239">
        <v>23.0</v>
      </c>
      <c r="J82" s="241">
        <f t="shared" si="2"/>
        <v>198.5</v>
      </c>
      <c r="K82" s="240"/>
      <c r="L82" s="240"/>
      <c r="M82" s="240"/>
      <c r="N82" s="240"/>
      <c r="O82" s="240"/>
      <c r="P82" s="240"/>
      <c r="Q82" s="240"/>
      <c r="R82" s="240"/>
      <c r="S82" s="240"/>
      <c r="T82" s="240"/>
      <c r="U82" s="240"/>
      <c r="V82" s="240"/>
      <c r="W82" s="240"/>
      <c r="X82" s="240"/>
      <c r="Y82" s="240"/>
      <c r="Z82" s="240"/>
      <c r="AA82" s="240"/>
      <c r="AB82" s="240"/>
    </row>
    <row r="83">
      <c r="A83" s="242">
        <v>203.0</v>
      </c>
      <c r="B83" s="243" t="s">
        <v>535</v>
      </c>
      <c r="C83" s="242" t="s">
        <v>1642</v>
      </c>
      <c r="D83" s="244">
        <v>45859.0</v>
      </c>
      <c r="E83" s="245">
        <v>17.5</v>
      </c>
      <c r="F83" s="246">
        <v>15.0</v>
      </c>
      <c r="G83" s="246">
        <v>143.0</v>
      </c>
      <c r="H83" s="247"/>
      <c r="I83" s="246">
        <v>23.0</v>
      </c>
      <c r="J83" s="248">
        <f t="shared" si="2"/>
        <v>198.5</v>
      </c>
      <c r="K83" s="247"/>
      <c r="L83" s="247"/>
      <c r="M83" s="247"/>
      <c r="N83" s="247"/>
      <c r="O83" s="247"/>
      <c r="P83" s="247"/>
      <c r="Q83" s="247"/>
      <c r="R83" s="247"/>
      <c r="S83" s="247"/>
      <c r="T83" s="247"/>
      <c r="U83" s="247"/>
      <c r="V83" s="247"/>
      <c r="W83" s="247"/>
      <c r="X83" s="247"/>
      <c r="Y83" s="247"/>
      <c r="Z83" s="247"/>
      <c r="AA83" s="247"/>
      <c r="AB83" s="247"/>
    </row>
    <row r="84">
      <c r="A84" s="235">
        <v>208.0</v>
      </c>
      <c r="B84" s="236" t="s">
        <v>544</v>
      </c>
      <c r="C84" s="235" t="s">
        <v>1643</v>
      </c>
      <c r="D84" s="237">
        <v>45865.0</v>
      </c>
      <c r="E84" s="238">
        <v>17.5</v>
      </c>
      <c r="F84" s="239">
        <v>15.0</v>
      </c>
      <c r="G84" s="239">
        <v>143.0</v>
      </c>
      <c r="H84" s="240"/>
      <c r="I84" s="239">
        <v>23.0</v>
      </c>
      <c r="J84" s="241">
        <f t="shared" si="2"/>
        <v>198.5</v>
      </c>
      <c r="K84" s="240"/>
      <c r="L84" s="240"/>
      <c r="M84" s="240"/>
      <c r="N84" s="240"/>
      <c r="O84" s="240"/>
      <c r="P84" s="240"/>
      <c r="Q84" s="240"/>
      <c r="R84" s="240"/>
      <c r="S84" s="240"/>
      <c r="T84" s="240"/>
      <c r="U84" s="240"/>
      <c r="V84" s="240"/>
      <c r="W84" s="240"/>
      <c r="X84" s="240"/>
      <c r="Y84" s="240"/>
      <c r="Z84" s="240"/>
      <c r="AA84" s="240"/>
      <c r="AB84" s="240"/>
    </row>
    <row r="85">
      <c r="A85" s="242">
        <v>211.0</v>
      </c>
      <c r="B85" s="243" t="s">
        <v>552</v>
      </c>
      <c r="C85" s="242" t="s">
        <v>1644</v>
      </c>
      <c r="D85" s="244">
        <v>45883.0</v>
      </c>
      <c r="E85" s="245">
        <v>17.5</v>
      </c>
      <c r="F85" s="246">
        <v>15.0</v>
      </c>
      <c r="G85" s="246">
        <v>143.0</v>
      </c>
      <c r="H85" s="246">
        <v>36.5</v>
      </c>
      <c r="I85" s="246">
        <v>23.0</v>
      </c>
      <c r="J85" s="248">
        <f t="shared" si="2"/>
        <v>235</v>
      </c>
      <c r="K85" s="242" t="s">
        <v>1592</v>
      </c>
      <c r="L85" s="247"/>
      <c r="M85" s="247"/>
      <c r="N85" s="247"/>
      <c r="O85" s="247"/>
      <c r="P85" s="247"/>
      <c r="Q85" s="247"/>
      <c r="R85" s="247"/>
      <c r="S85" s="247"/>
      <c r="T85" s="247"/>
      <c r="U85" s="247"/>
      <c r="V85" s="247"/>
      <c r="W85" s="247"/>
      <c r="X85" s="247"/>
      <c r="Y85" s="247"/>
      <c r="Z85" s="247"/>
      <c r="AA85" s="247"/>
      <c r="AB85" s="247"/>
    </row>
    <row r="86">
      <c r="A86" s="235">
        <v>210.0</v>
      </c>
      <c r="B86" s="236" t="s">
        <v>549</v>
      </c>
      <c r="C86" s="235" t="s">
        <v>1645</v>
      </c>
      <c r="D86" s="237">
        <v>45887.0</v>
      </c>
      <c r="E86" s="238">
        <v>17.5</v>
      </c>
      <c r="F86" s="239">
        <v>15.0</v>
      </c>
      <c r="G86" s="239">
        <v>143.0</v>
      </c>
      <c r="H86" s="240"/>
      <c r="I86" s="240"/>
      <c r="J86" s="241">
        <f t="shared" si="2"/>
        <v>175.5</v>
      </c>
      <c r="K86" s="235" t="s">
        <v>1592</v>
      </c>
      <c r="L86" s="240"/>
      <c r="M86" s="240"/>
      <c r="N86" s="240"/>
      <c r="O86" s="240"/>
      <c r="P86" s="240"/>
      <c r="Q86" s="240"/>
      <c r="R86" s="240"/>
      <c r="S86" s="240"/>
      <c r="T86" s="240"/>
      <c r="U86" s="240"/>
      <c r="V86" s="240"/>
      <c r="W86" s="240"/>
      <c r="X86" s="240"/>
      <c r="Y86" s="240"/>
      <c r="Z86" s="240"/>
      <c r="AA86" s="240"/>
      <c r="AB86" s="240"/>
    </row>
    <row r="87">
      <c r="A87" s="242">
        <v>212.0</v>
      </c>
      <c r="B87" s="243" t="s">
        <v>554</v>
      </c>
      <c r="C87" s="242" t="s">
        <v>1646</v>
      </c>
      <c r="D87" s="244">
        <v>45888.0</v>
      </c>
      <c r="E87" s="245">
        <v>17.5</v>
      </c>
      <c r="F87" s="246">
        <v>15.0</v>
      </c>
      <c r="G87" s="246">
        <v>143.0</v>
      </c>
      <c r="H87" s="247"/>
      <c r="I87" s="246">
        <v>23.0</v>
      </c>
      <c r="J87" s="248">
        <f t="shared" si="2"/>
        <v>198.5</v>
      </c>
      <c r="K87" s="242" t="s">
        <v>1592</v>
      </c>
      <c r="L87" s="247"/>
      <c r="M87" s="247"/>
      <c r="N87" s="247"/>
      <c r="O87" s="247"/>
      <c r="P87" s="247"/>
      <c r="Q87" s="247"/>
      <c r="R87" s="247"/>
      <c r="S87" s="247"/>
      <c r="T87" s="247"/>
      <c r="U87" s="247"/>
      <c r="V87" s="247"/>
      <c r="W87" s="247"/>
      <c r="X87" s="247"/>
      <c r="Y87" s="247"/>
      <c r="Z87" s="247"/>
      <c r="AA87" s="247"/>
      <c r="AB87" s="247"/>
    </row>
    <row r="88">
      <c r="A88" s="235">
        <v>215.0</v>
      </c>
      <c r="B88" s="236" t="s">
        <v>563</v>
      </c>
      <c r="C88" s="235" t="s">
        <v>1647</v>
      </c>
      <c r="D88" s="237">
        <v>45888.0</v>
      </c>
      <c r="E88" s="238">
        <v>17.5</v>
      </c>
      <c r="F88" s="239">
        <v>15.0</v>
      </c>
      <c r="G88" s="239">
        <v>143.0</v>
      </c>
      <c r="H88" s="240"/>
      <c r="I88" s="239">
        <v>23.0</v>
      </c>
      <c r="J88" s="241">
        <f t="shared" si="2"/>
        <v>198.5</v>
      </c>
      <c r="K88" s="235" t="s">
        <v>1592</v>
      </c>
      <c r="L88" s="240"/>
      <c r="M88" s="240"/>
      <c r="N88" s="240"/>
      <c r="O88" s="240"/>
      <c r="P88" s="240"/>
      <c r="Q88" s="240"/>
      <c r="R88" s="240"/>
      <c r="S88" s="240"/>
      <c r="T88" s="240"/>
      <c r="U88" s="240"/>
      <c r="V88" s="240"/>
      <c r="W88" s="240"/>
      <c r="X88" s="240"/>
      <c r="Y88" s="240"/>
      <c r="Z88" s="240"/>
      <c r="AA88" s="240"/>
      <c r="AB88" s="240"/>
    </row>
    <row r="89">
      <c r="A89" s="242">
        <v>216.0</v>
      </c>
      <c r="B89" s="243" t="s">
        <v>566</v>
      </c>
      <c r="C89" s="242" t="s">
        <v>1648</v>
      </c>
      <c r="D89" s="244">
        <v>45889.0</v>
      </c>
      <c r="E89" s="245">
        <v>17.5</v>
      </c>
      <c r="F89" s="246">
        <v>15.0</v>
      </c>
      <c r="G89" s="246">
        <v>143.0</v>
      </c>
      <c r="H89" s="247"/>
      <c r="I89" s="246">
        <v>23.0</v>
      </c>
      <c r="J89" s="248">
        <f t="shared" si="2"/>
        <v>198.5</v>
      </c>
      <c r="K89" s="242" t="s">
        <v>1592</v>
      </c>
      <c r="L89" s="247"/>
      <c r="M89" s="247"/>
      <c r="N89" s="247"/>
      <c r="O89" s="247"/>
      <c r="P89" s="247"/>
      <c r="Q89" s="247"/>
      <c r="R89" s="247"/>
      <c r="S89" s="247"/>
      <c r="T89" s="247"/>
      <c r="U89" s="247"/>
      <c r="V89" s="247"/>
      <c r="W89" s="247"/>
      <c r="X89" s="247"/>
      <c r="Y89" s="247"/>
      <c r="Z89" s="247"/>
      <c r="AA89" s="247"/>
      <c r="AB89" s="247"/>
    </row>
    <row r="90">
      <c r="A90" s="251" t="s">
        <v>556</v>
      </c>
      <c r="B90" s="236" t="s">
        <v>557</v>
      </c>
      <c r="C90" s="235" t="s">
        <v>1649</v>
      </c>
      <c r="D90" s="237">
        <v>45888.0</v>
      </c>
      <c r="E90" s="238">
        <v>17.5</v>
      </c>
      <c r="F90" s="239">
        <v>15.0</v>
      </c>
      <c r="G90" s="239">
        <v>143.0</v>
      </c>
      <c r="H90" s="240"/>
      <c r="I90" s="240"/>
      <c r="J90" s="241">
        <f t="shared" si="2"/>
        <v>175.5</v>
      </c>
      <c r="K90" s="235" t="s">
        <v>1592</v>
      </c>
      <c r="L90" s="240"/>
      <c r="M90" s="240"/>
      <c r="N90" s="240"/>
      <c r="O90" s="240"/>
      <c r="P90" s="240"/>
      <c r="Q90" s="240"/>
      <c r="R90" s="240"/>
      <c r="S90" s="240"/>
      <c r="T90" s="240"/>
      <c r="U90" s="240"/>
      <c r="V90" s="240"/>
      <c r="W90" s="240"/>
      <c r="X90" s="240"/>
      <c r="Y90" s="240"/>
      <c r="Z90" s="240"/>
      <c r="AA90" s="240"/>
      <c r="AB90" s="240"/>
    </row>
    <row r="91">
      <c r="A91" s="242">
        <v>214.0</v>
      </c>
      <c r="B91" s="243" t="s">
        <v>560</v>
      </c>
      <c r="C91" s="242" t="s">
        <v>1650</v>
      </c>
      <c r="D91" s="244">
        <v>45888.0</v>
      </c>
      <c r="E91" s="245">
        <v>17.5</v>
      </c>
      <c r="F91" s="246">
        <v>15.0</v>
      </c>
      <c r="G91" s="246">
        <v>143.0</v>
      </c>
      <c r="H91" s="247"/>
      <c r="I91" s="246">
        <v>23.0</v>
      </c>
      <c r="J91" s="248">
        <f t="shared" si="2"/>
        <v>198.5</v>
      </c>
      <c r="K91" s="242" t="s">
        <v>1592</v>
      </c>
      <c r="L91" s="247"/>
      <c r="M91" s="247"/>
      <c r="N91" s="247"/>
      <c r="O91" s="247"/>
      <c r="P91" s="247"/>
      <c r="Q91" s="247"/>
      <c r="R91" s="247"/>
      <c r="S91" s="247"/>
      <c r="T91" s="247"/>
      <c r="U91" s="247"/>
      <c r="V91" s="247"/>
      <c r="W91" s="247"/>
      <c r="X91" s="247"/>
      <c r="Y91" s="247"/>
      <c r="Z91" s="247"/>
      <c r="AA91" s="247"/>
      <c r="AB91" s="247"/>
    </row>
    <row r="92">
      <c r="A92" s="235">
        <v>217.0</v>
      </c>
      <c r="B92" s="236" t="s">
        <v>569</v>
      </c>
      <c r="C92" s="235" t="s">
        <v>1651</v>
      </c>
      <c r="D92" s="237">
        <v>45891.0</v>
      </c>
      <c r="E92" s="238">
        <v>17.5</v>
      </c>
      <c r="F92" s="239">
        <v>15.0</v>
      </c>
      <c r="G92" s="239">
        <v>143.0</v>
      </c>
      <c r="H92" s="240"/>
      <c r="I92" s="239">
        <v>23.0</v>
      </c>
      <c r="J92" s="241">
        <f t="shared" si="2"/>
        <v>198.5</v>
      </c>
      <c r="K92" s="235" t="s">
        <v>1592</v>
      </c>
      <c r="L92" s="240"/>
      <c r="M92" s="240"/>
      <c r="N92" s="240"/>
      <c r="O92" s="240"/>
      <c r="P92" s="240"/>
      <c r="Q92" s="240"/>
      <c r="R92" s="240"/>
      <c r="S92" s="240"/>
      <c r="T92" s="240"/>
      <c r="U92" s="240"/>
      <c r="V92" s="240"/>
      <c r="W92" s="240"/>
      <c r="X92" s="240"/>
      <c r="Y92" s="240"/>
      <c r="Z92" s="240"/>
      <c r="AA92" s="240"/>
      <c r="AB92" s="240"/>
    </row>
    <row r="93">
      <c r="A93" s="242">
        <v>219.0</v>
      </c>
      <c r="B93" s="243" t="s">
        <v>574</v>
      </c>
      <c r="C93" s="242" t="s">
        <v>1652</v>
      </c>
      <c r="D93" s="244">
        <v>45898.0</v>
      </c>
      <c r="E93" s="245">
        <v>17.5</v>
      </c>
      <c r="F93" s="246">
        <v>15.0</v>
      </c>
      <c r="G93" s="246">
        <v>143.0</v>
      </c>
      <c r="H93" s="247"/>
      <c r="I93" s="246">
        <v>23.0</v>
      </c>
      <c r="J93" s="248">
        <f t="shared" si="2"/>
        <v>198.5</v>
      </c>
      <c r="K93" s="247"/>
      <c r="L93" s="247"/>
      <c r="M93" s="247"/>
      <c r="N93" s="247"/>
      <c r="O93" s="247"/>
      <c r="P93" s="247"/>
      <c r="Q93" s="247"/>
      <c r="R93" s="247"/>
      <c r="S93" s="247"/>
      <c r="T93" s="247"/>
      <c r="U93" s="247"/>
      <c r="V93" s="247"/>
      <c r="W93" s="247"/>
      <c r="X93" s="247"/>
      <c r="Y93" s="247"/>
      <c r="Z93" s="247"/>
      <c r="AA93" s="247"/>
      <c r="AB93" s="247"/>
    </row>
    <row r="94">
      <c r="A94" s="235">
        <v>218.0</v>
      </c>
      <c r="B94" s="236" t="s">
        <v>571</v>
      </c>
      <c r="C94" s="235" t="s">
        <v>1653</v>
      </c>
      <c r="D94" s="237">
        <v>45898.0</v>
      </c>
      <c r="E94" s="238">
        <v>17.5</v>
      </c>
      <c r="F94" s="239">
        <v>15.0</v>
      </c>
      <c r="G94" s="239">
        <v>143.0</v>
      </c>
      <c r="H94" s="240"/>
      <c r="I94" s="240"/>
      <c r="J94" s="241">
        <f t="shared" si="2"/>
        <v>175.5</v>
      </c>
      <c r="K94" s="235" t="s">
        <v>1592</v>
      </c>
      <c r="L94" s="240"/>
      <c r="M94" s="240"/>
      <c r="N94" s="240"/>
      <c r="O94" s="240"/>
      <c r="P94" s="240"/>
      <c r="Q94" s="240"/>
      <c r="R94" s="240"/>
      <c r="S94" s="240"/>
      <c r="T94" s="240"/>
      <c r="U94" s="240"/>
      <c r="V94" s="240"/>
      <c r="W94" s="240"/>
      <c r="X94" s="240"/>
      <c r="Y94" s="240"/>
      <c r="Z94" s="240"/>
      <c r="AA94" s="240"/>
      <c r="AB94" s="240"/>
    </row>
    <row r="95">
      <c r="A95" s="242">
        <v>221.0</v>
      </c>
      <c r="B95" s="243" t="s">
        <v>1485</v>
      </c>
      <c r="C95" s="242" t="s">
        <v>1654</v>
      </c>
      <c r="D95" s="244">
        <v>45910.0</v>
      </c>
      <c r="E95" s="245">
        <v>17.5</v>
      </c>
      <c r="F95" s="246">
        <v>15.0</v>
      </c>
      <c r="G95" s="246">
        <v>143.0</v>
      </c>
      <c r="H95" s="247"/>
      <c r="I95" s="246">
        <v>23.0</v>
      </c>
      <c r="J95" s="248">
        <f t="shared" si="2"/>
        <v>198.5</v>
      </c>
      <c r="K95" s="242" t="s">
        <v>1592</v>
      </c>
      <c r="L95" s="247"/>
      <c r="M95" s="247"/>
      <c r="N95" s="247"/>
      <c r="O95" s="247"/>
      <c r="P95" s="247"/>
      <c r="Q95" s="247"/>
      <c r="R95" s="247"/>
      <c r="S95" s="247"/>
      <c r="T95" s="247"/>
      <c r="U95" s="247"/>
      <c r="V95" s="247"/>
      <c r="W95" s="247"/>
      <c r="X95" s="247"/>
      <c r="Y95" s="247"/>
      <c r="Z95" s="247"/>
      <c r="AA95" s="247"/>
      <c r="AB95" s="247"/>
    </row>
    <row r="96">
      <c r="A96" s="235">
        <v>220.0</v>
      </c>
      <c r="B96" s="236" t="s">
        <v>576</v>
      </c>
      <c r="C96" s="235" t="s">
        <v>1655</v>
      </c>
      <c r="D96" s="237">
        <v>45915.0</v>
      </c>
      <c r="E96" s="238">
        <v>17.5</v>
      </c>
      <c r="F96" s="239">
        <v>15.0</v>
      </c>
      <c r="G96" s="239">
        <v>143.0</v>
      </c>
      <c r="H96" s="240"/>
      <c r="I96" s="239">
        <v>23.0</v>
      </c>
      <c r="J96" s="241">
        <f t="shared" si="2"/>
        <v>198.5</v>
      </c>
      <c r="K96" s="235" t="s">
        <v>1592</v>
      </c>
      <c r="L96" s="240"/>
      <c r="M96" s="240"/>
      <c r="N96" s="240"/>
      <c r="O96" s="240"/>
      <c r="P96" s="240"/>
      <c r="Q96" s="240"/>
      <c r="R96" s="240"/>
      <c r="S96" s="240"/>
      <c r="T96" s="240"/>
      <c r="U96" s="240"/>
      <c r="V96" s="240"/>
      <c r="W96" s="240"/>
      <c r="X96" s="240"/>
      <c r="Y96" s="240"/>
      <c r="Z96" s="240"/>
      <c r="AA96" s="240"/>
      <c r="AB96" s="240"/>
    </row>
    <row r="97">
      <c r="A97" s="242">
        <v>223.0</v>
      </c>
      <c r="B97" s="243" t="s">
        <v>585</v>
      </c>
      <c r="C97" s="242" t="s">
        <v>1656</v>
      </c>
      <c r="D97" s="244">
        <v>45915.0</v>
      </c>
      <c r="E97" s="245">
        <v>17.5</v>
      </c>
      <c r="F97" s="246">
        <v>15.0</v>
      </c>
      <c r="G97" s="246">
        <v>143.0</v>
      </c>
      <c r="H97" s="247"/>
      <c r="I97" s="246">
        <v>23.0</v>
      </c>
      <c r="J97" s="248">
        <f t="shared" si="2"/>
        <v>198.5</v>
      </c>
      <c r="K97" s="242" t="s">
        <v>1592</v>
      </c>
      <c r="L97" s="247"/>
      <c r="M97" s="247"/>
      <c r="N97" s="247"/>
      <c r="O97" s="247"/>
      <c r="P97" s="247"/>
      <c r="Q97" s="247"/>
      <c r="R97" s="247"/>
      <c r="S97" s="247"/>
      <c r="T97" s="247"/>
      <c r="U97" s="247"/>
      <c r="V97" s="247"/>
      <c r="W97" s="247"/>
      <c r="X97" s="247"/>
      <c r="Y97" s="247"/>
      <c r="Z97" s="247"/>
      <c r="AA97" s="247"/>
      <c r="AB97" s="247"/>
    </row>
    <row r="98">
      <c r="A98" s="235">
        <v>222.0</v>
      </c>
      <c r="B98" s="236" t="s">
        <v>582</v>
      </c>
      <c r="C98" s="235" t="s">
        <v>1657</v>
      </c>
      <c r="D98" s="237">
        <v>45915.0</v>
      </c>
      <c r="E98" s="238">
        <v>17.5</v>
      </c>
      <c r="F98" s="239">
        <v>15.0</v>
      </c>
      <c r="G98" s="239">
        <v>143.0</v>
      </c>
      <c r="H98" s="240"/>
      <c r="I98" s="239">
        <v>23.0</v>
      </c>
      <c r="J98" s="241">
        <f t="shared" si="2"/>
        <v>198.5</v>
      </c>
      <c r="K98" s="235" t="s">
        <v>1592</v>
      </c>
      <c r="L98" s="240"/>
      <c r="M98" s="240"/>
      <c r="N98" s="240"/>
      <c r="O98" s="240"/>
      <c r="P98" s="240"/>
      <c r="Q98" s="240"/>
      <c r="R98" s="240"/>
      <c r="S98" s="240"/>
      <c r="T98" s="240"/>
      <c r="U98" s="240"/>
      <c r="V98" s="240"/>
      <c r="W98" s="240"/>
      <c r="X98" s="240"/>
      <c r="Y98" s="240"/>
      <c r="Z98" s="240"/>
      <c r="AA98" s="240"/>
      <c r="AB98" s="240"/>
    </row>
    <row r="99">
      <c r="A99" s="242">
        <v>225.0</v>
      </c>
      <c r="B99" s="243" t="s">
        <v>590</v>
      </c>
      <c r="C99" s="242" t="s">
        <v>1658</v>
      </c>
      <c r="D99" s="244">
        <v>45919.0</v>
      </c>
      <c r="E99" s="245">
        <v>17.5</v>
      </c>
      <c r="F99" s="246">
        <v>15.0</v>
      </c>
      <c r="G99" s="246">
        <v>143.0</v>
      </c>
      <c r="H99" s="247"/>
      <c r="I99" s="246">
        <v>23.0</v>
      </c>
      <c r="J99" s="248">
        <f t="shared" si="2"/>
        <v>198.5</v>
      </c>
      <c r="K99" s="242" t="s">
        <v>1592</v>
      </c>
      <c r="L99" s="247"/>
      <c r="M99" s="247"/>
      <c r="N99" s="247"/>
      <c r="O99" s="247"/>
      <c r="P99" s="247"/>
      <c r="Q99" s="247"/>
      <c r="R99" s="247"/>
      <c r="S99" s="247"/>
      <c r="T99" s="247"/>
      <c r="U99" s="247"/>
      <c r="V99" s="247"/>
      <c r="W99" s="247"/>
      <c r="X99" s="247"/>
      <c r="Y99" s="247"/>
      <c r="Z99" s="247"/>
      <c r="AA99" s="247"/>
      <c r="AB99" s="247"/>
    </row>
    <row r="100">
      <c r="A100" s="235">
        <v>224.0</v>
      </c>
      <c r="B100" s="236" t="s">
        <v>587</v>
      </c>
      <c r="C100" s="235" t="s">
        <v>1659</v>
      </c>
      <c r="D100" s="237">
        <v>45920.0</v>
      </c>
      <c r="E100" s="238">
        <v>17.5</v>
      </c>
      <c r="F100" s="239">
        <v>15.0</v>
      </c>
      <c r="G100" s="252">
        <v>966.0</v>
      </c>
      <c r="H100" s="253"/>
      <c r="I100" s="252">
        <v>23.0</v>
      </c>
      <c r="J100" s="241">
        <f t="shared" si="2"/>
        <v>1021.5</v>
      </c>
      <c r="K100" s="235" t="s">
        <v>1592</v>
      </c>
      <c r="L100" s="240"/>
      <c r="M100" s="240"/>
      <c r="N100" s="240"/>
      <c r="O100" s="240"/>
      <c r="P100" s="240"/>
      <c r="Q100" s="240"/>
      <c r="R100" s="240"/>
      <c r="S100" s="240"/>
      <c r="T100" s="240"/>
      <c r="U100" s="240"/>
      <c r="V100" s="240"/>
      <c r="W100" s="240"/>
      <c r="X100" s="240"/>
      <c r="Y100" s="240"/>
      <c r="Z100" s="240"/>
      <c r="AA100" s="240"/>
      <c r="AB100" s="240"/>
    </row>
    <row r="101">
      <c r="A101" s="242">
        <v>228.0</v>
      </c>
      <c r="B101" s="243" t="s">
        <v>1660</v>
      </c>
      <c r="C101" s="242" t="s">
        <v>1661</v>
      </c>
      <c r="D101" s="244">
        <v>45926.0</v>
      </c>
      <c r="E101" s="245">
        <v>17.5</v>
      </c>
      <c r="F101" s="246">
        <v>15.0</v>
      </c>
      <c r="G101" s="246">
        <v>322.0</v>
      </c>
      <c r="H101" s="247"/>
      <c r="I101" s="247"/>
      <c r="J101" s="248">
        <f t="shared" si="2"/>
        <v>354.5</v>
      </c>
      <c r="K101" s="242" t="s">
        <v>1592</v>
      </c>
      <c r="L101" s="247"/>
      <c r="M101" s="247"/>
      <c r="N101" s="247"/>
      <c r="O101" s="247"/>
      <c r="P101" s="247"/>
      <c r="Q101" s="247"/>
      <c r="R101" s="247"/>
      <c r="S101" s="247"/>
      <c r="T101" s="247"/>
      <c r="U101" s="247"/>
      <c r="V101" s="247"/>
      <c r="W101" s="247"/>
      <c r="X101" s="247"/>
      <c r="Y101" s="247"/>
      <c r="Z101" s="247"/>
      <c r="AA101" s="247"/>
      <c r="AB101" s="247"/>
    </row>
    <row r="102">
      <c r="A102" s="235">
        <v>226.0</v>
      </c>
      <c r="B102" s="236" t="s">
        <v>592</v>
      </c>
      <c r="C102" s="235" t="s">
        <v>1662</v>
      </c>
      <c r="D102" s="237">
        <v>45926.0</v>
      </c>
      <c r="E102" s="238">
        <v>17.5</v>
      </c>
      <c r="F102" s="239">
        <v>15.0</v>
      </c>
      <c r="G102" s="239">
        <v>143.0</v>
      </c>
      <c r="H102" s="240"/>
      <c r="I102" s="239">
        <v>23.0</v>
      </c>
      <c r="J102" s="241">
        <f t="shared" si="2"/>
        <v>198.5</v>
      </c>
      <c r="K102" s="235" t="s">
        <v>1592</v>
      </c>
      <c r="L102" s="240"/>
      <c r="M102" s="240"/>
      <c r="N102" s="240"/>
      <c r="O102" s="240"/>
      <c r="P102" s="240"/>
      <c r="Q102" s="240"/>
      <c r="R102" s="240"/>
      <c r="S102" s="240"/>
      <c r="T102" s="240"/>
      <c r="U102" s="240"/>
      <c r="V102" s="240"/>
      <c r="W102" s="240"/>
      <c r="X102" s="240"/>
      <c r="Y102" s="240"/>
      <c r="Z102" s="240"/>
      <c r="AA102" s="240"/>
      <c r="AB102" s="240"/>
    </row>
    <row r="103">
      <c r="A103" s="242">
        <v>231.0</v>
      </c>
      <c r="B103" s="243" t="s">
        <v>610</v>
      </c>
      <c r="C103" s="242" t="s">
        <v>1663</v>
      </c>
      <c r="D103" s="244">
        <v>45930.0</v>
      </c>
      <c r="E103" s="245">
        <v>17.5</v>
      </c>
      <c r="F103" s="246">
        <v>15.0</v>
      </c>
      <c r="G103" s="246">
        <v>143.0</v>
      </c>
      <c r="H103" s="247"/>
      <c r="I103" s="246">
        <v>23.0</v>
      </c>
      <c r="J103" s="248">
        <f t="shared" si="2"/>
        <v>198.5</v>
      </c>
      <c r="K103" s="242" t="s">
        <v>1592</v>
      </c>
      <c r="L103" s="247"/>
      <c r="M103" s="247"/>
      <c r="N103" s="247"/>
      <c r="O103" s="247"/>
      <c r="P103" s="247"/>
      <c r="Q103" s="247"/>
      <c r="R103" s="247"/>
      <c r="S103" s="247"/>
      <c r="T103" s="247"/>
      <c r="U103" s="247"/>
      <c r="V103" s="247"/>
      <c r="W103" s="247"/>
      <c r="X103" s="247"/>
      <c r="Y103" s="247"/>
      <c r="Z103" s="247"/>
      <c r="AA103" s="247"/>
      <c r="AB103" s="247"/>
    </row>
    <row r="104">
      <c r="A104" s="235">
        <v>230.0</v>
      </c>
      <c r="B104" s="236" t="s">
        <v>607</v>
      </c>
      <c r="C104" s="235" t="s">
        <v>1664</v>
      </c>
      <c r="D104" s="237">
        <v>45930.0</v>
      </c>
      <c r="E104" s="238">
        <v>17.5</v>
      </c>
      <c r="F104" s="239">
        <v>15.0</v>
      </c>
      <c r="G104" s="239">
        <v>143.0</v>
      </c>
      <c r="H104" s="240"/>
      <c r="I104" s="239">
        <v>23.0</v>
      </c>
      <c r="J104" s="241">
        <f t="shared" si="2"/>
        <v>198.5</v>
      </c>
      <c r="K104" s="235" t="s">
        <v>1592</v>
      </c>
      <c r="L104" s="240"/>
      <c r="M104" s="240"/>
      <c r="N104" s="240"/>
      <c r="O104" s="240"/>
      <c r="P104" s="240"/>
      <c r="Q104" s="240"/>
      <c r="R104" s="240"/>
      <c r="S104" s="240"/>
      <c r="T104" s="240"/>
      <c r="U104" s="240"/>
      <c r="V104" s="240"/>
      <c r="W104" s="240"/>
      <c r="X104" s="240"/>
      <c r="Y104" s="240"/>
      <c r="Z104" s="240"/>
      <c r="AA104" s="240"/>
      <c r="AB104" s="240"/>
    </row>
    <row r="105">
      <c r="A105" s="242">
        <v>229.0</v>
      </c>
      <c r="B105" s="243" t="s">
        <v>604</v>
      </c>
      <c r="C105" s="242" t="s">
        <v>1665</v>
      </c>
      <c r="D105" s="244">
        <v>45930.0</v>
      </c>
      <c r="E105" s="245">
        <v>17.5</v>
      </c>
      <c r="F105" s="246">
        <v>15.0</v>
      </c>
      <c r="G105" s="246">
        <v>143.0</v>
      </c>
      <c r="H105" s="247"/>
      <c r="I105" s="246">
        <v>23.0</v>
      </c>
      <c r="J105" s="248">
        <f t="shared" si="2"/>
        <v>198.5</v>
      </c>
      <c r="K105" s="242" t="s">
        <v>1592</v>
      </c>
      <c r="L105" s="247"/>
      <c r="M105" s="247"/>
      <c r="N105" s="247"/>
      <c r="O105" s="247"/>
      <c r="P105" s="247"/>
      <c r="Q105" s="247"/>
      <c r="R105" s="247"/>
      <c r="S105" s="247"/>
      <c r="T105" s="247"/>
      <c r="U105" s="247"/>
      <c r="V105" s="247"/>
      <c r="W105" s="247"/>
      <c r="X105" s="247"/>
      <c r="Y105" s="247"/>
      <c r="Z105" s="247"/>
      <c r="AA105" s="247"/>
      <c r="AB105" s="247"/>
    </row>
    <row r="106">
      <c r="A106" s="235">
        <v>227.0</v>
      </c>
      <c r="B106" s="236" t="s">
        <v>598</v>
      </c>
      <c r="C106" s="235" t="s">
        <v>1666</v>
      </c>
      <c r="D106" s="237">
        <v>45930.0</v>
      </c>
      <c r="E106" s="238">
        <v>17.5</v>
      </c>
      <c r="F106" s="239">
        <v>15.0</v>
      </c>
      <c r="G106" s="235">
        <v>345.0</v>
      </c>
      <c r="H106" s="240"/>
      <c r="I106" s="240"/>
      <c r="J106" s="241">
        <f t="shared" si="2"/>
        <v>377.5</v>
      </c>
      <c r="K106" s="240"/>
      <c r="L106" s="240"/>
      <c r="M106" s="240"/>
      <c r="N106" s="240"/>
      <c r="O106" s="240"/>
      <c r="P106" s="240"/>
      <c r="Q106" s="240"/>
      <c r="R106" s="240"/>
      <c r="S106" s="240"/>
      <c r="T106" s="240"/>
      <c r="U106" s="240"/>
      <c r="V106" s="240"/>
      <c r="W106" s="240"/>
      <c r="X106" s="240"/>
      <c r="Y106" s="240"/>
      <c r="Z106" s="240"/>
      <c r="AA106" s="240"/>
      <c r="AB106" s="240"/>
    </row>
    <row r="107">
      <c r="A107" s="242">
        <v>232.0</v>
      </c>
      <c r="B107" s="243" t="s">
        <v>613</v>
      </c>
      <c r="C107" s="242" t="s">
        <v>1667</v>
      </c>
      <c r="D107" s="244">
        <v>45936.0</v>
      </c>
      <c r="E107" s="245">
        <v>17.5</v>
      </c>
      <c r="F107" s="246">
        <v>15.0</v>
      </c>
      <c r="G107" s="246">
        <v>143.0</v>
      </c>
      <c r="H107" s="247"/>
      <c r="I107" s="246">
        <v>23.0</v>
      </c>
      <c r="J107" s="248">
        <f t="shared" si="2"/>
        <v>198.5</v>
      </c>
      <c r="K107" s="242" t="s">
        <v>1592</v>
      </c>
      <c r="L107" s="247"/>
      <c r="M107" s="247"/>
      <c r="N107" s="247"/>
      <c r="O107" s="247"/>
      <c r="P107" s="247"/>
      <c r="Q107" s="247"/>
      <c r="R107" s="247"/>
      <c r="S107" s="247"/>
      <c r="T107" s="247"/>
      <c r="U107" s="247"/>
      <c r="V107" s="247"/>
      <c r="W107" s="247"/>
      <c r="X107" s="247"/>
      <c r="Y107" s="247"/>
      <c r="Z107" s="247"/>
      <c r="AA107" s="247"/>
      <c r="AB107" s="247"/>
    </row>
    <row r="108">
      <c r="A108" s="251" t="s">
        <v>618</v>
      </c>
      <c r="B108" s="236" t="s">
        <v>619</v>
      </c>
      <c r="C108" s="235" t="s">
        <v>1668</v>
      </c>
      <c r="D108" s="237">
        <v>45944.0</v>
      </c>
      <c r="E108" s="238">
        <v>17.5</v>
      </c>
      <c r="F108" s="239">
        <v>15.0</v>
      </c>
      <c r="G108" s="239">
        <v>143.0</v>
      </c>
      <c r="H108" s="240"/>
      <c r="I108" s="239">
        <v>23.0</v>
      </c>
      <c r="J108" s="241">
        <f t="shared" si="2"/>
        <v>198.5</v>
      </c>
      <c r="K108" s="235" t="s">
        <v>1592</v>
      </c>
      <c r="L108" s="240"/>
      <c r="M108" s="240"/>
      <c r="N108" s="240"/>
      <c r="O108" s="240"/>
      <c r="P108" s="240"/>
      <c r="Q108" s="240"/>
      <c r="R108" s="240"/>
      <c r="S108" s="240"/>
      <c r="T108" s="240"/>
      <c r="U108" s="240"/>
      <c r="V108" s="240"/>
      <c r="W108" s="240"/>
      <c r="X108" s="240"/>
      <c r="Y108" s="240"/>
      <c r="Z108" s="240"/>
      <c r="AA108" s="240"/>
      <c r="AB108" s="240"/>
    </row>
    <row r="109">
      <c r="A109" s="242">
        <v>235.0</v>
      </c>
      <c r="B109" s="243" t="s">
        <v>622</v>
      </c>
      <c r="C109" s="242" t="s">
        <v>1669</v>
      </c>
      <c r="D109" s="244">
        <v>45944.0</v>
      </c>
      <c r="E109" s="245">
        <v>17.5</v>
      </c>
      <c r="F109" s="246">
        <v>15.0</v>
      </c>
      <c r="G109" s="246">
        <v>143.0</v>
      </c>
      <c r="H109" s="247"/>
      <c r="I109" s="246">
        <v>23.0</v>
      </c>
      <c r="J109" s="248">
        <f t="shared" si="2"/>
        <v>198.5</v>
      </c>
      <c r="K109" s="242" t="s">
        <v>1592</v>
      </c>
      <c r="L109" s="247"/>
      <c r="M109" s="247"/>
      <c r="N109" s="247"/>
      <c r="O109" s="247"/>
      <c r="P109" s="247"/>
      <c r="Q109" s="247"/>
      <c r="R109" s="247"/>
      <c r="S109" s="247"/>
      <c r="T109" s="247"/>
      <c r="U109" s="247"/>
      <c r="V109" s="247"/>
      <c r="W109" s="247"/>
      <c r="X109" s="247"/>
      <c r="Y109" s="247"/>
      <c r="Z109" s="247"/>
      <c r="AA109" s="247"/>
      <c r="AB109" s="247"/>
    </row>
    <row r="110">
      <c r="A110" s="251" t="s">
        <v>616</v>
      </c>
      <c r="B110" s="236" t="s">
        <v>617</v>
      </c>
      <c r="C110" s="235" t="s">
        <v>1670</v>
      </c>
      <c r="D110" s="237">
        <v>45944.0</v>
      </c>
      <c r="E110" s="238">
        <v>17.5</v>
      </c>
      <c r="F110" s="239">
        <v>15.0</v>
      </c>
      <c r="G110" s="239">
        <v>143.0</v>
      </c>
      <c r="H110" s="240"/>
      <c r="I110" s="239">
        <v>23.0</v>
      </c>
      <c r="J110" s="241">
        <f t="shared" si="2"/>
        <v>198.5</v>
      </c>
      <c r="K110" s="235" t="s">
        <v>1592</v>
      </c>
      <c r="L110" s="240"/>
      <c r="M110" s="240"/>
      <c r="N110" s="240"/>
      <c r="O110" s="240"/>
      <c r="P110" s="240"/>
      <c r="Q110" s="240"/>
      <c r="R110" s="240"/>
      <c r="S110" s="240"/>
      <c r="T110" s="240"/>
      <c r="U110" s="240"/>
      <c r="V110" s="240"/>
      <c r="W110" s="240"/>
      <c r="X110" s="240"/>
      <c r="Y110" s="240"/>
      <c r="Z110" s="240"/>
      <c r="AA110" s="240"/>
      <c r="AB110" s="240"/>
    </row>
    <row r="111">
      <c r="A111" s="242">
        <v>236.0</v>
      </c>
      <c r="B111" s="243" t="s">
        <v>624</v>
      </c>
      <c r="C111" s="242" t="s">
        <v>1671</v>
      </c>
      <c r="D111" s="244">
        <v>45947.0</v>
      </c>
      <c r="E111" s="245">
        <v>17.5</v>
      </c>
      <c r="F111" s="246">
        <v>15.0</v>
      </c>
      <c r="G111" s="246">
        <v>143.0</v>
      </c>
      <c r="H111" s="247"/>
      <c r="I111" s="246">
        <v>23.0</v>
      </c>
      <c r="J111" s="248">
        <f t="shared" si="2"/>
        <v>198.5</v>
      </c>
      <c r="K111" s="242" t="s">
        <v>1592</v>
      </c>
      <c r="L111" s="247"/>
      <c r="M111" s="247"/>
      <c r="N111" s="247"/>
      <c r="O111" s="247"/>
      <c r="P111" s="247"/>
      <c r="Q111" s="247"/>
      <c r="R111" s="247"/>
      <c r="S111" s="247"/>
      <c r="T111" s="247"/>
      <c r="U111" s="247"/>
      <c r="V111" s="247"/>
      <c r="W111" s="247"/>
      <c r="X111" s="247"/>
      <c r="Y111" s="247"/>
      <c r="Z111" s="247"/>
      <c r="AA111" s="247"/>
      <c r="AB111" s="247"/>
    </row>
    <row r="112">
      <c r="A112" s="235">
        <v>237.0</v>
      </c>
      <c r="B112" s="236" t="s">
        <v>628</v>
      </c>
      <c r="C112" s="235" t="s">
        <v>1672</v>
      </c>
      <c r="D112" s="237">
        <v>45947.0</v>
      </c>
      <c r="E112" s="238">
        <v>17.5</v>
      </c>
      <c r="F112" s="239">
        <v>15.0</v>
      </c>
      <c r="G112" s="239">
        <v>143.0</v>
      </c>
      <c r="H112" s="240"/>
      <c r="I112" s="239">
        <v>23.0</v>
      </c>
      <c r="J112" s="241">
        <f t="shared" si="2"/>
        <v>198.5</v>
      </c>
      <c r="K112" s="235" t="s">
        <v>1592</v>
      </c>
      <c r="L112" s="240"/>
      <c r="M112" s="240"/>
      <c r="N112" s="240"/>
      <c r="O112" s="240"/>
      <c r="P112" s="240"/>
      <c r="Q112" s="240"/>
      <c r="R112" s="240"/>
      <c r="S112" s="240"/>
      <c r="T112" s="240"/>
      <c r="U112" s="240"/>
      <c r="V112" s="240"/>
      <c r="W112" s="240"/>
      <c r="X112" s="240"/>
      <c r="Y112" s="240"/>
      <c r="Z112" s="240"/>
      <c r="AA112" s="240"/>
      <c r="AB112" s="240"/>
    </row>
    <row r="113">
      <c r="A113" s="242">
        <v>238.0</v>
      </c>
      <c r="B113" s="243" t="s">
        <v>631</v>
      </c>
      <c r="C113" s="242" t="s">
        <v>1673</v>
      </c>
      <c r="D113" s="244">
        <v>45951.0</v>
      </c>
      <c r="E113" s="245">
        <v>17.5</v>
      </c>
      <c r="F113" s="246">
        <v>15.0</v>
      </c>
      <c r="G113" s="246">
        <v>143.0</v>
      </c>
      <c r="H113" s="247"/>
      <c r="I113" s="246">
        <v>23.0</v>
      </c>
      <c r="J113" s="248">
        <f t="shared" si="2"/>
        <v>198.5</v>
      </c>
      <c r="K113" s="242" t="s">
        <v>1592</v>
      </c>
      <c r="L113" s="247"/>
      <c r="M113" s="247"/>
      <c r="N113" s="247"/>
      <c r="O113" s="247"/>
      <c r="P113" s="247"/>
      <c r="Q113" s="247"/>
      <c r="R113" s="247"/>
      <c r="S113" s="247"/>
      <c r="T113" s="247"/>
      <c r="U113" s="247"/>
      <c r="V113" s="247"/>
      <c r="W113" s="247"/>
      <c r="X113" s="247"/>
      <c r="Y113" s="247"/>
      <c r="Z113" s="247"/>
      <c r="AA113" s="247"/>
      <c r="AB113" s="247"/>
    </row>
    <row r="114">
      <c r="A114" s="235">
        <v>239.0</v>
      </c>
      <c r="B114" s="236" t="s">
        <v>634</v>
      </c>
      <c r="C114" s="235" t="s">
        <v>1674</v>
      </c>
      <c r="D114" s="237">
        <v>45952.0</v>
      </c>
      <c r="E114" s="238">
        <v>17.5</v>
      </c>
      <c r="F114" s="239">
        <v>15.0</v>
      </c>
      <c r="G114" s="239">
        <v>143.0</v>
      </c>
      <c r="H114" s="240"/>
      <c r="I114" s="239">
        <v>23.0</v>
      </c>
      <c r="J114" s="241">
        <f t="shared" si="2"/>
        <v>198.5</v>
      </c>
      <c r="K114" s="235" t="s">
        <v>1592</v>
      </c>
      <c r="L114" s="240"/>
      <c r="M114" s="240"/>
      <c r="N114" s="240"/>
      <c r="O114" s="240"/>
      <c r="P114" s="240"/>
      <c r="Q114" s="240"/>
      <c r="R114" s="240"/>
      <c r="S114" s="240"/>
      <c r="T114" s="240"/>
      <c r="U114" s="240"/>
      <c r="V114" s="240"/>
      <c r="W114" s="240"/>
      <c r="X114" s="240"/>
      <c r="Y114" s="240"/>
      <c r="Z114" s="240"/>
      <c r="AA114" s="240"/>
      <c r="AB114" s="240"/>
    </row>
    <row r="115">
      <c r="A115" s="242">
        <v>240.0</v>
      </c>
      <c r="B115" s="243" t="s">
        <v>636</v>
      </c>
      <c r="C115" s="242" t="s">
        <v>1675</v>
      </c>
      <c r="D115" s="244">
        <v>45992.0</v>
      </c>
      <c r="E115" s="245">
        <v>17.5</v>
      </c>
      <c r="F115" s="246">
        <v>15.0</v>
      </c>
      <c r="G115" s="246">
        <v>143.0</v>
      </c>
      <c r="H115" s="247"/>
      <c r="I115" s="246">
        <v>23.0</v>
      </c>
      <c r="J115" s="248">
        <f t="shared" si="2"/>
        <v>198.5</v>
      </c>
      <c r="K115" s="247"/>
      <c r="L115" s="247"/>
      <c r="M115" s="247"/>
      <c r="N115" s="247"/>
      <c r="O115" s="247"/>
      <c r="P115" s="247"/>
      <c r="Q115" s="247"/>
      <c r="R115" s="247"/>
      <c r="S115" s="247"/>
      <c r="T115" s="247"/>
      <c r="U115" s="247"/>
      <c r="V115" s="247"/>
      <c r="W115" s="247"/>
      <c r="X115" s="247"/>
      <c r="Y115" s="247"/>
      <c r="Z115" s="247"/>
      <c r="AA115" s="247"/>
      <c r="AB115" s="247"/>
    </row>
    <row r="116">
      <c r="A116" s="235">
        <v>241.0</v>
      </c>
      <c r="B116" s="236" t="s">
        <v>640</v>
      </c>
      <c r="C116" s="235" t="s">
        <v>1676</v>
      </c>
      <c r="D116" s="237">
        <v>45993.0</v>
      </c>
      <c r="E116" s="238">
        <v>17.5</v>
      </c>
      <c r="F116" s="239">
        <v>15.0</v>
      </c>
      <c r="G116" s="239">
        <v>143.0</v>
      </c>
      <c r="H116" s="238">
        <v>34.24</v>
      </c>
      <c r="I116" s="239">
        <v>23.0</v>
      </c>
      <c r="J116" s="241">
        <f t="shared" si="2"/>
        <v>232.74</v>
      </c>
      <c r="K116" s="240"/>
      <c r="L116" s="240"/>
      <c r="M116" s="240"/>
      <c r="N116" s="240"/>
      <c r="O116" s="240"/>
      <c r="P116" s="240"/>
      <c r="Q116" s="240"/>
      <c r="R116" s="240"/>
      <c r="S116" s="240"/>
      <c r="T116" s="240"/>
      <c r="U116" s="240"/>
      <c r="V116" s="240"/>
      <c r="W116" s="240"/>
      <c r="X116" s="240"/>
      <c r="Y116" s="240"/>
      <c r="Z116" s="240"/>
      <c r="AA116" s="240"/>
      <c r="AB116" s="240"/>
    </row>
    <row r="117">
      <c r="A117" s="242">
        <v>242.0</v>
      </c>
      <c r="B117" s="243" t="s">
        <v>642</v>
      </c>
      <c r="C117" s="242" t="s">
        <v>1677</v>
      </c>
      <c r="D117" s="244">
        <v>45996.0</v>
      </c>
      <c r="E117" s="245">
        <v>17.5</v>
      </c>
      <c r="F117" s="246">
        <v>15.0</v>
      </c>
      <c r="G117" s="246">
        <v>143.0</v>
      </c>
      <c r="H117" s="247"/>
      <c r="I117" s="246">
        <v>23.0</v>
      </c>
      <c r="J117" s="248">
        <f t="shared" si="2"/>
        <v>198.5</v>
      </c>
      <c r="K117" s="247"/>
      <c r="L117" s="247"/>
      <c r="M117" s="247"/>
      <c r="N117" s="247"/>
      <c r="O117" s="247"/>
      <c r="P117" s="247"/>
      <c r="Q117" s="247"/>
      <c r="R117" s="247"/>
      <c r="S117" s="247"/>
      <c r="T117" s="247"/>
      <c r="U117" s="247"/>
      <c r="V117" s="247"/>
      <c r="W117" s="247"/>
      <c r="X117" s="247"/>
      <c r="Y117" s="247"/>
      <c r="Z117" s="247"/>
      <c r="AA117" s="247"/>
      <c r="AB117" s="247"/>
    </row>
    <row r="118">
      <c r="A118" s="235">
        <v>243.0</v>
      </c>
      <c r="B118" s="236" t="s">
        <v>644</v>
      </c>
      <c r="C118" s="235" t="s">
        <v>1678</v>
      </c>
      <c r="D118" s="237">
        <v>45996.0</v>
      </c>
      <c r="E118" s="238">
        <v>17.5</v>
      </c>
      <c r="F118" s="239">
        <v>15.0</v>
      </c>
      <c r="G118" s="239">
        <v>143.0</v>
      </c>
      <c r="H118" s="240"/>
      <c r="I118" s="239">
        <v>23.0</v>
      </c>
      <c r="J118" s="241">
        <f t="shared" si="2"/>
        <v>198.5</v>
      </c>
      <c r="K118" s="240"/>
      <c r="L118" s="240"/>
      <c r="M118" s="240"/>
      <c r="N118" s="240"/>
      <c r="O118" s="240"/>
      <c r="P118" s="240"/>
      <c r="Q118" s="240"/>
      <c r="R118" s="240"/>
      <c r="S118" s="240"/>
      <c r="T118" s="240"/>
      <c r="U118" s="240"/>
      <c r="V118" s="240"/>
      <c r="W118" s="240"/>
      <c r="X118" s="240"/>
      <c r="Y118" s="240"/>
      <c r="Z118" s="240"/>
      <c r="AA118" s="240"/>
      <c r="AB118" s="240"/>
    </row>
    <row r="119">
      <c r="A119" s="242">
        <v>245.0</v>
      </c>
      <c r="B119" s="243" t="s">
        <v>655</v>
      </c>
      <c r="C119" s="242" t="s">
        <v>1679</v>
      </c>
      <c r="D119" s="244">
        <v>46052.0</v>
      </c>
      <c r="E119" s="245">
        <v>17.5</v>
      </c>
      <c r="F119" s="246">
        <v>15.0</v>
      </c>
      <c r="G119" s="246">
        <v>322.0</v>
      </c>
      <c r="H119" s="247"/>
      <c r="I119" s="246">
        <v>23.0</v>
      </c>
      <c r="J119" s="248">
        <f t="shared" si="2"/>
        <v>377.5</v>
      </c>
      <c r="K119" s="247"/>
      <c r="L119" s="247"/>
      <c r="M119" s="247"/>
      <c r="N119" s="247"/>
      <c r="O119" s="247"/>
      <c r="P119" s="247"/>
      <c r="Q119" s="247"/>
      <c r="R119" s="247"/>
      <c r="S119" s="247"/>
      <c r="T119" s="247"/>
      <c r="U119" s="247"/>
      <c r="V119" s="247"/>
      <c r="W119" s="247"/>
      <c r="X119" s="247"/>
      <c r="Y119" s="247"/>
      <c r="Z119" s="247"/>
      <c r="AA119" s="247"/>
      <c r="AB119" s="247"/>
    </row>
    <row r="120">
      <c r="A120" s="235">
        <v>247.0</v>
      </c>
      <c r="B120" s="236" t="s">
        <v>662</v>
      </c>
      <c r="C120" s="235" t="s">
        <v>1680</v>
      </c>
      <c r="D120" s="237">
        <v>46058.0</v>
      </c>
      <c r="E120" s="238">
        <v>17.5</v>
      </c>
      <c r="F120" s="239">
        <v>15.0</v>
      </c>
      <c r="G120" s="239">
        <v>143.0</v>
      </c>
      <c r="H120" s="240"/>
      <c r="I120" s="239">
        <v>23.0</v>
      </c>
      <c r="J120" s="241">
        <f t="shared" si="2"/>
        <v>198.5</v>
      </c>
      <c r="K120" s="240"/>
      <c r="L120" s="240"/>
      <c r="M120" s="240"/>
      <c r="N120" s="240"/>
      <c r="O120" s="240"/>
      <c r="P120" s="240"/>
      <c r="Q120" s="240"/>
      <c r="R120" s="240"/>
      <c r="S120" s="240"/>
      <c r="T120" s="240"/>
      <c r="U120" s="240"/>
      <c r="V120" s="240"/>
      <c r="W120" s="240"/>
      <c r="X120" s="240"/>
      <c r="Y120" s="240"/>
      <c r="Z120" s="240"/>
      <c r="AA120" s="240"/>
      <c r="AB120" s="240"/>
    </row>
    <row r="121">
      <c r="A121" s="254" t="s">
        <v>670</v>
      </c>
      <c r="B121" s="243" t="s">
        <v>671</v>
      </c>
      <c r="C121" s="242" t="s">
        <v>1681</v>
      </c>
      <c r="D121" s="244">
        <v>46058.0</v>
      </c>
      <c r="E121" s="245">
        <v>17.5</v>
      </c>
      <c r="F121" s="246">
        <v>15.0</v>
      </c>
      <c r="G121" s="246">
        <v>143.0</v>
      </c>
      <c r="H121" s="247"/>
      <c r="I121" s="246">
        <v>23.0</v>
      </c>
      <c r="J121" s="248">
        <f t="shared" si="2"/>
        <v>198.5</v>
      </c>
      <c r="K121" s="247"/>
      <c r="L121" s="247"/>
      <c r="M121" s="247"/>
      <c r="N121" s="247"/>
      <c r="O121" s="247"/>
      <c r="P121" s="247"/>
      <c r="Q121" s="247"/>
      <c r="R121" s="247"/>
      <c r="S121" s="247"/>
      <c r="T121" s="247"/>
      <c r="U121" s="247"/>
      <c r="V121" s="247"/>
      <c r="W121" s="247"/>
      <c r="X121" s="247"/>
      <c r="Y121" s="247"/>
      <c r="Z121" s="247"/>
      <c r="AA121" s="247"/>
      <c r="AB121" s="247"/>
    </row>
    <row r="122">
      <c r="A122" s="235">
        <v>248.0</v>
      </c>
      <c r="B122" s="236" t="s">
        <v>666</v>
      </c>
      <c r="C122" s="235" t="s">
        <v>1682</v>
      </c>
      <c r="D122" s="237">
        <v>46058.0</v>
      </c>
      <c r="E122" s="238">
        <v>17.5</v>
      </c>
      <c r="F122" s="239">
        <v>15.0</v>
      </c>
      <c r="G122" s="239">
        <v>150.0</v>
      </c>
      <c r="H122" s="240"/>
      <c r="I122" s="239">
        <v>23.0</v>
      </c>
      <c r="J122" s="241">
        <f t="shared" si="2"/>
        <v>205.5</v>
      </c>
      <c r="K122" s="240"/>
      <c r="L122" s="240"/>
      <c r="M122" s="240"/>
      <c r="N122" s="240"/>
      <c r="O122" s="240"/>
      <c r="P122" s="240"/>
      <c r="Q122" s="240"/>
      <c r="R122" s="240"/>
      <c r="S122" s="240"/>
      <c r="T122" s="240"/>
      <c r="U122" s="240"/>
      <c r="V122" s="240"/>
      <c r="W122" s="240"/>
      <c r="X122" s="240"/>
      <c r="Y122" s="240"/>
      <c r="Z122" s="240"/>
      <c r="AA122" s="240"/>
      <c r="AB122" s="240"/>
    </row>
    <row r="123">
      <c r="A123" s="242">
        <v>244.0</v>
      </c>
      <c r="B123" s="243" t="s">
        <v>650</v>
      </c>
      <c r="C123" s="242" t="s">
        <v>1683</v>
      </c>
      <c r="D123" s="244">
        <v>46058.0</v>
      </c>
      <c r="E123" s="245">
        <v>17.5</v>
      </c>
      <c r="F123" s="246">
        <v>15.0</v>
      </c>
      <c r="G123" s="246">
        <v>322.0</v>
      </c>
      <c r="H123" s="247"/>
      <c r="I123" s="246">
        <v>23.0</v>
      </c>
      <c r="J123" s="248">
        <f t="shared" si="2"/>
        <v>377.5</v>
      </c>
      <c r="K123" s="247"/>
      <c r="L123" s="247"/>
      <c r="M123" s="247"/>
      <c r="N123" s="247"/>
      <c r="O123" s="247"/>
      <c r="P123" s="247"/>
      <c r="Q123" s="247"/>
      <c r="R123" s="247"/>
      <c r="S123" s="247"/>
      <c r="T123" s="247"/>
      <c r="U123" s="247"/>
      <c r="V123" s="247"/>
      <c r="W123" s="247"/>
      <c r="X123" s="247"/>
      <c r="Y123" s="247"/>
      <c r="Z123" s="247"/>
      <c r="AA123" s="247"/>
      <c r="AB123" s="247"/>
    </row>
    <row r="124">
      <c r="A124" s="235">
        <v>246.0</v>
      </c>
      <c r="B124" s="236" t="s">
        <v>658</v>
      </c>
      <c r="C124" s="235" t="s">
        <v>1684</v>
      </c>
      <c r="D124" s="237">
        <v>46058.0</v>
      </c>
      <c r="E124" s="238">
        <v>17.5</v>
      </c>
      <c r="F124" s="239">
        <v>15.0</v>
      </c>
      <c r="G124" s="239">
        <v>143.0</v>
      </c>
      <c r="H124" s="240"/>
      <c r="I124" s="239">
        <v>23.0</v>
      </c>
      <c r="J124" s="241">
        <f t="shared" si="2"/>
        <v>198.5</v>
      </c>
      <c r="K124" s="240"/>
      <c r="L124" s="240"/>
      <c r="M124" s="240"/>
      <c r="N124" s="240"/>
      <c r="O124" s="240"/>
      <c r="P124" s="240"/>
      <c r="Q124" s="240"/>
      <c r="R124" s="240"/>
      <c r="S124" s="240"/>
      <c r="T124" s="240"/>
      <c r="U124" s="240"/>
      <c r="V124" s="240"/>
      <c r="W124" s="240"/>
      <c r="X124" s="240"/>
      <c r="Y124" s="240"/>
      <c r="Z124" s="240"/>
      <c r="AA124" s="240"/>
      <c r="AB124" s="240"/>
    </row>
    <row r="125">
      <c r="A125" s="242">
        <v>251.0</v>
      </c>
      <c r="B125" s="243" t="s">
        <v>679</v>
      </c>
      <c r="C125" s="242" t="s">
        <v>1685</v>
      </c>
      <c r="D125" s="244">
        <v>46062.0</v>
      </c>
      <c r="E125" s="245">
        <v>17.5</v>
      </c>
      <c r="F125" s="246">
        <v>15.0</v>
      </c>
      <c r="G125" s="246">
        <v>150.0</v>
      </c>
      <c r="H125" s="247"/>
      <c r="I125" s="246">
        <v>23.0</v>
      </c>
      <c r="J125" s="248">
        <f t="shared" si="2"/>
        <v>205.5</v>
      </c>
      <c r="K125" s="247"/>
      <c r="L125" s="247"/>
      <c r="M125" s="247"/>
      <c r="N125" s="247"/>
      <c r="O125" s="247"/>
      <c r="P125" s="247"/>
      <c r="Q125" s="247"/>
      <c r="R125" s="247"/>
      <c r="S125" s="247"/>
      <c r="T125" s="247"/>
      <c r="U125" s="247"/>
      <c r="V125" s="247"/>
      <c r="W125" s="247"/>
      <c r="X125" s="247"/>
      <c r="Y125" s="247"/>
      <c r="Z125" s="247"/>
      <c r="AA125" s="247"/>
      <c r="AB125" s="247"/>
    </row>
    <row r="126">
      <c r="A126" s="235">
        <v>250.0</v>
      </c>
      <c r="B126" s="236" t="s">
        <v>675</v>
      </c>
      <c r="C126" s="235" t="s">
        <v>1686</v>
      </c>
      <c r="D126" s="237">
        <v>46062.0</v>
      </c>
      <c r="E126" s="238">
        <v>17.5</v>
      </c>
      <c r="F126" s="239">
        <v>15.0</v>
      </c>
      <c r="G126" s="239">
        <v>143.0</v>
      </c>
      <c r="H126" s="240"/>
      <c r="I126" s="239">
        <v>23.0</v>
      </c>
      <c r="J126" s="241">
        <f t="shared" si="2"/>
        <v>198.5</v>
      </c>
      <c r="K126" s="240"/>
      <c r="L126" s="240"/>
      <c r="M126" s="240"/>
      <c r="N126" s="240"/>
      <c r="O126" s="240"/>
      <c r="P126" s="240"/>
      <c r="Q126" s="240"/>
      <c r="R126" s="240"/>
      <c r="S126" s="240"/>
      <c r="T126" s="240"/>
      <c r="U126" s="240"/>
      <c r="V126" s="240"/>
      <c r="W126" s="240"/>
      <c r="X126" s="240"/>
      <c r="Y126" s="240"/>
      <c r="Z126" s="240"/>
      <c r="AA126" s="240"/>
      <c r="AB126" s="240"/>
    </row>
    <row r="127">
      <c r="A127" s="242">
        <v>257.0</v>
      </c>
      <c r="B127" s="243" t="s">
        <v>704</v>
      </c>
      <c r="C127" s="242" t="s">
        <v>1687</v>
      </c>
      <c r="D127" s="244">
        <v>46073.0</v>
      </c>
      <c r="E127" s="245">
        <v>17.5</v>
      </c>
      <c r="F127" s="246">
        <v>15.0</v>
      </c>
      <c r="G127" s="246">
        <v>143.0</v>
      </c>
      <c r="H127" s="247"/>
      <c r="I127" s="246">
        <v>23.0</v>
      </c>
      <c r="J127" s="248">
        <f t="shared" si="2"/>
        <v>198.5</v>
      </c>
      <c r="K127" s="247"/>
      <c r="L127" s="247"/>
      <c r="M127" s="247"/>
      <c r="N127" s="247"/>
      <c r="O127" s="247"/>
      <c r="P127" s="247"/>
      <c r="Q127" s="247"/>
      <c r="R127" s="247"/>
      <c r="S127" s="247"/>
      <c r="T127" s="247"/>
      <c r="U127" s="247"/>
      <c r="V127" s="247"/>
      <c r="W127" s="247"/>
      <c r="X127" s="247"/>
      <c r="Y127" s="247"/>
      <c r="Z127" s="247"/>
      <c r="AA127" s="247"/>
      <c r="AB127" s="247"/>
    </row>
    <row r="128">
      <c r="A128" s="235">
        <v>255.0</v>
      </c>
      <c r="B128" s="236" t="s">
        <v>697</v>
      </c>
      <c r="C128" s="235" t="s">
        <v>1688</v>
      </c>
      <c r="D128" s="237">
        <v>46073.0</v>
      </c>
      <c r="E128" s="238">
        <v>17.5</v>
      </c>
      <c r="F128" s="239">
        <v>15.0</v>
      </c>
      <c r="G128" s="239">
        <v>143.0</v>
      </c>
      <c r="H128" s="240"/>
      <c r="I128" s="239">
        <v>23.0</v>
      </c>
      <c r="J128" s="241">
        <f t="shared" si="2"/>
        <v>198.5</v>
      </c>
      <c r="K128" s="240"/>
      <c r="L128" s="240"/>
      <c r="M128" s="240"/>
      <c r="N128" s="240"/>
      <c r="O128" s="240"/>
      <c r="P128" s="240"/>
      <c r="Q128" s="240"/>
      <c r="R128" s="240"/>
      <c r="S128" s="240"/>
      <c r="T128" s="240"/>
      <c r="U128" s="240"/>
      <c r="V128" s="240"/>
      <c r="W128" s="240"/>
      <c r="X128" s="240"/>
      <c r="Y128" s="240"/>
      <c r="Z128" s="240"/>
      <c r="AA128" s="240"/>
      <c r="AB128" s="240"/>
    </row>
    <row r="129">
      <c r="A129" s="242">
        <v>254.0</v>
      </c>
      <c r="B129" s="243" t="s">
        <v>692</v>
      </c>
      <c r="C129" s="242" t="s">
        <v>1689</v>
      </c>
      <c r="D129" s="244">
        <v>46073.0</v>
      </c>
      <c r="E129" s="245">
        <v>17.5</v>
      </c>
      <c r="F129" s="246">
        <v>15.0</v>
      </c>
      <c r="G129" s="246">
        <v>143.0</v>
      </c>
      <c r="H129" s="247"/>
      <c r="I129" s="246">
        <v>23.0</v>
      </c>
      <c r="J129" s="248">
        <f t="shared" si="2"/>
        <v>198.5</v>
      </c>
      <c r="K129" s="247"/>
      <c r="L129" s="247"/>
      <c r="M129" s="247"/>
      <c r="N129" s="247"/>
      <c r="O129" s="247"/>
      <c r="P129" s="247"/>
      <c r="Q129" s="247"/>
      <c r="R129" s="247"/>
      <c r="S129" s="247"/>
      <c r="T129" s="247"/>
      <c r="U129" s="247"/>
      <c r="V129" s="247"/>
      <c r="W129" s="247"/>
      <c r="X129" s="247"/>
      <c r="Y129" s="247"/>
      <c r="Z129" s="247"/>
      <c r="AA129" s="247"/>
      <c r="AB129" s="247"/>
    </row>
    <row r="130">
      <c r="A130" s="235">
        <v>256.0</v>
      </c>
      <c r="B130" s="236" t="s">
        <v>701</v>
      </c>
      <c r="C130" s="235" t="s">
        <v>1690</v>
      </c>
      <c r="D130" s="237">
        <v>46073.0</v>
      </c>
      <c r="E130" s="238">
        <v>17.5</v>
      </c>
      <c r="F130" s="239">
        <v>15.0</v>
      </c>
      <c r="G130" s="239">
        <v>143.0</v>
      </c>
      <c r="H130" s="240"/>
      <c r="I130" s="239">
        <v>23.0</v>
      </c>
      <c r="J130" s="241">
        <f t="shared" si="2"/>
        <v>198.5</v>
      </c>
      <c r="K130" s="240"/>
      <c r="L130" s="240"/>
      <c r="M130" s="240"/>
      <c r="N130" s="240"/>
      <c r="O130" s="240"/>
      <c r="P130" s="240"/>
      <c r="Q130" s="240"/>
      <c r="R130" s="240"/>
      <c r="S130" s="240"/>
      <c r="T130" s="240"/>
      <c r="U130" s="240"/>
      <c r="V130" s="240"/>
      <c r="W130" s="240"/>
      <c r="X130" s="240"/>
      <c r="Y130" s="240"/>
      <c r="Z130" s="240"/>
      <c r="AA130" s="240"/>
      <c r="AB130" s="240"/>
    </row>
    <row r="131">
      <c r="A131" s="242">
        <v>253.0</v>
      </c>
      <c r="B131" s="243" t="s">
        <v>688</v>
      </c>
      <c r="C131" s="242" t="s">
        <v>1691</v>
      </c>
      <c r="D131" s="244">
        <v>46073.0</v>
      </c>
      <c r="E131" s="245">
        <v>17.5</v>
      </c>
      <c r="F131" s="246">
        <v>15.0</v>
      </c>
      <c r="G131" s="246">
        <v>143.0</v>
      </c>
      <c r="H131" s="247"/>
      <c r="I131" s="246">
        <v>23.0</v>
      </c>
      <c r="J131" s="248">
        <f t="shared" si="2"/>
        <v>198.5</v>
      </c>
      <c r="K131" s="247"/>
      <c r="L131" s="247"/>
      <c r="M131" s="247"/>
      <c r="N131" s="247"/>
      <c r="O131" s="247"/>
      <c r="P131" s="247"/>
      <c r="Q131" s="247"/>
      <c r="R131" s="247"/>
      <c r="S131" s="247"/>
      <c r="T131" s="247"/>
      <c r="U131" s="247"/>
      <c r="V131" s="247"/>
      <c r="W131" s="247"/>
      <c r="X131" s="247"/>
      <c r="Y131" s="247"/>
      <c r="Z131" s="247"/>
      <c r="AA131" s="247"/>
      <c r="AB131" s="247"/>
    </row>
    <row r="132">
      <c r="A132" s="235">
        <v>252.0</v>
      </c>
      <c r="B132" s="236" t="s">
        <v>683</v>
      </c>
      <c r="C132" s="235" t="s">
        <v>1692</v>
      </c>
      <c r="D132" s="237">
        <v>46073.0</v>
      </c>
      <c r="E132" s="238">
        <v>17.5</v>
      </c>
      <c r="F132" s="239">
        <v>15.0</v>
      </c>
      <c r="G132" s="239">
        <v>150.0</v>
      </c>
      <c r="H132" s="240"/>
      <c r="I132" s="239">
        <v>23.0</v>
      </c>
      <c r="J132" s="241">
        <f t="shared" si="2"/>
        <v>205.5</v>
      </c>
      <c r="K132" s="240"/>
      <c r="L132" s="240"/>
      <c r="M132" s="240"/>
      <c r="N132" s="240"/>
      <c r="O132" s="240"/>
      <c r="P132" s="240"/>
      <c r="Q132" s="240"/>
      <c r="R132" s="240"/>
      <c r="S132" s="240"/>
      <c r="T132" s="240"/>
      <c r="U132" s="240"/>
      <c r="V132" s="240"/>
      <c r="W132" s="240"/>
      <c r="X132" s="240"/>
      <c r="Y132" s="240"/>
      <c r="Z132" s="240"/>
      <c r="AA132" s="240"/>
      <c r="AB132" s="240"/>
    </row>
    <row r="133">
      <c r="A133" s="242">
        <v>258.0</v>
      </c>
      <c r="B133" s="243" t="s">
        <v>708</v>
      </c>
      <c r="C133" s="242" t="s">
        <v>1693</v>
      </c>
      <c r="D133" s="244">
        <v>46073.0</v>
      </c>
      <c r="E133" s="245">
        <v>17.5</v>
      </c>
      <c r="F133" s="246">
        <v>15.0</v>
      </c>
      <c r="G133" s="246">
        <v>143.0</v>
      </c>
      <c r="H133" s="247"/>
      <c r="I133" s="246">
        <v>23.0</v>
      </c>
      <c r="J133" s="248">
        <f t="shared" si="2"/>
        <v>198.5</v>
      </c>
      <c r="K133" s="247"/>
      <c r="L133" s="247"/>
      <c r="M133" s="247"/>
      <c r="N133" s="247"/>
      <c r="O133" s="247"/>
      <c r="P133" s="247"/>
      <c r="Q133" s="247"/>
      <c r="R133" s="247"/>
      <c r="S133" s="247"/>
      <c r="T133" s="247"/>
      <c r="U133" s="247"/>
      <c r="V133" s="247"/>
      <c r="W133" s="247"/>
      <c r="X133" s="247"/>
      <c r="Y133" s="247"/>
      <c r="Z133" s="247"/>
      <c r="AA133" s="247"/>
      <c r="AB133" s="247"/>
    </row>
    <row r="134">
      <c r="A134" s="235">
        <v>259.0</v>
      </c>
      <c r="B134" s="236" t="s">
        <v>711</v>
      </c>
      <c r="C134" s="235" t="s">
        <v>1694</v>
      </c>
      <c r="D134" s="237">
        <v>46073.0</v>
      </c>
      <c r="E134" s="238">
        <v>17.5</v>
      </c>
      <c r="F134" s="239">
        <v>15.0</v>
      </c>
      <c r="G134" s="239">
        <v>143.0</v>
      </c>
      <c r="H134" s="240"/>
      <c r="I134" s="239">
        <v>23.0</v>
      </c>
      <c r="J134" s="241">
        <f t="shared" si="2"/>
        <v>198.5</v>
      </c>
      <c r="K134" s="240"/>
      <c r="L134" s="240"/>
      <c r="M134" s="240"/>
      <c r="N134" s="240"/>
      <c r="O134" s="240"/>
      <c r="P134" s="240"/>
      <c r="Q134" s="240"/>
      <c r="R134" s="240"/>
      <c r="S134" s="240"/>
      <c r="T134" s="240"/>
      <c r="U134" s="240"/>
      <c r="V134" s="240"/>
      <c r="W134" s="240"/>
      <c r="X134" s="240"/>
      <c r="Y134" s="240"/>
      <c r="Z134" s="240"/>
      <c r="AA134" s="240"/>
      <c r="AB134" s="240"/>
    </row>
    <row r="135">
      <c r="A135" s="242">
        <v>260.0</v>
      </c>
      <c r="B135" s="243" t="s">
        <v>715</v>
      </c>
      <c r="C135" s="242" t="s">
        <v>1695</v>
      </c>
      <c r="D135" s="244">
        <v>46073.0</v>
      </c>
      <c r="E135" s="245">
        <v>17.5</v>
      </c>
      <c r="F135" s="246">
        <v>15.0</v>
      </c>
      <c r="G135" s="246">
        <v>143.0</v>
      </c>
      <c r="H135" s="247"/>
      <c r="I135" s="246">
        <v>23.0</v>
      </c>
      <c r="J135" s="248">
        <f t="shared" si="2"/>
        <v>198.5</v>
      </c>
      <c r="K135" s="247"/>
      <c r="L135" s="247"/>
      <c r="M135" s="247"/>
      <c r="N135" s="247"/>
      <c r="O135" s="247"/>
      <c r="P135" s="247"/>
      <c r="Q135" s="247"/>
      <c r="R135" s="247"/>
      <c r="S135" s="247"/>
      <c r="T135" s="247"/>
      <c r="U135" s="247"/>
      <c r="V135" s="247"/>
      <c r="W135" s="247"/>
      <c r="X135" s="247"/>
      <c r="Y135" s="247"/>
      <c r="Z135" s="247"/>
      <c r="AA135" s="247"/>
      <c r="AB135" s="247"/>
    </row>
    <row r="136">
      <c r="A136" s="235">
        <v>262.0</v>
      </c>
      <c r="B136" s="236" t="s">
        <v>723</v>
      </c>
      <c r="C136" s="235" t="s">
        <v>1696</v>
      </c>
      <c r="D136" s="237">
        <v>46073.0</v>
      </c>
      <c r="E136" s="238">
        <v>17.5</v>
      </c>
      <c r="F136" s="239">
        <v>15.0</v>
      </c>
      <c r="G136" s="239">
        <v>143.0</v>
      </c>
      <c r="H136" s="240"/>
      <c r="I136" s="239">
        <v>23.0</v>
      </c>
      <c r="J136" s="241">
        <f t="shared" si="2"/>
        <v>198.5</v>
      </c>
      <c r="K136" s="240"/>
      <c r="L136" s="240"/>
      <c r="M136" s="240"/>
      <c r="N136" s="240"/>
      <c r="O136" s="240"/>
      <c r="P136" s="240"/>
      <c r="Q136" s="240"/>
      <c r="R136" s="240"/>
      <c r="S136" s="240"/>
      <c r="T136" s="240"/>
      <c r="U136" s="240"/>
      <c r="V136" s="240"/>
      <c r="W136" s="240"/>
      <c r="X136" s="240"/>
      <c r="Y136" s="240"/>
      <c r="Z136" s="240"/>
      <c r="AA136" s="240"/>
      <c r="AB136" s="240"/>
    </row>
    <row r="137">
      <c r="A137" s="242">
        <v>261.0</v>
      </c>
      <c r="B137" s="243" t="s">
        <v>718</v>
      </c>
      <c r="C137" s="242" t="s">
        <v>1697</v>
      </c>
      <c r="D137" s="244">
        <v>46076.0</v>
      </c>
      <c r="E137" s="245">
        <v>17.5</v>
      </c>
      <c r="F137" s="246">
        <v>15.0</v>
      </c>
      <c r="G137" s="246">
        <v>150.0</v>
      </c>
      <c r="H137" s="247"/>
      <c r="I137" s="246">
        <v>23.0</v>
      </c>
      <c r="J137" s="248">
        <f t="shared" si="2"/>
        <v>205.5</v>
      </c>
      <c r="K137" s="247"/>
      <c r="L137" s="247"/>
      <c r="M137" s="247"/>
      <c r="N137" s="247"/>
      <c r="O137" s="247"/>
      <c r="P137" s="247"/>
      <c r="Q137" s="247"/>
      <c r="R137" s="247"/>
      <c r="S137" s="247"/>
      <c r="T137" s="247"/>
      <c r="U137" s="247"/>
      <c r="V137" s="247"/>
      <c r="W137" s="247"/>
      <c r="X137" s="247"/>
      <c r="Y137" s="247"/>
      <c r="Z137" s="247"/>
      <c r="AA137" s="247"/>
      <c r="AB137" s="247"/>
    </row>
    <row r="138">
      <c r="A138" s="235">
        <v>263.0</v>
      </c>
      <c r="B138" s="236" t="s">
        <v>726</v>
      </c>
      <c r="C138" s="235" t="s">
        <v>1698</v>
      </c>
      <c r="D138" s="237">
        <v>46076.0</v>
      </c>
      <c r="E138" s="238">
        <v>17.5</v>
      </c>
      <c r="F138" s="239">
        <v>15.0</v>
      </c>
      <c r="G138" s="239">
        <v>150.0</v>
      </c>
      <c r="H138" s="239">
        <v>25.0</v>
      </c>
      <c r="I138" s="239">
        <v>23.0</v>
      </c>
      <c r="J138" s="241">
        <f t="shared" si="2"/>
        <v>230.5</v>
      </c>
      <c r="K138" s="240"/>
      <c r="L138" s="240"/>
      <c r="M138" s="240"/>
      <c r="N138" s="240"/>
      <c r="O138" s="240"/>
      <c r="P138" s="240"/>
      <c r="Q138" s="240"/>
      <c r="R138" s="240"/>
      <c r="S138" s="240"/>
      <c r="T138" s="240"/>
      <c r="U138" s="240"/>
      <c r="V138" s="240"/>
      <c r="W138" s="240"/>
      <c r="X138" s="240"/>
      <c r="Y138" s="240"/>
      <c r="Z138" s="240"/>
      <c r="AA138" s="240"/>
      <c r="AB138" s="240"/>
    </row>
    <row r="139">
      <c r="A139" s="242">
        <v>264.0</v>
      </c>
      <c r="B139" s="243" t="s">
        <v>729</v>
      </c>
      <c r="C139" s="242" t="s">
        <v>1699</v>
      </c>
      <c r="D139" s="244">
        <v>46077.0</v>
      </c>
      <c r="E139" s="245">
        <v>17.5</v>
      </c>
      <c r="F139" s="246">
        <v>15.0</v>
      </c>
      <c r="G139" s="246">
        <v>143.0</v>
      </c>
      <c r="H139" s="247"/>
      <c r="I139" s="246">
        <v>23.0</v>
      </c>
      <c r="J139" s="248">
        <f t="shared" si="2"/>
        <v>198.5</v>
      </c>
      <c r="K139" s="247"/>
      <c r="L139" s="247"/>
      <c r="M139" s="247"/>
      <c r="N139" s="247"/>
      <c r="O139" s="247"/>
      <c r="P139" s="247"/>
      <c r="Q139" s="247"/>
      <c r="R139" s="247"/>
      <c r="S139" s="247"/>
      <c r="T139" s="247"/>
      <c r="U139" s="247"/>
      <c r="V139" s="247"/>
      <c r="W139" s="247"/>
      <c r="X139" s="247"/>
      <c r="Y139" s="247"/>
      <c r="Z139" s="247"/>
      <c r="AA139" s="247"/>
      <c r="AB139" s="247"/>
    </row>
    <row r="140">
      <c r="A140" s="235">
        <v>265.0</v>
      </c>
      <c r="B140" s="236" t="s">
        <v>734</v>
      </c>
      <c r="C140" s="235" t="s">
        <v>1700</v>
      </c>
      <c r="D140" s="237">
        <v>46077.0</v>
      </c>
      <c r="E140" s="238">
        <v>17.5</v>
      </c>
      <c r="F140" s="239">
        <v>15.0</v>
      </c>
      <c r="G140" s="239">
        <v>143.0</v>
      </c>
      <c r="H140" s="240"/>
      <c r="I140" s="239">
        <v>23.0</v>
      </c>
      <c r="J140" s="241">
        <f t="shared" si="2"/>
        <v>198.5</v>
      </c>
      <c r="K140" s="240"/>
      <c r="L140" s="240"/>
      <c r="M140" s="240"/>
      <c r="N140" s="240"/>
      <c r="O140" s="240"/>
      <c r="P140" s="240"/>
      <c r="Q140" s="240"/>
      <c r="R140" s="240"/>
      <c r="S140" s="240"/>
      <c r="T140" s="240"/>
      <c r="U140" s="240"/>
      <c r="V140" s="240"/>
      <c r="W140" s="240"/>
      <c r="X140" s="240"/>
      <c r="Y140" s="240"/>
      <c r="Z140" s="240"/>
      <c r="AA140" s="240"/>
      <c r="AB140" s="240"/>
    </row>
    <row r="141">
      <c r="A141" s="242">
        <v>268.0</v>
      </c>
      <c r="B141" s="243" t="s">
        <v>742</v>
      </c>
      <c r="C141" s="242" t="s">
        <v>1701</v>
      </c>
      <c r="D141" s="244">
        <v>46078.0</v>
      </c>
      <c r="E141" s="245">
        <v>17.5</v>
      </c>
      <c r="F141" s="246">
        <v>15.0</v>
      </c>
      <c r="G141" s="246">
        <v>143.0</v>
      </c>
      <c r="H141" s="247"/>
      <c r="I141" s="255">
        <v>11.5</v>
      </c>
      <c r="J141" s="248">
        <f t="shared" si="2"/>
        <v>187</v>
      </c>
      <c r="K141" s="247"/>
      <c r="L141" s="247"/>
      <c r="M141" s="247"/>
      <c r="N141" s="247"/>
      <c r="O141" s="247"/>
      <c r="P141" s="247"/>
      <c r="Q141" s="247"/>
      <c r="R141" s="247"/>
      <c r="S141" s="247"/>
      <c r="T141" s="247"/>
      <c r="U141" s="247"/>
      <c r="V141" s="247"/>
      <c r="W141" s="247"/>
      <c r="X141" s="247"/>
      <c r="Y141" s="247"/>
      <c r="Z141" s="247"/>
      <c r="AA141" s="247"/>
      <c r="AB141" s="247"/>
    </row>
    <row r="142">
      <c r="A142" s="235">
        <v>266.0</v>
      </c>
      <c r="B142" s="236" t="s">
        <v>738</v>
      </c>
      <c r="C142" s="235" t="s">
        <v>1702</v>
      </c>
      <c r="D142" s="237">
        <v>46079.0</v>
      </c>
      <c r="E142" s="238">
        <v>17.5</v>
      </c>
      <c r="F142" s="239">
        <v>15.0</v>
      </c>
      <c r="G142" s="252">
        <v>156.0</v>
      </c>
      <c r="H142" s="240"/>
      <c r="I142" s="252">
        <v>11.5</v>
      </c>
      <c r="J142" s="241">
        <f t="shared" si="2"/>
        <v>200</v>
      </c>
      <c r="K142" s="240"/>
      <c r="L142" s="240"/>
      <c r="M142" s="240"/>
      <c r="N142" s="240"/>
      <c r="O142" s="240"/>
      <c r="P142" s="240"/>
      <c r="Q142" s="240"/>
      <c r="R142" s="240"/>
      <c r="S142" s="240"/>
      <c r="T142" s="240"/>
      <c r="U142" s="240"/>
      <c r="V142" s="240"/>
      <c r="W142" s="240"/>
      <c r="X142" s="240"/>
      <c r="Y142" s="240"/>
      <c r="Z142" s="240"/>
      <c r="AA142" s="240"/>
      <c r="AB142" s="240"/>
    </row>
    <row r="143">
      <c r="A143" s="242">
        <v>271.0</v>
      </c>
      <c r="B143" s="243" t="s">
        <v>755</v>
      </c>
      <c r="C143" s="242" t="s">
        <v>1703</v>
      </c>
      <c r="D143" s="244">
        <v>46083.0</v>
      </c>
      <c r="E143" s="245">
        <v>17.5</v>
      </c>
      <c r="F143" s="246">
        <v>15.0</v>
      </c>
      <c r="G143" s="255">
        <v>329.6</v>
      </c>
      <c r="H143" s="242">
        <v>3.28</v>
      </c>
      <c r="I143" s="255">
        <v>11.5</v>
      </c>
      <c r="J143" s="248">
        <f t="shared" si="2"/>
        <v>376.88</v>
      </c>
      <c r="K143" s="247"/>
      <c r="L143" s="247"/>
      <c r="M143" s="247"/>
      <c r="N143" s="247"/>
      <c r="O143" s="247"/>
      <c r="P143" s="247"/>
      <c r="Q143" s="247"/>
      <c r="R143" s="247"/>
      <c r="S143" s="247"/>
      <c r="T143" s="247"/>
      <c r="U143" s="247"/>
      <c r="V143" s="247"/>
      <c r="W143" s="247"/>
      <c r="X143" s="247"/>
      <c r="Y143" s="247"/>
      <c r="Z143" s="247"/>
      <c r="AA143" s="247"/>
      <c r="AB143" s="247"/>
    </row>
    <row r="144">
      <c r="A144" s="235">
        <v>268.0</v>
      </c>
      <c r="B144" s="236" t="s">
        <v>745</v>
      </c>
      <c r="C144" s="235" t="s">
        <v>1704</v>
      </c>
      <c r="D144" s="237">
        <v>46083.0</v>
      </c>
      <c r="E144" s="238">
        <v>17.5</v>
      </c>
      <c r="F144" s="239">
        <v>15.0</v>
      </c>
      <c r="G144" s="252">
        <v>156.0</v>
      </c>
      <c r="H144" s="240"/>
      <c r="I144" s="252">
        <v>11.5</v>
      </c>
      <c r="J144" s="241">
        <f t="shared" si="2"/>
        <v>200</v>
      </c>
      <c r="K144" s="240"/>
      <c r="L144" s="240"/>
      <c r="M144" s="240"/>
      <c r="N144" s="240"/>
      <c r="O144" s="240"/>
      <c r="P144" s="240"/>
      <c r="Q144" s="240"/>
      <c r="R144" s="240"/>
      <c r="S144" s="240"/>
      <c r="T144" s="240"/>
      <c r="U144" s="240"/>
      <c r="V144" s="240"/>
      <c r="W144" s="240"/>
      <c r="X144" s="240"/>
      <c r="Y144" s="240"/>
      <c r="Z144" s="240"/>
      <c r="AA144" s="240"/>
      <c r="AB144" s="240"/>
    </row>
    <row r="145">
      <c r="A145" s="242">
        <v>269.0</v>
      </c>
      <c r="B145" s="243" t="s">
        <v>758</v>
      </c>
      <c r="C145" s="242" t="s">
        <v>1705</v>
      </c>
      <c r="D145" s="244">
        <v>46085.0</v>
      </c>
      <c r="E145" s="245">
        <v>17.5</v>
      </c>
      <c r="F145" s="246">
        <v>15.0</v>
      </c>
      <c r="G145" s="255">
        <v>164.0</v>
      </c>
      <c r="H145" s="247"/>
      <c r="I145" s="255">
        <v>11.5</v>
      </c>
      <c r="J145" s="248">
        <f t="shared" si="2"/>
        <v>208</v>
      </c>
      <c r="K145" s="247"/>
      <c r="L145" s="247"/>
      <c r="M145" s="247"/>
      <c r="N145" s="247"/>
      <c r="O145" s="247"/>
      <c r="P145" s="247"/>
      <c r="Q145" s="247"/>
      <c r="R145" s="247"/>
      <c r="S145" s="247"/>
      <c r="T145" s="247"/>
      <c r="U145" s="247"/>
      <c r="V145" s="247"/>
      <c r="W145" s="247"/>
      <c r="X145" s="247"/>
      <c r="Y145" s="247"/>
      <c r="Z145" s="247"/>
      <c r="AA145" s="247"/>
      <c r="AB145" s="247"/>
    </row>
    <row r="146">
      <c r="A146" s="235">
        <v>270.0</v>
      </c>
      <c r="B146" s="236" t="s">
        <v>751</v>
      </c>
      <c r="C146" s="235" t="s">
        <v>1706</v>
      </c>
      <c r="D146" s="237">
        <v>46086.0</v>
      </c>
      <c r="E146" s="238">
        <v>17.5</v>
      </c>
      <c r="F146" s="239">
        <v>15.0</v>
      </c>
      <c r="G146" s="252">
        <v>355.2</v>
      </c>
      <c r="H146" s="235"/>
      <c r="I146" s="252">
        <v>11.5</v>
      </c>
      <c r="J146" s="241">
        <f t="shared" si="2"/>
        <v>399.2</v>
      </c>
      <c r="K146" s="240"/>
      <c r="L146" s="240"/>
      <c r="M146" s="240"/>
      <c r="N146" s="240"/>
      <c r="O146" s="240"/>
      <c r="P146" s="240"/>
      <c r="Q146" s="240"/>
      <c r="R146" s="240"/>
      <c r="S146" s="240"/>
      <c r="T146" s="240"/>
      <c r="U146" s="240"/>
      <c r="V146" s="240"/>
      <c r="W146" s="240"/>
      <c r="X146" s="240"/>
      <c r="Y146" s="240"/>
      <c r="Z146" s="240"/>
      <c r="AA146" s="240"/>
      <c r="AB146" s="240"/>
    </row>
    <row r="147">
      <c r="A147" s="242">
        <v>273.0</v>
      </c>
      <c r="B147" s="243" t="s">
        <v>765</v>
      </c>
      <c r="C147" s="242" t="s">
        <v>1707</v>
      </c>
      <c r="D147" s="244">
        <v>46087.0</v>
      </c>
      <c r="E147" s="245">
        <v>17.5</v>
      </c>
      <c r="F147" s="246">
        <v>15.0</v>
      </c>
      <c r="G147" s="255">
        <v>164.0</v>
      </c>
      <c r="H147" s="247"/>
      <c r="I147" s="255">
        <v>11.5</v>
      </c>
      <c r="J147" s="248">
        <f t="shared" si="2"/>
        <v>208</v>
      </c>
      <c r="K147" s="247"/>
      <c r="L147" s="247"/>
      <c r="M147" s="247"/>
      <c r="N147" s="247"/>
      <c r="O147" s="247"/>
      <c r="P147" s="247"/>
      <c r="Q147" s="247"/>
      <c r="R147" s="247"/>
      <c r="S147" s="247"/>
      <c r="T147" s="247"/>
      <c r="U147" s="247"/>
      <c r="V147" s="247"/>
      <c r="W147" s="247"/>
      <c r="X147" s="247"/>
      <c r="Y147" s="247"/>
      <c r="Z147" s="247"/>
      <c r="AA147" s="247"/>
      <c r="AB147" s="247"/>
    </row>
    <row r="148">
      <c r="A148" s="235">
        <v>272.0</v>
      </c>
      <c r="B148" s="236" t="s">
        <v>762</v>
      </c>
      <c r="C148" s="235" t="s">
        <v>1708</v>
      </c>
      <c r="D148" s="237">
        <v>46088.0</v>
      </c>
      <c r="E148" s="238">
        <v>17.5</v>
      </c>
      <c r="F148" s="239">
        <v>15.0</v>
      </c>
      <c r="G148" s="252">
        <v>164.0</v>
      </c>
      <c r="H148" s="240"/>
      <c r="I148" s="252">
        <v>11.5</v>
      </c>
      <c r="J148" s="241">
        <f t="shared" si="2"/>
        <v>208</v>
      </c>
      <c r="K148" s="240"/>
      <c r="L148" s="240"/>
      <c r="M148" s="240"/>
      <c r="N148" s="240"/>
      <c r="O148" s="240"/>
      <c r="P148" s="240"/>
      <c r="Q148" s="240"/>
      <c r="R148" s="240"/>
      <c r="S148" s="240"/>
      <c r="T148" s="240"/>
      <c r="U148" s="240"/>
      <c r="V148" s="240"/>
      <c r="W148" s="240"/>
      <c r="X148" s="240"/>
      <c r="Y148" s="240"/>
      <c r="Z148" s="240"/>
      <c r="AA148" s="240"/>
      <c r="AB148" s="240"/>
    </row>
    <row r="149">
      <c r="A149" s="242">
        <v>274.0</v>
      </c>
      <c r="B149" s="243" t="s">
        <v>770</v>
      </c>
      <c r="C149" s="242" t="s">
        <v>1709</v>
      </c>
      <c r="D149" s="244">
        <v>46089.0</v>
      </c>
      <c r="E149" s="245">
        <v>17.5</v>
      </c>
      <c r="F149" s="246">
        <v>15.0</v>
      </c>
      <c r="G149" s="255">
        <v>164.0</v>
      </c>
      <c r="H149" s="242">
        <v>3.28</v>
      </c>
      <c r="I149" s="255">
        <v>11.5</v>
      </c>
      <c r="J149" s="248">
        <f t="shared" si="2"/>
        <v>211.28</v>
      </c>
      <c r="K149" s="247"/>
      <c r="L149" s="247"/>
      <c r="M149" s="247"/>
      <c r="N149" s="247"/>
      <c r="O149" s="247"/>
      <c r="P149" s="247"/>
      <c r="Q149" s="247"/>
      <c r="R149" s="247"/>
      <c r="S149" s="247"/>
      <c r="T149" s="247"/>
      <c r="U149" s="247"/>
      <c r="V149" s="247"/>
      <c r="W149" s="247"/>
      <c r="X149" s="247"/>
      <c r="Y149" s="247"/>
      <c r="Z149" s="247"/>
      <c r="AA149" s="247"/>
      <c r="AB149" s="247"/>
    </row>
    <row r="150">
      <c r="A150" s="235">
        <v>275.0</v>
      </c>
      <c r="B150" s="236" t="s">
        <v>773</v>
      </c>
      <c r="C150" s="235" t="s">
        <v>1710</v>
      </c>
      <c r="D150" s="237">
        <v>46090.0</v>
      </c>
      <c r="E150" s="238">
        <v>17.5</v>
      </c>
      <c r="F150" s="239">
        <v>15.0</v>
      </c>
      <c r="G150" s="252">
        <v>164.0</v>
      </c>
      <c r="H150" s="235">
        <v>3.28</v>
      </c>
      <c r="I150" s="252">
        <v>11.5</v>
      </c>
      <c r="J150" s="241">
        <f t="shared" si="2"/>
        <v>211.28</v>
      </c>
      <c r="K150" s="240"/>
      <c r="L150" s="240"/>
      <c r="M150" s="240"/>
      <c r="N150" s="240"/>
      <c r="O150" s="240"/>
      <c r="P150" s="240"/>
      <c r="Q150" s="240"/>
      <c r="R150" s="240"/>
      <c r="S150" s="240"/>
      <c r="T150" s="240"/>
      <c r="U150" s="240"/>
      <c r="V150" s="240"/>
      <c r="W150" s="240"/>
      <c r="X150" s="240"/>
      <c r="Y150" s="240"/>
      <c r="Z150" s="240"/>
      <c r="AA150" s="240"/>
      <c r="AB150" s="240"/>
    </row>
    <row r="151">
      <c r="A151" s="242">
        <v>283.0</v>
      </c>
      <c r="B151" s="243" t="s">
        <v>806</v>
      </c>
      <c r="C151" s="242" t="s">
        <v>1711</v>
      </c>
      <c r="D151" s="244">
        <v>46094.0</v>
      </c>
      <c r="E151" s="245">
        <v>17.5</v>
      </c>
      <c r="F151" s="246">
        <v>15.0</v>
      </c>
      <c r="G151" s="255">
        <v>156.0</v>
      </c>
      <c r="H151" s="247"/>
      <c r="I151" s="255">
        <v>11.5</v>
      </c>
      <c r="J151" s="248">
        <f t="shared" si="2"/>
        <v>200</v>
      </c>
      <c r="K151" s="247"/>
      <c r="L151" s="247"/>
      <c r="M151" s="247"/>
      <c r="N151" s="247"/>
      <c r="O151" s="247"/>
      <c r="P151" s="247"/>
      <c r="Q151" s="247"/>
      <c r="R151" s="247"/>
      <c r="S151" s="247"/>
      <c r="T151" s="247"/>
      <c r="U151" s="247"/>
      <c r="V151" s="247"/>
      <c r="W151" s="247"/>
      <c r="X151" s="247"/>
      <c r="Y151" s="247"/>
      <c r="Z151" s="247"/>
      <c r="AA151" s="247"/>
      <c r="AB151" s="247"/>
    </row>
    <row r="152">
      <c r="A152" s="256" t="s">
        <v>790</v>
      </c>
      <c r="B152" s="236" t="s">
        <v>791</v>
      </c>
      <c r="C152" s="235" t="s">
        <v>1712</v>
      </c>
      <c r="D152" s="237">
        <v>46096.0</v>
      </c>
      <c r="E152" s="257">
        <v>17.5</v>
      </c>
      <c r="F152" s="258">
        <v>15.0</v>
      </c>
      <c r="G152" s="259">
        <v>156.0</v>
      </c>
      <c r="H152" s="235">
        <v>3.28</v>
      </c>
      <c r="I152" s="259">
        <v>11.5</v>
      </c>
      <c r="J152" s="241">
        <f t="shared" si="2"/>
        <v>203.28</v>
      </c>
      <c r="K152" s="240"/>
      <c r="L152" s="240"/>
      <c r="M152" s="240"/>
      <c r="N152" s="240"/>
      <c r="O152" s="240"/>
      <c r="P152" s="240"/>
      <c r="Q152" s="240"/>
      <c r="R152" s="240"/>
      <c r="S152" s="240"/>
      <c r="T152" s="240"/>
      <c r="U152" s="240"/>
      <c r="V152" s="240"/>
      <c r="W152" s="240"/>
      <c r="X152" s="240"/>
      <c r="Y152" s="240"/>
      <c r="Z152" s="240"/>
      <c r="AA152" s="240"/>
      <c r="AB152" s="240"/>
    </row>
    <row r="153">
      <c r="A153" s="242">
        <v>277.0</v>
      </c>
      <c r="B153" s="243" t="s">
        <v>781</v>
      </c>
      <c r="C153" s="242" t="s">
        <v>1713</v>
      </c>
      <c r="D153" s="244">
        <v>46094.0</v>
      </c>
      <c r="E153" s="245">
        <v>17.5</v>
      </c>
      <c r="F153" s="246">
        <v>15.0</v>
      </c>
      <c r="G153" s="255">
        <v>164.0</v>
      </c>
      <c r="H153" s="247"/>
      <c r="I153" s="255">
        <v>11.5</v>
      </c>
      <c r="J153" s="248">
        <f t="shared" si="2"/>
        <v>208</v>
      </c>
      <c r="K153" s="247"/>
      <c r="L153" s="247"/>
      <c r="M153" s="247"/>
      <c r="N153" s="247"/>
      <c r="O153" s="247"/>
      <c r="P153" s="247"/>
      <c r="Q153" s="247"/>
      <c r="R153" s="247"/>
      <c r="S153" s="247"/>
      <c r="T153" s="247"/>
      <c r="U153" s="247"/>
      <c r="V153" s="247"/>
      <c r="W153" s="247"/>
      <c r="X153" s="247"/>
      <c r="Y153" s="247"/>
      <c r="Z153" s="247"/>
      <c r="AA153" s="247"/>
      <c r="AB153" s="247"/>
    </row>
    <row r="154">
      <c r="A154" s="235">
        <v>282.0</v>
      </c>
      <c r="B154" s="236" t="s">
        <v>802</v>
      </c>
      <c r="C154" s="235" t="s">
        <v>1714</v>
      </c>
      <c r="D154" s="237">
        <v>46094.0</v>
      </c>
      <c r="E154" s="238">
        <v>17.5</v>
      </c>
      <c r="F154" s="239">
        <v>15.0</v>
      </c>
      <c r="G154" s="252">
        <v>164.0</v>
      </c>
      <c r="H154" s="240"/>
      <c r="I154" s="252">
        <v>11.5</v>
      </c>
      <c r="J154" s="241">
        <f t="shared" si="2"/>
        <v>208</v>
      </c>
      <c r="K154" s="240"/>
      <c r="L154" s="240"/>
      <c r="M154" s="240"/>
      <c r="N154" s="240"/>
      <c r="O154" s="240"/>
      <c r="P154" s="240"/>
      <c r="Q154" s="240"/>
      <c r="R154" s="240"/>
      <c r="S154" s="240"/>
      <c r="T154" s="240"/>
      <c r="U154" s="240"/>
      <c r="V154" s="240"/>
      <c r="W154" s="240"/>
      <c r="X154" s="240"/>
      <c r="Y154" s="240"/>
      <c r="Z154" s="240"/>
      <c r="AA154" s="240"/>
      <c r="AB154" s="240"/>
    </row>
    <row r="155">
      <c r="A155" s="242">
        <v>276.0</v>
      </c>
      <c r="B155" s="243" t="s">
        <v>777</v>
      </c>
      <c r="C155" s="242" t="s">
        <v>1715</v>
      </c>
      <c r="D155" s="244">
        <v>46094.0</v>
      </c>
      <c r="E155" s="260">
        <v>17.5</v>
      </c>
      <c r="F155" s="261">
        <v>15.0</v>
      </c>
      <c r="G155" s="262">
        <v>156.0</v>
      </c>
      <c r="H155" s="242">
        <v>3.28</v>
      </c>
      <c r="I155" s="262">
        <v>11.5</v>
      </c>
      <c r="J155" s="248">
        <f t="shared" si="2"/>
        <v>203.28</v>
      </c>
      <c r="K155" s="247"/>
      <c r="L155" s="247"/>
      <c r="M155" s="247"/>
      <c r="N155" s="247"/>
      <c r="O155" s="247"/>
      <c r="P155" s="247"/>
      <c r="Q155" s="247"/>
      <c r="R155" s="247"/>
      <c r="S155" s="247"/>
      <c r="T155" s="247"/>
      <c r="U155" s="247"/>
      <c r="V155" s="247"/>
      <c r="W155" s="247"/>
      <c r="X155" s="247"/>
      <c r="Y155" s="247"/>
      <c r="Z155" s="247"/>
      <c r="AA155" s="247"/>
      <c r="AB155" s="247"/>
    </row>
    <row r="156">
      <c r="A156" s="235">
        <v>278.0</v>
      </c>
      <c r="B156" s="236" t="s">
        <v>1716</v>
      </c>
      <c r="C156" s="235" t="s">
        <v>1717</v>
      </c>
      <c r="D156" s="237">
        <v>46095.0</v>
      </c>
      <c r="E156" s="238">
        <v>17.5</v>
      </c>
      <c r="F156" s="239">
        <v>15.0</v>
      </c>
      <c r="G156" s="252">
        <v>164.0</v>
      </c>
      <c r="H156" s="240"/>
      <c r="I156" s="252">
        <v>11.5</v>
      </c>
      <c r="J156" s="241">
        <f t="shared" si="2"/>
        <v>208</v>
      </c>
      <c r="K156" s="240"/>
      <c r="L156" s="240"/>
      <c r="M156" s="240"/>
      <c r="N156" s="240"/>
      <c r="O156" s="240"/>
      <c r="P156" s="240"/>
      <c r="Q156" s="240"/>
      <c r="R156" s="240"/>
      <c r="S156" s="240"/>
      <c r="T156" s="240"/>
      <c r="U156" s="240"/>
      <c r="V156" s="240"/>
      <c r="W156" s="240"/>
      <c r="X156" s="240"/>
      <c r="Y156" s="240"/>
      <c r="Z156" s="240"/>
      <c r="AA156" s="240"/>
      <c r="AB156" s="240"/>
    </row>
    <row r="157">
      <c r="A157" s="242">
        <v>290.0</v>
      </c>
      <c r="B157" s="243" t="s">
        <v>832</v>
      </c>
      <c r="C157" s="242" t="s">
        <v>1718</v>
      </c>
      <c r="D157" s="244">
        <v>46104.0</v>
      </c>
      <c r="E157" s="245">
        <v>17.5</v>
      </c>
      <c r="F157" s="246">
        <v>15.0</v>
      </c>
      <c r="G157" s="255">
        <v>164.0</v>
      </c>
      <c r="H157" s="242">
        <v>3.28</v>
      </c>
      <c r="I157" s="255">
        <v>11.5</v>
      </c>
      <c r="J157" s="248">
        <f t="shared" si="2"/>
        <v>211.28</v>
      </c>
      <c r="K157" s="247"/>
      <c r="L157" s="247"/>
      <c r="M157" s="247"/>
      <c r="N157" s="247"/>
      <c r="O157" s="247"/>
      <c r="P157" s="247"/>
      <c r="Q157" s="247"/>
      <c r="R157" s="247"/>
      <c r="S157" s="247"/>
      <c r="T157" s="247"/>
      <c r="U157" s="247"/>
      <c r="V157" s="247"/>
      <c r="W157" s="247"/>
      <c r="X157" s="247"/>
      <c r="Y157" s="247"/>
      <c r="Z157" s="247"/>
      <c r="AA157" s="247"/>
      <c r="AB157" s="247"/>
    </row>
    <row r="158">
      <c r="A158" s="235">
        <v>287.0</v>
      </c>
      <c r="B158" s="236" t="s">
        <v>821</v>
      </c>
      <c r="C158" s="235" t="s">
        <v>1719</v>
      </c>
      <c r="D158" s="237">
        <v>46104.0</v>
      </c>
      <c r="E158" s="257">
        <v>17.5</v>
      </c>
      <c r="F158" s="258">
        <v>15.0</v>
      </c>
      <c r="G158" s="259">
        <v>156.0</v>
      </c>
      <c r="H158" s="235">
        <v>3.28</v>
      </c>
      <c r="I158" s="259">
        <v>11.5</v>
      </c>
      <c r="J158" s="241">
        <f t="shared" si="2"/>
        <v>203.28</v>
      </c>
      <c r="K158" s="240"/>
      <c r="L158" s="240"/>
      <c r="M158" s="240"/>
      <c r="N158" s="240"/>
      <c r="O158" s="240"/>
      <c r="P158" s="240"/>
      <c r="Q158" s="240"/>
      <c r="R158" s="240"/>
      <c r="S158" s="240"/>
      <c r="T158" s="240"/>
      <c r="U158" s="240"/>
      <c r="V158" s="240"/>
      <c r="W158" s="240"/>
      <c r="X158" s="240"/>
      <c r="Y158" s="240"/>
      <c r="Z158" s="240"/>
      <c r="AA158" s="240"/>
      <c r="AB158" s="240"/>
    </row>
    <row r="159">
      <c r="A159" s="242">
        <v>291.0</v>
      </c>
      <c r="B159" s="243" t="s">
        <v>836</v>
      </c>
      <c r="C159" s="242" t="s">
        <v>1720</v>
      </c>
      <c r="D159" s="244">
        <v>46104.0</v>
      </c>
      <c r="E159" s="260">
        <v>17.5</v>
      </c>
      <c r="F159" s="261">
        <v>15.0</v>
      </c>
      <c r="G159" s="262">
        <v>156.0</v>
      </c>
      <c r="H159" s="242">
        <v>3.28</v>
      </c>
      <c r="I159" s="262">
        <v>11.5</v>
      </c>
      <c r="J159" s="248">
        <f t="shared" si="2"/>
        <v>203.28</v>
      </c>
      <c r="K159" s="247"/>
      <c r="L159" s="247"/>
      <c r="M159" s="247"/>
      <c r="N159" s="247"/>
      <c r="O159" s="247"/>
      <c r="P159" s="247"/>
      <c r="Q159" s="247"/>
      <c r="R159" s="247"/>
      <c r="S159" s="247"/>
      <c r="T159" s="247"/>
      <c r="U159" s="247"/>
      <c r="V159" s="247"/>
      <c r="W159" s="247"/>
      <c r="X159" s="247"/>
      <c r="Y159" s="247"/>
      <c r="Z159" s="247"/>
      <c r="AA159" s="247"/>
      <c r="AB159" s="247"/>
    </row>
    <row r="160">
      <c r="A160" s="235">
        <v>292.0</v>
      </c>
      <c r="B160" s="236" t="s">
        <v>839</v>
      </c>
      <c r="C160" s="235" t="s">
        <v>1721</v>
      </c>
      <c r="D160" s="237">
        <v>46104.0</v>
      </c>
      <c r="E160" s="257">
        <v>17.5</v>
      </c>
      <c r="F160" s="258">
        <v>15.0</v>
      </c>
      <c r="G160" s="259">
        <v>156.0</v>
      </c>
      <c r="H160" s="235">
        <v>3.28</v>
      </c>
      <c r="I160" s="259">
        <v>11.5</v>
      </c>
      <c r="J160" s="241">
        <f t="shared" si="2"/>
        <v>203.28</v>
      </c>
      <c r="K160" s="240"/>
      <c r="L160" s="240"/>
      <c r="M160" s="240"/>
      <c r="N160" s="240"/>
      <c r="O160" s="240"/>
      <c r="P160" s="240"/>
      <c r="Q160" s="240"/>
      <c r="R160" s="240"/>
      <c r="S160" s="240"/>
      <c r="T160" s="240"/>
      <c r="U160" s="240"/>
      <c r="V160" s="240"/>
      <c r="W160" s="240"/>
      <c r="X160" s="240"/>
      <c r="Y160" s="240"/>
      <c r="Z160" s="240"/>
      <c r="AA160" s="240"/>
      <c r="AB160" s="240"/>
    </row>
    <row r="161">
      <c r="A161" s="242">
        <v>289.0</v>
      </c>
      <c r="B161" s="243" t="s">
        <v>828</v>
      </c>
      <c r="C161" s="242" t="s">
        <v>1722</v>
      </c>
      <c r="D161" s="244">
        <v>46104.0</v>
      </c>
      <c r="E161" s="260">
        <v>17.5</v>
      </c>
      <c r="F161" s="261">
        <v>15.0</v>
      </c>
      <c r="G161" s="262">
        <v>156.0</v>
      </c>
      <c r="H161" s="242">
        <v>3.28</v>
      </c>
      <c r="I161" s="262">
        <v>11.5</v>
      </c>
      <c r="J161" s="248">
        <f t="shared" si="2"/>
        <v>203.28</v>
      </c>
      <c r="K161" s="247"/>
      <c r="L161" s="247"/>
      <c r="M161" s="247"/>
      <c r="N161" s="247"/>
      <c r="O161" s="247"/>
      <c r="P161" s="247"/>
      <c r="Q161" s="247"/>
      <c r="R161" s="247"/>
      <c r="S161" s="247"/>
      <c r="T161" s="247"/>
      <c r="U161" s="247"/>
      <c r="V161" s="247"/>
      <c r="W161" s="247"/>
      <c r="X161" s="247"/>
      <c r="Y161" s="247"/>
      <c r="Z161" s="247"/>
      <c r="AA161" s="247"/>
      <c r="AB161" s="247"/>
    </row>
    <row r="162">
      <c r="A162" s="235">
        <v>293.0</v>
      </c>
      <c r="B162" s="236" t="s">
        <v>842</v>
      </c>
      <c r="C162" s="235" t="s">
        <v>1723</v>
      </c>
      <c r="D162" s="237">
        <v>46104.0</v>
      </c>
      <c r="E162" s="257">
        <v>17.5</v>
      </c>
      <c r="F162" s="258">
        <v>15.0</v>
      </c>
      <c r="G162" s="259">
        <v>156.0</v>
      </c>
      <c r="H162" s="235">
        <v>3.28</v>
      </c>
      <c r="I162" s="259">
        <v>11.5</v>
      </c>
      <c r="J162" s="241">
        <f t="shared" si="2"/>
        <v>203.28</v>
      </c>
      <c r="K162" s="240"/>
      <c r="L162" s="240"/>
      <c r="M162" s="240"/>
      <c r="N162" s="240"/>
      <c r="O162" s="240"/>
      <c r="P162" s="240"/>
      <c r="Q162" s="240"/>
      <c r="R162" s="240"/>
      <c r="S162" s="240"/>
      <c r="T162" s="240"/>
      <c r="U162" s="240"/>
      <c r="V162" s="240"/>
      <c r="W162" s="240"/>
      <c r="X162" s="240"/>
      <c r="Y162" s="240"/>
      <c r="Z162" s="240"/>
      <c r="AA162" s="240"/>
      <c r="AB162" s="240"/>
    </row>
    <row r="163">
      <c r="A163" s="242">
        <v>284.0</v>
      </c>
      <c r="B163" s="243" t="s">
        <v>810</v>
      </c>
      <c r="C163" s="242" t="s">
        <v>1724</v>
      </c>
      <c r="D163" s="244">
        <v>46104.0</v>
      </c>
      <c r="E163" s="260">
        <v>17.5</v>
      </c>
      <c r="F163" s="261">
        <v>15.0</v>
      </c>
      <c r="G163" s="262">
        <v>156.0</v>
      </c>
      <c r="H163" s="242"/>
      <c r="I163" s="262">
        <v>11.5</v>
      </c>
      <c r="J163" s="248">
        <f t="shared" si="2"/>
        <v>200</v>
      </c>
      <c r="K163" s="247"/>
      <c r="L163" s="247"/>
      <c r="M163" s="247"/>
      <c r="N163" s="247"/>
      <c r="O163" s="247"/>
      <c r="P163" s="247"/>
      <c r="Q163" s="247"/>
      <c r="R163" s="247"/>
      <c r="S163" s="247"/>
      <c r="T163" s="247"/>
      <c r="U163" s="247"/>
      <c r="V163" s="247"/>
      <c r="W163" s="247"/>
      <c r="X163" s="247"/>
      <c r="Y163" s="247"/>
      <c r="Z163" s="247"/>
      <c r="AA163" s="247"/>
      <c r="AB163" s="247"/>
    </row>
    <row r="164">
      <c r="A164" s="235">
        <v>280.0</v>
      </c>
      <c r="B164" s="236" t="s">
        <v>794</v>
      </c>
      <c r="C164" s="235" t="s">
        <v>1725</v>
      </c>
      <c r="D164" s="237">
        <v>46096.0</v>
      </c>
      <c r="E164" s="257">
        <v>17.5</v>
      </c>
      <c r="F164" s="258">
        <v>15.0</v>
      </c>
      <c r="G164" s="259">
        <v>156.0</v>
      </c>
      <c r="H164" s="235"/>
      <c r="I164" s="259">
        <v>11.5</v>
      </c>
      <c r="J164" s="241">
        <f t="shared" si="2"/>
        <v>200</v>
      </c>
      <c r="K164" s="240"/>
      <c r="L164" s="240"/>
      <c r="M164" s="240"/>
      <c r="N164" s="240"/>
      <c r="O164" s="240"/>
      <c r="P164" s="240"/>
      <c r="Q164" s="240"/>
      <c r="R164" s="240"/>
      <c r="S164" s="240"/>
      <c r="T164" s="240"/>
      <c r="U164" s="240"/>
      <c r="V164" s="240"/>
      <c r="W164" s="240"/>
      <c r="X164" s="240"/>
      <c r="Y164" s="240"/>
      <c r="Z164" s="240"/>
      <c r="AA164" s="240"/>
      <c r="AB164" s="240"/>
    </row>
    <row r="165">
      <c r="A165" s="242">
        <v>286.0</v>
      </c>
      <c r="B165" s="243" t="s">
        <v>817</v>
      </c>
      <c r="C165" s="242" t="s">
        <v>1726</v>
      </c>
      <c r="D165" s="244">
        <v>46097.0</v>
      </c>
      <c r="E165" s="260">
        <v>17.5</v>
      </c>
      <c r="F165" s="261">
        <v>15.0</v>
      </c>
      <c r="G165" s="262">
        <v>156.0</v>
      </c>
      <c r="H165" s="242"/>
      <c r="I165" s="262">
        <v>11.5</v>
      </c>
      <c r="J165" s="248">
        <f t="shared" si="2"/>
        <v>200</v>
      </c>
      <c r="K165" s="247"/>
      <c r="L165" s="247"/>
      <c r="M165" s="247"/>
      <c r="N165" s="247"/>
      <c r="O165" s="247"/>
      <c r="P165" s="247"/>
      <c r="Q165" s="247"/>
      <c r="R165" s="247"/>
      <c r="S165" s="247"/>
      <c r="T165" s="247"/>
      <c r="U165" s="247"/>
      <c r="V165" s="247"/>
      <c r="W165" s="247"/>
      <c r="X165" s="247"/>
      <c r="Y165" s="247"/>
      <c r="Z165" s="247"/>
      <c r="AA165" s="247"/>
      <c r="AB165" s="247"/>
    </row>
    <row r="166">
      <c r="A166" s="235">
        <v>288.0</v>
      </c>
      <c r="B166" s="236" t="s">
        <v>825</v>
      </c>
      <c r="C166" s="235" t="s">
        <v>1727</v>
      </c>
      <c r="D166" s="237">
        <v>46098.0</v>
      </c>
      <c r="E166" s="257">
        <v>17.5</v>
      </c>
      <c r="F166" s="258">
        <v>15.0</v>
      </c>
      <c r="G166" s="259">
        <v>156.0</v>
      </c>
      <c r="H166" s="235"/>
      <c r="I166" s="259">
        <v>11.5</v>
      </c>
      <c r="J166" s="241">
        <f t="shared" si="2"/>
        <v>200</v>
      </c>
      <c r="K166" s="240"/>
      <c r="L166" s="240"/>
      <c r="M166" s="240"/>
      <c r="N166" s="240"/>
      <c r="O166" s="240"/>
      <c r="P166" s="240"/>
      <c r="Q166" s="240"/>
      <c r="R166" s="240"/>
      <c r="S166" s="240"/>
      <c r="T166" s="240"/>
      <c r="U166" s="240"/>
      <c r="V166" s="240"/>
      <c r="W166" s="240"/>
      <c r="X166" s="240"/>
      <c r="Y166" s="240"/>
      <c r="Z166" s="240"/>
      <c r="AA166" s="240"/>
      <c r="AB166" s="240"/>
    </row>
    <row r="167">
      <c r="A167" s="242">
        <v>298.0</v>
      </c>
      <c r="B167" s="243" t="s">
        <v>650</v>
      </c>
      <c r="C167" s="242" t="s">
        <v>1728</v>
      </c>
      <c r="D167" s="244">
        <v>46101.0</v>
      </c>
      <c r="E167" s="245">
        <v>17.5</v>
      </c>
      <c r="F167" s="246">
        <v>15.0</v>
      </c>
      <c r="G167" s="255">
        <v>355.2</v>
      </c>
      <c r="H167" s="242"/>
      <c r="I167" s="255">
        <v>11.5</v>
      </c>
      <c r="J167" s="248">
        <f t="shared" si="2"/>
        <v>399.2</v>
      </c>
      <c r="K167" s="247"/>
      <c r="L167" s="247"/>
      <c r="M167" s="247"/>
      <c r="N167" s="247"/>
      <c r="O167" s="247"/>
      <c r="P167" s="247"/>
      <c r="Q167" s="247"/>
      <c r="R167" s="247"/>
      <c r="S167" s="247"/>
      <c r="T167" s="247"/>
      <c r="U167" s="247"/>
      <c r="V167" s="247"/>
      <c r="W167" s="247"/>
      <c r="X167" s="247"/>
      <c r="Y167" s="247"/>
      <c r="Z167" s="247"/>
      <c r="AA167" s="247"/>
      <c r="AB167" s="247"/>
    </row>
    <row r="168">
      <c r="A168" s="235">
        <v>281.0</v>
      </c>
      <c r="B168" s="236" t="s">
        <v>797</v>
      </c>
      <c r="C168" s="235" t="s">
        <v>1729</v>
      </c>
      <c r="D168" s="237">
        <v>46102.0</v>
      </c>
      <c r="E168" s="257">
        <v>17.5</v>
      </c>
      <c r="F168" s="258">
        <v>15.0</v>
      </c>
      <c r="G168" s="259">
        <v>156.0</v>
      </c>
      <c r="H168" s="235">
        <v>3.28</v>
      </c>
      <c r="I168" s="259">
        <v>11.5</v>
      </c>
      <c r="J168" s="241">
        <f t="shared" si="2"/>
        <v>203.28</v>
      </c>
      <c r="K168" s="240"/>
      <c r="L168" s="240"/>
      <c r="M168" s="240"/>
      <c r="N168" s="240"/>
      <c r="O168" s="240"/>
      <c r="P168" s="240"/>
      <c r="Q168" s="240"/>
      <c r="R168" s="240"/>
      <c r="S168" s="240"/>
      <c r="T168" s="240"/>
      <c r="U168" s="240"/>
      <c r="V168" s="240"/>
      <c r="W168" s="240"/>
      <c r="X168" s="240"/>
      <c r="Y168" s="240"/>
      <c r="Z168" s="240"/>
      <c r="AA168" s="240"/>
      <c r="AB168" s="240"/>
    </row>
    <row r="169">
      <c r="A169" s="242">
        <v>285.0</v>
      </c>
      <c r="B169" s="243" t="s">
        <v>814</v>
      </c>
      <c r="C169" s="242" t="s">
        <v>1730</v>
      </c>
      <c r="D169" s="244">
        <v>46103.0</v>
      </c>
      <c r="E169" s="260">
        <v>17.5</v>
      </c>
      <c r="F169" s="261">
        <v>15.0</v>
      </c>
      <c r="G169" s="262">
        <v>156.0</v>
      </c>
      <c r="H169" s="242">
        <v>3.28</v>
      </c>
      <c r="I169" s="262">
        <v>11.5</v>
      </c>
      <c r="J169" s="248">
        <f t="shared" si="2"/>
        <v>203.28</v>
      </c>
      <c r="K169" s="247"/>
      <c r="L169" s="247"/>
      <c r="M169" s="247"/>
      <c r="N169" s="247"/>
      <c r="O169" s="247"/>
      <c r="P169" s="247"/>
      <c r="Q169" s="247"/>
      <c r="R169" s="247"/>
      <c r="S169" s="247"/>
      <c r="T169" s="247"/>
      <c r="U169" s="247"/>
      <c r="V169" s="247"/>
      <c r="W169" s="247"/>
      <c r="X169" s="247"/>
      <c r="Y169" s="247"/>
      <c r="Z169" s="247"/>
      <c r="AA169" s="247"/>
      <c r="AB169" s="247"/>
    </row>
    <row r="170">
      <c r="A170" s="235">
        <v>241.0</v>
      </c>
      <c r="B170" s="236" t="s">
        <v>640</v>
      </c>
      <c r="C170" s="235" t="s">
        <v>1676</v>
      </c>
      <c r="D170" s="237">
        <v>46103.0</v>
      </c>
      <c r="E170" s="240"/>
      <c r="F170" s="240"/>
      <c r="G170" s="240"/>
      <c r="H170" s="240"/>
      <c r="I170" s="235">
        <v>34.24</v>
      </c>
      <c r="J170" s="240">
        <f t="shared" si="2"/>
        <v>34.24</v>
      </c>
      <c r="K170" s="240"/>
      <c r="L170" s="240"/>
      <c r="M170" s="240"/>
      <c r="N170" s="240"/>
      <c r="O170" s="240"/>
      <c r="P170" s="240"/>
      <c r="Q170" s="240"/>
      <c r="R170" s="240"/>
      <c r="S170" s="240"/>
      <c r="T170" s="240"/>
      <c r="U170" s="240"/>
      <c r="V170" s="240"/>
      <c r="W170" s="240"/>
      <c r="X170" s="240"/>
      <c r="Y170" s="240"/>
      <c r="Z170" s="240"/>
      <c r="AA170" s="240"/>
      <c r="AB170" s="240"/>
    </row>
    <row r="171">
      <c r="A171" s="242">
        <v>296.0</v>
      </c>
      <c r="B171" s="263" t="s">
        <v>655</v>
      </c>
      <c r="C171" s="242" t="s">
        <v>1731</v>
      </c>
      <c r="D171" s="244">
        <v>46121.0</v>
      </c>
      <c r="E171" s="245">
        <v>17.5</v>
      </c>
      <c r="F171" s="246">
        <v>15.0</v>
      </c>
      <c r="G171" s="255">
        <v>355.2</v>
      </c>
      <c r="H171" s="242">
        <v>3.28</v>
      </c>
      <c r="I171" s="255">
        <v>11.5</v>
      </c>
      <c r="J171" s="248">
        <f t="shared" si="2"/>
        <v>402.48</v>
      </c>
      <c r="K171" s="247"/>
      <c r="L171" s="247"/>
      <c r="M171" s="247"/>
      <c r="N171" s="247"/>
      <c r="O171" s="247"/>
      <c r="P171" s="247"/>
      <c r="Q171" s="247"/>
      <c r="R171" s="247"/>
      <c r="S171" s="247"/>
      <c r="T171" s="247"/>
      <c r="U171" s="247"/>
      <c r="V171" s="247"/>
      <c r="W171" s="247"/>
      <c r="X171" s="247"/>
      <c r="Y171" s="247"/>
      <c r="Z171" s="247"/>
      <c r="AA171" s="247"/>
      <c r="AB171" s="247"/>
    </row>
    <row r="172">
      <c r="A172" s="235">
        <v>298.0</v>
      </c>
      <c r="B172" s="236" t="s">
        <v>864</v>
      </c>
      <c r="C172" s="235" t="s">
        <v>1732</v>
      </c>
      <c r="D172" s="237">
        <v>46131.0</v>
      </c>
      <c r="E172" s="257">
        <v>17.5</v>
      </c>
      <c r="F172" s="258">
        <v>15.0</v>
      </c>
      <c r="G172" s="259">
        <v>156.0</v>
      </c>
      <c r="H172" s="235">
        <v>3.28</v>
      </c>
      <c r="I172" s="259">
        <v>11.5</v>
      </c>
      <c r="J172" s="241">
        <f t="shared" si="2"/>
        <v>203.28</v>
      </c>
      <c r="K172" s="240"/>
      <c r="L172" s="240"/>
      <c r="M172" s="240"/>
      <c r="N172" s="240"/>
      <c r="O172" s="240"/>
      <c r="P172" s="240"/>
      <c r="Q172" s="240"/>
      <c r="R172" s="240"/>
      <c r="S172" s="240"/>
      <c r="T172" s="240"/>
      <c r="U172" s="240"/>
      <c r="V172" s="240"/>
      <c r="W172" s="240"/>
      <c r="X172" s="240"/>
      <c r="Y172" s="240"/>
      <c r="Z172" s="240"/>
      <c r="AA172" s="240"/>
      <c r="AB172" s="240"/>
    </row>
    <row r="173">
      <c r="A173" s="242">
        <v>297.0</v>
      </c>
      <c r="B173" s="243" t="s">
        <v>861</v>
      </c>
      <c r="C173" s="242" t="s">
        <v>1733</v>
      </c>
      <c r="D173" s="244">
        <v>46131.0</v>
      </c>
      <c r="E173" s="245">
        <v>17.5</v>
      </c>
      <c r="F173" s="246">
        <v>15.0</v>
      </c>
      <c r="G173" s="255">
        <v>355.2</v>
      </c>
      <c r="H173" s="242">
        <v>3.28</v>
      </c>
      <c r="I173" s="255">
        <v>11.5</v>
      </c>
      <c r="J173" s="248">
        <f t="shared" si="2"/>
        <v>402.48</v>
      </c>
      <c r="K173" s="247"/>
      <c r="L173" s="247"/>
      <c r="M173" s="247"/>
      <c r="N173" s="247"/>
      <c r="O173" s="247"/>
      <c r="P173" s="247"/>
      <c r="Q173" s="247"/>
      <c r="R173" s="247"/>
      <c r="S173" s="247"/>
      <c r="T173" s="247"/>
      <c r="U173" s="247"/>
      <c r="V173" s="247"/>
      <c r="W173" s="247"/>
      <c r="X173" s="247"/>
      <c r="Y173" s="247"/>
      <c r="Z173" s="247"/>
      <c r="AA173" s="247"/>
      <c r="AB173" s="247"/>
    </row>
    <row r="174">
      <c r="A174" s="235">
        <v>295.0</v>
      </c>
      <c r="B174" s="236" t="s">
        <v>851</v>
      </c>
      <c r="C174" s="235" t="s">
        <v>1734</v>
      </c>
      <c r="D174" s="237">
        <v>46131.0</v>
      </c>
      <c r="E174" s="257">
        <v>17.5</v>
      </c>
      <c r="F174" s="258">
        <v>15.0</v>
      </c>
      <c r="G174" s="259">
        <v>156.0</v>
      </c>
      <c r="H174" s="235">
        <v>3.28</v>
      </c>
      <c r="I174" s="259">
        <v>11.5</v>
      </c>
      <c r="J174" s="241">
        <f t="shared" si="2"/>
        <v>203.28</v>
      </c>
      <c r="K174" s="240"/>
      <c r="L174" s="240"/>
      <c r="M174" s="240"/>
      <c r="N174" s="240"/>
      <c r="O174" s="240"/>
      <c r="P174" s="240"/>
      <c r="Q174" s="240"/>
      <c r="R174" s="240"/>
      <c r="S174" s="240"/>
      <c r="T174" s="240"/>
      <c r="U174" s="240"/>
      <c r="V174" s="240"/>
      <c r="W174" s="240"/>
      <c r="X174" s="240"/>
      <c r="Y174" s="240"/>
      <c r="Z174" s="240"/>
      <c r="AA174" s="240"/>
      <c r="AB174" s="240"/>
    </row>
    <row r="175">
      <c r="A175" s="242">
        <v>299.0</v>
      </c>
      <c r="B175" s="243" t="s">
        <v>868</v>
      </c>
      <c r="C175" s="242" t="s">
        <v>1735</v>
      </c>
      <c r="D175" s="244">
        <v>46132.0</v>
      </c>
      <c r="E175" s="260">
        <v>17.5</v>
      </c>
      <c r="F175" s="261">
        <v>15.0</v>
      </c>
      <c r="G175" s="262">
        <v>156.0</v>
      </c>
      <c r="H175" s="242">
        <v>3.28</v>
      </c>
      <c r="I175" s="262">
        <v>11.5</v>
      </c>
      <c r="J175" s="248">
        <f t="shared" si="2"/>
        <v>203.28</v>
      </c>
      <c r="K175" s="247"/>
      <c r="L175" s="247"/>
      <c r="M175" s="247"/>
      <c r="N175" s="247"/>
      <c r="O175" s="247"/>
      <c r="P175" s="247"/>
      <c r="Q175" s="247"/>
      <c r="R175" s="247"/>
      <c r="S175" s="247"/>
      <c r="T175" s="247"/>
      <c r="U175" s="247"/>
      <c r="V175" s="247"/>
      <c r="W175" s="247"/>
      <c r="X175" s="247"/>
      <c r="Y175" s="247"/>
      <c r="Z175" s="247"/>
      <c r="AA175" s="247"/>
      <c r="AB175" s="247"/>
    </row>
    <row r="176">
      <c r="A176" s="240"/>
      <c r="B176" s="240"/>
      <c r="C176" s="240"/>
      <c r="D176" s="240"/>
      <c r="E176" s="240"/>
      <c r="F176" s="240"/>
      <c r="G176" s="240"/>
      <c r="H176" s="240"/>
      <c r="I176" s="240"/>
      <c r="J176" s="240">
        <f t="shared" si="2"/>
        <v>0</v>
      </c>
      <c r="K176" s="240"/>
      <c r="L176" s="240"/>
      <c r="M176" s="240"/>
      <c r="N176" s="240"/>
      <c r="O176" s="240"/>
      <c r="P176" s="240"/>
      <c r="Q176" s="240"/>
      <c r="R176" s="240"/>
      <c r="S176" s="240"/>
      <c r="T176" s="240"/>
      <c r="U176" s="240"/>
      <c r="V176" s="240"/>
      <c r="W176" s="240"/>
      <c r="X176" s="240"/>
      <c r="Y176" s="240"/>
      <c r="Z176" s="240"/>
      <c r="AA176" s="240"/>
      <c r="AB176" s="240"/>
    </row>
    <row r="177">
      <c r="A177" s="247"/>
      <c r="B177" s="247"/>
      <c r="C177" s="247"/>
      <c r="D177" s="247"/>
      <c r="E177" s="247"/>
      <c r="F177" s="247"/>
      <c r="G177" s="247"/>
      <c r="H177" s="247"/>
      <c r="I177" s="247"/>
      <c r="J177" s="247">
        <f t="shared" si="2"/>
        <v>0</v>
      </c>
      <c r="K177" s="247"/>
      <c r="L177" s="247"/>
      <c r="M177" s="247"/>
      <c r="N177" s="247"/>
      <c r="O177" s="247"/>
      <c r="P177" s="247"/>
      <c r="Q177" s="247"/>
      <c r="R177" s="247"/>
      <c r="S177" s="247"/>
      <c r="T177" s="247"/>
      <c r="U177" s="247"/>
      <c r="V177" s="247"/>
      <c r="W177" s="247"/>
      <c r="X177" s="247"/>
      <c r="Y177" s="247"/>
      <c r="Z177" s="247"/>
      <c r="AA177" s="247"/>
      <c r="AB177" s="247"/>
    </row>
    <row r="178">
      <c r="A178" s="240"/>
      <c r="B178" s="240"/>
      <c r="C178" s="240"/>
      <c r="D178" s="240"/>
      <c r="E178" s="240"/>
      <c r="F178" s="240"/>
      <c r="G178" s="240"/>
      <c r="H178" s="240"/>
      <c r="I178" s="240"/>
      <c r="J178" s="240">
        <f t="shared" si="2"/>
        <v>0</v>
      </c>
      <c r="K178" s="240"/>
      <c r="L178" s="240"/>
      <c r="M178" s="240"/>
      <c r="N178" s="240"/>
      <c r="O178" s="240"/>
      <c r="P178" s="240"/>
      <c r="Q178" s="240"/>
      <c r="R178" s="240"/>
      <c r="S178" s="240"/>
      <c r="T178" s="240"/>
      <c r="U178" s="240"/>
      <c r="V178" s="240"/>
      <c r="W178" s="240"/>
      <c r="X178" s="240"/>
      <c r="Y178" s="240"/>
      <c r="Z178" s="240"/>
      <c r="AA178" s="240"/>
      <c r="AB178" s="240"/>
    </row>
    <row r="179">
      <c r="A179" s="247"/>
      <c r="B179" s="247"/>
      <c r="C179" s="247"/>
      <c r="D179" s="247"/>
      <c r="E179" s="247"/>
      <c r="F179" s="247"/>
      <c r="G179" s="247"/>
      <c r="H179" s="247"/>
      <c r="I179" s="247"/>
      <c r="J179" s="247">
        <f t="shared" si="2"/>
        <v>0</v>
      </c>
      <c r="K179" s="247"/>
      <c r="L179" s="247"/>
      <c r="M179" s="247"/>
      <c r="N179" s="247"/>
      <c r="O179" s="247"/>
      <c r="P179" s="247"/>
      <c r="Q179" s="247"/>
      <c r="R179" s="247"/>
      <c r="S179" s="247"/>
      <c r="T179" s="247"/>
      <c r="U179" s="247"/>
      <c r="V179" s="247"/>
      <c r="W179" s="247"/>
      <c r="X179" s="247"/>
      <c r="Y179" s="247"/>
      <c r="Z179" s="247"/>
      <c r="AA179" s="247"/>
      <c r="AB179" s="247"/>
    </row>
    <row r="180">
      <c r="A180" s="240"/>
      <c r="B180" s="240"/>
      <c r="C180" s="240"/>
      <c r="D180" s="240"/>
      <c r="E180" s="240"/>
      <c r="F180" s="240"/>
      <c r="G180" s="240"/>
      <c r="H180" s="240"/>
      <c r="I180" s="240"/>
      <c r="J180" s="240">
        <f t="shared" si="2"/>
        <v>0</v>
      </c>
      <c r="K180" s="240"/>
      <c r="L180" s="240"/>
      <c r="M180" s="240"/>
      <c r="N180" s="240"/>
      <c r="O180" s="240"/>
      <c r="P180" s="240"/>
      <c r="Q180" s="240"/>
      <c r="R180" s="240"/>
      <c r="S180" s="240"/>
      <c r="T180" s="240"/>
      <c r="U180" s="240"/>
      <c r="V180" s="240"/>
      <c r="W180" s="240"/>
      <c r="X180" s="240"/>
      <c r="Y180" s="240"/>
      <c r="Z180" s="240"/>
      <c r="AA180" s="240"/>
      <c r="AB180" s="240"/>
    </row>
    <row r="181">
      <c r="A181" s="247"/>
      <c r="B181" s="247"/>
      <c r="C181" s="247"/>
      <c r="D181" s="247"/>
      <c r="E181" s="247"/>
      <c r="F181" s="247"/>
      <c r="G181" s="247"/>
      <c r="H181" s="247"/>
      <c r="I181" s="247"/>
      <c r="J181" s="247">
        <f t="shared" si="2"/>
        <v>0</v>
      </c>
      <c r="K181" s="247"/>
      <c r="L181" s="247"/>
      <c r="M181" s="247"/>
      <c r="N181" s="247"/>
      <c r="O181" s="247"/>
      <c r="P181" s="247"/>
      <c r="Q181" s="247"/>
      <c r="R181" s="247"/>
      <c r="S181" s="247"/>
      <c r="T181" s="247"/>
      <c r="U181" s="247"/>
      <c r="V181" s="247"/>
      <c r="W181" s="247"/>
      <c r="X181" s="247"/>
      <c r="Y181" s="247"/>
      <c r="Z181" s="247"/>
      <c r="AA181" s="247"/>
      <c r="AB181" s="247"/>
    </row>
    <row r="182">
      <c r="A182" s="240"/>
      <c r="B182" s="240"/>
      <c r="C182" s="240"/>
      <c r="D182" s="240"/>
      <c r="E182" s="240"/>
      <c r="F182" s="240"/>
      <c r="G182" s="240"/>
      <c r="H182" s="240"/>
      <c r="I182" s="240"/>
      <c r="J182" s="240">
        <f t="shared" si="2"/>
        <v>0</v>
      </c>
      <c r="K182" s="240"/>
      <c r="L182" s="240"/>
      <c r="M182" s="240"/>
      <c r="N182" s="240"/>
      <c r="O182" s="240"/>
      <c r="P182" s="240"/>
      <c r="Q182" s="240"/>
      <c r="R182" s="240"/>
      <c r="S182" s="240"/>
      <c r="T182" s="240"/>
      <c r="U182" s="240"/>
      <c r="V182" s="240"/>
      <c r="W182" s="240"/>
      <c r="X182" s="240"/>
      <c r="Y182" s="240"/>
      <c r="Z182" s="240"/>
      <c r="AA182" s="240"/>
      <c r="AB182" s="240"/>
    </row>
    <row r="183">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row>
    <row r="184">
      <c r="A184" s="240"/>
      <c r="B184" s="240"/>
      <c r="C184" s="240"/>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c r="AA184" s="240"/>
      <c r="AB184" s="240"/>
    </row>
    <row r="185">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row>
    <row r="186">
      <c r="A186" s="240"/>
      <c r="B186" s="240"/>
      <c r="C186" s="240"/>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c r="AA186" s="240"/>
      <c r="AB186" s="240"/>
    </row>
    <row r="187">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row>
    <row r="188">
      <c r="A188" s="240"/>
      <c r="B188" s="240"/>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row>
    <row r="189">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row>
    <row r="190">
      <c r="A190" s="240"/>
      <c r="B190" s="240"/>
      <c r="C190" s="240"/>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c r="AA190" s="240"/>
      <c r="AB190" s="240"/>
    </row>
    <row r="19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row>
    <row r="192">
      <c r="A192" s="240"/>
      <c r="B192" s="240"/>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c r="AA192" s="240"/>
      <c r="AB192" s="240"/>
    </row>
    <row r="193">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row>
    <row r="194">
      <c r="A194" s="240"/>
      <c r="B194" s="240"/>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c r="AA194" s="240"/>
      <c r="AB194" s="240"/>
    </row>
    <row r="195">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row>
    <row r="196">
      <c r="A196" s="240"/>
      <c r="B196" s="240"/>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c r="AA196" s="240"/>
      <c r="AB196" s="240"/>
    </row>
    <row r="197">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row>
    <row r="198">
      <c r="A198" s="240"/>
      <c r="B198" s="240"/>
      <c r="C198" s="240"/>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c r="AA198" s="240"/>
      <c r="AB198" s="240"/>
    </row>
    <row r="199">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row>
    <row r="200">
      <c r="A200" s="240"/>
      <c r="B200" s="240"/>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c r="AA200" s="240"/>
      <c r="AB200" s="240"/>
    </row>
    <row r="20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row>
    <row r="202">
      <c r="A202" s="240"/>
      <c r="B202" s="240"/>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c r="AA202" s="240"/>
      <c r="AB202" s="240"/>
    </row>
    <row r="203">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row>
    <row r="204">
      <c r="A204" s="240"/>
      <c r="B204" s="240"/>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row>
    <row r="205">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row>
    <row r="206">
      <c r="A206" s="240"/>
      <c r="B206" s="240"/>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c r="AA206" s="240"/>
      <c r="AB206" s="240"/>
    </row>
    <row r="207">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row>
    <row r="208">
      <c r="A208" s="240"/>
      <c r="B208" s="240"/>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c r="AA208" s="240"/>
      <c r="AB208" s="240"/>
    </row>
    <row r="209">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row>
    <row r="210">
      <c r="A210" s="240"/>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row>
    <row r="21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row>
    <row r="212">
      <c r="A212" s="240"/>
      <c r="B212" s="240"/>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row>
    <row r="213">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row>
    <row r="214">
      <c r="A214" s="240"/>
      <c r="B214" s="240"/>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c r="AA214" s="240"/>
      <c r="AB214" s="240"/>
    </row>
    <row r="215">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row>
    <row r="216">
      <c r="A216" s="240"/>
      <c r="B216" s="240"/>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c r="AA216" s="240"/>
      <c r="AB216" s="240"/>
    </row>
    <row r="217">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row>
    <row r="218">
      <c r="A218" s="240"/>
      <c r="B218" s="240"/>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row>
    <row r="219">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row>
    <row r="220">
      <c r="A220" s="240"/>
      <c r="B220" s="240"/>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row>
    <row r="22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row>
    <row r="222">
      <c r="A222" s="240"/>
      <c r="B222" s="240"/>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c r="AA222" s="240"/>
      <c r="AB222" s="240"/>
    </row>
    <row r="223">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row>
    <row r="224">
      <c r="A224" s="240"/>
      <c r="B224" s="240"/>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c r="AA224" s="240"/>
      <c r="AB224" s="240"/>
    </row>
    <row r="225">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row>
    <row r="226">
      <c r="A226" s="240"/>
      <c r="B226" s="240"/>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c r="AA226" s="240"/>
      <c r="AB226" s="240"/>
    </row>
    <row r="227">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row>
    <row r="228">
      <c r="A228" s="240"/>
      <c r="B228" s="240"/>
      <c r="C228" s="240"/>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c r="AA228" s="240"/>
      <c r="AB228" s="240"/>
    </row>
    <row r="229">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row>
    <row r="230">
      <c r="A230" s="240"/>
      <c r="B230" s="240"/>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c r="AA230" s="240"/>
      <c r="AB230" s="240"/>
    </row>
    <row r="23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row>
    <row r="232">
      <c r="A232" s="240"/>
      <c r="B232" s="240"/>
      <c r="C232" s="240"/>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c r="AA232" s="240"/>
      <c r="AB232" s="240"/>
    </row>
    <row r="233">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row>
    <row r="234">
      <c r="A234" s="240"/>
      <c r="B234" s="240"/>
      <c r="C234" s="240"/>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c r="AA234" s="240"/>
      <c r="AB234" s="240"/>
    </row>
    <row r="235">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row>
    <row r="236">
      <c r="A236" s="240"/>
      <c r="B236" s="240"/>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c r="AA236" s="240"/>
      <c r="AB236" s="240"/>
    </row>
    <row r="237">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row>
    <row r="238">
      <c r="A238" s="240"/>
      <c r="B238" s="240"/>
      <c r="C238" s="240"/>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c r="AA238" s="240"/>
      <c r="AB238" s="240"/>
    </row>
    <row r="239">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row>
    <row r="240">
      <c r="A240" s="240"/>
      <c r="B240" s="240"/>
      <c r="C240" s="240"/>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c r="AA240" s="240"/>
      <c r="AB240" s="240"/>
    </row>
    <row r="24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row>
    <row r="242">
      <c r="A242" s="240"/>
      <c r="B242" s="240"/>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c r="AA242" s="240"/>
      <c r="AB242" s="240"/>
    </row>
    <row r="243">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row>
    <row r="244">
      <c r="A244" s="240"/>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row>
    <row r="245">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row>
    <row r="246">
      <c r="A246" s="240"/>
      <c r="B246" s="240"/>
      <c r="C246" s="240"/>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c r="AA246" s="240"/>
      <c r="AB246" s="240"/>
    </row>
    <row r="247">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row>
    <row r="248">
      <c r="A248" s="240"/>
      <c r="B248" s="240"/>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c r="AA248" s="240"/>
      <c r="AB248" s="240"/>
    </row>
    <row r="249">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row>
    <row r="250">
      <c r="A250" s="240"/>
      <c r="B250" s="240"/>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c r="AA250" s="240"/>
      <c r="AB250" s="240"/>
    </row>
    <row r="25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row>
    <row r="252">
      <c r="A252" s="240"/>
      <c r="B252" s="240"/>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row>
    <row r="253">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row>
    <row r="254">
      <c r="A254" s="240"/>
      <c r="B254" s="240"/>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c r="AA254" s="240"/>
      <c r="AB254" s="240"/>
    </row>
    <row r="255">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row>
    <row r="256">
      <c r="A256" s="240"/>
      <c r="B256" s="240"/>
      <c r="C256" s="240"/>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c r="AA256" s="240"/>
      <c r="AB256" s="240"/>
    </row>
    <row r="257">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row>
    <row r="258">
      <c r="A258" s="240"/>
      <c r="B258" s="240"/>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c r="AA258" s="240"/>
      <c r="AB258" s="240"/>
    </row>
    <row r="259">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row>
    <row r="260">
      <c r="A260" s="240"/>
      <c r="B260" s="240"/>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c r="AA260" s="240"/>
      <c r="AB260" s="240"/>
    </row>
    <row r="26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row>
    <row r="262">
      <c r="A262" s="240"/>
      <c r="B262" s="240"/>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row>
    <row r="263">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row>
    <row r="264">
      <c r="A264" s="240"/>
      <c r="B264" s="240"/>
      <c r="C264" s="240"/>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c r="AA264" s="240"/>
      <c r="AB264" s="240"/>
    </row>
    <row r="265">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row>
    <row r="266">
      <c r="A266" s="240"/>
      <c r="B266" s="240"/>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c r="AA266" s="240"/>
      <c r="AB266" s="240"/>
    </row>
    <row r="267">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row>
    <row r="268">
      <c r="A268" s="240"/>
      <c r="B268" s="240"/>
      <c r="C268" s="240"/>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c r="AA268" s="240"/>
      <c r="AB268" s="240"/>
    </row>
    <row r="269">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row>
    <row r="270">
      <c r="A270" s="240"/>
      <c r="B270" s="240"/>
      <c r="C270" s="240"/>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c r="AA270" s="240"/>
      <c r="AB270" s="240"/>
    </row>
    <row r="27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row>
    <row r="272">
      <c r="A272" s="240"/>
      <c r="B272" s="240"/>
      <c r="C272" s="240"/>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c r="AA272" s="240"/>
      <c r="AB272" s="240"/>
    </row>
    <row r="273">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row>
    <row r="274">
      <c r="A274" s="240"/>
      <c r="B274" s="240"/>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c r="AA274" s="240"/>
      <c r="AB274" s="240"/>
    </row>
    <row r="275">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row>
    <row r="276">
      <c r="A276" s="240"/>
      <c r="B276" s="240"/>
      <c r="C276" s="240"/>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c r="AA276" s="240"/>
      <c r="AB276" s="240"/>
    </row>
    <row r="277">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row>
    <row r="278">
      <c r="A278" s="240"/>
      <c r="B278" s="240"/>
      <c r="C278" s="240"/>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c r="AA278" s="240"/>
      <c r="AB278" s="240"/>
    </row>
    <row r="279">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row>
    <row r="280">
      <c r="A280" s="240"/>
      <c r="B280" s="240"/>
      <c r="C280" s="240"/>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c r="AA280" s="240"/>
      <c r="AB280" s="240"/>
    </row>
    <row r="28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row>
    <row r="282">
      <c r="A282" s="240"/>
      <c r="B282" s="240"/>
      <c r="C282" s="240"/>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c r="AA282" s="240"/>
      <c r="AB282" s="240"/>
    </row>
    <row r="283">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row>
    <row r="284">
      <c r="A284" s="240"/>
      <c r="B284" s="240"/>
      <c r="C284" s="240"/>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c r="AA284" s="240"/>
      <c r="AB284" s="240"/>
    </row>
    <row r="285">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row>
    <row r="286">
      <c r="A286" s="240"/>
      <c r="B286" s="240"/>
      <c r="C286" s="240"/>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c r="AA286" s="240"/>
      <c r="AB286" s="240"/>
    </row>
    <row r="287">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row>
    <row r="288">
      <c r="A288" s="240"/>
      <c r="B288" s="240"/>
      <c r="C288" s="240"/>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c r="AA288" s="240"/>
      <c r="AB288" s="240"/>
    </row>
    <row r="289">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row>
    <row r="290">
      <c r="A290" s="240"/>
      <c r="B290" s="240"/>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c r="AA290" s="240"/>
      <c r="AB290" s="240"/>
    </row>
    <row r="29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row>
    <row r="292">
      <c r="A292" s="240"/>
      <c r="B292" s="240"/>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c r="AA292" s="240"/>
      <c r="AB292" s="240"/>
    </row>
    <row r="293">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row>
    <row r="294">
      <c r="A294" s="240"/>
      <c r="B294" s="240"/>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c r="AA294" s="240"/>
      <c r="AB294" s="240"/>
    </row>
    <row r="295">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row>
    <row r="296">
      <c r="A296" s="240"/>
      <c r="B296" s="240"/>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c r="AA296" s="240"/>
      <c r="AB296" s="240"/>
    </row>
    <row r="297">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row>
    <row r="298">
      <c r="A298" s="240"/>
      <c r="B298" s="240"/>
      <c r="C298" s="240"/>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c r="AA298" s="240"/>
      <c r="AB298" s="240"/>
    </row>
    <row r="299">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row>
    <row r="300">
      <c r="A300" s="240"/>
      <c r="B300" s="240"/>
      <c r="C300" s="240"/>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c r="AA300" s="240"/>
      <c r="AB300" s="240"/>
    </row>
    <row r="30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row>
    <row r="302">
      <c r="A302" s="240"/>
      <c r="B302" s="240"/>
      <c r="C302" s="240"/>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c r="AA302" s="240"/>
      <c r="AB302" s="240"/>
    </row>
    <row r="303">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row>
    <row r="304">
      <c r="A304" s="240"/>
      <c r="B304" s="240"/>
      <c r="C304" s="240"/>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c r="AA304" s="240"/>
      <c r="AB304" s="240"/>
    </row>
    <row r="305">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c r="AB305" s="247"/>
    </row>
    <row r="306">
      <c r="A306" s="240"/>
      <c r="B306" s="240"/>
      <c r="C306" s="240"/>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c r="AA306" s="240"/>
      <c r="AB306" s="240"/>
    </row>
    <row r="307">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row>
    <row r="308">
      <c r="A308" s="240"/>
      <c r="B308" s="240"/>
      <c r="C308" s="240"/>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c r="AA308" s="240"/>
      <c r="AB308" s="240"/>
    </row>
    <row r="309">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row>
    <row r="310">
      <c r="A310" s="240"/>
      <c r="B310" s="240"/>
      <c r="C310" s="240"/>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c r="AA310" s="240"/>
      <c r="AB310" s="240"/>
    </row>
    <row r="31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c r="AB311" s="247"/>
    </row>
    <row r="312">
      <c r="A312" s="240"/>
      <c r="B312" s="240"/>
      <c r="C312" s="240"/>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c r="AA312" s="240"/>
      <c r="AB312" s="240"/>
    </row>
    <row r="313">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row>
    <row r="314">
      <c r="A314" s="240"/>
      <c r="B314" s="240"/>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c r="AA314" s="240"/>
      <c r="AB314" s="240"/>
    </row>
    <row r="315">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c r="AB315" s="247"/>
    </row>
    <row r="316">
      <c r="A316" s="240"/>
      <c r="B316" s="240"/>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c r="AA316" s="240"/>
      <c r="AB316" s="240"/>
    </row>
    <row r="317">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c r="AB317" s="247"/>
    </row>
    <row r="318">
      <c r="A318" s="240"/>
      <c r="B318" s="240"/>
      <c r="C318" s="240"/>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c r="AA318" s="240"/>
      <c r="AB318" s="240"/>
    </row>
    <row r="319">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row>
    <row r="320">
      <c r="A320" s="240"/>
      <c r="B320" s="240"/>
      <c r="C320" s="240"/>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c r="AA320" s="240"/>
      <c r="AB320" s="240"/>
    </row>
    <row r="32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c r="AB321" s="247"/>
    </row>
    <row r="322">
      <c r="A322" s="240"/>
      <c r="B322" s="240"/>
      <c r="C322" s="240"/>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c r="AA322" s="240"/>
      <c r="AB322" s="240"/>
    </row>
    <row r="323">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c r="AB323" s="247"/>
    </row>
    <row r="324">
      <c r="A324" s="240"/>
      <c r="B324" s="240"/>
      <c r="C324" s="240"/>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c r="AA324" s="240"/>
      <c r="AB324" s="240"/>
    </row>
    <row r="325">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c r="AB325" s="247"/>
    </row>
    <row r="326">
      <c r="A326" s="240"/>
      <c r="B326" s="240"/>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c r="AA326" s="240"/>
      <c r="AB326" s="240"/>
    </row>
    <row r="327">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c r="AB327" s="247"/>
    </row>
    <row r="328">
      <c r="A328" s="240"/>
      <c r="B328" s="240"/>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c r="AA328" s="240"/>
      <c r="AB328" s="240"/>
    </row>
    <row r="329">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c r="AB329" s="247"/>
    </row>
    <row r="330">
      <c r="A330" s="240"/>
      <c r="B330" s="240"/>
      <c r="C330" s="240"/>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c r="AA330" s="240"/>
      <c r="AB330" s="240"/>
    </row>
    <row r="33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c r="AB331" s="247"/>
    </row>
    <row r="332">
      <c r="A332" s="240"/>
      <c r="B332" s="240"/>
      <c r="C332" s="240"/>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row>
    <row r="333">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c r="AB333" s="247"/>
    </row>
    <row r="334">
      <c r="A334" s="240"/>
      <c r="B334" s="240"/>
      <c r="C334" s="240"/>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c r="AA334" s="240"/>
      <c r="AB334" s="240"/>
    </row>
    <row r="335">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c r="AB335" s="247"/>
    </row>
    <row r="336">
      <c r="A336" s="240"/>
      <c r="B336" s="240"/>
      <c r="C336" s="240"/>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row>
    <row r="337">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c r="AB337" s="247"/>
    </row>
    <row r="338">
      <c r="A338" s="240"/>
      <c r="B338" s="240"/>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c r="AA338" s="240"/>
      <c r="AB338" s="240"/>
    </row>
    <row r="339">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row>
    <row r="340">
      <c r="A340" s="240"/>
      <c r="B340" s="240"/>
      <c r="C340" s="240"/>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c r="AA340" s="240"/>
      <c r="AB340" s="240"/>
    </row>
    <row r="34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c r="AB341" s="247"/>
    </row>
    <row r="342">
      <c r="A342" s="240"/>
      <c r="B342" s="240"/>
      <c r="C342" s="240"/>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c r="AA342" s="240"/>
      <c r="AB342" s="240"/>
    </row>
    <row r="343">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c r="AB343" s="247"/>
    </row>
    <row r="344">
      <c r="A344" s="240"/>
      <c r="B344" s="240"/>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c r="AA344" s="240"/>
      <c r="AB344" s="240"/>
    </row>
    <row r="345">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c r="AB345" s="247"/>
    </row>
    <row r="346">
      <c r="A346" s="240"/>
      <c r="B346" s="240"/>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c r="AA346" s="240"/>
      <c r="AB346" s="240"/>
    </row>
    <row r="347">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c r="AB347" s="247"/>
    </row>
    <row r="348">
      <c r="A348" s="240"/>
      <c r="B348" s="240"/>
      <c r="C348" s="240"/>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c r="AA348" s="240"/>
      <c r="AB348" s="240"/>
    </row>
    <row r="349">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c r="AB349" s="247"/>
    </row>
    <row r="350">
      <c r="A350" s="240"/>
      <c r="B350" s="240"/>
      <c r="C350" s="240"/>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c r="AA350" s="240"/>
      <c r="AB350" s="240"/>
    </row>
    <row r="35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c r="AB351" s="247"/>
    </row>
    <row r="352">
      <c r="A352" s="240"/>
      <c r="B352" s="240"/>
      <c r="C352" s="240"/>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c r="AA352" s="240"/>
      <c r="AB352" s="240"/>
    </row>
    <row r="353">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row>
    <row r="354">
      <c r="A354" s="240"/>
      <c r="B354" s="240"/>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c r="AA354" s="240"/>
      <c r="AB354" s="240"/>
    </row>
    <row r="355">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row>
    <row r="356">
      <c r="A356" s="240"/>
      <c r="B356" s="240"/>
      <c r="C356" s="240"/>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c r="AA356" s="240"/>
      <c r="AB356" s="240"/>
    </row>
    <row r="357">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row>
    <row r="358">
      <c r="A358" s="240"/>
      <c r="B358" s="240"/>
      <c r="C358" s="240"/>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c r="AA358" s="240"/>
      <c r="AB358" s="240"/>
    </row>
    <row r="359">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row>
    <row r="360">
      <c r="A360" s="240"/>
      <c r="B360" s="240"/>
      <c r="C360" s="240"/>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c r="AA360" s="240"/>
      <c r="AB360" s="240"/>
    </row>
    <row r="36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row>
    <row r="362">
      <c r="A362" s="240"/>
      <c r="B362" s="240"/>
      <c r="C362" s="240"/>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c r="AA362" s="240"/>
      <c r="AB362" s="240"/>
    </row>
    <row r="363">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row>
    <row r="364">
      <c r="A364" s="240"/>
      <c r="B364" s="240"/>
      <c r="C364" s="240"/>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c r="AA364" s="240"/>
      <c r="AB364" s="240"/>
    </row>
    <row r="365">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row>
    <row r="366">
      <c r="A366" s="240"/>
      <c r="B366" s="240"/>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c r="AA366" s="240"/>
      <c r="AB366" s="240"/>
    </row>
    <row r="367">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row>
    <row r="368">
      <c r="A368" s="240"/>
      <c r="B368" s="240"/>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row>
    <row r="369">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row>
    <row r="370">
      <c r="A370" s="240"/>
      <c r="B370" s="240"/>
      <c r="C370" s="240"/>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c r="AA370" s="240"/>
      <c r="AB370" s="240"/>
    </row>
    <row r="37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row>
    <row r="372">
      <c r="A372" s="240"/>
      <c r="B372" s="240"/>
      <c r="C372" s="240"/>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c r="AA372" s="240"/>
      <c r="AB372" s="240"/>
    </row>
    <row r="373">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row>
    <row r="374">
      <c r="A374" s="240"/>
      <c r="B374" s="240"/>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c r="AA374" s="240"/>
      <c r="AB374" s="240"/>
    </row>
    <row r="375">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row>
    <row r="376">
      <c r="A376" s="240"/>
      <c r="B376" s="240"/>
      <c r="C376" s="240"/>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c r="AA376" s="240"/>
      <c r="AB376" s="240"/>
    </row>
    <row r="377">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row>
    <row r="378">
      <c r="A378" s="240"/>
      <c r="B378" s="240"/>
      <c r="C378" s="240"/>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c r="AA378" s="240"/>
      <c r="AB378" s="240"/>
    </row>
    <row r="379">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row>
    <row r="380">
      <c r="A380" s="240"/>
      <c r="B380" s="240"/>
      <c r="C380" s="240"/>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c r="AA380" s="240"/>
      <c r="AB380" s="240"/>
    </row>
    <row r="38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row>
    <row r="382">
      <c r="A382" s="240"/>
      <c r="B382" s="240"/>
      <c r="C382" s="240"/>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c r="AA382" s="240"/>
      <c r="AB382" s="240"/>
    </row>
    <row r="383">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row>
    <row r="384">
      <c r="A384" s="240"/>
      <c r="B384" s="240"/>
      <c r="C384" s="240"/>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c r="AA384" s="240"/>
      <c r="AB384" s="240"/>
    </row>
    <row r="385">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row>
    <row r="386">
      <c r="A386" s="240"/>
      <c r="B386" s="240"/>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c r="AA386" s="240"/>
      <c r="AB386" s="240"/>
    </row>
    <row r="387">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row>
    <row r="388">
      <c r="A388" s="240"/>
      <c r="B388" s="240"/>
      <c r="C388" s="240"/>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c r="AA388" s="240"/>
      <c r="AB388" s="240"/>
    </row>
    <row r="389">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row>
    <row r="390">
      <c r="A390" s="240"/>
      <c r="B390" s="240"/>
      <c r="C390" s="240"/>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c r="AA390" s="240"/>
      <c r="AB390" s="240"/>
    </row>
    <row r="39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row>
    <row r="392">
      <c r="A392" s="240"/>
      <c r="B392" s="240"/>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c r="AA392" s="240"/>
      <c r="AB392" s="240"/>
    </row>
    <row r="393">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row>
    <row r="394">
      <c r="A394" s="240"/>
      <c r="B394" s="240"/>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c r="AA394" s="240"/>
      <c r="AB394" s="240"/>
    </row>
    <row r="395">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row>
    <row r="396">
      <c r="A396" s="240"/>
      <c r="B396" s="240"/>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c r="AA396" s="240"/>
      <c r="AB396" s="240"/>
    </row>
    <row r="397">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row>
    <row r="398">
      <c r="A398" s="240"/>
      <c r="B398" s="240"/>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c r="AA398" s="240"/>
      <c r="AB398" s="240"/>
    </row>
    <row r="399">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row>
    <row r="400">
      <c r="A400" s="240"/>
      <c r="B400" s="240"/>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c r="AA400" s="240"/>
      <c r="AB400" s="240"/>
    </row>
    <row r="40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row>
    <row r="402">
      <c r="A402" s="240"/>
      <c r="B402" s="240"/>
      <c r="C402" s="240"/>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c r="AA402" s="240"/>
      <c r="AB402" s="240"/>
    </row>
    <row r="403">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row>
    <row r="404">
      <c r="A404" s="240"/>
      <c r="B404" s="240"/>
      <c r="C404" s="240"/>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c r="AA404" s="240"/>
      <c r="AB404" s="240"/>
    </row>
    <row r="405">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row>
    <row r="406">
      <c r="A406" s="240"/>
      <c r="B406" s="240"/>
      <c r="C406" s="240"/>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c r="AA406" s="240"/>
      <c r="AB406" s="240"/>
    </row>
    <row r="407">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c r="AB407" s="247"/>
    </row>
    <row r="408">
      <c r="A408" s="240"/>
      <c r="B408" s="240"/>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c r="AA408" s="240"/>
      <c r="AB408" s="240"/>
    </row>
    <row r="409">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row>
    <row r="410">
      <c r="A410" s="240"/>
      <c r="B410" s="240"/>
      <c r="C410" s="240"/>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c r="AA410" s="240"/>
      <c r="AB410" s="240"/>
    </row>
    <row r="41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row>
    <row r="412">
      <c r="A412" s="240"/>
      <c r="B412" s="240"/>
      <c r="C412" s="240"/>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c r="AA412" s="240"/>
      <c r="AB412" s="240"/>
    </row>
    <row r="413">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row>
    <row r="414">
      <c r="A414" s="240"/>
      <c r="B414" s="240"/>
      <c r="C414" s="240"/>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c r="AA414" s="240"/>
      <c r="AB414" s="240"/>
    </row>
    <row r="415">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row>
    <row r="416">
      <c r="A416" s="240"/>
      <c r="B416" s="240"/>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c r="AA416" s="240"/>
      <c r="AB416" s="240"/>
    </row>
    <row r="417">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row>
    <row r="418">
      <c r="A418" s="240"/>
      <c r="B418" s="240"/>
      <c r="C418" s="240"/>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c r="AA418" s="240"/>
      <c r="AB418" s="240"/>
    </row>
    <row r="419">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row>
    <row r="420">
      <c r="A420" s="240"/>
      <c r="B420" s="240"/>
      <c r="C420" s="240"/>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c r="AA420" s="240"/>
      <c r="AB420" s="240"/>
    </row>
    <row r="42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row>
    <row r="422">
      <c r="A422" s="240"/>
      <c r="B422" s="240"/>
      <c r="C422" s="240"/>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c r="AA422" s="240"/>
      <c r="AB422" s="240"/>
    </row>
    <row r="423">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row>
    <row r="424">
      <c r="A424" s="240"/>
      <c r="B424" s="240"/>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row>
    <row r="425">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row>
    <row r="426">
      <c r="A426" s="240"/>
      <c r="B426" s="240"/>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row>
    <row r="427">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row>
    <row r="428">
      <c r="A428" s="240"/>
      <c r="B428" s="240"/>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row>
    <row r="429">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row>
    <row r="430">
      <c r="A430" s="240"/>
      <c r="B430" s="240"/>
      <c r="C430" s="240"/>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c r="AA430" s="240"/>
      <c r="AB430" s="240"/>
    </row>
    <row r="43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row>
    <row r="432">
      <c r="A432" s="240"/>
      <c r="B432" s="240"/>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c r="AA432" s="240"/>
      <c r="AB432" s="240"/>
    </row>
    <row r="433">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row>
    <row r="434">
      <c r="A434" s="240"/>
      <c r="B434" s="240"/>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c r="AA434" s="240"/>
      <c r="AB434" s="240"/>
    </row>
    <row r="435">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row>
    <row r="436">
      <c r="A436" s="240"/>
      <c r="B436" s="240"/>
      <c r="C436" s="240"/>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c r="AA436" s="240"/>
      <c r="AB436" s="240"/>
    </row>
    <row r="437">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c r="AB437" s="247"/>
    </row>
    <row r="438">
      <c r="A438" s="240"/>
      <c r="B438" s="240"/>
      <c r="C438" s="240"/>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c r="AA438" s="240"/>
      <c r="AB438" s="240"/>
    </row>
    <row r="439">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row>
    <row r="440">
      <c r="A440" s="240"/>
      <c r="B440" s="240"/>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row>
    <row r="44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c r="AB441" s="247"/>
    </row>
    <row r="442">
      <c r="A442" s="240"/>
      <c r="B442" s="240"/>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row>
    <row r="443">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row>
    <row r="444">
      <c r="A444" s="240"/>
      <c r="B444" s="240"/>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row>
    <row r="445">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c r="AB445" s="247"/>
    </row>
    <row r="446">
      <c r="A446" s="240"/>
      <c r="B446" s="240"/>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row>
    <row r="447">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c r="AB447" s="247"/>
    </row>
    <row r="448">
      <c r="A448" s="240"/>
      <c r="B448" s="240"/>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row>
    <row r="449">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c r="AB449" s="247"/>
    </row>
    <row r="450">
      <c r="A450" s="240"/>
      <c r="B450" s="240"/>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row>
    <row r="45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c r="AB451" s="247"/>
    </row>
    <row r="452">
      <c r="A452" s="240"/>
      <c r="B452" s="240"/>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row>
    <row r="453">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c r="AB453" s="247"/>
    </row>
    <row r="454">
      <c r="A454" s="240"/>
      <c r="B454" s="240"/>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c r="AA454" s="240"/>
      <c r="AB454" s="240"/>
    </row>
    <row r="455">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c r="AB455" s="247"/>
    </row>
    <row r="456">
      <c r="A456" s="240"/>
      <c r="B456" s="240"/>
      <c r="C456" s="240"/>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c r="AA456" s="240"/>
      <c r="AB456" s="240"/>
    </row>
    <row r="457">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c r="AB457" s="247"/>
    </row>
    <row r="458">
      <c r="A458" s="240"/>
      <c r="B458" s="240"/>
      <c r="C458" s="240"/>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c r="AA458" s="240"/>
      <c r="AB458" s="240"/>
    </row>
    <row r="459">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c r="AB459" s="247"/>
    </row>
    <row r="460">
      <c r="A460" s="240"/>
      <c r="B460" s="240"/>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c r="AA460" s="240"/>
      <c r="AB460" s="240"/>
    </row>
    <row r="46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c r="AB461" s="247"/>
    </row>
    <row r="462">
      <c r="A462" s="240"/>
      <c r="B462" s="240"/>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c r="AA462" s="240"/>
      <c r="AB462" s="240"/>
    </row>
    <row r="463">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c r="AB463" s="247"/>
    </row>
    <row r="464">
      <c r="A464" s="240"/>
      <c r="B464" s="240"/>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c r="AA464" s="240"/>
      <c r="AB464" s="240"/>
    </row>
    <row r="465">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c r="AB465" s="247"/>
    </row>
    <row r="466">
      <c r="A466" s="240"/>
      <c r="B466" s="240"/>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c r="AA466" s="240"/>
      <c r="AB466" s="240"/>
    </row>
    <row r="467">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c r="AB467" s="247"/>
    </row>
    <row r="468">
      <c r="A468" s="240"/>
      <c r="B468" s="240"/>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c r="AA468" s="240"/>
      <c r="AB468" s="240"/>
    </row>
    <row r="469">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c r="AB469" s="247"/>
    </row>
    <row r="470">
      <c r="A470" s="240"/>
      <c r="B470" s="240"/>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c r="AA470" s="240"/>
      <c r="AB470" s="240"/>
    </row>
    <row r="47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c r="AB471" s="247"/>
    </row>
    <row r="472">
      <c r="A472" s="240"/>
      <c r="B472" s="240"/>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c r="AA472" s="240"/>
      <c r="AB472" s="240"/>
    </row>
    <row r="473">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c r="AB473" s="247"/>
    </row>
    <row r="474">
      <c r="A474" s="240"/>
      <c r="B474" s="240"/>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c r="AA474" s="240"/>
      <c r="AB474" s="240"/>
    </row>
    <row r="475">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c r="AB475" s="247"/>
    </row>
    <row r="476">
      <c r="A476" s="240"/>
      <c r="B476" s="240"/>
      <c r="C476" s="240"/>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c r="AA476" s="240"/>
      <c r="AB476" s="240"/>
    </row>
    <row r="477">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c r="AB477" s="247"/>
    </row>
    <row r="478">
      <c r="A478" s="240"/>
      <c r="B478" s="240"/>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c r="AA478" s="240"/>
      <c r="AB478" s="240"/>
    </row>
    <row r="479">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c r="AB479" s="247"/>
    </row>
    <row r="480">
      <c r="A480" s="240"/>
      <c r="B480" s="240"/>
      <c r="C480" s="240"/>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c r="AA480" s="240"/>
      <c r="AB480" s="240"/>
    </row>
    <row r="48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c r="AB481" s="247"/>
    </row>
    <row r="482">
      <c r="A482" s="240"/>
      <c r="B482" s="240"/>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row>
    <row r="483">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c r="AB483" s="247"/>
    </row>
    <row r="484">
      <c r="A484" s="240"/>
      <c r="B484" s="240"/>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row>
    <row r="485">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c r="AB485" s="247"/>
    </row>
    <row r="486">
      <c r="A486" s="240"/>
      <c r="B486" s="240"/>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c r="AA486" s="240"/>
      <c r="AB486" s="240"/>
    </row>
    <row r="487">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c r="AB487" s="247"/>
    </row>
    <row r="488">
      <c r="A488" s="240"/>
      <c r="B488" s="240"/>
      <c r="C488" s="240"/>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c r="AA488" s="240"/>
      <c r="AB488" s="240"/>
    </row>
    <row r="489">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c r="AB489" s="247"/>
    </row>
    <row r="490">
      <c r="A490" s="240"/>
      <c r="B490" s="240"/>
      <c r="C490" s="240"/>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c r="AA490" s="240"/>
      <c r="AB490" s="240"/>
    </row>
    <row r="49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c r="AB491" s="247"/>
    </row>
    <row r="492">
      <c r="A492" s="240"/>
      <c r="B492" s="240"/>
      <c r="C492" s="240"/>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c r="AA492" s="240"/>
      <c r="AB492" s="240"/>
    </row>
    <row r="493">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c r="AB493" s="247"/>
    </row>
    <row r="494">
      <c r="A494" s="240"/>
      <c r="B494" s="240"/>
      <c r="C494" s="240"/>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c r="AA494" s="240"/>
      <c r="AB494" s="240"/>
    </row>
    <row r="495">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c r="AB495" s="247"/>
    </row>
    <row r="496">
      <c r="A496" s="240"/>
      <c r="B496" s="240"/>
      <c r="C496" s="240"/>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c r="AA496" s="240"/>
      <c r="AB496" s="240"/>
    </row>
    <row r="497">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c r="AB497" s="247"/>
    </row>
    <row r="498">
      <c r="A498" s="240"/>
      <c r="B498" s="240"/>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c r="AA498" s="240"/>
      <c r="AB498" s="240"/>
    </row>
    <row r="499">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c r="AB499" s="247"/>
    </row>
    <row r="500">
      <c r="A500" s="240"/>
      <c r="B500" s="240"/>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c r="AA500" s="240"/>
      <c r="AB500" s="240"/>
    </row>
    <row r="50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c r="AB501" s="247"/>
    </row>
    <row r="502">
      <c r="A502" s="240"/>
      <c r="B502" s="240"/>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c r="AA502" s="240"/>
      <c r="AB502" s="240"/>
    </row>
    <row r="503">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c r="AB503" s="247"/>
    </row>
    <row r="504">
      <c r="A504" s="240"/>
      <c r="B504" s="240"/>
      <c r="C504" s="240"/>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c r="AA504" s="240"/>
      <c r="AB504" s="240"/>
    </row>
    <row r="505">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c r="AB505" s="247"/>
    </row>
    <row r="506">
      <c r="A506" s="240"/>
      <c r="B506" s="240"/>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c r="AA506" s="240"/>
      <c r="AB506" s="240"/>
    </row>
    <row r="507">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c r="AB507" s="247"/>
    </row>
    <row r="508">
      <c r="A508" s="240"/>
      <c r="B508" s="240"/>
      <c r="C508" s="240"/>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c r="AA508" s="240"/>
      <c r="AB508" s="240"/>
    </row>
    <row r="509">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c r="AB509" s="247"/>
    </row>
    <row r="510">
      <c r="A510" s="240"/>
      <c r="B510" s="240"/>
      <c r="C510" s="240"/>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c r="AA510" s="240"/>
      <c r="AB510" s="240"/>
    </row>
    <row r="51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c r="AB511" s="247"/>
    </row>
    <row r="512">
      <c r="A512" s="240"/>
      <c r="B512" s="240"/>
      <c r="C512" s="240"/>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c r="AA512" s="240"/>
      <c r="AB512" s="240"/>
    </row>
    <row r="513">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c r="AB513" s="247"/>
    </row>
    <row r="514">
      <c r="A514" s="240"/>
      <c r="B514" s="240"/>
      <c r="C514" s="240"/>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c r="AA514" s="240"/>
      <c r="AB514" s="240"/>
    </row>
    <row r="515">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c r="AB515" s="247"/>
    </row>
    <row r="516">
      <c r="A516" s="240"/>
      <c r="B516" s="240"/>
      <c r="C516" s="240"/>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c r="AA516" s="240"/>
      <c r="AB516" s="240"/>
    </row>
    <row r="517">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c r="AB517" s="247"/>
    </row>
    <row r="518">
      <c r="A518" s="240"/>
      <c r="B518" s="240"/>
      <c r="C518" s="240"/>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c r="AA518" s="240"/>
      <c r="AB518" s="240"/>
    </row>
    <row r="519">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c r="AB519" s="247"/>
    </row>
    <row r="520">
      <c r="A520" s="240"/>
      <c r="B520" s="240"/>
      <c r="C520" s="240"/>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c r="AA520" s="240"/>
      <c r="AB520" s="240"/>
    </row>
    <row r="52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c r="AB521" s="247"/>
    </row>
    <row r="522">
      <c r="A522" s="240"/>
      <c r="B522" s="240"/>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c r="AA522" s="240"/>
      <c r="AB522" s="240"/>
    </row>
    <row r="523">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c r="AB523" s="247"/>
    </row>
    <row r="524">
      <c r="A524" s="240"/>
      <c r="B524" s="240"/>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c r="AA524" s="240"/>
      <c r="AB524" s="240"/>
    </row>
    <row r="525">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c r="AB525" s="247"/>
    </row>
    <row r="526">
      <c r="A526" s="240"/>
      <c r="B526" s="240"/>
      <c r="C526" s="240"/>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c r="AA526" s="240"/>
      <c r="AB526" s="240"/>
    </row>
    <row r="527">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c r="AB527" s="247"/>
    </row>
    <row r="528">
      <c r="A528" s="240"/>
      <c r="B528" s="240"/>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c r="AA528" s="240"/>
      <c r="AB528" s="240"/>
    </row>
    <row r="529">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c r="AB529" s="247"/>
    </row>
    <row r="530">
      <c r="A530" s="240"/>
      <c r="B530" s="240"/>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c r="AA530" s="240"/>
      <c r="AB530" s="240"/>
    </row>
    <row r="53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c r="AB531" s="247"/>
    </row>
    <row r="532">
      <c r="A532" s="240"/>
      <c r="B532" s="240"/>
      <c r="C532" s="240"/>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c r="AA532" s="240"/>
      <c r="AB532" s="240"/>
    </row>
    <row r="533">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c r="AB533" s="247"/>
    </row>
    <row r="534">
      <c r="A534" s="240"/>
      <c r="B534" s="240"/>
      <c r="C534" s="240"/>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c r="AA534" s="240"/>
      <c r="AB534" s="240"/>
    </row>
    <row r="535">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c r="AB535" s="247"/>
    </row>
    <row r="536">
      <c r="A536" s="240"/>
      <c r="B536" s="240"/>
      <c r="C536" s="240"/>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c r="AA536" s="240"/>
      <c r="AB536" s="240"/>
    </row>
    <row r="537">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c r="AB537" s="247"/>
    </row>
    <row r="538">
      <c r="A538" s="240"/>
      <c r="B538" s="240"/>
      <c r="C538" s="240"/>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c r="AA538" s="240"/>
      <c r="AB538" s="240"/>
    </row>
    <row r="539">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c r="AB539" s="247"/>
    </row>
    <row r="540">
      <c r="A540" s="240"/>
      <c r="B540" s="240"/>
      <c r="C540" s="240"/>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c r="AA540" s="240"/>
      <c r="AB540" s="240"/>
    </row>
    <row r="54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c r="AB541" s="247"/>
    </row>
    <row r="542">
      <c r="A542" s="240"/>
      <c r="B542" s="240"/>
      <c r="C542" s="240"/>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c r="AA542" s="240"/>
      <c r="AB542" s="240"/>
    </row>
    <row r="543">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c r="AB543" s="247"/>
    </row>
    <row r="544">
      <c r="A544" s="240"/>
      <c r="B544" s="240"/>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c r="AA544" s="240"/>
      <c r="AB544" s="240"/>
    </row>
    <row r="545">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c r="AB545" s="247"/>
    </row>
    <row r="546">
      <c r="A546" s="240"/>
      <c r="B546" s="240"/>
      <c r="C546" s="240"/>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c r="AA546" s="240"/>
      <c r="AB546" s="240"/>
    </row>
    <row r="547">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c r="AB547" s="247"/>
    </row>
    <row r="548">
      <c r="A548" s="240"/>
      <c r="B548" s="240"/>
      <c r="C548" s="240"/>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c r="AA548" s="240"/>
      <c r="AB548" s="240"/>
    </row>
    <row r="549">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c r="AB549" s="247"/>
    </row>
    <row r="550">
      <c r="A550" s="240"/>
      <c r="B550" s="240"/>
      <c r="C550" s="240"/>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c r="AA550" s="240"/>
      <c r="AB550" s="240"/>
    </row>
    <row r="55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c r="AB551" s="247"/>
    </row>
    <row r="552">
      <c r="A552" s="240"/>
      <c r="B552" s="240"/>
      <c r="C552" s="240"/>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c r="AA552" s="240"/>
      <c r="AB552" s="240"/>
    </row>
    <row r="553">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c r="AB553" s="247"/>
    </row>
    <row r="554">
      <c r="A554" s="240"/>
      <c r="B554" s="240"/>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c r="AA554" s="240"/>
      <c r="AB554" s="240"/>
    </row>
    <row r="555">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c r="AB555" s="247"/>
    </row>
    <row r="556">
      <c r="A556" s="240"/>
      <c r="B556" s="240"/>
      <c r="C556" s="240"/>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c r="AA556" s="240"/>
      <c r="AB556" s="240"/>
    </row>
    <row r="557">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c r="AB557" s="247"/>
    </row>
    <row r="558">
      <c r="A558" s="240"/>
      <c r="B558" s="240"/>
      <c r="C558" s="240"/>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c r="AA558" s="240"/>
      <c r="AB558" s="240"/>
    </row>
    <row r="559">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c r="AB559" s="247"/>
    </row>
    <row r="560">
      <c r="A560" s="240"/>
      <c r="B560" s="240"/>
      <c r="C560" s="240"/>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c r="AA560" s="240"/>
      <c r="AB560" s="240"/>
    </row>
    <row r="56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c r="AB561" s="247"/>
    </row>
    <row r="562">
      <c r="A562" s="240"/>
      <c r="B562" s="240"/>
      <c r="C562" s="240"/>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c r="AA562" s="240"/>
      <c r="AB562" s="240"/>
    </row>
    <row r="563">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c r="AB563" s="247"/>
    </row>
    <row r="564">
      <c r="A564" s="240"/>
      <c r="B564" s="240"/>
      <c r="C564" s="240"/>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c r="AA564" s="240"/>
      <c r="AB564" s="240"/>
    </row>
    <row r="565">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c r="AB565" s="247"/>
    </row>
    <row r="566">
      <c r="A566" s="240"/>
      <c r="B566" s="240"/>
      <c r="C566" s="240"/>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c r="AA566" s="240"/>
      <c r="AB566" s="240"/>
    </row>
    <row r="567">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c r="AB567" s="247"/>
    </row>
    <row r="568">
      <c r="A568" s="240"/>
      <c r="B568" s="240"/>
      <c r="C568" s="240"/>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c r="AA568" s="240"/>
      <c r="AB568" s="240"/>
    </row>
    <row r="569">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c r="AB569" s="247"/>
    </row>
    <row r="570">
      <c r="A570" s="240"/>
      <c r="B570" s="240"/>
      <c r="C570" s="240"/>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c r="AA570" s="240"/>
      <c r="AB570" s="240"/>
    </row>
    <row r="57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c r="AB571" s="247"/>
    </row>
    <row r="572">
      <c r="A572" s="240"/>
      <c r="B572" s="240"/>
      <c r="C572" s="240"/>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c r="AA572" s="240"/>
      <c r="AB572" s="240"/>
    </row>
    <row r="573">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c r="AB573" s="247"/>
    </row>
    <row r="574">
      <c r="A574" s="240"/>
      <c r="B574" s="240"/>
      <c r="C574" s="240"/>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c r="AA574" s="240"/>
      <c r="AB574" s="240"/>
    </row>
    <row r="575">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c r="AB575" s="247"/>
    </row>
    <row r="576">
      <c r="A576" s="240"/>
      <c r="B576" s="240"/>
      <c r="C576" s="240"/>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c r="AA576" s="240"/>
      <c r="AB576" s="240"/>
    </row>
    <row r="577">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c r="AB577" s="247"/>
    </row>
    <row r="578">
      <c r="A578" s="240"/>
      <c r="B578" s="240"/>
      <c r="C578" s="240"/>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c r="AA578" s="240"/>
      <c r="AB578" s="240"/>
    </row>
    <row r="579">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c r="AB579" s="247"/>
    </row>
    <row r="580">
      <c r="A580" s="240"/>
      <c r="B580" s="240"/>
      <c r="C580" s="240"/>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c r="AA580" s="240"/>
      <c r="AB580" s="240"/>
    </row>
    <row r="58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c r="AB581" s="247"/>
    </row>
    <row r="582">
      <c r="A582" s="240"/>
      <c r="B582" s="240"/>
      <c r="C582" s="240"/>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c r="AA582" s="240"/>
      <c r="AB582" s="240"/>
    </row>
    <row r="583">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c r="AB583" s="247"/>
    </row>
    <row r="584">
      <c r="A584" s="240"/>
      <c r="B584" s="240"/>
      <c r="C584" s="240"/>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c r="AA584" s="240"/>
      <c r="AB584" s="240"/>
    </row>
    <row r="585">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c r="AB585" s="247"/>
    </row>
    <row r="586">
      <c r="A586" s="240"/>
      <c r="B586" s="240"/>
      <c r="C586" s="240"/>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c r="AA586" s="240"/>
      <c r="AB586" s="240"/>
    </row>
    <row r="587">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c r="AB587" s="247"/>
    </row>
    <row r="588">
      <c r="A588" s="240"/>
      <c r="B588" s="240"/>
      <c r="C588" s="240"/>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c r="AA588" s="240"/>
      <c r="AB588" s="240"/>
    </row>
    <row r="589">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c r="AB589" s="247"/>
    </row>
    <row r="590">
      <c r="A590" s="240"/>
      <c r="B590" s="240"/>
      <c r="C590" s="240"/>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c r="AA590" s="240"/>
      <c r="AB590" s="240"/>
    </row>
    <row r="59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c r="AB591" s="247"/>
    </row>
    <row r="592">
      <c r="A592" s="240"/>
      <c r="B592" s="240"/>
      <c r="C592" s="240"/>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c r="AA592" s="240"/>
      <c r="AB592" s="240"/>
    </row>
    <row r="593">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c r="AB593" s="247"/>
    </row>
    <row r="594">
      <c r="A594" s="240"/>
      <c r="B594" s="240"/>
      <c r="C594" s="240"/>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c r="AA594" s="240"/>
      <c r="AB594" s="240"/>
    </row>
    <row r="595">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c r="AB595" s="247"/>
    </row>
    <row r="596">
      <c r="A596" s="240"/>
      <c r="B596" s="240"/>
      <c r="C596" s="240"/>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c r="AA596" s="240"/>
      <c r="AB596" s="240"/>
    </row>
    <row r="597">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c r="AB597" s="247"/>
    </row>
    <row r="598">
      <c r="A598" s="240"/>
      <c r="B598" s="240"/>
      <c r="C598" s="240"/>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c r="AA598" s="240"/>
      <c r="AB598" s="240"/>
    </row>
    <row r="599">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c r="AB599" s="247"/>
    </row>
    <row r="600">
      <c r="A600" s="240"/>
      <c r="B600" s="240"/>
      <c r="C600" s="240"/>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c r="AA600" s="240"/>
      <c r="AB600" s="240"/>
    </row>
    <row r="60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c r="AB601" s="247"/>
    </row>
    <row r="602">
      <c r="A602" s="240"/>
      <c r="B602" s="240"/>
      <c r="C602" s="240"/>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c r="AA602" s="240"/>
      <c r="AB602" s="240"/>
    </row>
    <row r="603">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c r="AB603" s="247"/>
    </row>
    <row r="604">
      <c r="A604" s="240"/>
      <c r="B604" s="240"/>
      <c r="C604" s="240"/>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c r="AA604" s="240"/>
      <c r="AB604" s="240"/>
    </row>
    <row r="605">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c r="AB605" s="247"/>
    </row>
    <row r="606">
      <c r="A606" s="240"/>
      <c r="B606" s="240"/>
      <c r="C606" s="240"/>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c r="AA606" s="240"/>
      <c r="AB606" s="240"/>
    </row>
    <row r="607">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c r="AB607" s="247"/>
    </row>
    <row r="608">
      <c r="A608" s="240"/>
      <c r="B608" s="240"/>
      <c r="C608" s="240"/>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c r="AA608" s="240"/>
      <c r="AB608" s="240"/>
    </row>
    <row r="609">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c r="AB609" s="247"/>
    </row>
    <row r="610">
      <c r="A610" s="240"/>
      <c r="B610" s="240"/>
      <c r="C610" s="240"/>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c r="AA610" s="240"/>
      <c r="AB610" s="240"/>
    </row>
    <row r="61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c r="AB611" s="247"/>
    </row>
    <row r="612">
      <c r="A612" s="240"/>
      <c r="B612" s="240"/>
      <c r="C612" s="240"/>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c r="AA612" s="240"/>
      <c r="AB612" s="240"/>
    </row>
    <row r="613">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c r="AB613" s="247"/>
    </row>
    <row r="614">
      <c r="A614" s="240"/>
      <c r="B614" s="240"/>
      <c r="C614" s="240"/>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c r="AA614" s="240"/>
      <c r="AB614" s="240"/>
    </row>
    <row r="615">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c r="AB615" s="247"/>
    </row>
    <row r="616">
      <c r="A616" s="240"/>
      <c r="B616" s="240"/>
      <c r="C616" s="240"/>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c r="AA616" s="240"/>
      <c r="AB616" s="240"/>
    </row>
    <row r="617">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c r="AB617" s="247"/>
    </row>
    <row r="618">
      <c r="A618" s="240"/>
      <c r="B618" s="240"/>
      <c r="C618" s="240"/>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c r="AA618" s="240"/>
      <c r="AB618" s="240"/>
    </row>
    <row r="619">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c r="AB619" s="247"/>
    </row>
    <row r="620">
      <c r="A620" s="240"/>
      <c r="B620" s="240"/>
      <c r="C620" s="240"/>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c r="AA620" s="240"/>
      <c r="AB620" s="240"/>
    </row>
    <row r="62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c r="AB621" s="247"/>
    </row>
    <row r="622">
      <c r="A622" s="240"/>
      <c r="B622" s="240"/>
      <c r="C622" s="240"/>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c r="AA622" s="240"/>
      <c r="AB622" s="240"/>
    </row>
    <row r="623">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c r="AB623" s="247"/>
    </row>
    <row r="624">
      <c r="A624" s="240"/>
      <c r="B624" s="240"/>
      <c r="C624" s="240"/>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c r="AA624" s="240"/>
      <c r="AB624" s="240"/>
    </row>
    <row r="625">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c r="AB625" s="247"/>
    </row>
    <row r="626">
      <c r="A626" s="240"/>
      <c r="B626" s="240"/>
      <c r="C626" s="240"/>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c r="AA626" s="240"/>
      <c r="AB626" s="240"/>
    </row>
    <row r="627">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c r="AB627" s="247"/>
    </row>
    <row r="628">
      <c r="A628" s="240"/>
      <c r="B628" s="240"/>
      <c r="C628" s="240"/>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c r="AA628" s="240"/>
      <c r="AB628" s="240"/>
    </row>
    <row r="629">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c r="AB629" s="247"/>
    </row>
    <row r="630">
      <c r="A630" s="240"/>
      <c r="B630" s="240"/>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c r="AA630" s="240"/>
      <c r="AB630" s="240"/>
    </row>
    <row r="63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c r="AB631" s="247"/>
    </row>
    <row r="632">
      <c r="A632" s="240"/>
      <c r="B632" s="240"/>
      <c r="C632" s="240"/>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c r="AA632" s="240"/>
      <c r="AB632" s="240"/>
    </row>
    <row r="633">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c r="AB633" s="247"/>
    </row>
    <row r="634">
      <c r="A634" s="240"/>
      <c r="B634" s="240"/>
      <c r="C634" s="240"/>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c r="AA634" s="240"/>
      <c r="AB634" s="240"/>
    </row>
    <row r="635">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c r="AB635" s="247"/>
    </row>
    <row r="636">
      <c r="A636" s="240"/>
      <c r="B636" s="240"/>
      <c r="C636" s="240"/>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c r="AA636" s="240"/>
      <c r="AB636" s="240"/>
    </row>
    <row r="637">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c r="AB637" s="247"/>
    </row>
    <row r="638">
      <c r="A638" s="240"/>
      <c r="B638" s="240"/>
      <c r="C638" s="240"/>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c r="AA638" s="240"/>
      <c r="AB638" s="240"/>
    </row>
    <row r="639">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c r="AB639" s="247"/>
    </row>
    <row r="640">
      <c r="A640" s="240"/>
      <c r="B640" s="240"/>
      <c r="C640" s="240"/>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c r="AA640" s="240"/>
      <c r="AB640" s="240"/>
    </row>
    <row r="64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c r="AB641" s="247"/>
    </row>
    <row r="642">
      <c r="A642" s="240"/>
      <c r="B642" s="240"/>
      <c r="C642" s="240"/>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c r="AA642" s="240"/>
      <c r="AB642" s="240"/>
    </row>
    <row r="643">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c r="AB643" s="247"/>
    </row>
    <row r="644">
      <c r="A644" s="240"/>
      <c r="B644" s="240"/>
      <c r="C644" s="240"/>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c r="AA644" s="240"/>
      <c r="AB644" s="240"/>
    </row>
    <row r="645">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c r="AB645" s="247"/>
    </row>
    <row r="646">
      <c r="A646" s="240"/>
      <c r="B646" s="240"/>
      <c r="C646" s="240"/>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c r="AA646" s="240"/>
      <c r="AB646" s="240"/>
    </row>
    <row r="647">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c r="AB647" s="247"/>
    </row>
    <row r="648">
      <c r="A648" s="240"/>
      <c r="B648" s="240"/>
      <c r="C648" s="240"/>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c r="AA648" s="240"/>
      <c r="AB648" s="240"/>
    </row>
    <row r="649">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c r="AB649" s="247"/>
    </row>
    <row r="650">
      <c r="A650" s="240"/>
      <c r="B650" s="240"/>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c r="AA650" s="240"/>
      <c r="AB650" s="240"/>
    </row>
    <row r="65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c r="AB651" s="247"/>
    </row>
    <row r="652">
      <c r="A652" s="240"/>
      <c r="B652" s="240"/>
      <c r="C652" s="240"/>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c r="AA652" s="240"/>
      <c r="AB652" s="240"/>
    </row>
    <row r="653">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c r="AB653" s="247"/>
    </row>
    <row r="654">
      <c r="A654" s="240"/>
      <c r="B654" s="240"/>
      <c r="C654" s="240"/>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c r="AA654" s="240"/>
      <c r="AB654" s="240"/>
    </row>
    <row r="655">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c r="AB655" s="247"/>
    </row>
    <row r="656">
      <c r="A656" s="240"/>
      <c r="B656" s="240"/>
      <c r="C656" s="240"/>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c r="AA656" s="240"/>
      <c r="AB656" s="240"/>
    </row>
    <row r="657">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c r="AB657" s="247"/>
    </row>
    <row r="658">
      <c r="A658" s="240"/>
      <c r="B658" s="240"/>
      <c r="C658" s="240"/>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c r="AA658" s="240"/>
      <c r="AB658" s="240"/>
    </row>
    <row r="659">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c r="AB659" s="247"/>
    </row>
    <row r="660">
      <c r="A660" s="240"/>
      <c r="B660" s="240"/>
      <c r="C660" s="240"/>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c r="AA660" s="240"/>
      <c r="AB660" s="240"/>
    </row>
    <row r="66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c r="AB661" s="247"/>
    </row>
    <row r="662">
      <c r="A662" s="240"/>
      <c r="B662" s="240"/>
      <c r="C662" s="240"/>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c r="AA662" s="240"/>
      <c r="AB662" s="240"/>
    </row>
    <row r="663">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c r="AB663" s="247"/>
    </row>
    <row r="664">
      <c r="A664" s="240"/>
      <c r="B664" s="240"/>
      <c r="C664" s="240"/>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c r="AA664" s="240"/>
      <c r="AB664" s="240"/>
    </row>
    <row r="665">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c r="AB665" s="247"/>
    </row>
    <row r="666">
      <c r="A666" s="240"/>
      <c r="B666" s="240"/>
      <c r="C666" s="240"/>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c r="AA666" s="240"/>
      <c r="AB666" s="240"/>
    </row>
    <row r="667">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c r="AB667" s="247"/>
    </row>
    <row r="668">
      <c r="A668" s="240"/>
      <c r="B668" s="240"/>
      <c r="C668" s="240"/>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c r="AA668" s="240"/>
      <c r="AB668" s="240"/>
    </row>
    <row r="669">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c r="AB669" s="247"/>
    </row>
    <row r="670">
      <c r="A670" s="240"/>
      <c r="B670" s="240"/>
      <c r="C670" s="240"/>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c r="AA670" s="240"/>
      <c r="AB670" s="240"/>
    </row>
    <row r="67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c r="AB671" s="247"/>
    </row>
    <row r="672">
      <c r="A672" s="240"/>
      <c r="B672" s="240"/>
      <c r="C672" s="240"/>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c r="AA672" s="240"/>
      <c r="AB672" s="240"/>
    </row>
    <row r="673">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c r="AB673" s="247"/>
    </row>
    <row r="674">
      <c r="A674" s="240"/>
      <c r="B674" s="240"/>
      <c r="C674" s="240"/>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c r="AA674" s="240"/>
      <c r="AB674" s="240"/>
    </row>
    <row r="675">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c r="AB675" s="247"/>
    </row>
    <row r="676">
      <c r="A676" s="240"/>
      <c r="B676" s="240"/>
      <c r="C676" s="240"/>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c r="AA676" s="240"/>
      <c r="AB676" s="240"/>
    </row>
    <row r="677">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c r="AB677" s="247"/>
    </row>
    <row r="678">
      <c r="A678" s="240"/>
      <c r="B678" s="240"/>
      <c r="C678" s="240"/>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c r="AA678" s="240"/>
      <c r="AB678" s="240"/>
    </row>
    <row r="679">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c r="AB679" s="247"/>
    </row>
    <row r="680">
      <c r="A680" s="240"/>
      <c r="B680" s="240"/>
      <c r="C680" s="240"/>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c r="AA680" s="240"/>
      <c r="AB680" s="240"/>
    </row>
    <row r="68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c r="AB681" s="247"/>
    </row>
    <row r="682">
      <c r="A682" s="240"/>
      <c r="B682" s="240"/>
      <c r="C682" s="240"/>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c r="AA682" s="240"/>
      <c r="AB682" s="240"/>
    </row>
    <row r="683">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c r="AB683" s="247"/>
    </row>
    <row r="684">
      <c r="A684" s="240"/>
      <c r="B684" s="240"/>
      <c r="C684" s="240"/>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c r="AA684" s="240"/>
      <c r="AB684" s="240"/>
    </row>
    <row r="685">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c r="AB685" s="247"/>
    </row>
    <row r="686">
      <c r="A686" s="240"/>
      <c r="B686" s="240"/>
      <c r="C686" s="240"/>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c r="AA686" s="240"/>
      <c r="AB686" s="240"/>
    </row>
    <row r="687">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c r="AB687" s="247"/>
    </row>
    <row r="688">
      <c r="A688" s="240"/>
      <c r="B688" s="240"/>
      <c r="C688" s="240"/>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c r="AA688" s="240"/>
      <c r="AB688" s="240"/>
    </row>
    <row r="689">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c r="AB689" s="247"/>
    </row>
    <row r="690">
      <c r="A690" s="240"/>
      <c r="B690" s="240"/>
      <c r="C690" s="240"/>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c r="AA690" s="240"/>
      <c r="AB690" s="240"/>
    </row>
    <row r="69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c r="AB691" s="247"/>
    </row>
    <row r="692">
      <c r="A692" s="240"/>
      <c r="B692" s="240"/>
      <c r="C692" s="240"/>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c r="AA692" s="240"/>
      <c r="AB692" s="240"/>
    </row>
    <row r="693">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c r="AB693" s="247"/>
    </row>
    <row r="694">
      <c r="A694" s="240"/>
      <c r="B694" s="240"/>
      <c r="C694" s="240"/>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c r="AA694" s="240"/>
      <c r="AB694" s="240"/>
    </row>
    <row r="695">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c r="AB695" s="247"/>
    </row>
    <row r="696">
      <c r="A696" s="240"/>
      <c r="B696" s="240"/>
      <c r="C696" s="240"/>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c r="AA696" s="240"/>
      <c r="AB696" s="240"/>
    </row>
    <row r="697">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c r="AB697" s="247"/>
    </row>
    <row r="698">
      <c r="A698" s="240"/>
      <c r="B698" s="240"/>
      <c r="C698" s="240"/>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c r="AA698" s="240"/>
      <c r="AB698" s="240"/>
    </row>
    <row r="699">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c r="AB699" s="247"/>
    </row>
    <row r="700">
      <c r="A700" s="240"/>
      <c r="B700" s="240"/>
      <c r="C700" s="240"/>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c r="AA700" s="240"/>
      <c r="AB700" s="240"/>
    </row>
    <row r="70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c r="AB701" s="247"/>
    </row>
    <row r="702">
      <c r="A702" s="240"/>
      <c r="B702" s="240"/>
      <c r="C702" s="240"/>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c r="AA702" s="240"/>
      <c r="AB702" s="240"/>
    </row>
    <row r="703">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c r="AB703" s="247"/>
    </row>
    <row r="704">
      <c r="A704" s="240"/>
      <c r="B704" s="240"/>
      <c r="C704" s="240"/>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c r="AA704" s="240"/>
      <c r="AB704" s="240"/>
    </row>
    <row r="705">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c r="AB705" s="247"/>
    </row>
    <row r="706">
      <c r="A706" s="240"/>
      <c r="B706" s="240"/>
      <c r="C706" s="240"/>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c r="AA706" s="240"/>
      <c r="AB706" s="240"/>
    </row>
    <row r="707">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c r="AB707" s="247"/>
    </row>
    <row r="708">
      <c r="A708" s="240"/>
      <c r="B708" s="240"/>
      <c r="C708" s="240"/>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c r="AA708" s="240"/>
      <c r="AB708" s="240"/>
    </row>
    <row r="709">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c r="AB709" s="247"/>
    </row>
    <row r="710">
      <c r="A710" s="240"/>
      <c r="B710" s="240"/>
      <c r="C710" s="240"/>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c r="AA710" s="240"/>
      <c r="AB710" s="240"/>
    </row>
    <row r="71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c r="AB711" s="247"/>
    </row>
    <row r="712">
      <c r="A712" s="240"/>
      <c r="B712" s="240"/>
      <c r="C712" s="240"/>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c r="AA712" s="240"/>
      <c r="AB712" s="240"/>
    </row>
    <row r="713">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c r="AB713" s="247"/>
    </row>
    <row r="714">
      <c r="A714" s="240"/>
      <c r="B714" s="240"/>
      <c r="C714" s="240"/>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c r="AA714" s="240"/>
      <c r="AB714" s="240"/>
    </row>
    <row r="715">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c r="AB715" s="247"/>
    </row>
    <row r="716">
      <c r="A716" s="240"/>
      <c r="B716" s="240"/>
      <c r="C716" s="240"/>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c r="AA716" s="240"/>
      <c r="AB716" s="240"/>
    </row>
    <row r="717">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c r="AB717" s="247"/>
    </row>
    <row r="718">
      <c r="A718" s="240"/>
      <c r="B718" s="240"/>
      <c r="C718" s="240"/>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c r="AA718" s="240"/>
      <c r="AB718" s="240"/>
    </row>
    <row r="719">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c r="AB719" s="247"/>
    </row>
    <row r="720">
      <c r="A720" s="240"/>
      <c r="B720" s="240"/>
      <c r="C720" s="240"/>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c r="AA720" s="240"/>
      <c r="AB720" s="240"/>
    </row>
    <row r="72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c r="AB721" s="247"/>
    </row>
    <row r="722">
      <c r="A722" s="240"/>
      <c r="B722" s="240"/>
      <c r="C722" s="240"/>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c r="AA722" s="240"/>
      <c r="AB722" s="240"/>
    </row>
    <row r="723">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c r="AB723" s="247"/>
    </row>
    <row r="724">
      <c r="A724" s="240"/>
      <c r="B724" s="240"/>
      <c r="C724" s="240"/>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c r="AA724" s="240"/>
      <c r="AB724" s="240"/>
    </row>
    <row r="725">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c r="AB725" s="247"/>
    </row>
    <row r="726">
      <c r="A726" s="240"/>
      <c r="B726" s="240"/>
      <c r="C726" s="240"/>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c r="AA726" s="240"/>
      <c r="AB726" s="240"/>
    </row>
    <row r="727">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c r="AB727" s="247"/>
    </row>
    <row r="728">
      <c r="A728" s="240"/>
      <c r="B728" s="240"/>
      <c r="C728" s="240"/>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c r="AA728" s="240"/>
      <c r="AB728" s="240"/>
    </row>
    <row r="729">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c r="AB729" s="247"/>
    </row>
    <row r="730">
      <c r="A730" s="240"/>
      <c r="B730" s="240"/>
      <c r="C730" s="240"/>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c r="AA730" s="240"/>
      <c r="AB730" s="240"/>
    </row>
    <row r="73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c r="AB731" s="247"/>
    </row>
    <row r="732">
      <c r="A732" s="240"/>
      <c r="B732" s="240"/>
      <c r="C732" s="240"/>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c r="AA732" s="240"/>
      <c r="AB732" s="240"/>
    </row>
    <row r="733">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c r="AB733" s="247"/>
    </row>
    <row r="734">
      <c r="A734" s="240"/>
      <c r="B734" s="240"/>
      <c r="C734" s="240"/>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c r="AA734" s="240"/>
      <c r="AB734" s="240"/>
    </row>
    <row r="735">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c r="AB735" s="247"/>
    </row>
    <row r="736">
      <c r="A736" s="240"/>
      <c r="B736" s="240"/>
      <c r="C736" s="240"/>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c r="AA736" s="240"/>
      <c r="AB736" s="240"/>
    </row>
    <row r="737">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c r="AB737" s="247"/>
    </row>
    <row r="738">
      <c r="A738" s="240"/>
      <c r="B738" s="240"/>
      <c r="C738" s="240"/>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c r="AA738" s="240"/>
      <c r="AB738" s="240"/>
    </row>
    <row r="739">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c r="AB739" s="247"/>
    </row>
    <row r="740">
      <c r="A740" s="240"/>
      <c r="B740" s="240"/>
      <c r="C740" s="240"/>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c r="AA740" s="240"/>
      <c r="AB740" s="240"/>
    </row>
    <row r="74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c r="AB741" s="247"/>
    </row>
    <row r="742">
      <c r="A742" s="240"/>
      <c r="B742" s="240"/>
      <c r="C742" s="240"/>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c r="AA742" s="240"/>
      <c r="AB742" s="240"/>
    </row>
    <row r="743">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c r="AB743" s="247"/>
    </row>
    <row r="744">
      <c r="A744" s="240"/>
      <c r="B744" s="240"/>
      <c r="C744" s="240"/>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c r="AA744" s="240"/>
      <c r="AB744" s="240"/>
    </row>
    <row r="745">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c r="AB745" s="247"/>
    </row>
    <row r="746">
      <c r="A746" s="240"/>
      <c r="B746" s="240"/>
      <c r="C746" s="240"/>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c r="AA746" s="240"/>
      <c r="AB746" s="240"/>
    </row>
    <row r="747">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c r="AB747" s="247"/>
    </row>
    <row r="748">
      <c r="A748" s="240"/>
      <c r="B748" s="240"/>
      <c r="C748" s="240"/>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c r="AA748" s="240"/>
      <c r="AB748" s="240"/>
    </row>
    <row r="749">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c r="AB749" s="247"/>
    </row>
    <row r="750">
      <c r="A750" s="240"/>
      <c r="B750" s="240"/>
      <c r="C750" s="240"/>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c r="AA750" s="240"/>
      <c r="AB750" s="240"/>
    </row>
    <row r="75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c r="AB751" s="247"/>
    </row>
    <row r="752">
      <c r="A752" s="240"/>
      <c r="B752" s="240"/>
      <c r="C752" s="240"/>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c r="AA752" s="240"/>
      <c r="AB752" s="240"/>
    </row>
    <row r="753">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c r="AB753" s="247"/>
    </row>
    <row r="754">
      <c r="A754" s="240"/>
      <c r="B754" s="240"/>
      <c r="C754" s="240"/>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c r="AA754" s="240"/>
      <c r="AB754" s="240"/>
    </row>
    <row r="755">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c r="AB755" s="247"/>
    </row>
    <row r="756">
      <c r="A756" s="240"/>
      <c r="B756" s="240"/>
      <c r="C756" s="240"/>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c r="AA756" s="240"/>
      <c r="AB756" s="240"/>
    </row>
    <row r="757">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c r="AB757" s="247"/>
    </row>
    <row r="758">
      <c r="A758" s="240"/>
      <c r="B758" s="240"/>
      <c r="C758" s="240"/>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c r="AA758" s="240"/>
      <c r="AB758" s="240"/>
    </row>
    <row r="759">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c r="AB759" s="247"/>
    </row>
    <row r="760">
      <c r="A760" s="240"/>
      <c r="B760" s="240"/>
      <c r="C760" s="240"/>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c r="AA760" s="240"/>
      <c r="AB760" s="240"/>
    </row>
    <row r="76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c r="AB761" s="247"/>
    </row>
    <row r="762">
      <c r="A762" s="240"/>
      <c r="B762" s="240"/>
      <c r="C762" s="240"/>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c r="AA762" s="240"/>
      <c r="AB762" s="240"/>
    </row>
    <row r="763">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c r="AB763" s="247"/>
    </row>
    <row r="764">
      <c r="A764" s="240"/>
      <c r="B764" s="240"/>
      <c r="C764" s="240"/>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c r="AA764" s="240"/>
      <c r="AB764" s="240"/>
    </row>
    <row r="765">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c r="AB765" s="247"/>
    </row>
    <row r="766">
      <c r="A766" s="240"/>
      <c r="B766" s="240"/>
      <c r="C766" s="24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c r="AA766" s="240"/>
      <c r="AB766" s="240"/>
    </row>
    <row r="767">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c r="AB767" s="247"/>
    </row>
    <row r="768">
      <c r="A768" s="240"/>
      <c r="B768" s="240"/>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c r="AA768" s="240"/>
      <c r="AB768" s="240"/>
    </row>
    <row r="769">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c r="AB769" s="247"/>
    </row>
    <row r="770">
      <c r="A770" s="240"/>
      <c r="B770" s="240"/>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c r="AA770" s="240"/>
      <c r="AB770" s="240"/>
    </row>
    <row r="77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c r="AB771" s="247"/>
    </row>
    <row r="772">
      <c r="A772" s="240"/>
      <c r="B772" s="240"/>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c r="AA772" s="240"/>
      <c r="AB772" s="240"/>
    </row>
    <row r="773">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c r="AB773" s="247"/>
    </row>
    <row r="774">
      <c r="A774" s="240"/>
      <c r="B774" s="240"/>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c r="AA774" s="240"/>
      <c r="AB774" s="240"/>
    </row>
    <row r="775">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c r="AB775" s="247"/>
    </row>
    <row r="776">
      <c r="A776" s="240"/>
      <c r="B776" s="240"/>
      <c r="C776" s="240"/>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c r="AA776" s="240"/>
      <c r="AB776" s="240"/>
    </row>
    <row r="777">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c r="AB777" s="247"/>
    </row>
    <row r="778">
      <c r="A778" s="240"/>
      <c r="B778" s="240"/>
      <c r="C778" s="240"/>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c r="AA778" s="240"/>
      <c r="AB778" s="240"/>
    </row>
    <row r="779">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c r="AB779" s="247"/>
    </row>
    <row r="780">
      <c r="A780" s="240"/>
      <c r="B780" s="240"/>
      <c r="C780" s="240"/>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c r="AA780" s="240"/>
      <c r="AB780" s="240"/>
    </row>
    <row r="78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c r="AB781" s="247"/>
    </row>
    <row r="782">
      <c r="A782" s="240"/>
      <c r="B782" s="240"/>
      <c r="C782" s="240"/>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c r="AA782" s="240"/>
      <c r="AB782" s="240"/>
    </row>
    <row r="783">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c r="AB783" s="247"/>
    </row>
    <row r="784">
      <c r="A784" s="240"/>
      <c r="B784" s="240"/>
      <c r="C784" s="240"/>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c r="AA784" s="240"/>
      <c r="AB784" s="240"/>
    </row>
    <row r="785">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c r="AB785" s="247"/>
    </row>
    <row r="786">
      <c r="A786" s="240"/>
      <c r="B786" s="240"/>
      <c r="C786" s="240"/>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c r="AA786" s="240"/>
      <c r="AB786" s="240"/>
    </row>
    <row r="787">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c r="AB787" s="247"/>
    </row>
    <row r="788">
      <c r="A788" s="240"/>
      <c r="B788" s="240"/>
      <c r="C788" s="240"/>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c r="AA788" s="240"/>
      <c r="AB788" s="240"/>
    </row>
    <row r="789">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c r="AB789" s="247"/>
    </row>
    <row r="790">
      <c r="A790" s="240"/>
      <c r="B790" s="240"/>
      <c r="C790" s="240"/>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c r="AA790" s="240"/>
      <c r="AB790" s="240"/>
    </row>
    <row r="79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c r="AB791" s="247"/>
    </row>
    <row r="792">
      <c r="A792" s="240"/>
      <c r="B792" s="240"/>
      <c r="C792" s="240"/>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c r="AA792" s="240"/>
      <c r="AB792" s="240"/>
    </row>
    <row r="793">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c r="AB793" s="247"/>
    </row>
    <row r="794">
      <c r="A794" s="240"/>
      <c r="B794" s="240"/>
      <c r="C794" s="240"/>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c r="AA794" s="240"/>
      <c r="AB794" s="240"/>
    </row>
    <row r="795">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c r="AB795" s="247"/>
    </row>
    <row r="796">
      <c r="A796" s="240"/>
      <c r="B796" s="240"/>
      <c r="C796" s="240"/>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c r="AA796" s="240"/>
      <c r="AB796" s="240"/>
    </row>
    <row r="797">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c r="AB797" s="247"/>
    </row>
    <row r="798">
      <c r="A798" s="240"/>
      <c r="B798" s="240"/>
      <c r="C798" s="240"/>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c r="AA798" s="240"/>
      <c r="AB798" s="240"/>
    </row>
    <row r="799">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c r="AB799" s="247"/>
    </row>
    <row r="800">
      <c r="A800" s="240"/>
      <c r="B800" s="240"/>
      <c r="C800" s="240"/>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c r="AA800" s="240"/>
      <c r="AB800" s="240"/>
    </row>
    <row r="80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c r="AB801" s="247"/>
    </row>
    <row r="802">
      <c r="A802" s="240"/>
      <c r="B802" s="240"/>
      <c r="C802" s="240"/>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c r="AA802" s="240"/>
      <c r="AB802" s="240"/>
    </row>
    <row r="803">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c r="AB803" s="247"/>
    </row>
    <row r="804">
      <c r="A804" s="240"/>
      <c r="B804" s="240"/>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c r="AA804" s="240"/>
      <c r="AB804" s="240"/>
    </row>
    <row r="805">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c r="AB805" s="247"/>
    </row>
    <row r="806">
      <c r="A806" s="240"/>
      <c r="B806" s="240"/>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c r="AA806" s="240"/>
      <c r="AB806" s="240"/>
    </row>
    <row r="807">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c r="AB807" s="247"/>
    </row>
    <row r="808">
      <c r="A808" s="240"/>
      <c r="B808" s="240"/>
      <c r="C808" s="240"/>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c r="AA808" s="240"/>
      <c r="AB808" s="240"/>
    </row>
    <row r="809">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c r="AB809" s="247"/>
    </row>
    <row r="810">
      <c r="A810" s="240"/>
      <c r="B810" s="240"/>
      <c r="C810" s="240"/>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c r="AA810" s="240"/>
      <c r="AB810" s="240"/>
    </row>
    <row r="81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c r="AB811" s="247"/>
    </row>
    <row r="812">
      <c r="A812" s="240"/>
      <c r="B812" s="240"/>
      <c r="C812" s="240"/>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c r="AA812" s="240"/>
      <c r="AB812" s="240"/>
    </row>
    <row r="813">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c r="AB813" s="247"/>
    </row>
    <row r="814">
      <c r="A814" s="240"/>
      <c r="B814" s="240"/>
      <c r="C814" s="240"/>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c r="AA814" s="240"/>
      <c r="AB814" s="240"/>
    </row>
    <row r="815">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c r="AB815" s="247"/>
    </row>
    <row r="816">
      <c r="A816" s="240"/>
      <c r="B816" s="240"/>
      <c r="C816" s="240"/>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c r="AA816" s="240"/>
      <c r="AB816" s="240"/>
    </row>
    <row r="817">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c r="AB817" s="247"/>
    </row>
    <row r="818">
      <c r="A818" s="240"/>
      <c r="B818" s="240"/>
      <c r="C818" s="240"/>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c r="AA818" s="240"/>
      <c r="AB818" s="240"/>
    </row>
    <row r="819">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c r="AB819" s="247"/>
    </row>
    <row r="820">
      <c r="A820" s="240"/>
      <c r="B820" s="240"/>
      <c r="C820" s="240"/>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c r="AA820" s="240"/>
      <c r="AB820" s="240"/>
    </row>
    <row r="82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c r="AB821" s="247"/>
    </row>
    <row r="822">
      <c r="A822" s="240"/>
      <c r="B822" s="240"/>
      <c r="C822" s="240"/>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c r="AA822" s="240"/>
      <c r="AB822" s="240"/>
    </row>
    <row r="823">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c r="AB823" s="247"/>
    </row>
    <row r="824">
      <c r="A824" s="240"/>
      <c r="B824" s="240"/>
      <c r="C824" s="240"/>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c r="AA824" s="240"/>
      <c r="AB824" s="240"/>
    </row>
    <row r="825">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c r="AB825" s="247"/>
    </row>
    <row r="826">
      <c r="A826" s="240"/>
      <c r="B826" s="240"/>
      <c r="C826" s="240"/>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c r="AA826" s="240"/>
      <c r="AB826" s="240"/>
    </row>
    <row r="827">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c r="AB827" s="247"/>
    </row>
    <row r="828">
      <c r="A828" s="240"/>
      <c r="B828" s="240"/>
      <c r="C828" s="240"/>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c r="AA828" s="240"/>
      <c r="AB828" s="240"/>
    </row>
    <row r="829">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c r="AB829" s="247"/>
    </row>
    <row r="830">
      <c r="A830" s="240"/>
      <c r="B830" s="240"/>
      <c r="C830" s="240"/>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c r="AA830" s="240"/>
      <c r="AB830" s="240"/>
    </row>
    <row r="83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c r="AB831" s="247"/>
    </row>
    <row r="832">
      <c r="A832" s="240"/>
      <c r="B832" s="240"/>
      <c r="C832" s="240"/>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c r="AA832" s="240"/>
      <c r="AB832" s="240"/>
    </row>
    <row r="833">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c r="AB833" s="247"/>
    </row>
    <row r="834">
      <c r="A834" s="240"/>
      <c r="B834" s="240"/>
      <c r="C834" s="240"/>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c r="AA834" s="240"/>
      <c r="AB834" s="240"/>
    </row>
    <row r="835">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c r="AB835" s="247"/>
    </row>
    <row r="836">
      <c r="A836" s="240"/>
      <c r="B836" s="240"/>
      <c r="C836" s="240"/>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c r="AA836" s="240"/>
      <c r="AB836" s="240"/>
    </row>
    <row r="837">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c r="AB837" s="247"/>
    </row>
    <row r="838">
      <c r="A838" s="240"/>
      <c r="B838" s="240"/>
      <c r="C838" s="240"/>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c r="AA838" s="240"/>
      <c r="AB838" s="240"/>
    </row>
    <row r="839">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c r="AB839" s="247"/>
    </row>
    <row r="840">
      <c r="A840" s="240"/>
      <c r="B840" s="240"/>
      <c r="C840" s="240"/>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c r="AA840" s="240"/>
      <c r="AB840" s="240"/>
    </row>
    <row r="84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c r="AB841" s="247"/>
    </row>
    <row r="842">
      <c r="A842" s="240"/>
      <c r="B842" s="240"/>
      <c r="C842" s="240"/>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c r="AA842" s="240"/>
      <c r="AB842" s="240"/>
    </row>
    <row r="843">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c r="AB843" s="247"/>
    </row>
    <row r="844">
      <c r="A844" s="240"/>
      <c r="B844" s="240"/>
      <c r="C844" s="240"/>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c r="AA844" s="240"/>
      <c r="AB844" s="240"/>
    </row>
    <row r="845">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c r="AB845" s="247"/>
    </row>
    <row r="846">
      <c r="A846" s="240"/>
      <c r="B846" s="240"/>
      <c r="C846" s="240"/>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c r="AA846" s="240"/>
      <c r="AB846" s="240"/>
    </row>
    <row r="847">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c r="AB847" s="247"/>
    </row>
    <row r="848">
      <c r="A848" s="240"/>
      <c r="B848" s="240"/>
      <c r="C848" s="240"/>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c r="AA848" s="240"/>
      <c r="AB848" s="240"/>
    </row>
    <row r="849">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c r="AB849" s="247"/>
    </row>
    <row r="850">
      <c r="A850" s="240"/>
      <c r="B850" s="240"/>
      <c r="C850" s="240"/>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c r="AA850" s="240"/>
      <c r="AB850" s="240"/>
    </row>
    <row r="85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c r="AB851" s="247"/>
    </row>
    <row r="852">
      <c r="A852" s="240"/>
      <c r="B852" s="240"/>
      <c r="C852" s="240"/>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c r="AA852" s="240"/>
      <c r="AB852" s="240"/>
    </row>
    <row r="853">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c r="AB853" s="247"/>
    </row>
    <row r="854">
      <c r="A854" s="240"/>
      <c r="B854" s="240"/>
      <c r="C854" s="240"/>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c r="AA854" s="240"/>
      <c r="AB854" s="240"/>
    </row>
    <row r="855">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c r="AB855" s="247"/>
    </row>
    <row r="856">
      <c r="A856" s="240"/>
      <c r="B856" s="240"/>
      <c r="C856" s="240"/>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c r="AA856" s="240"/>
      <c r="AB856" s="240"/>
    </row>
    <row r="857">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c r="AB857" s="247"/>
    </row>
    <row r="858">
      <c r="A858" s="240"/>
      <c r="B858" s="240"/>
      <c r="C858" s="240"/>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c r="AA858" s="240"/>
      <c r="AB858" s="240"/>
    </row>
    <row r="859">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c r="AB859" s="247"/>
    </row>
    <row r="860">
      <c r="A860" s="240"/>
      <c r="B860" s="240"/>
      <c r="C860" s="240"/>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c r="AA860" s="240"/>
      <c r="AB860" s="240"/>
    </row>
    <row r="86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c r="AB861" s="247"/>
    </row>
    <row r="862">
      <c r="A862" s="240"/>
      <c r="B862" s="240"/>
      <c r="C862" s="240"/>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c r="AA862" s="240"/>
      <c r="AB862" s="240"/>
    </row>
    <row r="863">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c r="AB863" s="247"/>
    </row>
    <row r="864">
      <c r="A864" s="240"/>
      <c r="B864" s="240"/>
      <c r="C864" s="240"/>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c r="AA864" s="240"/>
      <c r="AB864" s="240"/>
    </row>
    <row r="865">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c r="AB865" s="247"/>
    </row>
    <row r="866">
      <c r="A866" s="240"/>
      <c r="B866" s="240"/>
      <c r="C866" s="240"/>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c r="AA866" s="240"/>
      <c r="AB866" s="240"/>
    </row>
    <row r="867">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c r="AB867" s="247"/>
    </row>
    <row r="868">
      <c r="A868" s="240"/>
      <c r="B868" s="240"/>
      <c r="C868" s="240"/>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c r="AA868" s="240"/>
      <c r="AB868" s="240"/>
    </row>
    <row r="869">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c r="AB869" s="247"/>
    </row>
    <row r="870">
      <c r="A870" s="240"/>
      <c r="B870" s="240"/>
      <c r="C870" s="240"/>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c r="AA870" s="240"/>
      <c r="AB870" s="240"/>
    </row>
    <row r="87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c r="AB871" s="247"/>
    </row>
    <row r="872">
      <c r="A872" s="240"/>
      <c r="B872" s="240"/>
      <c r="C872" s="240"/>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c r="AA872" s="240"/>
      <c r="AB872" s="240"/>
    </row>
    <row r="873">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c r="AB873" s="247"/>
    </row>
    <row r="874">
      <c r="A874" s="240"/>
      <c r="B874" s="240"/>
      <c r="C874" s="240"/>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c r="AA874" s="240"/>
      <c r="AB874" s="240"/>
    </row>
    <row r="875">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c r="AB875" s="247"/>
    </row>
    <row r="876">
      <c r="A876" s="240"/>
      <c r="B876" s="240"/>
      <c r="C876" s="240"/>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c r="AA876" s="240"/>
      <c r="AB876" s="240"/>
    </row>
    <row r="877">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c r="AB877" s="247"/>
    </row>
    <row r="878">
      <c r="A878" s="240"/>
      <c r="B878" s="240"/>
      <c r="C878" s="240"/>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c r="AA878" s="240"/>
      <c r="AB878" s="240"/>
    </row>
    <row r="879">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c r="AB879" s="247"/>
    </row>
    <row r="880">
      <c r="A880" s="240"/>
      <c r="B880" s="240"/>
      <c r="C880" s="240"/>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c r="AA880" s="240"/>
      <c r="AB880" s="240"/>
    </row>
    <row r="88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c r="AB881" s="247"/>
    </row>
    <row r="882">
      <c r="A882" s="240"/>
      <c r="B882" s="240"/>
      <c r="C882" s="240"/>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c r="AA882" s="240"/>
      <c r="AB882" s="240"/>
    </row>
    <row r="883">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c r="AB883" s="247"/>
    </row>
    <row r="884">
      <c r="A884" s="240"/>
      <c r="B884" s="240"/>
      <c r="C884" s="240"/>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c r="AA884" s="240"/>
      <c r="AB884" s="240"/>
    </row>
    <row r="885">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c r="AB885" s="247"/>
    </row>
    <row r="886">
      <c r="A886" s="240"/>
      <c r="B886" s="240"/>
      <c r="C886" s="240"/>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c r="AA886" s="240"/>
      <c r="AB886" s="240"/>
    </row>
    <row r="887">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c r="AB887" s="247"/>
    </row>
    <row r="888">
      <c r="A888" s="240"/>
      <c r="B888" s="240"/>
      <c r="C888" s="240"/>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c r="AA888" s="240"/>
      <c r="AB888" s="240"/>
    </row>
    <row r="889">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c r="AB889" s="247"/>
    </row>
    <row r="890">
      <c r="A890" s="240"/>
      <c r="B890" s="240"/>
      <c r="C890" s="240"/>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c r="AA890" s="240"/>
      <c r="AB890" s="240"/>
    </row>
    <row r="89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c r="AB891" s="247"/>
    </row>
    <row r="892">
      <c r="A892" s="240"/>
      <c r="B892" s="240"/>
      <c r="C892" s="240"/>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c r="AA892" s="240"/>
      <c r="AB892" s="240"/>
    </row>
    <row r="893">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c r="AB893" s="247"/>
    </row>
    <row r="894">
      <c r="A894" s="240"/>
      <c r="B894" s="240"/>
      <c r="C894" s="240"/>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c r="AA894" s="240"/>
      <c r="AB894" s="240"/>
    </row>
    <row r="895">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c r="AB895" s="247"/>
    </row>
    <row r="896">
      <c r="A896" s="240"/>
      <c r="B896" s="240"/>
      <c r="C896" s="240"/>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c r="AA896" s="240"/>
      <c r="AB896" s="240"/>
    </row>
    <row r="897">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c r="AB897" s="247"/>
    </row>
    <row r="898">
      <c r="A898" s="240"/>
      <c r="B898" s="240"/>
      <c r="C898" s="240"/>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c r="AA898" s="240"/>
      <c r="AB898" s="240"/>
    </row>
    <row r="899">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c r="AB899" s="247"/>
    </row>
    <row r="900">
      <c r="A900" s="240"/>
      <c r="B900" s="240"/>
      <c r="C900" s="240"/>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c r="AA900" s="240"/>
      <c r="AB900" s="240"/>
    </row>
    <row r="90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c r="AB901" s="247"/>
    </row>
    <row r="902">
      <c r="A902" s="240"/>
      <c r="B902" s="240"/>
      <c r="C902" s="240"/>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c r="AA902" s="240"/>
      <c r="AB902" s="240"/>
    </row>
    <row r="903">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c r="AB903" s="247"/>
    </row>
    <row r="904">
      <c r="A904" s="240"/>
      <c r="B904" s="240"/>
      <c r="C904" s="240"/>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c r="AA904" s="240"/>
      <c r="AB904" s="240"/>
    </row>
    <row r="905">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c r="AB905" s="247"/>
    </row>
    <row r="906">
      <c r="A906" s="240"/>
      <c r="B906" s="240"/>
      <c r="C906" s="240"/>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c r="AA906" s="240"/>
      <c r="AB906" s="240"/>
    </row>
    <row r="907">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c r="AB907" s="247"/>
    </row>
    <row r="908">
      <c r="A908" s="240"/>
      <c r="B908" s="240"/>
      <c r="C908" s="240"/>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c r="AA908" s="240"/>
      <c r="AB908" s="240"/>
    </row>
    <row r="909">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c r="AB909" s="247"/>
    </row>
    <row r="910">
      <c r="A910" s="240"/>
      <c r="B910" s="240"/>
      <c r="C910" s="240"/>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c r="AA910" s="240"/>
      <c r="AB910" s="240"/>
    </row>
    <row r="91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c r="AB911" s="247"/>
    </row>
    <row r="912">
      <c r="A912" s="240"/>
      <c r="B912" s="240"/>
      <c r="C912" s="240"/>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c r="AA912" s="240"/>
      <c r="AB912" s="240"/>
    </row>
    <row r="913">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c r="AB913" s="247"/>
    </row>
    <row r="914">
      <c r="A914" s="240"/>
      <c r="B914" s="240"/>
      <c r="C914" s="240"/>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c r="AA914" s="240"/>
      <c r="AB914" s="240"/>
    </row>
    <row r="915">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c r="AB915" s="247"/>
    </row>
    <row r="916">
      <c r="A916" s="240"/>
      <c r="B916" s="240"/>
      <c r="C916" s="240"/>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c r="AA916" s="240"/>
      <c r="AB916" s="240"/>
    </row>
    <row r="917">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c r="AB917" s="247"/>
    </row>
    <row r="918">
      <c r="A918" s="240"/>
      <c r="B918" s="240"/>
      <c r="C918" s="240"/>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c r="AA918" s="240"/>
      <c r="AB918" s="240"/>
    </row>
    <row r="919">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c r="AB919" s="247"/>
    </row>
    <row r="920">
      <c r="A920" s="240"/>
      <c r="B920" s="240"/>
      <c r="C920" s="240"/>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c r="AA920" s="240"/>
      <c r="AB920" s="240"/>
    </row>
    <row r="92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c r="AB921" s="247"/>
    </row>
    <row r="922">
      <c r="A922" s="240"/>
      <c r="B922" s="240"/>
      <c r="C922" s="240"/>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c r="AA922" s="240"/>
      <c r="AB922" s="240"/>
    </row>
    <row r="923">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c r="AB923" s="247"/>
    </row>
    <row r="924">
      <c r="A924" s="240"/>
      <c r="B924" s="240"/>
      <c r="C924" s="240"/>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c r="AA924" s="240"/>
      <c r="AB924" s="240"/>
    </row>
    <row r="925">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c r="AB925" s="247"/>
    </row>
    <row r="926">
      <c r="A926" s="240"/>
      <c r="B926" s="240"/>
      <c r="C926" s="240"/>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c r="AA926" s="240"/>
      <c r="AB926" s="240"/>
    </row>
    <row r="927">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c r="AB927" s="247"/>
    </row>
    <row r="928">
      <c r="A928" s="240"/>
      <c r="B928" s="240"/>
      <c r="C928" s="240"/>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c r="AA928" s="240"/>
      <c r="AB928" s="240"/>
    </row>
    <row r="929">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c r="AB929" s="247"/>
    </row>
    <row r="930">
      <c r="A930" s="240"/>
      <c r="B930" s="240"/>
      <c r="C930" s="240"/>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c r="AA930" s="240"/>
      <c r="AB930" s="240"/>
    </row>
    <row r="93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c r="AB931" s="247"/>
    </row>
    <row r="932">
      <c r="A932" s="240"/>
      <c r="B932" s="240"/>
      <c r="C932" s="240"/>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c r="AA932" s="240"/>
      <c r="AB932" s="240"/>
    </row>
    <row r="933">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c r="AB933" s="247"/>
    </row>
    <row r="934">
      <c r="A934" s="240"/>
      <c r="B934" s="240"/>
      <c r="C934" s="240"/>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c r="AA934" s="240"/>
      <c r="AB934" s="240"/>
    </row>
    <row r="935">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c r="AB935" s="247"/>
    </row>
    <row r="936">
      <c r="A936" s="240"/>
      <c r="B936" s="240"/>
      <c r="C936" s="240"/>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c r="AA936" s="240"/>
      <c r="AB936" s="240"/>
    </row>
    <row r="937">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c r="AB937" s="247"/>
    </row>
    <row r="938">
      <c r="A938" s="240"/>
      <c r="B938" s="240"/>
      <c r="C938" s="240"/>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c r="AA938" s="240"/>
      <c r="AB938" s="240"/>
    </row>
    <row r="939">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c r="AB939" s="247"/>
    </row>
    <row r="940">
      <c r="A940" s="240"/>
      <c r="B940" s="240"/>
      <c r="C940" s="240"/>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c r="AA940" s="240"/>
      <c r="AB940" s="240"/>
    </row>
    <row r="94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c r="AB941" s="247"/>
    </row>
    <row r="942">
      <c r="A942" s="240"/>
      <c r="B942" s="240"/>
      <c r="C942" s="240"/>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c r="AA942" s="240"/>
      <c r="AB942" s="240"/>
    </row>
    <row r="943">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c r="AB943" s="247"/>
    </row>
    <row r="944">
      <c r="A944" s="240"/>
      <c r="B944" s="240"/>
      <c r="C944" s="240"/>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c r="AA944" s="240"/>
      <c r="AB944" s="240"/>
    </row>
    <row r="945">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c r="AB945" s="247"/>
    </row>
    <row r="946">
      <c r="A946" s="240"/>
      <c r="B946" s="240"/>
      <c r="C946" s="240"/>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c r="AA946" s="240"/>
      <c r="AB946" s="240"/>
    </row>
    <row r="947">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c r="AB947" s="247"/>
    </row>
    <row r="948">
      <c r="A948" s="240"/>
      <c r="B948" s="240"/>
      <c r="C948" s="240"/>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c r="AA948" s="240"/>
      <c r="AB948" s="240"/>
    </row>
    <row r="949">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c r="AB949" s="247"/>
    </row>
    <row r="950">
      <c r="A950" s="240"/>
      <c r="B950" s="240"/>
      <c r="C950" s="240"/>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c r="AA950" s="240"/>
      <c r="AB950" s="240"/>
    </row>
    <row r="95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c r="AB951" s="247"/>
    </row>
    <row r="952">
      <c r="A952" s="240"/>
      <c r="B952" s="240"/>
      <c r="C952" s="240"/>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c r="AA952" s="240"/>
      <c r="AB952" s="240"/>
    </row>
    <row r="953">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c r="AB953" s="247"/>
    </row>
    <row r="954">
      <c r="A954" s="240"/>
      <c r="B954" s="240"/>
      <c r="C954" s="240"/>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c r="AA954" s="240"/>
      <c r="AB954" s="240"/>
    </row>
    <row r="955">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c r="AB955" s="247"/>
    </row>
    <row r="956">
      <c r="A956" s="240"/>
      <c r="B956" s="240"/>
      <c r="C956" s="240"/>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c r="AA956" s="240"/>
      <c r="AB956" s="240"/>
    </row>
    <row r="957">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c r="AB957" s="247"/>
    </row>
    <row r="958">
      <c r="A958" s="240"/>
      <c r="B958" s="240"/>
      <c r="C958" s="240"/>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c r="AA958" s="240"/>
      <c r="AB958" s="240"/>
    </row>
    <row r="959">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c r="AB959" s="247"/>
    </row>
    <row r="960">
      <c r="A960" s="240"/>
      <c r="B960" s="240"/>
      <c r="C960" s="240"/>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c r="AA960" s="240"/>
      <c r="AB960" s="240"/>
    </row>
    <row r="96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c r="AB961" s="247"/>
    </row>
    <row r="962">
      <c r="A962" s="240"/>
      <c r="B962" s="240"/>
      <c r="C962" s="240"/>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c r="AA962" s="240"/>
      <c r="AB962" s="240"/>
    </row>
    <row r="963">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c r="AB963" s="247"/>
    </row>
    <row r="964">
      <c r="A964" s="240"/>
      <c r="B964" s="240"/>
      <c r="C964" s="240"/>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c r="AA964" s="240"/>
      <c r="AB964" s="240"/>
    </row>
    <row r="965">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c r="AB965" s="247"/>
    </row>
    <row r="966">
      <c r="A966" s="240"/>
      <c r="B966" s="240"/>
      <c r="C966" s="240"/>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c r="AA966" s="240"/>
      <c r="AB966" s="240"/>
    </row>
    <row r="967">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c r="AB967" s="247"/>
    </row>
    <row r="968">
      <c r="A968" s="240"/>
      <c r="B968" s="240"/>
      <c r="C968" s="240"/>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c r="AA968" s="240"/>
      <c r="AB968" s="240"/>
    </row>
    <row r="969">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c r="AB969" s="247"/>
    </row>
    <row r="970">
      <c r="A970" s="240"/>
      <c r="B970" s="240"/>
      <c r="C970" s="240"/>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c r="AA970" s="240"/>
      <c r="AB970" s="240"/>
    </row>
    <row r="97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c r="AB971" s="247"/>
    </row>
    <row r="972">
      <c r="A972" s="240"/>
      <c r="B972" s="240"/>
      <c r="C972" s="240"/>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c r="AA972" s="240"/>
      <c r="AB972" s="240"/>
    </row>
    <row r="973">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c r="AB973" s="247"/>
    </row>
    <row r="974">
      <c r="A974" s="240"/>
      <c r="B974" s="240"/>
      <c r="C974" s="240"/>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c r="AA974" s="240"/>
      <c r="AB974" s="240"/>
    </row>
    <row r="975">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c r="AB975" s="247"/>
    </row>
    <row r="976">
      <c r="A976" s="240"/>
      <c r="B976" s="240"/>
      <c r="C976" s="240"/>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c r="AA976" s="240"/>
      <c r="AB976" s="240"/>
    </row>
    <row r="977">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c r="AB977" s="247"/>
    </row>
    <row r="978">
      <c r="A978" s="240"/>
      <c r="B978" s="240"/>
      <c r="C978" s="240"/>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c r="AA978" s="240"/>
      <c r="AB978" s="240"/>
    </row>
    <row r="979">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c r="AB979" s="247"/>
    </row>
    <row r="980">
      <c r="A980" s="240"/>
      <c r="B980" s="240"/>
      <c r="C980" s="240"/>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c r="AA980" s="240"/>
      <c r="AB980" s="240"/>
    </row>
    <row r="98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c r="AB981" s="247"/>
    </row>
    <row r="982">
      <c r="A982" s="240"/>
      <c r="B982" s="240"/>
      <c r="C982" s="240"/>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c r="AA982" s="240"/>
      <c r="AB982" s="240"/>
    </row>
    <row r="983">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c r="AB983" s="247"/>
    </row>
    <row r="984">
      <c r="A984" s="240"/>
      <c r="B984" s="240"/>
      <c r="C984" s="240"/>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c r="AA984" s="240"/>
      <c r="AB984" s="240"/>
    </row>
    <row r="985">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c r="AB985" s="247"/>
    </row>
    <row r="986">
      <c r="A986" s="240"/>
      <c r="B986" s="240"/>
      <c r="C986" s="240"/>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c r="AA986" s="240"/>
      <c r="AB986" s="240"/>
    </row>
    <row r="987">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c r="AB987" s="247"/>
    </row>
    <row r="988">
      <c r="A988" s="240"/>
      <c r="B988" s="240"/>
      <c r="C988" s="240"/>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c r="AA988" s="240"/>
      <c r="AB988" s="240"/>
    </row>
    <row r="989">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c r="AB989" s="247"/>
    </row>
    <row r="990">
      <c r="A990" s="240"/>
      <c r="B990" s="240"/>
      <c r="C990" s="240"/>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c r="AA990" s="240"/>
      <c r="AB990" s="240"/>
    </row>
    <row r="99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c r="AB991" s="247"/>
    </row>
    <row r="992">
      <c r="A992" s="240"/>
      <c r="B992" s="240"/>
      <c r="C992" s="240"/>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c r="AA992" s="240"/>
      <c r="AB992" s="240"/>
    </row>
    <row r="993">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c r="AB993" s="247"/>
    </row>
    <row r="994">
      <c r="A994" s="240"/>
      <c r="B994" s="240"/>
      <c r="C994" s="240"/>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c r="AA994" s="240"/>
      <c r="AB994" s="240"/>
    </row>
    <row r="995">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c r="AB995" s="247"/>
    </row>
    <row r="996">
      <c r="A996" s="240"/>
      <c r="B996" s="240"/>
      <c r="C996" s="240"/>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c r="AA996" s="240"/>
      <c r="AB996" s="240"/>
    </row>
    <row r="997">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c r="AB997" s="247"/>
    </row>
    <row r="998">
      <c r="A998" s="240"/>
      <c r="B998" s="240"/>
      <c r="C998" s="240"/>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c r="AA998" s="240"/>
      <c r="AB998" s="240"/>
    </row>
    <row r="999">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c r="AB999" s="247"/>
    </row>
    <row r="1000">
      <c r="A1000" s="240"/>
      <c r="B1000" s="240"/>
      <c r="C1000" s="240"/>
      <c r="D1000" s="240"/>
      <c r="E1000" s="240"/>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c r="AA1000" s="240"/>
      <c r="AB1000" s="240"/>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s>
  <drawing r:id="rId178"/>
  <legacyDrawing r:id="rId17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7.75"/>
    <col customWidth="1" min="2" max="2" width="22.13"/>
    <col customWidth="1" min="3" max="3" width="17.5"/>
    <col customWidth="1" min="4" max="4" width="16.88"/>
  </cols>
  <sheetData>
    <row r="1">
      <c r="A1" s="264" t="s">
        <v>1736</v>
      </c>
      <c r="B1" s="265" t="s">
        <v>1737</v>
      </c>
      <c r="C1" s="265" t="s">
        <v>1738</v>
      </c>
      <c r="D1" s="265" t="s">
        <v>1739</v>
      </c>
      <c r="E1" s="265" t="s">
        <v>1740</v>
      </c>
      <c r="F1" s="265">
        <v>2024.0</v>
      </c>
      <c r="G1" s="266" t="s">
        <v>1741</v>
      </c>
      <c r="H1" s="265" t="s">
        <v>1737</v>
      </c>
      <c r="I1" s="265" t="s">
        <v>1738</v>
      </c>
      <c r="J1" s="265" t="s">
        <v>1739</v>
      </c>
      <c r="K1" s="265" t="s">
        <v>1740</v>
      </c>
      <c r="L1" s="265">
        <v>2024.0</v>
      </c>
    </row>
    <row r="2">
      <c r="A2" s="267" t="s">
        <v>1742</v>
      </c>
      <c r="B2" s="268">
        <f>sumifs(Loads!$Q$2:$Q$83,Loads!$N$2:$N$83,"&gt;=1/1/2024",Loads!$N$2:$N$83,"&lt;=3/30/2024")</f>
        <v>80.77</v>
      </c>
      <c r="C2" s="268">
        <f>sumifs(Loads!$Q$2:$Q$83,Loads!$N$2:$N$83,"&gt;=4/1/2024",Loads!$N$2:$N$83,"&lt;=6/30/2024")</f>
        <v>889.6</v>
      </c>
      <c r="D2" s="268">
        <f>sumifs(Loads!$Q$2:$Q$83,Loads!$N$2:$N$83,"&gt;=7/1/2024",Loads!$N$2:$N$83,"&lt;=9/30/2024")</f>
        <v>642.19</v>
      </c>
      <c r="E2" s="268">
        <f>sumifs(Loads!$Q$2:$Q$83,Loads!$N$2:$N$83,"&gt;=10/1/2024",Loads!$N$2:$N$83,"&lt;=12/31/2024")</f>
        <v>1108.76</v>
      </c>
      <c r="F2" s="268">
        <f t="shared" ref="F2:F3" si="2">sum(B2:E2)</f>
        <v>2721.32</v>
      </c>
      <c r="G2" s="269">
        <f>F2-sum(Loads!Q2:Q83)</f>
        <v>0</v>
      </c>
      <c r="H2" s="270">
        <f t="shared" ref="H2:L2" si="1">B2/$F$2</f>
        <v>0.02968044919</v>
      </c>
      <c r="I2" s="270">
        <f t="shared" si="1"/>
        <v>0.3269001808</v>
      </c>
      <c r="J2" s="270">
        <f t="shared" si="1"/>
        <v>0.2359847427</v>
      </c>
      <c r="K2" s="270">
        <f t="shared" si="1"/>
        <v>0.4074346273</v>
      </c>
      <c r="L2" s="270">
        <f t="shared" si="1"/>
        <v>1</v>
      </c>
    </row>
    <row r="3" outlineLevel="1">
      <c r="A3" s="271" t="s">
        <v>1743</v>
      </c>
      <c r="B3" s="272">
        <f>sumifs(Loads!$Q$2:$Q$83,Loads!$N$2:$N$83,"&gt;=1/1/2024",Loads!$N$2:$N$83,"&lt;=3/30/2024",Loads!$I$2:$I$83,"truck")</f>
        <v>80.77</v>
      </c>
      <c r="C3" s="272">
        <f>sumifs(Loads!$Q$2:$Q$83,Loads!$N$2:$N$83,"&gt;=4/1/2024",Loads!$N$2:$N$83,"&lt;=6/30/2024",Loads!$I$2:$I$83,"truck")</f>
        <v>493.59</v>
      </c>
      <c r="D3" s="272">
        <f>sumifs(Loads!$Q$2:$Q$83,Loads!$N$2:$N$83,"&gt;=7/1/2024",Loads!$N$2:$N$83,"&lt;=9/30/2024",Loads!$I$2:$I$83,"truck")</f>
        <v>0</v>
      </c>
      <c r="E3" s="272">
        <f>sumifs(Loads!$Q$2:$Q$83,Loads!$N$2:$N$83,"&gt;=10/1/2024",Loads!$N$2:$N$83,"&lt;=12/31/2024",Loads!$I$2:$I$83,"truck")</f>
        <v>710.33</v>
      </c>
      <c r="F3" s="272">
        <f t="shared" si="2"/>
        <v>1284.69</v>
      </c>
      <c r="G3" s="273">
        <f>F3-sumifs(Loads!Q2:Q83,Loads!I2:I83,"truck")</f>
        <v>0</v>
      </c>
      <c r="H3" s="270">
        <f t="shared" ref="H3:L3" si="3">B3/$F$3</f>
        <v>0.0628711985</v>
      </c>
      <c r="I3" s="270">
        <f t="shared" si="3"/>
        <v>0.3842094202</v>
      </c>
      <c r="J3" s="270">
        <f t="shared" si="3"/>
        <v>0</v>
      </c>
      <c r="K3" s="270">
        <f t="shared" si="3"/>
        <v>0.5529193813</v>
      </c>
      <c r="L3" s="270">
        <f t="shared" si="3"/>
        <v>1</v>
      </c>
    </row>
    <row r="4" outlineLevel="1">
      <c r="A4" s="274"/>
      <c r="B4" s="275">
        <f t="shared" ref="B4:F4" si="4">B3/B2</f>
        <v>1</v>
      </c>
      <c r="C4" s="275">
        <f t="shared" si="4"/>
        <v>0.5548448741</v>
      </c>
      <c r="D4" s="275">
        <f t="shared" si="4"/>
        <v>0</v>
      </c>
      <c r="E4" s="275">
        <f t="shared" si="4"/>
        <v>0.6406526209</v>
      </c>
      <c r="F4" s="275">
        <f t="shared" si="4"/>
        <v>0.4720834007</v>
      </c>
      <c r="G4" s="274"/>
      <c r="H4" s="270"/>
      <c r="I4" s="270"/>
      <c r="J4" s="270"/>
      <c r="K4" s="270"/>
      <c r="L4" s="270"/>
    </row>
    <row r="5" outlineLevel="1">
      <c r="A5" s="271" t="s">
        <v>1744</v>
      </c>
      <c r="B5" s="272">
        <f>sumifs(Loads!$Q$2:$Q$83,Loads!$N$2:$N$83,"&gt;=1/1/2024",Loads!$N$2:$N$83,"&lt;=3/30/2024",Loads!$I$2:$I$83,"train")</f>
        <v>0</v>
      </c>
      <c r="C5" s="272">
        <f>sumifs(Loads!$Q$2:$Q$83,Loads!$N$2:$N$83,"&gt;=4/1/2024",Loads!$N$2:$N$83,"&lt;=6/30/2024",Loads!$I$2:$I$83,"train")</f>
        <v>396.01</v>
      </c>
      <c r="D5" s="272">
        <f>sumifs(Loads!$Q$2:$Q$83,Loads!$N$2:$N$83,"&gt;=7/1/2024",Loads!$N$2:$N$83,"&lt;=9/30/2024",Loads!$I$2:$I$83,"train")</f>
        <v>642.19</v>
      </c>
      <c r="E5" s="272">
        <f>sumifs(Loads!$Q$2:$Q$83,Loads!$N$2:$N$83,"&gt;=10/1/2024",Loads!$N$2:$N$83,"&lt;=12/31/2024",Loads!$I$2:$I$83,"train")</f>
        <v>398.43</v>
      </c>
      <c r="F5" s="272">
        <f>sum(B5:E5)</f>
        <v>1436.63</v>
      </c>
      <c r="G5" s="276">
        <f>F5-sumifs(Loads!Q3:Q84,Loads!I3:I84,"train")</f>
        <v>0</v>
      </c>
      <c r="H5" s="270">
        <f t="shared" ref="H5:L5" si="5">B5/$F$5</f>
        <v>0</v>
      </c>
      <c r="I5" s="270">
        <f t="shared" si="5"/>
        <v>0.2756520468</v>
      </c>
      <c r="J5" s="270">
        <f t="shared" si="5"/>
        <v>0.4470114086</v>
      </c>
      <c r="K5" s="270">
        <f t="shared" si="5"/>
        <v>0.2773365446</v>
      </c>
      <c r="L5" s="270">
        <f t="shared" si="5"/>
        <v>1</v>
      </c>
    </row>
    <row r="6" outlineLevel="1">
      <c r="B6" s="275">
        <f t="shared" ref="B6:F6" si="6">B5/B2</f>
        <v>0</v>
      </c>
      <c r="C6" s="275">
        <f t="shared" si="6"/>
        <v>0.4451551259</v>
      </c>
      <c r="D6" s="275">
        <f t="shared" si="6"/>
        <v>1</v>
      </c>
      <c r="E6" s="275">
        <f t="shared" si="6"/>
        <v>0.3593473791</v>
      </c>
      <c r="F6" s="275">
        <f t="shared" si="6"/>
        <v>0.5279165993</v>
      </c>
      <c r="G6" s="274"/>
    </row>
    <row r="8">
      <c r="A8" s="264" t="s">
        <v>1745</v>
      </c>
      <c r="B8" s="265" t="s">
        <v>1737</v>
      </c>
      <c r="C8" s="265" t="s">
        <v>1738</v>
      </c>
      <c r="D8" s="265" t="s">
        <v>1739</v>
      </c>
      <c r="E8" s="265" t="s">
        <v>1740</v>
      </c>
      <c r="F8" s="265">
        <v>2024.0</v>
      </c>
    </row>
    <row r="9">
      <c r="A9" s="267" t="s">
        <v>1742</v>
      </c>
      <c r="B9" s="277"/>
      <c r="C9" s="277"/>
      <c r="D9" s="277"/>
      <c r="E9" s="277"/>
      <c r="F9" s="268">
        <v>7440.0</v>
      </c>
    </row>
    <row r="10">
      <c r="F10" s="278">
        <f>F2/F9</f>
        <v>0.3657688172</v>
      </c>
    </row>
    <row r="11">
      <c r="F11" s="279">
        <f>B19-F9</f>
        <v>-4718.68</v>
      </c>
    </row>
    <row r="12">
      <c r="A12" s="1" t="s">
        <v>1746</v>
      </c>
      <c r="B12" s="1">
        <v>16.0</v>
      </c>
      <c r="C12" s="1" t="s">
        <v>1747</v>
      </c>
      <c r="F12" s="174"/>
    </row>
    <row r="13">
      <c r="A13" s="1" t="s">
        <v>1748</v>
      </c>
      <c r="B13" s="1">
        <v>64.0</v>
      </c>
    </row>
    <row r="14">
      <c r="A14" s="280" t="s">
        <v>1749</v>
      </c>
      <c r="B14" s="280" t="s">
        <v>1750</v>
      </c>
      <c r="C14" s="280" t="s">
        <v>1743</v>
      </c>
      <c r="D14" s="280" t="s">
        <v>1744</v>
      </c>
      <c r="E14" s="280" t="s">
        <v>1751</v>
      </c>
    </row>
    <row r="15">
      <c r="A15" s="4" t="s">
        <v>1752</v>
      </c>
      <c r="B15" s="279">
        <f>sumifs(Loads!$Q$2:$Q$83,Loads!$N$2:$N$83,"&gt;=1/1/2024",Loads!$N$2:$N$83,"&lt;=3/30/2024")</f>
        <v>80.77</v>
      </c>
      <c r="C15" s="278">
        <f>B4</f>
        <v>1</v>
      </c>
      <c r="D15" s="278">
        <f>B6</f>
        <v>0</v>
      </c>
      <c r="E15" s="1">
        <v>0.0</v>
      </c>
    </row>
    <row r="16">
      <c r="A16" s="4" t="s">
        <v>1753</v>
      </c>
      <c r="B16" s="279">
        <f>sumifs(Loads!$Q$2:$Q$83,Loads!$N$2:$N$83,"&gt;=4/1/2024",Loads!$N$2:$N$83,"&lt;=6/30/2024")</f>
        <v>889.6</v>
      </c>
      <c r="C16" s="278">
        <f>C4</f>
        <v>0.5548448741</v>
      </c>
      <c r="D16" s="278">
        <f>C6</f>
        <v>0.4451551259</v>
      </c>
      <c r="E16" s="1">
        <v>5.0</v>
      </c>
    </row>
    <row r="17">
      <c r="A17" s="4" t="s">
        <v>1754</v>
      </c>
      <c r="B17" s="279">
        <f>sumifs(Loads!$Q$2:$Q$83,Loads!$N$2:$N$83,"&gt;=7/1/2024",Loads!$N$2:$N$83,"&lt;=9/30/2024")</f>
        <v>642.19</v>
      </c>
      <c r="C17" s="278">
        <f>D3</f>
        <v>0</v>
      </c>
      <c r="D17" s="278">
        <f>D6</f>
        <v>1</v>
      </c>
      <c r="E17" s="1">
        <v>12.0</v>
      </c>
    </row>
    <row r="18">
      <c r="A18" s="4" t="s">
        <v>1755</v>
      </c>
      <c r="B18" s="279">
        <f>sumifs(Loads!$Q$2:$Q$83,Loads!$N$2:$N$83,"&gt;=10/1/2024",Loads!$N$2:$N$83,"&lt;=12/31/2024")</f>
        <v>1108.76</v>
      </c>
      <c r="C18" s="278">
        <f>E4</f>
        <v>0.6406526209</v>
      </c>
      <c r="D18" s="278">
        <f>E6</f>
        <v>0.3593473791</v>
      </c>
      <c r="E18" s="1">
        <v>12.0</v>
      </c>
    </row>
    <row r="19">
      <c r="A19" s="265">
        <v>2024.0</v>
      </c>
      <c r="B19" s="281">
        <f>sum(B15:B18)</f>
        <v>2721.32</v>
      </c>
      <c r="C19" s="282">
        <f>F4</f>
        <v>0.4720834007</v>
      </c>
      <c r="D19" s="282">
        <f>F6</f>
        <v>0.5279165993</v>
      </c>
    </row>
    <row r="21">
      <c r="A21" s="280" t="s">
        <v>1756</v>
      </c>
      <c r="B21" s="283" t="s">
        <v>1757</v>
      </c>
      <c r="C21" s="283" t="s">
        <v>1758</v>
      </c>
      <c r="D21" s="283" t="s">
        <v>1759</v>
      </c>
      <c r="E21" s="283" t="s">
        <v>1760</v>
      </c>
      <c r="F21" s="283" t="s">
        <v>1761</v>
      </c>
      <c r="G21" s="283" t="s">
        <v>1762</v>
      </c>
    </row>
    <row r="22">
      <c r="A22" s="1" t="s">
        <v>1743</v>
      </c>
      <c r="B22" s="284">
        <f>averageifs(Loads!Q2:Q83,Loads!I2:I83, "truck")</f>
        <v>20.39190476</v>
      </c>
      <c r="C22" s="1">
        <v>4.0</v>
      </c>
      <c r="D22" s="1">
        <v>3.0</v>
      </c>
      <c r="E22" s="1">
        <v>64.0</v>
      </c>
      <c r="F22" s="285">
        <v>18197.0</v>
      </c>
      <c r="G22" s="285">
        <v>887.0</v>
      </c>
    </row>
    <row r="23">
      <c r="A23" s="1" t="s">
        <v>1744</v>
      </c>
      <c r="B23" s="284">
        <f>averageifs(Loads!Q2:Q83,Loads!I2:I83, "train")</f>
        <v>79.81277778</v>
      </c>
      <c r="C23" s="1">
        <v>29.0</v>
      </c>
      <c r="D23" s="1">
        <v>14.0</v>
      </c>
      <c r="E23" s="1">
        <v>16.0</v>
      </c>
      <c r="F23" s="285">
        <v>25501.0</v>
      </c>
      <c r="G23" s="285">
        <v>319.0</v>
      </c>
    </row>
    <row r="25">
      <c r="A25" s="82" t="s">
        <v>1763</v>
      </c>
      <c r="B25" s="82" t="s">
        <v>1764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6" t="str">
        <f t="array" ref="A1:A33">UNIQUE(Loads!D2:D71)</f>
        <v>RS2-240221</v>
      </c>
    </row>
    <row r="2">
      <c r="A2" s="286" t="s">
        <v>89</v>
      </c>
    </row>
    <row r="3">
      <c r="A3" s="286" t="s">
        <v>95</v>
      </c>
    </row>
    <row r="4">
      <c r="A4" s="286" t="s">
        <v>99</v>
      </c>
    </row>
    <row r="5">
      <c r="A5" s="286" t="s">
        <v>104</v>
      </c>
    </row>
    <row r="6">
      <c r="A6" s="286" t="s">
        <v>110</v>
      </c>
    </row>
    <row r="7">
      <c r="A7" s="286" t="s">
        <v>115</v>
      </c>
    </row>
    <row r="8">
      <c r="A8" s="286" t="s">
        <v>122</v>
      </c>
    </row>
    <row r="9">
      <c r="A9" s="286" t="s">
        <v>126</v>
      </c>
    </row>
    <row r="10">
      <c r="A10" s="286" t="s">
        <v>152</v>
      </c>
    </row>
    <row r="11">
      <c r="A11" s="286" t="s">
        <v>163</v>
      </c>
    </row>
    <row r="12">
      <c r="A12" s="286" t="s">
        <v>168</v>
      </c>
    </row>
    <row r="13">
      <c r="A13" s="286" t="s">
        <v>173</v>
      </c>
    </row>
    <row r="14">
      <c r="A14" s="286" t="s">
        <v>176</v>
      </c>
    </row>
    <row r="15">
      <c r="A15" s="286" t="s">
        <v>181</v>
      </c>
    </row>
    <row r="16">
      <c r="A16" s="286" t="s">
        <v>185</v>
      </c>
    </row>
    <row r="17">
      <c r="A17" s="90" t="s">
        <v>1765</v>
      </c>
    </row>
    <row r="18">
      <c r="A18" s="286" t="s">
        <v>194</v>
      </c>
    </row>
    <row r="19">
      <c r="A19" s="286" t="s">
        <v>198</v>
      </c>
    </row>
    <row r="20">
      <c r="A20" s="286" t="s">
        <v>202</v>
      </c>
    </row>
    <row r="21">
      <c r="A21" s="90" t="s">
        <v>1766</v>
      </c>
    </row>
    <row r="22">
      <c r="A22" s="90" t="s">
        <v>1767</v>
      </c>
    </row>
    <row r="23">
      <c r="A23" s="90" t="s">
        <v>1768</v>
      </c>
    </row>
    <row r="24">
      <c r="A24" s="286" t="s">
        <v>217</v>
      </c>
    </row>
    <row r="25">
      <c r="A25" s="286" t="s">
        <v>219</v>
      </c>
    </row>
    <row r="26">
      <c r="A26" s="286" t="s">
        <v>223</v>
      </c>
    </row>
    <row r="27">
      <c r="A27" s="90" t="s">
        <v>228</v>
      </c>
    </row>
    <row r="28">
      <c r="A28" s="286" t="s">
        <v>230</v>
      </c>
    </row>
    <row r="29">
      <c r="A29" s="286" t="s">
        <v>232</v>
      </c>
    </row>
    <row r="30">
      <c r="A30" s="286" t="s">
        <v>244</v>
      </c>
    </row>
    <row r="31">
      <c r="A31" s="286" t="s">
        <v>249</v>
      </c>
    </row>
    <row r="32">
      <c r="A32" s="286" t="s">
        <v>260</v>
      </c>
    </row>
    <row r="33">
      <c r="A33" s="286" t="s">
        <v>266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6.13"/>
  </cols>
  <sheetData>
    <row r="1">
      <c r="C1" s="1" t="s">
        <v>1769</v>
      </c>
      <c r="D1" s="287" t="s">
        <v>1770</v>
      </c>
      <c r="G1" s="1" t="s">
        <v>1771</v>
      </c>
    </row>
    <row r="2">
      <c r="B2" s="1" t="s">
        <v>20</v>
      </c>
      <c r="C2" s="1">
        <v>400.0</v>
      </c>
      <c r="D2" s="287" t="s">
        <v>1772</v>
      </c>
      <c r="E2" s="1" t="s">
        <v>1773</v>
      </c>
      <c r="F2" s="90">
        <f>SUM(C2:C4)</f>
        <v>1200</v>
      </c>
      <c r="G2" s="1">
        <f t="shared" ref="G2:G5" si="1">F2/3</f>
        <v>400</v>
      </c>
      <c r="H2" s="1">
        <v>1.0</v>
      </c>
      <c r="I2" s="285">
        <v>305.0</v>
      </c>
      <c r="J2" s="1"/>
      <c r="K2" s="1" t="s">
        <v>1774</v>
      </c>
    </row>
    <row r="3">
      <c r="B3" s="1" t="s">
        <v>21</v>
      </c>
      <c r="C3" s="1">
        <v>400.0</v>
      </c>
      <c r="D3" s="287"/>
      <c r="E3" s="1" t="s">
        <v>1775</v>
      </c>
      <c r="F3" s="90">
        <f>SUM(C5:C7)</f>
        <v>1800</v>
      </c>
      <c r="G3" s="1">
        <f t="shared" si="1"/>
        <v>600</v>
      </c>
      <c r="H3" s="1">
        <v>2.0</v>
      </c>
      <c r="I3" s="285">
        <f t="shared" ref="I3:I4" si="2">I2*0.95</f>
        <v>289.75</v>
      </c>
    </row>
    <row r="4">
      <c r="B4" s="1" t="s">
        <v>22</v>
      </c>
      <c r="C4" s="1">
        <v>400.0</v>
      </c>
      <c r="D4" s="287"/>
      <c r="E4" s="1" t="s">
        <v>1776</v>
      </c>
      <c r="F4" s="90">
        <f>SUM(C8:C10)</f>
        <v>4800</v>
      </c>
      <c r="G4" s="1">
        <f t="shared" si="1"/>
        <v>1600</v>
      </c>
      <c r="H4" s="1">
        <v>3.0</v>
      </c>
      <c r="I4" s="285">
        <f t="shared" si="2"/>
        <v>275.2625</v>
      </c>
      <c r="J4" s="1"/>
      <c r="K4" s="1" t="s">
        <v>1777</v>
      </c>
    </row>
    <row r="5">
      <c r="B5" s="1" t="s">
        <v>23</v>
      </c>
      <c r="C5" s="1">
        <v>600.0</v>
      </c>
      <c r="D5" s="287" t="s">
        <v>1778</v>
      </c>
      <c r="E5" s="1" t="s">
        <v>1779</v>
      </c>
      <c r="F5" s="90">
        <f>SUM(C11:C13)</f>
        <v>6000</v>
      </c>
      <c r="G5" s="1">
        <f t="shared" si="1"/>
        <v>2000</v>
      </c>
      <c r="H5" s="1">
        <v>3.0</v>
      </c>
      <c r="I5" s="285">
        <v>275.0</v>
      </c>
      <c r="J5" s="1"/>
      <c r="K5" s="1" t="s">
        <v>1780</v>
      </c>
    </row>
    <row r="6">
      <c r="B6" s="1" t="s">
        <v>24</v>
      </c>
      <c r="C6" s="1">
        <v>600.0</v>
      </c>
      <c r="D6" s="287"/>
      <c r="F6" s="7">
        <f>SUM(F2:F5)</f>
        <v>13800</v>
      </c>
    </row>
    <row r="7">
      <c r="B7" s="1" t="s">
        <v>25</v>
      </c>
      <c r="C7" s="1">
        <v>600.0</v>
      </c>
      <c r="D7" s="287"/>
      <c r="J7" s="1"/>
      <c r="K7" s="1" t="s">
        <v>1781</v>
      </c>
    </row>
    <row r="8">
      <c r="B8" s="1" t="s">
        <v>26</v>
      </c>
      <c r="C8" s="1">
        <v>1600.0</v>
      </c>
      <c r="D8" s="287" t="s">
        <v>1782</v>
      </c>
      <c r="J8" s="1"/>
      <c r="K8" s="1" t="s">
        <v>1783</v>
      </c>
    </row>
    <row r="9">
      <c r="B9" s="1" t="s">
        <v>27</v>
      </c>
      <c r="C9" s="1">
        <v>1600.0</v>
      </c>
      <c r="D9" s="287"/>
    </row>
    <row r="10">
      <c r="B10" s="1" t="s">
        <v>28</v>
      </c>
      <c r="C10" s="1">
        <v>1600.0</v>
      </c>
      <c r="D10" s="287"/>
      <c r="J10" s="1"/>
      <c r="K10" s="1" t="s">
        <v>1784</v>
      </c>
    </row>
    <row r="11">
      <c r="B11" s="1" t="s">
        <v>29</v>
      </c>
      <c r="C11" s="1">
        <v>2000.0</v>
      </c>
      <c r="D11" s="287" t="s">
        <v>1785</v>
      </c>
      <c r="J11" s="1"/>
      <c r="K11" s="1" t="s">
        <v>1786</v>
      </c>
    </row>
    <row r="12">
      <c r="B12" s="1" t="s">
        <v>30</v>
      </c>
      <c r="C12" s="1">
        <v>2000.0</v>
      </c>
      <c r="D12" s="288"/>
    </row>
    <row r="13">
      <c r="B13" s="1" t="s">
        <v>31</v>
      </c>
      <c r="C13" s="1">
        <v>2000.0</v>
      </c>
      <c r="D13" s="288"/>
      <c r="J13" s="1"/>
      <c r="K13" s="1" t="s">
        <v>1787</v>
      </c>
    </row>
    <row r="14">
      <c r="D14" s="288"/>
      <c r="J14" s="1"/>
      <c r="K14" s="1" t="s">
        <v>1788</v>
      </c>
    </row>
    <row r="15">
      <c r="D15" s="288"/>
    </row>
    <row r="16">
      <c r="D16" s="288"/>
    </row>
    <row r="17">
      <c r="D17" s="288"/>
    </row>
    <row r="18">
      <c r="D18" s="288"/>
    </row>
    <row r="19">
      <c r="D19" s="288"/>
    </row>
    <row r="20">
      <c r="D20" s="288"/>
    </row>
    <row r="21">
      <c r="D21" s="288"/>
    </row>
    <row r="22">
      <c r="D22" s="288"/>
    </row>
    <row r="23">
      <c r="D23" s="288"/>
    </row>
    <row r="24">
      <c r="D24" s="288"/>
    </row>
    <row r="25">
      <c r="D25" s="288"/>
    </row>
    <row r="26">
      <c r="D26" s="288"/>
    </row>
    <row r="27">
      <c r="D27" s="288"/>
    </row>
    <row r="28">
      <c r="D28" s="288"/>
    </row>
    <row r="29">
      <c r="D29" s="288"/>
    </row>
    <row r="30">
      <c r="D30" s="288"/>
    </row>
    <row r="31">
      <c r="D31" s="288"/>
    </row>
    <row r="32">
      <c r="D32" s="288"/>
    </row>
    <row r="33">
      <c r="D33" s="288"/>
    </row>
    <row r="34">
      <c r="D34" s="288"/>
    </row>
    <row r="35">
      <c r="D35" s="288"/>
    </row>
    <row r="36">
      <c r="D36" s="288"/>
    </row>
    <row r="37">
      <c r="D37" s="288"/>
    </row>
    <row r="38">
      <c r="D38" s="288"/>
    </row>
    <row r="39">
      <c r="D39" s="288"/>
    </row>
    <row r="40">
      <c r="D40" s="288"/>
    </row>
    <row r="41">
      <c r="D41" s="288"/>
    </row>
    <row r="42">
      <c r="D42" s="288"/>
    </row>
    <row r="43">
      <c r="D43" s="288"/>
    </row>
    <row r="44">
      <c r="D44" s="288"/>
    </row>
    <row r="45">
      <c r="D45" s="288"/>
    </row>
    <row r="46">
      <c r="D46" s="288"/>
    </row>
    <row r="47">
      <c r="D47" s="288"/>
    </row>
    <row r="48">
      <c r="D48" s="288"/>
    </row>
    <row r="49">
      <c r="D49" s="288"/>
    </row>
    <row r="50">
      <c r="D50" s="288"/>
    </row>
    <row r="51">
      <c r="D51" s="288"/>
    </row>
    <row r="52">
      <c r="D52" s="288"/>
    </row>
    <row r="53">
      <c r="D53" s="288"/>
    </row>
    <row r="54">
      <c r="D54" s="288"/>
    </row>
    <row r="55">
      <c r="D55" s="288"/>
    </row>
    <row r="56">
      <c r="D56" s="288"/>
    </row>
    <row r="57">
      <c r="D57" s="288"/>
    </row>
    <row r="58">
      <c r="D58" s="288"/>
    </row>
    <row r="59">
      <c r="D59" s="288"/>
    </row>
    <row r="60">
      <c r="D60" s="288"/>
    </row>
    <row r="61">
      <c r="D61" s="288"/>
    </row>
    <row r="62">
      <c r="D62" s="288"/>
    </row>
    <row r="63">
      <c r="D63" s="288"/>
    </row>
    <row r="64">
      <c r="D64" s="288"/>
    </row>
    <row r="65">
      <c r="D65" s="288"/>
    </row>
    <row r="66">
      <c r="D66" s="288"/>
    </row>
    <row r="67">
      <c r="D67" s="288"/>
    </row>
    <row r="68">
      <c r="D68" s="288"/>
    </row>
    <row r="69">
      <c r="D69" s="288"/>
    </row>
    <row r="70">
      <c r="D70" s="288"/>
    </row>
    <row r="71">
      <c r="D71" s="288"/>
    </row>
    <row r="72">
      <c r="D72" s="288"/>
    </row>
    <row r="73">
      <c r="D73" s="288"/>
    </row>
    <row r="74">
      <c r="D74" s="288"/>
    </row>
    <row r="75">
      <c r="D75" s="288"/>
    </row>
    <row r="76">
      <c r="D76" s="288"/>
    </row>
    <row r="77">
      <c r="D77" s="288"/>
    </row>
    <row r="78">
      <c r="D78" s="288"/>
    </row>
    <row r="79">
      <c r="D79" s="288"/>
    </row>
    <row r="80">
      <c r="D80" s="288"/>
    </row>
    <row r="81">
      <c r="D81" s="288"/>
    </row>
    <row r="82">
      <c r="D82" s="288"/>
    </row>
    <row r="83">
      <c r="D83" s="288"/>
    </row>
    <row r="84">
      <c r="D84" s="288"/>
    </row>
    <row r="85">
      <c r="D85" s="288"/>
    </row>
    <row r="86">
      <c r="D86" s="288"/>
    </row>
    <row r="87">
      <c r="D87" s="288"/>
    </row>
    <row r="88">
      <c r="D88" s="288"/>
    </row>
    <row r="89">
      <c r="D89" s="288"/>
    </row>
    <row r="90">
      <c r="D90" s="288"/>
    </row>
    <row r="91">
      <c r="D91" s="288"/>
    </row>
    <row r="92">
      <c r="D92" s="288"/>
    </row>
    <row r="93">
      <c r="D93" s="288"/>
    </row>
    <row r="94">
      <c r="D94" s="288"/>
    </row>
    <row r="95">
      <c r="D95" s="288"/>
    </row>
    <row r="96">
      <c r="D96" s="288"/>
    </row>
    <row r="97">
      <c r="D97" s="288"/>
    </row>
    <row r="98">
      <c r="D98" s="288"/>
    </row>
    <row r="99">
      <c r="D99" s="288"/>
    </row>
    <row r="100">
      <c r="D100" s="288"/>
    </row>
    <row r="101">
      <c r="D101" s="288"/>
    </row>
    <row r="102">
      <c r="D102" s="288"/>
    </row>
    <row r="103">
      <c r="D103" s="288"/>
    </row>
    <row r="104">
      <c r="D104" s="288"/>
    </row>
    <row r="105">
      <c r="D105" s="288"/>
    </row>
    <row r="106">
      <c r="D106" s="288"/>
    </row>
    <row r="107">
      <c r="D107" s="288"/>
    </row>
    <row r="108">
      <c r="D108" s="288"/>
    </row>
    <row r="109">
      <c r="D109" s="288"/>
    </row>
    <row r="110">
      <c r="D110" s="288"/>
    </row>
    <row r="111">
      <c r="D111" s="288"/>
    </row>
    <row r="112">
      <c r="D112" s="288"/>
    </row>
    <row r="113">
      <c r="D113" s="288"/>
    </row>
    <row r="114">
      <c r="D114" s="288"/>
    </row>
    <row r="115">
      <c r="D115" s="288"/>
    </row>
    <row r="116">
      <c r="D116" s="288"/>
    </row>
    <row r="117">
      <c r="D117" s="288"/>
    </row>
    <row r="118">
      <c r="D118" s="288"/>
    </row>
    <row r="119">
      <c r="D119" s="288"/>
    </row>
    <row r="120">
      <c r="D120" s="288"/>
    </row>
    <row r="121">
      <c r="D121" s="288"/>
    </row>
    <row r="122">
      <c r="D122" s="288"/>
    </row>
    <row r="123">
      <c r="D123" s="288"/>
    </row>
    <row r="124">
      <c r="D124" s="288"/>
    </row>
    <row r="125">
      <c r="D125" s="288"/>
    </row>
    <row r="126">
      <c r="D126" s="288"/>
    </row>
    <row r="127">
      <c r="D127" s="288"/>
    </row>
    <row r="128">
      <c r="D128" s="288"/>
    </row>
    <row r="129">
      <c r="D129" s="288"/>
    </row>
    <row r="130">
      <c r="D130" s="288"/>
    </row>
    <row r="131">
      <c r="D131" s="288"/>
    </row>
    <row r="132">
      <c r="D132" s="288"/>
    </row>
    <row r="133">
      <c r="D133" s="288"/>
    </row>
    <row r="134">
      <c r="D134" s="288"/>
    </row>
    <row r="135">
      <c r="D135" s="288"/>
    </row>
    <row r="136">
      <c r="D136" s="288"/>
    </row>
    <row r="137">
      <c r="D137" s="288"/>
    </row>
    <row r="138">
      <c r="D138" s="288"/>
    </row>
    <row r="139">
      <c r="D139" s="288"/>
    </row>
    <row r="140">
      <c r="D140" s="288"/>
    </row>
    <row r="141">
      <c r="D141" s="288"/>
    </row>
    <row r="142">
      <c r="D142" s="288"/>
    </row>
    <row r="143">
      <c r="D143" s="288"/>
    </row>
    <row r="144">
      <c r="D144" s="288"/>
    </row>
    <row r="145">
      <c r="D145" s="288"/>
    </row>
    <row r="146">
      <c r="D146" s="288"/>
    </row>
    <row r="147">
      <c r="D147" s="288"/>
    </row>
    <row r="148">
      <c r="D148" s="288"/>
    </row>
    <row r="149">
      <c r="D149" s="288"/>
    </row>
    <row r="150">
      <c r="D150" s="288"/>
    </row>
    <row r="151">
      <c r="D151" s="288"/>
    </row>
    <row r="152">
      <c r="D152" s="288"/>
    </row>
    <row r="153">
      <c r="D153" s="288"/>
    </row>
    <row r="154">
      <c r="D154" s="288"/>
    </row>
    <row r="155">
      <c r="D155" s="288"/>
    </row>
    <row r="156">
      <c r="D156" s="288"/>
    </row>
    <row r="157">
      <c r="D157" s="288"/>
    </row>
    <row r="158">
      <c r="D158" s="288"/>
    </row>
    <row r="159">
      <c r="D159" s="288"/>
    </row>
    <row r="160">
      <c r="D160" s="288"/>
    </row>
    <row r="161">
      <c r="D161" s="288"/>
    </row>
    <row r="162">
      <c r="D162" s="288"/>
    </row>
    <row r="163">
      <c r="D163" s="288"/>
    </row>
    <row r="164">
      <c r="D164" s="288"/>
    </row>
    <row r="165">
      <c r="D165" s="288"/>
    </row>
    <row r="166">
      <c r="D166" s="288"/>
    </row>
    <row r="167">
      <c r="D167" s="288"/>
    </row>
    <row r="168">
      <c r="D168" s="288"/>
    </row>
    <row r="169">
      <c r="D169" s="288"/>
    </row>
    <row r="170">
      <c r="D170" s="288"/>
    </row>
    <row r="171">
      <c r="D171" s="288"/>
    </row>
    <row r="172">
      <c r="D172" s="288"/>
    </row>
    <row r="173">
      <c r="D173" s="288"/>
    </row>
    <row r="174">
      <c r="D174" s="288"/>
    </row>
    <row r="175">
      <c r="D175" s="288"/>
    </row>
    <row r="176">
      <c r="D176" s="288"/>
    </row>
    <row r="177">
      <c r="D177" s="288"/>
    </row>
    <row r="178">
      <c r="D178" s="288"/>
    </row>
    <row r="179">
      <c r="D179" s="288"/>
    </row>
    <row r="180">
      <c r="D180" s="288"/>
    </row>
    <row r="181">
      <c r="D181" s="288"/>
    </row>
    <row r="182">
      <c r="D182" s="288"/>
    </row>
    <row r="183">
      <c r="D183" s="288"/>
    </row>
    <row r="184">
      <c r="D184" s="288"/>
    </row>
    <row r="185">
      <c r="D185" s="288"/>
    </row>
    <row r="186">
      <c r="D186" s="288"/>
    </row>
    <row r="187">
      <c r="D187" s="288"/>
    </row>
    <row r="188">
      <c r="D188" s="288"/>
    </row>
    <row r="189">
      <c r="D189" s="288"/>
    </row>
    <row r="190">
      <c r="D190" s="288"/>
    </row>
    <row r="191">
      <c r="D191" s="288"/>
    </row>
    <row r="192">
      <c r="D192" s="288"/>
    </row>
    <row r="193">
      <c r="D193" s="288"/>
    </row>
    <row r="194">
      <c r="D194" s="288"/>
    </row>
    <row r="195">
      <c r="D195" s="288"/>
    </row>
    <row r="196">
      <c r="D196" s="288"/>
    </row>
    <row r="197">
      <c r="D197" s="288"/>
    </row>
    <row r="198">
      <c r="D198" s="288"/>
    </row>
    <row r="199">
      <c r="D199" s="288"/>
    </row>
    <row r="200">
      <c r="D200" s="288"/>
    </row>
    <row r="201">
      <c r="D201" s="288"/>
    </row>
    <row r="202">
      <c r="D202" s="288"/>
    </row>
    <row r="203">
      <c r="D203" s="288"/>
    </row>
    <row r="204">
      <c r="D204" s="288"/>
    </row>
    <row r="205">
      <c r="D205" s="288"/>
    </row>
    <row r="206">
      <c r="D206" s="288"/>
    </row>
    <row r="207">
      <c r="D207" s="288"/>
    </row>
    <row r="208">
      <c r="D208" s="288"/>
    </row>
    <row r="209">
      <c r="D209" s="288"/>
    </row>
    <row r="210">
      <c r="D210" s="288"/>
    </row>
    <row r="211">
      <c r="D211" s="288"/>
    </row>
    <row r="212">
      <c r="D212" s="288"/>
    </row>
    <row r="213">
      <c r="D213" s="288"/>
    </row>
    <row r="214">
      <c r="D214" s="288"/>
    </row>
    <row r="215">
      <c r="D215" s="288"/>
    </row>
    <row r="216">
      <c r="D216" s="288"/>
    </row>
    <row r="217">
      <c r="D217" s="288"/>
    </row>
    <row r="218">
      <c r="D218" s="288"/>
    </row>
    <row r="219">
      <c r="D219" s="288"/>
    </row>
    <row r="220">
      <c r="D220" s="288"/>
    </row>
    <row r="221">
      <c r="D221" s="288"/>
    </row>
    <row r="222">
      <c r="D222" s="288"/>
    </row>
    <row r="223">
      <c r="D223" s="288"/>
    </row>
    <row r="224">
      <c r="D224" s="288"/>
    </row>
    <row r="225">
      <c r="D225" s="288"/>
    </row>
    <row r="226">
      <c r="D226" s="288"/>
    </row>
    <row r="227">
      <c r="D227" s="288"/>
    </row>
    <row r="228">
      <c r="D228" s="288"/>
    </row>
    <row r="229">
      <c r="D229" s="288"/>
    </row>
    <row r="230">
      <c r="D230" s="288"/>
    </row>
    <row r="231">
      <c r="D231" s="288"/>
    </row>
    <row r="232">
      <c r="D232" s="288"/>
    </row>
    <row r="233">
      <c r="D233" s="288"/>
    </row>
    <row r="234">
      <c r="D234" s="288"/>
    </row>
    <row r="235">
      <c r="D235" s="288"/>
    </row>
    <row r="236">
      <c r="D236" s="288"/>
    </row>
    <row r="237">
      <c r="D237" s="288"/>
    </row>
    <row r="238">
      <c r="D238" s="288"/>
    </row>
    <row r="239">
      <c r="D239" s="288"/>
    </row>
    <row r="240">
      <c r="D240" s="288"/>
    </row>
    <row r="241">
      <c r="D241" s="288"/>
    </row>
    <row r="242">
      <c r="D242" s="288"/>
    </row>
    <row r="243">
      <c r="D243" s="288"/>
    </row>
    <row r="244">
      <c r="D244" s="288"/>
    </row>
    <row r="245">
      <c r="D245" s="288"/>
    </row>
    <row r="246">
      <c r="D246" s="288"/>
    </row>
    <row r="247">
      <c r="D247" s="288"/>
    </row>
    <row r="248">
      <c r="D248" s="288"/>
    </row>
    <row r="249">
      <c r="D249" s="288"/>
    </row>
    <row r="250">
      <c r="D250" s="288"/>
    </row>
    <row r="251">
      <c r="D251" s="288"/>
    </row>
    <row r="252">
      <c r="D252" s="288"/>
    </row>
    <row r="253">
      <c r="D253" s="288"/>
    </row>
    <row r="254">
      <c r="D254" s="288"/>
    </row>
    <row r="255">
      <c r="D255" s="288"/>
    </row>
    <row r="256">
      <c r="D256" s="288"/>
    </row>
    <row r="257">
      <c r="D257" s="288"/>
    </row>
    <row r="258">
      <c r="D258" s="288"/>
    </row>
    <row r="259">
      <c r="D259" s="288"/>
    </row>
    <row r="260">
      <c r="D260" s="288"/>
    </row>
    <row r="261">
      <c r="D261" s="288"/>
    </row>
    <row r="262">
      <c r="D262" s="288"/>
    </row>
    <row r="263">
      <c r="D263" s="288"/>
    </row>
    <row r="264">
      <c r="D264" s="288"/>
    </row>
    <row r="265">
      <c r="D265" s="288"/>
    </row>
    <row r="266">
      <c r="D266" s="288"/>
    </row>
    <row r="267">
      <c r="D267" s="288"/>
    </row>
    <row r="268">
      <c r="D268" s="288"/>
    </row>
    <row r="269">
      <c r="D269" s="288"/>
    </row>
    <row r="270">
      <c r="D270" s="288"/>
    </row>
    <row r="271">
      <c r="D271" s="288"/>
    </row>
    <row r="272">
      <c r="D272" s="288"/>
    </row>
    <row r="273">
      <c r="D273" s="288"/>
    </row>
    <row r="274">
      <c r="D274" s="288"/>
    </row>
    <row r="275">
      <c r="D275" s="288"/>
    </row>
    <row r="276">
      <c r="D276" s="288"/>
    </row>
    <row r="277">
      <c r="D277" s="288"/>
    </row>
    <row r="278">
      <c r="D278" s="288"/>
    </row>
    <row r="279">
      <c r="D279" s="288"/>
    </row>
    <row r="280">
      <c r="D280" s="288"/>
    </row>
    <row r="281">
      <c r="D281" s="288"/>
    </row>
    <row r="282">
      <c r="D282" s="288"/>
    </row>
    <row r="283">
      <c r="D283" s="288"/>
    </row>
    <row r="284">
      <c r="D284" s="288"/>
    </row>
    <row r="285">
      <c r="D285" s="288"/>
    </row>
    <row r="286">
      <c r="D286" s="288"/>
    </row>
    <row r="287">
      <c r="D287" s="288"/>
    </row>
    <row r="288">
      <c r="D288" s="288"/>
    </row>
    <row r="289">
      <c r="D289" s="288"/>
    </row>
    <row r="290">
      <c r="D290" s="288"/>
    </row>
    <row r="291">
      <c r="D291" s="288"/>
    </row>
    <row r="292">
      <c r="D292" s="288"/>
    </row>
    <row r="293">
      <c r="D293" s="288"/>
    </row>
    <row r="294">
      <c r="D294" s="288"/>
    </row>
    <row r="295">
      <c r="D295" s="288"/>
    </row>
    <row r="296">
      <c r="D296" s="288"/>
    </row>
    <row r="297">
      <c r="D297" s="288"/>
    </row>
    <row r="298">
      <c r="D298" s="288"/>
    </row>
    <row r="299">
      <c r="D299" s="288"/>
    </row>
    <row r="300">
      <c r="D300" s="288"/>
    </row>
    <row r="301">
      <c r="D301" s="288"/>
    </row>
    <row r="302">
      <c r="D302" s="288"/>
    </row>
    <row r="303">
      <c r="D303" s="288"/>
    </row>
    <row r="304">
      <c r="D304" s="288"/>
    </row>
    <row r="305">
      <c r="D305" s="288"/>
    </row>
    <row r="306">
      <c r="D306" s="288"/>
    </row>
    <row r="307">
      <c r="D307" s="288"/>
    </row>
    <row r="308">
      <c r="D308" s="288"/>
    </row>
    <row r="309">
      <c r="D309" s="288"/>
    </row>
    <row r="310">
      <c r="D310" s="288"/>
    </row>
    <row r="311">
      <c r="D311" s="288"/>
    </row>
    <row r="312">
      <c r="D312" s="288"/>
    </row>
    <row r="313">
      <c r="D313" s="288"/>
    </row>
    <row r="314">
      <c r="D314" s="288"/>
    </row>
    <row r="315">
      <c r="D315" s="288"/>
    </row>
    <row r="316">
      <c r="D316" s="288"/>
    </row>
    <row r="317">
      <c r="D317" s="288"/>
    </row>
    <row r="318">
      <c r="D318" s="288"/>
    </row>
    <row r="319">
      <c r="D319" s="288"/>
    </row>
    <row r="320">
      <c r="D320" s="288"/>
    </row>
    <row r="321">
      <c r="D321" s="288"/>
    </row>
    <row r="322">
      <c r="D322" s="288"/>
    </row>
    <row r="323">
      <c r="D323" s="288"/>
    </row>
    <row r="324">
      <c r="D324" s="288"/>
    </row>
    <row r="325">
      <c r="D325" s="288"/>
    </row>
    <row r="326">
      <c r="D326" s="288"/>
    </row>
    <row r="327">
      <c r="D327" s="288"/>
    </row>
    <row r="328">
      <c r="D328" s="288"/>
    </row>
    <row r="329">
      <c r="D329" s="288"/>
    </row>
    <row r="330">
      <c r="D330" s="288"/>
    </row>
    <row r="331">
      <c r="D331" s="288"/>
    </row>
    <row r="332">
      <c r="D332" s="288"/>
    </row>
    <row r="333">
      <c r="D333" s="288"/>
    </row>
    <row r="334">
      <c r="D334" s="288"/>
    </row>
    <row r="335">
      <c r="D335" s="288"/>
    </row>
    <row r="336">
      <c r="D336" s="288"/>
    </row>
    <row r="337">
      <c r="D337" s="288"/>
    </row>
    <row r="338">
      <c r="D338" s="288"/>
    </row>
    <row r="339">
      <c r="D339" s="288"/>
    </row>
    <row r="340">
      <c r="D340" s="288"/>
    </row>
    <row r="341">
      <c r="D341" s="288"/>
    </row>
    <row r="342">
      <c r="D342" s="288"/>
    </row>
    <row r="343">
      <c r="D343" s="288"/>
    </row>
    <row r="344">
      <c r="D344" s="288"/>
    </row>
    <row r="345">
      <c r="D345" s="288"/>
    </row>
    <row r="346">
      <c r="D346" s="288"/>
    </row>
    <row r="347">
      <c r="D347" s="288"/>
    </row>
    <row r="348">
      <c r="D348" s="288"/>
    </row>
    <row r="349">
      <c r="D349" s="288"/>
    </row>
    <row r="350">
      <c r="D350" s="288"/>
    </row>
    <row r="351">
      <c r="D351" s="288"/>
    </row>
    <row r="352">
      <c r="D352" s="288"/>
    </row>
    <row r="353">
      <c r="D353" s="288"/>
    </row>
    <row r="354">
      <c r="D354" s="288"/>
    </row>
    <row r="355">
      <c r="D355" s="288"/>
    </row>
    <row r="356">
      <c r="D356" s="288"/>
    </row>
    <row r="357">
      <c r="D357" s="288"/>
    </row>
    <row r="358">
      <c r="D358" s="288"/>
    </row>
    <row r="359">
      <c r="D359" s="288"/>
    </row>
    <row r="360">
      <c r="D360" s="288"/>
    </row>
    <row r="361">
      <c r="D361" s="288"/>
    </row>
    <row r="362">
      <c r="D362" s="288"/>
    </row>
    <row r="363">
      <c r="D363" s="288"/>
    </row>
    <row r="364">
      <c r="D364" s="288"/>
    </row>
    <row r="365">
      <c r="D365" s="288"/>
    </row>
    <row r="366">
      <c r="D366" s="288"/>
    </row>
    <row r="367">
      <c r="D367" s="288"/>
    </row>
    <row r="368">
      <c r="D368" s="288"/>
    </row>
    <row r="369">
      <c r="D369" s="288"/>
    </row>
    <row r="370">
      <c r="D370" s="288"/>
    </row>
    <row r="371">
      <c r="D371" s="288"/>
    </row>
    <row r="372">
      <c r="D372" s="288"/>
    </row>
    <row r="373">
      <c r="D373" s="288"/>
    </row>
    <row r="374">
      <c r="D374" s="288"/>
    </row>
    <row r="375">
      <c r="D375" s="288"/>
    </row>
    <row r="376">
      <c r="D376" s="288"/>
    </row>
    <row r="377">
      <c r="D377" s="288"/>
    </row>
    <row r="378">
      <c r="D378" s="288"/>
    </row>
    <row r="379">
      <c r="D379" s="288"/>
    </row>
    <row r="380">
      <c r="D380" s="288"/>
    </row>
    <row r="381">
      <c r="D381" s="288"/>
    </row>
    <row r="382">
      <c r="D382" s="288"/>
    </row>
    <row r="383">
      <c r="D383" s="288"/>
    </row>
    <row r="384">
      <c r="D384" s="288"/>
    </row>
    <row r="385">
      <c r="D385" s="288"/>
    </row>
    <row r="386">
      <c r="D386" s="288"/>
    </row>
    <row r="387">
      <c r="D387" s="288"/>
    </row>
    <row r="388">
      <c r="D388" s="288"/>
    </row>
    <row r="389">
      <c r="D389" s="288"/>
    </row>
    <row r="390">
      <c r="D390" s="288"/>
    </row>
    <row r="391">
      <c r="D391" s="288"/>
    </row>
    <row r="392">
      <c r="D392" s="288"/>
    </row>
    <row r="393">
      <c r="D393" s="288"/>
    </row>
    <row r="394">
      <c r="D394" s="288"/>
    </row>
    <row r="395">
      <c r="D395" s="288"/>
    </row>
    <row r="396">
      <c r="D396" s="288"/>
    </row>
    <row r="397">
      <c r="D397" s="288"/>
    </row>
    <row r="398">
      <c r="D398" s="288"/>
    </row>
    <row r="399">
      <c r="D399" s="288"/>
    </row>
    <row r="400">
      <c r="D400" s="288"/>
    </row>
    <row r="401">
      <c r="D401" s="288"/>
    </row>
    <row r="402">
      <c r="D402" s="288"/>
    </row>
    <row r="403">
      <c r="D403" s="288"/>
    </row>
    <row r="404">
      <c r="D404" s="288"/>
    </row>
    <row r="405">
      <c r="D405" s="288"/>
    </row>
    <row r="406">
      <c r="D406" s="288"/>
    </row>
    <row r="407">
      <c r="D407" s="288"/>
    </row>
    <row r="408">
      <c r="D408" s="288"/>
    </row>
    <row r="409">
      <c r="D409" s="288"/>
    </row>
    <row r="410">
      <c r="D410" s="288"/>
    </row>
    <row r="411">
      <c r="D411" s="288"/>
    </row>
    <row r="412">
      <c r="D412" s="288"/>
    </row>
    <row r="413">
      <c r="D413" s="288"/>
    </row>
    <row r="414">
      <c r="D414" s="288"/>
    </row>
    <row r="415">
      <c r="D415" s="288"/>
    </row>
    <row r="416">
      <c r="D416" s="288"/>
    </row>
    <row r="417">
      <c r="D417" s="288"/>
    </row>
    <row r="418">
      <c r="D418" s="288"/>
    </row>
    <row r="419">
      <c r="D419" s="288"/>
    </row>
    <row r="420">
      <c r="D420" s="288"/>
    </row>
    <row r="421">
      <c r="D421" s="288"/>
    </row>
    <row r="422">
      <c r="D422" s="288"/>
    </row>
    <row r="423">
      <c r="D423" s="288"/>
    </row>
    <row r="424">
      <c r="D424" s="288"/>
    </row>
    <row r="425">
      <c r="D425" s="288"/>
    </row>
    <row r="426">
      <c r="D426" s="288"/>
    </row>
    <row r="427">
      <c r="D427" s="288"/>
    </row>
    <row r="428">
      <c r="D428" s="288"/>
    </row>
    <row r="429">
      <c r="D429" s="288"/>
    </row>
    <row r="430">
      <c r="D430" s="288"/>
    </row>
    <row r="431">
      <c r="D431" s="288"/>
    </row>
    <row r="432">
      <c r="D432" s="288"/>
    </row>
    <row r="433">
      <c r="D433" s="288"/>
    </row>
    <row r="434">
      <c r="D434" s="288"/>
    </row>
    <row r="435">
      <c r="D435" s="288"/>
    </row>
    <row r="436">
      <c r="D436" s="288"/>
    </row>
    <row r="437">
      <c r="D437" s="288"/>
    </row>
    <row r="438">
      <c r="D438" s="288"/>
    </row>
    <row r="439">
      <c r="D439" s="288"/>
    </row>
    <row r="440">
      <c r="D440" s="288"/>
    </row>
    <row r="441">
      <c r="D441" s="288"/>
    </row>
    <row r="442">
      <c r="D442" s="288"/>
    </row>
    <row r="443">
      <c r="D443" s="288"/>
    </row>
    <row r="444">
      <c r="D444" s="288"/>
    </row>
    <row r="445">
      <c r="D445" s="288"/>
    </row>
    <row r="446">
      <c r="D446" s="288"/>
    </row>
    <row r="447">
      <c r="D447" s="288"/>
    </row>
    <row r="448">
      <c r="D448" s="288"/>
    </row>
    <row r="449">
      <c r="D449" s="288"/>
    </row>
    <row r="450">
      <c r="D450" s="288"/>
    </row>
    <row r="451">
      <c r="D451" s="288"/>
    </row>
    <row r="452">
      <c r="D452" s="288"/>
    </row>
    <row r="453">
      <c r="D453" s="288"/>
    </row>
    <row r="454">
      <c r="D454" s="288"/>
    </row>
    <row r="455">
      <c r="D455" s="288"/>
    </row>
    <row r="456">
      <c r="D456" s="288"/>
    </row>
    <row r="457">
      <c r="D457" s="288"/>
    </row>
    <row r="458">
      <c r="D458" s="288"/>
    </row>
    <row r="459">
      <c r="D459" s="288"/>
    </row>
    <row r="460">
      <c r="D460" s="288"/>
    </row>
    <row r="461">
      <c r="D461" s="288"/>
    </row>
    <row r="462">
      <c r="D462" s="288"/>
    </row>
    <row r="463">
      <c r="D463" s="288"/>
    </row>
    <row r="464">
      <c r="D464" s="288"/>
    </row>
    <row r="465">
      <c r="D465" s="288"/>
    </row>
    <row r="466">
      <c r="D466" s="288"/>
    </row>
    <row r="467">
      <c r="D467" s="288"/>
    </row>
    <row r="468">
      <c r="D468" s="288"/>
    </row>
    <row r="469">
      <c r="D469" s="288"/>
    </row>
    <row r="470">
      <c r="D470" s="288"/>
    </row>
    <row r="471">
      <c r="D471" s="288"/>
    </row>
    <row r="472">
      <c r="D472" s="288"/>
    </row>
    <row r="473">
      <c r="D473" s="288"/>
    </row>
    <row r="474">
      <c r="D474" s="288"/>
    </row>
    <row r="475">
      <c r="D475" s="288"/>
    </row>
    <row r="476">
      <c r="D476" s="288"/>
    </row>
    <row r="477">
      <c r="D477" s="288"/>
    </row>
    <row r="478">
      <c r="D478" s="288"/>
    </row>
    <row r="479">
      <c r="D479" s="288"/>
    </row>
    <row r="480">
      <c r="D480" s="288"/>
    </row>
    <row r="481">
      <c r="D481" s="288"/>
    </row>
    <row r="482">
      <c r="D482" s="288"/>
    </row>
    <row r="483">
      <c r="D483" s="288"/>
    </row>
    <row r="484">
      <c r="D484" s="288"/>
    </row>
    <row r="485">
      <c r="D485" s="288"/>
    </row>
    <row r="486">
      <c r="D486" s="288"/>
    </row>
    <row r="487">
      <c r="D487" s="288"/>
    </row>
    <row r="488">
      <c r="D488" s="288"/>
    </row>
    <row r="489">
      <c r="D489" s="288"/>
    </row>
    <row r="490">
      <c r="D490" s="288"/>
    </row>
    <row r="491">
      <c r="D491" s="288"/>
    </row>
    <row r="492">
      <c r="D492" s="288"/>
    </row>
    <row r="493">
      <c r="D493" s="288"/>
    </row>
    <row r="494">
      <c r="D494" s="288"/>
    </row>
    <row r="495">
      <c r="D495" s="288"/>
    </row>
    <row r="496">
      <c r="D496" s="288"/>
    </row>
    <row r="497">
      <c r="D497" s="288"/>
    </row>
    <row r="498">
      <c r="D498" s="288"/>
    </row>
    <row r="499">
      <c r="D499" s="288"/>
    </row>
    <row r="500">
      <c r="D500" s="288"/>
    </row>
    <row r="501">
      <c r="D501" s="288"/>
    </row>
    <row r="502">
      <c r="D502" s="288"/>
    </row>
    <row r="503">
      <c r="D503" s="288"/>
    </row>
    <row r="504">
      <c r="D504" s="288"/>
    </row>
    <row r="505">
      <c r="D505" s="288"/>
    </row>
    <row r="506">
      <c r="D506" s="288"/>
    </row>
    <row r="507">
      <c r="D507" s="288"/>
    </row>
    <row r="508">
      <c r="D508" s="288"/>
    </row>
    <row r="509">
      <c r="D509" s="288"/>
    </row>
    <row r="510">
      <c r="D510" s="288"/>
    </row>
    <row r="511">
      <c r="D511" s="288"/>
    </row>
    <row r="512">
      <c r="D512" s="288"/>
    </row>
    <row r="513">
      <c r="D513" s="288"/>
    </row>
    <row r="514">
      <c r="D514" s="288"/>
    </row>
    <row r="515">
      <c r="D515" s="288"/>
    </row>
    <row r="516">
      <c r="D516" s="288"/>
    </row>
    <row r="517">
      <c r="D517" s="288"/>
    </row>
    <row r="518">
      <c r="D518" s="288"/>
    </row>
    <row r="519">
      <c r="D519" s="288"/>
    </row>
    <row r="520">
      <c r="D520" s="288"/>
    </row>
    <row r="521">
      <c r="D521" s="288"/>
    </row>
    <row r="522">
      <c r="D522" s="288"/>
    </row>
    <row r="523">
      <c r="D523" s="288"/>
    </row>
    <row r="524">
      <c r="D524" s="288"/>
    </row>
    <row r="525">
      <c r="D525" s="288"/>
    </row>
    <row r="526">
      <c r="D526" s="288"/>
    </row>
    <row r="527">
      <c r="D527" s="288"/>
    </row>
    <row r="528">
      <c r="D528" s="288"/>
    </row>
    <row r="529">
      <c r="D529" s="288"/>
    </row>
    <row r="530">
      <c r="D530" s="288"/>
    </row>
    <row r="531">
      <c r="D531" s="288"/>
    </row>
    <row r="532">
      <c r="D532" s="288"/>
    </row>
    <row r="533">
      <c r="D533" s="288"/>
    </row>
    <row r="534">
      <c r="D534" s="288"/>
    </row>
    <row r="535">
      <c r="D535" s="288"/>
    </row>
    <row r="536">
      <c r="D536" s="288"/>
    </row>
    <row r="537">
      <c r="D537" s="288"/>
    </row>
    <row r="538">
      <c r="D538" s="288"/>
    </row>
    <row r="539">
      <c r="D539" s="288"/>
    </row>
    <row r="540">
      <c r="D540" s="288"/>
    </row>
    <row r="541">
      <c r="D541" s="288"/>
    </row>
    <row r="542">
      <c r="D542" s="288"/>
    </row>
    <row r="543">
      <c r="D543" s="288"/>
    </row>
    <row r="544">
      <c r="D544" s="288"/>
    </row>
    <row r="545">
      <c r="D545" s="288"/>
    </row>
    <row r="546">
      <c r="D546" s="288"/>
    </row>
    <row r="547">
      <c r="D547" s="288"/>
    </row>
    <row r="548">
      <c r="D548" s="288"/>
    </row>
    <row r="549">
      <c r="D549" s="288"/>
    </row>
    <row r="550">
      <c r="D550" s="288"/>
    </row>
    <row r="551">
      <c r="D551" s="288"/>
    </row>
    <row r="552">
      <c r="D552" s="288"/>
    </row>
    <row r="553">
      <c r="D553" s="288"/>
    </row>
    <row r="554">
      <c r="D554" s="288"/>
    </row>
    <row r="555">
      <c r="D555" s="288"/>
    </row>
    <row r="556">
      <c r="D556" s="288"/>
    </row>
    <row r="557">
      <c r="D557" s="288"/>
    </row>
    <row r="558">
      <c r="D558" s="288"/>
    </row>
    <row r="559">
      <c r="D559" s="288"/>
    </row>
    <row r="560">
      <c r="D560" s="288"/>
    </row>
    <row r="561">
      <c r="D561" s="288"/>
    </row>
    <row r="562">
      <c r="D562" s="288"/>
    </row>
    <row r="563">
      <c r="D563" s="288"/>
    </row>
    <row r="564">
      <c r="D564" s="288"/>
    </row>
    <row r="565">
      <c r="D565" s="288"/>
    </row>
    <row r="566">
      <c r="D566" s="288"/>
    </row>
    <row r="567">
      <c r="D567" s="288"/>
    </row>
    <row r="568">
      <c r="D568" s="288"/>
    </row>
    <row r="569">
      <c r="D569" s="288"/>
    </row>
    <row r="570">
      <c r="D570" s="288"/>
    </row>
    <row r="571">
      <c r="D571" s="288"/>
    </row>
    <row r="572">
      <c r="D572" s="288"/>
    </row>
    <row r="573">
      <c r="D573" s="288"/>
    </row>
    <row r="574">
      <c r="D574" s="288"/>
    </row>
    <row r="575">
      <c r="D575" s="288"/>
    </row>
    <row r="576">
      <c r="D576" s="288"/>
    </row>
    <row r="577">
      <c r="D577" s="288"/>
    </row>
    <row r="578">
      <c r="D578" s="288"/>
    </row>
    <row r="579">
      <c r="D579" s="288"/>
    </row>
    <row r="580">
      <c r="D580" s="288"/>
    </row>
    <row r="581">
      <c r="D581" s="288"/>
    </row>
    <row r="582">
      <c r="D582" s="288"/>
    </row>
    <row r="583">
      <c r="D583" s="288"/>
    </row>
    <row r="584">
      <c r="D584" s="288"/>
    </row>
    <row r="585">
      <c r="D585" s="288"/>
    </row>
    <row r="586">
      <c r="D586" s="288"/>
    </row>
    <row r="587">
      <c r="D587" s="288"/>
    </row>
    <row r="588">
      <c r="D588" s="288"/>
    </row>
    <row r="589">
      <c r="D589" s="288"/>
    </row>
    <row r="590">
      <c r="D590" s="288"/>
    </row>
    <row r="591">
      <c r="D591" s="288"/>
    </row>
    <row r="592">
      <c r="D592" s="288"/>
    </row>
    <row r="593">
      <c r="D593" s="288"/>
    </row>
    <row r="594">
      <c r="D594" s="288"/>
    </row>
    <row r="595">
      <c r="D595" s="288"/>
    </row>
    <row r="596">
      <c r="D596" s="288"/>
    </row>
    <row r="597">
      <c r="D597" s="288"/>
    </row>
    <row r="598">
      <c r="D598" s="288"/>
    </row>
    <row r="599">
      <c r="D599" s="288"/>
    </row>
    <row r="600">
      <c r="D600" s="288"/>
    </row>
    <row r="601">
      <c r="D601" s="288"/>
    </row>
    <row r="602">
      <c r="D602" s="288"/>
    </row>
    <row r="603">
      <c r="D603" s="288"/>
    </row>
    <row r="604">
      <c r="D604" s="288"/>
    </row>
    <row r="605">
      <c r="D605" s="288"/>
    </row>
    <row r="606">
      <c r="D606" s="288"/>
    </row>
    <row r="607">
      <c r="D607" s="288"/>
    </row>
    <row r="608">
      <c r="D608" s="288"/>
    </row>
    <row r="609">
      <c r="D609" s="288"/>
    </row>
    <row r="610">
      <c r="D610" s="288"/>
    </row>
    <row r="611">
      <c r="D611" s="288"/>
    </row>
    <row r="612">
      <c r="D612" s="288"/>
    </row>
    <row r="613">
      <c r="D613" s="288"/>
    </row>
    <row r="614">
      <c r="D614" s="288"/>
    </row>
    <row r="615">
      <c r="D615" s="288"/>
    </row>
    <row r="616">
      <c r="D616" s="288"/>
    </row>
    <row r="617">
      <c r="D617" s="288"/>
    </row>
    <row r="618">
      <c r="D618" s="288"/>
    </row>
    <row r="619">
      <c r="D619" s="288"/>
    </row>
    <row r="620">
      <c r="D620" s="288"/>
    </row>
    <row r="621">
      <c r="D621" s="288"/>
    </row>
    <row r="622">
      <c r="D622" s="288"/>
    </row>
    <row r="623">
      <c r="D623" s="288"/>
    </row>
    <row r="624">
      <c r="D624" s="288"/>
    </row>
    <row r="625">
      <c r="D625" s="288"/>
    </row>
    <row r="626">
      <c r="D626" s="288"/>
    </row>
    <row r="627">
      <c r="D627" s="288"/>
    </row>
    <row r="628">
      <c r="D628" s="288"/>
    </row>
    <row r="629">
      <c r="D629" s="288"/>
    </row>
    <row r="630">
      <c r="D630" s="288"/>
    </row>
    <row r="631">
      <c r="D631" s="288"/>
    </row>
    <row r="632">
      <c r="D632" s="288"/>
    </row>
    <row r="633">
      <c r="D633" s="288"/>
    </row>
    <row r="634">
      <c r="D634" s="288"/>
    </row>
    <row r="635">
      <c r="D635" s="288"/>
    </row>
    <row r="636">
      <c r="D636" s="288"/>
    </row>
    <row r="637">
      <c r="D637" s="288"/>
    </row>
    <row r="638">
      <c r="D638" s="288"/>
    </row>
    <row r="639">
      <c r="D639" s="288"/>
    </row>
    <row r="640">
      <c r="D640" s="288"/>
    </row>
    <row r="641">
      <c r="D641" s="288"/>
    </row>
    <row r="642">
      <c r="D642" s="288"/>
    </row>
    <row r="643">
      <c r="D643" s="288"/>
    </row>
    <row r="644">
      <c r="D644" s="288"/>
    </row>
    <row r="645">
      <c r="D645" s="288"/>
    </row>
    <row r="646">
      <c r="D646" s="288"/>
    </row>
    <row r="647">
      <c r="D647" s="288"/>
    </row>
    <row r="648">
      <c r="D648" s="288"/>
    </row>
    <row r="649">
      <c r="D649" s="288"/>
    </row>
    <row r="650">
      <c r="D650" s="288"/>
    </row>
    <row r="651">
      <c r="D651" s="288"/>
    </row>
    <row r="652">
      <c r="D652" s="288"/>
    </row>
    <row r="653">
      <c r="D653" s="288"/>
    </row>
    <row r="654">
      <c r="D654" s="288"/>
    </row>
    <row r="655">
      <c r="D655" s="288"/>
    </row>
    <row r="656">
      <c r="D656" s="288"/>
    </row>
    <row r="657">
      <c r="D657" s="288"/>
    </row>
    <row r="658">
      <c r="D658" s="288"/>
    </row>
    <row r="659">
      <c r="D659" s="288"/>
    </row>
    <row r="660">
      <c r="D660" s="288"/>
    </row>
    <row r="661">
      <c r="D661" s="288"/>
    </row>
    <row r="662">
      <c r="D662" s="288"/>
    </row>
    <row r="663">
      <c r="D663" s="288"/>
    </row>
    <row r="664">
      <c r="D664" s="288"/>
    </row>
    <row r="665">
      <c r="D665" s="288"/>
    </row>
    <row r="666">
      <c r="D666" s="288"/>
    </row>
    <row r="667">
      <c r="D667" s="288"/>
    </row>
    <row r="668">
      <c r="D668" s="288"/>
    </row>
    <row r="669">
      <c r="D669" s="288"/>
    </row>
    <row r="670">
      <c r="D670" s="288"/>
    </row>
    <row r="671">
      <c r="D671" s="288"/>
    </row>
    <row r="672">
      <c r="D672" s="288"/>
    </row>
    <row r="673">
      <c r="D673" s="288"/>
    </row>
    <row r="674">
      <c r="D674" s="288"/>
    </row>
    <row r="675">
      <c r="D675" s="288"/>
    </row>
    <row r="676">
      <c r="D676" s="288"/>
    </row>
    <row r="677">
      <c r="D677" s="288"/>
    </row>
    <row r="678">
      <c r="D678" s="288"/>
    </row>
    <row r="679">
      <c r="D679" s="288"/>
    </row>
    <row r="680">
      <c r="D680" s="288"/>
    </row>
    <row r="681">
      <c r="D681" s="288"/>
    </row>
    <row r="682">
      <c r="D682" s="288"/>
    </row>
    <row r="683">
      <c r="D683" s="288"/>
    </row>
    <row r="684">
      <c r="D684" s="288"/>
    </row>
    <row r="685">
      <c r="D685" s="288"/>
    </row>
    <row r="686">
      <c r="D686" s="288"/>
    </row>
    <row r="687">
      <c r="D687" s="288"/>
    </row>
    <row r="688">
      <c r="D688" s="288"/>
    </row>
    <row r="689">
      <c r="D689" s="288"/>
    </row>
    <row r="690">
      <c r="D690" s="288"/>
    </row>
    <row r="691">
      <c r="D691" s="288"/>
    </row>
    <row r="692">
      <c r="D692" s="288"/>
    </row>
    <row r="693">
      <c r="D693" s="288"/>
    </row>
    <row r="694">
      <c r="D694" s="288"/>
    </row>
    <row r="695">
      <c r="D695" s="288"/>
    </row>
    <row r="696">
      <c r="D696" s="288"/>
    </row>
    <row r="697">
      <c r="D697" s="288"/>
    </row>
    <row r="698">
      <c r="D698" s="288"/>
    </row>
    <row r="699">
      <c r="D699" s="288"/>
    </row>
    <row r="700">
      <c r="D700" s="288"/>
    </row>
    <row r="701">
      <c r="D701" s="288"/>
    </row>
    <row r="702">
      <c r="D702" s="288"/>
    </row>
    <row r="703">
      <c r="D703" s="288"/>
    </row>
    <row r="704">
      <c r="D704" s="288"/>
    </row>
    <row r="705">
      <c r="D705" s="288"/>
    </row>
    <row r="706">
      <c r="D706" s="288"/>
    </row>
    <row r="707">
      <c r="D707" s="288"/>
    </row>
    <row r="708">
      <c r="D708" s="288"/>
    </row>
    <row r="709">
      <c r="D709" s="288"/>
    </row>
    <row r="710">
      <c r="D710" s="288"/>
    </row>
    <row r="711">
      <c r="D711" s="288"/>
    </row>
    <row r="712">
      <c r="D712" s="288"/>
    </row>
    <row r="713">
      <c r="D713" s="288"/>
    </row>
    <row r="714">
      <c r="D714" s="288"/>
    </row>
    <row r="715">
      <c r="D715" s="288"/>
    </row>
    <row r="716">
      <c r="D716" s="288"/>
    </row>
    <row r="717">
      <c r="D717" s="288"/>
    </row>
    <row r="718">
      <c r="D718" s="288"/>
    </row>
    <row r="719">
      <c r="D719" s="288"/>
    </row>
    <row r="720">
      <c r="D720" s="288"/>
    </row>
    <row r="721">
      <c r="D721" s="288"/>
    </row>
    <row r="722">
      <c r="D722" s="288"/>
    </row>
    <row r="723">
      <c r="D723" s="288"/>
    </row>
    <row r="724">
      <c r="D724" s="288"/>
    </row>
    <row r="725">
      <c r="D725" s="288"/>
    </row>
    <row r="726">
      <c r="D726" s="288"/>
    </row>
    <row r="727">
      <c r="D727" s="288"/>
    </row>
    <row r="728">
      <c r="D728" s="288"/>
    </row>
    <row r="729">
      <c r="D729" s="288"/>
    </row>
    <row r="730">
      <c r="D730" s="288"/>
    </row>
    <row r="731">
      <c r="D731" s="288"/>
    </row>
    <row r="732">
      <c r="D732" s="288"/>
    </row>
    <row r="733">
      <c r="D733" s="288"/>
    </row>
    <row r="734">
      <c r="D734" s="288"/>
    </row>
    <row r="735">
      <c r="D735" s="288"/>
    </row>
    <row r="736">
      <c r="D736" s="288"/>
    </row>
    <row r="737">
      <c r="D737" s="288"/>
    </row>
    <row r="738">
      <c r="D738" s="288"/>
    </row>
    <row r="739">
      <c r="D739" s="288"/>
    </row>
    <row r="740">
      <c r="D740" s="288"/>
    </row>
    <row r="741">
      <c r="D741" s="288"/>
    </row>
    <row r="742">
      <c r="D742" s="288"/>
    </row>
    <row r="743">
      <c r="D743" s="288"/>
    </row>
    <row r="744">
      <c r="D744" s="288"/>
    </row>
    <row r="745">
      <c r="D745" s="288"/>
    </row>
    <row r="746">
      <c r="D746" s="288"/>
    </row>
    <row r="747">
      <c r="D747" s="288"/>
    </row>
    <row r="748">
      <c r="D748" s="288"/>
    </row>
    <row r="749">
      <c r="D749" s="288"/>
    </row>
    <row r="750">
      <c r="D750" s="288"/>
    </row>
    <row r="751">
      <c r="D751" s="288"/>
    </row>
    <row r="752">
      <c r="D752" s="288"/>
    </row>
    <row r="753">
      <c r="D753" s="288"/>
    </row>
    <row r="754">
      <c r="D754" s="288"/>
    </row>
    <row r="755">
      <c r="D755" s="288"/>
    </row>
    <row r="756">
      <c r="D756" s="288"/>
    </row>
    <row r="757">
      <c r="D757" s="288"/>
    </row>
    <row r="758">
      <c r="D758" s="288"/>
    </row>
    <row r="759">
      <c r="D759" s="288"/>
    </row>
    <row r="760">
      <c r="D760" s="288"/>
    </row>
    <row r="761">
      <c r="D761" s="288"/>
    </row>
    <row r="762">
      <c r="D762" s="288"/>
    </row>
    <row r="763">
      <c r="D763" s="288"/>
    </row>
    <row r="764">
      <c r="D764" s="288"/>
    </row>
    <row r="765">
      <c r="D765" s="288"/>
    </row>
    <row r="766">
      <c r="D766" s="288"/>
    </row>
    <row r="767">
      <c r="D767" s="288"/>
    </row>
    <row r="768">
      <c r="D768" s="288"/>
    </row>
    <row r="769">
      <c r="D769" s="288"/>
    </row>
    <row r="770">
      <c r="D770" s="288"/>
    </row>
    <row r="771">
      <c r="D771" s="288"/>
    </row>
    <row r="772">
      <c r="D772" s="288"/>
    </row>
    <row r="773">
      <c r="D773" s="288"/>
    </row>
    <row r="774">
      <c r="D774" s="288"/>
    </row>
    <row r="775">
      <c r="D775" s="288"/>
    </row>
    <row r="776">
      <c r="D776" s="288"/>
    </row>
    <row r="777">
      <c r="D777" s="288"/>
    </row>
    <row r="778">
      <c r="D778" s="288"/>
    </row>
    <row r="779">
      <c r="D779" s="288"/>
    </row>
    <row r="780">
      <c r="D780" s="288"/>
    </row>
    <row r="781">
      <c r="D781" s="288"/>
    </row>
    <row r="782">
      <c r="D782" s="288"/>
    </row>
    <row r="783">
      <c r="D783" s="288"/>
    </row>
    <row r="784">
      <c r="D784" s="288"/>
    </row>
    <row r="785">
      <c r="D785" s="288"/>
    </row>
    <row r="786">
      <c r="D786" s="288"/>
    </row>
    <row r="787">
      <c r="D787" s="288"/>
    </row>
    <row r="788">
      <c r="D788" s="288"/>
    </row>
    <row r="789">
      <c r="D789" s="288"/>
    </row>
    <row r="790">
      <c r="D790" s="288"/>
    </row>
    <row r="791">
      <c r="D791" s="288"/>
    </row>
    <row r="792">
      <c r="D792" s="288"/>
    </row>
    <row r="793">
      <c r="D793" s="288"/>
    </row>
    <row r="794">
      <c r="D794" s="288"/>
    </row>
    <row r="795">
      <c r="D795" s="288"/>
    </row>
    <row r="796">
      <c r="D796" s="288"/>
    </row>
    <row r="797">
      <c r="D797" s="288"/>
    </row>
    <row r="798">
      <c r="D798" s="288"/>
    </row>
    <row r="799">
      <c r="D799" s="288"/>
    </row>
    <row r="800">
      <c r="D800" s="288"/>
    </row>
    <row r="801">
      <c r="D801" s="288"/>
    </row>
    <row r="802">
      <c r="D802" s="288"/>
    </row>
    <row r="803">
      <c r="D803" s="288"/>
    </row>
    <row r="804">
      <c r="D804" s="288"/>
    </row>
    <row r="805">
      <c r="D805" s="288"/>
    </row>
    <row r="806">
      <c r="D806" s="288"/>
    </row>
    <row r="807">
      <c r="D807" s="288"/>
    </row>
    <row r="808">
      <c r="D808" s="288"/>
    </row>
    <row r="809">
      <c r="D809" s="288"/>
    </row>
    <row r="810">
      <c r="D810" s="288"/>
    </row>
    <row r="811">
      <c r="D811" s="288"/>
    </row>
    <row r="812">
      <c r="D812" s="288"/>
    </row>
    <row r="813">
      <c r="D813" s="288"/>
    </row>
    <row r="814">
      <c r="D814" s="288"/>
    </row>
    <row r="815">
      <c r="D815" s="288"/>
    </row>
    <row r="816">
      <c r="D816" s="288"/>
    </row>
    <row r="817">
      <c r="D817" s="288"/>
    </row>
    <row r="818">
      <c r="D818" s="288"/>
    </row>
    <row r="819">
      <c r="D819" s="288"/>
    </row>
    <row r="820">
      <c r="D820" s="288"/>
    </row>
    <row r="821">
      <c r="D821" s="288"/>
    </row>
    <row r="822">
      <c r="D822" s="288"/>
    </row>
    <row r="823">
      <c r="D823" s="288"/>
    </row>
    <row r="824">
      <c r="D824" s="288"/>
    </row>
    <row r="825">
      <c r="D825" s="288"/>
    </row>
    <row r="826">
      <c r="D826" s="288"/>
    </row>
    <row r="827">
      <c r="D827" s="288"/>
    </row>
    <row r="828">
      <c r="D828" s="288"/>
    </row>
    <row r="829">
      <c r="D829" s="288"/>
    </row>
    <row r="830">
      <c r="D830" s="288"/>
    </row>
    <row r="831">
      <c r="D831" s="288"/>
    </row>
    <row r="832">
      <c r="D832" s="288"/>
    </row>
    <row r="833">
      <c r="D833" s="288"/>
    </row>
    <row r="834">
      <c r="D834" s="288"/>
    </row>
    <row r="835">
      <c r="D835" s="288"/>
    </row>
    <row r="836">
      <c r="D836" s="288"/>
    </row>
    <row r="837">
      <c r="D837" s="288"/>
    </row>
    <row r="838">
      <c r="D838" s="288"/>
    </row>
    <row r="839">
      <c r="D839" s="288"/>
    </row>
    <row r="840">
      <c r="D840" s="288"/>
    </row>
    <row r="841">
      <c r="D841" s="288"/>
    </row>
    <row r="842">
      <c r="D842" s="288"/>
    </row>
    <row r="843">
      <c r="D843" s="288"/>
    </row>
    <row r="844">
      <c r="D844" s="288"/>
    </row>
    <row r="845">
      <c r="D845" s="288"/>
    </row>
    <row r="846">
      <c r="D846" s="288"/>
    </row>
    <row r="847">
      <c r="D847" s="288"/>
    </row>
    <row r="848">
      <c r="D848" s="288"/>
    </row>
    <row r="849">
      <c r="D849" s="288"/>
    </row>
    <row r="850">
      <c r="D850" s="288"/>
    </row>
    <row r="851">
      <c r="D851" s="288"/>
    </row>
    <row r="852">
      <c r="D852" s="288"/>
    </row>
    <row r="853">
      <c r="D853" s="288"/>
    </row>
    <row r="854">
      <c r="D854" s="288"/>
    </row>
    <row r="855">
      <c r="D855" s="288"/>
    </row>
    <row r="856">
      <c r="D856" s="288"/>
    </row>
    <row r="857">
      <c r="D857" s="288"/>
    </row>
    <row r="858">
      <c r="D858" s="288"/>
    </row>
    <row r="859">
      <c r="D859" s="288"/>
    </row>
    <row r="860">
      <c r="D860" s="288"/>
    </row>
    <row r="861">
      <c r="D861" s="288"/>
    </row>
    <row r="862">
      <c r="D862" s="288"/>
    </row>
    <row r="863">
      <c r="D863" s="288"/>
    </row>
    <row r="864">
      <c r="D864" s="288"/>
    </row>
    <row r="865">
      <c r="D865" s="288"/>
    </row>
    <row r="866">
      <c r="D866" s="288"/>
    </row>
    <row r="867">
      <c r="D867" s="288"/>
    </row>
    <row r="868">
      <c r="D868" s="288"/>
    </row>
    <row r="869">
      <c r="D869" s="288"/>
    </row>
    <row r="870">
      <c r="D870" s="288"/>
    </row>
    <row r="871">
      <c r="D871" s="288"/>
    </row>
    <row r="872">
      <c r="D872" s="288"/>
    </row>
    <row r="873">
      <c r="D873" s="288"/>
    </row>
    <row r="874">
      <c r="D874" s="288"/>
    </row>
    <row r="875">
      <c r="D875" s="288"/>
    </row>
    <row r="876">
      <c r="D876" s="288"/>
    </row>
    <row r="877">
      <c r="D877" s="288"/>
    </row>
    <row r="878">
      <c r="D878" s="288"/>
    </row>
    <row r="879">
      <c r="D879" s="288"/>
    </row>
    <row r="880">
      <c r="D880" s="288"/>
    </row>
    <row r="881">
      <c r="D881" s="288"/>
    </row>
    <row r="882">
      <c r="D882" s="288"/>
    </row>
    <row r="883">
      <c r="D883" s="288"/>
    </row>
    <row r="884">
      <c r="D884" s="288"/>
    </row>
    <row r="885">
      <c r="D885" s="288"/>
    </row>
    <row r="886">
      <c r="D886" s="288"/>
    </row>
    <row r="887">
      <c r="D887" s="288"/>
    </row>
    <row r="888">
      <c r="D888" s="288"/>
    </row>
    <row r="889">
      <c r="D889" s="288"/>
    </row>
    <row r="890">
      <c r="D890" s="288"/>
    </row>
    <row r="891">
      <c r="D891" s="288"/>
    </row>
    <row r="892">
      <c r="D892" s="288"/>
    </row>
    <row r="893">
      <c r="D893" s="288"/>
    </row>
    <row r="894">
      <c r="D894" s="288"/>
    </row>
    <row r="895">
      <c r="D895" s="288"/>
    </row>
    <row r="896">
      <c r="D896" s="288"/>
    </row>
    <row r="897">
      <c r="D897" s="288"/>
    </row>
    <row r="898">
      <c r="D898" s="288"/>
    </row>
    <row r="899">
      <c r="D899" s="288"/>
    </row>
    <row r="900">
      <c r="D900" s="288"/>
    </row>
    <row r="901">
      <c r="D901" s="288"/>
    </row>
    <row r="902">
      <c r="D902" s="288"/>
    </row>
    <row r="903">
      <c r="D903" s="288"/>
    </row>
    <row r="904">
      <c r="D904" s="288"/>
    </row>
    <row r="905">
      <c r="D905" s="288"/>
    </row>
    <row r="906">
      <c r="D906" s="288"/>
    </row>
    <row r="907">
      <c r="D907" s="288"/>
    </row>
    <row r="908">
      <c r="D908" s="288"/>
    </row>
    <row r="909">
      <c r="D909" s="288"/>
    </row>
    <row r="910">
      <c r="D910" s="288"/>
    </row>
    <row r="911">
      <c r="D911" s="288"/>
    </row>
    <row r="912">
      <c r="D912" s="288"/>
    </row>
    <row r="913">
      <c r="D913" s="288"/>
    </row>
    <row r="914">
      <c r="D914" s="288"/>
    </row>
    <row r="915">
      <c r="D915" s="288"/>
    </row>
    <row r="916">
      <c r="D916" s="288"/>
    </row>
    <row r="917">
      <c r="D917" s="288"/>
    </row>
    <row r="918">
      <c r="D918" s="288"/>
    </row>
    <row r="919">
      <c r="D919" s="288"/>
    </row>
    <row r="920">
      <c r="D920" s="288"/>
    </row>
    <row r="921">
      <c r="D921" s="288"/>
    </row>
    <row r="922">
      <c r="D922" s="288"/>
    </row>
    <row r="923">
      <c r="D923" s="288"/>
    </row>
    <row r="924">
      <c r="D924" s="288"/>
    </row>
    <row r="925">
      <c r="D925" s="288"/>
    </row>
    <row r="926">
      <c r="D926" s="288"/>
    </row>
    <row r="927">
      <c r="D927" s="288"/>
    </row>
    <row r="928">
      <c r="D928" s="288"/>
    </row>
    <row r="929">
      <c r="D929" s="288"/>
    </row>
    <row r="930">
      <c r="D930" s="288"/>
    </row>
    <row r="931">
      <c r="D931" s="288"/>
    </row>
    <row r="932">
      <c r="D932" s="288"/>
    </row>
    <row r="933">
      <c r="D933" s="288"/>
    </row>
    <row r="934">
      <c r="D934" s="288"/>
    </row>
    <row r="935">
      <c r="D935" s="288"/>
    </row>
    <row r="936">
      <c r="D936" s="288"/>
    </row>
    <row r="937">
      <c r="D937" s="288"/>
    </row>
    <row r="938">
      <c r="D938" s="288"/>
    </row>
    <row r="939">
      <c r="D939" s="288"/>
    </row>
    <row r="940">
      <c r="D940" s="288"/>
    </row>
    <row r="941">
      <c r="D941" s="288"/>
    </row>
    <row r="942">
      <c r="D942" s="288"/>
    </row>
    <row r="943">
      <c r="D943" s="288"/>
    </row>
    <row r="944">
      <c r="D944" s="288"/>
    </row>
    <row r="945">
      <c r="D945" s="288"/>
    </row>
    <row r="946">
      <c r="D946" s="288"/>
    </row>
    <row r="947">
      <c r="D947" s="288"/>
    </row>
    <row r="948">
      <c r="D948" s="288"/>
    </row>
    <row r="949">
      <c r="D949" s="288"/>
    </row>
    <row r="950">
      <c r="D950" s="288"/>
    </row>
    <row r="951">
      <c r="D951" s="288"/>
    </row>
    <row r="952">
      <c r="D952" s="288"/>
    </row>
    <row r="953">
      <c r="D953" s="288"/>
    </row>
    <row r="954">
      <c r="D954" s="288"/>
    </row>
    <row r="955">
      <c r="D955" s="288"/>
    </row>
    <row r="956">
      <c r="D956" s="288"/>
    </row>
    <row r="957">
      <c r="D957" s="288"/>
    </row>
    <row r="958">
      <c r="D958" s="288"/>
    </row>
    <row r="959">
      <c r="D959" s="288"/>
    </row>
    <row r="960">
      <c r="D960" s="288"/>
    </row>
    <row r="961">
      <c r="D961" s="288"/>
    </row>
    <row r="962">
      <c r="D962" s="288"/>
    </row>
    <row r="963">
      <c r="D963" s="288"/>
    </row>
    <row r="964">
      <c r="D964" s="288"/>
    </row>
    <row r="965">
      <c r="D965" s="288"/>
    </row>
    <row r="966">
      <c r="D966" s="288"/>
    </row>
    <row r="967">
      <c r="D967" s="288"/>
    </row>
    <row r="968">
      <c r="D968" s="288"/>
    </row>
    <row r="969">
      <c r="D969" s="288"/>
    </row>
    <row r="970">
      <c r="D970" s="288"/>
    </row>
    <row r="971">
      <c r="D971" s="288"/>
    </row>
    <row r="972">
      <c r="D972" s="288"/>
    </row>
    <row r="973">
      <c r="D973" s="288"/>
    </row>
    <row r="974">
      <c r="D974" s="288"/>
    </row>
    <row r="975">
      <c r="D975" s="288"/>
    </row>
    <row r="976">
      <c r="D976" s="288"/>
    </row>
    <row r="977">
      <c r="D977" s="288"/>
    </row>
    <row r="978">
      <c r="D978" s="288"/>
    </row>
    <row r="979">
      <c r="D979" s="288"/>
    </row>
    <row r="980">
      <c r="D980" s="288"/>
    </row>
    <row r="981">
      <c r="D981" s="288"/>
    </row>
    <row r="982">
      <c r="D982" s="288"/>
    </row>
    <row r="983">
      <c r="D983" s="288"/>
    </row>
    <row r="984">
      <c r="D984" s="288"/>
    </row>
    <row r="985">
      <c r="D985" s="288"/>
    </row>
    <row r="986">
      <c r="D986" s="288"/>
    </row>
    <row r="987">
      <c r="D987" s="288"/>
    </row>
    <row r="988">
      <c r="D988" s="288"/>
    </row>
    <row r="989">
      <c r="D989" s="288"/>
    </row>
    <row r="990">
      <c r="D990" s="288"/>
    </row>
    <row r="991">
      <c r="D991" s="288"/>
    </row>
    <row r="992">
      <c r="D992" s="288"/>
    </row>
    <row r="993">
      <c r="D993" s="288"/>
    </row>
    <row r="994">
      <c r="D994" s="288"/>
    </row>
    <row r="995">
      <c r="D995" s="288"/>
    </row>
    <row r="996">
      <c r="D996" s="288"/>
    </row>
    <row r="997">
      <c r="D997" s="288"/>
    </row>
    <row r="998">
      <c r="D998" s="288"/>
    </row>
    <row r="999">
      <c r="D999" s="288"/>
    </row>
    <row r="1000">
      <c r="D1000" s="28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4.0"/>
  </cols>
  <sheetData>
    <row r="1">
      <c r="A1" s="289" t="s">
        <v>1789</v>
      </c>
      <c r="B1" s="290"/>
      <c r="C1" s="291" t="s">
        <v>1790</v>
      </c>
      <c r="D1" s="291" t="s">
        <v>1791</v>
      </c>
      <c r="E1" s="291" t="s">
        <v>1792</v>
      </c>
      <c r="F1" s="291" t="s">
        <v>1793</v>
      </c>
      <c r="G1" s="291" t="s">
        <v>1794</v>
      </c>
      <c r="H1" s="291" t="s">
        <v>1795</v>
      </c>
    </row>
    <row r="2">
      <c r="A2" s="292" t="s">
        <v>1796</v>
      </c>
      <c r="B2" s="292" t="s">
        <v>1797</v>
      </c>
      <c r="C2" s="292" t="s">
        <v>1797</v>
      </c>
      <c r="D2" s="292" t="s">
        <v>1797</v>
      </c>
      <c r="E2" s="292" t="s">
        <v>1797</v>
      </c>
      <c r="F2" s="292" t="s">
        <v>1797</v>
      </c>
      <c r="G2" s="292" t="s">
        <v>1797</v>
      </c>
      <c r="H2" s="292" t="s">
        <v>1797</v>
      </c>
    </row>
    <row r="3">
      <c r="A3" s="293">
        <f>sum(Loads!Q35:Q39)</f>
        <v>402.59</v>
      </c>
      <c r="B3" s="293">
        <f>sum(Loads!Q35:Q40)</f>
        <v>482.32</v>
      </c>
      <c r="C3" s="293">
        <f>sum(Loads!Q41:Q46)</f>
        <v>419.43</v>
      </c>
      <c r="D3" s="293">
        <f>sum(Loads!Q47:Q95)</f>
        <v>1069.09</v>
      </c>
      <c r="E3" s="293">
        <f>sum(Loads!Q96:Q106)</f>
        <v>217.85</v>
      </c>
      <c r="F3" s="293">
        <f>sum(Loads!Q107:Q119)</f>
        <v>261.75</v>
      </c>
      <c r="G3" s="293">
        <f>sum(Loads!Q120:Q142)</f>
        <v>463.96</v>
      </c>
      <c r="H3" s="293">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82" t="s">
        <v>1798</v>
      </c>
      <c r="B1" s="82" t="s">
        <v>1799</v>
      </c>
      <c r="C1" s="82" t="s">
        <v>1800</v>
      </c>
      <c r="D1" s="82" t="s">
        <v>1801</v>
      </c>
      <c r="E1" s="82" t="s">
        <v>1802</v>
      </c>
      <c r="F1" s="294" t="s">
        <v>1803</v>
      </c>
      <c r="G1" s="82" t="s">
        <v>1804</v>
      </c>
      <c r="H1" s="216" t="s">
        <v>1805</v>
      </c>
      <c r="I1" s="82" t="s">
        <v>1806</v>
      </c>
      <c r="J1" s="82" t="s">
        <v>1807</v>
      </c>
      <c r="K1" s="82" t="s">
        <v>1808</v>
      </c>
      <c r="L1" s="82" t="s">
        <v>1809</v>
      </c>
      <c r="M1" s="295" t="s">
        <v>1810</v>
      </c>
      <c r="N1" s="296" t="s">
        <v>1811</v>
      </c>
      <c r="O1" s="297" t="s">
        <v>1812</v>
      </c>
      <c r="P1" s="297" t="s">
        <v>1813</v>
      </c>
      <c r="Q1" s="296" t="s">
        <v>1814</v>
      </c>
      <c r="R1" s="298" t="s">
        <v>1815</v>
      </c>
      <c r="S1" s="82" t="s">
        <v>1816</v>
      </c>
      <c r="T1" s="82" t="s">
        <v>1817</v>
      </c>
      <c r="U1" s="7" t="s">
        <v>1810</v>
      </c>
      <c r="V1" s="7" t="s">
        <v>1810</v>
      </c>
      <c r="W1" s="7" t="s">
        <v>1810</v>
      </c>
      <c r="X1" s="7" t="s">
        <v>1810</v>
      </c>
      <c r="Y1" s="7" t="s">
        <v>1810</v>
      </c>
      <c r="Z1" s="7" t="s">
        <v>1810</v>
      </c>
      <c r="AA1" s="7" t="s">
        <v>1810</v>
      </c>
      <c r="AB1" s="7" t="s">
        <v>1810</v>
      </c>
      <c r="AC1" s="7" t="s">
        <v>1810</v>
      </c>
      <c r="AD1" s="7" t="s">
        <v>1810</v>
      </c>
      <c r="AE1" s="7" t="s">
        <v>1810</v>
      </c>
      <c r="AF1" s="7" t="s">
        <v>1810</v>
      </c>
      <c r="AG1" s="7" t="s">
        <v>1810</v>
      </c>
      <c r="AH1" s="7" t="s">
        <v>1810</v>
      </c>
      <c r="AI1" s="7" t="s">
        <v>1810</v>
      </c>
      <c r="AJ1" s="7" t="s">
        <v>1810</v>
      </c>
      <c r="AK1" s="7" t="s">
        <v>1810</v>
      </c>
      <c r="AL1" s="7" t="s">
        <v>1810</v>
      </c>
      <c r="AM1" s="7" t="s">
        <v>1810</v>
      </c>
      <c r="AN1" s="7" t="s">
        <v>1810</v>
      </c>
      <c r="AO1" s="7" t="s">
        <v>1810</v>
      </c>
      <c r="AP1" s="7" t="s">
        <v>1810</v>
      </c>
      <c r="AQ1" s="7" t="s">
        <v>1810</v>
      </c>
      <c r="AR1" s="7" t="s">
        <v>1810</v>
      </c>
      <c r="AS1" s="7" t="s">
        <v>1810</v>
      </c>
      <c r="AT1" s="7" t="s">
        <v>1810</v>
      </c>
      <c r="AU1" s="7" t="s">
        <v>1810</v>
      </c>
      <c r="AV1" s="7" t="s">
        <v>1810</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186</v>
      </c>
      <c r="C2" s="1" t="s">
        <v>1818</v>
      </c>
      <c r="D2" s="1" t="s">
        <v>1819</v>
      </c>
      <c r="E2" s="1" t="s">
        <v>1820</v>
      </c>
      <c r="F2" s="287" t="s">
        <v>1821</v>
      </c>
      <c r="G2" s="299">
        <v>45302.666666666664</v>
      </c>
      <c r="H2" s="217">
        <f t="shared" ref="H2:H13" si="1">iferror(DATE(VALUE(MID(G2, 7, 2)) + 2000, VALUE(MID(G2, 4, 2)), VALUE(LEFT(G2, 2))) + TIMEVALUE(MID(G2, 10, 5)),G2 )
</f>
        <v>45597.66667</v>
      </c>
      <c r="I2" s="1" t="s">
        <v>1822</v>
      </c>
      <c r="J2" s="1" t="s">
        <v>1823</v>
      </c>
      <c r="K2" s="1" t="s">
        <v>1820</v>
      </c>
      <c r="L2" s="1" t="s">
        <v>1820</v>
      </c>
      <c r="M2" s="300"/>
      <c r="N2" s="192" t="str">
        <f>IFERROR(__xludf.DUMMYFUNCTION("QUERY(Loads!$2:$967,""select B where J='""&amp;B2&amp;""' order by L desc limit 1"")"),"#N/A")</f>
        <v>#N/A</v>
      </c>
      <c r="O2" s="301" t="str">
        <f>IFERROR(__xludf.DUMMYFUNCTION("QUERY(Loads!$2:$967,""select N where J='""&amp;B2&amp;""' order by L desc limit 1"")"),"#N/A")</f>
        <v>#N/A</v>
      </c>
      <c r="P2" s="301">
        <f>SUMIF(Blends!H$3:H$1004,N2, Blends!I$3:I$1004)+
 SUMIF(Blends!J$3:J$1004,N2, Blends!K$3:K$1004)+
 SUMIF(Blends!M$3:M$1004,N2, Blends!N$3:N$1004)+ SUMIF('Storage Data'!D$2:D$971,N2,'Storage Data'!G$2:G$971)</f>
        <v>0</v>
      </c>
      <c r="Q2" s="301" t="str">
        <f t="shared" ref="Q2:Q13" si="2">if(ROUND(O2-P2,0) &lt; 0, 0, ROUND(O2-P2,0))</f>
        <v>#N/A</v>
      </c>
      <c r="R2" s="302">
        <f t="shared" ref="R2:R13" si="3">ROUND(NOW() - H2, 0)</f>
        <v>549</v>
      </c>
      <c r="T2" s="1" t="s">
        <v>1824</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191</v>
      </c>
      <c r="C3" s="1" t="s">
        <v>1818</v>
      </c>
      <c r="D3" s="1" t="s">
        <v>1819</v>
      </c>
      <c r="E3" s="1" t="s">
        <v>1820</v>
      </c>
      <c r="F3" s="287" t="s">
        <v>1821</v>
      </c>
      <c r="G3" s="303">
        <v>45637.291666666664</v>
      </c>
      <c r="H3" s="217">
        <f t="shared" si="1"/>
        <v>45608.29167</v>
      </c>
      <c r="I3" s="1" t="s">
        <v>1822</v>
      </c>
      <c r="J3" s="1" t="s">
        <v>1823</v>
      </c>
      <c r="K3" s="1" t="s">
        <v>1820</v>
      </c>
      <c r="L3" s="1" t="s">
        <v>1820</v>
      </c>
      <c r="M3" s="300"/>
      <c r="N3" s="192" t="str">
        <f>IFERROR(__xludf.DUMMYFUNCTION("QUERY(Loads!$2:$967,""select B where J='""&amp;B3&amp;""' order by L desc limit 1"")"),"#N/A")</f>
        <v>#N/A</v>
      </c>
      <c r="O3" s="301" t="str">
        <f>IFERROR(__xludf.DUMMYFUNCTION("QUERY(Loads!$2:$967,""select N where J='""&amp;B3&amp;""' order by L desc limit 1"")"),"#N/A")</f>
        <v>#N/A</v>
      </c>
      <c r="P3" s="301">
        <f>SUMIF(Blends!H$3:H$1004,N3, Blends!I$3:I$1004)+
 SUMIF(Blends!J$3:J$1004,N3, Blends!K$3:K$1004)+
 SUMIF(Blends!M$3:M$1004,N3, Blends!N$3:N$1004)+ SUMIF('Storage Data'!D$2:D$971,N3,'Storage Data'!G$2:G$971)</f>
        <v>0</v>
      </c>
      <c r="Q3" s="301" t="str">
        <f t="shared" si="2"/>
        <v>#N/A</v>
      </c>
      <c r="R3" s="302">
        <f t="shared" si="3"/>
        <v>538</v>
      </c>
    </row>
    <row r="4">
      <c r="A4" s="1" t="s">
        <v>1825</v>
      </c>
      <c r="B4" s="1" t="s">
        <v>211</v>
      </c>
      <c r="C4" s="1" t="s">
        <v>1826</v>
      </c>
      <c r="D4" s="1" t="s">
        <v>1827</v>
      </c>
      <c r="E4" s="1" t="s">
        <v>1828</v>
      </c>
      <c r="F4" s="287" t="s">
        <v>1829</v>
      </c>
      <c r="G4" s="1" t="s">
        <v>1830</v>
      </c>
      <c r="H4" s="217">
        <f t="shared" si="1"/>
        <v>45589.625</v>
      </c>
      <c r="I4" s="1" t="s">
        <v>1831</v>
      </c>
      <c r="J4" s="1" t="s">
        <v>1820</v>
      </c>
      <c r="K4" s="1" t="s">
        <v>1823</v>
      </c>
      <c r="L4" s="1" t="s">
        <v>1823</v>
      </c>
      <c r="M4" s="304"/>
      <c r="N4" s="192" t="str">
        <f>IFERROR(__xludf.DUMMYFUNCTION("QUERY(Loads!$2:$967,""select B where J='""&amp;B4&amp;""' order by L desc limit 1"")"),"#N/A")</f>
        <v>#N/A</v>
      </c>
      <c r="O4" s="301" t="str">
        <f>IFERROR(__xludf.DUMMYFUNCTION("QUERY(Loads!$2:$967,""select N where J='""&amp;B4&amp;""' order by L desc limit 1"")"),"#N/A")</f>
        <v>#N/A</v>
      </c>
      <c r="P4" s="301">
        <f>SUMIF(Blends!H$3:H$1004,N4, Blends!I$3:I$1004)+
 SUMIF(Blends!J$3:J$1004,N4, Blends!K$3:K$1004)+
 SUMIF(Blends!M$3:M$1004,N4, Blends!N$3:N$1004)+ SUMIF('Storage Data'!D$2:D$971,N4,'Storage Data'!G$2:G$971)</f>
        <v>0</v>
      </c>
      <c r="Q4" s="301" t="str">
        <f t="shared" si="2"/>
        <v>#N/A</v>
      </c>
      <c r="R4" s="302">
        <f t="shared" si="3"/>
        <v>557</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178</v>
      </c>
      <c r="C5" s="1" t="s">
        <v>1826</v>
      </c>
      <c r="D5" s="1" t="s">
        <v>1819</v>
      </c>
      <c r="E5" s="1" t="s">
        <v>1820</v>
      </c>
      <c r="F5" s="287" t="s">
        <v>1832</v>
      </c>
      <c r="G5" s="1" t="s">
        <v>1833</v>
      </c>
      <c r="H5" s="217">
        <f t="shared" si="1"/>
        <v>45595.46111</v>
      </c>
      <c r="I5" s="1" t="s">
        <v>1822</v>
      </c>
      <c r="J5" s="1" t="s">
        <v>1820</v>
      </c>
      <c r="K5" s="1" t="s">
        <v>1823</v>
      </c>
      <c r="L5" s="1" t="s">
        <v>1823</v>
      </c>
      <c r="M5" s="300"/>
      <c r="N5" s="192" t="str">
        <f>IFERROR(__xludf.DUMMYFUNCTION("QUERY(Loads!$2:$967,""select B where J='""&amp;B5&amp;""' order by L desc limit 1"")"),"#N/A")</f>
        <v>#N/A</v>
      </c>
      <c r="O5" s="301" t="str">
        <f>IFERROR(__xludf.DUMMYFUNCTION("QUERY(Loads!$2:$967,""select N where J='""&amp;B5&amp;""' order by L desc limit 1"")"),"#N/A")</f>
        <v>#N/A</v>
      </c>
      <c r="P5" s="301">
        <f>SUMIF(Blends!H$3:H$1004,N5, Blends!I$3:I$1004)+
 SUMIF(Blends!J$3:J$1004,N5, Blends!K$3:K$1004)+
 SUMIF(Blends!M$3:M$1004,N5, Blends!N$3:N$1004)+ SUMIF('Storage Data'!D$2:D$971,N5,'Storage Data'!G$2:G$971)</f>
        <v>0</v>
      </c>
      <c r="Q5" s="301" t="str">
        <f t="shared" si="2"/>
        <v>#N/A</v>
      </c>
      <c r="R5" s="302">
        <f t="shared" si="3"/>
        <v>551</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207</v>
      </c>
      <c r="C6" s="1" t="s">
        <v>1826</v>
      </c>
      <c r="D6" s="1" t="s">
        <v>1819</v>
      </c>
      <c r="E6" s="1" t="s">
        <v>1828</v>
      </c>
      <c r="F6" s="287" t="s">
        <v>1829</v>
      </c>
      <c r="G6" s="1" t="s">
        <v>1834</v>
      </c>
      <c r="H6" s="217">
        <f t="shared" si="1"/>
        <v>45595.09375</v>
      </c>
      <c r="I6" s="1" t="s">
        <v>1831</v>
      </c>
      <c r="J6" s="1" t="s">
        <v>1820</v>
      </c>
      <c r="K6" s="1" t="s">
        <v>1823</v>
      </c>
      <c r="L6" s="1" t="s">
        <v>1823</v>
      </c>
      <c r="M6" s="300"/>
      <c r="N6" s="192" t="str">
        <f>IFERROR(__xludf.DUMMYFUNCTION("QUERY(Loads!$2:$967,""select B where J='""&amp;B6&amp;""' order by L desc limit 1"")"),"#N/A")</f>
        <v>#N/A</v>
      </c>
      <c r="O6" s="301" t="str">
        <f>IFERROR(__xludf.DUMMYFUNCTION("QUERY(Loads!$2:$967,""select N where J='""&amp;B6&amp;""' order by L desc limit 1"")"),"#N/A")</f>
        <v>#N/A</v>
      </c>
      <c r="P6" s="301">
        <f>SUMIF(Blends!H$3:H$1004,N6, Blends!I$3:I$1004)+
 SUMIF(Blends!J$3:J$1004,N6, Blends!K$3:K$1004)+
 SUMIF(Blends!M$3:M$1004,N6, Blends!N$3:N$1004)+ SUMIF('Storage Data'!D$2:D$971,N6,'Storage Data'!G$2:G$971)</f>
        <v>0</v>
      </c>
      <c r="Q6" s="301" t="str">
        <f t="shared" si="2"/>
        <v>#N/A</v>
      </c>
      <c r="R6" s="302">
        <f t="shared" si="3"/>
        <v>551</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182</v>
      </c>
      <c r="C7" s="1" t="s">
        <v>1826</v>
      </c>
      <c r="D7" s="1" t="s">
        <v>1819</v>
      </c>
      <c r="E7" s="1" t="s">
        <v>1835</v>
      </c>
      <c r="F7" s="287" t="s">
        <v>1836</v>
      </c>
      <c r="G7" s="303">
        <v>45637.35763888889</v>
      </c>
      <c r="H7" s="217">
        <f t="shared" si="1"/>
        <v>45608.35764</v>
      </c>
      <c r="I7" s="1" t="s">
        <v>1837</v>
      </c>
      <c r="J7" s="1" t="s">
        <v>1820</v>
      </c>
      <c r="K7" s="1" t="s">
        <v>1823</v>
      </c>
      <c r="L7" s="1" t="s">
        <v>1823</v>
      </c>
      <c r="M7" s="300"/>
      <c r="N7" s="192" t="str">
        <f>IFERROR(__xludf.DUMMYFUNCTION("QUERY(Loads!$2:$967,""select B where J='""&amp;B7&amp;""' order by L desc limit 1"")"),"#N/A")</f>
        <v>#N/A</v>
      </c>
      <c r="O7" s="301" t="str">
        <f>IFERROR(__xludf.DUMMYFUNCTION("QUERY(Loads!$2:$967,""select N where J='""&amp;B7&amp;""' order by L desc limit 1"")"),"#N/A")</f>
        <v>#N/A</v>
      </c>
      <c r="P7" s="301">
        <f>SUMIF(Blends!H$3:H$45,N7, Blends!I$3:I$45)+
 SUMIF(Blends!J$3:J$45,N7, Blends!K$3:K$45)+
 SUMIF(Blends!M$3:M$45,N7, Blends!N$3:N$45)+SUMIF('Storage Data'!D$2:D$971,N7,'Storage Data'!G$2:G$971)</f>
        <v>0</v>
      </c>
      <c r="Q7" s="301" t="str">
        <f t="shared" si="2"/>
        <v>#N/A</v>
      </c>
      <c r="R7" s="302">
        <f t="shared" si="3"/>
        <v>538</v>
      </c>
      <c r="T7" s="1" t="s">
        <v>1838</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119</v>
      </c>
      <c r="C8" s="1" t="s">
        <v>1826</v>
      </c>
      <c r="D8" s="1" t="s">
        <v>1819</v>
      </c>
      <c r="E8" s="1" t="s">
        <v>1828</v>
      </c>
      <c r="F8" s="287" t="s">
        <v>1829</v>
      </c>
      <c r="G8" s="303">
        <v>45576.43402777778</v>
      </c>
      <c r="H8" s="217">
        <f t="shared" si="1"/>
        <v>45606.43403</v>
      </c>
      <c r="I8" s="1" t="s">
        <v>1831</v>
      </c>
      <c r="J8" s="1" t="s">
        <v>1820</v>
      </c>
      <c r="K8" s="1" t="s">
        <v>1823</v>
      </c>
      <c r="L8" s="1" t="s">
        <v>1823</v>
      </c>
      <c r="M8" s="300"/>
      <c r="N8" s="192" t="str">
        <f>IFERROR(__xludf.DUMMYFUNCTION("QUERY(Loads!$2:$967,""select B where J='""&amp;B8&amp;""' order by L desc limit 1"")"),"#N/A")</f>
        <v>#N/A</v>
      </c>
      <c r="O8" s="301" t="str">
        <f>IFERROR(__xludf.DUMMYFUNCTION("QUERY(Loads!$2:$967,""select N where J='""&amp;B8&amp;""' order by L desc limit 1"")"),"#N/A")</f>
        <v>#N/A</v>
      </c>
      <c r="P8" s="301">
        <f>SUMIF(Blends!H$3:H$1004,N8, Blends!I$3:I$1004)+
 SUMIF(Blends!J$3:J$1004,N8, Blends!K$3:K$1004)+
 SUMIF(Blends!M$3:M$1004,N8, Blends!N$3:N$1004)</f>
        <v>0</v>
      </c>
      <c r="Q8" s="301" t="str">
        <f t="shared" si="2"/>
        <v>#N/A</v>
      </c>
      <c r="R8" s="302">
        <f t="shared" si="3"/>
        <v>540</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123</v>
      </c>
      <c r="C9" s="1" t="s">
        <v>1826</v>
      </c>
      <c r="D9" s="1" t="s">
        <v>1819</v>
      </c>
      <c r="E9" s="1" t="s">
        <v>1828</v>
      </c>
      <c r="F9" s="287" t="s">
        <v>1829</v>
      </c>
      <c r="G9" s="1" t="s">
        <v>1830</v>
      </c>
      <c r="H9" s="217">
        <f t="shared" si="1"/>
        <v>45589.625</v>
      </c>
      <c r="I9" s="1" t="s">
        <v>1831</v>
      </c>
      <c r="J9" s="1" t="s">
        <v>1820</v>
      </c>
      <c r="K9" s="1" t="s">
        <v>1823</v>
      </c>
      <c r="L9" s="1" t="s">
        <v>1823</v>
      </c>
      <c r="M9" s="300"/>
      <c r="N9" s="192" t="str">
        <f>IFERROR(__xludf.DUMMYFUNCTION("QUERY(Loads!$2:$967,""select B where J='""&amp;B9&amp;""' order by L desc limit 1"")"),"#N/A")</f>
        <v>#N/A</v>
      </c>
      <c r="O9" s="301" t="str">
        <f>IFERROR(__xludf.DUMMYFUNCTION("QUERY(Loads!$2:$967,""select N where J='""&amp;B9&amp;""' order by L desc limit 1"")"),"#N/A")</f>
        <v>#N/A</v>
      </c>
      <c r="P9" s="301">
        <f>SUMIF(Blends!H$3:H$1004,N9, Blends!I$3:I$1004)+
 SUMIF(Blends!J$3:J$1004,N9, Blends!K$3:K$1004)+
 SUMIF(Blends!M$3:M$1004,N9, Blends!N$3:N$1004)</f>
        <v>0</v>
      </c>
      <c r="Q9" s="301" t="str">
        <f t="shared" si="2"/>
        <v>#N/A</v>
      </c>
      <c r="R9" s="302">
        <f t="shared" si="3"/>
        <v>557</v>
      </c>
      <c r="T9" s="1" t="s">
        <v>1838</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203</v>
      </c>
      <c r="C10" s="1" t="s">
        <v>1826</v>
      </c>
      <c r="D10" s="1" t="s">
        <v>1819</v>
      </c>
      <c r="E10" s="1" t="s">
        <v>1823</v>
      </c>
      <c r="F10" s="287" t="s">
        <v>1821</v>
      </c>
      <c r="G10" s="1" t="s">
        <v>1839</v>
      </c>
      <c r="H10" s="217">
        <f t="shared" si="1"/>
        <v>45583.31389</v>
      </c>
      <c r="I10" s="1" t="s">
        <v>1831</v>
      </c>
      <c r="J10" s="1" t="s">
        <v>1820</v>
      </c>
      <c r="K10" s="1" t="s">
        <v>1823</v>
      </c>
      <c r="L10" s="1" t="s">
        <v>1823</v>
      </c>
      <c r="M10" s="300"/>
      <c r="N10" s="192" t="str">
        <f>IFERROR(__xludf.DUMMYFUNCTION("QUERY(Loads!$2:$967,""select B where J='""&amp;B10&amp;""' order by L desc limit 1"")"),"#N/A")</f>
        <v>#N/A</v>
      </c>
      <c r="O10" s="301" t="str">
        <f>IFERROR(__xludf.DUMMYFUNCTION("QUERY(Loads!$2:$967,""select N where J='""&amp;B10&amp;""' order by L desc limit 1"")"),"#N/A")</f>
        <v>#N/A</v>
      </c>
      <c r="P10" s="301">
        <f>SUMIF(Blends!H$3:H$1004,N10, Blends!I$3:I$1004)+
 SUMIF(Blends!J$3:J$1004,N10, Blends!K$3:K$1004)+
 SUMIF(Blends!M$3:M$1004,N10, Blends!N$3:N$1004)</f>
        <v>0</v>
      </c>
      <c r="Q10" s="301" t="str">
        <f t="shared" si="2"/>
        <v>#N/A</v>
      </c>
      <c r="R10" s="302">
        <f t="shared" si="3"/>
        <v>563</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195</v>
      </c>
      <c r="C11" s="1" t="s">
        <v>1826</v>
      </c>
      <c r="D11" s="1" t="s">
        <v>1819</v>
      </c>
      <c r="E11" s="1" t="s">
        <v>1823</v>
      </c>
      <c r="F11" s="287" t="s">
        <v>1821</v>
      </c>
      <c r="G11" s="305">
        <v>45453.52013888889</v>
      </c>
      <c r="H11" s="217">
        <f t="shared" si="1"/>
        <v>45453.52014</v>
      </c>
      <c r="I11" s="1" t="s">
        <v>1831</v>
      </c>
      <c r="J11" s="1" t="s">
        <v>1820</v>
      </c>
      <c r="K11" s="1" t="s">
        <v>1823</v>
      </c>
      <c r="L11" s="1" t="s">
        <v>1823</v>
      </c>
      <c r="M11" s="300"/>
      <c r="N11" s="192" t="str">
        <f>IFERROR(__xludf.DUMMYFUNCTION("QUERY(Loads!$2:$967,""select B where J='""&amp;B11&amp;""' order by L desc limit 1"")"),"#N/A")</f>
        <v>#N/A</v>
      </c>
      <c r="O11" s="301" t="str">
        <f>IFERROR(__xludf.DUMMYFUNCTION("QUERY(Loads!$2:$967,""select N where J='""&amp;B11&amp;""' order by L desc limit 1"")"),"#N/A")</f>
        <v>#N/A</v>
      </c>
      <c r="P11" s="301">
        <f>SUMIF(Blends!H$3:H$1004,N11, Blends!I$3:I$1004)+
 SUMIF(Blends!J$3:J$1004,N11, Blends!K$3:K$1004)+
 SUMIF(Blends!M$3:M$1004,N11, Blends!N$3:N$1004)+ SUMIF('Storage Data'!D$2:D$971,N11,'Storage Data'!G$2:G$971)</f>
        <v>0</v>
      </c>
      <c r="Q11" s="301" t="str">
        <f t="shared" si="2"/>
        <v>#N/A</v>
      </c>
      <c r="R11" s="302">
        <f t="shared" si="3"/>
        <v>693</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199</v>
      </c>
      <c r="C12" s="1" t="s">
        <v>1826</v>
      </c>
      <c r="D12" s="1" t="s">
        <v>1819</v>
      </c>
      <c r="E12" s="1" t="s">
        <v>1823</v>
      </c>
      <c r="F12" s="287" t="s">
        <v>1821</v>
      </c>
      <c r="G12" s="1" t="s">
        <v>1840</v>
      </c>
      <c r="H12" s="217">
        <f t="shared" si="1"/>
        <v>45565.64931</v>
      </c>
      <c r="I12" s="1" t="s">
        <v>1831</v>
      </c>
      <c r="J12" s="1" t="s">
        <v>1820</v>
      </c>
      <c r="K12" s="1" t="s">
        <v>1823</v>
      </c>
      <c r="L12" s="1" t="s">
        <v>1823</v>
      </c>
      <c r="M12" s="300"/>
      <c r="N12" s="192" t="str">
        <f>IFERROR(__xludf.DUMMYFUNCTION("QUERY(Loads!$2:$967,""select B where J='""&amp;B12&amp;""' order by L desc limit 1"")"),"#N/A")</f>
        <v>#N/A</v>
      </c>
      <c r="O12" s="301" t="str">
        <f>IFERROR(__xludf.DUMMYFUNCTION("QUERY(Loads!$2:$967,""select N where J='""&amp;B12&amp;""' order by L desc limit 1"")"),"#N/A")</f>
        <v>#N/A</v>
      </c>
      <c r="P12" s="301">
        <f>SUMIF(Blends!H$3:H$1004,N12, Blends!I$3:I$1004)+
 SUMIF(Blends!J$3:J$1004,N12, Blends!K$3:K$1004)+
 SUMIF(Blends!M$3:M$1004,N12, Blends!N$3:N$1004)+ SUMIF('Storage Data'!D$2:D$971,N12,'Storage Data'!G$2:G$971)</f>
        <v>0</v>
      </c>
      <c r="Q12" s="301" t="str">
        <f t="shared" si="2"/>
        <v>#N/A</v>
      </c>
      <c r="R12" s="302">
        <f t="shared" si="3"/>
        <v>581</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116</v>
      </c>
      <c r="C13" s="1" t="s">
        <v>1826</v>
      </c>
      <c r="D13" s="1" t="s">
        <v>1819</v>
      </c>
      <c r="E13" s="1" t="s">
        <v>1823</v>
      </c>
      <c r="F13" s="287" t="s">
        <v>1821</v>
      </c>
      <c r="G13" s="1" t="s">
        <v>1841</v>
      </c>
      <c r="H13" s="217">
        <f t="shared" si="1"/>
        <v>45594.6375</v>
      </c>
      <c r="I13" s="1" t="s">
        <v>1831</v>
      </c>
      <c r="J13" s="1" t="s">
        <v>1820</v>
      </c>
      <c r="K13" s="1" t="s">
        <v>1823</v>
      </c>
      <c r="L13" s="1" t="s">
        <v>1823</v>
      </c>
      <c r="M13" s="300"/>
      <c r="N13" s="192" t="str">
        <f>IFERROR(__xludf.DUMMYFUNCTION("QUERY(Loads!$2:$967,""select B where J='""&amp;B13&amp;""' order by L desc limit 1"")"),"#N/A")</f>
        <v>#N/A</v>
      </c>
      <c r="O13" s="301" t="str">
        <f>IFERROR(__xludf.DUMMYFUNCTION("QUERY(Loads!$2:$967,""select N where J='""&amp;B13&amp;""' order by L desc limit 1"")"),"#N/A")</f>
        <v>#N/A</v>
      </c>
      <c r="P13" s="301">
        <f>SUMIF(Blends!H$3:H$1004,N13, Blends!I$3:I$1004)+
 SUMIF(Blends!J$3:J$1004,N13, Blends!K$3:K$1004)+
 SUMIF(Blends!M$3:M$1004,N13, Blends!N$3:N$1004)</f>
        <v>0</v>
      </c>
      <c r="Q13" s="301" t="str">
        <f t="shared" si="2"/>
        <v>#N/A</v>
      </c>
      <c r="R13" s="302">
        <f t="shared" si="3"/>
        <v>552</v>
      </c>
      <c r="T13" s="1" t="s">
        <v>1838</v>
      </c>
    </row>
    <row r="14">
      <c r="A14" s="90"/>
      <c r="F14" s="288"/>
      <c r="G14" s="218"/>
      <c r="M14" s="304"/>
      <c r="N14" s="192"/>
      <c r="O14" s="301"/>
      <c r="P14" s="301"/>
      <c r="Q14" s="192"/>
      <c r="R14" s="302"/>
    </row>
    <row r="15">
      <c r="A15" s="90"/>
      <c r="F15" s="288"/>
      <c r="G15" s="218"/>
      <c r="M15" s="304"/>
      <c r="N15" s="192"/>
      <c r="O15" s="301"/>
      <c r="P15" s="301"/>
      <c r="Q15" s="192"/>
      <c r="R15" s="302"/>
    </row>
    <row r="16">
      <c r="A16" s="90"/>
      <c r="F16" s="288"/>
      <c r="G16" s="218"/>
      <c r="M16" s="304"/>
      <c r="N16" s="192"/>
      <c r="O16" s="301"/>
      <c r="P16" s="301"/>
      <c r="Q16" s="192"/>
      <c r="R16" s="302"/>
    </row>
    <row r="17">
      <c r="A17" s="90"/>
      <c r="F17" s="288"/>
      <c r="G17" s="218"/>
      <c r="M17" s="304"/>
      <c r="N17" s="192"/>
      <c r="O17" s="301"/>
      <c r="P17" s="301"/>
      <c r="Q17" s="192"/>
      <c r="R17" s="302"/>
    </row>
    <row r="18">
      <c r="A18" s="90"/>
      <c r="F18" s="288"/>
      <c r="G18" s="218"/>
      <c r="M18" s="304"/>
      <c r="N18" s="192"/>
      <c r="O18" s="301"/>
      <c r="P18" s="301"/>
      <c r="Q18" s="192"/>
      <c r="R18" s="302"/>
    </row>
    <row r="19">
      <c r="A19" s="90"/>
      <c r="F19" s="288"/>
      <c r="G19" s="218"/>
      <c r="M19" s="304"/>
      <c r="N19" s="192"/>
      <c r="O19" s="301"/>
      <c r="P19" s="301"/>
      <c r="Q19" s="192"/>
      <c r="R19" s="302"/>
    </row>
    <row r="20">
      <c r="A20" s="90"/>
      <c r="F20" s="288"/>
      <c r="G20" s="218"/>
      <c r="M20" s="304"/>
      <c r="N20" s="192"/>
      <c r="O20" s="301"/>
      <c r="P20" s="301"/>
      <c r="Q20" s="192"/>
      <c r="R20" s="302"/>
    </row>
    <row r="21">
      <c r="A21" s="90"/>
      <c r="F21" s="288"/>
      <c r="G21" s="218"/>
      <c r="M21" s="304"/>
      <c r="N21" s="192"/>
      <c r="O21" s="301"/>
      <c r="P21" s="301"/>
      <c r="Q21" s="192"/>
      <c r="R21" s="302"/>
    </row>
    <row r="22">
      <c r="A22" s="90"/>
      <c r="F22" s="288"/>
      <c r="G22" s="218"/>
      <c r="M22" s="304"/>
      <c r="N22" s="192"/>
      <c r="O22" s="301"/>
      <c r="P22" s="301"/>
      <c r="Q22" s="192"/>
      <c r="R22" s="302"/>
    </row>
    <row r="23">
      <c r="A23" s="90"/>
      <c r="F23" s="288"/>
      <c r="G23" s="218"/>
      <c r="M23" s="304"/>
      <c r="N23" s="192"/>
      <c r="O23" s="301"/>
      <c r="P23" s="301"/>
      <c r="Q23" s="192"/>
      <c r="R23" s="302"/>
    </row>
    <row r="24">
      <c r="A24" s="90"/>
      <c r="F24" s="288"/>
      <c r="G24" s="218"/>
      <c r="M24" s="304"/>
      <c r="N24" s="192"/>
      <c r="O24" s="301"/>
      <c r="P24" s="301"/>
      <c r="Q24" s="192"/>
      <c r="R24" s="302"/>
    </row>
    <row r="25">
      <c r="A25" s="90"/>
      <c r="F25" s="288"/>
      <c r="G25" s="218"/>
      <c r="M25" s="304"/>
      <c r="N25" s="192"/>
      <c r="O25" s="301"/>
      <c r="P25" s="301"/>
      <c r="Q25" s="192"/>
      <c r="R25" s="302"/>
    </row>
    <row r="26">
      <c r="A26" s="90"/>
      <c r="F26" s="288"/>
      <c r="G26" s="218"/>
      <c r="M26" s="304"/>
      <c r="N26" s="192"/>
      <c r="O26" s="301"/>
      <c r="P26" s="301"/>
      <c r="Q26" s="192"/>
      <c r="R26" s="302"/>
    </row>
    <row r="27">
      <c r="A27" s="90"/>
      <c r="F27" s="288"/>
      <c r="G27" s="218"/>
      <c r="M27" s="304"/>
      <c r="N27" s="192"/>
      <c r="O27" s="301"/>
      <c r="P27" s="301"/>
      <c r="Q27" s="192"/>
      <c r="R27" s="302"/>
    </row>
    <row r="28">
      <c r="A28" s="90"/>
      <c r="F28" s="288"/>
      <c r="G28" s="218"/>
      <c r="M28" s="304"/>
      <c r="N28" s="192"/>
      <c r="O28" s="301"/>
      <c r="P28" s="301"/>
      <c r="Q28" s="192"/>
      <c r="R28" s="302"/>
    </row>
    <row r="29">
      <c r="A29" s="90"/>
      <c r="F29" s="288"/>
      <c r="G29" s="218"/>
      <c r="M29" s="304"/>
      <c r="N29" s="192"/>
      <c r="O29" s="301"/>
      <c r="P29" s="301"/>
      <c r="Q29" s="192"/>
      <c r="R29" s="302"/>
    </row>
    <row r="30">
      <c r="A30" s="90"/>
      <c r="F30" s="288"/>
      <c r="G30" s="218"/>
      <c r="M30" s="304"/>
      <c r="N30" s="192"/>
      <c r="O30" s="301"/>
      <c r="P30" s="301"/>
      <c r="Q30" s="192"/>
      <c r="R30" s="302"/>
    </row>
    <row r="31">
      <c r="A31" s="90"/>
      <c r="F31" s="288"/>
      <c r="G31" s="218"/>
      <c r="M31" s="304"/>
      <c r="N31" s="192"/>
      <c r="O31" s="301"/>
      <c r="P31" s="301"/>
      <c r="Q31" s="192"/>
      <c r="R31" s="302"/>
    </row>
    <row r="32">
      <c r="A32" s="90"/>
      <c r="F32" s="288"/>
      <c r="G32" s="218"/>
      <c r="M32" s="304"/>
      <c r="N32" s="192"/>
      <c r="O32" s="301"/>
      <c r="P32" s="301"/>
      <c r="Q32" s="192"/>
      <c r="R32" s="302"/>
    </row>
    <row r="33">
      <c r="A33" s="90"/>
      <c r="F33" s="288"/>
      <c r="G33" s="218"/>
      <c r="M33" s="304"/>
      <c r="N33" s="192"/>
      <c r="O33" s="301"/>
      <c r="P33" s="301"/>
      <c r="Q33" s="192"/>
      <c r="R33" s="302"/>
    </row>
    <row r="34">
      <c r="A34" s="90"/>
      <c r="F34" s="288"/>
      <c r="G34" s="218"/>
      <c r="M34" s="304"/>
      <c r="N34" s="192"/>
      <c r="O34" s="301"/>
      <c r="P34" s="301"/>
      <c r="Q34" s="192"/>
      <c r="R34" s="302"/>
    </row>
    <row r="35">
      <c r="A35" s="90"/>
      <c r="F35" s="288"/>
      <c r="G35" s="218"/>
      <c r="M35" s="304"/>
      <c r="N35" s="192"/>
      <c r="O35" s="301"/>
      <c r="P35" s="301"/>
      <c r="Q35" s="192"/>
      <c r="R35" s="302"/>
    </row>
    <row r="36">
      <c r="A36" s="90"/>
      <c r="F36" s="288"/>
      <c r="G36" s="218"/>
      <c r="M36" s="304"/>
      <c r="N36" s="192"/>
      <c r="O36" s="301"/>
      <c r="P36" s="301"/>
      <c r="Q36" s="192"/>
      <c r="R36" s="302"/>
    </row>
    <row r="37">
      <c r="A37" s="90"/>
      <c r="F37" s="288"/>
      <c r="G37" s="218"/>
      <c r="M37" s="304"/>
      <c r="N37" s="192"/>
      <c r="O37" s="301"/>
      <c r="P37" s="301"/>
      <c r="Q37" s="192"/>
      <c r="R37" s="302"/>
    </row>
    <row r="38">
      <c r="A38" s="90"/>
      <c r="F38" s="288"/>
      <c r="G38" s="218"/>
      <c r="M38" s="304"/>
      <c r="N38" s="192"/>
      <c r="O38" s="301"/>
      <c r="P38" s="301"/>
      <c r="Q38" s="192"/>
      <c r="R38" s="302"/>
    </row>
    <row r="39">
      <c r="A39" s="90"/>
      <c r="F39" s="288"/>
      <c r="G39" s="218"/>
      <c r="M39" s="304"/>
      <c r="N39" s="192"/>
      <c r="O39" s="301"/>
      <c r="P39" s="301"/>
      <c r="Q39" s="192"/>
      <c r="R39" s="302"/>
    </row>
    <row r="40">
      <c r="A40" s="90"/>
      <c r="F40" s="288"/>
      <c r="G40" s="218"/>
      <c r="M40" s="304"/>
      <c r="N40" s="192"/>
      <c r="O40" s="301"/>
      <c r="P40" s="301"/>
      <c r="Q40" s="192"/>
      <c r="R40" s="302"/>
    </row>
    <row r="41">
      <c r="A41" s="90"/>
      <c r="F41" s="288"/>
      <c r="G41" s="218"/>
      <c r="M41" s="304"/>
      <c r="N41" s="192"/>
      <c r="O41" s="301"/>
      <c r="P41" s="301"/>
      <c r="Q41" s="192"/>
      <c r="R41" s="302"/>
    </row>
    <row r="42">
      <c r="A42" s="90"/>
      <c r="F42" s="288"/>
      <c r="G42" s="218"/>
      <c r="M42" s="304"/>
      <c r="N42" s="192"/>
      <c r="O42" s="301"/>
      <c r="P42" s="301"/>
      <c r="Q42" s="192"/>
      <c r="R42" s="302"/>
    </row>
    <row r="43">
      <c r="A43" s="90"/>
      <c r="F43" s="288"/>
      <c r="G43" s="218"/>
      <c r="M43" s="304"/>
      <c r="N43" s="192"/>
      <c r="O43" s="301"/>
      <c r="P43" s="301"/>
      <c r="Q43" s="192"/>
      <c r="R43" s="302"/>
    </row>
    <row r="44">
      <c r="A44" s="90"/>
      <c r="F44" s="288"/>
      <c r="G44" s="218"/>
      <c r="M44" s="304"/>
      <c r="N44" s="192"/>
      <c r="O44" s="301"/>
      <c r="P44" s="301"/>
      <c r="Q44" s="192"/>
      <c r="R44" s="302"/>
    </row>
    <row r="45">
      <c r="A45" s="90"/>
      <c r="F45" s="288"/>
      <c r="G45" s="218"/>
      <c r="M45" s="304"/>
      <c r="N45" s="192"/>
      <c r="O45" s="301"/>
      <c r="P45" s="301"/>
      <c r="Q45" s="192"/>
      <c r="R45" s="302"/>
    </row>
    <row r="46">
      <c r="A46" s="90"/>
      <c r="F46" s="288"/>
      <c r="G46" s="218"/>
      <c r="M46" s="304"/>
      <c r="N46" s="192"/>
      <c r="O46" s="301"/>
      <c r="P46" s="301"/>
      <c r="Q46" s="192"/>
      <c r="R46" s="302"/>
    </row>
    <row r="47">
      <c r="A47" s="90"/>
      <c r="F47" s="288"/>
      <c r="G47" s="218"/>
      <c r="M47" s="304"/>
      <c r="N47" s="192"/>
      <c r="O47" s="301"/>
      <c r="P47" s="301"/>
      <c r="Q47" s="192"/>
      <c r="R47" s="302"/>
    </row>
    <row r="48">
      <c r="A48" s="90"/>
      <c r="F48" s="288"/>
      <c r="G48" s="218"/>
      <c r="M48" s="304"/>
      <c r="N48" s="192"/>
      <c r="O48" s="301"/>
      <c r="P48" s="301"/>
      <c r="Q48" s="192"/>
      <c r="R48" s="302"/>
    </row>
    <row r="49">
      <c r="A49" s="90"/>
      <c r="F49" s="288"/>
      <c r="G49" s="218"/>
      <c r="M49" s="304"/>
      <c r="N49" s="192"/>
      <c r="O49" s="301"/>
      <c r="P49" s="301"/>
      <c r="Q49" s="192"/>
      <c r="R49" s="302"/>
    </row>
    <row r="50">
      <c r="A50" s="90"/>
      <c r="F50" s="288"/>
      <c r="G50" s="218"/>
      <c r="M50" s="304"/>
      <c r="N50" s="192"/>
      <c r="O50" s="301"/>
      <c r="P50" s="301"/>
      <c r="Q50" s="192"/>
      <c r="R50" s="302"/>
    </row>
    <row r="51">
      <c r="A51" s="90"/>
      <c r="F51" s="288"/>
      <c r="G51" s="218"/>
      <c r="M51" s="304"/>
      <c r="N51" s="192"/>
      <c r="O51" s="301"/>
      <c r="P51" s="301"/>
      <c r="Q51" s="192"/>
      <c r="R51" s="302"/>
    </row>
    <row r="52">
      <c r="A52" s="90"/>
      <c r="F52" s="288"/>
      <c r="G52" s="218"/>
      <c r="M52" s="304"/>
      <c r="N52" s="192"/>
      <c r="O52" s="301"/>
      <c r="P52" s="301"/>
      <c r="Q52" s="192"/>
      <c r="R52" s="302"/>
    </row>
    <row r="53">
      <c r="A53" s="90"/>
      <c r="F53" s="288"/>
      <c r="G53" s="218"/>
      <c r="M53" s="304"/>
      <c r="N53" s="192"/>
      <c r="O53" s="301"/>
      <c r="P53" s="301"/>
      <c r="Q53" s="192"/>
      <c r="R53" s="302"/>
    </row>
    <row r="54">
      <c r="A54" s="90"/>
      <c r="F54" s="288"/>
      <c r="G54" s="218"/>
      <c r="M54" s="304"/>
      <c r="N54" s="192"/>
      <c r="O54" s="301"/>
      <c r="P54" s="301"/>
      <c r="Q54" s="192"/>
      <c r="R54" s="302"/>
    </row>
    <row r="55">
      <c r="A55" s="90"/>
      <c r="F55" s="288"/>
      <c r="G55" s="218"/>
      <c r="M55" s="304"/>
      <c r="N55" s="192"/>
      <c r="O55" s="301"/>
      <c r="P55" s="301"/>
      <c r="Q55" s="192"/>
      <c r="R55" s="302"/>
    </row>
    <row r="56">
      <c r="A56" s="90"/>
      <c r="F56" s="288"/>
      <c r="G56" s="218"/>
      <c r="M56" s="304"/>
      <c r="N56" s="192"/>
      <c r="O56" s="301"/>
      <c r="P56" s="301"/>
      <c r="Q56" s="192"/>
      <c r="R56" s="302"/>
    </row>
    <row r="57">
      <c r="A57" s="90"/>
      <c r="F57" s="288"/>
      <c r="G57" s="218"/>
      <c r="M57" s="304"/>
      <c r="N57" s="192"/>
      <c r="O57" s="301"/>
      <c r="P57" s="301"/>
      <c r="Q57" s="192"/>
      <c r="R57" s="302"/>
    </row>
    <row r="58">
      <c r="A58" s="90"/>
      <c r="F58" s="288"/>
      <c r="G58" s="218"/>
      <c r="M58" s="304"/>
      <c r="N58" s="192"/>
      <c r="O58" s="301"/>
      <c r="P58" s="301"/>
      <c r="Q58" s="192"/>
      <c r="R58" s="302"/>
    </row>
    <row r="59">
      <c r="A59" s="90"/>
      <c r="F59" s="288"/>
      <c r="G59" s="218"/>
      <c r="M59" s="304"/>
      <c r="N59" s="192"/>
      <c r="O59" s="301"/>
      <c r="P59" s="301"/>
      <c r="Q59" s="192"/>
      <c r="R59" s="302"/>
    </row>
    <row r="60">
      <c r="A60" s="90"/>
      <c r="F60" s="288"/>
      <c r="G60" s="218"/>
      <c r="M60" s="304"/>
      <c r="N60" s="192"/>
      <c r="O60" s="301"/>
      <c r="P60" s="301"/>
      <c r="Q60" s="192"/>
      <c r="R60" s="302"/>
    </row>
    <row r="61">
      <c r="A61" s="90"/>
      <c r="F61" s="288"/>
      <c r="G61" s="218"/>
      <c r="M61" s="304"/>
      <c r="N61" s="192"/>
      <c r="O61" s="301"/>
      <c r="P61" s="301"/>
      <c r="Q61" s="192"/>
      <c r="R61" s="302"/>
    </row>
    <row r="62">
      <c r="A62" s="90"/>
      <c r="F62" s="288"/>
      <c r="G62" s="218"/>
      <c r="M62" s="304"/>
      <c r="N62" s="192"/>
      <c r="O62" s="301"/>
      <c r="P62" s="301"/>
      <c r="Q62" s="192"/>
      <c r="R62" s="302"/>
    </row>
    <row r="63">
      <c r="A63" s="90"/>
      <c r="F63" s="288"/>
      <c r="G63" s="218"/>
      <c r="M63" s="304"/>
      <c r="N63" s="192"/>
      <c r="O63" s="301"/>
      <c r="P63" s="301"/>
      <c r="Q63" s="192"/>
      <c r="R63" s="302"/>
    </row>
    <row r="64">
      <c r="A64" s="90"/>
      <c r="F64" s="288"/>
      <c r="G64" s="218"/>
      <c r="M64" s="304"/>
      <c r="N64" s="192"/>
      <c r="O64" s="301"/>
      <c r="P64" s="301"/>
      <c r="Q64" s="192"/>
      <c r="R64" s="302"/>
    </row>
    <row r="65">
      <c r="A65" s="90"/>
      <c r="F65" s="288"/>
      <c r="G65" s="218"/>
      <c r="M65" s="304"/>
      <c r="N65" s="192"/>
      <c r="O65" s="301"/>
      <c r="P65" s="301"/>
      <c r="Q65" s="192"/>
      <c r="R65" s="302"/>
    </row>
    <row r="66">
      <c r="A66" s="90"/>
      <c r="F66" s="288"/>
      <c r="G66" s="218"/>
      <c r="M66" s="304"/>
      <c r="N66" s="192"/>
      <c r="O66" s="301"/>
      <c r="P66" s="301"/>
      <c r="Q66" s="192"/>
      <c r="R66" s="302"/>
    </row>
    <row r="67">
      <c r="A67" s="90"/>
      <c r="F67" s="288"/>
      <c r="G67" s="218"/>
      <c r="M67" s="304"/>
      <c r="N67" s="192"/>
      <c r="O67" s="301"/>
      <c r="P67" s="301"/>
      <c r="Q67" s="192"/>
      <c r="R67" s="302"/>
    </row>
    <row r="68">
      <c r="A68" s="90"/>
      <c r="F68" s="288"/>
      <c r="G68" s="218"/>
      <c r="M68" s="304"/>
      <c r="N68" s="192"/>
      <c r="O68" s="301"/>
      <c r="P68" s="301"/>
      <c r="Q68" s="192"/>
      <c r="R68" s="302"/>
    </row>
    <row r="69">
      <c r="A69" s="90"/>
      <c r="F69" s="288"/>
      <c r="G69" s="218"/>
      <c r="M69" s="304"/>
      <c r="N69" s="192"/>
      <c r="O69" s="301"/>
      <c r="P69" s="301"/>
      <c r="Q69" s="192"/>
      <c r="R69" s="302"/>
    </row>
    <row r="70">
      <c r="A70" s="90"/>
      <c r="F70" s="288"/>
      <c r="G70" s="218"/>
      <c r="M70" s="304"/>
      <c r="N70" s="192"/>
      <c r="O70" s="301"/>
      <c r="P70" s="301"/>
      <c r="Q70" s="192"/>
      <c r="R70" s="302"/>
    </row>
    <row r="71">
      <c r="A71" s="90"/>
      <c r="F71" s="288"/>
      <c r="G71" s="218"/>
      <c r="M71" s="304"/>
      <c r="N71" s="192"/>
      <c r="O71" s="301"/>
      <c r="P71" s="301"/>
      <c r="Q71" s="192"/>
      <c r="R71" s="302"/>
    </row>
    <row r="72">
      <c r="A72" s="90"/>
      <c r="F72" s="288"/>
      <c r="G72" s="218"/>
      <c r="M72" s="304"/>
      <c r="N72" s="192"/>
      <c r="O72" s="301"/>
      <c r="P72" s="301"/>
      <c r="Q72" s="192"/>
      <c r="R72" s="302"/>
    </row>
    <row r="73">
      <c r="A73" s="90"/>
      <c r="F73" s="288"/>
      <c r="G73" s="218"/>
      <c r="M73" s="304"/>
      <c r="N73" s="192"/>
      <c r="O73" s="301"/>
      <c r="P73" s="301"/>
      <c r="Q73" s="192"/>
      <c r="R73" s="302"/>
    </row>
    <row r="74">
      <c r="A74" s="90"/>
      <c r="F74" s="288"/>
      <c r="G74" s="218"/>
      <c r="M74" s="304"/>
      <c r="N74" s="192"/>
      <c r="O74" s="301"/>
      <c r="P74" s="301"/>
      <c r="Q74" s="192"/>
      <c r="R74" s="302"/>
    </row>
    <row r="75">
      <c r="A75" s="90"/>
      <c r="F75" s="288"/>
      <c r="G75" s="218"/>
      <c r="M75" s="304"/>
      <c r="N75" s="192"/>
      <c r="O75" s="301"/>
      <c r="P75" s="301"/>
      <c r="Q75" s="192"/>
      <c r="R75" s="302"/>
    </row>
    <row r="76">
      <c r="A76" s="90"/>
      <c r="F76" s="288"/>
      <c r="G76" s="218"/>
      <c r="M76" s="304"/>
      <c r="N76" s="192"/>
      <c r="O76" s="301"/>
      <c r="P76" s="301"/>
      <c r="Q76" s="192"/>
      <c r="R76" s="302"/>
    </row>
    <row r="77">
      <c r="A77" s="90"/>
      <c r="F77" s="288"/>
      <c r="G77" s="218"/>
      <c r="M77" s="304"/>
      <c r="N77" s="192"/>
      <c r="O77" s="301"/>
      <c r="P77" s="301"/>
      <c r="Q77" s="192"/>
      <c r="R77" s="302"/>
    </row>
    <row r="78">
      <c r="A78" s="90"/>
      <c r="F78" s="288"/>
      <c r="G78" s="218"/>
      <c r="M78" s="304"/>
      <c r="N78" s="192"/>
      <c r="O78" s="301"/>
      <c r="P78" s="301"/>
      <c r="Q78" s="192"/>
      <c r="R78" s="302"/>
    </row>
    <row r="79">
      <c r="A79" s="90"/>
      <c r="F79" s="288"/>
      <c r="G79" s="218"/>
      <c r="M79" s="304"/>
      <c r="N79" s="192"/>
      <c r="O79" s="301"/>
      <c r="P79" s="301"/>
      <c r="Q79" s="192"/>
      <c r="R79" s="302"/>
    </row>
    <row r="80">
      <c r="A80" s="90"/>
      <c r="F80" s="288"/>
      <c r="G80" s="218"/>
      <c r="M80" s="304"/>
      <c r="N80" s="192"/>
      <c r="O80" s="301"/>
      <c r="P80" s="301"/>
      <c r="Q80" s="192"/>
      <c r="R80" s="302"/>
    </row>
    <row r="81">
      <c r="A81" s="90"/>
      <c r="F81" s="288"/>
      <c r="G81" s="218"/>
      <c r="M81" s="304"/>
      <c r="N81" s="192"/>
      <c r="O81" s="301"/>
      <c r="P81" s="301"/>
      <c r="Q81" s="192"/>
      <c r="R81" s="302"/>
    </row>
    <row r="82">
      <c r="A82" s="90"/>
      <c r="F82" s="288"/>
      <c r="G82" s="218"/>
      <c r="M82" s="304"/>
      <c r="N82" s="192"/>
      <c r="O82" s="301"/>
      <c r="P82" s="301"/>
      <c r="Q82" s="192"/>
      <c r="R82" s="302"/>
    </row>
    <row r="83">
      <c r="A83" s="90"/>
      <c r="F83" s="288"/>
      <c r="G83" s="218"/>
      <c r="M83" s="304"/>
      <c r="N83" s="192"/>
      <c r="O83" s="301"/>
      <c r="P83" s="301"/>
      <c r="Q83" s="192"/>
      <c r="R83" s="302"/>
    </row>
    <row r="84">
      <c r="A84" s="90"/>
      <c r="F84" s="288"/>
      <c r="G84" s="218"/>
      <c r="M84" s="304"/>
      <c r="N84" s="192"/>
      <c r="O84" s="301"/>
      <c r="P84" s="301"/>
      <c r="Q84" s="192"/>
      <c r="R84" s="302"/>
    </row>
    <row r="85">
      <c r="A85" s="90"/>
      <c r="F85" s="288"/>
      <c r="G85" s="218"/>
      <c r="M85" s="304"/>
      <c r="N85" s="192"/>
      <c r="O85" s="301"/>
      <c r="P85" s="301"/>
      <c r="Q85" s="192"/>
      <c r="R85" s="302"/>
    </row>
    <row r="86">
      <c r="A86" s="90"/>
      <c r="F86" s="288"/>
      <c r="G86" s="218"/>
      <c r="M86" s="304"/>
      <c r="N86" s="192"/>
      <c r="O86" s="301"/>
      <c r="P86" s="301"/>
      <c r="Q86" s="192"/>
      <c r="R86" s="302"/>
    </row>
    <row r="87">
      <c r="A87" s="90"/>
      <c r="F87" s="288"/>
      <c r="G87" s="218"/>
      <c r="M87" s="304"/>
      <c r="N87" s="192"/>
      <c r="O87" s="301"/>
      <c r="P87" s="301"/>
      <c r="Q87" s="192"/>
      <c r="R87" s="302"/>
    </row>
    <row r="88">
      <c r="A88" s="90"/>
      <c r="F88" s="288"/>
      <c r="G88" s="218"/>
      <c r="M88" s="304"/>
      <c r="N88" s="192"/>
      <c r="O88" s="301"/>
      <c r="P88" s="301"/>
      <c r="Q88" s="192"/>
      <c r="R88" s="302"/>
    </row>
    <row r="89">
      <c r="A89" s="90"/>
      <c r="F89" s="288"/>
      <c r="G89" s="218"/>
      <c r="M89" s="304"/>
      <c r="N89" s="192"/>
      <c r="O89" s="301"/>
      <c r="P89" s="301"/>
      <c r="Q89" s="192"/>
      <c r="R89" s="302"/>
    </row>
    <row r="90">
      <c r="A90" s="90"/>
      <c r="F90" s="288"/>
      <c r="G90" s="218"/>
      <c r="M90" s="304"/>
      <c r="N90" s="192"/>
      <c r="O90" s="301"/>
      <c r="P90" s="301"/>
      <c r="Q90" s="192"/>
      <c r="R90" s="302"/>
    </row>
    <row r="91">
      <c r="A91" s="90"/>
      <c r="F91" s="288"/>
      <c r="G91" s="218"/>
      <c r="M91" s="304"/>
      <c r="N91" s="192"/>
      <c r="O91" s="301"/>
      <c r="P91" s="301"/>
      <c r="Q91" s="192"/>
      <c r="R91" s="302"/>
    </row>
    <row r="92">
      <c r="A92" s="90"/>
      <c r="F92" s="288"/>
      <c r="G92" s="218"/>
      <c r="M92" s="304"/>
      <c r="N92" s="192"/>
      <c r="O92" s="301"/>
      <c r="P92" s="301"/>
      <c r="Q92" s="192"/>
      <c r="R92" s="302"/>
    </row>
    <row r="93">
      <c r="A93" s="90"/>
      <c r="F93" s="288"/>
      <c r="G93" s="218"/>
      <c r="M93" s="304"/>
      <c r="N93" s="192"/>
      <c r="O93" s="301"/>
      <c r="P93" s="301"/>
      <c r="Q93" s="192"/>
      <c r="R93" s="302"/>
    </row>
    <row r="94">
      <c r="A94" s="90"/>
      <c r="F94" s="288"/>
      <c r="G94" s="218"/>
      <c r="M94" s="304"/>
      <c r="N94" s="192"/>
      <c r="O94" s="301"/>
      <c r="P94" s="301"/>
      <c r="Q94" s="192"/>
      <c r="R94" s="302"/>
    </row>
    <row r="95">
      <c r="A95" s="90"/>
      <c r="F95" s="288"/>
      <c r="G95" s="218"/>
      <c r="M95" s="304"/>
      <c r="N95" s="192"/>
      <c r="O95" s="301"/>
      <c r="P95" s="301"/>
      <c r="Q95" s="192"/>
      <c r="R95" s="302"/>
    </row>
    <row r="96">
      <c r="A96" s="90"/>
      <c r="F96" s="288"/>
      <c r="G96" s="218"/>
      <c r="M96" s="304"/>
      <c r="N96" s="192"/>
      <c r="O96" s="301"/>
      <c r="P96" s="301"/>
      <c r="Q96" s="192"/>
      <c r="R96" s="302"/>
    </row>
    <row r="97">
      <c r="A97" s="90"/>
      <c r="F97" s="288"/>
      <c r="G97" s="218"/>
      <c r="M97" s="304"/>
      <c r="N97" s="192"/>
      <c r="O97" s="301"/>
      <c r="P97" s="301"/>
      <c r="Q97" s="192"/>
      <c r="R97" s="302"/>
    </row>
    <row r="98">
      <c r="A98" s="90"/>
      <c r="F98" s="288"/>
      <c r="G98" s="218"/>
      <c r="M98" s="304"/>
      <c r="N98" s="192"/>
      <c r="O98" s="301"/>
      <c r="P98" s="301"/>
      <c r="Q98" s="192"/>
      <c r="R98" s="302"/>
    </row>
    <row r="99">
      <c r="A99" s="90"/>
      <c r="F99" s="288"/>
      <c r="G99" s="218"/>
      <c r="M99" s="304"/>
      <c r="N99" s="192"/>
      <c r="O99" s="301"/>
      <c r="P99" s="301"/>
      <c r="Q99" s="192"/>
      <c r="R99" s="302"/>
    </row>
    <row r="100">
      <c r="A100" s="90"/>
      <c r="F100" s="288"/>
      <c r="G100" s="218"/>
      <c r="M100" s="304"/>
      <c r="N100" s="192"/>
      <c r="O100" s="301"/>
      <c r="P100" s="301"/>
      <c r="Q100" s="192"/>
      <c r="R100" s="302"/>
    </row>
    <row r="101">
      <c r="A101" s="90"/>
      <c r="F101" s="288"/>
      <c r="G101" s="218"/>
      <c r="M101" s="304"/>
      <c r="N101" s="192"/>
      <c r="O101" s="301"/>
      <c r="P101" s="301"/>
      <c r="Q101" s="192"/>
      <c r="R101" s="302"/>
    </row>
    <row r="102">
      <c r="A102" s="90"/>
      <c r="F102" s="288"/>
      <c r="G102" s="218"/>
      <c r="M102" s="304"/>
      <c r="N102" s="192"/>
      <c r="O102" s="301"/>
      <c r="P102" s="301"/>
      <c r="Q102" s="192"/>
      <c r="R102" s="302"/>
    </row>
    <row r="103">
      <c r="A103" s="90"/>
      <c r="F103" s="288"/>
      <c r="G103" s="218"/>
      <c r="M103" s="304"/>
      <c r="N103" s="192"/>
      <c r="O103" s="301"/>
      <c r="P103" s="301"/>
      <c r="Q103" s="192"/>
      <c r="R103" s="302"/>
    </row>
    <row r="104">
      <c r="A104" s="90"/>
      <c r="F104" s="288"/>
      <c r="G104" s="218"/>
      <c r="M104" s="304"/>
      <c r="N104" s="192"/>
      <c r="O104" s="301"/>
      <c r="P104" s="301"/>
      <c r="Q104" s="192"/>
      <c r="R104" s="302"/>
    </row>
    <row r="105">
      <c r="A105" s="90"/>
      <c r="F105" s="288"/>
      <c r="G105" s="218"/>
      <c r="M105" s="304"/>
      <c r="N105" s="192"/>
      <c r="O105" s="301"/>
      <c r="P105" s="301"/>
      <c r="Q105" s="192"/>
      <c r="R105" s="302"/>
    </row>
    <row r="106">
      <c r="A106" s="90"/>
      <c r="F106" s="288"/>
      <c r="G106" s="218"/>
      <c r="M106" s="304"/>
      <c r="N106" s="192"/>
      <c r="O106" s="301"/>
      <c r="P106" s="301"/>
      <c r="Q106" s="192"/>
      <c r="R106" s="302"/>
    </row>
    <row r="107">
      <c r="A107" s="90"/>
      <c r="F107" s="288"/>
      <c r="G107" s="218"/>
      <c r="M107" s="304"/>
      <c r="N107" s="192"/>
      <c r="O107" s="301"/>
      <c r="P107" s="301"/>
      <c r="Q107" s="192"/>
      <c r="R107" s="302"/>
    </row>
    <row r="108">
      <c r="A108" s="90"/>
      <c r="F108" s="288"/>
      <c r="G108" s="218"/>
      <c r="M108" s="304"/>
      <c r="N108" s="192"/>
      <c r="O108" s="301"/>
      <c r="P108" s="301"/>
      <c r="Q108" s="192"/>
      <c r="R108" s="302"/>
    </row>
    <row r="109">
      <c r="A109" s="90"/>
      <c r="F109" s="288"/>
      <c r="G109" s="218"/>
      <c r="M109" s="304"/>
      <c r="N109" s="192"/>
      <c r="O109" s="301"/>
      <c r="P109" s="301"/>
      <c r="Q109" s="192"/>
      <c r="R109" s="302"/>
    </row>
    <row r="110">
      <c r="A110" s="90"/>
      <c r="F110" s="288"/>
      <c r="G110" s="218"/>
      <c r="M110" s="304"/>
      <c r="N110" s="192"/>
      <c r="O110" s="301"/>
      <c r="P110" s="301"/>
      <c r="Q110" s="192"/>
      <c r="R110" s="302"/>
    </row>
    <row r="111">
      <c r="A111" s="90"/>
      <c r="F111" s="288"/>
      <c r="G111" s="218"/>
      <c r="M111" s="304"/>
      <c r="N111" s="192"/>
      <c r="O111" s="301"/>
      <c r="P111" s="301"/>
      <c r="Q111" s="192"/>
      <c r="R111" s="302"/>
    </row>
    <row r="112">
      <c r="A112" s="90"/>
      <c r="F112" s="288"/>
      <c r="G112" s="218"/>
      <c r="M112" s="304"/>
      <c r="N112" s="192"/>
      <c r="O112" s="301"/>
      <c r="P112" s="301"/>
      <c r="Q112" s="192"/>
      <c r="R112" s="302"/>
    </row>
    <row r="113">
      <c r="A113" s="90"/>
      <c r="F113" s="288"/>
      <c r="G113" s="218"/>
      <c r="M113" s="304"/>
      <c r="N113" s="192"/>
      <c r="O113" s="301"/>
      <c r="P113" s="301"/>
      <c r="Q113" s="192"/>
      <c r="R113" s="302"/>
    </row>
    <row r="114">
      <c r="A114" s="90"/>
      <c r="F114" s="288"/>
      <c r="G114" s="218"/>
      <c r="M114" s="304"/>
      <c r="N114" s="192"/>
      <c r="O114" s="301"/>
      <c r="P114" s="301"/>
      <c r="Q114" s="192"/>
      <c r="R114" s="302"/>
    </row>
    <row r="115">
      <c r="A115" s="90"/>
      <c r="F115" s="288"/>
      <c r="G115" s="218"/>
      <c r="M115" s="304"/>
      <c r="N115" s="192"/>
      <c r="O115" s="301"/>
      <c r="P115" s="301"/>
      <c r="Q115" s="192"/>
      <c r="R115" s="302"/>
    </row>
    <row r="116">
      <c r="A116" s="90"/>
      <c r="F116" s="288"/>
      <c r="G116" s="218"/>
      <c r="M116" s="304"/>
      <c r="N116" s="192"/>
      <c r="O116" s="301"/>
      <c r="P116" s="301"/>
      <c r="Q116" s="192"/>
      <c r="R116" s="302"/>
    </row>
    <row r="117">
      <c r="A117" s="90"/>
      <c r="F117" s="288"/>
      <c r="G117" s="218"/>
      <c r="M117" s="304"/>
      <c r="N117" s="192"/>
      <c r="O117" s="301"/>
      <c r="P117" s="301"/>
      <c r="Q117" s="192"/>
      <c r="R117" s="302"/>
    </row>
    <row r="118">
      <c r="A118" s="90"/>
      <c r="F118" s="288"/>
      <c r="G118" s="218"/>
      <c r="M118" s="304"/>
      <c r="N118" s="192"/>
      <c r="O118" s="301"/>
      <c r="P118" s="301"/>
      <c r="Q118" s="192"/>
      <c r="R118" s="302"/>
    </row>
    <row r="119">
      <c r="A119" s="90"/>
      <c r="F119" s="288"/>
      <c r="G119" s="218"/>
      <c r="M119" s="304"/>
      <c r="N119" s="192"/>
      <c r="O119" s="301"/>
      <c r="P119" s="301"/>
      <c r="Q119" s="192"/>
      <c r="R119" s="302"/>
    </row>
    <row r="120">
      <c r="A120" s="90"/>
      <c r="F120" s="288"/>
      <c r="G120" s="218"/>
      <c r="M120" s="304"/>
      <c r="N120" s="192"/>
      <c r="O120" s="301"/>
      <c r="P120" s="301"/>
      <c r="Q120" s="192"/>
      <c r="R120" s="302"/>
    </row>
    <row r="121">
      <c r="A121" s="90"/>
      <c r="F121" s="288"/>
      <c r="G121" s="218"/>
      <c r="M121" s="304"/>
      <c r="N121" s="192"/>
      <c r="O121" s="301"/>
      <c r="P121" s="301"/>
      <c r="Q121" s="192"/>
      <c r="R121" s="302"/>
    </row>
    <row r="122">
      <c r="A122" s="90"/>
      <c r="F122" s="288"/>
      <c r="G122" s="218"/>
      <c r="M122" s="304"/>
      <c r="N122" s="192"/>
      <c r="O122" s="301"/>
      <c r="P122" s="301"/>
      <c r="Q122" s="192"/>
      <c r="R122" s="302"/>
    </row>
    <row r="123">
      <c r="A123" s="90"/>
      <c r="F123" s="288"/>
      <c r="G123" s="218"/>
      <c r="M123" s="304"/>
      <c r="N123" s="192"/>
      <c r="O123" s="301"/>
      <c r="P123" s="301"/>
      <c r="Q123" s="192"/>
      <c r="R123" s="302"/>
    </row>
    <row r="124">
      <c r="A124" s="90"/>
      <c r="F124" s="288"/>
      <c r="G124" s="218"/>
      <c r="M124" s="304"/>
      <c r="N124" s="192"/>
      <c r="O124" s="301"/>
      <c r="P124" s="301"/>
      <c r="Q124" s="192"/>
      <c r="R124" s="302"/>
    </row>
    <row r="125">
      <c r="A125" s="90"/>
      <c r="F125" s="288"/>
      <c r="G125" s="218"/>
      <c r="M125" s="304"/>
      <c r="N125" s="192"/>
      <c r="O125" s="301"/>
      <c r="P125" s="301"/>
      <c r="Q125" s="192"/>
      <c r="R125" s="302"/>
    </row>
    <row r="126">
      <c r="A126" s="90"/>
      <c r="F126" s="288"/>
      <c r="G126" s="218"/>
      <c r="M126" s="304"/>
      <c r="N126" s="192"/>
      <c r="O126" s="301"/>
      <c r="P126" s="301"/>
      <c r="Q126" s="192"/>
      <c r="R126" s="302"/>
    </row>
    <row r="127">
      <c r="A127" s="90"/>
      <c r="F127" s="288"/>
      <c r="G127" s="218"/>
      <c r="M127" s="304"/>
      <c r="N127" s="192"/>
      <c r="O127" s="301"/>
      <c r="P127" s="301"/>
      <c r="Q127" s="192"/>
      <c r="R127" s="302"/>
    </row>
    <row r="128">
      <c r="A128" s="90"/>
      <c r="F128" s="288"/>
      <c r="G128" s="218"/>
      <c r="M128" s="304"/>
      <c r="N128" s="192"/>
      <c r="O128" s="301"/>
      <c r="P128" s="301"/>
      <c r="Q128" s="192"/>
      <c r="R128" s="302"/>
    </row>
    <row r="129">
      <c r="A129" s="90"/>
      <c r="F129" s="288"/>
      <c r="G129" s="218"/>
      <c r="M129" s="304"/>
      <c r="N129" s="192"/>
      <c r="O129" s="301"/>
      <c r="P129" s="301"/>
      <c r="Q129" s="192"/>
      <c r="R129" s="302"/>
    </row>
    <row r="130">
      <c r="A130" s="90"/>
      <c r="F130" s="288"/>
      <c r="G130" s="218"/>
      <c r="M130" s="304"/>
      <c r="N130" s="192"/>
      <c r="O130" s="301"/>
      <c r="P130" s="301"/>
      <c r="Q130" s="192"/>
      <c r="R130" s="302"/>
    </row>
    <row r="131">
      <c r="A131" s="90"/>
      <c r="F131" s="288"/>
      <c r="G131" s="218"/>
      <c r="M131" s="304"/>
      <c r="N131" s="192"/>
      <c r="O131" s="301"/>
      <c r="P131" s="301"/>
      <c r="Q131" s="192"/>
      <c r="R131" s="302"/>
    </row>
    <row r="132">
      <c r="A132" s="90"/>
      <c r="F132" s="288"/>
      <c r="G132" s="218"/>
      <c r="M132" s="304"/>
      <c r="N132" s="192"/>
      <c r="O132" s="301"/>
      <c r="P132" s="301"/>
      <c r="Q132" s="192"/>
      <c r="R132" s="302"/>
    </row>
    <row r="133">
      <c r="A133" s="90"/>
      <c r="F133" s="288"/>
      <c r="G133" s="218"/>
      <c r="M133" s="304"/>
      <c r="N133" s="192"/>
      <c r="O133" s="301"/>
      <c r="P133" s="301"/>
      <c r="Q133" s="192"/>
      <c r="R133" s="302"/>
    </row>
    <row r="134">
      <c r="A134" s="90"/>
      <c r="F134" s="288"/>
      <c r="G134" s="218"/>
      <c r="M134" s="304"/>
      <c r="N134" s="192"/>
      <c r="O134" s="301"/>
      <c r="P134" s="301"/>
      <c r="Q134" s="192"/>
      <c r="R134" s="302"/>
    </row>
    <row r="135">
      <c r="A135" s="90"/>
      <c r="F135" s="288"/>
      <c r="G135" s="218"/>
      <c r="M135" s="304"/>
      <c r="N135" s="192"/>
      <c r="O135" s="301"/>
      <c r="P135" s="301"/>
      <c r="Q135" s="192"/>
      <c r="R135" s="302"/>
    </row>
    <row r="136">
      <c r="A136" s="90"/>
      <c r="F136" s="288"/>
      <c r="G136" s="218"/>
      <c r="M136" s="304"/>
      <c r="N136" s="192"/>
      <c r="O136" s="301"/>
      <c r="P136" s="301"/>
      <c r="Q136" s="192"/>
      <c r="R136" s="302"/>
    </row>
    <row r="137">
      <c r="A137" s="90"/>
      <c r="F137" s="288"/>
      <c r="G137" s="218"/>
      <c r="M137" s="304"/>
      <c r="N137" s="192"/>
      <c r="O137" s="301"/>
      <c r="P137" s="301"/>
      <c r="Q137" s="192"/>
      <c r="R137" s="302"/>
    </row>
    <row r="138">
      <c r="A138" s="90"/>
      <c r="F138" s="288"/>
      <c r="G138" s="218"/>
      <c r="M138" s="304"/>
      <c r="N138" s="192"/>
      <c r="O138" s="301"/>
      <c r="P138" s="301"/>
      <c r="Q138" s="192"/>
      <c r="R138" s="302"/>
    </row>
    <row r="139">
      <c r="A139" s="90"/>
      <c r="F139" s="288"/>
      <c r="G139" s="218"/>
      <c r="M139" s="304"/>
      <c r="N139" s="192"/>
      <c r="O139" s="301"/>
      <c r="P139" s="301"/>
      <c r="Q139" s="192"/>
      <c r="R139" s="302"/>
    </row>
    <row r="140">
      <c r="A140" s="90"/>
      <c r="F140" s="288"/>
      <c r="G140" s="218"/>
      <c r="M140" s="304"/>
      <c r="N140" s="192"/>
      <c r="O140" s="301"/>
      <c r="P140" s="301"/>
      <c r="Q140" s="192"/>
      <c r="R140" s="302"/>
    </row>
    <row r="141">
      <c r="A141" s="90"/>
      <c r="F141" s="288"/>
      <c r="G141" s="218"/>
      <c r="M141" s="304"/>
      <c r="N141" s="192"/>
      <c r="O141" s="301"/>
      <c r="P141" s="301"/>
      <c r="Q141" s="192"/>
      <c r="R141" s="302"/>
    </row>
    <row r="142">
      <c r="A142" s="90"/>
      <c r="F142" s="288"/>
      <c r="G142" s="218"/>
      <c r="M142" s="304"/>
      <c r="N142" s="192"/>
      <c r="O142" s="301"/>
      <c r="P142" s="301"/>
      <c r="Q142" s="192"/>
      <c r="R142" s="302"/>
    </row>
    <row r="143">
      <c r="A143" s="90"/>
      <c r="F143" s="288"/>
      <c r="G143" s="218"/>
      <c r="M143" s="304"/>
      <c r="N143" s="192"/>
      <c r="O143" s="301"/>
      <c r="P143" s="301"/>
      <c r="Q143" s="192"/>
      <c r="R143" s="302"/>
    </row>
    <row r="144">
      <c r="A144" s="90"/>
      <c r="F144" s="288"/>
      <c r="G144" s="218"/>
      <c r="M144" s="304"/>
      <c r="N144" s="192"/>
      <c r="O144" s="301"/>
      <c r="P144" s="301"/>
      <c r="Q144" s="192"/>
      <c r="R144" s="302"/>
    </row>
    <row r="145">
      <c r="A145" s="90"/>
      <c r="F145" s="288"/>
      <c r="G145" s="218"/>
      <c r="M145" s="304"/>
      <c r="N145" s="192"/>
      <c r="O145" s="301"/>
      <c r="P145" s="301"/>
      <c r="Q145" s="192"/>
      <c r="R145" s="302"/>
    </row>
    <row r="146">
      <c r="A146" s="90"/>
      <c r="F146" s="288"/>
      <c r="G146" s="218"/>
      <c r="M146" s="304"/>
      <c r="N146" s="192"/>
      <c r="O146" s="301"/>
      <c r="P146" s="301"/>
      <c r="Q146" s="192"/>
      <c r="R146" s="302"/>
    </row>
    <row r="147">
      <c r="A147" s="90"/>
      <c r="F147" s="288"/>
      <c r="G147" s="218"/>
      <c r="M147" s="304"/>
      <c r="N147" s="192"/>
      <c r="O147" s="301"/>
      <c r="P147" s="301"/>
      <c r="Q147" s="192"/>
      <c r="R147" s="302"/>
    </row>
    <row r="148">
      <c r="A148" s="90"/>
      <c r="F148" s="288"/>
      <c r="G148" s="218"/>
      <c r="M148" s="304"/>
      <c r="N148" s="192"/>
      <c r="O148" s="301"/>
      <c r="P148" s="301"/>
      <c r="Q148" s="192"/>
      <c r="R148" s="302"/>
    </row>
    <row r="149">
      <c r="A149" s="90"/>
      <c r="F149" s="288"/>
      <c r="G149" s="218"/>
      <c r="M149" s="304"/>
      <c r="N149" s="192"/>
      <c r="O149" s="301"/>
      <c r="P149" s="301"/>
      <c r="Q149" s="192"/>
      <c r="R149" s="302"/>
    </row>
    <row r="150">
      <c r="A150" s="90"/>
      <c r="F150" s="288"/>
      <c r="G150" s="218"/>
      <c r="M150" s="304"/>
      <c r="N150" s="192"/>
      <c r="O150" s="301"/>
      <c r="P150" s="301"/>
      <c r="Q150" s="192"/>
      <c r="R150" s="302"/>
    </row>
    <row r="151">
      <c r="A151" s="90"/>
      <c r="F151" s="288"/>
      <c r="G151" s="218"/>
      <c r="M151" s="304"/>
      <c r="N151" s="192"/>
      <c r="O151" s="301"/>
      <c r="P151" s="301"/>
      <c r="Q151" s="192"/>
      <c r="R151" s="302"/>
    </row>
    <row r="152">
      <c r="A152" s="90"/>
      <c r="F152" s="288"/>
      <c r="G152" s="218"/>
      <c r="M152" s="304"/>
      <c r="N152" s="192"/>
      <c r="O152" s="301"/>
      <c r="P152" s="301"/>
      <c r="Q152" s="192"/>
      <c r="R152" s="302"/>
    </row>
    <row r="153">
      <c r="A153" s="90"/>
      <c r="F153" s="288"/>
      <c r="G153" s="218"/>
      <c r="M153" s="304"/>
      <c r="N153" s="192"/>
      <c r="O153" s="301"/>
      <c r="P153" s="301"/>
      <c r="Q153" s="192"/>
      <c r="R153" s="302"/>
    </row>
    <row r="154">
      <c r="A154" s="90"/>
      <c r="F154" s="288"/>
      <c r="G154" s="218"/>
      <c r="M154" s="304"/>
      <c r="N154" s="192"/>
      <c r="O154" s="301"/>
      <c r="P154" s="301"/>
      <c r="Q154" s="192"/>
      <c r="R154" s="302"/>
    </row>
    <row r="155">
      <c r="A155" s="90"/>
      <c r="F155" s="288"/>
      <c r="G155" s="218"/>
      <c r="M155" s="304"/>
      <c r="N155" s="192"/>
      <c r="O155" s="301"/>
      <c r="P155" s="301"/>
      <c r="Q155" s="192"/>
      <c r="R155" s="302"/>
    </row>
    <row r="156">
      <c r="A156" s="90"/>
      <c r="F156" s="288"/>
      <c r="G156" s="218"/>
      <c r="M156" s="304"/>
      <c r="N156" s="192"/>
      <c r="O156" s="301"/>
      <c r="P156" s="301"/>
      <c r="Q156" s="192"/>
      <c r="R156" s="302"/>
    </row>
    <row r="157">
      <c r="A157" s="90"/>
      <c r="F157" s="288"/>
      <c r="G157" s="218"/>
      <c r="M157" s="304"/>
      <c r="N157" s="192"/>
      <c r="O157" s="301"/>
      <c r="P157" s="301"/>
      <c r="Q157" s="192"/>
      <c r="R157" s="302"/>
    </row>
    <row r="158">
      <c r="A158" s="90"/>
      <c r="F158" s="288"/>
      <c r="G158" s="218"/>
      <c r="M158" s="304"/>
      <c r="N158" s="192"/>
      <c r="O158" s="301"/>
      <c r="P158" s="301"/>
      <c r="Q158" s="192"/>
      <c r="R158" s="302"/>
    </row>
    <row r="159">
      <c r="A159" s="90"/>
      <c r="F159" s="288"/>
      <c r="G159" s="218"/>
      <c r="M159" s="304"/>
      <c r="N159" s="192"/>
      <c r="O159" s="301"/>
      <c r="P159" s="301"/>
      <c r="Q159" s="192"/>
      <c r="R159" s="302"/>
    </row>
    <row r="160">
      <c r="A160" s="90"/>
      <c r="F160" s="288"/>
      <c r="G160" s="218"/>
      <c r="M160" s="304"/>
      <c r="N160" s="192"/>
      <c r="O160" s="301"/>
      <c r="P160" s="301"/>
      <c r="Q160" s="192"/>
      <c r="R160" s="302"/>
    </row>
    <row r="161">
      <c r="A161" s="90"/>
      <c r="F161" s="288"/>
      <c r="G161" s="218"/>
      <c r="M161" s="304"/>
      <c r="N161" s="192"/>
      <c r="O161" s="301"/>
      <c r="P161" s="301"/>
      <c r="Q161" s="192"/>
      <c r="R161" s="302"/>
    </row>
    <row r="162">
      <c r="A162" s="90"/>
      <c r="F162" s="288"/>
      <c r="G162" s="218"/>
      <c r="M162" s="304"/>
      <c r="N162" s="192"/>
      <c r="O162" s="301"/>
      <c r="P162" s="301"/>
      <c r="Q162" s="192"/>
      <c r="R162" s="302"/>
    </row>
    <row r="163">
      <c r="A163" s="90"/>
      <c r="F163" s="288"/>
      <c r="G163" s="218"/>
      <c r="M163" s="304"/>
      <c r="N163" s="192"/>
      <c r="O163" s="301"/>
      <c r="P163" s="301"/>
      <c r="Q163" s="192"/>
      <c r="R163" s="302"/>
    </row>
    <row r="164">
      <c r="A164" s="90"/>
      <c r="F164" s="288"/>
      <c r="G164" s="218"/>
      <c r="M164" s="304"/>
      <c r="N164" s="192"/>
      <c r="O164" s="301"/>
      <c r="P164" s="301"/>
      <c r="Q164" s="192"/>
      <c r="R164" s="302"/>
    </row>
    <row r="165">
      <c r="A165" s="90"/>
      <c r="F165" s="288"/>
      <c r="G165" s="218"/>
      <c r="M165" s="304"/>
      <c r="N165" s="192"/>
      <c r="O165" s="301"/>
      <c r="P165" s="301"/>
      <c r="Q165" s="192"/>
      <c r="R165" s="302"/>
    </row>
    <row r="166">
      <c r="A166" s="90"/>
      <c r="F166" s="288"/>
      <c r="G166" s="218"/>
      <c r="M166" s="304"/>
      <c r="N166" s="192"/>
      <c r="O166" s="301"/>
      <c r="P166" s="301"/>
      <c r="Q166" s="192"/>
      <c r="R166" s="302"/>
    </row>
    <row r="167">
      <c r="A167" s="90"/>
      <c r="F167" s="288"/>
      <c r="G167" s="218"/>
      <c r="M167" s="304"/>
      <c r="N167" s="192"/>
      <c r="O167" s="301"/>
      <c r="P167" s="301"/>
      <c r="Q167" s="192"/>
      <c r="R167" s="302"/>
    </row>
    <row r="168">
      <c r="A168" s="90"/>
      <c r="F168" s="288"/>
      <c r="G168" s="218"/>
      <c r="M168" s="304"/>
      <c r="N168" s="192"/>
      <c r="O168" s="301"/>
      <c r="P168" s="301"/>
      <c r="Q168" s="192"/>
      <c r="R168" s="302"/>
    </row>
    <row r="169">
      <c r="A169" s="90"/>
      <c r="F169" s="288"/>
      <c r="G169" s="218"/>
      <c r="M169" s="304"/>
      <c r="N169" s="192"/>
      <c r="O169" s="301"/>
      <c r="P169" s="301"/>
      <c r="Q169" s="192"/>
      <c r="R169" s="302"/>
    </row>
    <row r="170">
      <c r="A170" s="90"/>
      <c r="F170" s="288"/>
      <c r="G170" s="218"/>
      <c r="M170" s="304"/>
      <c r="N170" s="192"/>
      <c r="O170" s="301"/>
      <c r="P170" s="301"/>
      <c r="Q170" s="192"/>
      <c r="R170" s="302"/>
    </row>
    <row r="171">
      <c r="A171" s="90"/>
      <c r="F171" s="288"/>
      <c r="G171" s="218"/>
      <c r="M171" s="304"/>
      <c r="N171" s="192"/>
      <c r="O171" s="301"/>
      <c r="P171" s="301"/>
      <c r="Q171" s="192"/>
      <c r="R171" s="302"/>
    </row>
    <row r="172">
      <c r="A172" s="90"/>
      <c r="F172" s="288"/>
      <c r="G172" s="218"/>
      <c r="M172" s="304"/>
      <c r="N172" s="192"/>
      <c r="O172" s="301"/>
      <c r="P172" s="301"/>
      <c r="Q172" s="192"/>
      <c r="R172" s="302"/>
    </row>
    <row r="173">
      <c r="A173" s="90"/>
      <c r="F173" s="288"/>
      <c r="G173" s="218"/>
      <c r="M173" s="304"/>
      <c r="N173" s="192"/>
      <c r="O173" s="301"/>
      <c r="P173" s="301"/>
      <c r="Q173" s="192"/>
      <c r="R173" s="302"/>
    </row>
    <row r="174">
      <c r="A174" s="90"/>
      <c r="F174" s="288"/>
      <c r="G174" s="218"/>
      <c r="M174" s="304"/>
      <c r="N174" s="192"/>
      <c r="O174" s="301"/>
      <c r="P174" s="301"/>
      <c r="Q174" s="192"/>
      <c r="R174" s="302"/>
    </row>
    <row r="175">
      <c r="A175" s="90"/>
      <c r="F175" s="288"/>
      <c r="G175" s="218"/>
      <c r="M175" s="304"/>
      <c r="N175" s="192"/>
      <c r="O175" s="301"/>
      <c r="P175" s="301"/>
      <c r="Q175" s="192"/>
      <c r="R175" s="302"/>
    </row>
    <row r="176">
      <c r="A176" s="90"/>
      <c r="F176" s="288"/>
      <c r="G176" s="218"/>
      <c r="M176" s="304"/>
      <c r="N176" s="192"/>
      <c r="O176" s="301"/>
      <c r="P176" s="301"/>
      <c r="Q176" s="192"/>
      <c r="R176" s="302"/>
    </row>
    <row r="177">
      <c r="A177" s="90"/>
      <c r="F177" s="288"/>
      <c r="G177" s="218"/>
      <c r="M177" s="304"/>
      <c r="N177" s="192"/>
      <c r="O177" s="301"/>
      <c r="P177" s="301"/>
      <c r="Q177" s="192"/>
      <c r="R177" s="302"/>
    </row>
    <row r="178">
      <c r="A178" s="90"/>
      <c r="F178" s="288"/>
      <c r="G178" s="218"/>
      <c r="M178" s="304"/>
      <c r="N178" s="192"/>
      <c r="O178" s="301"/>
      <c r="P178" s="301"/>
      <c r="Q178" s="192"/>
      <c r="R178" s="302"/>
    </row>
    <row r="179">
      <c r="A179" s="90"/>
      <c r="F179" s="288"/>
      <c r="G179" s="218"/>
      <c r="M179" s="304"/>
      <c r="N179" s="192"/>
      <c r="O179" s="301"/>
      <c r="P179" s="301"/>
      <c r="Q179" s="192"/>
      <c r="R179" s="302"/>
    </row>
    <row r="180">
      <c r="A180" s="90"/>
      <c r="F180" s="288"/>
      <c r="G180" s="218"/>
      <c r="M180" s="304"/>
      <c r="N180" s="192"/>
      <c r="O180" s="301"/>
      <c r="P180" s="301"/>
      <c r="Q180" s="192"/>
      <c r="R180" s="302"/>
    </row>
    <row r="181">
      <c r="A181" s="90"/>
      <c r="F181" s="288"/>
      <c r="G181" s="218"/>
      <c r="M181" s="304"/>
      <c r="N181" s="192"/>
      <c r="O181" s="301"/>
      <c r="P181" s="301"/>
      <c r="Q181" s="192"/>
      <c r="R181" s="302"/>
    </row>
    <row r="182">
      <c r="A182" s="90"/>
      <c r="F182" s="288"/>
      <c r="G182" s="218"/>
      <c r="M182" s="304"/>
      <c r="N182" s="192"/>
      <c r="O182" s="301"/>
      <c r="P182" s="301"/>
      <c r="Q182" s="192"/>
      <c r="R182" s="302"/>
    </row>
    <row r="183">
      <c r="A183" s="90"/>
      <c r="F183" s="288"/>
      <c r="G183" s="218"/>
      <c r="M183" s="304"/>
      <c r="N183" s="192"/>
      <c r="O183" s="301"/>
      <c r="P183" s="301"/>
      <c r="Q183" s="192"/>
      <c r="R183" s="302"/>
    </row>
    <row r="184">
      <c r="A184" s="90"/>
      <c r="F184" s="288"/>
      <c r="G184" s="218"/>
      <c r="M184" s="304"/>
      <c r="N184" s="192"/>
      <c r="O184" s="301"/>
      <c r="P184" s="301"/>
      <c r="Q184" s="192"/>
      <c r="R184" s="302"/>
    </row>
    <row r="185">
      <c r="A185" s="90"/>
      <c r="F185" s="288"/>
      <c r="G185" s="218"/>
      <c r="M185" s="304"/>
      <c r="N185" s="192"/>
      <c r="O185" s="301"/>
      <c r="P185" s="301"/>
      <c r="Q185" s="192"/>
      <c r="R185" s="302"/>
    </row>
    <row r="186">
      <c r="A186" s="90"/>
      <c r="F186" s="288"/>
      <c r="G186" s="218"/>
      <c r="M186" s="304"/>
      <c r="N186" s="192"/>
      <c r="O186" s="301"/>
      <c r="P186" s="301"/>
      <c r="Q186" s="192"/>
      <c r="R186" s="302"/>
    </row>
    <row r="187">
      <c r="A187" s="90"/>
      <c r="F187" s="288"/>
      <c r="G187" s="218"/>
      <c r="M187" s="304"/>
      <c r="N187" s="192"/>
      <c r="O187" s="301"/>
      <c r="P187" s="301"/>
      <c r="Q187" s="192"/>
      <c r="R187" s="302"/>
    </row>
    <row r="188">
      <c r="A188" s="90"/>
      <c r="F188" s="288"/>
      <c r="G188" s="218"/>
      <c r="M188" s="304"/>
      <c r="N188" s="192"/>
      <c r="O188" s="301"/>
      <c r="P188" s="301"/>
      <c r="Q188" s="192"/>
      <c r="R188" s="302"/>
    </row>
    <row r="189">
      <c r="A189" s="90"/>
      <c r="F189" s="288"/>
      <c r="G189" s="218"/>
      <c r="M189" s="304"/>
      <c r="N189" s="192"/>
      <c r="O189" s="301"/>
      <c r="P189" s="301"/>
      <c r="Q189" s="192"/>
      <c r="R189" s="302"/>
    </row>
    <row r="190">
      <c r="A190" s="90"/>
      <c r="F190" s="288"/>
      <c r="G190" s="218"/>
      <c r="M190" s="304"/>
      <c r="N190" s="192"/>
      <c r="O190" s="301"/>
      <c r="P190" s="301"/>
      <c r="Q190" s="192"/>
      <c r="R190" s="302"/>
    </row>
    <row r="191">
      <c r="A191" s="90"/>
      <c r="F191" s="288"/>
      <c r="G191" s="218"/>
      <c r="M191" s="304"/>
      <c r="N191" s="192"/>
      <c r="O191" s="301"/>
      <c r="P191" s="301"/>
      <c r="Q191" s="192"/>
      <c r="R191" s="302"/>
    </row>
    <row r="192">
      <c r="A192" s="90"/>
      <c r="F192" s="288"/>
      <c r="G192" s="218"/>
      <c r="M192" s="304"/>
      <c r="N192" s="192"/>
      <c r="O192" s="301"/>
      <c r="P192" s="301"/>
      <c r="Q192" s="192"/>
      <c r="R192" s="302"/>
    </row>
    <row r="193">
      <c r="A193" s="90"/>
      <c r="F193" s="288"/>
      <c r="G193" s="218"/>
      <c r="M193" s="304"/>
      <c r="N193" s="192"/>
      <c r="O193" s="301"/>
      <c r="P193" s="301"/>
      <c r="Q193" s="192"/>
      <c r="R193" s="302"/>
    </row>
    <row r="194">
      <c r="A194" s="90"/>
      <c r="F194" s="288"/>
      <c r="G194" s="218"/>
      <c r="M194" s="304"/>
      <c r="N194" s="192"/>
      <c r="O194" s="301"/>
      <c r="P194" s="301"/>
      <c r="Q194" s="192"/>
      <c r="R194" s="302"/>
    </row>
    <row r="195">
      <c r="A195" s="90"/>
      <c r="F195" s="288"/>
      <c r="G195" s="218"/>
      <c r="M195" s="304"/>
      <c r="N195" s="192"/>
      <c r="O195" s="301"/>
      <c r="P195" s="301"/>
      <c r="Q195" s="192"/>
      <c r="R195" s="302"/>
    </row>
    <row r="196">
      <c r="A196" s="90"/>
      <c r="F196" s="288"/>
      <c r="G196" s="218"/>
      <c r="M196" s="304"/>
      <c r="N196" s="192"/>
      <c r="O196" s="301"/>
      <c r="P196" s="301"/>
      <c r="Q196" s="192"/>
      <c r="R196" s="302"/>
    </row>
    <row r="197">
      <c r="A197" s="90"/>
      <c r="F197" s="288"/>
      <c r="G197" s="218"/>
      <c r="M197" s="304"/>
      <c r="N197" s="192"/>
      <c r="O197" s="301"/>
      <c r="P197" s="301"/>
      <c r="Q197" s="192"/>
      <c r="R197" s="302"/>
    </row>
    <row r="198">
      <c r="A198" s="90"/>
      <c r="F198" s="288"/>
      <c r="G198" s="218"/>
      <c r="M198" s="304"/>
      <c r="N198" s="192"/>
      <c r="O198" s="301"/>
      <c r="P198" s="301"/>
      <c r="Q198" s="192"/>
      <c r="R198" s="302"/>
    </row>
    <row r="199">
      <c r="A199" s="90"/>
      <c r="F199" s="288"/>
      <c r="G199" s="218"/>
      <c r="M199" s="304"/>
      <c r="N199" s="192"/>
      <c r="O199" s="301"/>
      <c r="P199" s="301"/>
      <c r="Q199" s="192"/>
      <c r="R199" s="302"/>
    </row>
    <row r="200">
      <c r="A200" s="90"/>
      <c r="F200" s="288"/>
      <c r="G200" s="218"/>
      <c r="M200" s="304"/>
      <c r="N200" s="192"/>
      <c r="O200" s="301"/>
      <c r="P200" s="301"/>
      <c r="Q200" s="192"/>
      <c r="R200" s="302"/>
    </row>
    <row r="201">
      <c r="A201" s="90"/>
      <c r="F201" s="288"/>
      <c r="G201" s="218"/>
      <c r="M201" s="304"/>
      <c r="N201" s="192"/>
      <c r="O201" s="301"/>
      <c r="P201" s="301"/>
      <c r="Q201" s="192"/>
      <c r="R201" s="302"/>
    </row>
    <row r="202">
      <c r="A202" s="90"/>
      <c r="F202" s="288"/>
      <c r="G202" s="218"/>
      <c r="M202" s="304"/>
      <c r="N202" s="192"/>
      <c r="O202" s="301"/>
      <c r="P202" s="301"/>
      <c r="Q202" s="192"/>
      <c r="R202" s="302"/>
    </row>
    <row r="203">
      <c r="A203" s="90"/>
      <c r="F203" s="288"/>
      <c r="G203" s="218"/>
      <c r="M203" s="304"/>
      <c r="N203" s="192"/>
      <c r="O203" s="301"/>
      <c r="P203" s="301"/>
      <c r="Q203" s="192"/>
      <c r="R203" s="302"/>
    </row>
    <row r="204">
      <c r="A204" s="90"/>
      <c r="F204" s="288"/>
      <c r="G204" s="218"/>
      <c r="M204" s="304"/>
      <c r="N204" s="192"/>
      <c r="O204" s="301"/>
      <c r="P204" s="301"/>
      <c r="Q204" s="192"/>
      <c r="R204" s="302"/>
    </row>
    <row r="205">
      <c r="A205" s="90"/>
      <c r="F205" s="288"/>
      <c r="G205" s="218"/>
      <c r="M205" s="304"/>
      <c r="N205" s="192"/>
      <c r="O205" s="301"/>
      <c r="P205" s="301"/>
      <c r="Q205" s="192"/>
      <c r="R205" s="302"/>
    </row>
    <row r="206">
      <c r="A206" s="90"/>
      <c r="F206" s="288"/>
      <c r="G206" s="218"/>
      <c r="M206" s="304"/>
      <c r="N206" s="192"/>
      <c r="O206" s="301"/>
      <c r="P206" s="301"/>
      <c r="Q206" s="192"/>
      <c r="R206" s="302"/>
    </row>
    <row r="207">
      <c r="A207" s="90"/>
      <c r="F207" s="288"/>
      <c r="G207" s="218"/>
      <c r="M207" s="304"/>
      <c r="N207" s="192"/>
      <c r="O207" s="301"/>
      <c r="P207" s="301"/>
      <c r="Q207" s="192"/>
      <c r="R207" s="302"/>
    </row>
    <row r="208">
      <c r="A208" s="90"/>
      <c r="F208" s="288"/>
      <c r="G208" s="218"/>
      <c r="M208" s="304"/>
      <c r="N208" s="192"/>
      <c r="O208" s="301"/>
      <c r="P208" s="301"/>
      <c r="Q208" s="192"/>
      <c r="R208" s="302"/>
    </row>
    <row r="209">
      <c r="A209" s="90"/>
      <c r="F209" s="288"/>
      <c r="G209" s="218"/>
      <c r="M209" s="304"/>
      <c r="N209" s="192"/>
      <c r="O209" s="301"/>
      <c r="P209" s="301"/>
      <c r="Q209" s="192"/>
      <c r="R209" s="302"/>
    </row>
    <row r="210">
      <c r="A210" s="90"/>
      <c r="F210" s="288"/>
      <c r="G210" s="218"/>
      <c r="M210" s="304"/>
      <c r="N210" s="192"/>
      <c r="O210" s="301"/>
      <c r="P210" s="301"/>
      <c r="Q210" s="192"/>
      <c r="R210" s="302"/>
    </row>
    <row r="211">
      <c r="A211" s="90"/>
      <c r="F211" s="288"/>
      <c r="G211" s="218"/>
      <c r="M211" s="304"/>
      <c r="N211" s="192"/>
      <c r="O211" s="301"/>
      <c r="P211" s="301"/>
      <c r="Q211" s="192"/>
      <c r="R211" s="302"/>
    </row>
    <row r="212">
      <c r="A212" s="90"/>
      <c r="F212" s="288"/>
      <c r="G212" s="218"/>
      <c r="M212" s="304"/>
      <c r="N212" s="192"/>
      <c r="O212" s="301"/>
      <c r="P212" s="301"/>
      <c r="Q212" s="192"/>
      <c r="R212" s="302"/>
    </row>
    <row r="213">
      <c r="A213" s="90"/>
      <c r="F213" s="288"/>
      <c r="G213" s="218"/>
      <c r="M213" s="304"/>
      <c r="N213" s="192"/>
      <c r="O213" s="301"/>
      <c r="P213" s="301"/>
      <c r="Q213" s="192"/>
      <c r="R213" s="302"/>
    </row>
    <row r="214">
      <c r="A214" s="90"/>
      <c r="F214" s="288"/>
      <c r="G214" s="218"/>
      <c r="M214" s="304"/>
      <c r="N214" s="192"/>
      <c r="O214" s="301"/>
      <c r="P214" s="301"/>
      <c r="Q214" s="192"/>
      <c r="R214" s="302"/>
    </row>
    <row r="215">
      <c r="A215" s="90"/>
      <c r="F215" s="288"/>
      <c r="G215" s="218"/>
      <c r="M215" s="304"/>
      <c r="N215" s="192"/>
      <c r="O215" s="301"/>
      <c r="P215" s="301"/>
      <c r="Q215" s="192"/>
      <c r="R215" s="302"/>
    </row>
    <row r="216">
      <c r="A216" s="90"/>
      <c r="F216" s="288"/>
      <c r="G216" s="218"/>
      <c r="M216" s="304"/>
      <c r="N216" s="192"/>
      <c r="O216" s="301"/>
      <c r="P216" s="301"/>
      <c r="Q216" s="192"/>
      <c r="R216" s="302"/>
    </row>
    <row r="217">
      <c r="A217" s="90"/>
      <c r="F217" s="288"/>
      <c r="G217" s="218"/>
      <c r="M217" s="304"/>
      <c r="N217" s="192"/>
      <c r="O217" s="301"/>
      <c r="P217" s="301"/>
      <c r="Q217" s="192"/>
      <c r="R217" s="302"/>
    </row>
    <row r="218">
      <c r="A218" s="90"/>
      <c r="F218" s="288"/>
      <c r="G218" s="218"/>
      <c r="M218" s="304"/>
      <c r="N218" s="192"/>
      <c r="O218" s="301"/>
      <c r="P218" s="301"/>
      <c r="Q218" s="192"/>
      <c r="R218" s="302"/>
    </row>
    <row r="219">
      <c r="A219" s="90"/>
      <c r="F219" s="288"/>
      <c r="G219" s="218"/>
      <c r="M219" s="304"/>
      <c r="N219" s="192"/>
      <c r="O219" s="301"/>
      <c r="P219" s="301"/>
      <c r="Q219" s="192"/>
      <c r="R219" s="302"/>
    </row>
    <row r="220">
      <c r="A220" s="90"/>
      <c r="F220" s="288"/>
      <c r="G220" s="218"/>
      <c r="M220" s="304"/>
      <c r="N220" s="192"/>
      <c r="O220" s="301"/>
      <c r="P220" s="301"/>
      <c r="Q220" s="192"/>
      <c r="R220" s="302"/>
    </row>
    <row r="221">
      <c r="A221" s="90"/>
      <c r="F221" s="288"/>
      <c r="G221" s="218"/>
      <c r="M221" s="304"/>
      <c r="N221" s="192"/>
      <c r="O221" s="301"/>
      <c r="P221" s="301"/>
      <c r="Q221" s="192"/>
      <c r="R221" s="302"/>
    </row>
    <row r="222">
      <c r="A222" s="90"/>
      <c r="F222" s="288"/>
      <c r="G222" s="218"/>
      <c r="M222" s="304"/>
      <c r="N222" s="192"/>
      <c r="O222" s="301"/>
      <c r="P222" s="301"/>
      <c r="Q222" s="192"/>
      <c r="R222" s="302"/>
    </row>
    <row r="223">
      <c r="A223" s="90"/>
      <c r="F223" s="288"/>
      <c r="G223" s="218"/>
      <c r="M223" s="304"/>
      <c r="N223" s="192"/>
      <c r="O223" s="301"/>
      <c r="P223" s="301"/>
      <c r="Q223" s="192"/>
      <c r="R223" s="302"/>
    </row>
    <row r="224">
      <c r="A224" s="90"/>
      <c r="F224" s="288"/>
      <c r="G224" s="218"/>
      <c r="M224" s="304"/>
      <c r="N224" s="192"/>
      <c r="O224" s="301"/>
      <c r="P224" s="301"/>
      <c r="Q224" s="192"/>
      <c r="R224" s="302"/>
    </row>
    <row r="225">
      <c r="A225" s="90"/>
      <c r="F225" s="288"/>
      <c r="G225" s="218"/>
      <c r="M225" s="304"/>
      <c r="N225" s="192"/>
      <c r="O225" s="301"/>
      <c r="P225" s="301"/>
      <c r="Q225" s="192"/>
      <c r="R225" s="302"/>
    </row>
    <row r="226">
      <c r="A226" s="90"/>
      <c r="F226" s="288"/>
      <c r="G226" s="218"/>
      <c r="M226" s="304"/>
      <c r="N226" s="192"/>
      <c r="O226" s="301"/>
      <c r="P226" s="301"/>
      <c r="Q226" s="192"/>
      <c r="R226" s="302"/>
    </row>
    <row r="227">
      <c r="A227" s="90"/>
      <c r="F227" s="288"/>
      <c r="G227" s="218"/>
      <c r="M227" s="304"/>
      <c r="N227" s="192"/>
      <c r="O227" s="301"/>
      <c r="P227" s="301"/>
      <c r="Q227" s="192"/>
      <c r="R227" s="302"/>
    </row>
    <row r="228">
      <c r="A228" s="90"/>
      <c r="F228" s="288"/>
      <c r="G228" s="218"/>
      <c r="M228" s="304"/>
      <c r="N228" s="192"/>
      <c r="O228" s="301"/>
      <c r="P228" s="301"/>
      <c r="Q228" s="192"/>
      <c r="R228" s="302"/>
    </row>
    <row r="229">
      <c r="A229" s="90"/>
      <c r="F229" s="288"/>
      <c r="G229" s="218"/>
      <c r="M229" s="304"/>
      <c r="N229" s="192"/>
      <c r="O229" s="301"/>
      <c r="P229" s="301"/>
      <c r="Q229" s="192"/>
      <c r="R229" s="302"/>
    </row>
    <row r="230">
      <c r="A230" s="90"/>
      <c r="F230" s="288"/>
      <c r="G230" s="218"/>
      <c r="M230" s="304"/>
      <c r="N230" s="192"/>
      <c r="O230" s="301"/>
      <c r="P230" s="301"/>
      <c r="Q230" s="192"/>
      <c r="R230" s="302"/>
    </row>
    <row r="231">
      <c r="A231" s="90"/>
      <c r="F231" s="288"/>
      <c r="G231" s="218"/>
      <c r="M231" s="304"/>
      <c r="N231" s="192"/>
      <c r="O231" s="301"/>
      <c r="P231" s="301"/>
      <c r="Q231" s="192"/>
      <c r="R231" s="302"/>
    </row>
    <row r="232">
      <c r="A232" s="90"/>
      <c r="F232" s="288"/>
      <c r="G232" s="218"/>
      <c r="M232" s="304"/>
      <c r="N232" s="192"/>
      <c r="O232" s="301"/>
      <c r="P232" s="301"/>
      <c r="Q232" s="192"/>
      <c r="R232" s="302"/>
    </row>
    <row r="233">
      <c r="A233" s="90"/>
      <c r="F233" s="288"/>
      <c r="G233" s="218"/>
      <c r="M233" s="304"/>
      <c r="N233" s="192"/>
      <c r="O233" s="301"/>
      <c r="P233" s="301"/>
      <c r="Q233" s="192"/>
      <c r="R233" s="302"/>
    </row>
    <row r="234">
      <c r="A234" s="90"/>
      <c r="F234" s="288"/>
      <c r="G234" s="218"/>
      <c r="M234" s="304"/>
      <c r="N234" s="192"/>
      <c r="O234" s="301"/>
      <c r="P234" s="301"/>
      <c r="Q234" s="192"/>
      <c r="R234" s="302"/>
    </row>
    <row r="235">
      <c r="A235" s="90"/>
      <c r="F235" s="288"/>
      <c r="G235" s="218"/>
      <c r="M235" s="304"/>
      <c r="N235" s="192"/>
      <c r="O235" s="301"/>
      <c r="P235" s="301"/>
      <c r="Q235" s="192"/>
      <c r="R235" s="302"/>
    </row>
    <row r="236">
      <c r="A236" s="90"/>
      <c r="F236" s="288"/>
      <c r="G236" s="218"/>
      <c r="M236" s="304"/>
      <c r="N236" s="192"/>
      <c r="O236" s="301"/>
      <c r="P236" s="301"/>
      <c r="Q236" s="192"/>
      <c r="R236" s="302"/>
    </row>
    <row r="237">
      <c r="A237" s="90"/>
      <c r="F237" s="288"/>
      <c r="G237" s="218"/>
      <c r="M237" s="304"/>
      <c r="N237" s="192"/>
      <c r="O237" s="301"/>
      <c r="P237" s="301"/>
      <c r="Q237" s="192"/>
      <c r="R237" s="302"/>
    </row>
    <row r="238">
      <c r="A238" s="90"/>
      <c r="F238" s="288"/>
      <c r="G238" s="218"/>
      <c r="M238" s="304"/>
      <c r="N238" s="192"/>
      <c r="O238" s="301"/>
      <c r="P238" s="301"/>
      <c r="Q238" s="192"/>
      <c r="R238" s="302"/>
    </row>
    <row r="239">
      <c r="A239" s="90"/>
      <c r="F239" s="288"/>
      <c r="G239" s="218"/>
      <c r="M239" s="304"/>
      <c r="N239" s="192"/>
      <c r="O239" s="301"/>
      <c r="P239" s="301"/>
      <c r="Q239" s="192"/>
      <c r="R239" s="302"/>
    </row>
    <row r="240">
      <c r="A240" s="90"/>
      <c r="F240" s="288"/>
      <c r="G240" s="218"/>
      <c r="M240" s="304"/>
      <c r="N240" s="192"/>
      <c r="O240" s="301"/>
      <c r="P240" s="301"/>
      <c r="Q240" s="192"/>
      <c r="R240" s="302"/>
    </row>
    <row r="241">
      <c r="A241" s="90"/>
      <c r="F241" s="288"/>
      <c r="G241" s="218"/>
      <c r="M241" s="304"/>
      <c r="N241" s="192"/>
      <c r="O241" s="301"/>
      <c r="P241" s="301"/>
      <c r="Q241" s="192"/>
      <c r="R241" s="302"/>
    </row>
    <row r="242">
      <c r="A242" s="90"/>
      <c r="F242" s="288"/>
      <c r="G242" s="218"/>
      <c r="M242" s="304"/>
      <c r="N242" s="192"/>
      <c r="O242" s="301"/>
      <c r="P242" s="301"/>
      <c r="Q242" s="192"/>
      <c r="R242" s="302"/>
    </row>
    <row r="243">
      <c r="A243" s="90"/>
      <c r="F243" s="288"/>
      <c r="G243" s="218"/>
      <c r="M243" s="304"/>
      <c r="N243" s="192"/>
      <c r="O243" s="301"/>
      <c r="P243" s="301"/>
      <c r="Q243" s="192"/>
      <c r="R243" s="302"/>
    </row>
    <row r="244">
      <c r="A244" s="90"/>
      <c r="F244" s="288"/>
      <c r="G244" s="218"/>
      <c r="M244" s="304"/>
      <c r="N244" s="192"/>
      <c r="O244" s="301"/>
      <c r="P244" s="301"/>
      <c r="Q244" s="192"/>
      <c r="R244" s="302"/>
    </row>
    <row r="245">
      <c r="A245" s="90"/>
      <c r="F245" s="288"/>
      <c r="G245" s="218"/>
      <c r="M245" s="304"/>
      <c r="N245" s="192"/>
      <c r="O245" s="301"/>
      <c r="P245" s="301"/>
      <c r="Q245" s="192"/>
      <c r="R245" s="302"/>
    </row>
    <row r="246">
      <c r="A246" s="90"/>
      <c r="F246" s="288"/>
      <c r="G246" s="218"/>
      <c r="M246" s="304"/>
      <c r="N246" s="192"/>
      <c r="O246" s="301"/>
      <c r="P246" s="301"/>
      <c r="Q246" s="192"/>
      <c r="R246" s="302"/>
    </row>
    <row r="247">
      <c r="A247" s="90"/>
      <c r="F247" s="288"/>
      <c r="G247" s="218"/>
      <c r="M247" s="304"/>
      <c r="N247" s="192"/>
      <c r="O247" s="301"/>
      <c r="P247" s="301"/>
      <c r="Q247" s="192"/>
      <c r="R247" s="302"/>
    </row>
    <row r="248">
      <c r="A248" s="90"/>
      <c r="F248" s="288"/>
      <c r="G248" s="218"/>
      <c r="M248" s="304"/>
      <c r="N248" s="192"/>
      <c r="O248" s="301"/>
      <c r="P248" s="301"/>
      <c r="Q248" s="192"/>
      <c r="R248" s="302"/>
    </row>
    <row r="249">
      <c r="A249" s="90"/>
      <c r="F249" s="288"/>
      <c r="G249" s="218"/>
      <c r="M249" s="304"/>
      <c r="N249" s="192"/>
      <c r="O249" s="301"/>
      <c r="P249" s="301"/>
      <c r="Q249" s="192"/>
      <c r="R249" s="302"/>
    </row>
    <row r="250">
      <c r="A250" s="90"/>
      <c r="F250" s="288"/>
      <c r="G250" s="218"/>
      <c r="M250" s="304"/>
      <c r="N250" s="192"/>
      <c r="O250" s="301"/>
      <c r="P250" s="301"/>
      <c r="Q250" s="192"/>
      <c r="R250" s="302"/>
    </row>
    <row r="251">
      <c r="A251" s="90"/>
      <c r="F251" s="288"/>
      <c r="G251" s="218"/>
      <c r="M251" s="304"/>
      <c r="N251" s="192"/>
      <c r="O251" s="301"/>
      <c r="P251" s="301"/>
      <c r="Q251" s="192"/>
      <c r="R251" s="302"/>
    </row>
    <row r="252">
      <c r="A252" s="90"/>
      <c r="F252" s="288"/>
      <c r="G252" s="218"/>
      <c r="M252" s="304"/>
      <c r="N252" s="192"/>
      <c r="O252" s="301"/>
      <c r="P252" s="301"/>
      <c r="Q252" s="192"/>
      <c r="R252" s="302"/>
    </row>
    <row r="253">
      <c r="A253" s="90"/>
      <c r="F253" s="288"/>
      <c r="G253" s="218"/>
      <c r="M253" s="304"/>
      <c r="N253" s="192"/>
      <c r="O253" s="301"/>
      <c r="P253" s="301"/>
      <c r="Q253" s="192"/>
      <c r="R253" s="302"/>
    </row>
    <row r="254">
      <c r="A254" s="90"/>
      <c r="F254" s="288"/>
      <c r="G254" s="218"/>
      <c r="M254" s="304"/>
      <c r="N254" s="192"/>
      <c r="O254" s="301"/>
      <c r="P254" s="301"/>
      <c r="Q254" s="192"/>
      <c r="R254" s="302"/>
    </row>
    <row r="255">
      <c r="A255" s="90"/>
      <c r="F255" s="288"/>
      <c r="G255" s="218"/>
      <c r="M255" s="304"/>
      <c r="N255" s="192"/>
      <c r="O255" s="301"/>
      <c r="P255" s="301"/>
      <c r="Q255" s="192"/>
      <c r="R255" s="302"/>
    </row>
    <row r="256">
      <c r="A256" s="90"/>
      <c r="F256" s="288"/>
      <c r="G256" s="218"/>
      <c r="M256" s="304"/>
      <c r="N256" s="192"/>
      <c r="O256" s="301"/>
      <c r="P256" s="301"/>
      <c r="Q256" s="192"/>
      <c r="R256" s="302"/>
    </row>
    <row r="257">
      <c r="A257" s="90"/>
      <c r="F257" s="288"/>
      <c r="G257" s="218"/>
      <c r="M257" s="304"/>
      <c r="N257" s="192"/>
      <c r="O257" s="301"/>
      <c r="P257" s="301"/>
      <c r="Q257" s="192"/>
      <c r="R257" s="302"/>
    </row>
    <row r="258">
      <c r="A258" s="90"/>
      <c r="F258" s="288"/>
      <c r="G258" s="218"/>
      <c r="M258" s="304"/>
      <c r="N258" s="192"/>
      <c r="O258" s="301"/>
      <c r="P258" s="301"/>
      <c r="Q258" s="192"/>
      <c r="R258" s="302"/>
    </row>
    <row r="259">
      <c r="A259" s="90"/>
      <c r="F259" s="288"/>
      <c r="G259" s="218"/>
      <c r="M259" s="304"/>
      <c r="N259" s="192"/>
      <c r="O259" s="301"/>
      <c r="P259" s="301"/>
      <c r="Q259" s="192"/>
      <c r="R259" s="302"/>
    </row>
    <row r="260">
      <c r="A260" s="90"/>
      <c r="F260" s="288"/>
      <c r="G260" s="218"/>
      <c r="M260" s="304"/>
      <c r="N260" s="192"/>
      <c r="O260" s="301"/>
      <c r="P260" s="301"/>
      <c r="Q260" s="192"/>
      <c r="R260" s="302"/>
    </row>
    <row r="261">
      <c r="A261" s="90"/>
      <c r="F261" s="288"/>
      <c r="G261" s="218"/>
      <c r="M261" s="304"/>
      <c r="N261" s="192"/>
      <c r="O261" s="301"/>
      <c r="P261" s="301"/>
      <c r="Q261" s="192"/>
      <c r="R261" s="302"/>
    </row>
    <row r="262">
      <c r="A262" s="90"/>
      <c r="F262" s="288"/>
      <c r="G262" s="218"/>
      <c r="M262" s="304"/>
      <c r="N262" s="192"/>
      <c r="O262" s="301"/>
      <c r="P262" s="301"/>
      <c r="Q262" s="192"/>
      <c r="R262" s="302"/>
    </row>
    <row r="263">
      <c r="A263" s="90"/>
      <c r="F263" s="288"/>
      <c r="G263" s="218"/>
      <c r="M263" s="304"/>
      <c r="N263" s="192"/>
      <c r="O263" s="301"/>
      <c r="P263" s="301"/>
      <c r="Q263" s="192"/>
      <c r="R263" s="302"/>
    </row>
    <row r="264">
      <c r="A264" s="90"/>
      <c r="F264" s="288"/>
      <c r="G264" s="218"/>
      <c r="M264" s="304"/>
      <c r="N264" s="192"/>
      <c r="O264" s="301"/>
      <c r="P264" s="301"/>
      <c r="Q264" s="192"/>
      <c r="R264" s="302"/>
    </row>
    <row r="265">
      <c r="A265" s="90"/>
      <c r="F265" s="288"/>
      <c r="G265" s="218"/>
      <c r="M265" s="304"/>
      <c r="N265" s="192"/>
      <c r="O265" s="301"/>
      <c r="P265" s="301"/>
      <c r="Q265" s="192"/>
      <c r="R265" s="302"/>
    </row>
    <row r="266">
      <c r="A266" s="90"/>
      <c r="F266" s="288"/>
      <c r="G266" s="218"/>
      <c r="M266" s="304"/>
      <c r="N266" s="192"/>
      <c r="O266" s="301"/>
      <c r="P266" s="301"/>
      <c r="Q266" s="192"/>
      <c r="R266" s="302"/>
    </row>
    <row r="267">
      <c r="A267" s="90"/>
      <c r="F267" s="288"/>
      <c r="G267" s="218"/>
      <c r="M267" s="304"/>
      <c r="N267" s="192"/>
      <c r="O267" s="301"/>
      <c r="P267" s="301"/>
      <c r="Q267" s="192"/>
      <c r="R267" s="302"/>
    </row>
    <row r="268">
      <c r="A268" s="90"/>
      <c r="F268" s="288"/>
      <c r="G268" s="218"/>
      <c r="M268" s="304"/>
      <c r="N268" s="192"/>
      <c r="O268" s="301"/>
      <c r="P268" s="301"/>
      <c r="Q268" s="192"/>
      <c r="R268" s="302"/>
    </row>
    <row r="269">
      <c r="A269" s="90"/>
      <c r="F269" s="288"/>
      <c r="G269" s="218"/>
      <c r="M269" s="304"/>
      <c r="N269" s="192"/>
      <c r="O269" s="301"/>
      <c r="P269" s="301"/>
      <c r="Q269" s="192"/>
      <c r="R269" s="302"/>
    </row>
    <row r="270">
      <c r="A270" s="90"/>
      <c r="F270" s="288"/>
      <c r="G270" s="218"/>
      <c r="M270" s="304"/>
      <c r="N270" s="192"/>
      <c r="O270" s="301"/>
      <c r="P270" s="301"/>
      <c r="Q270" s="192"/>
      <c r="R270" s="302"/>
    </row>
    <row r="271">
      <c r="A271" s="90"/>
      <c r="F271" s="288"/>
      <c r="G271" s="218"/>
      <c r="M271" s="304"/>
      <c r="N271" s="192"/>
      <c r="O271" s="301"/>
      <c r="P271" s="301"/>
      <c r="Q271" s="192"/>
      <c r="R271" s="302"/>
    </row>
    <row r="272">
      <c r="A272" s="90"/>
      <c r="F272" s="288"/>
      <c r="G272" s="218"/>
      <c r="M272" s="304"/>
      <c r="N272" s="192"/>
      <c r="O272" s="301"/>
      <c r="P272" s="301"/>
      <c r="Q272" s="192"/>
      <c r="R272" s="302"/>
    </row>
    <row r="273">
      <c r="A273" s="90"/>
      <c r="F273" s="288"/>
      <c r="G273" s="218"/>
      <c r="M273" s="304"/>
      <c r="N273" s="192"/>
      <c r="O273" s="301"/>
      <c r="P273" s="301"/>
      <c r="Q273" s="192"/>
      <c r="R273" s="302"/>
    </row>
    <row r="274">
      <c r="A274" s="90"/>
      <c r="F274" s="288"/>
      <c r="G274" s="218"/>
      <c r="M274" s="304"/>
      <c r="N274" s="192"/>
      <c r="O274" s="301"/>
      <c r="P274" s="301"/>
      <c r="Q274" s="192"/>
      <c r="R274" s="302"/>
    </row>
    <row r="275">
      <c r="A275" s="90"/>
      <c r="F275" s="288"/>
      <c r="G275" s="218"/>
      <c r="M275" s="304"/>
      <c r="N275" s="192"/>
      <c r="O275" s="301"/>
      <c r="P275" s="301"/>
      <c r="Q275" s="192"/>
      <c r="R275" s="302"/>
    </row>
    <row r="276">
      <c r="A276" s="90"/>
      <c r="F276" s="288"/>
      <c r="G276" s="218"/>
      <c r="M276" s="304"/>
      <c r="N276" s="192"/>
      <c r="O276" s="301"/>
      <c r="P276" s="301"/>
      <c r="Q276" s="192"/>
      <c r="R276" s="302"/>
    </row>
    <row r="277">
      <c r="A277" s="90"/>
      <c r="F277" s="288"/>
      <c r="G277" s="218"/>
      <c r="M277" s="304"/>
      <c r="N277" s="192"/>
      <c r="O277" s="301"/>
      <c r="P277" s="301"/>
      <c r="Q277" s="192"/>
      <c r="R277" s="302"/>
    </row>
    <row r="278">
      <c r="A278" s="90"/>
      <c r="F278" s="288"/>
      <c r="G278" s="218"/>
      <c r="M278" s="304"/>
      <c r="N278" s="192"/>
      <c r="O278" s="301"/>
      <c r="P278" s="301"/>
      <c r="Q278" s="192"/>
      <c r="R278" s="302"/>
    </row>
    <row r="279">
      <c r="A279" s="90"/>
      <c r="F279" s="288"/>
      <c r="G279" s="218"/>
      <c r="M279" s="304"/>
      <c r="N279" s="192"/>
      <c r="O279" s="301"/>
      <c r="P279" s="301"/>
      <c r="Q279" s="192"/>
      <c r="R279" s="302"/>
    </row>
    <row r="280">
      <c r="A280" s="90"/>
      <c r="F280" s="288"/>
      <c r="G280" s="218"/>
      <c r="M280" s="304"/>
      <c r="N280" s="192"/>
      <c r="O280" s="301"/>
      <c r="P280" s="301"/>
      <c r="Q280" s="192"/>
      <c r="R280" s="302"/>
    </row>
    <row r="281">
      <c r="A281" s="90"/>
      <c r="F281" s="288"/>
      <c r="G281" s="218"/>
      <c r="M281" s="304"/>
      <c r="N281" s="192"/>
      <c r="O281" s="301"/>
      <c r="P281" s="301"/>
      <c r="Q281" s="192"/>
      <c r="R281" s="302"/>
    </row>
    <row r="282">
      <c r="A282" s="90"/>
      <c r="F282" s="288"/>
      <c r="G282" s="218"/>
      <c r="M282" s="304"/>
      <c r="N282" s="192"/>
      <c r="O282" s="301"/>
      <c r="P282" s="301"/>
      <c r="Q282" s="192"/>
      <c r="R282" s="302"/>
    </row>
    <row r="283">
      <c r="A283" s="90"/>
      <c r="F283" s="288"/>
      <c r="G283" s="218"/>
      <c r="M283" s="304"/>
      <c r="N283" s="192"/>
      <c r="O283" s="301"/>
      <c r="P283" s="301"/>
      <c r="Q283" s="192"/>
      <c r="R283" s="302"/>
    </row>
    <row r="284">
      <c r="A284" s="90"/>
      <c r="F284" s="288"/>
      <c r="G284" s="218"/>
      <c r="M284" s="304"/>
      <c r="N284" s="192"/>
      <c r="O284" s="301"/>
      <c r="P284" s="301"/>
      <c r="Q284" s="192"/>
      <c r="R284" s="302"/>
    </row>
    <row r="285">
      <c r="A285" s="90"/>
      <c r="F285" s="288"/>
      <c r="G285" s="218"/>
      <c r="M285" s="304"/>
      <c r="N285" s="192"/>
      <c r="O285" s="301"/>
      <c r="P285" s="301"/>
      <c r="Q285" s="192"/>
      <c r="R285" s="302"/>
    </row>
    <row r="286">
      <c r="A286" s="90"/>
      <c r="F286" s="288"/>
      <c r="G286" s="218"/>
      <c r="M286" s="304"/>
      <c r="N286" s="192"/>
      <c r="O286" s="301"/>
      <c r="P286" s="301"/>
      <c r="Q286" s="192"/>
      <c r="R286" s="302"/>
    </row>
    <row r="287">
      <c r="A287" s="90"/>
      <c r="F287" s="288"/>
      <c r="G287" s="218"/>
      <c r="M287" s="304"/>
      <c r="N287" s="192"/>
      <c r="O287" s="301"/>
      <c r="P287" s="301"/>
      <c r="Q287" s="192"/>
      <c r="R287" s="302"/>
    </row>
    <row r="288">
      <c r="A288" s="90"/>
      <c r="F288" s="288"/>
      <c r="G288" s="218"/>
      <c r="M288" s="304"/>
      <c r="N288" s="192"/>
      <c r="O288" s="301"/>
      <c r="P288" s="301"/>
      <c r="Q288" s="192"/>
      <c r="R288" s="302"/>
    </row>
    <row r="289">
      <c r="A289" s="90"/>
      <c r="F289" s="288"/>
      <c r="G289" s="218"/>
      <c r="M289" s="304"/>
      <c r="N289" s="192"/>
      <c r="O289" s="301"/>
      <c r="P289" s="301"/>
      <c r="Q289" s="192"/>
      <c r="R289" s="302"/>
    </row>
    <row r="290">
      <c r="A290" s="90"/>
      <c r="F290" s="288"/>
      <c r="G290" s="218"/>
      <c r="M290" s="304"/>
      <c r="N290" s="192"/>
      <c r="O290" s="301"/>
      <c r="P290" s="301"/>
      <c r="Q290" s="192"/>
      <c r="R290" s="302"/>
    </row>
    <row r="291">
      <c r="A291" s="90"/>
      <c r="F291" s="288"/>
      <c r="G291" s="218"/>
      <c r="M291" s="304"/>
      <c r="N291" s="192"/>
      <c r="O291" s="301"/>
      <c r="P291" s="301"/>
      <c r="Q291" s="192"/>
      <c r="R291" s="302"/>
    </row>
    <row r="292">
      <c r="A292" s="90"/>
      <c r="F292" s="288"/>
      <c r="G292" s="218"/>
      <c r="M292" s="304"/>
      <c r="N292" s="192"/>
      <c r="O292" s="301"/>
      <c r="P292" s="301"/>
      <c r="Q292" s="192"/>
      <c r="R292" s="302"/>
    </row>
    <row r="293">
      <c r="A293" s="90"/>
      <c r="F293" s="288"/>
      <c r="G293" s="218"/>
      <c r="M293" s="304"/>
      <c r="N293" s="192"/>
      <c r="O293" s="301"/>
      <c r="P293" s="301"/>
      <c r="Q293" s="192"/>
      <c r="R293" s="302"/>
    </row>
    <row r="294">
      <c r="A294" s="90"/>
      <c r="F294" s="288"/>
      <c r="G294" s="218"/>
      <c r="M294" s="304"/>
      <c r="N294" s="192"/>
      <c r="O294" s="301"/>
      <c r="P294" s="301"/>
      <c r="Q294" s="192"/>
      <c r="R294" s="302"/>
    </row>
    <row r="295">
      <c r="A295" s="90"/>
      <c r="F295" s="288"/>
      <c r="G295" s="218"/>
      <c r="M295" s="304"/>
      <c r="N295" s="192"/>
      <c r="O295" s="301"/>
      <c r="P295" s="301"/>
      <c r="Q295" s="192"/>
      <c r="R295" s="302"/>
    </row>
    <row r="296">
      <c r="A296" s="90"/>
      <c r="F296" s="288"/>
      <c r="G296" s="218"/>
      <c r="M296" s="304"/>
      <c r="N296" s="192"/>
      <c r="O296" s="301"/>
      <c r="P296" s="301"/>
      <c r="Q296" s="192"/>
      <c r="R296" s="302"/>
    </row>
    <row r="297">
      <c r="A297" s="90"/>
      <c r="F297" s="288"/>
      <c r="G297" s="218"/>
      <c r="M297" s="304"/>
      <c r="N297" s="192"/>
      <c r="O297" s="301"/>
      <c r="P297" s="301"/>
      <c r="Q297" s="192"/>
      <c r="R297" s="302"/>
    </row>
    <row r="298">
      <c r="A298" s="90"/>
      <c r="F298" s="288"/>
      <c r="G298" s="218"/>
      <c r="M298" s="304"/>
      <c r="N298" s="192"/>
      <c r="O298" s="301"/>
      <c r="P298" s="301"/>
      <c r="Q298" s="192"/>
      <c r="R298" s="302"/>
    </row>
    <row r="299">
      <c r="A299" s="90"/>
      <c r="F299" s="288"/>
      <c r="G299" s="218"/>
      <c r="M299" s="304"/>
      <c r="N299" s="192"/>
      <c r="O299" s="301"/>
      <c r="P299" s="301"/>
      <c r="Q299" s="192"/>
      <c r="R299" s="302"/>
    </row>
    <row r="300">
      <c r="A300" s="90"/>
      <c r="F300" s="288"/>
      <c r="G300" s="218"/>
      <c r="M300" s="304"/>
      <c r="N300" s="192"/>
      <c r="O300" s="301"/>
      <c r="P300" s="301"/>
      <c r="Q300" s="192"/>
      <c r="R300" s="302"/>
    </row>
    <row r="301">
      <c r="A301" s="90"/>
      <c r="F301" s="288"/>
      <c r="G301" s="218"/>
      <c r="M301" s="304"/>
      <c r="N301" s="192"/>
      <c r="O301" s="301"/>
      <c r="P301" s="301"/>
      <c r="Q301" s="192"/>
      <c r="R301" s="302"/>
    </row>
    <row r="302">
      <c r="A302" s="90"/>
      <c r="F302" s="288"/>
      <c r="G302" s="218"/>
      <c r="M302" s="304"/>
      <c r="N302" s="192"/>
      <c r="O302" s="301"/>
      <c r="P302" s="301"/>
      <c r="Q302" s="192"/>
      <c r="R302" s="302"/>
    </row>
    <row r="303">
      <c r="A303" s="90"/>
      <c r="F303" s="288"/>
      <c r="G303" s="218"/>
      <c r="M303" s="304"/>
      <c r="N303" s="192"/>
      <c r="O303" s="301"/>
      <c r="P303" s="301"/>
      <c r="Q303" s="192"/>
      <c r="R303" s="302"/>
    </row>
    <row r="304">
      <c r="A304" s="90"/>
      <c r="F304" s="288"/>
      <c r="G304" s="218"/>
      <c r="M304" s="304"/>
      <c r="N304" s="192"/>
      <c r="O304" s="301"/>
      <c r="P304" s="301"/>
      <c r="Q304" s="192"/>
      <c r="R304" s="302"/>
    </row>
    <row r="305">
      <c r="A305" s="90"/>
      <c r="F305" s="288"/>
      <c r="G305" s="218"/>
      <c r="M305" s="304"/>
      <c r="N305" s="192"/>
      <c r="O305" s="301"/>
      <c r="P305" s="301"/>
      <c r="Q305" s="192"/>
      <c r="R305" s="302"/>
    </row>
    <row r="306">
      <c r="A306" s="90"/>
      <c r="F306" s="288"/>
      <c r="G306" s="218"/>
      <c r="M306" s="304"/>
      <c r="N306" s="192"/>
      <c r="O306" s="301"/>
      <c r="P306" s="301"/>
      <c r="Q306" s="192"/>
      <c r="R306" s="302"/>
    </row>
    <row r="307">
      <c r="A307" s="90"/>
      <c r="F307" s="288"/>
      <c r="G307" s="218"/>
      <c r="M307" s="304"/>
      <c r="N307" s="192"/>
      <c r="O307" s="301"/>
      <c r="P307" s="301"/>
      <c r="Q307" s="192"/>
      <c r="R307" s="302"/>
    </row>
    <row r="308">
      <c r="A308" s="90"/>
      <c r="F308" s="288"/>
      <c r="G308" s="218"/>
      <c r="M308" s="304"/>
      <c r="N308" s="192"/>
      <c r="O308" s="301"/>
      <c r="P308" s="301"/>
      <c r="Q308" s="192"/>
      <c r="R308" s="302"/>
    </row>
    <row r="309">
      <c r="A309" s="90"/>
      <c r="F309" s="288"/>
      <c r="G309" s="218"/>
      <c r="M309" s="304"/>
      <c r="N309" s="192"/>
      <c r="O309" s="301"/>
      <c r="P309" s="301"/>
      <c r="Q309" s="192"/>
      <c r="R309" s="302"/>
    </row>
    <row r="310">
      <c r="A310" s="90"/>
      <c r="F310" s="288"/>
      <c r="G310" s="218"/>
      <c r="M310" s="304"/>
      <c r="N310" s="192"/>
      <c r="O310" s="301"/>
      <c r="P310" s="301"/>
      <c r="Q310" s="192"/>
      <c r="R310" s="302"/>
    </row>
    <row r="311">
      <c r="A311" s="90"/>
      <c r="F311" s="288"/>
      <c r="G311" s="218"/>
      <c r="M311" s="304"/>
      <c r="N311" s="192"/>
      <c r="O311" s="301"/>
      <c r="P311" s="301"/>
      <c r="Q311" s="192"/>
      <c r="R311" s="302"/>
    </row>
    <row r="312">
      <c r="A312" s="90"/>
      <c r="F312" s="288"/>
      <c r="G312" s="218"/>
      <c r="M312" s="304"/>
      <c r="N312" s="192"/>
      <c r="O312" s="301"/>
      <c r="P312" s="301"/>
      <c r="Q312" s="192"/>
      <c r="R312" s="302"/>
    </row>
    <row r="313">
      <c r="A313" s="90"/>
      <c r="F313" s="288"/>
      <c r="G313" s="218"/>
      <c r="M313" s="304"/>
      <c r="N313" s="192"/>
      <c r="O313" s="301"/>
      <c r="P313" s="301"/>
      <c r="Q313" s="192"/>
      <c r="R313" s="302"/>
    </row>
    <row r="314">
      <c r="A314" s="90"/>
      <c r="F314" s="288"/>
      <c r="G314" s="218"/>
      <c r="M314" s="304"/>
      <c r="N314" s="192"/>
      <c r="O314" s="301"/>
      <c r="P314" s="301"/>
      <c r="Q314" s="192"/>
      <c r="R314" s="302"/>
    </row>
    <row r="315">
      <c r="A315" s="90"/>
      <c r="F315" s="288"/>
      <c r="G315" s="218"/>
      <c r="M315" s="304"/>
      <c r="N315" s="192"/>
      <c r="O315" s="301"/>
      <c r="P315" s="301"/>
      <c r="Q315" s="192"/>
      <c r="R315" s="302"/>
    </row>
    <row r="316">
      <c r="A316" s="90"/>
      <c r="F316" s="288"/>
      <c r="G316" s="218"/>
      <c r="M316" s="304"/>
      <c r="N316" s="192"/>
      <c r="O316" s="301"/>
      <c r="P316" s="301"/>
      <c r="Q316" s="192"/>
      <c r="R316" s="302"/>
    </row>
    <row r="317">
      <c r="A317" s="90"/>
      <c r="F317" s="288"/>
      <c r="G317" s="218"/>
      <c r="M317" s="304"/>
      <c r="N317" s="192"/>
      <c r="O317" s="301"/>
      <c r="P317" s="301"/>
      <c r="Q317" s="192"/>
      <c r="R317" s="302"/>
    </row>
    <row r="318">
      <c r="A318" s="90"/>
      <c r="F318" s="288"/>
      <c r="G318" s="218"/>
      <c r="M318" s="304"/>
      <c r="N318" s="192"/>
      <c r="O318" s="301"/>
      <c r="P318" s="301"/>
      <c r="Q318" s="192"/>
      <c r="R318" s="302"/>
    </row>
    <row r="319">
      <c r="A319" s="90"/>
      <c r="F319" s="288"/>
      <c r="G319" s="218"/>
      <c r="M319" s="304"/>
      <c r="N319" s="192"/>
      <c r="O319" s="301"/>
      <c r="P319" s="301"/>
      <c r="Q319" s="192"/>
      <c r="R319" s="302"/>
    </row>
    <row r="320">
      <c r="A320" s="90"/>
      <c r="F320" s="288"/>
      <c r="G320" s="218"/>
      <c r="M320" s="304"/>
      <c r="N320" s="192"/>
      <c r="O320" s="301"/>
      <c r="P320" s="301"/>
      <c r="Q320" s="192"/>
      <c r="R320" s="302"/>
    </row>
    <row r="321">
      <c r="A321" s="90"/>
      <c r="F321" s="288"/>
      <c r="G321" s="218"/>
      <c r="M321" s="304"/>
      <c r="N321" s="192"/>
      <c r="O321" s="301"/>
      <c r="P321" s="301"/>
      <c r="Q321" s="192"/>
      <c r="R321" s="302"/>
    </row>
    <row r="322">
      <c r="A322" s="90"/>
      <c r="F322" s="288"/>
      <c r="G322" s="218"/>
      <c r="M322" s="304"/>
      <c r="N322" s="192"/>
      <c r="O322" s="301"/>
      <c r="P322" s="301"/>
      <c r="Q322" s="192"/>
      <c r="R322" s="302"/>
    </row>
    <row r="323">
      <c r="A323" s="90"/>
      <c r="F323" s="288"/>
      <c r="G323" s="218"/>
      <c r="M323" s="304"/>
      <c r="N323" s="192"/>
      <c r="O323" s="301"/>
      <c r="P323" s="301"/>
      <c r="Q323" s="192"/>
      <c r="R323" s="302"/>
    </row>
    <row r="324">
      <c r="A324" s="90"/>
      <c r="F324" s="288"/>
      <c r="G324" s="218"/>
      <c r="M324" s="304"/>
      <c r="N324" s="192"/>
      <c r="O324" s="301"/>
      <c r="P324" s="301"/>
      <c r="Q324" s="192"/>
      <c r="R324" s="302"/>
    </row>
    <row r="325">
      <c r="A325" s="90"/>
      <c r="F325" s="288"/>
      <c r="G325" s="218"/>
      <c r="M325" s="304"/>
      <c r="N325" s="192"/>
      <c r="O325" s="301"/>
      <c r="P325" s="301"/>
      <c r="Q325" s="192"/>
      <c r="R325" s="302"/>
    </row>
    <row r="326">
      <c r="A326" s="90"/>
      <c r="F326" s="288"/>
      <c r="G326" s="218"/>
      <c r="M326" s="304"/>
      <c r="N326" s="192"/>
      <c r="O326" s="301"/>
      <c r="P326" s="301"/>
      <c r="Q326" s="192"/>
      <c r="R326" s="302"/>
    </row>
    <row r="327">
      <c r="A327" s="90"/>
      <c r="F327" s="288"/>
      <c r="G327" s="218"/>
      <c r="M327" s="304"/>
      <c r="N327" s="192"/>
      <c r="O327" s="301"/>
      <c r="P327" s="301"/>
      <c r="Q327" s="192"/>
      <c r="R327" s="302"/>
    </row>
    <row r="328">
      <c r="A328" s="90"/>
      <c r="F328" s="288"/>
      <c r="G328" s="218"/>
      <c r="M328" s="304"/>
      <c r="N328" s="192"/>
      <c r="O328" s="301"/>
      <c r="P328" s="301"/>
      <c r="Q328" s="192"/>
      <c r="R328" s="302"/>
    </row>
    <row r="329">
      <c r="A329" s="90"/>
      <c r="F329" s="288"/>
      <c r="G329" s="218"/>
      <c r="M329" s="304"/>
      <c r="N329" s="192"/>
      <c r="O329" s="301"/>
      <c r="P329" s="301"/>
      <c r="Q329" s="192"/>
      <c r="R329" s="302"/>
    </row>
    <row r="330">
      <c r="A330" s="90"/>
      <c r="F330" s="288"/>
      <c r="G330" s="218"/>
      <c r="M330" s="304"/>
      <c r="N330" s="192"/>
      <c r="O330" s="301"/>
      <c r="P330" s="301"/>
      <c r="Q330" s="192"/>
      <c r="R330" s="302"/>
    </row>
    <row r="331">
      <c r="A331" s="90"/>
      <c r="F331" s="288"/>
      <c r="G331" s="218"/>
      <c r="M331" s="304"/>
      <c r="N331" s="192"/>
      <c r="O331" s="301"/>
      <c r="P331" s="301"/>
      <c r="Q331" s="192"/>
      <c r="R331" s="302"/>
    </row>
    <row r="332">
      <c r="A332" s="90"/>
      <c r="F332" s="288"/>
      <c r="G332" s="218"/>
      <c r="M332" s="304"/>
      <c r="N332" s="192"/>
      <c r="O332" s="301"/>
      <c r="P332" s="301"/>
      <c r="Q332" s="192"/>
      <c r="R332" s="302"/>
    </row>
    <row r="333">
      <c r="A333" s="90"/>
      <c r="F333" s="288"/>
      <c r="G333" s="218"/>
      <c r="M333" s="304"/>
      <c r="N333" s="192"/>
      <c r="O333" s="301"/>
      <c r="P333" s="301"/>
      <c r="Q333" s="192"/>
      <c r="R333" s="302"/>
    </row>
    <row r="334">
      <c r="A334" s="90"/>
      <c r="F334" s="288"/>
      <c r="G334" s="218"/>
      <c r="M334" s="304"/>
      <c r="N334" s="192"/>
      <c r="O334" s="301"/>
      <c r="P334" s="301"/>
      <c r="Q334" s="192"/>
      <c r="R334" s="302"/>
    </row>
    <row r="335">
      <c r="A335" s="90"/>
      <c r="F335" s="288"/>
      <c r="G335" s="218"/>
      <c r="M335" s="304"/>
      <c r="N335" s="192"/>
      <c r="O335" s="301"/>
      <c r="P335" s="301"/>
      <c r="Q335" s="192"/>
      <c r="R335" s="302"/>
    </row>
    <row r="336">
      <c r="A336" s="90"/>
      <c r="F336" s="288"/>
      <c r="G336" s="218"/>
      <c r="M336" s="304"/>
      <c r="N336" s="192"/>
      <c r="O336" s="301"/>
      <c r="P336" s="301"/>
      <c r="Q336" s="192"/>
      <c r="R336" s="302"/>
    </row>
    <row r="337">
      <c r="A337" s="90"/>
      <c r="F337" s="288"/>
      <c r="G337" s="218"/>
      <c r="M337" s="304"/>
      <c r="N337" s="192"/>
      <c r="O337" s="301"/>
      <c r="P337" s="301"/>
      <c r="Q337" s="192"/>
      <c r="R337" s="302"/>
    </row>
    <row r="338">
      <c r="A338" s="90"/>
      <c r="F338" s="288"/>
      <c r="G338" s="218"/>
      <c r="M338" s="304"/>
      <c r="N338" s="192"/>
      <c r="O338" s="301"/>
      <c r="P338" s="301"/>
      <c r="Q338" s="192"/>
      <c r="R338" s="302"/>
    </row>
    <row r="339">
      <c r="A339" s="90"/>
      <c r="F339" s="288"/>
      <c r="G339" s="218"/>
      <c r="M339" s="304"/>
      <c r="N339" s="192"/>
      <c r="O339" s="301"/>
      <c r="P339" s="301"/>
      <c r="Q339" s="192"/>
      <c r="R339" s="302"/>
    </row>
    <row r="340">
      <c r="A340" s="90"/>
      <c r="F340" s="288"/>
      <c r="G340" s="218"/>
      <c r="M340" s="304"/>
      <c r="N340" s="192"/>
      <c r="O340" s="301"/>
      <c r="P340" s="301"/>
      <c r="Q340" s="192"/>
      <c r="R340" s="302"/>
    </row>
    <row r="341">
      <c r="A341" s="90"/>
      <c r="F341" s="288"/>
      <c r="G341" s="218"/>
      <c r="M341" s="304"/>
      <c r="N341" s="192"/>
      <c r="O341" s="301"/>
      <c r="P341" s="301"/>
      <c r="Q341" s="192"/>
      <c r="R341" s="302"/>
    </row>
    <row r="342">
      <c r="A342" s="90"/>
      <c r="F342" s="288"/>
      <c r="G342" s="218"/>
      <c r="M342" s="304"/>
      <c r="N342" s="192"/>
      <c r="O342" s="301"/>
      <c r="P342" s="301"/>
      <c r="Q342" s="192"/>
      <c r="R342" s="302"/>
    </row>
    <row r="343">
      <c r="A343" s="90"/>
      <c r="F343" s="288"/>
      <c r="G343" s="218"/>
      <c r="M343" s="304"/>
      <c r="N343" s="192"/>
      <c r="O343" s="301"/>
      <c r="P343" s="301"/>
      <c r="Q343" s="192"/>
      <c r="R343" s="302"/>
    </row>
    <row r="344">
      <c r="A344" s="90"/>
      <c r="F344" s="288"/>
      <c r="G344" s="218"/>
      <c r="M344" s="304"/>
      <c r="N344" s="192"/>
      <c r="O344" s="301"/>
      <c r="P344" s="301"/>
      <c r="Q344" s="192"/>
      <c r="R344" s="302"/>
    </row>
    <row r="345">
      <c r="A345" s="90"/>
      <c r="F345" s="288"/>
      <c r="G345" s="218"/>
      <c r="M345" s="304"/>
      <c r="N345" s="192"/>
      <c r="O345" s="301"/>
      <c r="P345" s="301"/>
      <c r="Q345" s="192"/>
      <c r="R345" s="302"/>
    </row>
    <row r="346">
      <c r="A346" s="90"/>
      <c r="F346" s="288"/>
      <c r="G346" s="218"/>
      <c r="M346" s="304"/>
      <c r="N346" s="192"/>
      <c r="O346" s="301"/>
      <c r="P346" s="301"/>
      <c r="Q346" s="192"/>
      <c r="R346" s="302"/>
    </row>
    <row r="347">
      <c r="A347" s="90"/>
      <c r="F347" s="288"/>
      <c r="G347" s="218"/>
      <c r="M347" s="304"/>
      <c r="N347" s="192"/>
      <c r="O347" s="301"/>
      <c r="P347" s="301"/>
      <c r="Q347" s="192"/>
      <c r="R347" s="302"/>
    </row>
    <row r="348">
      <c r="A348" s="90"/>
      <c r="F348" s="288"/>
      <c r="G348" s="218"/>
      <c r="M348" s="304"/>
      <c r="N348" s="192"/>
      <c r="O348" s="301"/>
      <c r="P348" s="301"/>
      <c r="Q348" s="192"/>
      <c r="R348" s="302"/>
    </row>
    <row r="349">
      <c r="A349" s="90"/>
      <c r="F349" s="288"/>
      <c r="G349" s="218"/>
      <c r="M349" s="304"/>
      <c r="N349" s="192"/>
      <c r="O349" s="301"/>
      <c r="P349" s="301"/>
      <c r="Q349" s="192"/>
      <c r="R349" s="302"/>
    </row>
    <row r="350">
      <c r="A350" s="90"/>
      <c r="F350" s="288"/>
      <c r="G350" s="218"/>
      <c r="M350" s="304"/>
      <c r="N350" s="192"/>
      <c r="O350" s="301"/>
      <c r="P350" s="301"/>
      <c r="Q350" s="192"/>
      <c r="R350" s="302"/>
    </row>
    <row r="351">
      <c r="A351" s="90"/>
      <c r="F351" s="288"/>
      <c r="G351" s="218"/>
      <c r="M351" s="304"/>
      <c r="N351" s="192"/>
      <c r="O351" s="301"/>
      <c r="P351" s="301"/>
      <c r="Q351" s="192"/>
      <c r="R351" s="302"/>
    </row>
    <row r="352">
      <c r="A352" s="90"/>
      <c r="F352" s="288"/>
      <c r="G352" s="218"/>
      <c r="M352" s="304"/>
      <c r="N352" s="192"/>
      <c r="O352" s="301"/>
      <c r="P352" s="301"/>
      <c r="Q352" s="192"/>
      <c r="R352" s="302"/>
    </row>
    <row r="353">
      <c r="A353" s="90"/>
      <c r="F353" s="288"/>
      <c r="G353" s="218"/>
      <c r="M353" s="304"/>
      <c r="N353" s="192"/>
      <c r="O353" s="301"/>
      <c r="P353" s="301"/>
      <c r="Q353" s="192"/>
      <c r="R353" s="302"/>
    </row>
    <row r="354">
      <c r="A354" s="90"/>
      <c r="F354" s="288"/>
      <c r="G354" s="218"/>
      <c r="M354" s="304"/>
      <c r="N354" s="192"/>
      <c r="O354" s="301"/>
      <c r="P354" s="301"/>
      <c r="Q354" s="192"/>
      <c r="R354" s="302"/>
    </row>
    <row r="355">
      <c r="A355" s="90"/>
      <c r="F355" s="288"/>
      <c r="G355" s="218"/>
      <c r="M355" s="304"/>
      <c r="N355" s="192"/>
      <c r="O355" s="301"/>
      <c r="P355" s="301"/>
      <c r="Q355" s="192"/>
      <c r="R355" s="302"/>
    </row>
    <row r="356">
      <c r="A356" s="90"/>
      <c r="F356" s="288"/>
      <c r="G356" s="218"/>
      <c r="M356" s="304"/>
      <c r="N356" s="192"/>
      <c r="O356" s="301"/>
      <c r="P356" s="301"/>
      <c r="Q356" s="192"/>
      <c r="R356" s="302"/>
    </row>
    <row r="357">
      <c r="A357" s="90"/>
      <c r="F357" s="288"/>
      <c r="G357" s="218"/>
      <c r="M357" s="304"/>
      <c r="N357" s="192"/>
      <c r="O357" s="301"/>
      <c r="P357" s="301"/>
      <c r="Q357" s="192"/>
      <c r="R357" s="302"/>
    </row>
    <row r="358">
      <c r="A358" s="90"/>
      <c r="F358" s="288"/>
      <c r="G358" s="218"/>
      <c r="M358" s="304"/>
      <c r="N358" s="192"/>
      <c r="O358" s="301"/>
      <c r="P358" s="301"/>
      <c r="Q358" s="192"/>
      <c r="R358" s="302"/>
    </row>
    <row r="359">
      <c r="A359" s="90"/>
      <c r="F359" s="288"/>
      <c r="G359" s="218"/>
      <c r="M359" s="304"/>
      <c r="N359" s="192"/>
      <c r="O359" s="301"/>
      <c r="P359" s="301"/>
      <c r="Q359" s="192"/>
      <c r="R359" s="302"/>
    </row>
    <row r="360">
      <c r="A360" s="90"/>
      <c r="F360" s="288"/>
      <c r="G360" s="218"/>
      <c r="M360" s="304"/>
      <c r="N360" s="192"/>
      <c r="O360" s="301"/>
      <c r="P360" s="301"/>
      <c r="Q360" s="192"/>
      <c r="R360" s="302"/>
    </row>
    <row r="361">
      <c r="A361" s="90"/>
      <c r="F361" s="288"/>
      <c r="G361" s="218"/>
      <c r="M361" s="304"/>
      <c r="N361" s="192"/>
      <c r="O361" s="301"/>
      <c r="P361" s="301"/>
      <c r="Q361" s="192"/>
      <c r="R361" s="302"/>
    </row>
    <row r="362">
      <c r="A362" s="90"/>
      <c r="F362" s="288"/>
      <c r="G362" s="218"/>
      <c r="M362" s="304"/>
      <c r="N362" s="192"/>
      <c r="O362" s="301"/>
      <c r="P362" s="301"/>
      <c r="Q362" s="192"/>
      <c r="R362" s="302"/>
    </row>
    <row r="363">
      <c r="A363" s="90"/>
      <c r="F363" s="288"/>
      <c r="G363" s="218"/>
      <c r="M363" s="304"/>
      <c r="N363" s="192"/>
      <c r="O363" s="301"/>
      <c r="P363" s="301"/>
      <c r="Q363" s="192"/>
      <c r="R363" s="302"/>
    </row>
    <row r="364">
      <c r="A364" s="90"/>
      <c r="F364" s="288"/>
      <c r="G364" s="218"/>
      <c r="M364" s="304"/>
      <c r="N364" s="192"/>
      <c r="O364" s="301"/>
      <c r="P364" s="301"/>
      <c r="Q364" s="192"/>
      <c r="R364" s="302"/>
    </row>
    <row r="365">
      <c r="A365" s="90"/>
      <c r="F365" s="288"/>
      <c r="G365" s="218"/>
      <c r="M365" s="304"/>
      <c r="N365" s="192"/>
      <c r="O365" s="301"/>
      <c r="P365" s="301"/>
      <c r="Q365" s="192"/>
      <c r="R365" s="302"/>
    </row>
    <row r="366">
      <c r="A366" s="90"/>
      <c r="F366" s="288"/>
      <c r="G366" s="218"/>
      <c r="M366" s="304"/>
      <c r="N366" s="192"/>
      <c r="O366" s="301"/>
      <c r="P366" s="301"/>
      <c r="Q366" s="192"/>
      <c r="R366" s="302"/>
    </row>
    <row r="367">
      <c r="A367" s="90"/>
      <c r="F367" s="288"/>
      <c r="G367" s="218"/>
      <c r="M367" s="304"/>
      <c r="N367" s="192"/>
      <c r="O367" s="301"/>
      <c r="P367" s="301"/>
      <c r="Q367" s="192"/>
      <c r="R367" s="302"/>
    </row>
    <row r="368">
      <c r="A368" s="90"/>
      <c r="F368" s="288"/>
      <c r="G368" s="218"/>
      <c r="M368" s="304"/>
      <c r="N368" s="192"/>
      <c r="O368" s="301"/>
      <c r="P368" s="301"/>
      <c r="Q368" s="192"/>
      <c r="R368" s="302"/>
    </row>
    <row r="369">
      <c r="A369" s="90"/>
      <c r="F369" s="288"/>
      <c r="G369" s="218"/>
      <c r="M369" s="304"/>
      <c r="N369" s="192"/>
      <c r="O369" s="301"/>
      <c r="P369" s="301"/>
      <c r="Q369" s="192"/>
      <c r="R369" s="302"/>
    </row>
    <row r="370">
      <c r="A370" s="90"/>
      <c r="F370" s="288"/>
      <c r="G370" s="218"/>
      <c r="M370" s="304"/>
      <c r="N370" s="192"/>
      <c r="O370" s="301"/>
      <c r="P370" s="301"/>
      <c r="Q370" s="192"/>
      <c r="R370" s="302"/>
    </row>
    <row r="371">
      <c r="A371" s="90"/>
      <c r="F371" s="288"/>
      <c r="G371" s="218"/>
      <c r="M371" s="304"/>
      <c r="N371" s="192"/>
      <c r="O371" s="301"/>
      <c r="P371" s="301"/>
      <c r="Q371" s="192"/>
      <c r="R371" s="302"/>
    </row>
    <row r="372">
      <c r="A372" s="90"/>
      <c r="F372" s="288"/>
      <c r="G372" s="218"/>
      <c r="M372" s="304"/>
      <c r="N372" s="192"/>
      <c r="O372" s="301"/>
      <c r="P372" s="301"/>
      <c r="Q372" s="192"/>
      <c r="R372" s="302"/>
    </row>
    <row r="373">
      <c r="A373" s="90"/>
      <c r="F373" s="288"/>
      <c r="G373" s="218"/>
      <c r="M373" s="304"/>
      <c r="N373" s="192"/>
      <c r="O373" s="301"/>
      <c r="P373" s="301"/>
      <c r="Q373" s="192"/>
      <c r="R373" s="302"/>
    </row>
    <row r="374">
      <c r="A374" s="90"/>
      <c r="F374" s="288"/>
      <c r="G374" s="218"/>
      <c r="M374" s="304"/>
      <c r="N374" s="192"/>
      <c r="O374" s="301"/>
      <c r="P374" s="301"/>
      <c r="Q374" s="192"/>
      <c r="R374" s="302"/>
    </row>
    <row r="375">
      <c r="A375" s="90"/>
      <c r="F375" s="288"/>
      <c r="G375" s="218"/>
      <c r="M375" s="304"/>
      <c r="N375" s="192"/>
      <c r="O375" s="301"/>
      <c r="P375" s="301"/>
      <c r="Q375" s="192"/>
      <c r="R375" s="302"/>
    </row>
    <row r="376">
      <c r="A376" s="90"/>
      <c r="F376" s="288"/>
      <c r="G376" s="218"/>
      <c r="M376" s="304"/>
      <c r="N376" s="192"/>
      <c r="O376" s="301"/>
      <c r="P376" s="301"/>
      <c r="Q376" s="192"/>
      <c r="R376" s="302"/>
    </row>
    <row r="377">
      <c r="A377" s="90"/>
      <c r="F377" s="288"/>
      <c r="G377" s="218"/>
      <c r="M377" s="304"/>
      <c r="N377" s="192"/>
      <c r="O377" s="301"/>
      <c r="P377" s="301"/>
      <c r="Q377" s="192"/>
      <c r="R377" s="302"/>
    </row>
    <row r="378">
      <c r="A378" s="90"/>
      <c r="F378" s="288"/>
      <c r="G378" s="218"/>
      <c r="M378" s="304"/>
      <c r="N378" s="192"/>
      <c r="O378" s="301"/>
      <c r="P378" s="301"/>
      <c r="Q378" s="192"/>
      <c r="R378" s="302"/>
    </row>
    <row r="379">
      <c r="A379" s="90"/>
      <c r="F379" s="288"/>
      <c r="G379" s="218"/>
      <c r="M379" s="304"/>
      <c r="N379" s="192"/>
      <c r="O379" s="301"/>
      <c r="P379" s="301"/>
      <c r="Q379" s="192"/>
      <c r="R379" s="302"/>
    </row>
    <row r="380">
      <c r="A380" s="90"/>
      <c r="F380" s="288"/>
      <c r="G380" s="218"/>
      <c r="M380" s="304"/>
      <c r="N380" s="192"/>
      <c r="O380" s="301"/>
      <c r="P380" s="301"/>
      <c r="Q380" s="192"/>
      <c r="R380" s="302"/>
    </row>
    <row r="381">
      <c r="A381" s="90"/>
      <c r="F381" s="288"/>
      <c r="G381" s="218"/>
      <c r="M381" s="304"/>
      <c r="N381" s="192"/>
      <c r="O381" s="301"/>
      <c r="P381" s="301"/>
      <c r="Q381" s="192"/>
      <c r="R381" s="302"/>
    </row>
    <row r="382">
      <c r="A382" s="90"/>
      <c r="F382" s="288"/>
      <c r="G382" s="218"/>
      <c r="M382" s="304"/>
      <c r="N382" s="192"/>
      <c r="O382" s="301"/>
      <c r="P382" s="301"/>
      <c r="Q382" s="192"/>
      <c r="R382" s="302"/>
    </row>
    <row r="383">
      <c r="A383" s="90"/>
      <c r="F383" s="288"/>
      <c r="G383" s="218"/>
      <c r="M383" s="304"/>
      <c r="N383" s="192"/>
      <c r="O383" s="301"/>
      <c r="P383" s="301"/>
      <c r="Q383" s="192"/>
      <c r="R383" s="302"/>
    </row>
    <row r="384">
      <c r="A384" s="90"/>
      <c r="F384" s="288"/>
      <c r="G384" s="218"/>
      <c r="M384" s="304"/>
      <c r="N384" s="192"/>
      <c r="O384" s="301"/>
      <c r="P384" s="301"/>
      <c r="Q384" s="192"/>
      <c r="R384" s="302"/>
    </row>
    <row r="385">
      <c r="A385" s="90"/>
      <c r="F385" s="288"/>
      <c r="G385" s="218"/>
      <c r="M385" s="304"/>
      <c r="N385" s="192"/>
      <c r="O385" s="301"/>
      <c r="P385" s="301"/>
      <c r="Q385" s="192"/>
      <c r="R385" s="302"/>
    </row>
    <row r="386">
      <c r="A386" s="90"/>
      <c r="F386" s="288"/>
      <c r="G386" s="218"/>
      <c r="M386" s="304"/>
      <c r="N386" s="192"/>
      <c r="O386" s="301"/>
      <c r="P386" s="301"/>
      <c r="Q386" s="192"/>
      <c r="R386" s="302"/>
    </row>
    <row r="387">
      <c r="A387" s="90"/>
      <c r="F387" s="288"/>
      <c r="G387" s="218"/>
      <c r="M387" s="304"/>
      <c r="N387" s="192"/>
      <c r="O387" s="301"/>
      <c r="P387" s="301"/>
      <c r="Q387" s="192"/>
      <c r="R387" s="302"/>
    </row>
    <row r="388">
      <c r="A388" s="90"/>
      <c r="F388" s="288"/>
      <c r="G388" s="218"/>
      <c r="M388" s="304"/>
      <c r="N388" s="192"/>
      <c r="O388" s="301"/>
      <c r="P388" s="301"/>
      <c r="Q388" s="192"/>
      <c r="R388" s="302"/>
    </row>
    <row r="389">
      <c r="A389" s="90"/>
      <c r="F389" s="288"/>
      <c r="G389" s="218"/>
      <c r="M389" s="304"/>
      <c r="N389" s="192"/>
      <c r="O389" s="301"/>
      <c r="P389" s="301"/>
      <c r="Q389" s="192"/>
      <c r="R389" s="302"/>
    </row>
    <row r="390">
      <c r="A390" s="90"/>
      <c r="F390" s="288"/>
      <c r="G390" s="218"/>
      <c r="M390" s="304"/>
      <c r="N390" s="192"/>
      <c r="O390" s="301"/>
      <c r="P390" s="301"/>
      <c r="Q390" s="192"/>
      <c r="R390" s="302"/>
    </row>
    <row r="391">
      <c r="A391" s="90"/>
      <c r="F391" s="288"/>
      <c r="G391" s="218"/>
      <c r="M391" s="304"/>
      <c r="N391" s="192"/>
      <c r="O391" s="301"/>
      <c r="P391" s="301"/>
      <c r="Q391" s="192"/>
      <c r="R391" s="302"/>
    </row>
    <row r="392">
      <c r="A392" s="90"/>
      <c r="F392" s="288"/>
      <c r="G392" s="218"/>
      <c r="M392" s="304"/>
      <c r="N392" s="192"/>
      <c r="O392" s="301"/>
      <c r="P392" s="301"/>
      <c r="Q392" s="192"/>
      <c r="R392" s="302"/>
    </row>
    <row r="393">
      <c r="A393" s="90"/>
      <c r="F393" s="288"/>
      <c r="G393" s="218"/>
      <c r="M393" s="304"/>
      <c r="N393" s="192"/>
      <c r="O393" s="301"/>
      <c r="P393" s="301"/>
      <c r="Q393" s="192"/>
      <c r="R393" s="302"/>
    </row>
    <row r="394">
      <c r="A394" s="90"/>
      <c r="F394" s="288"/>
      <c r="G394" s="218"/>
      <c r="M394" s="304"/>
      <c r="N394" s="192"/>
      <c r="O394" s="301"/>
      <c r="P394" s="301"/>
      <c r="Q394" s="192"/>
      <c r="R394" s="302"/>
    </row>
    <row r="395">
      <c r="A395" s="90"/>
      <c r="F395" s="288"/>
      <c r="G395" s="218"/>
      <c r="M395" s="304"/>
      <c r="N395" s="192"/>
      <c r="O395" s="301"/>
      <c r="P395" s="301"/>
      <c r="Q395" s="192"/>
      <c r="R395" s="302"/>
    </row>
    <row r="396">
      <c r="A396" s="90"/>
      <c r="F396" s="288"/>
      <c r="G396" s="218"/>
      <c r="M396" s="304"/>
      <c r="N396" s="192"/>
      <c r="O396" s="301"/>
      <c r="P396" s="301"/>
      <c r="Q396" s="192"/>
      <c r="R396" s="302"/>
    </row>
    <row r="397">
      <c r="A397" s="90"/>
      <c r="F397" s="288"/>
      <c r="G397" s="218"/>
      <c r="M397" s="304"/>
      <c r="N397" s="192"/>
      <c r="O397" s="301"/>
      <c r="P397" s="301"/>
      <c r="Q397" s="192"/>
      <c r="R397" s="302"/>
    </row>
    <row r="398">
      <c r="A398" s="90"/>
      <c r="F398" s="288"/>
      <c r="G398" s="218"/>
      <c r="M398" s="304"/>
      <c r="N398" s="192"/>
      <c r="O398" s="301"/>
      <c r="P398" s="301"/>
      <c r="Q398" s="192"/>
      <c r="R398" s="302"/>
    </row>
    <row r="399">
      <c r="A399" s="90"/>
      <c r="F399" s="288"/>
      <c r="G399" s="218"/>
      <c r="M399" s="304"/>
      <c r="N399" s="192"/>
      <c r="O399" s="301"/>
      <c r="P399" s="301"/>
      <c r="Q399" s="192"/>
      <c r="R399" s="302"/>
    </row>
    <row r="400">
      <c r="A400" s="90"/>
      <c r="F400" s="288"/>
      <c r="G400" s="218"/>
      <c r="M400" s="304"/>
      <c r="N400" s="192"/>
      <c r="O400" s="301"/>
      <c r="P400" s="301"/>
      <c r="Q400" s="192"/>
      <c r="R400" s="302"/>
    </row>
    <row r="401">
      <c r="A401" s="90"/>
      <c r="F401" s="288"/>
      <c r="G401" s="218"/>
      <c r="M401" s="304"/>
      <c r="N401" s="192"/>
      <c r="O401" s="301"/>
      <c r="P401" s="301"/>
      <c r="Q401" s="192"/>
      <c r="R401" s="302"/>
    </row>
    <row r="402">
      <c r="A402" s="90"/>
      <c r="F402" s="288"/>
      <c r="G402" s="218"/>
      <c r="M402" s="304"/>
      <c r="N402" s="192"/>
      <c r="O402" s="301"/>
      <c r="P402" s="301"/>
      <c r="Q402" s="192"/>
      <c r="R402" s="302"/>
    </row>
    <row r="403">
      <c r="A403" s="90"/>
      <c r="F403" s="288"/>
      <c r="G403" s="218"/>
      <c r="M403" s="304"/>
      <c r="N403" s="192"/>
      <c r="O403" s="301"/>
      <c r="P403" s="301"/>
      <c r="Q403" s="192"/>
      <c r="R403" s="302"/>
    </row>
    <row r="404">
      <c r="A404" s="90"/>
      <c r="F404" s="288"/>
      <c r="G404" s="218"/>
      <c r="M404" s="304"/>
      <c r="N404" s="192"/>
      <c r="O404" s="301"/>
      <c r="P404" s="301"/>
      <c r="Q404" s="192"/>
      <c r="R404" s="302"/>
    </row>
    <row r="405">
      <c r="A405" s="90"/>
      <c r="F405" s="288"/>
      <c r="G405" s="218"/>
      <c r="M405" s="304"/>
      <c r="N405" s="192"/>
      <c r="O405" s="301"/>
      <c r="P405" s="301"/>
      <c r="Q405" s="192"/>
      <c r="R405" s="302"/>
    </row>
    <row r="406">
      <c r="A406" s="90"/>
      <c r="F406" s="288"/>
      <c r="G406" s="218"/>
      <c r="M406" s="304"/>
      <c r="N406" s="192"/>
      <c r="O406" s="301"/>
      <c r="P406" s="301"/>
      <c r="Q406" s="192"/>
      <c r="R406" s="302"/>
    </row>
    <row r="407">
      <c r="A407" s="90"/>
      <c r="F407" s="288"/>
      <c r="G407" s="218"/>
      <c r="M407" s="304"/>
      <c r="N407" s="192"/>
      <c r="O407" s="301"/>
      <c r="P407" s="301"/>
      <c r="Q407" s="192"/>
      <c r="R407" s="302"/>
    </row>
    <row r="408">
      <c r="A408" s="90"/>
      <c r="F408" s="288"/>
      <c r="G408" s="218"/>
      <c r="M408" s="304"/>
      <c r="N408" s="192"/>
      <c r="O408" s="301"/>
      <c r="P408" s="301"/>
      <c r="Q408" s="192"/>
      <c r="R408" s="302"/>
    </row>
    <row r="409">
      <c r="A409" s="90"/>
      <c r="F409" s="288"/>
      <c r="G409" s="218"/>
      <c r="M409" s="304"/>
      <c r="N409" s="192"/>
      <c r="O409" s="301"/>
      <c r="P409" s="301"/>
      <c r="Q409" s="192"/>
      <c r="R409" s="302"/>
    </row>
    <row r="410">
      <c r="A410" s="90"/>
      <c r="F410" s="288"/>
      <c r="G410" s="218"/>
      <c r="M410" s="304"/>
      <c r="N410" s="192"/>
      <c r="O410" s="301"/>
      <c r="P410" s="301"/>
      <c r="Q410" s="192"/>
      <c r="R410" s="302"/>
    </row>
    <row r="411">
      <c r="A411" s="90"/>
      <c r="F411" s="288"/>
      <c r="G411" s="218"/>
      <c r="M411" s="304"/>
      <c r="N411" s="192"/>
      <c r="O411" s="301"/>
      <c r="P411" s="301"/>
      <c r="Q411" s="192"/>
      <c r="R411" s="302"/>
    </row>
    <row r="412">
      <c r="A412" s="90"/>
      <c r="F412" s="288"/>
      <c r="G412" s="218"/>
      <c r="M412" s="304"/>
      <c r="N412" s="192"/>
      <c r="O412" s="301"/>
      <c r="P412" s="301"/>
      <c r="Q412" s="192"/>
      <c r="R412" s="302"/>
    </row>
    <row r="413">
      <c r="A413" s="90"/>
      <c r="F413" s="288"/>
      <c r="G413" s="218"/>
      <c r="M413" s="304"/>
      <c r="N413" s="192"/>
      <c r="O413" s="301"/>
      <c r="P413" s="301"/>
      <c r="Q413" s="192"/>
      <c r="R413" s="302"/>
    </row>
    <row r="414">
      <c r="A414" s="90"/>
      <c r="F414" s="288"/>
      <c r="G414" s="218"/>
      <c r="M414" s="304"/>
      <c r="N414" s="192"/>
      <c r="O414" s="301"/>
      <c r="P414" s="301"/>
      <c r="Q414" s="192"/>
      <c r="R414" s="302"/>
    </row>
    <row r="415">
      <c r="A415" s="90"/>
      <c r="F415" s="288"/>
      <c r="G415" s="218"/>
      <c r="M415" s="304"/>
      <c r="N415" s="192"/>
      <c r="O415" s="301"/>
      <c r="P415" s="301"/>
      <c r="Q415" s="192"/>
      <c r="R415" s="302"/>
    </row>
    <row r="416">
      <c r="A416" s="90"/>
      <c r="F416" s="288"/>
      <c r="G416" s="218"/>
      <c r="M416" s="304"/>
      <c r="N416" s="192"/>
      <c r="O416" s="301"/>
      <c r="P416" s="301"/>
      <c r="Q416" s="192"/>
      <c r="R416" s="302"/>
    </row>
    <row r="417">
      <c r="A417" s="90"/>
      <c r="F417" s="288"/>
      <c r="G417" s="218"/>
      <c r="M417" s="304"/>
      <c r="N417" s="192"/>
      <c r="O417" s="301"/>
      <c r="P417" s="301"/>
      <c r="Q417" s="192"/>
      <c r="R417" s="302"/>
    </row>
    <row r="418">
      <c r="A418" s="90"/>
      <c r="F418" s="288"/>
      <c r="G418" s="218"/>
      <c r="M418" s="304"/>
      <c r="N418" s="192"/>
      <c r="O418" s="301"/>
      <c r="P418" s="301"/>
      <c r="Q418" s="192"/>
      <c r="R418" s="302"/>
    </row>
    <row r="419">
      <c r="A419" s="90"/>
      <c r="F419" s="288"/>
      <c r="G419" s="218"/>
      <c r="M419" s="304"/>
      <c r="N419" s="192"/>
      <c r="O419" s="301"/>
      <c r="P419" s="301"/>
      <c r="Q419" s="192"/>
      <c r="R419" s="302"/>
    </row>
    <row r="420">
      <c r="A420" s="90"/>
      <c r="F420" s="288"/>
      <c r="G420" s="218"/>
      <c r="M420" s="304"/>
      <c r="N420" s="192"/>
      <c r="O420" s="301"/>
      <c r="P420" s="301"/>
      <c r="Q420" s="192"/>
      <c r="R420" s="302"/>
    </row>
    <row r="421">
      <c r="A421" s="90"/>
      <c r="F421" s="288"/>
      <c r="G421" s="218"/>
      <c r="M421" s="304"/>
      <c r="N421" s="192"/>
      <c r="O421" s="301"/>
      <c r="P421" s="301"/>
      <c r="Q421" s="192"/>
      <c r="R421" s="302"/>
    </row>
    <row r="422">
      <c r="A422" s="90"/>
      <c r="F422" s="288"/>
      <c r="G422" s="218"/>
      <c r="M422" s="304"/>
      <c r="N422" s="192"/>
      <c r="O422" s="301"/>
      <c r="P422" s="301"/>
      <c r="Q422" s="192"/>
      <c r="R422" s="302"/>
    </row>
    <row r="423">
      <c r="A423" s="90"/>
      <c r="F423" s="288"/>
      <c r="G423" s="218"/>
      <c r="M423" s="304"/>
      <c r="N423" s="192"/>
      <c r="O423" s="301"/>
      <c r="P423" s="301"/>
      <c r="Q423" s="192"/>
      <c r="R423" s="302"/>
    </row>
    <row r="424">
      <c r="A424" s="90"/>
      <c r="F424" s="288"/>
      <c r="G424" s="218"/>
      <c r="M424" s="304"/>
      <c r="N424" s="192"/>
      <c r="O424" s="301"/>
      <c r="P424" s="301"/>
      <c r="Q424" s="192"/>
      <c r="R424" s="302"/>
    </row>
    <row r="425">
      <c r="A425" s="90"/>
      <c r="F425" s="288"/>
      <c r="G425" s="218"/>
      <c r="M425" s="304"/>
      <c r="N425" s="192"/>
      <c r="O425" s="301"/>
      <c r="P425" s="301"/>
      <c r="Q425" s="192"/>
      <c r="R425" s="302"/>
    </row>
    <row r="426">
      <c r="A426" s="90"/>
      <c r="F426" s="288"/>
      <c r="G426" s="218"/>
      <c r="M426" s="304"/>
      <c r="N426" s="192"/>
      <c r="O426" s="301"/>
      <c r="P426" s="301"/>
      <c r="Q426" s="192"/>
      <c r="R426" s="302"/>
    </row>
    <row r="427">
      <c r="A427" s="90"/>
      <c r="F427" s="288"/>
      <c r="G427" s="218"/>
      <c r="M427" s="304"/>
      <c r="N427" s="192"/>
      <c r="O427" s="301"/>
      <c r="P427" s="301"/>
      <c r="Q427" s="192"/>
      <c r="R427" s="302"/>
    </row>
    <row r="428">
      <c r="A428" s="90"/>
      <c r="F428" s="288"/>
      <c r="G428" s="218"/>
      <c r="M428" s="304"/>
      <c r="N428" s="192"/>
      <c r="O428" s="301"/>
      <c r="P428" s="301"/>
      <c r="Q428" s="192"/>
      <c r="R428" s="302"/>
    </row>
    <row r="429">
      <c r="A429" s="90"/>
      <c r="F429" s="288"/>
      <c r="G429" s="218"/>
      <c r="M429" s="304"/>
      <c r="N429" s="192"/>
      <c r="O429" s="301"/>
      <c r="P429" s="301"/>
      <c r="Q429" s="192"/>
      <c r="R429" s="302"/>
    </row>
    <row r="430">
      <c r="A430" s="90"/>
      <c r="F430" s="288"/>
      <c r="G430" s="218"/>
      <c r="M430" s="304"/>
      <c r="N430" s="192"/>
      <c r="O430" s="301"/>
      <c r="P430" s="301"/>
      <c r="Q430" s="192"/>
      <c r="R430" s="302"/>
    </row>
    <row r="431">
      <c r="A431" s="90"/>
      <c r="F431" s="288"/>
      <c r="G431" s="218"/>
      <c r="M431" s="304"/>
      <c r="N431" s="192"/>
      <c r="O431" s="301"/>
      <c r="P431" s="301"/>
      <c r="Q431" s="192"/>
      <c r="R431" s="302"/>
    </row>
    <row r="432">
      <c r="A432" s="90"/>
      <c r="F432" s="288"/>
      <c r="G432" s="218"/>
      <c r="M432" s="304"/>
      <c r="N432" s="192"/>
      <c r="O432" s="301"/>
      <c r="P432" s="301"/>
      <c r="Q432" s="192"/>
      <c r="R432" s="302"/>
    </row>
    <row r="433">
      <c r="A433" s="90"/>
      <c r="F433" s="288"/>
      <c r="G433" s="218"/>
      <c r="M433" s="304"/>
      <c r="N433" s="192"/>
      <c r="O433" s="301"/>
      <c r="P433" s="301"/>
      <c r="Q433" s="192"/>
      <c r="R433" s="302"/>
    </row>
    <row r="434">
      <c r="A434" s="90"/>
      <c r="F434" s="288"/>
      <c r="G434" s="218"/>
      <c r="M434" s="304"/>
      <c r="N434" s="192"/>
      <c r="O434" s="301"/>
      <c r="P434" s="301"/>
      <c r="Q434" s="192"/>
      <c r="R434" s="302"/>
    </row>
    <row r="435">
      <c r="A435" s="90"/>
      <c r="F435" s="288"/>
      <c r="G435" s="218"/>
      <c r="M435" s="304"/>
      <c r="N435" s="192"/>
      <c r="O435" s="301"/>
      <c r="P435" s="301"/>
      <c r="Q435" s="192"/>
      <c r="R435" s="302"/>
    </row>
    <row r="436">
      <c r="A436" s="90"/>
      <c r="F436" s="288"/>
      <c r="G436" s="218"/>
      <c r="M436" s="304"/>
      <c r="N436" s="192"/>
      <c r="O436" s="301"/>
      <c r="P436" s="301"/>
      <c r="Q436" s="192"/>
      <c r="R436" s="302"/>
    </row>
    <row r="437">
      <c r="A437" s="90"/>
      <c r="F437" s="288"/>
      <c r="G437" s="218"/>
      <c r="M437" s="304"/>
      <c r="N437" s="192"/>
      <c r="O437" s="301"/>
      <c r="P437" s="301"/>
      <c r="Q437" s="192"/>
      <c r="R437" s="302"/>
    </row>
    <row r="438">
      <c r="A438" s="90"/>
      <c r="F438" s="288"/>
      <c r="G438" s="218"/>
      <c r="M438" s="304"/>
      <c r="N438" s="192"/>
      <c r="O438" s="301"/>
      <c r="P438" s="301"/>
      <c r="Q438" s="192"/>
      <c r="R438" s="302"/>
    </row>
    <row r="439">
      <c r="A439" s="90"/>
      <c r="F439" s="288"/>
      <c r="G439" s="218"/>
      <c r="M439" s="304"/>
      <c r="N439" s="192"/>
      <c r="O439" s="301"/>
      <c r="P439" s="301"/>
      <c r="Q439" s="192"/>
      <c r="R439" s="302"/>
    </row>
    <row r="440">
      <c r="A440" s="90"/>
      <c r="F440" s="288"/>
      <c r="G440" s="218"/>
      <c r="M440" s="304"/>
      <c r="N440" s="192"/>
      <c r="O440" s="301"/>
      <c r="P440" s="301"/>
      <c r="Q440" s="192"/>
      <c r="R440" s="302"/>
    </row>
    <row r="441">
      <c r="A441" s="90"/>
      <c r="F441" s="288"/>
      <c r="G441" s="218"/>
      <c r="M441" s="304"/>
      <c r="N441" s="192"/>
      <c r="O441" s="301"/>
      <c r="P441" s="301"/>
      <c r="Q441" s="192"/>
      <c r="R441" s="302"/>
    </row>
    <row r="442">
      <c r="A442" s="90"/>
      <c r="F442" s="288"/>
      <c r="G442" s="218"/>
      <c r="M442" s="304"/>
      <c r="N442" s="192"/>
      <c r="O442" s="301"/>
      <c r="P442" s="301"/>
      <c r="Q442" s="192"/>
      <c r="R442" s="302"/>
    </row>
    <row r="443">
      <c r="A443" s="90"/>
      <c r="F443" s="288"/>
      <c r="G443" s="218"/>
      <c r="M443" s="304"/>
      <c r="N443" s="192"/>
      <c r="O443" s="301"/>
      <c r="P443" s="301"/>
      <c r="Q443" s="192"/>
      <c r="R443" s="302"/>
    </row>
    <row r="444">
      <c r="A444" s="90"/>
      <c r="F444" s="288"/>
      <c r="G444" s="218"/>
      <c r="M444" s="304"/>
      <c r="N444" s="192"/>
      <c r="O444" s="301"/>
      <c r="P444" s="301"/>
      <c r="Q444" s="192"/>
      <c r="R444" s="302"/>
    </row>
    <row r="445">
      <c r="A445" s="90"/>
      <c r="F445" s="288"/>
      <c r="G445" s="218"/>
      <c r="M445" s="304"/>
      <c r="N445" s="192"/>
      <c r="O445" s="301"/>
      <c r="P445" s="301"/>
      <c r="Q445" s="192"/>
      <c r="R445" s="302"/>
    </row>
    <row r="446">
      <c r="A446" s="90"/>
      <c r="F446" s="288"/>
      <c r="G446" s="218"/>
      <c r="M446" s="304"/>
      <c r="N446" s="192"/>
      <c r="O446" s="301"/>
      <c r="P446" s="301"/>
      <c r="Q446" s="192"/>
      <c r="R446" s="302"/>
    </row>
    <row r="447">
      <c r="A447" s="90"/>
      <c r="F447" s="288"/>
      <c r="G447" s="218"/>
      <c r="M447" s="304"/>
      <c r="N447" s="192"/>
      <c r="O447" s="301"/>
      <c r="P447" s="301"/>
      <c r="Q447" s="192"/>
      <c r="R447" s="302"/>
    </row>
    <row r="448">
      <c r="A448" s="90"/>
      <c r="F448" s="288"/>
      <c r="G448" s="218"/>
      <c r="M448" s="304"/>
      <c r="N448" s="192"/>
      <c r="O448" s="301"/>
      <c r="P448" s="301"/>
      <c r="Q448" s="192"/>
      <c r="R448" s="302"/>
    </row>
    <row r="449">
      <c r="A449" s="90"/>
      <c r="F449" s="288"/>
      <c r="G449" s="218"/>
      <c r="M449" s="304"/>
      <c r="N449" s="192"/>
      <c r="O449" s="301"/>
      <c r="P449" s="301"/>
      <c r="Q449" s="192"/>
      <c r="R449" s="302"/>
    </row>
    <row r="450">
      <c r="A450" s="90"/>
      <c r="F450" s="288"/>
      <c r="G450" s="218"/>
      <c r="M450" s="304"/>
      <c r="N450" s="192"/>
      <c r="O450" s="301"/>
      <c r="P450" s="301"/>
      <c r="Q450" s="192"/>
      <c r="R450" s="302"/>
    </row>
    <row r="451">
      <c r="A451" s="90"/>
      <c r="F451" s="288"/>
      <c r="G451" s="218"/>
      <c r="M451" s="304"/>
      <c r="N451" s="192"/>
      <c r="O451" s="301"/>
      <c r="P451" s="301"/>
      <c r="Q451" s="192"/>
      <c r="R451" s="302"/>
    </row>
    <row r="452">
      <c r="A452" s="90"/>
      <c r="F452" s="288"/>
      <c r="G452" s="218"/>
      <c r="M452" s="304"/>
      <c r="N452" s="192"/>
      <c r="O452" s="301"/>
      <c r="P452" s="301"/>
      <c r="Q452" s="192"/>
      <c r="R452" s="302"/>
    </row>
    <row r="453">
      <c r="A453" s="90"/>
      <c r="F453" s="288"/>
      <c r="G453" s="218"/>
      <c r="M453" s="304"/>
      <c r="N453" s="192"/>
      <c r="O453" s="301"/>
      <c r="P453" s="301"/>
      <c r="Q453" s="192"/>
      <c r="R453" s="302"/>
    </row>
    <row r="454">
      <c r="A454" s="90"/>
      <c r="F454" s="288"/>
      <c r="G454" s="218"/>
      <c r="M454" s="304"/>
      <c r="N454" s="192"/>
      <c r="O454" s="301"/>
      <c r="P454" s="301"/>
      <c r="Q454" s="192"/>
      <c r="R454" s="302"/>
    </row>
    <row r="455">
      <c r="A455" s="90"/>
      <c r="F455" s="288"/>
      <c r="G455" s="218"/>
      <c r="M455" s="304"/>
      <c r="N455" s="192"/>
      <c r="O455" s="301"/>
      <c r="P455" s="301"/>
      <c r="Q455" s="192"/>
      <c r="R455" s="302"/>
    </row>
    <row r="456">
      <c r="A456" s="90"/>
      <c r="F456" s="288"/>
      <c r="G456" s="218"/>
      <c r="M456" s="304"/>
      <c r="N456" s="192"/>
      <c r="O456" s="301"/>
      <c r="P456" s="301"/>
      <c r="Q456" s="192"/>
      <c r="R456" s="302"/>
    </row>
    <row r="457">
      <c r="A457" s="90"/>
      <c r="F457" s="288"/>
      <c r="G457" s="218"/>
      <c r="M457" s="304"/>
      <c r="N457" s="192"/>
      <c r="O457" s="301"/>
      <c r="P457" s="301"/>
      <c r="Q457" s="192"/>
      <c r="R457" s="302"/>
    </row>
    <row r="458">
      <c r="A458" s="90"/>
      <c r="F458" s="288"/>
      <c r="G458" s="218"/>
      <c r="M458" s="304"/>
      <c r="N458" s="192"/>
      <c r="O458" s="301"/>
      <c r="P458" s="301"/>
      <c r="Q458" s="192"/>
      <c r="R458" s="302"/>
    </row>
    <row r="459">
      <c r="A459" s="90"/>
      <c r="F459" s="288"/>
      <c r="G459" s="218"/>
      <c r="M459" s="304"/>
      <c r="N459" s="192"/>
      <c r="O459" s="301"/>
      <c r="P459" s="301"/>
      <c r="Q459" s="192"/>
      <c r="R459" s="302"/>
    </row>
    <row r="460">
      <c r="A460" s="90"/>
      <c r="F460" s="288"/>
      <c r="G460" s="218"/>
      <c r="M460" s="304"/>
      <c r="N460" s="192"/>
      <c r="O460" s="301"/>
      <c r="P460" s="301"/>
      <c r="Q460" s="192"/>
      <c r="R460" s="302"/>
    </row>
    <row r="461">
      <c r="A461" s="90"/>
      <c r="F461" s="288"/>
      <c r="G461" s="218"/>
      <c r="M461" s="304"/>
      <c r="N461" s="192"/>
      <c r="O461" s="301"/>
      <c r="P461" s="301"/>
      <c r="Q461" s="192"/>
      <c r="R461" s="302"/>
    </row>
    <row r="462">
      <c r="A462" s="90"/>
      <c r="F462" s="288"/>
      <c r="G462" s="218"/>
      <c r="M462" s="304"/>
      <c r="N462" s="192"/>
      <c r="O462" s="301"/>
      <c r="P462" s="301"/>
      <c r="Q462" s="192"/>
      <c r="R462" s="302"/>
    </row>
    <row r="463">
      <c r="A463" s="90"/>
      <c r="F463" s="288"/>
      <c r="G463" s="218"/>
      <c r="M463" s="304"/>
      <c r="N463" s="192"/>
      <c r="O463" s="301"/>
      <c r="P463" s="301"/>
      <c r="Q463" s="192"/>
      <c r="R463" s="302"/>
    </row>
    <row r="464">
      <c r="A464" s="90"/>
      <c r="F464" s="288"/>
      <c r="G464" s="218"/>
      <c r="M464" s="304"/>
      <c r="N464" s="192"/>
      <c r="O464" s="301"/>
      <c r="P464" s="301"/>
      <c r="Q464" s="192"/>
      <c r="R464" s="302"/>
    </row>
    <row r="465">
      <c r="A465" s="90"/>
      <c r="F465" s="288"/>
      <c r="G465" s="218"/>
      <c r="M465" s="304"/>
      <c r="N465" s="192"/>
      <c r="O465" s="301"/>
      <c r="P465" s="301"/>
      <c r="Q465" s="192"/>
      <c r="R465" s="302"/>
    </row>
    <row r="466">
      <c r="A466" s="90"/>
      <c r="F466" s="288"/>
      <c r="G466" s="218"/>
      <c r="M466" s="304"/>
      <c r="N466" s="192"/>
      <c r="O466" s="301"/>
      <c r="P466" s="301"/>
      <c r="Q466" s="192"/>
      <c r="R466" s="302"/>
    </row>
    <row r="467">
      <c r="A467" s="90"/>
      <c r="F467" s="288"/>
      <c r="G467" s="218"/>
      <c r="M467" s="304"/>
      <c r="N467" s="192"/>
      <c r="O467" s="301"/>
      <c r="P467" s="301"/>
      <c r="Q467" s="192"/>
      <c r="R467" s="302"/>
    </row>
    <row r="468">
      <c r="A468" s="90"/>
      <c r="F468" s="288"/>
      <c r="G468" s="218"/>
      <c r="M468" s="304"/>
      <c r="N468" s="192"/>
      <c r="O468" s="301"/>
      <c r="P468" s="301"/>
      <c r="Q468" s="192"/>
      <c r="R468" s="302"/>
    </row>
    <row r="469">
      <c r="A469" s="90"/>
      <c r="F469" s="288"/>
      <c r="G469" s="218"/>
      <c r="M469" s="304"/>
      <c r="N469" s="192"/>
      <c r="O469" s="301"/>
      <c r="P469" s="301"/>
      <c r="Q469" s="192"/>
      <c r="R469" s="302"/>
    </row>
    <row r="470">
      <c r="A470" s="90"/>
      <c r="F470" s="288"/>
      <c r="G470" s="218"/>
      <c r="M470" s="304"/>
      <c r="N470" s="192"/>
      <c r="O470" s="301"/>
      <c r="P470" s="301"/>
      <c r="Q470" s="192"/>
      <c r="R470" s="302"/>
    </row>
    <row r="471">
      <c r="A471" s="90"/>
      <c r="F471" s="288"/>
      <c r="G471" s="218"/>
      <c r="M471" s="304"/>
      <c r="N471" s="192"/>
      <c r="O471" s="301"/>
      <c r="P471" s="301"/>
      <c r="Q471" s="192"/>
      <c r="R471" s="302"/>
    </row>
    <row r="472">
      <c r="A472" s="90"/>
      <c r="F472" s="288"/>
      <c r="G472" s="218"/>
      <c r="M472" s="304"/>
      <c r="N472" s="192"/>
      <c r="O472" s="301"/>
      <c r="P472" s="301"/>
      <c r="Q472" s="192"/>
      <c r="R472" s="302"/>
    </row>
    <row r="473">
      <c r="A473" s="90"/>
      <c r="F473" s="288"/>
      <c r="G473" s="218"/>
      <c r="M473" s="304"/>
      <c r="N473" s="192"/>
      <c r="O473" s="301"/>
      <c r="P473" s="301"/>
      <c r="Q473" s="192"/>
      <c r="R473" s="302"/>
    </row>
    <row r="474">
      <c r="A474" s="90"/>
      <c r="F474" s="288"/>
      <c r="G474" s="218"/>
      <c r="M474" s="304"/>
      <c r="N474" s="192"/>
      <c r="O474" s="301"/>
      <c r="P474" s="301"/>
      <c r="Q474" s="192"/>
      <c r="R474" s="302"/>
    </row>
    <row r="475">
      <c r="A475" s="90"/>
      <c r="F475" s="288"/>
      <c r="G475" s="218"/>
      <c r="M475" s="304"/>
      <c r="N475" s="192"/>
      <c r="O475" s="301"/>
      <c r="P475" s="301"/>
      <c r="Q475" s="192"/>
      <c r="R475" s="302"/>
    </row>
    <row r="476">
      <c r="A476" s="90"/>
      <c r="F476" s="288"/>
      <c r="G476" s="218"/>
      <c r="M476" s="304"/>
      <c r="N476" s="192"/>
      <c r="O476" s="301"/>
      <c r="P476" s="301"/>
      <c r="Q476" s="192"/>
      <c r="R476" s="302"/>
    </row>
    <row r="477">
      <c r="A477" s="90"/>
      <c r="F477" s="288"/>
      <c r="G477" s="218"/>
      <c r="M477" s="304"/>
      <c r="N477" s="192"/>
      <c r="O477" s="301"/>
      <c r="P477" s="301"/>
      <c r="Q477" s="192"/>
      <c r="R477" s="302"/>
    </row>
    <row r="478">
      <c r="A478" s="90"/>
      <c r="F478" s="288"/>
      <c r="G478" s="218"/>
      <c r="M478" s="304"/>
      <c r="N478" s="192"/>
      <c r="O478" s="301"/>
      <c r="P478" s="301"/>
      <c r="Q478" s="192"/>
      <c r="R478" s="302"/>
    </row>
    <row r="479">
      <c r="A479" s="90"/>
      <c r="F479" s="288"/>
      <c r="G479" s="218"/>
      <c r="M479" s="304"/>
      <c r="N479" s="192"/>
      <c r="O479" s="301"/>
      <c r="P479" s="301"/>
      <c r="Q479" s="192"/>
      <c r="R479" s="302"/>
    </row>
    <row r="480">
      <c r="A480" s="90"/>
      <c r="F480" s="288"/>
      <c r="G480" s="218"/>
      <c r="M480" s="304"/>
      <c r="N480" s="192"/>
      <c r="O480" s="301"/>
      <c r="P480" s="301"/>
      <c r="Q480" s="192"/>
      <c r="R480" s="302"/>
    </row>
    <row r="481">
      <c r="A481" s="90"/>
      <c r="F481" s="288"/>
      <c r="G481" s="218"/>
      <c r="M481" s="304"/>
      <c r="N481" s="192"/>
      <c r="O481" s="301"/>
      <c r="P481" s="301"/>
      <c r="Q481" s="192"/>
      <c r="R481" s="302"/>
    </row>
    <row r="482">
      <c r="A482" s="90"/>
      <c r="F482" s="288"/>
      <c r="G482" s="218"/>
      <c r="M482" s="304"/>
      <c r="N482" s="192"/>
      <c r="O482" s="301"/>
      <c r="P482" s="301"/>
      <c r="Q482" s="192"/>
      <c r="R482" s="302"/>
    </row>
    <row r="483">
      <c r="A483" s="90"/>
      <c r="F483" s="288"/>
      <c r="G483" s="218"/>
      <c r="M483" s="304"/>
      <c r="N483" s="192"/>
      <c r="O483" s="301"/>
      <c r="P483" s="301"/>
      <c r="Q483" s="192"/>
      <c r="R483" s="302"/>
    </row>
    <row r="484">
      <c r="A484" s="90"/>
      <c r="F484" s="288"/>
      <c r="G484" s="218"/>
      <c r="M484" s="304"/>
      <c r="N484" s="192"/>
      <c r="O484" s="301"/>
      <c r="P484" s="301"/>
      <c r="Q484" s="192"/>
      <c r="R484" s="302"/>
    </row>
    <row r="485">
      <c r="A485" s="90"/>
      <c r="F485" s="288"/>
      <c r="G485" s="218"/>
      <c r="M485" s="304"/>
      <c r="N485" s="192"/>
      <c r="O485" s="301"/>
      <c r="P485" s="301"/>
      <c r="Q485" s="192"/>
      <c r="R485" s="302"/>
    </row>
    <row r="486">
      <c r="A486" s="90"/>
      <c r="F486" s="288"/>
      <c r="G486" s="218"/>
      <c r="M486" s="304"/>
      <c r="N486" s="192"/>
      <c r="O486" s="301"/>
      <c r="P486" s="301"/>
      <c r="Q486" s="192"/>
      <c r="R486" s="302"/>
    </row>
    <row r="487">
      <c r="A487" s="90"/>
      <c r="F487" s="288"/>
      <c r="G487" s="218"/>
      <c r="M487" s="304"/>
      <c r="N487" s="192"/>
      <c r="O487" s="301"/>
      <c r="P487" s="301"/>
      <c r="Q487" s="192"/>
      <c r="R487" s="302"/>
    </row>
    <row r="488">
      <c r="A488" s="90"/>
      <c r="F488" s="288"/>
      <c r="G488" s="218"/>
      <c r="M488" s="304"/>
      <c r="N488" s="192"/>
      <c r="O488" s="301"/>
      <c r="P488" s="301"/>
      <c r="Q488" s="192"/>
      <c r="R488" s="302"/>
    </row>
    <row r="489">
      <c r="A489" s="90"/>
      <c r="F489" s="288"/>
      <c r="G489" s="218"/>
      <c r="M489" s="304"/>
      <c r="N489" s="192"/>
      <c r="O489" s="301"/>
      <c r="P489" s="301"/>
      <c r="Q489" s="192"/>
      <c r="R489" s="302"/>
    </row>
    <row r="490">
      <c r="A490" s="90"/>
      <c r="F490" s="288"/>
      <c r="G490" s="218"/>
      <c r="M490" s="304"/>
      <c r="N490" s="192"/>
      <c r="O490" s="301"/>
      <c r="P490" s="301"/>
      <c r="Q490" s="192"/>
      <c r="R490" s="302"/>
    </row>
    <row r="491">
      <c r="A491" s="90"/>
      <c r="F491" s="288"/>
      <c r="G491" s="218"/>
      <c r="M491" s="304"/>
      <c r="N491" s="192"/>
      <c r="O491" s="301"/>
      <c r="P491" s="301"/>
      <c r="Q491" s="192"/>
      <c r="R491" s="302"/>
    </row>
    <row r="492">
      <c r="A492" s="90"/>
      <c r="F492" s="288"/>
      <c r="G492" s="218"/>
      <c r="M492" s="304"/>
      <c r="N492" s="192"/>
      <c r="O492" s="301"/>
      <c r="P492" s="301"/>
      <c r="Q492" s="192"/>
      <c r="R492" s="302"/>
    </row>
    <row r="493">
      <c r="A493" s="90"/>
      <c r="F493" s="288"/>
      <c r="G493" s="218"/>
      <c r="M493" s="304"/>
      <c r="N493" s="192"/>
      <c r="O493" s="301"/>
      <c r="P493" s="301"/>
      <c r="Q493" s="192"/>
      <c r="R493" s="302"/>
    </row>
    <row r="494">
      <c r="A494" s="90"/>
      <c r="F494" s="288"/>
      <c r="G494" s="218"/>
      <c r="M494" s="304"/>
      <c r="N494" s="192"/>
      <c r="O494" s="301"/>
      <c r="P494" s="301"/>
      <c r="Q494" s="192"/>
      <c r="R494" s="302"/>
    </row>
    <row r="495">
      <c r="A495" s="90"/>
      <c r="F495" s="288"/>
      <c r="G495" s="218"/>
      <c r="M495" s="304"/>
      <c r="N495" s="192"/>
      <c r="O495" s="301"/>
      <c r="P495" s="301"/>
      <c r="Q495" s="192"/>
      <c r="R495" s="302"/>
    </row>
    <row r="496">
      <c r="A496" s="90"/>
      <c r="F496" s="288"/>
      <c r="G496" s="218"/>
      <c r="M496" s="304"/>
      <c r="N496" s="192"/>
      <c r="O496" s="301"/>
      <c r="P496" s="301"/>
      <c r="Q496" s="192"/>
      <c r="R496" s="302"/>
    </row>
    <row r="497">
      <c r="A497" s="90"/>
      <c r="F497" s="288"/>
      <c r="G497" s="218"/>
      <c r="M497" s="304"/>
      <c r="N497" s="192"/>
      <c r="O497" s="301"/>
      <c r="P497" s="301"/>
      <c r="Q497" s="192"/>
      <c r="R497" s="302"/>
    </row>
    <row r="498">
      <c r="A498" s="90"/>
      <c r="F498" s="288"/>
      <c r="G498" s="218"/>
      <c r="M498" s="304"/>
      <c r="N498" s="192"/>
      <c r="O498" s="301"/>
      <c r="P498" s="301"/>
      <c r="Q498" s="192"/>
      <c r="R498" s="302"/>
    </row>
    <row r="499">
      <c r="A499" s="90"/>
      <c r="F499" s="288"/>
      <c r="G499" s="218"/>
      <c r="M499" s="304"/>
      <c r="N499" s="192"/>
      <c r="O499" s="301"/>
      <c r="P499" s="301"/>
      <c r="Q499" s="192"/>
      <c r="R499" s="302"/>
    </row>
    <row r="500">
      <c r="A500" s="90"/>
      <c r="F500" s="288"/>
      <c r="G500" s="218"/>
      <c r="M500" s="304"/>
      <c r="N500" s="192"/>
      <c r="O500" s="301"/>
      <c r="P500" s="301"/>
      <c r="Q500" s="192"/>
      <c r="R500" s="302"/>
    </row>
    <row r="501">
      <c r="A501" s="90"/>
      <c r="F501" s="288"/>
      <c r="G501" s="218"/>
      <c r="M501" s="304"/>
      <c r="N501" s="192"/>
      <c r="O501" s="301"/>
      <c r="P501" s="301"/>
      <c r="Q501" s="192"/>
      <c r="R501" s="302"/>
    </row>
    <row r="502">
      <c r="A502" s="90"/>
      <c r="F502" s="288"/>
      <c r="G502" s="218"/>
      <c r="M502" s="304"/>
      <c r="N502" s="192"/>
      <c r="O502" s="301"/>
      <c r="P502" s="301"/>
      <c r="Q502" s="192"/>
      <c r="R502" s="302"/>
    </row>
    <row r="503">
      <c r="A503" s="90"/>
      <c r="F503" s="288"/>
      <c r="G503" s="218"/>
      <c r="M503" s="304"/>
      <c r="N503" s="192"/>
      <c r="O503" s="301"/>
      <c r="P503" s="301"/>
      <c r="Q503" s="192"/>
      <c r="R503" s="302"/>
    </row>
    <row r="504">
      <c r="A504" s="90"/>
      <c r="F504" s="288"/>
      <c r="G504" s="218"/>
      <c r="M504" s="304"/>
      <c r="N504" s="192"/>
      <c r="O504" s="301"/>
      <c r="P504" s="301"/>
      <c r="Q504" s="192"/>
      <c r="R504" s="302"/>
    </row>
    <row r="505">
      <c r="A505" s="90"/>
      <c r="F505" s="288"/>
      <c r="G505" s="218"/>
      <c r="M505" s="304"/>
      <c r="N505" s="192"/>
      <c r="O505" s="301"/>
      <c r="P505" s="301"/>
      <c r="Q505" s="192"/>
      <c r="R505" s="302"/>
    </row>
    <row r="506">
      <c r="A506" s="90"/>
      <c r="F506" s="288"/>
      <c r="G506" s="218"/>
      <c r="M506" s="304"/>
      <c r="N506" s="192"/>
      <c r="O506" s="301"/>
      <c r="P506" s="301"/>
      <c r="Q506" s="192"/>
      <c r="R506" s="302"/>
    </row>
    <row r="507">
      <c r="A507" s="90"/>
      <c r="F507" s="288"/>
      <c r="G507" s="218"/>
      <c r="M507" s="304"/>
      <c r="N507" s="192"/>
      <c r="O507" s="301"/>
      <c r="P507" s="301"/>
      <c r="Q507" s="192"/>
      <c r="R507" s="302"/>
    </row>
    <row r="508">
      <c r="A508" s="90"/>
      <c r="F508" s="288"/>
      <c r="G508" s="218"/>
      <c r="M508" s="304"/>
      <c r="N508" s="192"/>
      <c r="O508" s="301"/>
      <c r="P508" s="301"/>
      <c r="Q508" s="192"/>
      <c r="R508" s="302"/>
    </row>
    <row r="509">
      <c r="A509" s="90"/>
      <c r="F509" s="288"/>
      <c r="G509" s="218"/>
      <c r="M509" s="304"/>
      <c r="N509" s="192"/>
      <c r="O509" s="301"/>
      <c r="P509" s="301"/>
      <c r="Q509" s="192"/>
      <c r="R509" s="302"/>
    </row>
    <row r="510">
      <c r="A510" s="90"/>
      <c r="F510" s="288"/>
      <c r="G510" s="218"/>
      <c r="M510" s="304"/>
      <c r="N510" s="192"/>
      <c r="O510" s="301"/>
      <c r="P510" s="301"/>
      <c r="Q510" s="192"/>
      <c r="R510" s="302"/>
    </row>
    <row r="511">
      <c r="A511" s="90"/>
      <c r="F511" s="288"/>
      <c r="G511" s="218"/>
      <c r="M511" s="304"/>
      <c r="N511" s="192"/>
      <c r="O511" s="301"/>
      <c r="P511" s="301"/>
      <c r="Q511" s="192"/>
      <c r="R511" s="302"/>
    </row>
    <row r="512">
      <c r="A512" s="90"/>
      <c r="F512" s="288"/>
      <c r="G512" s="218"/>
      <c r="M512" s="304"/>
      <c r="N512" s="192"/>
      <c r="O512" s="301"/>
      <c r="P512" s="301"/>
      <c r="Q512" s="192"/>
      <c r="R512" s="302"/>
    </row>
    <row r="513">
      <c r="A513" s="90"/>
      <c r="F513" s="288"/>
      <c r="G513" s="218"/>
      <c r="M513" s="304"/>
      <c r="N513" s="192"/>
      <c r="O513" s="301"/>
      <c r="P513" s="301"/>
      <c r="Q513" s="192"/>
      <c r="R513" s="302"/>
    </row>
    <row r="514">
      <c r="A514" s="90"/>
      <c r="F514" s="288"/>
      <c r="G514" s="218"/>
      <c r="M514" s="304"/>
      <c r="N514" s="192"/>
      <c r="O514" s="301"/>
      <c r="P514" s="301"/>
      <c r="Q514" s="192"/>
      <c r="R514" s="302"/>
    </row>
    <row r="515">
      <c r="A515" s="90"/>
      <c r="F515" s="288"/>
      <c r="G515" s="218"/>
      <c r="M515" s="304"/>
      <c r="N515" s="192"/>
      <c r="O515" s="301"/>
      <c r="P515" s="301"/>
      <c r="Q515" s="192"/>
      <c r="R515" s="302"/>
    </row>
    <row r="516">
      <c r="A516" s="90"/>
      <c r="F516" s="288"/>
      <c r="G516" s="218"/>
      <c r="M516" s="304"/>
      <c r="N516" s="192"/>
      <c r="O516" s="301"/>
      <c r="P516" s="301"/>
      <c r="Q516" s="192"/>
      <c r="R516" s="302"/>
    </row>
    <row r="517">
      <c r="A517" s="90"/>
      <c r="F517" s="288"/>
      <c r="G517" s="218"/>
      <c r="M517" s="304"/>
      <c r="N517" s="192"/>
      <c r="O517" s="301"/>
      <c r="P517" s="301"/>
      <c r="Q517" s="192"/>
      <c r="R517" s="302"/>
    </row>
    <row r="518">
      <c r="A518" s="90"/>
      <c r="F518" s="288"/>
      <c r="G518" s="218"/>
      <c r="M518" s="304"/>
      <c r="N518" s="192"/>
      <c r="O518" s="301"/>
      <c r="P518" s="301"/>
      <c r="Q518" s="192"/>
      <c r="R518" s="302"/>
    </row>
    <row r="519">
      <c r="A519" s="90"/>
      <c r="F519" s="288"/>
      <c r="G519" s="218"/>
      <c r="M519" s="304"/>
      <c r="N519" s="192"/>
      <c r="O519" s="301"/>
      <c r="P519" s="301"/>
      <c r="Q519" s="192"/>
      <c r="R519" s="302"/>
    </row>
    <row r="520">
      <c r="A520" s="90"/>
      <c r="F520" s="288"/>
      <c r="G520" s="218"/>
      <c r="M520" s="304"/>
      <c r="N520" s="192"/>
      <c r="O520" s="301"/>
      <c r="P520" s="301"/>
      <c r="Q520" s="192"/>
      <c r="R520" s="302"/>
    </row>
    <row r="521">
      <c r="A521" s="90"/>
      <c r="F521" s="288"/>
      <c r="G521" s="218"/>
      <c r="M521" s="304"/>
      <c r="N521" s="192"/>
      <c r="O521" s="301"/>
      <c r="P521" s="301"/>
      <c r="Q521" s="192"/>
      <c r="R521" s="302"/>
    </row>
    <row r="522">
      <c r="A522" s="90"/>
      <c r="F522" s="288"/>
      <c r="G522" s="218"/>
      <c r="M522" s="304"/>
      <c r="N522" s="192"/>
      <c r="O522" s="301"/>
      <c r="P522" s="301"/>
      <c r="Q522" s="192"/>
      <c r="R522" s="302"/>
    </row>
    <row r="523">
      <c r="A523" s="90"/>
      <c r="F523" s="288"/>
      <c r="G523" s="218"/>
      <c r="M523" s="304"/>
      <c r="N523" s="192"/>
      <c r="O523" s="301"/>
      <c r="P523" s="301"/>
      <c r="Q523" s="192"/>
      <c r="R523" s="302"/>
    </row>
    <row r="524">
      <c r="A524" s="90"/>
      <c r="F524" s="288"/>
      <c r="G524" s="218"/>
      <c r="M524" s="304"/>
      <c r="N524" s="192"/>
      <c r="O524" s="301"/>
      <c r="P524" s="301"/>
      <c r="Q524" s="192"/>
      <c r="R524" s="302"/>
    </row>
    <row r="525">
      <c r="A525" s="90"/>
      <c r="F525" s="288"/>
      <c r="G525" s="218"/>
      <c r="M525" s="304"/>
      <c r="N525" s="192"/>
      <c r="O525" s="301"/>
      <c r="P525" s="301"/>
      <c r="Q525" s="192"/>
      <c r="R525" s="302"/>
    </row>
    <row r="526">
      <c r="A526" s="90"/>
      <c r="F526" s="288"/>
      <c r="G526" s="218"/>
      <c r="M526" s="304"/>
      <c r="N526" s="192"/>
      <c r="O526" s="301"/>
      <c r="P526" s="301"/>
      <c r="Q526" s="192"/>
      <c r="R526" s="302"/>
    </row>
    <row r="527">
      <c r="A527" s="90"/>
      <c r="F527" s="288"/>
      <c r="G527" s="218"/>
      <c r="M527" s="304"/>
      <c r="N527" s="192"/>
      <c r="O527" s="301"/>
      <c r="P527" s="301"/>
      <c r="Q527" s="192"/>
      <c r="R527" s="302"/>
    </row>
    <row r="528">
      <c r="A528" s="90"/>
      <c r="F528" s="288"/>
      <c r="G528" s="218"/>
      <c r="M528" s="304"/>
      <c r="N528" s="192"/>
      <c r="O528" s="301"/>
      <c r="P528" s="301"/>
      <c r="Q528" s="192"/>
      <c r="R528" s="302"/>
    </row>
    <row r="529">
      <c r="A529" s="90"/>
      <c r="F529" s="288"/>
      <c r="G529" s="218"/>
      <c r="M529" s="304"/>
      <c r="N529" s="192"/>
      <c r="O529" s="301"/>
      <c r="P529" s="301"/>
      <c r="Q529" s="192"/>
      <c r="R529" s="302"/>
    </row>
    <row r="530">
      <c r="A530" s="90"/>
      <c r="F530" s="288"/>
      <c r="G530" s="218"/>
      <c r="M530" s="304"/>
      <c r="N530" s="192"/>
      <c r="O530" s="301"/>
      <c r="P530" s="301"/>
      <c r="Q530" s="192"/>
      <c r="R530" s="302"/>
    </row>
    <row r="531">
      <c r="A531" s="90"/>
      <c r="F531" s="288"/>
      <c r="G531" s="218"/>
      <c r="M531" s="304"/>
      <c r="N531" s="192"/>
      <c r="O531" s="301"/>
      <c r="P531" s="301"/>
      <c r="Q531" s="192"/>
      <c r="R531" s="302"/>
    </row>
    <row r="532">
      <c r="A532" s="90"/>
      <c r="F532" s="288"/>
      <c r="G532" s="218"/>
      <c r="M532" s="304"/>
      <c r="N532" s="192"/>
      <c r="O532" s="301"/>
      <c r="P532" s="301"/>
      <c r="Q532" s="192"/>
      <c r="R532" s="302"/>
    </row>
    <row r="533">
      <c r="A533" s="90"/>
      <c r="F533" s="288"/>
      <c r="G533" s="218"/>
      <c r="M533" s="304"/>
      <c r="N533" s="192"/>
      <c r="O533" s="301"/>
      <c r="P533" s="301"/>
      <c r="Q533" s="192"/>
      <c r="R533" s="302"/>
    </row>
    <row r="534">
      <c r="A534" s="90"/>
      <c r="F534" s="288"/>
      <c r="G534" s="218"/>
      <c r="M534" s="304"/>
      <c r="N534" s="192"/>
      <c r="O534" s="301"/>
      <c r="P534" s="301"/>
      <c r="Q534" s="192"/>
      <c r="R534" s="302"/>
    </row>
    <row r="535">
      <c r="A535" s="90"/>
      <c r="F535" s="288"/>
      <c r="G535" s="218"/>
      <c r="M535" s="304"/>
      <c r="N535" s="192"/>
      <c r="O535" s="301"/>
      <c r="P535" s="301"/>
      <c r="Q535" s="192"/>
      <c r="R535" s="302"/>
    </row>
    <row r="536">
      <c r="A536" s="90"/>
      <c r="F536" s="288"/>
      <c r="G536" s="218"/>
      <c r="M536" s="304"/>
      <c r="N536" s="192"/>
      <c r="O536" s="301"/>
      <c r="P536" s="301"/>
      <c r="Q536" s="192"/>
      <c r="R536" s="302"/>
    </row>
    <row r="537">
      <c r="A537" s="90"/>
      <c r="F537" s="288"/>
      <c r="G537" s="218"/>
      <c r="M537" s="304"/>
      <c r="N537" s="192"/>
      <c r="O537" s="301"/>
      <c r="P537" s="301"/>
      <c r="Q537" s="192"/>
      <c r="R537" s="302"/>
    </row>
    <row r="538">
      <c r="A538" s="90"/>
      <c r="F538" s="288"/>
      <c r="G538" s="218"/>
      <c r="M538" s="304"/>
      <c r="N538" s="192"/>
      <c r="O538" s="301"/>
      <c r="P538" s="301"/>
      <c r="Q538" s="192"/>
      <c r="R538" s="302"/>
    </row>
    <row r="539">
      <c r="A539" s="90"/>
      <c r="F539" s="288"/>
      <c r="G539" s="218"/>
      <c r="M539" s="304"/>
      <c r="N539" s="192"/>
      <c r="O539" s="301"/>
      <c r="P539" s="301"/>
      <c r="Q539" s="192"/>
      <c r="R539" s="302"/>
    </row>
    <row r="540">
      <c r="A540" s="90"/>
      <c r="F540" s="288"/>
      <c r="G540" s="218"/>
      <c r="M540" s="304"/>
      <c r="N540" s="192"/>
      <c r="O540" s="301"/>
      <c r="P540" s="301"/>
      <c r="Q540" s="192"/>
      <c r="R540" s="302"/>
    </row>
    <row r="541">
      <c r="A541" s="90"/>
      <c r="F541" s="288"/>
      <c r="G541" s="218"/>
      <c r="M541" s="304"/>
      <c r="N541" s="192"/>
      <c r="O541" s="301"/>
      <c r="P541" s="301"/>
      <c r="Q541" s="192"/>
      <c r="R541" s="302"/>
    </row>
    <row r="542">
      <c r="A542" s="90"/>
      <c r="F542" s="288"/>
      <c r="G542" s="218"/>
      <c r="M542" s="304"/>
      <c r="N542" s="192"/>
      <c r="O542" s="301"/>
      <c r="P542" s="301"/>
      <c r="Q542" s="192"/>
      <c r="R542" s="302"/>
    </row>
    <row r="543">
      <c r="A543" s="90"/>
      <c r="F543" s="288"/>
      <c r="G543" s="218"/>
      <c r="M543" s="304"/>
      <c r="N543" s="192"/>
      <c r="O543" s="301"/>
      <c r="P543" s="301"/>
      <c r="Q543" s="192"/>
      <c r="R543" s="302"/>
    </row>
    <row r="544">
      <c r="A544" s="90"/>
      <c r="F544" s="288"/>
      <c r="G544" s="218"/>
      <c r="M544" s="304"/>
      <c r="N544" s="192"/>
      <c r="O544" s="301"/>
      <c r="P544" s="301"/>
      <c r="Q544" s="192"/>
      <c r="R544" s="302"/>
    </row>
    <row r="545">
      <c r="A545" s="90"/>
      <c r="F545" s="288"/>
      <c r="G545" s="218"/>
      <c r="M545" s="304"/>
      <c r="N545" s="192"/>
      <c r="O545" s="301"/>
      <c r="P545" s="301"/>
      <c r="Q545" s="192"/>
      <c r="R545" s="302"/>
    </row>
    <row r="546">
      <c r="A546" s="90"/>
      <c r="F546" s="288"/>
      <c r="G546" s="218"/>
      <c r="M546" s="304"/>
      <c r="N546" s="192"/>
      <c r="O546" s="301"/>
      <c r="P546" s="301"/>
      <c r="Q546" s="192"/>
      <c r="R546" s="302"/>
    </row>
    <row r="547">
      <c r="A547" s="90"/>
      <c r="F547" s="288"/>
      <c r="G547" s="218"/>
      <c r="M547" s="304"/>
      <c r="N547" s="192"/>
      <c r="O547" s="301"/>
      <c r="P547" s="301"/>
      <c r="Q547" s="192"/>
      <c r="R547" s="302"/>
    </row>
    <row r="548">
      <c r="A548" s="90"/>
      <c r="F548" s="288"/>
      <c r="G548" s="218"/>
      <c r="M548" s="304"/>
      <c r="N548" s="192"/>
      <c r="O548" s="301"/>
      <c r="P548" s="301"/>
      <c r="Q548" s="192"/>
      <c r="R548" s="302"/>
    </row>
    <row r="549">
      <c r="A549" s="90"/>
      <c r="F549" s="288"/>
      <c r="G549" s="218"/>
      <c r="M549" s="304"/>
      <c r="N549" s="192"/>
      <c r="O549" s="301"/>
      <c r="P549" s="301"/>
      <c r="Q549" s="192"/>
      <c r="R549" s="302"/>
    </row>
    <row r="550">
      <c r="A550" s="90"/>
      <c r="F550" s="288"/>
      <c r="G550" s="218"/>
      <c r="M550" s="304"/>
      <c r="N550" s="192"/>
      <c r="O550" s="301"/>
      <c r="P550" s="301"/>
      <c r="Q550" s="192"/>
      <c r="R550" s="302"/>
    </row>
    <row r="551">
      <c r="A551" s="90"/>
      <c r="F551" s="288"/>
      <c r="G551" s="218"/>
      <c r="M551" s="304"/>
      <c r="N551" s="192"/>
      <c r="O551" s="301"/>
      <c r="P551" s="301"/>
      <c r="Q551" s="192"/>
      <c r="R551" s="302"/>
    </row>
    <row r="552">
      <c r="A552" s="90"/>
      <c r="F552" s="288"/>
      <c r="G552" s="218"/>
      <c r="M552" s="304"/>
      <c r="N552" s="192"/>
      <c r="O552" s="301"/>
      <c r="P552" s="301"/>
      <c r="Q552" s="192"/>
      <c r="R552" s="302"/>
    </row>
    <row r="553">
      <c r="A553" s="90"/>
      <c r="F553" s="288"/>
      <c r="G553" s="218"/>
      <c r="M553" s="304"/>
      <c r="N553" s="192"/>
      <c r="O553" s="301"/>
      <c r="P553" s="301"/>
      <c r="Q553" s="192"/>
      <c r="R553" s="302"/>
    </row>
    <row r="554">
      <c r="A554" s="90"/>
      <c r="F554" s="288"/>
      <c r="G554" s="218"/>
      <c r="M554" s="304"/>
      <c r="N554" s="192"/>
      <c r="O554" s="301"/>
      <c r="P554" s="301"/>
      <c r="Q554" s="192"/>
      <c r="R554" s="302"/>
    </row>
    <row r="555">
      <c r="A555" s="90"/>
      <c r="F555" s="288"/>
      <c r="G555" s="218"/>
      <c r="M555" s="304"/>
      <c r="N555" s="192"/>
      <c r="O555" s="301"/>
      <c r="P555" s="301"/>
      <c r="Q555" s="192"/>
      <c r="R555" s="302"/>
    </row>
    <row r="556">
      <c r="A556" s="90"/>
      <c r="F556" s="288"/>
      <c r="G556" s="218"/>
      <c r="M556" s="304"/>
      <c r="N556" s="192"/>
      <c r="O556" s="301"/>
      <c r="P556" s="301"/>
      <c r="Q556" s="192"/>
      <c r="R556" s="302"/>
    </row>
    <row r="557">
      <c r="A557" s="90"/>
      <c r="F557" s="288"/>
      <c r="G557" s="218"/>
      <c r="M557" s="304"/>
      <c r="N557" s="192"/>
      <c r="O557" s="301"/>
      <c r="P557" s="301"/>
      <c r="Q557" s="192"/>
      <c r="R557" s="302"/>
    </row>
    <row r="558">
      <c r="A558" s="90"/>
      <c r="F558" s="288"/>
      <c r="G558" s="218"/>
      <c r="M558" s="304"/>
      <c r="N558" s="192"/>
      <c r="O558" s="301"/>
      <c r="P558" s="301"/>
      <c r="Q558" s="192"/>
      <c r="R558" s="302"/>
    </row>
    <row r="559">
      <c r="A559" s="90"/>
      <c r="F559" s="288"/>
      <c r="G559" s="218"/>
      <c r="M559" s="304"/>
      <c r="N559" s="192"/>
      <c r="O559" s="301"/>
      <c r="P559" s="301"/>
      <c r="Q559" s="192"/>
      <c r="R559" s="302"/>
    </row>
    <row r="560">
      <c r="A560" s="90"/>
      <c r="F560" s="288"/>
      <c r="G560" s="218"/>
      <c r="M560" s="304"/>
      <c r="N560" s="192"/>
      <c r="O560" s="301"/>
      <c r="P560" s="301"/>
      <c r="Q560" s="192"/>
      <c r="R560" s="302"/>
    </row>
    <row r="561">
      <c r="A561" s="90"/>
      <c r="F561" s="288"/>
      <c r="G561" s="218"/>
      <c r="M561" s="304"/>
      <c r="N561" s="192"/>
      <c r="O561" s="301"/>
      <c r="P561" s="301"/>
      <c r="Q561" s="192"/>
      <c r="R561" s="302"/>
    </row>
    <row r="562">
      <c r="A562" s="90"/>
      <c r="F562" s="288"/>
      <c r="G562" s="218"/>
      <c r="M562" s="304"/>
      <c r="N562" s="192"/>
      <c r="O562" s="301"/>
      <c r="P562" s="301"/>
      <c r="Q562" s="192"/>
      <c r="R562" s="302"/>
    </row>
    <row r="563">
      <c r="A563" s="90"/>
      <c r="F563" s="288"/>
      <c r="G563" s="218"/>
      <c r="M563" s="304"/>
      <c r="N563" s="192"/>
      <c r="O563" s="301"/>
      <c r="P563" s="301"/>
      <c r="Q563" s="192"/>
      <c r="R563" s="302"/>
    </row>
    <row r="564">
      <c r="A564" s="90"/>
      <c r="F564" s="288"/>
      <c r="G564" s="218"/>
      <c r="M564" s="304"/>
      <c r="N564" s="192"/>
      <c r="O564" s="301"/>
      <c r="P564" s="301"/>
      <c r="Q564" s="192"/>
      <c r="R564" s="302"/>
    </row>
    <row r="565">
      <c r="A565" s="90"/>
      <c r="F565" s="288"/>
      <c r="G565" s="218"/>
      <c r="M565" s="304"/>
      <c r="N565" s="192"/>
      <c r="O565" s="301"/>
      <c r="P565" s="301"/>
      <c r="Q565" s="192"/>
      <c r="R565" s="302"/>
    </row>
    <row r="566">
      <c r="A566" s="90"/>
      <c r="F566" s="288"/>
      <c r="G566" s="218"/>
      <c r="M566" s="304"/>
      <c r="N566" s="192"/>
      <c r="O566" s="301"/>
      <c r="P566" s="301"/>
      <c r="Q566" s="192"/>
      <c r="R566" s="302"/>
    </row>
    <row r="567">
      <c r="A567" s="90"/>
      <c r="F567" s="288"/>
      <c r="G567" s="218"/>
      <c r="M567" s="304"/>
      <c r="N567" s="192"/>
      <c r="O567" s="301"/>
      <c r="P567" s="301"/>
      <c r="Q567" s="192"/>
      <c r="R567" s="302"/>
    </row>
    <row r="568">
      <c r="A568" s="90"/>
      <c r="F568" s="288"/>
      <c r="G568" s="218"/>
      <c r="M568" s="304"/>
      <c r="N568" s="192"/>
      <c r="O568" s="301"/>
      <c r="P568" s="301"/>
      <c r="Q568" s="192"/>
      <c r="R568" s="302"/>
    </row>
    <row r="569">
      <c r="A569" s="90"/>
      <c r="F569" s="288"/>
      <c r="G569" s="218"/>
      <c r="M569" s="304"/>
      <c r="N569" s="192"/>
      <c r="O569" s="301"/>
      <c r="P569" s="301"/>
      <c r="Q569" s="192"/>
      <c r="R569" s="302"/>
    </row>
    <row r="570">
      <c r="A570" s="90"/>
      <c r="F570" s="288"/>
      <c r="G570" s="218"/>
      <c r="M570" s="304"/>
      <c r="N570" s="192"/>
      <c r="O570" s="301"/>
      <c r="P570" s="301"/>
      <c r="Q570" s="192"/>
      <c r="R570" s="302"/>
    </row>
    <row r="571">
      <c r="A571" s="90"/>
      <c r="F571" s="288"/>
      <c r="G571" s="218"/>
      <c r="M571" s="304"/>
      <c r="N571" s="192"/>
      <c r="O571" s="301"/>
      <c r="P571" s="301"/>
      <c r="Q571" s="192"/>
      <c r="R571" s="302"/>
    </row>
    <row r="572">
      <c r="A572" s="90"/>
      <c r="F572" s="288"/>
      <c r="G572" s="218"/>
      <c r="M572" s="304"/>
      <c r="N572" s="192"/>
      <c r="O572" s="301"/>
      <c r="P572" s="301"/>
      <c r="Q572" s="192"/>
      <c r="R572" s="302"/>
    </row>
    <row r="573">
      <c r="A573" s="90"/>
      <c r="F573" s="288"/>
      <c r="G573" s="218"/>
      <c r="M573" s="304"/>
      <c r="N573" s="192"/>
      <c r="O573" s="301"/>
      <c r="P573" s="301"/>
      <c r="Q573" s="192"/>
      <c r="R573" s="302"/>
    </row>
    <row r="574">
      <c r="A574" s="90"/>
      <c r="F574" s="288"/>
      <c r="G574" s="218"/>
      <c r="M574" s="304"/>
      <c r="N574" s="192"/>
      <c r="O574" s="301"/>
      <c r="P574" s="301"/>
      <c r="Q574" s="192"/>
      <c r="R574" s="302"/>
    </row>
    <row r="575">
      <c r="A575" s="90"/>
      <c r="F575" s="288"/>
      <c r="G575" s="218"/>
      <c r="M575" s="304"/>
      <c r="N575" s="192"/>
      <c r="O575" s="301"/>
      <c r="P575" s="301"/>
      <c r="Q575" s="192"/>
      <c r="R575" s="302"/>
    </row>
    <row r="576">
      <c r="A576" s="90"/>
      <c r="F576" s="288"/>
      <c r="G576" s="218"/>
      <c r="M576" s="304"/>
      <c r="N576" s="192"/>
      <c r="O576" s="301"/>
      <c r="P576" s="301"/>
      <c r="Q576" s="192"/>
      <c r="R576" s="302"/>
    </row>
    <row r="577">
      <c r="A577" s="90"/>
      <c r="F577" s="288"/>
      <c r="G577" s="218"/>
      <c r="M577" s="304"/>
      <c r="N577" s="192"/>
      <c r="O577" s="301"/>
      <c r="P577" s="301"/>
      <c r="Q577" s="192"/>
      <c r="R577" s="302"/>
    </row>
    <row r="578">
      <c r="A578" s="90"/>
      <c r="F578" s="288"/>
      <c r="G578" s="218"/>
      <c r="M578" s="304"/>
      <c r="N578" s="192"/>
      <c r="O578" s="301"/>
      <c r="P578" s="301"/>
      <c r="Q578" s="192"/>
      <c r="R578" s="302"/>
    </row>
    <row r="579">
      <c r="A579" s="90"/>
      <c r="F579" s="288"/>
      <c r="G579" s="218"/>
      <c r="M579" s="304"/>
      <c r="N579" s="192"/>
      <c r="O579" s="301"/>
      <c r="P579" s="301"/>
      <c r="Q579" s="192"/>
      <c r="R579" s="302"/>
    </row>
    <row r="580">
      <c r="A580" s="90"/>
      <c r="F580" s="288"/>
      <c r="G580" s="218"/>
      <c r="M580" s="304"/>
      <c r="N580" s="192"/>
      <c r="O580" s="301"/>
      <c r="P580" s="301"/>
      <c r="Q580" s="192"/>
      <c r="R580" s="302"/>
    </row>
    <row r="581">
      <c r="A581" s="90"/>
      <c r="F581" s="288"/>
      <c r="G581" s="218"/>
      <c r="M581" s="304"/>
      <c r="N581" s="192"/>
      <c r="O581" s="301"/>
      <c r="P581" s="301"/>
      <c r="Q581" s="192"/>
      <c r="R581" s="302"/>
    </row>
    <row r="582">
      <c r="A582" s="90"/>
      <c r="F582" s="288"/>
      <c r="G582" s="218"/>
      <c r="M582" s="304"/>
      <c r="N582" s="192"/>
      <c r="O582" s="301"/>
      <c r="P582" s="301"/>
      <c r="Q582" s="192"/>
      <c r="R582" s="302"/>
    </row>
    <row r="583">
      <c r="A583" s="90"/>
      <c r="F583" s="288"/>
      <c r="G583" s="218"/>
      <c r="M583" s="304"/>
      <c r="N583" s="192"/>
      <c r="O583" s="301"/>
      <c r="P583" s="301"/>
      <c r="Q583" s="192"/>
      <c r="R583" s="302"/>
    </row>
    <row r="584">
      <c r="A584" s="90"/>
      <c r="F584" s="288"/>
      <c r="G584" s="218"/>
      <c r="M584" s="304"/>
      <c r="N584" s="192"/>
      <c r="O584" s="301"/>
      <c r="P584" s="301"/>
      <c r="Q584" s="192"/>
      <c r="R584" s="302"/>
    </row>
    <row r="585">
      <c r="A585" s="90"/>
      <c r="F585" s="288"/>
      <c r="G585" s="218"/>
      <c r="M585" s="304"/>
      <c r="N585" s="192"/>
      <c r="O585" s="301"/>
      <c r="P585" s="301"/>
      <c r="Q585" s="192"/>
      <c r="R585" s="302"/>
    </row>
    <row r="586">
      <c r="A586" s="90"/>
      <c r="F586" s="288"/>
      <c r="G586" s="218"/>
      <c r="M586" s="304"/>
      <c r="N586" s="192"/>
      <c r="O586" s="301"/>
      <c r="P586" s="301"/>
      <c r="Q586" s="192"/>
      <c r="R586" s="302"/>
    </row>
    <row r="587">
      <c r="A587" s="90"/>
      <c r="F587" s="288"/>
      <c r="G587" s="218"/>
      <c r="M587" s="304"/>
      <c r="N587" s="192"/>
      <c r="O587" s="301"/>
      <c r="P587" s="301"/>
      <c r="Q587" s="192"/>
      <c r="R587" s="302"/>
    </row>
    <row r="588">
      <c r="A588" s="90"/>
      <c r="F588" s="288"/>
      <c r="G588" s="218"/>
      <c r="M588" s="304"/>
      <c r="N588" s="192"/>
      <c r="O588" s="301"/>
      <c r="P588" s="301"/>
      <c r="Q588" s="192"/>
      <c r="R588" s="302"/>
    </row>
    <row r="589">
      <c r="A589" s="90"/>
      <c r="F589" s="288"/>
      <c r="G589" s="218"/>
      <c r="M589" s="304"/>
      <c r="N589" s="192"/>
      <c r="O589" s="301"/>
      <c r="P589" s="301"/>
      <c r="Q589" s="192"/>
      <c r="R589" s="302"/>
    </row>
    <row r="590">
      <c r="A590" s="90"/>
      <c r="F590" s="288"/>
      <c r="G590" s="218"/>
      <c r="M590" s="304"/>
      <c r="N590" s="192"/>
      <c r="O590" s="301"/>
      <c r="P590" s="301"/>
      <c r="Q590" s="192"/>
      <c r="R590" s="302"/>
    </row>
    <row r="591">
      <c r="A591" s="90"/>
      <c r="F591" s="288"/>
      <c r="G591" s="218"/>
      <c r="M591" s="304"/>
      <c r="N591" s="192"/>
      <c r="O591" s="301"/>
      <c r="P591" s="301"/>
      <c r="Q591" s="192"/>
      <c r="R591" s="302"/>
    </row>
    <row r="592">
      <c r="A592" s="90"/>
      <c r="F592" s="288"/>
      <c r="G592" s="218"/>
      <c r="M592" s="304"/>
      <c r="N592" s="192"/>
      <c r="O592" s="301"/>
      <c r="P592" s="301"/>
      <c r="Q592" s="192"/>
      <c r="R592" s="302"/>
    </row>
    <row r="593">
      <c r="A593" s="90"/>
      <c r="F593" s="288"/>
      <c r="G593" s="218"/>
      <c r="M593" s="304"/>
      <c r="N593" s="192"/>
      <c r="O593" s="301"/>
      <c r="P593" s="301"/>
      <c r="Q593" s="192"/>
      <c r="R593" s="302"/>
    </row>
    <row r="594">
      <c r="A594" s="90"/>
      <c r="F594" s="288"/>
      <c r="G594" s="218"/>
      <c r="M594" s="304"/>
      <c r="N594" s="192"/>
      <c r="O594" s="301"/>
      <c r="P594" s="301"/>
      <c r="Q594" s="192"/>
      <c r="R594" s="302"/>
    </row>
    <row r="595">
      <c r="A595" s="90"/>
      <c r="F595" s="288"/>
      <c r="G595" s="218"/>
      <c r="M595" s="304"/>
      <c r="N595" s="192"/>
      <c r="O595" s="301"/>
      <c r="P595" s="301"/>
      <c r="Q595" s="192"/>
      <c r="R595" s="302"/>
    </row>
    <row r="596">
      <c r="A596" s="90"/>
      <c r="F596" s="288"/>
      <c r="G596" s="218"/>
      <c r="M596" s="304"/>
      <c r="N596" s="192"/>
      <c r="O596" s="301"/>
      <c r="P596" s="301"/>
      <c r="Q596" s="192"/>
      <c r="R596" s="302"/>
    </row>
    <row r="597">
      <c r="A597" s="90"/>
      <c r="F597" s="288"/>
      <c r="G597" s="218"/>
      <c r="M597" s="304"/>
      <c r="N597" s="192"/>
      <c r="O597" s="301"/>
      <c r="P597" s="301"/>
      <c r="Q597" s="192"/>
      <c r="R597" s="302"/>
    </row>
    <row r="598">
      <c r="A598" s="90"/>
      <c r="F598" s="288"/>
      <c r="G598" s="218"/>
      <c r="M598" s="304"/>
      <c r="N598" s="192"/>
      <c r="O598" s="301"/>
      <c r="P598" s="301"/>
      <c r="Q598" s="192"/>
      <c r="R598" s="302"/>
    </row>
    <row r="599">
      <c r="A599" s="90"/>
      <c r="F599" s="288"/>
      <c r="G599" s="218"/>
      <c r="M599" s="304"/>
      <c r="N599" s="192"/>
      <c r="O599" s="301"/>
      <c r="P599" s="301"/>
      <c r="Q599" s="192"/>
      <c r="R599" s="302"/>
    </row>
    <row r="600">
      <c r="A600" s="90"/>
      <c r="F600" s="288"/>
      <c r="G600" s="218"/>
      <c r="M600" s="304"/>
      <c r="N600" s="192"/>
      <c r="O600" s="301"/>
      <c r="P600" s="301"/>
      <c r="Q600" s="192"/>
      <c r="R600" s="302"/>
    </row>
    <row r="601">
      <c r="A601" s="90"/>
      <c r="F601" s="288"/>
      <c r="G601" s="218"/>
      <c r="M601" s="304"/>
      <c r="N601" s="192"/>
      <c r="O601" s="301"/>
      <c r="P601" s="301"/>
      <c r="Q601" s="192"/>
      <c r="R601" s="302"/>
    </row>
    <row r="602">
      <c r="A602" s="90"/>
      <c r="F602" s="288"/>
      <c r="G602" s="218"/>
      <c r="M602" s="304"/>
      <c r="N602" s="192"/>
      <c r="O602" s="301"/>
      <c r="P602" s="301"/>
      <c r="Q602" s="192"/>
      <c r="R602" s="302"/>
    </row>
    <row r="603">
      <c r="A603" s="90"/>
      <c r="F603" s="288"/>
      <c r="G603" s="218"/>
      <c r="M603" s="304"/>
      <c r="N603" s="192"/>
      <c r="O603" s="301"/>
      <c r="P603" s="301"/>
      <c r="Q603" s="192"/>
      <c r="R603" s="302"/>
    </row>
    <row r="604">
      <c r="A604" s="90"/>
      <c r="F604" s="288"/>
      <c r="G604" s="218"/>
      <c r="M604" s="304"/>
      <c r="N604" s="192"/>
      <c r="O604" s="301"/>
      <c r="P604" s="301"/>
      <c r="Q604" s="192"/>
      <c r="R604" s="302"/>
    </row>
    <row r="605">
      <c r="A605" s="90"/>
      <c r="F605" s="288"/>
      <c r="G605" s="218"/>
      <c r="M605" s="304"/>
      <c r="N605" s="192"/>
      <c r="O605" s="301"/>
      <c r="P605" s="301"/>
      <c r="Q605" s="192"/>
      <c r="R605" s="302"/>
    </row>
    <row r="606">
      <c r="A606" s="90"/>
      <c r="F606" s="288"/>
      <c r="G606" s="218"/>
      <c r="M606" s="304"/>
      <c r="N606" s="192"/>
      <c r="O606" s="301"/>
      <c r="P606" s="301"/>
      <c r="Q606" s="192"/>
      <c r="R606" s="302"/>
    </row>
    <row r="607">
      <c r="A607" s="90"/>
      <c r="F607" s="288"/>
      <c r="G607" s="218"/>
      <c r="M607" s="304"/>
      <c r="N607" s="192"/>
      <c r="O607" s="301"/>
      <c r="P607" s="301"/>
      <c r="Q607" s="192"/>
      <c r="R607" s="302"/>
    </row>
    <row r="608">
      <c r="A608" s="90"/>
      <c r="F608" s="288"/>
      <c r="G608" s="218"/>
      <c r="M608" s="304"/>
      <c r="N608" s="192"/>
      <c r="O608" s="301"/>
      <c r="P608" s="301"/>
      <c r="Q608" s="192"/>
      <c r="R608" s="302"/>
    </row>
    <row r="609">
      <c r="A609" s="90"/>
      <c r="F609" s="288"/>
      <c r="G609" s="218"/>
      <c r="M609" s="304"/>
      <c r="N609" s="192"/>
      <c r="O609" s="301"/>
      <c r="P609" s="301"/>
      <c r="Q609" s="192"/>
      <c r="R609" s="302"/>
    </row>
    <row r="610">
      <c r="A610" s="90"/>
      <c r="F610" s="288"/>
      <c r="G610" s="218"/>
      <c r="M610" s="304"/>
      <c r="N610" s="192"/>
      <c r="O610" s="301"/>
      <c r="P610" s="301"/>
      <c r="Q610" s="192"/>
      <c r="R610" s="302"/>
    </row>
    <row r="611">
      <c r="A611" s="90"/>
      <c r="F611" s="288"/>
      <c r="G611" s="218"/>
      <c r="M611" s="304"/>
      <c r="N611" s="192"/>
      <c r="O611" s="301"/>
      <c r="P611" s="301"/>
      <c r="Q611" s="192"/>
      <c r="R611" s="302"/>
    </row>
    <row r="612">
      <c r="A612" s="90"/>
      <c r="F612" s="288"/>
      <c r="G612" s="218"/>
      <c r="M612" s="304"/>
      <c r="N612" s="192"/>
      <c r="O612" s="301"/>
      <c r="P612" s="301"/>
      <c r="Q612" s="192"/>
      <c r="R612" s="302"/>
    </row>
    <row r="613">
      <c r="A613" s="90"/>
      <c r="F613" s="288"/>
      <c r="G613" s="218"/>
      <c r="M613" s="304"/>
      <c r="N613" s="192"/>
      <c r="O613" s="301"/>
      <c r="P613" s="301"/>
      <c r="Q613" s="192"/>
      <c r="R613" s="302"/>
    </row>
    <row r="614">
      <c r="A614" s="90"/>
      <c r="F614" s="288"/>
      <c r="G614" s="218"/>
      <c r="M614" s="304"/>
      <c r="N614" s="192"/>
      <c r="O614" s="301"/>
      <c r="P614" s="301"/>
      <c r="Q614" s="192"/>
      <c r="R614" s="302"/>
    </row>
    <row r="615">
      <c r="A615" s="90"/>
      <c r="F615" s="288"/>
      <c r="G615" s="218"/>
      <c r="M615" s="304"/>
      <c r="N615" s="192"/>
      <c r="O615" s="301"/>
      <c r="P615" s="301"/>
      <c r="Q615" s="192"/>
      <c r="R615" s="302"/>
    </row>
    <row r="616">
      <c r="A616" s="90"/>
      <c r="F616" s="288"/>
      <c r="G616" s="218"/>
      <c r="M616" s="304"/>
      <c r="N616" s="192"/>
      <c r="O616" s="301"/>
      <c r="P616" s="301"/>
      <c r="Q616" s="192"/>
      <c r="R616" s="302"/>
    </row>
    <row r="617">
      <c r="A617" s="90"/>
      <c r="F617" s="288"/>
      <c r="G617" s="218"/>
      <c r="M617" s="304"/>
      <c r="N617" s="192"/>
      <c r="O617" s="301"/>
      <c r="P617" s="301"/>
      <c r="Q617" s="192"/>
      <c r="R617" s="302"/>
    </row>
    <row r="618">
      <c r="A618" s="90"/>
      <c r="F618" s="288"/>
      <c r="G618" s="218"/>
      <c r="M618" s="304"/>
      <c r="N618" s="192"/>
      <c r="O618" s="301"/>
      <c r="P618" s="301"/>
      <c r="Q618" s="192"/>
      <c r="R618" s="302"/>
    </row>
    <row r="619">
      <c r="A619" s="90"/>
      <c r="F619" s="288"/>
      <c r="G619" s="218"/>
      <c r="M619" s="304"/>
      <c r="N619" s="192"/>
      <c r="O619" s="301"/>
      <c r="P619" s="301"/>
      <c r="Q619" s="192"/>
      <c r="R619" s="302"/>
    </row>
    <row r="620">
      <c r="A620" s="90"/>
      <c r="F620" s="288"/>
      <c r="G620" s="218"/>
      <c r="M620" s="304"/>
      <c r="N620" s="192"/>
      <c r="O620" s="301"/>
      <c r="P620" s="301"/>
      <c r="Q620" s="192"/>
      <c r="R620" s="302"/>
    </row>
    <row r="621">
      <c r="A621" s="90"/>
      <c r="F621" s="288"/>
      <c r="G621" s="218"/>
      <c r="M621" s="304"/>
      <c r="N621" s="192"/>
      <c r="O621" s="301"/>
      <c r="P621" s="301"/>
      <c r="Q621" s="192"/>
      <c r="R621" s="302"/>
    </row>
    <row r="622">
      <c r="A622" s="90"/>
      <c r="F622" s="288"/>
      <c r="G622" s="218"/>
      <c r="M622" s="304"/>
      <c r="N622" s="192"/>
      <c r="O622" s="301"/>
      <c r="P622" s="301"/>
      <c r="Q622" s="192"/>
      <c r="R622" s="302"/>
    </row>
    <row r="623">
      <c r="A623" s="90"/>
      <c r="F623" s="288"/>
      <c r="G623" s="218"/>
      <c r="M623" s="304"/>
      <c r="N623" s="192"/>
      <c r="O623" s="301"/>
      <c r="P623" s="301"/>
      <c r="Q623" s="192"/>
      <c r="R623" s="302"/>
    </row>
    <row r="624">
      <c r="A624" s="90"/>
      <c r="F624" s="288"/>
      <c r="G624" s="218"/>
      <c r="M624" s="304"/>
      <c r="N624" s="192"/>
      <c r="O624" s="301"/>
      <c r="P624" s="301"/>
      <c r="Q624" s="192"/>
      <c r="R624" s="302"/>
    </row>
    <row r="625">
      <c r="A625" s="90"/>
      <c r="F625" s="288"/>
      <c r="G625" s="218"/>
      <c r="M625" s="304"/>
      <c r="N625" s="192"/>
      <c r="O625" s="301"/>
      <c r="P625" s="301"/>
      <c r="Q625" s="192"/>
      <c r="R625" s="302"/>
    </row>
    <row r="626">
      <c r="A626" s="90"/>
      <c r="F626" s="288"/>
      <c r="G626" s="218"/>
      <c r="M626" s="304"/>
      <c r="N626" s="192"/>
      <c r="O626" s="301"/>
      <c r="P626" s="301"/>
      <c r="Q626" s="192"/>
      <c r="R626" s="302"/>
    </row>
    <row r="627">
      <c r="A627" s="90"/>
      <c r="F627" s="288"/>
      <c r="G627" s="218"/>
      <c r="M627" s="304"/>
      <c r="N627" s="192"/>
      <c r="O627" s="301"/>
      <c r="P627" s="301"/>
      <c r="Q627" s="192"/>
      <c r="R627" s="302"/>
    </row>
    <row r="628">
      <c r="A628" s="90"/>
      <c r="F628" s="288"/>
      <c r="G628" s="218"/>
      <c r="M628" s="304"/>
      <c r="N628" s="192"/>
      <c r="O628" s="301"/>
      <c r="P628" s="301"/>
      <c r="Q628" s="192"/>
      <c r="R628" s="302"/>
    </row>
    <row r="629">
      <c r="A629" s="90"/>
      <c r="F629" s="288"/>
      <c r="G629" s="218"/>
      <c r="M629" s="304"/>
      <c r="N629" s="192"/>
      <c r="O629" s="301"/>
      <c r="P629" s="301"/>
      <c r="Q629" s="192"/>
      <c r="R629" s="302"/>
    </row>
    <row r="630">
      <c r="A630" s="90"/>
      <c r="F630" s="288"/>
      <c r="G630" s="218"/>
      <c r="M630" s="304"/>
      <c r="N630" s="192"/>
      <c r="O630" s="301"/>
      <c r="P630" s="301"/>
      <c r="Q630" s="192"/>
      <c r="R630" s="302"/>
    </row>
    <row r="631">
      <c r="A631" s="90"/>
      <c r="F631" s="288"/>
      <c r="G631" s="218"/>
      <c r="M631" s="304"/>
      <c r="N631" s="192"/>
      <c r="O631" s="301"/>
      <c r="P631" s="301"/>
      <c r="Q631" s="192"/>
      <c r="R631" s="302"/>
    </row>
    <row r="632">
      <c r="A632" s="90"/>
      <c r="F632" s="288"/>
      <c r="G632" s="218"/>
      <c r="M632" s="304"/>
      <c r="N632" s="192"/>
      <c r="O632" s="301"/>
      <c r="P632" s="301"/>
      <c r="Q632" s="192"/>
      <c r="R632" s="302"/>
    </row>
    <row r="633">
      <c r="A633" s="90"/>
      <c r="F633" s="288"/>
      <c r="G633" s="218"/>
      <c r="M633" s="304"/>
      <c r="N633" s="192"/>
      <c r="O633" s="301"/>
      <c r="P633" s="301"/>
      <c r="Q633" s="192"/>
      <c r="R633" s="302"/>
    </row>
    <row r="634">
      <c r="A634" s="90"/>
      <c r="F634" s="288"/>
      <c r="G634" s="218"/>
      <c r="M634" s="304"/>
      <c r="N634" s="192"/>
      <c r="O634" s="301"/>
      <c r="P634" s="301"/>
      <c r="Q634" s="192"/>
      <c r="R634" s="302"/>
    </row>
    <row r="635">
      <c r="A635" s="90"/>
      <c r="F635" s="288"/>
      <c r="G635" s="218"/>
      <c r="M635" s="304"/>
      <c r="N635" s="192"/>
      <c r="O635" s="301"/>
      <c r="P635" s="301"/>
      <c r="Q635" s="192"/>
      <c r="R635" s="302"/>
    </row>
    <row r="636">
      <c r="A636" s="90"/>
      <c r="F636" s="288"/>
      <c r="G636" s="218"/>
      <c r="M636" s="304"/>
      <c r="N636" s="192"/>
      <c r="O636" s="301"/>
      <c r="P636" s="301"/>
      <c r="Q636" s="192"/>
      <c r="R636" s="302"/>
    </row>
    <row r="637">
      <c r="A637" s="90"/>
      <c r="F637" s="288"/>
      <c r="G637" s="218"/>
      <c r="M637" s="304"/>
      <c r="N637" s="192"/>
      <c r="O637" s="301"/>
      <c r="P637" s="301"/>
      <c r="Q637" s="192"/>
      <c r="R637" s="302"/>
    </row>
    <row r="638">
      <c r="A638" s="90"/>
      <c r="F638" s="288"/>
      <c r="G638" s="218"/>
      <c r="M638" s="304"/>
      <c r="N638" s="192"/>
      <c r="O638" s="301"/>
      <c r="P638" s="301"/>
      <c r="Q638" s="192"/>
      <c r="R638" s="302"/>
    </row>
    <row r="639">
      <c r="A639" s="90"/>
      <c r="F639" s="288"/>
      <c r="G639" s="218"/>
      <c r="M639" s="304"/>
      <c r="N639" s="192"/>
      <c r="O639" s="301"/>
      <c r="P639" s="301"/>
      <c r="Q639" s="192"/>
      <c r="R639" s="302"/>
    </row>
    <row r="640">
      <c r="A640" s="90"/>
      <c r="F640" s="288"/>
      <c r="G640" s="218"/>
      <c r="M640" s="304"/>
      <c r="N640" s="192"/>
      <c r="O640" s="301"/>
      <c r="P640" s="301"/>
      <c r="Q640" s="192"/>
      <c r="R640" s="302"/>
    </row>
    <row r="641">
      <c r="A641" s="90"/>
      <c r="F641" s="288"/>
      <c r="G641" s="218"/>
      <c r="M641" s="304"/>
      <c r="N641" s="192"/>
      <c r="O641" s="301"/>
      <c r="P641" s="301"/>
      <c r="Q641" s="192"/>
      <c r="R641" s="302"/>
    </row>
    <row r="642">
      <c r="A642" s="90"/>
      <c r="F642" s="288"/>
      <c r="G642" s="218"/>
      <c r="M642" s="304"/>
      <c r="N642" s="192"/>
      <c r="O642" s="301"/>
      <c r="P642" s="301"/>
      <c r="Q642" s="192"/>
      <c r="R642" s="302"/>
    </row>
    <row r="643">
      <c r="A643" s="90"/>
      <c r="F643" s="288"/>
      <c r="G643" s="218"/>
      <c r="M643" s="304"/>
      <c r="N643" s="192"/>
      <c r="O643" s="301"/>
      <c r="P643" s="301"/>
      <c r="Q643" s="192"/>
      <c r="R643" s="302"/>
    </row>
    <row r="644">
      <c r="A644" s="90"/>
      <c r="F644" s="288"/>
      <c r="G644" s="218"/>
      <c r="M644" s="304"/>
      <c r="N644" s="192"/>
      <c r="O644" s="301"/>
      <c r="P644" s="301"/>
      <c r="Q644" s="192"/>
      <c r="R644" s="302"/>
    </row>
    <row r="645">
      <c r="A645" s="90"/>
      <c r="F645" s="288"/>
      <c r="G645" s="218"/>
      <c r="M645" s="304"/>
      <c r="N645" s="192"/>
      <c r="O645" s="301"/>
      <c r="P645" s="301"/>
      <c r="Q645" s="192"/>
      <c r="R645" s="302"/>
    </row>
    <row r="646">
      <c r="A646" s="90"/>
      <c r="F646" s="288"/>
      <c r="G646" s="218"/>
      <c r="M646" s="304"/>
      <c r="N646" s="192"/>
      <c r="O646" s="301"/>
      <c r="P646" s="301"/>
      <c r="Q646" s="192"/>
      <c r="R646" s="302"/>
    </row>
    <row r="647">
      <c r="A647" s="90"/>
      <c r="F647" s="288"/>
      <c r="G647" s="218"/>
      <c r="M647" s="304"/>
      <c r="N647" s="192"/>
      <c r="O647" s="301"/>
      <c r="P647" s="301"/>
      <c r="Q647" s="192"/>
      <c r="R647" s="302"/>
    </row>
    <row r="648">
      <c r="A648" s="90"/>
      <c r="F648" s="288"/>
      <c r="G648" s="218"/>
      <c r="M648" s="304"/>
      <c r="N648" s="192"/>
      <c r="O648" s="301"/>
      <c r="P648" s="301"/>
      <c r="Q648" s="192"/>
      <c r="R648" s="302"/>
    </row>
    <row r="649">
      <c r="A649" s="90"/>
      <c r="F649" s="288"/>
      <c r="G649" s="218"/>
      <c r="M649" s="304"/>
      <c r="N649" s="192"/>
      <c r="O649" s="301"/>
      <c r="P649" s="301"/>
      <c r="Q649" s="192"/>
      <c r="R649" s="302"/>
    </row>
    <row r="650">
      <c r="A650" s="90"/>
      <c r="F650" s="288"/>
      <c r="G650" s="218"/>
      <c r="M650" s="304"/>
      <c r="N650" s="192"/>
      <c r="O650" s="301"/>
      <c r="P650" s="301"/>
      <c r="Q650" s="192"/>
      <c r="R650" s="302"/>
    </row>
    <row r="651">
      <c r="A651" s="90"/>
      <c r="F651" s="288"/>
      <c r="G651" s="218"/>
      <c r="M651" s="304"/>
      <c r="N651" s="192"/>
      <c r="O651" s="301"/>
      <c r="P651" s="301"/>
      <c r="Q651" s="192"/>
      <c r="R651" s="302"/>
    </row>
    <row r="652">
      <c r="A652" s="90"/>
      <c r="F652" s="288"/>
      <c r="G652" s="218"/>
      <c r="M652" s="304"/>
      <c r="N652" s="192"/>
      <c r="O652" s="301"/>
      <c r="P652" s="301"/>
      <c r="Q652" s="192"/>
      <c r="R652" s="302"/>
    </row>
    <row r="653">
      <c r="A653" s="90"/>
      <c r="F653" s="288"/>
      <c r="G653" s="218"/>
      <c r="M653" s="304"/>
      <c r="N653" s="192"/>
      <c r="O653" s="301"/>
      <c r="P653" s="301"/>
      <c r="Q653" s="192"/>
      <c r="R653" s="302"/>
    </row>
    <row r="654">
      <c r="A654" s="90"/>
      <c r="F654" s="288"/>
      <c r="G654" s="218"/>
      <c r="M654" s="304"/>
      <c r="N654" s="192"/>
      <c r="O654" s="301"/>
      <c r="P654" s="301"/>
      <c r="Q654" s="192"/>
      <c r="R654" s="302"/>
    </row>
    <row r="655">
      <c r="A655" s="90"/>
      <c r="F655" s="288"/>
      <c r="G655" s="218"/>
      <c r="M655" s="304"/>
      <c r="N655" s="192"/>
      <c r="O655" s="301"/>
      <c r="P655" s="301"/>
      <c r="Q655" s="192"/>
      <c r="R655" s="302"/>
    </row>
    <row r="656">
      <c r="A656" s="90"/>
      <c r="F656" s="288"/>
      <c r="G656" s="218"/>
      <c r="M656" s="304"/>
      <c r="N656" s="192"/>
      <c r="O656" s="301"/>
      <c r="P656" s="301"/>
      <c r="Q656" s="192"/>
      <c r="R656" s="302"/>
    </row>
    <row r="657">
      <c r="A657" s="90"/>
      <c r="F657" s="288"/>
      <c r="G657" s="218"/>
      <c r="M657" s="304"/>
      <c r="N657" s="192"/>
      <c r="O657" s="301"/>
      <c r="P657" s="301"/>
      <c r="Q657" s="192"/>
      <c r="R657" s="302"/>
    </row>
    <row r="658">
      <c r="A658" s="90"/>
      <c r="F658" s="288"/>
      <c r="G658" s="218"/>
      <c r="M658" s="304"/>
      <c r="N658" s="192"/>
      <c r="O658" s="301"/>
      <c r="P658" s="301"/>
      <c r="Q658" s="192"/>
      <c r="R658" s="302"/>
    </row>
    <row r="659">
      <c r="A659" s="90"/>
      <c r="F659" s="288"/>
      <c r="G659" s="218"/>
      <c r="M659" s="304"/>
      <c r="N659" s="192"/>
      <c r="O659" s="301"/>
      <c r="P659" s="301"/>
      <c r="Q659" s="192"/>
      <c r="R659" s="302"/>
    </row>
    <row r="660">
      <c r="A660" s="90"/>
      <c r="F660" s="288"/>
      <c r="G660" s="218"/>
      <c r="M660" s="304"/>
      <c r="N660" s="192"/>
      <c r="O660" s="301"/>
      <c r="P660" s="301"/>
      <c r="Q660" s="192"/>
      <c r="R660" s="302"/>
    </row>
    <row r="661">
      <c r="A661" s="90"/>
      <c r="F661" s="288"/>
      <c r="G661" s="218"/>
      <c r="M661" s="304"/>
      <c r="N661" s="192"/>
      <c r="O661" s="301"/>
      <c r="P661" s="301"/>
      <c r="Q661" s="192"/>
      <c r="R661" s="302"/>
    </row>
    <row r="662">
      <c r="A662" s="90"/>
      <c r="F662" s="288"/>
      <c r="G662" s="218"/>
      <c r="M662" s="304"/>
      <c r="N662" s="192"/>
      <c r="O662" s="301"/>
      <c r="P662" s="301"/>
      <c r="Q662" s="192"/>
      <c r="R662" s="302"/>
    </row>
    <row r="663">
      <c r="A663" s="90"/>
      <c r="F663" s="288"/>
      <c r="G663" s="218"/>
      <c r="M663" s="304"/>
      <c r="N663" s="192"/>
      <c r="O663" s="301"/>
      <c r="P663" s="301"/>
      <c r="Q663" s="192"/>
      <c r="R663" s="302"/>
    </row>
    <row r="664">
      <c r="A664" s="90"/>
      <c r="F664" s="288"/>
      <c r="G664" s="218"/>
      <c r="M664" s="304"/>
      <c r="N664" s="192"/>
      <c r="O664" s="301"/>
      <c r="P664" s="301"/>
      <c r="Q664" s="192"/>
      <c r="R664" s="302"/>
    </row>
    <row r="665">
      <c r="A665" s="90"/>
      <c r="F665" s="288"/>
      <c r="G665" s="218"/>
      <c r="M665" s="304"/>
      <c r="N665" s="192"/>
      <c r="O665" s="301"/>
      <c r="P665" s="301"/>
      <c r="Q665" s="192"/>
      <c r="R665" s="302"/>
    </row>
    <row r="666">
      <c r="A666" s="90"/>
      <c r="F666" s="288"/>
      <c r="G666" s="218"/>
      <c r="M666" s="304"/>
      <c r="N666" s="192"/>
      <c r="O666" s="301"/>
      <c r="P666" s="301"/>
      <c r="Q666" s="192"/>
      <c r="R666" s="302"/>
    </row>
    <row r="667">
      <c r="A667" s="90"/>
      <c r="F667" s="288"/>
      <c r="G667" s="218"/>
      <c r="M667" s="304"/>
      <c r="N667" s="192"/>
      <c r="O667" s="301"/>
      <c r="P667" s="301"/>
      <c r="Q667" s="192"/>
      <c r="R667" s="302"/>
    </row>
    <row r="668">
      <c r="A668" s="90"/>
      <c r="F668" s="288"/>
      <c r="G668" s="218"/>
      <c r="M668" s="304"/>
      <c r="N668" s="192"/>
      <c r="O668" s="301"/>
      <c r="P668" s="301"/>
      <c r="Q668" s="192"/>
      <c r="R668" s="302"/>
    </row>
    <row r="669">
      <c r="A669" s="90"/>
      <c r="F669" s="288"/>
      <c r="G669" s="218"/>
      <c r="M669" s="304"/>
      <c r="N669" s="192"/>
      <c r="O669" s="301"/>
      <c r="P669" s="301"/>
      <c r="Q669" s="192"/>
      <c r="R669" s="302"/>
    </row>
    <row r="670">
      <c r="A670" s="90"/>
      <c r="F670" s="288"/>
      <c r="G670" s="218"/>
      <c r="M670" s="304"/>
      <c r="N670" s="192"/>
      <c r="O670" s="301"/>
      <c r="P670" s="301"/>
      <c r="Q670" s="192"/>
      <c r="R670" s="302"/>
    </row>
    <row r="671">
      <c r="A671" s="90"/>
      <c r="F671" s="288"/>
      <c r="G671" s="218"/>
      <c r="M671" s="304"/>
      <c r="N671" s="192"/>
      <c r="O671" s="301"/>
      <c r="P671" s="301"/>
      <c r="Q671" s="192"/>
      <c r="R671" s="302"/>
    </row>
    <row r="672">
      <c r="A672" s="90"/>
      <c r="F672" s="288"/>
      <c r="G672" s="218"/>
      <c r="M672" s="304"/>
      <c r="N672" s="192"/>
      <c r="O672" s="301"/>
      <c r="P672" s="301"/>
      <c r="Q672" s="192"/>
      <c r="R672" s="302"/>
    </row>
    <row r="673">
      <c r="A673" s="90"/>
      <c r="F673" s="288"/>
      <c r="G673" s="218"/>
      <c r="M673" s="304"/>
      <c r="N673" s="192"/>
      <c r="O673" s="301"/>
      <c r="P673" s="301"/>
      <c r="Q673" s="192"/>
      <c r="R673" s="302"/>
    </row>
    <row r="674">
      <c r="A674" s="90"/>
      <c r="F674" s="288"/>
      <c r="G674" s="218"/>
      <c r="M674" s="304"/>
      <c r="N674" s="192"/>
      <c r="O674" s="301"/>
      <c r="P674" s="301"/>
      <c r="Q674" s="192"/>
      <c r="R674" s="302"/>
    </row>
    <row r="675">
      <c r="A675" s="90"/>
      <c r="F675" s="288"/>
      <c r="G675" s="218"/>
      <c r="M675" s="304"/>
      <c r="N675" s="192"/>
      <c r="O675" s="301"/>
      <c r="P675" s="301"/>
      <c r="Q675" s="192"/>
      <c r="R675" s="302"/>
    </row>
    <row r="676">
      <c r="A676" s="90"/>
      <c r="F676" s="288"/>
      <c r="G676" s="218"/>
      <c r="M676" s="304"/>
      <c r="N676" s="192"/>
      <c r="O676" s="301"/>
      <c r="P676" s="301"/>
      <c r="Q676" s="192"/>
      <c r="R676" s="302"/>
    </row>
    <row r="677">
      <c r="A677" s="90"/>
      <c r="F677" s="288"/>
      <c r="G677" s="218"/>
      <c r="M677" s="304"/>
      <c r="N677" s="192"/>
      <c r="O677" s="301"/>
      <c r="P677" s="301"/>
      <c r="Q677" s="192"/>
      <c r="R677" s="302"/>
    </row>
    <row r="678">
      <c r="A678" s="90"/>
      <c r="F678" s="288"/>
      <c r="G678" s="218"/>
      <c r="M678" s="304"/>
      <c r="N678" s="192"/>
      <c r="O678" s="301"/>
      <c r="P678" s="301"/>
      <c r="Q678" s="192"/>
      <c r="R678" s="302"/>
    </row>
    <row r="679">
      <c r="A679" s="90"/>
      <c r="F679" s="288"/>
      <c r="G679" s="218"/>
      <c r="M679" s="304"/>
      <c r="N679" s="192"/>
      <c r="O679" s="301"/>
      <c r="P679" s="301"/>
      <c r="Q679" s="192"/>
      <c r="R679" s="302"/>
    </row>
    <row r="680">
      <c r="A680" s="90"/>
      <c r="F680" s="288"/>
      <c r="G680" s="218"/>
      <c r="M680" s="304"/>
      <c r="N680" s="192"/>
      <c r="O680" s="301"/>
      <c r="P680" s="301"/>
      <c r="Q680" s="192"/>
      <c r="R680" s="302"/>
    </row>
    <row r="681">
      <c r="A681" s="90"/>
      <c r="F681" s="288"/>
      <c r="G681" s="218"/>
      <c r="M681" s="304"/>
      <c r="N681" s="192"/>
      <c r="O681" s="301"/>
      <c r="P681" s="301"/>
      <c r="Q681" s="192"/>
      <c r="R681" s="302"/>
    </row>
    <row r="682">
      <c r="A682" s="90"/>
      <c r="F682" s="288"/>
      <c r="G682" s="218"/>
      <c r="M682" s="304"/>
      <c r="N682" s="192"/>
      <c r="O682" s="301"/>
      <c r="P682" s="301"/>
      <c r="Q682" s="192"/>
      <c r="R682" s="302"/>
    </row>
    <row r="683">
      <c r="A683" s="90"/>
      <c r="F683" s="288"/>
      <c r="G683" s="218"/>
      <c r="M683" s="304"/>
      <c r="N683" s="192"/>
      <c r="O683" s="301"/>
      <c r="P683" s="301"/>
      <c r="Q683" s="192"/>
      <c r="R683" s="302"/>
    </row>
    <row r="684">
      <c r="A684" s="90"/>
      <c r="F684" s="288"/>
      <c r="G684" s="218"/>
      <c r="M684" s="304"/>
      <c r="N684" s="192"/>
      <c r="O684" s="301"/>
      <c r="P684" s="301"/>
      <c r="Q684" s="192"/>
      <c r="R684" s="302"/>
    </row>
    <row r="685">
      <c r="A685" s="90"/>
      <c r="F685" s="288"/>
      <c r="G685" s="218"/>
      <c r="M685" s="304"/>
      <c r="N685" s="192"/>
      <c r="O685" s="301"/>
      <c r="P685" s="301"/>
      <c r="Q685" s="192"/>
      <c r="R685" s="302"/>
    </row>
    <row r="686">
      <c r="A686" s="90"/>
      <c r="F686" s="288"/>
      <c r="G686" s="218"/>
      <c r="M686" s="304"/>
      <c r="N686" s="192"/>
      <c r="O686" s="301"/>
      <c r="P686" s="301"/>
      <c r="Q686" s="192"/>
      <c r="R686" s="302"/>
    </row>
    <row r="687">
      <c r="A687" s="90"/>
      <c r="F687" s="288"/>
      <c r="G687" s="218"/>
      <c r="M687" s="304"/>
      <c r="N687" s="192"/>
      <c r="O687" s="301"/>
      <c r="P687" s="301"/>
      <c r="Q687" s="192"/>
      <c r="R687" s="302"/>
    </row>
    <row r="688">
      <c r="A688" s="90"/>
      <c r="F688" s="288"/>
      <c r="G688" s="218"/>
      <c r="M688" s="304"/>
      <c r="N688" s="192"/>
      <c r="O688" s="301"/>
      <c r="P688" s="301"/>
      <c r="Q688" s="192"/>
      <c r="R688" s="302"/>
    </row>
    <row r="689">
      <c r="A689" s="90"/>
      <c r="F689" s="288"/>
      <c r="G689" s="218"/>
      <c r="M689" s="304"/>
      <c r="N689" s="192"/>
      <c r="O689" s="301"/>
      <c r="P689" s="301"/>
      <c r="Q689" s="192"/>
      <c r="R689" s="302"/>
    </row>
    <row r="690">
      <c r="A690" s="90"/>
      <c r="F690" s="288"/>
      <c r="G690" s="218"/>
      <c r="M690" s="304"/>
      <c r="N690" s="192"/>
      <c r="O690" s="301"/>
      <c r="P690" s="301"/>
      <c r="Q690" s="192"/>
      <c r="R690" s="302"/>
    </row>
    <row r="691">
      <c r="A691" s="90"/>
      <c r="F691" s="288"/>
      <c r="G691" s="218"/>
      <c r="M691" s="304"/>
      <c r="N691" s="192"/>
      <c r="O691" s="301"/>
      <c r="P691" s="301"/>
      <c r="Q691" s="192"/>
      <c r="R691" s="302"/>
    </row>
    <row r="692">
      <c r="A692" s="90"/>
      <c r="F692" s="288"/>
      <c r="G692" s="218"/>
      <c r="M692" s="304"/>
      <c r="N692" s="192"/>
      <c r="O692" s="301"/>
      <c r="P692" s="301"/>
      <c r="Q692" s="192"/>
      <c r="R692" s="302"/>
    </row>
    <row r="693">
      <c r="A693" s="90"/>
      <c r="F693" s="288"/>
      <c r="G693" s="218"/>
      <c r="M693" s="304"/>
      <c r="N693" s="192"/>
      <c r="O693" s="301"/>
      <c r="P693" s="301"/>
      <c r="Q693" s="192"/>
      <c r="R693" s="302"/>
    </row>
    <row r="694">
      <c r="A694" s="90"/>
      <c r="F694" s="288"/>
      <c r="G694" s="218"/>
      <c r="M694" s="304"/>
      <c r="N694" s="192"/>
      <c r="O694" s="301"/>
      <c r="P694" s="301"/>
      <c r="Q694" s="192"/>
      <c r="R694" s="302"/>
    </row>
    <row r="695">
      <c r="A695" s="90"/>
      <c r="F695" s="288"/>
      <c r="G695" s="218"/>
      <c r="M695" s="304"/>
      <c r="N695" s="192"/>
      <c r="O695" s="301"/>
      <c r="P695" s="301"/>
      <c r="Q695" s="192"/>
      <c r="R695" s="302"/>
    </row>
    <row r="696">
      <c r="A696" s="90"/>
      <c r="F696" s="288"/>
      <c r="G696" s="218"/>
      <c r="M696" s="304"/>
      <c r="N696" s="192"/>
      <c r="O696" s="301"/>
      <c r="P696" s="301"/>
      <c r="Q696" s="192"/>
      <c r="R696" s="302"/>
    </row>
    <row r="697">
      <c r="A697" s="90"/>
      <c r="F697" s="288"/>
      <c r="G697" s="218"/>
      <c r="M697" s="304"/>
      <c r="N697" s="192"/>
      <c r="O697" s="301"/>
      <c r="P697" s="301"/>
      <c r="Q697" s="192"/>
      <c r="R697" s="302"/>
    </row>
    <row r="698">
      <c r="A698" s="90"/>
      <c r="F698" s="288"/>
      <c r="G698" s="218"/>
      <c r="M698" s="304"/>
      <c r="N698" s="192"/>
      <c r="O698" s="301"/>
      <c r="P698" s="301"/>
      <c r="Q698" s="192"/>
      <c r="R698" s="302"/>
    </row>
    <row r="699">
      <c r="A699" s="90"/>
      <c r="F699" s="288"/>
      <c r="G699" s="218"/>
      <c r="M699" s="304"/>
      <c r="N699" s="192"/>
      <c r="O699" s="301"/>
      <c r="P699" s="301"/>
      <c r="Q699" s="192"/>
      <c r="R699" s="302"/>
    </row>
    <row r="700">
      <c r="A700" s="90"/>
      <c r="F700" s="288"/>
      <c r="G700" s="218"/>
      <c r="M700" s="304"/>
      <c r="N700" s="192"/>
      <c r="O700" s="301"/>
      <c r="P700" s="301"/>
      <c r="Q700" s="192"/>
      <c r="R700" s="302"/>
    </row>
    <row r="701">
      <c r="A701" s="90"/>
      <c r="F701" s="288"/>
      <c r="G701" s="218"/>
      <c r="M701" s="304"/>
      <c r="N701" s="192"/>
      <c r="O701" s="301"/>
      <c r="P701" s="301"/>
      <c r="Q701" s="192"/>
      <c r="R701" s="302"/>
    </row>
    <row r="702">
      <c r="A702" s="90"/>
      <c r="F702" s="288"/>
      <c r="G702" s="218"/>
      <c r="M702" s="304"/>
      <c r="N702" s="192"/>
      <c r="O702" s="301"/>
      <c r="P702" s="301"/>
      <c r="Q702" s="192"/>
      <c r="R702" s="302"/>
    </row>
    <row r="703">
      <c r="A703" s="90"/>
      <c r="F703" s="288"/>
      <c r="G703" s="218"/>
      <c r="M703" s="304"/>
      <c r="N703" s="192"/>
      <c r="O703" s="301"/>
      <c r="P703" s="301"/>
      <c r="Q703" s="192"/>
      <c r="R703" s="302"/>
    </row>
    <row r="704">
      <c r="A704" s="90"/>
      <c r="F704" s="288"/>
      <c r="G704" s="218"/>
      <c r="M704" s="304"/>
      <c r="N704" s="192"/>
      <c r="O704" s="301"/>
      <c r="P704" s="301"/>
      <c r="Q704" s="192"/>
      <c r="R704" s="302"/>
    </row>
    <row r="705">
      <c r="A705" s="90"/>
      <c r="F705" s="288"/>
      <c r="G705" s="218"/>
      <c r="M705" s="304"/>
      <c r="N705" s="192"/>
      <c r="O705" s="301"/>
      <c r="P705" s="301"/>
      <c r="Q705" s="192"/>
      <c r="R705" s="302"/>
    </row>
    <row r="706">
      <c r="A706" s="90"/>
      <c r="F706" s="288"/>
      <c r="G706" s="218"/>
      <c r="M706" s="304"/>
      <c r="N706" s="192"/>
      <c r="O706" s="301"/>
      <c r="P706" s="301"/>
      <c r="Q706" s="192"/>
      <c r="R706" s="302"/>
    </row>
    <row r="707">
      <c r="A707" s="90"/>
      <c r="F707" s="288"/>
      <c r="G707" s="218"/>
      <c r="M707" s="304"/>
      <c r="N707" s="192"/>
      <c r="O707" s="301"/>
      <c r="P707" s="301"/>
      <c r="Q707" s="192"/>
      <c r="R707" s="302"/>
    </row>
    <row r="708">
      <c r="A708" s="90"/>
      <c r="F708" s="288"/>
      <c r="G708" s="218"/>
      <c r="M708" s="304"/>
      <c r="N708" s="192"/>
      <c r="O708" s="301"/>
      <c r="P708" s="301"/>
      <c r="Q708" s="192"/>
      <c r="R708" s="302"/>
    </row>
    <row r="709">
      <c r="A709" s="90"/>
      <c r="F709" s="288"/>
      <c r="G709" s="218"/>
      <c r="M709" s="304"/>
      <c r="N709" s="192"/>
      <c r="O709" s="301"/>
      <c r="P709" s="301"/>
      <c r="Q709" s="192"/>
      <c r="R709" s="302"/>
    </row>
    <row r="710">
      <c r="A710" s="90"/>
      <c r="F710" s="288"/>
      <c r="G710" s="218"/>
      <c r="M710" s="304"/>
      <c r="N710" s="192"/>
      <c r="O710" s="301"/>
      <c r="P710" s="301"/>
      <c r="Q710" s="192"/>
      <c r="R710" s="302"/>
    </row>
    <row r="711">
      <c r="A711" s="90"/>
      <c r="F711" s="288"/>
      <c r="G711" s="218"/>
      <c r="M711" s="304"/>
      <c r="N711" s="192"/>
      <c r="O711" s="301"/>
      <c r="P711" s="301"/>
      <c r="Q711" s="192"/>
      <c r="R711" s="302"/>
    </row>
    <row r="712">
      <c r="A712" s="90"/>
      <c r="F712" s="288"/>
      <c r="G712" s="218"/>
      <c r="M712" s="304"/>
      <c r="N712" s="192"/>
      <c r="O712" s="301"/>
      <c r="P712" s="301"/>
      <c r="Q712" s="192"/>
      <c r="R712" s="302"/>
    </row>
    <row r="713">
      <c r="A713" s="90"/>
      <c r="F713" s="288"/>
      <c r="G713" s="218"/>
      <c r="M713" s="304"/>
      <c r="N713" s="192"/>
      <c r="O713" s="301"/>
      <c r="P713" s="301"/>
      <c r="Q713" s="192"/>
      <c r="R713" s="302"/>
    </row>
    <row r="714">
      <c r="A714" s="90"/>
      <c r="F714" s="288"/>
      <c r="G714" s="218"/>
      <c r="M714" s="304"/>
      <c r="N714" s="192"/>
      <c r="O714" s="301"/>
      <c r="P714" s="301"/>
      <c r="Q714" s="192"/>
      <c r="R714" s="302"/>
    </row>
    <row r="715">
      <c r="A715" s="90"/>
      <c r="F715" s="288"/>
      <c r="G715" s="218"/>
      <c r="M715" s="304"/>
      <c r="N715" s="192"/>
      <c r="O715" s="301"/>
      <c r="P715" s="301"/>
      <c r="Q715" s="192"/>
      <c r="R715" s="302"/>
    </row>
    <row r="716">
      <c r="A716" s="90"/>
      <c r="F716" s="288"/>
      <c r="G716" s="218"/>
      <c r="M716" s="304"/>
      <c r="N716" s="192"/>
      <c r="O716" s="301"/>
      <c r="P716" s="301"/>
      <c r="Q716" s="192"/>
      <c r="R716" s="302"/>
    </row>
    <row r="717">
      <c r="A717" s="90"/>
      <c r="F717" s="288"/>
      <c r="G717" s="218"/>
      <c r="M717" s="304"/>
      <c r="N717" s="192"/>
      <c r="O717" s="301"/>
      <c r="P717" s="301"/>
      <c r="Q717" s="192"/>
      <c r="R717" s="302"/>
    </row>
    <row r="718">
      <c r="A718" s="90"/>
      <c r="F718" s="288"/>
      <c r="G718" s="218"/>
      <c r="M718" s="304"/>
      <c r="N718" s="192"/>
      <c r="O718" s="301"/>
      <c r="P718" s="301"/>
      <c r="Q718" s="192"/>
      <c r="R718" s="302"/>
    </row>
    <row r="719">
      <c r="A719" s="90"/>
      <c r="F719" s="288"/>
      <c r="G719" s="218"/>
      <c r="M719" s="304"/>
      <c r="N719" s="192"/>
      <c r="O719" s="301"/>
      <c r="P719" s="301"/>
      <c r="Q719" s="192"/>
      <c r="R719" s="302"/>
    </row>
    <row r="720">
      <c r="A720" s="90"/>
      <c r="F720" s="288"/>
      <c r="G720" s="218"/>
      <c r="M720" s="304"/>
      <c r="N720" s="192"/>
      <c r="O720" s="301"/>
      <c r="P720" s="301"/>
      <c r="Q720" s="192"/>
      <c r="R720" s="302"/>
    </row>
    <row r="721">
      <c r="A721" s="90"/>
      <c r="F721" s="288"/>
      <c r="G721" s="218"/>
      <c r="M721" s="304"/>
      <c r="N721" s="192"/>
      <c r="O721" s="301"/>
      <c r="P721" s="301"/>
      <c r="Q721" s="192"/>
      <c r="R721" s="302"/>
    </row>
    <row r="722">
      <c r="A722" s="90"/>
      <c r="F722" s="288"/>
      <c r="G722" s="218"/>
      <c r="M722" s="304"/>
      <c r="N722" s="192"/>
      <c r="O722" s="301"/>
      <c r="P722" s="301"/>
      <c r="Q722" s="192"/>
      <c r="R722" s="302"/>
    </row>
    <row r="723">
      <c r="A723" s="90"/>
      <c r="F723" s="288"/>
      <c r="G723" s="218"/>
      <c r="M723" s="304"/>
      <c r="N723" s="192"/>
      <c r="O723" s="301"/>
      <c r="P723" s="301"/>
      <c r="Q723" s="192"/>
      <c r="R723" s="302"/>
    </row>
    <row r="724">
      <c r="A724" s="90"/>
      <c r="F724" s="288"/>
      <c r="G724" s="218"/>
      <c r="M724" s="304"/>
      <c r="N724" s="192"/>
      <c r="O724" s="301"/>
      <c r="P724" s="301"/>
      <c r="Q724" s="192"/>
      <c r="R724" s="302"/>
    </row>
    <row r="725">
      <c r="A725" s="90"/>
      <c r="F725" s="288"/>
      <c r="G725" s="218"/>
      <c r="M725" s="304"/>
      <c r="N725" s="192"/>
      <c r="O725" s="301"/>
      <c r="P725" s="301"/>
      <c r="Q725" s="192"/>
      <c r="R725" s="302"/>
    </row>
    <row r="726">
      <c r="A726" s="90"/>
      <c r="F726" s="288"/>
      <c r="G726" s="218"/>
      <c r="M726" s="304"/>
      <c r="N726" s="192"/>
      <c r="O726" s="301"/>
      <c r="P726" s="301"/>
      <c r="Q726" s="192"/>
      <c r="R726" s="302"/>
    </row>
    <row r="727">
      <c r="A727" s="90"/>
      <c r="F727" s="288"/>
      <c r="G727" s="218"/>
      <c r="M727" s="304"/>
      <c r="N727" s="192"/>
      <c r="O727" s="301"/>
      <c r="P727" s="301"/>
      <c r="Q727" s="192"/>
      <c r="R727" s="302"/>
    </row>
    <row r="728">
      <c r="A728" s="90"/>
      <c r="F728" s="288"/>
      <c r="G728" s="218"/>
      <c r="M728" s="304"/>
      <c r="N728" s="192"/>
      <c r="O728" s="301"/>
      <c r="P728" s="301"/>
      <c r="Q728" s="192"/>
      <c r="R728" s="302"/>
    </row>
    <row r="729">
      <c r="A729" s="90"/>
      <c r="F729" s="288"/>
      <c r="G729" s="218"/>
      <c r="M729" s="304"/>
      <c r="N729" s="192"/>
      <c r="O729" s="301"/>
      <c r="P729" s="301"/>
      <c r="Q729" s="192"/>
      <c r="R729" s="302"/>
    </row>
    <row r="730">
      <c r="A730" s="90"/>
      <c r="F730" s="288"/>
      <c r="G730" s="218"/>
      <c r="M730" s="304"/>
      <c r="N730" s="192"/>
      <c r="O730" s="301"/>
      <c r="P730" s="301"/>
      <c r="Q730" s="192"/>
      <c r="R730" s="302"/>
    </row>
    <row r="731">
      <c r="A731" s="90"/>
      <c r="F731" s="288"/>
      <c r="G731" s="218"/>
      <c r="M731" s="304"/>
      <c r="N731" s="192"/>
      <c r="O731" s="301"/>
      <c r="P731" s="301"/>
      <c r="Q731" s="192"/>
      <c r="R731" s="302"/>
    </row>
    <row r="732">
      <c r="A732" s="90"/>
      <c r="F732" s="288"/>
      <c r="G732" s="218"/>
      <c r="M732" s="304"/>
      <c r="N732" s="192"/>
      <c r="O732" s="301"/>
      <c r="P732" s="301"/>
      <c r="Q732" s="192"/>
      <c r="R732" s="302"/>
    </row>
    <row r="733">
      <c r="A733" s="90"/>
      <c r="F733" s="288"/>
      <c r="G733" s="218"/>
      <c r="M733" s="304"/>
      <c r="N733" s="192"/>
      <c r="O733" s="301"/>
      <c r="P733" s="301"/>
      <c r="Q733" s="192"/>
      <c r="R733" s="302"/>
    </row>
    <row r="734">
      <c r="A734" s="90"/>
      <c r="F734" s="288"/>
      <c r="G734" s="218"/>
      <c r="M734" s="304"/>
      <c r="N734" s="192"/>
      <c r="O734" s="301"/>
      <c r="P734" s="301"/>
      <c r="Q734" s="192"/>
      <c r="R734" s="302"/>
    </row>
    <row r="735">
      <c r="A735" s="90"/>
      <c r="F735" s="288"/>
      <c r="G735" s="218"/>
      <c r="M735" s="304"/>
      <c r="N735" s="192"/>
      <c r="O735" s="301"/>
      <c r="P735" s="301"/>
      <c r="Q735" s="192"/>
      <c r="R735" s="302"/>
    </row>
    <row r="736">
      <c r="A736" s="90"/>
      <c r="F736" s="288"/>
      <c r="G736" s="218"/>
      <c r="M736" s="304"/>
      <c r="N736" s="192"/>
      <c r="O736" s="301"/>
      <c r="P736" s="301"/>
      <c r="Q736" s="192"/>
      <c r="R736" s="302"/>
    </row>
    <row r="737">
      <c r="A737" s="90"/>
      <c r="F737" s="288"/>
      <c r="G737" s="218"/>
      <c r="M737" s="304"/>
      <c r="N737" s="192"/>
      <c r="O737" s="301"/>
      <c r="P737" s="301"/>
      <c r="Q737" s="192"/>
      <c r="R737" s="302"/>
    </row>
    <row r="738">
      <c r="A738" s="90"/>
      <c r="F738" s="288"/>
      <c r="G738" s="218"/>
      <c r="M738" s="304"/>
      <c r="N738" s="192"/>
      <c r="O738" s="301"/>
      <c r="P738" s="301"/>
      <c r="Q738" s="192"/>
      <c r="R738" s="302"/>
    </row>
    <row r="739">
      <c r="A739" s="90"/>
      <c r="F739" s="288"/>
      <c r="G739" s="218"/>
      <c r="M739" s="304"/>
      <c r="N739" s="192"/>
      <c r="O739" s="301"/>
      <c r="P739" s="301"/>
      <c r="Q739" s="192"/>
      <c r="R739" s="302"/>
    </row>
    <row r="740">
      <c r="A740" s="90"/>
      <c r="F740" s="288"/>
      <c r="G740" s="218"/>
      <c r="M740" s="304"/>
      <c r="N740" s="192"/>
      <c r="O740" s="301"/>
      <c r="P740" s="301"/>
      <c r="Q740" s="192"/>
      <c r="R740" s="302"/>
    </row>
    <row r="741">
      <c r="A741" s="90"/>
      <c r="F741" s="288"/>
      <c r="G741" s="218"/>
      <c r="M741" s="304"/>
      <c r="N741" s="192"/>
      <c r="O741" s="301"/>
      <c r="P741" s="301"/>
      <c r="Q741" s="192"/>
      <c r="R741" s="302"/>
    </row>
    <row r="742">
      <c r="A742" s="90"/>
      <c r="F742" s="288"/>
      <c r="G742" s="218"/>
      <c r="M742" s="304"/>
      <c r="N742" s="192"/>
      <c r="O742" s="301"/>
      <c r="P742" s="301"/>
      <c r="Q742" s="192"/>
      <c r="R742" s="302"/>
    </row>
    <row r="743">
      <c r="A743" s="90"/>
      <c r="F743" s="288"/>
      <c r="G743" s="218"/>
      <c r="M743" s="304"/>
      <c r="N743" s="192"/>
      <c r="O743" s="301"/>
      <c r="P743" s="301"/>
      <c r="Q743" s="192"/>
      <c r="R743" s="302"/>
    </row>
    <row r="744">
      <c r="A744" s="90"/>
      <c r="F744" s="288"/>
      <c r="G744" s="218"/>
      <c r="M744" s="304"/>
      <c r="N744" s="192"/>
      <c r="O744" s="301"/>
      <c r="P744" s="301"/>
      <c r="Q744" s="192"/>
      <c r="R744" s="302"/>
    </row>
    <row r="745">
      <c r="A745" s="90"/>
      <c r="F745" s="288"/>
      <c r="G745" s="218"/>
      <c r="M745" s="304"/>
      <c r="N745" s="192"/>
      <c r="O745" s="301"/>
      <c r="P745" s="301"/>
      <c r="Q745" s="192"/>
      <c r="R745" s="302"/>
    </row>
    <row r="746">
      <c r="A746" s="90"/>
      <c r="F746" s="288"/>
      <c r="G746" s="218"/>
      <c r="M746" s="304"/>
      <c r="N746" s="192"/>
      <c r="O746" s="301"/>
      <c r="P746" s="301"/>
      <c r="Q746" s="192"/>
      <c r="R746" s="302"/>
    </row>
    <row r="747">
      <c r="A747" s="90"/>
      <c r="F747" s="288"/>
      <c r="G747" s="218"/>
      <c r="M747" s="304"/>
      <c r="N747" s="192"/>
      <c r="O747" s="301"/>
      <c r="P747" s="301"/>
      <c r="Q747" s="192"/>
      <c r="R747" s="302"/>
    </row>
    <row r="748">
      <c r="A748" s="90"/>
      <c r="F748" s="288"/>
      <c r="G748" s="218"/>
      <c r="M748" s="304"/>
      <c r="N748" s="192"/>
      <c r="O748" s="301"/>
      <c r="P748" s="301"/>
      <c r="Q748" s="192"/>
      <c r="R748" s="302"/>
    </row>
    <row r="749">
      <c r="A749" s="90"/>
      <c r="F749" s="288"/>
      <c r="G749" s="218"/>
      <c r="M749" s="304"/>
      <c r="N749" s="192"/>
      <c r="O749" s="301"/>
      <c r="P749" s="301"/>
      <c r="Q749" s="192"/>
      <c r="R749" s="302"/>
    </row>
    <row r="750">
      <c r="A750" s="90"/>
      <c r="F750" s="288"/>
      <c r="G750" s="218"/>
      <c r="M750" s="304"/>
      <c r="N750" s="192"/>
      <c r="O750" s="301"/>
      <c r="P750" s="301"/>
      <c r="Q750" s="192"/>
      <c r="R750" s="302"/>
    </row>
    <row r="751">
      <c r="A751" s="90"/>
      <c r="F751" s="288"/>
      <c r="G751" s="218"/>
      <c r="M751" s="304"/>
      <c r="N751" s="192"/>
      <c r="O751" s="301"/>
      <c r="P751" s="301"/>
      <c r="Q751" s="192"/>
      <c r="R751" s="302"/>
    </row>
    <row r="752">
      <c r="A752" s="90"/>
      <c r="F752" s="288"/>
      <c r="G752" s="218"/>
      <c r="M752" s="304"/>
      <c r="N752" s="192"/>
      <c r="O752" s="301"/>
      <c r="P752" s="301"/>
      <c r="Q752" s="192"/>
      <c r="R752" s="302"/>
    </row>
    <row r="753">
      <c r="A753" s="90"/>
      <c r="F753" s="288"/>
      <c r="G753" s="218"/>
      <c r="M753" s="304"/>
      <c r="N753" s="192"/>
      <c r="O753" s="301"/>
      <c r="P753" s="301"/>
      <c r="Q753" s="192"/>
      <c r="R753" s="302"/>
    </row>
    <row r="754">
      <c r="A754" s="90"/>
      <c r="F754" s="288"/>
      <c r="G754" s="218"/>
      <c r="M754" s="304"/>
      <c r="N754" s="192"/>
      <c r="O754" s="301"/>
      <c r="P754" s="301"/>
      <c r="Q754" s="192"/>
      <c r="R754" s="302"/>
    </row>
    <row r="755">
      <c r="A755" s="90"/>
      <c r="F755" s="288"/>
      <c r="G755" s="218"/>
      <c r="M755" s="304"/>
      <c r="N755" s="192"/>
      <c r="O755" s="301"/>
      <c r="P755" s="301"/>
      <c r="Q755" s="192"/>
      <c r="R755" s="302"/>
    </row>
    <row r="756">
      <c r="A756" s="90"/>
      <c r="F756" s="288"/>
      <c r="G756" s="218"/>
      <c r="M756" s="304"/>
      <c r="N756" s="192"/>
      <c r="O756" s="301"/>
      <c r="P756" s="301"/>
      <c r="Q756" s="192"/>
      <c r="R756" s="302"/>
    </row>
    <row r="757">
      <c r="A757" s="90"/>
      <c r="F757" s="288"/>
      <c r="G757" s="218"/>
      <c r="M757" s="304"/>
      <c r="N757" s="192"/>
      <c r="O757" s="301"/>
      <c r="P757" s="301"/>
      <c r="Q757" s="192"/>
      <c r="R757" s="302"/>
    </row>
    <row r="758">
      <c r="A758" s="90"/>
      <c r="F758" s="288"/>
      <c r="G758" s="218"/>
      <c r="M758" s="304"/>
      <c r="N758" s="192"/>
      <c r="O758" s="301"/>
      <c r="P758" s="301"/>
      <c r="Q758" s="192"/>
      <c r="R758" s="302"/>
    </row>
    <row r="759">
      <c r="A759" s="90"/>
      <c r="F759" s="288"/>
      <c r="G759" s="218"/>
      <c r="M759" s="304"/>
      <c r="N759" s="192"/>
      <c r="O759" s="301"/>
      <c r="P759" s="301"/>
      <c r="Q759" s="192"/>
      <c r="R759" s="302"/>
    </row>
    <row r="760">
      <c r="A760" s="90"/>
      <c r="F760" s="288"/>
      <c r="G760" s="218"/>
      <c r="M760" s="304"/>
      <c r="N760" s="192"/>
      <c r="O760" s="301"/>
      <c r="P760" s="301"/>
      <c r="Q760" s="192"/>
      <c r="R760" s="302"/>
    </row>
    <row r="761">
      <c r="A761" s="90"/>
      <c r="F761" s="288"/>
      <c r="G761" s="218"/>
      <c r="M761" s="304"/>
      <c r="N761" s="192"/>
      <c r="O761" s="301"/>
      <c r="P761" s="301"/>
      <c r="Q761" s="192"/>
      <c r="R761" s="302"/>
    </row>
    <row r="762">
      <c r="A762" s="90"/>
      <c r="F762" s="288"/>
      <c r="G762" s="218"/>
      <c r="M762" s="304"/>
      <c r="N762" s="192"/>
      <c r="O762" s="301"/>
      <c r="P762" s="301"/>
      <c r="Q762" s="192"/>
      <c r="R762" s="302"/>
    </row>
    <row r="763">
      <c r="A763" s="90"/>
      <c r="F763" s="288"/>
      <c r="G763" s="218"/>
      <c r="M763" s="304"/>
      <c r="N763" s="192"/>
      <c r="O763" s="301"/>
      <c r="P763" s="301"/>
      <c r="Q763" s="192"/>
      <c r="R763" s="302"/>
    </row>
    <row r="764">
      <c r="A764" s="90"/>
      <c r="F764" s="288"/>
      <c r="G764" s="218"/>
      <c r="M764" s="304"/>
      <c r="N764" s="192"/>
      <c r="O764" s="301"/>
      <c r="P764" s="301"/>
      <c r="Q764" s="192"/>
      <c r="R764" s="302"/>
    </row>
    <row r="765">
      <c r="A765" s="90"/>
      <c r="F765" s="288"/>
      <c r="G765" s="218"/>
      <c r="M765" s="304"/>
      <c r="N765" s="192"/>
      <c r="O765" s="301"/>
      <c r="P765" s="301"/>
      <c r="Q765" s="192"/>
      <c r="R765" s="302"/>
    </row>
    <row r="766">
      <c r="A766" s="90"/>
      <c r="F766" s="288"/>
      <c r="G766" s="218"/>
      <c r="M766" s="304"/>
      <c r="N766" s="192"/>
      <c r="O766" s="301"/>
      <c r="P766" s="301"/>
      <c r="Q766" s="192"/>
      <c r="R766" s="302"/>
    </row>
    <row r="767">
      <c r="A767" s="90"/>
      <c r="F767" s="288"/>
      <c r="G767" s="218"/>
      <c r="M767" s="304"/>
      <c r="N767" s="192"/>
      <c r="O767" s="301"/>
      <c r="P767" s="301"/>
      <c r="Q767" s="192"/>
      <c r="R767" s="302"/>
    </row>
    <row r="768">
      <c r="A768" s="90"/>
      <c r="F768" s="288"/>
      <c r="G768" s="218"/>
      <c r="M768" s="304"/>
      <c r="N768" s="192"/>
      <c r="O768" s="301"/>
      <c r="P768" s="301"/>
      <c r="Q768" s="192"/>
      <c r="R768" s="302"/>
    </row>
    <row r="769">
      <c r="A769" s="90"/>
      <c r="F769" s="288"/>
      <c r="G769" s="218"/>
      <c r="M769" s="304"/>
      <c r="N769" s="192"/>
      <c r="O769" s="301"/>
      <c r="P769" s="301"/>
      <c r="Q769" s="192"/>
      <c r="R769" s="302"/>
    </row>
    <row r="770">
      <c r="A770" s="90"/>
      <c r="F770" s="288"/>
      <c r="G770" s="218"/>
      <c r="M770" s="304"/>
      <c r="N770" s="192"/>
      <c r="O770" s="301"/>
      <c r="P770" s="301"/>
      <c r="Q770" s="192"/>
      <c r="R770" s="302"/>
    </row>
    <row r="771">
      <c r="A771" s="90"/>
      <c r="F771" s="288"/>
      <c r="G771" s="218"/>
      <c r="M771" s="304"/>
      <c r="N771" s="192"/>
      <c r="O771" s="301"/>
      <c r="P771" s="301"/>
      <c r="Q771" s="192"/>
      <c r="R771" s="302"/>
    </row>
    <row r="772">
      <c r="A772" s="90"/>
      <c r="F772" s="288"/>
      <c r="G772" s="218"/>
      <c r="M772" s="304"/>
      <c r="N772" s="192"/>
      <c r="O772" s="301"/>
      <c r="P772" s="301"/>
      <c r="Q772" s="192"/>
      <c r="R772" s="302"/>
    </row>
    <row r="773">
      <c r="A773" s="90"/>
      <c r="F773" s="288"/>
      <c r="G773" s="218"/>
      <c r="M773" s="304"/>
      <c r="N773" s="192"/>
      <c r="O773" s="301"/>
      <c r="P773" s="301"/>
      <c r="Q773" s="192"/>
      <c r="R773" s="302"/>
    </row>
    <row r="774">
      <c r="A774" s="90"/>
      <c r="F774" s="288"/>
      <c r="G774" s="218"/>
      <c r="M774" s="304"/>
      <c r="N774" s="192"/>
      <c r="O774" s="301"/>
      <c r="P774" s="301"/>
      <c r="Q774" s="192"/>
      <c r="R774" s="302"/>
    </row>
    <row r="775">
      <c r="A775" s="90"/>
      <c r="F775" s="288"/>
      <c r="G775" s="218"/>
      <c r="M775" s="304"/>
      <c r="N775" s="192"/>
      <c r="O775" s="301"/>
      <c r="P775" s="301"/>
      <c r="Q775" s="192"/>
      <c r="R775" s="302"/>
    </row>
    <row r="776">
      <c r="A776" s="90"/>
      <c r="F776" s="288"/>
      <c r="G776" s="218"/>
      <c r="M776" s="304"/>
      <c r="N776" s="192"/>
      <c r="O776" s="301"/>
      <c r="P776" s="301"/>
      <c r="Q776" s="192"/>
      <c r="R776" s="302"/>
    </row>
    <row r="777">
      <c r="A777" s="90"/>
      <c r="F777" s="288"/>
      <c r="G777" s="218"/>
      <c r="M777" s="304"/>
      <c r="N777" s="192"/>
      <c r="O777" s="301"/>
      <c r="P777" s="301"/>
      <c r="Q777" s="192"/>
      <c r="R777" s="302"/>
    </row>
    <row r="778">
      <c r="A778" s="90"/>
      <c r="F778" s="288"/>
      <c r="G778" s="218"/>
      <c r="M778" s="304"/>
      <c r="N778" s="192"/>
      <c r="O778" s="301"/>
      <c r="P778" s="301"/>
      <c r="Q778" s="192"/>
      <c r="R778" s="302"/>
    </row>
    <row r="779">
      <c r="A779" s="90"/>
      <c r="F779" s="288"/>
      <c r="G779" s="218"/>
      <c r="M779" s="304"/>
      <c r="N779" s="192"/>
      <c r="O779" s="301"/>
      <c r="P779" s="301"/>
      <c r="Q779" s="192"/>
      <c r="R779" s="302"/>
    </row>
    <row r="780">
      <c r="A780" s="90"/>
      <c r="F780" s="288"/>
      <c r="G780" s="218"/>
      <c r="M780" s="304"/>
      <c r="N780" s="192"/>
      <c r="O780" s="301"/>
      <c r="P780" s="301"/>
      <c r="Q780" s="192"/>
      <c r="R780" s="302"/>
    </row>
    <row r="781">
      <c r="A781" s="90"/>
      <c r="F781" s="288"/>
      <c r="G781" s="218"/>
      <c r="M781" s="304"/>
      <c r="N781" s="192"/>
      <c r="O781" s="301"/>
      <c r="P781" s="301"/>
      <c r="Q781" s="192"/>
      <c r="R781" s="302"/>
    </row>
    <row r="782">
      <c r="A782" s="90"/>
      <c r="F782" s="288"/>
      <c r="G782" s="218"/>
      <c r="M782" s="304"/>
      <c r="N782" s="192"/>
      <c r="O782" s="301"/>
      <c r="P782" s="301"/>
      <c r="Q782" s="192"/>
      <c r="R782" s="302"/>
    </row>
    <row r="783">
      <c r="A783" s="90"/>
      <c r="F783" s="288"/>
      <c r="G783" s="218"/>
      <c r="M783" s="304"/>
      <c r="N783" s="192"/>
      <c r="O783" s="301"/>
      <c r="P783" s="301"/>
      <c r="Q783" s="192"/>
      <c r="R783" s="302"/>
    </row>
    <row r="784">
      <c r="A784" s="90"/>
      <c r="F784" s="288"/>
      <c r="G784" s="218"/>
      <c r="M784" s="304"/>
      <c r="N784" s="192"/>
      <c r="O784" s="301"/>
      <c r="P784" s="301"/>
      <c r="Q784" s="192"/>
      <c r="R784" s="302"/>
    </row>
    <row r="785">
      <c r="A785" s="90"/>
      <c r="F785" s="288"/>
      <c r="G785" s="218"/>
      <c r="M785" s="304"/>
      <c r="N785" s="192"/>
      <c r="O785" s="301"/>
      <c r="P785" s="301"/>
      <c r="Q785" s="192"/>
      <c r="R785" s="302"/>
    </row>
    <row r="786">
      <c r="A786" s="90"/>
      <c r="F786" s="288"/>
      <c r="G786" s="218"/>
      <c r="M786" s="304"/>
      <c r="N786" s="192"/>
      <c r="O786" s="301"/>
      <c r="P786" s="301"/>
      <c r="Q786" s="192"/>
      <c r="R786" s="302"/>
    </row>
    <row r="787">
      <c r="A787" s="90"/>
      <c r="F787" s="288"/>
      <c r="G787" s="218"/>
      <c r="M787" s="304"/>
      <c r="N787" s="192"/>
      <c r="O787" s="301"/>
      <c r="P787" s="301"/>
      <c r="Q787" s="192"/>
      <c r="R787" s="302"/>
    </row>
    <row r="788">
      <c r="A788" s="90"/>
      <c r="F788" s="288"/>
      <c r="G788" s="218"/>
      <c r="M788" s="304"/>
      <c r="N788" s="192"/>
      <c r="O788" s="301"/>
      <c r="P788" s="301"/>
      <c r="Q788" s="192"/>
      <c r="R788" s="302"/>
    </row>
    <row r="789">
      <c r="A789" s="90"/>
      <c r="F789" s="288"/>
      <c r="G789" s="218"/>
      <c r="M789" s="304"/>
      <c r="N789" s="192"/>
      <c r="O789" s="301"/>
      <c r="P789" s="301"/>
      <c r="Q789" s="192"/>
      <c r="R789" s="302"/>
    </row>
    <row r="790">
      <c r="A790" s="90"/>
      <c r="F790" s="288"/>
      <c r="G790" s="218"/>
      <c r="M790" s="304"/>
      <c r="N790" s="192"/>
      <c r="O790" s="301"/>
      <c r="P790" s="301"/>
      <c r="Q790" s="192"/>
      <c r="R790" s="302"/>
    </row>
    <row r="791">
      <c r="A791" s="90"/>
      <c r="F791" s="288"/>
      <c r="G791" s="218"/>
      <c r="M791" s="304"/>
      <c r="N791" s="192"/>
      <c r="O791" s="301"/>
      <c r="P791" s="301"/>
      <c r="Q791" s="192"/>
      <c r="R791" s="302"/>
    </row>
    <row r="792">
      <c r="A792" s="90"/>
      <c r="F792" s="288"/>
      <c r="G792" s="218"/>
      <c r="M792" s="304"/>
      <c r="N792" s="192"/>
      <c r="O792" s="301"/>
      <c r="P792" s="301"/>
      <c r="Q792" s="192"/>
      <c r="R792" s="302"/>
    </row>
    <row r="793">
      <c r="A793" s="90"/>
      <c r="F793" s="288"/>
      <c r="G793" s="218"/>
      <c r="M793" s="304"/>
      <c r="N793" s="192"/>
      <c r="O793" s="301"/>
      <c r="P793" s="301"/>
      <c r="Q793" s="192"/>
      <c r="R793" s="302"/>
    </row>
    <row r="794">
      <c r="A794" s="90"/>
      <c r="F794" s="288"/>
      <c r="G794" s="218"/>
      <c r="M794" s="304"/>
      <c r="N794" s="192"/>
      <c r="O794" s="301"/>
      <c r="P794" s="301"/>
      <c r="Q794" s="192"/>
      <c r="R794" s="302"/>
    </row>
    <row r="795">
      <c r="A795" s="90"/>
      <c r="F795" s="288"/>
      <c r="G795" s="218"/>
      <c r="M795" s="304"/>
      <c r="N795" s="192"/>
      <c r="O795" s="301"/>
      <c r="P795" s="301"/>
      <c r="Q795" s="192"/>
      <c r="R795" s="302"/>
    </row>
    <row r="796">
      <c r="A796" s="90"/>
      <c r="F796" s="288"/>
      <c r="G796" s="218"/>
      <c r="M796" s="304"/>
      <c r="N796" s="192"/>
      <c r="O796" s="301"/>
      <c r="P796" s="301"/>
      <c r="Q796" s="192"/>
      <c r="R796" s="302"/>
    </row>
    <row r="797">
      <c r="A797" s="90"/>
      <c r="F797" s="288"/>
      <c r="G797" s="218"/>
      <c r="M797" s="304"/>
      <c r="N797" s="192"/>
      <c r="O797" s="301"/>
      <c r="P797" s="301"/>
      <c r="Q797" s="192"/>
      <c r="R797" s="302"/>
    </row>
    <row r="798">
      <c r="A798" s="90"/>
      <c r="F798" s="288"/>
      <c r="G798" s="218"/>
      <c r="M798" s="304"/>
      <c r="N798" s="192"/>
      <c r="O798" s="301"/>
      <c r="P798" s="301"/>
      <c r="Q798" s="192"/>
      <c r="R798" s="302"/>
    </row>
    <row r="799">
      <c r="A799" s="90"/>
      <c r="F799" s="288"/>
      <c r="G799" s="218"/>
      <c r="M799" s="304"/>
      <c r="N799" s="192"/>
      <c r="O799" s="301"/>
      <c r="P799" s="301"/>
      <c r="Q799" s="192"/>
      <c r="R799" s="302"/>
    </row>
    <row r="800">
      <c r="A800" s="90"/>
      <c r="F800" s="288"/>
      <c r="G800" s="218"/>
      <c r="M800" s="304"/>
      <c r="N800" s="192"/>
      <c r="O800" s="301"/>
      <c r="P800" s="301"/>
      <c r="Q800" s="192"/>
      <c r="R800" s="302"/>
    </row>
    <row r="801">
      <c r="A801" s="90"/>
      <c r="F801" s="288"/>
      <c r="G801" s="218"/>
      <c r="M801" s="304"/>
      <c r="N801" s="192"/>
      <c r="O801" s="301"/>
      <c r="P801" s="301"/>
      <c r="Q801" s="192"/>
      <c r="R801" s="302"/>
    </row>
    <row r="802">
      <c r="A802" s="90"/>
      <c r="F802" s="288"/>
      <c r="G802" s="218"/>
      <c r="M802" s="304"/>
      <c r="N802" s="192"/>
      <c r="O802" s="301"/>
      <c r="P802" s="301"/>
      <c r="Q802" s="192"/>
      <c r="R802" s="302"/>
    </row>
    <row r="803">
      <c r="A803" s="90"/>
      <c r="F803" s="288"/>
      <c r="G803" s="218"/>
      <c r="M803" s="304"/>
      <c r="N803" s="192"/>
      <c r="O803" s="301"/>
      <c r="P803" s="301"/>
      <c r="Q803" s="192"/>
      <c r="R803" s="302"/>
    </row>
    <row r="804">
      <c r="A804" s="90"/>
      <c r="F804" s="288"/>
      <c r="G804" s="218"/>
      <c r="M804" s="304"/>
      <c r="N804" s="192"/>
      <c r="O804" s="301"/>
      <c r="P804" s="301"/>
      <c r="Q804" s="192"/>
      <c r="R804" s="302"/>
    </row>
    <row r="805">
      <c r="A805" s="90"/>
      <c r="F805" s="288"/>
      <c r="G805" s="218"/>
      <c r="M805" s="304"/>
      <c r="N805" s="192"/>
      <c r="O805" s="301"/>
      <c r="P805" s="301"/>
      <c r="Q805" s="192"/>
      <c r="R805" s="302"/>
    </row>
    <row r="806">
      <c r="A806" s="90"/>
      <c r="F806" s="288"/>
      <c r="G806" s="218"/>
      <c r="M806" s="304"/>
      <c r="N806" s="192"/>
      <c r="O806" s="301"/>
      <c r="P806" s="301"/>
      <c r="Q806" s="192"/>
      <c r="R806" s="302"/>
    </row>
    <row r="807">
      <c r="A807" s="90"/>
      <c r="F807" s="288"/>
      <c r="G807" s="218"/>
      <c r="M807" s="304"/>
      <c r="N807" s="192"/>
      <c r="O807" s="301"/>
      <c r="P807" s="301"/>
      <c r="Q807" s="192"/>
      <c r="R807" s="302"/>
    </row>
    <row r="808">
      <c r="A808" s="90"/>
      <c r="F808" s="288"/>
      <c r="G808" s="218"/>
      <c r="M808" s="304"/>
      <c r="N808" s="192"/>
      <c r="O808" s="301"/>
      <c r="P808" s="301"/>
      <c r="Q808" s="192"/>
      <c r="R808" s="302"/>
    </row>
    <row r="809">
      <c r="A809" s="90"/>
      <c r="F809" s="288"/>
      <c r="G809" s="218"/>
      <c r="M809" s="304"/>
      <c r="N809" s="192"/>
      <c r="O809" s="301"/>
      <c r="P809" s="301"/>
      <c r="Q809" s="192"/>
      <c r="R809" s="302"/>
    </row>
    <row r="810">
      <c r="A810" s="90"/>
      <c r="F810" s="288"/>
      <c r="G810" s="218"/>
      <c r="M810" s="304"/>
      <c r="N810" s="192"/>
      <c r="O810" s="301"/>
      <c r="P810" s="301"/>
      <c r="Q810" s="192"/>
      <c r="R810" s="302"/>
    </row>
    <row r="811">
      <c r="A811" s="90"/>
      <c r="F811" s="288"/>
      <c r="G811" s="218"/>
      <c r="M811" s="304"/>
      <c r="N811" s="192"/>
      <c r="O811" s="301"/>
      <c r="P811" s="301"/>
      <c r="Q811" s="192"/>
      <c r="R811" s="302"/>
    </row>
    <row r="812">
      <c r="A812" s="90"/>
      <c r="F812" s="288"/>
      <c r="G812" s="218"/>
      <c r="M812" s="304"/>
      <c r="N812" s="192"/>
      <c r="O812" s="301"/>
      <c r="P812" s="301"/>
      <c r="Q812" s="192"/>
      <c r="R812" s="302"/>
    </row>
    <row r="813">
      <c r="A813" s="90"/>
      <c r="F813" s="288"/>
      <c r="G813" s="218"/>
      <c r="M813" s="304"/>
      <c r="N813" s="192"/>
      <c r="O813" s="301"/>
      <c r="P813" s="301"/>
      <c r="Q813" s="192"/>
      <c r="R813" s="302"/>
    </row>
    <row r="814">
      <c r="A814" s="90"/>
      <c r="F814" s="288"/>
      <c r="G814" s="218"/>
      <c r="M814" s="304"/>
      <c r="N814" s="192"/>
      <c r="O814" s="301"/>
      <c r="P814" s="301"/>
      <c r="Q814" s="192"/>
      <c r="R814" s="302"/>
    </row>
    <row r="815">
      <c r="A815" s="90"/>
      <c r="F815" s="288"/>
      <c r="G815" s="218"/>
      <c r="M815" s="304"/>
      <c r="N815" s="192"/>
      <c r="O815" s="301"/>
      <c r="P815" s="301"/>
      <c r="Q815" s="192"/>
      <c r="R815" s="302"/>
    </row>
    <row r="816">
      <c r="A816" s="90"/>
      <c r="F816" s="288"/>
      <c r="G816" s="218"/>
      <c r="M816" s="304"/>
      <c r="N816" s="192"/>
      <c r="O816" s="301"/>
      <c r="P816" s="301"/>
      <c r="Q816" s="192"/>
      <c r="R816" s="302"/>
    </row>
    <row r="817">
      <c r="A817" s="90"/>
      <c r="F817" s="288"/>
      <c r="G817" s="218"/>
      <c r="M817" s="304"/>
      <c r="N817" s="192"/>
      <c r="O817" s="301"/>
      <c r="P817" s="301"/>
      <c r="Q817" s="192"/>
      <c r="R817" s="302"/>
    </row>
    <row r="818">
      <c r="A818" s="90"/>
      <c r="F818" s="288"/>
      <c r="G818" s="218"/>
      <c r="M818" s="304"/>
      <c r="N818" s="192"/>
      <c r="O818" s="301"/>
      <c r="P818" s="301"/>
      <c r="Q818" s="192"/>
      <c r="R818" s="302"/>
    </row>
    <row r="819">
      <c r="A819" s="90"/>
      <c r="F819" s="288"/>
      <c r="G819" s="218"/>
      <c r="M819" s="304"/>
      <c r="N819" s="192"/>
      <c r="O819" s="301"/>
      <c r="P819" s="301"/>
      <c r="Q819" s="192"/>
      <c r="R819" s="302"/>
    </row>
    <row r="820">
      <c r="A820" s="90"/>
      <c r="F820" s="288"/>
      <c r="G820" s="218"/>
      <c r="M820" s="304"/>
      <c r="N820" s="192"/>
      <c r="O820" s="301"/>
      <c r="P820" s="301"/>
      <c r="Q820" s="192"/>
      <c r="R820" s="302"/>
    </row>
    <row r="821">
      <c r="A821" s="90"/>
      <c r="F821" s="288"/>
      <c r="G821" s="218"/>
      <c r="M821" s="304"/>
      <c r="N821" s="192"/>
      <c r="O821" s="301"/>
      <c r="P821" s="301"/>
      <c r="Q821" s="192"/>
      <c r="R821" s="302"/>
    </row>
    <row r="822">
      <c r="A822" s="90"/>
      <c r="F822" s="288"/>
      <c r="G822" s="218"/>
      <c r="M822" s="304"/>
      <c r="N822" s="192"/>
      <c r="O822" s="301"/>
      <c r="P822" s="301"/>
      <c r="Q822" s="192"/>
      <c r="R822" s="302"/>
    </row>
    <row r="823">
      <c r="A823" s="90"/>
      <c r="F823" s="288"/>
      <c r="G823" s="218"/>
      <c r="M823" s="304"/>
      <c r="N823" s="192"/>
      <c r="O823" s="301"/>
      <c r="P823" s="301"/>
      <c r="Q823" s="192"/>
      <c r="R823" s="302"/>
    </row>
    <row r="824">
      <c r="A824" s="90"/>
      <c r="F824" s="288"/>
      <c r="G824" s="218"/>
      <c r="M824" s="304"/>
      <c r="N824" s="192"/>
      <c r="O824" s="301"/>
      <c r="P824" s="301"/>
      <c r="Q824" s="192"/>
      <c r="R824" s="302"/>
    </row>
    <row r="825">
      <c r="A825" s="90"/>
      <c r="F825" s="288"/>
      <c r="G825" s="218"/>
      <c r="M825" s="304"/>
      <c r="N825" s="192"/>
      <c r="O825" s="301"/>
      <c r="P825" s="301"/>
      <c r="Q825" s="192"/>
      <c r="R825" s="302"/>
    </row>
    <row r="826">
      <c r="A826" s="90"/>
      <c r="F826" s="288"/>
      <c r="G826" s="218"/>
      <c r="M826" s="304"/>
      <c r="N826" s="192"/>
      <c r="O826" s="301"/>
      <c r="P826" s="301"/>
      <c r="Q826" s="192"/>
      <c r="R826" s="302"/>
    </row>
    <row r="827">
      <c r="A827" s="90"/>
      <c r="F827" s="288"/>
      <c r="G827" s="218"/>
      <c r="M827" s="304"/>
      <c r="N827" s="192"/>
      <c r="O827" s="301"/>
      <c r="P827" s="301"/>
      <c r="Q827" s="192"/>
      <c r="R827" s="302"/>
    </row>
    <row r="828">
      <c r="A828" s="90"/>
      <c r="F828" s="288"/>
      <c r="G828" s="218"/>
      <c r="M828" s="304"/>
      <c r="N828" s="192"/>
      <c r="O828" s="301"/>
      <c r="P828" s="301"/>
      <c r="Q828" s="192"/>
      <c r="R828" s="302"/>
    </row>
    <row r="829">
      <c r="A829" s="90"/>
      <c r="F829" s="288"/>
      <c r="G829" s="218"/>
      <c r="M829" s="304"/>
      <c r="N829" s="192"/>
      <c r="O829" s="301"/>
      <c r="P829" s="301"/>
      <c r="Q829" s="192"/>
      <c r="R829" s="302"/>
    </row>
    <row r="830">
      <c r="A830" s="90"/>
      <c r="F830" s="288"/>
      <c r="G830" s="218"/>
      <c r="M830" s="304"/>
      <c r="N830" s="192"/>
      <c r="O830" s="301"/>
      <c r="P830" s="301"/>
      <c r="Q830" s="192"/>
      <c r="R830" s="302"/>
    </row>
    <row r="831">
      <c r="A831" s="90"/>
      <c r="F831" s="288"/>
      <c r="G831" s="218"/>
      <c r="M831" s="304"/>
      <c r="N831" s="192"/>
      <c r="O831" s="301"/>
      <c r="P831" s="301"/>
      <c r="Q831" s="192"/>
      <c r="R831" s="302"/>
    </row>
    <row r="832">
      <c r="A832" s="90"/>
      <c r="F832" s="288"/>
      <c r="G832" s="218"/>
      <c r="M832" s="304"/>
      <c r="N832" s="192"/>
      <c r="O832" s="301"/>
      <c r="P832" s="301"/>
      <c r="Q832" s="192"/>
      <c r="R832" s="302"/>
    </row>
    <row r="833">
      <c r="A833" s="90"/>
      <c r="F833" s="288"/>
      <c r="G833" s="218"/>
      <c r="M833" s="304"/>
      <c r="N833" s="192"/>
      <c r="O833" s="301"/>
      <c r="P833" s="301"/>
      <c r="Q833" s="192"/>
      <c r="R833" s="302"/>
    </row>
    <row r="834">
      <c r="A834" s="90"/>
      <c r="F834" s="288"/>
      <c r="G834" s="218"/>
      <c r="M834" s="304"/>
      <c r="N834" s="192"/>
      <c r="O834" s="301"/>
      <c r="P834" s="301"/>
      <c r="Q834" s="192"/>
      <c r="R834" s="302"/>
    </row>
    <row r="835">
      <c r="A835" s="90"/>
      <c r="F835" s="288"/>
      <c r="G835" s="218"/>
      <c r="M835" s="304"/>
      <c r="N835" s="192"/>
      <c r="O835" s="301"/>
      <c r="P835" s="301"/>
      <c r="Q835" s="192"/>
      <c r="R835" s="302"/>
    </row>
    <row r="836">
      <c r="A836" s="90"/>
      <c r="F836" s="288"/>
      <c r="G836" s="218"/>
      <c r="M836" s="304"/>
      <c r="N836" s="192"/>
      <c r="O836" s="301"/>
      <c r="P836" s="301"/>
      <c r="Q836" s="192"/>
      <c r="R836" s="302"/>
    </row>
    <row r="837">
      <c r="A837" s="90"/>
      <c r="F837" s="288"/>
      <c r="G837" s="218"/>
      <c r="M837" s="304"/>
      <c r="N837" s="192"/>
      <c r="O837" s="301"/>
      <c r="P837" s="301"/>
      <c r="Q837" s="192"/>
      <c r="R837" s="302"/>
    </row>
    <row r="838">
      <c r="A838" s="90"/>
      <c r="F838" s="288"/>
      <c r="G838" s="218"/>
      <c r="M838" s="304"/>
      <c r="N838" s="192"/>
      <c r="O838" s="301"/>
      <c r="P838" s="301"/>
      <c r="Q838" s="192"/>
      <c r="R838" s="302"/>
    </row>
    <row r="839">
      <c r="A839" s="90"/>
      <c r="F839" s="288"/>
      <c r="G839" s="218"/>
      <c r="M839" s="304"/>
      <c r="N839" s="192"/>
      <c r="O839" s="301"/>
      <c r="P839" s="301"/>
      <c r="Q839" s="192"/>
      <c r="R839" s="302"/>
    </row>
    <row r="840">
      <c r="A840" s="90"/>
      <c r="F840" s="288"/>
      <c r="G840" s="218"/>
      <c r="M840" s="304"/>
      <c r="N840" s="192"/>
      <c r="O840" s="301"/>
      <c r="P840" s="301"/>
      <c r="Q840" s="192"/>
      <c r="R840" s="302"/>
    </row>
    <row r="841">
      <c r="A841" s="90"/>
      <c r="F841" s="288"/>
      <c r="G841" s="218"/>
      <c r="M841" s="304"/>
      <c r="N841" s="192"/>
      <c r="O841" s="301"/>
      <c r="P841" s="301"/>
      <c r="Q841" s="192"/>
      <c r="R841" s="302"/>
    </row>
    <row r="842">
      <c r="A842" s="90"/>
      <c r="F842" s="288"/>
      <c r="G842" s="218"/>
      <c r="M842" s="304"/>
      <c r="N842" s="192"/>
      <c r="O842" s="301"/>
      <c r="P842" s="301"/>
      <c r="Q842" s="192"/>
      <c r="R842" s="302"/>
    </row>
    <row r="843">
      <c r="A843" s="90"/>
      <c r="F843" s="288"/>
      <c r="G843" s="218"/>
      <c r="M843" s="304"/>
      <c r="N843" s="192"/>
      <c r="O843" s="301"/>
      <c r="P843" s="301"/>
      <c r="Q843" s="192"/>
      <c r="R843" s="302"/>
    </row>
    <row r="844">
      <c r="A844" s="90"/>
      <c r="F844" s="288"/>
      <c r="G844" s="218"/>
      <c r="M844" s="304"/>
      <c r="N844" s="192"/>
      <c r="O844" s="301"/>
      <c r="P844" s="301"/>
      <c r="Q844" s="192"/>
      <c r="R844" s="302"/>
    </row>
    <row r="845">
      <c r="A845" s="90"/>
      <c r="F845" s="288"/>
      <c r="G845" s="218"/>
      <c r="M845" s="304"/>
      <c r="N845" s="192"/>
      <c r="O845" s="301"/>
      <c r="P845" s="301"/>
      <c r="Q845" s="192"/>
      <c r="R845" s="302"/>
    </row>
    <row r="846">
      <c r="A846" s="90"/>
      <c r="F846" s="288"/>
      <c r="G846" s="218"/>
      <c r="M846" s="304"/>
      <c r="N846" s="192"/>
      <c r="O846" s="301"/>
      <c r="P846" s="301"/>
      <c r="Q846" s="192"/>
      <c r="R846" s="302"/>
    </row>
    <row r="847">
      <c r="A847" s="90"/>
      <c r="F847" s="288"/>
      <c r="G847" s="218"/>
      <c r="M847" s="304"/>
      <c r="N847" s="192"/>
      <c r="O847" s="301"/>
      <c r="P847" s="301"/>
      <c r="Q847" s="192"/>
      <c r="R847" s="302"/>
    </row>
    <row r="848">
      <c r="A848" s="90"/>
      <c r="F848" s="288"/>
      <c r="G848" s="218"/>
      <c r="M848" s="304"/>
      <c r="N848" s="192"/>
      <c r="O848" s="301"/>
      <c r="P848" s="301"/>
      <c r="Q848" s="192"/>
      <c r="R848" s="302"/>
    </row>
    <row r="849">
      <c r="A849" s="90"/>
      <c r="F849" s="288"/>
      <c r="G849" s="218"/>
      <c r="M849" s="304"/>
      <c r="N849" s="192"/>
      <c r="O849" s="301"/>
      <c r="P849" s="301"/>
      <c r="Q849" s="192"/>
      <c r="R849" s="302"/>
    </row>
    <row r="850">
      <c r="A850" s="90"/>
      <c r="F850" s="288"/>
      <c r="G850" s="218"/>
      <c r="M850" s="304"/>
      <c r="N850" s="192"/>
      <c r="O850" s="301"/>
      <c r="P850" s="301"/>
      <c r="Q850" s="192"/>
      <c r="R850" s="302"/>
    </row>
    <row r="851">
      <c r="A851" s="90"/>
      <c r="F851" s="288"/>
      <c r="G851" s="218"/>
      <c r="M851" s="304"/>
      <c r="N851" s="192"/>
      <c r="O851" s="301"/>
      <c r="P851" s="301"/>
      <c r="Q851" s="192"/>
      <c r="R851" s="302"/>
    </row>
    <row r="852">
      <c r="A852" s="90"/>
      <c r="F852" s="288"/>
      <c r="G852" s="218"/>
      <c r="M852" s="304"/>
      <c r="N852" s="192"/>
      <c r="O852" s="301"/>
      <c r="P852" s="301"/>
      <c r="Q852" s="192"/>
      <c r="R852" s="302"/>
    </row>
    <row r="853">
      <c r="A853" s="90"/>
      <c r="F853" s="288"/>
      <c r="G853" s="218"/>
      <c r="M853" s="304"/>
      <c r="N853" s="192"/>
      <c r="O853" s="301"/>
      <c r="P853" s="301"/>
      <c r="Q853" s="192"/>
      <c r="R853" s="302"/>
    </row>
    <row r="854">
      <c r="A854" s="90"/>
      <c r="F854" s="288"/>
      <c r="G854" s="218"/>
      <c r="M854" s="304"/>
      <c r="N854" s="192"/>
      <c r="O854" s="301"/>
      <c r="P854" s="301"/>
      <c r="Q854" s="192"/>
      <c r="R854" s="302"/>
    </row>
    <row r="855">
      <c r="A855" s="90"/>
      <c r="F855" s="288"/>
      <c r="G855" s="218"/>
      <c r="M855" s="304"/>
      <c r="N855" s="192"/>
      <c r="O855" s="301"/>
      <c r="P855" s="301"/>
      <c r="Q855" s="192"/>
      <c r="R855" s="302"/>
    </row>
    <row r="856">
      <c r="A856" s="90"/>
      <c r="F856" s="288"/>
      <c r="G856" s="218"/>
      <c r="M856" s="304"/>
      <c r="N856" s="192"/>
      <c r="O856" s="301"/>
      <c r="P856" s="301"/>
      <c r="Q856" s="192"/>
      <c r="R856" s="302"/>
    </row>
    <row r="857">
      <c r="A857" s="90"/>
      <c r="F857" s="288"/>
      <c r="G857" s="218"/>
      <c r="M857" s="304"/>
      <c r="N857" s="192"/>
      <c r="O857" s="301"/>
      <c r="P857" s="301"/>
      <c r="Q857" s="192"/>
      <c r="R857" s="302"/>
    </row>
    <row r="858">
      <c r="A858" s="90"/>
      <c r="F858" s="288"/>
      <c r="G858" s="218"/>
      <c r="M858" s="304"/>
      <c r="N858" s="192"/>
      <c r="O858" s="301"/>
      <c r="P858" s="301"/>
      <c r="Q858" s="192"/>
      <c r="R858" s="302"/>
    </row>
    <row r="859">
      <c r="A859" s="90"/>
      <c r="F859" s="288"/>
      <c r="G859" s="218"/>
      <c r="M859" s="304"/>
      <c r="N859" s="192"/>
      <c r="O859" s="301"/>
      <c r="P859" s="301"/>
      <c r="Q859" s="192"/>
      <c r="R859" s="302"/>
    </row>
    <row r="860">
      <c r="A860" s="90"/>
      <c r="F860" s="288"/>
      <c r="G860" s="218"/>
      <c r="M860" s="304"/>
      <c r="N860" s="192"/>
      <c r="O860" s="301"/>
      <c r="P860" s="301"/>
      <c r="Q860" s="192"/>
      <c r="R860" s="302"/>
    </row>
    <row r="861">
      <c r="A861" s="90"/>
      <c r="F861" s="288"/>
      <c r="G861" s="218"/>
      <c r="M861" s="304"/>
      <c r="N861" s="192"/>
      <c r="O861" s="301"/>
      <c r="P861" s="301"/>
      <c r="Q861" s="192"/>
      <c r="R861" s="302"/>
    </row>
    <row r="862">
      <c r="A862" s="90"/>
      <c r="F862" s="288"/>
      <c r="G862" s="218"/>
      <c r="M862" s="304"/>
      <c r="N862" s="192"/>
      <c r="O862" s="301"/>
      <c r="P862" s="301"/>
      <c r="Q862" s="192"/>
      <c r="R862" s="302"/>
    </row>
    <row r="863">
      <c r="A863" s="90"/>
      <c r="F863" s="288"/>
      <c r="G863" s="218"/>
      <c r="M863" s="304"/>
      <c r="N863" s="192"/>
      <c r="O863" s="301"/>
      <c r="P863" s="301"/>
      <c r="Q863" s="192"/>
      <c r="R863" s="302"/>
    </row>
    <row r="864">
      <c r="A864" s="90"/>
      <c r="F864" s="288"/>
      <c r="G864" s="218"/>
      <c r="M864" s="304"/>
      <c r="N864" s="192"/>
      <c r="O864" s="301"/>
      <c r="P864" s="301"/>
      <c r="Q864" s="192"/>
      <c r="R864" s="302"/>
    </row>
    <row r="865">
      <c r="A865" s="90"/>
      <c r="F865" s="288"/>
      <c r="G865" s="218"/>
      <c r="M865" s="304"/>
      <c r="N865" s="192"/>
      <c r="O865" s="301"/>
      <c r="P865" s="301"/>
      <c r="Q865" s="192"/>
      <c r="R865" s="302"/>
    </row>
    <row r="866">
      <c r="A866" s="90"/>
      <c r="F866" s="288"/>
      <c r="G866" s="218"/>
      <c r="M866" s="304"/>
      <c r="N866" s="192"/>
      <c r="O866" s="301"/>
      <c r="P866" s="301"/>
      <c r="Q866" s="192"/>
      <c r="R866" s="302"/>
    </row>
    <row r="867">
      <c r="A867" s="90"/>
      <c r="F867" s="288"/>
      <c r="G867" s="218"/>
      <c r="M867" s="304"/>
      <c r="N867" s="192"/>
      <c r="O867" s="301"/>
      <c r="P867" s="301"/>
      <c r="Q867" s="192"/>
      <c r="R867" s="302"/>
    </row>
    <row r="868">
      <c r="A868" s="90"/>
      <c r="F868" s="288"/>
      <c r="G868" s="218"/>
      <c r="M868" s="304"/>
      <c r="N868" s="192"/>
      <c r="O868" s="301"/>
      <c r="P868" s="301"/>
      <c r="Q868" s="192"/>
      <c r="R868" s="302"/>
    </row>
    <row r="869">
      <c r="A869" s="90"/>
      <c r="F869" s="288"/>
      <c r="G869" s="218"/>
      <c r="M869" s="304"/>
      <c r="N869" s="192"/>
      <c r="O869" s="301"/>
      <c r="P869" s="301"/>
      <c r="Q869" s="192"/>
      <c r="R869" s="302"/>
    </row>
    <row r="870">
      <c r="A870" s="90"/>
      <c r="F870" s="288"/>
      <c r="G870" s="218"/>
      <c r="M870" s="304"/>
      <c r="N870" s="192"/>
      <c r="O870" s="301"/>
      <c r="P870" s="301"/>
      <c r="Q870" s="192"/>
      <c r="R870" s="302"/>
    </row>
    <row r="871">
      <c r="A871" s="90"/>
      <c r="F871" s="288"/>
      <c r="G871" s="218"/>
      <c r="M871" s="304"/>
      <c r="N871" s="192"/>
      <c r="O871" s="301"/>
      <c r="P871" s="301"/>
      <c r="Q871" s="192"/>
      <c r="R871" s="302"/>
    </row>
    <row r="872">
      <c r="A872" s="90"/>
      <c r="F872" s="288"/>
      <c r="G872" s="218"/>
      <c r="M872" s="304"/>
      <c r="N872" s="192"/>
      <c r="O872" s="301"/>
      <c r="P872" s="301"/>
      <c r="Q872" s="192"/>
      <c r="R872" s="302"/>
    </row>
    <row r="873">
      <c r="A873" s="90"/>
      <c r="F873" s="288"/>
      <c r="G873" s="218"/>
      <c r="M873" s="304"/>
      <c r="N873" s="192"/>
      <c r="O873" s="301"/>
      <c r="P873" s="301"/>
      <c r="Q873" s="192"/>
      <c r="R873" s="302"/>
    </row>
    <row r="874">
      <c r="A874" s="90"/>
      <c r="F874" s="288"/>
      <c r="G874" s="218"/>
      <c r="M874" s="304"/>
      <c r="N874" s="192"/>
      <c r="O874" s="301"/>
      <c r="P874" s="301"/>
      <c r="Q874" s="192"/>
      <c r="R874" s="302"/>
    </row>
    <row r="875">
      <c r="A875" s="90"/>
      <c r="F875" s="288"/>
      <c r="G875" s="218"/>
      <c r="M875" s="304"/>
      <c r="N875" s="192"/>
      <c r="O875" s="301"/>
      <c r="P875" s="301"/>
      <c r="Q875" s="192"/>
      <c r="R875" s="302"/>
    </row>
    <row r="876">
      <c r="A876" s="90"/>
      <c r="F876" s="288"/>
      <c r="G876" s="218"/>
      <c r="M876" s="304"/>
      <c r="N876" s="192"/>
      <c r="O876" s="301"/>
      <c r="P876" s="301"/>
      <c r="Q876" s="192"/>
      <c r="R876" s="302"/>
    </row>
    <row r="877">
      <c r="A877" s="90"/>
      <c r="F877" s="288"/>
      <c r="G877" s="218"/>
      <c r="M877" s="304"/>
      <c r="N877" s="192"/>
      <c r="O877" s="301"/>
      <c r="P877" s="301"/>
      <c r="Q877" s="192"/>
      <c r="R877" s="302"/>
    </row>
    <row r="878">
      <c r="A878" s="90"/>
      <c r="F878" s="288"/>
      <c r="G878" s="218"/>
      <c r="M878" s="304"/>
      <c r="N878" s="192"/>
      <c r="O878" s="301"/>
      <c r="P878" s="301"/>
      <c r="Q878" s="192"/>
      <c r="R878" s="302"/>
    </row>
    <row r="879">
      <c r="A879" s="90"/>
      <c r="F879" s="288"/>
      <c r="G879" s="218"/>
      <c r="M879" s="304"/>
      <c r="N879" s="192"/>
      <c r="O879" s="301"/>
      <c r="P879" s="301"/>
      <c r="Q879" s="192"/>
      <c r="R879" s="302"/>
    </row>
    <row r="880">
      <c r="A880" s="90"/>
      <c r="F880" s="288"/>
      <c r="G880" s="218"/>
      <c r="M880" s="304"/>
      <c r="N880" s="192"/>
      <c r="O880" s="301"/>
      <c r="P880" s="301"/>
      <c r="Q880" s="192"/>
      <c r="R880" s="302"/>
    </row>
    <row r="881">
      <c r="A881" s="90"/>
      <c r="F881" s="288"/>
      <c r="G881" s="218"/>
      <c r="M881" s="304"/>
      <c r="N881" s="192"/>
      <c r="O881" s="301"/>
      <c r="P881" s="301"/>
      <c r="Q881" s="192"/>
      <c r="R881" s="302"/>
    </row>
    <row r="882">
      <c r="A882" s="90"/>
      <c r="F882" s="288"/>
      <c r="G882" s="218"/>
      <c r="M882" s="304"/>
      <c r="N882" s="192"/>
      <c r="O882" s="301"/>
      <c r="P882" s="301"/>
      <c r="Q882" s="192"/>
      <c r="R882" s="302"/>
    </row>
    <row r="883">
      <c r="A883" s="90"/>
      <c r="F883" s="288"/>
      <c r="G883" s="218"/>
      <c r="M883" s="304"/>
      <c r="N883" s="192"/>
      <c r="O883" s="301"/>
      <c r="P883" s="301"/>
      <c r="Q883" s="192"/>
      <c r="R883" s="302"/>
    </row>
    <row r="884">
      <c r="A884" s="90"/>
      <c r="F884" s="288"/>
      <c r="G884" s="218"/>
      <c r="M884" s="304"/>
      <c r="N884" s="192"/>
      <c r="O884" s="301"/>
      <c r="P884" s="301"/>
      <c r="Q884" s="192"/>
      <c r="R884" s="302"/>
    </row>
    <row r="885">
      <c r="A885" s="90"/>
      <c r="F885" s="288"/>
      <c r="G885" s="218"/>
      <c r="M885" s="304"/>
      <c r="N885" s="192"/>
      <c r="O885" s="301"/>
      <c r="P885" s="301"/>
      <c r="Q885" s="192"/>
      <c r="R885" s="302"/>
    </row>
    <row r="886">
      <c r="A886" s="90"/>
      <c r="F886" s="288"/>
      <c r="G886" s="218"/>
      <c r="M886" s="304"/>
      <c r="N886" s="192"/>
      <c r="O886" s="301"/>
      <c r="P886" s="301"/>
      <c r="Q886" s="192"/>
      <c r="R886" s="302"/>
    </row>
    <row r="887">
      <c r="A887" s="90"/>
      <c r="F887" s="288"/>
      <c r="G887" s="218"/>
      <c r="M887" s="304"/>
      <c r="N887" s="192"/>
      <c r="O887" s="301"/>
      <c r="P887" s="301"/>
      <c r="Q887" s="192"/>
      <c r="R887" s="302"/>
    </row>
    <row r="888">
      <c r="A888" s="90"/>
      <c r="F888" s="288"/>
      <c r="G888" s="218"/>
      <c r="M888" s="304"/>
      <c r="N888" s="192"/>
      <c r="O888" s="301"/>
      <c r="P888" s="301"/>
      <c r="Q888" s="192"/>
      <c r="R888" s="302"/>
    </row>
    <row r="889">
      <c r="A889" s="90"/>
      <c r="F889" s="288"/>
      <c r="G889" s="218"/>
      <c r="M889" s="304"/>
      <c r="N889" s="192"/>
      <c r="O889" s="301"/>
      <c r="P889" s="301"/>
      <c r="Q889" s="192"/>
      <c r="R889" s="302"/>
    </row>
    <row r="890">
      <c r="A890" s="90"/>
      <c r="F890" s="288"/>
      <c r="G890" s="218"/>
      <c r="M890" s="304"/>
      <c r="N890" s="192"/>
      <c r="O890" s="301"/>
      <c r="P890" s="301"/>
      <c r="Q890" s="192"/>
      <c r="R890" s="302"/>
    </row>
    <row r="891">
      <c r="A891" s="90"/>
      <c r="F891" s="288"/>
      <c r="G891" s="218"/>
      <c r="M891" s="304"/>
      <c r="N891" s="192"/>
      <c r="O891" s="301"/>
      <c r="P891" s="301"/>
      <c r="Q891" s="192"/>
      <c r="R891" s="302"/>
    </row>
    <row r="892">
      <c r="A892" s="90"/>
      <c r="F892" s="288"/>
      <c r="G892" s="218"/>
      <c r="M892" s="304"/>
      <c r="N892" s="192"/>
      <c r="O892" s="301"/>
      <c r="P892" s="301"/>
      <c r="Q892" s="192"/>
      <c r="R892" s="302"/>
    </row>
    <row r="893">
      <c r="A893" s="90"/>
      <c r="F893" s="288"/>
      <c r="G893" s="218"/>
      <c r="M893" s="304"/>
      <c r="N893" s="192"/>
      <c r="O893" s="301"/>
      <c r="P893" s="301"/>
      <c r="Q893" s="192"/>
      <c r="R893" s="302"/>
    </row>
    <row r="894">
      <c r="A894" s="90"/>
      <c r="F894" s="288"/>
      <c r="G894" s="218"/>
      <c r="M894" s="304"/>
      <c r="N894" s="192"/>
      <c r="O894" s="301"/>
      <c r="P894" s="301"/>
      <c r="Q894" s="192"/>
      <c r="R894" s="302"/>
    </row>
    <row r="895">
      <c r="A895" s="90"/>
      <c r="F895" s="288"/>
      <c r="G895" s="218"/>
      <c r="M895" s="304"/>
      <c r="N895" s="192"/>
      <c r="O895" s="301"/>
      <c r="P895" s="301"/>
      <c r="Q895" s="192"/>
      <c r="R895" s="302"/>
    </row>
    <row r="896">
      <c r="A896" s="90"/>
      <c r="F896" s="288"/>
      <c r="G896" s="218"/>
      <c r="M896" s="304"/>
      <c r="N896" s="192"/>
      <c r="O896" s="301"/>
      <c r="P896" s="301"/>
      <c r="Q896" s="192"/>
      <c r="R896" s="302"/>
    </row>
    <row r="897">
      <c r="A897" s="90"/>
      <c r="F897" s="288"/>
      <c r="G897" s="218"/>
      <c r="M897" s="304"/>
      <c r="N897" s="192"/>
      <c r="O897" s="301"/>
      <c r="P897" s="301"/>
      <c r="Q897" s="192"/>
      <c r="R897" s="302"/>
    </row>
    <row r="898">
      <c r="A898" s="90"/>
      <c r="F898" s="288"/>
      <c r="G898" s="218"/>
      <c r="M898" s="304"/>
      <c r="N898" s="192"/>
      <c r="O898" s="301"/>
      <c r="P898" s="301"/>
      <c r="Q898" s="192"/>
      <c r="R898" s="302"/>
    </row>
    <row r="899">
      <c r="A899" s="90"/>
      <c r="F899" s="288"/>
      <c r="G899" s="218"/>
      <c r="M899" s="304"/>
      <c r="N899" s="192"/>
      <c r="O899" s="301"/>
      <c r="P899" s="301"/>
      <c r="Q899" s="192"/>
      <c r="R899" s="302"/>
    </row>
    <row r="900">
      <c r="A900" s="90"/>
      <c r="F900" s="288"/>
      <c r="G900" s="218"/>
      <c r="M900" s="304"/>
      <c r="N900" s="192"/>
      <c r="O900" s="301"/>
      <c r="P900" s="301"/>
      <c r="Q900" s="192"/>
      <c r="R900" s="302"/>
    </row>
    <row r="901">
      <c r="A901" s="90"/>
      <c r="F901" s="288"/>
      <c r="G901" s="218"/>
      <c r="M901" s="304"/>
      <c r="N901" s="192"/>
      <c r="O901" s="301"/>
      <c r="P901" s="301"/>
      <c r="Q901" s="192"/>
      <c r="R901" s="302"/>
    </row>
    <row r="902">
      <c r="A902" s="90"/>
      <c r="F902" s="288"/>
      <c r="G902" s="218"/>
      <c r="M902" s="304"/>
      <c r="N902" s="192"/>
      <c r="O902" s="301"/>
      <c r="P902" s="301"/>
      <c r="Q902" s="192"/>
      <c r="R902" s="302"/>
    </row>
    <row r="903">
      <c r="A903" s="90"/>
      <c r="F903" s="288"/>
      <c r="G903" s="218"/>
      <c r="M903" s="304"/>
      <c r="N903" s="192"/>
      <c r="O903" s="301"/>
      <c r="P903" s="301"/>
      <c r="Q903" s="192"/>
      <c r="R903" s="302"/>
    </row>
    <row r="904">
      <c r="A904" s="90"/>
      <c r="F904" s="288"/>
      <c r="G904" s="218"/>
      <c r="M904" s="304"/>
      <c r="N904" s="192"/>
      <c r="O904" s="301"/>
      <c r="P904" s="301"/>
      <c r="Q904" s="192"/>
      <c r="R904" s="302"/>
    </row>
    <row r="905">
      <c r="A905" s="90"/>
      <c r="F905" s="288"/>
      <c r="G905" s="218"/>
      <c r="M905" s="304"/>
      <c r="N905" s="192"/>
      <c r="O905" s="301"/>
      <c r="P905" s="301"/>
      <c r="Q905" s="192"/>
      <c r="R905" s="302"/>
    </row>
    <row r="906">
      <c r="A906" s="90"/>
      <c r="F906" s="288"/>
      <c r="G906" s="218"/>
      <c r="M906" s="304"/>
      <c r="N906" s="192"/>
      <c r="O906" s="301"/>
      <c r="P906" s="301"/>
      <c r="Q906" s="192"/>
      <c r="R906" s="302"/>
    </row>
    <row r="907">
      <c r="A907" s="90"/>
      <c r="F907" s="288"/>
      <c r="G907" s="218"/>
      <c r="M907" s="304"/>
      <c r="N907" s="192"/>
      <c r="O907" s="301"/>
      <c r="P907" s="301"/>
      <c r="Q907" s="192"/>
      <c r="R907" s="302"/>
    </row>
    <row r="908">
      <c r="A908" s="90"/>
      <c r="F908" s="288"/>
      <c r="G908" s="218"/>
      <c r="M908" s="304"/>
      <c r="N908" s="192"/>
      <c r="O908" s="301"/>
      <c r="P908" s="301"/>
      <c r="Q908" s="192"/>
      <c r="R908" s="302"/>
    </row>
    <row r="909">
      <c r="A909" s="90"/>
      <c r="F909" s="288"/>
      <c r="G909" s="218"/>
      <c r="M909" s="304"/>
      <c r="N909" s="192"/>
      <c r="O909" s="301"/>
      <c r="P909" s="301"/>
      <c r="Q909" s="192"/>
      <c r="R909" s="302"/>
    </row>
    <row r="910">
      <c r="A910" s="90"/>
      <c r="F910" s="288"/>
      <c r="G910" s="218"/>
      <c r="M910" s="304"/>
      <c r="N910" s="192"/>
      <c r="O910" s="301"/>
      <c r="P910" s="301"/>
      <c r="Q910" s="192"/>
      <c r="R910" s="302"/>
    </row>
    <row r="911">
      <c r="A911" s="90"/>
      <c r="F911" s="288"/>
      <c r="G911" s="218"/>
      <c r="M911" s="304"/>
      <c r="N911" s="192"/>
      <c r="O911" s="301"/>
      <c r="P911" s="301"/>
      <c r="Q911" s="192"/>
      <c r="R911" s="302"/>
    </row>
    <row r="912">
      <c r="A912" s="90"/>
      <c r="F912" s="288"/>
      <c r="G912" s="218"/>
      <c r="M912" s="304"/>
      <c r="N912" s="192"/>
      <c r="O912" s="301"/>
      <c r="P912" s="301"/>
      <c r="Q912" s="192"/>
      <c r="R912" s="302"/>
    </row>
    <row r="913">
      <c r="A913" s="90"/>
      <c r="F913" s="288"/>
      <c r="G913" s="218"/>
      <c r="M913" s="304"/>
      <c r="N913" s="192"/>
      <c r="O913" s="301"/>
      <c r="P913" s="301"/>
      <c r="Q913" s="192"/>
      <c r="R913" s="302"/>
    </row>
    <row r="914">
      <c r="A914" s="90"/>
      <c r="F914" s="288"/>
      <c r="G914" s="218"/>
      <c r="M914" s="304"/>
      <c r="N914" s="192"/>
      <c r="O914" s="301"/>
      <c r="P914" s="301"/>
      <c r="Q914" s="192"/>
      <c r="R914" s="302"/>
    </row>
    <row r="915">
      <c r="A915" s="90"/>
      <c r="F915" s="288"/>
      <c r="G915" s="218"/>
      <c r="M915" s="304"/>
      <c r="N915" s="192"/>
      <c r="O915" s="301"/>
      <c r="P915" s="301"/>
      <c r="Q915" s="192"/>
      <c r="R915" s="302"/>
    </row>
    <row r="916">
      <c r="A916" s="90"/>
      <c r="F916" s="288"/>
      <c r="G916" s="218"/>
      <c r="M916" s="304"/>
      <c r="N916" s="192"/>
      <c r="O916" s="301"/>
      <c r="P916" s="301"/>
      <c r="Q916" s="192"/>
      <c r="R916" s="302"/>
    </row>
    <row r="917">
      <c r="A917" s="90"/>
      <c r="F917" s="288"/>
      <c r="G917" s="218"/>
      <c r="M917" s="304"/>
      <c r="N917" s="192"/>
      <c r="O917" s="301"/>
      <c r="P917" s="301"/>
      <c r="Q917" s="192"/>
      <c r="R917" s="302"/>
    </row>
    <row r="918">
      <c r="A918" s="90"/>
      <c r="F918" s="288"/>
      <c r="G918" s="218"/>
      <c r="M918" s="304"/>
      <c r="N918" s="192"/>
      <c r="O918" s="301"/>
      <c r="P918" s="301"/>
      <c r="Q918" s="192"/>
      <c r="R918" s="302"/>
    </row>
    <row r="919">
      <c r="A919" s="90"/>
      <c r="F919" s="288"/>
      <c r="G919" s="218"/>
      <c r="M919" s="304"/>
      <c r="N919" s="192"/>
      <c r="O919" s="301"/>
      <c r="P919" s="301"/>
      <c r="Q919" s="192"/>
      <c r="R919" s="302"/>
    </row>
    <row r="920">
      <c r="A920" s="90"/>
      <c r="F920" s="288"/>
      <c r="G920" s="218"/>
      <c r="M920" s="304"/>
      <c r="N920" s="192"/>
      <c r="O920" s="301"/>
      <c r="P920" s="301"/>
      <c r="Q920" s="192"/>
      <c r="R920" s="302"/>
    </row>
    <row r="921">
      <c r="A921" s="90"/>
      <c r="F921" s="288"/>
      <c r="G921" s="218"/>
      <c r="M921" s="304"/>
      <c r="N921" s="192"/>
      <c r="O921" s="301"/>
      <c r="P921" s="301"/>
      <c r="Q921" s="192"/>
      <c r="R921" s="302"/>
    </row>
    <row r="922">
      <c r="A922" s="90"/>
      <c r="F922" s="288"/>
      <c r="G922" s="218"/>
      <c r="M922" s="304"/>
      <c r="N922" s="192"/>
      <c r="O922" s="301"/>
      <c r="P922" s="301"/>
      <c r="Q922" s="192"/>
      <c r="R922" s="302"/>
    </row>
    <row r="923">
      <c r="A923" s="90"/>
      <c r="F923" s="288"/>
      <c r="G923" s="218"/>
      <c r="M923" s="304"/>
      <c r="N923" s="192"/>
      <c r="O923" s="301"/>
      <c r="P923" s="301"/>
      <c r="Q923" s="192"/>
      <c r="R923" s="302"/>
    </row>
    <row r="924">
      <c r="A924" s="90"/>
      <c r="F924" s="288"/>
      <c r="G924" s="218"/>
      <c r="M924" s="304"/>
      <c r="N924" s="192"/>
      <c r="O924" s="301"/>
      <c r="P924" s="301"/>
      <c r="Q924" s="192"/>
      <c r="R924" s="302"/>
    </row>
    <row r="925">
      <c r="A925" s="90"/>
      <c r="F925" s="288"/>
      <c r="G925" s="218"/>
      <c r="M925" s="304"/>
      <c r="N925" s="192"/>
      <c r="O925" s="301"/>
      <c r="P925" s="301"/>
      <c r="Q925" s="192"/>
      <c r="R925" s="302"/>
    </row>
    <row r="926">
      <c r="A926" s="90"/>
      <c r="F926" s="288"/>
      <c r="G926" s="218"/>
      <c r="M926" s="304"/>
      <c r="N926" s="192"/>
      <c r="O926" s="301"/>
      <c r="P926" s="301"/>
      <c r="Q926" s="192"/>
      <c r="R926" s="302"/>
    </row>
    <row r="927">
      <c r="A927" s="90"/>
      <c r="F927" s="288"/>
      <c r="G927" s="218"/>
      <c r="M927" s="304"/>
      <c r="N927" s="192"/>
      <c r="O927" s="301"/>
      <c r="P927" s="301"/>
      <c r="Q927" s="192"/>
      <c r="R927" s="302"/>
    </row>
    <row r="928">
      <c r="A928" s="90"/>
      <c r="F928" s="288"/>
      <c r="G928" s="218"/>
      <c r="M928" s="304"/>
      <c r="N928" s="192"/>
      <c r="O928" s="301"/>
      <c r="P928" s="301"/>
      <c r="Q928" s="192"/>
      <c r="R928" s="302"/>
    </row>
    <row r="929">
      <c r="A929" s="90"/>
      <c r="F929" s="288"/>
      <c r="G929" s="218"/>
      <c r="M929" s="304"/>
      <c r="N929" s="192"/>
      <c r="O929" s="301"/>
      <c r="P929" s="301"/>
      <c r="Q929" s="192"/>
      <c r="R929" s="302"/>
    </row>
    <row r="930">
      <c r="A930" s="90"/>
      <c r="F930" s="288"/>
      <c r="G930" s="218"/>
      <c r="M930" s="304"/>
      <c r="N930" s="192"/>
      <c r="O930" s="301"/>
      <c r="P930" s="301"/>
      <c r="Q930" s="192"/>
      <c r="R930" s="302"/>
    </row>
    <row r="931">
      <c r="A931" s="90"/>
      <c r="F931" s="288"/>
      <c r="G931" s="218"/>
      <c r="M931" s="304"/>
      <c r="N931" s="192"/>
      <c r="O931" s="301"/>
      <c r="P931" s="301"/>
      <c r="Q931" s="192"/>
      <c r="R931" s="302"/>
    </row>
    <row r="932">
      <c r="A932" s="90"/>
      <c r="F932" s="288"/>
      <c r="G932" s="218"/>
      <c r="M932" s="304"/>
      <c r="N932" s="192"/>
      <c r="O932" s="301"/>
      <c r="P932" s="301"/>
      <c r="Q932" s="192"/>
      <c r="R932" s="302"/>
    </row>
    <row r="933">
      <c r="A933" s="90"/>
      <c r="F933" s="288"/>
      <c r="G933" s="218"/>
      <c r="M933" s="304"/>
      <c r="N933" s="192"/>
      <c r="O933" s="301"/>
      <c r="P933" s="301"/>
      <c r="Q933" s="192"/>
      <c r="R933" s="302"/>
    </row>
    <row r="934">
      <c r="A934" s="90"/>
      <c r="F934" s="288"/>
      <c r="G934" s="218"/>
      <c r="M934" s="304"/>
      <c r="N934" s="192"/>
      <c r="O934" s="301"/>
      <c r="P934" s="301"/>
      <c r="Q934" s="192"/>
      <c r="R934" s="302"/>
    </row>
    <row r="935">
      <c r="A935" s="90"/>
      <c r="F935" s="288"/>
      <c r="G935" s="218"/>
      <c r="M935" s="304"/>
      <c r="N935" s="192"/>
      <c r="O935" s="301"/>
      <c r="P935" s="301"/>
      <c r="Q935" s="192"/>
      <c r="R935" s="302"/>
    </row>
    <row r="936">
      <c r="A936" s="90"/>
      <c r="F936" s="288"/>
      <c r="G936" s="218"/>
      <c r="M936" s="304"/>
      <c r="N936" s="192"/>
      <c r="O936" s="301"/>
      <c r="P936" s="301"/>
      <c r="Q936" s="192"/>
      <c r="R936" s="302"/>
    </row>
    <row r="937">
      <c r="A937" s="90"/>
      <c r="F937" s="288"/>
      <c r="G937" s="218"/>
      <c r="M937" s="304"/>
      <c r="N937" s="192"/>
      <c r="O937" s="301"/>
      <c r="P937" s="301"/>
      <c r="Q937" s="192"/>
      <c r="R937" s="302"/>
    </row>
    <row r="938">
      <c r="A938" s="90"/>
      <c r="F938" s="288"/>
      <c r="G938" s="218"/>
      <c r="M938" s="304"/>
      <c r="N938" s="192"/>
      <c r="O938" s="301"/>
      <c r="P938" s="301"/>
      <c r="Q938" s="192"/>
      <c r="R938" s="302"/>
    </row>
    <row r="939">
      <c r="A939" s="90"/>
      <c r="F939" s="288"/>
      <c r="G939" s="218"/>
      <c r="M939" s="304"/>
      <c r="N939" s="192"/>
      <c r="O939" s="301"/>
      <c r="P939" s="301"/>
      <c r="Q939" s="192"/>
      <c r="R939" s="302"/>
    </row>
    <row r="940">
      <c r="A940" s="90"/>
      <c r="F940" s="288"/>
      <c r="G940" s="218"/>
      <c r="M940" s="304"/>
      <c r="N940" s="192"/>
      <c r="O940" s="301"/>
      <c r="P940" s="301"/>
      <c r="Q940" s="192"/>
      <c r="R940" s="302"/>
    </row>
    <row r="941">
      <c r="A941" s="90"/>
      <c r="F941" s="288"/>
      <c r="G941" s="218"/>
      <c r="M941" s="304"/>
      <c r="N941" s="192"/>
      <c r="O941" s="301"/>
      <c r="P941" s="301"/>
      <c r="Q941" s="192"/>
      <c r="R941" s="302"/>
    </row>
    <row r="942">
      <c r="A942" s="90"/>
      <c r="F942" s="288"/>
      <c r="G942" s="218"/>
      <c r="M942" s="304"/>
      <c r="N942" s="192"/>
      <c r="O942" s="301"/>
      <c r="P942" s="301"/>
      <c r="Q942" s="192"/>
      <c r="R942" s="302"/>
    </row>
    <row r="943">
      <c r="A943" s="90"/>
      <c r="F943" s="288"/>
      <c r="G943" s="218"/>
      <c r="M943" s="304"/>
      <c r="N943" s="192"/>
      <c r="O943" s="301"/>
      <c r="P943" s="301"/>
      <c r="Q943" s="192"/>
      <c r="R943" s="302"/>
    </row>
    <row r="944">
      <c r="A944" s="90"/>
      <c r="F944" s="288"/>
      <c r="G944" s="218"/>
      <c r="M944" s="304"/>
      <c r="N944" s="192"/>
      <c r="O944" s="301"/>
      <c r="P944" s="301"/>
      <c r="Q944" s="192"/>
      <c r="R944" s="302"/>
    </row>
    <row r="945">
      <c r="A945" s="90"/>
      <c r="F945" s="288"/>
      <c r="G945" s="218"/>
      <c r="M945" s="304"/>
      <c r="N945" s="192"/>
      <c r="O945" s="301"/>
      <c r="P945" s="301"/>
      <c r="Q945" s="192"/>
      <c r="R945" s="302"/>
    </row>
    <row r="946">
      <c r="A946" s="90"/>
      <c r="F946" s="288"/>
      <c r="G946" s="218"/>
      <c r="M946" s="304"/>
      <c r="N946" s="192"/>
      <c r="O946" s="301"/>
      <c r="P946" s="301"/>
      <c r="Q946" s="192"/>
      <c r="R946" s="302"/>
    </row>
    <row r="947">
      <c r="A947" s="90"/>
      <c r="F947" s="288"/>
      <c r="G947" s="218"/>
      <c r="M947" s="304"/>
      <c r="N947" s="192"/>
      <c r="O947" s="301"/>
      <c r="P947" s="301"/>
      <c r="Q947" s="192"/>
      <c r="R947" s="302"/>
    </row>
    <row r="948">
      <c r="A948" s="90"/>
      <c r="F948" s="288"/>
      <c r="G948" s="218"/>
      <c r="M948" s="304"/>
      <c r="N948" s="192"/>
      <c r="O948" s="301"/>
      <c r="P948" s="301"/>
      <c r="Q948" s="192"/>
      <c r="R948" s="302"/>
    </row>
    <row r="949">
      <c r="A949" s="90"/>
      <c r="F949" s="288"/>
      <c r="G949" s="218"/>
      <c r="M949" s="304"/>
      <c r="N949" s="192"/>
      <c r="O949" s="301"/>
      <c r="P949" s="301"/>
      <c r="Q949" s="192"/>
      <c r="R949" s="302"/>
    </row>
    <row r="950">
      <c r="A950" s="90"/>
      <c r="F950" s="288"/>
      <c r="G950" s="218"/>
      <c r="M950" s="304"/>
      <c r="N950" s="192"/>
      <c r="O950" s="301"/>
      <c r="P950" s="301"/>
      <c r="Q950" s="192"/>
      <c r="R950" s="302"/>
    </row>
    <row r="951">
      <c r="A951" s="90"/>
      <c r="F951" s="288"/>
      <c r="G951" s="218"/>
      <c r="M951" s="304"/>
      <c r="N951" s="192"/>
      <c r="O951" s="301"/>
      <c r="P951" s="301"/>
      <c r="Q951" s="192"/>
      <c r="R951" s="302"/>
    </row>
    <row r="952">
      <c r="A952" s="90"/>
      <c r="F952" s="288"/>
      <c r="G952" s="218"/>
      <c r="M952" s="304"/>
      <c r="N952" s="192"/>
      <c r="O952" s="301"/>
      <c r="P952" s="301"/>
      <c r="Q952" s="192"/>
      <c r="R952" s="302"/>
    </row>
    <row r="953">
      <c r="A953" s="90"/>
      <c r="F953" s="288"/>
      <c r="G953" s="218"/>
      <c r="M953" s="304"/>
      <c r="N953" s="192"/>
      <c r="O953" s="301"/>
      <c r="P953" s="301"/>
      <c r="Q953" s="192"/>
      <c r="R953" s="302"/>
    </row>
    <row r="954">
      <c r="A954" s="90"/>
      <c r="F954" s="288"/>
      <c r="G954" s="218"/>
      <c r="M954" s="304"/>
      <c r="N954" s="192"/>
      <c r="O954" s="301"/>
      <c r="P954" s="301"/>
      <c r="Q954" s="192"/>
      <c r="R954" s="302"/>
    </row>
    <row r="955">
      <c r="A955" s="90"/>
      <c r="F955" s="288"/>
      <c r="G955" s="218"/>
      <c r="M955" s="304"/>
      <c r="N955" s="192"/>
      <c r="O955" s="301"/>
      <c r="P955" s="301"/>
      <c r="Q955" s="192"/>
      <c r="R955" s="302"/>
    </row>
    <row r="956">
      <c r="A956" s="90"/>
      <c r="F956" s="288"/>
      <c r="G956" s="218"/>
      <c r="M956" s="304"/>
      <c r="N956" s="192"/>
      <c r="O956" s="301"/>
      <c r="P956" s="301"/>
      <c r="Q956" s="192"/>
      <c r="R956" s="302"/>
    </row>
    <row r="957">
      <c r="A957" s="90"/>
      <c r="F957" s="288"/>
      <c r="G957" s="218"/>
      <c r="M957" s="304"/>
      <c r="N957" s="192"/>
      <c r="O957" s="301"/>
      <c r="P957" s="301"/>
      <c r="Q957" s="192"/>
      <c r="R957" s="302"/>
    </row>
    <row r="958">
      <c r="A958" s="90"/>
      <c r="F958" s="288"/>
      <c r="G958" s="218"/>
      <c r="M958" s="304"/>
      <c r="N958" s="192"/>
      <c r="O958" s="301"/>
      <c r="P958" s="301"/>
      <c r="Q958" s="192"/>
      <c r="R958" s="302"/>
    </row>
    <row r="959">
      <c r="A959" s="90"/>
      <c r="F959" s="288"/>
      <c r="G959" s="218"/>
      <c r="M959" s="304"/>
      <c r="N959" s="192"/>
      <c r="O959" s="301"/>
      <c r="P959" s="301"/>
      <c r="Q959" s="192"/>
      <c r="R959" s="302"/>
    </row>
    <row r="960">
      <c r="A960" s="90"/>
      <c r="F960" s="288"/>
      <c r="G960" s="218"/>
      <c r="M960" s="304"/>
      <c r="N960" s="192"/>
      <c r="O960" s="301"/>
      <c r="P960" s="301"/>
      <c r="Q960" s="192"/>
      <c r="R960" s="302"/>
    </row>
    <row r="961">
      <c r="A961" s="90"/>
      <c r="F961" s="288"/>
      <c r="G961" s="218"/>
      <c r="M961" s="304"/>
      <c r="N961" s="192"/>
      <c r="O961" s="301"/>
      <c r="P961" s="301"/>
      <c r="Q961" s="192"/>
      <c r="R961" s="302"/>
    </row>
    <row r="962">
      <c r="A962" s="90"/>
      <c r="F962" s="288"/>
      <c r="G962" s="218"/>
      <c r="M962" s="304"/>
      <c r="N962" s="192"/>
      <c r="O962" s="301"/>
      <c r="P962" s="301"/>
      <c r="Q962" s="192"/>
      <c r="R962" s="302"/>
    </row>
    <row r="963">
      <c r="A963" s="90"/>
      <c r="F963" s="288"/>
      <c r="G963" s="218"/>
      <c r="M963" s="304"/>
      <c r="N963" s="192"/>
      <c r="O963" s="301"/>
      <c r="P963" s="301"/>
      <c r="Q963" s="192"/>
      <c r="R963" s="302"/>
    </row>
    <row r="964">
      <c r="A964" s="90"/>
      <c r="F964" s="288"/>
      <c r="G964" s="218"/>
      <c r="M964" s="304"/>
      <c r="N964" s="192"/>
      <c r="O964" s="301"/>
      <c r="P964" s="301"/>
      <c r="Q964" s="192"/>
      <c r="R964" s="302"/>
    </row>
    <row r="965">
      <c r="A965" s="90"/>
      <c r="F965" s="288"/>
      <c r="G965" s="218"/>
      <c r="M965" s="304"/>
      <c r="N965" s="192"/>
      <c r="O965" s="301"/>
      <c r="P965" s="301"/>
      <c r="Q965" s="192"/>
      <c r="R965" s="302"/>
    </row>
    <row r="966">
      <c r="A966" s="90"/>
      <c r="F966" s="288"/>
      <c r="G966" s="218"/>
      <c r="M966" s="304"/>
      <c r="N966" s="192"/>
      <c r="O966" s="301"/>
      <c r="P966" s="301"/>
      <c r="Q966" s="192"/>
      <c r="R966" s="302"/>
    </row>
    <row r="967">
      <c r="A967" s="90"/>
      <c r="F967" s="288"/>
      <c r="G967" s="218"/>
      <c r="M967" s="304"/>
      <c r="N967" s="192"/>
      <c r="O967" s="301"/>
      <c r="P967" s="301"/>
      <c r="Q967" s="192"/>
      <c r="R967" s="302"/>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6" t="s">
        <v>191</v>
      </c>
      <c r="B1" s="90">
        <f t="shared" ref="B1:B12" si="1">MATCH(A1,D$1:D$12,0)</f>
        <v>4</v>
      </c>
      <c r="D1" s="1" t="s">
        <v>203</v>
      </c>
      <c r="E1" s="90">
        <f t="shared" ref="E1:E12" si="2">MATCH(D1,A$1:A$12,0)</f>
        <v>5</v>
      </c>
    </row>
    <row r="2">
      <c r="A2" s="306" t="s">
        <v>199</v>
      </c>
      <c r="B2" s="90">
        <f t="shared" si="1"/>
        <v>5</v>
      </c>
      <c r="D2" s="1" t="s">
        <v>207</v>
      </c>
      <c r="E2" s="90">
        <f t="shared" si="2"/>
        <v>4</v>
      </c>
    </row>
    <row r="3">
      <c r="A3" s="306" t="s">
        <v>195</v>
      </c>
      <c r="B3" s="90">
        <f t="shared" si="1"/>
        <v>3</v>
      </c>
      <c r="D3" s="1" t="s">
        <v>195</v>
      </c>
      <c r="E3" s="90">
        <f t="shared" si="2"/>
        <v>3</v>
      </c>
    </row>
    <row r="4">
      <c r="A4" s="306" t="s">
        <v>207</v>
      </c>
      <c r="B4" s="90">
        <f t="shared" si="1"/>
        <v>2</v>
      </c>
      <c r="D4" s="1" t="s">
        <v>191</v>
      </c>
      <c r="E4" s="90">
        <f t="shared" si="2"/>
        <v>1</v>
      </c>
    </row>
    <row r="5">
      <c r="A5" s="306" t="s">
        <v>203</v>
      </c>
      <c r="B5" s="90">
        <f t="shared" si="1"/>
        <v>1</v>
      </c>
      <c r="D5" s="1" t="s">
        <v>199</v>
      </c>
      <c r="E5" s="90">
        <f t="shared" si="2"/>
        <v>2</v>
      </c>
    </row>
    <row r="6">
      <c r="A6" s="306" t="s">
        <v>211</v>
      </c>
      <c r="B6" s="90" t="str">
        <f t="shared" si="1"/>
        <v>#N/A</v>
      </c>
      <c r="D6" s="1" t="s">
        <v>178</v>
      </c>
      <c r="E6" s="90">
        <f t="shared" si="2"/>
        <v>11</v>
      </c>
    </row>
    <row r="7">
      <c r="A7" s="306" t="s">
        <v>123</v>
      </c>
      <c r="B7" s="90">
        <f t="shared" si="1"/>
        <v>11</v>
      </c>
      <c r="D7" s="1" t="s">
        <v>186</v>
      </c>
      <c r="E7" s="90">
        <f t="shared" si="2"/>
        <v>12</v>
      </c>
    </row>
    <row r="8">
      <c r="A8" s="306" t="s">
        <v>116</v>
      </c>
      <c r="B8" s="90">
        <f t="shared" si="1"/>
        <v>9</v>
      </c>
      <c r="D8" s="1" t="s">
        <v>182</v>
      </c>
      <c r="E8" s="90">
        <f t="shared" si="2"/>
        <v>10</v>
      </c>
    </row>
    <row r="9">
      <c r="A9" s="306" t="s">
        <v>119</v>
      </c>
      <c r="B9" s="90">
        <f t="shared" si="1"/>
        <v>10</v>
      </c>
      <c r="D9" s="1" t="s">
        <v>116</v>
      </c>
      <c r="E9" s="90">
        <f t="shared" si="2"/>
        <v>8</v>
      </c>
    </row>
    <row r="10">
      <c r="A10" s="306" t="s">
        <v>182</v>
      </c>
      <c r="B10" s="90">
        <f t="shared" si="1"/>
        <v>8</v>
      </c>
      <c r="D10" s="1" t="s">
        <v>119</v>
      </c>
      <c r="E10" s="90">
        <f t="shared" si="2"/>
        <v>9</v>
      </c>
    </row>
    <row r="11">
      <c r="A11" s="306" t="s">
        <v>178</v>
      </c>
      <c r="B11" s="90">
        <f t="shared" si="1"/>
        <v>6</v>
      </c>
      <c r="D11" s="1" t="s">
        <v>123</v>
      </c>
      <c r="E11" s="90">
        <f t="shared" si="2"/>
        <v>7</v>
      </c>
    </row>
    <row r="12">
      <c r="A12" s="306" t="s">
        <v>186</v>
      </c>
      <c r="B12" s="90">
        <f t="shared" si="1"/>
        <v>7</v>
      </c>
      <c r="D12" s="1" t="s">
        <v>1842</v>
      </c>
      <c r="E12" s="9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75"/>
    <col customWidth="1" min="2" max="2" width="25.63"/>
    <col customWidth="1" min="3" max="3" width="26.63"/>
    <col customWidth="1" min="4" max="4" width="19.5"/>
    <col customWidth="1" min="5" max="5" width="18.25"/>
  </cols>
  <sheetData>
    <row r="1"/>
    <row r="2"/>
    <row r="3"/>
    <row r="4"/>
    <row r="5"/>
    <row r="6"/>
    <row r="7">
      <c r="D7" s="307"/>
      <c r="E7" s="307"/>
    </row>
    <row r="8">
      <c r="D8" s="307"/>
      <c r="E8" s="307"/>
    </row>
    <row r="9">
      <c r="D9" s="307"/>
      <c r="E9" s="307"/>
    </row>
    <row r="10">
      <c r="D10" s="307"/>
      <c r="E10" s="307"/>
    </row>
    <row r="11">
      <c r="D11" s="307"/>
      <c r="E11" s="307"/>
    </row>
    <row r="12">
      <c r="D12" s="307"/>
      <c r="E12" s="307"/>
    </row>
    <row r="13">
      <c r="D13" s="307"/>
      <c r="E13" s="307"/>
    </row>
    <row r="14">
      <c r="D14" s="307"/>
      <c r="E14" s="307"/>
    </row>
    <row r="15">
      <c r="D15" s="307"/>
      <c r="E15" s="307"/>
    </row>
    <row r="16">
      <c r="D16" s="307"/>
      <c r="E16" s="307"/>
    </row>
    <row r="17">
      <c r="D17" s="307"/>
      <c r="E17" s="307"/>
    </row>
    <row r="18">
      <c r="D18" s="307"/>
      <c r="E18" s="307"/>
    </row>
    <row r="19">
      <c r="D19" s="307"/>
      <c r="E19" s="307"/>
    </row>
    <row r="20">
      <c r="D20" s="307"/>
      <c r="E20" s="307"/>
    </row>
    <row r="21">
      <c r="D21" s="307"/>
      <c r="E21" s="307"/>
    </row>
    <row r="22">
      <c r="D22" s="307"/>
      <c r="E22" s="307"/>
    </row>
    <row r="23">
      <c r="D23" s="307"/>
      <c r="E23" s="307"/>
    </row>
    <row r="24">
      <c r="D24" s="307"/>
      <c r="E24" s="307"/>
    </row>
    <row r="25">
      <c r="D25" s="307"/>
      <c r="E25" s="307"/>
    </row>
    <row r="26">
      <c r="D26" s="307"/>
      <c r="E26" s="307"/>
    </row>
    <row r="27">
      <c r="D27" s="307"/>
      <c r="E27" s="307"/>
    </row>
    <row r="28">
      <c r="D28" s="307"/>
      <c r="E28" s="307"/>
    </row>
    <row r="29">
      <c r="D29" s="307"/>
      <c r="E29" s="307"/>
    </row>
    <row r="30">
      <c r="D30" s="307"/>
      <c r="E30" s="307"/>
    </row>
    <row r="31">
      <c r="D31" s="307"/>
      <c r="E31" s="307"/>
    </row>
    <row r="32">
      <c r="D32" s="307"/>
      <c r="E32" s="307"/>
    </row>
    <row r="33">
      <c r="D33" s="307"/>
      <c r="E33" s="307"/>
    </row>
    <row r="34">
      <c r="D34" s="307"/>
      <c r="E34" s="307"/>
    </row>
    <row r="35">
      <c r="D35" s="307"/>
      <c r="E35" s="307"/>
    </row>
    <row r="36">
      <c r="D36" s="307"/>
      <c r="E36" s="307"/>
    </row>
    <row r="37">
      <c r="D37" s="307"/>
      <c r="E37" s="307"/>
    </row>
    <row r="38">
      <c r="D38" s="307"/>
      <c r="E38" s="307"/>
    </row>
    <row r="39">
      <c r="D39" s="307"/>
      <c r="E39" s="307"/>
    </row>
    <row r="40">
      <c r="D40" s="307"/>
      <c r="E40" s="307"/>
    </row>
    <row r="41">
      <c r="D41" s="307"/>
      <c r="E41" s="307"/>
    </row>
    <row r="42">
      <c r="D42" s="307"/>
      <c r="E42" s="307"/>
    </row>
    <row r="43">
      <c r="D43" s="307"/>
      <c r="E43" s="307"/>
    </row>
    <row r="44">
      <c r="D44" s="307"/>
      <c r="E44" s="307"/>
    </row>
    <row r="45">
      <c r="D45" s="307"/>
      <c r="E45" s="307"/>
    </row>
    <row r="46">
      <c r="D46" s="307"/>
      <c r="E46" s="307"/>
    </row>
    <row r="47">
      <c r="D47" s="307"/>
      <c r="E47" s="307"/>
    </row>
    <row r="48">
      <c r="D48" s="307"/>
      <c r="E48" s="307"/>
    </row>
    <row r="49">
      <c r="D49" s="307"/>
      <c r="E49" s="307"/>
    </row>
    <row r="50">
      <c r="D50" s="307"/>
      <c r="E50" s="307"/>
    </row>
    <row r="51">
      <c r="D51" s="307"/>
      <c r="E51" s="307"/>
    </row>
    <row r="52">
      <c r="D52" s="307"/>
      <c r="E52" s="307"/>
    </row>
    <row r="53">
      <c r="D53" s="307"/>
      <c r="E53" s="307"/>
    </row>
    <row r="54">
      <c r="D54" s="307"/>
      <c r="E54" s="307"/>
    </row>
    <row r="55">
      <c r="D55" s="307"/>
      <c r="E55" s="307"/>
    </row>
    <row r="56">
      <c r="D56" s="307"/>
      <c r="E56" s="307"/>
    </row>
    <row r="57">
      <c r="D57" s="307"/>
      <c r="E57" s="307"/>
    </row>
    <row r="58">
      <c r="D58" s="307"/>
      <c r="E58" s="307"/>
    </row>
    <row r="59">
      <c r="D59" s="307"/>
      <c r="E59" s="307"/>
    </row>
    <row r="60">
      <c r="D60" s="307"/>
      <c r="E60" s="307"/>
    </row>
    <row r="61">
      <c r="D61" s="307"/>
      <c r="E61" s="307"/>
    </row>
    <row r="62">
      <c r="D62" s="307"/>
      <c r="E62" s="307"/>
    </row>
    <row r="63">
      <c r="D63" s="307"/>
      <c r="E63" s="307"/>
    </row>
    <row r="64">
      <c r="D64" s="307"/>
      <c r="E64" s="307"/>
    </row>
    <row r="65">
      <c r="D65" s="307"/>
      <c r="E65" s="307"/>
    </row>
    <row r="66">
      <c r="D66" s="307"/>
      <c r="E66" s="307"/>
    </row>
    <row r="67">
      <c r="D67" s="307"/>
      <c r="E67" s="307"/>
    </row>
    <row r="68">
      <c r="D68" s="307"/>
      <c r="E68" s="307"/>
    </row>
    <row r="69">
      <c r="D69" s="307"/>
      <c r="E69" s="307"/>
    </row>
    <row r="70">
      <c r="D70" s="307"/>
      <c r="E70" s="307"/>
    </row>
    <row r="71">
      <c r="D71" s="307"/>
      <c r="E71" s="307"/>
    </row>
    <row r="72">
      <c r="D72" s="307"/>
      <c r="E72" s="307"/>
    </row>
    <row r="73">
      <c r="D73" s="307"/>
      <c r="E73" s="307"/>
    </row>
    <row r="74">
      <c r="D74" s="307"/>
      <c r="E74" s="307"/>
    </row>
    <row r="75">
      <c r="D75" s="307"/>
      <c r="E75" s="307"/>
    </row>
    <row r="76">
      <c r="D76" s="307"/>
      <c r="E76" s="307"/>
    </row>
    <row r="77">
      <c r="D77" s="307"/>
      <c r="E77" s="307"/>
    </row>
    <row r="78">
      <c r="D78" s="307"/>
      <c r="E78" s="307"/>
    </row>
    <row r="79">
      <c r="D79" s="307"/>
      <c r="E79" s="307"/>
    </row>
    <row r="80">
      <c r="D80" s="307"/>
      <c r="E80" s="307"/>
    </row>
    <row r="81">
      <c r="D81" s="307"/>
      <c r="E81" s="307"/>
    </row>
    <row r="82">
      <c r="D82" s="307"/>
      <c r="E82" s="307"/>
    </row>
    <row r="83">
      <c r="D83" s="307"/>
      <c r="E83" s="307"/>
    </row>
    <row r="84">
      <c r="D84" s="307"/>
      <c r="E84" s="307"/>
    </row>
    <row r="85">
      <c r="D85" s="307"/>
      <c r="E85" s="307"/>
    </row>
    <row r="86">
      <c r="D86" s="307"/>
      <c r="E86" s="307"/>
    </row>
    <row r="87">
      <c r="D87" s="307"/>
      <c r="E87" s="307"/>
    </row>
    <row r="88">
      <c r="D88" s="307"/>
      <c r="E88" s="307"/>
    </row>
    <row r="89">
      <c r="D89" s="307"/>
      <c r="E89" s="307"/>
    </row>
    <row r="90">
      <c r="D90" s="307"/>
      <c r="E90" s="307"/>
    </row>
    <row r="91">
      <c r="D91" s="307"/>
      <c r="E91" s="307"/>
    </row>
    <row r="92">
      <c r="D92" s="307"/>
      <c r="E92" s="307"/>
    </row>
    <row r="93">
      <c r="D93" s="307"/>
      <c r="E93" s="307"/>
    </row>
    <row r="94">
      <c r="D94" s="307"/>
      <c r="E94" s="307"/>
    </row>
    <row r="95">
      <c r="D95" s="307"/>
      <c r="E95" s="307"/>
    </row>
    <row r="96">
      <c r="D96" s="307"/>
      <c r="E96" s="307"/>
    </row>
    <row r="97">
      <c r="D97" s="307"/>
      <c r="E97" s="307"/>
    </row>
    <row r="98">
      <c r="D98" s="307"/>
      <c r="E98" s="307"/>
    </row>
    <row r="99">
      <c r="D99" s="307"/>
      <c r="E99" s="307"/>
    </row>
    <row r="100">
      <c r="D100" s="307"/>
      <c r="E100" s="307"/>
    </row>
    <row r="101">
      <c r="D101" s="307"/>
      <c r="E101" s="307"/>
    </row>
    <row r="102">
      <c r="D102" s="307"/>
      <c r="E102" s="307"/>
    </row>
    <row r="103">
      <c r="D103" s="307"/>
      <c r="E103" s="307"/>
    </row>
    <row r="104">
      <c r="D104" s="307"/>
      <c r="E104" s="307"/>
    </row>
    <row r="105">
      <c r="D105" s="307"/>
      <c r="E105" s="307"/>
    </row>
    <row r="106">
      <c r="D106" s="307"/>
      <c r="E106" s="307"/>
    </row>
    <row r="107">
      <c r="D107" s="307"/>
      <c r="E107" s="307"/>
    </row>
    <row r="108">
      <c r="D108" s="307"/>
      <c r="E108" s="307"/>
    </row>
    <row r="109">
      <c r="D109" s="307"/>
      <c r="E109" s="307"/>
    </row>
    <row r="110">
      <c r="D110" s="307"/>
      <c r="E110" s="307"/>
    </row>
    <row r="111">
      <c r="D111" s="307"/>
      <c r="E111" s="307"/>
    </row>
    <row r="112">
      <c r="D112" s="307"/>
      <c r="E112" s="307"/>
    </row>
    <row r="113">
      <c r="D113" s="307"/>
      <c r="E113" s="307"/>
    </row>
    <row r="114">
      <c r="D114" s="307"/>
      <c r="E114" s="307"/>
    </row>
    <row r="115">
      <c r="D115" s="307"/>
      <c r="E115" s="307"/>
    </row>
    <row r="116">
      <c r="D116" s="307"/>
      <c r="E116" s="307"/>
    </row>
    <row r="117">
      <c r="D117" s="307"/>
      <c r="E117" s="307"/>
    </row>
    <row r="118">
      <c r="D118" s="307"/>
      <c r="E118" s="307"/>
    </row>
    <row r="119">
      <c r="D119" s="307"/>
      <c r="E119" s="307"/>
    </row>
    <row r="120">
      <c r="D120" s="307"/>
      <c r="E120" s="307"/>
    </row>
    <row r="121">
      <c r="D121" s="307"/>
      <c r="E121" s="307"/>
    </row>
    <row r="122">
      <c r="D122" s="307"/>
      <c r="E122" s="307"/>
    </row>
    <row r="123">
      <c r="D123" s="307"/>
      <c r="E123" s="307"/>
    </row>
    <row r="124">
      <c r="D124" s="307"/>
      <c r="E124" s="307"/>
    </row>
    <row r="125">
      <c r="D125" s="307"/>
      <c r="E125" s="307"/>
    </row>
    <row r="126">
      <c r="D126" s="307"/>
      <c r="E126" s="307"/>
    </row>
    <row r="127">
      <c r="D127" s="307"/>
      <c r="E127" s="307"/>
    </row>
    <row r="128">
      <c r="D128" s="307"/>
      <c r="E128" s="307"/>
    </row>
    <row r="129">
      <c r="D129" s="307"/>
      <c r="E129" s="307"/>
    </row>
    <row r="130">
      <c r="D130" s="307"/>
      <c r="E130" s="307"/>
    </row>
    <row r="131">
      <c r="D131" s="307"/>
      <c r="E131" s="307"/>
    </row>
    <row r="132">
      <c r="D132" s="307"/>
      <c r="E132" s="307"/>
    </row>
    <row r="133">
      <c r="D133" s="307"/>
      <c r="E133" s="307"/>
    </row>
    <row r="134">
      <c r="D134" s="307"/>
      <c r="E134" s="307"/>
    </row>
    <row r="135">
      <c r="D135" s="307"/>
      <c r="E135" s="307"/>
    </row>
    <row r="136">
      <c r="D136" s="307"/>
      <c r="E136" s="307"/>
    </row>
    <row r="137">
      <c r="D137" s="307"/>
      <c r="E137" s="307"/>
    </row>
    <row r="138">
      <c r="D138" s="307"/>
      <c r="E138" s="307"/>
    </row>
    <row r="139">
      <c r="D139" s="307"/>
      <c r="E139" s="307"/>
    </row>
    <row r="140">
      <c r="D140" s="307"/>
      <c r="E140" s="307"/>
    </row>
    <row r="141">
      <c r="D141" s="307"/>
      <c r="E141" s="307"/>
    </row>
    <row r="142">
      <c r="D142" s="307"/>
      <c r="E142" s="307"/>
    </row>
    <row r="143">
      <c r="D143" s="307"/>
      <c r="E143" s="307"/>
    </row>
    <row r="144">
      <c r="D144" s="307"/>
      <c r="E144" s="307"/>
    </row>
    <row r="145">
      <c r="D145" s="307"/>
      <c r="E145" s="307"/>
    </row>
    <row r="146">
      <c r="D146" s="307"/>
      <c r="E146" s="307"/>
    </row>
    <row r="147">
      <c r="D147" s="307"/>
      <c r="E147" s="307"/>
    </row>
    <row r="148">
      <c r="D148" s="307"/>
      <c r="E148" s="307"/>
    </row>
    <row r="149">
      <c r="D149" s="307"/>
      <c r="E149" s="307"/>
    </row>
    <row r="150">
      <c r="D150" s="307"/>
      <c r="E150" s="307"/>
    </row>
    <row r="151">
      <c r="D151" s="307"/>
      <c r="E151" s="307"/>
    </row>
    <row r="152">
      <c r="D152" s="307"/>
      <c r="E152" s="307"/>
    </row>
    <row r="153">
      <c r="D153" s="307"/>
      <c r="E153" s="307"/>
    </row>
    <row r="154">
      <c r="D154" s="307"/>
      <c r="E154" s="307"/>
    </row>
    <row r="155">
      <c r="D155" s="307"/>
      <c r="E155" s="307"/>
    </row>
    <row r="156">
      <c r="D156" s="307"/>
      <c r="E156" s="307"/>
    </row>
    <row r="157">
      <c r="D157" s="307"/>
      <c r="E157" s="307"/>
    </row>
    <row r="158">
      <c r="D158" s="307"/>
      <c r="E158" s="307"/>
    </row>
    <row r="159">
      <c r="D159" s="307"/>
      <c r="E159" s="307"/>
    </row>
    <row r="160">
      <c r="D160" s="307"/>
      <c r="E160" s="307"/>
    </row>
    <row r="161">
      <c r="D161" s="307"/>
      <c r="E161" s="307"/>
    </row>
    <row r="162">
      <c r="D162" s="307"/>
      <c r="E162" s="307"/>
    </row>
    <row r="163">
      <c r="D163" s="307"/>
      <c r="E163" s="307"/>
    </row>
    <row r="164">
      <c r="D164" s="307"/>
      <c r="E164" s="307"/>
    </row>
    <row r="165">
      <c r="D165" s="307"/>
      <c r="E165" s="307"/>
    </row>
    <row r="166">
      <c r="D166" s="307"/>
      <c r="E166" s="307"/>
    </row>
    <row r="167">
      <c r="D167" s="307"/>
      <c r="E167" s="307"/>
    </row>
    <row r="168">
      <c r="D168" s="307"/>
      <c r="E168" s="307"/>
    </row>
    <row r="169">
      <c r="D169" s="307"/>
      <c r="E169" s="307"/>
    </row>
    <row r="170">
      <c r="D170" s="307"/>
      <c r="E170" s="307"/>
    </row>
    <row r="171">
      <c r="D171" s="307"/>
      <c r="E171" s="307"/>
    </row>
    <row r="172">
      <c r="D172" s="307"/>
      <c r="E172" s="307"/>
    </row>
    <row r="173">
      <c r="D173" s="307"/>
      <c r="E173" s="307"/>
    </row>
    <row r="174">
      <c r="D174" s="307"/>
      <c r="E174" s="307"/>
    </row>
    <row r="175">
      <c r="D175" s="307"/>
      <c r="E175" s="307"/>
    </row>
    <row r="176">
      <c r="D176" s="307"/>
      <c r="E176" s="307"/>
    </row>
    <row r="177">
      <c r="D177" s="307"/>
      <c r="E177" s="307"/>
    </row>
    <row r="178">
      <c r="D178" s="307"/>
      <c r="E178" s="307"/>
    </row>
    <row r="179">
      <c r="D179" s="307"/>
      <c r="E179" s="307"/>
    </row>
    <row r="180">
      <c r="D180" s="307"/>
      <c r="E180" s="307"/>
    </row>
    <row r="181">
      <c r="D181" s="307"/>
      <c r="E181" s="307"/>
    </row>
    <row r="182">
      <c r="D182" s="307"/>
      <c r="E182" s="307"/>
    </row>
    <row r="183">
      <c r="D183" s="307"/>
      <c r="E183" s="307"/>
    </row>
    <row r="184">
      <c r="D184" s="307"/>
      <c r="E184" s="307"/>
    </row>
    <row r="185">
      <c r="D185" s="307"/>
      <c r="E185" s="307"/>
    </row>
    <row r="186">
      <c r="D186" s="307"/>
      <c r="E186" s="307"/>
    </row>
    <row r="187">
      <c r="D187" s="307"/>
      <c r="E187" s="307"/>
    </row>
    <row r="188">
      <c r="D188" s="307"/>
      <c r="E188" s="307"/>
    </row>
    <row r="189">
      <c r="D189" s="307"/>
      <c r="E189" s="307"/>
    </row>
    <row r="190">
      <c r="D190" s="307"/>
      <c r="E190" s="307"/>
    </row>
    <row r="191">
      <c r="D191" s="307"/>
      <c r="E191" s="307"/>
    </row>
    <row r="192">
      <c r="D192" s="307"/>
      <c r="E192" s="307"/>
    </row>
    <row r="193">
      <c r="D193" s="307"/>
      <c r="E193" s="307"/>
    </row>
    <row r="194">
      <c r="D194" s="307"/>
      <c r="E194" s="307"/>
    </row>
    <row r="195">
      <c r="D195" s="307"/>
      <c r="E195" s="307"/>
    </row>
    <row r="196">
      <c r="D196" s="307"/>
      <c r="E196" s="307"/>
    </row>
    <row r="197">
      <c r="D197" s="307"/>
      <c r="E197" s="307"/>
    </row>
    <row r="198">
      <c r="D198" s="307"/>
      <c r="E198" s="307"/>
    </row>
    <row r="199">
      <c r="D199" s="307"/>
      <c r="E199" s="307"/>
    </row>
    <row r="200">
      <c r="D200" s="307"/>
      <c r="E200" s="307"/>
    </row>
    <row r="201">
      <c r="D201" s="307"/>
      <c r="E201" s="307"/>
    </row>
    <row r="202">
      <c r="D202" s="307"/>
      <c r="E202" s="307"/>
    </row>
    <row r="203">
      <c r="D203" s="307"/>
      <c r="E203" s="307"/>
    </row>
    <row r="204">
      <c r="D204" s="307"/>
      <c r="E204" s="307"/>
    </row>
    <row r="205">
      <c r="D205" s="307"/>
      <c r="E205" s="307"/>
    </row>
    <row r="206">
      <c r="D206" s="307"/>
      <c r="E206" s="307"/>
    </row>
    <row r="207">
      <c r="D207" s="307"/>
      <c r="E207" s="307"/>
    </row>
    <row r="208">
      <c r="D208" s="307"/>
      <c r="E208" s="307"/>
    </row>
    <row r="209">
      <c r="D209" s="307"/>
      <c r="E209" s="307"/>
    </row>
    <row r="210">
      <c r="D210" s="307"/>
      <c r="E210" s="307"/>
    </row>
    <row r="211">
      <c r="D211" s="307"/>
      <c r="E211" s="307"/>
    </row>
    <row r="212">
      <c r="D212" s="307"/>
      <c r="E212" s="307"/>
    </row>
    <row r="213">
      <c r="D213" s="307"/>
      <c r="E213" s="307"/>
    </row>
    <row r="214">
      <c r="D214" s="307"/>
      <c r="E214" s="307"/>
    </row>
    <row r="215">
      <c r="D215" s="307"/>
      <c r="E215" s="307"/>
    </row>
    <row r="216">
      <c r="D216" s="307"/>
      <c r="E216" s="307"/>
    </row>
    <row r="217">
      <c r="D217" s="307"/>
      <c r="E217" s="307"/>
    </row>
    <row r="218">
      <c r="D218" s="307"/>
      <c r="E218" s="307"/>
    </row>
    <row r="219">
      <c r="D219" s="307"/>
      <c r="E219" s="307"/>
    </row>
    <row r="220">
      <c r="D220" s="307"/>
      <c r="E220" s="307"/>
    </row>
    <row r="221">
      <c r="D221" s="307"/>
      <c r="E221" s="307"/>
    </row>
    <row r="222">
      <c r="D222" s="307"/>
      <c r="E222" s="307"/>
    </row>
    <row r="223">
      <c r="D223" s="307"/>
      <c r="E223" s="307"/>
    </row>
    <row r="224">
      <c r="D224" s="307"/>
      <c r="E224" s="307"/>
    </row>
    <row r="225">
      <c r="D225" s="307"/>
      <c r="E225" s="307"/>
    </row>
    <row r="226">
      <c r="D226" s="307"/>
      <c r="E226" s="307"/>
    </row>
    <row r="227">
      <c r="D227" s="307"/>
      <c r="E227" s="307"/>
    </row>
    <row r="228">
      <c r="D228" s="307"/>
      <c r="E228" s="307"/>
    </row>
    <row r="229">
      <c r="D229" s="307"/>
      <c r="E229" s="307"/>
    </row>
    <row r="230">
      <c r="D230" s="307"/>
      <c r="E230" s="307"/>
    </row>
    <row r="231">
      <c r="D231" s="307"/>
      <c r="E231" s="307"/>
    </row>
    <row r="232">
      <c r="D232" s="307"/>
      <c r="E232" s="307"/>
    </row>
    <row r="233">
      <c r="D233" s="307"/>
      <c r="E233" s="307"/>
    </row>
    <row r="234">
      <c r="D234" s="307"/>
      <c r="E234" s="307"/>
    </row>
    <row r="235">
      <c r="D235" s="307"/>
      <c r="E235" s="307"/>
    </row>
    <row r="236">
      <c r="D236" s="307"/>
      <c r="E236" s="307"/>
    </row>
    <row r="237">
      <c r="D237" s="307"/>
      <c r="E237" s="307"/>
    </row>
    <row r="238">
      <c r="D238" s="307"/>
      <c r="E238" s="307"/>
    </row>
    <row r="239">
      <c r="D239" s="307"/>
      <c r="E239" s="307"/>
    </row>
    <row r="240">
      <c r="D240" s="307"/>
      <c r="E240" s="307"/>
    </row>
    <row r="241">
      <c r="D241" s="307"/>
      <c r="E241" s="307"/>
    </row>
    <row r="242">
      <c r="D242" s="307"/>
      <c r="E242" s="307"/>
    </row>
    <row r="243">
      <c r="D243" s="307"/>
      <c r="E243" s="307"/>
    </row>
    <row r="244">
      <c r="D244" s="307"/>
      <c r="E244" s="307"/>
    </row>
    <row r="245">
      <c r="D245" s="307"/>
      <c r="E245" s="307"/>
    </row>
    <row r="246">
      <c r="D246" s="307"/>
      <c r="E246" s="307"/>
    </row>
    <row r="247">
      <c r="D247" s="307"/>
      <c r="E247" s="307"/>
    </row>
    <row r="248">
      <c r="D248" s="307"/>
      <c r="E248" s="307"/>
    </row>
    <row r="249">
      <c r="D249" s="307"/>
      <c r="E249" s="307"/>
    </row>
    <row r="250">
      <c r="D250" s="307"/>
      <c r="E250" s="307"/>
    </row>
    <row r="251">
      <c r="D251" s="307"/>
      <c r="E251" s="307"/>
    </row>
    <row r="252">
      <c r="D252" s="307"/>
      <c r="E252" s="307"/>
    </row>
    <row r="253">
      <c r="D253" s="307"/>
      <c r="E253" s="307"/>
    </row>
    <row r="254">
      <c r="D254" s="307"/>
      <c r="E254" s="307"/>
    </row>
    <row r="255">
      <c r="D255" s="307"/>
      <c r="E255" s="307"/>
    </row>
    <row r="256">
      <c r="D256" s="307"/>
      <c r="E256" s="307"/>
    </row>
    <row r="257">
      <c r="D257" s="307"/>
      <c r="E257" s="307"/>
    </row>
    <row r="258">
      <c r="D258" s="307"/>
      <c r="E258" s="307"/>
    </row>
    <row r="259">
      <c r="D259" s="307"/>
      <c r="E259" s="307"/>
    </row>
    <row r="260">
      <c r="D260" s="307"/>
      <c r="E260" s="307"/>
    </row>
    <row r="261">
      <c r="D261" s="307"/>
      <c r="E261" s="307"/>
    </row>
    <row r="262">
      <c r="D262" s="307"/>
      <c r="E262" s="307"/>
    </row>
    <row r="263">
      <c r="D263" s="307"/>
      <c r="E263" s="307"/>
    </row>
    <row r="264">
      <c r="D264" s="307"/>
      <c r="E264" s="307"/>
    </row>
    <row r="265">
      <c r="D265" s="307"/>
      <c r="E265" s="307"/>
    </row>
    <row r="266">
      <c r="D266" s="307"/>
      <c r="E266" s="307"/>
    </row>
    <row r="267">
      <c r="D267" s="307"/>
      <c r="E267" s="307"/>
    </row>
    <row r="268">
      <c r="D268" s="307"/>
      <c r="E268" s="307"/>
    </row>
    <row r="269">
      <c r="D269" s="307"/>
      <c r="E269" s="307"/>
    </row>
    <row r="270">
      <c r="D270" s="307"/>
      <c r="E270" s="307"/>
    </row>
    <row r="271">
      <c r="D271" s="307"/>
      <c r="E271" s="307"/>
    </row>
    <row r="272">
      <c r="D272" s="307"/>
      <c r="E272" s="307"/>
    </row>
    <row r="273">
      <c r="D273" s="307"/>
      <c r="E273" s="307"/>
    </row>
    <row r="274">
      <c r="D274" s="307"/>
      <c r="E274" s="307"/>
    </row>
    <row r="275">
      <c r="D275" s="307"/>
      <c r="E275" s="307"/>
    </row>
    <row r="276">
      <c r="D276" s="307"/>
      <c r="E276" s="307"/>
    </row>
    <row r="277">
      <c r="D277" s="307"/>
      <c r="E277" s="307"/>
    </row>
    <row r="278">
      <c r="D278" s="307"/>
      <c r="E278" s="307"/>
    </row>
    <row r="279">
      <c r="D279" s="307"/>
      <c r="E279" s="307"/>
    </row>
    <row r="280">
      <c r="D280" s="307"/>
      <c r="E280" s="307"/>
    </row>
    <row r="281">
      <c r="D281" s="307"/>
      <c r="E281" s="307"/>
    </row>
    <row r="282">
      <c r="D282" s="307"/>
      <c r="E282" s="307"/>
    </row>
    <row r="283">
      <c r="D283" s="307"/>
      <c r="E283" s="307"/>
    </row>
    <row r="284">
      <c r="D284" s="307"/>
      <c r="E284" s="307"/>
    </row>
    <row r="285">
      <c r="D285" s="307"/>
      <c r="E285" s="307"/>
    </row>
    <row r="286">
      <c r="D286" s="307"/>
      <c r="E286" s="307"/>
    </row>
    <row r="287">
      <c r="D287" s="307"/>
      <c r="E287" s="307"/>
    </row>
    <row r="288">
      <c r="D288" s="307"/>
      <c r="E288" s="307"/>
    </row>
    <row r="289">
      <c r="D289" s="307"/>
      <c r="E289" s="307"/>
    </row>
    <row r="290">
      <c r="D290" s="307"/>
      <c r="E290" s="307"/>
    </row>
    <row r="291">
      <c r="D291" s="307"/>
      <c r="E291" s="307"/>
    </row>
    <row r="292">
      <c r="D292" s="307"/>
      <c r="E292" s="307"/>
    </row>
    <row r="293">
      <c r="D293" s="307"/>
      <c r="E293" s="307"/>
    </row>
    <row r="294">
      <c r="D294" s="307"/>
      <c r="E294" s="307"/>
    </row>
    <row r="295">
      <c r="D295" s="307"/>
      <c r="E295" s="307"/>
    </row>
    <row r="296">
      <c r="D296" s="307"/>
      <c r="E296" s="307"/>
    </row>
    <row r="297">
      <c r="D297" s="307"/>
      <c r="E297" s="307"/>
    </row>
    <row r="298">
      <c r="D298" s="307"/>
      <c r="E298" s="307"/>
    </row>
    <row r="299">
      <c r="D299" s="307"/>
      <c r="E299" s="307"/>
    </row>
    <row r="300">
      <c r="D300" s="307"/>
      <c r="E300" s="307"/>
    </row>
    <row r="301">
      <c r="D301" s="307"/>
      <c r="E301" s="307"/>
    </row>
    <row r="302">
      <c r="D302" s="307"/>
      <c r="E302" s="307"/>
    </row>
    <row r="303">
      <c r="D303" s="307"/>
      <c r="E303" s="307"/>
    </row>
    <row r="304">
      <c r="D304" s="307"/>
      <c r="E304" s="307"/>
    </row>
    <row r="305">
      <c r="D305" s="307"/>
      <c r="E305" s="307"/>
    </row>
    <row r="306">
      <c r="D306" s="307"/>
      <c r="E306" s="307"/>
    </row>
    <row r="307">
      <c r="D307" s="307"/>
      <c r="E307" s="307"/>
    </row>
    <row r="308">
      <c r="D308" s="307"/>
      <c r="E308" s="307"/>
    </row>
    <row r="309">
      <c r="D309" s="307"/>
      <c r="E309" s="307"/>
    </row>
    <row r="310">
      <c r="D310" s="307"/>
      <c r="E310" s="307"/>
    </row>
    <row r="311">
      <c r="D311" s="307"/>
      <c r="E311" s="307"/>
    </row>
    <row r="312">
      <c r="D312" s="307"/>
      <c r="E312" s="307"/>
    </row>
    <row r="313">
      <c r="D313" s="307"/>
      <c r="E313" s="307"/>
    </row>
    <row r="314">
      <c r="D314" s="307"/>
      <c r="E314" s="307"/>
    </row>
    <row r="315">
      <c r="D315" s="307"/>
      <c r="E315" s="307"/>
    </row>
    <row r="316">
      <c r="D316" s="307"/>
      <c r="E316" s="307"/>
    </row>
    <row r="317">
      <c r="D317" s="307"/>
      <c r="E317" s="307"/>
    </row>
    <row r="318">
      <c r="D318" s="307"/>
      <c r="E318" s="307"/>
    </row>
    <row r="319">
      <c r="D319" s="307"/>
      <c r="E319" s="307"/>
    </row>
    <row r="320">
      <c r="D320" s="307"/>
      <c r="E320" s="307"/>
    </row>
    <row r="321">
      <c r="D321" s="307"/>
      <c r="E321" s="307"/>
    </row>
    <row r="322">
      <c r="D322" s="307"/>
      <c r="E322" s="307"/>
    </row>
    <row r="323">
      <c r="D323" s="307"/>
      <c r="E323" s="307"/>
    </row>
    <row r="324">
      <c r="D324" s="307"/>
      <c r="E324" s="307"/>
    </row>
    <row r="325">
      <c r="D325" s="307"/>
      <c r="E325" s="307"/>
    </row>
    <row r="326">
      <c r="D326" s="307"/>
      <c r="E326" s="307"/>
    </row>
    <row r="327">
      <c r="D327" s="307"/>
      <c r="E327" s="307"/>
    </row>
    <row r="328">
      <c r="D328" s="307"/>
      <c r="E328" s="307"/>
    </row>
    <row r="329">
      <c r="D329" s="307"/>
      <c r="E329" s="307"/>
    </row>
    <row r="330">
      <c r="D330" s="307"/>
      <c r="E330" s="307"/>
    </row>
    <row r="331">
      <c r="D331" s="307"/>
      <c r="E331" s="307"/>
    </row>
    <row r="332">
      <c r="D332" s="307"/>
      <c r="E332" s="307"/>
    </row>
    <row r="333">
      <c r="D333" s="307"/>
      <c r="E333" s="307"/>
    </row>
    <row r="334">
      <c r="D334" s="307"/>
      <c r="E334" s="307"/>
    </row>
    <row r="335">
      <c r="D335" s="307"/>
      <c r="E335" s="307"/>
    </row>
    <row r="336">
      <c r="D336" s="307"/>
      <c r="E336" s="307"/>
    </row>
    <row r="337">
      <c r="D337" s="307"/>
      <c r="E337" s="307"/>
    </row>
    <row r="338">
      <c r="D338" s="307"/>
      <c r="E338" s="307"/>
    </row>
    <row r="339">
      <c r="D339" s="307"/>
      <c r="E339" s="307"/>
    </row>
    <row r="340">
      <c r="D340" s="307"/>
      <c r="E340" s="307"/>
    </row>
    <row r="341">
      <c r="D341" s="307"/>
      <c r="E341" s="307"/>
    </row>
    <row r="342">
      <c r="D342" s="307"/>
      <c r="E342" s="307"/>
    </row>
    <row r="343">
      <c r="D343" s="307"/>
      <c r="E343" s="307"/>
    </row>
    <row r="344">
      <c r="D344" s="307"/>
      <c r="E344" s="307"/>
    </row>
    <row r="345">
      <c r="D345" s="307"/>
      <c r="E345" s="307"/>
    </row>
    <row r="346">
      <c r="D346" s="307"/>
      <c r="E346" s="307"/>
    </row>
    <row r="347">
      <c r="D347" s="307"/>
      <c r="E347" s="307"/>
    </row>
    <row r="348">
      <c r="D348" s="307"/>
      <c r="E348" s="307"/>
    </row>
    <row r="349">
      <c r="D349" s="307"/>
      <c r="E349" s="307"/>
    </row>
    <row r="350">
      <c r="D350" s="307"/>
      <c r="E350" s="307"/>
    </row>
    <row r="351">
      <c r="D351" s="307"/>
      <c r="E351" s="307"/>
    </row>
    <row r="352">
      <c r="D352" s="307"/>
      <c r="E352" s="307"/>
    </row>
    <row r="353">
      <c r="D353" s="307"/>
      <c r="E353" s="307"/>
    </row>
    <row r="354">
      <c r="D354" s="307"/>
      <c r="E354" s="307"/>
    </row>
    <row r="355">
      <c r="D355" s="307"/>
      <c r="E355" s="307"/>
    </row>
    <row r="356">
      <c r="D356" s="307"/>
      <c r="E356" s="307"/>
    </row>
    <row r="357">
      <c r="D357" s="307"/>
      <c r="E357" s="307"/>
    </row>
    <row r="358">
      <c r="D358" s="307"/>
      <c r="E358" s="307"/>
    </row>
    <row r="359">
      <c r="D359" s="307"/>
      <c r="E359" s="307"/>
    </row>
    <row r="360">
      <c r="D360" s="307"/>
      <c r="E360" s="307"/>
    </row>
    <row r="361">
      <c r="D361" s="307"/>
      <c r="E361" s="307"/>
    </row>
    <row r="362">
      <c r="D362" s="307"/>
      <c r="E362" s="307"/>
    </row>
    <row r="363">
      <c r="D363" s="307"/>
      <c r="E363" s="307"/>
    </row>
    <row r="364">
      <c r="D364" s="307"/>
      <c r="E364" s="307"/>
    </row>
    <row r="365">
      <c r="D365" s="307"/>
      <c r="E365" s="307"/>
    </row>
    <row r="366">
      <c r="D366" s="307"/>
      <c r="E366" s="307"/>
    </row>
    <row r="367">
      <c r="D367" s="307"/>
      <c r="E367" s="307"/>
    </row>
    <row r="368">
      <c r="D368" s="307"/>
      <c r="E368" s="307"/>
    </row>
    <row r="369">
      <c r="D369" s="307"/>
      <c r="E369" s="307"/>
    </row>
    <row r="370">
      <c r="D370" s="307"/>
      <c r="E370" s="307"/>
    </row>
    <row r="371">
      <c r="D371" s="307"/>
      <c r="E371" s="307"/>
    </row>
    <row r="372">
      <c r="D372" s="307"/>
      <c r="E372" s="307"/>
    </row>
    <row r="373">
      <c r="D373" s="307"/>
      <c r="E373" s="307"/>
    </row>
    <row r="374">
      <c r="D374" s="307"/>
      <c r="E374" s="307"/>
    </row>
    <row r="375">
      <c r="D375" s="307"/>
      <c r="E375" s="307"/>
    </row>
    <row r="376">
      <c r="D376" s="307"/>
      <c r="E376" s="307"/>
    </row>
    <row r="377">
      <c r="D377" s="307"/>
      <c r="E377" s="307"/>
    </row>
    <row r="378">
      <c r="D378" s="307"/>
      <c r="E378" s="307"/>
    </row>
    <row r="379">
      <c r="D379" s="307"/>
      <c r="E379" s="307"/>
    </row>
    <row r="380">
      <c r="D380" s="307"/>
      <c r="E380" s="307"/>
    </row>
    <row r="381">
      <c r="D381" s="307"/>
      <c r="E381" s="307"/>
    </row>
    <row r="382">
      <c r="D382" s="307"/>
      <c r="E382" s="307"/>
    </row>
    <row r="383">
      <c r="D383" s="307"/>
      <c r="E383" s="307"/>
    </row>
    <row r="384">
      <c r="D384" s="307"/>
      <c r="E384" s="307"/>
    </row>
    <row r="385">
      <c r="D385" s="307"/>
      <c r="E385" s="307"/>
    </row>
    <row r="386">
      <c r="D386" s="307"/>
      <c r="E386" s="307"/>
    </row>
    <row r="387">
      <c r="D387" s="307"/>
      <c r="E387" s="307"/>
    </row>
    <row r="388">
      <c r="D388" s="307"/>
      <c r="E388" s="307"/>
    </row>
    <row r="389">
      <c r="D389" s="307"/>
      <c r="E389" s="307"/>
    </row>
    <row r="390">
      <c r="D390" s="307"/>
      <c r="E390" s="307"/>
    </row>
    <row r="391">
      <c r="D391" s="307"/>
      <c r="E391" s="307"/>
    </row>
    <row r="392">
      <c r="D392" s="307"/>
      <c r="E392" s="307"/>
    </row>
    <row r="393">
      <c r="D393" s="307"/>
      <c r="E393" s="307"/>
    </row>
    <row r="394">
      <c r="D394" s="307"/>
      <c r="E394" s="307"/>
    </row>
    <row r="395">
      <c r="D395" s="307"/>
      <c r="E395" s="307"/>
    </row>
    <row r="396">
      <c r="D396" s="307"/>
      <c r="E396" s="307"/>
    </row>
    <row r="397">
      <c r="D397" s="307"/>
      <c r="E397" s="307"/>
    </row>
    <row r="398">
      <c r="D398" s="307"/>
      <c r="E398" s="307"/>
    </row>
    <row r="399">
      <c r="D399" s="307"/>
      <c r="E399" s="307"/>
    </row>
    <row r="400">
      <c r="D400" s="307"/>
      <c r="E400" s="307"/>
    </row>
    <row r="401">
      <c r="D401" s="307"/>
      <c r="E401" s="307"/>
    </row>
    <row r="402">
      <c r="D402" s="307"/>
      <c r="E402" s="307"/>
    </row>
    <row r="403">
      <c r="D403" s="307"/>
      <c r="E403" s="307"/>
    </row>
    <row r="404">
      <c r="D404" s="307"/>
      <c r="E404" s="307"/>
    </row>
    <row r="405">
      <c r="D405" s="307"/>
      <c r="E405" s="307"/>
    </row>
    <row r="406">
      <c r="D406" s="307"/>
      <c r="E406" s="307"/>
    </row>
    <row r="407">
      <c r="D407" s="307"/>
      <c r="E407" s="307"/>
    </row>
    <row r="408">
      <c r="D408" s="307"/>
      <c r="E408" s="307"/>
    </row>
    <row r="409">
      <c r="D409" s="307"/>
      <c r="E409" s="307"/>
    </row>
    <row r="410">
      <c r="D410" s="307"/>
      <c r="E410" s="307"/>
    </row>
    <row r="411">
      <c r="D411" s="307"/>
      <c r="E411" s="307"/>
    </row>
    <row r="412">
      <c r="D412" s="307"/>
      <c r="E412" s="307"/>
    </row>
    <row r="413">
      <c r="D413" s="307"/>
      <c r="E413" s="307"/>
    </row>
    <row r="414">
      <c r="D414" s="307"/>
      <c r="E414" s="307"/>
    </row>
    <row r="415">
      <c r="D415" s="307"/>
      <c r="E415" s="307"/>
    </row>
    <row r="416">
      <c r="D416" s="307"/>
      <c r="E416" s="307"/>
    </row>
    <row r="417">
      <c r="D417" s="307"/>
      <c r="E417" s="307"/>
    </row>
    <row r="418">
      <c r="D418" s="307"/>
      <c r="E418" s="307"/>
    </row>
    <row r="419">
      <c r="D419" s="307"/>
      <c r="E419" s="307"/>
    </row>
    <row r="420">
      <c r="D420" s="307"/>
      <c r="E420" s="307"/>
    </row>
    <row r="421">
      <c r="D421" s="307"/>
      <c r="E421" s="307"/>
    </row>
    <row r="422">
      <c r="D422" s="307"/>
      <c r="E422" s="307"/>
    </row>
    <row r="423">
      <c r="D423" s="307"/>
      <c r="E423" s="307"/>
    </row>
    <row r="424">
      <c r="D424" s="307"/>
      <c r="E424" s="307"/>
    </row>
    <row r="425">
      <c r="D425" s="307"/>
      <c r="E425" s="307"/>
    </row>
    <row r="426">
      <c r="D426" s="307"/>
      <c r="E426" s="307"/>
    </row>
    <row r="427">
      <c r="D427" s="307"/>
      <c r="E427" s="307"/>
    </row>
    <row r="428">
      <c r="D428" s="307"/>
      <c r="E428" s="307"/>
    </row>
    <row r="429">
      <c r="D429" s="307"/>
      <c r="E429" s="307"/>
    </row>
    <row r="430">
      <c r="D430" s="307"/>
      <c r="E430" s="307"/>
    </row>
    <row r="431">
      <c r="D431" s="307"/>
      <c r="E431" s="307"/>
    </row>
    <row r="432">
      <c r="D432" s="307"/>
      <c r="E432" s="307"/>
    </row>
    <row r="433">
      <c r="D433" s="307"/>
      <c r="E433" s="307"/>
    </row>
    <row r="434">
      <c r="D434" s="307"/>
      <c r="E434" s="307"/>
    </row>
    <row r="435">
      <c r="D435" s="307"/>
      <c r="E435" s="307"/>
    </row>
    <row r="436">
      <c r="D436" s="307"/>
      <c r="E436" s="307"/>
    </row>
    <row r="437">
      <c r="D437" s="307"/>
      <c r="E437" s="307"/>
    </row>
    <row r="438">
      <c r="D438" s="307"/>
      <c r="E438" s="307"/>
    </row>
    <row r="439">
      <c r="D439" s="307"/>
      <c r="E439" s="307"/>
    </row>
    <row r="440">
      <c r="D440" s="307"/>
      <c r="E440" s="307"/>
    </row>
    <row r="441">
      <c r="D441" s="307"/>
      <c r="E441" s="307"/>
    </row>
    <row r="442">
      <c r="D442" s="307"/>
      <c r="E442" s="307"/>
    </row>
    <row r="443">
      <c r="D443" s="307"/>
      <c r="E443" s="307"/>
    </row>
    <row r="444">
      <c r="D444" s="307"/>
      <c r="E444" s="307"/>
    </row>
    <row r="445">
      <c r="D445" s="307"/>
      <c r="E445" s="307"/>
    </row>
    <row r="446">
      <c r="D446" s="307"/>
      <c r="E446" s="307"/>
    </row>
    <row r="447">
      <c r="D447" s="307"/>
      <c r="E447" s="307"/>
    </row>
    <row r="448">
      <c r="D448" s="307"/>
      <c r="E448" s="307"/>
    </row>
    <row r="449">
      <c r="D449" s="307"/>
      <c r="E449" s="307"/>
    </row>
    <row r="450">
      <c r="D450" s="307"/>
      <c r="E450" s="307"/>
    </row>
    <row r="451">
      <c r="D451" s="307"/>
      <c r="E451" s="307"/>
    </row>
    <row r="452">
      <c r="D452" s="307"/>
      <c r="E452" s="307"/>
    </row>
    <row r="453">
      <c r="D453" s="307"/>
      <c r="E453" s="307"/>
    </row>
    <row r="454">
      <c r="D454" s="307"/>
      <c r="E454" s="307"/>
    </row>
    <row r="455">
      <c r="D455" s="307"/>
      <c r="E455" s="307"/>
    </row>
    <row r="456">
      <c r="D456" s="307"/>
      <c r="E456" s="307"/>
    </row>
    <row r="457">
      <c r="D457" s="307"/>
      <c r="E457" s="307"/>
    </row>
    <row r="458">
      <c r="D458" s="307"/>
      <c r="E458" s="307"/>
    </row>
    <row r="459">
      <c r="D459" s="307"/>
      <c r="E459" s="307"/>
    </row>
    <row r="460">
      <c r="D460" s="307"/>
      <c r="E460" s="307"/>
    </row>
    <row r="461">
      <c r="D461" s="307"/>
      <c r="E461" s="307"/>
    </row>
    <row r="462">
      <c r="D462" s="307"/>
      <c r="E462" s="307"/>
    </row>
    <row r="463">
      <c r="D463" s="307"/>
      <c r="E463" s="307"/>
    </row>
    <row r="464">
      <c r="D464" s="307"/>
      <c r="E464" s="307"/>
    </row>
    <row r="465">
      <c r="D465" s="307"/>
      <c r="E465" s="307"/>
    </row>
    <row r="466">
      <c r="D466" s="307"/>
      <c r="E466" s="307"/>
    </row>
    <row r="467">
      <c r="D467" s="307"/>
      <c r="E467" s="307"/>
    </row>
    <row r="468">
      <c r="D468" s="307"/>
      <c r="E468" s="307"/>
    </row>
    <row r="469">
      <c r="D469" s="307"/>
      <c r="E469" s="307"/>
    </row>
    <row r="470">
      <c r="D470" s="307"/>
      <c r="E470" s="307"/>
    </row>
    <row r="471">
      <c r="D471" s="307"/>
      <c r="E471" s="307"/>
    </row>
    <row r="472">
      <c r="D472" s="307"/>
      <c r="E472" s="307"/>
    </row>
    <row r="473">
      <c r="D473" s="307"/>
      <c r="E473" s="307"/>
    </row>
    <row r="474">
      <c r="D474" s="307"/>
      <c r="E474" s="307"/>
    </row>
    <row r="475">
      <c r="D475" s="307"/>
      <c r="E475" s="307"/>
    </row>
    <row r="476">
      <c r="D476" s="307"/>
      <c r="E476" s="307"/>
    </row>
    <row r="477">
      <c r="D477" s="307"/>
      <c r="E477" s="307"/>
    </row>
    <row r="478">
      <c r="D478" s="307"/>
      <c r="E478" s="307"/>
    </row>
    <row r="479">
      <c r="D479" s="307"/>
      <c r="E479" s="307"/>
    </row>
    <row r="480">
      <c r="D480" s="307"/>
      <c r="E480" s="307"/>
    </row>
    <row r="481">
      <c r="D481" s="307"/>
      <c r="E481" s="307"/>
    </row>
    <row r="482">
      <c r="D482" s="307"/>
      <c r="E482" s="307"/>
    </row>
    <row r="483">
      <c r="D483" s="307"/>
      <c r="E483" s="307"/>
    </row>
    <row r="484">
      <c r="D484" s="307"/>
      <c r="E484" s="307"/>
    </row>
    <row r="485">
      <c r="D485" s="307"/>
      <c r="E485" s="307"/>
    </row>
    <row r="486">
      <c r="D486" s="307"/>
      <c r="E486" s="307"/>
    </row>
    <row r="487">
      <c r="D487" s="307"/>
      <c r="E487" s="307"/>
    </row>
    <row r="488">
      <c r="D488" s="307"/>
      <c r="E488" s="307"/>
    </row>
    <row r="489">
      <c r="D489" s="307"/>
      <c r="E489" s="307"/>
    </row>
    <row r="490">
      <c r="D490" s="307"/>
      <c r="E490" s="307"/>
    </row>
    <row r="491">
      <c r="D491" s="307"/>
      <c r="E491" s="307"/>
    </row>
    <row r="492">
      <c r="D492" s="307"/>
      <c r="E492" s="307"/>
    </row>
    <row r="493">
      <c r="D493" s="307"/>
      <c r="E493" s="307"/>
    </row>
    <row r="494">
      <c r="D494" s="307"/>
      <c r="E494" s="307"/>
    </row>
    <row r="495">
      <c r="D495" s="307"/>
      <c r="E495" s="307"/>
    </row>
    <row r="496">
      <c r="D496" s="307"/>
      <c r="E496" s="307"/>
    </row>
    <row r="497">
      <c r="D497" s="307"/>
      <c r="E497" s="307"/>
    </row>
    <row r="498">
      <c r="D498" s="307"/>
      <c r="E498" s="307"/>
    </row>
    <row r="499">
      <c r="D499" s="307"/>
      <c r="E499" s="307"/>
    </row>
    <row r="500">
      <c r="D500" s="307"/>
      <c r="E500" s="307"/>
    </row>
    <row r="501">
      <c r="D501" s="307"/>
      <c r="E501" s="307"/>
    </row>
    <row r="502">
      <c r="D502" s="307"/>
      <c r="E502" s="307"/>
    </row>
    <row r="503">
      <c r="D503" s="307"/>
      <c r="E503" s="307"/>
    </row>
    <row r="504">
      <c r="D504" s="307"/>
      <c r="E504" s="307"/>
    </row>
    <row r="505">
      <c r="D505" s="307"/>
      <c r="E505" s="307"/>
    </row>
    <row r="506">
      <c r="D506" s="307"/>
      <c r="E506" s="307"/>
    </row>
    <row r="507">
      <c r="D507" s="307"/>
      <c r="E507" s="307"/>
    </row>
    <row r="508">
      <c r="D508" s="307"/>
      <c r="E508" s="307"/>
    </row>
    <row r="509">
      <c r="D509" s="307"/>
      <c r="E509" s="307"/>
    </row>
    <row r="510">
      <c r="D510" s="307"/>
      <c r="E510" s="307"/>
    </row>
    <row r="511">
      <c r="D511" s="307"/>
      <c r="E511" s="307"/>
    </row>
    <row r="512">
      <c r="D512" s="307"/>
      <c r="E512" s="307"/>
    </row>
    <row r="513">
      <c r="D513" s="307"/>
      <c r="E513" s="307"/>
    </row>
    <row r="514">
      <c r="D514" s="307"/>
      <c r="E514" s="307"/>
    </row>
    <row r="515">
      <c r="D515" s="307"/>
      <c r="E515" s="307"/>
    </row>
    <row r="516">
      <c r="D516" s="307"/>
      <c r="E516" s="307"/>
    </row>
    <row r="517">
      <c r="D517" s="307"/>
      <c r="E517" s="307"/>
    </row>
    <row r="518">
      <c r="D518" s="307"/>
      <c r="E518" s="307"/>
    </row>
    <row r="519">
      <c r="D519" s="307"/>
      <c r="E519" s="307"/>
    </row>
    <row r="520">
      <c r="D520" s="307"/>
      <c r="E520" s="307"/>
    </row>
    <row r="521">
      <c r="D521" s="307"/>
      <c r="E521" s="307"/>
    </row>
    <row r="522">
      <c r="D522" s="307"/>
      <c r="E522" s="307"/>
    </row>
    <row r="523">
      <c r="D523" s="307"/>
      <c r="E523" s="307"/>
    </row>
    <row r="524">
      <c r="D524" s="307"/>
      <c r="E524" s="307"/>
    </row>
    <row r="525">
      <c r="D525" s="307"/>
      <c r="E525" s="307"/>
    </row>
    <row r="526">
      <c r="D526" s="307"/>
      <c r="E526" s="307"/>
    </row>
    <row r="527">
      <c r="D527" s="307"/>
      <c r="E527" s="307"/>
    </row>
    <row r="528">
      <c r="D528" s="307"/>
      <c r="E528" s="307"/>
    </row>
    <row r="529">
      <c r="D529" s="307"/>
      <c r="E529" s="307"/>
    </row>
    <row r="530">
      <c r="D530" s="307"/>
      <c r="E530" s="307"/>
    </row>
    <row r="531">
      <c r="D531" s="307"/>
      <c r="E531" s="307"/>
    </row>
    <row r="532">
      <c r="D532" s="307"/>
      <c r="E532" s="307"/>
    </row>
    <row r="533">
      <c r="D533" s="307"/>
      <c r="E533" s="307"/>
    </row>
    <row r="534">
      <c r="D534" s="307"/>
      <c r="E534" s="307"/>
    </row>
    <row r="535">
      <c r="D535" s="307"/>
      <c r="E535" s="307"/>
    </row>
    <row r="536">
      <c r="D536" s="307"/>
      <c r="E536" s="307"/>
    </row>
    <row r="537">
      <c r="D537" s="307"/>
      <c r="E537" s="307"/>
    </row>
    <row r="538">
      <c r="D538" s="307"/>
      <c r="E538" s="307"/>
    </row>
    <row r="539">
      <c r="D539" s="307"/>
      <c r="E539" s="307"/>
    </row>
    <row r="540">
      <c r="D540" s="307"/>
      <c r="E540" s="307"/>
    </row>
    <row r="541">
      <c r="D541" s="307"/>
      <c r="E541" s="307"/>
    </row>
    <row r="542">
      <c r="D542" s="307"/>
      <c r="E542" s="307"/>
    </row>
    <row r="543">
      <c r="D543" s="307"/>
      <c r="E543" s="307"/>
    </row>
    <row r="544">
      <c r="D544" s="307"/>
      <c r="E544" s="307"/>
    </row>
    <row r="545">
      <c r="D545" s="307"/>
      <c r="E545" s="307"/>
    </row>
    <row r="546">
      <c r="D546" s="307"/>
      <c r="E546" s="307"/>
    </row>
    <row r="547">
      <c r="D547" s="307"/>
      <c r="E547" s="307"/>
    </row>
    <row r="548">
      <c r="D548" s="307"/>
      <c r="E548" s="307"/>
    </row>
    <row r="549">
      <c r="D549" s="307"/>
      <c r="E549" s="307"/>
    </row>
    <row r="550">
      <c r="D550" s="307"/>
      <c r="E550" s="307"/>
    </row>
    <row r="551">
      <c r="D551" s="307"/>
      <c r="E551" s="307"/>
    </row>
    <row r="552">
      <c r="D552" s="307"/>
      <c r="E552" s="307"/>
    </row>
    <row r="553">
      <c r="D553" s="307"/>
      <c r="E553" s="307"/>
    </row>
    <row r="554">
      <c r="D554" s="307"/>
      <c r="E554" s="307"/>
    </row>
    <row r="555">
      <c r="D555" s="307"/>
      <c r="E555" s="307"/>
    </row>
    <row r="556">
      <c r="D556" s="307"/>
      <c r="E556" s="307"/>
    </row>
    <row r="557">
      <c r="D557" s="307"/>
      <c r="E557" s="307"/>
    </row>
    <row r="558">
      <c r="D558" s="307"/>
      <c r="E558" s="307"/>
    </row>
    <row r="559">
      <c r="D559" s="307"/>
      <c r="E559" s="307"/>
    </row>
    <row r="560">
      <c r="D560" s="307"/>
      <c r="E560" s="307"/>
    </row>
    <row r="561">
      <c r="D561" s="307"/>
      <c r="E561" s="307"/>
    </row>
    <row r="562">
      <c r="D562" s="307"/>
      <c r="E562" s="307"/>
    </row>
    <row r="563">
      <c r="D563" s="307"/>
      <c r="E563" s="307"/>
    </row>
    <row r="564">
      <c r="D564" s="307"/>
      <c r="E564" s="307"/>
    </row>
    <row r="565">
      <c r="D565" s="307"/>
      <c r="E565" s="307"/>
    </row>
    <row r="566">
      <c r="D566" s="307"/>
      <c r="E566" s="307"/>
    </row>
    <row r="567">
      <c r="D567" s="307"/>
      <c r="E567" s="307"/>
    </row>
    <row r="568">
      <c r="D568" s="307"/>
      <c r="E568" s="307"/>
    </row>
    <row r="569">
      <c r="D569" s="307"/>
      <c r="E569" s="307"/>
    </row>
    <row r="570">
      <c r="D570" s="307"/>
      <c r="E570" s="307"/>
    </row>
    <row r="571">
      <c r="D571" s="307"/>
      <c r="E571" s="307"/>
    </row>
    <row r="572">
      <c r="D572" s="307"/>
      <c r="E572" s="307"/>
    </row>
    <row r="573">
      <c r="D573" s="307"/>
      <c r="E573" s="307"/>
    </row>
    <row r="574">
      <c r="D574" s="307"/>
      <c r="E574" s="307"/>
    </row>
    <row r="575">
      <c r="D575" s="307"/>
      <c r="E575" s="307"/>
    </row>
    <row r="576">
      <c r="D576" s="307"/>
      <c r="E576" s="307"/>
    </row>
    <row r="577">
      <c r="D577" s="307"/>
      <c r="E577" s="307"/>
    </row>
    <row r="578">
      <c r="D578" s="307"/>
      <c r="E578" s="307"/>
    </row>
    <row r="579">
      <c r="D579" s="307"/>
      <c r="E579" s="307"/>
    </row>
    <row r="580">
      <c r="D580" s="307"/>
      <c r="E580" s="307"/>
    </row>
    <row r="581">
      <c r="D581" s="307"/>
      <c r="E581" s="307"/>
    </row>
    <row r="582">
      <c r="D582" s="307"/>
      <c r="E582" s="307"/>
    </row>
    <row r="583">
      <c r="D583" s="307"/>
      <c r="E583" s="307"/>
    </row>
    <row r="584">
      <c r="D584" s="307"/>
      <c r="E584" s="307"/>
    </row>
    <row r="585">
      <c r="D585" s="307"/>
      <c r="E585" s="307"/>
    </row>
    <row r="586">
      <c r="D586" s="307"/>
      <c r="E586" s="307"/>
    </row>
    <row r="587">
      <c r="D587" s="307"/>
      <c r="E587" s="307"/>
    </row>
    <row r="588">
      <c r="D588" s="307"/>
      <c r="E588" s="307"/>
    </row>
    <row r="589">
      <c r="D589" s="307"/>
      <c r="E589" s="307"/>
    </row>
    <row r="590">
      <c r="D590" s="307"/>
      <c r="E590" s="307"/>
    </row>
    <row r="591">
      <c r="D591" s="307"/>
      <c r="E591" s="307"/>
    </row>
    <row r="592">
      <c r="D592" s="307"/>
      <c r="E592" s="307"/>
    </row>
    <row r="593">
      <c r="D593" s="307"/>
      <c r="E593" s="307"/>
    </row>
    <row r="594">
      <c r="D594" s="307"/>
      <c r="E594" s="307"/>
    </row>
    <row r="595">
      <c r="D595" s="307"/>
      <c r="E595" s="307"/>
    </row>
    <row r="596">
      <c r="D596" s="307"/>
      <c r="E596" s="307"/>
    </row>
    <row r="597">
      <c r="D597" s="307"/>
      <c r="E597" s="307"/>
    </row>
    <row r="598">
      <c r="D598" s="307"/>
      <c r="E598" s="307"/>
    </row>
    <row r="599">
      <c r="D599" s="307"/>
      <c r="E599" s="307"/>
    </row>
    <row r="600">
      <c r="D600" s="307"/>
      <c r="E600" s="307"/>
    </row>
    <row r="601">
      <c r="D601" s="307"/>
      <c r="E601" s="307"/>
    </row>
    <row r="602">
      <c r="D602" s="307"/>
      <c r="E602" s="307"/>
    </row>
    <row r="603">
      <c r="D603" s="307"/>
      <c r="E603" s="307"/>
    </row>
    <row r="604">
      <c r="D604" s="307"/>
      <c r="E604" s="307"/>
    </row>
    <row r="605">
      <c r="D605" s="307"/>
      <c r="E605" s="307"/>
    </row>
    <row r="606">
      <c r="D606" s="307"/>
      <c r="E606" s="307"/>
    </row>
    <row r="607">
      <c r="D607" s="307"/>
      <c r="E607" s="307"/>
    </row>
    <row r="608">
      <c r="D608" s="307"/>
      <c r="E608" s="307"/>
    </row>
    <row r="609">
      <c r="D609" s="307"/>
      <c r="E609" s="307"/>
    </row>
    <row r="610">
      <c r="D610" s="307"/>
      <c r="E610" s="307"/>
    </row>
    <row r="611">
      <c r="D611" s="307"/>
      <c r="E611" s="307"/>
    </row>
    <row r="612">
      <c r="D612" s="307"/>
      <c r="E612" s="307"/>
    </row>
    <row r="613">
      <c r="D613" s="307"/>
      <c r="E613" s="307"/>
    </row>
    <row r="614">
      <c r="D614" s="307"/>
      <c r="E614" s="307"/>
    </row>
    <row r="615">
      <c r="D615" s="307"/>
      <c r="E615" s="307"/>
    </row>
    <row r="616">
      <c r="D616" s="307"/>
      <c r="E616" s="307"/>
    </row>
    <row r="617">
      <c r="D617" s="307"/>
      <c r="E617" s="307"/>
    </row>
    <row r="618">
      <c r="D618" s="307"/>
      <c r="E618" s="307"/>
    </row>
    <row r="619">
      <c r="D619" s="307"/>
      <c r="E619" s="307"/>
    </row>
    <row r="620">
      <c r="D620" s="307"/>
      <c r="E620" s="307"/>
    </row>
    <row r="621">
      <c r="D621" s="307"/>
      <c r="E621" s="307"/>
    </row>
    <row r="622">
      <c r="D622" s="307"/>
      <c r="E622" s="307"/>
    </row>
    <row r="623">
      <c r="D623" s="307"/>
      <c r="E623" s="307"/>
    </row>
    <row r="624">
      <c r="D624" s="307"/>
      <c r="E624" s="307"/>
    </row>
    <row r="625">
      <c r="D625" s="307"/>
      <c r="E625" s="307"/>
    </row>
    <row r="626">
      <c r="D626" s="307"/>
      <c r="E626" s="307"/>
    </row>
    <row r="627">
      <c r="D627" s="307"/>
      <c r="E627" s="307"/>
    </row>
    <row r="628">
      <c r="D628" s="307"/>
      <c r="E628" s="307"/>
    </row>
    <row r="629">
      <c r="D629" s="307"/>
      <c r="E629" s="307"/>
    </row>
    <row r="630">
      <c r="D630" s="307"/>
      <c r="E630" s="307"/>
    </row>
    <row r="631">
      <c r="D631" s="307"/>
      <c r="E631" s="307"/>
    </row>
    <row r="632">
      <c r="D632" s="307"/>
      <c r="E632" s="307"/>
    </row>
    <row r="633">
      <c r="D633" s="307"/>
      <c r="E633" s="307"/>
    </row>
    <row r="634">
      <c r="D634" s="307"/>
      <c r="E634" s="307"/>
    </row>
    <row r="635">
      <c r="D635" s="307"/>
      <c r="E635" s="307"/>
    </row>
    <row r="636">
      <c r="D636" s="307"/>
      <c r="E636" s="307"/>
    </row>
    <row r="637">
      <c r="D637" s="307"/>
      <c r="E637" s="307"/>
    </row>
    <row r="638">
      <c r="D638" s="307"/>
      <c r="E638" s="307"/>
    </row>
    <row r="639">
      <c r="D639" s="307"/>
      <c r="E639" s="307"/>
    </row>
    <row r="640">
      <c r="D640" s="307"/>
      <c r="E640" s="307"/>
    </row>
    <row r="641">
      <c r="D641" s="307"/>
      <c r="E641" s="307"/>
    </row>
    <row r="642">
      <c r="D642" s="307"/>
      <c r="E642" s="307"/>
    </row>
    <row r="643">
      <c r="D643" s="307"/>
      <c r="E643" s="307"/>
    </row>
    <row r="644">
      <c r="D644" s="307"/>
      <c r="E644" s="307"/>
    </row>
    <row r="645">
      <c r="D645" s="307"/>
      <c r="E645" s="307"/>
    </row>
    <row r="646">
      <c r="D646" s="307"/>
      <c r="E646" s="307"/>
    </row>
    <row r="647">
      <c r="D647" s="307"/>
      <c r="E647" s="307"/>
    </row>
    <row r="648">
      <c r="D648" s="307"/>
      <c r="E648" s="307"/>
    </row>
    <row r="649">
      <c r="D649" s="307"/>
      <c r="E649" s="307"/>
    </row>
    <row r="650">
      <c r="D650" s="307"/>
      <c r="E650" s="307"/>
    </row>
    <row r="651">
      <c r="D651" s="307"/>
      <c r="E651" s="307"/>
    </row>
    <row r="652">
      <c r="D652" s="307"/>
      <c r="E652" s="307"/>
    </row>
    <row r="653">
      <c r="D653" s="307"/>
      <c r="E653" s="307"/>
    </row>
    <row r="654">
      <c r="D654" s="307"/>
      <c r="E654" s="307"/>
    </row>
    <row r="655">
      <c r="D655" s="307"/>
      <c r="E655" s="307"/>
    </row>
    <row r="656">
      <c r="D656" s="307"/>
      <c r="E656" s="307"/>
    </row>
    <row r="657">
      <c r="D657" s="307"/>
      <c r="E657" s="307"/>
    </row>
    <row r="658">
      <c r="D658" s="307"/>
      <c r="E658" s="307"/>
    </row>
    <row r="659">
      <c r="D659" s="307"/>
      <c r="E659" s="307"/>
    </row>
    <row r="660">
      <c r="D660" s="307"/>
      <c r="E660" s="307"/>
    </row>
    <row r="661">
      <c r="D661" s="307"/>
      <c r="E661" s="307"/>
    </row>
    <row r="662">
      <c r="D662" s="307"/>
      <c r="E662" s="307"/>
    </row>
    <row r="663">
      <c r="D663" s="307"/>
      <c r="E663" s="307"/>
    </row>
    <row r="664">
      <c r="D664" s="307"/>
      <c r="E664" s="307"/>
    </row>
    <row r="665">
      <c r="D665" s="307"/>
      <c r="E665" s="307"/>
    </row>
    <row r="666">
      <c r="D666" s="307"/>
      <c r="E666" s="307"/>
    </row>
    <row r="667">
      <c r="D667" s="307"/>
      <c r="E667" s="307"/>
    </row>
    <row r="668">
      <c r="D668" s="307"/>
      <c r="E668" s="307"/>
    </row>
    <row r="669">
      <c r="D669" s="307"/>
      <c r="E669" s="307"/>
    </row>
    <row r="670">
      <c r="D670" s="307"/>
      <c r="E670" s="307"/>
    </row>
    <row r="671">
      <c r="D671" s="307"/>
      <c r="E671" s="307"/>
    </row>
    <row r="672">
      <c r="D672" s="307"/>
      <c r="E672" s="307"/>
    </row>
    <row r="673">
      <c r="D673" s="307"/>
      <c r="E673" s="307"/>
    </row>
    <row r="674">
      <c r="D674" s="307"/>
      <c r="E674" s="307"/>
    </row>
    <row r="675">
      <c r="D675" s="307"/>
      <c r="E675" s="307"/>
    </row>
    <row r="676">
      <c r="D676" s="307"/>
      <c r="E676" s="307"/>
    </row>
    <row r="677">
      <c r="D677" s="307"/>
      <c r="E677" s="307"/>
    </row>
    <row r="678">
      <c r="D678" s="307"/>
      <c r="E678" s="307"/>
    </row>
    <row r="679">
      <c r="D679" s="307"/>
      <c r="E679" s="307"/>
    </row>
    <row r="680">
      <c r="D680" s="307"/>
      <c r="E680" s="307"/>
    </row>
    <row r="681">
      <c r="D681" s="307"/>
      <c r="E681" s="307"/>
    </row>
    <row r="682">
      <c r="D682" s="307"/>
      <c r="E682" s="307"/>
    </row>
    <row r="683">
      <c r="D683" s="307"/>
      <c r="E683" s="307"/>
    </row>
    <row r="684">
      <c r="D684" s="307"/>
      <c r="E684" s="307"/>
    </row>
    <row r="685">
      <c r="D685" s="307"/>
      <c r="E685" s="307"/>
    </row>
    <row r="686">
      <c r="D686" s="307"/>
      <c r="E686" s="307"/>
    </row>
    <row r="687">
      <c r="D687" s="307"/>
      <c r="E687" s="307"/>
    </row>
    <row r="688">
      <c r="D688" s="307"/>
      <c r="E688" s="307"/>
    </row>
    <row r="689">
      <c r="D689" s="307"/>
      <c r="E689" s="307"/>
    </row>
    <row r="690">
      <c r="D690" s="307"/>
      <c r="E690" s="307"/>
    </row>
    <row r="691">
      <c r="D691" s="307"/>
      <c r="E691" s="307"/>
    </row>
    <row r="692">
      <c r="D692" s="307"/>
      <c r="E692" s="307"/>
    </row>
    <row r="693">
      <c r="D693" s="307"/>
      <c r="E693" s="307"/>
    </row>
    <row r="694">
      <c r="D694" s="307"/>
      <c r="E694" s="307"/>
    </row>
    <row r="695">
      <c r="D695" s="307"/>
      <c r="E695" s="307"/>
    </row>
    <row r="696">
      <c r="D696" s="307"/>
      <c r="E696" s="307"/>
    </row>
    <row r="697">
      <c r="D697" s="307"/>
      <c r="E697" s="307"/>
    </row>
    <row r="698">
      <c r="D698" s="307"/>
      <c r="E698" s="307"/>
    </row>
    <row r="699">
      <c r="D699" s="307"/>
      <c r="E699" s="307"/>
    </row>
    <row r="700">
      <c r="D700" s="307"/>
      <c r="E700" s="307"/>
    </row>
    <row r="701">
      <c r="D701" s="307"/>
      <c r="E701" s="307"/>
    </row>
    <row r="702">
      <c r="D702" s="307"/>
      <c r="E702" s="307"/>
    </row>
    <row r="703">
      <c r="D703" s="307"/>
      <c r="E703" s="307"/>
    </row>
    <row r="704">
      <c r="D704" s="307"/>
      <c r="E704" s="307"/>
    </row>
    <row r="705">
      <c r="D705" s="307"/>
      <c r="E705" s="307"/>
    </row>
    <row r="706">
      <c r="D706" s="307"/>
      <c r="E706" s="307"/>
    </row>
    <row r="707">
      <c r="D707" s="307"/>
      <c r="E707" s="307"/>
    </row>
    <row r="708">
      <c r="D708" s="307"/>
      <c r="E708" s="307"/>
    </row>
    <row r="709">
      <c r="D709" s="307"/>
      <c r="E709" s="307"/>
    </row>
    <row r="710">
      <c r="D710" s="307"/>
      <c r="E710" s="307"/>
    </row>
    <row r="711">
      <c r="D711" s="307"/>
      <c r="E711" s="307"/>
    </row>
    <row r="712">
      <c r="D712" s="307"/>
      <c r="E712" s="307"/>
    </row>
    <row r="713">
      <c r="D713" s="307"/>
      <c r="E713" s="307"/>
    </row>
    <row r="714">
      <c r="D714" s="307"/>
      <c r="E714" s="307"/>
    </row>
    <row r="715">
      <c r="D715" s="307"/>
      <c r="E715" s="307"/>
    </row>
    <row r="716">
      <c r="D716" s="307"/>
      <c r="E716" s="307"/>
    </row>
    <row r="717">
      <c r="D717" s="307"/>
      <c r="E717" s="307"/>
    </row>
    <row r="718">
      <c r="D718" s="307"/>
      <c r="E718" s="307"/>
    </row>
    <row r="719">
      <c r="D719" s="307"/>
      <c r="E719" s="307"/>
    </row>
    <row r="720">
      <c r="D720" s="307"/>
      <c r="E720" s="307"/>
    </row>
    <row r="721">
      <c r="D721" s="307"/>
      <c r="E721" s="307"/>
    </row>
    <row r="722">
      <c r="D722" s="307"/>
      <c r="E722" s="307"/>
    </row>
    <row r="723">
      <c r="D723" s="307"/>
      <c r="E723" s="307"/>
    </row>
    <row r="724">
      <c r="D724" s="307"/>
      <c r="E724" s="307"/>
    </row>
    <row r="725">
      <c r="D725" s="307"/>
      <c r="E725" s="307"/>
    </row>
    <row r="726">
      <c r="D726" s="307"/>
      <c r="E726" s="307"/>
    </row>
    <row r="727">
      <c r="D727" s="307"/>
      <c r="E727" s="307"/>
    </row>
    <row r="728">
      <c r="D728" s="307"/>
      <c r="E728" s="307"/>
    </row>
    <row r="729">
      <c r="D729" s="307"/>
      <c r="E729" s="307"/>
    </row>
    <row r="730">
      <c r="D730" s="307"/>
      <c r="E730" s="307"/>
    </row>
    <row r="731">
      <c r="D731" s="307"/>
      <c r="E731" s="307"/>
    </row>
    <row r="732">
      <c r="D732" s="307"/>
      <c r="E732" s="307"/>
    </row>
    <row r="733">
      <c r="D733" s="307"/>
      <c r="E733" s="307"/>
    </row>
    <row r="734">
      <c r="D734" s="307"/>
      <c r="E734" s="307"/>
    </row>
    <row r="735">
      <c r="D735" s="307"/>
      <c r="E735" s="307"/>
    </row>
    <row r="736">
      <c r="D736" s="307"/>
      <c r="E736" s="307"/>
    </row>
    <row r="737">
      <c r="D737" s="307"/>
      <c r="E737" s="307"/>
    </row>
    <row r="738">
      <c r="D738" s="307"/>
      <c r="E738" s="307"/>
    </row>
    <row r="739">
      <c r="D739" s="307"/>
      <c r="E739" s="307"/>
    </row>
    <row r="740">
      <c r="D740" s="307"/>
      <c r="E740" s="307"/>
    </row>
    <row r="741">
      <c r="D741" s="307"/>
      <c r="E741" s="307"/>
    </row>
    <row r="742">
      <c r="D742" s="307"/>
      <c r="E742" s="307"/>
    </row>
    <row r="743">
      <c r="D743" s="307"/>
      <c r="E743" s="307"/>
    </row>
    <row r="744">
      <c r="D744" s="307"/>
      <c r="E744" s="307"/>
    </row>
    <row r="745">
      <c r="D745" s="307"/>
      <c r="E745" s="307"/>
    </row>
    <row r="746">
      <c r="D746" s="307"/>
      <c r="E746" s="307"/>
    </row>
    <row r="747">
      <c r="D747" s="307"/>
      <c r="E747" s="307"/>
    </row>
    <row r="748">
      <c r="D748" s="307"/>
      <c r="E748" s="307"/>
    </row>
    <row r="749">
      <c r="D749" s="307"/>
      <c r="E749" s="307"/>
    </row>
    <row r="750">
      <c r="D750" s="307"/>
      <c r="E750" s="307"/>
    </row>
    <row r="751">
      <c r="D751" s="307"/>
      <c r="E751" s="307"/>
    </row>
    <row r="752">
      <c r="D752" s="307"/>
      <c r="E752" s="307"/>
    </row>
    <row r="753">
      <c r="D753" s="307"/>
      <c r="E753" s="307"/>
    </row>
    <row r="754">
      <c r="D754" s="307"/>
      <c r="E754" s="307"/>
    </row>
    <row r="755">
      <c r="D755" s="307"/>
      <c r="E755" s="307"/>
    </row>
    <row r="756">
      <c r="D756" s="307"/>
      <c r="E756" s="307"/>
    </row>
    <row r="757">
      <c r="D757" s="307"/>
      <c r="E757" s="307"/>
    </row>
    <row r="758">
      <c r="D758" s="307"/>
      <c r="E758" s="307"/>
    </row>
    <row r="759">
      <c r="D759" s="307"/>
      <c r="E759" s="307"/>
    </row>
    <row r="760">
      <c r="D760" s="307"/>
      <c r="E760" s="307"/>
    </row>
    <row r="761">
      <c r="D761" s="307"/>
      <c r="E761" s="307"/>
    </row>
    <row r="762">
      <c r="D762" s="307"/>
      <c r="E762" s="307"/>
    </row>
    <row r="763">
      <c r="D763" s="307"/>
      <c r="E763" s="307"/>
    </row>
    <row r="764">
      <c r="D764" s="307"/>
      <c r="E764" s="307"/>
    </row>
    <row r="765">
      <c r="D765" s="307"/>
      <c r="E765" s="307"/>
    </row>
    <row r="766">
      <c r="D766" s="307"/>
      <c r="E766" s="307"/>
    </row>
    <row r="767">
      <c r="D767" s="307"/>
      <c r="E767" s="307"/>
    </row>
    <row r="768">
      <c r="D768" s="307"/>
      <c r="E768" s="307"/>
    </row>
    <row r="769">
      <c r="D769" s="307"/>
      <c r="E769" s="307"/>
    </row>
    <row r="770">
      <c r="D770" s="307"/>
      <c r="E770" s="307"/>
    </row>
    <row r="771">
      <c r="D771" s="307"/>
      <c r="E771" s="307"/>
    </row>
    <row r="772">
      <c r="D772" s="307"/>
      <c r="E772" s="307"/>
    </row>
    <row r="773">
      <c r="D773" s="307"/>
      <c r="E773" s="307"/>
    </row>
    <row r="774">
      <c r="D774" s="307"/>
      <c r="E774" s="307"/>
    </row>
    <row r="775">
      <c r="D775" s="307"/>
      <c r="E775" s="307"/>
    </row>
    <row r="776">
      <c r="D776" s="307"/>
      <c r="E776" s="307"/>
    </row>
    <row r="777">
      <c r="D777" s="307"/>
      <c r="E777" s="307"/>
    </row>
    <row r="778">
      <c r="D778" s="307"/>
      <c r="E778" s="307"/>
    </row>
    <row r="779">
      <c r="D779" s="307"/>
      <c r="E779" s="307"/>
    </row>
    <row r="780">
      <c r="D780" s="307"/>
      <c r="E780" s="307"/>
    </row>
    <row r="781">
      <c r="D781" s="307"/>
      <c r="E781" s="307"/>
    </row>
    <row r="782">
      <c r="D782" s="307"/>
      <c r="E782" s="307"/>
    </row>
    <row r="783">
      <c r="D783" s="307"/>
      <c r="E783" s="307"/>
    </row>
    <row r="784">
      <c r="D784" s="307"/>
      <c r="E784" s="307"/>
    </row>
    <row r="785">
      <c r="D785" s="307"/>
      <c r="E785" s="307"/>
    </row>
    <row r="786">
      <c r="D786" s="307"/>
      <c r="E786" s="307"/>
    </row>
    <row r="787">
      <c r="D787" s="307"/>
      <c r="E787" s="307"/>
    </row>
    <row r="788">
      <c r="D788" s="307"/>
      <c r="E788" s="307"/>
    </row>
    <row r="789">
      <c r="D789" s="307"/>
      <c r="E789" s="307"/>
    </row>
    <row r="790">
      <c r="D790" s="307"/>
      <c r="E790" s="307"/>
    </row>
    <row r="791">
      <c r="D791" s="307"/>
      <c r="E791" s="307"/>
    </row>
    <row r="792">
      <c r="D792" s="307"/>
      <c r="E792" s="307"/>
    </row>
    <row r="793">
      <c r="D793" s="307"/>
      <c r="E793" s="307"/>
    </row>
    <row r="794">
      <c r="D794" s="307"/>
      <c r="E794" s="307"/>
    </row>
    <row r="795">
      <c r="D795" s="307"/>
      <c r="E795" s="307"/>
    </row>
    <row r="796">
      <c r="D796" s="307"/>
      <c r="E796" s="307"/>
    </row>
    <row r="797">
      <c r="D797" s="307"/>
      <c r="E797" s="307"/>
    </row>
    <row r="798">
      <c r="D798" s="307"/>
      <c r="E798" s="307"/>
    </row>
    <row r="799">
      <c r="D799" s="307"/>
      <c r="E799" s="307"/>
    </row>
    <row r="800">
      <c r="D800" s="307"/>
      <c r="E800" s="307"/>
    </row>
    <row r="801">
      <c r="D801" s="307"/>
      <c r="E801" s="307"/>
    </row>
    <row r="802">
      <c r="D802" s="307"/>
      <c r="E802" s="307"/>
    </row>
    <row r="803">
      <c r="D803" s="307"/>
      <c r="E803" s="307"/>
    </row>
    <row r="804">
      <c r="D804" s="307"/>
      <c r="E804" s="307"/>
    </row>
    <row r="805">
      <c r="D805" s="307"/>
      <c r="E805" s="307"/>
    </row>
    <row r="806">
      <c r="D806" s="307"/>
      <c r="E806" s="307"/>
    </row>
    <row r="807">
      <c r="D807" s="307"/>
      <c r="E807" s="307"/>
    </row>
    <row r="808">
      <c r="D808" s="307"/>
      <c r="E808" s="307"/>
    </row>
    <row r="809">
      <c r="D809" s="307"/>
      <c r="E809" s="307"/>
    </row>
    <row r="810">
      <c r="D810" s="307"/>
      <c r="E810" s="307"/>
    </row>
    <row r="811">
      <c r="D811" s="307"/>
      <c r="E811" s="307"/>
    </row>
    <row r="812">
      <c r="D812" s="307"/>
      <c r="E812" s="307"/>
    </row>
    <row r="813">
      <c r="D813" s="307"/>
      <c r="E813" s="307"/>
    </row>
    <row r="814">
      <c r="D814" s="307"/>
      <c r="E814" s="307"/>
    </row>
    <row r="815">
      <c r="D815" s="307"/>
      <c r="E815" s="307"/>
    </row>
    <row r="816">
      <c r="D816" s="307"/>
      <c r="E816" s="307"/>
    </row>
    <row r="817">
      <c r="D817" s="307"/>
      <c r="E817" s="307"/>
    </row>
    <row r="818">
      <c r="D818" s="307"/>
      <c r="E818" s="307"/>
    </row>
    <row r="819">
      <c r="D819" s="307"/>
      <c r="E819" s="307"/>
    </row>
    <row r="820">
      <c r="D820" s="307"/>
      <c r="E820" s="307"/>
    </row>
    <row r="821">
      <c r="D821" s="307"/>
      <c r="E821" s="307"/>
    </row>
    <row r="822">
      <c r="D822" s="307"/>
      <c r="E822" s="307"/>
    </row>
    <row r="823">
      <c r="D823" s="307"/>
      <c r="E823" s="307"/>
    </row>
    <row r="824">
      <c r="D824" s="307"/>
      <c r="E824" s="307"/>
    </row>
    <row r="825">
      <c r="D825" s="307"/>
      <c r="E825" s="307"/>
    </row>
    <row r="826">
      <c r="D826" s="307"/>
      <c r="E826" s="307"/>
    </row>
    <row r="827">
      <c r="D827" s="307"/>
      <c r="E827" s="307"/>
    </row>
    <row r="828">
      <c r="D828" s="307"/>
      <c r="E828" s="307"/>
    </row>
    <row r="829">
      <c r="D829" s="307"/>
      <c r="E829" s="307"/>
    </row>
    <row r="830">
      <c r="D830" s="307"/>
      <c r="E830" s="307"/>
    </row>
    <row r="831">
      <c r="D831" s="307"/>
      <c r="E831" s="307"/>
    </row>
    <row r="832">
      <c r="D832" s="307"/>
      <c r="E832" s="307"/>
    </row>
    <row r="833">
      <c r="D833" s="307"/>
      <c r="E833" s="307"/>
    </row>
    <row r="834">
      <c r="D834" s="307"/>
      <c r="E834" s="307"/>
    </row>
    <row r="835">
      <c r="D835" s="307"/>
      <c r="E835" s="307"/>
    </row>
    <row r="836">
      <c r="D836" s="307"/>
      <c r="E836" s="307"/>
    </row>
    <row r="837">
      <c r="D837" s="307"/>
      <c r="E837" s="307"/>
    </row>
    <row r="838">
      <c r="D838" s="307"/>
      <c r="E838" s="307"/>
    </row>
    <row r="839">
      <c r="D839" s="307"/>
      <c r="E839" s="307"/>
    </row>
    <row r="840">
      <c r="D840" s="307"/>
      <c r="E840" s="307"/>
    </row>
    <row r="841">
      <c r="D841" s="307"/>
      <c r="E841" s="307"/>
    </row>
    <row r="842">
      <c r="D842" s="307"/>
      <c r="E842" s="307"/>
    </row>
    <row r="843">
      <c r="D843" s="307"/>
      <c r="E843" s="307"/>
    </row>
    <row r="844">
      <c r="D844" s="307"/>
      <c r="E844" s="307"/>
    </row>
    <row r="845">
      <c r="D845" s="307"/>
      <c r="E845" s="307"/>
    </row>
    <row r="846">
      <c r="D846" s="307"/>
      <c r="E846" s="307"/>
    </row>
    <row r="847">
      <c r="D847" s="307"/>
      <c r="E847" s="307"/>
    </row>
    <row r="848">
      <c r="D848" s="307"/>
      <c r="E848" s="307"/>
    </row>
    <row r="849">
      <c r="D849" s="307"/>
      <c r="E849" s="307"/>
    </row>
    <row r="850">
      <c r="D850" s="307"/>
      <c r="E850" s="307"/>
    </row>
    <row r="851">
      <c r="D851" s="307"/>
      <c r="E851" s="307"/>
    </row>
    <row r="852">
      <c r="D852" s="307"/>
      <c r="E852" s="307"/>
    </row>
    <row r="853">
      <c r="D853" s="307"/>
      <c r="E853" s="307"/>
    </row>
    <row r="854">
      <c r="D854" s="307"/>
      <c r="E854" s="307"/>
    </row>
    <row r="855">
      <c r="D855" s="307"/>
      <c r="E855" s="307"/>
    </row>
    <row r="856">
      <c r="D856" s="307"/>
      <c r="E856" s="307"/>
    </row>
    <row r="857">
      <c r="D857" s="307"/>
      <c r="E857" s="307"/>
    </row>
    <row r="858">
      <c r="D858" s="307"/>
      <c r="E858" s="307"/>
    </row>
    <row r="859">
      <c r="D859" s="307"/>
      <c r="E859" s="307"/>
    </row>
    <row r="860">
      <c r="D860" s="307"/>
      <c r="E860" s="307"/>
    </row>
    <row r="861">
      <c r="D861" s="307"/>
      <c r="E861" s="307"/>
    </row>
    <row r="862">
      <c r="D862" s="307"/>
      <c r="E862" s="307"/>
    </row>
    <row r="863">
      <c r="D863" s="307"/>
      <c r="E863" s="307"/>
    </row>
    <row r="864">
      <c r="D864" s="307"/>
      <c r="E864" s="307"/>
    </row>
    <row r="865">
      <c r="D865" s="307"/>
      <c r="E865" s="307"/>
    </row>
    <row r="866">
      <c r="D866" s="307"/>
      <c r="E866" s="307"/>
    </row>
    <row r="867">
      <c r="D867" s="307"/>
      <c r="E867" s="307"/>
    </row>
    <row r="868">
      <c r="D868" s="307"/>
      <c r="E868" s="307"/>
    </row>
    <row r="869">
      <c r="D869" s="307"/>
      <c r="E869" s="307"/>
    </row>
    <row r="870">
      <c r="D870" s="307"/>
      <c r="E870" s="307"/>
    </row>
    <row r="871">
      <c r="D871" s="307"/>
      <c r="E871" s="307"/>
    </row>
    <row r="872">
      <c r="D872" s="307"/>
      <c r="E872" s="307"/>
    </row>
    <row r="873">
      <c r="D873" s="307"/>
      <c r="E873" s="307"/>
    </row>
    <row r="874">
      <c r="D874" s="307"/>
      <c r="E874" s="307"/>
    </row>
    <row r="875">
      <c r="D875" s="307"/>
      <c r="E875" s="307"/>
    </row>
    <row r="876">
      <c r="D876" s="307"/>
      <c r="E876" s="307"/>
    </row>
    <row r="877">
      <c r="D877" s="307"/>
      <c r="E877" s="307"/>
    </row>
    <row r="878">
      <c r="D878" s="307"/>
      <c r="E878" s="307"/>
    </row>
    <row r="879">
      <c r="D879" s="307"/>
      <c r="E879" s="307"/>
    </row>
    <row r="880">
      <c r="D880" s="307"/>
      <c r="E880" s="307"/>
    </row>
    <row r="881">
      <c r="D881" s="307"/>
      <c r="E881" s="307"/>
    </row>
    <row r="882">
      <c r="D882" s="307"/>
      <c r="E882" s="307"/>
    </row>
    <row r="883">
      <c r="D883" s="307"/>
      <c r="E883" s="307"/>
    </row>
    <row r="884">
      <c r="D884" s="307"/>
      <c r="E884" s="307"/>
    </row>
    <row r="885">
      <c r="D885" s="307"/>
      <c r="E885" s="307"/>
    </row>
    <row r="886">
      <c r="D886" s="307"/>
      <c r="E886" s="307"/>
    </row>
    <row r="887">
      <c r="D887" s="307"/>
      <c r="E887" s="307"/>
    </row>
    <row r="888">
      <c r="D888" s="307"/>
      <c r="E888" s="307"/>
    </row>
    <row r="889">
      <c r="D889" s="307"/>
      <c r="E889" s="307"/>
    </row>
    <row r="890">
      <c r="D890" s="307"/>
      <c r="E890" s="307"/>
    </row>
    <row r="891">
      <c r="D891" s="307"/>
      <c r="E891" s="307"/>
    </row>
    <row r="892">
      <c r="D892" s="307"/>
      <c r="E892" s="307"/>
    </row>
    <row r="893">
      <c r="D893" s="307"/>
      <c r="E893" s="307"/>
    </row>
    <row r="894">
      <c r="D894" s="307"/>
      <c r="E894" s="307"/>
    </row>
    <row r="895">
      <c r="D895" s="307"/>
      <c r="E895" s="307"/>
    </row>
    <row r="896">
      <c r="D896" s="307"/>
      <c r="E896" s="307"/>
    </row>
    <row r="897">
      <c r="D897" s="307"/>
      <c r="E897" s="307"/>
    </row>
    <row r="898">
      <c r="D898" s="307"/>
      <c r="E898" s="307"/>
    </row>
    <row r="899">
      <c r="D899" s="307"/>
      <c r="E899" s="307"/>
    </row>
    <row r="900">
      <c r="D900" s="307"/>
      <c r="E900" s="307"/>
    </row>
    <row r="901">
      <c r="D901" s="307"/>
      <c r="E901" s="307"/>
    </row>
    <row r="902">
      <c r="D902" s="307"/>
      <c r="E902" s="307"/>
    </row>
    <row r="903">
      <c r="D903" s="307"/>
      <c r="E903" s="307"/>
    </row>
    <row r="904">
      <c r="D904" s="307"/>
      <c r="E904" s="307"/>
    </row>
    <row r="905">
      <c r="D905" s="307"/>
      <c r="E905" s="307"/>
    </row>
    <row r="906">
      <c r="D906" s="307"/>
      <c r="E906" s="307"/>
    </row>
    <row r="907">
      <c r="D907" s="307"/>
      <c r="E907" s="307"/>
    </row>
    <row r="908">
      <c r="D908" s="307"/>
      <c r="E908" s="307"/>
    </row>
    <row r="909">
      <c r="D909" s="307"/>
      <c r="E909" s="307"/>
    </row>
    <row r="910">
      <c r="D910" s="307"/>
      <c r="E910" s="307"/>
    </row>
    <row r="911">
      <c r="D911" s="307"/>
      <c r="E911" s="307"/>
    </row>
    <row r="912">
      <c r="D912" s="307"/>
      <c r="E912" s="307"/>
    </row>
    <row r="913">
      <c r="D913" s="307"/>
      <c r="E913" s="307"/>
    </row>
    <row r="914">
      <c r="D914" s="307"/>
      <c r="E914" s="307"/>
    </row>
    <row r="915">
      <c r="D915" s="307"/>
      <c r="E915" s="307"/>
    </row>
    <row r="916">
      <c r="D916" s="307"/>
      <c r="E916" s="307"/>
    </row>
    <row r="917">
      <c r="D917" s="307"/>
      <c r="E917" s="307"/>
    </row>
    <row r="918">
      <c r="D918" s="307"/>
      <c r="E918" s="307"/>
    </row>
    <row r="919">
      <c r="D919" s="307"/>
      <c r="E919" s="307"/>
    </row>
    <row r="920">
      <c r="D920" s="307"/>
      <c r="E920" s="307"/>
    </row>
    <row r="921">
      <c r="D921" s="307"/>
      <c r="E921" s="307"/>
    </row>
    <row r="922">
      <c r="D922" s="307"/>
      <c r="E922" s="307"/>
    </row>
    <row r="923">
      <c r="D923" s="307"/>
      <c r="E923" s="307"/>
    </row>
    <row r="924">
      <c r="D924" s="307"/>
      <c r="E924" s="307"/>
    </row>
    <row r="925">
      <c r="D925" s="307"/>
      <c r="E925" s="307"/>
    </row>
    <row r="926">
      <c r="D926" s="307"/>
      <c r="E926" s="307"/>
    </row>
    <row r="927">
      <c r="D927" s="307"/>
      <c r="E927" s="307"/>
    </row>
    <row r="928">
      <c r="D928" s="307"/>
      <c r="E928" s="307"/>
    </row>
    <row r="929">
      <c r="D929" s="307"/>
      <c r="E929" s="307"/>
    </row>
    <row r="930">
      <c r="D930" s="307"/>
      <c r="E930" s="307"/>
    </row>
    <row r="931">
      <c r="D931" s="307"/>
      <c r="E931" s="307"/>
    </row>
    <row r="932">
      <c r="D932" s="307"/>
      <c r="E932" s="307"/>
    </row>
    <row r="933">
      <c r="D933" s="307"/>
      <c r="E933" s="307"/>
    </row>
    <row r="934">
      <c r="D934" s="307"/>
      <c r="E934" s="307"/>
    </row>
    <row r="935">
      <c r="D935" s="307"/>
      <c r="E935" s="307"/>
    </row>
    <row r="936">
      <c r="D936" s="307"/>
      <c r="E936" s="307"/>
    </row>
    <row r="937">
      <c r="D937" s="307"/>
      <c r="E937" s="307"/>
    </row>
    <row r="938">
      <c r="D938" s="307"/>
      <c r="E938" s="307"/>
    </row>
    <row r="939">
      <c r="D939" s="307"/>
      <c r="E939" s="307"/>
    </row>
    <row r="940">
      <c r="D940" s="307"/>
      <c r="E940" s="307"/>
    </row>
    <row r="941">
      <c r="D941" s="307"/>
      <c r="E941" s="307"/>
    </row>
    <row r="942">
      <c r="D942" s="307"/>
      <c r="E942" s="307"/>
    </row>
    <row r="943">
      <c r="D943" s="307"/>
      <c r="E943" s="307"/>
    </row>
    <row r="944">
      <c r="D944" s="307"/>
      <c r="E944" s="307"/>
    </row>
    <row r="945">
      <c r="D945" s="307"/>
      <c r="E945" s="307"/>
    </row>
    <row r="946">
      <c r="D946" s="307"/>
      <c r="E946" s="307"/>
    </row>
    <row r="947">
      <c r="D947" s="307"/>
      <c r="E947" s="307"/>
    </row>
    <row r="948">
      <c r="D948" s="307"/>
      <c r="E948" s="307"/>
    </row>
    <row r="949">
      <c r="D949" s="307"/>
      <c r="E949" s="307"/>
    </row>
    <row r="950">
      <c r="D950" s="307"/>
      <c r="E950" s="307"/>
    </row>
    <row r="951">
      <c r="D951" s="307"/>
      <c r="E951" s="307"/>
    </row>
    <row r="952">
      <c r="D952" s="307"/>
      <c r="E952" s="307"/>
    </row>
    <row r="953">
      <c r="D953" s="307"/>
      <c r="E953" s="307"/>
    </row>
    <row r="954">
      <c r="D954" s="307"/>
      <c r="E954" s="307"/>
    </row>
    <row r="955">
      <c r="D955" s="307"/>
      <c r="E955" s="307"/>
    </row>
    <row r="956">
      <c r="D956" s="307"/>
      <c r="E956" s="307"/>
    </row>
    <row r="957">
      <c r="D957" s="307"/>
      <c r="E957" s="307"/>
    </row>
    <row r="958">
      <c r="D958" s="307"/>
      <c r="E958" s="307"/>
    </row>
    <row r="959">
      <c r="D959" s="307"/>
      <c r="E959" s="307"/>
    </row>
    <row r="960">
      <c r="D960" s="307"/>
      <c r="E960" s="307"/>
    </row>
    <row r="961">
      <c r="D961" s="307"/>
      <c r="E961" s="307"/>
    </row>
    <row r="962">
      <c r="D962" s="307"/>
      <c r="E962" s="307"/>
    </row>
    <row r="963">
      <c r="D963" s="307"/>
      <c r="E963" s="307"/>
    </row>
    <row r="964">
      <c r="D964" s="307"/>
      <c r="E964" s="307"/>
    </row>
    <row r="965">
      <c r="D965" s="307"/>
      <c r="E965" s="307"/>
    </row>
    <row r="966">
      <c r="D966" s="307"/>
      <c r="E966" s="307"/>
    </row>
    <row r="967">
      <c r="D967" s="307"/>
      <c r="E967" s="307"/>
    </row>
    <row r="968">
      <c r="D968" s="307"/>
      <c r="E968" s="307"/>
    </row>
    <row r="969">
      <c r="D969" s="307"/>
      <c r="E969" s="307"/>
    </row>
    <row r="970">
      <c r="D970" s="307"/>
      <c r="E970" s="307"/>
    </row>
    <row r="971">
      <c r="D971" s="307"/>
      <c r="E971" s="307"/>
    </row>
    <row r="972">
      <c r="D972" s="307"/>
      <c r="E972" s="307"/>
    </row>
    <row r="973">
      <c r="D973" s="307"/>
      <c r="E973" s="307"/>
    </row>
    <row r="974">
      <c r="D974" s="307"/>
      <c r="E974" s="307"/>
    </row>
    <row r="975">
      <c r="D975" s="307"/>
      <c r="E975" s="307"/>
    </row>
    <row r="976">
      <c r="D976" s="307"/>
      <c r="E976" s="307"/>
    </row>
    <row r="977">
      <c r="D977" s="307"/>
      <c r="E977" s="307"/>
    </row>
    <row r="978">
      <c r="D978" s="307"/>
      <c r="E978" s="307"/>
    </row>
    <row r="979">
      <c r="D979" s="307"/>
      <c r="E979" s="307"/>
    </row>
    <row r="980">
      <c r="D980" s="307"/>
      <c r="E980" s="307"/>
    </row>
    <row r="981">
      <c r="D981" s="307"/>
      <c r="E981" s="307"/>
    </row>
    <row r="982">
      <c r="D982" s="307"/>
      <c r="E982" s="307"/>
    </row>
    <row r="983">
      <c r="D983" s="307"/>
      <c r="E983" s="307"/>
    </row>
    <row r="984">
      <c r="D984" s="307"/>
      <c r="E984" s="307"/>
    </row>
    <row r="985">
      <c r="D985" s="307"/>
      <c r="E985" s="307"/>
    </row>
    <row r="986">
      <c r="D986" s="307"/>
      <c r="E986" s="307"/>
    </row>
    <row r="987">
      <c r="D987" s="307"/>
      <c r="E987" s="307"/>
    </row>
    <row r="988">
      <c r="D988" s="307"/>
      <c r="E988" s="307"/>
    </row>
    <row r="989">
      <c r="D989" s="307"/>
      <c r="E989" s="307"/>
    </row>
    <row r="990">
      <c r="D990" s="307"/>
      <c r="E990" s="307"/>
    </row>
    <row r="991">
      <c r="D991" s="307"/>
      <c r="E991" s="307"/>
    </row>
    <row r="992">
      <c r="D992" s="307"/>
      <c r="E992" s="307"/>
    </row>
    <row r="993">
      <c r="D993" s="307"/>
      <c r="E993" s="307"/>
    </row>
    <row r="994">
      <c r="D994" s="307"/>
      <c r="E994" s="307"/>
    </row>
    <row r="995">
      <c r="D995" s="307"/>
      <c r="E995" s="307"/>
    </row>
    <row r="996">
      <c r="D996" s="307"/>
      <c r="E996" s="307"/>
    </row>
    <row r="997">
      <c r="D997" s="307"/>
      <c r="E997" s="307"/>
    </row>
    <row r="998">
      <c r="D998" s="307"/>
      <c r="E998" s="307"/>
    </row>
    <row r="999">
      <c r="D999" s="307"/>
      <c r="E999" s="307"/>
    </row>
    <row r="1000">
      <c r="D1000" s="307"/>
      <c r="E1000" s="307"/>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4" max="4" width="46.0"/>
    <col customWidth="1" min="5" max="5" width="17.38"/>
  </cols>
  <sheetData>
    <row r="1">
      <c r="A1" s="82" t="s">
        <v>1851</v>
      </c>
      <c r="D1" s="82" t="s">
        <v>1852</v>
      </c>
    </row>
    <row r="2">
      <c r="A2" s="1" t="s">
        <v>1853</v>
      </c>
      <c r="B2" s="1">
        <v>20.0</v>
      </c>
      <c r="D2" s="308" t="s">
        <v>1854</v>
      </c>
    </row>
    <row r="3">
      <c r="A3" s="1" t="s">
        <v>1855</v>
      </c>
      <c r="B3" s="90">
        <f>B2/E30</f>
        <v>18.14371638</v>
      </c>
      <c r="D3" s="1" t="s">
        <v>1856</v>
      </c>
      <c r="E3" s="90">
        <f>IFERROR(__xludf.DUMMYFUNCTION("IMPORTRANGE(""https://docs.google.com/spreadsheets/d/1RPm-t6EyKIk_MQicbTitx1JLjj2rBkH7kz7Nx0N1ug4/edit#gid=0"", ""C3"")"),0.1267825263)</f>
        <v>0.1267825263</v>
      </c>
    </row>
    <row r="4">
      <c r="D4" s="1" t="s">
        <v>1857</v>
      </c>
      <c r="E4" s="90">
        <f>IFERROR(__xludf.DUMMYFUNCTION("IMPORTRANGE(""https://docs.google.com/spreadsheets/d/1RPm-t6EyKIk_MQicbTitx1JLjj2rBkH7kz7Nx0N1ug4/edit#gid=0"", ""C4"")"),0.02115941123)</f>
        <v>0.02115941123</v>
      </c>
    </row>
    <row r="5">
      <c r="A5" s="1" t="s">
        <v>1858</v>
      </c>
      <c r="B5" s="90">
        <f>B2*(E3+E4)</f>
        <v>2.958838751</v>
      </c>
    </row>
    <row r="6">
      <c r="A6" s="1" t="s">
        <v>1859</v>
      </c>
      <c r="B6" s="90">
        <f>(B3*E23*E7)+(E23*E8)</f>
        <v>4.897832689</v>
      </c>
      <c r="D6" s="308" t="s">
        <v>1860</v>
      </c>
    </row>
    <row r="7">
      <c r="A7" s="1" t="s">
        <v>1861</v>
      </c>
      <c r="B7" s="90">
        <f>SUM(E15,E16)</f>
        <v>4.541266</v>
      </c>
      <c r="D7" s="1" t="s">
        <v>1862</v>
      </c>
      <c r="E7" s="90">
        <f>IFERROR(__xludf.DUMMYFUNCTION("IMPORTRANGE(""https://docs.google.com/spreadsheets/d/1RPm-t6EyKIk_MQicbTitx1JLjj2rBkH7kz7Nx0N1ug4/edit#gid=0"", ""C5"")"),1.287472E-4)</f>
        <v>0.0001287472</v>
      </c>
    </row>
    <row r="8">
      <c r="A8" s="1" t="s">
        <v>1863</v>
      </c>
      <c r="B8" s="90">
        <f>E34*((B3*(1+E31)*E27*E7)+(E27*E8))</f>
        <v>0.3801590838</v>
      </c>
      <c r="D8" s="1" t="s">
        <v>1864</v>
      </c>
      <c r="E8" s="90">
        <f>IFERROR(__xludf.DUMMYFUNCTION("IMPORTRANGE(""https://docs.google.com/spreadsheets/d/1RPm-t6EyKIk_MQicbTitx1JLjj2rBkH7kz7Nx0N1ug4/edit#gid=0"", ""C11"")"),7.674901106E-5)</f>
        <v>0.00007674901106</v>
      </c>
    </row>
    <row r="9">
      <c r="A9" s="1" t="s">
        <v>1865</v>
      </c>
      <c r="B9" s="90">
        <f>SUM(E19,E20)</f>
        <v>0.0256</v>
      </c>
    </row>
    <row r="10">
      <c r="D10" s="308" t="s">
        <v>1866</v>
      </c>
    </row>
    <row r="11">
      <c r="A11" s="1" t="s">
        <v>1867</v>
      </c>
      <c r="B11" s="90">
        <f>SUM(B5:B9)</f>
        <v>12.80369652</v>
      </c>
      <c r="D11" s="1" t="s">
        <v>1868</v>
      </c>
      <c r="E11" s="90">
        <f>IFERROR(__xludf.DUMMYFUNCTION("IMPORTRANGE(""https://docs.google.com/spreadsheets/d/1RPm-t6EyKIk_MQicbTitx1JLjj2rBkH7kz7Nx0N1ug4/edit#gid=0"", ""C10"")"),2.6071308E-5)</f>
        <v>0.000026071308</v>
      </c>
    </row>
    <row r="12">
      <c r="A12" s="1" t="s">
        <v>1869</v>
      </c>
      <c r="B12" s="90">
        <f>B11/B2</f>
        <v>0.6401848262</v>
      </c>
      <c r="D12" s="1" t="s">
        <v>1870</v>
      </c>
      <c r="E12" s="90">
        <f>IFERROR(__xludf.DUMMYFUNCTION("IMPORTRANGE(""https://docs.google.com/spreadsheets/d/1RPm-t6EyKIk_MQicbTitx1JLjj2rBkH7kz7Nx0N1ug4/edit#gid=0"", ""C13"")"),5.533333333E-5)</f>
        <v>0.00005533333333</v>
      </c>
    </row>
    <row r="14">
      <c r="A14" s="82" t="s">
        <v>1866</v>
      </c>
      <c r="D14" s="308" t="s">
        <v>1871</v>
      </c>
    </row>
    <row r="15">
      <c r="A15" s="1" t="s">
        <v>1853</v>
      </c>
      <c r="B15" s="1">
        <v>26.0</v>
      </c>
      <c r="D15" s="1" t="s">
        <v>1872</v>
      </c>
      <c r="E15" s="309">
        <f>3.07+1.38+0.001266</f>
        <v>4.451266</v>
      </c>
    </row>
    <row r="16">
      <c r="A16" s="1" t="s">
        <v>1855</v>
      </c>
      <c r="B16" s="90">
        <f>B15/E30</f>
        <v>23.58683129</v>
      </c>
      <c r="D16" s="1" t="s">
        <v>1873</v>
      </c>
      <c r="E16" s="310">
        <v>0.09</v>
      </c>
    </row>
    <row r="17">
      <c r="A17" s="1" t="s">
        <v>1874</v>
      </c>
      <c r="B17" s="90">
        <f>B15*3</f>
        <v>78</v>
      </c>
    </row>
    <row r="18">
      <c r="A18" s="1" t="s">
        <v>1875</v>
      </c>
      <c r="B18" s="90">
        <f>B17/E30</f>
        <v>70.76049387</v>
      </c>
      <c r="D18" s="308" t="s">
        <v>1876</v>
      </c>
    </row>
    <row r="19">
      <c r="D19" s="1" t="s">
        <v>1872</v>
      </c>
      <c r="E19" s="90">
        <f>0.0036+0.02</f>
        <v>0.0236</v>
      </c>
    </row>
    <row r="20">
      <c r="A20" s="1" t="s">
        <v>1858</v>
      </c>
      <c r="B20" s="90">
        <f>B17*(E3+E4)</f>
        <v>11.53947113</v>
      </c>
      <c r="D20" s="1" t="s">
        <v>1873</v>
      </c>
      <c r="E20" s="1">
        <v>0.002</v>
      </c>
    </row>
    <row r="21">
      <c r="A21" s="1" t="s">
        <v>1877</v>
      </c>
      <c r="B21" s="90">
        <f>E32*((B16*E24*E7)+(E8*E24))</f>
        <v>1.004071696</v>
      </c>
    </row>
    <row r="22">
      <c r="A22" s="1" t="s">
        <v>1878</v>
      </c>
      <c r="B22" s="90">
        <f>(B18*E25*E11)+(E25*E12)</f>
        <v>3.965617147</v>
      </c>
      <c r="D22" s="82" t="s">
        <v>1879</v>
      </c>
    </row>
    <row r="23">
      <c r="A23" s="1" t="s">
        <v>1880</v>
      </c>
      <c r="B23" s="90">
        <f>E33*((B3*E26*E7)+(E26*E8))</f>
        <v>0.3146163007</v>
      </c>
      <c r="D23" s="1" t="s">
        <v>1881</v>
      </c>
      <c r="E23" s="1">
        <v>2030.02</v>
      </c>
    </row>
    <row r="24">
      <c r="A24" s="1" t="s">
        <v>1861</v>
      </c>
      <c r="B24" s="90">
        <f>4*(E15+E16)</f>
        <v>18.165064</v>
      </c>
      <c r="D24" s="1" t="s">
        <v>1882</v>
      </c>
      <c r="E24" s="1">
        <v>107.497</v>
      </c>
    </row>
    <row r="25">
      <c r="A25" s="1" t="s">
        <v>1863</v>
      </c>
      <c r="B25" s="90">
        <f>(E34*4)*((B3*(1+E31)*E27*E7)+(E27*E8))</f>
        <v>1.520636335</v>
      </c>
      <c r="D25" s="1" t="s">
        <v>1883</v>
      </c>
      <c r="E25" s="1">
        <v>2087.0</v>
      </c>
    </row>
    <row r="26">
      <c r="A26" s="1" t="s">
        <v>1865</v>
      </c>
      <c r="B26" s="90">
        <f>4*(E19+E20)</f>
        <v>0.1024</v>
      </c>
      <c r="D26" s="1" t="s">
        <v>1884</v>
      </c>
      <c r="E26" s="1">
        <v>32.6</v>
      </c>
    </row>
    <row r="27">
      <c r="D27" s="1" t="s">
        <v>1885</v>
      </c>
      <c r="E27" s="1">
        <v>71.2</v>
      </c>
    </row>
    <row r="28">
      <c r="A28" s="1" t="s">
        <v>1867</v>
      </c>
      <c r="B28" s="90">
        <f>SUM(B20:B26)</f>
        <v>36.61187661</v>
      </c>
    </row>
    <row r="29">
      <c r="A29" s="1" t="s">
        <v>1869</v>
      </c>
      <c r="B29" s="90">
        <f>B28/B17</f>
        <v>0.4693830334</v>
      </c>
      <c r="D29" s="82" t="s">
        <v>1886</v>
      </c>
    </row>
    <row r="30">
      <c r="D30" s="1" t="s">
        <v>1887</v>
      </c>
      <c r="E30" s="1">
        <v>1.10231</v>
      </c>
    </row>
    <row r="31">
      <c r="D31" s="1" t="s">
        <v>1888</v>
      </c>
      <c r="E31" s="311">
        <v>0.11</v>
      </c>
    </row>
    <row r="32">
      <c r="D32" s="1" t="s">
        <v>1889</v>
      </c>
      <c r="E32" s="1">
        <v>3.0</v>
      </c>
    </row>
    <row r="33">
      <c r="D33" s="1" t="s">
        <v>1890</v>
      </c>
      <c r="E33" s="1">
        <v>4.0</v>
      </c>
    </row>
    <row r="34">
      <c r="D34" s="1" t="s">
        <v>1891</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2" t="s">
        <v>1798</v>
      </c>
      <c r="B1" s="313" t="s">
        <v>1799</v>
      </c>
      <c r="C1" s="313" t="s">
        <v>1800</v>
      </c>
      <c r="D1" s="313" t="s">
        <v>1801</v>
      </c>
      <c r="E1" s="313" t="s">
        <v>1802</v>
      </c>
      <c r="F1" s="313" t="s">
        <v>1803</v>
      </c>
      <c r="G1" s="314" t="s">
        <v>1805</v>
      </c>
      <c r="H1" s="313" t="s">
        <v>1806</v>
      </c>
      <c r="I1" s="313" t="s">
        <v>1807</v>
      </c>
      <c r="J1" s="313" t="s">
        <v>1808</v>
      </c>
      <c r="K1" s="313" t="s">
        <v>1809</v>
      </c>
      <c r="L1" s="315"/>
      <c r="M1" s="313" t="s">
        <v>1811</v>
      </c>
      <c r="N1" s="316" t="s">
        <v>1812</v>
      </c>
      <c r="O1" s="316" t="s">
        <v>1813</v>
      </c>
      <c r="P1" s="313" t="s">
        <v>1814</v>
      </c>
      <c r="Q1" s="317" t="s">
        <v>1815</v>
      </c>
      <c r="R1" s="313" t="s">
        <v>1816</v>
      </c>
      <c r="S1" s="313" t="s">
        <v>1817</v>
      </c>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5"/>
      <c r="AS1" s="315"/>
      <c r="AT1" s="315"/>
      <c r="AU1" s="318"/>
    </row>
    <row r="2">
      <c r="A2" s="319"/>
      <c r="B2" s="320"/>
      <c r="C2" s="320"/>
      <c r="D2" s="320"/>
      <c r="E2" s="320"/>
      <c r="F2" s="320"/>
      <c r="G2" s="320"/>
      <c r="H2" s="320"/>
      <c r="I2" s="320"/>
      <c r="J2" s="320"/>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1"/>
    </row>
    <row r="3">
      <c r="A3" s="319"/>
      <c r="B3" s="320"/>
      <c r="C3" s="320"/>
      <c r="D3" s="320"/>
      <c r="E3" s="320"/>
      <c r="F3" s="320"/>
      <c r="G3" s="320"/>
      <c r="H3" s="320"/>
      <c r="I3" s="320"/>
      <c r="J3" s="320"/>
      <c r="K3" s="320"/>
      <c r="L3" s="320"/>
      <c r="M3" s="320"/>
      <c r="N3" s="320"/>
      <c r="O3" s="320"/>
      <c r="P3" s="320"/>
      <c r="Q3" s="320"/>
      <c r="R3" s="320"/>
      <c r="S3" s="320"/>
      <c r="T3" s="320"/>
      <c r="U3" s="320"/>
      <c r="V3" s="320"/>
      <c r="W3" s="320"/>
      <c r="X3" s="320"/>
      <c r="Y3" s="320"/>
      <c r="Z3" s="320"/>
      <c r="AA3" s="320"/>
      <c r="AB3" s="320"/>
      <c r="AC3" s="320"/>
      <c r="AD3" s="320"/>
      <c r="AE3" s="320"/>
      <c r="AF3" s="320"/>
      <c r="AG3" s="320"/>
      <c r="AH3" s="320"/>
      <c r="AI3" s="320"/>
      <c r="AJ3" s="320"/>
      <c r="AK3" s="320"/>
      <c r="AL3" s="320"/>
      <c r="AM3" s="320"/>
      <c r="AN3" s="320"/>
      <c r="AO3" s="320"/>
      <c r="AP3" s="320"/>
      <c r="AQ3" s="320"/>
      <c r="AR3" s="320"/>
      <c r="AS3" s="320"/>
      <c r="AT3" s="320"/>
      <c r="AU3" s="321"/>
    </row>
    <row r="4">
      <c r="A4" s="319"/>
      <c r="B4" s="320"/>
      <c r="C4" s="320"/>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320"/>
      <c r="AO4" s="320"/>
      <c r="AP4" s="320"/>
      <c r="AQ4" s="320"/>
      <c r="AR4" s="320"/>
      <c r="AS4" s="320"/>
      <c r="AT4" s="320"/>
      <c r="AU4" s="321"/>
    </row>
    <row r="5">
      <c r="A5" s="319"/>
      <c r="B5" s="320"/>
      <c r="C5" s="320"/>
      <c r="D5" s="320"/>
      <c r="E5" s="320"/>
      <c r="F5" s="320"/>
      <c r="G5" s="320"/>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1"/>
    </row>
    <row r="6">
      <c r="A6" s="319"/>
      <c r="B6" s="320"/>
      <c r="C6" s="320"/>
      <c r="D6" s="320"/>
      <c r="E6" s="320"/>
      <c r="F6" s="320"/>
      <c r="G6" s="320"/>
      <c r="H6" s="320"/>
      <c r="I6" s="320"/>
      <c r="J6" s="320"/>
      <c r="K6" s="320"/>
      <c r="L6" s="320"/>
      <c r="M6" s="320"/>
      <c r="N6" s="320"/>
      <c r="O6" s="320"/>
      <c r="P6" s="320"/>
      <c r="Q6" s="320"/>
      <c r="R6" s="320"/>
      <c r="S6" s="320"/>
      <c r="T6" s="320"/>
      <c r="U6" s="320"/>
      <c r="V6" s="320"/>
      <c r="W6" s="320"/>
      <c r="X6" s="320"/>
      <c r="Y6" s="320"/>
      <c r="Z6" s="320"/>
      <c r="AA6" s="320"/>
      <c r="AB6" s="320"/>
      <c r="AC6" s="320"/>
      <c r="AD6" s="320"/>
      <c r="AE6" s="320"/>
      <c r="AF6" s="320"/>
      <c r="AG6" s="320"/>
      <c r="AH6" s="320"/>
      <c r="AI6" s="320"/>
      <c r="AJ6" s="320"/>
      <c r="AK6" s="320"/>
      <c r="AL6" s="320"/>
      <c r="AM6" s="320"/>
      <c r="AN6" s="320"/>
      <c r="AO6" s="320"/>
      <c r="AP6" s="320"/>
      <c r="AQ6" s="320"/>
      <c r="AR6" s="320"/>
      <c r="AS6" s="320"/>
      <c r="AT6" s="320"/>
      <c r="AU6" s="321"/>
    </row>
    <row r="7">
      <c r="A7" s="319"/>
      <c r="B7" s="320"/>
      <c r="C7" s="320"/>
      <c r="D7" s="320"/>
      <c r="E7" s="320"/>
      <c r="F7" s="320"/>
      <c r="G7" s="320"/>
      <c r="H7" s="320"/>
      <c r="I7" s="320"/>
      <c r="J7" s="320"/>
      <c r="K7" s="320"/>
      <c r="L7" s="320"/>
      <c r="M7" s="320"/>
      <c r="N7" s="320"/>
      <c r="O7" s="320"/>
      <c r="P7" s="320"/>
      <c r="Q7" s="320"/>
      <c r="R7" s="320"/>
      <c r="S7" s="320"/>
      <c r="T7" s="320"/>
      <c r="U7" s="320"/>
      <c r="V7" s="320"/>
      <c r="W7" s="320"/>
      <c r="X7" s="320"/>
      <c r="Y7" s="320"/>
      <c r="Z7" s="320"/>
      <c r="AA7" s="320"/>
      <c r="AB7" s="320"/>
      <c r="AC7" s="320"/>
      <c r="AD7" s="320"/>
      <c r="AE7" s="320"/>
      <c r="AF7" s="320"/>
      <c r="AG7" s="320"/>
      <c r="AH7" s="320"/>
      <c r="AI7" s="320"/>
      <c r="AJ7" s="320"/>
      <c r="AK7" s="320"/>
      <c r="AL7" s="320"/>
      <c r="AM7" s="320"/>
      <c r="AN7" s="320"/>
      <c r="AO7" s="320"/>
      <c r="AP7" s="320"/>
      <c r="AQ7" s="320"/>
      <c r="AR7" s="320"/>
      <c r="AS7" s="320"/>
      <c r="AT7" s="320"/>
      <c r="AU7" s="321"/>
    </row>
    <row r="8">
      <c r="A8" s="319"/>
      <c r="B8" s="320"/>
      <c r="C8" s="320"/>
      <c r="D8" s="320"/>
      <c r="E8" s="320"/>
      <c r="F8" s="320"/>
      <c r="G8" s="320"/>
      <c r="H8" s="320"/>
      <c r="I8" s="320"/>
      <c r="J8" s="320"/>
      <c r="K8" s="320"/>
      <c r="L8" s="320"/>
      <c r="M8" s="320"/>
      <c r="N8" s="320"/>
      <c r="O8" s="320"/>
      <c r="P8" s="320"/>
      <c r="Q8" s="320"/>
      <c r="R8" s="320"/>
      <c r="S8" s="320"/>
      <c r="T8" s="320"/>
      <c r="U8" s="320"/>
      <c r="V8" s="320"/>
      <c r="W8" s="320"/>
      <c r="X8" s="320"/>
      <c r="Y8" s="320"/>
      <c r="Z8" s="320"/>
      <c r="AA8" s="320"/>
      <c r="AB8" s="320"/>
      <c r="AC8" s="320"/>
      <c r="AD8" s="320"/>
      <c r="AE8" s="320"/>
      <c r="AF8" s="320"/>
      <c r="AG8" s="320"/>
      <c r="AH8" s="320"/>
      <c r="AI8" s="320"/>
      <c r="AJ8" s="320"/>
      <c r="AK8" s="320"/>
      <c r="AL8" s="320"/>
      <c r="AM8" s="320"/>
      <c r="AN8" s="320"/>
      <c r="AO8" s="320"/>
      <c r="AP8" s="320"/>
      <c r="AQ8" s="320"/>
      <c r="AR8" s="320"/>
      <c r="AS8" s="320"/>
      <c r="AT8" s="320"/>
      <c r="AU8" s="321"/>
    </row>
    <row r="9">
      <c r="A9" s="319"/>
      <c r="B9" s="320"/>
      <c r="C9" s="320"/>
      <c r="D9" s="320"/>
      <c r="E9" s="320"/>
      <c r="F9" s="320"/>
      <c r="G9" s="320"/>
      <c r="H9" s="320"/>
      <c r="I9" s="320"/>
      <c r="J9" s="320"/>
      <c r="K9" s="320"/>
      <c r="L9" s="320"/>
      <c r="M9" s="320"/>
      <c r="N9" s="320"/>
      <c r="O9" s="320"/>
      <c r="P9" s="320"/>
      <c r="Q9" s="320"/>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1"/>
    </row>
    <row r="10">
      <c r="A10" s="319"/>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0"/>
      <c r="AF10" s="320"/>
      <c r="AG10" s="320"/>
      <c r="AH10" s="320"/>
      <c r="AI10" s="320"/>
      <c r="AJ10" s="320"/>
      <c r="AK10" s="320"/>
      <c r="AL10" s="320"/>
      <c r="AM10" s="320"/>
      <c r="AN10" s="320"/>
      <c r="AO10" s="320"/>
      <c r="AP10" s="320"/>
      <c r="AQ10" s="320"/>
      <c r="AR10" s="320"/>
      <c r="AS10" s="320"/>
      <c r="AT10" s="320"/>
      <c r="AU10" s="321"/>
    </row>
    <row r="11">
      <c r="A11" s="319"/>
      <c r="B11" s="320"/>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1"/>
    </row>
    <row r="12">
      <c r="A12" s="319"/>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1"/>
    </row>
    <row r="13">
      <c r="A13" s="319"/>
      <c r="B13" s="320"/>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1"/>
    </row>
    <row r="14">
      <c r="A14" s="319"/>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1"/>
    </row>
    <row r="15">
      <c r="A15" s="319"/>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c r="AA15" s="320"/>
      <c r="AB15" s="320"/>
      <c r="AC15" s="320"/>
      <c r="AD15" s="320"/>
      <c r="AE15" s="320"/>
      <c r="AF15" s="320"/>
      <c r="AG15" s="320"/>
      <c r="AH15" s="320"/>
      <c r="AI15" s="320"/>
      <c r="AJ15" s="320"/>
      <c r="AK15" s="320"/>
      <c r="AL15" s="320"/>
      <c r="AM15" s="320"/>
      <c r="AN15" s="320"/>
      <c r="AO15" s="320"/>
      <c r="AP15" s="320"/>
      <c r="AQ15" s="320"/>
      <c r="AR15" s="320"/>
      <c r="AS15" s="320"/>
      <c r="AT15" s="320"/>
      <c r="AU15" s="321"/>
    </row>
    <row r="16">
      <c r="A16" s="319"/>
      <c r="B16" s="320"/>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1"/>
    </row>
    <row r="17">
      <c r="A17" s="319"/>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1"/>
    </row>
    <row r="18">
      <c r="A18" s="319"/>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0"/>
      <c r="AU18" s="321"/>
    </row>
    <row r="19">
      <c r="A19" s="319"/>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0"/>
      <c r="AU19" s="321"/>
    </row>
    <row r="20">
      <c r="A20" s="319"/>
      <c r="B20" s="320"/>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1"/>
    </row>
    <row r="21">
      <c r="A21" s="319"/>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c r="AA21" s="320"/>
      <c r="AB21" s="320"/>
      <c r="AC21" s="320"/>
      <c r="AD21" s="320"/>
      <c r="AE21" s="320"/>
      <c r="AF21" s="320"/>
      <c r="AG21" s="320"/>
      <c r="AH21" s="320"/>
      <c r="AI21" s="320"/>
      <c r="AJ21" s="320"/>
      <c r="AK21" s="320"/>
      <c r="AL21" s="320"/>
      <c r="AM21" s="320"/>
      <c r="AN21" s="320"/>
      <c r="AO21" s="320"/>
      <c r="AP21" s="320"/>
      <c r="AQ21" s="320"/>
      <c r="AR21" s="320"/>
      <c r="AS21" s="320"/>
      <c r="AT21" s="320"/>
      <c r="AU21" s="321"/>
    </row>
    <row r="22">
      <c r="A22" s="319"/>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1"/>
    </row>
    <row r="23">
      <c r="A23" s="319"/>
      <c r="B23" s="320"/>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c r="AA23" s="320"/>
      <c r="AB23" s="320"/>
      <c r="AC23" s="320"/>
      <c r="AD23" s="320"/>
      <c r="AE23" s="320"/>
      <c r="AF23" s="320"/>
      <c r="AG23" s="320"/>
      <c r="AH23" s="320"/>
      <c r="AI23" s="320"/>
      <c r="AJ23" s="320"/>
      <c r="AK23" s="320"/>
      <c r="AL23" s="320"/>
      <c r="AM23" s="320"/>
      <c r="AN23" s="320"/>
      <c r="AO23" s="320"/>
      <c r="AP23" s="320"/>
      <c r="AQ23" s="320"/>
      <c r="AR23" s="320"/>
      <c r="AS23" s="320"/>
      <c r="AT23" s="320"/>
      <c r="AU23" s="321"/>
    </row>
    <row r="24">
      <c r="A24" s="319"/>
      <c r="B24" s="320"/>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c r="AA24" s="320"/>
      <c r="AB24" s="320"/>
      <c r="AC24" s="320"/>
      <c r="AD24" s="320"/>
      <c r="AE24" s="320"/>
      <c r="AF24" s="320"/>
      <c r="AG24" s="320"/>
      <c r="AH24" s="320"/>
      <c r="AI24" s="320"/>
      <c r="AJ24" s="320"/>
      <c r="AK24" s="320"/>
      <c r="AL24" s="320"/>
      <c r="AM24" s="320"/>
      <c r="AN24" s="320"/>
      <c r="AO24" s="320"/>
      <c r="AP24" s="320"/>
      <c r="AQ24" s="320"/>
      <c r="AR24" s="320"/>
      <c r="AS24" s="320"/>
      <c r="AT24" s="320"/>
      <c r="AU24" s="321"/>
    </row>
    <row r="25">
      <c r="A25" s="319"/>
      <c r="B25" s="320"/>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20"/>
      <c r="AT25" s="320"/>
      <c r="AU25" s="321"/>
    </row>
    <row r="26">
      <c r="A26" s="319"/>
      <c r="B26" s="320"/>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c r="AA26" s="320"/>
      <c r="AB26" s="320"/>
      <c r="AC26" s="320"/>
      <c r="AD26" s="320"/>
      <c r="AE26" s="320"/>
      <c r="AF26" s="320"/>
      <c r="AG26" s="320"/>
      <c r="AH26" s="320"/>
      <c r="AI26" s="320"/>
      <c r="AJ26" s="320"/>
      <c r="AK26" s="320"/>
      <c r="AL26" s="320"/>
      <c r="AM26" s="320"/>
      <c r="AN26" s="320"/>
      <c r="AO26" s="320"/>
      <c r="AP26" s="320"/>
      <c r="AQ26" s="320"/>
      <c r="AR26" s="320"/>
      <c r="AS26" s="320"/>
      <c r="AT26" s="320"/>
      <c r="AU26" s="321"/>
    </row>
    <row r="27">
      <c r="A27" s="319"/>
      <c r="B27" s="320"/>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c r="AA27" s="320"/>
      <c r="AB27" s="320"/>
      <c r="AC27" s="320"/>
      <c r="AD27" s="320"/>
      <c r="AE27" s="320"/>
      <c r="AF27" s="320"/>
      <c r="AG27" s="320"/>
      <c r="AH27" s="320"/>
      <c r="AI27" s="320"/>
      <c r="AJ27" s="320"/>
      <c r="AK27" s="320"/>
      <c r="AL27" s="320"/>
      <c r="AM27" s="320"/>
      <c r="AN27" s="320"/>
      <c r="AO27" s="320"/>
      <c r="AP27" s="320"/>
      <c r="AQ27" s="320"/>
      <c r="AR27" s="320"/>
      <c r="AS27" s="320"/>
      <c r="AT27" s="320"/>
      <c r="AU27" s="321"/>
    </row>
    <row r="28">
      <c r="A28" s="319"/>
      <c r="B28" s="320"/>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c r="AA28" s="320"/>
      <c r="AB28" s="320"/>
      <c r="AC28" s="320"/>
      <c r="AD28" s="320"/>
      <c r="AE28" s="320"/>
      <c r="AF28" s="320"/>
      <c r="AG28" s="320"/>
      <c r="AH28" s="320"/>
      <c r="AI28" s="320"/>
      <c r="AJ28" s="320"/>
      <c r="AK28" s="320"/>
      <c r="AL28" s="320"/>
      <c r="AM28" s="320"/>
      <c r="AN28" s="320"/>
      <c r="AO28" s="320"/>
      <c r="AP28" s="320"/>
      <c r="AQ28" s="320"/>
      <c r="AR28" s="320"/>
      <c r="AS28" s="320"/>
      <c r="AT28" s="320"/>
      <c r="AU28" s="321"/>
    </row>
    <row r="29">
      <c r="A29" s="319"/>
      <c r="B29" s="320"/>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c r="AA29" s="320"/>
      <c r="AB29" s="320"/>
      <c r="AC29" s="320"/>
      <c r="AD29" s="320"/>
      <c r="AE29" s="320"/>
      <c r="AF29" s="320"/>
      <c r="AG29" s="320"/>
      <c r="AH29" s="320"/>
      <c r="AI29" s="320"/>
      <c r="AJ29" s="320"/>
      <c r="AK29" s="320"/>
      <c r="AL29" s="320"/>
      <c r="AM29" s="320"/>
      <c r="AN29" s="320"/>
      <c r="AO29" s="320"/>
      <c r="AP29" s="320"/>
      <c r="AQ29" s="320"/>
      <c r="AR29" s="320"/>
      <c r="AS29" s="320"/>
      <c r="AT29" s="320"/>
      <c r="AU29" s="321"/>
    </row>
    <row r="30">
      <c r="A30" s="319"/>
      <c r="B30" s="320"/>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c r="AA30" s="320"/>
      <c r="AB30" s="320"/>
      <c r="AC30" s="320"/>
      <c r="AD30" s="320"/>
      <c r="AE30" s="320"/>
      <c r="AF30" s="320"/>
      <c r="AG30" s="320"/>
      <c r="AH30" s="320"/>
      <c r="AI30" s="320"/>
      <c r="AJ30" s="320"/>
      <c r="AK30" s="320"/>
      <c r="AL30" s="320"/>
      <c r="AM30" s="320"/>
      <c r="AN30" s="320"/>
      <c r="AO30" s="320"/>
      <c r="AP30" s="320"/>
      <c r="AQ30" s="320"/>
      <c r="AR30" s="320"/>
      <c r="AS30" s="320"/>
      <c r="AT30" s="320"/>
      <c r="AU30" s="321"/>
    </row>
    <row r="31">
      <c r="A31" s="319"/>
      <c r="B31" s="320"/>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c r="AA31" s="320"/>
      <c r="AB31" s="320"/>
      <c r="AC31" s="320"/>
      <c r="AD31" s="320"/>
      <c r="AE31" s="320"/>
      <c r="AF31" s="320"/>
      <c r="AG31" s="320"/>
      <c r="AH31" s="320"/>
      <c r="AI31" s="320"/>
      <c r="AJ31" s="320"/>
      <c r="AK31" s="320"/>
      <c r="AL31" s="320"/>
      <c r="AM31" s="320"/>
      <c r="AN31" s="320"/>
      <c r="AO31" s="320"/>
      <c r="AP31" s="320"/>
      <c r="AQ31" s="320"/>
      <c r="AR31" s="320"/>
      <c r="AS31" s="320"/>
      <c r="AT31" s="320"/>
      <c r="AU31" s="321"/>
    </row>
    <row r="32">
      <c r="A32" s="319"/>
      <c r="B32" s="320"/>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c r="AA32" s="320"/>
      <c r="AB32" s="320"/>
      <c r="AC32" s="320"/>
      <c r="AD32" s="320"/>
      <c r="AE32" s="320"/>
      <c r="AF32" s="320"/>
      <c r="AG32" s="320"/>
      <c r="AH32" s="320"/>
      <c r="AI32" s="320"/>
      <c r="AJ32" s="320"/>
      <c r="AK32" s="320"/>
      <c r="AL32" s="320"/>
      <c r="AM32" s="320"/>
      <c r="AN32" s="320"/>
      <c r="AO32" s="320"/>
      <c r="AP32" s="320"/>
      <c r="AQ32" s="320"/>
      <c r="AR32" s="320"/>
      <c r="AS32" s="320"/>
      <c r="AT32" s="320"/>
      <c r="AU32" s="321"/>
    </row>
    <row r="33">
      <c r="A33" s="319"/>
      <c r="B33" s="320"/>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c r="AA33" s="320"/>
      <c r="AB33" s="320"/>
      <c r="AC33" s="320"/>
      <c r="AD33" s="320"/>
      <c r="AE33" s="320"/>
      <c r="AF33" s="320"/>
      <c r="AG33" s="320"/>
      <c r="AH33" s="320"/>
      <c r="AI33" s="320"/>
      <c r="AJ33" s="320"/>
      <c r="AK33" s="320"/>
      <c r="AL33" s="320"/>
      <c r="AM33" s="320"/>
      <c r="AN33" s="320"/>
      <c r="AO33" s="320"/>
      <c r="AP33" s="320"/>
      <c r="AQ33" s="320"/>
      <c r="AR33" s="320"/>
      <c r="AS33" s="320"/>
      <c r="AT33" s="320"/>
      <c r="AU33" s="321"/>
    </row>
    <row r="34">
      <c r="A34" s="319"/>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c r="AA34" s="320"/>
      <c r="AB34" s="320"/>
      <c r="AC34" s="320"/>
      <c r="AD34" s="320"/>
      <c r="AE34" s="320"/>
      <c r="AF34" s="320"/>
      <c r="AG34" s="320"/>
      <c r="AH34" s="320"/>
      <c r="AI34" s="320"/>
      <c r="AJ34" s="320"/>
      <c r="AK34" s="320"/>
      <c r="AL34" s="320"/>
      <c r="AM34" s="320"/>
      <c r="AN34" s="320"/>
      <c r="AO34" s="320"/>
      <c r="AP34" s="320"/>
      <c r="AQ34" s="320"/>
      <c r="AR34" s="320"/>
      <c r="AS34" s="320"/>
      <c r="AT34" s="320"/>
      <c r="AU34" s="321"/>
    </row>
    <row r="35">
      <c r="A35" s="319"/>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c r="AA35" s="320"/>
      <c r="AB35" s="320"/>
      <c r="AC35" s="320"/>
      <c r="AD35" s="320"/>
      <c r="AE35" s="320"/>
      <c r="AF35" s="320"/>
      <c r="AG35" s="320"/>
      <c r="AH35" s="320"/>
      <c r="AI35" s="320"/>
      <c r="AJ35" s="320"/>
      <c r="AK35" s="320"/>
      <c r="AL35" s="320"/>
      <c r="AM35" s="320"/>
      <c r="AN35" s="320"/>
      <c r="AO35" s="320"/>
      <c r="AP35" s="320"/>
      <c r="AQ35" s="320"/>
      <c r="AR35" s="320"/>
      <c r="AS35" s="320"/>
      <c r="AT35" s="320"/>
      <c r="AU35" s="321"/>
    </row>
    <row r="36">
      <c r="A36" s="319"/>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c r="AA36" s="320"/>
      <c r="AB36" s="320"/>
      <c r="AC36" s="320"/>
      <c r="AD36" s="320"/>
      <c r="AE36" s="320"/>
      <c r="AF36" s="320"/>
      <c r="AG36" s="320"/>
      <c r="AH36" s="320"/>
      <c r="AI36" s="320"/>
      <c r="AJ36" s="320"/>
      <c r="AK36" s="320"/>
      <c r="AL36" s="320"/>
      <c r="AM36" s="320"/>
      <c r="AN36" s="320"/>
      <c r="AO36" s="320"/>
      <c r="AP36" s="320"/>
      <c r="AQ36" s="320"/>
      <c r="AR36" s="320"/>
      <c r="AS36" s="320"/>
      <c r="AT36" s="320"/>
      <c r="AU36" s="321"/>
    </row>
    <row r="37">
      <c r="A37" s="319"/>
      <c r="B37" s="320"/>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1"/>
    </row>
    <row r="38">
      <c r="A38" s="319"/>
      <c r="B38" s="320"/>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1"/>
    </row>
    <row r="39">
      <c r="A39" s="319"/>
      <c r="B39" s="320"/>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1"/>
    </row>
    <row r="40">
      <c r="A40" s="319"/>
      <c r="B40" s="320"/>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1"/>
    </row>
    <row r="41">
      <c r="A41" s="319"/>
      <c r="B41" s="320"/>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c r="AA41" s="320"/>
      <c r="AB41" s="320"/>
      <c r="AC41" s="320"/>
      <c r="AD41" s="320"/>
      <c r="AE41" s="320"/>
      <c r="AF41" s="320"/>
      <c r="AG41" s="320"/>
      <c r="AH41" s="320"/>
      <c r="AI41" s="320"/>
      <c r="AJ41" s="320"/>
      <c r="AK41" s="320"/>
      <c r="AL41" s="320"/>
      <c r="AM41" s="320"/>
      <c r="AN41" s="320"/>
      <c r="AO41" s="320"/>
      <c r="AP41" s="320"/>
      <c r="AQ41" s="320"/>
      <c r="AR41" s="320"/>
      <c r="AS41" s="320"/>
      <c r="AT41" s="320"/>
      <c r="AU41" s="321"/>
    </row>
    <row r="42">
      <c r="A42" s="319"/>
      <c r="B42" s="320"/>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320"/>
      <c r="AI42" s="320"/>
      <c r="AJ42" s="320"/>
      <c r="AK42" s="320"/>
      <c r="AL42" s="320"/>
      <c r="AM42" s="320"/>
      <c r="AN42" s="320"/>
      <c r="AO42" s="320"/>
      <c r="AP42" s="320"/>
      <c r="AQ42" s="320"/>
      <c r="AR42" s="320"/>
      <c r="AS42" s="320"/>
      <c r="AT42" s="320"/>
      <c r="AU42" s="321"/>
    </row>
    <row r="43">
      <c r="A43" s="319"/>
      <c r="B43" s="320"/>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c r="AA43" s="320"/>
      <c r="AB43" s="320"/>
      <c r="AC43" s="320"/>
      <c r="AD43" s="320"/>
      <c r="AE43" s="320"/>
      <c r="AF43" s="320"/>
      <c r="AG43" s="320"/>
      <c r="AH43" s="320"/>
      <c r="AI43" s="320"/>
      <c r="AJ43" s="320"/>
      <c r="AK43" s="320"/>
      <c r="AL43" s="320"/>
      <c r="AM43" s="320"/>
      <c r="AN43" s="320"/>
      <c r="AO43" s="320"/>
      <c r="AP43" s="320"/>
      <c r="AQ43" s="320"/>
      <c r="AR43" s="320"/>
      <c r="AS43" s="320"/>
      <c r="AT43" s="320"/>
      <c r="AU43" s="321"/>
    </row>
    <row r="44">
      <c r="A44" s="319"/>
      <c r="B44" s="320"/>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c r="AA44" s="320"/>
      <c r="AB44" s="320"/>
      <c r="AC44" s="320"/>
      <c r="AD44" s="320"/>
      <c r="AE44" s="320"/>
      <c r="AF44" s="320"/>
      <c r="AG44" s="320"/>
      <c r="AH44" s="320"/>
      <c r="AI44" s="320"/>
      <c r="AJ44" s="320"/>
      <c r="AK44" s="320"/>
      <c r="AL44" s="320"/>
      <c r="AM44" s="320"/>
      <c r="AN44" s="320"/>
      <c r="AO44" s="320"/>
      <c r="AP44" s="320"/>
      <c r="AQ44" s="320"/>
      <c r="AR44" s="320"/>
      <c r="AS44" s="320"/>
      <c r="AT44" s="320"/>
      <c r="AU44" s="321"/>
    </row>
    <row r="45">
      <c r="A45" s="319"/>
      <c r="B45" s="320"/>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c r="AA45" s="320"/>
      <c r="AB45" s="320"/>
      <c r="AC45" s="320"/>
      <c r="AD45" s="320"/>
      <c r="AE45" s="320"/>
      <c r="AF45" s="320"/>
      <c r="AG45" s="320"/>
      <c r="AH45" s="320"/>
      <c r="AI45" s="320"/>
      <c r="AJ45" s="320"/>
      <c r="AK45" s="320"/>
      <c r="AL45" s="320"/>
      <c r="AM45" s="320"/>
      <c r="AN45" s="320"/>
      <c r="AO45" s="320"/>
      <c r="AP45" s="320"/>
      <c r="AQ45" s="320"/>
      <c r="AR45" s="320"/>
      <c r="AS45" s="320"/>
      <c r="AT45" s="320"/>
      <c r="AU45" s="321"/>
    </row>
    <row r="46">
      <c r="A46" s="319"/>
      <c r="B46" s="320"/>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c r="AA46" s="320"/>
      <c r="AB46" s="320"/>
      <c r="AC46" s="320"/>
      <c r="AD46" s="320"/>
      <c r="AE46" s="320"/>
      <c r="AF46" s="320"/>
      <c r="AG46" s="320"/>
      <c r="AH46" s="320"/>
      <c r="AI46" s="320"/>
      <c r="AJ46" s="320"/>
      <c r="AK46" s="320"/>
      <c r="AL46" s="320"/>
      <c r="AM46" s="320"/>
      <c r="AN46" s="320"/>
      <c r="AO46" s="320"/>
      <c r="AP46" s="320"/>
      <c r="AQ46" s="320"/>
      <c r="AR46" s="320"/>
      <c r="AS46" s="320"/>
      <c r="AT46" s="320"/>
      <c r="AU46" s="321"/>
    </row>
    <row r="47">
      <c r="A47" s="319"/>
      <c r="B47" s="320"/>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c r="AA47" s="320"/>
      <c r="AB47" s="320"/>
      <c r="AC47" s="320"/>
      <c r="AD47" s="320"/>
      <c r="AE47" s="320"/>
      <c r="AF47" s="320"/>
      <c r="AG47" s="320"/>
      <c r="AH47" s="320"/>
      <c r="AI47" s="320"/>
      <c r="AJ47" s="320"/>
      <c r="AK47" s="320"/>
      <c r="AL47" s="320"/>
      <c r="AM47" s="320"/>
      <c r="AN47" s="320"/>
      <c r="AO47" s="320"/>
      <c r="AP47" s="320"/>
      <c r="AQ47" s="320"/>
      <c r="AR47" s="320"/>
      <c r="AS47" s="320"/>
      <c r="AT47" s="320"/>
      <c r="AU47" s="321"/>
    </row>
    <row r="48">
      <c r="A48" s="319"/>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c r="AA48" s="320"/>
      <c r="AB48" s="320"/>
      <c r="AC48" s="320"/>
      <c r="AD48" s="320"/>
      <c r="AE48" s="320"/>
      <c r="AF48" s="320"/>
      <c r="AG48" s="320"/>
      <c r="AH48" s="320"/>
      <c r="AI48" s="320"/>
      <c r="AJ48" s="320"/>
      <c r="AK48" s="320"/>
      <c r="AL48" s="320"/>
      <c r="AM48" s="320"/>
      <c r="AN48" s="320"/>
      <c r="AO48" s="320"/>
      <c r="AP48" s="320"/>
      <c r="AQ48" s="320"/>
      <c r="AR48" s="320"/>
      <c r="AS48" s="320"/>
      <c r="AT48" s="320"/>
      <c r="AU48" s="321"/>
    </row>
    <row r="49">
      <c r="A49" s="319"/>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1"/>
    </row>
    <row r="50">
      <c r="A50" s="319"/>
      <c r="B50" s="320"/>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c r="AA50" s="320"/>
      <c r="AB50" s="320"/>
      <c r="AC50" s="320"/>
      <c r="AD50" s="320"/>
      <c r="AE50" s="320"/>
      <c r="AF50" s="320"/>
      <c r="AG50" s="320"/>
      <c r="AH50" s="320"/>
      <c r="AI50" s="320"/>
      <c r="AJ50" s="320"/>
      <c r="AK50" s="320"/>
      <c r="AL50" s="320"/>
      <c r="AM50" s="320"/>
      <c r="AN50" s="320"/>
      <c r="AO50" s="320"/>
      <c r="AP50" s="320"/>
      <c r="AQ50" s="320"/>
      <c r="AR50" s="320"/>
      <c r="AS50" s="320"/>
      <c r="AT50" s="320"/>
      <c r="AU50" s="321"/>
    </row>
    <row r="51">
      <c r="A51" s="319"/>
      <c r="B51" s="320"/>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c r="AA51" s="320"/>
      <c r="AB51" s="320"/>
      <c r="AC51" s="320"/>
      <c r="AD51" s="320"/>
      <c r="AE51" s="320"/>
      <c r="AF51" s="320"/>
      <c r="AG51" s="320"/>
      <c r="AH51" s="320"/>
      <c r="AI51" s="320"/>
      <c r="AJ51" s="320"/>
      <c r="AK51" s="320"/>
      <c r="AL51" s="320"/>
      <c r="AM51" s="320"/>
      <c r="AN51" s="320"/>
      <c r="AO51" s="320"/>
      <c r="AP51" s="320"/>
      <c r="AQ51" s="320"/>
      <c r="AR51" s="320"/>
      <c r="AS51" s="320"/>
      <c r="AT51" s="320"/>
      <c r="AU51" s="321"/>
    </row>
    <row r="52">
      <c r="A52" s="319"/>
      <c r="B52" s="320"/>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1"/>
    </row>
    <row r="53">
      <c r="A53" s="319"/>
      <c r="B53" s="320"/>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c r="AA53" s="320"/>
      <c r="AB53" s="320"/>
      <c r="AC53" s="320"/>
      <c r="AD53" s="320"/>
      <c r="AE53" s="320"/>
      <c r="AF53" s="320"/>
      <c r="AG53" s="320"/>
      <c r="AH53" s="320"/>
      <c r="AI53" s="320"/>
      <c r="AJ53" s="320"/>
      <c r="AK53" s="320"/>
      <c r="AL53" s="320"/>
      <c r="AM53" s="320"/>
      <c r="AN53" s="320"/>
      <c r="AO53" s="320"/>
      <c r="AP53" s="320"/>
      <c r="AQ53" s="320"/>
      <c r="AR53" s="320"/>
      <c r="AS53" s="320"/>
      <c r="AT53" s="320"/>
      <c r="AU53" s="321"/>
    </row>
    <row r="54">
      <c r="A54" s="319"/>
      <c r="B54" s="320"/>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c r="AA54" s="320"/>
      <c r="AB54" s="320"/>
      <c r="AC54" s="320"/>
      <c r="AD54" s="320"/>
      <c r="AE54" s="320"/>
      <c r="AF54" s="320"/>
      <c r="AG54" s="320"/>
      <c r="AH54" s="320"/>
      <c r="AI54" s="320"/>
      <c r="AJ54" s="320"/>
      <c r="AK54" s="320"/>
      <c r="AL54" s="320"/>
      <c r="AM54" s="320"/>
      <c r="AN54" s="320"/>
      <c r="AO54" s="320"/>
      <c r="AP54" s="320"/>
      <c r="AQ54" s="320"/>
      <c r="AR54" s="320"/>
      <c r="AS54" s="320"/>
      <c r="AT54" s="320"/>
      <c r="AU54" s="321"/>
    </row>
    <row r="55">
      <c r="A55" s="319"/>
      <c r="B55" s="320"/>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1"/>
    </row>
    <row r="56">
      <c r="A56" s="319"/>
      <c r="B56" s="320"/>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c r="AA56" s="320"/>
      <c r="AB56" s="320"/>
      <c r="AC56" s="320"/>
      <c r="AD56" s="320"/>
      <c r="AE56" s="320"/>
      <c r="AF56" s="320"/>
      <c r="AG56" s="320"/>
      <c r="AH56" s="320"/>
      <c r="AI56" s="320"/>
      <c r="AJ56" s="320"/>
      <c r="AK56" s="320"/>
      <c r="AL56" s="320"/>
      <c r="AM56" s="320"/>
      <c r="AN56" s="320"/>
      <c r="AO56" s="320"/>
      <c r="AP56" s="320"/>
      <c r="AQ56" s="320"/>
      <c r="AR56" s="320"/>
      <c r="AS56" s="320"/>
      <c r="AT56" s="320"/>
      <c r="AU56" s="321"/>
    </row>
    <row r="57">
      <c r="A57" s="319"/>
      <c r="B57" s="320"/>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20"/>
      <c r="AU57" s="321"/>
    </row>
    <row r="58">
      <c r="A58" s="319"/>
      <c r="B58" s="320"/>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c r="AA58" s="320"/>
      <c r="AB58" s="320"/>
      <c r="AC58" s="320"/>
      <c r="AD58" s="320"/>
      <c r="AE58" s="320"/>
      <c r="AF58" s="320"/>
      <c r="AG58" s="320"/>
      <c r="AH58" s="320"/>
      <c r="AI58" s="320"/>
      <c r="AJ58" s="320"/>
      <c r="AK58" s="320"/>
      <c r="AL58" s="320"/>
      <c r="AM58" s="320"/>
      <c r="AN58" s="320"/>
      <c r="AO58" s="320"/>
      <c r="AP58" s="320"/>
      <c r="AQ58" s="320"/>
      <c r="AR58" s="320"/>
      <c r="AS58" s="320"/>
      <c r="AT58" s="320"/>
      <c r="AU58" s="321"/>
    </row>
    <row r="59">
      <c r="A59" s="319"/>
      <c r="B59" s="320"/>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c r="AA59" s="320"/>
      <c r="AB59" s="320"/>
      <c r="AC59" s="320"/>
      <c r="AD59" s="320"/>
      <c r="AE59" s="320"/>
      <c r="AF59" s="320"/>
      <c r="AG59" s="320"/>
      <c r="AH59" s="320"/>
      <c r="AI59" s="320"/>
      <c r="AJ59" s="320"/>
      <c r="AK59" s="320"/>
      <c r="AL59" s="320"/>
      <c r="AM59" s="320"/>
      <c r="AN59" s="320"/>
      <c r="AO59" s="320"/>
      <c r="AP59" s="320"/>
      <c r="AQ59" s="320"/>
      <c r="AR59" s="320"/>
      <c r="AS59" s="320"/>
      <c r="AT59" s="320"/>
      <c r="AU59" s="321"/>
    </row>
    <row r="60">
      <c r="A60" s="319"/>
      <c r="B60" s="320"/>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c r="AA60" s="320"/>
      <c r="AB60" s="320"/>
      <c r="AC60" s="320"/>
      <c r="AD60" s="320"/>
      <c r="AE60" s="320"/>
      <c r="AF60" s="320"/>
      <c r="AG60" s="320"/>
      <c r="AH60" s="320"/>
      <c r="AI60" s="320"/>
      <c r="AJ60" s="320"/>
      <c r="AK60" s="320"/>
      <c r="AL60" s="320"/>
      <c r="AM60" s="320"/>
      <c r="AN60" s="320"/>
      <c r="AO60" s="320"/>
      <c r="AP60" s="320"/>
      <c r="AQ60" s="320"/>
      <c r="AR60" s="320"/>
      <c r="AS60" s="320"/>
      <c r="AT60" s="320"/>
      <c r="AU60" s="321"/>
    </row>
    <row r="61">
      <c r="A61" s="319"/>
      <c r="B61" s="320"/>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c r="AA61" s="320"/>
      <c r="AB61" s="320"/>
      <c r="AC61" s="320"/>
      <c r="AD61" s="320"/>
      <c r="AE61" s="320"/>
      <c r="AF61" s="320"/>
      <c r="AG61" s="320"/>
      <c r="AH61" s="320"/>
      <c r="AI61" s="320"/>
      <c r="AJ61" s="320"/>
      <c r="AK61" s="320"/>
      <c r="AL61" s="320"/>
      <c r="AM61" s="320"/>
      <c r="AN61" s="320"/>
      <c r="AO61" s="320"/>
      <c r="AP61" s="320"/>
      <c r="AQ61" s="320"/>
      <c r="AR61" s="320"/>
      <c r="AS61" s="320"/>
      <c r="AT61" s="320"/>
      <c r="AU61" s="321"/>
    </row>
    <row r="62">
      <c r="A62" s="319"/>
      <c r="B62" s="320"/>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c r="AA62" s="320"/>
      <c r="AB62" s="320"/>
      <c r="AC62" s="320"/>
      <c r="AD62" s="320"/>
      <c r="AE62" s="320"/>
      <c r="AF62" s="320"/>
      <c r="AG62" s="320"/>
      <c r="AH62" s="320"/>
      <c r="AI62" s="320"/>
      <c r="AJ62" s="320"/>
      <c r="AK62" s="320"/>
      <c r="AL62" s="320"/>
      <c r="AM62" s="320"/>
      <c r="AN62" s="320"/>
      <c r="AO62" s="320"/>
      <c r="AP62" s="320"/>
      <c r="AQ62" s="320"/>
      <c r="AR62" s="320"/>
      <c r="AS62" s="320"/>
      <c r="AT62" s="320"/>
      <c r="AU62" s="321"/>
    </row>
    <row r="63">
      <c r="A63" s="319"/>
      <c r="B63" s="320"/>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320"/>
      <c r="AD63" s="320"/>
      <c r="AE63" s="320"/>
      <c r="AF63" s="320"/>
      <c r="AG63" s="320"/>
      <c r="AH63" s="320"/>
      <c r="AI63" s="320"/>
      <c r="AJ63" s="320"/>
      <c r="AK63" s="320"/>
      <c r="AL63" s="320"/>
      <c r="AM63" s="320"/>
      <c r="AN63" s="320"/>
      <c r="AO63" s="320"/>
      <c r="AP63" s="320"/>
      <c r="AQ63" s="320"/>
      <c r="AR63" s="320"/>
      <c r="AS63" s="320"/>
      <c r="AT63" s="320"/>
      <c r="AU63" s="321"/>
    </row>
    <row r="64">
      <c r="A64" s="319"/>
      <c r="B64" s="320"/>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c r="AA64" s="320"/>
      <c r="AB64" s="320"/>
      <c r="AC64" s="320"/>
      <c r="AD64" s="320"/>
      <c r="AE64" s="320"/>
      <c r="AF64" s="320"/>
      <c r="AG64" s="320"/>
      <c r="AH64" s="320"/>
      <c r="AI64" s="320"/>
      <c r="AJ64" s="320"/>
      <c r="AK64" s="320"/>
      <c r="AL64" s="320"/>
      <c r="AM64" s="320"/>
      <c r="AN64" s="320"/>
      <c r="AO64" s="320"/>
      <c r="AP64" s="320"/>
      <c r="AQ64" s="320"/>
      <c r="AR64" s="320"/>
      <c r="AS64" s="320"/>
      <c r="AT64" s="320"/>
      <c r="AU64" s="321"/>
    </row>
    <row r="65">
      <c r="A65" s="319"/>
      <c r="B65" s="320"/>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c r="AA65" s="320"/>
      <c r="AB65" s="320"/>
      <c r="AC65" s="320"/>
      <c r="AD65" s="320"/>
      <c r="AE65" s="320"/>
      <c r="AF65" s="320"/>
      <c r="AG65" s="320"/>
      <c r="AH65" s="320"/>
      <c r="AI65" s="320"/>
      <c r="AJ65" s="320"/>
      <c r="AK65" s="320"/>
      <c r="AL65" s="320"/>
      <c r="AM65" s="320"/>
      <c r="AN65" s="320"/>
      <c r="AO65" s="320"/>
      <c r="AP65" s="320"/>
      <c r="AQ65" s="320"/>
      <c r="AR65" s="320"/>
      <c r="AS65" s="320"/>
      <c r="AT65" s="320"/>
      <c r="AU65" s="321"/>
    </row>
    <row r="66">
      <c r="A66" s="319"/>
      <c r="B66" s="320"/>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c r="AA66" s="320"/>
      <c r="AB66" s="320"/>
      <c r="AC66" s="320"/>
      <c r="AD66" s="320"/>
      <c r="AE66" s="320"/>
      <c r="AF66" s="320"/>
      <c r="AG66" s="320"/>
      <c r="AH66" s="320"/>
      <c r="AI66" s="320"/>
      <c r="AJ66" s="320"/>
      <c r="AK66" s="320"/>
      <c r="AL66" s="320"/>
      <c r="AM66" s="320"/>
      <c r="AN66" s="320"/>
      <c r="AO66" s="320"/>
      <c r="AP66" s="320"/>
      <c r="AQ66" s="320"/>
      <c r="AR66" s="320"/>
      <c r="AS66" s="320"/>
      <c r="AT66" s="320"/>
      <c r="AU66" s="321"/>
    </row>
    <row r="67">
      <c r="A67" s="319"/>
      <c r="B67" s="320"/>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c r="AA67" s="320"/>
      <c r="AB67" s="320"/>
      <c r="AC67" s="320"/>
      <c r="AD67" s="320"/>
      <c r="AE67" s="320"/>
      <c r="AF67" s="320"/>
      <c r="AG67" s="320"/>
      <c r="AH67" s="320"/>
      <c r="AI67" s="320"/>
      <c r="AJ67" s="320"/>
      <c r="AK67" s="320"/>
      <c r="AL67" s="320"/>
      <c r="AM67" s="320"/>
      <c r="AN67" s="320"/>
      <c r="AO67" s="320"/>
      <c r="AP67" s="320"/>
      <c r="AQ67" s="320"/>
      <c r="AR67" s="320"/>
      <c r="AS67" s="320"/>
      <c r="AT67" s="320"/>
      <c r="AU67" s="321"/>
    </row>
    <row r="68">
      <c r="A68" s="319"/>
      <c r="B68" s="320"/>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c r="AA68" s="320"/>
      <c r="AB68" s="320"/>
      <c r="AC68" s="320"/>
      <c r="AD68" s="320"/>
      <c r="AE68" s="320"/>
      <c r="AF68" s="320"/>
      <c r="AG68" s="320"/>
      <c r="AH68" s="320"/>
      <c r="AI68" s="320"/>
      <c r="AJ68" s="320"/>
      <c r="AK68" s="320"/>
      <c r="AL68" s="320"/>
      <c r="AM68" s="320"/>
      <c r="AN68" s="320"/>
      <c r="AO68" s="320"/>
      <c r="AP68" s="320"/>
      <c r="AQ68" s="320"/>
      <c r="AR68" s="320"/>
      <c r="AS68" s="320"/>
      <c r="AT68" s="320"/>
      <c r="AU68" s="321"/>
    </row>
    <row r="69">
      <c r="A69" s="319"/>
      <c r="B69" s="320"/>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c r="AA69" s="320"/>
      <c r="AB69" s="320"/>
      <c r="AC69" s="320"/>
      <c r="AD69" s="320"/>
      <c r="AE69" s="320"/>
      <c r="AF69" s="320"/>
      <c r="AG69" s="320"/>
      <c r="AH69" s="320"/>
      <c r="AI69" s="320"/>
      <c r="AJ69" s="320"/>
      <c r="AK69" s="320"/>
      <c r="AL69" s="320"/>
      <c r="AM69" s="320"/>
      <c r="AN69" s="320"/>
      <c r="AO69" s="320"/>
      <c r="AP69" s="320"/>
      <c r="AQ69" s="320"/>
      <c r="AR69" s="320"/>
      <c r="AS69" s="320"/>
      <c r="AT69" s="320"/>
      <c r="AU69" s="321"/>
    </row>
    <row r="70">
      <c r="A70" s="319"/>
      <c r="B70" s="320"/>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c r="AA70" s="320"/>
      <c r="AB70" s="320"/>
      <c r="AC70" s="320"/>
      <c r="AD70" s="320"/>
      <c r="AE70" s="320"/>
      <c r="AF70" s="320"/>
      <c r="AG70" s="320"/>
      <c r="AH70" s="320"/>
      <c r="AI70" s="320"/>
      <c r="AJ70" s="320"/>
      <c r="AK70" s="320"/>
      <c r="AL70" s="320"/>
      <c r="AM70" s="320"/>
      <c r="AN70" s="320"/>
      <c r="AO70" s="320"/>
      <c r="AP70" s="320"/>
      <c r="AQ70" s="320"/>
      <c r="AR70" s="320"/>
      <c r="AS70" s="320"/>
      <c r="AT70" s="320"/>
      <c r="AU70" s="321"/>
    </row>
    <row r="71">
      <c r="A71" s="319"/>
      <c r="B71" s="320"/>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c r="AA71" s="320"/>
      <c r="AB71" s="320"/>
      <c r="AC71" s="320"/>
      <c r="AD71" s="320"/>
      <c r="AE71" s="320"/>
      <c r="AF71" s="320"/>
      <c r="AG71" s="320"/>
      <c r="AH71" s="320"/>
      <c r="AI71" s="320"/>
      <c r="AJ71" s="320"/>
      <c r="AK71" s="320"/>
      <c r="AL71" s="320"/>
      <c r="AM71" s="320"/>
      <c r="AN71" s="320"/>
      <c r="AO71" s="320"/>
      <c r="AP71" s="320"/>
      <c r="AQ71" s="320"/>
      <c r="AR71" s="320"/>
      <c r="AS71" s="320"/>
      <c r="AT71" s="320"/>
      <c r="AU71" s="321"/>
    </row>
    <row r="72">
      <c r="A72" s="319"/>
      <c r="B72" s="320"/>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c r="AA72" s="320"/>
      <c r="AB72" s="320"/>
      <c r="AC72" s="320"/>
      <c r="AD72" s="320"/>
      <c r="AE72" s="320"/>
      <c r="AF72" s="320"/>
      <c r="AG72" s="320"/>
      <c r="AH72" s="320"/>
      <c r="AI72" s="320"/>
      <c r="AJ72" s="320"/>
      <c r="AK72" s="320"/>
      <c r="AL72" s="320"/>
      <c r="AM72" s="320"/>
      <c r="AN72" s="320"/>
      <c r="AO72" s="320"/>
      <c r="AP72" s="320"/>
      <c r="AQ72" s="320"/>
      <c r="AR72" s="320"/>
      <c r="AS72" s="320"/>
      <c r="AT72" s="320"/>
      <c r="AU72" s="321"/>
    </row>
    <row r="73">
      <c r="A73" s="319"/>
      <c r="B73" s="320"/>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c r="AA73" s="320"/>
      <c r="AB73" s="320"/>
      <c r="AC73" s="320"/>
      <c r="AD73" s="320"/>
      <c r="AE73" s="320"/>
      <c r="AF73" s="320"/>
      <c r="AG73" s="320"/>
      <c r="AH73" s="320"/>
      <c r="AI73" s="320"/>
      <c r="AJ73" s="320"/>
      <c r="AK73" s="320"/>
      <c r="AL73" s="320"/>
      <c r="AM73" s="320"/>
      <c r="AN73" s="320"/>
      <c r="AO73" s="320"/>
      <c r="AP73" s="320"/>
      <c r="AQ73" s="320"/>
      <c r="AR73" s="320"/>
      <c r="AS73" s="320"/>
      <c r="AT73" s="320"/>
      <c r="AU73" s="321"/>
    </row>
    <row r="74">
      <c r="A74" s="319"/>
      <c r="B74" s="320"/>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c r="AA74" s="320"/>
      <c r="AB74" s="320"/>
      <c r="AC74" s="320"/>
      <c r="AD74" s="320"/>
      <c r="AE74" s="320"/>
      <c r="AF74" s="320"/>
      <c r="AG74" s="320"/>
      <c r="AH74" s="320"/>
      <c r="AI74" s="320"/>
      <c r="AJ74" s="320"/>
      <c r="AK74" s="320"/>
      <c r="AL74" s="320"/>
      <c r="AM74" s="320"/>
      <c r="AN74" s="320"/>
      <c r="AO74" s="320"/>
      <c r="AP74" s="320"/>
      <c r="AQ74" s="320"/>
      <c r="AR74" s="320"/>
      <c r="AS74" s="320"/>
      <c r="AT74" s="320"/>
      <c r="AU74" s="321"/>
    </row>
    <row r="75">
      <c r="A75" s="319"/>
      <c r="B75" s="320"/>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c r="AA75" s="320"/>
      <c r="AB75" s="320"/>
      <c r="AC75" s="320"/>
      <c r="AD75" s="320"/>
      <c r="AE75" s="320"/>
      <c r="AF75" s="320"/>
      <c r="AG75" s="320"/>
      <c r="AH75" s="320"/>
      <c r="AI75" s="320"/>
      <c r="AJ75" s="320"/>
      <c r="AK75" s="320"/>
      <c r="AL75" s="320"/>
      <c r="AM75" s="320"/>
      <c r="AN75" s="320"/>
      <c r="AO75" s="320"/>
      <c r="AP75" s="320"/>
      <c r="AQ75" s="320"/>
      <c r="AR75" s="320"/>
      <c r="AS75" s="320"/>
      <c r="AT75" s="320"/>
      <c r="AU75" s="321"/>
    </row>
    <row r="76">
      <c r="A76" s="319"/>
      <c r="B76" s="320"/>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c r="AA76" s="320"/>
      <c r="AB76" s="320"/>
      <c r="AC76" s="320"/>
      <c r="AD76" s="320"/>
      <c r="AE76" s="320"/>
      <c r="AF76" s="320"/>
      <c r="AG76" s="320"/>
      <c r="AH76" s="320"/>
      <c r="AI76" s="320"/>
      <c r="AJ76" s="320"/>
      <c r="AK76" s="320"/>
      <c r="AL76" s="320"/>
      <c r="AM76" s="320"/>
      <c r="AN76" s="320"/>
      <c r="AO76" s="320"/>
      <c r="AP76" s="320"/>
      <c r="AQ76" s="320"/>
      <c r="AR76" s="320"/>
      <c r="AS76" s="320"/>
      <c r="AT76" s="320"/>
      <c r="AU76" s="321"/>
    </row>
    <row r="77">
      <c r="A77" s="319"/>
      <c r="B77" s="320"/>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c r="AA77" s="320"/>
      <c r="AB77" s="320"/>
      <c r="AC77" s="320"/>
      <c r="AD77" s="320"/>
      <c r="AE77" s="320"/>
      <c r="AF77" s="320"/>
      <c r="AG77" s="320"/>
      <c r="AH77" s="320"/>
      <c r="AI77" s="320"/>
      <c r="AJ77" s="320"/>
      <c r="AK77" s="320"/>
      <c r="AL77" s="320"/>
      <c r="AM77" s="320"/>
      <c r="AN77" s="320"/>
      <c r="AO77" s="320"/>
      <c r="AP77" s="320"/>
      <c r="AQ77" s="320"/>
      <c r="AR77" s="320"/>
      <c r="AS77" s="320"/>
      <c r="AT77" s="320"/>
      <c r="AU77" s="321"/>
    </row>
    <row r="78">
      <c r="A78" s="319"/>
      <c r="B78" s="320"/>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1"/>
    </row>
    <row r="79">
      <c r="A79" s="319"/>
      <c r="B79" s="320"/>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c r="AA79" s="320"/>
      <c r="AB79" s="320"/>
      <c r="AC79" s="320"/>
      <c r="AD79" s="320"/>
      <c r="AE79" s="320"/>
      <c r="AF79" s="320"/>
      <c r="AG79" s="320"/>
      <c r="AH79" s="320"/>
      <c r="AI79" s="320"/>
      <c r="AJ79" s="320"/>
      <c r="AK79" s="320"/>
      <c r="AL79" s="320"/>
      <c r="AM79" s="320"/>
      <c r="AN79" s="320"/>
      <c r="AO79" s="320"/>
      <c r="AP79" s="320"/>
      <c r="AQ79" s="320"/>
      <c r="AR79" s="320"/>
      <c r="AS79" s="320"/>
      <c r="AT79" s="320"/>
      <c r="AU79" s="321"/>
    </row>
    <row r="80">
      <c r="A80" s="319"/>
      <c r="B80" s="320"/>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c r="AA80" s="320"/>
      <c r="AB80" s="320"/>
      <c r="AC80" s="320"/>
      <c r="AD80" s="320"/>
      <c r="AE80" s="320"/>
      <c r="AF80" s="320"/>
      <c r="AG80" s="320"/>
      <c r="AH80" s="320"/>
      <c r="AI80" s="320"/>
      <c r="AJ80" s="320"/>
      <c r="AK80" s="320"/>
      <c r="AL80" s="320"/>
      <c r="AM80" s="320"/>
      <c r="AN80" s="320"/>
      <c r="AO80" s="320"/>
      <c r="AP80" s="320"/>
      <c r="AQ80" s="320"/>
      <c r="AR80" s="320"/>
      <c r="AS80" s="320"/>
      <c r="AT80" s="320"/>
      <c r="AU80" s="321"/>
    </row>
    <row r="81">
      <c r="A81" s="319"/>
      <c r="B81" s="320"/>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c r="AA81" s="320"/>
      <c r="AB81" s="320"/>
      <c r="AC81" s="320"/>
      <c r="AD81" s="320"/>
      <c r="AE81" s="320"/>
      <c r="AF81" s="320"/>
      <c r="AG81" s="320"/>
      <c r="AH81" s="320"/>
      <c r="AI81" s="320"/>
      <c r="AJ81" s="320"/>
      <c r="AK81" s="320"/>
      <c r="AL81" s="320"/>
      <c r="AM81" s="320"/>
      <c r="AN81" s="320"/>
      <c r="AO81" s="320"/>
      <c r="AP81" s="320"/>
      <c r="AQ81" s="320"/>
      <c r="AR81" s="320"/>
      <c r="AS81" s="320"/>
      <c r="AT81" s="320"/>
      <c r="AU81" s="321"/>
    </row>
    <row r="82">
      <c r="A82" s="319"/>
      <c r="B82" s="320"/>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c r="AA82" s="320"/>
      <c r="AB82" s="320"/>
      <c r="AC82" s="320"/>
      <c r="AD82" s="320"/>
      <c r="AE82" s="320"/>
      <c r="AF82" s="320"/>
      <c r="AG82" s="320"/>
      <c r="AH82" s="320"/>
      <c r="AI82" s="320"/>
      <c r="AJ82" s="320"/>
      <c r="AK82" s="320"/>
      <c r="AL82" s="320"/>
      <c r="AM82" s="320"/>
      <c r="AN82" s="320"/>
      <c r="AO82" s="320"/>
      <c r="AP82" s="320"/>
      <c r="AQ82" s="320"/>
      <c r="AR82" s="320"/>
      <c r="AS82" s="320"/>
      <c r="AT82" s="320"/>
      <c r="AU82" s="321"/>
    </row>
    <row r="83">
      <c r="A83" s="319"/>
      <c r="B83" s="320"/>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c r="AA83" s="320"/>
      <c r="AB83" s="320"/>
      <c r="AC83" s="320"/>
      <c r="AD83" s="320"/>
      <c r="AE83" s="320"/>
      <c r="AF83" s="320"/>
      <c r="AG83" s="320"/>
      <c r="AH83" s="320"/>
      <c r="AI83" s="320"/>
      <c r="AJ83" s="320"/>
      <c r="AK83" s="320"/>
      <c r="AL83" s="320"/>
      <c r="AM83" s="320"/>
      <c r="AN83" s="320"/>
      <c r="AO83" s="320"/>
      <c r="AP83" s="320"/>
      <c r="AQ83" s="320"/>
      <c r="AR83" s="320"/>
      <c r="AS83" s="320"/>
      <c r="AT83" s="320"/>
      <c r="AU83" s="321"/>
    </row>
    <row r="84">
      <c r="A84" s="319"/>
      <c r="B84" s="320"/>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c r="AA84" s="320"/>
      <c r="AB84" s="320"/>
      <c r="AC84" s="320"/>
      <c r="AD84" s="320"/>
      <c r="AE84" s="320"/>
      <c r="AF84" s="320"/>
      <c r="AG84" s="320"/>
      <c r="AH84" s="320"/>
      <c r="AI84" s="320"/>
      <c r="AJ84" s="320"/>
      <c r="AK84" s="320"/>
      <c r="AL84" s="320"/>
      <c r="AM84" s="320"/>
      <c r="AN84" s="320"/>
      <c r="AO84" s="320"/>
      <c r="AP84" s="320"/>
      <c r="AQ84" s="320"/>
      <c r="AR84" s="320"/>
      <c r="AS84" s="320"/>
      <c r="AT84" s="320"/>
      <c r="AU84" s="321"/>
    </row>
    <row r="85">
      <c r="A85" s="319"/>
      <c r="B85" s="320"/>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c r="AA85" s="320"/>
      <c r="AB85" s="320"/>
      <c r="AC85" s="320"/>
      <c r="AD85" s="320"/>
      <c r="AE85" s="320"/>
      <c r="AF85" s="320"/>
      <c r="AG85" s="320"/>
      <c r="AH85" s="320"/>
      <c r="AI85" s="320"/>
      <c r="AJ85" s="320"/>
      <c r="AK85" s="320"/>
      <c r="AL85" s="320"/>
      <c r="AM85" s="320"/>
      <c r="AN85" s="320"/>
      <c r="AO85" s="320"/>
      <c r="AP85" s="320"/>
      <c r="AQ85" s="320"/>
      <c r="AR85" s="320"/>
      <c r="AS85" s="320"/>
      <c r="AT85" s="320"/>
      <c r="AU85" s="321"/>
    </row>
    <row r="86">
      <c r="A86" s="319"/>
      <c r="B86" s="320"/>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c r="AA86" s="320"/>
      <c r="AB86" s="320"/>
      <c r="AC86" s="320"/>
      <c r="AD86" s="320"/>
      <c r="AE86" s="320"/>
      <c r="AF86" s="320"/>
      <c r="AG86" s="320"/>
      <c r="AH86" s="320"/>
      <c r="AI86" s="320"/>
      <c r="AJ86" s="320"/>
      <c r="AK86" s="320"/>
      <c r="AL86" s="320"/>
      <c r="AM86" s="320"/>
      <c r="AN86" s="320"/>
      <c r="AO86" s="320"/>
      <c r="AP86" s="320"/>
      <c r="AQ86" s="320"/>
      <c r="AR86" s="320"/>
      <c r="AS86" s="320"/>
      <c r="AT86" s="320"/>
      <c r="AU86" s="321"/>
    </row>
    <row r="87">
      <c r="A87" s="319"/>
      <c r="B87" s="320"/>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1"/>
    </row>
    <row r="88">
      <c r="A88" s="319"/>
      <c r="B88" s="320"/>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c r="AA88" s="320"/>
      <c r="AB88" s="320"/>
      <c r="AC88" s="320"/>
      <c r="AD88" s="320"/>
      <c r="AE88" s="320"/>
      <c r="AF88" s="320"/>
      <c r="AG88" s="320"/>
      <c r="AH88" s="320"/>
      <c r="AI88" s="320"/>
      <c r="AJ88" s="320"/>
      <c r="AK88" s="320"/>
      <c r="AL88" s="320"/>
      <c r="AM88" s="320"/>
      <c r="AN88" s="320"/>
      <c r="AO88" s="320"/>
      <c r="AP88" s="320"/>
      <c r="AQ88" s="320"/>
      <c r="AR88" s="320"/>
      <c r="AS88" s="320"/>
      <c r="AT88" s="320"/>
      <c r="AU88" s="321"/>
    </row>
    <row r="89">
      <c r="A89" s="319"/>
      <c r="B89" s="320"/>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c r="AA89" s="320"/>
      <c r="AB89" s="320"/>
      <c r="AC89" s="320"/>
      <c r="AD89" s="320"/>
      <c r="AE89" s="320"/>
      <c r="AF89" s="320"/>
      <c r="AG89" s="320"/>
      <c r="AH89" s="320"/>
      <c r="AI89" s="320"/>
      <c r="AJ89" s="320"/>
      <c r="AK89" s="320"/>
      <c r="AL89" s="320"/>
      <c r="AM89" s="320"/>
      <c r="AN89" s="320"/>
      <c r="AO89" s="320"/>
      <c r="AP89" s="320"/>
      <c r="AQ89" s="320"/>
      <c r="AR89" s="320"/>
      <c r="AS89" s="320"/>
      <c r="AT89" s="320"/>
      <c r="AU89" s="321"/>
    </row>
    <row r="90">
      <c r="A90" s="319"/>
      <c r="B90" s="320"/>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c r="AA90" s="320"/>
      <c r="AB90" s="320"/>
      <c r="AC90" s="320"/>
      <c r="AD90" s="320"/>
      <c r="AE90" s="320"/>
      <c r="AF90" s="320"/>
      <c r="AG90" s="320"/>
      <c r="AH90" s="320"/>
      <c r="AI90" s="320"/>
      <c r="AJ90" s="320"/>
      <c r="AK90" s="320"/>
      <c r="AL90" s="320"/>
      <c r="AM90" s="320"/>
      <c r="AN90" s="320"/>
      <c r="AO90" s="320"/>
      <c r="AP90" s="320"/>
      <c r="AQ90" s="320"/>
      <c r="AR90" s="320"/>
      <c r="AS90" s="320"/>
      <c r="AT90" s="320"/>
      <c r="AU90" s="321"/>
    </row>
    <row r="91">
      <c r="A91" s="319"/>
      <c r="B91" s="320"/>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c r="AA91" s="320"/>
      <c r="AB91" s="320"/>
      <c r="AC91" s="320"/>
      <c r="AD91" s="320"/>
      <c r="AE91" s="320"/>
      <c r="AF91" s="320"/>
      <c r="AG91" s="320"/>
      <c r="AH91" s="320"/>
      <c r="AI91" s="320"/>
      <c r="AJ91" s="320"/>
      <c r="AK91" s="320"/>
      <c r="AL91" s="320"/>
      <c r="AM91" s="320"/>
      <c r="AN91" s="320"/>
      <c r="AO91" s="320"/>
      <c r="AP91" s="320"/>
      <c r="AQ91" s="320"/>
      <c r="AR91" s="320"/>
      <c r="AS91" s="320"/>
      <c r="AT91" s="320"/>
      <c r="AU91" s="321"/>
    </row>
    <row r="92">
      <c r="A92" s="319"/>
      <c r="B92" s="320"/>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c r="AA92" s="320"/>
      <c r="AB92" s="320"/>
      <c r="AC92" s="320"/>
      <c r="AD92" s="320"/>
      <c r="AE92" s="320"/>
      <c r="AF92" s="320"/>
      <c r="AG92" s="320"/>
      <c r="AH92" s="320"/>
      <c r="AI92" s="320"/>
      <c r="AJ92" s="320"/>
      <c r="AK92" s="320"/>
      <c r="AL92" s="320"/>
      <c r="AM92" s="320"/>
      <c r="AN92" s="320"/>
      <c r="AO92" s="320"/>
      <c r="AP92" s="320"/>
      <c r="AQ92" s="320"/>
      <c r="AR92" s="320"/>
      <c r="AS92" s="320"/>
      <c r="AT92" s="320"/>
      <c r="AU92" s="321"/>
    </row>
    <row r="93">
      <c r="A93" s="319"/>
      <c r="B93" s="320"/>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c r="AA93" s="320"/>
      <c r="AB93" s="320"/>
      <c r="AC93" s="320"/>
      <c r="AD93" s="320"/>
      <c r="AE93" s="320"/>
      <c r="AF93" s="320"/>
      <c r="AG93" s="320"/>
      <c r="AH93" s="320"/>
      <c r="AI93" s="320"/>
      <c r="AJ93" s="320"/>
      <c r="AK93" s="320"/>
      <c r="AL93" s="320"/>
      <c r="AM93" s="320"/>
      <c r="AN93" s="320"/>
      <c r="AO93" s="320"/>
      <c r="AP93" s="320"/>
      <c r="AQ93" s="320"/>
      <c r="AR93" s="320"/>
      <c r="AS93" s="320"/>
      <c r="AT93" s="320"/>
      <c r="AU93" s="321"/>
    </row>
    <row r="94">
      <c r="A94" s="319"/>
      <c r="B94" s="320"/>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c r="AA94" s="320"/>
      <c r="AB94" s="320"/>
      <c r="AC94" s="320"/>
      <c r="AD94" s="320"/>
      <c r="AE94" s="320"/>
      <c r="AF94" s="320"/>
      <c r="AG94" s="320"/>
      <c r="AH94" s="320"/>
      <c r="AI94" s="320"/>
      <c r="AJ94" s="320"/>
      <c r="AK94" s="320"/>
      <c r="AL94" s="320"/>
      <c r="AM94" s="320"/>
      <c r="AN94" s="320"/>
      <c r="AO94" s="320"/>
      <c r="AP94" s="320"/>
      <c r="AQ94" s="320"/>
      <c r="AR94" s="320"/>
      <c r="AS94" s="320"/>
      <c r="AT94" s="320"/>
      <c r="AU94" s="321"/>
    </row>
    <row r="95">
      <c r="A95" s="319"/>
      <c r="B95" s="320"/>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c r="AA95" s="320"/>
      <c r="AB95" s="320"/>
      <c r="AC95" s="320"/>
      <c r="AD95" s="320"/>
      <c r="AE95" s="320"/>
      <c r="AF95" s="320"/>
      <c r="AG95" s="320"/>
      <c r="AH95" s="320"/>
      <c r="AI95" s="320"/>
      <c r="AJ95" s="320"/>
      <c r="AK95" s="320"/>
      <c r="AL95" s="320"/>
      <c r="AM95" s="320"/>
      <c r="AN95" s="320"/>
      <c r="AO95" s="320"/>
      <c r="AP95" s="320"/>
      <c r="AQ95" s="320"/>
      <c r="AR95" s="320"/>
      <c r="AS95" s="320"/>
      <c r="AT95" s="320"/>
      <c r="AU95" s="321"/>
    </row>
    <row r="96">
      <c r="A96" s="319"/>
      <c r="B96" s="320"/>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c r="AA96" s="320"/>
      <c r="AB96" s="320"/>
      <c r="AC96" s="320"/>
      <c r="AD96" s="320"/>
      <c r="AE96" s="320"/>
      <c r="AF96" s="320"/>
      <c r="AG96" s="320"/>
      <c r="AH96" s="320"/>
      <c r="AI96" s="320"/>
      <c r="AJ96" s="320"/>
      <c r="AK96" s="320"/>
      <c r="AL96" s="320"/>
      <c r="AM96" s="320"/>
      <c r="AN96" s="320"/>
      <c r="AO96" s="320"/>
      <c r="AP96" s="320"/>
      <c r="AQ96" s="320"/>
      <c r="AR96" s="320"/>
      <c r="AS96" s="320"/>
      <c r="AT96" s="320"/>
      <c r="AU96" s="321"/>
    </row>
    <row r="97">
      <c r="A97" s="319"/>
      <c r="B97" s="320"/>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c r="AA97" s="320"/>
      <c r="AB97" s="320"/>
      <c r="AC97" s="320"/>
      <c r="AD97" s="320"/>
      <c r="AE97" s="320"/>
      <c r="AF97" s="320"/>
      <c r="AG97" s="320"/>
      <c r="AH97" s="320"/>
      <c r="AI97" s="320"/>
      <c r="AJ97" s="320"/>
      <c r="AK97" s="320"/>
      <c r="AL97" s="320"/>
      <c r="AM97" s="320"/>
      <c r="AN97" s="320"/>
      <c r="AO97" s="320"/>
      <c r="AP97" s="320"/>
      <c r="AQ97" s="320"/>
      <c r="AR97" s="320"/>
      <c r="AS97" s="320"/>
      <c r="AT97" s="320"/>
      <c r="AU97" s="321"/>
    </row>
    <row r="98">
      <c r="A98" s="319"/>
      <c r="B98" s="320"/>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c r="AA98" s="320"/>
      <c r="AB98" s="320"/>
      <c r="AC98" s="320"/>
      <c r="AD98" s="320"/>
      <c r="AE98" s="320"/>
      <c r="AF98" s="320"/>
      <c r="AG98" s="320"/>
      <c r="AH98" s="320"/>
      <c r="AI98" s="320"/>
      <c r="AJ98" s="320"/>
      <c r="AK98" s="320"/>
      <c r="AL98" s="320"/>
      <c r="AM98" s="320"/>
      <c r="AN98" s="320"/>
      <c r="AO98" s="320"/>
      <c r="AP98" s="320"/>
      <c r="AQ98" s="320"/>
      <c r="AR98" s="320"/>
      <c r="AS98" s="320"/>
      <c r="AT98" s="320"/>
      <c r="AU98" s="321"/>
    </row>
    <row r="99">
      <c r="A99" s="319"/>
      <c r="B99" s="320"/>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c r="AA99" s="320"/>
      <c r="AB99" s="320"/>
      <c r="AC99" s="320"/>
      <c r="AD99" s="320"/>
      <c r="AE99" s="320"/>
      <c r="AF99" s="320"/>
      <c r="AG99" s="320"/>
      <c r="AH99" s="320"/>
      <c r="AI99" s="320"/>
      <c r="AJ99" s="320"/>
      <c r="AK99" s="320"/>
      <c r="AL99" s="320"/>
      <c r="AM99" s="320"/>
      <c r="AN99" s="320"/>
      <c r="AO99" s="320"/>
      <c r="AP99" s="320"/>
      <c r="AQ99" s="320"/>
      <c r="AR99" s="320"/>
      <c r="AS99" s="320"/>
      <c r="AT99" s="320"/>
      <c r="AU99" s="321"/>
    </row>
    <row r="100">
      <c r="A100" s="319"/>
      <c r="B100" s="320"/>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c r="AA100" s="320"/>
      <c r="AB100" s="320"/>
      <c r="AC100" s="320"/>
      <c r="AD100" s="320"/>
      <c r="AE100" s="320"/>
      <c r="AF100" s="320"/>
      <c r="AG100" s="320"/>
      <c r="AH100" s="320"/>
      <c r="AI100" s="320"/>
      <c r="AJ100" s="320"/>
      <c r="AK100" s="320"/>
      <c r="AL100" s="320"/>
      <c r="AM100" s="320"/>
      <c r="AN100" s="320"/>
      <c r="AO100" s="320"/>
      <c r="AP100" s="320"/>
      <c r="AQ100" s="320"/>
      <c r="AR100" s="320"/>
      <c r="AS100" s="320"/>
      <c r="AT100" s="320"/>
      <c r="AU100" s="321"/>
    </row>
    <row r="101">
      <c r="A101" s="319"/>
      <c r="B101" s="320"/>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c r="AA101" s="320"/>
      <c r="AB101" s="320"/>
      <c r="AC101" s="320"/>
      <c r="AD101" s="320"/>
      <c r="AE101" s="320"/>
      <c r="AF101" s="320"/>
      <c r="AG101" s="320"/>
      <c r="AH101" s="320"/>
      <c r="AI101" s="320"/>
      <c r="AJ101" s="320"/>
      <c r="AK101" s="320"/>
      <c r="AL101" s="320"/>
      <c r="AM101" s="320"/>
      <c r="AN101" s="320"/>
      <c r="AO101" s="320"/>
      <c r="AP101" s="320"/>
      <c r="AQ101" s="320"/>
      <c r="AR101" s="320"/>
      <c r="AS101" s="320"/>
      <c r="AT101" s="320"/>
      <c r="AU101" s="321"/>
    </row>
    <row r="102">
      <c r="A102" s="319"/>
      <c r="B102" s="320"/>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c r="AA102" s="320"/>
      <c r="AB102" s="320"/>
      <c r="AC102" s="320"/>
      <c r="AD102" s="320"/>
      <c r="AE102" s="320"/>
      <c r="AF102" s="320"/>
      <c r="AG102" s="320"/>
      <c r="AH102" s="320"/>
      <c r="AI102" s="320"/>
      <c r="AJ102" s="320"/>
      <c r="AK102" s="320"/>
      <c r="AL102" s="320"/>
      <c r="AM102" s="320"/>
      <c r="AN102" s="320"/>
      <c r="AO102" s="320"/>
      <c r="AP102" s="320"/>
      <c r="AQ102" s="320"/>
      <c r="AR102" s="320"/>
      <c r="AS102" s="320"/>
      <c r="AT102" s="320"/>
      <c r="AU102" s="321"/>
    </row>
    <row r="103">
      <c r="A103" s="319"/>
      <c r="B103" s="320"/>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c r="AA103" s="320"/>
      <c r="AB103" s="320"/>
      <c r="AC103" s="320"/>
      <c r="AD103" s="320"/>
      <c r="AE103" s="320"/>
      <c r="AF103" s="320"/>
      <c r="AG103" s="320"/>
      <c r="AH103" s="320"/>
      <c r="AI103" s="320"/>
      <c r="AJ103" s="320"/>
      <c r="AK103" s="320"/>
      <c r="AL103" s="320"/>
      <c r="AM103" s="320"/>
      <c r="AN103" s="320"/>
      <c r="AO103" s="320"/>
      <c r="AP103" s="320"/>
      <c r="AQ103" s="320"/>
      <c r="AR103" s="320"/>
      <c r="AS103" s="320"/>
      <c r="AT103" s="320"/>
      <c r="AU103" s="321"/>
    </row>
    <row r="104">
      <c r="A104" s="319"/>
      <c r="B104" s="320"/>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c r="AA104" s="320"/>
      <c r="AB104" s="320"/>
      <c r="AC104" s="320"/>
      <c r="AD104" s="320"/>
      <c r="AE104" s="320"/>
      <c r="AF104" s="320"/>
      <c r="AG104" s="320"/>
      <c r="AH104" s="320"/>
      <c r="AI104" s="320"/>
      <c r="AJ104" s="320"/>
      <c r="AK104" s="320"/>
      <c r="AL104" s="320"/>
      <c r="AM104" s="320"/>
      <c r="AN104" s="320"/>
      <c r="AO104" s="320"/>
      <c r="AP104" s="320"/>
      <c r="AQ104" s="320"/>
      <c r="AR104" s="320"/>
      <c r="AS104" s="320"/>
      <c r="AT104" s="320"/>
      <c r="AU104" s="321"/>
    </row>
    <row r="105">
      <c r="A105" s="319"/>
      <c r="B105" s="320"/>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c r="AA105" s="320"/>
      <c r="AB105" s="320"/>
      <c r="AC105" s="320"/>
      <c r="AD105" s="320"/>
      <c r="AE105" s="320"/>
      <c r="AF105" s="320"/>
      <c r="AG105" s="320"/>
      <c r="AH105" s="320"/>
      <c r="AI105" s="320"/>
      <c r="AJ105" s="320"/>
      <c r="AK105" s="320"/>
      <c r="AL105" s="320"/>
      <c r="AM105" s="320"/>
      <c r="AN105" s="320"/>
      <c r="AO105" s="320"/>
      <c r="AP105" s="320"/>
      <c r="AQ105" s="320"/>
      <c r="AR105" s="320"/>
      <c r="AS105" s="320"/>
      <c r="AT105" s="320"/>
      <c r="AU105" s="321"/>
    </row>
    <row r="106">
      <c r="A106" s="319"/>
      <c r="B106" s="320"/>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c r="AA106" s="320"/>
      <c r="AB106" s="320"/>
      <c r="AC106" s="320"/>
      <c r="AD106" s="320"/>
      <c r="AE106" s="320"/>
      <c r="AF106" s="320"/>
      <c r="AG106" s="320"/>
      <c r="AH106" s="320"/>
      <c r="AI106" s="320"/>
      <c r="AJ106" s="320"/>
      <c r="AK106" s="320"/>
      <c r="AL106" s="320"/>
      <c r="AM106" s="320"/>
      <c r="AN106" s="320"/>
      <c r="AO106" s="320"/>
      <c r="AP106" s="320"/>
      <c r="AQ106" s="320"/>
      <c r="AR106" s="320"/>
      <c r="AS106" s="320"/>
      <c r="AT106" s="320"/>
      <c r="AU106" s="321"/>
    </row>
    <row r="107">
      <c r="A107" s="319"/>
      <c r="B107" s="320"/>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c r="AA107" s="320"/>
      <c r="AB107" s="320"/>
      <c r="AC107" s="320"/>
      <c r="AD107" s="320"/>
      <c r="AE107" s="320"/>
      <c r="AF107" s="320"/>
      <c r="AG107" s="320"/>
      <c r="AH107" s="320"/>
      <c r="AI107" s="320"/>
      <c r="AJ107" s="320"/>
      <c r="AK107" s="320"/>
      <c r="AL107" s="320"/>
      <c r="AM107" s="320"/>
      <c r="AN107" s="320"/>
      <c r="AO107" s="320"/>
      <c r="AP107" s="320"/>
      <c r="AQ107" s="320"/>
      <c r="AR107" s="320"/>
      <c r="AS107" s="320"/>
      <c r="AT107" s="320"/>
      <c r="AU107" s="321"/>
    </row>
    <row r="108">
      <c r="A108" s="319"/>
      <c r="B108" s="320"/>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c r="AA108" s="320"/>
      <c r="AB108" s="320"/>
      <c r="AC108" s="320"/>
      <c r="AD108" s="320"/>
      <c r="AE108" s="320"/>
      <c r="AF108" s="320"/>
      <c r="AG108" s="320"/>
      <c r="AH108" s="320"/>
      <c r="AI108" s="320"/>
      <c r="AJ108" s="320"/>
      <c r="AK108" s="320"/>
      <c r="AL108" s="320"/>
      <c r="AM108" s="320"/>
      <c r="AN108" s="320"/>
      <c r="AO108" s="320"/>
      <c r="AP108" s="320"/>
      <c r="AQ108" s="320"/>
      <c r="AR108" s="320"/>
      <c r="AS108" s="320"/>
      <c r="AT108" s="320"/>
      <c r="AU108" s="321"/>
    </row>
    <row r="109">
      <c r="A109" s="319"/>
      <c r="B109" s="320"/>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c r="AA109" s="320"/>
      <c r="AB109" s="320"/>
      <c r="AC109" s="320"/>
      <c r="AD109" s="320"/>
      <c r="AE109" s="320"/>
      <c r="AF109" s="320"/>
      <c r="AG109" s="320"/>
      <c r="AH109" s="320"/>
      <c r="AI109" s="320"/>
      <c r="AJ109" s="320"/>
      <c r="AK109" s="320"/>
      <c r="AL109" s="320"/>
      <c r="AM109" s="320"/>
      <c r="AN109" s="320"/>
      <c r="AO109" s="320"/>
      <c r="AP109" s="320"/>
      <c r="AQ109" s="320"/>
      <c r="AR109" s="320"/>
      <c r="AS109" s="320"/>
      <c r="AT109" s="320"/>
      <c r="AU109" s="321"/>
    </row>
    <row r="110">
      <c r="A110" s="319"/>
      <c r="B110" s="320"/>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c r="AA110" s="320"/>
      <c r="AB110" s="320"/>
      <c r="AC110" s="320"/>
      <c r="AD110" s="320"/>
      <c r="AE110" s="320"/>
      <c r="AF110" s="320"/>
      <c r="AG110" s="320"/>
      <c r="AH110" s="320"/>
      <c r="AI110" s="320"/>
      <c r="AJ110" s="320"/>
      <c r="AK110" s="320"/>
      <c r="AL110" s="320"/>
      <c r="AM110" s="320"/>
      <c r="AN110" s="320"/>
      <c r="AO110" s="320"/>
      <c r="AP110" s="320"/>
      <c r="AQ110" s="320"/>
      <c r="AR110" s="320"/>
      <c r="AS110" s="320"/>
      <c r="AT110" s="320"/>
      <c r="AU110" s="321"/>
    </row>
    <row r="111">
      <c r="A111" s="319"/>
      <c r="B111" s="320"/>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c r="AA111" s="320"/>
      <c r="AB111" s="320"/>
      <c r="AC111" s="320"/>
      <c r="AD111" s="320"/>
      <c r="AE111" s="320"/>
      <c r="AF111" s="320"/>
      <c r="AG111" s="320"/>
      <c r="AH111" s="320"/>
      <c r="AI111" s="320"/>
      <c r="AJ111" s="320"/>
      <c r="AK111" s="320"/>
      <c r="AL111" s="320"/>
      <c r="AM111" s="320"/>
      <c r="AN111" s="320"/>
      <c r="AO111" s="320"/>
      <c r="AP111" s="320"/>
      <c r="AQ111" s="320"/>
      <c r="AR111" s="320"/>
      <c r="AS111" s="320"/>
      <c r="AT111" s="320"/>
      <c r="AU111" s="321"/>
    </row>
    <row r="112">
      <c r="A112" s="319"/>
      <c r="B112" s="320"/>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c r="AA112" s="320"/>
      <c r="AB112" s="320"/>
      <c r="AC112" s="320"/>
      <c r="AD112" s="320"/>
      <c r="AE112" s="320"/>
      <c r="AF112" s="320"/>
      <c r="AG112" s="320"/>
      <c r="AH112" s="320"/>
      <c r="AI112" s="320"/>
      <c r="AJ112" s="320"/>
      <c r="AK112" s="320"/>
      <c r="AL112" s="320"/>
      <c r="AM112" s="320"/>
      <c r="AN112" s="320"/>
      <c r="AO112" s="320"/>
      <c r="AP112" s="320"/>
      <c r="AQ112" s="320"/>
      <c r="AR112" s="320"/>
      <c r="AS112" s="320"/>
      <c r="AT112" s="320"/>
      <c r="AU112" s="321"/>
    </row>
    <row r="113">
      <c r="A113" s="319"/>
      <c r="B113" s="320"/>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c r="AA113" s="320"/>
      <c r="AB113" s="320"/>
      <c r="AC113" s="320"/>
      <c r="AD113" s="320"/>
      <c r="AE113" s="320"/>
      <c r="AF113" s="320"/>
      <c r="AG113" s="320"/>
      <c r="AH113" s="320"/>
      <c r="AI113" s="320"/>
      <c r="AJ113" s="320"/>
      <c r="AK113" s="320"/>
      <c r="AL113" s="320"/>
      <c r="AM113" s="320"/>
      <c r="AN113" s="320"/>
      <c r="AO113" s="320"/>
      <c r="AP113" s="320"/>
      <c r="AQ113" s="320"/>
      <c r="AR113" s="320"/>
      <c r="AS113" s="320"/>
      <c r="AT113" s="320"/>
      <c r="AU113" s="321"/>
    </row>
    <row r="114">
      <c r="A114" s="319"/>
      <c r="B114" s="320"/>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c r="AA114" s="320"/>
      <c r="AB114" s="320"/>
      <c r="AC114" s="320"/>
      <c r="AD114" s="320"/>
      <c r="AE114" s="320"/>
      <c r="AF114" s="320"/>
      <c r="AG114" s="320"/>
      <c r="AH114" s="320"/>
      <c r="AI114" s="320"/>
      <c r="AJ114" s="320"/>
      <c r="AK114" s="320"/>
      <c r="AL114" s="320"/>
      <c r="AM114" s="320"/>
      <c r="AN114" s="320"/>
      <c r="AO114" s="320"/>
      <c r="AP114" s="320"/>
      <c r="AQ114" s="320"/>
      <c r="AR114" s="320"/>
      <c r="AS114" s="320"/>
      <c r="AT114" s="320"/>
      <c r="AU114" s="321"/>
    </row>
    <row r="115">
      <c r="A115" s="319"/>
      <c r="B115" s="320"/>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c r="AA115" s="320"/>
      <c r="AB115" s="320"/>
      <c r="AC115" s="320"/>
      <c r="AD115" s="320"/>
      <c r="AE115" s="320"/>
      <c r="AF115" s="320"/>
      <c r="AG115" s="320"/>
      <c r="AH115" s="320"/>
      <c r="AI115" s="320"/>
      <c r="AJ115" s="320"/>
      <c r="AK115" s="320"/>
      <c r="AL115" s="320"/>
      <c r="AM115" s="320"/>
      <c r="AN115" s="320"/>
      <c r="AO115" s="320"/>
      <c r="AP115" s="320"/>
      <c r="AQ115" s="320"/>
      <c r="AR115" s="320"/>
      <c r="AS115" s="320"/>
      <c r="AT115" s="320"/>
      <c r="AU115" s="321"/>
    </row>
    <row r="116">
      <c r="A116" s="319"/>
      <c r="B116" s="320"/>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c r="AA116" s="320"/>
      <c r="AB116" s="320"/>
      <c r="AC116" s="320"/>
      <c r="AD116" s="320"/>
      <c r="AE116" s="320"/>
      <c r="AF116" s="320"/>
      <c r="AG116" s="320"/>
      <c r="AH116" s="320"/>
      <c r="AI116" s="320"/>
      <c r="AJ116" s="320"/>
      <c r="AK116" s="320"/>
      <c r="AL116" s="320"/>
      <c r="AM116" s="320"/>
      <c r="AN116" s="320"/>
      <c r="AO116" s="320"/>
      <c r="AP116" s="320"/>
      <c r="AQ116" s="320"/>
      <c r="AR116" s="320"/>
      <c r="AS116" s="320"/>
      <c r="AT116" s="320"/>
      <c r="AU116" s="321"/>
    </row>
    <row r="117">
      <c r="A117" s="319"/>
      <c r="B117" s="320"/>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c r="AA117" s="320"/>
      <c r="AB117" s="320"/>
      <c r="AC117" s="320"/>
      <c r="AD117" s="320"/>
      <c r="AE117" s="320"/>
      <c r="AF117" s="320"/>
      <c r="AG117" s="320"/>
      <c r="AH117" s="320"/>
      <c r="AI117" s="320"/>
      <c r="AJ117" s="320"/>
      <c r="AK117" s="320"/>
      <c r="AL117" s="320"/>
      <c r="AM117" s="320"/>
      <c r="AN117" s="320"/>
      <c r="AO117" s="320"/>
      <c r="AP117" s="320"/>
      <c r="AQ117" s="320"/>
      <c r="AR117" s="320"/>
      <c r="AS117" s="320"/>
      <c r="AT117" s="320"/>
      <c r="AU117" s="321"/>
    </row>
    <row r="118">
      <c r="A118" s="319"/>
      <c r="B118" s="320"/>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c r="AA118" s="320"/>
      <c r="AB118" s="320"/>
      <c r="AC118" s="320"/>
      <c r="AD118" s="320"/>
      <c r="AE118" s="320"/>
      <c r="AF118" s="320"/>
      <c r="AG118" s="320"/>
      <c r="AH118" s="320"/>
      <c r="AI118" s="320"/>
      <c r="AJ118" s="320"/>
      <c r="AK118" s="320"/>
      <c r="AL118" s="320"/>
      <c r="AM118" s="320"/>
      <c r="AN118" s="320"/>
      <c r="AO118" s="320"/>
      <c r="AP118" s="320"/>
      <c r="AQ118" s="320"/>
      <c r="AR118" s="320"/>
      <c r="AS118" s="320"/>
      <c r="AT118" s="320"/>
      <c r="AU118" s="321"/>
    </row>
    <row r="119">
      <c r="A119" s="319"/>
      <c r="B119" s="320"/>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c r="AA119" s="320"/>
      <c r="AB119" s="320"/>
      <c r="AC119" s="320"/>
      <c r="AD119" s="320"/>
      <c r="AE119" s="320"/>
      <c r="AF119" s="320"/>
      <c r="AG119" s="320"/>
      <c r="AH119" s="320"/>
      <c r="AI119" s="320"/>
      <c r="AJ119" s="320"/>
      <c r="AK119" s="320"/>
      <c r="AL119" s="320"/>
      <c r="AM119" s="320"/>
      <c r="AN119" s="320"/>
      <c r="AO119" s="320"/>
      <c r="AP119" s="320"/>
      <c r="AQ119" s="320"/>
      <c r="AR119" s="320"/>
      <c r="AS119" s="320"/>
      <c r="AT119" s="320"/>
      <c r="AU119" s="321"/>
    </row>
    <row r="120">
      <c r="A120" s="319"/>
      <c r="B120" s="320"/>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c r="AA120" s="320"/>
      <c r="AB120" s="320"/>
      <c r="AC120" s="320"/>
      <c r="AD120" s="320"/>
      <c r="AE120" s="320"/>
      <c r="AF120" s="320"/>
      <c r="AG120" s="320"/>
      <c r="AH120" s="320"/>
      <c r="AI120" s="320"/>
      <c r="AJ120" s="320"/>
      <c r="AK120" s="320"/>
      <c r="AL120" s="320"/>
      <c r="AM120" s="320"/>
      <c r="AN120" s="320"/>
      <c r="AO120" s="320"/>
      <c r="AP120" s="320"/>
      <c r="AQ120" s="320"/>
      <c r="AR120" s="320"/>
      <c r="AS120" s="320"/>
      <c r="AT120" s="320"/>
      <c r="AU120" s="321"/>
    </row>
    <row r="121">
      <c r="A121" s="319"/>
      <c r="B121" s="320"/>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c r="AA121" s="320"/>
      <c r="AB121" s="320"/>
      <c r="AC121" s="320"/>
      <c r="AD121" s="320"/>
      <c r="AE121" s="320"/>
      <c r="AF121" s="320"/>
      <c r="AG121" s="320"/>
      <c r="AH121" s="320"/>
      <c r="AI121" s="320"/>
      <c r="AJ121" s="320"/>
      <c r="AK121" s="320"/>
      <c r="AL121" s="320"/>
      <c r="AM121" s="320"/>
      <c r="AN121" s="320"/>
      <c r="AO121" s="320"/>
      <c r="AP121" s="320"/>
      <c r="AQ121" s="320"/>
      <c r="AR121" s="320"/>
      <c r="AS121" s="320"/>
      <c r="AT121" s="320"/>
      <c r="AU121" s="321"/>
    </row>
    <row r="122">
      <c r="A122" s="319"/>
      <c r="B122" s="320"/>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c r="AA122" s="320"/>
      <c r="AB122" s="320"/>
      <c r="AC122" s="320"/>
      <c r="AD122" s="320"/>
      <c r="AE122" s="320"/>
      <c r="AF122" s="320"/>
      <c r="AG122" s="320"/>
      <c r="AH122" s="320"/>
      <c r="AI122" s="320"/>
      <c r="AJ122" s="320"/>
      <c r="AK122" s="320"/>
      <c r="AL122" s="320"/>
      <c r="AM122" s="320"/>
      <c r="AN122" s="320"/>
      <c r="AO122" s="320"/>
      <c r="AP122" s="320"/>
      <c r="AQ122" s="320"/>
      <c r="AR122" s="320"/>
      <c r="AS122" s="320"/>
      <c r="AT122" s="320"/>
      <c r="AU122" s="321"/>
    </row>
    <row r="123">
      <c r="A123" s="319"/>
      <c r="B123" s="320"/>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c r="AA123" s="320"/>
      <c r="AB123" s="320"/>
      <c r="AC123" s="320"/>
      <c r="AD123" s="320"/>
      <c r="AE123" s="320"/>
      <c r="AF123" s="320"/>
      <c r="AG123" s="320"/>
      <c r="AH123" s="320"/>
      <c r="AI123" s="320"/>
      <c r="AJ123" s="320"/>
      <c r="AK123" s="320"/>
      <c r="AL123" s="320"/>
      <c r="AM123" s="320"/>
      <c r="AN123" s="320"/>
      <c r="AO123" s="320"/>
      <c r="AP123" s="320"/>
      <c r="AQ123" s="320"/>
      <c r="AR123" s="320"/>
      <c r="AS123" s="320"/>
      <c r="AT123" s="320"/>
      <c r="AU123" s="321"/>
    </row>
    <row r="124">
      <c r="A124" s="319"/>
      <c r="B124" s="320"/>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c r="AA124" s="320"/>
      <c r="AB124" s="320"/>
      <c r="AC124" s="320"/>
      <c r="AD124" s="320"/>
      <c r="AE124" s="320"/>
      <c r="AF124" s="320"/>
      <c r="AG124" s="320"/>
      <c r="AH124" s="320"/>
      <c r="AI124" s="320"/>
      <c r="AJ124" s="320"/>
      <c r="AK124" s="320"/>
      <c r="AL124" s="320"/>
      <c r="AM124" s="320"/>
      <c r="AN124" s="320"/>
      <c r="AO124" s="320"/>
      <c r="AP124" s="320"/>
      <c r="AQ124" s="320"/>
      <c r="AR124" s="320"/>
      <c r="AS124" s="320"/>
      <c r="AT124" s="320"/>
      <c r="AU124" s="321"/>
    </row>
    <row r="125">
      <c r="A125" s="319"/>
      <c r="B125" s="320"/>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c r="AA125" s="320"/>
      <c r="AB125" s="320"/>
      <c r="AC125" s="320"/>
      <c r="AD125" s="320"/>
      <c r="AE125" s="320"/>
      <c r="AF125" s="320"/>
      <c r="AG125" s="320"/>
      <c r="AH125" s="320"/>
      <c r="AI125" s="320"/>
      <c r="AJ125" s="320"/>
      <c r="AK125" s="320"/>
      <c r="AL125" s="320"/>
      <c r="AM125" s="320"/>
      <c r="AN125" s="320"/>
      <c r="AO125" s="320"/>
      <c r="AP125" s="320"/>
      <c r="AQ125" s="320"/>
      <c r="AR125" s="320"/>
      <c r="AS125" s="320"/>
      <c r="AT125" s="320"/>
      <c r="AU125" s="321"/>
    </row>
    <row r="126">
      <c r="A126" s="319"/>
      <c r="B126" s="320"/>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c r="AA126" s="320"/>
      <c r="AB126" s="320"/>
      <c r="AC126" s="320"/>
      <c r="AD126" s="320"/>
      <c r="AE126" s="320"/>
      <c r="AF126" s="320"/>
      <c r="AG126" s="320"/>
      <c r="AH126" s="320"/>
      <c r="AI126" s="320"/>
      <c r="AJ126" s="320"/>
      <c r="AK126" s="320"/>
      <c r="AL126" s="320"/>
      <c r="AM126" s="320"/>
      <c r="AN126" s="320"/>
      <c r="AO126" s="320"/>
      <c r="AP126" s="320"/>
      <c r="AQ126" s="320"/>
      <c r="AR126" s="320"/>
      <c r="AS126" s="320"/>
      <c r="AT126" s="320"/>
      <c r="AU126" s="321"/>
    </row>
    <row r="127">
      <c r="A127" s="319"/>
      <c r="B127" s="320"/>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c r="AA127" s="320"/>
      <c r="AB127" s="320"/>
      <c r="AC127" s="320"/>
      <c r="AD127" s="320"/>
      <c r="AE127" s="320"/>
      <c r="AF127" s="320"/>
      <c r="AG127" s="320"/>
      <c r="AH127" s="320"/>
      <c r="AI127" s="320"/>
      <c r="AJ127" s="320"/>
      <c r="AK127" s="320"/>
      <c r="AL127" s="320"/>
      <c r="AM127" s="320"/>
      <c r="AN127" s="320"/>
      <c r="AO127" s="320"/>
      <c r="AP127" s="320"/>
      <c r="AQ127" s="320"/>
      <c r="AR127" s="320"/>
      <c r="AS127" s="320"/>
      <c r="AT127" s="320"/>
      <c r="AU127" s="321"/>
    </row>
    <row r="128">
      <c r="A128" s="319"/>
      <c r="B128" s="320"/>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c r="AA128" s="320"/>
      <c r="AB128" s="320"/>
      <c r="AC128" s="320"/>
      <c r="AD128" s="320"/>
      <c r="AE128" s="320"/>
      <c r="AF128" s="320"/>
      <c r="AG128" s="320"/>
      <c r="AH128" s="320"/>
      <c r="AI128" s="320"/>
      <c r="AJ128" s="320"/>
      <c r="AK128" s="320"/>
      <c r="AL128" s="320"/>
      <c r="AM128" s="320"/>
      <c r="AN128" s="320"/>
      <c r="AO128" s="320"/>
      <c r="AP128" s="320"/>
      <c r="AQ128" s="320"/>
      <c r="AR128" s="320"/>
      <c r="AS128" s="320"/>
      <c r="AT128" s="320"/>
      <c r="AU128" s="321"/>
    </row>
    <row r="129">
      <c r="A129" s="319"/>
      <c r="B129" s="320"/>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c r="AA129" s="320"/>
      <c r="AB129" s="320"/>
      <c r="AC129" s="320"/>
      <c r="AD129" s="320"/>
      <c r="AE129" s="320"/>
      <c r="AF129" s="320"/>
      <c r="AG129" s="320"/>
      <c r="AH129" s="320"/>
      <c r="AI129" s="320"/>
      <c r="AJ129" s="320"/>
      <c r="AK129" s="320"/>
      <c r="AL129" s="320"/>
      <c r="AM129" s="320"/>
      <c r="AN129" s="320"/>
      <c r="AO129" s="320"/>
      <c r="AP129" s="320"/>
      <c r="AQ129" s="320"/>
      <c r="AR129" s="320"/>
      <c r="AS129" s="320"/>
      <c r="AT129" s="320"/>
      <c r="AU129" s="321"/>
    </row>
    <row r="130">
      <c r="A130" s="319"/>
      <c r="B130" s="320"/>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c r="AA130" s="320"/>
      <c r="AB130" s="320"/>
      <c r="AC130" s="320"/>
      <c r="AD130" s="320"/>
      <c r="AE130" s="320"/>
      <c r="AF130" s="320"/>
      <c r="AG130" s="320"/>
      <c r="AH130" s="320"/>
      <c r="AI130" s="320"/>
      <c r="AJ130" s="320"/>
      <c r="AK130" s="320"/>
      <c r="AL130" s="320"/>
      <c r="AM130" s="320"/>
      <c r="AN130" s="320"/>
      <c r="AO130" s="320"/>
      <c r="AP130" s="320"/>
      <c r="AQ130" s="320"/>
      <c r="AR130" s="320"/>
      <c r="AS130" s="320"/>
      <c r="AT130" s="320"/>
      <c r="AU130" s="321"/>
    </row>
    <row r="131">
      <c r="A131" s="319"/>
      <c r="B131" s="320"/>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c r="AA131" s="320"/>
      <c r="AB131" s="320"/>
      <c r="AC131" s="320"/>
      <c r="AD131" s="320"/>
      <c r="AE131" s="320"/>
      <c r="AF131" s="320"/>
      <c r="AG131" s="320"/>
      <c r="AH131" s="320"/>
      <c r="AI131" s="320"/>
      <c r="AJ131" s="320"/>
      <c r="AK131" s="320"/>
      <c r="AL131" s="320"/>
      <c r="AM131" s="320"/>
      <c r="AN131" s="320"/>
      <c r="AO131" s="320"/>
      <c r="AP131" s="320"/>
      <c r="AQ131" s="320"/>
      <c r="AR131" s="320"/>
      <c r="AS131" s="320"/>
      <c r="AT131" s="320"/>
      <c r="AU131" s="321"/>
    </row>
    <row r="132">
      <c r="A132" s="319"/>
      <c r="B132" s="320"/>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c r="AA132" s="320"/>
      <c r="AB132" s="320"/>
      <c r="AC132" s="320"/>
      <c r="AD132" s="320"/>
      <c r="AE132" s="320"/>
      <c r="AF132" s="320"/>
      <c r="AG132" s="320"/>
      <c r="AH132" s="320"/>
      <c r="AI132" s="320"/>
      <c r="AJ132" s="320"/>
      <c r="AK132" s="320"/>
      <c r="AL132" s="320"/>
      <c r="AM132" s="320"/>
      <c r="AN132" s="320"/>
      <c r="AO132" s="320"/>
      <c r="AP132" s="320"/>
      <c r="AQ132" s="320"/>
      <c r="AR132" s="320"/>
      <c r="AS132" s="320"/>
      <c r="AT132" s="320"/>
      <c r="AU132" s="321"/>
    </row>
    <row r="133">
      <c r="A133" s="319"/>
      <c r="B133" s="320"/>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c r="AA133" s="320"/>
      <c r="AB133" s="320"/>
      <c r="AC133" s="320"/>
      <c r="AD133" s="320"/>
      <c r="AE133" s="320"/>
      <c r="AF133" s="320"/>
      <c r="AG133" s="320"/>
      <c r="AH133" s="320"/>
      <c r="AI133" s="320"/>
      <c r="AJ133" s="320"/>
      <c r="AK133" s="320"/>
      <c r="AL133" s="320"/>
      <c r="AM133" s="320"/>
      <c r="AN133" s="320"/>
      <c r="AO133" s="320"/>
      <c r="AP133" s="320"/>
      <c r="AQ133" s="320"/>
      <c r="AR133" s="320"/>
      <c r="AS133" s="320"/>
      <c r="AT133" s="320"/>
      <c r="AU133" s="321"/>
    </row>
    <row r="134">
      <c r="A134" s="319"/>
      <c r="B134" s="320"/>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c r="AA134" s="320"/>
      <c r="AB134" s="320"/>
      <c r="AC134" s="320"/>
      <c r="AD134" s="320"/>
      <c r="AE134" s="320"/>
      <c r="AF134" s="320"/>
      <c r="AG134" s="320"/>
      <c r="AH134" s="320"/>
      <c r="AI134" s="320"/>
      <c r="AJ134" s="320"/>
      <c r="AK134" s="320"/>
      <c r="AL134" s="320"/>
      <c r="AM134" s="320"/>
      <c r="AN134" s="320"/>
      <c r="AO134" s="320"/>
      <c r="AP134" s="320"/>
      <c r="AQ134" s="320"/>
      <c r="AR134" s="320"/>
      <c r="AS134" s="320"/>
      <c r="AT134" s="320"/>
      <c r="AU134" s="321"/>
    </row>
    <row r="135">
      <c r="A135" s="319"/>
      <c r="B135" s="320"/>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c r="AA135" s="320"/>
      <c r="AB135" s="320"/>
      <c r="AC135" s="320"/>
      <c r="AD135" s="320"/>
      <c r="AE135" s="320"/>
      <c r="AF135" s="320"/>
      <c r="AG135" s="320"/>
      <c r="AH135" s="320"/>
      <c r="AI135" s="320"/>
      <c r="AJ135" s="320"/>
      <c r="AK135" s="320"/>
      <c r="AL135" s="320"/>
      <c r="AM135" s="320"/>
      <c r="AN135" s="320"/>
      <c r="AO135" s="320"/>
      <c r="AP135" s="320"/>
      <c r="AQ135" s="320"/>
      <c r="AR135" s="320"/>
      <c r="AS135" s="320"/>
      <c r="AT135" s="320"/>
      <c r="AU135" s="321"/>
    </row>
    <row r="136">
      <c r="A136" s="319"/>
      <c r="B136" s="320"/>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c r="AA136" s="320"/>
      <c r="AB136" s="320"/>
      <c r="AC136" s="320"/>
      <c r="AD136" s="320"/>
      <c r="AE136" s="320"/>
      <c r="AF136" s="320"/>
      <c r="AG136" s="320"/>
      <c r="AH136" s="320"/>
      <c r="AI136" s="320"/>
      <c r="AJ136" s="320"/>
      <c r="AK136" s="320"/>
      <c r="AL136" s="320"/>
      <c r="AM136" s="320"/>
      <c r="AN136" s="320"/>
      <c r="AO136" s="320"/>
      <c r="AP136" s="320"/>
      <c r="AQ136" s="320"/>
      <c r="AR136" s="320"/>
      <c r="AS136" s="320"/>
      <c r="AT136" s="320"/>
      <c r="AU136" s="321"/>
    </row>
    <row r="137">
      <c r="A137" s="319"/>
      <c r="B137" s="320"/>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c r="AA137" s="320"/>
      <c r="AB137" s="320"/>
      <c r="AC137" s="320"/>
      <c r="AD137" s="320"/>
      <c r="AE137" s="320"/>
      <c r="AF137" s="320"/>
      <c r="AG137" s="320"/>
      <c r="AH137" s="320"/>
      <c r="AI137" s="320"/>
      <c r="AJ137" s="320"/>
      <c r="AK137" s="320"/>
      <c r="AL137" s="320"/>
      <c r="AM137" s="320"/>
      <c r="AN137" s="320"/>
      <c r="AO137" s="320"/>
      <c r="AP137" s="320"/>
      <c r="AQ137" s="320"/>
      <c r="AR137" s="320"/>
      <c r="AS137" s="320"/>
      <c r="AT137" s="320"/>
      <c r="AU137" s="321"/>
    </row>
    <row r="138">
      <c r="A138" s="319"/>
      <c r="B138" s="320"/>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c r="AA138" s="320"/>
      <c r="AB138" s="320"/>
      <c r="AC138" s="320"/>
      <c r="AD138" s="320"/>
      <c r="AE138" s="320"/>
      <c r="AF138" s="320"/>
      <c r="AG138" s="320"/>
      <c r="AH138" s="320"/>
      <c r="AI138" s="320"/>
      <c r="AJ138" s="320"/>
      <c r="AK138" s="320"/>
      <c r="AL138" s="320"/>
      <c r="AM138" s="320"/>
      <c r="AN138" s="320"/>
      <c r="AO138" s="320"/>
      <c r="AP138" s="320"/>
      <c r="AQ138" s="320"/>
      <c r="AR138" s="320"/>
      <c r="AS138" s="320"/>
      <c r="AT138" s="320"/>
      <c r="AU138" s="321"/>
    </row>
    <row r="139">
      <c r="A139" s="319"/>
      <c r="B139" s="320"/>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c r="AA139" s="320"/>
      <c r="AB139" s="320"/>
      <c r="AC139" s="320"/>
      <c r="AD139" s="320"/>
      <c r="AE139" s="320"/>
      <c r="AF139" s="320"/>
      <c r="AG139" s="320"/>
      <c r="AH139" s="320"/>
      <c r="AI139" s="320"/>
      <c r="AJ139" s="320"/>
      <c r="AK139" s="320"/>
      <c r="AL139" s="320"/>
      <c r="AM139" s="320"/>
      <c r="AN139" s="320"/>
      <c r="AO139" s="320"/>
      <c r="AP139" s="320"/>
      <c r="AQ139" s="320"/>
      <c r="AR139" s="320"/>
      <c r="AS139" s="320"/>
      <c r="AT139" s="320"/>
      <c r="AU139" s="321"/>
    </row>
    <row r="140">
      <c r="A140" s="319"/>
      <c r="B140" s="320"/>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c r="AA140" s="320"/>
      <c r="AB140" s="320"/>
      <c r="AC140" s="320"/>
      <c r="AD140" s="320"/>
      <c r="AE140" s="320"/>
      <c r="AF140" s="320"/>
      <c r="AG140" s="320"/>
      <c r="AH140" s="320"/>
      <c r="AI140" s="320"/>
      <c r="AJ140" s="320"/>
      <c r="AK140" s="320"/>
      <c r="AL140" s="320"/>
      <c r="AM140" s="320"/>
      <c r="AN140" s="320"/>
      <c r="AO140" s="320"/>
      <c r="AP140" s="320"/>
      <c r="AQ140" s="320"/>
      <c r="AR140" s="320"/>
      <c r="AS140" s="320"/>
      <c r="AT140" s="320"/>
      <c r="AU140" s="321"/>
    </row>
    <row r="141">
      <c r="A141" s="319"/>
      <c r="B141" s="320"/>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c r="AA141" s="320"/>
      <c r="AB141" s="320"/>
      <c r="AC141" s="320"/>
      <c r="AD141" s="320"/>
      <c r="AE141" s="320"/>
      <c r="AF141" s="320"/>
      <c r="AG141" s="320"/>
      <c r="AH141" s="320"/>
      <c r="AI141" s="320"/>
      <c r="AJ141" s="320"/>
      <c r="AK141" s="320"/>
      <c r="AL141" s="320"/>
      <c r="AM141" s="320"/>
      <c r="AN141" s="320"/>
      <c r="AO141" s="320"/>
      <c r="AP141" s="320"/>
      <c r="AQ141" s="320"/>
      <c r="AR141" s="320"/>
      <c r="AS141" s="320"/>
      <c r="AT141" s="320"/>
      <c r="AU141" s="321"/>
    </row>
    <row r="142">
      <c r="A142" s="319"/>
      <c r="B142" s="320"/>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c r="AA142" s="320"/>
      <c r="AB142" s="320"/>
      <c r="AC142" s="320"/>
      <c r="AD142" s="320"/>
      <c r="AE142" s="320"/>
      <c r="AF142" s="320"/>
      <c r="AG142" s="320"/>
      <c r="AH142" s="320"/>
      <c r="AI142" s="320"/>
      <c r="AJ142" s="320"/>
      <c r="AK142" s="320"/>
      <c r="AL142" s="320"/>
      <c r="AM142" s="320"/>
      <c r="AN142" s="320"/>
      <c r="AO142" s="320"/>
      <c r="AP142" s="320"/>
      <c r="AQ142" s="320"/>
      <c r="AR142" s="320"/>
      <c r="AS142" s="320"/>
      <c r="AT142" s="320"/>
      <c r="AU142" s="321"/>
    </row>
    <row r="143">
      <c r="A143" s="319"/>
      <c r="B143" s="320"/>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c r="AA143" s="320"/>
      <c r="AB143" s="320"/>
      <c r="AC143" s="320"/>
      <c r="AD143" s="320"/>
      <c r="AE143" s="320"/>
      <c r="AF143" s="320"/>
      <c r="AG143" s="320"/>
      <c r="AH143" s="320"/>
      <c r="AI143" s="320"/>
      <c r="AJ143" s="320"/>
      <c r="AK143" s="320"/>
      <c r="AL143" s="320"/>
      <c r="AM143" s="320"/>
      <c r="AN143" s="320"/>
      <c r="AO143" s="320"/>
      <c r="AP143" s="320"/>
      <c r="AQ143" s="320"/>
      <c r="AR143" s="320"/>
      <c r="AS143" s="320"/>
      <c r="AT143" s="320"/>
      <c r="AU143" s="321"/>
    </row>
    <row r="144">
      <c r="A144" s="319"/>
      <c r="B144" s="320"/>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c r="AA144" s="320"/>
      <c r="AB144" s="320"/>
      <c r="AC144" s="320"/>
      <c r="AD144" s="320"/>
      <c r="AE144" s="320"/>
      <c r="AF144" s="320"/>
      <c r="AG144" s="320"/>
      <c r="AH144" s="320"/>
      <c r="AI144" s="320"/>
      <c r="AJ144" s="320"/>
      <c r="AK144" s="320"/>
      <c r="AL144" s="320"/>
      <c r="AM144" s="320"/>
      <c r="AN144" s="320"/>
      <c r="AO144" s="320"/>
      <c r="AP144" s="320"/>
      <c r="AQ144" s="320"/>
      <c r="AR144" s="320"/>
      <c r="AS144" s="320"/>
      <c r="AT144" s="320"/>
      <c r="AU144" s="321"/>
    </row>
    <row r="145">
      <c r="A145" s="319"/>
      <c r="B145" s="320"/>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c r="AA145" s="320"/>
      <c r="AB145" s="320"/>
      <c r="AC145" s="320"/>
      <c r="AD145" s="320"/>
      <c r="AE145" s="320"/>
      <c r="AF145" s="320"/>
      <c r="AG145" s="320"/>
      <c r="AH145" s="320"/>
      <c r="AI145" s="320"/>
      <c r="AJ145" s="320"/>
      <c r="AK145" s="320"/>
      <c r="AL145" s="320"/>
      <c r="AM145" s="320"/>
      <c r="AN145" s="320"/>
      <c r="AO145" s="320"/>
      <c r="AP145" s="320"/>
      <c r="AQ145" s="320"/>
      <c r="AR145" s="320"/>
      <c r="AS145" s="320"/>
      <c r="AT145" s="320"/>
      <c r="AU145" s="321"/>
    </row>
    <row r="146">
      <c r="A146" s="319"/>
      <c r="B146" s="320"/>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c r="AA146" s="320"/>
      <c r="AB146" s="320"/>
      <c r="AC146" s="320"/>
      <c r="AD146" s="320"/>
      <c r="AE146" s="320"/>
      <c r="AF146" s="320"/>
      <c r="AG146" s="320"/>
      <c r="AH146" s="320"/>
      <c r="AI146" s="320"/>
      <c r="AJ146" s="320"/>
      <c r="AK146" s="320"/>
      <c r="AL146" s="320"/>
      <c r="AM146" s="320"/>
      <c r="AN146" s="320"/>
      <c r="AO146" s="320"/>
      <c r="AP146" s="320"/>
      <c r="AQ146" s="320"/>
      <c r="AR146" s="320"/>
      <c r="AS146" s="320"/>
      <c r="AT146" s="320"/>
      <c r="AU146" s="321"/>
    </row>
    <row r="147">
      <c r="A147" s="319"/>
      <c r="B147" s="320"/>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c r="AA147" s="320"/>
      <c r="AB147" s="320"/>
      <c r="AC147" s="320"/>
      <c r="AD147" s="320"/>
      <c r="AE147" s="320"/>
      <c r="AF147" s="320"/>
      <c r="AG147" s="320"/>
      <c r="AH147" s="320"/>
      <c r="AI147" s="320"/>
      <c r="AJ147" s="320"/>
      <c r="AK147" s="320"/>
      <c r="AL147" s="320"/>
      <c r="AM147" s="320"/>
      <c r="AN147" s="320"/>
      <c r="AO147" s="320"/>
      <c r="AP147" s="320"/>
      <c r="AQ147" s="320"/>
      <c r="AR147" s="320"/>
      <c r="AS147" s="320"/>
      <c r="AT147" s="320"/>
      <c r="AU147" s="321"/>
    </row>
    <row r="148">
      <c r="A148" s="319"/>
      <c r="B148" s="320"/>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c r="AA148" s="320"/>
      <c r="AB148" s="320"/>
      <c r="AC148" s="320"/>
      <c r="AD148" s="320"/>
      <c r="AE148" s="320"/>
      <c r="AF148" s="320"/>
      <c r="AG148" s="320"/>
      <c r="AH148" s="320"/>
      <c r="AI148" s="320"/>
      <c r="AJ148" s="320"/>
      <c r="AK148" s="320"/>
      <c r="AL148" s="320"/>
      <c r="AM148" s="320"/>
      <c r="AN148" s="320"/>
      <c r="AO148" s="320"/>
      <c r="AP148" s="320"/>
      <c r="AQ148" s="320"/>
      <c r="AR148" s="320"/>
      <c r="AS148" s="320"/>
      <c r="AT148" s="320"/>
      <c r="AU148" s="321"/>
    </row>
    <row r="149">
      <c r="A149" s="319"/>
      <c r="B149" s="320"/>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c r="AA149" s="320"/>
      <c r="AB149" s="320"/>
      <c r="AC149" s="320"/>
      <c r="AD149" s="320"/>
      <c r="AE149" s="320"/>
      <c r="AF149" s="320"/>
      <c r="AG149" s="320"/>
      <c r="AH149" s="320"/>
      <c r="AI149" s="320"/>
      <c r="AJ149" s="320"/>
      <c r="AK149" s="320"/>
      <c r="AL149" s="320"/>
      <c r="AM149" s="320"/>
      <c r="AN149" s="320"/>
      <c r="AO149" s="320"/>
      <c r="AP149" s="320"/>
      <c r="AQ149" s="320"/>
      <c r="AR149" s="320"/>
      <c r="AS149" s="320"/>
      <c r="AT149" s="320"/>
      <c r="AU149" s="321"/>
    </row>
    <row r="150">
      <c r="A150" s="319"/>
      <c r="B150" s="320"/>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c r="AA150" s="320"/>
      <c r="AB150" s="320"/>
      <c r="AC150" s="320"/>
      <c r="AD150" s="320"/>
      <c r="AE150" s="320"/>
      <c r="AF150" s="320"/>
      <c r="AG150" s="320"/>
      <c r="AH150" s="320"/>
      <c r="AI150" s="320"/>
      <c r="AJ150" s="320"/>
      <c r="AK150" s="320"/>
      <c r="AL150" s="320"/>
      <c r="AM150" s="320"/>
      <c r="AN150" s="320"/>
      <c r="AO150" s="320"/>
      <c r="AP150" s="320"/>
      <c r="AQ150" s="320"/>
      <c r="AR150" s="320"/>
      <c r="AS150" s="320"/>
      <c r="AT150" s="320"/>
      <c r="AU150" s="321"/>
    </row>
    <row r="151">
      <c r="A151" s="319"/>
      <c r="B151" s="320"/>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c r="AA151" s="320"/>
      <c r="AB151" s="320"/>
      <c r="AC151" s="320"/>
      <c r="AD151" s="320"/>
      <c r="AE151" s="320"/>
      <c r="AF151" s="320"/>
      <c r="AG151" s="320"/>
      <c r="AH151" s="320"/>
      <c r="AI151" s="320"/>
      <c r="AJ151" s="320"/>
      <c r="AK151" s="320"/>
      <c r="AL151" s="320"/>
      <c r="AM151" s="320"/>
      <c r="AN151" s="320"/>
      <c r="AO151" s="320"/>
      <c r="AP151" s="320"/>
      <c r="AQ151" s="320"/>
      <c r="AR151" s="320"/>
      <c r="AS151" s="320"/>
      <c r="AT151" s="320"/>
      <c r="AU151" s="321"/>
    </row>
    <row r="152">
      <c r="A152" s="319"/>
      <c r="B152" s="320"/>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c r="AA152" s="320"/>
      <c r="AB152" s="320"/>
      <c r="AC152" s="320"/>
      <c r="AD152" s="320"/>
      <c r="AE152" s="320"/>
      <c r="AF152" s="320"/>
      <c r="AG152" s="320"/>
      <c r="AH152" s="320"/>
      <c r="AI152" s="320"/>
      <c r="AJ152" s="320"/>
      <c r="AK152" s="320"/>
      <c r="AL152" s="320"/>
      <c r="AM152" s="320"/>
      <c r="AN152" s="320"/>
      <c r="AO152" s="320"/>
      <c r="AP152" s="320"/>
      <c r="AQ152" s="320"/>
      <c r="AR152" s="320"/>
      <c r="AS152" s="320"/>
      <c r="AT152" s="320"/>
      <c r="AU152" s="321"/>
    </row>
    <row r="153">
      <c r="A153" s="319"/>
      <c r="B153" s="320"/>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c r="AA153" s="320"/>
      <c r="AB153" s="320"/>
      <c r="AC153" s="320"/>
      <c r="AD153" s="320"/>
      <c r="AE153" s="320"/>
      <c r="AF153" s="320"/>
      <c r="AG153" s="320"/>
      <c r="AH153" s="320"/>
      <c r="AI153" s="320"/>
      <c r="AJ153" s="320"/>
      <c r="AK153" s="320"/>
      <c r="AL153" s="320"/>
      <c r="AM153" s="320"/>
      <c r="AN153" s="320"/>
      <c r="AO153" s="320"/>
      <c r="AP153" s="320"/>
      <c r="AQ153" s="320"/>
      <c r="AR153" s="320"/>
      <c r="AS153" s="320"/>
      <c r="AT153" s="320"/>
      <c r="AU153" s="321"/>
    </row>
    <row r="154">
      <c r="A154" s="319"/>
      <c r="B154" s="320"/>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c r="AA154" s="320"/>
      <c r="AB154" s="320"/>
      <c r="AC154" s="320"/>
      <c r="AD154" s="320"/>
      <c r="AE154" s="320"/>
      <c r="AF154" s="320"/>
      <c r="AG154" s="320"/>
      <c r="AH154" s="320"/>
      <c r="AI154" s="320"/>
      <c r="AJ154" s="320"/>
      <c r="AK154" s="320"/>
      <c r="AL154" s="320"/>
      <c r="AM154" s="320"/>
      <c r="AN154" s="320"/>
      <c r="AO154" s="320"/>
      <c r="AP154" s="320"/>
      <c r="AQ154" s="320"/>
      <c r="AR154" s="320"/>
      <c r="AS154" s="320"/>
      <c r="AT154" s="320"/>
      <c r="AU154" s="321"/>
    </row>
    <row r="155">
      <c r="A155" s="319"/>
      <c r="B155" s="320"/>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c r="AA155" s="320"/>
      <c r="AB155" s="320"/>
      <c r="AC155" s="320"/>
      <c r="AD155" s="320"/>
      <c r="AE155" s="320"/>
      <c r="AF155" s="320"/>
      <c r="AG155" s="320"/>
      <c r="AH155" s="320"/>
      <c r="AI155" s="320"/>
      <c r="AJ155" s="320"/>
      <c r="AK155" s="320"/>
      <c r="AL155" s="320"/>
      <c r="AM155" s="320"/>
      <c r="AN155" s="320"/>
      <c r="AO155" s="320"/>
      <c r="AP155" s="320"/>
      <c r="AQ155" s="320"/>
      <c r="AR155" s="320"/>
      <c r="AS155" s="320"/>
      <c r="AT155" s="320"/>
      <c r="AU155" s="321"/>
    </row>
    <row r="156">
      <c r="A156" s="319"/>
      <c r="B156" s="320"/>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c r="AA156" s="320"/>
      <c r="AB156" s="320"/>
      <c r="AC156" s="320"/>
      <c r="AD156" s="320"/>
      <c r="AE156" s="320"/>
      <c r="AF156" s="320"/>
      <c r="AG156" s="320"/>
      <c r="AH156" s="320"/>
      <c r="AI156" s="320"/>
      <c r="AJ156" s="320"/>
      <c r="AK156" s="320"/>
      <c r="AL156" s="320"/>
      <c r="AM156" s="320"/>
      <c r="AN156" s="320"/>
      <c r="AO156" s="320"/>
      <c r="AP156" s="320"/>
      <c r="AQ156" s="320"/>
      <c r="AR156" s="320"/>
      <c r="AS156" s="320"/>
      <c r="AT156" s="320"/>
      <c r="AU156" s="321"/>
    </row>
    <row r="157">
      <c r="A157" s="319"/>
      <c r="B157" s="320"/>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c r="AA157" s="320"/>
      <c r="AB157" s="320"/>
      <c r="AC157" s="320"/>
      <c r="AD157" s="320"/>
      <c r="AE157" s="320"/>
      <c r="AF157" s="320"/>
      <c r="AG157" s="320"/>
      <c r="AH157" s="320"/>
      <c r="AI157" s="320"/>
      <c r="AJ157" s="320"/>
      <c r="AK157" s="320"/>
      <c r="AL157" s="320"/>
      <c r="AM157" s="320"/>
      <c r="AN157" s="320"/>
      <c r="AO157" s="320"/>
      <c r="AP157" s="320"/>
      <c r="AQ157" s="320"/>
      <c r="AR157" s="320"/>
      <c r="AS157" s="320"/>
      <c r="AT157" s="320"/>
      <c r="AU157" s="321"/>
    </row>
    <row r="158">
      <c r="A158" s="319"/>
      <c r="B158" s="320"/>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c r="AA158" s="320"/>
      <c r="AB158" s="320"/>
      <c r="AC158" s="320"/>
      <c r="AD158" s="320"/>
      <c r="AE158" s="320"/>
      <c r="AF158" s="320"/>
      <c r="AG158" s="320"/>
      <c r="AH158" s="320"/>
      <c r="AI158" s="320"/>
      <c r="AJ158" s="320"/>
      <c r="AK158" s="320"/>
      <c r="AL158" s="320"/>
      <c r="AM158" s="320"/>
      <c r="AN158" s="320"/>
      <c r="AO158" s="320"/>
      <c r="AP158" s="320"/>
      <c r="AQ158" s="320"/>
      <c r="AR158" s="320"/>
      <c r="AS158" s="320"/>
      <c r="AT158" s="320"/>
      <c r="AU158" s="321"/>
    </row>
    <row r="159">
      <c r="A159" s="319"/>
      <c r="B159" s="320"/>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c r="AA159" s="320"/>
      <c r="AB159" s="320"/>
      <c r="AC159" s="320"/>
      <c r="AD159" s="320"/>
      <c r="AE159" s="320"/>
      <c r="AF159" s="320"/>
      <c r="AG159" s="320"/>
      <c r="AH159" s="320"/>
      <c r="AI159" s="320"/>
      <c r="AJ159" s="320"/>
      <c r="AK159" s="320"/>
      <c r="AL159" s="320"/>
      <c r="AM159" s="320"/>
      <c r="AN159" s="320"/>
      <c r="AO159" s="320"/>
      <c r="AP159" s="320"/>
      <c r="AQ159" s="320"/>
      <c r="AR159" s="320"/>
      <c r="AS159" s="320"/>
      <c r="AT159" s="320"/>
      <c r="AU159" s="321"/>
    </row>
    <row r="160">
      <c r="A160" s="319"/>
      <c r="B160" s="320"/>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c r="AA160" s="320"/>
      <c r="AB160" s="320"/>
      <c r="AC160" s="320"/>
      <c r="AD160" s="320"/>
      <c r="AE160" s="320"/>
      <c r="AF160" s="320"/>
      <c r="AG160" s="320"/>
      <c r="AH160" s="320"/>
      <c r="AI160" s="320"/>
      <c r="AJ160" s="320"/>
      <c r="AK160" s="320"/>
      <c r="AL160" s="320"/>
      <c r="AM160" s="320"/>
      <c r="AN160" s="320"/>
      <c r="AO160" s="320"/>
      <c r="AP160" s="320"/>
      <c r="AQ160" s="320"/>
      <c r="AR160" s="320"/>
      <c r="AS160" s="320"/>
      <c r="AT160" s="320"/>
      <c r="AU160" s="321"/>
    </row>
    <row r="161">
      <c r="A161" s="319"/>
      <c r="B161" s="320"/>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c r="AA161" s="320"/>
      <c r="AB161" s="320"/>
      <c r="AC161" s="320"/>
      <c r="AD161" s="320"/>
      <c r="AE161" s="320"/>
      <c r="AF161" s="320"/>
      <c r="AG161" s="320"/>
      <c r="AH161" s="320"/>
      <c r="AI161" s="320"/>
      <c r="AJ161" s="320"/>
      <c r="AK161" s="320"/>
      <c r="AL161" s="320"/>
      <c r="AM161" s="320"/>
      <c r="AN161" s="320"/>
      <c r="AO161" s="320"/>
      <c r="AP161" s="320"/>
      <c r="AQ161" s="320"/>
      <c r="AR161" s="320"/>
      <c r="AS161" s="320"/>
      <c r="AT161" s="320"/>
      <c r="AU161" s="321"/>
    </row>
    <row r="162">
      <c r="A162" s="319"/>
      <c r="B162" s="320"/>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c r="AA162" s="320"/>
      <c r="AB162" s="320"/>
      <c r="AC162" s="320"/>
      <c r="AD162" s="320"/>
      <c r="AE162" s="320"/>
      <c r="AF162" s="320"/>
      <c r="AG162" s="320"/>
      <c r="AH162" s="320"/>
      <c r="AI162" s="320"/>
      <c r="AJ162" s="320"/>
      <c r="AK162" s="320"/>
      <c r="AL162" s="320"/>
      <c r="AM162" s="320"/>
      <c r="AN162" s="320"/>
      <c r="AO162" s="320"/>
      <c r="AP162" s="320"/>
      <c r="AQ162" s="320"/>
      <c r="AR162" s="320"/>
      <c r="AS162" s="320"/>
      <c r="AT162" s="320"/>
      <c r="AU162" s="321"/>
    </row>
    <row r="163">
      <c r="A163" s="319"/>
      <c r="B163" s="320"/>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c r="AA163" s="320"/>
      <c r="AB163" s="320"/>
      <c r="AC163" s="320"/>
      <c r="AD163" s="320"/>
      <c r="AE163" s="320"/>
      <c r="AF163" s="320"/>
      <c r="AG163" s="320"/>
      <c r="AH163" s="320"/>
      <c r="AI163" s="320"/>
      <c r="AJ163" s="320"/>
      <c r="AK163" s="320"/>
      <c r="AL163" s="320"/>
      <c r="AM163" s="320"/>
      <c r="AN163" s="320"/>
      <c r="AO163" s="320"/>
      <c r="AP163" s="320"/>
      <c r="AQ163" s="320"/>
      <c r="AR163" s="320"/>
      <c r="AS163" s="320"/>
      <c r="AT163" s="320"/>
      <c r="AU163" s="321"/>
    </row>
    <row r="164">
      <c r="A164" s="319"/>
      <c r="B164" s="320"/>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c r="AA164" s="320"/>
      <c r="AB164" s="320"/>
      <c r="AC164" s="320"/>
      <c r="AD164" s="320"/>
      <c r="AE164" s="320"/>
      <c r="AF164" s="320"/>
      <c r="AG164" s="320"/>
      <c r="AH164" s="320"/>
      <c r="AI164" s="320"/>
      <c r="AJ164" s="320"/>
      <c r="AK164" s="320"/>
      <c r="AL164" s="320"/>
      <c r="AM164" s="320"/>
      <c r="AN164" s="320"/>
      <c r="AO164" s="320"/>
      <c r="AP164" s="320"/>
      <c r="AQ164" s="320"/>
      <c r="AR164" s="320"/>
      <c r="AS164" s="320"/>
      <c r="AT164" s="320"/>
      <c r="AU164" s="321"/>
    </row>
    <row r="165">
      <c r="A165" s="319"/>
      <c r="B165" s="320"/>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c r="AA165" s="320"/>
      <c r="AB165" s="320"/>
      <c r="AC165" s="320"/>
      <c r="AD165" s="320"/>
      <c r="AE165" s="320"/>
      <c r="AF165" s="320"/>
      <c r="AG165" s="320"/>
      <c r="AH165" s="320"/>
      <c r="AI165" s="320"/>
      <c r="AJ165" s="320"/>
      <c r="AK165" s="320"/>
      <c r="AL165" s="320"/>
      <c r="AM165" s="320"/>
      <c r="AN165" s="320"/>
      <c r="AO165" s="320"/>
      <c r="AP165" s="320"/>
      <c r="AQ165" s="320"/>
      <c r="AR165" s="320"/>
      <c r="AS165" s="320"/>
      <c r="AT165" s="320"/>
      <c r="AU165" s="321"/>
    </row>
    <row r="166">
      <c r="A166" s="319"/>
      <c r="B166" s="320"/>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c r="AA166" s="320"/>
      <c r="AB166" s="320"/>
      <c r="AC166" s="320"/>
      <c r="AD166" s="320"/>
      <c r="AE166" s="320"/>
      <c r="AF166" s="320"/>
      <c r="AG166" s="320"/>
      <c r="AH166" s="320"/>
      <c r="AI166" s="320"/>
      <c r="AJ166" s="320"/>
      <c r="AK166" s="320"/>
      <c r="AL166" s="320"/>
      <c r="AM166" s="320"/>
      <c r="AN166" s="320"/>
      <c r="AO166" s="320"/>
      <c r="AP166" s="320"/>
      <c r="AQ166" s="320"/>
      <c r="AR166" s="320"/>
      <c r="AS166" s="320"/>
      <c r="AT166" s="320"/>
      <c r="AU166" s="321"/>
    </row>
    <row r="167">
      <c r="A167" s="319"/>
      <c r="B167" s="320"/>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c r="AA167" s="320"/>
      <c r="AB167" s="320"/>
      <c r="AC167" s="320"/>
      <c r="AD167" s="320"/>
      <c r="AE167" s="320"/>
      <c r="AF167" s="320"/>
      <c r="AG167" s="320"/>
      <c r="AH167" s="320"/>
      <c r="AI167" s="320"/>
      <c r="AJ167" s="320"/>
      <c r="AK167" s="320"/>
      <c r="AL167" s="320"/>
      <c r="AM167" s="320"/>
      <c r="AN167" s="320"/>
      <c r="AO167" s="320"/>
      <c r="AP167" s="320"/>
      <c r="AQ167" s="320"/>
      <c r="AR167" s="320"/>
      <c r="AS167" s="320"/>
      <c r="AT167" s="320"/>
      <c r="AU167" s="321"/>
    </row>
    <row r="168">
      <c r="A168" s="319"/>
      <c r="B168" s="320"/>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c r="AA168" s="320"/>
      <c r="AB168" s="320"/>
      <c r="AC168" s="320"/>
      <c r="AD168" s="320"/>
      <c r="AE168" s="320"/>
      <c r="AF168" s="320"/>
      <c r="AG168" s="320"/>
      <c r="AH168" s="320"/>
      <c r="AI168" s="320"/>
      <c r="AJ168" s="320"/>
      <c r="AK168" s="320"/>
      <c r="AL168" s="320"/>
      <c r="AM168" s="320"/>
      <c r="AN168" s="320"/>
      <c r="AO168" s="320"/>
      <c r="AP168" s="320"/>
      <c r="AQ168" s="320"/>
      <c r="AR168" s="320"/>
      <c r="AS168" s="320"/>
      <c r="AT168" s="320"/>
      <c r="AU168" s="321"/>
    </row>
    <row r="169">
      <c r="A169" s="319"/>
      <c r="B169" s="320"/>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c r="AA169" s="320"/>
      <c r="AB169" s="320"/>
      <c r="AC169" s="320"/>
      <c r="AD169" s="320"/>
      <c r="AE169" s="320"/>
      <c r="AF169" s="320"/>
      <c r="AG169" s="320"/>
      <c r="AH169" s="320"/>
      <c r="AI169" s="320"/>
      <c r="AJ169" s="320"/>
      <c r="AK169" s="320"/>
      <c r="AL169" s="320"/>
      <c r="AM169" s="320"/>
      <c r="AN169" s="320"/>
      <c r="AO169" s="320"/>
      <c r="AP169" s="320"/>
      <c r="AQ169" s="320"/>
      <c r="AR169" s="320"/>
      <c r="AS169" s="320"/>
      <c r="AT169" s="320"/>
      <c r="AU169" s="321"/>
    </row>
    <row r="170">
      <c r="A170" s="319"/>
      <c r="B170" s="320"/>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c r="AA170" s="320"/>
      <c r="AB170" s="320"/>
      <c r="AC170" s="320"/>
      <c r="AD170" s="320"/>
      <c r="AE170" s="320"/>
      <c r="AF170" s="320"/>
      <c r="AG170" s="320"/>
      <c r="AH170" s="320"/>
      <c r="AI170" s="320"/>
      <c r="AJ170" s="320"/>
      <c r="AK170" s="320"/>
      <c r="AL170" s="320"/>
      <c r="AM170" s="320"/>
      <c r="AN170" s="320"/>
      <c r="AO170" s="320"/>
      <c r="AP170" s="320"/>
      <c r="AQ170" s="320"/>
      <c r="AR170" s="320"/>
      <c r="AS170" s="320"/>
      <c r="AT170" s="320"/>
      <c r="AU170" s="321"/>
    </row>
    <row r="171">
      <c r="A171" s="319"/>
      <c r="B171" s="320"/>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c r="AA171" s="320"/>
      <c r="AB171" s="320"/>
      <c r="AC171" s="320"/>
      <c r="AD171" s="320"/>
      <c r="AE171" s="320"/>
      <c r="AF171" s="320"/>
      <c r="AG171" s="320"/>
      <c r="AH171" s="320"/>
      <c r="AI171" s="320"/>
      <c r="AJ171" s="320"/>
      <c r="AK171" s="320"/>
      <c r="AL171" s="320"/>
      <c r="AM171" s="320"/>
      <c r="AN171" s="320"/>
      <c r="AO171" s="320"/>
      <c r="AP171" s="320"/>
      <c r="AQ171" s="320"/>
      <c r="AR171" s="320"/>
      <c r="AS171" s="320"/>
      <c r="AT171" s="320"/>
      <c r="AU171" s="321"/>
    </row>
    <row r="172">
      <c r="A172" s="319"/>
      <c r="B172" s="320"/>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c r="AA172" s="320"/>
      <c r="AB172" s="320"/>
      <c r="AC172" s="320"/>
      <c r="AD172" s="320"/>
      <c r="AE172" s="320"/>
      <c r="AF172" s="320"/>
      <c r="AG172" s="320"/>
      <c r="AH172" s="320"/>
      <c r="AI172" s="320"/>
      <c r="AJ172" s="320"/>
      <c r="AK172" s="320"/>
      <c r="AL172" s="320"/>
      <c r="AM172" s="320"/>
      <c r="AN172" s="320"/>
      <c r="AO172" s="320"/>
      <c r="AP172" s="320"/>
      <c r="AQ172" s="320"/>
      <c r="AR172" s="320"/>
      <c r="AS172" s="320"/>
      <c r="AT172" s="320"/>
      <c r="AU172" s="321"/>
    </row>
    <row r="173">
      <c r="A173" s="319"/>
      <c r="B173" s="320"/>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c r="AA173" s="320"/>
      <c r="AB173" s="320"/>
      <c r="AC173" s="320"/>
      <c r="AD173" s="320"/>
      <c r="AE173" s="320"/>
      <c r="AF173" s="320"/>
      <c r="AG173" s="320"/>
      <c r="AH173" s="320"/>
      <c r="AI173" s="320"/>
      <c r="AJ173" s="320"/>
      <c r="AK173" s="320"/>
      <c r="AL173" s="320"/>
      <c r="AM173" s="320"/>
      <c r="AN173" s="320"/>
      <c r="AO173" s="320"/>
      <c r="AP173" s="320"/>
      <c r="AQ173" s="320"/>
      <c r="AR173" s="320"/>
      <c r="AS173" s="320"/>
      <c r="AT173" s="320"/>
      <c r="AU173" s="321"/>
    </row>
    <row r="174">
      <c r="A174" s="319"/>
      <c r="B174" s="320"/>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20"/>
      <c r="AN174" s="320"/>
      <c r="AO174" s="320"/>
      <c r="AP174" s="320"/>
      <c r="AQ174" s="320"/>
      <c r="AR174" s="320"/>
      <c r="AS174" s="320"/>
      <c r="AT174" s="320"/>
      <c r="AU174" s="321"/>
    </row>
    <row r="175">
      <c r="A175" s="319"/>
      <c r="B175" s="320"/>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c r="AA175" s="320"/>
      <c r="AB175" s="320"/>
      <c r="AC175" s="320"/>
      <c r="AD175" s="320"/>
      <c r="AE175" s="320"/>
      <c r="AF175" s="320"/>
      <c r="AG175" s="320"/>
      <c r="AH175" s="320"/>
      <c r="AI175" s="320"/>
      <c r="AJ175" s="320"/>
      <c r="AK175" s="320"/>
      <c r="AL175" s="320"/>
      <c r="AM175" s="320"/>
      <c r="AN175" s="320"/>
      <c r="AO175" s="320"/>
      <c r="AP175" s="320"/>
      <c r="AQ175" s="320"/>
      <c r="AR175" s="320"/>
      <c r="AS175" s="320"/>
      <c r="AT175" s="320"/>
      <c r="AU175" s="321"/>
    </row>
    <row r="176">
      <c r="A176" s="319"/>
      <c r="B176" s="320"/>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c r="AA176" s="320"/>
      <c r="AB176" s="320"/>
      <c r="AC176" s="320"/>
      <c r="AD176" s="320"/>
      <c r="AE176" s="320"/>
      <c r="AF176" s="320"/>
      <c r="AG176" s="320"/>
      <c r="AH176" s="320"/>
      <c r="AI176" s="320"/>
      <c r="AJ176" s="320"/>
      <c r="AK176" s="320"/>
      <c r="AL176" s="320"/>
      <c r="AM176" s="320"/>
      <c r="AN176" s="320"/>
      <c r="AO176" s="320"/>
      <c r="AP176" s="320"/>
      <c r="AQ176" s="320"/>
      <c r="AR176" s="320"/>
      <c r="AS176" s="320"/>
      <c r="AT176" s="320"/>
      <c r="AU176" s="321"/>
    </row>
    <row r="177">
      <c r="A177" s="319"/>
      <c r="B177" s="320"/>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c r="AA177" s="320"/>
      <c r="AB177" s="320"/>
      <c r="AC177" s="320"/>
      <c r="AD177" s="320"/>
      <c r="AE177" s="320"/>
      <c r="AF177" s="320"/>
      <c r="AG177" s="320"/>
      <c r="AH177" s="320"/>
      <c r="AI177" s="320"/>
      <c r="AJ177" s="320"/>
      <c r="AK177" s="320"/>
      <c r="AL177" s="320"/>
      <c r="AM177" s="320"/>
      <c r="AN177" s="320"/>
      <c r="AO177" s="320"/>
      <c r="AP177" s="320"/>
      <c r="AQ177" s="320"/>
      <c r="AR177" s="320"/>
      <c r="AS177" s="320"/>
      <c r="AT177" s="320"/>
      <c r="AU177" s="321"/>
    </row>
    <row r="178">
      <c r="A178" s="319"/>
      <c r="B178" s="320"/>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c r="AA178" s="320"/>
      <c r="AB178" s="320"/>
      <c r="AC178" s="320"/>
      <c r="AD178" s="320"/>
      <c r="AE178" s="320"/>
      <c r="AF178" s="320"/>
      <c r="AG178" s="320"/>
      <c r="AH178" s="320"/>
      <c r="AI178" s="320"/>
      <c r="AJ178" s="320"/>
      <c r="AK178" s="320"/>
      <c r="AL178" s="320"/>
      <c r="AM178" s="320"/>
      <c r="AN178" s="320"/>
      <c r="AO178" s="320"/>
      <c r="AP178" s="320"/>
      <c r="AQ178" s="320"/>
      <c r="AR178" s="320"/>
      <c r="AS178" s="320"/>
      <c r="AT178" s="320"/>
      <c r="AU178" s="321"/>
    </row>
    <row r="179">
      <c r="A179" s="319"/>
      <c r="B179" s="320"/>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0"/>
      <c r="AN179" s="320"/>
      <c r="AO179" s="320"/>
      <c r="AP179" s="320"/>
      <c r="AQ179" s="320"/>
      <c r="AR179" s="320"/>
      <c r="AS179" s="320"/>
      <c r="AT179" s="320"/>
      <c r="AU179" s="321"/>
    </row>
    <row r="180">
      <c r="A180" s="319"/>
      <c r="B180" s="320"/>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c r="AA180" s="320"/>
      <c r="AB180" s="320"/>
      <c r="AC180" s="320"/>
      <c r="AD180" s="320"/>
      <c r="AE180" s="320"/>
      <c r="AF180" s="320"/>
      <c r="AG180" s="320"/>
      <c r="AH180" s="320"/>
      <c r="AI180" s="320"/>
      <c r="AJ180" s="320"/>
      <c r="AK180" s="320"/>
      <c r="AL180" s="320"/>
      <c r="AM180" s="320"/>
      <c r="AN180" s="320"/>
      <c r="AO180" s="320"/>
      <c r="AP180" s="320"/>
      <c r="AQ180" s="320"/>
      <c r="AR180" s="320"/>
      <c r="AS180" s="320"/>
      <c r="AT180" s="320"/>
      <c r="AU180" s="321"/>
    </row>
    <row r="181">
      <c r="A181" s="319"/>
      <c r="B181" s="320"/>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c r="AA181" s="320"/>
      <c r="AB181" s="320"/>
      <c r="AC181" s="320"/>
      <c r="AD181" s="320"/>
      <c r="AE181" s="320"/>
      <c r="AF181" s="320"/>
      <c r="AG181" s="320"/>
      <c r="AH181" s="320"/>
      <c r="AI181" s="320"/>
      <c r="AJ181" s="320"/>
      <c r="AK181" s="320"/>
      <c r="AL181" s="320"/>
      <c r="AM181" s="320"/>
      <c r="AN181" s="320"/>
      <c r="AO181" s="320"/>
      <c r="AP181" s="320"/>
      <c r="AQ181" s="320"/>
      <c r="AR181" s="320"/>
      <c r="AS181" s="320"/>
      <c r="AT181" s="320"/>
      <c r="AU181" s="321"/>
    </row>
    <row r="182">
      <c r="A182" s="319"/>
      <c r="B182" s="320"/>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c r="AA182" s="320"/>
      <c r="AB182" s="320"/>
      <c r="AC182" s="320"/>
      <c r="AD182" s="320"/>
      <c r="AE182" s="320"/>
      <c r="AF182" s="320"/>
      <c r="AG182" s="320"/>
      <c r="AH182" s="320"/>
      <c r="AI182" s="320"/>
      <c r="AJ182" s="320"/>
      <c r="AK182" s="320"/>
      <c r="AL182" s="320"/>
      <c r="AM182" s="320"/>
      <c r="AN182" s="320"/>
      <c r="AO182" s="320"/>
      <c r="AP182" s="320"/>
      <c r="AQ182" s="320"/>
      <c r="AR182" s="320"/>
      <c r="AS182" s="320"/>
      <c r="AT182" s="320"/>
      <c r="AU182" s="321"/>
    </row>
    <row r="183">
      <c r="A183" s="319"/>
      <c r="B183" s="320"/>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c r="AA183" s="320"/>
      <c r="AB183" s="320"/>
      <c r="AC183" s="320"/>
      <c r="AD183" s="320"/>
      <c r="AE183" s="320"/>
      <c r="AF183" s="320"/>
      <c r="AG183" s="320"/>
      <c r="AH183" s="320"/>
      <c r="AI183" s="320"/>
      <c r="AJ183" s="320"/>
      <c r="AK183" s="320"/>
      <c r="AL183" s="320"/>
      <c r="AM183" s="320"/>
      <c r="AN183" s="320"/>
      <c r="AO183" s="320"/>
      <c r="AP183" s="320"/>
      <c r="AQ183" s="320"/>
      <c r="AR183" s="320"/>
      <c r="AS183" s="320"/>
      <c r="AT183" s="320"/>
      <c r="AU183" s="321"/>
    </row>
    <row r="184">
      <c r="A184" s="319"/>
      <c r="B184" s="320"/>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c r="AA184" s="320"/>
      <c r="AB184" s="320"/>
      <c r="AC184" s="320"/>
      <c r="AD184" s="320"/>
      <c r="AE184" s="320"/>
      <c r="AF184" s="320"/>
      <c r="AG184" s="320"/>
      <c r="AH184" s="320"/>
      <c r="AI184" s="320"/>
      <c r="AJ184" s="320"/>
      <c r="AK184" s="320"/>
      <c r="AL184" s="320"/>
      <c r="AM184" s="320"/>
      <c r="AN184" s="320"/>
      <c r="AO184" s="320"/>
      <c r="AP184" s="320"/>
      <c r="AQ184" s="320"/>
      <c r="AR184" s="320"/>
      <c r="AS184" s="320"/>
      <c r="AT184" s="320"/>
      <c r="AU184" s="321"/>
    </row>
    <row r="185">
      <c r="A185" s="319"/>
      <c r="B185" s="320"/>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c r="AA185" s="320"/>
      <c r="AB185" s="320"/>
      <c r="AC185" s="320"/>
      <c r="AD185" s="320"/>
      <c r="AE185" s="320"/>
      <c r="AF185" s="320"/>
      <c r="AG185" s="320"/>
      <c r="AH185" s="320"/>
      <c r="AI185" s="320"/>
      <c r="AJ185" s="320"/>
      <c r="AK185" s="320"/>
      <c r="AL185" s="320"/>
      <c r="AM185" s="320"/>
      <c r="AN185" s="320"/>
      <c r="AO185" s="320"/>
      <c r="AP185" s="320"/>
      <c r="AQ185" s="320"/>
      <c r="AR185" s="320"/>
      <c r="AS185" s="320"/>
      <c r="AT185" s="320"/>
      <c r="AU185" s="321"/>
    </row>
    <row r="186">
      <c r="A186" s="319"/>
      <c r="B186" s="320"/>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c r="AA186" s="320"/>
      <c r="AB186" s="320"/>
      <c r="AC186" s="320"/>
      <c r="AD186" s="320"/>
      <c r="AE186" s="320"/>
      <c r="AF186" s="320"/>
      <c r="AG186" s="320"/>
      <c r="AH186" s="320"/>
      <c r="AI186" s="320"/>
      <c r="AJ186" s="320"/>
      <c r="AK186" s="320"/>
      <c r="AL186" s="320"/>
      <c r="AM186" s="320"/>
      <c r="AN186" s="320"/>
      <c r="AO186" s="320"/>
      <c r="AP186" s="320"/>
      <c r="AQ186" s="320"/>
      <c r="AR186" s="320"/>
      <c r="AS186" s="320"/>
      <c r="AT186" s="320"/>
      <c r="AU186" s="321"/>
    </row>
    <row r="187">
      <c r="A187" s="319"/>
      <c r="B187" s="320"/>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c r="AA187" s="320"/>
      <c r="AB187" s="320"/>
      <c r="AC187" s="320"/>
      <c r="AD187" s="320"/>
      <c r="AE187" s="320"/>
      <c r="AF187" s="320"/>
      <c r="AG187" s="320"/>
      <c r="AH187" s="320"/>
      <c r="AI187" s="320"/>
      <c r="AJ187" s="320"/>
      <c r="AK187" s="320"/>
      <c r="AL187" s="320"/>
      <c r="AM187" s="320"/>
      <c r="AN187" s="320"/>
      <c r="AO187" s="320"/>
      <c r="AP187" s="320"/>
      <c r="AQ187" s="320"/>
      <c r="AR187" s="320"/>
      <c r="AS187" s="320"/>
      <c r="AT187" s="320"/>
      <c r="AU187" s="321"/>
    </row>
    <row r="188">
      <c r="A188" s="319"/>
      <c r="B188" s="320"/>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c r="AA188" s="320"/>
      <c r="AB188" s="320"/>
      <c r="AC188" s="320"/>
      <c r="AD188" s="320"/>
      <c r="AE188" s="320"/>
      <c r="AF188" s="320"/>
      <c r="AG188" s="320"/>
      <c r="AH188" s="320"/>
      <c r="AI188" s="320"/>
      <c r="AJ188" s="320"/>
      <c r="AK188" s="320"/>
      <c r="AL188" s="320"/>
      <c r="AM188" s="320"/>
      <c r="AN188" s="320"/>
      <c r="AO188" s="320"/>
      <c r="AP188" s="320"/>
      <c r="AQ188" s="320"/>
      <c r="AR188" s="320"/>
      <c r="AS188" s="320"/>
      <c r="AT188" s="320"/>
      <c r="AU188" s="321"/>
    </row>
    <row r="189">
      <c r="A189" s="319"/>
      <c r="B189" s="320"/>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c r="AA189" s="320"/>
      <c r="AB189" s="320"/>
      <c r="AC189" s="320"/>
      <c r="AD189" s="320"/>
      <c r="AE189" s="320"/>
      <c r="AF189" s="320"/>
      <c r="AG189" s="320"/>
      <c r="AH189" s="320"/>
      <c r="AI189" s="320"/>
      <c r="AJ189" s="320"/>
      <c r="AK189" s="320"/>
      <c r="AL189" s="320"/>
      <c r="AM189" s="320"/>
      <c r="AN189" s="320"/>
      <c r="AO189" s="320"/>
      <c r="AP189" s="320"/>
      <c r="AQ189" s="320"/>
      <c r="AR189" s="320"/>
      <c r="AS189" s="320"/>
      <c r="AT189" s="320"/>
      <c r="AU189" s="321"/>
    </row>
    <row r="190">
      <c r="A190" s="319"/>
      <c r="B190" s="320"/>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c r="AA190" s="320"/>
      <c r="AB190" s="320"/>
      <c r="AC190" s="320"/>
      <c r="AD190" s="320"/>
      <c r="AE190" s="320"/>
      <c r="AF190" s="320"/>
      <c r="AG190" s="320"/>
      <c r="AH190" s="320"/>
      <c r="AI190" s="320"/>
      <c r="AJ190" s="320"/>
      <c r="AK190" s="320"/>
      <c r="AL190" s="320"/>
      <c r="AM190" s="320"/>
      <c r="AN190" s="320"/>
      <c r="AO190" s="320"/>
      <c r="AP190" s="320"/>
      <c r="AQ190" s="320"/>
      <c r="AR190" s="320"/>
      <c r="AS190" s="320"/>
      <c r="AT190" s="320"/>
      <c r="AU190" s="321"/>
    </row>
    <row r="191">
      <c r="A191" s="319"/>
      <c r="B191" s="320"/>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c r="AA191" s="320"/>
      <c r="AB191" s="320"/>
      <c r="AC191" s="320"/>
      <c r="AD191" s="320"/>
      <c r="AE191" s="320"/>
      <c r="AF191" s="320"/>
      <c r="AG191" s="320"/>
      <c r="AH191" s="320"/>
      <c r="AI191" s="320"/>
      <c r="AJ191" s="320"/>
      <c r="AK191" s="320"/>
      <c r="AL191" s="320"/>
      <c r="AM191" s="320"/>
      <c r="AN191" s="320"/>
      <c r="AO191" s="320"/>
      <c r="AP191" s="320"/>
      <c r="AQ191" s="320"/>
      <c r="AR191" s="320"/>
      <c r="AS191" s="320"/>
      <c r="AT191" s="320"/>
      <c r="AU191" s="321"/>
    </row>
    <row r="192">
      <c r="A192" s="319"/>
      <c r="B192" s="320"/>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c r="AA192" s="320"/>
      <c r="AB192" s="320"/>
      <c r="AC192" s="320"/>
      <c r="AD192" s="320"/>
      <c r="AE192" s="320"/>
      <c r="AF192" s="320"/>
      <c r="AG192" s="320"/>
      <c r="AH192" s="320"/>
      <c r="AI192" s="320"/>
      <c r="AJ192" s="320"/>
      <c r="AK192" s="320"/>
      <c r="AL192" s="320"/>
      <c r="AM192" s="320"/>
      <c r="AN192" s="320"/>
      <c r="AO192" s="320"/>
      <c r="AP192" s="320"/>
      <c r="AQ192" s="320"/>
      <c r="AR192" s="320"/>
      <c r="AS192" s="320"/>
      <c r="AT192" s="320"/>
      <c r="AU192" s="321"/>
    </row>
    <row r="193">
      <c r="A193" s="319"/>
      <c r="B193" s="320"/>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c r="AA193" s="320"/>
      <c r="AB193" s="320"/>
      <c r="AC193" s="320"/>
      <c r="AD193" s="320"/>
      <c r="AE193" s="320"/>
      <c r="AF193" s="320"/>
      <c r="AG193" s="320"/>
      <c r="AH193" s="320"/>
      <c r="AI193" s="320"/>
      <c r="AJ193" s="320"/>
      <c r="AK193" s="320"/>
      <c r="AL193" s="320"/>
      <c r="AM193" s="320"/>
      <c r="AN193" s="320"/>
      <c r="AO193" s="320"/>
      <c r="AP193" s="320"/>
      <c r="AQ193" s="320"/>
      <c r="AR193" s="320"/>
      <c r="AS193" s="320"/>
      <c r="AT193" s="320"/>
      <c r="AU193" s="321"/>
    </row>
    <row r="194">
      <c r="A194" s="319"/>
      <c r="B194" s="320"/>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c r="AA194" s="320"/>
      <c r="AB194" s="320"/>
      <c r="AC194" s="320"/>
      <c r="AD194" s="320"/>
      <c r="AE194" s="320"/>
      <c r="AF194" s="320"/>
      <c r="AG194" s="320"/>
      <c r="AH194" s="320"/>
      <c r="AI194" s="320"/>
      <c r="AJ194" s="320"/>
      <c r="AK194" s="320"/>
      <c r="AL194" s="320"/>
      <c r="AM194" s="320"/>
      <c r="AN194" s="320"/>
      <c r="AO194" s="320"/>
      <c r="AP194" s="320"/>
      <c r="AQ194" s="320"/>
      <c r="AR194" s="320"/>
      <c r="AS194" s="320"/>
      <c r="AT194" s="320"/>
      <c r="AU194" s="321"/>
    </row>
    <row r="195">
      <c r="A195" s="319"/>
      <c r="B195" s="320"/>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c r="AA195" s="320"/>
      <c r="AB195" s="320"/>
      <c r="AC195" s="320"/>
      <c r="AD195" s="320"/>
      <c r="AE195" s="320"/>
      <c r="AF195" s="320"/>
      <c r="AG195" s="320"/>
      <c r="AH195" s="320"/>
      <c r="AI195" s="320"/>
      <c r="AJ195" s="320"/>
      <c r="AK195" s="320"/>
      <c r="AL195" s="320"/>
      <c r="AM195" s="320"/>
      <c r="AN195" s="320"/>
      <c r="AO195" s="320"/>
      <c r="AP195" s="320"/>
      <c r="AQ195" s="320"/>
      <c r="AR195" s="320"/>
      <c r="AS195" s="320"/>
      <c r="AT195" s="320"/>
      <c r="AU195" s="321"/>
    </row>
    <row r="196">
      <c r="A196" s="319"/>
      <c r="B196" s="320"/>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c r="AA196" s="320"/>
      <c r="AB196" s="320"/>
      <c r="AC196" s="320"/>
      <c r="AD196" s="320"/>
      <c r="AE196" s="320"/>
      <c r="AF196" s="320"/>
      <c r="AG196" s="320"/>
      <c r="AH196" s="320"/>
      <c r="AI196" s="320"/>
      <c r="AJ196" s="320"/>
      <c r="AK196" s="320"/>
      <c r="AL196" s="320"/>
      <c r="AM196" s="320"/>
      <c r="AN196" s="320"/>
      <c r="AO196" s="320"/>
      <c r="AP196" s="320"/>
      <c r="AQ196" s="320"/>
      <c r="AR196" s="320"/>
      <c r="AS196" s="320"/>
      <c r="AT196" s="320"/>
      <c r="AU196" s="321"/>
    </row>
    <row r="197">
      <c r="A197" s="319"/>
      <c r="B197" s="320"/>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c r="AA197" s="320"/>
      <c r="AB197" s="320"/>
      <c r="AC197" s="320"/>
      <c r="AD197" s="320"/>
      <c r="AE197" s="320"/>
      <c r="AF197" s="320"/>
      <c r="AG197" s="320"/>
      <c r="AH197" s="320"/>
      <c r="AI197" s="320"/>
      <c r="AJ197" s="320"/>
      <c r="AK197" s="320"/>
      <c r="AL197" s="320"/>
      <c r="AM197" s="320"/>
      <c r="AN197" s="320"/>
      <c r="AO197" s="320"/>
      <c r="AP197" s="320"/>
      <c r="AQ197" s="320"/>
      <c r="AR197" s="320"/>
      <c r="AS197" s="320"/>
      <c r="AT197" s="320"/>
      <c r="AU197" s="321"/>
    </row>
    <row r="198">
      <c r="A198" s="319"/>
      <c r="B198" s="320"/>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c r="AA198" s="320"/>
      <c r="AB198" s="320"/>
      <c r="AC198" s="320"/>
      <c r="AD198" s="320"/>
      <c r="AE198" s="320"/>
      <c r="AF198" s="320"/>
      <c r="AG198" s="320"/>
      <c r="AH198" s="320"/>
      <c r="AI198" s="320"/>
      <c r="AJ198" s="320"/>
      <c r="AK198" s="320"/>
      <c r="AL198" s="320"/>
      <c r="AM198" s="320"/>
      <c r="AN198" s="320"/>
      <c r="AO198" s="320"/>
      <c r="AP198" s="320"/>
      <c r="AQ198" s="320"/>
      <c r="AR198" s="320"/>
      <c r="AS198" s="320"/>
      <c r="AT198" s="320"/>
      <c r="AU198" s="321"/>
    </row>
    <row r="199">
      <c r="A199" s="319"/>
      <c r="B199" s="320"/>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c r="AA199" s="320"/>
      <c r="AB199" s="320"/>
      <c r="AC199" s="320"/>
      <c r="AD199" s="320"/>
      <c r="AE199" s="320"/>
      <c r="AF199" s="320"/>
      <c r="AG199" s="320"/>
      <c r="AH199" s="320"/>
      <c r="AI199" s="320"/>
      <c r="AJ199" s="320"/>
      <c r="AK199" s="320"/>
      <c r="AL199" s="320"/>
      <c r="AM199" s="320"/>
      <c r="AN199" s="320"/>
      <c r="AO199" s="320"/>
      <c r="AP199" s="320"/>
      <c r="AQ199" s="320"/>
      <c r="AR199" s="320"/>
      <c r="AS199" s="320"/>
      <c r="AT199" s="320"/>
      <c r="AU199" s="321"/>
    </row>
    <row r="200">
      <c r="A200" s="319"/>
      <c r="B200" s="320"/>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c r="AA200" s="320"/>
      <c r="AB200" s="320"/>
      <c r="AC200" s="320"/>
      <c r="AD200" s="320"/>
      <c r="AE200" s="320"/>
      <c r="AF200" s="320"/>
      <c r="AG200" s="320"/>
      <c r="AH200" s="320"/>
      <c r="AI200" s="320"/>
      <c r="AJ200" s="320"/>
      <c r="AK200" s="320"/>
      <c r="AL200" s="320"/>
      <c r="AM200" s="320"/>
      <c r="AN200" s="320"/>
      <c r="AO200" s="320"/>
      <c r="AP200" s="320"/>
      <c r="AQ200" s="320"/>
      <c r="AR200" s="320"/>
      <c r="AS200" s="320"/>
      <c r="AT200" s="320"/>
      <c r="AU200" s="321"/>
    </row>
    <row r="201">
      <c r="A201" s="319"/>
      <c r="B201" s="320"/>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c r="AA201" s="320"/>
      <c r="AB201" s="320"/>
      <c r="AC201" s="320"/>
      <c r="AD201" s="320"/>
      <c r="AE201" s="320"/>
      <c r="AF201" s="320"/>
      <c r="AG201" s="320"/>
      <c r="AH201" s="320"/>
      <c r="AI201" s="320"/>
      <c r="AJ201" s="320"/>
      <c r="AK201" s="320"/>
      <c r="AL201" s="320"/>
      <c r="AM201" s="320"/>
      <c r="AN201" s="320"/>
      <c r="AO201" s="320"/>
      <c r="AP201" s="320"/>
      <c r="AQ201" s="320"/>
      <c r="AR201" s="320"/>
      <c r="AS201" s="320"/>
      <c r="AT201" s="320"/>
      <c r="AU201" s="321"/>
    </row>
    <row r="202">
      <c r="A202" s="319"/>
      <c r="B202" s="320"/>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c r="AA202" s="320"/>
      <c r="AB202" s="320"/>
      <c r="AC202" s="320"/>
      <c r="AD202" s="320"/>
      <c r="AE202" s="320"/>
      <c r="AF202" s="320"/>
      <c r="AG202" s="320"/>
      <c r="AH202" s="320"/>
      <c r="AI202" s="320"/>
      <c r="AJ202" s="320"/>
      <c r="AK202" s="320"/>
      <c r="AL202" s="320"/>
      <c r="AM202" s="320"/>
      <c r="AN202" s="320"/>
      <c r="AO202" s="320"/>
      <c r="AP202" s="320"/>
      <c r="AQ202" s="320"/>
      <c r="AR202" s="320"/>
      <c r="AS202" s="320"/>
      <c r="AT202" s="320"/>
      <c r="AU202" s="321"/>
    </row>
    <row r="203">
      <c r="A203" s="319"/>
      <c r="B203" s="320"/>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c r="AA203" s="320"/>
      <c r="AB203" s="320"/>
      <c r="AC203" s="320"/>
      <c r="AD203" s="320"/>
      <c r="AE203" s="320"/>
      <c r="AF203" s="320"/>
      <c r="AG203" s="320"/>
      <c r="AH203" s="320"/>
      <c r="AI203" s="320"/>
      <c r="AJ203" s="320"/>
      <c r="AK203" s="320"/>
      <c r="AL203" s="320"/>
      <c r="AM203" s="320"/>
      <c r="AN203" s="320"/>
      <c r="AO203" s="320"/>
      <c r="AP203" s="320"/>
      <c r="AQ203" s="320"/>
      <c r="AR203" s="320"/>
      <c r="AS203" s="320"/>
      <c r="AT203" s="320"/>
      <c r="AU203" s="321"/>
    </row>
    <row r="204">
      <c r="A204" s="319"/>
      <c r="B204" s="320"/>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c r="AA204" s="320"/>
      <c r="AB204" s="320"/>
      <c r="AC204" s="320"/>
      <c r="AD204" s="320"/>
      <c r="AE204" s="320"/>
      <c r="AF204" s="320"/>
      <c r="AG204" s="320"/>
      <c r="AH204" s="320"/>
      <c r="AI204" s="320"/>
      <c r="AJ204" s="320"/>
      <c r="AK204" s="320"/>
      <c r="AL204" s="320"/>
      <c r="AM204" s="320"/>
      <c r="AN204" s="320"/>
      <c r="AO204" s="320"/>
      <c r="AP204" s="320"/>
      <c r="AQ204" s="320"/>
      <c r="AR204" s="320"/>
      <c r="AS204" s="320"/>
      <c r="AT204" s="320"/>
      <c r="AU204" s="321"/>
    </row>
    <row r="205">
      <c r="A205" s="319"/>
      <c r="B205" s="320"/>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c r="AA205" s="320"/>
      <c r="AB205" s="320"/>
      <c r="AC205" s="320"/>
      <c r="AD205" s="320"/>
      <c r="AE205" s="320"/>
      <c r="AF205" s="320"/>
      <c r="AG205" s="320"/>
      <c r="AH205" s="320"/>
      <c r="AI205" s="320"/>
      <c r="AJ205" s="320"/>
      <c r="AK205" s="320"/>
      <c r="AL205" s="320"/>
      <c r="AM205" s="320"/>
      <c r="AN205" s="320"/>
      <c r="AO205" s="320"/>
      <c r="AP205" s="320"/>
      <c r="AQ205" s="320"/>
      <c r="AR205" s="320"/>
      <c r="AS205" s="320"/>
      <c r="AT205" s="320"/>
      <c r="AU205" s="321"/>
    </row>
    <row r="206">
      <c r="A206" s="319"/>
      <c r="B206" s="320"/>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c r="AA206" s="320"/>
      <c r="AB206" s="320"/>
      <c r="AC206" s="320"/>
      <c r="AD206" s="320"/>
      <c r="AE206" s="320"/>
      <c r="AF206" s="320"/>
      <c r="AG206" s="320"/>
      <c r="AH206" s="320"/>
      <c r="AI206" s="320"/>
      <c r="AJ206" s="320"/>
      <c r="AK206" s="320"/>
      <c r="AL206" s="320"/>
      <c r="AM206" s="320"/>
      <c r="AN206" s="320"/>
      <c r="AO206" s="320"/>
      <c r="AP206" s="320"/>
      <c r="AQ206" s="320"/>
      <c r="AR206" s="320"/>
      <c r="AS206" s="320"/>
      <c r="AT206" s="320"/>
      <c r="AU206" s="321"/>
    </row>
    <row r="207">
      <c r="A207" s="319"/>
      <c r="B207" s="320"/>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c r="AA207" s="320"/>
      <c r="AB207" s="320"/>
      <c r="AC207" s="320"/>
      <c r="AD207" s="320"/>
      <c r="AE207" s="320"/>
      <c r="AF207" s="320"/>
      <c r="AG207" s="320"/>
      <c r="AH207" s="320"/>
      <c r="AI207" s="320"/>
      <c r="AJ207" s="320"/>
      <c r="AK207" s="320"/>
      <c r="AL207" s="320"/>
      <c r="AM207" s="320"/>
      <c r="AN207" s="320"/>
      <c r="AO207" s="320"/>
      <c r="AP207" s="320"/>
      <c r="AQ207" s="320"/>
      <c r="AR207" s="320"/>
      <c r="AS207" s="320"/>
      <c r="AT207" s="320"/>
      <c r="AU207" s="321"/>
    </row>
    <row r="208">
      <c r="A208" s="319"/>
      <c r="B208" s="320"/>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c r="AA208" s="320"/>
      <c r="AB208" s="320"/>
      <c r="AC208" s="320"/>
      <c r="AD208" s="320"/>
      <c r="AE208" s="320"/>
      <c r="AF208" s="320"/>
      <c r="AG208" s="320"/>
      <c r="AH208" s="320"/>
      <c r="AI208" s="320"/>
      <c r="AJ208" s="320"/>
      <c r="AK208" s="320"/>
      <c r="AL208" s="320"/>
      <c r="AM208" s="320"/>
      <c r="AN208" s="320"/>
      <c r="AO208" s="320"/>
      <c r="AP208" s="320"/>
      <c r="AQ208" s="320"/>
      <c r="AR208" s="320"/>
      <c r="AS208" s="320"/>
      <c r="AT208" s="320"/>
      <c r="AU208" s="321"/>
    </row>
    <row r="209">
      <c r="A209" s="319"/>
      <c r="B209" s="320"/>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c r="AA209" s="320"/>
      <c r="AB209" s="320"/>
      <c r="AC209" s="320"/>
      <c r="AD209" s="320"/>
      <c r="AE209" s="320"/>
      <c r="AF209" s="320"/>
      <c r="AG209" s="320"/>
      <c r="AH209" s="320"/>
      <c r="AI209" s="320"/>
      <c r="AJ209" s="320"/>
      <c r="AK209" s="320"/>
      <c r="AL209" s="320"/>
      <c r="AM209" s="320"/>
      <c r="AN209" s="320"/>
      <c r="AO209" s="320"/>
      <c r="AP209" s="320"/>
      <c r="AQ209" s="320"/>
      <c r="AR209" s="320"/>
      <c r="AS209" s="320"/>
      <c r="AT209" s="320"/>
      <c r="AU209" s="321"/>
    </row>
    <row r="210">
      <c r="A210" s="319"/>
      <c r="B210" s="320"/>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c r="AA210" s="320"/>
      <c r="AB210" s="320"/>
      <c r="AC210" s="320"/>
      <c r="AD210" s="320"/>
      <c r="AE210" s="320"/>
      <c r="AF210" s="320"/>
      <c r="AG210" s="320"/>
      <c r="AH210" s="320"/>
      <c r="AI210" s="320"/>
      <c r="AJ210" s="320"/>
      <c r="AK210" s="320"/>
      <c r="AL210" s="320"/>
      <c r="AM210" s="320"/>
      <c r="AN210" s="320"/>
      <c r="AO210" s="320"/>
      <c r="AP210" s="320"/>
      <c r="AQ210" s="320"/>
      <c r="AR210" s="320"/>
      <c r="AS210" s="320"/>
      <c r="AT210" s="320"/>
      <c r="AU210" s="321"/>
    </row>
    <row r="211">
      <c r="A211" s="319"/>
      <c r="B211" s="320"/>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c r="AA211" s="320"/>
      <c r="AB211" s="320"/>
      <c r="AC211" s="320"/>
      <c r="AD211" s="320"/>
      <c r="AE211" s="320"/>
      <c r="AF211" s="320"/>
      <c r="AG211" s="320"/>
      <c r="AH211" s="320"/>
      <c r="AI211" s="320"/>
      <c r="AJ211" s="320"/>
      <c r="AK211" s="320"/>
      <c r="AL211" s="320"/>
      <c r="AM211" s="320"/>
      <c r="AN211" s="320"/>
      <c r="AO211" s="320"/>
      <c r="AP211" s="320"/>
      <c r="AQ211" s="320"/>
      <c r="AR211" s="320"/>
      <c r="AS211" s="320"/>
      <c r="AT211" s="320"/>
      <c r="AU211" s="321"/>
    </row>
    <row r="212">
      <c r="A212" s="319"/>
      <c r="B212" s="320"/>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c r="AA212" s="320"/>
      <c r="AB212" s="320"/>
      <c r="AC212" s="320"/>
      <c r="AD212" s="320"/>
      <c r="AE212" s="320"/>
      <c r="AF212" s="320"/>
      <c r="AG212" s="320"/>
      <c r="AH212" s="320"/>
      <c r="AI212" s="320"/>
      <c r="AJ212" s="320"/>
      <c r="AK212" s="320"/>
      <c r="AL212" s="320"/>
      <c r="AM212" s="320"/>
      <c r="AN212" s="320"/>
      <c r="AO212" s="320"/>
      <c r="AP212" s="320"/>
      <c r="AQ212" s="320"/>
      <c r="AR212" s="320"/>
      <c r="AS212" s="320"/>
      <c r="AT212" s="320"/>
      <c r="AU212" s="321"/>
    </row>
    <row r="213">
      <c r="A213" s="319"/>
      <c r="B213" s="320"/>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c r="AA213" s="320"/>
      <c r="AB213" s="320"/>
      <c r="AC213" s="320"/>
      <c r="AD213" s="320"/>
      <c r="AE213" s="320"/>
      <c r="AF213" s="320"/>
      <c r="AG213" s="320"/>
      <c r="AH213" s="320"/>
      <c r="AI213" s="320"/>
      <c r="AJ213" s="320"/>
      <c r="AK213" s="320"/>
      <c r="AL213" s="320"/>
      <c r="AM213" s="320"/>
      <c r="AN213" s="320"/>
      <c r="AO213" s="320"/>
      <c r="AP213" s="320"/>
      <c r="AQ213" s="320"/>
      <c r="AR213" s="320"/>
      <c r="AS213" s="320"/>
      <c r="AT213" s="320"/>
      <c r="AU213" s="321"/>
    </row>
    <row r="214">
      <c r="A214" s="319"/>
      <c r="B214" s="320"/>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c r="AA214" s="320"/>
      <c r="AB214" s="320"/>
      <c r="AC214" s="320"/>
      <c r="AD214" s="320"/>
      <c r="AE214" s="320"/>
      <c r="AF214" s="320"/>
      <c r="AG214" s="320"/>
      <c r="AH214" s="320"/>
      <c r="AI214" s="320"/>
      <c r="AJ214" s="320"/>
      <c r="AK214" s="320"/>
      <c r="AL214" s="320"/>
      <c r="AM214" s="320"/>
      <c r="AN214" s="320"/>
      <c r="AO214" s="320"/>
      <c r="AP214" s="320"/>
      <c r="AQ214" s="320"/>
      <c r="AR214" s="320"/>
      <c r="AS214" s="320"/>
      <c r="AT214" s="320"/>
      <c r="AU214" s="321"/>
    </row>
    <row r="215">
      <c r="A215" s="319"/>
      <c r="B215" s="320"/>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c r="AA215" s="320"/>
      <c r="AB215" s="320"/>
      <c r="AC215" s="320"/>
      <c r="AD215" s="320"/>
      <c r="AE215" s="320"/>
      <c r="AF215" s="320"/>
      <c r="AG215" s="320"/>
      <c r="AH215" s="320"/>
      <c r="AI215" s="320"/>
      <c r="AJ215" s="320"/>
      <c r="AK215" s="320"/>
      <c r="AL215" s="320"/>
      <c r="AM215" s="320"/>
      <c r="AN215" s="320"/>
      <c r="AO215" s="320"/>
      <c r="AP215" s="320"/>
      <c r="AQ215" s="320"/>
      <c r="AR215" s="320"/>
      <c r="AS215" s="320"/>
      <c r="AT215" s="320"/>
      <c r="AU215" s="321"/>
    </row>
    <row r="216">
      <c r="A216" s="319"/>
      <c r="B216" s="320"/>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c r="AA216" s="320"/>
      <c r="AB216" s="320"/>
      <c r="AC216" s="320"/>
      <c r="AD216" s="320"/>
      <c r="AE216" s="320"/>
      <c r="AF216" s="320"/>
      <c r="AG216" s="320"/>
      <c r="AH216" s="320"/>
      <c r="AI216" s="320"/>
      <c r="AJ216" s="320"/>
      <c r="AK216" s="320"/>
      <c r="AL216" s="320"/>
      <c r="AM216" s="320"/>
      <c r="AN216" s="320"/>
      <c r="AO216" s="320"/>
      <c r="AP216" s="320"/>
      <c r="AQ216" s="320"/>
      <c r="AR216" s="320"/>
      <c r="AS216" s="320"/>
      <c r="AT216" s="320"/>
      <c r="AU216" s="321"/>
    </row>
    <row r="217">
      <c r="A217" s="319"/>
      <c r="B217" s="320"/>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c r="AA217" s="320"/>
      <c r="AB217" s="320"/>
      <c r="AC217" s="320"/>
      <c r="AD217" s="320"/>
      <c r="AE217" s="320"/>
      <c r="AF217" s="320"/>
      <c r="AG217" s="320"/>
      <c r="AH217" s="320"/>
      <c r="AI217" s="320"/>
      <c r="AJ217" s="320"/>
      <c r="AK217" s="320"/>
      <c r="AL217" s="320"/>
      <c r="AM217" s="320"/>
      <c r="AN217" s="320"/>
      <c r="AO217" s="320"/>
      <c r="AP217" s="320"/>
      <c r="AQ217" s="320"/>
      <c r="AR217" s="320"/>
      <c r="AS217" s="320"/>
      <c r="AT217" s="320"/>
      <c r="AU217" s="321"/>
    </row>
    <row r="218">
      <c r="A218" s="319"/>
      <c r="B218" s="320"/>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c r="AA218" s="320"/>
      <c r="AB218" s="320"/>
      <c r="AC218" s="320"/>
      <c r="AD218" s="320"/>
      <c r="AE218" s="320"/>
      <c r="AF218" s="320"/>
      <c r="AG218" s="320"/>
      <c r="AH218" s="320"/>
      <c r="AI218" s="320"/>
      <c r="AJ218" s="320"/>
      <c r="AK218" s="320"/>
      <c r="AL218" s="320"/>
      <c r="AM218" s="320"/>
      <c r="AN218" s="320"/>
      <c r="AO218" s="320"/>
      <c r="AP218" s="320"/>
      <c r="AQ218" s="320"/>
      <c r="AR218" s="320"/>
      <c r="AS218" s="320"/>
      <c r="AT218" s="320"/>
      <c r="AU218" s="321"/>
    </row>
    <row r="219">
      <c r="A219" s="319"/>
      <c r="B219" s="320"/>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c r="AA219" s="320"/>
      <c r="AB219" s="320"/>
      <c r="AC219" s="320"/>
      <c r="AD219" s="320"/>
      <c r="AE219" s="320"/>
      <c r="AF219" s="320"/>
      <c r="AG219" s="320"/>
      <c r="AH219" s="320"/>
      <c r="AI219" s="320"/>
      <c r="AJ219" s="320"/>
      <c r="AK219" s="320"/>
      <c r="AL219" s="320"/>
      <c r="AM219" s="320"/>
      <c r="AN219" s="320"/>
      <c r="AO219" s="320"/>
      <c r="AP219" s="320"/>
      <c r="AQ219" s="320"/>
      <c r="AR219" s="320"/>
      <c r="AS219" s="320"/>
      <c r="AT219" s="320"/>
      <c r="AU219" s="321"/>
    </row>
    <row r="220">
      <c r="A220" s="319"/>
      <c r="B220" s="320"/>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c r="AA220" s="320"/>
      <c r="AB220" s="320"/>
      <c r="AC220" s="320"/>
      <c r="AD220" s="320"/>
      <c r="AE220" s="320"/>
      <c r="AF220" s="320"/>
      <c r="AG220" s="320"/>
      <c r="AH220" s="320"/>
      <c r="AI220" s="320"/>
      <c r="AJ220" s="320"/>
      <c r="AK220" s="320"/>
      <c r="AL220" s="320"/>
      <c r="AM220" s="320"/>
      <c r="AN220" s="320"/>
      <c r="AO220" s="320"/>
      <c r="AP220" s="320"/>
      <c r="AQ220" s="320"/>
      <c r="AR220" s="320"/>
      <c r="AS220" s="320"/>
      <c r="AT220" s="320"/>
      <c r="AU220" s="321"/>
    </row>
    <row r="221">
      <c r="A221" s="319"/>
      <c r="B221" s="320"/>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c r="AA221" s="320"/>
      <c r="AB221" s="320"/>
      <c r="AC221" s="320"/>
      <c r="AD221" s="320"/>
      <c r="AE221" s="320"/>
      <c r="AF221" s="320"/>
      <c r="AG221" s="320"/>
      <c r="AH221" s="320"/>
      <c r="AI221" s="320"/>
      <c r="AJ221" s="320"/>
      <c r="AK221" s="320"/>
      <c r="AL221" s="320"/>
      <c r="AM221" s="320"/>
      <c r="AN221" s="320"/>
      <c r="AO221" s="320"/>
      <c r="AP221" s="320"/>
      <c r="AQ221" s="320"/>
      <c r="AR221" s="320"/>
      <c r="AS221" s="320"/>
      <c r="AT221" s="320"/>
      <c r="AU221" s="321"/>
    </row>
    <row r="222">
      <c r="A222" s="319"/>
      <c r="B222" s="320"/>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c r="AA222" s="320"/>
      <c r="AB222" s="320"/>
      <c r="AC222" s="320"/>
      <c r="AD222" s="320"/>
      <c r="AE222" s="320"/>
      <c r="AF222" s="320"/>
      <c r="AG222" s="320"/>
      <c r="AH222" s="320"/>
      <c r="AI222" s="320"/>
      <c r="AJ222" s="320"/>
      <c r="AK222" s="320"/>
      <c r="AL222" s="320"/>
      <c r="AM222" s="320"/>
      <c r="AN222" s="320"/>
      <c r="AO222" s="320"/>
      <c r="AP222" s="320"/>
      <c r="AQ222" s="320"/>
      <c r="AR222" s="320"/>
      <c r="AS222" s="320"/>
      <c r="AT222" s="320"/>
      <c r="AU222" s="321"/>
    </row>
    <row r="223">
      <c r="A223" s="319"/>
      <c r="B223" s="320"/>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c r="AA223" s="320"/>
      <c r="AB223" s="320"/>
      <c r="AC223" s="320"/>
      <c r="AD223" s="320"/>
      <c r="AE223" s="320"/>
      <c r="AF223" s="320"/>
      <c r="AG223" s="320"/>
      <c r="AH223" s="320"/>
      <c r="AI223" s="320"/>
      <c r="AJ223" s="320"/>
      <c r="AK223" s="320"/>
      <c r="AL223" s="320"/>
      <c r="AM223" s="320"/>
      <c r="AN223" s="320"/>
      <c r="AO223" s="320"/>
      <c r="AP223" s="320"/>
      <c r="AQ223" s="320"/>
      <c r="AR223" s="320"/>
      <c r="AS223" s="320"/>
      <c r="AT223" s="320"/>
      <c r="AU223" s="321"/>
    </row>
    <row r="224">
      <c r="A224" s="319"/>
      <c r="B224" s="320"/>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c r="AA224" s="320"/>
      <c r="AB224" s="320"/>
      <c r="AC224" s="320"/>
      <c r="AD224" s="320"/>
      <c r="AE224" s="320"/>
      <c r="AF224" s="320"/>
      <c r="AG224" s="320"/>
      <c r="AH224" s="320"/>
      <c r="AI224" s="320"/>
      <c r="AJ224" s="320"/>
      <c r="AK224" s="320"/>
      <c r="AL224" s="320"/>
      <c r="AM224" s="320"/>
      <c r="AN224" s="320"/>
      <c r="AO224" s="320"/>
      <c r="AP224" s="320"/>
      <c r="AQ224" s="320"/>
      <c r="AR224" s="320"/>
      <c r="AS224" s="320"/>
      <c r="AT224" s="320"/>
      <c r="AU224" s="321"/>
    </row>
    <row r="225">
      <c r="A225" s="319"/>
      <c r="B225" s="320"/>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c r="AA225" s="320"/>
      <c r="AB225" s="320"/>
      <c r="AC225" s="320"/>
      <c r="AD225" s="320"/>
      <c r="AE225" s="320"/>
      <c r="AF225" s="320"/>
      <c r="AG225" s="320"/>
      <c r="AH225" s="320"/>
      <c r="AI225" s="320"/>
      <c r="AJ225" s="320"/>
      <c r="AK225" s="320"/>
      <c r="AL225" s="320"/>
      <c r="AM225" s="320"/>
      <c r="AN225" s="320"/>
      <c r="AO225" s="320"/>
      <c r="AP225" s="320"/>
      <c r="AQ225" s="320"/>
      <c r="AR225" s="320"/>
      <c r="AS225" s="320"/>
      <c r="AT225" s="320"/>
      <c r="AU225" s="321"/>
    </row>
    <row r="226">
      <c r="A226" s="319"/>
      <c r="B226" s="320"/>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c r="AA226" s="320"/>
      <c r="AB226" s="320"/>
      <c r="AC226" s="320"/>
      <c r="AD226" s="320"/>
      <c r="AE226" s="320"/>
      <c r="AF226" s="320"/>
      <c r="AG226" s="320"/>
      <c r="AH226" s="320"/>
      <c r="AI226" s="320"/>
      <c r="AJ226" s="320"/>
      <c r="AK226" s="320"/>
      <c r="AL226" s="320"/>
      <c r="AM226" s="320"/>
      <c r="AN226" s="320"/>
      <c r="AO226" s="320"/>
      <c r="AP226" s="320"/>
      <c r="AQ226" s="320"/>
      <c r="AR226" s="320"/>
      <c r="AS226" s="320"/>
      <c r="AT226" s="320"/>
      <c r="AU226" s="321"/>
    </row>
    <row r="227">
      <c r="A227" s="319"/>
      <c r="B227" s="320"/>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c r="AA227" s="320"/>
      <c r="AB227" s="320"/>
      <c r="AC227" s="320"/>
      <c r="AD227" s="320"/>
      <c r="AE227" s="320"/>
      <c r="AF227" s="320"/>
      <c r="AG227" s="320"/>
      <c r="AH227" s="320"/>
      <c r="AI227" s="320"/>
      <c r="AJ227" s="320"/>
      <c r="AK227" s="320"/>
      <c r="AL227" s="320"/>
      <c r="AM227" s="320"/>
      <c r="AN227" s="320"/>
      <c r="AO227" s="320"/>
      <c r="AP227" s="320"/>
      <c r="AQ227" s="320"/>
      <c r="AR227" s="320"/>
      <c r="AS227" s="320"/>
      <c r="AT227" s="320"/>
      <c r="AU227" s="321"/>
    </row>
    <row r="228">
      <c r="A228" s="319"/>
      <c r="B228" s="320"/>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c r="AA228" s="320"/>
      <c r="AB228" s="320"/>
      <c r="AC228" s="320"/>
      <c r="AD228" s="320"/>
      <c r="AE228" s="320"/>
      <c r="AF228" s="320"/>
      <c r="AG228" s="320"/>
      <c r="AH228" s="320"/>
      <c r="AI228" s="320"/>
      <c r="AJ228" s="320"/>
      <c r="AK228" s="320"/>
      <c r="AL228" s="320"/>
      <c r="AM228" s="320"/>
      <c r="AN228" s="320"/>
      <c r="AO228" s="320"/>
      <c r="AP228" s="320"/>
      <c r="AQ228" s="320"/>
      <c r="AR228" s="320"/>
      <c r="AS228" s="320"/>
      <c r="AT228" s="320"/>
      <c r="AU228" s="321"/>
    </row>
    <row r="229">
      <c r="A229" s="319"/>
      <c r="B229" s="320"/>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c r="AA229" s="320"/>
      <c r="AB229" s="320"/>
      <c r="AC229" s="320"/>
      <c r="AD229" s="320"/>
      <c r="AE229" s="320"/>
      <c r="AF229" s="320"/>
      <c r="AG229" s="320"/>
      <c r="AH229" s="320"/>
      <c r="AI229" s="320"/>
      <c r="AJ229" s="320"/>
      <c r="AK229" s="320"/>
      <c r="AL229" s="320"/>
      <c r="AM229" s="320"/>
      <c r="AN229" s="320"/>
      <c r="AO229" s="320"/>
      <c r="AP229" s="320"/>
      <c r="AQ229" s="320"/>
      <c r="AR229" s="320"/>
      <c r="AS229" s="320"/>
      <c r="AT229" s="320"/>
      <c r="AU229" s="321"/>
    </row>
    <row r="230">
      <c r="A230" s="319"/>
      <c r="B230" s="320"/>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c r="AA230" s="320"/>
      <c r="AB230" s="320"/>
      <c r="AC230" s="320"/>
      <c r="AD230" s="320"/>
      <c r="AE230" s="320"/>
      <c r="AF230" s="320"/>
      <c r="AG230" s="320"/>
      <c r="AH230" s="320"/>
      <c r="AI230" s="320"/>
      <c r="AJ230" s="320"/>
      <c r="AK230" s="320"/>
      <c r="AL230" s="320"/>
      <c r="AM230" s="320"/>
      <c r="AN230" s="320"/>
      <c r="AO230" s="320"/>
      <c r="AP230" s="320"/>
      <c r="AQ230" s="320"/>
      <c r="AR230" s="320"/>
      <c r="AS230" s="320"/>
      <c r="AT230" s="320"/>
      <c r="AU230" s="321"/>
    </row>
    <row r="231">
      <c r="A231" s="319"/>
      <c r="B231" s="320"/>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c r="AA231" s="320"/>
      <c r="AB231" s="320"/>
      <c r="AC231" s="320"/>
      <c r="AD231" s="320"/>
      <c r="AE231" s="320"/>
      <c r="AF231" s="320"/>
      <c r="AG231" s="320"/>
      <c r="AH231" s="320"/>
      <c r="AI231" s="320"/>
      <c r="AJ231" s="320"/>
      <c r="AK231" s="320"/>
      <c r="AL231" s="320"/>
      <c r="AM231" s="320"/>
      <c r="AN231" s="320"/>
      <c r="AO231" s="320"/>
      <c r="AP231" s="320"/>
      <c r="AQ231" s="320"/>
      <c r="AR231" s="320"/>
      <c r="AS231" s="320"/>
      <c r="AT231" s="320"/>
      <c r="AU231" s="321"/>
    </row>
    <row r="232">
      <c r="A232" s="319"/>
      <c r="B232" s="320"/>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c r="AA232" s="320"/>
      <c r="AB232" s="320"/>
      <c r="AC232" s="320"/>
      <c r="AD232" s="320"/>
      <c r="AE232" s="320"/>
      <c r="AF232" s="320"/>
      <c r="AG232" s="320"/>
      <c r="AH232" s="320"/>
      <c r="AI232" s="320"/>
      <c r="AJ232" s="320"/>
      <c r="AK232" s="320"/>
      <c r="AL232" s="320"/>
      <c r="AM232" s="320"/>
      <c r="AN232" s="320"/>
      <c r="AO232" s="320"/>
      <c r="AP232" s="320"/>
      <c r="AQ232" s="320"/>
      <c r="AR232" s="320"/>
      <c r="AS232" s="320"/>
      <c r="AT232" s="320"/>
      <c r="AU232" s="321"/>
    </row>
    <row r="233">
      <c r="A233" s="319"/>
      <c r="B233" s="320"/>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c r="AA233" s="320"/>
      <c r="AB233" s="320"/>
      <c r="AC233" s="320"/>
      <c r="AD233" s="320"/>
      <c r="AE233" s="320"/>
      <c r="AF233" s="320"/>
      <c r="AG233" s="320"/>
      <c r="AH233" s="320"/>
      <c r="AI233" s="320"/>
      <c r="AJ233" s="320"/>
      <c r="AK233" s="320"/>
      <c r="AL233" s="320"/>
      <c r="AM233" s="320"/>
      <c r="AN233" s="320"/>
      <c r="AO233" s="320"/>
      <c r="AP233" s="320"/>
      <c r="AQ233" s="320"/>
      <c r="AR233" s="320"/>
      <c r="AS233" s="320"/>
      <c r="AT233" s="320"/>
      <c r="AU233" s="321"/>
    </row>
    <row r="234">
      <c r="A234" s="319"/>
      <c r="B234" s="320"/>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c r="AA234" s="320"/>
      <c r="AB234" s="320"/>
      <c r="AC234" s="320"/>
      <c r="AD234" s="320"/>
      <c r="AE234" s="320"/>
      <c r="AF234" s="320"/>
      <c r="AG234" s="320"/>
      <c r="AH234" s="320"/>
      <c r="AI234" s="320"/>
      <c r="AJ234" s="320"/>
      <c r="AK234" s="320"/>
      <c r="AL234" s="320"/>
      <c r="AM234" s="320"/>
      <c r="AN234" s="320"/>
      <c r="AO234" s="320"/>
      <c r="AP234" s="320"/>
      <c r="AQ234" s="320"/>
      <c r="AR234" s="320"/>
      <c r="AS234" s="320"/>
      <c r="AT234" s="320"/>
      <c r="AU234" s="321"/>
    </row>
    <row r="235">
      <c r="A235" s="319"/>
      <c r="B235" s="320"/>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c r="AA235" s="320"/>
      <c r="AB235" s="320"/>
      <c r="AC235" s="320"/>
      <c r="AD235" s="320"/>
      <c r="AE235" s="320"/>
      <c r="AF235" s="320"/>
      <c r="AG235" s="320"/>
      <c r="AH235" s="320"/>
      <c r="AI235" s="320"/>
      <c r="AJ235" s="320"/>
      <c r="AK235" s="320"/>
      <c r="AL235" s="320"/>
      <c r="AM235" s="320"/>
      <c r="AN235" s="320"/>
      <c r="AO235" s="320"/>
      <c r="AP235" s="320"/>
      <c r="AQ235" s="320"/>
      <c r="AR235" s="320"/>
      <c r="AS235" s="320"/>
      <c r="AT235" s="320"/>
      <c r="AU235" s="321"/>
    </row>
    <row r="236">
      <c r="A236" s="319"/>
      <c r="B236" s="320"/>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c r="AA236" s="320"/>
      <c r="AB236" s="320"/>
      <c r="AC236" s="320"/>
      <c r="AD236" s="320"/>
      <c r="AE236" s="320"/>
      <c r="AF236" s="320"/>
      <c r="AG236" s="320"/>
      <c r="AH236" s="320"/>
      <c r="AI236" s="320"/>
      <c r="AJ236" s="320"/>
      <c r="AK236" s="320"/>
      <c r="AL236" s="320"/>
      <c r="AM236" s="320"/>
      <c r="AN236" s="320"/>
      <c r="AO236" s="320"/>
      <c r="AP236" s="320"/>
      <c r="AQ236" s="320"/>
      <c r="AR236" s="320"/>
      <c r="AS236" s="320"/>
      <c r="AT236" s="320"/>
      <c r="AU236" s="321"/>
    </row>
    <row r="237">
      <c r="A237" s="319"/>
      <c r="B237" s="320"/>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c r="AA237" s="320"/>
      <c r="AB237" s="320"/>
      <c r="AC237" s="320"/>
      <c r="AD237" s="320"/>
      <c r="AE237" s="320"/>
      <c r="AF237" s="320"/>
      <c r="AG237" s="320"/>
      <c r="AH237" s="320"/>
      <c r="AI237" s="320"/>
      <c r="AJ237" s="320"/>
      <c r="AK237" s="320"/>
      <c r="AL237" s="320"/>
      <c r="AM237" s="320"/>
      <c r="AN237" s="320"/>
      <c r="AO237" s="320"/>
      <c r="AP237" s="320"/>
      <c r="AQ237" s="320"/>
      <c r="AR237" s="320"/>
      <c r="AS237" s="320"/>
      <c r="AT237" s="320"/>
      <c r="AU237" s="321"/>
    </row>
    <row r="238">
      <c r="A238" s="319"/>
      <c r="B238" s="320"/>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c r="AA238" s="320"/>
      <c r="AB238" s="320"/>
      <c r="AC238" s="320"/>
      <c r="AD238" s="320"/>
      <c r="AE238" s="320"/>
      <c r="AF238" s="320"/>
      <c r="AG238" s="320"/>
      <c r="AH238" s="320"/>
      <c r="AI238" s="320"/>
      <c r="AJ238" s="320"/>
      <c r="AK238" s="320"/>
      <c r="AL238" s="320"/>
      <c r="AM238" s="320"/>
      <c r="AN238" s="320"/>
      <c r="AO238" s="320"/>
      <c r="AP238" s="320"/>
      <c r="AQ238" s="320"/>
      <c r="AR238" s="320"/>
      <c r="AS238" s="320"/>
      <c r="AT238" s="320"/>
      <c r="AU238" s="321"/>
    </row>
    <row r="239">
      <c r="A239" s="319"/>
      <c r="B239" s="320"/>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c r="AA239" s="320"/>
      <c r="AB239" s="320"/>
      <c r="AC239" s="320"/>
      <c r="AD239" s="320"/>
      <c r="AE239" s="320"/>
      <c r="AF239" s="320"/>
      <c r="AG239" s="320"/>
      <c r="AH239" s="320"/>
      <c r="AI239" s="320"/>
      <c r="AJ239" s="320"/>
      <c r="AK239" s="320"/>
      <c r="AL239" s="320"/>
      <c r="AM239" s="320"/>
      <c r="AN239" s="320"/>
      <c r="AO239" s="320"/>
      <c r="AP239" s="320"/>
      <c r="AQ239" s="320"/>
      <c r="AR239" s="320"/>
      <c r="AS239" s="320"/>
      <c r="AT239" s="320"/>
      <c r="AU239" s="321"/>
    </row>
    <row r="240">
      <c r="A240" s="319"/>
      <c r="B240" s="320"/>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c r="AA240" s="320"/>
      <c r="AB240" s="320"/>
      <c r="AC240" s="320"/>
      <c r="AD240" s="320"/>
      <c r="AE240" s="320"/>
      <c r="AF240" s="320"/>
      <c r="AG240" s="320"/>
      <c r="AH240" s="320"/>
      <c r="AI240" s="320"/>
      <c r="AJ240" s="320"/>
      <c r="AK240" s="320"/>
      <c r="AL240" s="320"/>
      <c r="AM240" s="320"/>
      <c r="AN240" s="320"/>
      <c r="AO240" s="320"/>
      <c r="AP240" s="320"/>
      <c r="AQ240" s="320"/>
      <c r="AR240" s="320"/>
      <c r="AS240" s="320"/>
      <c r="AT240" s="320"/>
      <c r="AU240" s="321"/>
    </row>
    <row r="241">
      <c r="A241" s="319"/>
      <c r="B241" s="320"/>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c r="AA241" s="320"/>
      <c r="AB241" s="320"/>
      <c r="AC241" s="320"/>
      <c r="AD241" s="320"/>
      <c r="AE241" s="320"/>
      <c r="AF241" s="320"/>
      <c r="AG241" s="320"/>
      <c r="AH241" s="320"/>
      <c r="AI241" s="320"/>
      <c r="AJ241" s="320"/>
      <c r="AK241" s="320"/>
      <c r="AL241" s="320"/>
      <c r="AM241" s="320"/>
      <c r="AN241" s="320"/>
      <c r="AO241" s="320"/>
      <c r="AP241" s="320"/>
      <c r="AQ241" s="320"/>
      <c r="AR241" s="320"/>
      <c r="AS241" s="320"/>
      <c r="AT241" s="320"/>
      <c r="AU241" s="321"/>
    </row>
    <row r="242">
      <c r="A242" s="319"/>
      <c r="B242" s="320"/>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c r="AA242" s="320"/>
      <c r="AB242" s="320"/>
      <c r="AC242" s="320"/>
      <c r="AD242" s="320"/>
      <c r="AE242" s="320"/>
      <c r="AF242" s="320"/>
      <c r="AG242" s="320"/>
      <c r="AH242" s="320"/>
      <c r="AI242" s="320"/>
      <c r="AJ242" s="320"/>
      <c r="AK242" s="320"/>
      <c r="AL242" s="320"/>
      <c r="AM242" s="320"/>
      <c r="AN242" s="320"/>
      <c r="AO242" s="320"/>
      <c r="AP242" s="320"/>
      <c r="AQ242" s="320"/>
      <c r="AR242" s="320"/>
      <c r="AS242" s="320"/>
      <c r="AT242" s="320"/>
      <c r="AU242" s="321"/>
    </row>
    <row r="243">
      <c r="A243" s="319"/>
      <c r="B243" s="320"/>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c r="AA243" s="320"/>
      <c r="AB243" s="320"/>
      <c r="AC243" s="320"/>
      <c r="AD243" s="320"/>
      <c r="AE243" s="320"/>
      <c r="AF243" s="320"/>
      <c r="AG243" s="320"/>
      <c r="AH243" s="320"/>
      <c r="AI243" s="320"/>
      <c r="AJ243" s="320"/>
      <c r="AK243" s="320"/>
      <c r="AL243" s="320"/>
      <c r="AM243" s="320"/>
      <c r="AN243" s="320"/>
      <c r="AO243" s="320"/>
      <c r="AP243" s="320"/>
      <c r="AQ243" s="320"/>
      <c r="AR243" s="320"/>
      <c r="AS243" s="320"/>
      <c r="AT243" s="320"/>
      <c r="AU243" s="321"/>
    </row>
    <row r="244">
      <c r="A244" s="319"/>
      <c r="B244" s="320"/>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c r="AA244" s="320"/>
      <c r="AB244" s="320"/>
      <c r="AC244" s="320"/>
      <c r="AD244" s="320"/>
      <c r="AE244" s="320"/>
      <c r="AF244" s="320"/>
      <c r="AG244" s="320"/>
      <c r="AH244" s="320"/>
      <c r="AI244" s="320"/>
      <c r="AJ244" s="320"/>
      <c r="AK244" s="320"/>
      <c r="AL244" s="320"/>
      <c r="AM244" s="320"/>
      <c r="AN244" s="320"/>
      <c r="AO244" s="320"/>
      <c r="AP244" s="320"/>
      <c r="AQ244" s="320"/>
      <c r="AR244" s="320"/>
      <c r="AS244" s="320"/>
      <c r="AT244" s="320"/>
      <c r="AU244" s="321"/>
    </row>
    <row r="245">
      <c r="A245" s="319"/>
      <c r="B245" s="320"/>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c r="AA245" s="320"/>
      <c r="AB245" s="320"/>
      <c r="AC245" s="320"/>
      <c r="AD245" s="320"/>
      <c r="AE245" s="320"/>
      <c r="AF245" s="320"/>
      <c r="AG245" s="320"/>
      <c r="AH245" s="320"/>
      <c r="AI245" s="320"/>
      <c r="AJ245" s="320"/>
      <c r="AK245" s="320"/>
      <c r="AL245" s="320"/>
      <c r="AM245" s="320"/>
      <c r="AN245" s="320"/>
      <c r="AO245" s="320"/>
      <c r="AP245" s="320"/>
      <c r="AQ245" s="320"/>
      <c r="AR245" s="320"/>
      <c r="AS245" s="320"/>
      <c r="AT245" s="320"/>
      <c r="AU245" s="321"/>
    </row>
    <row r="246">
      <c r="A246" s="319"/>
      <c r="B246" s="320"/>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c r="AA246" s="320"/>
      <c r="AB246" s="320"/>
      <c r="AC246" s="320"/>
      <c r="AD246" s="320"/>
      <c r="AE246" s="320"/>
      <c r="AF246" s="320"/>
      <c r="AG246" s="320"/>
      <c r="AH246" s="320"/>
      <c r="AI246" s="320"/>
      <c r="AJ246" s="320"/>
      <c r="AK246" s="320"/>
      <c r="AL246" s="320"/>
      <c r="AM246" s="320"/>
      <c r="AN246" s="320"/>
      <c r="AO246" s="320"/>
      <c r="AP246" s="320"/>
      <c r="AQ246" s="320"/>
      <c r="AR246" s="320"/>
      <c r="AS246" s="320"/>
      <c r="AT246" s="320"/>
      <c r="AU246" s="321"/>
    </row>
    <row r="247">
      <c r="A247" s="319"/>
      <c r="B247" s="320"/>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c r="AA247" s="320"/>
      <c r="AB247" s="320"/>
      <c r="AC247" s="320"/>
      <c r="AD247" s="320"/>
      <c r="AE247" s="320"/>
      <c r="AF247" s="320"/>
      <c r="AG247" s="320"/>
      <c r="AH247" s="320"/>
      <c r="AI247" s="320"/>
      <c r="AJ247" s="320"/>
      <c r="AK247" s="320"/>
      <c r="AL247" s="320"/>
      <c r="AM247" s="320"/>
      <c r="AN247" s="320"/>
      <c r="AO247" s="320"/>
      <c r="AP247" s="320"/>
      <c r="AQ247" s="320"/>
      <c r="AR247" s="320"/>
      <c r="AS247" s="320"/>
      <c r="AT247" s="320"/>
      <c r="AU247" s="321"/>
    </row>
    <row r="248">
      <c r="A248" s="319"/>
      <c r="B248" s="320"/>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c r="AA248" s="320"/>
      <c r="AB248" s="320"/>
      <c r="AC248" s="320"/>
      <c r="AD248" s="320"/>
      <c r="AE248" s="320"/>
      <c r="AF248" s="320"/>
      <c r="AG248" s="320"/>
      <c r="AH248" s="320"/>
      <c r="AI248" s="320"/>
      <c r="AJ248" s="320"/>
      <c r="AK248" s="320"/>
      <c r="AL248" s="320"/>
      <c r="AM248" s="320"/>
      <c r="AN248" s="320"/>
      <c r="AO248" s="320"/>
      <c r="AP248" s="320"/>
      <c r="AQ248" s="320"/>
      <c r="AR248" s="320"/>
      <c r="AS248" s="320"/>
      <c r="AT248" s="320"/>
      <c r="AU248" s="321"/>
    </row>
    <row r="249">
      <c r="A249" s="319"/>
      <c r="B249" s="320"/>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c r="AA249" s="320"/>
      <c r="AB249" s="320"/>
      <c r="AC249" s="320"/>
      <c r="AD249" s="320"/>
      <c r="AE249" s="320"/>
      <c r="AF249" s="320"/>
      <c r="AG249" s="320"/>
      <c r="AH249" s="320"/>
      <c r="AI249" s="320"/>
      <c r="AJ249" s="320"/>
      <c r="AK249" s="320"/>
      <c r="AL249" s="320"/>
      <c r="AM249" s="320"/>
      <c r="AN249" s="320"/>
      <c r="AO249" s="320"/>
      <c r="AP249" s="320"/>
      <c r="AQ249" s="320"/>
      <c r="AR249" s="320"/>
      <c r="AS249" s="320"/>
      <c r="AT249" s="320"/>
      <c r="AU249" s="321"/>
    </row>
    <row r="250">
      <c r="A250" s="319"/>
      <c r="B250" s="320"/>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c r="AA250" s="320"/>
      <c r="AB250" s="320"/>
      <c r="AC250" s="320"/>
      <c r="AD250" s="320"/>
      <c r="AE250" s="320"/>
      <c r="AF250" s="320"/>
      <c r="AG250" s="320"/>
      <c r="AH250" s="320"/>
      <c r="AI250" s="320"/>
      <c r="AJ250" s="320"/>
      <c r="AK250" s="320"/>
      <c r="AL250" s="320"/>
      <c r="AM250" s="320"/>
      <c r="AN250" s="320"/>
      <c r="AO250" s="320"/>
      <c r="AP250" s="320"/>
      <c r="AQ250" s="320"/>
      <c r="AR250" s="320"/>
      <c r="AS250" s="320"/>
      <c r="AT250" s="320"/>
      <c r="AU250" s="321"/>
    </row>
    <row r="251">
      <c r="A251" s="319"/>
      <c r="B251" s="320"/>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c r="AA251" s="320"/>
      <c r="AB251" s="320"/>
      <c r="AC251" s="320"/>
      <c r="AD251" s="320"/>
      <c r="AE251" s="320"/>
      <c r="AF251" s="320"/>
      <c r="AG251" s="320"/>
      <c r="AH251" s="320"/>
      <c r="AI251" s="320"/>
      <c r="AJ251" s="320"/>
      <c r="AK251" s="320"/>
      <c r="AL251" s="320"/>
      <c r="AM251" s="320"/>
      <c r="AN251" s="320"/>
      <c r="AO251" s="320"/>
      <c r="AP251" s="320"/>
      <c r="AQ251" s="320"/>
      <c r="AR251" s="320"/>
      <c r="AS251" s="320"/>
      <c r="AT251" s="320"/>
      <c r="AU251" s="321"/>
    </row>
    <row r="252">
      <c r="A252" s="319"/>
      <c r="B252" s="320"/>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c r="AA252" s="320"/>
      <c r="AB252" s="320"/>
      <c r="AC252" s="320"/>
      <c r="AD252" s="320"/>
      <c r="AE252" s="320"/>
      <c r="AF252" s="320"/>
      <c r="AG252" s="320"/>
      <c r="AH252" s="320"/>
      <c r="AI252" s="320"/>
      <c r="AJ252" s="320"/>
      <c r="AK252" s="320"/>
      <c r="AL252" s="320"/>
      <c r="AM252" s="320"/>
      <c r="AN252" s="320"/>
      <c r="AO252" s="320"/>
      <c r="AP252" s="320"/>
      <c r="AQ252" s="320"/>
      <c r="AR252" s="320"/>
      <c r="AS252" s="320"/>
      <c r="AT252" s="320"/>
      <c r="AU252" s="321"/>
    </row>
    <row r="253">
      <c r="A253" s="319"/>
      <c r="B253" s="320"/>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c r="AA253" s="320"/>
      <c r="AB253" s="320"/>
      <c r="AC253" s="320"/>
      <c r="AD253" s="320"/>
      <c r="AE253" s="320"/>
      <c r="AF253" s="320"/>
      <c r="AG253" s="320"/>
      <c r="AH253" s="320"/>
      <c r="AI253" s="320"/>
      <c r="AJ253" s="320"/>
      <c r="AK253" s="320"/>
      <c r="AL253" s="320"/>
      <c r="AM253" s="320"/>
      <c r="AN253" s="320"/>
      <c r="AO253" s="320"/>
      <c r="AP253" s="320"/>
      <c r="AQ253" s="320"/>
      <c r="AR253" s="320"/>
      <c r="AS253" s="320"/>
      <c r="AT253" s="320"/>
      <c r="AU253" s="321"/>
    </row>
    <row r="254">
      <c r="A254" s="319"/>
      <c r="B254" s="320"/>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c r="AA254" s="320"/>
      <c r="AB254" s="320"/>
      <c r="AC254" s="320"/>
      <c r="AD254" s="320"/>
      <c r="AE254" s="320"/>
      <c r="AF254" s="320"/>
      <c r="AG254" s="320"/>
      <c r="AH254" s="320"/>
      <c r="AI254" s="320"/>
      <c r="AJ254" s="320"/>
      <c r="AK254" s="320"/>
      <c r="AL254" s="320"/>
      <c r="AM254" s="320"/>
      <c r="AN254" s="320"/>
      <c r="AO254" s="320"/>
      <c r="AP254" s="320"/>
      <c r="AQ254" s="320"/>
      <c r="AR254" s="320"/>
      <c r="AS254" s="320"/>
      <c r="AT254" s="320"/>
      <c r="AU254" s="321"/>
    </row>
    <row r="255">
      <c r="A255" s="319"/>
      <c r="B255" s="320"/>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c r="AA255" s="320"/>
      <c r="AB255" s="320"/>
      <c r="AC255" s="320"/>
      <c r="AD255" s="320"/>
      <c r="AE255" s="320"/>
      <c r="AF255" s="320"/>
      <c r="AG255" s="320"/>
      <c r="AH255" s="320"/>
      <c r="AI255" s="320"/>
      <c r="AJ255" s="320"/>
      <c r="AK255" s="320"/>
      <c r="AL255" s="320"/>
      <c r="AM255" s="320"/>
      <c r="AN255" s="320"/>
      <c r="AO255" s="320"/>
      <c r="AP255" s="320"/>
      <c r="AQ255" s="320"/>
      <c r="AR255" s="320"/>
      <c r="AS255" s="320"/>
      <c r="AT255" s="320"/>
      <c r="AU255" s="321"/>
    </row>
    <row r="256">
      <c r="A256" s="319"/>
      <c r="B256" s="320"/>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c r="AA256" s="320"/>
      <c r="AB256" s="320"/>
      <c r="AC256" s="320"/>
      <c r="AD256" s="320"/>
      <c r="AE256" s="320"/>
      <c r="AF256" s="320"/>
      <c r="AG256" s="320"/>
      <c r="AH256" s="320"/>
      <c r="AI256" s="320"/>
      <c r="AJ256" s="320"/>
      <c r="AK256" s="320"/>
      <c r="AL256" s="320"/>
      <c r="AM256" s="320"/>
      <c r="AN256" s="320"/>
      <c r="AO256" s="320"/>
      <c r="AP256" s="320"/>
      <c r="AQ256" s="320"/>
      <c r="AR256" s="320"/>
      <c r="AS256" s="320"/>
      <c r="AT256" s="320"/>
      <c r="AU256" s="321"/>
    </row>
    <row r="257">
      <c r="A257" s="319"/>
      <c r="B257" s="320"/>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c r="AA257" s="320"/>
      <c r="AB257" s="320"/>
      <c r="AC257" s="320"/>
      <c r="AD257" s="320"/>
      <c r="AE257" s="320"/>
      <c r="AF257" s="320"/>
      <c r="AG257" s="320"/>
      <c r="AH257" s="320"/>
      <c r="AI257" s="320"/>
      <c r="AJ257" s="320"/>
      <c r="AK257" s="320"/>
      <c r="AL257" s="320"/>
      <c r="AM257" s="320"/>
      <c r="AN257" s="320"/>
      <c r="AO257" s="320"/>
      <c r="AP257" s="320"/>
      <c r="AQ257" s="320"/>
      <c r="AR257" s="320"/>
      <c r="AS257" s="320"/>
      <c r="AT257" s="320"/>
      <c r="AU257" s="321"/>
    </row>
    <row r="258">
      <c r="A258" s="319"/>
      <c r="B258" s="320"/>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c r="AA258" s="320"/>
      <c r="AB258" s="320"/>
      <c r="AC258" s="320"/>
      <c r="AD258" s="320"/>
      <c r="AE258" s="320"/>
      <c r="AF258" s="320"/>
      <c r="AG258" s="320"/>
      <c r="AH258" s="320"/>
      <c r="AI258" s="320"/>
      <c r="AJ258" s="320"/>
      <c r="AK258" s="320"/>
      <c r="AL258" s="320"/>
      <c r="AM258" s="320"/>
      <c r="AN258" s="320"/>
      <c r="AO258" s="320"/>
      <c r="AP258" s="320"/>
      <c r="AQ258" s="320"/>
      <c r="AR258" s="320"/>
      <c r="AS258" s="320"/>
      <c r="AT258" s="320"/>
      <c r="AU258" s="321"/>
    </row>
    <row r="259">
      <c r="A259" s="319"/>
      <c r="B259" s="320"/>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c r="AA259" s="320"/>
      <c r="AB259" s="320"/>
      <c r="AC259" s="320"/>
      <c r="AD259" s="320"/>
      <c r="AE259" s="320"/>
      <c r="AF259" s="320"/>
      <c r="AG259" s="320"/>
      <c r="AH259" s="320"/>
      <c r="AI259" s="320"/>
      <c r="AJ259" s="320"/>
      <c r="AK259" s="320"/>
      <c r="AL259" s="320"/>
      <c r="AM259" s="320"/>
      <c r="AN259" s="320"/>
      <c r="AO259" s="320"/>
      <c r="AP259" s="320"/>
      <c r="AQ259" s="320"/>
      <c r="AR259" s="320"/>
      <c r="AS259" s="320"/>
      <c r="AT259" s="320"/>
      <c r="AU259" s="321"/>
    </row>
    <row r="260">
      <c r="A260" s="319"/>
      <c r="B260" s="320"/>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c r="AA260" s="320"/>
      <c r="AB260" s="320"/>
      <c r="AC260" s="320"/>
      <c r="AD260" s="320"/>
      <c r="AE260" s="320"/>
      <c r="AF260" s="320"/>
      <c r="AG260" s="320"/>
      <c r="AH260" s="320"/>
      <c r="AI260" s="320"/>
      <c r="AJ260" s="320"/>
      <c r="AK260" s="320"/>
      <c r="AL260" s="320"/>
      <c r="AM260" s="320"/>
      <c r="AN260" s="320"/>
      <c r="AO260" s="320"/>
      <c r="AP260" s="320"/>
      <c r="AQ260" s="320"/>
      <c r="AR260" s="320"/>
      <c r="AS260" s="320"/>
      <c r="AT260" s="320"/>
      <c r="AU260" s="321"/>
    </row>
    <row r="261">
      <c r="A261" s="319"/>
      <c r="B261" s="320"/>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c r="AA261" s="320"/>
      <c r="AB261" s="320"/>
      <c r="AC261" s="320"/>
      <c r="AD261" s="320"/>
      <c r="AE261" s="320"/>
      <c r="AF261" s="320"/>
      <c r="AG261" s="320"/>
      <c r="AH261" s="320"/>
      <c r="AI261" s="320"/>
      <c r="AJ261" s="320"/>
      <c r="AK261" s="320"/>
      <c r="AL261" s="320"/>
      <c r="AM261" s="320"/>
      <c r="AN261" s="320"/>
      <c r="AO261" s="320"/>
      <c r="AP261" s="320"/>
      <c r="AQ261" s="320"/>
      <c r="AR261" s="320"/>
      <c r="AS261" s="320"/>
      <c r="AT261" s="320"/>
      <c r="AU261" s="321"/>
    </row>
    <row r="262">
      <c r="A262" s="319"/>
      <c r="B262" s="320"/>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c r="AA262" s="320"/>
      <c r="AB262" s="320"/>
      <c r="AC262" s="320"/>
      <c r="AD262" s="320"/>
      <c r="AE262" s="320"/>
      <c r="AF262" s="320"/>
      <c r="AG262" s="320"/>
      <c r="AH262" s="320"/>
      <c r="AI262" s="320"/>
      <c r="AJ262" s="320"/>
      <c r="AK262" s="320"/>
      <c r="AL262" s="320"/>
      <c r="AM262" s="320"/>
      <c r="AN262" s="320"/>
      <c r="AO262" s="320"/>
      <c r="AP262" s="320"/>
      <c r="AQ262" s="320"/>
      <c r="AR262" s="320"/>
      <c r="AS262" s="320"/>
      <c r="AT262" s="320"/>
      <c r="AU262" s="321"/>
    </row>
    <row r="263">
      <c r="A263" s="319"/>
      <c r="B263" s="320"/>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c r="AA263" s="320"/>
      <c r="AB263" s="320"/>
      <c r="AC263" s="320"/>
      <c r="AD263" s="320"/>
      <c r="AE263" s="320"/>
      <c r="AF263" s="320"/>
      <c r="AG263" s="320"/>
      <c r="AH263" s="320"/>
      <c r="AI263" s="320"/>
      <c r="AJ263" s="320"/>
      <c r="AK263" s="320"/>
      <c r="AL263" s="320"/>
      <c r="AM263" s="320"/>
      <c r="AN263" s="320"/>
      <c r="AO263" s="320"/>
      <c r="AP263" s="320"/>
      <c r="AQ263" s="320"/>
      <c r="AR263" s="320"/>
      <c r="AS263" s="320"/>
      <c r="AT263" s="320"/>
      <c r="AU263" s="321"/>
    </row>
    <row r="264">
      <c r="A264" s="319"/>
      <c r="B264" s="320"/>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c r="AA264" s="320"/>
      <c r="AB264" s="320"/>
      <c r="AC264" s="320"/>
      <c r="AD264" s="320"/>
      <c r="AE264" s="320"/>
      <c r="AF264" s="320"/>
      <c r="AG264" s="320"/>
      <c r="AH264" s="320"/>
      <c r="AI264" s="320"/>
      <c r="AJ264" s="320"/>
      <c r="AK264" s="320"/>
      <c r="AL264" s="320"/>
      <c r="AM264" s="320"/>
      <c r="AN264" s="320"/>
      <c r="AO264" s="320"/>
      <c r="AP264" s="320"/>
      <c r="AQ264" s="320"/>
      <c r="AR264" s="320"/>
      <c r="AS264" s="320"/>
      <c r="AT264" s="320"/>
      <c r="AU264" s="321"/>
    </row>
    <row r="265">
      <c r="A265" s="319"/>
      <c r="B265" s="320"/>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c r="AA265" s="320"/>
      <c r="AB265" s="320"/>
      <c r="AC265" s="320"/>
      <c r="AD265" s="320"/>
      <c r="AE265" s="320"/>
      <c r="AF265" s="320"/>
      <c r="AG265" s="320"/>
      <c r="AH265" s="320"/>
      <c r="AI265" s="320"/>
      <c r="AJ265" s="320"/>
      <c r="AK265" s="320"/>
      <c r="AL265" s="320"/>
      <c r="AM265" s="320"/>
      <c r="AN265" s="320"/>
      <c r="AO265" s="320"/>
      <c r="AP265" s="320"/>
      <c r="AQ265" s="320"/>
      <c r="AR265" s="320"/>
      <c r="AS265" s="320"/>
      <c r="AT265" s="320"/>
      <c r="AU265" s="321"/>
    </row>
    <row r="266">
      <c r="A266" s="319"/>
      <c r="B266" s="320"/>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c r="AA266" s="320"/>
      <c r="AB266" s="320"/>
      <c r="AC266" s="320"/>
      <c r="AD266" s="320"/>
      <c r="AE266" s="320"/>
      <c r="AF266" s="320"/>
      <c r="AG266" s="320"/>
      <c r="AH266" s="320"/>
      <c r="AI266" s="320"/>
      <c r="AJ266" s="320"/>
      <c r="AK266" s="320"/>
      <c r="AL266" s="320"/>
      <c r="AM266" s="320"/>
      <c r="AN266" s="320"/>
      <c r="AO266" s="320"/>
      <c r="AP266" s="320"/>
      <c r="AQ266" s="320"/>
      <c r="AR266" s="320"/>
      <c r="AS266" s="320"/>
      <c r="AT266" s="320"/>
      <c r="AU266" s="321"/>
    </row>
    <row r="267">
      <c r="A267" s="319"/>
      <c r="B267" s="320"/>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c r="AA267" s="320"/>
      <c r="AB267" s="320"/>
      <c r="AC267" s="320"/>
      <c r="AD267" s="320"/>
      <c r="AE267" s="320"/>
      <c r="AF267" s="320"/>
      <c r="AG267" s="320"/>
      <c r="AH267" s="320"/>
      <c r="AI267" s="320"/>
      <c r="AJ267" s="320"/>
      <c r="AK267" s="320"/>
      <c r="AL267" s="320"/>
      <c r="AM267" s="320"/>
      <c r="AN267" s="320"/>
      <c r="AO267" s="320"/>
      <c r="AP267" s="320"/>
      <c r="AQ267" s="320"/>
      <c r="AR267" s="320"/>
      <c r="AS267" s="320"/>
      <c r="AT267" s="320"/>
      <c r="AU267" s="321"/>
    </row>
    <row r="268">
      <c r="A268" s="319"/>
      <c r="B268" s="320"/>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c r="AA268" s="320"/>
      <c r="AB268" s="320"/>
      <c r="AC268" s="320"/>
      <c r="AD268" s="320"/>
      <c r="AE268" s="320"/>
      <c r="AF268" s="320"/>
      <c r="AG268" s="320"/>
      <c r="AH268" s="320"/>
      <c r="AI268" s="320"/>
      <c r="AJ268" s="320"/>
      <c r="AK268" s="320"/>
      <c r="AL268" s="320"/>
      <c r="AM268" s="320"/>
      <c r="AN268" s="320"/>
      <c r="AO268" s="320"/>
      <c r="AP268" s="320"/>
      <c r="AQ268" s="320"/>
      <c r="AR268" s="320"/>
      <c r="AS268" s="320"/>
      <c r="AT268" s="320"/>
      <c r="AU268" s="321"/>
    </row>
    <row r="269">
      <c r="A269" s="319"/>
      <c r="B269" s="320"/>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c r="AA269" s="320"/>
      <c r="AB269" s="320"/>
      <c r="AC269" s="320"/>
      <c r="AD269" s="320"/>
      <c r="AE269" s="320"/>
      <c r="AF269" s="320"/>
      <c r="AG269" s="320"/>
      <c r="AH269" s="320"/>
      <c r="AI269" s="320"/>
      <c r="AJ269" s="320"/>
      <c r="AK269" s="320"/>
      <c r="AL269" s="320"/>
      <c r="AM269" s="320"/>
      <c r="AN269" s="320"/>
      <c r="AO269" s="320"/>
      <c r="AP269" s="320"/>
      <c r="AQ269" s="320"/>
      <c r="AR269" s="320"/>
      <c r="AS269" s="320"/>
      <c r="AT269" s="320"/>
      <c r="AU269" s="321"/>
    </row>
    <row r="270">
      <c r="A270" s="319"/>
      <c r="B270" s="320"/>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c r="AA270" s="320"/>
      <c r="AB270" s="320"/>
      <c r="AC270" s="320"/>
      <c r="AD270" s="320"/>
      <c r="AE270" s="320"/>
      <c r="AF270" s="320"/>
      <c r="AG270" s="320"/>
      <c r="AH270" s="320"/>
      <c r="AI270" s="320"/>
      <c r="AJ270" s="320"/>
      <c r="AK270" s="320"/>
      <c r="AL270" s="320"/>
      <c r="AM270" s="320"/>
      <c r="AN270" s="320"/>
      <c r="AO270" s="320"/>
      <c r="AP270" s="320"/>
      <c r="AQ270" s="320"/>
      <c r="AR270" s="320"/>
      <c r="AS270" s="320"/>
      <c r="AT270" s="320"/>
      <c r="AU270" s="321"/>
    </row>
    <row r="271">
      <c r="A271" s="319"/>
      <c r="B271" s="320"/>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c r="AA271" s="320"/>
      <c r="AB271" s="320"/>
      <c r="AC271" s="320"/>
      <c r="AD271" s="320"/>
      <c r="AE271" s="320"/>
      <c r="AF271" s="320"/>
      <c r="AG271" s="320"/>
      <c r="AH271" s="320"/>
      <c r="AI271" s="320"/>
      <c r="AJ271" s="320"/>
      <c r="AK271" s="320"/>
      <c r="AL271" s="320"/>
      <c r="AM271" s="320"/>
      <c r="AN271" s="320"/>
      <c r="AO271" s="320"/>
      <c r="AP271" s="320"/>
      <c r="AQ271" s="320"/>
      <c r="AR271" s="320"/>
      <c r="AS271" s="320"/>
      <c r="AT271" s="320"/>
      <c r="AU271" s="321"/>
    </row>
    <row r="272">
      <c r="A272" s="319"/>
      <c r="B272" s="320"/>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c r="AA272" s="320"/>
      <c r="AB272" s="320"/>
      <c r="AC272" s="320"/>
      <c r="AD272" s="320"/>
      <c r="AE272" s="320"/>
      <c r="AF272" s="320"/>
      <c r="AG272" s="320"/>
      <c r="AH272" s="320"/>
      <c r="AI272" s="320"/>
      <c r="AJ272" s="320"/>
      <c r="AK272" s="320"/>
      <c r="AL272" s="320"/>
      <c r="AM272" s="320"/>
      <c r="AN272" s="320"/>
      <c r="AO272" s="320"/>
      <c r="AP272" s="320"/>
      <c r="AQ272" s="320"/>
      <c r="AR272" s="320"/>
      <c r="AS272" s="320"/>
      <c r="AT272" s="320"/>
      <c r="AU272" s="321"/>
    </row>
    <row r="273">
      <c r="A273" s="319"/>
      <c r="B273" s="320"/>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c r="AA273" s="320"/>
      <c r="AB273" s="320"/>
      <c r="AC273" s="320"/>
      <c r="AD273" s="320"/>
      <c r="AE273" s="320"/>
      <c r="AF273" s="320"/>
      <c r="AG273" s="320"/>
      <c r="AH273" s="320"/>
      <c r="AI273" s="320"/>
      <c r="AJ273" s="320"/>
      <c r="AK273" s="320"/>
      <c r="AL273" s="320"/>
      <c r="AM273" s="320"/>
      <c r="AN273" s="320"/>
      <c r="AO273" s="320"/>
      <c r="AP273" s="320"/>
      <c r="AQ273" s="320"/>
      <c r="AR273" s="320"/>
      <c r="AS273" s="320"/>
      <c r="AT273" s="320"/>
      <c r="AU273" s="321"/>
    </row>
    <row r="274">
      <c r="A274" s="319"/>
      <c r="B274" s="320"/>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c r="AA274" s="320"/>
      <c r="AB274" s="320"/>
      <c r="AC274" s="320"/>
      <c r="AD274" s="320"/>
      <c r="AE274" s="320"/>
      <c r="AF274" s="320"/>
      <c r="AG274" s="320"/>
      <c r="AH274" s="320"/>
      <c r="AI274" s="320"/>
      <c r="AJ274" s="320"/>
      <c r="AK274" s="320"/>
      <c r="AL274" s="320"/>
      <c r="AM274" s="320"/>
      <c r="AN274" s="320"/>
      <c r="AO274" s="320"/>
      <c r="AP274" s="320"/>
      <c r="AQ274" s="320"/>
      <c r="AR274" s="320"/>
      <c r="AS274" s="320"/>
      <c r="AT274" s="320"/>
      <c r="AU274" s="321"/>
    </row>
    <row r="275">
      <c r="A275" s="319"/>
      <c r="B275" s="320"/>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c r="AA275" s="320"/>
      <c r="AB275" s="320"/>
      <c r="AC275" s="320"/>
      <c r="AD275" s="320"/>
      <c r="AE275" s="320"/>
      <c r="AF275" s="320"/>
      <c r="AG275" s="320"/>
      <c r="AH275" s="320"/>
      <c r="AI275" s="320"/>
      <c r="AJ275" s="320"/>
      <c r="AK275" s="320"/>
      <c r="AL275" s="320"/>
      <c r="AM275" s="320"/>
      <c r="AN275" s="320"/>
      <c r="AO275" s="320"/>
      <c r="AP275" s="320"/>
      <c r="AQ275" s="320"/>
      <c r="AR275" s="320"/>
      <c r="AS275" s="320"/>
      <c r="AT275" s="320"/>
      <c r="AU275" s="321"/>
    </row>
    <row r="276">
      <c r="A276" s="319"/>
      <c r="B276" s="320"/>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c r="AA276" s="320"/>
      <c r="AB276" s="320"/>
      <c r="AC276" s="320"/>
      <c r="AD276" s="320"/>
      <c r="AE276" s="320"/>
      <c r="AF276" s="320"/>
      <c r="AG276" s="320"/>
      <c r="AH276" s="320"/>
      <c r="AI276" s="320"/>
      <c r="AJ276" s="320"/>
      <c r="AK276" s="320"/>
      <c r="AL276" s="320"/>
      <c r="AM276" s="320"/>
      <c r="AN276" s="320"/>
      <c r="AO276" s="320"/>
      <c r="AP276" s="320"/>
      <c r="AQ276" s="320"/>
      <c r="AR276" s="320"/>
      <c r="AS276" s="320"/>
      <c r="AT276" s="320"/>
      <c r="AU276" s="321"/>
    </row>
    <row r="277">
      <c r="A277" s="319"/>
      <c r="B277" s="320"/>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c r="AA277" s="320"/>
      <c r="AB277" s="320"/>
      <c r="AC277" s="320"/>
      <c r="AD277" s="320"/>
      <c r="AE277" s="320"/>
      <c r="AF277" s="320"/>
      <c r="AG277" s="320"/>
      <c r="AH277" s="320"/>
      <c r="AI277" s="320"/>
      <c r="AJ277" s="320"/>
      <c r="AK277" s="320"/>
      <c r="AL277" s="320"/>
      <c r="AM277" s="320"/>
      <c r="AN277" s="320"/>
      <c r="AO277" s="320"/>
      <c r="AP277" s="320"/>
      <c r="AQ277" s="320"/>
      <c r="AR277" s="320"/>
      <c r="AS277" s="320"/>
      <c r="AT277" s="320"/>
      <c r="AU277" s="321"/>
    </row>
    <row r="278">
      <c r="A278" s="319"/>
      <c r="B278" s="320"/>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c r="AA278" s="320"/>
      <c r="AB278" s="320"/>
      <c r="AC278" s="320"/>
      <c r="AD278" s="320"/>
      <c r="AE278" s="320"/>
      <c r="AF278" s="320"/>
      <c r="AG278" s="320"/>
      <c r="AH278" s="320"/>
      <c r="AI278" s="320"/>
      <c r="AJ278" s="320"/>
      <c r="AK278" s="320"/>
      <c r="AL278" s="320"/>
      <c r="AM278" s="320"/>
      <c r="AN278" s="320"/>
      <c r="AO278" s="320"/>
      <c r="AP278" s="320"/>
      <c r="AQ278" s="320"/>
      <c r="AR278" s="320"/>
      <c r="AS278" s="320"/>
      <c r="AT278" s="320"/>
      <c r="AU278" s="321"/>
    </row>
    <row r="279">
      <c r="A279" s="319"/>
      <c r="B279" s="320"/>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c r="AA279" s="320"/>
      <c r="AB279" s="320"/>
      <c r="AC279" s="320"/>
      <c r="AD279" s="320"/>
      <c r="AE279" s="320"/>
      <c r="AF279" s="320"/>
      <c r="AG279" s="320"/>
      <c r="AH279" s="320"/>
      <c r="AI279" s="320"/>
      <c r="AJ279" s="320"/>
      <c r="AK279" s="320"/>
      <c r="AL279" s="320"/>
      <c r="AM279" s="320"/>
      <c r="AN279" s="320"/>
      <c r="AO279" s="320"/>
      <c r="AP279" s="320"/>
      <c r="AQ279" s="320"/>
      <c r="AR279" s="320"/>
      <c r="AS279" s="320"/>
      <c r="AT279" s="320"/>
      <c r="AU279" s="321"/>
    </row>
    <row r="280">
      <c r="A280" s="319"/>
      <c r="B280" s="320"/>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c r="AA280" s="320"/>
      <c r="AB280" s="320"/>
      <c r="AC280" s="320"/>
      <c r="AD280" s="320"/>
      <c r="AE280" s="320"/>
      <c r="AF280" s="320"/>
      <c r="AG280" s="320"/>
      <c r="AH280" s="320"/>
      <c r="AI280" s="320"/>
      <c r="AJ280" s="320"/>
      <c r="AK280" s="320"/>
      <c r="AL280" s="320"/>
      <c r="AM280" s="320"/>
      <c r="AN280" s="320"/>
      <c r="AO280" s="320"/>
      <c r="AP280" s="320"/>
      <c r="AQ280" s="320"/>
      <c r="AR280" s="320"/>
      <c r="AS280" s="320"/>
      <c r="AT280" s="320"/>
      <c r="AU280" s="321"/>
    </row>
    <row r="281">
      <c r="A281" s="319"/>
      <c r="B281" s="320"/>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c r="AA281" s="320"/>
      <c r="AB281" s="320"/>
      <c r="AC281" s="320"/>
      <c r="AD281" s="320"/>
      <c r="AE281" s="320"/>
      <c r="AF281" s="320"/>
      <c r="AG281" s="320"/>
      <c r="AH281" s="320"/>
      <c r="AI281" s="320"/>
      <c r="AJ281" s="320"/>
      <c r="AK281" s="320"/>
      <c r="AL281" s="320"/>
      <c r="AM281" s="320"/>
      <c r="AN281" s="320"/>
      <c r="AO281" s="320"/>
      <c r="AP281" s="320"/>
      <c r="AQ281" s="320"/>
      <c r="AR281" s="320"/>
      <c r="AS281" s="320"/>
      <c r="AT281" s="320"/>
      <c r="AU281" s="321"/>
    </row>
    <row r="282">
      <c r="A282" s="319"/>
      <c r="B282" s="320"/>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c r="AA282" s="320"/>
      <c r="AB282" s="320"/>
      <c r="AC282" s="320"/>
      <c r="AD282" s="320"/>
      <c r="AE282" s="320"/>
      <c r="AF282" s="320"/>
      <c r="AG282" s="320"/>
      <c r="AH282" s="320"/>
      <c r="AI282" s="320"/>
      <c r="AJ282" s="320"/>
      <c r="AK282" s="320"/>
      <c r="AL282" s="320"/>
      <c r="AM282" s="320"/>
      <c r="AN282" s="320"/>
      <c r="AO282" s="320"/>
      <c r="AP282" s="320"/>
      <c r="AQ282" s="320"/>
      <c r="AR282" s="320"/>
      <c r="AS282" s="320"/>
      <c r="AT282" s="320"/>
      <c r="AU282" s="321"/>
    </row>
    <row r="283">
      <c r="A283" s="319"/>
      <c r="B283" s="320"/>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c r="AA283" s="320"/>
      <c r="AB283" s="320"/>
      <c r="AC283" s="320"/>
      <c r="AD283" s="320"/>
      <c r="AE283" s="320"/>
      <c r="AF283" s="320"/>
      <c r="AG283" s="320"/>
      <c r="AH283" s="320"/>
      <c r="AI283" s="320"/>
      <c r="AJ283" s="320"/>
      <c r="AK283" s="320"/>
      <c r="AL283" s="320"/>
      <c r="AM283" s="320"/>
      <c r="AN283" s="320"/>
      <c r="AO283" s="320"/>
      <c r="AP283" s="320"/>
      <c r="AQ283" s="320"/>
      <c r="AR283" s="320"/>
      <c r="AS283" s="320"/>
      <c r="AT283" s="320"/>
      <c r="AU283" s="321"/>
    </row>
    <row r="284">
      <c r="A284" s="319"/>
      <c r="B284" s="320"/>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c r="AA284" s="320"/>
      <c r="AB284" s="320"/>
      <c r="AC284" s="320"/>
      <c r="AD284" s="320"/>
      <c r="AE284" s="320"/>
      <c r="AF284" s="320"/>
      <c r="AG284" s="320"/>
      <c r="AH284" s="320"/>
      <c r="AI284" s="320"/>
      <c r="AJ284" s="320"/>
      <c r="AK284" s="320"/>
      <c r="AL284" s="320"/>
      <c r="AM284" s="320"/>
      <c r="AN284" s="320"/>
      <c r="AO284" s="320"/>
      <c r="AP284" s="320"/>
      <c r="AQ284" s="320"/>
      <c r="AR284" s="320"/>
      <c r="AS284" s="320"/>
      <c r="AT284" s="320"/>
      <c r="AU284" s="321"/>
    </row>
    <row r="285">
      <c r="A285" s="319"/>
      <c r="B285" s="320"/>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c r="AA285" s="320"/>
      <c r="AB285" s="320"/>
      <c r="AC285" s="320"/>
      <c r="AD285" s="320"/>
      <c r="AE285" s="320"/>
      <c r="AF285" s="320"/>
      <c r="AG285" s="320"/>
      <c r="AH285" s="320"/>
      <c r="AI285" s="320"/>
      <c r="AJ285" s="320"/>
      <c r="AK285" s="320"/>
      <c r="AL285" s="320"/>
      <c r="AM285" s="320"/>
      <c r="AN285" s="320"/>
      <c r="AO285" s="320"/>
      <c r="AP285" s="320"/>
      <c r="AQ285" s="320"/>
      <c r="AR285" s="320"/>
      <c r="AS285" s="320"/>
      <c r="AT285" s="320"/>
      <c r="AU285" s="321"/>
    </row>
    <row r="286">
      <c r="A286" s="319"/>
      <c r="B286" s="320"/>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c r="AA286" s="320"/>
      <c r="AB286" s="320"/>
      <c r="AC286" s="320"/>
      <c r="AD286" s="320"/>
      <c r="AE286" s="320"/>
      <c r="AF286" s="320"/>
      <c r="AG286" s="320"/>
      <c r="AH286" s="320"/>
      <c r="AI286" s="320"/>
      <c r="AJ286" s="320"/>
      <c r="AK286" s="320"/>
      <c r="AL286" s="320"/>
      <c r="AM286" s="320"/>
      <c r="AN286" s="320"/>
      <c r="AO286" s="320"/>
      <c r="AP286" s="320"/>
      <c r="AQ286" s="320"/>
      <c r="AR286" s="320"/>
      <c r="AS286" s="320"/>
      <c r="AT286" s="320"/>
      <c r="AU286" s="321"/>
    </row>
    <row r="287">
      <c r="A287" s="319"/>
      <c r="B287" s="320"/>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c r="AA287" s="320"/>
      <c r="AB287" s="320"/>
      <c r="AC287" s="320"/>
      <c r="AD287" s="320"/>
      <c r="AE287" s="320"/>
      <c r="AF287" s="320"/>
      <c r="AG287" s="320"/>
      <c r="AH287" s="320"/>
      <c r="AI287" s="320"/>
      <c r="AJ287" s="320"/>
      <c r="AK287" s="320"/>
      <c r="AL287" s="320"/>
      <c r="AM287" s="320"/>
      <c r="AN287" s="320"/>
      <c r="AO287" s="320"/>
      <c r="AP287" s="320"/>
      <c r="AQ287" s="320"/>
      <c r="AR287" s="320"/>
      <c r="AS287" s="320"/>
      <c r="AT287" s="320"/>
      <c r="AU287" s="321"/>
    </row>
    <row r="288">
      <c r="A288" s="319"/>
      <c r="B288" s="320"/>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c r="AA288" s="320"/>
      <c r="AB288" s="320"/>
      <c r="AC288" s="320"/>
      <c r="AD288" s="320"/>
      <c r="AE288" s="320"/>
      <c r="AF288" s="320"/>
      <c r="AG288" s="320"/>
      <c r="AH288" s="320"/>
      <c r="AI288" s="320"/>
      <c r="AJ288" s="320"/>
      <c r="AK288" s="320"/>
      <c r="AL288" s="320"/>
      <c r="AM288" s="320"/>
      <c r="AN288" s="320"/>
      <c r="AO288" s="320"/>
      <c r="AP288" s="320"/>
      <c r="AQ288" s="320"/>
      <c r="AR288" s="320"/>
      <c r="AS288" s="320"/>
      <c r="AT288" s="320"/>
      <c r="AU288" s="321"/>
    </row>
    <row r="289">
      <c r="A289" s="319"/>
      <c r="B289" s="320"/>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c r="AA289" s="320"/>
      <c r="AB289" s="320"/>
      <c r="AC289" s="320"/>
      <c r="AD289" s="320"/>
      <c r="AE289" s="320"/>
      <c r="AF289" s="320"/>
      <c r="AG289" s="320"/>
      <c r="AH289" s="320"/>
      <c r="AI289" s="320"/>
      <c r="AJ289" s="320"/>
      <c r="AK289" s="320"/>
      <c r="AL289" s="320"/>
      <c r="AM289" s="320"/>
      <c r="AN289" s="320"/>
      <c r="AO289" s="320"/>
      <c r="AP289" s="320"/>
      <c r="AQ289" s="320"/>
      <c r="AR289" s="320"/>
      <c r="AS289" s="320"/>
      <c r="AT289" s="320"/>
      <c r="AU289" s="321"/>
    </row>
    <row r="290">
      <c r="A290" s="319"/>
      <c r="B290" s="320"/>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c r="AA290" s="320"/>
      <c r="AB290" s="320"/>
      <c r="AC290" s="320"/>
      <c r="AD290" s="320"/>
      <c r="AE290" s="320"/>
      <c r="AF290" s="320"/>
      <c r="AG290" s="320"/>
      <c r="AH290" s="320"/>
      <c r="AI290" s="320"/>
      <c r="AJ290" s="320"/>
      <c r="AK290" s="320"/>
      <c r="AL290" s="320"/>
      <c r="AM290" s="320"/>
      <c r="AN290" s="320"/>
      <c r="AO290" s="320"/>
      <c r="AP290" s="320"/>
      <c r="AQ290" s="320"/>
      <c r="AR290" s="320"/>
      <c r="AS290" s="320"/>
      <c r="AT290" s="320"/>
      <c r="AU290" s="321"/>
    </row>
    <row r="291">
      <c r="A291" s="319"/>
      <c r="B291" s="320"/>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c r="AA291" s="320"/>
      <c r="AB291" s="320"/>
      <c r="AC291" s="320"/>
      <c r="AD291" s="320"/>
      <c r="AE291" s="320"/>
      <c r="AF291" s="320"/>
      <c r="AG291" s="320"/>
      <c r="AH291" s="320"/>
      <c r="AI291" s="320"/>
      <c r="AJ291" s="320"/>
      <c r="AK291" s="320"/>
      <c r="AL291" s="320"/>
      <c r="AM291" s="320"/>
      <c r="AN291" s="320"/>
      <c r="AO291" s="320"/>
      <c r="AP291" s="320"/>
      <c r="AQ291" s="320"/>
      <c r="AR291" s="320"/>
      <c r="AS291" s="320"/>
      <c r="AT291" s="320"/>
      <c r="AU291" s="321"/>
    </row>
    <row r="292">
      <c r="A292" s="319"/>
      <c r="B292" s="320"/>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c r="AA292" s="320"/>
      <c r="AB292" s="320"/>
      <c r="AC292" s="320"/>
      <c r="AD292" s="320"/>
      <c r="AE292" s="320"/>
      <c r="AF292" s="320"/>
      <c r="AG292" s="320"/>
      <c r="AH292" s="320"/>
      <c r="AI292" s="320"/>
      <c r="AJ292" s="320"/>
      <c r="AK292" s="320"/>
      <c r="AL292" s="320"/>
      <c r="AM292" s="320"/>
      <c r="AN292" s="320"/>
      <c r="AO292" s="320"/>
      <c r="AP292" s="320"/>
      <c r="AQ292" s="320"/>
      <c r="AR292" s="320"/>
      <c r="AS292" s="320"/>
      <c r="AT292" s="320"/>
      <c r="AU292" s="321"/>
    </row>
    <row r="293">
      <c r="A293" s="319"/>
      <c r="B293" s="320"/>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c r="AA293" s="320"/>
      <c r="AB293" s="320"/>
      <c r="AC293" s="320"/>
      <c r="AD293" s="320"/>
      <c r="AE293" s="320"/>
      <c r="AF293" s="320"/>
      <c r="AG293" s="320"/>
      <c r="AH293" s="320"/>
      <c r="AI293" s="320"/>
      <c r="AJ293" s="320"/>
      <c r="AK293" s="320"/>
      <c r="AL293" s="320"/>
      <c r="AM293" s="320"/>
      <c r="AN293" s="320"/>
      <c r="AO293" s="320"/>
      <c r="AP293" s="320"/>
      <c r="AQ293" s="320"/>
      <c r="AR293" s="320"/>
      <c r="AS293" s="320"/>
      <c r="AT293" s="320"/>
      <c r="AU293" s="321"/>
    </row>
    <row r="294">
      <c r="A294" s="319"/>
      <c r="B294" s="320"/>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c r="AA294" s="320"/>
      <c r="AB294" s="320"/>
      <c r="AC294" s="320"/>
      <c r="AD294" s="320"/>
      <c r="AE294" s="320"/>
      <c r="AF294" s="320"/>
      <c r="AG294" s="320"/>
      <c r="AH294" s="320"/>
      <c r="AI294" s="320"/>
      <c r="AJ294" s="320"/>
      <c r="AK294" s="320"/>
      <c r="AL294" s="320"/>
      <c r="AM294" s="320"/>
      <c r="AN294" s="320"/>
      <c r="AO294" s="320"/>
      <c r="AP294" s="320"/>
      <c r="AQ294" s="320"/>
      <c r="AR294" s="320"/>
      <c r="AS294" s="320"/>
      <c r="AT294" s="320"/>
      <c r="AU294" s="321"/>
    </row>
    <row r="295">
      <c r="A295" s="319"/>
      <c r="B295" s="320"/>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c r="AA295" s="320"/>
      <c r="AB295" s="320"/>
      <c r="AC295" s="320"/>
      <c r="AD295" s="320"/>
      <c r="AE295" s="320"/>
      <c r="AF295" s="320"/>
      <c r="AG295" s="320"/>
      <c r="AH295" s="320"/>
      <c r="AI295" s="320"/>
      <c r="AJ295" s="320"/>
      <c r="AK295" s="320"/>
      <c r="AL295" s="320"/>
      <c r="AM295" s="320"/>
      <c r="AN295" s="320"/>
      <c r="AO295" s="320"/>
      <c r="AP295" s="320"/>
      <c r="AQ295" s="320"/>
      <c r="AR295" s="320"/>
      <c r="AS295" s="320"/>
      <c r="AT295" s="320"/>
      <c r="AU295" s="321"/>
    </row>
    <row r="296">
      <c r="A296" s="319"/>
      <c r="B296" s="320"/>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c r="AA296" s="320"/>
      <c r="AB296" s="320"/>
      <c r="AC296" s="320"/>
      <c r="AD296" s="320"/>
      <c r="AE296" s="320"/>
      <c r="AF296" s="320"/>
      <c r="AG296" s="320"/>
      <c r="AH296" s="320"/>
      <c r="AI296" s="320"/>
      <c r="AJ296" s="320"/>
      <c r="AK296" s="320"/>
      <c r="AL296" s="320"/>
      <c r="AM296" s="320"/>
      <c r="AN296" s="320"/>
      <c r="AO296" s="320"/>
      <c r="AP296" s="320"/>
      <c r="AQ296" s="320"/>
      <c r="AR296" s="320"/>
      <c r="AS296" s="320"/>
      <c r="AT296" s="320"/>
      <c r="AU296" s="321"/>
    </row>
    <row r="297">
      <c r="A297" s="319"/>
      <c r="B297" s="320"/>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c r="AA297" s="320"/>
      <c r="AB297" s="320"/>
      <c r="AC297" s="320"/>
      <c r="AD297" s="320"/>
      <c r="AE297" s="320"/>
      <c r="AF297" s="320"/>
      <c r="AG297" s="320"/>
      <c r="AH297" s="320"/>
      <c r="AI297" s="320"/>
      <c r="AJ297" s="320"/>
      <c r="AK297" s="320"/>
      <c r="AL297" s="320"/>
      <c r="AM297" s="320"/>
      <c r="AN297" s="320"/>
      <c r="AO297" s="320"/>
      <c r="AP297" s="320"/>
      <c r="AQ297" s="320"/>
      <c r="AR297" s="320"/>
      <c r="AS297" s="320"/>
      <c r="AT297" s="320"/>
      <c r="AU297" s="321"/>
    </row>
    <row r="298">
      <c r="A298" s="319"/>
      <c r="B298" s="320"/>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c r="AA298" s="320"/>
      <c r="AB298" s="320"/>
      <c r="AC298" s="320"/>
      <c r="AD298" s="320"/>
      <c r="AE298" s="320"/>
      <c r="AF298" s="320"/>
      <c r="AG298" s="320"/>
      <c r="AH298" s="320"/>
      <c r="AI298" s="320"/>
      <c r="AJ298" s="320"/>
      <c r="AK298" s="320"/>
      <c r="AL298" s="320"/>
      <c r="AM298" s="320"/>
      <c r="AN298" s="320"/>
      <c r="AO298" s="320"/>
      <c r="AP298" s="320"/>
      <c r="AQ298" s="320"/>
      <c r="AR298" s="320"/>
      <c r="AS298" s="320"/>
      <c r="AT298" s="320"/>
      <c r="AU298" s="321"/>
    </row>
    <row r="299">
      <c r="A299" s="319"/>
      <c r="B299" s="320"/>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c r="AA299" s="320"/>
      <c r="AB299" s="320"/>
      <c r="AC299" s="320"/>
      <c r="AD299" s="320"/>
      <c r="AE299" s="320"/>
      <c r="AF299" s="320"/>
      <c r="AG299" s="320"/>
      <c r="AH299" s="320"/>
      <c r="AI299" s="320"/>
      <c r="AJ299" s="320"/>
      <c r="AK299" s="320"/>
      <c r="AL299" s="320"/>
      <c r="AM299" s="320"/>
      <c r="AN299" s="320"/>
      <c r="AO299" s="320"/>
      <c r="AP299" s="320"/>
      <c r="AQ299" s="320"/>
      <c r="AR299" s="320"/>
      <c r="AS299" s="320"/>
      <c r="AT299" s="320"/>
      <c r="AU299" s="321"/>
    </row>
    <row r="300">
      <c r="A300" s="319"/>
      <c r="B300" s="320"/>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c r="AA300" s="320"/>
      <c r="AB300" s="320"/>
      <c r="AC300" s="320"/>
      <c r="AD300" s="320"/>
      <c r="AE300" s="320"/>
      <c r="AF300" s="320"/>
      <c r="AG300" s="320"/>
      <c r="AH300" s="320"/>
      <c r="AI300" s="320"/>
      <c r="AJ300" s="320"/>
      <c r="AK300" s="320"/>
      <c r="AL300" s="320"/>
      <c r="AM300" s="320"/>
      <c r="AN300" s="320"/>
      <c r="AO300" s="320"/>
      <c r="AP300" s="320"/>
      <c r="AQ300" s="320"/>
      <c r="AR300" s="320"/>
      <c r="AS300" s="320"/>
      <c r="AT300" s="320"/>
      <c r="AU300" s="321"/>
    </row>
    <row r="301">
      <c r="A301" s="319"/>
      <c r="B301" s="320"/>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c r="AA301" s="320"/>
      <c r="AB301" s="320"/>
      <c r="AC301" s="320"/>
      <c r="AD301" s="320"/>
      <c r="AE301" s="320"/>
      <c r="AF301" s="320"/>
      <c r="AG301" s="320"/>
      <c r="AH301" s="320"/>
      <c r="AI301" s="320"/>
      <c r="AJ301" s="320"/>
      <c r="AK301" s="320"/>
      <c r="AL301" s="320"/>
      <c r="AM301" s="320"/>
      <c r="AN301" s="320"/>
      <c r="AO301" s="320"/>
      <c r="AP301" s="320"/>
      <c r="AQ301" s="320"/>
      <c r="AR301" s="320"/>
      <c r="AS301" s="320"/>
      <c r="AT301" s="320"/>
      <c r="AU301" s="321"/>
    </row>
    <row r="302">
      <c r="A302" s="319"/>
      <c r="B302" s="320"/>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c r="AA302" s="320"/>
      <c r="AB302" s="320"/>
      <c r="AC302" s="320"/>
      <c r="AD302" s="320"/>
      <c r="AE302" s="320"/>
      <c r="AF302" s="320"/>
      <c r="AG302" s="320"/>
      <c r="AH302" s="320"/>
      <c r="AI302" s="320"/>
      <c r="AJ302" s="320"/>
      <c r="AK302" s="320"/>
      <c r="AL302" s="320"/>
      <c r="AM302" s="320"/>
      <c r="AN302" s="320"/>
      <c r="AO302" s="320"/>
      <c r="AP302" s="320"/>
      <c r="AQ302" s="320"/>
      <c r="AR302" s="320"/>
      <c r="AS302" s="320"/>
      <c r="AT302" s="320"/>
      <c r="AU302" s="321"/>
    </row>
    <row r="303">
      <c r="A303" s="319"/>
      <c r="B303" s="320"/>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c r="AA303" s="320"/>
      <c r="AB303" s="320"/>
      <c r="AC303" s="320"/>
      <c r="AD303" s="320"/>
      <c r="AE303" s="320"/>
      <c r="AF303" s="320"/>
      <c r="AG303" s="320"/>
      <c r="AH303" s="320"/>
      <c r="AI303" s="320"/>
      <c r="AJ303" s="320"/>
      <c r="AK303" s="320"/>
      <c r="AL303" s="320"/>
      <c r="AM303" s="320"/>
      <c r="AN303" s="320"/>
      <c r="AO303" s="320"/>
      <c r="AP303" s="320"/>
      <c r="AQ303" s="320"/>
      <c r="AR303" s="320"/>
      <c r="AS303" s="320"/>
      <c r="AT303" s="320"/>
      <c r="AU303" s="321"/>
    </row>
    <row r="304">
      <c r="A304" s="319"/>
      <c r="B304" s="320"/>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c r="AA304" s="320"/>
      <c r="AB304" s="320"/>
      <c r="AC304" s="320"/>
      <c r="AD304" s="320"/>
      <c r="AE304" s="320"/>
      <c r="AF304" s="320"/>
      <c r="AG304" s="320"/>
      <c r="AH304" s="320"/>
      <c r="AI304" s="320"/>
      <c r="AJ304" s="320"/>
      <c r="AK304" s="320"/>
      <c r="AL304" s="320"/>
      <c r="AM304" s="320"/>
      <c r="AN304" s="320"/>
      <c r="AO304" s="320"/>
      <c r="AP304" s="320"/>
      <c r="AQ304" s="320"/>
      <c r="AR304" s="320"/>
      <c r="AS304" s="320"/>
      <c r="AT304" s="320"/>
      <c r="AU304" s="321"/>
    </row>
    <row r="305">
      <c r="A305" s="319"/>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c r="AA305" s="320"/>
      <c r="AB305" s="320"/>
      <c r="AC305" s="320"/>
      <c r="AD305" s="320"/>
      <c r="AE305" s="320"/>
      <c r="AF305" s="320"/>
      <c r="AG305" s="320"/>
      <c r="AH305" s="320"/>
      <c r="AI305" s="320"/>
      <c r="AJ305" s="320"/>
      <c r="AK305" s="320"/>
      <c r="AL305" s="320"/>
      <c r="AM305" s="320"/>
      <c r="AN305" s="320"/>
      <c r="AO305" s="320"/>
      <c r="AP305" s="320"/>
      <c r="AQ305" s="320"/>
      <c r="AR305" s="320"/>
      <c r="AS305" s="320"/>
      <c r="AT305" s="320"/>
      <c r="AU305" s="321"/>
    </row>
    <row r="306">
      <c r="A306" s="319"/>
      <c r="B306" s="320"/>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c r="AA306" s="320"/>
      <c r="AB306" s="320"/>
      <c r="AC306" s="320"/>
      <c r="AD306" s="320"/>
      <c r="AE306" s="320"/>
      <c r="AF306" s="320"/>
      <c r="AG306" s="320"/>
      <c r="AH306" s="320"/>
      <c r="AI306" s="320"/>
      <c r="AJ306" s="320"/>
      <c r="AK306" s="320"/>
      <c r="AL306" s="320"/>
      <c r="AM306" s="320"/>
      <c r="AN306" s="320"/>
      <c r="AO306" s="320"/>
      <c r="AP306" s="320"/>
      <c r="AQ306" s="320"/>
      <c r="AR306" s="320"/>
      <c r="AS306" s="320"/>
      <c r="AT306" s="320"/>
      <c r="AU306" s="321"/>
    </row>
    <row r="307">
      <c r="A307" s="319"/>
      <c r="B307" s="320"/>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c r="AA307" s="320"/>
      <c r="AB307" s="320"/>
      <c r="AC307" s="320"/>
      <c r="AD307" s="320"/>
      <c r="AE307" s="320"/>
      <c r="AF307" s="320"/>
      <c r="AG307" s="320"/>
      <c r="AH307" s="320"/>
      <c r="AI307" s="320"/>
      <c r="AJ307" s="320"/>
      <c r="AK307" s="320"/>
      <c r="AL307" s="320"/>
      <c r="AM307" s="320"/>
      <c r="AN307" s="320"/>
      <c r="AO307" s="320"/>
      <c r="AP307" s="320"/>
      <c r="AQ307" s="320"/>
      <c r="AR307" s="320"/>
      <c r="AS307" s="320"/>
      <c r="AT307" s="320"/>
      <c r="AU307" s="321"/>
    </row>
    <row r="308">
      <c r="A308" s="319"/>
      <c r="B308" s="320"/>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c r="AA308" s="320"/>
      <c r="AB308" s="320"/>
      <c r="AC308" s="320"/>
      <c r="AD308" s="320"/>
      <c r="AE308" s="320"/>
      <c r="AF308" s="320"/>
      <c r="AG308" s="320"/>
      <c r="AH308" s="320"/>
      <c r="AI308" s="320"/>
      <c r="AJ308" s="320"/>
      <c r="AK308" s="320"/>
      <c r="AL308" s="320"/>
      <c r="AM308" s="320"/>
      <c r="AN308" s="320"/>
      <c r="AO308" s="320"/>
      <c r="AP308" s="320"/>
      <c r="AQ308" s="320"/>
      <c r="AR308" s="320"/>
      <c r="AS308" s="320"/>
      <c r="AT308" s="320"/>
      <c r="AU308" s="321"/>
    </row>
    <row r="309">
      <c r="A309" s="319"/>
      <c r="B309" s="320"/>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c r="AA309" s="320"/>
      <c r="AB309" s="320"/>
      <c r="AC309" s="320"/>
      <c r="AD309" s="320"/>
      <c r="AE309" s="320"/>
      <c r="AF309" s="320"/>
      <c r="AG309" s="320"/>
      <c r="AH309" s="320"/>
      <c r="AI309" s="320"/>
      <c r="AJ309" s="320"/>
      <c r="AK309" s="320"/>
      <c r="AL309" s="320"/>
      <c r="AM309" s="320"/>
      <c r="AN309" s="320"/>
      <c r="AO309" s="320"/>
      <c r="AP309" s="320"/>
      <c r="AQ309" s="320"/>
      <c r="AR309" s="320"/>
      <c r="AS309" s="320"/>
      <c r="AT309" s="320"/>
      <c r="AU309" s="321"/>
    </row>
    <row r="310">
      <c r="A310" s="319"/>
      <c r="B310" s="320"/>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c r="AA310" s="320"/>
      <c r="AB310" s="320"/>
      <c r="AC310" s="320"/>
      <c r="AD310" s="320"/>
      <c r="AE310" s="320"/>
      <c r="AF310" s="320"/>
      <c r="AG310" s="320"/>
      <c r="AH310" s="320"/>
      <c r="AI310" s="320"/>
      <c r="AJ310" s="320"/>
      <c r="AK310" s="320"/>
      <c r="AL310" s="320"/>
      <c r="AM310" s="320"/>
      <c r="AN310" s="320"/>
      <c r="AO310" s="320"/>
      <c r="AP310" s="320"/>
      <c r="AQ310" s="320"/>
      <c r="AR310" s="320"/>
      <c r="AS310" s="320"/>
      <c r="AT310" s="320"/>
      <c r="AU310" s="321"/>
    </row>
    <row r="311">
      <c r="A311" s="319"/>
      <c r="B311" s="320"/>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c r="AA311" s="320"/>
      <c r="AB311" s="320"/>
      <c r="AC311" s="320"/>
      <c r="AD311" s="320"/>
      <c r="AE311" s="320"/>
      <c r="AF311" s="320"/>
      <c r="AG311" s="320"/>
      <c r="AH311" s="320"/>
      <c r="AI311" s="320"/>
      <c r="AJ311" s="320"/>
      <c r="AK311" s="320"/>
      <c r="AL311" s="320"/>
      <c r="AM311" s="320"/>
      <c r="AN311" s="320"/>
      <c r="AO311" s="320"/>
      <c r="AP311" s="320"/>
      <c r="AQ311" s="320"/>
      <c r="AR311" s="320"/>
      <c r="AS311" s="320"/>
      <c r="AT311" s="320"/>
      <c r="AU311" s="321"/>
    </row>
    <row r="312">
      <c r="A312" s="319"/>
      <c r="B312" s="320"/>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c r="AA312" s="320"/>
      <c r="AB312" s="320"/>
      <c r="AC312" s="320"/>
      <c r="AD312" s="320"/>
      <c r="AE312" s="320"/>
      <c r="AF312" s="320"/>
      <c r="AG312" s="320"/>
      <c r="AH312" s="320"/>
      <c r="AI312" s="320"/>
      <c r="AJ312" s="320"/>
      <c r="AK312" s="320"/>
      <c r="AL312" s="320"/>
      <c r="AM312" s="320"/>
      <c r="AN312" s="320"/>
      <c r="AO312" s="320"/>
      <c r="AP312" s="320"/>
      <c r="AQ312" s="320"/>
      <c r="AR312" s="320"/>
      <c r="AS312" s="320"/>
      <c r="AT312" s="320"/>
      <c r="AU312" s="321"/>
    </row>
    <row r="313">
      <c r="A313" s="319"/>
      <c r="B313" s="320"/>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c r="AA313" s="320"/>
      <c r="AB313" s="320"/>
      <c r="AC313" s="320"/>
      <c r="AD313" s="320"/>
      <c r="AE313" s="320"/>
      <c r="AF313" s="320"/>
      <c r="AG313" s="320"/>
      <c r="AH313" s="320"/>
      <c r="AI313" s="320"/>
      <c r="AJ313" s="320"/>
      <c r="AK313" s="320"/>
      <c r="AL313" s="320"/>
      <c r="AM313" s="320"/>
      <c r="AN313" s="320"/>
      <c r="AO313" s="320"/>
      <c r="AP313" s="320"/>
      <c r="AQ313" s="320"/>
      <c r="AR313" s="320"/>
      <c r="AS313" s="320"/>
      <c r="AT313" s="320"/>
      <c r="AU313" s="321"/>
    </row>
    <row r="314">
      <c r="A314" s="319"/>
      <c r="B314" s="320"/>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c r="AA314" s="320"/>
      <c r="AB314" s="320"/>
      <c r="AC314" s="320"/>
      <c r="AD314" s="320"/>
      <c r="AE314" s="320"/>
      <c r="AF314" s="320"/>
      <c r="AG314" s="320"/>
      <c r="AH314" s="320"/>
      <c r="AI314" s="320"/>
      <c r="AJ314" s="320"/>
      <c r="AK314" s="320"/>
      <c r="AL314" s="320"/>
      <c r="AM314" s="320"/>
      <c r="AN314" s="320"/>
      <c r="AO314" s="320"/>
      <c r="AP314" s="320"/>
      <c r="AQ314" s="320"/>
      <c r="AR314" s="320"/>
      <c r="AS314" s="320"/>
      <c r="AT314" s="320"/>
      <c r="AU314" s="321"/>
    </row>
    <row r="315">
      <c r="A315" s="319"/>
      <c r="B315" s="320"/>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c r="AA315" s="320"/>
      <c r="AB315" s="320"/>
      <c r="AC315" s="320"/>
      <c r="AD315" s="320"/>
      <c r="AE315" s="320"/>
      <c r="AF315" s="320"/>
      <c r="AG315" s="320"/>
      <c r="AH315" s="320"/>
      <c r="AI315" s="320"/>
      <c r="AJ315" s="320"/>
      <c r="AK315" s="320"/>
      <c r="AL315" s="320"/>
      <c r="AM315" s="320"/>
      <c r="AN315" s="320"/>
      <c r="AO315" s="320"/>
      <c r="AP315" s="320"/>
      <c r="AQ315" s="320"/>
      <c r="AR315" s="320"/>
      <c r="AS315" s="320"/>
      <c r="AT315" s="320"/>
      <c r="AU315" s="321"/>
    </row>
    <row r="316">
      <c r="A316" s="319"/>
      <c r="B316" s="320"/>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c r="AA316" s="320"/>
      <c r="AB316" s="320"/>
      <c r="AC316" s="320"/>
      <c r="AD316" s="320"/>
      <c r="AE316" s="320"/>
      <c r="AF316" s="320"/>
      <c r="AG316" s="320"/>
      <c r="AH316" s="320"/>
      <c r="AI316" s="320"/>
      <c r="AJ316" s="320"/>
      <c r="AK316" s="320"/>
      <c r="AL316" s="320"/>
      <c r="AM316" s="320"/>
      <c r="AN316" s="320"/>
      <c r="AO316" s="320"/>
      <c r="AP316" s="320"/>
      <c r="AQ316" s="320"/>
      <c r="AR316" s="320"/>
      <c r="AS316" s="320"/>
      <c r="AT316" s="320"/>
      <c r="AU316" s="321"/>
    </row>
    <row r="317">
      <c r="A317" s="319"/>
      <c r="B317" s="320"/>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c r="AA317" s="320"/>
      <c r="AB317" s="320"/>
      <c r="AC317" s="320"/>
      <c r="AD317" s="320"/>
      <c r="AE317" s="320"/>
      <c r="AF317" s="320"/>
      <c r="AG317" s="320"/>
      <c r="AH317" s="320"/>
      <c r="AI317" s="320"/>
      <c r="AJ317" s="320"/>
      <c r="AK317" s="320"/>
      <c r="AL317" s="320"/>
      <c r="AM317" s="320"/>
      <c r="AN317" s="320"/>
      <c r="AO317" s="320"/>
      <c r="AP317" s="320"/>
      <c r="AQ317" s="320"/>
      <c r="AR317" s="320"/>
      <c r="AS317" s="320"/>
      <c r="AT317" s="320"/>
      <c r="AU317" s="321"/>
    </row>
    <row r="318">
      <c r="A318" s="319"/>
      <c r="B318" s="320"/>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c r="AA318" s="320"/>
      <c r="AB318" s="320"/>
      <c r="AC318" s="320"/>
      <c r="AD318" s="320"/>
      <c r="AE318" s="320"/>
      <c r="AF318" s="320"/>
      <c r="AG318" s="320"/>
      <c r="AH318" s="320"/>
      <c r="AI318" s="320"/>
      <c r="AJ318" s="320"/>
      <c r="AK318" s="320"/>
      <c r="AL318" s="320"/>
      <c r="AM318" s="320"/>
      <c r="AN318" s="320"/>
      <c r="AO318" s="320"/>
      <c r="AP318" s="320"/>
      <c r="AQ318" s="320"/>
      <c r="AR318" s="320"/>
      <c r="AS318" s="320"/>
      <c r="AT318" s="320"/>
      <c r="AU318" s="321"/>
    </row>
    <row r="319">
      <c r="A319" s="319"/>
      <c r="B319" s="320"/>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c r="AA319" s="320"/>
      <c r="AB319" s="320"/>
      <c r="AC319" s="320"/>
      <c r="AD319" s="320"/>
      <c r="AE319" s="320"/>
      <c r="AF319" s="320"/>
      <c r="AG319" s="320"/>
      <c r="AH319" s="320"/>
      <c r="AI319" s="320"/>
      <c r="AJ319" s="320"/>
      <c r="AK319" s="320"/>
      <c r="AL319" s="320"/>
      <c r="AM319" s="320"/>
      <c r="AN319" s="320"/>
      <c r="AO319" s="320"/>
      <c r="AP319" s="320"/>
      <c r="AQ319" s="320"/>
      <c r="AR319" s="320"/>
      <c r="AS319" s="320"/>
      <c r="AT319" s="320"/>
      <c r="AU319" s="321"/>
    </row>
    <row r="320">
      <c r="A320" s="319"/>
      <c r="B320" s="320"/>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c r="AA320" s="320"/>
      <c r="AB320" s="320"/>
      <c r="AC320" s="320"/>
      <c r="AD320" s="320"/>
      <c r="AE320" s="320"/>
      <c r="AF320" s="320"/>
      <c r="AG320" s="320"/>
      <c r="AH320" s="320"/>
      <c r="AI320" s="320"/>
      <c r="AJ320" s="320"/>
      <c r="AK320" s="320"/>
      <c r="AL320" s="320"/>
      <c r="AM320" s="320"/>
      <c r="AN320" s="320"/>
      <c r="AO320" s="320"/>
      <c r="AP320" s="320"/>
      <c r="AQ320" s="320"/>
      <c r="AR320" s="320"/>
      <c r="AS320" s="320"/>
      <c r="AT320" s="320"/>
      <c r="AU320" s="321"/>
    </row>
    <row r="321">
      <c r="A321" s="319"/>
      <c r="B321" s="320"/>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c r="AA321" s="320"/>
      <c r="AB321" s="320"/>
      <c r="AC321" s="320"/>
      <c r="AD321" s="320"/>
      <c r="AE321" s="320"/>
      <c r="AF321" s="320"/>
      <c r="AG321" s="320"/>
      <c r="AH321" s="320"/>
      <c r="AI321" s="320"/>
      <c r="AJ321" s="320"/>
      <c r="AK321" s="320"/>
      <c r="AL321" s="320"/>
      <c r="AM321" s="320"/>
      <c r="AN321" s="320"/>
      <c r="AO321" s="320"/>
      <c r="AP321" s="320"/>
      <c r="AQ321" s="320"/>
      <c r="AR321" s="320"/>
      <c r="AS321" s="320"/>
      <c r="AT321" s="320"/>
      <c r="AU321" s="321"/>
    </row>
    <row r="322">
      <c r="A322" s="319"/>
      <c r="B322" s="320"/>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c r="AA322" s="320"/>
      <c r="AB322" s="320"/>
      <c r="AC322" s="320"/>
      <c r="AD322" s="320"/>
      <c r="AE322" s="320"/>
      <c r="AF322" s="320"/>
      <c r="AG322" s="320"/>
      <c r="AH322" s="320"/>
      <c r="AI322" s="320"/>
      <c r="AJ322" s="320"/>
      <c r="AK322" s="320"/>
      <c r="AL322" s="320"/>
      <c r="AM322" s="320"/>
      <c r="AN322" s="320"/>
      <c r="AO322" s="320"/>
      <c r="AP322" s="320"/>
      <c r="AQ322" s="320"/>
      <c r="AR322" s="320"/>
      <c r="AS322" s="320"/>
      <c r="AT322" s="320"/>
      <c r="AU322" s="321"/>
    </row>
    <row r="323">
      <c r="A323" s="319"/>
      <c r="B323" s="320"/>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c r="AA323" s="320"/>
      <c r="AB323" s="320"/>
      <c r="AC323" s="320"/>
      <c r="AD323" s="320"/>
      <c r="AE323" s="320"/>
      <c r="AF323" s="320"/>
      <c r="AG323" s="320"/>
      <c r="AH323" s="320"/>
      <c r="AI323" s="320"/>
      <c r="AJ323" s="320"/>
      <c r="AK323" s="320"/>
      <c r="AL323" s="320"/>
      <c r="AM323" s="320"/>
      <c r="AN323" s="320"/>
      <c r="AO323" s="320"/>
      <c r="AP323" s="320"/>
      <c r="AQ323" s="320"/>
      <c r="AR323" s="320"/>
      <c r="AS323" s="320"/>
      <c r="AT323" s="320"/>
      <c r="AU323" s="321"/>
    </row>
    <row r="324">
      <c r="A324" s="319"/>
      <c r="B324" s="320"/>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c r="AA324" s="320"/>
      <c r="AB324" s="320"/>
      <c r="AC324" s="320"/>
      <c r="AD324" s="320"/>
      <c r="AE324" s="320"/>
      <c r="AF324" s="320"/>
      <c r="AG324" s="320"/>
      <c r="AH324" s="320"/>
      <c r="AI324" s="320"/>
      <c r="AJ324" s="320"/>
      <c r="AK324" s="320"/>
      <c r="AL324" s="320"/>
      <c r="AM324" s="320"/>
      <c r="AN324" s="320"/>
      <c r="AO324" s="320"/>
      <c r="AP324" s="320"/>
      <c r="AQ324" s="320"/>
      <c r="AR324" s="320"/>
      <c r="AS324" s="320"/>
      <c r="AT324" s="320"/>
      <c r="AU324" s="321"/>
    </row>
    <row r="325">
      <c r="A325" s="319"/>
      <c r="B325" s="320"/>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c r="AA325" s="320"/>
      <c r="AB325" s="320"/>
      <c r="AC325" s="320"/>
      <c r="AD325" s="320"/>
      <c r="AE325" s="320"/>
      <c r="AF325" s="320"/>
      <c r="AG325" s="320"/>
      <c r="AH325" s="320"/>
      <c r="AI325" s="320"/>
      <c r="AJ325" s="320"/>
      <c r="AK325" s="320"/>
      <c r="AL325" s="320"/>
      <c r="AM325" s="320"/>
      <c r="AN325" s="320"/>
      <c r="AO325" s="320"/>
      <c r="AP325" s="320"/>
      <c r="AQ325" s="320"/>
      <c r="AR325" s="320"/>
      <c r="AS325" s="320"/>
      <c r="AT325" s="320"/>
      <c r="AU325" s="321"/>
    </row>
    <row r="326">
      <c r="A326" s="319"/>
      <c r="B326" s="320"/>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c r="AA326" s="320"/>
      <c r="AB326" s="320"/>
      <c r="AC326" s="320"/>
      <c r="AD326" s="320"/>
      <c r="AE326" s="320"/>
      <c r="AF326" s="320"/>
      <c r="AG326" s="320"/>
      <c r="AH326" s="320"/>
      <c r="AI326" s="320"/>
      <c r="AJ326" s="320"/>
      <c r="AK326" s="320"/>
      <c r="AL326" s="320"/>
      <c r="AM326" s="320"/>
      <c r="AN326" s="320"/>
      <c r="AO326" s="320"/>
      <c r="AP326" s="320"/>
      <c r="AQ326" s="320"/>
      <c r="AR326" s="320"/>
      <c r="AS326" s="320"/>
      <c r="AT326" s="320"/>
      <c r="AU326" s="321"/>
    </row>
    <row r="327">
      <c r="A327" s="319"/>
      <c r="B327" s="320"/>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c r="AA327" s="320"/>
      <c r="AB327" s="320"/>
      <c r="AC327" s="320"/>
      <c r="AD327" s="320"/>
      <c r="AE327" s="320"/>
      <c r="AF327" s="320"/>
      <c r="AG327" s="320"/>
      <c r="AH327" s="320"/>
      <c r="AI327" s="320"/>
      <c r="AJ327" s="320"/>
      <c r="AK327" s="320"/>
      <c r="AL327" s="320"/>
      <c r="AM327" s="320"/>
      <c r="AN327" s="320"/>
      <c r="AO327" s="320"/>
      <c r="AP327" s="320"/>
      <c r="AQ327" s="320"/>
      <c r="AR327" s="320"/>
      <c r="AS327" s="320"/>
      <c r="AT327" s="320"/>
      <c r="AU327" s="321"/>
    </row>
    <row r="328">
      <c r="A328" s="319"/>
      <c r="B328" s="320"/>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c r="AA328" s="320"/>
      <c r="AB328" s="320"/>
      <c r="AC328" s="320"/>
      <c r="AD328" s="320"/>
      <c r="AE328" s="320"/>
      <c r="AF328" s="320"/>
      <c r="AG328" s="320"/>
      <c r="AH328" s="320"/>
      <c r="AI328" s="320"/>
      <c r="AJ328" s="320"/>
      <c r="AK328" s="320"/>
      <c r="AL328" s="320"/>
      <c r="AM328" s="320"/>
      <c r="AN328" s="320"/>
      <c r="AO328" s="320"/>
      <c r="AP328" s="320"/>
      <c r="AQ328" s="320"/>
      <c r="AR328" s="320"/>
      <c r="AS328" s="320"/>
      <c r="AT328" s="320"/>
      <c r="AU328" s="321"/>
    </row>
    <row r="329">
      <c r="A329" s="319"/>
      <c r="B329" s="320"/>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c r="AA329" s="320"/>
      <c r="AB329" s="320"/>
      <c r="AC329" s="320"/>
      <c r="AD329" s="320"/>
      <c r="AE329" s="320"/>
      <c r="AF329" s="320"/>
      <c r="AG329" s="320"/>
      <c r="AH329" s="320"/>
      <c r="AI329" s="320"/>
      <c r="AJ329" s="320"/>
      <c r="AK329" s="320"/>
      <c r="AL329" s="320"/>
      <c r="AM329" s="320"/>
      <c r="AN329" s="320"/>
      <c r="AO329" s="320"/>
      <c r="AP329" s="320"/>
      <c r="AQ329" s="320"/>
      <c r="AR329" s="320"/>
      <c r="AS329" s="320"/>
      <c r="AT329" s="320"/>
      <c r="AU329" s="321"/>
    </row>
    <row r="330">
      <c r="A330" s="319"/>
      <c r="B330" s="320"/>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c r="AA330" s="320"/>
      <c r="AB330" s="320"/>
      <c r="AC330" s="320"/>
      <c r="AD330" s="320"/>
      <c r="AE330" s="320"/>
      <c r="AF330" s="320"/>
      <c r="AG330" s="320"/>
      <c r="AH330" s="320"/>
      <c r="AI330" s="320"/>
      <c r="AJ330" s="320"/>
      <c r="AK330" s="320"/>
      <c r="AL330" s="320"/>
      <c r="AM330" s="320"/>
      <c r="AN330" s="320"/>
      <c r="AO330" s="320"/>
      <c r="AP330" s="320"/>
      <c r="AQ330" s="320"/>
      <c r="AR330" s="320"/>
      <c r="AS330" s="320"/>
      <c r="AT330" s="320"/>
      <c r="AU330" s="321"/>
    </row>
    <row r="331">
      <c r="A331" s="319"/>
      <c r="B331" s="320"/>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20"/>
      <c r="AP331" s="320"/>
      <c r="AQ331" s="320"/>
      <c r="AR331" s="320"/>
      <c r="AS331" s="320"/>
      <c r="AT331" s="320"/>
      <c r="AU331" s="321"/>
    </row>
    <row r="332">
      <c r="A332" s="319"/>
      <c r="B332" s="320"/>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c r="AA332" s="320"/>
      <c r="AB332" s="320"/>
      <c r="AC332" s="320"/>
      <c r="AD332" s="320"/>
      <c r="AE332" s="320"/>
      <c r="AF332" s="320"/>
      <c r="AG332" s="320"/>
      <c r="AH332" s="320"/>
      <c r="AI332" s="320"/>
      <c r="AJ332" s="320"/>
      <c r="AK332" s="320"/>
      <c r="AL332" s="320"/>
      <c r="AM332" s="320"/>
      <c r="AN332" s="320"/>
      <c r="AO332" s="320"/>
      <c r="AP332" s="320"/>
      <c r="AQ332" s="320"/>
      <c r="AR332" s="320"/>
      <c r="AS332" s="320"/>
      <c r="AT332" s="320"/>
      <c r="AU332" s="321"/>
    </row>
    <row r="333">
      <c r="A333" s="319"/>
      <c r="B333" s="320"/>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c r="AA333" s="320"/>
      <c r="AB333" s="320"/>
      <c r="AC333" s="320"/>
      <c r="AD333" s="320"/>
      <c r="AE333" s="320"/>
      <c r="AF333" s="320"/>
      <c r="AG333" s="320"/>
      <c r="AH333" s="320"/>
      <c r="AI333" s="320"/>
      <c r="AJ333" s="320"/>
      <c r="AK333" s="320"/>
      <c r="AL333" s="320"/>
      <c r="AM333" s="320"/>
      <c r="AN333" s="320"/>
      <c r="AO333" s="320"/>
      <c r="AP333" s="320"/>
      <c r="AQ333" s="320"/>
      <c r="AR333" s="320"/>
      <c r="AS333" s="320"/>
      <c r="AT333" s="320"/>
      <c r="AU333" s="321"/>
    </row>
    <row r="334">
      <c r="A334" s="319"/>
      <c r="B334" s="320"/>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c r="AA334" s="320"/>
      <c r="AB334" s="320"/>
      <c r="AC334" s="320"/>
      <c r="AD334" s="320"/>
      <c r="AE334" s="320"/>
      <c r="AF334" s="320"/>
      <c r="AG334" s="320"/>
      <c r="AH334" s="320"/>
      <c r="AI334" s="320"/>
      <c r="AJ334" s="320"/>
      <c r="AK334" s="320"/>
      <c r="AL334" s="320"/>
      <c r="AM334" s="320"/>
      <c r="AN334" s="320"/>
      <c r="AO334" s="320"/>
      <c r="AP334" s="320"/>
      <c r="AQ334" s="320"/>
      <c r="AR334" s="320"/>
      <c r="AS334" s="320"/>
      <c r="AT334" s="320"/>
      <c r="AU334" s="321"/>
    </row>
    <row r="335">
      <c r="A335" s="319"/>
      <c r="B335" s="320"/>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c r="AA335" s="320"/>
      <c r="AB335" s="320"/>
      <c r="AC335" s="320"/>
      <c r="AD335" s="320"/>
      <c r="AE335" s="320"/>
      <c r="AF335" s="320"/>
      <c r="AG335" s="320"/>
      <c r="AH335" s="320"/>
      <c r="AI335" s="320"/>
      <c r="AJ335" s="320"/>
      <c r="AK335" s="320"/>
      <c r="AL335" s="320"/>
      <c r="AM335" s="320"/>
      <c r="AN335" s="320"/>
      <c r="AO335" s="320"/>
      <c r="AP335" s="320"/>
      <c r="AQ335" s="320"/>
      <c r="AR335" s="320"/>
      <c r="AS335" s="320"/>
      <c r="AT335" s="320"/>
      <c r="AU335" s="321"/>
    </row>
    <row r="336">
      <c r="A336" s="319"/>
      <c r="B336" s="320"/>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c r="AA336" s="320"/>
      <c r="AB336" s="320"/>
      <c r="AC336" s="320"/>
      <c r="AD336" s="320"/>
      <c r="AE336" s="320"/>
      <c r="AF336" s="320"/>
      <c r="AG336" s="320"/>
      <c r="AH336" s="320"/>
      <c r="AI336" s="320"/>
      <c r="AJ336" s="320"/>
      <c r="AK336" s="320"/>
      <c r="AL336" s="320"/>
      <c r="AM336" s="320"/>
      <c r="AN336" s="320"/>
      <c r="AO336" s="320"/>
      <c r="AP336" s="320"/>
      <c r="AQ336" s="320"/>
      <c r="AR336" s="320"/>
      <c r="AS336" s="320"/>
      <c r="AT336" s="320"/>
      <c r="AU336" s="321"/>
    </row>
    <row r="337">
      <c r="A337" s="319"/>
      <c r="B337" s="320"/>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c r="AA337" s="320"/>
      <c r="AB337" s="320"/>
      <c r="AC337" s="320"/>
      <c r="AD337" s="320"/>
      <c r="AE337" s="320"/>
      <c r="AF337" s="320"/>
      <c r="AG337" s="320"/>
      <c r="AH337" s="320"/>
      <c r="AI337" s="320"/>
      <c r="AJ337" s="320"/>
      <c r="AK337" s="320"/>
      <c r="AL337" s="320"/>
      <c r="AM337" s="320"/>
      <c r="AN337" s="320"/>
      <c r="AO337" s="320"/>
      <c r="AP337" s="320"/>
      <c r="AQ337" s="320"/>
      <c r="AR337" s="320"/>
      <c r="AS337" s="320"/>
      <c r="AT337" s="320"/>
      <c r="AU337" s="321"/>
    </row>
    <row r="338">
      <c r="A338" s="319"/>
      <c r="B338" s="320"/>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c r="AA338" s="320"/>
      <c r="AB338" s="320"/>
      <c r="AC338" s="320"/>
      <c r="AD338" s="320"/>
      <c r="AE338" s="320"/>
      <c r="AF338" s="320"/>
      <c r="AG338" s="320"/>
      <c r="AH338" s="320"/>
      <c r="AI338" s="320"/>
      <c r="AJ338" s="320"/>
      <c r="AK338" s="320"/>
      <c r="AL338" s="320"/>
      <c r="AM338" s="320"/>
      <c r="AN338" s="320"/>
      <c r="AO338" s="320"/>
      <c r="AP338" s="320"/>
      <c r="AQ338" s="320"/>
      <c r="AR338" s="320"/>
      <c r="AS338" s="320"/>
      <c r="AT338" s="320"/>
      <c r="AU338" s="321"/>
    </row>
    <row r="339">
      <c r="A339" s="319"/>
      <c r="B339" s="320"/>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c r="AA339" s="320"/>
      <c r="AB339" s="320"/>
      <c r="AC339" s="320"/>
      <c r="AD339" s="320"/>
      <c r="AE339" s="320"/>
      <c r="AF339" s="320"/>
      <c r="AG339" s="320"/>
      <c r="AH339" s="320"/>
      <c r="AI339" s="320"/>
      <c r="AJ339" s="320"/>
      <c r="AK339" s="320"/>
      <c r="AL339" s="320"/>
      <c r="AM339" s="320"/>
      <c r="AN339" s="320"/>
      <c r="AO339" s="320"/>
      <c r="AP339" s="320"/>
      <c r="AQ339" s="320"/>
      <c r="AR339" s="320"/>
      <c r="AS339" s="320"/>
      <c r="AT339" s="320"/>
      <c r="AU339" s="321"/>
    </row>
    <row r="340">
      <c r="A340" s="319"/>
      <c r="B340" s="320"/>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c r="AA340" s="320"/>
      <c r="AB340" s="320"/>
      <c r="AC340" s="320"/>
      <c r="AD340" s="320"/>
      <c r="AE340" s="320"/>
      <c r="AF340" s="320"/>
      <c r="AG340" s="320"/>
      <c r="AH340" s="320"/>
      <c r="AI340" s="320"/>
      <c r="AJ340" s="320"/>
      <c r="AK340" s="320"/>
      <c r="AL340" s="320"/>
      <c r="AM340" s="320"/>
      <c r="AN340" s="320"/>
      <c r="AO340" s="320"/>
      <c r="AP340" s="320"/>
      <c r="AQ340" s="320"/>
      <c r="AR340" s="320"/>
      <c r="AS340" s="320"/>
      <c r="AT340" s="320"/>
      <c r="AU340" s="321"/>
    </row>
    <row r="341">
      <c r="A341" s="319"/>
      <c r="B341" s="320"/>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c r="AA341" s="320"/>
      <c r="AB341" s="320"/>
      <c r="AC341" s="320"/>
      <c r="AD341" s="320"/>
      <c r="AE341" s="320"/>
      <c r="AF341" s="320"/>
      <c r="AG341" s="320"/>
      <c r="AH341" s="320"/>
      <c r="AI341" s="320"/>
      <c r="AJ341" s="320"/>
      <c r="AK341" s="320"/>
      <c r="AL341" s="320"/>
      <c r="AM341" s="320"/>
      <c r="AN341" s="320"/>
      <c r="AO341" s="320"/>
      <c r="AP341" s="320"/>
      <c r="AQ341" s="320"/>
      <c r="AR341" s="320"/>
      <c r="AS341" s="320"/>
      <c r="AT341" s="320"/>
      <c r="AU341" s="321"/>
    </row>
    <row r="342">
      <c r="A342" s="319"/>
      <c r="B342" s="320"/>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c r="AA342" s="320"/>
      <c r="AB342" s="320"/>
      <c r="AC342" s="320"/>
      <c r="AD342" s="320"/>
      <c r="AE342" s="320"/>
      <c r="AF342" s="320"/>
      <c r="AG342" s="320"/>
      <c r="AH342" s="320"/>
      <c r="AI342" s="320"/>
      <c r="AJ342" s="320"/>
      <c r="AK342" s="320"/>
      <c r="AL342" s="320"/>
      <c r="AM342" s="320"/>
      <c r="AN342" s="320"/>
      <c r="AO342" s="320"/>
      <c r="AP342" s="320"/>
      <c r="AQ342" s="320"/>
      <c r="AR342" s="320"/>
      <c r="AS342" s="320"/>
      <c r="AT342" s="320"/>
      <c r="AU342" s="321"/>
    </row>
    <row r="343">
      <c r="A343" s="319"/>
      <c r="B343" s="320"/>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c r="AA343" s="320"/>
      <c r="AB343" s="320"/>
      <c r="AC343" s="320"/>
      <c r="AD343" s="320"/>
      <c r="AE343" s="320"/>
      <c r="AF343" s="320"/>
      <c r="AG343" s="320"/>
      <c r="AH343" s="320"/>
      <c r="AI343" s="320"/>
      <c r="AJ343" s="320"/>
      <c r="AK343" s="320"/>
      <c r="AL343" s="320"/>
      <c r="AM343" s="320"/>
      <c r="AN343" s="320"/>
      <c r="AO343" s="320"/>
      <c r="AP343" s="320"/>
      <c r="AQ343" s="320"/>
      <c r="AR343" s="320"/>
      <c r="AS343" s="320"/>
      <c r="AT343" s="320"/>
      <c r="AU343" s="321"/>
    </row>
    <row r="344">
      <c r="A344" s="319"/>
      <c r="B344" s="320"/>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c r="AA344" s="320"/>
      <c r="AB344" s="320"/>
      <c r="AC344" s="320"/>
      <c r="AD344" s="320"/>
      <c r="AE344" s="320"/>
      <c r="AF344" s="320"/>
      <c r="AG344" s="320"/>
      <c r="AH344" s="320"/>
      <c r="AI344" s="320"/>
      <c r="AJ344" s="320"/>
      <c r="AK344" s="320"/>
      <c r="AL344" s="320"/>
      <c r="AM344" s="320"/>
      <c r="AN344" s="320"/>
      <c r="AO344" s="320"/>
      <c r="AP344" s="320"/>
      <c r="AQ344" s="320"/>
      <c r="AR344" s="320"/>
      <c r="AS344" s="320"/>
      <c r="AT344" s="320"/>
      <c r="AU344" s="321"/>
    </row>
    <row r="345">
      <c r="A345" s="319"/>
      <c r="B345" s="320"/>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c r="AA345" s="320"/>
      <c r="AB345" s="320"/>
      <c r="AC345" s="320"/>
      <c r="AD345" s="320"/>
      <c r="AE345" s="320"/>
      <c r="AF345" s="320"/>
      <c r="AG345" s="320"/>
      <c r="AH345" s="320"/>
      <c r="AI345" s="320"/>
      <c r="AJ345" s="320"/>
      <c r="AK345" s="320"/>
      <c r="AL345" s="320"/>
      <c r="AM345" s="320"/>
      <c r="AN345" s="320"/>
      <c r="AO345" s="320"/>
      <c r="AP345" s="320"/>
      <c r="AQ345" s="320"/>
      <c r="AR345" s="320"/>
      <c r="AS345" s="320"/>
      <c r="AT345" s="320"/>
      <c r="AU345" s="321"/>
    </row>
    <row r="346">
      <c r="A346" s="319"/>
      <c r="B346" s="320"/>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c r="AA346" s="320"/>
      <c r="AB346" s="320"/>
      <c r="AC346" s="320"/>
      <c r="AD346" s="320"/>
      <c r="AE346" s="320"/>
      <c r="AF346" s="320"/>
      <c r="AG346" s="320"/>
      <c r="AH346" s="320"/>
      <c r="AI346" s="320"/>
      <c r="AJ346" s="320"/>
      <c r="AK346" s="320"/>
      <c r="AL346" s="320"/>
      <c r="AM346" s="320"/>
      <c r="AN346" s="320"/>
      <c r="AO346" s="320"/>
      <c r="AP346" s="320"/>
      <c r="AQ346" s="320"/>
      <c r="AR346" s="320"/>
      <c r="AS346" s="320"/>
      <c r="AT346" s="320"/>
      <c r="AU346" s="321"/>
    </row>
    <row r="347">
      <c r="A347" s="319"/>
      <c r="B347" s="320"/>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c r="AA347" s="320"/>
      <c r="AB347" s="320"/>
      <c r="AC347" s="320"/>
      <c r="AD347" s="320"/>
      <c r="AE347" s="320"/>
      <c r="AF347" s="320"/>
      <c r="AG347" s="320"/>
      <c r="AH347" s="320"/>
      <c r="AI347" s="320"/>
      <c r="AJ347" s="320"/>
      <c r="AK347" s="320"/>
      <c r="AL347" s="320"/>
      <c r="AM347" s="320"/>
      <c r="AN347" s="320"/>
      <c r="AO347" s="320"/>
      <c r="AP347" s="320"/>
      <c r="AQ347" s="320"/>
      <c r="AR347" s="320"/>
      <c r="AS347" s="320"/>
      <c r="AT347" s="320"/>
      <c r="AU347" s="321"/>
    </row>
    <row r="348">
      <c r="A348" s="319"/>
      <c r="B348" s="320"/>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c r="AA348" s="320"/>
      <c r="AB348" s="320"/>
      <c r="AC348" s="320"/>
      <c r="AD348" s="320"/>
      <c r="AE348" s="320"/>
      <c r="AF348" s="320"/>
      <c r="AG348" s="320"/>
      <c r="AH348" s="320"/>
      <c r="AI348" s="320"/>
      <c r="AJ348" s="320"/>
      <c r="AK348" s="320"/>
      <c r="AL348" s="320"/>
      <c r="AM348" s="320"/>
      <c r="AN348" s="320"/>
      <c r="AO348" s="320"/>
      <c r="AP348" s="320"/>
      <c r="AQ348" s="320"/>
      <c r="AR348" s="320"/>
      <c r="AS348" s="320"/>
      <c r="AT348" s="320"/>
      <c r="AU348" s="321"/>
    </row>
    <row r="349">
      <c r="A349" s="319"/>
      <c r="B349" s="320"/>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c r="AA349" s="320"/>
      <c r="AB349" s="320"/>
      <c r="AC349" s="320"/>
      <c r="AD349" s="320"/>
      <c r="AE349" s="320"/>
      <c r="AF349" s="320"/>
      <c r="AG349" s="320"/>
      <c r="AH349" s="320"/>
      <c r="AI349" s="320"/>
      <c r="AJ349" s="320"/>
      <c r="AK349" s="320"/>
      <c r="AL349" s="320"/>
      <c r="AM349" s="320"/>
      <c r="AN349" s="320"/>
      <c r="AO349" s="320"/>
      <c r="AP349" s="320"/>
      <c r="AQ349" s="320"/>
      <c r="AR349" s="320"/>
      <c r="AS349" s="320"/>
      <c r="AT349" s="320"/>
      <c r="AU349" s="321"/>
    </row>
    <row r="350">
      <c r="A350" s="319"/>
      <c r="B350" s="320"/>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c r="AA350" s="320"/>
      <c r="AB350" s="320"/>
      <c r="AC350" s="320"/>
      <c r="AD350" s="320"/>
      <c r="AE350" s="320"/>
      <c r="AF350" s="320"/>
      <c r="AG350" s="320"/>
      <c r="AH350" s="320"/>
      <c r="AI350" s="320"/>
      <c r="AJ350" s="320"/>
      <c r="AK350" s="320"/>
      <c r="AL350" s="320"/>
      <c r="AM350" s="320"/>
      <c r="AN350" s="320"/>
      <c r="AO350" s="320"/>
      <c r="AP350" s="320"/>
      <c r="AQ350" s="320"/>
      <c r="AR350" s="320"/>
      <c r="AS350" s="320"/>
      <c r="AT350" s="320"/>
      <c r="AU350" s="321"/>
    </row>
    <row r="351">
      <c r="A351" s="319"/>
      <c r="B351" s="320"/>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c r="AA351" s="320"/>
      <c r="AB351" s="320"/>
      <c r="AC351" s="320"/>
      <c r="AD351" s="320"/>
      <c r="AE351" s="320"/>
      <c r="AF351" s="320"/>
      <c r="AG351" s="320"/>
      <c r="AH351" s="320"/>
      <c r="AI351" s="320"/>
      <c r="AJ351" s="320"/>
      <c r="AK351" s="320"/>
      <c r="AL351" s="320"/>
      <c r="AM351" s="320"/>
      <c r="AN351" s="320"/>
      <c r="AO351" s="320"/>
      <c r="AP351" s="320"/>
      <c r="AQ351" s="320"/>
      <c r="AR351" s="320"/>
      <c r="AS351" s="320"/>
      <c r="AT351" s="320"/>
      <c r="AU351" s="321"/>
    </row>
    <row r="352">
      <c r="A352" s="319"/>
      <c r="B352" s="320"/>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c r="AA352" s="320"/>
      <c r="AB352" s="320"/>
      <c r="AC352" s="320"/>
      <c r="AD352" s="320"/>
      <c r="AE352" s="320"/>
      <c r="AF352" s="320"/>
      <c r="AG352" s="320"/>
      <c r="AH352" s="320"/>
      <c r="AI352" s="320"/>
      <c r="AJ352" s="320"/>
      <c r="AK352" s="320"/>
      <c r="AL352" s="320"/>
      <c r="AM352" s="320"/>
      <c r="AN352" s="320"/>
      <c r="AO352" s="320"/>
      <c r="AP352" s="320"/>
      <c r="AQ352" s="320"/>
      <c r="AR352" s="320"/>
      <c r="AS352" s="320"/>
      <c r="AT352" s="320"/>
      <c r="AU352" s="321"/>
    </row>
    <row r="353">
      <c r="A353" s="319"/>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c r="AA353" s="320"/>
      <c r="AB353" s="320"/>
      <c r="AC353" s="320"/>
      <c r="AD353" s="320"/>
      <c r="AE353" s="320"/>
      <c r="AF353" s="320"/>
      <c r="AG353" s="320"/>
      <c r="AH353" s="320"/>
      <c r="AI353" s="320"/>
      <c r="AJ353" s="320"/>
      <c r="AK353" s="320"/>
      <c r="AL353" s="320"/>
      <c r="AM353" s="320"/>
      <c r="AN353" s="320"/>
      <c r="AO353" s="320"/>
      <c r="AP353" s="320"/>
      <c r="AQ353" s="320"/>
      <c r="AR353" s="320"/>
      <c r="AS353" s="320"/>
      <c r="AT353" s="320"/>
      <c r="AU353" s="321"/>
    </row>
    <row r="354">
      <c r="A354" s="319"/>
      <c r="B354" s="320"/>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c r="AA354" s="320"/>
      <c r="AB354" s="320"/>
      <c r="AC354" s="320"/>
      <c r="AD354" s="320"/>
      <c r="AE354" s="320"/>
      <c r="AF354" s="320"/>
      <c r="AG354" s="320"/>
      <c r="AH354" s="320"/>
      <c r="AI354" s="320"/>
      <c r="AJ354" s="320"/>
      <c r="AK354" s="320"/>
      <c r="AL354" s="320"/>
      <c r="AM354" s="320"/>
      <c r="AN354" s="320"/>
      <c r="AO354" s="320"/>
      <c r="AP354" s="320"/>
      <c r="AQ354" s="320"/>
      <c r="AR354" s="320"/>
      <c r="AS354" s="320"/>
      <c r="AT354" s="320"/>
      <c r="AU354" s="321"/>
    </row>
    <row r="355">
      <c r="A355" s="319"/>
      <c r="B355" s="320"/>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c r="AA355" s="320"/>
      <c r="AB355" s="320"/>
      <c r="AC355" s="320"/>
      <c r="AD355" s="320"/>
      <c r="AE355" s="320"/>
      <c r="AF355" s="320"/>
      <c r="AG355" s="320"/>
      <c r="AH355" s="320"/>
      <c r="AI355" s="320"/>
      <c r="AJ355" s="320"/>
      <c r="AK355" s="320"/>
      <c r="AL355" s="320"/>
      <c r="AM355" s="320"/>
      <c r="AN355" s="320"/>
      <c r="AO355" s="320"/>
      <c r="AP355" s="320"/>
      <c r="AQ355" s="320"/>
      <c r="AR355" s="320"/>
      <c r="AS355" s="320"/>
      <c r="AT355" s="320"/>
      <c r="AU355" s="321"/>
    </row>
    <row r="356">
      <c r="A356" s="319"/>
      <c r="B356" s="320"/>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c r="AA356" s="320"/>
      <c r="AB356" s="320"/>
      <c r="AC356" s="320"/>
      <c r="AD356" s="320"/>
      <c r="AE356" s="320"/>
      <c r="AF356" s="320"/>
      <c r="AG356" s="320"/>
      <c r="AH356" s="320"/>
      <c r="AI356" s="320"/>
      <c r="AJ356" s="320"/>
      <c r="AK356" s="320"/>
      <c r="AL356" s="320"/>
      <c r="AM356" s="320"/>
      <c r="AN356" s="320"/>
      <c r="AO356" s="320"/>
      <c r="AP356" s="320"/>
      <c r="AQ356" s="320"/>
      <c r="AR356" s="320"/>
      <c r="AS356" s="320"/>
      <c r="AT356" s="320"/>
      <c r="AU356" s="321"/>
    </row>
    <row r="357">
      <c r="A357" s="319"/>
      <c r="B357" s="320"/>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c r="AA357" s="320"/>
      <c r="AB357" s="320"/>
      <c r="AC357" s="320"/>
      <c r="AD357" s="320"/>
      <c r="AE357" s="320"/>
      <c r="AF357" s="320"/>
      <c r="AG357" s="320"/>
      <c r="AH357" s="320"/>
      <c r="AI357" s="320"/>
      <c r="AJ357" s="320"/>
      <c r="AK357" s="320"/>
      <c r="AL357" s="320"/>
      <c r="AM357" s="320"/>
      <c r="AN357" s="320"/>
      <c r="AO357" s="320"/>
      <c r="AP357" s="320"/>
      <c r="AQ357" s="320"/>
      <c r="AR357" s="320"/>
      <c r="AS357" s="320"/>
      <c r="AT357" s="320"/>
      <c r="AU357" s="321"/>
    </row>
    <row r="358">
      <c r="A358" s="319"/>
      <c r="B358" s="320"/>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c r="AA358" s="320"/>
      <c r="AB358" s="320"/>
      <c r="AC358" s="320"/>
      <c r="AD358" s="320"/>
      <c r="AE358" s="320"/>
      <c r="AF358" s="320"/>
      <c r="AG358" s="320"/>
      <c r="AH358" s="320"/>
      <c r="AI358" s="320"/>
      <c r="AJ358" s="320"/>
      <c r="AK358" s="320"/>
      <c r="AL358" s="320"/>
      <c r="AM358" s="320"/>
      <c r="AN358" s="320"/>
      <c r="AO358" s="320"/>
      <c r="AP358" s="320"/>
      <c r="AQ358" s="320"/>
      <c r="AR358" s="320"/>
      <c r="AS358" s="320"/>
      <c r="AT358" s="320"/>
      <c r="AU358" s="321"/>
    </row>
    <row r="359">
      <c r="A359" s="319"/>
      <c r="B359" s="320"/>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c r="AA359" s="320"/>
      <c r="AB359" s="320"/>
      <c r="AC359" s="320"/>
      <c r="AD359" s="320"/>
      <c r="AE359" s="320"/>
      <c r="AF359" s="320"/>
      <c r="AG359" s="320"/>
      <c r="AH359" s="320"/>
      <c r="AI359" s="320"/>
      <c r="AJ359" s="320"/>
      <c r="AK359" s="320"/>
      <c r="AL359" s="320"/>
      <c r="AM359" s="320"/>
      <c r="AN359" s="320"/>
      <c r="AO359" s="320"/>
      <c r="AP359" s="320"/>
      <c r="AQ359" s="320"/>
      <c r="AR359" s="320"/>
      <c r="AS359" s="320"/>
      <c r="AT359" s="320"/>
      <c r="AU359" s="321"/>
    </row>
    <row r="360">
      <c r="A360" s="319"/>
      <c r="B360" s="320"/>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c r="AA360" s="320"/>
      <c r="AB360" s="320"/>
      <c r="AC360" s="320"/>
      <c r="AD360" s="320"/>
      <c r="AE360" s="320"/>
      <c r="AF360" s="320"/>
      <c r="AG360" s="320"/>
      <c r="AH360" s="320"/>
      <c r="AI360" s="320"/>
      <c r="AJ360" s="320"/>
      <c r="AK360" s="320"/>
      <c r="AL360" s="320"/>
      <c r="AM360" s="320"/>
      <c r="AN360" s="320"/>
      <c r="AO360" s="320"/>
      <c r="AP360" s="320"/>
      <c r="AQ360" s="320"/>
      <c r="AR360" s="320"/>
      <c r="AS360" s="320"/>
      <c r="AT360" s="320"/>
      <c r="AU360" s="321"/>
    </row>
    <row r="361">
      <c r="A361" s="319"/>
      <c r="B361" s="320"/>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c r="AA361" s="320"/>
      <c r="AB361" s="320"/>
      <c r="AC361" s="320"/>
      <c r="AD361" s="320"/>
      <c r="AE361" s="320"/>
      <c r="AF361" s="320"/>
      <c r="AG361" s="320"/>
      <c r="AH361" s="320"/>
      <c r="AI361" s="320"/>
      <c r="AJ361" s="320"/>
      <c r="AK361" s="320"/>
      <c r="AL361" s="320"/>
      <c r="AM361" s="320"/>
      <c r="AN361" s="320"/>
      <c r="AO361" s="320"/>
      <c r="AP361" s="320"/>
      <c r="AQ361" s="320"/>
      <c r="AR361" s="320"/>
      <c r="AS361" s="320"/>
      <c r="AT361" s="320"/>
      <c r="AU361" s="321"/>
    </row>
    <row r="362">
      <c r="A362" s="319"/>
      <c r="B362" s="320"/>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c r="AA362" s="320"/>
      <c r="AB362" s="320"/>
      <c r="AC362" s="320"/>
      <c r="AD362" s="320"/>
      <c r="AE362" s="320"/>
      <c r="AF362" s="320"/>
      <c r="AG362" s="320"/>
      <c r="AH362" s="320"/>
      <c r="AI362" s="320"/>
      <c r="AJ362" s="320"/>
      <c r="AK362" s="320"/>
      <c r="AL362" s="320"/>
      <c r="AM362" s="320"/>
      <c r="AN362" s="320"/>
      <c r="AO362" s="320"/>
      <c r="AP362" s="320"/>
      <c r="AQ362" s="320"/>
      <c r="AR362" s="320"/>
      <c r="AS362" s="320"/>
      <c r="AT362" s="320"/>
      <c r="AU362" s="321"/>
    </row>
    <row r="363">
      <c r="A363" s="319"/>
      <c r="B363" s="320"/>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c r="AA363" s="320"/>
      <c r="AB363" s="320"/>
      <c r="AC363" s="320"/>
      <c r="AD363" s="320"/>
      <c r="AE363" s="320"/>
      <c r="AF363" s="320"/>
      <c r="AG363" s="320"/>
      <c r="AH363" s="320"/>
      <c r="AI363" s="320"/>
      <c r="AJ363" s="320"/>
      <c r="AK363" s="320"/>
      <c r="AL363" s="320"/>
      <c r="AM363" s="320"/>
      <c r="AN363" s="320"/>
      <c r="AO363" s="320"/>
      <c r="AP363" s="320"/>
      <c r="AQ363" s="320"/>
      <c r="AR363" s="320"/>
      <c r="AS363" s="320"/>
      <c r="AT363" s="320"/>
      <c r="AU363" s="321"/>
    </row>
    <row r="364">
      <c r="A364" s="319"/>
      <c r="B364" s="320"/>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c r="AA364" s="320"/>
      <c r="AB364" s="320"/>
      <c r="AC364" s="320"/>
      <c r="AD364" s="320"/>
      <c r="AE364" s="320"/>
      <c r="AF364" s="320"/>
      <c r="AG364" s="320"/>
      <c r="AH364" s="320"/>
      <c r="AI364" s="320"/>
      <c r="AJ364" s="320"/>
      <c r="AK364" s="320"/>
      <c r="AL364" s="320"/>
      <c r="AM364" s="320"/>
      <c r="AN364" s="320"/>
      <c r="AO364" s="320"/>
      <c r="AP364" s="320"/>
      <c r="AQ364" s="320"/>
      <c r="AR364" s="320"/>
      <c r="AS364" s="320"/>
      <c r="AT364" s="320"/>
      <c r="AU364" s="321"/>
    </row>
    <row r="365">
      <c r="A365" s="319"/>
      <c r="B365" s="320"/>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c r="AA365" s="320"/>
      <c r="AB365" s="320"/>
      <c r="AC365" s="320"/>
      <c r="AD365" s="320"/>
      <c r="AE365" s="320"/>
      <c r="AF365" s="320"/>
      <c r="AG365" s="320"/>
      <c r="AH365" s="320"/>
      <c r="AI365" s="320"/>
      <c r="AJ365" s="320"/>
      <c r="AK365" s="320"/>
      <c r="AL365" s="320"/>
      <c r="AM365" s="320"/>
      <c r="AN365" s="320"/>
      <c r="AO365" s="320"/>
      <c r="AP365" s="320"/>
      <c r="AQ365" s="320"/>
      <c r="AR365" s="320"/>
      <c r="AS365" s="320"/>
      <c r="AT365" s="320"/>
      <c r="AU365" s="321"/>
    </row>
    <row r="366">
      <c r="A366" s="319"/>
      <c r="B366" s="320"/>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c r="AA366" s="320"/>
      <c r="AB366" s="320"/>
      <c r="AC366" s="320"/>
      <c r="AD366" s="320"/>
      <c r="AE366" s="320"/>
      <c r="AF366" s="320"/>
      <c r="AG366" s="320"/>
      <c r="AH366" s="320"/>
      <c r="AI366" s="320"/>
      <c r="AJ366" s="320"/>
      <c r="AK366" s="320"/>
      <c r="AL366" s="320"/>
      <c r="AM366" s="320"/>
      <c r="AN366" s="320"/>
      <c r="AO366" s="320"/>
      <c r="AP366" s="320"/>
      <c r="AQ366" s="320"/>
      <c r="AR366" s="320"/>
      <c r="AS366" s="320"/>
      <c r="AT366" s="320"/>
      <c r="AU366" s="321"/>
    </row>
    <row r="367">
      <c r="A367" s="319"/>
      <c r="B367" s="320"/>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c r="AA367" s="320"/>
      <c r="AB367" s="320"/>
      <c r="AC367" s="320"/>
      <c r="AD367" s="320"/>
      <c r="AE367" s="320"/>
      <c r="AF367" s="320"/>
      <c r="AG367" s="320"/>
      <c r="AH367" s="320"/>
      <c r="AI367" s="320"/>
      <c r="AJ367" s="320"/>
      <c r="AK367" s="320"/>
      <c r="AL367" s="320"/>
      <c r="AM367" s="320"/>
      <c r="AN367" s="320"/>
      <c r="AO367" s="320"/>
      <c r="AP367" s="320"/>
      <c r="AQ367" s="320"/>
      <c r="AR367" s="320"/>
      <c r="AS367" s="320"/>
      <c r="AT367" s="320"/>
      <c r="AU367" s="321"/>
    </row>
    <row r="368">
      <c r="A368" s="319"/>
      <c r="B368" s="320"/>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c r="AA368" s="320"/>
      <c r="AB368" s="320"/>
      <c r="AC368" s="320"/>
      <c r="AD368" s="320"/>
      <c r="AE368" s="320"/>
      <c r="AF368" s="320"/>
      <c r="AG368" s="320"/>
      <c r="AH368" s="320"/>
      <c r="AI368" s="320"/>
      <c r="AJ368" s="320"/>
      <c r="AK368" s="320"/>
      <c r="AL368" s="320"/>
      <c r="AM368" s="320"/>
      <c r="AN368" s="320"/>
      <c r="AO368" s="320"/>
      <c r="AP368" s="320"/>
      <c r="AQ368" s="320"/>
      <c r="AR368" s="320"/>
      <c r="AS368" s="320"/>
      <c r="AT368" s="320"/>
      <c r="AU368" s="321"/>
    </row>
    <row r="369">
      <c r="A369" s="319"/>
      <c r="B369" s="320"/>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c r="AA369" s="320"/>
      <c r="AB369" s="320"/>
      <c r="AC369" s="320"/>
      <c r="AD369" s="320"/>
      <c r="AE369" s="320"/>
      <c r="AF369" s="320"/>
      <c r="AG369" s="320"/>
      <c r="AH369" s="320"/>
      <c r="AI369" s="320"/>
      <c r="AJ369" s="320"/>
      <c r="AK369" s="320"/>
      <c r="AL369" s="320"/>
      <c r="AM369" s="320"/>
      <c r="AN369" s="320"/>
      <c r="AO369" s="320"/>
      <c r="AP369" s="320"/>
      <c r="AQ369" s="320"/>
      <c r="AR369" s="320"/>
      <c r="AS369" s="320"/>
      <c r="AT369" s="320"/>
      <c r="AU369" s="321"/>
    </row>
    <row r="370">
      <c r="A370" s="319"/>
      <c r="B370" s="320"/>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c r="AA370" s="320"/>
      <c r="AB370" s="320"/>
      <c r="AC370" s="320"/>
      <c r="AD370" s="320"/>
      <c r="AE370" s="320"/>
      <c r="AF370" s="320"/>
      <c r="AG370" s="320"/>
      <c r="AH370" s="320"/>
      <c r="AI370" s="320"/>
      <c r="AJ370" s="320"/>
      <c r="AK370" s="320"/>
      <c r="AL370" s="320"/>
      <c r="AM370" s="320"/>
      <c r="AN370" s="320"/>
      <c r="AO370" s="320"/>
      <c r="AP370" s="320"/>
      <c r="AQ370" s="320"/>
      <c r="AR370" s="320"/>
      <c r="AS370" s="320"/>
      <c r="AT370" s="320"/>
      <c r="AU370" s="321"/>
    </row>
    <row r="371">
      <c r="A371" s="319"/>
      <c r="B371" s="320"/>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c r="AA371" s="320"/>
      <c r="AB371" s="320"/>
      <c r="AC371" s="320"/>
      <c r="AD371" s="320"/>
      <c r="AE371" s="320"/>
      <c r="AF371" s="320"/>
      <c r="AG371" s="320"/>
      <c r="AH371" s="320"/>
      <c r="AI371" s="320"/>
      <c r="AJ371" s="320"/>
      <c r="AK371" s="320"/>
      <c r="AL371" s="320"/>
      <c r="AM371" s="320"/>
      <c r="AN371" s="320"/>
      <c r="AO371" s="320"/>
      <c r="AP371" s="320"/>
      <c r="AQ371" s="320"/>
      <c r="AR371" s="320"/>
      <c r="AS371" s="320"/>
      <c r="AT371" s="320"/>
      <c r="AU371" s="321"/>
    </row>
    <row r="372">
      <c r="A372" s="319"/>
      <c r="B372" s="320"/>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c r="AA372" s="320"/>
      <c r="AB372" s="320"/>
      <c r="AC372" s="320"/>
      <c r="AD372" s="320"/>
      <c r="AE372" s="320"/>
      <c r="AF372" s="320"/>
      <c r="AG372" s="320"/>
      <c r="AH372" s="320"/>
      <c r="AI372" s="320"/>
      <c r="AJ372" s="320"/>
      <c r="AK372" s="320"/>
      <c r="AL372" s="320"/>
      <c r="AM372" s="320"/>
      <c r="AN372" s="320"/>
      <c r="AO372" s="320"/>
      <c r="AP372" s="320"/>
      <c r="AQ372" s="320"/>
      <c r="AR372" s="320"/>
      <c r="AS372" s="320"/>
      <c r="AT372" s="320"/>
      <c r="AU372" s="321"/>
    </row>
    <row r="373">
      <c r="A373" s="319"/>
      <c r="B373" s="320"/>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c r="AA373" s="320"/>
      <c r="AB373" s="320"/>
      <c r="AC373" s="320"/>
      <c r="AD373" s="320"/>
      <c r="AE373" s="320"/>
      <c r="AF373" s="320"/>
      <c r="AG373" s="320"/>
      <c r="AH373" s="320"/>
      <c r="AI373" s="320"/>
      <c r="AJ373" s="320"/>
      <c r="AK373" s="320"/>
      <c r="AL373" s="320"/>
      <c r="AM373" s="320"/>
      <c r="AN373" s="320"/>
      <c r="AO373" s="320"/>
      <c r="AP373" s="320"/>
      <c r="AQ373" s="320"/>
      <c r="AR373" s="320"/>
      <c r="AS373" s="320"/>
      <c r="AT373" s="320"/>
      <c r="AU373" s="321"/>
    </row>
    <row r="374">
      <c r="A374" s="319"/>
      <c r="B374" s="320"/>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c r="AA374" s="320"/>
      <c r="AB374" s="320"/>
      <c r="AC374" s="320"/>
      <c r="AD374" s="320"/>
      <c r="AE374" s="320"/>
      <c r="AF374" s="320"/>
      <c r="AG374" s="320"/>
      <c r="AH374" s="320"/>
      <c r="AI374" s="320"/>
      <c r="AJ374" s="320"/>
      <c r="AK374" s="320"/>
      <c r="AL374" s="320"/>
      <c r="AM374" s="320"/>
      <c r="AN374" s="320"/>
      <c r="AO374" s="320"/>
      <c r="AP374" s="320"/>
      <c r="AQ374" s="320"/>
      <c r="AR374" s="320"/>
      <c r="AS374" s="320"/>
      <c r="AT374" s="320"/>
      <c r="AU374" s="321"/>
    </row>
    <row r="375">
      <c r="A375" s="319"/>
      <c r="B375" s="320"/>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c r="AA375" s="320"/>
      <c r="AB375" s="320"/>
      <c r="AC375" s="320"/>
      <c r="AD375" s="320"/>
      <c r="AE375" s="320"/>
      <c r="AF375" s="320"/>
      <c r="AG375" s="320"/>
      <c r="AH375" s="320"/>
      <c r="AI375" s="320"/>
      <c r="AJ375" s="320"/>
      <c r="AK375" s="320"/>
      <c r="AL375" s="320"/>
      <c r="AM375" s="320"/>
      <c r="AN375" s="320"/>
      <c r="AO375" s="320"/>
      <c r="AP375" s="320"/>
      <c r="AQ375" s="320"/>
      <c r="AR375" s="320"/>
      <c r="AS375" s="320"/>
      <c r="AT375" s="320"/>
      <c r="AU375" s="321"/>
    </row>
    <row r="376">
      <c r="A376" s="319"/>
      <c r="B376" s="320"/>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c r="AA376" s="320"/>
      <c r="AB376" s="320"/>
      <c r="AC376" s="320"/>
      <c r="AD376" s="320"/>
      <c r="AE376" s="320"/>
      <c r="AF376" s="320"/>
      <c r="AG376" s="320"/>
      <c r="AH376" s="320"/>
      <c r="AI376" s="320"/>
      <c r="AJ376" s="320"/>
      <c r="AK376" s="320"/>
      <c r="AL376" s="320"/>
      <c r="AM376" s="320"/>
      <c r="AN376" s="320"/>
      <c r="AO376" s="320"/>
      <c r="AP376" s="320"/>
      <c r="AQ376" s="320"/>
      <c r="AR376" s="320"/>
      <c r="AS376" s="320"/>
      <c r="AT376" s="320"/>
      <c r="AU376" s="321"/>
    </row>
    <row r="377">
      <c r="A377" s="319"/>
      <c r="B377" s="320"/>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c r="AA377" s="320"/>
      <c r="AB377" s="320"/>
      <c r="AC377" s="320"/>
      <c r="AD377" s="320"/>
      <c r="AE377" s="320"/>
      <c r="AF377" s="320"/>
      <c r="AG377" s="320"/>
      <c r="AH377" s="320"/>
      <c r="AI377" s="320"/>
      <c r="AJ377" s="320"/>
      <c r="AK377" s="320"/>
      <c r="AL377" s="320"/>
      <c r="AM377" s="320"/>
      <c r="AN377" s="320"/>
      <c r="AO377" s="320"/>
      <c r="AP377" s="320"/>
      <c r="AQ377" s="320"/>
      <c r="AR377" s="320"/>
      <c r="AS377" s="320"/>
      <c r="AT377" s="320"/>
      <c r="AU377" s="321"/>
    </row>
    <row r="378">
      <c r="A378" s="319"/>
      <c r="B378" s="320"/>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c r="AA378" s="320"/>
      <c r="AB378" s="320"/>
      <c r="AC378" s="320"/>
      <c r="AD378" s="320"/>
      <c r="AE378" s="320"/>
      <c r="AF378" s="320"/>
      <c r="AG378" s="320"/>
      <c r="AH378" s="320"/>
      <c r="AI378" s="320"/>
      <c r="AJ378" s="320"/>
      <c r="AK378" s="320"/>
      <c r="AL378" s="320"/>
      <c r="AM378" s="320"/>
      <c r="AN378" s="320"/>
      <c r="AO378" s="320"/>
      <c r="AP378" s="320"/>
      <c r="AQ378" s="320"/>
      <c r="AR378" s="320"/>
      <c r="AS378" s="320"/>
      <c r="AT378" s="320"/>
      <c r="AU378" s="321"/>
    </row>
    <row r="379">
      <c r="A379" s="319"/>
      <c r="B379" s="320"/>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c r="AA379" s="320"/>
      <c r="AB379" s="320"/>
      <c r="AC379" s="320"/>
      <c r="AD379" s="320"/>
      <c r="AE379" s="320"/>
      <c r="AF379" s="320"/>
      <c r="AG379" s="320"/>
      <c r="AH379" s="320"/>
      <c r="AI379" s="320"/>
      <c r="AJ379" s="320"/>
      <c r="AK379" s="320"/>
      <c r="AL379" s="320"/>
      <c r="AM379" s="320"/>
      <c r="AN379" s="320"/>
      <c r="AO379" s="320"/>
      <c r="AP379" s="320"/>
      <c r="AQ379" s="320"/>
      <c r="AR379" s="320"/>
      <c r="AS379" s="320"/>
      <c r="AT379" s="320"/>
      <c r="AU379" s="321"/>
    </row>
    <row r="380">
      <c r="A380" s="319"/>
      <c r="B380" s="320"/>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c r="AA380" s="320"/>
      <c r="AB380" s="320"/>
      <c r="AC380" s="320"/>
      <c r="AD380" s="320"/>
      <c r="AE380" s="320"/>
      <c r="AF380" s="320"/>
      <c r="AG380" s="320"/>
      <c r="AH380" s="320"/>
      <c r="AI380" s="320"/>
      <c r="AJ380" s="320"/>
      <c r="AK380" s="320"/>
      <c r="AL380" s="320"/>
      <c r="AM380" s="320"/>
      <c r="AN380" s="320"/>
      <c r="AO380" s="320"/>
      <c r="AP380" s="320"/>
      <c r="AQ380" s="320"/>
      <c r="AR380" s="320"/>
      <c r="AS380" s="320"/>
      <c r="AT380" s="320"/>
      <c r="AU380" s="321"/>
    </row>
    <row r="381">
      <c r="A381" s="319"/>
      <c r="B381" s="320"/>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c r="AA381" s="320"/>
      <c r="AB381" s="320"/>
      <c r="AC381" s="320"/>
      <c r="AD381" s="320"/>
      <c r="AE381" s="320"/>
      <c r="AF381" s="320"/>
      <c r="AG381" s="320"/>
      <c r="AH381" s="320"/>
      <c r="AI381" s="320"/>
      <c r="AJ381" s="320"/>
      <c r="AK381" s="320"/>
      <c r="AL381" s="320"/>
      <c r="AM381" s="320"/>
      <c r="AN381" s="320"/>
      <c r="AO381" s="320"/>
      <c r="AP381" s="320"/>
      <c r="AQ381" s="320"/>
      <c r="AR381" s="320"/>
      <c r="AS381" s="320"/>
      <c r="AT381" s="320"/>
      <c r="AU381" s="321"/>
    </row>
    <row r="382">
      <c r="A382" s="319"/>
      <c r="B382" s="320"/>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c r="AA382" s="320"/>
      <c r="AB382" s="320"/>
      <c r="AC382" s="320"/>
      <c r="AD382" s="320"/>
      <c r="AE382" s="320"/>
      <c r="AF382" s="320"/>
      <c r="AG382" s="320"/>
      <c r="AH382" s="320"/>
      <c r="AI382" s="320"/>
      <c r="AJ382" s="320"/>
      <c r="AK382" s="320"/>
      <c r="AL382" s="320"/>
      <c r="AM382" s="320"/>
      <c r="AN382" s="320"/>
      <c r="AO382" s="320"/>
      <c r="AP382" s="320"/>
      <c r="AQ382" s="320"/>
      <c r="AR382" s="320"/>
      <c r="AS382" s="320"/>
      <c r="AT382" s="320"/>
      <c r="AU382" s="321"/>
    </row>
    <row r="383">
      <c r="A383" s="319"/>
      <c r="B383" s="320"/>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c r="AA383" s="320"/>
      <c r="AB383" s="320"/>
      <c r="AC383" s="320"/>
      <c r="AD383" s="320"/>
      <c r="AE383" s="320"/>
      <c r="AF383" s="320"/>
      <c r="AG383" s="320"/>
      <c r="AH383" s="320"/>
      <c r="AI383" s="320"/>
      <c r="AJ383" s="320"/>
      <c r="AK383" s="320"/>
      <c r="AL383" s="320"/>
      <c r="AM383" s="320"/>
      <c r="AN383" s="320"/>
      <c r="AO383" s="320"/>
      <c r="AP383" s="320"/>
      <c r="AQ383" s="320"/>
      <c r="AR383" s="320"/>
      <c r="AS383" s="320"/>
      <c r="AT383" s="320"/>
      <c r="AU383" s="321"/>
    </row>
    <row r="384">
      <c r="A384" s="319"/>
      <c r="B384" s="320"/>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c r="AA384" s="320"/>
      <c r="AB384" s="320"/>
      <c r="AC384" s="320"/>
      <c r="AD384" s="320"/>
      <c r="AE384" s="320"/>
      <c r="AF384" s="320"/>
      <c r="AG384" s="320"/>
      <c r="AH384" s="320"/>
      <c r="AI384" s="320"/>
      <c r="AJ384" s="320"/>
      <c r="AK384" s="320"/>
      <c r="AL384" s="320"/>
      <c r="AM384" s="320"/>
      <c r="AN384" s="320"/>
      <c r="AO384" s="320"/>
      <c r="AP384" s="320"/>
      <c r="AQ384" s="320"/>
      <c r="AR384" s="320"/>
      <c r="AS384" s="320"/>
      <c r="AT384" s="320"/>
      <c r="AU384" s="321"/>
    </row>
    <row r="385">
      <c r="A385" s="319"/>
      <c r="B385" s="320"/>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c r="AA385" s="320"/>
      <c r="AB385" s="320"/>
      <c r="AC385" s="320"/>
      <c r="AD385" s="320"/>
      <c r="AE385" s="320"/>
      <c r="AF385" s="320"/>
      <c r="AG385" s="320"/>
      <c r="AH385" s="320"/>
      <c r="AI385" s="320"/>
      <c r="AJ385" s="320"/>
      <c r="AK385" s="320"/>
      <c r="AL385" s="320"/>
      <c r="AM385" s="320"/>
      <c r="AN385" s="320"/>
      <c r="AO385" s="320"/>
      <c r="AP385" s="320"/>
      <c r="AQ385" s="320"/>
      <c r="AR385" s="320"/>
      <c r="AS385" s="320"/>
      <c r="AT385" s="320"/>
      <c r="AU385" s="321"/>
    </row>
    <row r="386">
      <c r="A386" s="319"/>
      <c r="B386" s="320"/>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c r="AA386" s="320"/>
      <c r="AB386" s="320"/>
      <c r="AC386" s="320"/>
      <c r="AD386" s="320"/>
      <c r="AE386" s="320"/>
      <c r="AF386" s="320"/>
      <c r="AG386" s="320"/>
      <c r="AH386" s="320"/>
      <c r="AI386" s="320"/>
      <c r="AJ386" s="320"/>
      <c r="AK386" s="320"/>
      <c r="AL386" s="320"/>
      <c r="AM386" s="320"/>
      <c r="AN386" s="320"/>
      <c r="AO386" s="320"/>
      <c r="AP386" s="320"/>
      <c r="AQ386" s="320"/>
      <c r="AR386" s="320"/>
      <c r="AS386" s="320"/>
      <c r="AT386" s="320"/>
      <c r="AU386" s="321"/>
    </row>
    <row r="387">
      <c r="A387" s="319"/>
      <c r="B387" s="320"/>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c r="AA387" s="320"/>
      <c r="AB387" s="320"/>
      <c r="AC387" s="320"/>
      <c r="AD387" s="320"/>
      <c r="AE387" s="320"/>
      <c r="AF387" s="320"/>
      <c r="AG387" s="320"/>
      <c r="AH387" s="320"/>
      <c r="AI387" s="320"/>
      <c r="AJ387" s="320"/>
      <c r="AK387" s="320"/>
      <c r="AL387" s="320"/>
      <c r="AM387" s="320"/>
      <c r="AN387" s="320"/>
      <c r="AO387" s="320"/>
      <c r="AP387" s="320"/>
      <c r="AQ387" s="320"/>
      <c r="AR387" s="320"/>
      <c r="AS387" s="320"/>
      <c r="AT387" s="320"/>
      <c r="AU387" s="321"/>
    </row>
    <row r="388">
      <c r="A388" s="319"/>
      <c r="B388" s="320"/>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c r="AA388" s="320"/>
      <c r="AB388" s="320"/>
      <c r="AC388" s="320"/>
      <c r="AD388" s="320"/>
      <c r="AE388" s="320"/>
      <c r="AF388" s="320"/>
      <c r="AG388" s="320"/>
      <c r="AH388" s="320"/>
      <c r="AI388" s="320"/>
      <c r="AJ388" s="320"/>
      <c r="AK388" s="320"/>
      <c r="AL388" s="320"/>
      <c r="AM388" s="320"/>
      <c r="AN388" s="320"/>
      <c r="AO388" s="320"/>
      <c r="AP388" s="320"/>
      <c r="AQ388" s="320"/>
      <c r="AR388" s="320"/>
      <c r="AS388" s="320"/>
      <c r="AT388" s="320"/>
      <c r="AU388" s="321"/>
    </row>
    <row r="389">
      <c r="A389" s="319"/>
      <c r="B389" s="320"/>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c r="AA389" s="320"/>
      <c r="AB389" s="320"/>
      <c r="AC389" s="320"/>
      <c r="AD389" s="320"/>
      <c r="AE389" s="320"/>
      <c r="AF389" s="320"/>
      <c r="AG389" s="320"/>
      <c r="AH389" s="320"/>
      <c r="AI389" s="320"/>
      <c r="AJ389" s="320"/>
      <c r="AK389" s="320"/>
      <c r="AL389" s="320"/>
      <c r="AM389" s="320"/>
      <c r="AN389" s="320"/>
      <c r="AO389" s="320"/>
      <c r="AP389" s="320"/>
      <c r="AQ389" s="320"/>
      <c r="AR389" s="320"/>
      <c r="AS389" s="320"/>
      <c r="AT389" s="320"/>
      <c r="AU389" s="321"/>
    </row>
    <row r="390">
      <c r="A390" s="319"/>
      <c r="B390" s="320"/>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c r="AA390" s="320"/>
      <c r="AB390" s="320"/>
      <c r="AC390" s="320"/>
      <c r="AD390" s="320"/>
      <c r="AE390" s="320"/>
      <c r="AF390" s="320"/>
      <c r="AG390" s="320"/>
      <c r="AH390" s="320"/>
      <c r="AI390" s="320"/>
      <c r="AJ390" s="320"/>
      <c r="AK390" s="320"/>
      <c r="AL390" s="320"/>
      <c r="AM390" s="320"/>
      <c r="AN390" s="320"/>
      <c r="AO390" s="320"/>
      <c r="AP390" s="320"/>
      <c r="AQ390" s="320"/>
      <c r="AR390" s="320"/>
      <c r="AS390" s="320"/>
      <c r="AT390" s="320"/>
      <c r="AU390" s="321"/>
    </row>
    <row r="391">
      <c r="A391" s="319"/>
      <c r="B391" s="320"/>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c r="AA391" s="320"/>
      <c r="AB391" s="320"/>
      <c r="AC391" s="320"/>
      <c r="AD391" s="320"/>
      <c r="AE391" s="320"/>
      <c r="AF391" s="320"/>
      <c r="AG391" s="320"/>
      <c r="AH391" s="320"/>
      <c r="AI391" s="320"/>
      <c r="AJ391" s="320"/>
      <c r="AK391" s="320"/>
      <c r="AL391" s="320"/>
      <c r="AM391" s="320"/>
      <c r="AN391" s="320"/>
      <c r="AO391" s="320"/>
      <c r="AP391" s="320"/>
      <c r="AQ391" s="320"/>
      <c r="AR391" s="320"/>
      <c r="AS391" s="320"/>
      <c r="AT391" s="320"/>
      <c r="AU391" s="321"/>
    </row>
    <row r="392">
      <c r="A392" s="319"/>
      <c r="B392" s="320"/>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c r="AA392" s="320"/>
      <c r="AB392" s="320"/>
      <c r="AC392" s="320"/>
      <c r="AD392" s="320"/>
      <c r="AE392" s="320"/>
      <c r="AF392" s="320"/>
      <c r="AG392" s="320"/>
      <c r="AH392" s="320"/>
      <c r="AI392" s="320"/>
      <c r="AJ392" s="320"/>
      <c r="AK392" s="320"/>
      <c r="AL392" s="320"/>
      <c r="AM392" s="320"/>
      <c r="AN392" s="320"/>
      <c r="AO392" s="320"/>
      <c r="AP392" s="320"/>
      <c r="AQ392" s="320"/>
      <c r="AR392" s="320"/>
      <c r="AS392" s="320"/>
      <c r="AT392" s="320"/>
      <c r="AU392" s="321"/>
    </row>
    <row r="393">
      <c r="A393" s="319"/>
      <c r="B393" s="320"/>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c r="AA393" s="320"/>
      <c r="AB393" s="320"/>
      <c r="AC393" s="320"/>
      <c r="AD393" s="320"/>
      <c r="AE393" s="320"/>
      <c r="AF393" s="320"/>
      <c r="AG393" s="320"/>
      <c r="AH393" s="320"/>
      <c r="AI393" s="320"/>
      <c r="AJ393" s="320"/>
      <c r="AK393" s="320"/>
      <c r="AL393" s="320"/>
      <c r="AM393" s="320"/>
      <c r="AN393" s="320"/>
      <c r="AO393" s="320"/>
      <c r="AP393" s="320"/>
      <c r="AQ393" s="320"/>
      <c r="AR393" s="320"/>
      <c r="AS393" s="320"/>
      <c r="AT393" s="320"/>
      <c r="AU393" s="321"/>
    </row>
    <row r="394">
      <c r="A394" s="319"/>
      <c r="B394" s="320"/>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c r="AA394" s="320"/>
      <c r="AB394" s="320"/>
      <c r="AC394" s="320"/>
      <c r="AD394" s="320"/>
      <c r="AE394" s="320"/>
      <c r="AF394" s="320"/>
      <c r="AG394" s="320"/>
      <c r="AH394" s="320"/>
      <c r="AI394" s="320"/>
      <c r="AJ394" s="320"/>
      <c r="AK394" s="320"/>
      <c r="AL394" s="320"/>
      <c r="AM394" s="320"/>
      <c r="AN394" s="320"/>
      <c r="AO394" s="320"/>
      <c r="AP394" s="320"/>
      <c r="AQ394" s="320"/>
      <c r="AR394" s="320"/>
      <c r="AS394" s="320"/>
      <c r="AT394" s="320"/>
      <c r="AU394" s="321"/>
    </row>
    <row r="395">
      <c r="A395" s="319"/>
      <c r="B395" s="320"/>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c r="AA395" s="320"/>
      <c r="AB395" s="320"/>
      <c r="AC395" s="320"/>
      <c r="AD395" s="320"/>
      <c r="AE395" s="320"/>
      <c r="AF395" s="320"/>
      <c r="AG395" s="320"/>
      <c r="AH395" s="320"/>
      <c r="AI395" s="320"/>
      <c r="AJ395" s="320"/>
      <c r="AK395" s="320"/>
      <c r="AL395" s="320"/>
      <c r="AM395" s="320"/>
      <c r="AN395" s="320"/>
      <c r="AO395" s="320"/>
      <c r="AP395" s="320"/>
      <c r="AQ395" s="320"/>
      <c r="AR395" s="320"/>
      <c r="AS395" s="320"/>
      <c r="AT395" s="320"/>
      <c r="AU395" s="321"/>
    </row>
    <row r="396">
      <c r="A396" s="319"/>
      <c r="B396" s="320"/>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c r="AA396" s="320"/>
      <c r="AB396" s="320"/>
      <c r="AC396" s="320"/>
      <c r="AD396" s="320"/>
      <c r="AE396" s="320"/>
      <c r="AF396" s="320"/>
      <c r="AG396" s="320"/>
      <c r="AH396" s="320"/>
      <c r="AI396" s="320"/>
      <c r="AJ396" s="320"/>
      <c r="AK396" s="320"/>
      <c r="AL396" s="320"/>
      <c r="AM396" s="320"/>
      <c r="AN396" s="320"/>
      <c r="AO396" s="320"/>
      <c r="AP396" s="320"/>
      <c r="AQ396" s="320"/>
      <c r="AR396" s="320"/>
      <c r="AS396" s="320"/>
      <c r="AT396" s="320"/>
      <c r="AU396" s="321"/>
    </row>
    <row r="397">
      <c r="A397" s="319"/>
      <c r="B397" s="320"/>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c r="AA397" s="320"/>
      <c r="AB397" s="320"/>
      <c r="AC397" s="320"/>
      <c r="AD397" s="320"/>
      <c r="AE397" s="320"/>
      <c r="AF397" s="320"/>
      <c r="AG397" s="320"/>
      <c r="AH397" s="320"/>
      <c r="AI397" s="320"/>
      <c r="AJ397" s="320"/>
      <c r="AK397" s="320"/>
      <c r="AL397" s="320"/>
      <c r="AM397" s="320"/>
      <c r="AN397" s="320"/>
      <c r="AO397" s="320"/>
      <c r="AP397" s="320"/>
      <c r="AQ397" s="320"/>
      <c r="AR397" s="320"/>
      <c r="AS397" s="320"/>
      <c r="AT397" s="320"/>
      <c r="AU397" s="321"/>
    </row>
    <row r="398">
      <c r="A398" s="319"/>
      <c r="B398" s="320"/>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c r="AA398" s="320"/>
      <c r="AB398" s="320"/>
      <c r="AC398" s="320"/>
      <c r="AD398" s="320"/>
      <c r="AE398" s="320"/>
      <c r="AF398" s="320"/>
      <c r="AG398" s="320"/>
      <c r="AH398" s="320"/>
      <c r="AI398" s="320"/>
      <c r="AJ398" s="320"/>
      <c r="AK398" s="320"/>
      <c r="AL398" s="320"/>
      <c r="AM398" s="320"/>
      <c r="AN398" s="320"/>
      <c r="AO398" s="320"/>
      <c r="AP398" s="320"/>
      <c r="AQ398" s="320"/>
      <c r="AR398" s="320"/>
      <c r="AS398" s="320"/>
      <c r="AT398" s="320"/>
      <c r="AU398" s="321"/>
    </row>
    <row r="399">
      <c r="A399" s="319"/>
      <c r="B399" s="320"/>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c r="AA399" s="320"/>
      <c r="AB399" s="320"/>
      <c r="AC399" s="320"/>
      <c r="AD399" s="320"/>
      <c r="AE399" s="320"/>
      <c r="AF399" s="320"/>
      <c r="AG399" s="320"/>
      <c r="AH399" s="320"/>
      <c r="AI399" s="320"/>
      <c r="AJ399" s="320"/>
      <c r="AK399" s="320"/>
      <c r="AL399" s="320"/>
      <c r="AM399" s="320"/>
      <c r="AN399" s="320"/>
      <c r="AO399" s="320"/>
      <c r="AP399" s="320"/>
      <c r="AQ399" s="320"/>
      <c r="AR399" s="320"/>
      <c r="AS399" s="320"/>
      <c r="AT399" s="320"/>
      <c r="AU399" s="321"/>
    </row>
    <row r="400">
      <c r="A400" s="319"/>
      <c r="B400" s="320"/>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c r="AA400" s="320"/>
      <c r="AB400" s="320"/>
      <c r="AC400" s="320"/>
      <c r="AD400" s="320"/>
      <c r="AE400" s="320"/>
      <c r="AF400" s="320"/>
      <c r="AG400" s="320"/>
      <c r="AH400" s="320"/>
      <c r="AI400" s="320"/>
      <c r="AJ400" s="320"/>
      <c r="AK400" s="320"/>
      <c r="AL400" s="320"/>
      <c r="AM400" s="320"/>
      <c r="AN400" s="320"/>
      <c r="AO400" s="320"/>
      <c r="AP400" s="320"/>
      <c r="AQ400" s="320"/>
      <c r="AR400" s="320"/>
      <c r="AS400" s="320"/>
      <c r="AT400" s="320"/>
      <c r="AU400" s="321"/>
    </row>
    <row r="401">
      <c r="A401" s="319"/>
      <c r="B401" s="320"/>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c r="AA401" s="320"/>
      <c r="AB401" s="320"/>
      <c r="AC401" s="320"/>
      <c r="AD401" s="320"/>
      <c r="AE401" s="320"/>
      <c r="AF401" s="320"/>
      <c r="AG401" s="320"/>
      <c r="AH401" s="320"/>
      <c r="AI401" s="320"/>
      <c r="AJ401" s="320"/>
      <c r="AK401" s="320"/>
      <c r="AL401" s="320"/>
      <c r="AM401" s="320"/>
      <c r="AN401" s="320"/>
      <c r="AO401" s="320"/>
      <c r="AP401" s="320"/>
      <c r="AQ401" s="320"/>
      <c r="AR401" s="320"/>
      <c r="AS401" s="320"/>
      <c r="AT401" s="320"/>
      <c r="AU401" s="321"/>
    </row>
    <row r="402">
      <c r="A402" s="319"/>
      <c r="B402" s="320"/>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c r="AA402" s="320"/>
      <c r="AB402" s="320"/>
      <c r="AC402" s="320"/>
      <c r="AD402" s="320"/>
      <c r="AE402" s="320"/>
      <c r="AF402" s="320"/>
      <c r="AG402" s="320"/>
      <c r="AH402" s="320"/>
      <c r="AI402" s="320"/>
      <c r="AJ402" s="320"/>
      <c r="AK402" s="320"/>
      <c r="AL402" s="320"/>
      <c r="AM402" s="320"/>
      <c r="AN402" s="320"/>
      <c r="AO402" s="320"/>
      <c r="AP402" s="320"/>
      <c r="AQ402" s="320"/>
      <c r="AR402" s="320"/>
      <c r="AS402" s="320"/>
      <c r="AT402" s="320"/>
      <c r="AU402" s="321"/>
    </row>
    <row r="403">
      <c r="A403" s="319"/>
      <c r="B403" s="320"/>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c r="AA403" s="320"/>
      <c r="AB403" s="320"/>
      <c r="AC403" s="320"/>
      <c r="AD403" s="320"/>
      <c r="AE403" s="320"/>
      <c r="AF403" s="320"/>
      <c r="AG403" s="320"/>
      <c r="AH403" s="320"/>
      <c r="AI403" s="320"/>
      <c r="AJ403" s="320"/>
      <c r="AK403" s="320"/>
      <c r="AL403" s="320"/>
      <c r="AM403" s="320"/>
      <c r="AN403" s="320"/>
      <c r="AO403" s="320"/>
      <c r="AP403" s="320"/>
      <c r="AQ403" s="320"/>
      <c r="AR403" s="320"/>
      <c r="AS403" s="320"/>
      <c r="AT403" s="320"/>
      <c r="AU403" s="321"/>
    </row>
    <row r="404">
      <c r="A404" s="319"/>
      <c r="B404" s="320"/>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c r="AA404" s="320"/>
      <c r="AB404" s="320"/>
      <c r="AC404" s="320"/>
      <c r="AD404" s="320"/>
      <c r="AE404" s="320"/>
      <c r="AF404" s="320"/>
      <c r="AG404" s="320"/>
      <c r="AH404" s="320"/>
      <c r="AI404" s="320"/>
      <c r="AJ404" s="320"/>
      <c r="AK404" s="320"/>
      <c r="AL404" s="320"/>
      <c r="AM404" s="320"/>
      <c r="AN404" s="320"/>
      <c r="AO404" s="320"/>
      <c r="AP404" s="320"/>
      <c r="AQ404" s="320"/>
      <c r="AR404" s="320"/>
      <c r="AS404" s="320"/>
      <c r="AT404" s="320"/>
      <c r="AU404" s="321"/>
    </row>
    <row r="405">
      <c r="A405" s="319"/>
      <c r="B405" s="320"/>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c r="AA405" s="320"/>
      <c r="AB405" s="320"/>
      <c r="AC405" s="320"/>
      <c r="AD405" s="320"/>
      <c r="AE405" s="320"/>
      <c r="AF405" s="320"/>
      <c r="AG405" s="320"/>
      <c r="AH405" s="320"/>
      <c r="AI405" s="320"/>
      <c r="AJ405" s="320"/>
      <c r="AK405" s="320"/>
      <c r="AL405" s="320"/>
      <c r="AM405" s="320"/>
      <c r="AN405" s="320"/>
      <c r="AO405" s="320"/>
      <c r="AP405" s="320"/>
      <c r="AQ405" s="320"/>
      <c r="AR405" s="320"/>
      <c r="AS405" s="320"/>
      <c r="AT405" s="320"/>
      <c r="AU405" s="321"/>
    </row>
    <row r="406">
      <c r="A406" s="319"/>
      <c r="B406" s="320"/>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c r="AA406" s="320"/>
      <c r="AB406" s="320"/>
      <c r="AC406" s="320"/>
      <c r="AD406" s="320"/>
      <c r="AE406" s="320"/>
      <c r="AF406" s="320"/>
      <c r="AG406" s="320"/>
      <c r="AH406" s="320"/>
      <c r="AI406" s="320"/>
      <c r="AJ406" s="320"/>
      <c r="AK406" s="320"/>
      <c r="AL406" s="320"/>
      <c r="AM406" s="320"/>
      <c r="AN406" s="320"/>
      <c r="AO406" s="320"/>
      <c r="AP406" s="320"/>
      <c r="AQ406" s="320"/>
      <c r="AR406" s="320"/>
      <c r="AS406" s="320"/>
      <c r="AT406" s="320"/>
      <c r="AU406" s="321"/>
    </row>
    <row r="407">
      <c r="A407" s="319"/>
      <c r="B407" s="320"/>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c r="AA407" s="320"/>
      <c r="AB407" s="320"/>
      <c r="AC407" s="320"/>
      <c r="AD407" s="320"/>
      <c r="AE407" s="320"/>
      <c r="AF407" s="320"/>
      <c r="AG407" s="320"/>
      <c r="AH407" s="320"/>
      <c r="AI407" s="320"/>
      <c r="AJ407" s="320"/>
      <c r="AK407" s="320"/>
      <c r="AL407" s="320"/>
      <c r="AM407" s="320"/>
      <c r="AN407" s="320"/>
      <c r="AO407" s="320"/>
      <c r="AP407" s="320"/>
      <c r="AQ407" s="320"/>
      <c r="AR407" s="320"/>
      <c r="AS407" s="320"/>
      <c r="AT407" s="320"/>
      <c r="AU407" s="321"/>
    </row>
    <row r="408">
      <c r="A408" s="319"/>
      <c r="B408" s="320"/>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c r="AA408" s="320"/>
      <c r="AB408" s="320"/>
      <c r="AC408" s="320"/>
      <c r="AD408" s="320"/>
      <c r="AE408" s="320"/>
      <c r="AF408" s="320"/>
      <c r="AG408" s="320"/>
      <c r="AH408" s="320"/>
      <c r="AI408" s="320"/>
      <c r="AJ408" s="320"/>
      <c r="AK408" s="320"/>
      <c r="AL408" s="320"/>
      <c r="AM408" s="320"/>
      <c r="AN408" s="320"/>
      <c r="AO408" s="320"/>
      <c r="AP408" s="320"/>
      <c r="AQ408" s="320"/>
      <c r="AR408" s="320"/>
      <c r="AS408" s="320"/>
      <c r="AT408" s="320"/>
      <c r="AU408" s="321"/>
    </row>
    <row r="409">
      <c r="A409" s="319"/>
      <c r="B409" s="320"/>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c r="AA409" s="320"/>
      <c r="AB409" s="320"/>
      <c r="AC409" s="320"/>
      <c r="AD409" s="320"/>
      <c r="AE409" s="320"/>
      <c r="AF409" s="320"/>
      <c r="AG409" s="320"/>
      <c r="AH409" s="320"/>
      <c r="AI409" s="320"/>
      <c r="AJ409" s="320"/>
      <c r="AK409" s="320"/>
      <c r="AL409" s="320"/>
      <c r="AM409" s="320"/>
      <c r="AN409" s="320"/>
      <c r="AO409" s="320"/>
      <c r="AP409" s="320"/>
      <c r="AQ409" s="320"/>
      <c r="AR409" s="320"/>
      <c r="AS409" s="320"/>
      <c r="AT409" s="320"/>
      <c r="AU409" s="321"/>
    </row>
    <row r="410">
      <c r="A410" s="319"/>
      <c r="B410" s="320"/>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c r="AA410" s="320"/>
      <c r="AB410" s="320"/>
      <c r="AC410" s="320"/>
      <c r="AD410" s="320"/>
      <c r="AE410" s="320"/>
      <c r="AF410" s="320"/>
      <c r="AG410" s="320"/>
      <c r="AH410" s="320"/>
      <c r="AI410" s="320"/>
      <c r="AJ410" s="320"/>
      <c r="AK410" s="320"/>
      <c r="AL410" s="320"/>
      <c r="AM410" s="320"/>
      <c r="AN410" s="320"/>
      <c r="AO410" s="320"/>
      <c r="AP410" s="320"/>
      <c r="AQ410" s="320"/>
      <c r="AR410" s="320"/>
      <c r="AS410" s="320"/>
      <c r="AT410" s="320"/>
      <c r="AU410" s="321"/>
    </row>
    <row r="411">
      <c r="A411" s="319"/>
      <c r="B411" s="320"/>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c r="AA411" s="320"/>
      <c r="AB411" s="320"/>
      <c r="AC411" s="320"/>
      <c r="AD411" s="320"/>
      <c r="AE411" s="320"/>
      <c r="AF411" s="320"/>
      <c r="AG411" s="320"/>
      <c r="AH411" s="320"/>
      <c r="AI411" s="320"/>
      <c r="AJ411" s="320"/>
      <c r="AK411" s="320"/>
      <c r="AL411" s="320"/>
      <c r="AM411" s="320"/>
      <c r="AN411" s="320"/>
      <c r="AO411" s="320"/>
      <c r="AP411" s="320"/>
      <c r="AQ411" s="320"/>
      <c r="AR411" s="320"/>
      <c r="AS411" s="320"/>
      <c r="AT411" s="320"/>
      <c r="AU411" s="321"/>
    </row>
    <row r="412">
      <c r="A412" s="319"/>
      <c r="B412" s="320"/>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c r="AA412" s="320"/>
      <c r="AB412" s="320"/>
      <c r="AC412" s="320"/>
      <c r="AD412" s="320"/>
      <c r="AE412" s="320"/>
      <c r="AF412" s="320"/>
      <c r="AG412" s="320"/>
      <c r="AH412" s="320"/>
      <c r="AI412" s="320"/>
      <c r="AJ412" s="320"/>
      <c r="AK412" s="320"/>
      <c r="AL412" s="320"/>
      <c r="AM412" s="320"/>
      <c r="AN412" s="320"/>
      <c r="AO412" s="320"/>
      <c r="AP412" s="320"/>
      <c r="AQ412" s="320"/>
      <c r="AR412" s="320"/>
      <c r="AS412" s="320"/>
      <c r="AT412" s="320"/>
      <c r="AU412" s="321"/>
    </row>
    <row r="413">
      <c r="A413" s="319"/>
      <c r="B413" s="320"/>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c r="AA413" s="320"/>
      <c r="AB413" s="320"/>
      <c r="AC413" s="320"/>
      <c r="AD413" s="320"/>
      <c r="AE413" s="320"/>
      <c r="AF413" s="320"/>
      <c r="AG413" s="320"/>
      <c r="AH413" s="320"/>
      <c r="AI413" s="320"/>
      <c r="AJ413" s="320"/>
      <c r="AK413" s="320"/>
      <c r="AL413" s="320"/>
      <c r="AM413" s="320"/>
      <c r="AN413" s="320"/>
      <c r="AO413" s="320"/>
      <c r="AP413" s="320"/>
      <c r="AQ413" s="320"/>
      <c r="AR413" s="320"/>
      <c r="AS413" s="320"/>
      <c r="AT413" s="320"/>
      <c r="AU413" s="321"/>
    </row>
    <row r="414">
      <c r="A414" s="319"/>
      <c r="B414" s="320"/>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c r="AA414" s="320"/>
      <c r="AB414" s="320"/>
      <c r="AC414" s="320"/>
      <c r="AD414" s="320"/>
      <c r="AE414" s="320"/>
      <c r="AF414" s="320"/>
      <c r="AG414" s="320"/>
      <c r="AH414" s="320"/>
      <c r="AI414" s="320"/>
      <c r="AJ414" s="320"/>
      <c r="AK414" s="320"/>
      <c r="AL414" s="320"/>
      <c r="AM414" s="320"/>
      <c r="AN414" s="320"/>
      <c r="AO414" s="320"/>
      <c r="AP414" s="320"/>
      <c r="AQ414" s="320"/>
      <c r="AR414" s="320"/>
      <c r="AS414" s="320"/>
      <c r="AT414" s="320"/>
      <c r="AU414" s="321"/>
    </row>
    <row r="415">
      <c r="A415" s="319"/>
      <c r="B415" s="320"/>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c r="AA415" s="320"/>
      <c r="AB415" s="320"/>
      <c r="AC415" s="320"/>
      <c r="AD415" s="320"/>
      <c r="AE415" s="320"/>
      <c r="AF415" s="320"/>
      <c r="AG415" s="320"/>
      <c r="AH415" s="320"/>
      <c r="AI415" s="320"/>
      <c r="AJ415" s="320"/>
      <c r="AK415" s="320"/>
      <c r="AL415" s="320"/>
      <c r="AM415" s="320"/>
      <c r="AN415" s="320"/>
      <c r="AO415" s="320"/>
      <c r="AP415" s="320"/>
      <c r="AQ415" s="320"/>
      <c r="AR415" s="320"/>
      <c r="AS415" s="320"/>
      <c r="AT415" s="320"/>
      <c r="AU415" s="321"/>
    </row>
    <row r="416">
      <c r="A416" s="319"/>
      <c r="B416" s="320"/>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c r="AA416" s="320"/>
      <c r="AB416" s="320"/>
      <c r="AC416" s="320"/>
      <c r="AD416" s="320"/>
      <c r="AE416" s="320"/>
      <c r="AF416" s="320"/>
      <c r="AG416" s="320"/>
      <c r="AH416" s="320"/>
      <c r="AI416" s="320"/>
      <c r="AJ416" s="320"/>
      <c r="AK416" s="320"/>
      <c r="AL416" s="320"/>
      <c r="AM416" s="320"/>
      <c r="AN416" s="320"/>
      <c r="AO416" s="320"/>
      <c r="AP416" s="320"/>
      <c r="AQ416" s="320"/>
      <c r="AR416" s="320"/>
      <c r="AS416" s="320"/>
      <c r="AT416" s="320"/>
      <c r="AU416" s="321"/>
    </row>
    <row r="417">
      <c r="A417" s="319"/>
      <c r="B417" s="320"/>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c r="AA417" s="320"/>
      <c r="AB417" s="320"/>
      <c r="AC417" s="320"/>
      <c r="AD417" s="320"/>
      <c r="AE417" s="320"/>
      <c r="AF417" s="320"/>
      <c r="AG417" s="320"/>
      <c r="AH417" s="320"/>
      <c r="AI417" s="320"/>
      <c r="AJ417" s="320"/>
      <c r="AK417" s="320"/>
      <c r="AL417" s="320"/>
      <c r="AM417" s="320"/>
      <c r="AN417" s="320"/>
      <c r="AO417" s="320"/>
      <c r="AP417" s="320"/>
      <c r="AQ417" s="320"/>
      <c r="AR417" s="320"/>
      <c r="AS417" s="320"/>
      <c r="AT417" s="320"/>
      <c r="AU417" s="321"/>
    </row>
    <row r="418">
      <c r="A418" s="319"/>
      <c r="B418" s="320"/>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c r="AA418" s="320"/>
      <c r="AB418" s="320"/>
      <c r="AC418" s="320"/>
      <c r="AD418" s="320"/>
      <c r="AE418" s="320"/>
      <c r="AF418" s="320"/>
      <c r="AG418" s="320"/>
      <c r="AH418" s="320"/>
      <c r="AI418" s="320"/>
      <c r="AJ418" s="320"/>
      <c r="AK418" s="320"/>
      <c r="AL418" s="320"/>
      <c r="AM418" s="320"/>
      <c r="AN418" s="320"/>
      <c r="AO418" s="320"/>
      <c r="AP418" s="320"/>
      <c r="AQ418" s="320"/>
      <c r="AR418" s="320"/>
      <c r="AS418" s="320"/>
      <c r="AT418" s="320"/>
      <c r="AU418" s="321"/>
    </row>
    <row r="419">
      <c r="A419" s="319"/>
      <c r="B419" s="320"/>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c r="AA419" s="320"/>
      <c r="AB419" s="320"/>
      <c r="AC419" s="320"/>
      <c r="AD419" s="320"/>
      <c r="AE419" s="320"/>
      <c r="AF419" s="320"/>
      <c r="AG419" s="320"/>
      <c r="AH419" s="320"/>
      <c r="AI419" s="320"/>
      <c r="AJ419" s="320"/>
      <c r="AK419" s="320"/>
      <c r="AL419" s="320"/>
      <c r="AM419" s="320"/>
      <c r="AN419" s="320"/>
      <c r="AO419" s="320"/>
      <c r="AP419" s="320"/>
      <c r="AQ419" s="320"/>
      <c r="AR419" s="320"/>
      <c r="AS419" s="320"/>
      <c r="AT419" s="320"/>
      <c r="AU419" s="321"/>
    </row>
    <row r="420">
      <c r="A420" s="319"/>
      <c r="B420" s="320"/>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c r="AA420" s="320"/>
      <c r="AB420" s="320"/>
      <c r="AC420" s="320"/>
      <c r="AD420" s="320"/>
      <c r="AE420" s="320"/>
      <c r="AF420" s="320"/>
      <c r="AG420" s="320"/>
      <c r="AH420" s="320"/>
      <c r="AI420" s="320"/>
      <c r="AJ420" s="320"/>
      <c r="AK420" s="320"/>
      <c r="AL420" s="320"/>
      <c r="AM420" s="320"/>
      <c r="AN420" s="320"/>
      <c r="AO420" s="320"/>
      <c r="AP420" s="320"/>
      <c r="AQ420" s="320"/>
      <c r="AR420" s="320"/>
      <c r="AS420" s="320"/>
      <c r="AT420" s="320"/>
      <c r="AU420" s="321"/>
    </row>
    <row r="421">
      <c r="A421" s="319"/>
      <c r="B421" s="320"/>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c r="AA421" s="320"/>
      <c r="AB421" s="320"/>
      <c r="AC421" s="320"/>
      <c r="AD421" s="320"/>
      <c r="AE421" s="320"/>
      <c r="AF421" s="320"/>
      <c r="AG421" s="320"/>
      <c r="AH421" s="320"/>
      <c r="AI421" s="320"/>
      <c r="AJ421" s="320"/>
      <c r="AK421" s="320"/>
      <c r="AL421" s="320"/>
      <c r="AM421" s="320"/>
      <c r="AN421" s="320"/>
      <c r="AO421" s="320"/>
      <c r="AP421" s="320"/>
      <c r="AQ421" s="320"/>
      <c r="AR421" s="320"/>
      <c r="AS421" s="320"/>
      <c r="AT421" s="320"/>
      <c r="AU421" s="321"/>
    </row>
    <row r="422">
      <c r="A422" s="319"/>
      <c r="B422" s="320"/>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c r="AA422" s="320"/>
      <c r="AB422" s="320"/>
      <c r="AC422" s="320"/>
      <c r="AD422" s="320"/>
      <c r="AE422" s="320"/>
      <c r="AF422" s="320"/>
      <c r="AG422" s="320"/>
      <c r="AH422" s="320"/>
      <c r="AI422" s="320"/>
      <c r="AJ422" s="320"/>
      <c r="AK422" s="320"/>
      <c r="AL422" s="320"/>
      <c r="AM422" s="320"/>
      <c r="AN422" s="320"/>
      <c r="AO422" s="320"/>
      <c r="AP422" s="320"/>
      <c r="AQ422" s="320"/>
      <c r="AR422" s="320"/>
      <c r="AS422" s="320"/>
      <c r="AT422" s="320"/>
      <c r="AU422" s="321"/>
    </row>
    <row r="423">
      <c r="A423" s="319"/>
      <c r="B423" s="320"/>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c r="AA423" s="320"/>
      <c r="AB423" s="320"/>
      <c r="AC423" s="320"/>
      <c r="AD423" s="320"/>
      <c r="AE423" s="320"/>
      <c r="AF423" s="320"/>
      <c r="AG423" s="320"/>
      <c r="AH423" s="320"/>
      <c r="AI423" s="320"/>
      <c r="AJ423" s="320"/>
      <c r="AK423" s="320"/>
      <c r="AL423" s="320"/>
      <c r="AM423" s="320"/>
      <c r="AN423" s="320"/>
      <c r="AO423" s="320"/>
      <c r="AP423" s="320"/>
      <c r="AQ423" s="320"/>
      <c r="AR423" s="320"/>
      <c r="AS423" s="320"/>
      <c r="AT423" s="320"/>
      <c r="AU423" s="321"/>
    </row>
    <row r="424">
      <c r="A424" s="319"/>
      <c r="B424" s="320"/>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c r="AA424" s="320"/>
      <c r="AB424" s="320"/>
      <c r="AC424" s="320"/>
      <c r="AD424" s="320"/>
      <c r="AE424" s="320"/>
      <c r="AF424" s="320"/>
      <c r="AG424" s="320"/>
      <c r="AH424" s="320"/>
      <c r="AI424" s="320"/>
      <c r="AJ424" s="320"/>
      <c r="AK424" s="320"/>
      <c r="AL424" s="320"/>
      <c r="AM424" s="320"/>
      <c r="AN424" s="320"/>
      <c r="AO424" s="320"/>
      <c r="AP424" s="320"/>
      <c r="AQ424" s="320"/>
      <c r="AR424" s="320"/>
      <c r="AS424" s="320"/>
      <c r="AT424" s="320"/>
      <c r="AU424" s="321"/>
    </row>
    <row r="425">
      <c r="A425" s="319"/>
      <c r="B425" s="320"/>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c r="AA425" s="320"/>
      <c r="AB425" s="320"/>
      <c r="AC425" s="320"/>
      <c r="AD425" s="320"/>
      <c r="AE425" s="320"/>
      <c r="AF425" s="320"/>
      <c r="AG425" s="320"/>
      <c r="AH425" s="320"/>
      <c r="AI425" s="320"/>
      <c r="AJ425" s="320"/>
      <c r="AK425" s="320"/>
      <c r="AL425" s="320"/>
      <c r="AM425" s="320"/>
      <c r="AN425" s="320"/>
      <c r="AO425" s="320"/>
      <c r="AP425" s="320"/>
      <c r="AQ425" s="320"/>
      <c r="AR425" s="320"/>
      <c r="AS425" s="320"/>
      <c r="AT425" s="320"/>
      <c r="AU425" s="321"/>
    </row>
    <row r="426">
      <c r="A426" s="319"/>
      <c r="B426" s="320"/>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c r="AA426" s="320"/>
      <c r="AB426" s="320"/>
      <c r="AC426" s="320"/>
      <c r="AD426" s="320"/>
      <c r="AE426" s="320"/>
      <c r="AF426" s="320"/>
      <c r="AG426" s="320"/>
      <c r="AH426" s="320"/>
      <c r="AI426" s="320"/>
      <c r="AJ426" s="320"/>
      <c r="AK426" s="320"/>
      <c r="AL426" s="320"/>
      <c r="AM426" s="320"/>
      <c r="AN426" s="320"/>
      <c r="AO426" s="320"/>
      <c r="AP426" s="320"/>
      <c r="AQ426" s="320"/>
      <c r="AR426" s="320"/>
      <c r="AS426" s="320"/>
      <c r="AT426" s="320"/>
      <c r="AU426" s="321"/>
    </row>
    <row r="427">
      <c r="A427" s="319"/>
      <c r="B427" s="320"/>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c r="AA427" s="320"/>
      <c r="AB427" s="320"/>
      <c r="AC427" s="320"/>
      <c r="AD427" s="320"/>
      <c r="AE427" s="320"/>
      <c r="AF427" s="320"/>
      <c r="AG427" s="320"/>
      <c r="AH427" s="320"/>
      <c r="AI427" s="320"/>
      <c r="AJ427" s="320"/>
      <c r="AK427" s="320"/>
      <c r="AL427" s="320"/>
      <c r="AM427" s="320"/>
      <c r="AN427" s="320"/>
      <c r="AO427" s="320"/>
      <c r="AP427" s="320"/>
      <c r="AQ427" s="320"/>
      <c r="AR427" s="320"/>
      <c r="AS427" s="320"/>
      <c r="AT427" s="320"/>
      <c r="AU427" s="321"/>
    </row>
    <row r="428">
      <c r="A428" s="319"/>
      <c r="B428" s="320"/>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c r="AA428" s="320"/>
      <c r="AB428" s="320"/>
      <c r="AC428" s="320"/>
      <c r="AD428" s="320"/>
      <c r="AE428" s="320"/>
      <c r="AF428" s="320"/>
      <c r="AG428" s="320"/>
      <c r="AH428" s="320"/>
      <c r="AI428" s="320"/>
      <c r="AJ428" s="320"/>
      <c r="AK428" s="320"/>
      <c r="AL428" s="320"/>
      <c r="AM428" s="320"/>
      <c r="AN428" s="320"/>
      <c r="AO428" s="320"/>
      <c r="AP428" s="320"/>
      <c r="AQ428" s="320"/>
      <c r="AR428" s="320"/>
      <c r="AS428" s="320"/>
      <c r="AT428" s="320"/>
      <c r="AU428" s="321"/>
    </row>
    <row r="429">
      <c r="A429" s="319"/>
      <c r="B429" s="320"/>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c r="AA429" s="320"/>
      <c r="AB429" s="320"/>
      <c r="AC429" s="320"/>
      <c r="AD429" s="320"/>
      <c r="AE429" s="320"/>
      <c r="AF429" s="320"/>
      <c r="AG429" s="320"/>
      <c r="AH429" s="320"/>
      <c r="AI429" s="320"/>
      <c r="AJ429" s="320"/>
      <c r="AK429" s="320"/>
      <c r="AL429" s="320"/>
      <c r="AM429" s="320"/>
      <c r="AN429" s="320"/>
      <c r="AO429" s="320"/>
      <c r="AP429" s="320"/>
      <c r="AQ429" s="320"/>
      <c r="AR429" s="320"/>
      <c r="AS429" s="320"/>
      <c r="AT429" s="320"/>
      <c r="AU429" s="321"/>
    </row>
    <row r="430">
      <c r="A430" s="319"/>
      <c r="B430" s="320"/>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c r="AA430" s="320"/>
      <c r="AB430" s="320"/>
      <c r="AC430" s="320"/>
      <c r="AD430" s="320"/>
      <c r="AE430" s="320"/>
      <c r="AF430" s="320"/>
      <c r="AG430" s="320"/>
      <c r="AH430" s="320"/>
      <c r="AI430" s="320"/>
      <c r="AJ430" s="320"/>
      <c r="AK430" s="320"/>
      <c r="AL430" s="320"/>
      <c r="AM430" s="320"/>
      <c r="AN430" s="320"/>
      <c r="AO430" s="320"/>
      <c r="AP430" s="320"/>
      <c r="AQ430" s="320"/>
      <c r="AR430" s="320"/>
      <c r="AS430" s="320"/>
      <c r="AT430" s="320"/>
      <c r="AU430" s="321"/>
    </row>
    <row r="431">
      <c r="A431" s="319"/>
      <c r="B431" s="320"/>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c r="AA431" s="320"/>
      <c r="AB431" s="320"/>
      <c r="AC431" s="320"/>
      <c r="AD431" s="320"/>
      <c r="AE431" s="320"/>
      <c r="AF431" s="320"/>
      <c r="AG431" s="320"/>
      <c r="AH431" s="320"/>
      <c r="AI431" s="320"/>
      <c r="AJ431" s="320"/>
      <c r="AK431" s="320"/>
      <c r="AL431" s="320"/>
      <c r="AM431" s="320"/>
      <c r="AN431" s="320"/>
      <c r="AO431" s="320"/>
      <c r="AP431" s="320"/>
      <c r="AQ431" s="320"/>
      <c r="AR431" s="320"/>
      <c r="AS431" s="320"/>
      <c r="AT431" s="320"/>
      <c r="AU431" s="321"/>
    </row>
    <row r="432">
      <c r="A432" s="319"/>
      <c r="B432" s="320"/>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c r="AA432" s="320"/>
      <c r="AB432" s="320"/>
      <c r="AC432" s="320"/>
      <c r="AD432" s="320"/>
      <c r="AE432" s="320"/>
      <c r="AF432" s="320"/>
      <c r="AG432" s="320"/>
      <c r="AH432" s="320"/>
      <c r="AI432" s="320"/>
      <c r="AJ432" s="320"/>
      <c r="AK432" s="320"/>
      <c r="AL432" s="320"/>
      <c r="AM432" s="320"/>
      <c r="AN432" s="320"/>
      <c r="AO432" s="320"/>
      <c r="AP432" s="320"/>
      <c r="AQ432" s="320"/>
      <c r="AR432" s="320"/>
      <c r="AS432" s="320"/>
      <c r="AT432" s="320"/>
      <c r="AU432" s="321"/>
    </row>
    <row r="433">
      <c r="A433" s="319"/>
      <c r="B433" s="320"/>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c r="AA433" s="320"/>
      <c r="AB433" s="320"/>
      <c r="AC433" s="320"/>
      <c r="AD433" s="320"/>
      <c r="AE433" s="320"/>
      <c r="AF433" s="320"/>
      <c r="AG433" s="320"/>
      <c r="AH433" s="320"/>
      <c r="AI433" s="320"/>
      <c r="AJ433" s="320"/>
      <c r="AK433" s="320"/>
      <c r="AL433" s="320"/>
      <c r="AM433" s="320"/>
      <c r="AN433" s="320"/>
      <c r="AO433" s="320"/>
      <c r="AP433" s="320"/>
      <c r="AQ433" s="320"/>
      <c r="AR433" s="320"/>
      <c r="AS433" s="320"/>
      <c r="AT433" s="320"/>
      <c r="AU433" s="321"/>
    </row>
    <row r="434">
      <c r="A434" s="319"/>
      <c r="B434" s="320"/>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c r="AA434" s="320"/>
      <c r="AB434" s="320"/>
      <c r="AC434" s="320"/>
      <c r="AD434" s="320"/>
      <c r="AE434" s="320"/>
      <c r="AF434" s="320"/>
      <c r="AG434" s="320"/>
      <c r="AH434" s="320"/>
      <c r="AI434" s="320"/>
      <c r="AJ434" s="320"/>
      <c r="AK434" s="320"/>
      <c r="AL434" s="320"/>
      <c r="AM434" s="320"/>
      <c r="AN434" s="320"/>
      <c r="AO434" s="320"/>
      <c r="AP434" s="320"/>
      <c r="AQ434" s="320"/>
      <c r="AR434" s="320"/>
      <c r="AS434" s="320"/>
      <c r="AT434" s="320"/>
      <c r="AU434" s="321"/>
    </row>
    <row r="435">
      <c r="A435" s="319"/>
      <c r="B435" s="320"/>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c r="AA435" s="320"/>
      <c r="AB435" s="320"/>
      <c r="AC435" s="320"/>
      <c r="AD435" s="320"/>
      <c r="AE435" s="320"/>
      <c r="AF435" s="320"/>
      <c r="AG435" s="320"/>
      <c r="AH435" s="320"/>
      <c r="AI435" s="320"/>
      <c r="AJ435" s="320"/>
      <c r="AK435" s="320"/>
      <c r="AL435" s="320"/>
      <c r="AM435" s="320"/>
      <c r="AN435" s="320"/>
      <c r="AO435" s="320"/>
      <c r="AP435" s="320"/>
      <c r="AQ435" s="320"/>
      <c r="AR435" s="320"/>
      <c r="AS435" s="320"/>
      <c r="AT435" s="320"/>
      <c r="AU435" s="321"/>
    </row>
    <row r="436">
      <c r="A436" s="319"/>
      <c r="B436" s="320"/>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c r="AA436" s="320"/>
      <c r="AB436" s="320"/>
      <c r="AC436" s="320"/>
      <c r="AD436" s="320"/>
      <c r="AE436" s="320"/>
      <c r="AF436" s="320"/>
      <c r="AG436" s="320"/>
      <c r="AH436" s="320"/>
      <c r="AI436" s="320"/>
      <c r="AJ436" s="320"/>
      <c r="AK436" s="320"/>
      <c r="AL436" s="320"/>
      <c r="AM436" s="320"/>
      <c r="AN436" s="320"/>
      <c r="AO436" s="320"/>
      <c r="AP436" s="320"/>
      <c r="AQ436" s="320"/>
      <c r="AR436" s="320"/>
      <c r="AS436" s="320"/>
      <c r="AT436" s="320"/>
      <c r="AU436" s="321"/>
    </row>
    <row r="437">
      <c r="A437" s="319"/>
      <c r="B437" s="320"/>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c r="AA437" s="320"/>
      <c r="AB437" s="320"/>
      <c r="AC437" s="320"/>
      <c r="AD437" s="320"/>
      <c r="AE437" s="320"/>
      <c r="AF437" s="320"/>
      <c r="AG437" s="320"/>
      <c r="AH437" s="320"/>
      <c r="AI437" s="320"/>
      <c r="AJ437" s="320"/>
      <c r="AK437" s="320"/>
      <c r="AL437" s="320"/>
      <c r="AM437" s="320"/>
      <c r="AN437" s="320"/>
      <c r="AO437" s="320"/>
      <c r="AP437" s="320"/>
      <c r="AQ437" s="320"/>
      <c r="AR437" s="320"/>
      <c r="AS437" s="320"/>
      <c r="AT437" s="320"/>
      <c r="AU437" s="321"/>
    </row>
    <row r="438">
      <c r="A438" s="319"/>
      <c r="B438" s="320"/>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c r="AA438" s="320"/>
      <c r="AB438" s="320"/>
      <c r="AC438" s="320"/>
      <c r="AD438" s="320"/>
      <c r="AE438" s="320"/>
      <c r="AF438" s="320"/>
      <c r="AG438" s="320"/>
      <c r="AH438" s="320"/>
      <c r="AI438" s="320"/>
      <c r="AJ438" s="320"/>
      <c r="AK438" s="320"/>
      <c r="AL438" s="320"/>
      <c r="AM438" s="320"/>
      <c r="AN438" s="320"/>
      <c r="AO438" s="320"/>
      <c r="AP438" s="320"/>
      <c r="AQ438" s="320"/>
      <c r="AR438" s="320"/>
      <c r="AS438" s="320"/>
      <c r="AT438" s="320"/>
      <c r="AU438" s="321"/>
    </row>
    <row r="439">
      <c r="A439" s="319"/>
      <c r="B439" s="320"/>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c r="AA439" s="320"/>
      <c r="AB439" s="320"/>
      <c r="AC439" s="320"/>
      <c r="AD439" s="320"/>
      <c r="AE439" s="320"/>
      <c r="AF439" s="320"/>
      <c r="AG439" s="320"/>
      <c r="AH439" s="320"/>
      <c r="AI439" s="320"/>
      <c r="AJ439" s="320"/>
      <c r="AK439" s="320"/>
      <c r="AL439" s="320"/>
      <c r="AM439" s="320"/>
      <c r="AN439" s="320"/>
      <c r="AO439" s="320"/>
      <c r="AP439" s="320"/>
      <c r="AQ439" s="320"/>
      <c r="AR439" s="320"/>
      <c r="AS439" s="320"/>
      <c r="AT439" s="320"/>
      <c r="AU439" s="321"/>
    </row>
    <row r="440">
      <c r="A440" s="319"/>
      <c r="B440" s="320"/>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c r="AA440" s="320"/>
      <c r="AB440" s="320"/>
      <c r="AC440" s="320"/>
      <c r="AD440" s="320"/>
      <c r="AE440" s="320"/>
      <c r="AF440" s="320"/>
      <c r="AG440" s="320"/>
      <c r="AH440" s="320"/>
      <c r="AI440" s="320"/>
      <c r="AJ440" s="320"/>
      <c r="AK440" s="320"/>
      <c r="AL440" s="320"/>
      <c r="AM440" s="320"/>
      <c r="AN440" s="320"/>
      <c r="AO440" s="320"/>
      <c r="AP440" s="320"/>
      <c r="AQ440" s="320"/>
      <c r="AR440" s="320"/>
      <c r="AS440" s="320"/>
      <c r="AT440" s="320"/>
      <c r="AU440" s="321"/>
    </row>
    <row r="441">
      <c r="A441" s="319"/>
      <c r="B441" s="320"/>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c r="AA441" s="320"/>
      <c r="AB441" s="320"/>
      <c r="AC441" s="320"/>
      <c r="AD441" s="320"/>
      <c r="AE441" s="320"/>
      <c r="AF441" s="320"/>
      <c r="AG441" s="320"/>
      <c r="AH441" s="320"/>
      <c r="AI441" s="320"/>
      <c r="AJ441" s="320"/>
      <c r="AK441" s="320"/>
      <c r="AL441" s="320"/>
      <c r="AM441" s="320"/>
      <c r="AN441" s="320"/>
      <c r="AO441" s="320"/>
      <c r="AP441" s="320"/>
      <c r="AQ441" s="320"/>
      <c r="AR441" s="320"/>
      <c r="AS441" s="320"/>
      <c r="AT441" s="320"/>
      <c r="AU441" s="321"/>
    </row>
    <row r="442">
      <c r="A442" s="319"/>
      <c r="B442" s="320"/>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c r="AA442" s="320"/>
      <c r="AB442" s="320"/>
      <c r="AC442" s="320"/>
      <c r="AD442" s="320"/>
      <c r="AE442" s="320"/>
      <c r="AF442" s="320"/>
      <c r="AG442" s="320"/>
      <c r="AH442" s="320"/>
      <c r="AI442" s="320"/>
      <c r="AJ442" s="320"/>
      <c r="AK442" s="320"/>
      <c r="AL442" s="320"/>
      <c r="AM442" s="320"/>
      <c r="AN442" s="320"/>
      <c r="AO442" s="320"/>
      <c r="AP442" s="320"/>
      <c r="AQ442" s="320"/>
      <c r="AR442" s="320"/>
      <c r="AS442" s="320"/>
      <c r="AT442" s="320"/>
      <c r="AU442" s="321"/>
    </row>
    <row r="443">
      <c r="A443" s="319"/>
      <c r="B443" s="320"/>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c r="AA443" s="320"/>
      <c r="AB443" s="320"/>
      <c r="AC443" s="320"/>
      <c r="AD443" s="320"/>
      <c r="AE443" s="320"/>
      <c r="AF443" s="320"/>
      <c r="AG443" s="320"/>
      <c r="AH443" s="320"/>
      <c r="AI443" s="320"/>
      <c r="AJ443" s="320"/>
      <c r="AK443" s="320"/>
      <c r="AL443" s="320"/>
      <c r="AM443" s="320"/>
      <c r="AN443" s="320"/>
      <c r="AO443" s="320"/>
      <c r="AP443" s="320"/>
      <c r="AQ443" s="320"/>
      <c r="AR443" s="320"/>
      <c r="AS443" s="320"/>
      <c r="AT443" s="320"/>
      <c r="AU443" s="321"/>
    </row>
    <row r="444">
      <c r="A444" s="319"/>
      <c r="B444" s="320"/>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c r="AA444" s="320"/>
      <c r="AB444" s="320"/>
      <c r="AC444" s="320"/>
      <c r="AD444" s="320"/>
      <c r="AE444" s="320"/>
      <c r="AF444" s="320"/>
      <c r="AG444" s="320"/>
      <c r="AH444" s="320"/>
      <c r="AI444" s="320"/>
      <c r="AJ444" s="320"/>
      <c r="AK444" s="320"/>
      <c r="AL444" s="320"/>
      <c r="AM444" s="320"/>
      <c r="AN444" s="320"/>
      <c r="AO444" s="320"/>
      <c r="AP444" s="320"/>
      <c r="AQ444" s="320"/>
      <c r="AR444" s="320"/>
      <c r="AS444" s="320"/>
      <c r="AT444" s="320"/>
      <c r="AU444" s="321"/>
    </row>
    <row r="445">
      <c r="A445" s="319"/>
      <c r="B445" s="320"/>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c r="AA445" s="320"/>
      <c r="AB445" s="320"/>
      <c r="AC445" s="320"/>
      <c r="AD445" s="320"/>
      <c r="AE445" s="320"/>
      <c r="AF445" s="320"/>
      <c r="AG445" s="320"/>
      <c r="AH445" s="320"/>
      <c r="AI445" s="320"/>
      <c r="AJ445" s="320"/>
      <c r="AK445" s="320"/>
      <c r="AL445" s="320"/>
      <c r="AM445" s="320"/>
      <c r="AN445" s="320"/>
      <c r="AO445" s="320"/>
      <c r="AP445" s="320"/>
      <c r="AQ445" s="320"/>
      <c r="AR445" s="320"/>
      <c r="AS445" s="320"/>
      <c r="AT445" s="320"/>
      <c r="AU445" s="321"/>
    </row>
    <row r="446">
      <c r="A446" s="319"/>
      <c r="B446" s="320"/>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c r="AA446" s="320"/>
      <c r="AB446" s="320"/>
      <c r="AC446" s="320"/>
      <c r="AD446" s="320"/>
      <c r="AE446" s="320"/>
      <c r="AF446" s="320"/>
      <c r="AG446" s="320"/>
      <c r="AH446" s="320"/>
      <c r="AI446" s="320"/>
      <c r="AJ446" s="320"/>
      <c r="AK446" s="320"/>
      <c r="AL446" s="320"/>
      <c r="AM446" s="320"/>
      <c r="AN446" s="320"/>
      <c r="AO446" s="320"/>
      <c r="AP446" s="320"/>
      <c r="AQ446" s="320"/>
      <c r="AR446" s="320"/>
      <c r="AS446" s="320"/>
      <c r="AT446" s="320"/>
      <c r="AU446" s="321"/>
    </row>
    <row r="447">
      <c r="A447" s="319"/>
      <c r="B447" s="320"/>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c r="AA447" s="320"/>
      <c r="AB447" s="320"/>
      <c r="AC447" s="320"/>
      <c r="AD447" s="320"/>
      <c r="AE447" s="320"/>
      <c r="AF447" s="320"/>
      <c r="AG447" s="320"/>
      <c r="AH447" s="320"/>
      <c r="AI447" s="320"/>
      <c r="AJ447" s="320"/>
      <c r="AK447" s="320"/>
      <c r="AL447" s="320"/>
      <c r="AM447" s="320"/>
      <c r="AN447" s="320"/>
      <c r="AO447" s="320"/>
      <c r="AP447" s="320"/>
      <c r="AQ447" s="320"/>
      <c r="AR447" s="320"/>
      <c r="AS447" s="320"/>
      <c r="AT447" s="320"/>
      <c r="AU447" s="321"/>
    </row>
    <row r="448">
      <c r="A448" s="319"/>
      <c r="B448" s="320"/>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c r="AA448" s="320"/>
      <c r="AB448" s="320"/>
      <c r="AC448" s="320"/>
      <c r="AD448" s="320"/>
      <c r="AE448" s="320"/>
      <c r="AF448" s="320"/>
      <c r="AG448" s="320"/>
      <c r="AH448" s="320"/>
      <c r="AI448" s="320"/>
      <c r="AJ448" s="320"/>
      <c r="AK448" s="320"/>
      <c r="AL448" s="320"/>
      <c r="AM448" s="320"/>
      <c r="AN448" s="320"/>
      <c r="AO448" s="320"/>
      <c r="AP448" s="320"/>
      <c r="AQ448" s="320"/>
      <c r="AR448" s="320"/>
      <c r="AS448" s="320"/>
      <c r="AT448" s="320"/>
      <c r="AU448" s="321"/>
    </row>
    <row r="449">
      <c r="A449" s="319"/>
      <c r="B449" s="320"/>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c r="AA449" s="320"/>
      <c r="AB449" s="320"/>
      <c r="AC449" s="320"/>
      <c r="AD449" s="320"/>
      <c r="AE449" s="320"/>
      <c r="AF449" s="320"/>
      <c r="AG449" s="320"/>
      <c r="AH449" s="320"/>
      <c r="AI449" s="320"/>
      <c r="AJ449" s="320"/>
      <c r="AK449" s="320"/>
      <c r="AL449" s="320"/>
      <c r="AM449" s="320"/>
      <c r="AN449" s="320"/>
      <c r="AO449" s="320"/>
      <c r="AP449" s="320"/>
      <c r="AQ449" s="320"/>
      <c r="AR449" s="320"/>
      <c r="AS449" s="320"/>
      <c r="AT449" s="320"/>
      <c r="AU449" s="321"/>
    </row>
    <row r="450">
      <c r="A450" s="319"/>
      <c r="B450" s="320"/>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c r="AA450" s="320"/>
      <c r="AB450" s="320"/>
      <c r="AC450" s="320"/>
      <c r="AD450" s="320"/>
      <c r="AE450" s="320"/>
      <c r="AF450" s="320"/>
      <c r="AG450" s="320"/>
      <c r="AH450" s="320"/>
      <c r="AI450" s="320"/>
      <c r="AJ450" s="320"/>
      <c r="AK450" s="320"/>
      <c r="AL450" s="320"/>
      <c r="AM450" s="320"/>
      <c r="AN450" s="320"/>
      <c r="AO450" s="320"/>
      <c r="AP450" s="320"/>
      <c r="AQ450" s="320"/>
      <c r="AR450" s="320"/>
      <c r="AS450" s="320"/>
      <c r="AT450" s="320"/>
      <c r="AU450" s="321"/>
    </row>
    <row r="451">
      <c r="A451" s="319"/>
      <c r="B451" s="320"/>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c r="AA451" s="320"/>
      <c r="AB451" s="320"/>
      <c r="AC451" s="320"/>
      <c r="AD451" s="320"/>
      <c r="AE451" s="320"/>
      <c r="AF451" s="320"/>
      <c r="AG451" s="320"/>
      <c r="AH451" s="320"/>
      <c r="AI451" s="320"/>
      <c r="AJ451" s="320"/>
      <c r="AK451" s="320"/>
      <c r="AL451" s="320"/>
      <c r="AM451" s="320"/>
      <c r="AN451" s="320"/>
      <c r="AO451" s="320"/>
      <c r="AP451" s="320"/>
      <c r="AQ451" s="320"/>
      <c r="AR451" s="320"/>
      <c r="AS451" s="320"/>
      <c r="AT451" s="320"/>
      <c r="AU451" s="321"/>
    </row>
    <row r="452">
      <c r="A452" s="319"/>
      <c r="B452" s="320"/>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c r="AA452" s="320"/>
      <c r="AB452" s="320"/>
      <c r="AC452" s="320"/>
      <c r="AD452" s="320"/>
      <c r="AE452" s="320"/>
      <c r="AF452" s="320"/>
      <c r="AG452" s="320"/>
      <c r="AH452" s="320"/>
      <c r="AI452" s="320"/>
      <c r="AJ452" s="320"/>
      <c r="AK452" s="320"/>
      <c r="AL452" s="320"/>
      <c r="AM452" s="320"/>
      <c r="AN452" s="320"/>
      <c r="AO452" s="320"/>
      <c r="AP452" s="320"/>
      <c r="AQ452" s="320"/>
      <c r="AR452" s="320"/>
      <c r="AS452" s="320"/>
      <c r="AT452" s="320"/>
      <c r="AU452" s="321"/>
    </row>
    <row r="453">
      <c r="A453" s="319"/>
      <c r="B453" s="320"/>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c r="AA453" s="320"/>
      <c r="AB453" s="320"/>
      <c r="AC453" s="320"/>
      <c r="AD453" s="320"/>
      <c r="AE453" s="320"/>
      <c r="AF453" s="320"/>
      <c r="AG453" s="320"/>
      <c r="AH453" s="320"/>
      <c r="AI453" s="320"/>
      <c r="AJ453" s="320"/>
      <c r="AK453" s="320"/>
      <c r="AL453" s="320"/>
      <c r="AM453" s="320"/>
      <c r="AN453" s="320"/>
      <c r="AO453" s="320"/>
      <c r="AP453" s="320"/>
      <c r="AQ453" s="320"/>
      <c r="AR453" s="320"/>
      <c r="AS453" s="320"/>
      <c r="AT453" s="320"/>
      <c r="AU453" s="321"/>
    </row>
    <row r="454">
      <c r="A454" s="319"/>
      <c r="B454" s="320"/>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c r="AA454" s="320"/>
      <c r="AB454" s="320"/>
      <c r="AC454" s="320"/>
      <c r="AD454" s="320"/>
      <c r="AE454" s="320"/>
      <c r="AF454" s="320"/>
      <c r="AG454" s="320"/>
      <c r="AH454" s="320"/>
      <c r="AI454" s="320"/>
      <c r="AJ454" s="320"/>
      <c r="AK454" s="320"/>
      <c r="AL454" s="320"/>
      <c r="AM454" s="320"/>
      <c r="AN454" s="320"/>
      <c r="AO454" s="320"/>
      <c r="AP454" s="320"/>
      <c r="AQ454" s="320"/>
      <c r="AR454" s="320"/>
      <c r="AS454" s="320"/>
      <c r="AT454" s="320"/>
      <c r="AU454" s="321"/>
    </row>
    <row r="455">
      <c r="A455" s="319"/>
      <c r="B455" s="320"/>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c r="AA455" s="320"/>
      <c r="AB455" s="320"/>
      <c r="AC455" s="320"/>
      <c r="AD455" s="320"/>
      <c r="AE455" s="320"/>
      <c r="AF455" s="320"/>
      <c r="AG455" s="320"/>
      <c r="AH455" s="320"/>
      <c r="AI455" s="320"/>
      <c r="AJ455" s="320"/>
      <c r="AK455" s="320"/>
      <c r="AL455" s="320"/>
      <c r="AM455" s="320"/>
      <c r="AN455" s="320"/>
      <c r="AO455" s="320"/>
      <c r="AP455" s="320"/>
      <c r="AQ455" s="320"/>
      <c r="AR455" s="320"/>
      <c r="AS455" s="320"/>
      <c r="AT455" s="320"/>
      <c r="AU455" s="321"/>
    </row>
    <row r="456">
      <c r="A456" s="319"/>
      <c r="B456" s="320"/>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c r="AA456" s="320"/>
      <c r="AB456" s="320"/>
      <c r="AC456" s="320"/>
      <c r="AD456" s="320"/>
      <c r="AE456" s="320"/>
      <c r="AF456" s="320"/>
      <c r="AG456" s="320"/>
      <c r="AH456" s="320"/>
      <c r="AI456" s="320"/>
      <c r="AJ456" s="320"/>
      <c r="AK456" s="320"/>
      <c r="AL456" s="320"/>
      <c r="AM456" s="320"/>
      <c r="AN456" s="320"/>
      <c r="AO456" s="320"/>
      <c r="AP456" s="320"/>
      <c r="AQ456" s="320"/>
      <c r="AR456" s="320"/>
      <c r="AS456" s="320"/>
      <c r="AT456" s="320"/>
      <c r="AU456" s="321"/>
    </row>
    <row r="457">
      <c r="A457" s="319"/>
      <c r="B457" s="320"/>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c r="AA457" s="320"/>
      <c r="AB457" s="320"/>
      <c r="AC457" s="320"/>
      <c r="AD457" s="320"/>
      <c r="AE457" s="320"/>
      <c r="AF457" s="320"/>
      <c r="AG457" s="320"/>
      <c r="AH457" s="320"/>
      <c r="AI457" s="320"/>
      <c r="AJ457" s="320"/>
      <c r="AK457" s="320"/>
      <c r="AL457" s="320"/>
      <c r="AM457" s="320"/>
      <c r="AN457" s="320"/>
      <c r="AO457" s="320"/>
      <c r="AP457" s="320"/>
      <c r="AQ457" s="320"/>
      <c r="AR457" s="320"/>
      <c r="AS457" s="320"/>
      <c r="AT457" s="320"/>
      <c r="AU457" s="321"/>
    </row>
    <row r="458">
      <c r="A458" s="319"/>
      <c r="B458" s="320"/>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c r="AA458" s="320"/>
      <c r="AB458" s="320"/>
      <c r="AC458" s="320"/>
      <c r="AD458" s="320"/>
      <c r="AE458" s="320"/>
      <c r="AF458" s="320"/>
      <c r="AG458" s="320"/>
      <c r="AH458" s="320"/>
      <c r="AI458" s="320"/>
      <c r="AJ458" s="320"/>
      <c r="AK458" s="320"/>
      <c r="AL458" s="320"/>
      <c r="AM458" s="320"/>
      <c r="AN458" s="320"/>
      <c r="AO458" s="320"/>
      <c r="AP458" s="320"/>
      <c r="AQ458" s="320"/>
      <c r="AR458" s="320"/>
      <c r="AS458" s="320"/>
      <c r="AT458" s="320"/>
      <c r="AU458" s="321"/>
    </row>
    <row r="459">
      <c r="A459" s="319"/>
      <c r="B459" s="320"/>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c r="AA459" s="320"/>
      <c r="AB459" s="320"/>
      <c r="AC459" s="320"/>
      <c r="AD459" s="320"/>
      <c r="AE459" s="320"/>
      <c r="AF459" s="320"/>
      <c r="AG459" s="320"/>
      <c r="AH459" s="320"/>
      <c r="AI459" s="320"/>
      <c r="AJ459" s="320"/>
      <c r="AK459" s="320"/>
      <c r="AL459" s="320"/>
      <c r="AM459" s="320"/>
      <c r="AN459" s="320"/>
      <c r="AO459" s="320"/>
      <c r="AP459" s="320"/>
      <c r="AQ459" s="320"/>
      <c r="AR459" s="320"/>
      <c r="AS459" s="320"/>
      <c r="AT459" s="320"/>
      <c r="AU459" s="321"/>
    </row>
    <row r="460">
      <c r="A460" s="319"/>
      <c r="B460" s="320"/>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c r="AA460" s="320"/>
      <c r="AB460" s="320"/>
      <c r="AC460" s="320"/>
      <c r="AD460" s="320"/>
      <c r="AE460" s="320"/>
      <c r="AF460" s="320"/>
      <c r="AG460" s="320"/>
      <c r="AH460" s="320"/>
      <c r="AI460" s="320"/>
      <c r="AJ460" s="320"/>
      <c r="AK460" s="320"/>
      <c r="AL460" s="320"/>
      <c r="AM460" s="320"/>
      <c r="AN460" s="320"/>
      <c r="AO460" s="320"/>
      <c r="AP460" s="320"/>
      <c r="AQ460" s="320"/>
      <c r="AR460" s="320"/>
      <c r="AS460" s="320"/>
      <c r="AT460" s="320"/>
      <c r="AU460" s="321"/>
    </row>
    <row r="461">
      <c r="A461" s="319"/>
      <c r="B461" s="320"/>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c r="AA461" s="320"/>
      <c r="AB461" s="320"/>
      <c r="AC461" s="320"/>
      <c r="AD461" s="320"/>
      <c r="AE461" s="320"/>
      <c r="AF461" s="320"/>
      <c r="AG461" s="320"/>
      <c r="AH461" s="320"/>
      <c r="AI461" s="320"/>
      <c r="AJ461" s="320"/>
      <c r="AK461" s="320"/>
      <c r="AL461" s="320"/>
      <c r="AM461" s="320"/>
      <c r="AN461" s="320"/>
      <c r="AO461" s="320"/>
      <c r="AP461" s="320"/>
      <c r="AQ461" s="320"/>
      <c r="AR461" s="320"/>
      <c r="AS461" s="320"/>
      <c r="AT461" s="320"/>
      <c r="AU461" s="321"/>
    </row>
    <row r="462">
      <c r="A462" s="319"/>
      <c r="B462" s="320"/>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c r="AA462" s="320"/>
      <c r="AB462" s="320"/>
      <c r="AC462" s="320"/>
      <c r="AD462" s="320"/>
      <c r="AE462" s="320"/>
      <c r="AF462" s="320"/>
      <c r="AG462" s="320"/>
      <c r="AH462" s="320"/>
      <c r="AI462" s="320"/>
      <c r="AJ462" s="320"/>
      <c r="AK462" s="320"/>
      <c r="AL462" s="320"/>
      <c r="AM462" s="320"/>
      <c r="AN462" s="320"/>
      <c r="AO462" s="320"/>
      <c r="AP462" s="320"/>
      <c r="AQ462" s="320"/>
      <c r="AR462" s="320"/>
      <c r="AS462" s="320"/>
      <c r="AT462" s="320"/>
      <c r="AU462" s="321"/>
    </row>
    <row r="463">
      <c r="A463" s="319"/>
      <c r="B463" s="320"/>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c r="AA463" s="320"/>
      <c r="AB463" s="320"/>
      <c r="AC463" s="320"/>
      <c r="AD463" s="320"/>
      <c r="AE463" s="320"/>
      <c r="AF463" s="320"/>
      <c r="AG463" s="320"/>
      <c r="AH463" s="320"/>
      <c r="AI463" s="320"/>
      <c r="AJ463" s="320"/>
      <c r="AK463" s="320"/>
      <c r="AL463" s="320"/>
      <c r="AM463" s="320"/>
      <c r="AN463" s="320"/>
      <c r="AO463" s="320"/>
      <c r="AP463" s="320"/>
      <c r="AQ463" s="320"/>
      <c r="AR463" s="320"/>
      <c r="AS463" s="320"/>
      <c r="AT463" s="320"/>
      <c r="AU463" s="321"/>
    </row>
    <row r="464">
      <c r="A464" s="319"/>
      <c r="B464" s="320"/>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c r="AA464" s="320"/>
      <c r="AB464" s="320"/>
      <c r="AC464" s="320"/>
      <c r="AD464" s="320"/>
      <c r="AE464" s="320"/>
      <c r="AF464" s="320"/>
      <c r="AG464" s="320"/>
      <c r="AH464" s="320"/>
      <c r="AI464" s="320"/>
      <c r="AJ464" s="320"/>
      <c r="AK464" s="320"/>
      <c r="AL464" s="320"/>
      <c r="AM464" s="320"/>
      <c r="AN464" s="320"/>
      <c r="AO464" s="320"/>
      <c r="AP464" s="320"/>
      <c r="AQ464" s="320"/>
      <c r="AR464" s="320"/>
      <c r="AS464" s="320"/>
      <c r="AT464" s="320"/>
      <c r="AU464" s="321"/>
    </row>
    <row r="465">
      <c r="A465" s="319"/>
      <c r="B465" s="320"/>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c r="AA465" s="320"/>
      <c r="AB465" s="320"/>
      <c r="AC465" s="320"/>
      <c r="AD465" s="320"/>
      <c r="AE465" s="320"/>
      <c r="AF465" s="320"/>
      <c r="AG465" s="320"/>
      <c r="AH465" s="320"/>
      <c r="AI465" s="320"/>
      <c r="AJ465" s="320"/>
      <c r="AK465" s="320"/>
      <c r="AL465" s="320"/>
      <c r="AM465" s="320"/>
      <c r="AN465" s="320"/>
      <c r="AO465" s="320"/>
      <c r="AP465" s="320"/>
      <c r="AQ465" s="320"/>
      <c r="AR465" s="320"/>
      <c r="AS465" s="320"/>
      <c r="AT465" s="320"/>
      <c r="AU465" s="321"/>
    </row>
    <row r="466">
      <c r="A466" s="319"/>
      <c r="B466" s="320"/>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c r="AA466" s="320"/>
      <c r="AB466" s="320"/>
      <c r="AC466" s="320"/>
      <c r="AD466" s="320"/>
      <c r="AE466" s="320"/>
      <c r="AF466" s="320"/>
      <c r="AG466" s="320"/>
      <c r="AH466" s="320"/>
      <c r="AI466" s="320"/>
      <c r="AJ466" s="320"/>
      <c r="AK466" s="320"/>
      <c r="AL466" s="320"/>
      <c r="AM466" s="320"/>
      <c r="AN466" s="320"/>
      <c r="AO466" s="320"/>
      <c r="AP466" s="320"/>
      <c r="AQ466" s="320"/>
      <c r="AR466" s="320"/>
      <c r="AS466" s="320"/>
      <c r="AT466" s="320"/>
      <c r="AU466" s="321"/>
    </row>
    <row r="467">
      <c r="A467" s="319"/>
      <c r="B467" s="320"/>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c r="AA467" s="320"/>
      <c r="AB467" s="320"/>
      <c r="AC467" s="320"/>
      <c r="AD467" s="320"/>
      <c r="AE467" s="320"/>
      <c r="AF467" s="320"/>
      <c r="AG467" s="320"/>
      <c r="AH467" s="320"/>
      <c r="AI467" s="320"/>
      <c r="AJ467" s="320"/>
      <c r="AK467" s="320"/>
      <c r="AL467" s="320"/>
      <c r="AM467" s="320"/>
      <c r="AN467" s="320"/>
      <c r="AO467" s="320"/>
      <c r="AP467" s="320"/>
      <c r="AQ467" s="320"/>
      <c r="AR467" s="320"/>
      <c r="AS467" s="320"/>
      <c r="AT467" s="320"/>
      <c r="AU467" s="321"/>
    </row>
    <row r="468">
      <c r="A468" s="319"/>
      <c r="B468" s="320"/>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c r="AA468" s="320"/>
      <c r="AB468" s="320"/>
      <c r="AC468" s="320"/>
      <c r="AD468" s="320"/>
      <c r="AE468" s="320"/>
      <c r="AF468" s="320"/>
      <c r="AG468" s="320"/>
      <c r="AH468" s="320"/>
      <c r="AI468" s="320"/>
      <c r="AJ468" s="320"/>
      <c r="AK468" s="320"/>
      <c r="AL468" s="320"/>
      <c r="AM468" s="320"/>
      <c r="AN468" s="320"/>
      <c r="AO468" s="320"/>
      <c r="AP468" s="320"/>
      <c r="AQ468" s="320"/>
      <c r="AR468" s="320"/>
      <c r="AS468" s="320"/>
      <c r="AT468" s="320"/>
      <c r="AU468" s="321"/>
    </row>
    <row r="469">
      <c r="A469" s="319"/>
      <c r="B469" s="320"/>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c r="AA469" s="320"/>
      <c r="AB469" s="320"/>
      <c r="AC469" s="320"/>
      <c r="AD469" s="320"/>
      <c r="AE469" s="320"/>
      <c r="AF469" s="320"/>
      <c r="AG469" s="320"/>
      <c r="AH469" s="320"/>
      <c r="AI469" s="320"/>
      <c r="AJ469" s="320"/>
      <c r="AK469" s="320"/>
      <c r="AL469" s="320"/>
      <c r="AM469" s="320"/>
      <c r="AN469" s="320"/>
      <c r="AO469" s="320"/>
      <c r="AP469" s="320"/>
      <c r="AQ469" s="320"/>
      <c r="AR469" s="320"/>
      <c r="AS469" s="320"/>
      <c r="AT469" s="320"/>
      <c r="AU469" s="321"/>
    </row>
    <row r="470">
      <c r="A470" s="319"/>
      <c r="B470" s="320"/>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c r="AA470" s="320"/>
      <c r="AB470" s="320"/>
      <c r="AC470" s="320"/>
      <c r="AD470" s="320"/>
      <c r="AE470" s="320"/>
      <c r="AF470" s="320"/>
      <c r="AG470" s="320"/>
      <c r="AH470" s="320"/>
      <c r="AI470" s="320"/>
      <c r="AJ470" s="320"/>
      <c r="AK470" s="320"/>
      <c r="AL470" s="320"/>
      <c r="AM470" s="320"/>
      <c r="AN470" s="320"/>
      <c r="AO470" s="320"/>
      <c r="AP470" s="320"/>
      <c r="AQ470" s="320"/>
      <c r="AR470" s="320"/>
      <c r="AS470" s="320"/>
      <c r="AT470" s="320"/>
      <c r="AU470" s="321"/>
    </row>
    <row r="471">
      <c r="A471" s="319"/>
      <c r="B471" s="320"/>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c r="AA471" s="320"/>
      <c r="AB471" s="320"/>
      <c r="AC471" s="320"/>
      <c r="AD471" s="320"/>
      <c r="AE471" s="320"/>
      <c r="AF471" s="320"/>
      <c r="AG471" s="320"/>
      <c r="AH471" s="320"/>
      <c r="AI471" s="320"/>
      <c r="AJ471" s="320"/>
      <c r="AK471" s="320"/>
      <c r="AL471" s="320"/>
      <c r="AM471" s="320"/>
      <c r="AN471" s="320"/>
      <c r="AO471" s="320"/>
      <c r="AP471" s="320"/>
      <c r="AQ471" s="320"/>
      <c r="AR471" s="320"/>
      <c r="AS471" s="320"/>
      <c r="AT471" s="320"/>
      <c r="AU471" s="321"/>
    </row>
    <row r="472">
      <c r="A472" s="319"/>
      <c r="B472" s="320"/>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c r="AA472" s="320"/>
      <c r="AB472" s="320"/>
      <c r="AC472" s="320"/>
      <c r="AD472" s="320"/>
      <c r="AE472" s="320"/>
      <c r="AF472" s="320"/>
      <c r="AG472" s="320"/>
      <c r="AH472" s="320"/>
      <c r="AI472" s="320"/>
      <c r="AJ472" s="320"/>
      <c r="AK472" s="320"/>
      <c r="AL472" s="320"/>
      <c r="AM472" s="320"/>
      <c r="AN472" s="320"/>
      <c r="AO472" s="320"/>
      <c r="AP472" s="320"/>
      <c r="AQ472" s="320"/>
      <c r="AR472" s="320"/>
      <c r="AS472" s="320"/>
      <c r="AT472" s="320"/>
      <c r="AU472" s="321"/>
    </row>
    <row r="473">
      <c r="A473" s="319"/>
      <c r="B473" s="320"/>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c r="AA473" s="320"/>
      <c r="AB473" s="320"/>
      <c r="AC473" s="320"/>
      <c r="AD473" s="320"/>
      <c r="AE473" s="320"/>
      <c r="AF473" s="320"/>
      <c r="AG473" s="320"/>
      <c r="AH473" s="320"/>
      <c r="AI473" s="320"/>
      <c r="AJ473" s="320"/>
      <c r="AK473" s="320"/>
      <c r="AL473" s="320"/>
      <c r="AM473" s="320"/>
      <c r="AN473" s="320"/>
      <c r="AO473" s="320"/>
      <c r="AP473" s="320"/>
      <c r="AQ473" s="320"/>
      <c r="AR473" s="320"/>
      <c r="AS473" s="320"/>
      <c r="AT473" s="320"/>
      <c r="AU473" s="321"/>
    </row>
    <row r="474">
      <c r="A474" s="319"/>
      <c r="B474" s="320"/>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c r="AA474" s="320"/>
      <c r="AB474" s="320"/>
      <c r="AC474" s="320"/>
      <c r="AD474" s="320"/>
      <c r="AE474" s="320"/>
      <c r="AF474" s="320"/>
      <c r="AG474" s="320"/>
      <c r="AH474" s="320"/>
      <c r="AI474" s="320"/>
      <c r="AJ474" s="320"/>
      <c r="AK474" s="320"/>
      <c r="AL474" s="320"/>
      <c r="AM474" s="320"/>
      <c r="AN474" s="320"/>
      <c r="AO474" s="320"/>
      <c r="AP474" s="320"/>
      <c r="AQ474" s="320"/>
      <c r="AR474" s="320"/>
      <c r="AS474" s="320"/>
      <c r="AT474" s="320"/>
      <c r="AU474" s="321"/>
    </row>
    <row r="475">
      <c r="A475" s="319"/>
      <c r="B475" s="320"/>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c r="AA475" s="320"/>
      <c r="AB475" s="320"/>
      <c r="AC475" s="320"/>
      <c r="AD475" s="320"/>
      <c r="AE475" s="320"/>
      <c r="AF475" s="320"/>
      <c r="AG475" s="320"/>
      <c r="AH475" s="320"/>
      <c r="AI475" s="320"/>
      <c r="AJ475" s="320"/>
      <c r="AK475" s="320"/>
      <c r="AL475" s="320"/>
      <c r="AM475" s="320"/>
      <c r="AN475" s="320"/>
      <c r="AO475" s="320"/>
      <c r="AP475" s="320"/>
      <c r="AQ475" s="320"/>
      <c r="AR475" s="320"/>
      <c r="AS475" s="320"/>
      <c r="AT475" s="320"/>
      <c r="AU475" s="321"/>
    </row>
    <row r="476">
      <c r="A476" s="319"/>
      <c r="B476" s="320"/>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c r="AA476" s="320"/>
      <c r="AB476" s="320"/>
      <c r="AC476" s="320"/>
      <c r="AD476" s="320"/>
      <c r="AE476" s="320"/>
      <c r="AF476" s="320"/>
      <c r="AG476" s="320"/>
      <c r="AH476" s="320"/>
      <c r="AI476" s="320"/>
      <c r="AJ476" s="320"/>
      <c r="AK476" s="320"/>
      <c r="AL476" s="320"/>
      <c r="AM476" s="320"/>
      <c r="AN476" s="320"/>
      <c r="AO476" s="320"/>
      <c r="AP476" s="320"/>
      <c r="AQ476" s="320"/>
      <c r="AR476" s="320"/>
      <c r="AS476" s="320"/>
      <c r="AT476" s="320"/>
      <c r="AU476" s="321"/>
    </row>
    <row r="477">
      <c r="A477" s="319"/>
      <c r="B477" s="320"/>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c r="AA477" s="320"/>
      <c r="AB477" s="320"/>
      <c r="AC477" s="320"/>
      <c r="AD477" s="320"/>
      <c r="AE477" s="320"/>
      <c r="AF477" s="320"/>
      <c r="AG477" s="320"/>
      <c r="AH477" s="320"/>
      <c r="AI477" s="320"/>
      <c r="AJ477" s="320"/>
      <c r="AK477" s="320"/>
      <c r="AL477" s="320"/>
      <c r="AM477" s="320"/>
      <c r="AN477" s="320"/>
      <c r="AO477" s="320"/>
      <c r="AP477" s="320"/>
      <c r="AQ477" s="320"/>
      <c r="AR477" s="320"/>
      <c r="AS477" s="320"/>
      <c r="AT477" s="320"/>
      <c r="AU477" s="321"/>
    </row>
    <row r="478">
      <c r="A478" s="319"/>
      <c r="B478" s="320"/>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c r="AA478" s="320"/>
      <c r="AB478" s="320"/>
      <c r="AC478" s="320"/>
      <c r="AD478" s="320"/>
      <c r="AE478" s="320"/>
      <c r="AF478" s="320"/>
      <c r="AG478" s="320"/>
      <c r="AH478" s="320"/>
      <c r="AI478" s="320"/>
      <c r="AJ478" s="320"/>
      <c r="AK478" s="320"/>
      <c r="AL478" s="320"/>
      <c r="AM478" s="320"/>
      <c r="AN478" s="320"/>
      <c r="AO478" s="320"/>
      <c r="AP478" s="320"/>
      <c r="AQ478" s="320"/>
      <c r="AR478" s="320"/>
      <c r="AS478" s="320"/>
      <c r="AT478" s="320"/>
      <c r="AU478" s="321"/>
    </row>
    <row r="479">
      <c r="A479" s="319"/>
      <c r="B479" s="320"/>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c r="AA479" s="320"/>
      <c r="AB479" s="320"/>
      <c r="AC479" s="320"/>
      <c r="AD479" s="320"/>
      <c r="AE479" s="320"/>
      <c r="AF479" s="320"/>
      <c r="AG479" s="320"/>
      <c r="AH479" s="320"/>
      <c r="AI479" s="320"/>
      <c r="AJ479" s="320"/>
      <c r="AK479" s="320"/>
      <c r="AL479" s="320"/>
      <c r="AM479" s="320"/>
      <c r="AN479" s="320"/>
      <c r="AO479" s="320"/>
      <c r="AP479" s="320"/>
      <c r="AQ479" s="320"/>
      <c r="AR479" s="320"/>
      <c r="AS479" s="320"/>
      <c r="AT479" s="320"/>
      <c r="AU479" s="321"/>
    </row>
    <row r="480">
      <c r="A480" s="319"/>
      <c r="B480" s="320"/>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c r="AA480" s="320"/>
      <c r="AB480" s="320"/>
      <c r="AC480" s="320"/>
      <c r="AD480" s="320"/>
      <c r="AE480" s="320"/>
      <c r="AF480" s="320"/>
      <c r="AG480" s="320"/>
      <c r="AH480" s="320"/>
      <c r="AI480" s="320"/>
      <c r="AJ480" s="320"/>
      <c r="AK480" s="320"/>
      <c r="AL480" s="320"/>
      <c r="AM480" s="320"/>
      <c r="AN480" s="320"/>
      <c r="AO480" s="320"/>
      <c r="AP480" s="320"/>
      <c r="AQ480" s="320"/>
      <c r="AR480" s="320"/>
      <c r="AS480" s="320"/>
      <c r="AT480" s="320"/>
      <c r="AU480" s="321"/>
    </row>
    <row r="481">
      <c r="A481" s="319"/>
      <c r="B481" s="320"/>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c r="AA481" s="320"/>
      <c r="AB481" s="320"/>
      <c r="AC481" s="320"/>
      <c r="AD481" s="320"/>
      <c r="AE481" s="320"/>
      <c r="AF481" s="320"/>
      <c r="AG481" s="320"/>
      <c r="AH481" s="320"/>
      <c r="AI481" s="320"/>
      <c r="AJ481" s="320"/>
      <c r="AK481" s="320"/>
      <c r="AL481" s="320"/>
      <c r="AM481" s="320"/>
      <c r="AN481" s="320"/>
      <c r="AO481" s="320"/>
      <c r="AP481" s="320"/>
      <c r="AQ481" s="320"/>
      <c r="AR481" s="320"/>
      <c r="AS481" s="320"/>
      <c r="AT481" s="320"/>
      <c r="AU481" s="321"/>
    </row>
    <row r="482">
      <c r="A482" s="319"/>
      <c r="B482" s="320"/>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c r="AA482" s="320"/>
      <c r="AB482" s="320"/>
      <c r="AC482" s="320"/>
      <c r="AD482" s="320"/>
      <c r="AE482" s="320"/>
      <c r="AF482" s="320"/>
      <c r="AG482" s="320"/>
      <c r="AH482" s="320"/>
      <c r="AI482" s="320"/>
      <c r="AJ482" s="320"/>
      <c r="AK482" s="320"/>
      <c r="AL482" s="320"/>
      <c r="AM482" s="320"/>
      <c r="AN482" s="320"/>
      <c r="AO482" s="320"/>
      <c r="AP482" s="320"/>
      <c r="AQ482" s="320"/>
      <c r="AR482" s="320"/>
      <c r="AS482" s="320"/>
      <c r="AT482" s="320"/>
      <c r="AU482" s="321"/>
    </row>
    <row r="483">
      <c r="A483" s="319"/>
      <c r="B483" s="320"/>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c r="AA483" s="320"/>
      <c r="AB483" s="320"/>
      <c r="AC483" s="320"/>
      <c r="AD483" s="320"/>
      <c r="AE483" s="320"/>
      <c r="AF483" s="320"/>
      <c r="AG483" s="320"/>
      <c r="AH483" s="320"/>
      <c r="AI483" s="320"/>
      <c r="AJ483" s="320"/>
      <c r="AK483" s="320"/>
      <c r="AL483" s="320"/>
      <c r="AM483" s="320"/>
      <c r="AN483" s="320"/>
      <c r="AO483" s="320"/>
      <c r="AP483" s="320"/>
      <c r="AQ483" s="320"/>
      <c r="AR483" s="320"/>
      <c r="AS483" s="320"/>
      <c r="AT483" s="320"/>
      <c r="AU483" s="321"/>
    </row>
    <row r="484">
      <c r="A484" s="319"/>
      <c r="B484" s="320"/>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c r="AA484" s="320"/>
      <c r="AB484" s="320"/>
      <c r="AC484" s="320"/>
      <c r="AD484" s="320"/>
      <c r="AE484" s="320"/>
      <c r="AF484" s="320"/>
      <c r="AG484" s="320"/>
      <c r="AH484" s="320"/>
      <c r="AI484" s="320"/>
      <c r="AJ484" s="320"/>
      <c r="AK484" s="320"/>
      <c r="AL484" s="320"/>
      <c r="AM484" s="320"/>
      <c r="AN484" s="320"/>
      <c r="AO484" s="320"/>
      <c r="AP484" s="320"/>
      <c r="AQ484" s="320"/>
      <c r="AR484" s="320"/>
      <c r="AS484" s="320"/>
      <c r="AT484" s="320"/>
      <c r="AU484" s="321"/>
    </row>
    <row r="485">
      <c r="A485" s="319"/>
      <c r="B485" s="320"/>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c r="AA485" s="320"/>
      <c r="AB485" s="320"/>
      <c r="AC485" s="320"/>
      <c r="AD485" s="320"/>
      <c r="AE485" s="320"/>
      <c r="AF485" s="320"/>
      <c r="AG485" s="320"/>
      <c r="AH485" s="320"/>
      <c r="AI485" s="320"/>
      <c r="AJ485" s="320"/>
      <c r="AK485" s="320"/>
      <c r="AL485" s="320"/>
      <c r="AM485" s="320"/>
      <c r="AN485" s="320"/>
      <c r="AO485" s="320"/>
      <c r="AP485" s="320"/>
      <c r="AQ485" s="320"/>
      <c r="AR485" s="320"/>
      <c r="AS485" s="320"/>
      <c r="AT485" s="320"/>
      <c r="AU485" s="321"/>
    </row>
    <row r="486">
      <c r="A486" s="319"/>
      <c r="B486" s="320"/>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c r="AA486" s="320"/>
      <c r="AB486" s="320"/>
      <c r="AC486" s="320"/>
      <c r="AD486" s="320"/>
      <c r="AE486" s="320"/>
      <c r="AF486" s="320"/>
      <c r="AG486" s="320"/>
      <c r="AH486" s="320"/>
      <c r="AI486" s="320"/>
      <c r="AJ486" s="320"/>
      <c r="AK486" s="320"/>
      <c r="AL486" s="320"/>
      <c r="AM486" s="320"/>
      <c r="AN486" s="320"/>
      <c r="AO486" s="320"/>
      <c r="AP486" s="320"/>
      <c r="AQ486" s="320"/>
      <c r="AR486" s="320"/>
      <c r="AS486" s="320"/>
      <c r="AT486" s="320"/>
      <c r="AU486" s="321"/>
    </row>
    <row r="487">
      <c r="A487" s="319"/>
      <c r="B487" s="320"/>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c r="AA487" s="320"/>
      <c r="AB487" s="320"/>
      <c r="AC487" s="320"/>
      <c r="AD487" s="320"/>
      <c r="AE487" s="320"/>
      <c r="AF487" s="320"/>
      <c r="AG487" s="320"/>
      <c r="AH487" s="320"/>
      <c r="AI487" s="320"/>
      <c r="AJ487" s="320"/>
      <c r="AK487" s="320"/>
      <c r="AL487" s="320"/>
      <c r="AM487" s="320"/>
      <c r="AN487" s="320"/>
      <c r="AO487" s="320"/>
      <c r="AP487" s="320"/>
      <c r="AQ487" s="320"/>
      <c r="AR487" s="320"/>
      <c r="AS487" s="320"/>
      <c r="AT487" s="320"/>
      <c r="AU487" s="321"/>
    </row>
    <row r="488">
      <c r="A488" s="319"/>
      <c r="B488" s="320"/>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c r="AA488" s="320"/>
      <c r="AB488" s="320"/>
      <c r="AC488" s="320"/>
      <c r="AD488" s="320"/>
      <c r="AE488" s="320"/>
      <c r="AF488" s="320"/>
      <c r="AG488" s="320"/>
      <c r="AH488" s="320"/>
      <c r="AI488" s="320"/>
      <c r="AJ488" s="320"/>
      <c r="AK488" s="320"/>
      <c r="AL488" s="320"/>
      <c r="AM488" s="320"/>
      <c r="AN488" s="320"/>
      <c r="AO488" s="320"/>
      <c r="AP488" s="320"/>
      <c r="AQ488" s="320"/>
      <c r="AR488" s="320"/>
      <c r="AS488" s="320"/>
      <c r="AT488" s="320"/>
      <c r="AU488" s="321"/>
    </row>
    <row r="489">
      <c r="A489" s="319"/>
      <c r="B489" s="320"/>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c r="AA489" s="320"/>
      <c r="AB489" s="320"/>
      <c r="AC489" s="320"/>
      <c r="AD489" s="320"/>
      <c r="AE489" s="320"/>
      <c r="AF489" s="320"/>
      <c r="AG489" s="320"/>
      <c r="AH489" s="320"/>
      <c r="AI489" s="320"/>
      <c r="AJ489" s="320"/>
      <c r="AK489" s="320"/>
      <c r="AL489" s="320"/>
      <c r="AM489" s="320"/>
      <c r="AN489" s="320"/>
      <c r="AO489" s="320"/>
      <c r="AP489" s="320"/>
      <c r="AQ489" s="320"/>
      <c r="AR489" s="320"/>
      <c r="AS489" s="320"/>
      <c r="AT489" s="320"/>
      <c r="AU489" s="321"/>
    </row>
    <row r="490">
      <c r="A490" s="319"/>
      <c r="B490" s="320"/>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c r="AA490" s="320"/>
      <c r="AB490" s="320"/>
      <c r="AC490" s="320"/>
      <c r="AD490" s="320"/>
      <c r="AE490" s="320"/>
      <c r="AF490" s="320"/>
      <c r="AG490" s="320"/>
      <c r="AH490" s="320"/>
      <c r="AI490" s="320"/>
      <c r="AJ490" s="320"/>
      <c r="AK490" s="320"/>
      <c r="AL490" s="320"/>
      <c r="AM490" s="320"/>
      <c r="AN490" s="320"/>
      <c r="AO490" s="320"/>
      <c r="AP490" s="320"/>
      <c r="AQ490" s="320"/>
      <c r="AR490" s="320"/>
      <c r="AS490" s="320"/>
      <c r="AT490" s="320"/>
      <c r="AU490" s="321"/>
    </row>
    <row r="491">
      <c r="A491" s="319"/>
      <c r="B491" s="320"/>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c r="AA491" s="320"/>
      <c r="AB491" s="320"/>
      <c r="AC491" s="320"/>
      <c r="AD491" s="320"/>
      <c r="AE491" s="320"/>
      <c r="AF491" s="320"/>
      <c r="AG491" s="320"/>
      <c r="AH491" s="320"/>
      <c r="AI491" s="320"/>
      <c r="AJ491" s="320"/>
      <c r="AK491" s="320"/>
      <c r="AL491" s="320"/>
      <c r="AM491" s="320"/>
      <c r="AN491" s="320"/>
      <c r="AO491" s="320"/>
      <c r="AP491" s="320"/>
      <c r="AQ491" s="320"/>
      <c r="AR491" s="320"/>
      <c r="AS491" s="320"/>
      <c r="AT491" s="320"/>
      <c r="AU491" s="321"/>
    </row>
    <row r="492">
      <c r="A492" s="319"/>
      <c r="B492" s="320"/>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c r="AA492" s="320"/>
      <c r="AB492" s="320"/>
      <c r="AC492" s="320"/>
      <c r="AD492" s="320"/>
      <c r="AE492" s="320"/>
      <c r="AF492" s="320"/>
      <c r="AG492" s="320"/>
      <c r="AH492" s="320"/>
      <c r="AI492" s="320"/>
      <c r="AJ492" s="320"/>
      <c r="AK492" s="320"/>
      <c r="AL492" s="320"/>
      <c r="AM492" s="320"/>
      <c r="AN492" s="320"/>
      <c r="AO492" s="320"/>
      <c r="AP492" s="320"/>
      <c r="AQ492" s="320"/>
      <c r="AR492" s="320"/>
      <c r="AS492" s="320"/>
      <c r="AT492" s="320"/>
      <c r="AU492" s="321"/>
    </row>
    <row r="493">
      <c r="A493" s="319"/>
      <c r="B493" s="320"/>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c r="AA493" s="320"/>
      <c r="AB493" s="320"/>
      <c r="AC493" s="320"/>
      <c r="AD493" s="320"/>
      <c r="AE493" s="320"/>
      <c r="AF493" s="320"/>
      <c r="AG493" s="320"/>
      <c r="AH493" s="320"/>
      <c r="AI493" s="320"/>
      <c r="AJ493" s="320"/>
      <c r="AK493" s="320"/>
      <c r="AL493" s="320"/>
      <c r="AM493" s="320"/>
      <c r="AN493" s="320"/>
      <c r="AO493" s="320"/>
      <c r="AP493" s="320"/>
      <c r="AQ493" s="320"/>
      <c r="AR493" s="320"/>
      <c r="AS493" s="320"/>
      <c r="AT493" s="320"/>
      <c r="AU493" s="321"/>
    </row>
    <row r="494">
      <c r="A494" s="319"/>
      <c r="B494" s="320"/>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c r="AA494" s="320"/>
      <c r="AB494" s="320"/>
      <c r="AC494" s="320"/>
      <c r="AD494" s="320"/>
      <c r="AE494" s="320"/>
      <c r="AF494" s="320"/>
      <c r="AG494" s="320"/>
      <c r="AH494" s="320"/>
      <c r="AI494" s="320"/>
      <c r="AJ494" s="320"/>
      <c r="AK494" s="320"/>
      <c r="AL494" s="320"/>
      <c r="AM494" s="320"/>
      <c r="AN494" s="320"/>
      <c r="AO494" s="320"/>
      <c r="AP494" s="320"/>
      <c r="AQ494" s="320"/>
      <c r="AR494" s="320"/>
      <c r="AS494" s="320"/>
      <c r="AT494" s="320"/>
      <c r="AU494" s="321"/>
    </row>
    <row r="495">
      <c r="A495" s="319"/>
      <c r="B495" s="320"/>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c r="AA495" s="320"/>
      <c r="AB495" s="320"/>
      <c r="AC495" s="320"/>
      <c r="AD495" s="320"/>
      <c r="AE495" s="320"/>
      <c r="AF495" s="320"/>
      <c r="AG495" s="320"/>
      <c r="AH495" s="320"/>
      <c r="AI495" s="320"/>
      <c r="AJ495" s="320"/>
      <c r="AK495" s="320"/>
      <c r="AL495" s="320"/>
      <c r="AM495" s="320"/>
      <c r="AN495" s="320"/>
      <c r="AO495" s="320"/>
      <c r="AP495" s="320"/>
      <c r="AQ495" s="320"/>
      <c r="AR495" s="320"/>
      <c r="AS495" s="320"/>
      <c r="AT495" s="320"/>
      <c r="AU495" s="321"/>
    </row>
    <row r="496">
      <c r="A496" s="319"/>
      <c r="B496" s="320"/>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c r="AA496" s="320"/>
      <c r="AB496" s="320"/>
      <c r="AC496" s="320"/>
      <c r="AD496" s="320"/>
      <c r="AE496" s="320"/>
      <c r="AF496" s="320"/>
      <c r="AG496" s="320"/>
      <c r="AH496" s="320"/>
      <c r="AI496" s="320"/>
      <c r="AJ496" s="320"/>
      <c r="AK496" s="320"/>
      <c r="AL496" s="320"/>
      <c r="AM496" s="320"/>
      <c r="AN496" s="320"/>
      <c r="AO496" s="320"/>
      <c r="AP496" s="320"/>
      <c r="AQ496" s="320"/>
      <c r="AR496" s="320"/>
      <c r="AS496" s="320"/>
      <c r="AT496" s="320"/>
      <c r="AU496" s="321"/>
    </row>
    <row r="497">
      <c r="A497" s="319"/>
      <c r="B497" s="320"/>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c r="AA497" s="320"/>
      <c r="AB497" s="320"/>
      <c r="AC497" s="320"/>
      <c r="AD497" s="320"/>
      <c r="AE497" s="320"/>
      <c r="AF497" s="320"/>
      <c r="AG497" s="320"/>
      <c r="AH497" s="320"/>
      <c r="AI497" s="320"/>
      <c r="AJ497" s="320"/>
      <c r="AK497" s="320"/>
      <c r="AL497" s="320"/>
      <c r="AM497" s="320"/>
      <c r="AN497" s="320"/>
      <c r="AO497" s="320"/>
      <c r="AP497" s="320"/>
      <c r="AQ497" s="320"/>
      <c r="AR497" s="320"/>
      <c r="AS497" s="320"/>
      <c r="AT497" s="320"/>
      <c r="AU497" s="321"/>
    </row>
    <row r="498">
      <c r="A498" s="319"/>
      <c r="B498" s="320"/>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c r="AA498" s="320"/>
      <c r="AB498" s="320"/>
      <c r="AC498" s="320"/>
      <c r="AD498" s="320"/>
      <c r="AE498" s="320"/>
      <c r="AF498" s="320"/>
      <c r="AG498" s="320"/>
      <c r="AH498" s="320"/>
      <c r="AI498" s="320"/>
      <c r="AJ498" s="320"/>
      <c r="AK498" s="320"/>
      <c r="AL498" s="320"/>
      <c r="AM498" s="320"/>
      <c r="AN498" s="320"/>
      <c r="AO498" s="320"/>
      <c r="AP498" s="320"/>
      <c r="AQ498" s="320"/>
      <c r="AR498" s="320"/>
      <c r="AS498" s="320"/>
      <c r="AT498" s="320"/>
      <c r="AU498" s="321"/>
    </row>
    <row r="499">
      <c r="A499" s="319"/>
      <c r="B499" s="320"/>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c r="AA499" s="320"/>
      <c r="AB499" s="320"/>
      <c r="AC499" s="320"/>
      <c r="AD499" s="320"/>
      <c r="AE499" s="320"/>
      <c r="AF499" s="320"/>
      <c r="AG499" s="320"/>
      <c r="AH499" s="320"/>
      <c r="AI499" s="320"/>
      <c r="AJ499" s="320"/>
      <c r="AK499" s="320"/>
      <c r="AL499" s="320"/>
      <c r="AM499" s="320"/>
      <c r="AN499" s="320"/>
      <c r="AO499" s="320"/>
      <c r="AP499" s="320"/>
      <c r="AQ499" s="320"/>
      <c r="AR499" s="320"/>
      <c r="AS499" s="320"/>
      <c r="AT499" s="320"/>
      <c r="AU499" s="321"/>
    </row>
    <row r="500">
      <c r="A500" s="319"/>
      <c r="B500" s="320"/>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c r="AA500" s="320"/>
      <c r="AB500" s="320"/>
      <c r="AC500" s="320"/>
      <c r="AD500" s="320"/>
      <c r="AE500" s="320"/>
      <c r="AF500" s="320"/>
      <c r="AG500" s="320"/>
      <c r="AH500" s="320"/>
      <c r="AI500" s="320"/>
      <c r="AJ500" s="320"/>
      <c r="AK500" s="320"/>
      <c r="AL500" s="320"/>
      <c r="AM500" s="320"/>
      <c r="AN500" s="320"/>
      <c r="AO500" s="320"/>
      <c r="AP500" s="320"/>
      <c r="AQ500" s="320"/>
      <c r="AR500" s="320"/>
      <c r="AS500" s="320"/>
      <c r="AT500" s="320"/>
      <c r="AU500" s="321"/>
    </row>
    <row r="501">
      <c r="A501" s="319"/>
      <c r="B501" s="320"/>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c r="AA501" s="320"/>
      <c r="AB501" s="320"/>
      <c r="AC501" s="320"/>
      <c r="AD501" s="320"/>
      <c r="AE501" s="320"/>
      <c r="AF501" s="320"/>
      <c r="AG501" s="320"/>
      <c r="AH501" s="320"/>
      <c r="AI501" s="320"/>
      <c r="AJ501" s="320"/>
      <c r="AK501" s="320"/>
      <c r="AL501" s="320"/>
      <c r="AM501" s="320"/>
      <c r="AN501" s="320"/>
      <c r="AO501" s="320"/>
      <c r="AP501" s="320"/>
      <c r="AQ501" s="320"/>
      <c r="AR501" s="320"/>
      <c r="AS501" s="320"/>
      <c r="AT501" s="320"/>
      <c r="AU501" s="321"/>
    </row>
    <row r="502">
      <c r="A502" s="319"/>
      <c r="B502" s="320"/>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c r="AA502" s="320"/>
      <c r="AB502" s="320"/>
      <c r="AC502" s="320"/>
      <c r="AD502" s="320"/>
      <c r="AE502" s="320"/>
      <c r="AF502" s="320"/>
      <c r="AG502" s="320"/>
      <c r="AH502" s="320"/>
      <c r="AI502" s="320"/>
      <c r="AJ502" s="320"/>
      <c r="AK502" s="320"/>
      <c r="AL502" s="320"/>
      <c r="AM502" s="320"/>
      <c r="AN502" s="320"/>
      <c r="AO502" s="320"/>
      <c r="AP502" s="320"/>
      <c r="AQ502" s="320"/>
      <c r="AR502" s="320"/>
      <c r="AS502" s="320"/>
      <c r="AT502" s="320"/>
      <c r="AU502" s="321"/>
    </row>
    <row r="503">
      <c r="A503" s="319"/>
      <c r="B503" s="320"/>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c r="AA503" s="320"/>
      <c r="AB503" s="320"/>
      <c r="AC503" s="320"/>
      <c r="AD503" s="320"/>
      <c r="AE503" s="320"/>
      <c r="AF503" s="320"/>
      <c r="AG503" s="320"/>
      <c r="AH503" s="320"/>
      <c r="AI503" s="320"/>
      <c r="AJ503" s="320"/>
      <c r="AK503" s="320"/>
      <c r="AL503" s="320"/>
      <c r="AM503" s="320"/>
      <c r="AN503" s="320"/>
      <c r="AO503" s="320"/>
      <c r="AP503" s="320"/>
      <c r="AQ503" s="320"/>
      <c r="AR503" s="320"/>
      <c r="AS503" s="320"/>
      <c r="AT503" s="320"/>
      <c r="AU503" s="321"/>
    </row>
    <row r="504">
      <c r="A504" s="319"/>
      <c r="B504" s="320"/>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c r="AA504" s="320"/>
      <c r="AB504" s="320"/>
      <c r="AC504" s="320"/>
      <c r="AD504" s="320"/>
      <c r="AE504" s="320"/>
      <c r="AF504" s="320"/>
      <c r="AG504" s="320"/>
      <c r="AH504" s="320"/>
      <c r="AI504" s="320"/>
      <c r="AJ504" s="320"/>
      <c r="AK504" s="320"/>
      <c r="AL504" s="320"/>
      <c r="AM504" s="320"/>
      <c r="AN504" s="320"/>
      <c r="AO504" s="320"/>
      <c r="AP504" s="320"/>
      <c r="AQ504" s="320"/>
      <c r="AR504" s="320"/>
      <c r="AS504" s="320"/>
      <c r="AT504" s="320"/>
      <c r="AU504" s="321"/>
    </row>
    <row r="505">
      <c r="A505" s="319"/>
      <c r="B505" s="320"/>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c r="AA505" s="320"/>
      <c r="AB505" s="320"/>
      <c r="AC505" s="320"/>
      <c r="AD505" s="320"/>
      <c r="AE505" s="320"/>
      <c r="AF505" s="320"/>
      <c r="AG505" s="320"/>
      <c r="AH505" s="320"/>
      <c r="AI505" s="320"/>
      <c r="AJ505" s="320"/>
      <c r="AK505" s="320"/>
      <c r="AL505" s="320"/>
      <c r="AM505" s="320"/>
      <c r="AN505" s="320"/>
      <c r="AO505" s="320"/>
      <c r="AP505" s="320"/>
      <c r="AQ505" s="320"/>
      <c r="AR505" s="320"/>
      <c r="AS505" s="320"/>
      <c r="AT505" s="320"/>
      <c r="AU505" s="321"/>
    </row>
    <row r="506">
      <c r="A506" s="319"/>
      <c r="B506" s="320"/>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c r="AA506" s="320"/>
      <c r="AB506" s="320"/>
      <c r="AC506" s="320"/>
      <c r="AD506" s="320"/>
      <c r="AE506" s="320"/>
      <c r="AF506" s="320"/>
      <c r="AG506" s="320"/>
      <c r="AH506" s="320"/>
      <c r="AI506" s="320"/>
      <c r="AJ506" s="320"/>
      <c r="AK506" s="320"/>
      <c r="AL506" s="320"/>
      <c r="AM506" s="320"/>
      <c r="AN506" s="320"/>
      <c r="AO506" s="320"/>
      <c r="AP506" s="320"/>
      <c r="AQ506" s="320"/>
      <c r="AR506" s="320"/>
      <c r="AS506" s="320"/>
      <c r="AT506" s="320"/>
      <c r="AU506" s="321"/>
    </row>
    <row r="507">
      <c r="A507" s="319"/>
      <c r="B507" s="320"/>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c r="AA507" s="320"/>
      <c r="AB507" s="320"/>
      <c r="AC507" s="320"/>
      <c r="AD507" s="320"/>
      <c r="AE507" s="320"/>
      <c r="AF507" s="320"/>
      <c r="AG507" s="320"/>
      <c r="AH507" s="320"/>
      <c r="AI507" s="320"/>
      <c r="AJ507" s="320"/>
      <c r="AK507" s="320"/>
      <c r="AL507" s="320"/>
      <c r="AM507" s="320"/>
      <c r="AN507" s="320"/>
      <c r="AO507" s="320"/>
      <c r="AP507" s="320"/>
      <c r="AQ507" s="320"/>
      <c r="AR507" s="320"/>
      <c r="AS507" s="320"/>
      <c r="AT507" s="320"/>
      <c r="AU507" s="321"/>
    </row>
    <row r="508">
      <c r="A508" s="319"/>
      <c r="B508" s="320"/>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c r="AA508" s="320"/>
      <c r="AB508" s="320"/>
      <c r="AC508" s="320"/>
      <c r="AD508" s="320"/>
      <c r="AE508" s="320"/>
      <c r="AF508" s="320"/>
      <c r="AG508" s="320"/>
      <c r="AH508" s="320"/>
      <c r="AI508" s="320"/>
      <c r="AJ508" s="320"/>
      <c r="AK508" s="320"/>
      <c r="AL508" s="320"/>
      <c r="AM508" s="320"/>
      <c r="AN508" s="320"/>
      <c r="AO508" s="320"/>
      <c r="AP508" s="320"/>
      <c r="AQ508" s="320"/>
      <c r="AR508" s="320"/>
      <c r="AS508" s="320"/>
      <c r="AT508" s="320"/>
      <c r="AU508" s="321"/>
    </row>
    <row r="509">
      <c r="A509" s="319"/>
      <c r="B509" s="320"/>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c r="AA509" s="320"/>
      <c r="AB509" s="320"/>
      <c r="AC509" s="320"/>
      <c r="AD509" s="320"/>
      <c r="AE509" s="320"/>
      <c r="AF509" s="320"/>
      <c r="AG509" s="320"/>
      <c r="AH509" s="320"/>
      <c r="AI509" s="320"/>
      <c r="AJ509" s="320"/>
      <c r="AK509" s="320"/>
      <c r="AL509" s="320"/>
      <c r="AM509" s="320"/>
      <c r="AN509" s="320"/>
      <c r="AO509" s="320"/>
      <c r="AP509" s="320"/>
      <c r="AQ509" s="320"/>
      <c r="AR509" s="320"/>
      <c r="AS509" s="320"/>
      <c r="AT509" s="320"/>
      <c r="AU509" s="321"/>
    </row>
    <row r="510">
      <c r="A510" s="319"/>
      <c r="B510" s="320"/>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c r="AA510" s="320"/>
      <c r="AB510" s="320"/>
      <c r="AC510" s="320"/>
      <c r="AD510" s="320"/>
      <c r="AE510" s="320"/>
      <c r="AF510" s="320"/>
      <c r="AG510" s="320"/>
      <c r="AH510" s="320"/>
      <c r="AI510" s="320"/>
      <c r="AJ510" s="320"/>
      <c r="AK510" s="320"/>
      <c r="AL510" s="320"/>
      <c r="AM510" s="320"/>
      <c r="AN510" s="320"/>
      <c r="AO510" s="320"/>
      <c r="AP510" s="320"/>
      <c r="AQ510" s="320"/>
      <c r="AR510" s="320"/>
      <c r="AS510" s="320"/>
      <c r="AT510" s="320"/>
      <c r="AU510" s="321"/>
    </row>
    <row r="511">
      <c r="A511" s="319"/>
      <c r="B511" s="320"/>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c r="AA511" s="320"/>
      <c r="AB511" s="320"/>
      <c r="AC511" s="320"/>
      <c r="AD511" s="320"/>
      <c r="AE511" s="320"/>
      <c r="AF511" s="320"/>
      <c r="AG511" s="320"/>
      <c r="AH511" s="320"/>
      <c r="AI511" s="320"/>
      <c r="AJ511" s="320"/>
      <c r="AK511" s="320"/>
      <c r="AL511" s="320"/>
      <c r="AM511" s="320"/>
      <c r="AN511" s="320"/>
      <c r="AO511" s="320"/>
      <c r="AP511" s="320"/>
      <c r="AQ511" s="320"/>
      <c r="AR511" s="320"/>
      <c r="AS511" s="320"/>
      <c r="AT511" s="320"/>
      <c r="AU511" s="321"/>
    </row>
    <row r="512">
      <c r="A512" s="319"/>
      <c r="B512" s="320"/>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c r="AA512" s="320"/>
      <c r="AB512" s="320"/>
      <c r="AC512" s="320"/>
      <c r="AD512" s="320"/>
      <c r="AE512" s="320"/>
      <c r="AF512" s="320"/>
      <c r="AG512" s="320"/>
      <c r="AH512" s="320"/>
      <c r="AI512" s="320"/>
      <c r="AJ512" s="320"/>
      <c r="AK512" s="320"/>
      <c r="AL512" s="320"/>
      <c r="AM512" s="320"/>
      <c r="AN512" s="320"/>
      <c r="AO512" s="320"/>
      <c r="AP512" s="320"/>
      <c r="AQ512" s="320"/>
      <c r="AR512" s="320"/>
      <c r="AS512" s="320"/>
      <c r="AT512" s="320"/>
      <c r="AU512" s="321"/>
    </row>
    <row r="513">
      <c r="A513" s="319"/>
      <c r="B513" s="320"/>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c r="AA513" s="320"/>
      <c r="AB513" s="320"/>
      <c r="AC513" s="320"/>
      <c r="AD513" s="320"/>
      <c r="AE513" s="320"/>
      <c r="AF513" s="320"/>
      <c r="AG513" s="320"/>
      <c r="AH513" s="320"/>
      <c r="AI513" s="320"/>
      <c r="AJ513" s="320"/>
      <c r="AK513" s="320"/>
      <c r="AL513" s="320"/>
      <c r="AM513" s="320"/>
      <c r="AN513" s="320"/>
      <c r="AO513" s="320"/>
      <c r="AP513" s="320"/>
      <c r="AQ513" s="320"/>
      <c r="AR513" s="320"/>
      <c r="AS513" s="320"/>
      <c r="AT513" s="320"/>
      <c r="AU513" s="321"/>
    </row>
    <row r="514">
      <c r="A514" s="319"/>
      <c r="B514" s="320"/>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c r="AA514" s="320"/>
      <c r="AB514" s="320"/>
      <c r="AC514" s="320"/>
      <c r="AD514" s="320"/>
      <c r="AE514" s="320"/>
      <c r="AF514" s="320"/>
      <c r="AG514" s="320"/>
      <c r="AH514" s="320"/>
      <c r="AI514" s="320"/>
      <c r="AJ514" s="320"/>
      <c r="AK514" s="320"/>
      <c r="AL514" s="320"/>
      <c r="AM514" s="320"/>
      <c r="AN514" s="320"/>
      <c r="AO514" s="320"/>
      <c r="AP514" s="320"/>
      <c r="AQ514" s="320"/>
      <c r="AR514" s="320"/>
      <c r="AS514" s="320"/>
      <c r="AT514" s="320"/>
      <c r="AU514" s="321"/>
    </row>
    <row r="515">
      <c r="A515" s="319"/>
      <c r="B515" s="320"/>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c r="AA515" s="320"/>
      <c r="AB515" s="320"/>
      <c r="AC515" s="320"/>
      <c r="AD515" s="320"/>
      <c r="AE515" s="320"/>
      <c r="AF515" s="320"/>
      <c r="AG515" s="320"/>
      <c r="AH515" s="320"/>
      <c r="AI515" s="320"/>
      <c r="AJ515" s="320"/>
      <c r="AK515" s="320"/>
      <c r="AL515" s="320"/>
      <c r="AM515" s="320"/>
      <c r="AN515" s="320"/>
      <c r="AO515" s="320"/>
      <c r="AP515" s="320"/>
      <c r="AQ515" s="320"/>
      <c r="AR515" s="320"/>
      <c r="AS515" s="320"/>
      <c r="AT515" s="320"/>
      <c r="AU515" s="321"/>
    </row>
    <row r="516">
      <c r="A516" s="319"/>
      <c r="B516" s="320"/>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c r="AA516" s="320"/>
      <c r="AB516" s="320"/>
      <c r="AC516" s="320"/>
      <c r="AD516" s="320"/>
      <c r="AE516" s="320"/>
      <c r="AF516" s="320"/>
      <c r="AG516" s="320"/>
      <c r="AH516" s="320"/>
      <c r="AI516" s="320"/>
      <c r="AJ516" s="320"/>
      <c r="AK516" s="320"/>
      <c r="AL516" s="320"/>
      <c r="AM516" s="320"/>
      <c r="AN516" s="320"/>
      <c r="AO516" s="320"/>
      <c r="AP516" s="320"/>
      <c r="AQ516" s="320"/>
      <c r="AR516" s="320"/>
      <c r="AS516" s="320"/>
      <c r="AT516" s="320"/>
      <c r="AU516" s="321"/>
    </row>
    <row r="517">
      <c r="A517" s="319"/>
      <c r="B517" s="320"/>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c r="AA517" s="320"/>
      <c r="AB517" s="320"/>
      <c r="AC517" s="320"/>
      <c r="AD517" s="320"/>
      <c r="AE517" s="320"/>
      <c r="AF517" s="320"/>
      <c r="AG517" s="320"/>
      <c r="AH517" s="320"/>
      <c r="AI517" s="320"/>
      <c r="AJ517" s="320"/>
      <c r="AK517" s="320"/>
      <c r="AL517" s="320"/>
      <c r="AM517" s="320"/>
      <c r="AN517" s="320"/>
      <c r="AO517" s="320"/>
      <c r="AP517" s="320"/>
      <c r="AQ517" s="320"/>
      <c r="AR517" s="320"/>
      <c r="AS517" s="320"/>
      <c r="AT517" s="320"/>
      <c r="AU517" s="321"/>
    </row>
    <row r="518">
      <c r="A518" s="319"/>
      <c r="B518" s="320"/>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c r="AA518" s="320"/>
      <c r="AB518" s="320"/>
      <c r="AC518" s="320"/>
      <c r="AD518" s="320"/>
      <c r="AE518" s="320"/>
      <c r="AF518" s="320"/>
      <c r="AG518" s="320"/>
      <c r="AH518" s="320"/>
      <c r="AI518" s="320"/>
      <c r="AJ518" s="320"/>
      <c r="AK518" s="320"/>
      <c r="AL518" s="320"/>
      <c r="AM518" s="320"/>
      <c r="AN518" s="320"/>
      <c r="AO518" s="320"/>
      <c r="AP518" s="320"/>
      <c r="AQ518" s="320"/>
      <c r="AR518" s="320"/>
      <c r="AS518" s="320"/>
      <c r="AT518" s="320"/>
      <c r="AU518" s="321"/>
    </row>
    <row r="519">
      <c r="A519" s="319"/>
      <c r="B519" s="320"/>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c r="AA519" s="320"/>
      <c r="AB519" s="320"/>
      <c r="AC519" s="320"/>
      <c r="AD519" s="320"/>
      <c r="AE519" s="320"/>
      <c r="AF519" s="320"/>
      <c r="AG519" s="320"/>
      <c r="AH519" s="320"/>
      <c r="AI519" s="320"/>
      <c r="AJ519" s="320"/>
      <c r="AK519" s="320"/>
      <c r="AL519" s="320"/>
      <c r="AM519" s="320"/>
      <c r="AN519" s="320"/>
      <c r="AO519" s="320"/>
      <c r="AP519" s="320"/>
      <c r="AQ519" s="320"/>
      <c r="AR519" s="320"/>
      <c r="AS519" s="320"/>
      <c r="AT519" s="320"/>
      <c r="AU519" s="321"/>
    </row>
    <row r="520">
      <c r="A520" s="319"/>
      <c r="B520" s="320"/>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c r="AA520" s="320"/>
      <c r="AB520" s="320"/>
      <c r="AC520" s="320"/>
      <c r="AD520" s="320"/>
      <c r="AE520" s="320"/>
      <c r="AF520" s="320"/>
      <c r="AG520" s="320"/>
      <c r="AH520" s="320"/>
      <c r="AI520" s="320"/>
      <c r="AJ520" s="320"/>
      <c r="AK520" s="320"/>
      <c r="AL520" s="320"/>
      <c r="AM520" s="320"/>
      <c r="AN520" s="320"/>
      <c r="AO520" s="320"/>
      <c r="AP520" s="320"/>
      <c r="AQ520" s="320"/>
      <c r="AR520" s="320"/>
      <c r="AS520" s="320"/>
      <c r="AT520" s="320"/>
      <c r="AU520" s="321"/>
    </row>
    <row r="521">
      <c r="A521" s="319"/>
      <c r="B521" s="320"/>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c r="AA521" s="320"/>
      <c r="AB521" s="320"/>
      <c r="AC521" s="320"/>
      <c r="AD521" s="320"/>
      <c r="AE521" s="320"/>
      <c r="AF521" s="320"/>
      <c r="AG521" s="320"/>
      <c r="AH521" s="320"/>
      <c r="AI521" s="320"/>
      <c r="AJ521" s="320"/>
      <c r="AK521" s="320"/>
      <c r="AL521" s="320"/>
      <c r="AM521" s="320"/>
      <c r="AN521" s="320"/>
      <c r="AO521" s="320"/>
      <c r="AP521" s="320"/>
      <c r="AQ521" s="320"/>
      <c r="AR521" s="320"/>
      <c r="AS521" s="320"/>
      <c r="AT521" s="320"/>
      <c r="AU521" s="321"/>
    </row>
    <row r="522">
      <c r="A522" s="319"/>
      <c r="B522" s="320"/>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c r="AA522" s="320"/>
      <c r="AB522" s="320"/>
      <c r="AC522" s="320"/>
      <c r="AD522" s="320"/>
      <c r="AE522" s="320"/>
      <c r="AF522" s="320"/>
      <c r="AG522" s="320"/>
      <c r="AH522" s="320"/>
      <c r="AI522" s="320"/>
      <c r="AJ522" s="320"/>
      <c r="AK522" s="320"/>
      <c r="AL522" s="320"/>
      <c r="AM522" s="320"/>
      <c r="AN522" s="320"/>
      <c r="AO522" s="320"/>
      <c r="AP522" s="320"/>
      <c r="AQ522" s="320"/>
      <c r="AR522" s="320"/>
      <c r="AS522" s="320"/>
      <c r="AT522" s="320"/>
      <c r="AU522" s="321"/>
    </row>
    <row r="523">
      <c r="A523" s="319"/>
      <c r="B523" s="320"/>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c r="AA523" s="320"/>
      <c r="AB523" s="320"/>
      <c r="AC523" s="320"/>
      <c r="AD523" s="320"/>
      <c r="AE523" s="320"/>
      <c r="AF523" s="320"/>
      <c r="AG523" s="320"/>
      <c r="AH523" s="320"/>
      <c r="AI523" s="320"/>
      <c r="AJ523" s="320"/>
      <c r="AK523" s="320"/>
      <c r="AL523" s="320"/>
      <c r="AM523" s="320"/>
      <c r="AN523" s="320"/>
      <c r="AO523" s="320"/>
      <c r="AP523" s="320"/>
      <c r="AQ523" s="320"/>
      <c r="AR523" s="320"/>
      <c r="AS523" s="320"/>
      <c r="AT523" s="320"/>
      <c r="AU523" s="321"/>
    </row>
    <row r="524">
      <c r="A524" s="319"/>
      <c r="B524" s="320"/>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c r="AA524" s="320"/>
      <c r="AB524" s="320"/>
      <c r="AC524" s="320"/>
      <c r="AD524" s="320"/>
      <c r="AE524" s="320"/>
      <c r="AF524" s="320"/>
      <c r="AG524" s="320"/>
      <c r="AH524" s="320"/>
      <c r="AI524" s="320"/>
      <c r="AJ524" s="320"/>
      <c r="AK524" s="320"/>
      <c r="AL524" s="320"/>
      <c r="AM524" s="320"/>
      <c r="AN524" s="320"/>
      <c r="AO524" s="320"/>
      <c r="AP524" s="320"/>
      <c r="AQ524" s="320"/>
      <c r="AR524" s="320"/>
      <c r="AS524" s="320"/>
      <c r="AT524" s="320"/>
      <c r="AU524" s="321"/>
    </row>
    <row r="525">
      <c r="A525" s="319"/>
      <c r="B525" s="320"/>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c r="AA525" s="320"/>
      <c r="AB525" s="320"/>
      <c r="AC525" s="320"/>
      <c r="AD525" s="320"/>
      <c r="AE525" s="320"/>
      <c r="AF525" s="320"/>
      <c r="AG525" s="320"/>
      <c r="AH525" s="320"/>
      <c r="AI525" s="320"/>
      <c r="AJ525" s="320"/>
      <c r="AK525" s="320"/>
      <c r="AL525" s="320"/>
      <c r="AM525" s="320"/>
      <c r="AN525" s="320"/>
      <c r="AO525" s="320"/>
      <c r="AP525" s="320"/>
      <c r="AQ525" s="320"/>
      <c r="AR525" s="320"/>
      <c r="AS525" s="320"/>
      <c r="AT525" s="320"/>
      <c r="AU525" s="321"/>
    </row>
    <row r="526">
      <c r="A526" s="319"/>
      <c r="B526" s="320"/>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c r="AA526" s="320"/>
      <c r="AB526" s="320"/>
      <c r="AC526" s="320"/>
      <c r="AD526" s="320"/>
      <c r="AE526" s="320"/>
      <c r="AF526" s="320"/>
      <c r="AG526" s="320"/>
      <c r="AH526" s="320"/>
      <c r="AI526" s="320"/>
      <c r="AJ526" s="320"/>
      <c r="AK526" s="320"/>
      <c r="AL526" s="320"/>
      <c r="AM526" s="320"/>
      <c r="AN526" s="320"/>
      <c r="AO526" s="320"/>
      <c r="AP526" s="320"/>
      <c r="AQ526" s="320"/>
      <c r="AR526" s="320"/>
      <c r="AS526" s="320"/>
      <c r="AT526" s="320"/>
      <c r="AU526" s="321"/>
    </row>
    <row r="527">
      <c r="A527" s="319"/>
      <c r="B527" s="320"/>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c r="AA527" s="320"/>
      <c r="AB527" s="320"/>
      <c r="AC527" s="320"/>
      <c r="AD527" s="320"/>
      <c r="AE527" s="320"/>
      <c r="AF527" s="320"/>
      <c r="AG527" s="320"/>
      <c r="AH527" s="320"/>
      <c r="AI527" s="320"/>
      <c r="AJ527" s="320"/>
      <c r="AK527" s="320"/>
      <c r="AL527" s="320"/>
      <c r="AM527" s="320"/>
      <c r="AN527" s="320"/>
      <c r="AO527" s="320"/>
      <c r="AP527" s="320"/>
      <c r="AQ527" s="320"/>
      <c r="AR527" s="320"/>
      <c r="AS527" s="320"/>
      <c r="AT527" s="320"/>
      <c r="AU527" s="321"/>
    </row>
    <row r="528">
      <c r="A528" s="319"/>
      <c r="B528" s="320"/>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c r="AA528" s="320"/>
      <c r="AB528" s="320"/>
      <c r="AC528" s="320"/>
      <c r="AD528" s="320"/>
      <c r="AE528" s="320"/>
      <c r="AF528" s="320"/>
      <c r="AG528" s="320"/>
      <c r="AH528" s="320"/>
      <c r="AI528" s="320"/>
      <c r="AJ528" s="320"/>
      <c r="AK528" s="320"/>
      <c r="AL528" s="320"/>
      <c r="AM528" s="320"/>
      <c r="AN528" s="320"/>
      <c r="AO528" s="320"/>
      <c r="AP528" s="320"/>
      <c r="AQ528" s="320"/>
      <c r="AR528" s="320"/>
      <c r="AS528" s="320"/>
      <c r="AT528" s="320"/>
      <c r="AU528" s="321"/>
    </row>
    <row r="529">
      <c r="A529" s="319"/>
      <c r="B529" s="320"/>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c r="AA529" s="320"/>
      <c r="AB529" s="320"/>
      <c r="AC529" s="320"/>
      <c r="AD529" s="320"/>
      <c r="AE529" s="320"/>
      <c r="AF529" s="320"/>
      <c r="AG529" s="320"/>
      <c r="AH529" s="320"/>
      <c r="AI529" s="320"/>
      <c r="AJ529" s="320"/>
      <c r="AK529" s="320"/>
      <c r="AL529" s="320"/>
      <c r="AM529" s="320"/>
      <c r="AN529" s="320"/>
      <c r="AO529" s="320"/>
      <c r="AP529" s="320"/>
      <c r="AQ529" s="320"/>
      <c r="AR529" s="320"/>
      <c r="AS529" s="320"/>
      <c r="AT529" s="320"/>
      <c r="AU529" s="321"/>
    </row>
    <row r="530">
      <c r="A530" s="319"/>
      <c r="B530" s="320"/>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c r="AA530" s="320"/>
      <c r="AB530" s="320"/>
      <c r="AC530" s="320"/>
      <c r="AD530" s="320"/>
      <c r="AE530" s="320"/>
      <c r="AF530" s="320"/>
      <c r="AG530" s="320"/>
      <c r="AH530" s="320"/>
      <c r="AI530" s="320"/>
      <c r="AJ530" s="320"/>
      <c r="AK530" s="320"/>
      <c r="AL530" s="320"/>
      <c r="AM530" s="320"/>
      <c r="AN530" s="320"/>
      <c r="AO530" s="320"/>
      <c r="AP530" s="320"/>
      <c r="AQ530" s="320"/>
      <c r="AR530" s="320"/>
      <c r="AS530" s="320"/>
      <c r="AT530" s="320"/>
      <c r="AU530" s="321"/>
    </row>
    <row r="531">
      <c r="A531" s="319"/>
      <c r="B531" s="320"/>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c r="AA531" s="320"/>
      <c r="AB531" s="320"/>
      <c r="AC531" s="320"/>
      <c r="AD531" s="320"/>
      <c r="AE531" s="320"/>
      <c r="AF531" s="320"/>
      <c r="AG531" s="320"/>
      <c r="AH531" s="320"/>
      <c r="AI531" s="320"/>
      <c r="AJ531" s="320"/>
      <c r="AK531" s="320"/>
      <c r="AL531" s="320"/>
      <c r="AM531" s="320"/>
      <c r="AN531" s="320"/>
      <c r="AO531" s="320"/>
      <c r="AP531" s="320"/>
      <c r="AQ531" s="320"/>
      <c r="AR531" s="320"/>
      <c r="AS531" s="320"/>
      <c r="AT531" s="320"/>
      <c r="AU531" s="321"/>
    </row>
    <row r="532">
      <c r="A532" s="319"/>
      <c r="B532" s="320"/>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c r="AA532" s="320"/>
      <c r="AB532" s="320"/>
      <c r="AC532" s="320"/>
      <c r="AD532" s="320"/>
      <c r="AE532" s="320"/>
      <c r="AF532" s="320"/>
      <c r="AG532" s="320"/>
      <c r="AH532" s="320"/>
      <c r="AI532" s="320"/>
      <c r="AJ532" s="320"/>
      <c r="AK532" s="320"/>
      <c r="AL532" s="320"/>
      <c r="AM532" s="320"/>
      <c r="AN532" s="320"/>
      <c r="AO532" s="320"/>
      <c r="AP532" s="320"/>
      <c r="AQ532" s="320"/>
      <c r="AR532" s="320"/>
      <c r="AS532" s="320"/>
      <c r="AT532" s="320"/>
      <c r="AU532" s="321"/>
    </row>
    <row r="533">
      <c r="A533" s="319"/>
      <c r="B533" s="320"/>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c r="AA533" s="320"/>
      <c r="AB533" s="320"/>
      <c r="AC533" s="320"/>
      <c r="AD533" s="320"/>
      <c r="AE533" s="320"/>
      <c r="AF533" s="320"/>
      <c r="AG533" s="320"/>
      <c r="AH533" s="320"/>
      <c r="AI533" s="320"/>
      <c r="AJ533" s="320"/>
      <c r="AK533" s="320"/>
      <c r="AL533" s="320"/>
      <c r="AM533" s="320"/>
      <c r="AN533" s="320"/>
      <c r="AO533" s="320"/>
      <c r="AP533" s="320"/>
      <c r="AQ533" s="320"/>
      <c r="AR533" s="320"/>
      <c r="AS533" s="320"/>
      <c r="AT533" s="320"/>
      <c r="AU533" s="321"/>
    </row>
    <row r="534">
      <c r="A534" s="319"/>
      <c r="B534" s="320"/>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c r="AA534" s="320"/>
      <c r="AB534" s="320"/>
      <c r="AC534" s="320"/>
      <c r="AD534" s="320"/>
      <c r="AE534" s="320"/>
      <c r="AF534" s="320"/>
      <c r="AG534" s="320"/>
      <c r="AH534" s="320"/>
      <c r="AI534" s="320"/>
      <c r="AJ534" s="320"/>
      <c r="AK534" s="320"/>
      <c r="AL534" s="320"/>
      <c r="AM534" s="320"/>
      <c r="AN534" s="320"/>
      <c r="AO534" s="320"/>
      <c r="AP534" s="320"/>
      <c r="AQ534" s="320"/>
      <c r="AR534" s="320"/>
      <c r="AS534" s="320"/>
      <c r="AT534" s="320"/>
      <c r="AU534" s="321"/>
    </row>
    <row r="535">
      <c r="A535" s="319"/>
      <c r="B535" s="320"/>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c r="AA535" s="320"/>
      <c r="AB535" s="320"/>
      <c r="AC535" s="320"/>
      <c r="AD535" s="320"/>
      <c r="AE535" s="320"/>
      <c r="AF535" s="320"/>
      <c r="AG535" s="320"/>
      <c r="AH535" s="320"/>
      <c r="AI535" s="320"/>
      <c r="AJ535" s="320"/>
      <c r="AK535" s="320"/>
      <c r="AL535" s="320"/>
      <c r="AM535" s="320"/>
      <c r="AN535" s="320"/>
      <c r="AO535" s="320"/>
      <c r="AP535" s="320"/>
      <c r="AQ535" s="320"/>
      <c r="AR535" s="320"/>
      <c r="AS535" s="320"/>
      <c r="AT535" s="320"/>
      <c r="AU535" s="321"/>
    </row>
    <row r="536">
      <c r="A536" s="319"/>
      <c r="B536" s="320"/>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c r="AA536" s="320"/>
      <c r="AB536" s="320"/>
      <c r="AC536" s="320"/>
      <c r="AD536" s="320"/>
      <c r="AE536" s="320"/>
      <c r="AF536" s="320"/>
      <c r="AG536" s="320"/>
      <c r="AH536" s="320"/>
      <c r="AI536" s="320"/>
      <c r="AJ536" s="320"/>
      <c r="AK536" s="320"/>
      <c r="AL536" s="320"/>
      <c r="AM536" s="320"/>
      <c r="AN536" s="320"/>
      <c r="AO536" s="320"/>
      <c r="AP536" s="320"/>
      <c r="AQ536" s="320"/>
      <c r="AR536" s="320"/>
      <c r="AS536" s="320"/>
      <c r="AT536" s="320"/>
      <c r="AU536" s="321"/>
    </row>
    <row r="537">
      <c r="A537" s="319"/>
      <c r="B537" s="320"/>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c r="AA537" s="320"/>
      <c r="AB537" s="320"/>
      <c r="AC537" s="320"/>
      <c r="AD537" s="320"/>
      <c r="AE537" s="320"/>
      <c r="AF537" s="320"/>
      <c r="AG537" s="320"/>
      <c r="AH537" s="320"/>
      <c r="AI537" s="320"/>
      <c r="AJ537" s="320"/>
      <c r="AK537" s="320"/>
      <c r="AL537" s="320"/>
      <c r="AM537" s="320"/>
      <c r="AN537" s="320"/>
      <c r="AO537" s="320"/>
      <c r="AP537" s="320"/>
      <c r="AQ537" s="320"/>
      <c r="AR537" s="320"/>
      <c r="AS537" s="320"/>
      <c r="AT537" s="320"/>
      <c r="AU537" s="321"/>
    </row>
    <row r="538">
      <c r="A538" s="319"/>
      <c r="B538" s="320"/>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c r="AA538" s="320"/>
      <c r="AB538" s="320"/>
      <c r="AC538" s="320"/>
      <c r="AD538" s="320"/>
      <c r="AE538" s="320"/>
      <c r="AF538" s="320"/>
      <c r="AG538" s="320"/>
      <c r="AH538" s="320"/>
      <c r="AI538" s="320"/>
      <c r="AJ538" s="320"/>
      <c r="AK538" s="320"/>
      <c r="AL538" s="320"/>
      <c r="AM538" s="320"/>
      <c r="AN538" s="320"/>
      <c r="AO538" s="320"/>
      <c r="AP538" s="320"/>
      <c r="AQ538" s="320"/>
      <c r="AR538" s="320"/>
      <c r="AS538" s="320"/>
      <c r="AT538" s="320"/>
      <c r="AU538" s="321"/>
    </row>
    <row r="539">
      <c r="A539" s="319"/>
      <c r="B539" s="320"/>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c r="AA539" s="320"/>
      <c r="AB539" s="320"/>
      <c r="AC539" s="320"/>
      <c r="AD539" s="320"/>
      <c r="AE539" s="320"/>
      <c r="AF539" s="320"/>
      <c r="AG539" s="320"/>
      <c r="AH539" s="320"/>
      <c r="AI539" s="320"/>
      <c r="AJ539" s="320"/>
      <c r="AK539" s="320"/>
      <c r="AL539" s="320"/>
      <c r="AM539" s="320"/>
      <c r="AN539" s="320"/>
      <c r="AO539" s="320"/>
      <c r="AP539" s="320"/>
      <c r="AQ539" s="320"/>
      <c r="AR539" s="320"/>
      <c r="AS539" s="320"/>
      <c r="AT539" s="320"/>
      <c r="AU539" s="321"/>
    </row>
    <row r="540">
      <c r="A540" s="319"/>
      <c r="B540" s="320"/>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c r="AA540" s="320"/>
      <c r="AB540" s="320"/>
      <c r="AC540" s="320"/>
      <c r="AD540" s="320"/>
      <c r="AE540" s="320"/>
      <c r="AF540" s="320"/>
      <c r="AG540" s="320"/>
      <c r="AH540" s="320"/>
      <c r="AI540" s="320"/>
      <c r="AJ540" s="320"/>
      <c r="AK540" s="320"/>
      <c r="AL540" s="320"/>
      <c r="AM540" s="320"/>
      <c r="AN540" s="320"/>
      <c r="AO540" s="320"/>
      <c r="AP540" s="320"/>
      <c r="AQ540" s="320"/>
      <c r="AR540" s="320"/>
      <c r="AS540" s="320"/>
      <c r="AT540" s="320"/>
      <c r="AU540" s="321"/>
    </row>
    <row r="541">
      <c r="A541" s="319"/>
      <c r="B541" s="320"/>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c r="AA541" s="320"/>
      <c r="AB541" s="320"/>
      <c r="AC541" s="320"/>
      <c r="AD541" s="320"/>
      <c r="AE541" s="320"/>
      <c r="AF541" s="320"/>
      <c r="AG541" s="320"/>
      <c r="AH541" s="320"/>
      <c r="AI541" s="320"/>
      <c r="AJ541" s="320"/>
      <c r="AK541" s="320"/>
      <c r="AL541" s="320"/>
      <c r="AM541" s="320"/>
      <c r="AN541" s="320"/>
      <c r="AO541" s="320"/>
      <c r="AP541" s="320"/>
      <c r="AQ541" s="320"/>
      <c r="AR541" s="320"/>
      <c r="AS541" s="320"/>
      <c r="AT541" s="320"/>
      <c r="AU541" s="321"/>
    </row>
    <row r="542">
      <c r="A542" s="319"/>
      <c r="B542" s="320"/>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c r="AA542" s="320"/>
      <c r="AB542" s="320"/>
      <c r="AC542" s="320"/>
      <c r="AD542" s="320"/>
      <c r="AE542" s="320"/>
      <c r="AF542" s="320"/>
      <c r="AG542" s="320"/>
      <c r="AH542" s="320"/>
      <c r="AI542" s="320"/>
      <c r="AJ542" s="320"/>
      <c r="AK542" s="320"/>
      <c r="AL542" s="320"/>
      <c r="AM542" s="320"/>
      <c r="AN542" s="320"/>
      <c r="AO542" s="320"/>
      <c r="AP542" s="320"/>
      <c r="AQ542" s="320"/>
      <c r="AR542" s="320"/>
      <c r="AS542" s="320"/>
      <c r="AT542" s="320"/>
      <c r="AU542" s="321"/>
    </row>
    <row r="543">
      <c r="A543" s="319"/>
      <c r="B543" s="320"/>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c r="AA543" s="320"/>
      <c r="AB543" s="320"/>
      <c r="AC543" s="320"/>
      <c r="AD543" s="320"/>
      <c r="AE543" s="320"/>
      <c r="AF543" s="320"/>
      <c r="AG543" s="320"/>
      <c r="AH543" s="320"/>
      <c r="AI543" s="320"/>
      <c r="AJ543" s="320"/>
      <c r="AK543" s="320"/>
      <c r="AL543" s="320"/>
      <c r="AM543" s="320"/>
      <c r="AN543" s="320"/>
      <c r="AO543" s="320"/>
      <c r="AP543" s="320"/>
      <c r="AQ543" s="320"/>
      <c r="AR543" s="320"/>
      <c r="AS543" s="320"/>
      <c r="AT543" s="320"/>
      <c r="AU543" s="321"/>
    </row>
    <row r="544">
      <c r="A544" s="319"/>
      <c r="B544" s="320"/>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c r="AA544" s="320"/>
      <c r="AB544" s="320"/>
      <c r="AC544" s="320"/>
      <c r="AD544" s="320"/>
      <c r="AE544" s="320"/>
      <c r="AF544" s="320"/>
      <c r="AG544" s="320"/>
      <c r="AH544" s="320"/>
      <c r="AI544" s="320"/>
      <c r="AJ544" s="320"/>
      <c r="AK544" s="320"/>
      <c r="AL544" s="320"/>
      <c r="AM544" s="320"/>
      <c r="AN544" s="320"/>
      <c r="AO544" s="320"/>
      <c r="AP544" s="320"/>
      <c r="AQ544" s="320"/>
      <c r="AR544" s="320"/>
      <c r="AS544" s="320"/>
      <c r="AT544" s="320"/>
      <c r="AU544" s="321"/>
    </row>
    <row r="545">
      <c r="A545" s="319"/>
      <c r="B545" s="320"/>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c r="AA545" s="320"/>
      <c r="AB545" s="320"/>
      <c r="AC545" s="320"/>
      <c r="AD545" s="320"/>
      <c r="AE545" s="320"/>
      <c r="AF545" s="320"/>
      <c r="AG545" s="320"/>
      <c r="AH545" s="320"/>
      <c r="AI545" s="320"/>
      <c r="AJ545" s="320"/>
      <c r="AK545" s="320"/>
      <c r="AL545" s="320"/>
      <c r="AM545" s="320"/>
      <c r="AN545" s="320"/>
      <c r="AO545" s="320"/>
      <c r="AP545" s="320"/>
      <c r="AQ545" s="320"/>
      <c r="AR545" s="320"/>
      <c r="AS545" s="320"/>
      <c r="AT545" s="320"/>
      <c r="AU545" s="321"/>
    </row>
    <row r="546">
      <c r="A546" s="319"/>
      <c r="B546" s="320"/>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c r="AA546" s="320"/>
      <c r="AB546" s="320"/>
      <c r="AC546" s="320"/>
      <c r="AD546" s="320"/>
      <c r="AE546" s="320"/>
      <c r="AF546" s="320"/>
      <c r="AG546" s="320"/>
      <c r="AH546" s="320"/>
      <c r="AI546" s="320"/>
      <c r="AJ546" s="320"/>
      <c r="AK546" s="320"/>
      <c r="AL546" s="320"/>
      <c r="AM546" s="320"/>
      <c r="AN546" s="320"/>
      <c r="AO546" s="320"/>
      <c r="AP546" s="320"/>
      <c r="AQ546" s="320"/>
      <c r="AR546" s="320"/>
      <c r="AS546" s="320"/>
      <c r="AT546" s="320"/>
      <c r="AU546" s="321"/>
    </row>
    <row r="547">
      <c r="A547" s="319"/>
      <c r="B547" s="320"/>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c r="AA547" s="320"/>
      <c r="AB547" s="320"/>
      <c r="AC547" s="320"/>
      <c r="AD547" s="320"/>
      <c r="AE547" s="320"/>
      <c r="AF547" s="320"/>
      <c r="AG547" s="320"/>
      <c r="AH547" s="320"/>
      <c r="AI547" s="320"/>
      <c r="AJ547" s="320"/>
      <c r="AK547" s="320"/>
      <c r="AL547" s="320"/>
      <c r="AM547" s="320"/>
      <c r="AN547" s="320"/>
      <c r="AO547" s="320"/>
      <c r="AP547" s="320"/>
      <c r="AQ547" s="320"/>
      <c r="AR547" s="320"/>
      <c r="AS547" s="320"/>
      <c r="AT547" s="320"/>
      <c r="AU547" s="321"/>
    </row>
    <row r="548">
      <c r="A548" s="319"/>
      <c r="B548" s="320"/>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c r="AA548" s="320"/>
      <c r="AB548" s="320"/>
      <c r="AC548" s="320"/>
      <c r="AD548" s="320"/>
      <c r="AE548" s="320"/>
      <c r="AF548" s="320"/>
      <c r="AG548" s="320"/>
      <c r="AH548" s="320"/>
      <c r="AI548" s="320"/>
      <c r="AJ548" s="320"/>
      <c r="AK548" s="320"/>
      <c r="AL548" s="320"/>
      <c r="AM548" s="320"/>
      <c r="AN548" s="320"/>
      <c r="AO548" s="320"/>
      <c r="AP548" s="320"/>
      <c r="AQ548" s="320"/>
      <c r="AR548" s="320"/>
      <c r="AS548" s="320"/>
      <c r="AT548" s="320"/>
      <c r="AU548" s="321"/>
    </row>
    <row r="549">
      <c r="A549" s="319"/>
      <c r="B549" s="320"/>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c r="AA549" s="320"/>
      <c r="AB549" s="320"/>
      <c r="AC549" s="320"/>
      <c r="AD549" s="320"/>
      <c r="AE549" s="320"/>
      <c r="AF549" s="320"/>
      <c r="AG549" s="320"/>
      <c r="AH549" s="320"/>
      <c r="AI549" s="320"/>
      <c r="AJ549" s="320"/>
      <c r="AK549" s="320"/>
      <c r="AL549" s="320"/>
      <c r="AM549" s="320"/>
      <c r="AN549" s="320"/>
      <c r="AO549" s="320"/>
      <c r="AP549" s="320"/>
      <c r="AQ549" s="320"/>
      <c r="AR549" s="320"/>
      <c r="AS549" s="320"/>
      <c r="AT549" s="320"/>
      <c r="AU549" s="321"/>
    </row>
    <row r="550">
      <c r="A550" s="319"/>
      <c r="B550" s="320"/>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c r="AA550" s="320"/>
      <c r="AB550" s="320"/>
      <c r="AC550" s="320"/>
      <c r="AD550" s="320"/>
      <c r="AE550" s="320"/>
      <c r="AF550" s="320"/>
      <c r="AG550" s="320"/>
      <c r="AH550" s="320"/>
      <c r="AI550" s="320"/>
      <c r="AJ550" s="320"/>
      <c r="AK550" s="320"/>
      <c r="AL550" s="320"/>
      <c r="AM550" s="320"/>
      <c r="AN550" s="320"/>
      <c r="AO550" s="320"/>
      <c r="AP550" s="320"/>
      <c r="AQ550" s="320"/>
      <c r="AR550" s="320"/>
      <c r="AS550" s="320"/>
      <c r="AT550" s="320"/>
      <c r="AU550" s="321"/>
    </row>
    <row r="551">
      <c r="A551" s="319"/>
      <c r="B551" s="320"/>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c r="AA551" s="320"/>
      <c r="AB551" s="320"/>
      <c r="AC551" s="320"/>
      <c r="AD551" s="320"/>
      <c r="AE551" s="320"/>
      <c r="AF551" s="320"/>
      <c r="AG551" s="320"/>
      <c r="AH551" s="320"/>
      <c r="AI551" s="320"/>
      <c r="AJ551" s="320"/>
      <c r="AK551" s="320"/>
      <c r="AL551" s="320"/>
      <c r="AM551" s="320"/>
      <c r="AN551" s="320"/>
      <c r="AO551" s="320"/>
      <c r="AP551" s="320"/>
      <c r="AQ551" s="320"/>
      <c r="AR551" s="320"/>
      <c r="AS551" s="320"/>
      <c r="AT551" s="320"/>
      <c r="AU551" s="321"/>
    </row>
    <row r="552">
      <c r="A552" s="319"/>
      <c r="B552" s="320"/>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c r="AA552" s="320"/>
      <c r="AB552" s="320"/>
      <c r="AC552" s="320"/>
      <c r="AD552" s="320"/>
      <c r="AE552" s="320"/>
      <c r="AF552" s="320"/>
      <c r="AG552" s="320"/>
      <c r="AH552" s="320"/>
      <c r="AI552" s="320"/>
      <c r="AJ552" s="320"/>
      <c r="AK552" s="320"/>
      <c r="AL552" s="320"/>
      <c r="AM552" s="320"/>
      <c r="AN552" s="320"/>
      <c r="AO552" s="320"/>
      <c r="AP552" s="320"/>
      <c r="AQ552" s="320"/>
      <c r="AR552" s="320"/>
      <c r="AS552" s="320"/>
      <c r="AT552" s="320"/>
      <c r="AU552" s="321"/>
    </row>
    <row r="553">
      <c r="A553" s="319"/>
      <c r="B553" s="320"/>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c r="AA553" s="320"/>
      <c r="AB553" s="320"/>
      <c r="AC553" s="320"/>
      <c r="AD553" s="320"/>
      <c r="AE553" s="320"/>
      <c r="AF553" s="320"/>
      <c r="AG553" s="320"/>
      <c r="AH553" s="320"/>
      <c r="AI553" s="320"/>
      <c r="AJ553" s="320"/>
      <c r="AK553" s="320"/>
      <c r="AL553" s="320"/>
      <c r="AM553" s="320"/>
      <c r="AN553" s="320"/>
      <c r="AO553" s="320"/>
      <c r="AP553" s="320"/>
      <c r="AQ553" s="320"/>
      <c r="AR553" s="320"/>
      <c r="AS553" s="320"/>
      <c r="AT553" s="320"/>
      <c r="AU553" s="321"/>
    </row>
    <row r="554">
      <c r="A554" s="319"/>
      <c r="B554" s="320"/>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c r="AA554" s="320"/>
      <c r="AB554" s="320"/>
      <c r="AC554" s="320"/>
      <c r="AD554" s="320"/>
      <c r="AE554" s="320"/>
      <c r="AF554" s="320"/>
      <c r="AG554" s="320"/>
      <c r="AH554" s="320"/>
      <c r="AI554" s="320"/>
      <c r="AJ554" s="320"/>
      <c r="AK554" s="320"/>
      <c r="AL554" s="320"/>
      <c r="AM554" s="320"/>
      <c r="AN554" s="320"/>
      <c r="AO554" s="320"/>
      <c r="AP554" s="320"/>
      <c r="AQ554" s="320"/>
      <c r="AR554" s="320"/>
      <c r="AS554" s="320"/>
      <c r="AT554" s="320"/>
      <c r="AU554" s="321"/>
    </row>
    <row r="555">
      <c r="A555" s="319"/>
      <c r="B555" s="320"/>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c r="AA555" s="320"/>
      <c r="AB555" s="320"/>
      <c r="AC555" s="320"/>
      <c r="AD555" s="320"/>
      <c r="AE555" s="320"/>
      <c r="AF555" s="320"/>
      <c r="AG555" s="320"/>
      <c r="AH555" s="320"/>
      <c r="AI555" s="320"/>
      <c r="AJ555" s="320"/>
      <c r="AK555" s="320"/>
      <c r="AL555" s="320"/>
      <c r="AM555" s="320"/>
      <c r="AN555" s="320"/>
      <c r="AO555" s="320"/>
      <c r="AP555" s="320"/>
      <c r="AQ555" s="320"/>
      <c r="AR555" s="320"/>
      <c r="AS555" s="320"/>
      <c r="AT555" s="320"/>
      <c r="AU555" s="321"/>
    </row>
    <row r="556">
      <c r="A556" s="319"/>
      <c r="B556" s="320"/>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c r="AA556" s="320"/>
      <c r="AB556" s="320"/>
      <c r="AC556" s="320"/>
      <c r="AD556" s="320"/>
      <c r="AE556" s="320"/>
      <c r="AF556" s="320"/>
      <c r="AG556" s="320"/>
      <c r="AH556" s="320"/>
      <c r="AI556" s="320"/>
      <c r="AJ556" s="320"/>
      <c r="AK556" s="320"/>
      <c r="AL556" s="320"/>
      <c r="AM556" s="320"/>
      <c r="AN556" s="320"/>
      <c r="AO556" s="320"/>
      <c r="AP556" s="320"/>
      <c r="AQ556" s="320"/>
      <c r="AR556" s="320"/>
      <c r="AS556" s="320"/>
      <c r="AT556" s="320"/>
      <c r="AU556" s="321"/>
    </row>
    <row r="557">
      <c r="A557" s="319"/>
      <c r="B557" s="320"/>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c r="AA557" s="320"/>
      <c r="AB557" s="320"/>
      <c r="AC557" s="320"/>
      <c r="AD557" s="320"/>
      <c r="AE557" s="320"/>
      <c r="AF557" s="320"/>
      <c r="AG557" s="320"/>
      <c r="AH557" s="320"/>
      <c r="AI557" s="320"/>
      <c r="AJ557" s="320"/>
      <c r="AK557" s="320"/>
      <c r="AL557" s="320"/>
      <c r="AM557" s="320"/>
      <c r="AN557" s="320"/>
      <c r="AO557" s="320"/>
      <c r="AP557" s="320"/>
      <c r="AQ557" s="320"/>
      <c r="AR557" s="320"/>
      <c r="AS557" s="320"/>
      <c r="AT557" s="320"/>
      <c r="AU557" s="321"/>
    </row>
    <row r="558">
      <c r="A558" s="319"/>
      <c r="B558" s="320"/>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c r="AA558" s="320"/>
      <c r="AB558" s="320"/>
      <c r="AC558" s="320"/>
      <c r="AD558" s="320"/>
      <c r="AE558" s="320"/>
      <c r="AF558" s="320"/>
      <c r="AG558" s="320"/>
      <c r="AH558" s="320"/>
      <c r="AI558" s="320"/>
      <c r="AJ558" s="320"/>
      <c r="AK558" s="320"/>
      <c r="AL558" s="320"/>
      <c r="AM558" s="320"/>
      <c r="AN558" s="320"/>
      <c r="AO558" s="320"/>
      <c r="AP558" s="320"/>
      <c r="AQ558" s="320"/>
      <c r="AR558" s="320"/>
      <c r="AS558" s="320"/>
      <c r="AT558" s="320"/>
      <c r="AU558" s="321"/>
    </row>
    <row r="559">
      <c r="A559" s="319"/>
      <c r="B559" s="320"/>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c r="AA559" s="320"/>
      <c r="AB559" s="320"/>
      <c r="AC559" s="320"/>
      <c r="AD559" s="320"/>
      <c r="AE559" s="320"/>
      <c r="AF559" s="320"/>
      <c r="AG559" s="320"/>
      <c r="AH559" s="320"/>
      <c r="AI559" s="320"/>
      <c r="AJ559" s="320"/>
      <c r="AK559" s="320"/>
      <c r="AL559" s="320"/>
      <c r="AM559" s="320"/>
      <c r="AN559" s="320"/>
      <c r="AO559" s="320"/>
      <c r="AP559" s="320"/>
      <c r="AQ559" s="320"/>
      <c r="AR559" s="320"/>
      <c r="AS559" s="320"/>
      <c r="AT559" s="320"/>
      <c r="AU559" s="321"/>
    </row>
    <row r="560">
      <c r="A560" s="319"/>
      <c r="B560" s="320"/>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c r="AA560" s="320"/>
      <c r="AB560" s="320"/>
      <c r="AC560" s="320"/>
      <c r="AD560" s="320"/>
      <c r="AE560" s="320"/>
      <c r="AF560" s="320"/>
      <c r="AG560" s="320"/>
      <c r="AH560" s="320"/>
      <c r="AI560" s="320"/>
      <c r="AJ560" s="320"/>
      <c r="AK560" s="320"/>
      <c r="AL560" s="320"/>
      <c r="AM560" s="320"/>
      <c r="AN560" s="320"/>
      <c r="AO560" s="320"/>
      <c r="AP560" s="320"/>
      <c r="AQ560" s="320"/>
      <c r="AR560" s="320"/>
      <c r="AS560" s="320"/>
      <c r="AT560" s="320"/>
      <c r="AU560" s="321"/>
    </row>
    <row r="561">
      <c r="A561" s="319"/>
      <c r="B561" s="320"/>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c r="AA561" s="320"/>
      <c r="AB561" s="320"/>
      <c r="AC561" s="320"/>
      <c r="AD561" s="320"/>
      <c r="AE561" s="320"/>
      <c r="AF561" s="320"/>
      <c r="AG561" s="320"/>
      <c r="AH561" s="320"/>
      <c r="AI561" s="320"/>
      <c r="AJ561" s="320"/>
      <c r="AK561" s="320"/>
      <c r="AL561" s="320"/>
      <c r="AM561" s="320"/>
      <c r="AN561" s="320"/>
      <c r="AO561" s="320"/>
      <c r="AP561" s="320"/>
      <c r="AQ561" s="320"/>
      <c r="AR561" s="320"/>
      <c r="AS561" s="320"/>
      <c r="AT561" s="320"/>
      <c r="AU561" s="321"/>
    </row>
    <row r="562">
      <c r="A562" s="319"/>
      <c r="B562" s="320"/>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c r="AA562" s="320"/>
      <c r="AB562" s="320"/>
      <c r="AC562" s="320"/>
      <c r="AD562" s="320"/>
      <c r="AE562" s="320"/>
      <c r="AF562" s="320"/>
      <c r="AG562" s="320"/>
      <c r="AH562" s="320"/>
      <c r="AI562" s="320"/>
      <c r="AJ562" s="320"/>
      <c r="AK562" s="320"/>
      <c r="AL562" s="320"/>
      <c r="AM562" s="320"/>
      <c r="AN562" s="320"/>
      <c r="AO562" s="320"/>
      <c r="AP562" s="320"/>
      <c r="AQ562" s="320"/>
      <c r="AR562" s="320"/>
      <c r="AS562" s="320"/>
      <c r="AT562" s="320"/>
      <c r="AU562" s="321"/>
    </row>
    <row r="563">
      <c r="A563" s="319"/>
      <c r="B563" s="320"/>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c r="AA563" s="320"/>
      <c r="AB563" s="320"/>
      <c r="AC563" s="320"/>
      <c r="AD563" s="320"/>
      <c r="AE563" s="320"/>
      <c r="AF563" s="320"/>
      <c r="AG563" s="320"/>
      <c r="AH563" s="320"/>
      <c r="AI563" s="320"/>
      <c r="AJ563" s="320"/>
      <c r="AK563" s="320"/>
      <c r="AL563" s="320"/>
      <c r="AM563" s="320"/>
      <c r="AN563" s="320"/>
      <c r="AO563" s="320"/>
      <c r="AP563" s="320"/>
      <c r="AQ563" s="320"/>
      <c r="AR563" s="320"/>
      <c r="AS563" s="320"/>
      <c r="AT563" s="320"/>
      <c r="AU563" s="321"/>
    </row>
    <row r="564">
      <c r="A564" s="319"/>
      <c r="B564" s="320"/>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c r="AA564" s="320"/>
      <c r="AB564" s="320"/>
      <c r="AC564" s="320"/>
      <c r="AD564" s="320"/>
      <c r="AE564" s="320"/>
      <c r="AF564" s="320"/>
      <c r="AG564" s="320"/>
      <c r="AH564" s="320"/>
      <c r="AI564" s="320"/>
      <c r="AJ564" s="320"/>
      <c r="AK564" s="320"/>
      <c r="AL564" s="320"/>
      <c r="AM564" s="320"/>
      <c r="AN564" s="320"/>
      <c r="AO564" s="320"/>
      <c r="AP564" s="320"/>
      <c r="AQ564" s="320"/>
      <c r="AR564" s="320"/>
      <c r="AS564" s="320"/>
      <c r="AT564" s="320"/>
      <c r="AU564" s="321"/>
    </row>
    <row r="565">
      <c r="A565" s="319"/>
      <c r="B565" s="320"/>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c r="AA565" s="320"/>
      <c r="AB565" s="320"/>
      <c r="AC565" s="320"/>
      <c r="AD565" s="320"/>
      <c r="AE565" s="320"/>
      <c r="AF565" s="320"/>
      <c r="AG565" s="320"/>
      <c r="AH565" s="320"/>
      <c r="AI565" s="320"/>
      <c r="AJ565" s="320"/>
      <c r="AK565" s="320"/>
      <c r="AL565" s="320"/>
      <c r="AM565" s="320"/>
      <c r="AN565" s="320"/>
      <c r="AO565" s="320"/>
      <c r="AP565" s="320"/>
      <c r="AQ565" s="320"/>
      <c r="AR565" s="320"/>
      <c r="AS565" s="320"/>
      <c r="AT565" s="320"/>
      <c r="AU565" s="321"/>
    </row>
    <row r="566">
      <c r="A566" s="319"/>
      <c r="B566" s="320"/>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c r="AA566" s="320"/>
      <c r="AB566" s="320"/>
      <c r="AC566" s="320"/>
      <c r="AD566" s="320"/>
      <c r="AE566" s="320"/>
      <c r="AF566" s="320"/>
      <c r="AG566" s="320"/>
      <c r="AH566" s="320"/>
      <c r="AI566" s="320"/>
      <c r="AJ566" s="320"/>
      <c r="AK566" s="320"/>
      <c r="AL566" s="320"/>
      <c r="AM566" s="320"/>
      <c r="AN566" s="320"/>
      <c r="AO566" s="320"/>
      <c r="AP566" s="320"/>
      <c r="AQ566" s="320"/>
      <c r="AR566" s="320"/>
      <c r="AS566" s="320"/>
      <c r="AT566" s="320"/>
      <c r="AU566" s="321"/>
    </row>
    <row r="567">
      <c r="A567" s="319"/>
      <c r="B567" s="320"/>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c r="AA567" s="320"/>
      <c r="AB567" s="320"/>
      <c r="AC567" s="320"/>
      <c r="AD567" s="320"/>
      <c r="AE567" s="320"/>
      <c r="AF567" s="320"/>
      <c r="AG567" s="320"/>
      <c r="AH567" s="320"/>
      <c r="AI567" s="320"/>
      <c r="AJ567" s="320"/>
      <c r="AK567" s="320"/>
      <c r="AL567" s="320"/>
      <c r="AM567" s="320"/>
      <c r="AN567" s="320"/>
      <c r="AO567" s="320"/>
      <c r="AP567" s="320"/>
      <c r="AQ567" s="320"/>
      <c r="AR567" s="320"/>
      <c r="AS567" s="320"/>
      <c r="AT567" s="320"/>
      <c r="AU567" s="321"/>
    </row>
    <row r="568">
      <c r="A568" s="319"/>
      <c r="B568" s="320"/>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c r="AA568" s="320"/>
      <c r="AB568" s="320"/>
      <c r="AC568" s="320"/>
      <c r="AD568" s="320"/>
      <c r="AE568" s="320"/>
      <c r="AF568" s="320"/>
      <c r="AG568" s="320"/>
      <c r="AH568" s="320"/>
      <c r="AI568" s="320"/>
      <c r="AJ568" s="320"/>
      <c r="AK568" s="320"/>
      <c r="AL568" s="320"/>
      <c r="AM568" s="320"/>
      <c r="AN568" s="320"/>
      <c r="AO568" s="320"/>
      <c r="AP568" s="320"/>
      <c r="AQ568" s="320"/>
      <c r="AR568" s="320"/>
      <c r="AS568" s="320"/>
      <c r="AT568" s="320"/>
      <c r="AU568" s="321"/>
    </row>
    <row r="569">
      <c r="A569" s="319"/>
      <c r="B569" s="320"/>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c r="AA569" s="320"/>
      <c r="AB569" s="320"/>
      <c r="AC569" s="320"/>
      <c r="AD569" s="320"/>
      <c r="AE569" s="320"/>
      <c r="AF569" s="320"/>
      <c r="AG569" s="320"/>
      <c r="AH569" s="320"/>
      <c r="AI569" s="320"/>
      <c r="AJ569" s="320"/>
      <c r="AK569" s="320"/>
      <c r="AL569" s="320"/>
      <c r="AM569" s="320"/>
      <c r="AN569" s="320"/>
      <c r="AO569" s="320"/>
      <c r="AP569" s="320"/>
      <c r="AQ569" s="320"/>
      <c r="AR569" s="320"/>
      <c r="AS569" s="320"/>
      <c r="AT569" s="320"/>
      <c r="AU569" s="321"/>
    </row>
    <row r="570">
      <c r="A570" s="319"/>
      <c r="B570" s="320"/>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c r="AA570" s="320"/>
      <c r="AB570" s="320"/>
      <c r="AC570" s="320"/>
      <c r="AD570" s="320"/>
      <c r="AE570" s="320"/>
      <c r="AF570" s="320"/>
      <c r="AG570" s="320"/>
      <c r="AH570" s="320"/>
      <c r="AI570" s="320"/>
      <c r="AJ570" s="320"/>
      <c r="AK570" s="320"/>
      <c r="AL570" s="320"/>
      <c r="AM570" s="320"/>
      <c r="AN570" s="320"/>
      <c r="AO570" s="320"/>
      <c r="AP570" s="320"/>
      <c r="AQ570" s="320"/>
      <c r="AR570" s="320"/>
      <c r="AS570" s="320"/>
      <c r="AT570" s="320"/>
      <c r="AU570" s="321"/>
    </row>
    <row r="571">
      <c r="A571" s="319"/>
      <c r="B571" s="320"/>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c r="AA571" s="320"/>
      <c r="AB571" s="320"/>
      <c r="AC571" s="320"/>
      <c r="AD571" s="320"/>
      <c r="AE571" s="320"/>
      <c r="AF571" s="320"/>
      <c r="AG571" s="320"/>
      <c r="AH571" s="320"/>
      <c r="AI571" s="320"/>
      <c r="AJ571" s="320"/>
      <c r="AK571" s="320"/>
      <c r="AL571" s="320"/>
      <c r="AM571" s="320"/>
      <c r="AN571" s="320"/>
      <c r="AO571" s="320"/>
      <c r="AP571" s="320"/>
      <c r="AQ571" s="320"/>
      <c r="AR571" s="320"/>
      <c r="AS571" s="320"/>
      <c r="AT571" s="320"/>
      <c r="AU571" s="321"/>
    </row>
    <row r="572">
      <c r="A572" s="319"/>
      <c r="B572" s="320"/>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c r="AA572" s="320"/>
      <c r="AB572" s="320"/>
      <c r="AC572" s="320"/>
      <c r="AD572" s="320"/>
      <c r="AE572" s="320"/>
      <c r="AF572" s="320"/>
      <c r="AG572" s="320"/>
      <c r="AH572" s="320"/>
      <c r="AI572" s="320"/>
      <c r="AJ572" s="320"/>
      <c r="AK572" s="320"/>
      <c r="AL572" s="320"/>
      <c r="AM572" s="320"/>
      <c r="AN572" s="320"/>
      <c r="AO572" s="320"/>
      <c r="AP572" s="320"/>
      <c r="AQ572" s="320"/>
      <c r="AR572" s="320"/>
      <c r="AS572" s="320"/>
      <c r="AT572" s="320"/>
      <c r="AU572" s="321"/>
    </row>
    <row r="573">
      <c r="A573" s="319"/>
      <c r="B573" s="320"/>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c r="AA573" s="320"/>
      <c r="AB573" s="320"/>
      <c r="AC573" s="320"/>
      <c r="AD573" s="320"/>
      <c r="AE573" s="320"/>
      <c r="AF573" s="320"/>
      <c r="AG573" s="320"/>
      <c r="AH573" s="320"/>
      <c r="AI573" s="320"/>
      <c r="AJ573" s="320"/>
      <c r="AK573" s="320"/>
      <c r="AL573" s="320"/>
      <c r="AM573" s="320"/>
      <c r="AN573" s="320"/>
      <c r="AO573" s="320"/>
      <c r="AP573" s="320"/>
      <c r="AQ573" s="320"/>
      <c r="AR573" s="320"/>
      <c r="AS573" s="320"/>
      <c r="AT573" s="320"/>
      <c r="AU573" s="321"/>
    </row>
    <row r="574">
      <c r="A574" s="319"/>
      <c r="B574" s="320"/>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c r="AA574" s="320"/>
      <c r="AB574" s="320"/>
      <c r="AC574" s="320"/>
      <c r="AD574" s="320"/>
      <c r="AE574" s="320"/>
      <c r="AF574" s="320"/>
      <c r="AG574" s="320"/>
      <c r="AH574" s="320"/>
      <c r="AI574" s="320"/>
      <c r="AJ574" s="320"/>
      <c r="AK574" s="320"/>
      <c r="AL574" s="320"/>
      <c r="AM574" s="320"/>
      <c r="AN574" s="320"/>
      <c r="AO574" s="320"/>
      <c r="AP574" s="320"/>
      <c r="AQ574" s="320"/>
      <c r="AR574" s="320"/>
      <c r="AS574" s="320"/>
      <c r="AT574" s="320"/>
      <c r="AU574" s="321"/>
    </row>
    <row r="575">
      <c r="A575" s="319"/>
      <c r="B575" s="320"/>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c r="AA575" s="320"/>
      <c r="AB575" s="320"/>
      <c r="AC575" s="320"/>
      <c r="AD575" s="320"/>
      <c r="AE575" s="320"/>
      <c r="AF575" s="320"/>
      <c r="AG575" s="320"/>
      <c r="AH575" s="320"/>
      <c r="AI575" s="320"/>
      <c r="AJ575" s="320"/>
      <c r="AK575" s="320"/>
      <c r="AL575" s="320"/>
      <c r="AM575" s="320"/>
      <c r="AN575" s="320"/>
      <c r="AO575" s="320"/>
      <c r="AP575" s="320"/>
      <c r="AQ575" s="320"/>
      <c r="AR575" s="320"/>
      <c r="AS575" s="320"/>
      <c r="AT575" s="320"/>
      <c r="AU575" s="321"/>
    </row>
    <row r="576">
      <c r="A576" s="319"/>
      <c r="B576" s="320"/>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c r="AA576" s="320"/>
      <c r="AB576" s="320"/>
      <c r="AC576" s="320"/>
      <c r="AD576" s="320"/>
      <c r="AE576" s="320"/>
      <c r="AF576" s="320"/>
      <c r="AG576" s="320"/>
      <c r="AH576" s="320"/>
      <c r="AI576" s="320"/>
      <c r="AJ576" s="320"/>
      <c r="AK576" s="320"/>
      <c r="AL576" s="320"/>
      <c r="AM576" s="320"/>
      <c r="AN576" s="320"/>
      <c r="AO576" s="320"/>
      <c r="AP576" s="320"/>
      <c r="AQ576" s="320"/>
      <c r="AR576" s="320"/>
      <c r="AS576" s="320"/>
      <c r="AT576" s="320"/>
      <c r="AU576" s="321"/>
    </row>
    <row r="577">
      <c r="A577" s="319"/>
      <c r="B577" s="320"/>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c r="AA577" s="320"/>
      <c r="AB577" s="320"/>
      <c r="AC577" s="320"/>
      <c r="AD577" s="320"/>
      <c r="AE577" s="320"/>
      <c r="AF577" s="320"/>
      <c r="AG577" s="320"/>
      <c r="AH577" s="320"/>
      <c r="AI577" s="320"/>
      <c r="AJ577" s="320"/>
      <c r="AK577" s="320"/>
      <c r="AL577" s="320"/>
      <c r="AM577" s="320"/>
      <c r="AN577" s="320"/>
      <c r="AO577" s="320"/>
      <c r="AP577" s="320"/>
      <c r="AQ577" s="320"/>
      <c r="AR577" s="320"/>
      <c r="AS577" s="320"/>
      <c r="AT577" s="320"/>
      <c r="AU577" s="321"/>
    </row>
    <row r="578">
      <c r="A578" s="319"/>
      <c r="B578" s="320"/>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c r="AA578" s="320"/>
      <c r="AB578" s="320"/>
      <c r="AC578" s="320"/>
      <c r="AD578" s="320"/>
      <c r="AE578" s="320"/>
      <c r="AF578" s="320"/>
      <c r="AG578" s="320"/>
      <c r="AH578" s="320"/>
      <c r="AI578" s="320"/>
      <c r="AJ578" s="320"/>
      <c r="AK578" s="320"/>
      <c r="AL578" s="320"/>
      <c r="AM578" s="320"/>
      <c r="AN578" s="320"/>
      <c r="AO578" s="320"/>
      <c r="AP578" s="320"/>
      <c r="AQ578" s="320"/>
      <c r="AR578" s="320"/>
      <c r="AS578" s="320"/>
      <c r="AT578" s="320"/>
      <c r="AU578" s="321"/>
    </row>
    <row r="579">
      <c r="A579" s="319"/>
      <c r="B579" s="320"/>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c r="AA579" s="320"/>
      <c r="AB579" s="320"/>
      <c r="AC579" s="320"/>
      <c r="AD579" s="320"/>
      <c r="AE579" s="320"/>
      <c r="AF579" s="320"/>
      <c r="AG579" s="320"/>
      <c r="AH579" s="320"/>
      <c r="AI579" s="320"/>
      <c r="AJ579" s="320"/>
      <c r="AK579" s="320"/>
      <c r="AL579" s="320"/>
      <c r="AM579" s="320"/>
      <c r="AN579" s="320"/>
      <c r="AO579" s="320"/>
      <c r="AP579" s="320"/>
      <c r="AQ579" s="320"/>
      <c r="AR579" s="320"/>
      <c r="AS579" s="320"/>
      <c r="AT579" s="320"/>
      <c r="AU579" s="321"/>
    </row>
    <row r="580">
      <c r="A580" s="319"/>
      <c r="B580" s="320"/>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c r="AA580" s="320"/>
      <c r="AB580" s="320"/>
      <c r="AC580" s="320"/>
      <c r="AD580" s="320"/>
      <c r="AE580" s="320"/>
      <c r="AF580" s="320"/>
      <c r="AG580" s="320"/>
      <c r="AH580" s="320"/>
      <c r="AI580" s="320"/>
      <c r="AJ580" s="320"/>
      <c r="AK580" s="320"/>
      <c r="AL580" s="320"/>
      <c r="AM580" s="320"/>
      <c r="AN580" s="320"/>
      <c r="AO580" s="320"/>
      <c r="AP580" s="320"/>
      <c r="AQ580" s="320"/>
      <c r="AR580" s="320"/>
      <c r="AS580" s="320"/>
      <c r="AT580" s="320"/>
      <c r="AU580" s="321"/>
    </row>
    <row r="581">
      <c r="A581" s="319"/>
      <c r="B581" s="320"/>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c r="AA581" s="320"/>
      <c r="AB581" s="320"/>
      <c r="AC581" s="320"/>
      <c r="AD581" s="320"/>
      <c r="AE581" s="320"/>
      <c r="AF581" s="320"/>
      <c r="AG581" s="320"/>
      <c r="AH581" s="320"/>
      <c r="AI581" s="320"/>
      <c r="AJ581" s="320"/>
      <c r="AK581" s="320"/>
      <c r="AL581" s="320"/>
      <c r="AM581" s="320"/>
      <c r="AN581" s="320"/>
      <c r="AO581" s="320"/>
      <c r="AP581" s="320"/>
      <c r="AQ581" s="320"/>
      <c r="AR581" s="320"/>
      <c r="AS581" s="320"/>
      <c r="AT581" s="320"/>
      <c r="AU581" s="321"/>
    </row>
    <row r="582">
      <c r="A582" s="319"/>
      <c r="B582" s="320"/>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c r="AA582" s="320"/>
      <c r="AB582" s="320"/>
      <c r="AC582" s="320"/>
      <c r="AD582" s="320"/>
      <c r="AE582" s="320"/>
      <c r="AF582" s="320"/>
      <c r="AG582" s="320"/>
      <c r="AH582" s="320"/>
      <c r="AI582" s="320"/>
      <c r="AJ582" s="320"/>
      <c r="AK582" s="320"/>
      <c r="AL582" s="320"/>
      <c r="AM582" s="320"/>
      <c r="AN582" s="320"/>
      <c r="AO582" s="320"/>
      <c r="AP582" s="320"/>
      <c r="AQ582" s="320"/>
      <c r="AR582" s="320"/>
      <c r="AS582" s="320"/>
      <c r="AT582" s="320"/>
      <c r="AU582" s="321"/>
    </row>
    <row r="583">
      <c r="A583" s="319"/>
      <c r="B583" s="320"/>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c r="AA583" s="320"/>
      <c r="AB583" s="320"/>
      <c r="AC583" s="320"/>
      <c r="AD583" s="320"/>
      <c r="AE583" s="320"/>
      <c r="AF583" s="320"/>
      <c r="AG583" s="320"/>
      <c r="AH583" s="320"/>
      <c r="AI583" s="320"/>
      <c r="AJ583" s="320"/>
      <c r="AK583" s="320"/>
      <c r="AL583" s="320"/>
      <c r="AM583" s="320"/>
      <c r="AN583" s="320"/>
      <c r="AO583" s="320"/>
      <c r="AP583" s="320"/>
      <c r="AQ583" s="320"/>
      <c r="AR583" s="320"/>
      <c r="AS583" s="320"/>
      <c r="AT583" s="320"/>
      <c r="AU583" s="321"/>
    </row>
    <row r="584">
      <c r="A584" s="319"/>
      <c r="B584" s="320"/>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c r="AA584" s="320"/>
      <c r="AB584" s="320"/>
      <c r="AC584" s="320"/>
      <c r="AD584" s="320"/>
      <c r="AE584" s="320"/>
      <c r="AF584" s="320"/>
      <c r="AG584" s="320"/>
      <c r="AH584" s="320"/>
      <c r="AI584" s="320"/>
      <c r="AJ584" s="320"/>
      <c r="AK584" s="320"/>
      <c r="AL584" s="320"/>
      <c r="AM584" s="320"/>
      <c r="AN584" s="320"/>
      <c r="AO584" s="320"/>
      <c r="AP584" s="320"/>
      <c r="AQ584" s="320"/>
      <c r="AR584" s="320"/>
      <c r="AS584" s="320"/>
      <c r="AT584" s="320"/>
      <c r="AU584" s="321"/>
    </row>
    <row r="585">
      <c r="A585" s="319"/>
      <c r="B585" s="320"/>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c r="AA585" s="320"/>
      <c r="AB585" s="320"/>
      <c r="AC585" s="320"/>
      <c r="AD585" s="320"/>
      <c r="AE585" s="320"/>
      <c r="AF585" s="320"/>
      <c r="AG585" s="320"/>
      <c r="AH585" s="320"/>
      <c r="AI585" s="320"/>
      <c r="AJ585" s="320"/>
      <c r="AK585" s="320"/>
      <c r="AL585" s="320"/>
      <c r="AM585" s="320"/>
      <c r="AN585" s="320"/>
      <c r="AO585" s="320"/>
      <c r="AP585" s="320"/>
      <c r="AQ585" s="320"/>
      <c r="AR585" s="320"/>
      <c r="AS585" s="320"/>
      <c r="AT585" s="320"/>
      <c r="AU585" s="321"/>
    </row>
    <row r="586">
      <c r="A586" s="319"/>
      <c r="B586" s="320"/>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c r="AA586" s="320"/>
      <c r="AB586" s="320"/>
      <c r="AC586" s="320"/>
      <c r="AD586" s="320"/>
      <c r="AE586" s="320"/>
      <c r="AF586" s="320"/>
      <c r="AG586" s="320"/>
      <c r="AH586" s="320"/>
      <c r="AI586" s="320"/>
      <c r="AJ586" s="320"/>
      <c r="AK586" s="320"/>
      <c r="AL586" s="320"/>
      <c r="AM586" s="320"/>
      <c r="AN586" s="320"/>
      <c r="AO586" s="320"/>
      <c r="AP586" s="320"/>
      <c r="AQ586" s="320"/>
      <c r="AR586" s="320"/>
      <c r="AS586" s="320"/>
      <c r="AT586" s="320"/>
      <c r="AU586" s="321"/>
    </row>
    <row r="587">
      <c r="A587" s="319"/>
      <c r="B587" s="320"/>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c r="AA587" s="320"/>
      <c r="AB587" s="320"/>
      <c r="AC587" s="320"/>
      <c r="AD587" s="320"/>
      <c r="AE587" s="320"/>
      <c r="AF587" s="320"/>
      <c r="AG587" s="320"/>
      <c r="AH587" s="320"/>
      <c r="AI587" s="320"/>
      <c r="AJ587" s="320"/>
      <c r="AK587" s="320"/>
      <c r="AL587" s="320"/>
      <c r="AM587" s="320"/>
      <c r="AN587" s="320"/>
      <c r="AO587" s="320"/>
      <c r="AP587" s="320"/>
      <c r="AQ587" s="320"/>
      <c r="AR587" s="320"/>
      <c r="AS587" s="320"/>
      <c r="AT587" s="320"/>
      <c r="AU587" s="321"/>
    </row>
    <row r="588">
      <c r="A588" s="319"/>
      <c r="B588" s="320"/>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c r="AA588" s="320"/>
      <c r="AB588" s="320"/>
      <c r="AC588" s="320"/>
      <c r="AD588" s="320"/>
      <c r="AE588" s="320"/>
      <c r="AF588" s="320"/>
      <c r="AG588" s="320"/>
      <c r="AH588" s="320"/>
      <c r="AI588" s="320"/>
      <c r="AJ588" s="320"/>
      <c r="AK588" s="320"/>
      <c r="AL588" s="320"/>
      <c r="AM588" s="320"/>
      <c r="AN588" s="320"/>
      <c r="AO588" s="320"/>
      <c r="AP588" s="320"/>
      <c r="AQ588" s="320"/>
      <c r="AR588" s="320"/>
      <c r="AS588" s="320"/>
      <c r="AT588" s="320"/>
      <c r="AU588" s="321"/>
    </row>
    <row r="589">
      <c r="A589" s="319"/>
      <c r="B589" s="320"/>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c r="AA589" s="320"/>
      <c r="AB589" s="320"/>
      <c r="AC589" s="320"/>
      <c r="AD589" s="320"/>
      <c r="AE589" s="320"/>
      <c r="AF589" s="320"/>
      <c r="AG589" s="320"/>
      <c r="AH589" s="320"/>
      <c r="AI589" s="320"/>
      <c r="AJ589" s="320"/>
      <c r="AK589" s="320"/>
      <c r="AL589" s="320"/>
      <c r="AM589" s="320"/>
      <c r="AN589" s="320"/>
      <c r="AO589" s="320"/>
      <c r="AP589" s="320"/>
      <c r="AQ589" s="320"/>
      <c r="AR589" s="320"/>
      <c r="AS589" s="320"/>
      <c r="AT589" s="320"/>
      <c r="AU589" s="321"/>
    </row>
    <row r="590">
      <c r="A590" s="319"/>
      <c r="B590" s="320"/>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c r="AA590" s="320"/>
      <c r="AB590" s="320"/>
      <c r="AC590" s="320"/>
      <c r="AD590" s="320"/>
      <c r="AE590" s="320"/>
      <c r="AF590" s="320"/>
      <c r="AG590" s="320"/>
      <c r="AH590" s="320"/>
      <c r="AI590" s="320"/>
      <c r="AJ590" s="320"/>
      <c r="AK590" s="320"/>
      <c r="AL590" s="320"/>
      <c r="AM590" s="320"/>
      <c r="AN590" s="320"/>
      <c r="AO590" s="320"/>
      <c r="AP590" s="320"/>
      <c r="AQ590" s="320"/>
      <c r="AR590" s="320"/>
      <c r="AS590" s="320"/>
      <c r="AT590" s="320"/>
      <c r="AU590" s="321"/>
    </row>
    <row r="591">
      <c r="A591" s="319"/>
      <c r="B591" s="320"/>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c r="AA591" s="320"/>
      <c r="AB591" s="320"/>
      <c r="AC591" s="320"/>
      <c r="AD591" s="320"/>
      <c r="AE591" s="320"/>
      <c r="AF591" s="320"/>
      <c r="AG591" s="320"/>
      <c r="AH591" s="320"/>
      <c r="AI591" s="320"/>
      <c r="AJ591" s="320"/>
      <c r="AK591" s="320"/>
      <c r="AL591" s="320"/>
      <c r="AM591" s="320"/>
      <c r="AN591" s="320"/>
      <c r="AO591" s="320"/>
      <c r="AP591" s="320"/>
      <c r="AQ591" s="320"/>
      <c r="AR591" s="320"/>
      <c r="AS591" s="320"/>
      <c r="AT591" s="320"/>
      <c r="AU591" s="321"/>
    </row>
    <row r="592">
      <c r="A592" s="319"/>
      <c r="B592" s="320"/>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c r="AA592" s="320"/>
      <c r="AB592" s="320"/>
      <c r="AC592" s="320"/>
      <c r="AD592" s="320"/>
      <c r="AE592" s="320"/>
      <c r="AF592" s="320"/>
      <c r="AG592" s="320"/>
      <c r="AH592" s="320"/>
      <c r="AI592" s="320"/>
      <c r="AJ592" s="320"/>
      <c r="AK592" s="320"/>
      <c r="AL592" s="320"/>
      <c r="AM592" s="320"/>
      <c r="AN592" s="320"/>
      <c r="AO592" s="320"/>
      <c r="AP592" s="320"/>
      <c r="AQ592" s="320"/>
      <c r="AR592" s="320"/>
      <c r="AS592" s="320"/>
      <c r="AT592" s="320"/>
      <c r="AU592" s="321"/>
    </row>
    <row r="593">
      <c r="A593" s="319"/>
      <c r="B593" s="320"/>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c r="AA593" s="320"/>
      <c r="AB593" s="320"/>
      <c r="AC593" s="320"/>
      <c r="AD593" s="320"/>
      <c r="AE593" s="320"/>
      <c r="AF593" s="320"/>
      <c r="AG593" s="320"/>
      <c r="AH593" s="320"/>
      <c r="AI593" s="320"/>
      <c r="AJ593" s="320"/>
      <c r="AK593" s="320"/>
      <c r="AL593" s="320"/>
      <c r="AM593" s="320"/>
      <c r="AN593" s="320"/>
      <c r="AO593" s="320"/>
      <c r="AP593" s="320"/>
      <c r="AQ593" s="320"/>
      <c r="AR593" s="320"/>
      <c r="AS593" s="320"/>
      <c r="AT593" s="320"/>
      <c r="AU593" s="321"/>
    </row>
    <row r="594">
      <c r="A594" s="319"/>
      <c r="B594" s="320"/>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c r="AA594" s="320"/>
      <c r="AB594" s="320"/>
      <c r="AC594" s="320"/>
      <c r="AD594" s="320"/>
      <c r="AE594" s="320"/>
      <c r="AF594" s="320"/>
      <c r="AG594" s="320"/>
      <c r="AH594" s="320"/>
      <c r="AI594" s="320"/>
      <c r="AJ594" s="320"/>
      <c r="AK594" s="320"/>
      <c r="AL594" s="320"/>
      <c r="AM594" s="320"/>
      <c r="AN594" s="320"/>
      <c r="AO594" s="320"/>
      <c r="AP594" s="320"/>
      <c r="AQ594" s="320"/>
      <c r="AR594" s="320"/>
      <c r="AS594" s="320"/>
      <c r="AT594" s="320"/>
      <c r="AU594" s="321"/>
    </row>
    <row r="595">
      <c r="A595" s="319"/>
      <c r="B595" s="320"/>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c r="AA595" s="320"/>
      <c r="AB595" s="320"/>
      <c r="AC595" s="320"/>
      <c r="AD595" s="320"/>
      <c r="AE595" s="320"/>
      <c r="AF595" s="320"/>
      <c r="AG595" s="320"/>
      <c r="AH595" s="320"/>
      <c r="AI595" s="320"/>
      <c r="AJ595" s="320"/>
      <c r="AK595" s="320"/>
      <c r="AL595" s="320"/>
      <c r="AM595" s="320"/>
      <c r="AN595" s="320"/>
      <c r="AO595" s="320"/>
      <c r="AP595" s="320"/>
      <c r="AQ595" s="320"/>
      <c r="AR595" s="320"/>
      <c r="AS595" s="320"/>
      <c r="AT595" s="320"/>
      <c r="AU595" s="321"/>
    </row>
    <row r="596">
      <c r="A596" s="319"/>
      <c r="B596" s="320"/>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c r="AA596" s="320"/>
      <c r="AB596" s="320"/>
      <c r="AC596" s="320"/>
      <c r="AD596" s="320"/>
      <c r="AE596" s="320"/>
      <c r="AF596" s="320"/>
      <c r="AG596" s="320"/>
      <c r="AH596" s="320"/>
      <c r="AI596" s="320"/>
      <c r="AJ596" s="320"/>
      <c r="AK596" s="320"/>
      <c r="AL596" s="320"/>
      <c r="AM596" s="320"/>
      <c r="AN596" s="320"/>
      <c r="AO596" s="320"/>
      <c r="AP596" s="320"/>
      <c r="AQ596" s="320"/>
      <c r="AR596" s="320"/>
      <c r="AS596" s="320"/>
      <c r="AT596" s="320"/>
      <c r="AU596" s="321"/>
    </row>
    <row r="597">
      <c r="A597" s="319"/>
      <c r="B597" s="320"/>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c r="AA597" s="320"/>
      <c r="AB597" s="320"/>
      <c r="AC597" s="320"/>
      <c r="AD597" s="320"/>
      <c r="AE597" s="320"/>
      <c r="AF597" s="320"/>
      <c r="AG597" s="320"/>
      <c r="AH597" s="320"/>
      <c r="AI597" s="320"/>
      <c r="AJ597" s="320"/>
      <c r="AK597" s="320"/>
      <c r="AL597" s="320"/>
      <c r="AM597" s="320"/>
      <c r="AN597" s="320"/>
      <c r="AO597" s="320"/>
      <c r="AP597" s="320"/>
      <c r="AQ597" s="320"/>
      <c r="AR597" s="320"/>
      <c r="AS597" s="320"/>
      <c r="AT597" s="320"/>
      <c r="AU597" s="321"/>
    </row>
    <row r="598">
      <c r="A598" s="319"/>
      <c r="B598" s="320"/>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c r="AA598" s="320"/>
      <c r="AB598" s="320"/>
      <c r="AC598" s="320"/>
      <c r="AD598" s="320"/>
      <c r="AE598" s="320"/>
      <c r="AF598" s="320"/>
      <c r="AG598" s="320"/>
      <c r="AH598" s="320"/>
      <c r="AI598" s="320"/>
      <c r="AJ598" s="320"/>
      <c r="AK598" s="320"/>
      <c r="AL598" s="320"/>
      <c r="AM598" s="320"/>
      <c r="AN598" s="320"/>
      <c r="AO598" s="320"/>
      <c r="AP598" s="320"/>
      <c r="AQ598" s="320"/>
      <c r="AR598" s="320"/>
      <c r="AS598" s="320"/>
      <c r="AT598" s="320"/>
      <c r="AU598" s="321"/>
    </row>
    <row r="599">
      <c r="A599" s="319"/>
      <c r="B599" s="320"/>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c r="AA599" s="320"/>
      <c r="AB599" s="320"/>
      <c r="AC599" s="320"/>
      <c r="AD599" s="320"/>
      <c r="AE599" s="320"/>
      <c r="AF599" s="320"/>
      <c r="AG599" s="320"/>
      <c r="AH599" s="320"/>
      <c r="AI599" s="320"/>
      <c r="AJ599" s="320"/>
      <c r="AK599" s="320"/>
      <c r="AL599" s="320"/>
      <c r="AM599" s="320"/>
      <c r="AN599" s="320"/>
      <c r="AO599" s="320"/>
      <c r="AP599" s="320"/>
      <c r="AQ599" s="320"/>
      <c r="AR599" s="320"/>
      <c r="AS599" s="320"/>
      <c r="AT599" s="320"/>
      <c r="AU599" s="321"/>
    </row>
    <row r="600">
      <c r="A600" s="319"/>
      <c r="B600" s="320"/>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c r="AA600" s="320"/>
      <c r="AB600" s="320"/>
      <c r="AC600" s="320"/>
      <c r="AD600" s="320"/>
      <c r="AE600" s="320"/>
      <c r="AF600" s="320"/>
      <c r="AG600" s="320"/>
      <c r="AH600" s="320"/>
      <c r="AI600" s="320"/>
      <c r="AJ600" s="320"/>
      <c r="AK600" s="320"/>
      <c r="AL600" s="320"/>
      <c r="AM600" s="320"/>
      <c r="AN600" s="320"/>
      <c r="AO600" s="320"/>
      <c r="AP600" s="320"/>
      <c r="AQ600" s="320"/>
      <c r="AR600" s="320"/>
      <c r="AS600" s="320"/>
      <c r="AT600" s="320"/>
      <c r="AU600" s="321"/>
    </row>
    <row r="601">
      <c r="A601" s="319"/>
      <c r="B601" s="320"/>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c r="AA601" s="320"/>
      <c r="AB601" s="320"/>
      <c r="AC601" s="320"/>
      <c r="AD601" s="320"/>
      <c r="AE601" s="320"/>
      <c r="AF601" s="320"/>
      <c r="AG601" s="320"/>
      <c r="AH601" s="320"/>
      <c r="AI601" s="320"/>
      <c r="AJ601" s="320"/>
      <c r="AK601" s="320"/>
      <c r="AL601" s="320"/>
      <c r="AM601" s="320"/>
      <c r="AN601" s="320"/>
      <c r="AO601" s="320"/>
      <c r="AP601" s="320"/>
      <c r="AQ601" s="320"/>
      <c r="AR601" s="320"/>
      <c r="AS601" s="320"/>
      <c r="AT601" s="320"/>
      <c r="AU601" s="321"/>
    </row>
    <row r="602">
      <c r="A602" s="319"/>
      <c r="B602" s="320"/>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c r="AA602" s="320"/>
      <c r="AB602" s="320"/>
      <c r="AC602" s="320"/>
      <c r="AD602" s="320"/>
      <c r="AE602" s="320"/>
      <c r="AF602" s="320"/>
      <c r="AG602" s="320"/>
      <c r="AH602" s="320"/>
      <c r="AI602" s="320"/>
      <c r="AJ602" s="320"/>
      <c r="AK602" s="320"/>
      <c r="AL602" s="320"/>
      <c r="AM602" s="320"/>
      <c r="AN602" s="320"/>
      <c r="AO602" s="320"/>
      <c r="AP602" s="320"/>
      <c r="AQ602" s="320"/>
      <c r="AR602" s="320"/>
      <c r="AS602" s="320"/>
      <c r="AT602" s="320"/>
      <c r="AU602" s="321"/>
    </row>
    <row r="603">
      <c r="A603" s="319"/>
      <c r="B603" s="320"/>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c r="AA603" s="320"/>
      <c r="AB603" s="320"/>
      <c r="AC603" s="320"/>
      <c r="AD603" s="320"/>
      <c r="AE603" s="320"/>
      <c r="AF603" s="320"/>
      <c r="AG603" s="320"/>
      <c r="AH603" s="320"/>
      <c r="AI603" s="320"/>
      <c r="AJ603" s="320"/>
      <c r="AK603" s="320"/>
      <c r="AL603" s="320"/>
      <c r="AM603" s="320"/>
      <c r="AN603" s="320"/>
      <c r="AO603" s="320"/>
      <c r="AP603" s="320"/>
      <c r="AQ603" s="320"/>
      <c r="AR603" s="320"/>
      <c r="AS603" s="320"/>
      <c r="AT603" s="320"/>
      <c r="AU603" s="321"/>
    </row>
    <row r="604">
      <c r="A604" s="319"/>
      <c r="B604" s="320"/>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c r="AA604" s="320"/>
      <c r="AB604" s="320"/>
      <c r="AC604" s="320"/>
      <c r="AD604" s="320"/>
      <c r="AE604" s="320"/>
      <c r="AF604" s="320"/>
      <c r="AG604" s="320"/>
      <c r="AH604" s="320"/>
      <c r="AI604" s="320"/>
      <c r="AJ604" s="320"/>
      <c r="AK604" s="320"/>
      <c r="AL604" s="320"/>
      <c r="AM604" s="320"/>
      <c r="AN604" s="320"/>
      <c r="AO604" s="320"/>
      <c r="AP604" s="320"/>
      <c r="AQ604" s="320"/>
      <c r="AR604" s="320"/>
      <c r="AS604" s="320"/>
      <c r="AT604" s="320"/>
      <c r="AU604" s="321"/>
    </row>
    <row r="605">
      <c r="A605" s="319"/>
      <c r="B605" s="320"/>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c r="AA605" s="320"/>
      <c r="AB605" s="320"/>
      <c r="AC605" s="320"/>
      <c r="AD605" s="320"/>
      <c r="AE605" s="320"/>
      <c r="AF605" s="320"/>
      <c r="AG605" s="320"/>
      <c r="AH605" s="320"/>
      <c r="AI605" s="320"/>
      <c r="AJ605" s="320"/>
      <c r="AK605" s="320"/>
      <c r="AL605" s="320"/>
      <c r="AM605" s="320"/>
      <c r="AN605" s="320"/>
      <c r="AO605" s="320"/>
      <c r="AP605" s="320"/>
      <c r="AQ605" s="320"/>
      <c r="AR605" s="320"/>
      <c r="AS605" s="320"/>
      <c r="AT605" s="320"/>
      <c r="AU605" s="321"/>
    </row>
    <row r="606">
      <c r="A606" s="319"/>
      <c r="B606" s="320"/>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c r="AA606" s="320"/>
      <c r="AB606" s="320"/>
      <c r="AC606" s="320"/>
      <c r="AD606" s="320"/>
      <c r="AE606" s="320"/>
      <c r="AF606" s="320"/>
      <c r="AG606" s="320"/>
      <c r="AH606" s="320"/>
      <c r="AI606" s="320"/>
      <c r="AJ606" s="320"/>
      <c r="AK606" s="320"/>
      <c r="AL606" s="320"/>
      <c r="AM606" s="320"/>
      <c r="AN606" s="320"/>
      <c r="AO606" s="320"/>
      <c r="AP606" s="320"/>
      <c r="AQ606" s="320"/>
      <c r="AR606" s="320"/>
      <c r="AS606" s="320"/>
      <c r="AT606" s="320"/>
      <c r="AU606" s="321"/>
    </row>
    <row r="607">
      <c r="A607" s="319"/>
      <c r="B607" s="320"/>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c r="AA607" s="320"/>
      <c r="AB607" s="320"/>
      <c r="AC607" s="320"/>
      <c r="AD607" s="320"/>
      <c r="AE607" s="320"/>
      <c r="AF607" s="320"/>
      <c r="AG607" s="320"/>
      <c r="AH607" s="320"/>
      <c r="AI607" s="320"/>
      <c r="AJ607" s="320"/>
      <c r="AK607" s="320"/>
      <c r="AL607" s="320"/>
      <c r="AM607" s="320"/>
      <c r="AN607" s="320"/>
      <c r="AO607" s="320"/>
      <c r="AP607" s="320"/>
      <c r="AQ607" s="320"/>
      <c r="AR607" s="320"/>
      <c r="AS607" s="320"/>
      <c r="AT607" s="320"/>
      <c r="AU607" s="321"/>
    </row>
    <row r="608">
      <c r="A608" s="319"/>
      <c r="B608" s="320"/>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c r="AA608" s="320"/>
      <c r="AB608" s="320"/>
      <c r="AC608" s="320"/>
      <c r="AD608" s="320"/>
      <c r="AE608" s="320"/>
      <c r="AF608" s="320"/>
      <c r="AG608" s="320"/>
      <c r="AH608" s="320"/>
      <c r="AI608" s="320"/>
      <c r="AJ608" s="320"/>
      <c r="AK608" s="320"/>
      <c r="AL608" s="320"/>
      <c r="AM608" s="320"/>
      <c r="AN608" s="320"/>
      <c r="AO608" s="320"/>
      <c r="AP608" s="320"/>
      <c r="AQ608" s="320"/>
      <c r="AR608" s="320"/>
      <c r="AS608" s="320"/>
      <c r="AT608" s="320"/>
      <c r="AU608" s="321"/>
    </row>
    <row r="609">
      <c r="A609" s="319"/>
      <c r="B609" s="320"/>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c r="AA609" s="320"/>
      <c r="AB609" s="320"/>
      <c r="AC609" s="320"/>
      <c r="AD609" s="320"/>
      <c r="AE609" s="320"/>
      <c r="AF609" s="320"/>
      <c r="AG609" s="320"/>
      <c r="AH609" s="320"/>
      <c r="AI609" s="320"/>
      <c r="AJ609" s="320"/>
      <c r="AK609" s="320"/>
      <c r="AL609" s="320"/>
      <c r="AM609" s="320"/>
      <c r="AN609" s="320"/>
      <c r="AO609" s="320"/>
      <c r="AP609" s="320"/>
      <c r="AQ609" s="320"/>
      <c r="AR609" s="320"/>
      <c r="AS609" s="320"/>
      <c r="AT609" s="320"/>
      <c r="AU609" s="321"/>
    </row>
    <row r="610">
      <c r="A610" s="319"/>
      <c r="B610" s="320"/>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c r="AA610" s="320"/>
      <c r="AB610" s="320"/>
      <c r="AC610" s="320"/>
      <c r="AD610" s="320"/>
      <c r="AE610" s="320"/>
      <c r="AF610" s="320"/>
      <c r="AG610" s="320"/>
      <c r="AH610" s="320"/>
      <c r="AI610" s="320"/>
      <c r="AJ610" s="320"/>
      <c r="AK610" s="320"/>
      <c r="AL610" s="320"/>
      <c r="AM610" s="320"/>
      <c r="AN610" s="320"/>
      <c r="AO610" s="320"/>
      <c r="AP610" s="320"/>
      <c r="AQ610" s="320"/>
      <c r="AR610" s="320"/>
      <c r="AS610" s="320"/>
      <c r="AT610" s="320"/>
      <c r="AU610" s="321"/>
    </row>
    <row r="611">
      <c r="A611" s="319"/>
      <c r="B611" s="320"/>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c r="AA611" s="320"/>
      <c r="AB611" s="320"/>
      <c r="AC611" s="320"/>
      <c r="AD611" s="320"/>
      <c r="AE611" s="320"/>
      <c r="AF611" s="320"/>
      <c r="AG611" s="320"/>
      <c r="AH611" s="320"/>
      <c r="AI611" s="320"/>
      <c r="AJ611" s="320"/>
      <c r="AK611" s="320"/>
      <c r="AL611" s="320"/>
      <c r="AM611" s="320"/>
      <c r="AN611" s="320"/>
      <c r="AO611" s="320"/>
      <c r="AP611" s="320"/>
      <c r="AQ611" s="320"/>
      <c r="AR611" s="320"/>
      <c r="AS611" s="320"/>
      <c r="AT611" s="320"/>
      <c r="AU611" s="321"/>
    </row>
    <row r="612">
      <c r="A612" s="319"/>
      <c r="B612" s="320"/>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c r="AA612" s="320"/>
      <c r="AB612" s="320"/>
      <c r="AC612" s="320"/>
      <c r="AD612" s="320"/>
      <c r="AE612" s="320"/>
      <c r="AF612" s="320"/>
      <c r="AG612" s="320"/>
      <c r="AH612" s="320"/>
      <c r="AI612" s="320"/>
      <c r="AJ612" s="320"/>
      <c r="AK612" s="320"/>
      <c r="AL612" s="320"/>
      <c r="AM612" s="320"/>
      <c r="AN612" s="320"/>
      <c r="AO612" s="320"/>
      <c r="AP612" s="320"/>
      <c r="AQ612" s="320"/>
      <c r="AR612" s="320"/>
      <c r="AS612" s="320"/>
      <c r="AT612" s="320"/>
      <c r="AU612" s="321"/>
    </row>
    <row r="613">
      <c r="A613" s="319"/>
      <c r="B613" s="320"/>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c r="AA613" s="320"/>
      <c r="AB613" s="320"/>
      <c r="AC613" s="320"/>
      <c r="AD613" s="320"/>
      <c r="AE613" s="320"/>
      <c r="AF613" s="320"/>
      <c r="AG613" s="320"/>
      <c r="AH613" s="320"/>
      <c r="AI613" s="320"/>
      <c r="AJ613" s="320"/>
      <c r="AK613" s="320"/>
      <c r="AL613" s="320"/>
      <c r="AM613" s="320"/>
      <c r="AN613" s="320"/>
      <c r="AO613" s="320"/>
      <c r="AP613" s="320"/>
      <c r="AQ613" s="320"/>
      <c r="AR613" s="320"/>
      <c r="AS613" s="320"/>
      <c r="AT613" s="320"/>
      <c r="AU613" s="321"/>
    </row>
    <row r="614">
      <c r="A614" s="319"/>
      <c r="B614" s="320"/>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c r="AA614" s="320"/>
      <c r="AB614" s="320"/>
      <c r="AC614" s="320"/>
      <c r="AD614" s="320"/>
      <c r="AE614" s="320"/>
      <c r="AF614" s="320"/>
      <c r="AG614" s="320"/>
      <c r="AH614" s="320"/>
      <c r="AI614" s="320"/>
      <c r="AJ614" s="320"/>
      <c r="AK614" s="320"/>
      <c r="AL614" s="320"/>
      <c r="AM614" s="320"/>
      <c r="AN614" s="320"/>
      <c r="AO614" s="320"/>
      <c r="AP614" s="320"/>
      <c r="AQ614" s="320"/>
      <c r="AR614" s="320"/>
      <c r="AS614" s="320"/>
      <c r="AT614" s="320"/>
      <c r="AU614" s="321"/>
    </row>
    <row r="615">
      <c r="A615" s="319"/>
      <c r="B615" s="320"/>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c r="AA615" s="320"/>
      <c r="AB615" s="320"/>
      <c r="AC615" s="320"/>
      <c r="AD615" s="320"/>
      <c r="AE615" s="320"/>
      <c r="AF615" s="320"/>
      <c r="AG615" s="320"/>
      <c r="AH615" s="320"/>
      <c r="AI615" s="320"/>
      <c r="AJ615" s="320"/>
      <c r="AK615" s="320"/>
      <c r="AL615" s="320"/>
      <c r="AM615" s="320"/>
      <c r="AN615" s="320"/>
      <c r="AO615" s="320"/>
      <c r="AP615" s="320"/>
      <c r="AQ615" s="320"/>
      <c r="AR615" s="320"/>
      <c r="AS615" s="320"/>
      <c r="AT615" s="320"/>
      <c r="AU615" s="321"/>
    </row>
    <row r="616">
      <c r="A616" s="319"/>
      <c r="B616" s="320"/>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c r="AA616" s="320"/>
      <c r="AB616" s="320"/>
      <c r="AC616" s="320"/>
      <c r="AD616" s="320"/>
      <c r="AE616" s="320"/>
      <c r="AF616" s="320"/>
      <c r="AG616" s="320"/>
      <c r="AH616" s="320"/>
      <c r="AI616" s="320"/>
      <c r="AJ616" s="320"/>
      <c r="AK616" s="320"/>
      <c r="AL616" s="320"/>
      <c r="AM616" s="320"/>
      <c r="AN616" s="320"/>
      <c r="AO616" s="320"/>
      <c r="AP616" s="320"/>
      <c r="AQ616" s="320"/>
      <c r="AR616" s="320"/>
      <c r="AS616" s="320"/>
      <c r="AT616" s="320"/>
      <c r="AU616" s="321"/>
    </row>
    <row r="617">
      <c r="A617" s="319"/>
      <c r="B617" s="320"/>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c r="AA617" s="320"/>
      <c r="AB617" s="320"/>
      <c r="AC617" s="320"/>
      <c r="AD617" s="320"/>
      <c r="AE617" s="320"/>
      <c r="AF617" s="320"/>
      <c r="AG617" s="320"/>
      <c r="AH617" s="320"/>
      <c r="AI617" s="320"/>
      <c r="AJ617" s="320"/>
      <c r="AK617" s="320"/>
      <c r="AL617" s="320"/>
      <c r="AM617" s="320"/>
      <c r="AN617" s="320"/>
      <c r="AO617" s="320"/>
      <c r="AP617" s="320"/>
      <c r="AQ617" s="320"/>
      <c r="AR617" s="320"/>
      <c r="AS617" s="320"/>
      <c r="AT617" s="320"/>
      <c r="AU617" s="321"/>
    </row>
    <row r="618">
      <c r="A618" s="319"/>
      <c r="B618" s="320"/>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c r="AA618" s="320"/>
      <c r="AB618" s="320"/>
      <c r="AC618" s="320"/>
      <c r="AD618" s="320"/>
      <c r="AE618" s="320"/>
      <c r="AF618" s="320"/>
      <c r="AG618" s="320"/>
      <c r="AH618" s="320"/>
      <c r="AI618" s="320"/>
      <c r="AJ618" s="320"/>
      <c r="AK618" s="320"/>
      <c r="AL618" s="320"/>
      <c r="AM618" s="320"/>
      <c r="AN618" s="320"/>
      <c r="AO618" s="320"/>
      <c r="AP618" s="320"/>
      <c r="AQ618" s="320"/>
      <c r="AR618" s="320"/>
      <c r="AS618" s="320"/>
      <c r="AT618" s="320"/>
      <c r="AU618" s="321"/>
    </row>
    <row r="619">
      <c r="A619" s="319"/>
      <c r="B619" s="320"/>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c r="AA619" s="320"/>
      <c r="AB619" s="320"/>
      <c r="AC619" s="320"/>
      <c r="AD619" s="320"/>
      <c r="AE619" s="320"/>
      <c r="AF619" s="320"/>
      <c r="AG619" s="320"/>
      <c r="AH619" s="320"/>
      <c r="AI619" s="320"/>
      <c r="AJ619" s="320"/>
      <c r="AK619" s="320"/>
      <c r="AL619" s="320"/>
      <c r="AM619" s="320"/>
      <c r="AN619" s="320"/>
      <c r="AO619" s="320"/>
      <c r="AP619" s="320"/>
      <c r="AQ619" s="320"/>
      <c r="AR619" s="320"/>
      <c r="AS619" s="320"/>
      <c r="AT619" s="320"/>
      <c r="AU619" s="321"/>
    </row>
    <row r="620">
      <c r="A620" s="319"/>
      <c r="B620" s="320"/>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c r="AA620" s="320"/>
      <c r="AB620" s="320"/>
      <c r="AC620" s="320"/>
      <c r="AD620" s="320"/>
      <c r="AE620" s="320"/>
      <c r="AF620" s="320"/>
      <c r="AG620" s="320"/>
      <c r="AH620" s="320"/>
      <c r="AI620" s="320"/>
      <c r="AJ620" s="320"/>
      <c r="AK620" s="320"/>
      <c r="AL620" s="320"/>
      <c r="AM620" s="320"/>
      <c r="AN620" s="320"/>
      <c r="AO620" s="320"/>
      <c r="AP620" s="320"/>
      <c r="AQ620" s="320"/>
      <c r="AR620" s="320"/>
      <c r="AS620" s="320"/>
      <c r="AT620" s="320"/>
      <c r="AU620" s="321"/>
    </row>
    <row r="621">
      <c r="A621" s="319"/>
      <c r="B621" s="320"/>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c r="AA621" s="320"/>
      <c r="AB621" s="320"/>
      <c r="AC621" s="320"/>
      <c r="AD621" s="320"/>
      <c r="AE621" s="320"/>
      <c r="AF621" s="320"/>
      <c r="AG621" s="320"/>
      <c r="AH621" s="320"/>
      <c r="AI621" s="320"/>
      <c r="AJ621" s="320"/>
      <c r="AK621" s="320"/>
      <c r="AL621" s="320"/>
      <c r="AM621" s="320"/>
      <c r="AN621" s="320"/>
      <c r="AO621" s="320"/>
      <c r="AP621" s="320"/>
      <c r="AQ621" s="320"/>
      <c r="AR621" s="320"/>
      <c r="AS621" s="320"/>
      <c r="AT621" s="320"/>
      <c r="AU621" s="321"/>
    </row>
    <row r="622">
      <c r="A622" s="319"/>
      <c r="B622" s="320"/>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c r="AA622" s="320"/>
      <c r="AB622" s="320"/>
      <c r="AC622" s="320"/>
      <c r="AD622" s="320"/>
      <c r="AE622" s="320"/>
      <c r="AF622" s="320"/>
      <c r="AG622" s="320"/>
      <c r="AH622" s="320"/>
      <c r="AI622" s="320"/>
      <c r="AJ622" s="320"/>
      <c r="AK622" s="320"/>
      <c r="AL622" s="320"/>
      <c r="AM622" s="320"/>
      <c r="AN622" s="320"/>
      <c r="AO622" s="320"/>
      <c r="AP622" s="320"/>
      <c r="AQ622" s="320"/>
      <c r="AR622" s="320"/>
      <c r="AS622" s="320"/>
      <c r="AT622" s="320"/>
      <c r="AU622" s="321"/>
    </row>
    <row r="623">
      <c r="A623" s="319"/>
      <c r="B623" s="320"/>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c r="AA623" s="320"/>
      <c r="AB623" s="320"/>
      <c r="AC623" s="320"/>
      <c r="AD623" s="320"/>
      <c r="AE623" s="320"/>
      <c r="AF623" s="320"/>
      <c r="AG623" s="320"/>
      <c r="AH623" s="320"/>
      <c r="AI623" s="320"/>
      <c r="AJ623" s="320"/>
      <c r="AK623" s="320"/>
      <c r="AL623" s="320"/>
      <c r="AM623" s="320"/>
      <c r="AN623" s="320"/>
      <c r="AO623" s="320"/>
      <c r="AP623" s="320"/>
      <c r="AQ623" s="320"/>
      <c r="AR623" s="320"/>
      <c r="AS623" s="320"/>
      <c r="AT623" s="320"/>
      <c r="AU623" s="321"/>
    </row>
    <row r="624">
      <c r="A624" s="319"/>
      <c r="B624" s="320"/>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c r="AA624" s="320"/>
      <c r="AB624" s="320"/>
      <c r="AC624" s="320"/>
      <c r="AD624" s="320"/>
      <c r="AE624" s="320"/>
      <c r="AF624" s="320"/>
      <c r="AG624" s="320"/>
      <c r="AH624" s="320"/>
      <c r="AI624" s="320"/>
      <c r="AJ624" s="320"/>
      <c r="AK624" s="320"/>
      <c r="AL624" s="320"/>
      <c r="AM624" s="320"/>
      <c r="AN624" s="320"/>
      <c r="AO624" s="320"/>
      <c r="AP624" s="320"/>
      <c r="AQ624" s="320"/>
      <c r="AR624" s="320"/>
      <c r="AS624" s="320"/>
      <c r="AT624" s="320"/>
      <c r="AU624" s="321"/>
    </row>
    <row r="625">
      <c r="A625" s="319"/>
      <c r="B625" s="320"/>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c r="AA625" s="320"/>
      <c r="AB625" s="320"/>
      <c r="AC625" s="320"/>
      <c r="AD625" s="320"/>
      <c r="AE625" s="320"/>
      <c r="AF625" s="320"/>
      <c r="AG625" s="320"/>
      <c r="AH625" s="320"/>
      <c r="AI625" s="320"/>
      <c r="AJ625" s="320"/>
      <c r="AK625" s="320"/>
      <c r="AL625" s="320"/>
      <c r="AM625" s="320"/>
      <c r="AN625" s="320"/>
      <c r="AO625" s="320"/>
      <c r="AP625" s="320"/>
      <c r="AQ625" s="320"/>
      <c r="AR625" s="320"/>
      <c r="AS625" s="320"/>
      <c r="AT625" s="320"/>
      <c r="AU625" s="321"/>
    </row>
    <row r="626">
      <c r="A626" s="319"/>
      <c r="B626" s="320"/>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c r="AA626" s="320"/>
      <c r="AB626" s="320"/>
      <c r="AC626" s="320"/>
      <c r="AD626" s="320"/>
      <c r="AE626" s="320"/>
      <c r="AF626" s="320"/>
      <c r="AG626" s="320"/>
      <c r="AH626" s="320"/>
      <c r="AI626" s="320"/>
      <c r="AJ626" s="320"/>
      <c r="AK626" s="320"/>
      <c r="AL626" s="320"/>
      <c r="AM626" s="320"/>
      <c r="AN626" s="320"/>
      <c r="AO626" s="320"/>
      <c r="AP626" s="320"/>
      <c r="AQ626" s="320"/>
      <c r="AR626" s="320"/>
      <c r="AS626" s="320"/>
      <c r="AT626" s="320"/>
      <c r="AU626" s="321"/>
    </row>
    <row r="627">
      <c r="A627" s="319"/>
      <c r="B627" s="320"/>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c r="AA627" s="320"/>
      <c r="AB627" s="320"/>
      <c r="AC627" s="320"/>
      <c r="AD627" s="320"/>
      <c r="AE627" s="320"/>
      <c r="AF627" s="320"/>
      <c r="AG627" s="320"/>
      <c r="AH627" s="320"/>
      <c r="AI627" s="320"/>
      <c r="AJ627" s="320"/>
      <c r="AK627" s="320"/>
      <c r="AL627" s="320"/>
      <c r="AM627" s="320"/>
      <c r="AN627" s="320"/>
      <c r="AO627" s="320"/>
      <c r="AP627" s="320"/>
      <c r="AQ627" s="320"/>
      <c r="AR627" s="320"/>
      <c r="AS627" s="320"/>
      <c r="AT627" s="320"/>
      <c r="AU627" s="321"/>
    </row>
    <row r="628">
      <c r="A628" s="319"/>
      <c r="B628" s="320"/>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c r="AA628" s="320"/>
      <c r="AB628" s="320"/>
      <c r="AC628" s="320"/>
      <c r="AD628" s="320"/>
      <c r="AE628" s="320"/>
      <c r="AF628" s="320"/>
      <c r="AG628" s="320"/>
      <c r="AH628" s="320"/>
      <c r="AI628" s="320"/>
      <c r="AJ628" s="320"/>
      <c r="AK628" s="320"/>
      <c r="AL628" s="320"/>
      <c r="AM628" s="320"/>
      <c r="AN628" s="320"/>
      <c r="AO628" s="320"/>
      <c r="AP628" s="320"/>
      <c r="AQ628" s="320"/>
      <c r="AR628" s="320"/>
      <c r="AS628" s="320"/>
      <c r="AT628" s="320"/>
      <c r="AU628" s="321"/>
    </row>
    <row r="629">
      <c r="A629" s="319"/>
      <c r="B629" s="320"/>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c r="AA629" s="320"/>
      <c r="AB629" s="320"/>
      <c r="AC629" s="320"/>
      <c r="AD629" s="320"/>
      <c r="AE629" s="320"/>
      <c r="AF629" s="320"/>
      <c r="AG629" s="320"/>
      <c r="AH629" s="320"/>
      <c r="AI629" s="320"/>
      <c r="AJ629" s="320"/>
      <c r="AK629" s="320"/>
      <c r="AL629" s="320"/>
      <c r="AM629" s="320"/>
      <c r="AN629" s="320"/>
      <c r="AO629" s="320"/>
      <c r="AP629" s="320"/>
      <c r="AQ629" s="320"/>
      <c r="AR629" s="320"/>
      <c r="AS629" s="320"/>
      <c r="AT629" s="320"/>
      <c r="AU629" s="321"/>
    </row>
    <row r="630">
      <c r="A630" s="319"/>
      <c r="B630" s="320"/>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c r="AA630" s="320"/>
      <c r="AB630" s="320"/>
      <c r="AC630" s="320"/>
      <c r="AD630" s="320"/>
      <c r="AE630" s="320"/>
      <c r="AF630" s="320"/>
      <c r="AG630" s="320"/>
      <c r="AH630" s="320"/>
      <c r="AI630" s="320"/>
      <c r="AJ630" s="320"/>
      <c r="AK630" s="320"/>
      <c r="AL630" s="320"/>
      <c r="AM630" s="320"/>
      <c r="AN630" s="320"/>
      <c r="AO630" s="320"/>
      <c r="AP630" s="320"/>
      <c r="AQ630" s="320"/>
      <c r="AR630" s="320"/>
      <c r="AS630" s="320"/>
      <c r="AT630" s="320"/>
      <c r="AU630" s="321"/>
    </row>
    <row r="631">
      <c r="A631" s="319"/>
      <c r="B631" s="320"/>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c r="AA631" s="320"/>
      <c r="AB631" s="320"/>
      <c r="AC631" s="320"/>
      <c r="AD631" s="320"/>
      <c r="AE631" s="320"/>
      <c r="AF631" s="320"/>
      <c r="AG631" s="320"/>
      <c r="AH631" s="320"/>
      <c r="AI631" s="320"/>
      <c r="AJ631" s="320"/>
      <c r="AK631" s="320"/>
      <c r="AL631" s="320"/>
      <c r="AM631" s="320"/>
      <c r="AN631" s="320"/>
      <c r="AO631" s="320"/>
      <c r="AP631" s="320"/>
      <c r="AQ631" s="320"/>
      <c r="AR631" s="320"/>
      <c r="AS631" s="320"/>
      <c r="AT631" s="320"/>
      <c r="AU631" s="321"/>
    </row>
    <row r="632">
      <c r="A632" s="319"/>
      <c r="B632" s="320"/>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c r="AA632" s="320"/>
      <c r="AB632" s="320"/>
      <c r="AC632" s="320"/>
      <c r="AD632" s="320"/>
      <c r="AE632" s="320"/>
      <c r="AF632" s="320"/>
      <c r="AG632" s="320"/>
      <c r="AH632" s="320"/>
      <c r="AI632" s="320"/>
      <c r="AJ632" s="320"/>
      <c r="AK632" s="320"/>
      <c r="AL632" s="320"/>
      <c r="AM632" s="320"/>
      <c r="AN632" s="320"/>
      <c r="AO632" s="320"/>
      <c r="AP632" s="320"/>
      <c r="AQ632" s="320"/>
      <c r="AR632" s="320"/>
      <c r="AS632" s="320"/>
      <c r="AT632" s="320"/>
      <c r="AU632" s="321"/>
    </row>
    <row r="633">
      <c r="A633" s="319"/>
      <c r="B633" s="320"/>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c r="AA633" s="320"/>
      <c r="AB633" s="320"/>
      <c r="AC633" s="320"/>
      <c r="AD633" s="320"/>
      <c r="AE633" s="320"/>
      <c r="AF633" s="320"/>
      <c r="AG633" s="320"/>
      <c r="AH633" s="320"/>
      <c r="AI633" s="320"/>
      <c r="AJ633" s="320"/>
      <c r="AK633" s="320"/>
      <c r="AL633" s="320"/>
      <c r="AM633" s="320"/>
      <c r="AN633" s="320"/>
      <c r="AO633" s="320"/>
      <c r="AP633" s="320"/>
      <c r="AQ633" s="320"/>
      <c r="AR633" s="320"/>
      <c r="AS633" s="320"/>
      <c r="AT633" s="320"/>
      <c r="AU633" s="321"/>
    </row>
    <row r="634">
      <c r="A634" s="319"/>
      <c r="B634" s="320"/>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c r="AA634" s="320"/>
      <c r="AB634" s="320"/>
      <c r="AC634" s="320"/>
      <c r="AD634" s="320"/>
      <c r="AE634" s="320"/>
      <c r="AF634" s="320"/>
      <c r="AG634" s="320"/>
      <c r="AH634" s="320"/>
      <c r="AI634" s="320"/>
      <c r="AJ634" s="320"/>
      <c r="AK634" s="320"/>
      <c r="AL634" s="320"/>
      <c r="AM634" s="320"/>
      <c r="AN634" s="320"/>
      <c r="AO634" s="320"/>
      <c r="AP634" s="320"/>
      <c r="AQ634" s="320"/>
      <c r="AR634" s="320"/>
      <c r="AS634" s="320"/>
      <c r="AT634" s="320"/>
      <c r="AU634" s="321"/>
    </row>
    <row r="635">
      <c r="A635" s="319"/>
      <c r="B635" s="320"/>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c r="AA635" s="320"/>
      <c r="AB635" s="320"/>
      <c r="AC635" s="320"/>
      <c r="AD635" s="320"/>
      <c r="AE635" s="320"/>
      <c r="AF635" s="320"/>
      <c r="AG635" s="320"/>
      <c r="AH635" s="320"/>
      <c r="AI635" s="320"/>
      <c r="AJ635" s="320"/>
      <c r="AK635" s="320"/>
      <c r="AL635" s="320"/>
      <c r="AM635" s="320"/>
      <c r="AN635" s="320"/>
      <c r="AO635" s="320"/>
      <c r="AP635" s="320"/>
      <c r="AQ635" s="320"/>
      <c r="AR635" s="320"/>
      <c r="AS635" s="320"/>
      <c r="AT635" s="320"/>
      <c r="AU635" s="321"/>
    </row>
    <row r="636">
      <c r="A636" s="319"/>
      <c r="B636" s="320"/>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c r="AA636" s="320"/>
      <c r="AB636" s="320"/>
      <c r="AC636" s="320"/>
      <c r="AD636" s="320"/>
      <c r="AE636" s="320"/>
      <c r="AF636" s="320"/>
      <c r="AG636" s="320"/>
      <c r="AH636" s="320"/>
      <c r="AI636" s="320"/>
      <c r="AJ636" s="320"/>
      <c r="AK636" s="320"/>
      <c r="AL636" s="320"/>
      <c r="AM636" s="320"/>
      <c r="AN636" s="320"/>
      <c r="AO636" s="320"/>
      <c r="AP636" s="320"/>
      <c r="AQ636" s="320"/>
      <c r="AR636" s="320"/>
      <c r="AS636" s="320"/>
      <c r="AT636" s="320"/>
      <c r="AU636" s="321"/>
    </row>
    <row r="637">
      <c r="A637" s="319"/>
      <c r="B637" s="320"/>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c r="AA637" s="320"/>
      <c r="AB637" s="320"/>
      <c r="AC637" s="320"/>
      <c r="AD637" s="320"/>
      <c r="AE637" s="320"/>
      <c r="AF637" s="320"/>
      <c r="AG637" s="320"/>
      <c r="AH637" s="320"/>
      <c r="AI637" s="320"/>
      <c r="AJ637" s="320"/>
      <c r="AK637" s="320"/>
      <c r="AL637" s="320"/>
      <c r="AM637" s="320"/>
      <c r="AN637" s="320"/>
      <c r="AO637" s="320"/>
      <c r="AP637" s="320"/>
      <c r="AQ637" s="320"/>
      <c r="AR637" s="320"/>
      <c r="AS637" s="320"/>
      <c r="AT637" s="320"/>
      <c r="AU637" s="321"/>
    </row>
    <row r="638">
      <c r="A638" s="319"/>
      <c r="B638" s="320"/>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c r="AA638" s="320"/>
      <c r="AB638" s="320"/>
      <c r="AC638" s="320"/>
      <c r="AD638" s="320"/>
      <c r="AE638" s="320"/>
      <c r="AF638" s="320"/>
      <c r="AG638" s="320"/>
      <c r="AH638" s="320"/>
      <c r="AI638" s="320"/>
      <c r="AJ638" s="320"/>
      <c r="AK638" s="320"/>
      <c r="AL638" s="320"/>
      <c r="AM638" s="320"/>
      <c r="AN638" s="320"/>
      <c r="AO638" s="320"/>
      <c r="AP638" s="320"/>
      <c r="AQ638" s="320"/>
      <c r="AR638" s="320"/>
      <c r="AS638" s="320"/>
      <c r="AT638" s="320"/>
      <c r="AU638" s="321"/>
    </row>
    <row r="639">
      <c r="A639" s="319"/>
      <c r="B639" s="320"/>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c r="AA639" s="320"/>
      <c r="AB639" s="320"/>
      <c r="AC639" s="320"/>
      <c r="AD639" s="320"/>
      <c r="AE639" s="320"/>
      <c r="AF639" s="320"/>
      <c r="AG639" s="320"/>
      <c r="AH639" s="320"/>
      <c r="AI639" s="320"/>
      <c r="AJ639" s="320"/>
      <c r="AK639" s="320"/>
      <c r="AL639" s="320"/>
      <c r="AM639" s="320"/>
      <c r="AN639" s="320"/>
      <c r="AO639" s="320"/>
      <c r="AP639" s="320"/>
      <c r="AQ639" s="320"/>
      <c r="AR639" s="320"/>
      <c r="AS639" s="320"/>
      <c r="AT639" s="320"/>
      <c r="AU639" s="321"/>
    </row>
    <row r="640">
      <c r="A640" s="319"/>
      <c r="B640" s="320"/>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c r="AA640" s="320"/>
      <c r="AB640" s="320"/>
      <c r="AC640" s="320"/>
      <c r="AD640" s="320"/>
      <c r="AE640" s="320"/>
      <c r="AF640" s="320"/>
      <c r="AG640" s="320"/>
      <c r="AH640" s="320"/>
      <c r="AI640" s="320"/>
      <c r="AJ640" s="320"/>
      <c r="AK640" s="320"/>
      <c r="AL640" s="320"/>
      <c r="AM640" s="320"/>
      <c r="AN640" s="320"/>
      <c r="AO640" s="320"/>
      <c r="AP640" s="320"/>
      <c r="AQ640" s="320"/>
      <c r="AR640" s="320"/>
      <c r="AS640" s="320"/>
      <c r="AT640" s="320"/>
      <c r="AU640" s="321"/>
    </row>
    <row r="641">
      <c r="A641" s="319"/>
      <c r="B641" s="320"/>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c r="AA641" s="320"/>
      <c r="AB641" s="320"/>
      <c r="AC641" s="320"/>
      <c r="AD641" s="320"/>
      <c r="AE641" s="320"/>
      <c r="AF641" s="320"/>
      <c r="AG641" s="320"/>
      <c r="AH641" s="320"/>
      <c r="AI641" s="320"/>
      <c r="AJ641" s="320"/>
      <c r="AK641" s="320"/>
      <c r="AL641" s="320"/>
      <c r="AM641" s="320"/>
      <c r="AN641" s="320"/>
      <c r="AO641" s="320"/>
      <c r="AP641" s="320"/>
      <c r="AQ641" s="320"/>
      <c r="AR641" s="320"/>
      <c r="AS641" s="320"/>
      <c r="AT641" s="320"/>
      <c r="AU641" s="321"/>
    </row>
    <row r="642">
      <c r="A642" s="319"/>
      <c r="B642" s="320"/>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c r="AA642" s="320"/>
      <c r="AB642" s="320"/>
      <c r="AC642" s="320"/>
      <c r="AD642" s="320"/>
      <c r="AE642" s="320"/>
      <c r="AF642" s="320"/>
      <c r="AG642" s="320"/>
      <c r="AH642" s="320"/>
      <c r="AI642" s="320"/>
      <c r="AJ642" s="320"/>
      <c r="AK642" s="320"/>
      <c r="AL642" s="320"/>
      <c r="AM642" s="320"/>
      <c r="AN642" s="320"/>
      <c r="AO642" s="320"/>
      <c r="AP642" s="320"/>
      <c r="AQ642" s="320"/>
      <c r="AR642" s="320"/>
      <c r="AS642" s="320"/>
      <c r="AT642" s="320"/>
      <c r="AU642" s="321"/>
    </row>
    <row r="643">
      <c r="A643" s="319"/>
      <c r="B643" s="320"/>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c r="AA643" s="320"/>
      <c r="AB643" s="320"/>
      <c r="AC643" s="320"/>
      <c r="AD643" s="320"/>
      <c r="AE643" s="320"/>
      <c r="AF643" s="320"/>
      <c r="AG643" s="320"/>
      <c r="AH643" s="320"/>
      <c r="AI643" s="320"/>
      <c r="AJ643" s="320"/>
      <c r="AK643" s="320"/>
      <c r="AL643" s="320"/>
      <c r="AM643" s="320"/>
      <c r="AN643" s="320"/>
      <c r="AO643" s="320"/>
      <c r="AP643" s="320"/>
      <c r="AQ643" s="320"/>
      <c r="AR643" s="320"/>
      <c r="AS643" s="320"/>
      <c r="AT643" s="320"/>
      <c r="AU643" s="321"/>
    </row>
    <row r="644">
      <c r="A644" s="319"/>
      <c r="B644" s="320"/>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c r="AA644" s="320"/>
      <c r="AB644" s="320"/>
      <c r="AC644" s="320"/>
      <c r="AD644" s="320"/>
      <c r="AE644" s="320"/>
      <c r="AF644" s="320"/>
      <c r="AG644" s="320"/>
      <c r="AH644" s="320"/>
      <c r="AI644" s="320"/>
      <c r="AJ644" s="320"/>
      <c r="AK644" s="320"/>
      <c r="AL644" s="320"/>
      <c r="AM644" s="320"/>
      <c r="AN644" s="320"/>
      <c r="AO644" s="320"/>
      <c r="AP644" s="320"/>
      <c r="AQ644" s="320"/>
      <c r="AR644" s="320"/>
      <c r="AS644" s="320"/>
      <c r="AT644" s="320"/>
      <c r="AU644" s="321"/>
    </row>
    <row r="645">
      <c r="A645" s="319"/>
      <c r="B645" s="320"/>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c r="AA645" s="320"/>
      <c r="AB645" s="320"/>
      <c r="AC645" s="320"/>
      <c r="AD645" s="320"/>
      <c r="AE645" s="320"/>
      <c r="AF645" s="320"/>
      <c r="AG645" s="320"/>
      <c r="AH645" s="320"/>
      <c r="AI645" s="320"/>
      <c r="AJ645" s="320"/>
      <c r="AK645" s="320"/>
      <c r="AL645" s="320"/>
      <c r="AM645" s="320"/>
      <c r="AN645" s="320"/>
      <c r="AO645" s="320"/>
      <c r="AP645" s="320"/>
      <c r="AQ645" s="320"/>
      <c r="AR645" s="320"/>
      <c r="AS645" s="320"/>
      <c r="AT645" s="320"/>
      <c r="AU645" s="321"/>
    </row>
    <row r="646">
      <c r="A646" s="319"/>
      <c r="B646" s="320"/>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c r="AA646" s="320"/>
      <c r="AB646" s="320"/>
      <c r="AC646" s="320"/>
      <c r="AD646" s="320"/>
      <c r="AE646" s="320"/>
      <c r="AF646" s="320"/>
      <c r="AG646" s="320"/>
      <c r="AH646" s="320"/>
      <c r="AI646" s="320"/>
      <c r="AJ646" s="320"/>
      <c r="AK646" s="320"/>
      <c r="AL646" s="320"/>
      <c r="AM646" s="320"/>
      <c r="AN646" s="320"/>
      <c r="AO646" s="320"/>
      <c r="AP646" s="320"/>
      <c r="AQ646" s="320"/>
      <c r="AR646" s="320"/>
      <c r="AS646" s="320"/>
      <c r="AT646" s="320"/>
      <c r="AU646" s="321"/>
    </row>
    <row r="647">
      <c r="A647" s="319"/>
      <c r="B647" s="320"/>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c r="AA647" s="320"/>
      <c r="AB647" s="320"/>
      <c r="AC647" s="320"/>
      <c r="AD647" s="320"/>
      <c r="AE647" s="320"/>
      <c r="AF647" s="320"/>
      <c r="AG647" s="320"/>
      <c r="AH647" s="320"/>
      <c r="AI647" s="320"/>
      <c r="AJ647" s="320"/>
      <c r="AK647" s="320"/>
      <c r="AL647" s="320"/>
      <c r="AM647" s="320"/>
      <c r="AN647" s="320"/>
      <c r="AO647" s="320"/>
      <c r="AP647" s="320"/>
      <c r="AQ647" s="320"/>
      <c r="AR647" s="320"/>
      <c r="AS647" s="320"/>
      <c r="AT647" s="320"/>
      <c r="AU647" s="321"/>
    </row>
    <row r="648">
      <c r="A648" s="319"/>
      <c r="B648" s="320"/>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c r="AA648" s="320"/>
      <c r="AB648" s="320"/>
      <c r="AC648" s="320"/>
      <c r="AD648" s="320"/>
      <c r="AE648" s="320"/>
      <c r="AF648" s="320"/>
      <c r="AG648" s="320"/>
      <c r="AH648" s="320"/>
      <c r="AI648" s="320"/>
      <c r="AJ648" s="320"/>
      <c r="AK648" s="320"/>
      <c r="AL648" s="320"/>
      <c r="AM648" s="320"/>
      <c r="AN648" s="320"/>
      <c r="AO648" s="320"/>
      <c r="AP648" s="320"/>
      <c r="AQ648" s="320"/>
      <c r="AR648" s="320"/>
      <c r="AS648" s="320"/>
      <c r="AT648" s="320"/>
      <c r="AU648" s="321"/>
    </row>
    <row r="649">
      <c r="A649" s="319"/>
      <c r="B649" s="320"/>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c r="AA649" s="320"/>
      <c r="AB649" s="320"/>
      <c r="AC649" s="320"/>
      <c r="AD649" s="320"/>
      <c r="AE649" s="320"/>
      <c r="AF649" s="320"/>
      <c r="AG649" s="320"/>
      <c r="AH649" s="320"/>
      <c r="AI649" s="320"/>
      <c r="AJ649" s="320"/>
      <c r="AK649" s="320"/>
      <c r="AL649" s="320"/>
      <c r="AM649" s="320"/>
      <c r="AN649" s="320"/>
      <c r="AO649" s="320"/>
      <c r="AP649" s="320"/>
      <c r="AQ649" s="320"/>
      <c r="AR649" s="320"/>
      <c r="AS649" s="320"/>
      <c r="AT649" s="320"/>
      <c r="AU649" s="321"/>
    </row>
    <row r="650">
      <c r="A650" s="319"/>
      <c r="B650" s="320"/>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c r="AA650" s="320"/>
      <c r="AB650" s="320"/>
      <c r="AC650" s="320"/>
      <c r="AD650" s="320"/>
      <c r="AE650" s="320"/>
      <c r="AF650" s="320"/>
      <c r="AG650" s="320"/>
      <c r="AH650" s="320"/>
      <c r="AI650" s="320"/>
      <c r="AJ650" s="320"/>
      <c r="AK650" s="320"/>
      <c r="AL650" s="320"/>
      <c r="AM650" s="320"/>
      <c r="AN650" s="320"/>
      <c r="AO650" s="320"/>
      <c r="AP650" s="320"/>
      <c r="AQ650" s="320"/>
      <c r="AR650" s="320"/>
      <c r="AS650" s="320"/>
      <c r="AT650" s="320"/>
      <c r="AU650" s="321"/>
    </row>
    <row r="651">
      <c r="A651" s="319"/>
      <c r="B651" s="320"/>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c r="AA651" s="320"/>
      <c r="AB651" s="320"/>
      <c r="AC651" s="320"/>
      <c r="AD651" s="320"/>
      <c r="AE651" s="320"/>
      <c r="AF651" s="320"/>
      <c r="AG651" s="320"/>
      <c r="AH651" s="320"/>
      <c r="AI651" s="320"/>
      <c r="AJ651" s="320"/>
      <c r="AK651" s="320"/>
      <c r="AL651" s="320"/>
      <c r="AM651" s="320"/>
      <c r="AN651" s="320"/>
      <c r="AO651" s="320"/>
      <c r="AP651" s="320"/>
      <c r="AQ651" s="320"/>
      <c r="AR651" s="320"/>
      <c r="AS651" s="320"/>
      <c r="AT651" s="320"/>
      <c r="AU651" s="321"/>
    </row>
    <row r="652">
      <c r="A652" s="319"/>
      <c r="B652" s="320"/>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c r="AA652" s="320"/>
      <c r="AB652" s="320"/>
      <c r="AC652" s="320"/>
      <c r="AD652" s="320"/>
      <c r="AE652" s="320"/>
      <c r="AF652" s="320"/>
      <c r="AG652" s="320"/>
      <c r="AH652" s="320"/>
      <c r="AI652" s="320"/>
      <c r="AJ652" s="320"/>
      <c r="AK652" s="320"/>
      <c r="AL652" s="320"/>
      <c r="AM652" s="320"/>
      <c r="AN652" s="320"/>
      <c r="AO652" s="320"/>
      <c r="AP652" s="320"/>
      <c r="AQ652" s="320"/>
      <c r="AR652" s="320"/>
      <c r="AS652" s="320"/>
      <c r="AT652" s="320"/>
      <c r="AU652" s="321"/>
    </row>
    <row r="653">
      <c r="A653" s="319"/>
      <c r="B653" s="320"/>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c r="AA653" s="320"/>
      <c r="AB653" s="320"/>
      <c r="AC653" s="320"/>
      <c r="AD653" s="320"/>
      <c r="AE653" s="320"/>
      <c r="AF653" s="320"/>
      <c r="AG653" s="320"/>
      <c r="AH653" s="320"/>
      <c r="AI653" s="320"/>
      <c r="AJ653" s="320"/>
      <c r="AK653" s="320"/>
      <c r="AL653" s="320"/>
      <c r="AM653" s="320"/>
      <c r="AN653" s="320"/>
      <c r="AO653" s="320"/>
      <c r="AP653" s="320"/>
      <c r="AQ653" s="320"/>
      <c r="AR653" s="320"/>
      <c r="AS653" s="320"/>
      <c r="AT653" s="320"/>
      <c r="AU653" s="321"/>
    </row>
    <row r="654">
      <c r="A654" s="319"/>
      <c r="B654" s="320"/>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c r="AA654" s="320"/>
      <c r="AB654" s="320"/>
      <c r="AC654" s="320"/>
      <c r="AD654" s="320"/>
      <c r="AE654" s="320"/>
      <c r="AF654" s="320"/>
      <c r="AG654" s="320"/>
      <c r="AH654" s="320"/>
      <c r="AI654" s="320"/>
      <c r="AJ654" s="320"/>
      <c r="AK654" s="320"/>
      <c r="AL654" s="320"/>
      <c r="AM654" s="320"/>
      <c r="AN654" s="320"/>
      <c r="AO654" s="320"/>
      <c r="AP654" s="320"/>
      <c r="AQ654" s="320"/>
      <c r="AR654" s="320"/>
      <c r="AS654" s="320"/>
      <c r="AT654" s="320"/>
      <c r="AU654" s="321"/>
    </row>
    <row r="655">
      <c r="A655" s="319"/>
      <c r="B655" s="320"/>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c r="AA655" s="320"/>
      <c r="AB655" s="320"/>
      <c r="AC655" s="320"/>
      <c r="AD655" s="320"/>
      <c r="AE655" s="320"/>
      <c r="AF655" s="320"/>
      <c r="AG655" s="320"/>
      <c r="AH655" s="320"/>
      <c r="AI655" s="320"/>
      <c r="AJ655" s="320"/>
      <c r="AK655" s="320"/>
      <c r="AL655" s="320"/>
      <c r="AM655" s="320"/>
      <c r="AN655" s="320"/>
      <c r="AO655" s="320"/>
      <c r="AP655" s="320"/>
      <c r="AQ655" s="320"/>
      <c r="AR655" s="320"/>
      <c r="AS655" s="320"/>
      <c r="AT655" s="320"/>
      <c r="AU655" s="321"/>
    </row>
    <row r="656">
      <c r="A656" s="319"/>
      <c r="B656" s="320"/>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c r="AA656" s="320"/>
      <c r="AB656" s="320"/>
      <c r="AC656" s="320"/>
      <c r="AD656" s="320"/>
      <c r="AE656" s="320"/>
      <c r="AF656" s="320"/>
      <c r="AG656" s="320"/>
      <c r="AH656" s="320"/>
      <c r="AI656" s="320"/>
      <c r="AJ656" s="320"/>
      <c r="AK656" s="320"/>
      <c r="AL656" s="320"/>
      <c r="AM656" s="320"/>
      <c r="AN656" s="320"/>
      <c r="AO656" s="320"/>
      <c r="AP656" s="320"/>
      <c r="AQ656" s="320"/>
      <c r="AR656" s="320"/>
      <c r="AS656" s="320"/>
      <c r="AT656" s="320"/>
      <c r="AU656" s="321"/>
    </row>
    <row r="657">
      <c r="A657" s="319"/>
      <c r="B657" s="320"/>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c r="AA657" s="320"/>
      <c r="AB657" s="320"/>
      <c r="AC657" s="320"/>
      <c r="AD657" s="320"/>
      <c r="AE657" s="320"/>
      <c r="AF657" s="320"/>
      <c r="AG657" s="320"/>
      <c r="AH657" s="320"/>
      <c r="AI657" s="320"/>
      <c r="AJ657" s="320"/>
      <c r="AK657" s="320"/>
      <c r="AL657" s="320"/>
      <c r="AM657" s="320"/>
      <c r="AN657" s="320"/>
      <c r="AO657" s="320"/>
      <c r="AP657" s="320"/>
      <c r="AQ657" s="320"/>
      <c r="AR657" s="320"/>
      <c r="AS657" s="320"/>
      <c r="AT657" s="320"/>
      <c r="AU657" s="321"/>
    </row>
    <row r="658">
      <c r="A658" s="319"/>
      <c r="B658" s="320"/>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c r="AA658" s="320"/>
      <c r="AB658" s="320"/>
      <c r="AC658" s="320"/>
      <c r="AD658" s="320"/>
      <c r="AE658" s="320"/>
      <c r="AF658" s="320"/>
      <c r="AG658" s="320"/>
      <c r="AH658" s="320"/>
      <c r="AI658" s="320"/>
      <c r="AJ658" s="320"/>
      <c r="AK658" s="320"/>
      <c r="AL658" s="320"/>
      <c r="AM658" s="320"/>
      <c r="AN658" s="320"/>
      <c r="AO658" s="320"/>
      <c r="AP658" s="320"/>
      <c r="AQ658" s="320"/>
      <c r="AR658" s="320"/>
      <c r="AS658" s="320"/>
      <c r="AT658" s="320"/>
      <c r="AU658" s="321"/>
    </row>
    <row r="659">
      <c r="A659" s="319"/>
      <c r="B659" s="320"/>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c r="AA659" s="320"/>
      <c r="AB659" s="320"/>
      <c r="AC659" s="320"/>
      <c r="AD659" s="320"/>
      <c r="AE659" s="320"/>
      <c r="AF659" s="320"/>
      <c r="AG659" s="320"/>
      <c r="AH659" s="320"/>
      <c r="AI659" s="320"/>
      <c r="AJ659" s="320"/>
      <c r="AK659" s="320"/>
      <c r="AL659" s="320"/>
      <c r="AM659" s="320"/>
      <c r="AN659" s="320"/>
      <c r="AO659" s="320"/>
      <c r="AP659" s="320"/>
      <c r="AQ659" s="320"/>
      <c r="AR659" s="320"/>
      <c r="AS659" s="320"/>
      <c r="AT659" s="320"/>
      <c r="AU659" s="321"/>
    </row>
    <row r="660">
      <c r="A660" s="319"/>
      <c r="B660" s="320"/>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c r="AA660" s="320"/>
      <c r="AB660" s="320"/>
      <c r="AC660" s="320"/>
      <c r="AD660" s="320"/>
      <c r="AE660" s="320"/>
      <c r="AF660" s="320"/>
      <c r="AG660" s="320"/>
      <c r="AH660" s="320"/>
      <c r="AI660" s="320"/>
      <c r="AJ660" s="320"/>
      <c r="AK660" s="320"/>
      <c r="AL660" s="320"/>
      <c r="AM660" s="320"/>
      <c r="AN660" s="320"/>
      <c r="AO660" s="320"/>
      <c r="AP660" s="320"/>
      <c r="AQ660" s="320"/>
      <c r="AR660" s="320"/>
      <c r="AS660" s="320"/>
      <c r="AT660" s="320"/>
      <c r="AU660" s="321"/>
    </row>
    <row r="661">
      <c r="A661" s="319"/>
      <c r="B661" s="320"/>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c r="AA661" s="320"/>
      <c r="AB661" s="320"/>
      <c r="AC661" s="320"/>
      <c r="AD661" s="320"/>
      <c r="AE661" s="320"/>
      <c r="AF661" s="320"/>
      <c r="AG661" s="320"/>
      <c r="AH661" s="320"/>
      <c r="AI661" s="320"/>
      <c r="AJ661" s="320"/>
      <c r="AK661" s="320"/>
      <c r="AL661" s="320"/>
      <c r="AM661" s="320"/>
      <c r="AN661" s="320"/>
      <c r="AO661" s="320"/>
      <c r="AP661" s="320"/>
      <c r="AQ661" s="320"/>
      <c r="AR661" s="320"/>
      <c r="AS661" s="320"/>
      <c r="AT661" s="320"/>
      <c r="AU661" s="321"/>
    </row>
    <row r="662">
      <c r="A662" s="319"/>
      <c r="B662" s="320"/>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c r="AA662" s="320"/>
      <c r="AB662" s="320"/>
      <c r="AC662" s="320"/>
      <c r="AD662" s="320"/>
      <c r="AE662" s="320"/>
      <c r="AF662" s="320"/>
      <c r="AG662" s="320"/>
      <c r="AH662" s="320"/>
      <c r="AI662" s="320"/>
      <c r="AJ662" s="320"/>
      <c r="AK662" s="320"/>
      <c r="AL662" s="320"/>
      <c r="AM662" s="320"/>
      <c r="AN662" s="320"/>
      <c r="AO662" s="320"/>
      <c r="AP662" s="320"/>
      <c r="AQ662" s="320"/>
      <c r="AR662" s="320"/>
      <c r="AS662" s="320"/>
      <c r="AT662" s="320"/>
      <c r="AU662" s="321"/>
    </row>
    <row r="663">
      <c r="A663" s="319"/>
      <c r="B663" s="320"/>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c r="AA663" s="320"/>
      <c r="AB663" s="320"/>
      <c r="AC663" s="320"/>
      <c r="AD663" s="320"/>
      <c r="AE663" s="320"/>
      <c r="AF663" s="320"/>
      <c r="AG663" s="320"/>
      <c r="AH663" s="320"/>
      <c r="AI663" s="320"/>
      <c r="AJ663" s="320"/>
      <c r="AK663" s="320"/>
      <c r="AL663" s="320"/>
      <c r="AM663" s="320"/>
      <c r="AN663" s="320"/>
      <c r="AO663" s="320"/>
      <c r="AP663" s="320"/>
      <c r="AQ663" s="320"/>
      <c r="AR663" s="320"/>
      <c r="AS663" s="320"/>
      <c r="AT663" s="320"/>
      <c r="AU663" s="321"/>
    </row>
    <row r="664">
      <c r="A664" s="319"/>
      <c r="B664" s="320"/>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c r="AA664" s="320"/>
      <c r="AB664" s="320"/>
      <c r="AC664" s="320"/>
      <c r="AD664" s="320"/>
      <c r="AE664" s="320"/>
      <c r="AF664" s="320"/>
      <c r="AG664" s="320"/>
      <c r="AH664" s="320"/>
      <c r="AI664" s="320"/>
      <c r="AJ664" s="320"/>
      <c r="AK664" s="320"/>
      <c r="AL664" s="320"/>
      <c r="AM664" s="320"/>
      <c r="AN664" s="320"/>
      <c r="AO664" s="320"/>
      <c r="AP664" s="320"/>
      <c r="AQ664" s="320"/>
      <c r="AR664" s="320"/>
      <c r="AS664" s="320"/>
      <c r="AT664" s="320"/>
      <c r="AU664" s="321"/>
    </row>
    <row r="665">
      <c r="A665" s="319"/>
      <c r="B665" s="320"/>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c r="AA665" s="320"/>
      <c r="AB665" s="320"/>
      <c r="AC665" s="320"/>
      <c r="AD665" s="320"/>
      <c r="AE665" s="320"/>
      <c r="AF665" s="320"/>
      <c r="AG665" s="320"/>
      <c r="AH665" s="320"/>
      <c r="AI665" s="320"/>
      <c r="AJ665" s="320"/>
      <c r="AK665" s="320"/>
      <c r="AL665" s="320"/>
      <c r="AM665" s="320"/>
      <c r="AN665" s="320"/>
      <c r="AO665" s="320"/>
      <c r="AP665" s="320"/>
      <c r="AQ665" s="320"/>
      <c r="AR665" s="320"/>
      <c r="AS665" s="320"/>
      <c r="AT665" s="320"/>
      <c r="AU665" s="321"/>
    </row>
    <row r="666">
      <c r="A666" s="319"/>
      <c r="B666" s="320"/>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c r="AA666" s="320"/>
      <c r="AB666" s="320"/>
      <c r="AC666" s="320"/>
      <c r="AD666" s="320"/>
      <c r="AE666" s="320"/>
      <c r="AF666" s="320"/>
      <c r="AG666" s="320"/>
      <c r="AH666" s="320"/>
      <c r="AI666" s="320"/>
      <c r="AJ666" s="320"/>
      <c r="AK666" s="320"/>
      <c r="AL666" s="320"/>
      <c r="AM666" s="320"/>
      <c r="AN666" s="320"/>
      <c r="AO666" s="320"/>
      <c r="AP666" s="320"/>
      <c r="AQ666" s="320"/>
      <c r="AR666" s="320"/>
      <c r="AS666" s="320"/>
      <c r="AT666" s="320"/>
      <c r="AU666" s="321"/>
    </row>
    <row r="667">
      <c r="A667" s="319"/>
      <c r="B667" s="320"/>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c r="AA667" s="320"/>
      <c r="AB667" s="320"/>
      <c r="AC667" s="320"/>
      <c r="AD667" s="320"/>
      <c r="AE667" s="320"/>
      <c r="AF667" s="320"/>
      <c r="AG667" s="320"/>
      <c r="AH667" s="320"/>
      <c r="AI667" s="320"/>
      <c r="AJ667" s="320"/>
      <c r="AK667" s="320"/>
      <c r="AL667" s="320"/>
      <c r="AM667" s="320"/>
      <c r="AN667" s="320"/>
      <c r="AO667" s="320"/>
      <c r="AP667" s="320"/>
      <c r="AQ667" s="320"/>
      <c r="AR667" s="320"/>
      <c r="AS667" s="320"/>
      <c r="AT667" s="320"/>
      <c r="AU667" s="321"/>
    </row>
    <row r="668">
      <c r="A668" s="319"/>
      <c r="B668" s="320"/>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c r="AA668" s="320"/>
      <c r="AB668" s="320"/>
      <c r="AC668" s="320"/>
      <c r="AD668" s="320"/>
      <c r="AE668" s="320"/>
      <c r="AF668" s="320"/>
      <c r="AG668" s="320"/>
      <c r="AH668" s="320"/>
      <c r="AI668" s="320"/>
      <c r="AJ668" s="320"/>
      <c r="AK668" s="320"/>
      <c r="AL668" s="320"/>
      <c r="AM668" s="320"/>
      <c r="AN668" s="320"/>
      <c r="AO668" s="320"/>
      <c r="AP668" s="320"/>
      <c r="AQ668" s="320"/>
      <c r="AR668" s="320"/>
      <c r="AS668" s="320"/>
      <c r="AT668" s="320"/>
      <c r="AU668" s="321"/>
    </row>
    <row r="669">
      <c r="A669" s="319"/>
      <c r="B669" s="320"/>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c r="AA669" s="320"/>
      <c r="AB669" s="320"/>
      <c r="AC669" s="320"/>
      <c r="AD669" s="320"/>
      <c r="AE669" s="320"/>
      <c r="AF669" s="320"/>
      <c r="AG669" s="320"/>
      <c r="AH669" s="320"/>
      <c r="AI669" s="320"/>
      <c r="AJ669" s="320"/>
      <c r="AK669" s="320"/>
      <c r="AL669" s="320"/>
      <c r="AM669" s="320"/>
      <c r="AN669" s="320"/>
      <c r="AO669" s="320"/>
      <c r="AP669" s="320"/>
      <c r="AQ669" s="320"/>
      <c r="AR669" s="320"/>
      <c r="AS669" s="320"/>
      <c r="AT669" s="320"/>
      <c r="AU669" s="321"/>
    </row>
    <row r="670">
      <c r="A670" s="319"/>
      <c r="B670" s="320"/>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c r="AA670" s="320"/>
      <c r="AB670" s="320"/>
      <c r="AC670" s="320"/>
      <c r="AD670" s="320"/>
      <c r="AE670" s="320"/>
      <c r="AF670" s="320"/>
      <c r="AG670" s="320"/>
      <c r="AH670" s="320"/>
      <c r="AI670" s="320"/>
      <c r="AJ670" s="320"/>
      <c r="AK670" s="320"/>
      <c r="AL670" s="320"/>
      <c r="AM670" s="320"/>
      <c r="AN670" s="320"/>
      <c r="AO670" s="320"/>
      <c r="AP670" s="320"/>
      <c r="AQ670" s="320"/>
      <c r="AR670" s="320"/>
      <c r="AS670" s="320"/>
      <c r="AT670" s="320"/>
      <c r="AU670" s="321"/>
    </row>
    <row r="671">
      <c r="A671" s="319"/>
      <c r="B671" s="320"/>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c r="AA671" s="320"/>
      <c r="AB671" s="320"/>
      <c r="AC671" s="320"/>
      <c r="AD671" s="320"/>
      <c r="AE671" s="320"/>
      <c r="AF671" s="320"/>
      <c r="AG671" s="320"/>
      <c r="AH671" s="320"/>
      <c r="AI671" s="320"/>
      <c r="AJ671" s="320"/>
      <c r="AK671" s="320"/>
      <c r="AL671" s="320"/>
      <c r="AM671" s="320"/>
      <c r="AN671" s="320"/>
      <c r="AO671" s="320"/>
      <c r="AP671" s="320"/>
      <c r="AQ671" s="320"/>
      <c r="AR671" s="320"/>
      <c r="AS671" s="320"/>
      <c r="AT671" s="320"/>
      <c r="AU671" s="321"/>
    </row>
    <row r="672">
      <c r="A672" s="319"/>
      <c r="B672" s="320"/>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c r="AA672" s="320"/>
      <c r="AB672" s="320"/>
      <c r="AC672" s="320"/>
      <c r="AD672" s="320"/>
      <c r="AE672" s="320"/>
      <c r="AF672" s="320"/>
      <c r="AG672" s="320"/>
      <c r="AH672" s="320"/>
      <c r="AI672" s="320"/>
      <c r="AJ672" s="320"/>
      <c r="AK672" s="320"/>
      <c r="AL672" s="320"/>
      <c r="AM672" s="320"/>
      <c r="AN672" s="320"/>
      <c r="AO672" s="320"/>
      <c r="AP672" s="320"/>
      <c r="AQ672" s="320"/>
      <c r="AR672" s="320"/>
      <c r="AS672" s="320"/>
      <c r="AT672" s="320"/>
      <c r="AU672" s="321"/>
    </row>
    <row r="673">
      <c r="A673" s="319"/>
      <c r="B673" s="320"/>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c r="AA673" s="320"/>
      <c r="AB673" s="320"/>
      <c r="AC673" s="320"/>
      <c r="AD673" s="320"/>
      <c r="AE673" s="320"/>
      <c r="AF673" s="320"/>
      <c r="AG673" s="320"/>
      <c r="AH673" s="320"/>
      <c r="AI673" s="320"/>
      <c r="AJ673" s="320"/>
      <c r="AK673" s="320"/>
      <c r="AL673" s="320"/>
      <c r="AM673" s="320"/>
      <c r="AN673" s="320"/>
      <c r="AO673" s="320"/>
      <c r="AP673" s="320"/>
      <c r="AQ673" s="320"/>
      <c r="AR673" s="320"/>
      <c r="AS673" s="320"/>
      <c r="AT673" s="320"/>
      <c r="AU673" s="321"/>
    </row>
    <row r="674">
      <c r="A674" s="319"/>
      <c r="B674" s="320"/>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c r="AA674" s="320"/>
      <c r="AB674" s="320"/>
      <c r="AC674" s="320"/>
      <c r="AD674" s="320"/>
      <c r="AE674" s="320"/>
      <c r="AF674" s="320"/>
      <c r="AG674" s="320"/>
      <c r="AH674" s="320"/>
      <c r="AI674" s="320"/>
      <c r="AJ674" s="320"/>
      <c r="AK674" s="320"/>
      <c r="AL674" s="320"/>
      <c r="AM674" s="320"/>
      <c r="AN674" s="320"/>
      <c r="AO674" s="320"/>
      <c r="AP674" s="320"/>
      <c r="AQ674" s="320"/>
      <c r="AR674" s="320"/>
      <c r="AS674" s="320"/>
      <c r="AT674" s="320"/>
      <c r="AU674" s="321"/>
    </row>
    <row r="675">
      <c r="A675" s="319"/>
      <c r="B675" s="320"/>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c r="AA675" s="320"/>
      <c r="AB675" s="320"/>
      <c r="AC675" s="320"/>
      <c r="AD675" s="320"/>
      <c r="AE675" s="320"/>
      <c r="AF675" s="320"/>
      <c r="AG675" s="320"/>
      <c r="AH675" s="320"/>
      <c r="AI675" s="320"/>
      <c r="AJ675" s="320"/>
      <c r="AK675" s="320"/>
      <c r="AL675" s="320"/>
      <c r="AM675" s="320"/>
      <c r="AN675" s="320"/>
      <c r="AO675" s="320"/>
      <c r="AP675" s="320"/>
      <c r="AQ675" s="320"/>
      <c r="AR675" s="320"/>
      <c r="AS675" s="320"/>
      <c r="AT675" s="320"/>
      <c r="AU675" s="321"/>
    </row>
    <row r="676">
      <c r="A676" s="319"/>
      <c r="B676" s="320"/>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c r="AA676" s="320"/>
      <c r="AB676" s="320"/>
      <c r="AC676" s="320"/>
      <c r="AD676" s="320"/>
      <c r="AE676" s="320"/>
      <c r="AF676" s="320"/>
      <c r="AG676" s="320"/>
      <c r="AH676" s="320"/>
      <c r="AI676" s="320"/>
      <c r="AJ676" s="320"/>
      <c r="AK676" s="320"/>
      <c r="AL676" s="320"/>
      <c r="AM676" s="320"/>
      <c r="AN676" s="320"/>
      <c r="AO676" s="320"/>
      <c r="AP676" s="320"/>
      <c r="AQ676" s="320"/>
      <c r="AR676" s="320"/>
      <c r="AS676" s="320"/>
      <c r="AT676" s="320"/>
      <c r="AU676" s="321"/>
    </row>
    <row r="677">
      <c r="A677" s="319"/>
      <c r="B677" s="320"/>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c r="AA677" s="320"/>
      <c r="AB677" s="320"/>
      <c r="AC677" s="320"/>
      <c r="AD677" s="320"/>
      <c r="AE677" s="320"/>
      <c r="AF677" s="320"/>
      <c r="AG677" s="320"/>
      <c r="AH677" s="320"/>
      <c r="AI677" s="320"/>
      <c r="AJ677" s="320"/>
      <c r="AK677" s="320"/>
      <c r="AL677" s="320"/>
      <c r="AM677" s="320"/>
      <c r="AN677" s="320"/>
      <c r="AO677" s="320"/>
      <c r="AP677" s="320"/>
      <c r="AQ677" s="320"/>
      <c r="AR677" s="320"/>
      <c r="AS677" s="320"/>
      <c r="AT677" s="320"/>
      <c r="AU677" s="321"/>
    </row>
    <row r="678">
      <c r="A678" s="319"/>
      <c r="B678" s="320"/>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c r="AA678" s="320"/>
      <c r="AB678" s="320"/>
      <c r="AC678" s="320"/>
      <c r="AD678" s="320"/>
      <c r="AE678" s="320"/>
      <c r="AF678" s="320"/>
      <c r="AG678" s="320"/>
      <c r="AH678" s="320"/>
      <c r="AI678" s="320"/>
      <c r="AJ678" s="320"/>
      <c r="AK678" s="320"/>
      <c r="AL678" s="320"/>
      <c r="AM678" s="320"/>
      <c r="AN678" s="320"/>
      <c r="AO678" s="320"/>
      <c r="AP678" s="320"/>
      <c r="AQ678" s="320"/>
      <c r="AR678" s="320"/>
      <c r="AS678" s="320"/>
      <c r="AT678" s="320"/>
      <c r="AU678" s="321"/>
    </row>
    <row r="679">
      <c r="A679" s="319"/>
      <c r="B679" s="320"/>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c r="AA679" s="320"/>
      <c r="AB679" s="320"/>
      <c r="AC679" s="320"/>
      <c r="AD679" s="320"/>
      <c r="AE679" s="320"/>
      <c r="AF679" s="320"/>
      <c r="AG679" s="320"/>
      <c r="AH679" s="320"/>
      <c r="AI679" s="320"/>
      <c r="AJ679" s="320"/>
      <c r="AK679" s="320"/>
      <c r="AL679" s="320"/>
      <c r="AM679" s="320"/>
      <c r="AN679" s="320"/>
      <c r="AO679" s="320"/>
      <c r="AP679" s="320"/>
      <c r="AQ679" s="320"/>
      <c r="AR679" s="320"/>
      <c r="AS679" s="320"/>
      <c r="AT679" s="320"/>
      <c r="AU679" s="321"/>
    </row>
    <row r="680">
      <c r="A680" s="319"/>
      <c r="B680" s="320"/>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c r="AA680" s="320"/>
      <c r="AB680" s="320"/>
      <c r="AC680" s="320"/>
      <c r="AD680" s="320"/>
      <c r="AE680" s="320"/>
      <c r="AF680" s="320"/>
      <c r="AG680" s="320"/>
      <c r="AH680" s="320"/>
      <c r="AI680" s="320"/>
      <c r="AJ680" s="320"/>
      <c r="AK680" s="320"/>
      <c r="AL680" s="320"/>
      <c r="AM680" s="320"/>
      <c r="AN680" s="320"/>
      <c r="AO680" s="320"/>
      <c r="AP680" s="320"/>
      <c r="AQ680" s="320"/>
      <c r="AR680" s="320"/>
      <c r="AS680" s="320"/>
      <c r="AT680" s="320"/>
      <c r="AU680" s="321"/>
    </row>
    <row r="681">
      <c r="A681" s="319"/>
      <c r="B681" s="320"/>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c r="AA681" s="320"/>
      <c r="AB681" s="320"/>
      <c r="AC681" s="320"/>
      <c r="AD681" s="320"/>
      <c r="AE681" s="320"/>
      <c r="AF681" s="320"/>
      <c r="AG681" s="320"/>
      <c r="AH681" s="320"/>
      <c r="AI681" s="320"/>
      <c r="AJ681" s="320"/>
      <c r="AK681" s="320"/>
      <c r="AL681" s="320"/>
      <c r="AM681" s="320"/>
      <c r="AN681" s="320"/>
      <c r="AO681" s="320"/>
      <c r="AP681" s="320"/>
      <c r="AQ681" s="320"/>
      <c r="AR681" s="320"/>
      <c r="AS681" s="320"/>
      <c r="AT681" s="320"/>
      <c r="AU681" s="321"/>
    </row>
    <row r="682">
      <c r="A682" s="319"/>
      <c r="B682" s="320"/>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c r="AA682" s="320"/>
      <c r="AB682" s="320"/>
      <c r="AC682" s="320"/>
      <c r="AD682" s="320"/>
      <c r="AE682" s="320"/>
      <c r="AF682" s="320"/>
      <c r="AG682" s="320"/>
      <c r="AH682" s="320"/>
      <c r="AI682" s="320"/>
      <c r="AJ682" s="320"/>
      <c r="AK682" s="320"/>
      <c r="AL682" s="320"/>
      <c r="AM682" s="320"/>
      <c r="AN682" s="320"/>
      <c r="AO682" s="320"/>
      <c r="AP682" s="320"/>
      <c r="AQ682" s="320"/>
      <c r="AR682" s="320"/>
      <c r="AS682" s="320"/>
      <c r="AT682" s="320"/>
      <c r="AU682" s="321"/>
    </row>
    <row r="683">
      <c r="A683" s="319"/>
      <c r="B683" s="320"/>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c r="AA683" s="320"/>
      <c r="AB683" s="320"/>
      <c r="AC683" s="320"/>
      <c r="AD683" s="320"/>
      <c r="AE683" s="320"/>
      <c r="AF683" s="320"/>
      <c r="AG683" s="320"/>
      <c r="AH683" s="320"/>
      <c r="AI683" s="320"/>
      <c r="AJ683" s="320"/>
      <c r="AK683" s="320"/>
      <c r="AL683" s="320"/>
      <c r="AM683" s="320"/>
      <c r="AN683" s="320"/>
      <c r="AO683" s="320"/>
      <c r="AP683" s="320"/>
      <c r="AQ683" s="320"/>
      <c r="AR683" s="320"/>
      <c r="AS683" s="320"/>
      <c r="AT683" s="320"/>
      <c r="AU683" s="321"/>
    </row>
    <row r="684">
      <c r="A684" s="319"/>
      <c r="B684" s="320"/>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c r="AA684" s="320"/>
      <c r="AB684" s="320"/>
      <c r="AC684" s="320"/>
      <c r="AD684" s="320"/>
      <c r="AE684" s="320"/>
      <c r="AF684" s="320"/>
      <c r="AG684" s="320"/>
      <c r="AH684" s="320"/>
      <c r="AI684" s="320"/>
      <c r="AJ684" s="320"/>
      <c r="AK684" s="320"/>
      <c r="AL684" s="320"/>
      <c r="AM684" s="320"/>
      <c r="AN684" s="320"/>
      <c r="AO684" s="320"/>
      <c r="AP684" s="320"/>
      <c r="AQ684" s="320"/>
      <c r="AR684" s="320"/>
      <c r="AS684" s="320"/>
      <c r="AT684" s="320"/>
      <c r="AU684" s="321"/>
    </row>
    <row r="685">
      <c r="A685" s="319"/>
      <c r="B685" s="320"/>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c r="AA685" s="320"/>
      <c r="AB685" s="320"/>
      <c r="AC685" s="320"/>
      <c r="AD685" s="320"/>
      <c r="AE685" s="320"/>
      <c r="AF685" s="320"/>
      <c r="AG685" s="320"/>
      <c r="AH685" s="320"/>
      <c r="AI685" s="320"/>
      <c r="AJ685" s="320"/>
      <c r="AK685" s="320"/>
      <c r="AL685" s="320"/>
      <c r="AM685" s="320"/>
      <c r="AN685" s="320"/>
      <c r="AO685" s="320"/>
      <c r="AP685" s="320"/>
      <c r="AQ685" s="320"/>
      <c r="AR685" s="320"/>
      <c r="AS685" s="320"/>
      <c r="AT685" s="320"/>
      <c r="AU685" s="321"/>
    </row>
    <row r="686">
      <c r="A686" s="319"/>
      <c r="B686" s="320"/>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c r="AA686" s="320"/>
      <c r="AB686" s="320"/>
      <c r="AC686" s="320"/>
      <c r="AD686" s="320"/>
      <c r="AE686" s="320"/>
      <c r="AF686" s="320"/>
      <c r="AG686" s="320"/>
      <c r="AH686" s="320"/>
      <c r="AI686" s="320"/>
      <c r="AJ686" s="320"/>
      <c r="AK686" s="320"/>
      <c r="AL686" s="320"/>
      <c r="AM686" s="320"/>
      <c r="AN686" s="320"/>
      <c r="AO686" s="320"/>
      <c r="AP686" s="320"/>
      <c r="AQ686" s="320"/>
      <c r="AR686" s="320"/>
      <c r="AS686" s="320"/>
      <c r="AT686" s="320"/>
      <c r="AU686" s="321"/>
    </row>
    <row r="687">
      <c r="A687" s="319"/>
      <c r="B687" s="320"/>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c r="AA687" s="320"/>
      <c r="AB687" s="320"/>
      <c r="AC687" s="320"/>
      <c r="AD687" s="320"/>
      <c r="AE687" s="320"/>
      <c r="AF687" s="320"/>
      <c r="AG687" s="320"/>
      <c r="AH687" s="320"/>
      <c r="AI687" s="320"/>
      <c r="AJ687" s="320"/>
      <c r="AK687" s="320"/>
      <c r="AL687" s="320"/>
      <c r="AM687" s="320"/>
      <c r="AN687" s="320"/>
      <c r="AO687" s="320"/>
      <c r="AP687" s="320"/>
      <c r="AQ687" s="320"/>
      <c r="AR687" s="320"/>
      <c r="AS687" s="320"/>
      <c r="AT687" s="320"/>
      <c r="AU687" s="321"/>
    </row>
    <row r="688">
      <c r="A688" s="319"/>
      <c r="B688" s="320"/>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c r="AA688" s="320"/>
      <c r="AB688" s="320"/>
      <c r="AC688" s="320"/>
      <c r="AD688" s="320"/>
      <c r="AE688" s="320"/>
      <c r="AF688" s="320"/>
      <c r="AG688" s="320"/>
      <c r="AH688" s="320"/>
      <c r="AI688" s="320"/>
      <c r="AJ688" s="320"/>
      <c r="AK688" s="320"/>
      <c r="AL688" s="320"/>
      <c r="AM688" s="320"/>
      <c r="AN688" s="320"/>
      <c r="AO688" s="320"/>
      <c r="AP688" s="320"/>
      <c r="AQ688" s="320"/>
      <c r="AR688" s="320"/>
      <c r="AS688" s="320"/>
      <c r="AT688" s="320"/>
      <c r="AU688" s="321"/>
    </row>
    <row r="689">
      <c r="A689" s="319"/>
      <c r="B689" s="320"/>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c r="AA689" s="320"/>
      <c r="AB689" s="320"/>
      <c r="AC689" s="320"/>
      <c r="AD689" s="320"/>
      <c r="AE689" s="320"/>
      <c r="AF689" s="320"/>
      <c r="AG689" s="320"/>
      <c r="AH689" s="320"/>
      <c r="AI689" s="320"/>
      <c r="AJ689" s="320"/>
      <c r="AK689" s="320"/>
      <c r="AL689" s="320"/>
      <c r="AM689" s="320"/>
      <c r="AN689" s="320"/>
      <c r="AO689" s="320"/>
      <c r="AP689" s="320"/>
      <c r="AQ689" s="320"/>
      <c r="AR689" s="320"/>
      <c r="AS689" s="320"/>
      <c r="AT689" s="320"/>
      <c r="AU689" s="321"/>
    </row>
    <row r="690">
      <c r="A690" s="319"/>
      <c r="B690" s="320"/>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c r="AA690" s="320"/>
      <c r="AB690" s="320"/>
      <c r="AC690" s="320"/>
      <c r="AD690" s="320"/>
      <c r="AE690" s="320"/>
      <c r="AF690" s="320"/>
      <c r="AG690" s="320"/>
      <c r="AH690" s="320"/>
      <c r="AI690" s="320"/>
      <c r="AJ690" s="320"/>
      <c r="AK690" s="320"/>
      <c r="AL690" s="320"/>
      <c r="AM690" s="320"/>
      <c r="AN690" s="320"/>
      <c r="AO690" s="320"/>
      <c r="AP690" s="320"/>
      <c r="AQ690" s="320"/>
      <c r="AR690" s="320"/>
      <c r="AS690" s="320"/>
      <c r="AT690" s="320"/>
      <c r="AU690" s="321"/>
    </row>
    <row r="691">
      <c r="A691" s="319"/>
      <c r="B691" s="320"/>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c r="AA691" s="320"/>
      <c r="AB691" s="320"/>
      <c r="AC691" s="320"/>
      <c r="AD691" s="320"/>
      <c r="AE691" s="320"/>
      <c r="AF691" s="320"/>
      <c r="AG691" s="320"/>
      <c r="AH691" s="320"/>
      <c r="AI691" s="320"/>
      <c r="AJ691" s="320"/>
      <c r="AK691" s="320"/>
      <c r="AL691" s="320"/>
      <c r="AM691" s="320"/>
      <c r="AN691" s="320"/>
      <c r="AO691" s="320"/>
      <c r="AP691" s="320"/>
      <c r="AQ691" s="320"/>
      <c r="AR691" s="320"/>
      <c r="AS691" s="320"/>
      <c r="AT691" s="320"/>
      <c r="AU691" s="321"/>
    </row>
    <row r="692">
      <c r="A692" s="319"/>
      <c r="B692" s="320"/>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c r="AA692" s="320"/>
      <c r="AB692" s="320"/>
      <c r="AC692" s="320"/>
      <c r="AD692" s="320"/>
      <c r="AE692" s="320"/>
      <c r="AF692" s="320"/>
      <c r="AG692" s="320"/>
      <c r="AH692" s="320"/>
      <c r="AI692" s="320"/>
      <c r="AJ692" s="320"/>
      <c r="AK692" s="320"/>
      <c r="AL692" s="320"/>
      <c r="AM692" s="320"/>
      <c r="AN692" s="320"/>
      <c r="AO692" s="320"/>
      <c r="AP692" s="320"/>
      <c r="AQ692" s="320"/>
      <c r="AR692" s="320"/>
      <c r="AS692" s="320"/>
      <c r="AT692" s="320"/>
      <c r="AU692" s="321"/>
    </row>
    <row r="693">
      <c r="A693" s="319"/>
      <c r="B693" s="320"/>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c r="AA693" s="320"/>
      <c r="AB693" s="320"/>
      <c r="AC693" s="320"/>
      <c r="AD693" s="320"/>
      <c r="AE693" s="320"/>
      <c r="AF693" s="320"/>
      <c r="AG693" s="320"/>
      <c r="AH693" s="320"/>
      <c r="AI693" s="320"/>
      <c r="AJ693" s="320"/>
      <c r="AK693" s="320"/>
      <c r="AL693" s="320"/>
      <c r="AM693" s="320"/>
      <c r="AN693" s="320"/>
      <c r="AO693" s="320"/>
      <c r="AP693" s="320"/>
      <c r="AQ693" s="320"/>
      <c r="AR693" s="320"/>
      <c r="AS693" s="320"/>
      <c r="AT693" s="320"/>
      <c r="AU693" s="321"/>
    </row>
    <row r="694">
      <c r="A694" s="319"/>
      <c r="B694" s="320"/>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c r="AA694" s="320"/>
      <c r="AB694" s="320"/>
      <c r="AC694" s="320"/>
      <c r="AD694" s="320"/>
      <c r="AE694" s="320"/>
      <c r="AF694" s="320"/>
      <c r="AG694" s="320"/>
      <c r="AH694" s="320"/>
      <c r="AI694" s="320"/>
      <c r="AJ694" s="320"/>
      <c r="AK694" s="320"/>
      <c r="AL694" s="320"/>
      <c r="AM694" s="320"/>
      <c r="AN694" s="320"/>
      <c r="AO694" s="320"/>
      <c r="AP694" s="320"/>
      <c r="AQ694" s="320"/>
      <c r="AR694" s="320"/>
      <c r="AS694" s="320"/>
      <c r="AT694" s="320"/>
      <c r="AU694" s="321"/>
    </row>
    <row r="695">
      <c r="A695" s="319"/>
      <c r="B695" s="320"/>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c r="AA695" s="320"/>
      <c r="AB695" s="320"/>
      <c r="AC695" s="320"/>
      <c r="AD695" s="320"/>
      <c r="AE695" s="320"/>
      <c r="AF695" s="320"/>
      <c r="AG695" s="320"/>
      <c r="AH695" s="320"/>
      <c r="AI695" s="320"/>
      <c r="AJ695" s="320"/>
      <c r="AK695" s="320"/>
      <c r="AL695" s="320"/>
      <c r="AM695" s="320"/>
      <c r="AN695" s="320"/>
      <c r="AO695" s="320"/>
      <c r="AP695" s="320"/>
      <c r="AQ695" s="320"/>
      <c r="AR695" s="320"/>
      <c r="AS695" s="320"/>
      <c r="AT695" s="320"/>
      <c r="AU695" s="321"/>
    </row>
    <row r="696">
      <c r="A696" s="319"/>
      <c r="B696" s="320"/>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c r="AA696" s="320"/>
      <c r="AB696" s="320"/>
      <c r="AC696" s="320"/>
      <c r="AD696" s="320"/>
      <c r="AE696" s="320"/>
      <c r="AF696" s="320"/>
      <c r="AG696" s="320"/>
      <c r="AH696" s="320"/>
      <c r="AI696" s="320"/>
      <c r="AJ696" s="320"/>
      <c r="AK696" s="320"/>
      <c r="AL696" s="320"/>
      <c r="AM696" s="320"/>
      <c r="AN696" s="320"/>
      <c r="AO696" s="320"/>
      <c r="AP696" s="320"/>
      <c r="AQ696" s="320"/>
      <c r="AR696" s="320"/>
      <c r="AS696" s="320"/>
      <c r="AT696" s="320"/>
      <c r="AU696" s="321"/>
    </row>
    <row r="697">
      <c r="A697" s="319"/>
      <c r="B697" s="320"/>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c r="AA697" s="320"/>
      <c r="AB697" s="320"/>
      <c r="AC697" s="320"/>
      <c r="AD697" s="320"/>
      <c r="AE697" s="320"/>
      <c r="AF697" s="320"/>
      <c r="AG697" s="320"/>
      <c r="AH697" s="320"/>
      <c r="AI697" s="320"/>
      <c r="AJ697" s="320"/>
      <c r="AK697" s="320"/>
      <c r="AL697" s="320"/>
      <c r="AM697" s="320"/>
      <c r="AN697" s="320"/>
      <c r="AO697" s="320"/>
      <c r="AP697" s="320"/>
      <c r="AQ697" s="320"/>
      <c r="AR697" s="320"/>
      <c r="AS697" s="320"/>
      <c r="AT697" s="320"/>
      <c r="AU697" s="321"/>
    </row>
    <row r="698">
      <c r="A698" s="319"/>
      <c r="B698" s="320"/>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c r="AA698" s="320"/>
      <c r="AB698" s="320"/>
      <c r="AC698" s="320"/>
      <c r="AD698" s="320"/>
      <c r="AE698" s="320"/>
      <c r="AF698" s="320"/>
      <c r="AG698" s="320"/>
      <c r="AH698" s="320"/>
      <c r="AI698" s="320"/>
      <c r="AJ698" s="320"/>
      <c r="AK698" s="320"/>
      <c r="AL698" s="320"/>
      <c r="AM698" s="320"/>
      <c r="AN698" s="320"/>
      <c r="AO698" s="320"/>
      <c r="AP698" s="320"/>
      <c r="AQ698" s="320"/>
      <c r="AR698" s="320"/>
      <c r="AS698" s="320"/>
      <c r="AT698" s="320"/>
      <c r="AU698" s="321"/>
    </row>
    <row r="699">
      <c r="A699" s="319"/>
      <c r="B699" s="320"/>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c r="AA699" s="320"/>
      <c r="AB699" s="320"/>
      <c r="AC699" s="320"/>
      <c r="AD699" s="320"/>
      <c r="AE699" s="320"/>
      <c r="AF699" s="320"/>
      <c r="AG699" s="320"/>
      <c r="AH699" s="320"/>
      <c r="AI699" s="320"/>
      <c r="AJ699" s="320"/>
      <c r="AK699" s="320"/>
      <c r="AL699" s="320"/>
      <c r="AM699" s="320"/>
      <c r="AN699" s="320"/>
      <c r="AO699" s="320"/>
      <c r="AP699" s="320"/>
      <c r="AQ699" s="320"/>
      <c r="AR699" s="320"/>
      <c r="AS699" s="320"/>
      <c r="AT699" s="320"/>
      <c r="AU699" s="321"/>
    </row>
    <row r="700">
      <c r="A700" s="319"/>
      <c r="B700" s="320"/>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c r="AA700" s="320"/>
      <c r="AB700" s="320"/>
      <c r="AC700" s="320"/>
      <c r="AD700" s="320"/>
      <c r="AE700" s="320"/>
      <c r="AF700" s="320"/>
      <c r="AG700" s="320"/>
      <c r="AH700" s="320"/>
      <c r="AI700" s="320"/>
      <c r="AJ700" s="320"/>
      <c r="AK700" s="320"/>
      <c r="AL700" s="320"/>
      <c r="AM700" s="320"/>
      <c r="AN700" s="320"/>
      <c r="AO700" s="320"/>
      <c r="AP700" s="320"/>
      <c r="AQ700" s="320"/>
      <c r="AR700" s="320"/>
      <c r="AS700" s="320"/>
      <c r="AT700" s="320"/>
      <c r="AU700" s="321"/>
    </row>
    <row r="701">
      <c r="A701" s="319"/>
      <c r="B701" s="320"/>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c r="AA701" s="320"/>
      <c r="AB701" s="320"/>
      <c r="AC701" s="320"/>
      <c r="AD701" s="320"/>
      <c r="AE701" s="320"/>
      <c r="AF701" s="320"/>
      <c r="AG701" s="320"/>
      <c r="AH701" s="320"/>
      <c r="AI701" s="320"/>
      <c r="AJ701" s="320"/>
      <c r="AK701" s="320"/>
      <c r="AL701" s="320"/>
      <c r="AM701" s="320"/>
      <c r="AN701" s="320"/>
      <c r="AO701" s="320"/>
      <c r="AP701" s="320"/>
      <c r="AQ701" s="320"/>
      <c r="AR701" s="320"/>
      <c r="AS701" s="320"/>
      <c r="AT701" s="320"/>
      <c r="AU701" s="321"/>
    </row>
    <row r="702">
      <c r="A702" s="319"/>
      <c r="B702" s="320"/>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c r="AA702" s="320"/>
      <c r="AB702" s="320"/>
      <c r="AC702" s="320"/>
      <c r="AD702" s="320"/>
      <c r="AE702" s="320"/>
      <c r="AF702" s="320"/>
      <c r="AG702" s="320"/>
      <c r="AH702" s="320"/>
      <c r="AI702" s="320"/>
      <c r="AJ702" s="320"/>
      <c r="AK702" s="320"/>
      <c r="AL702" s="320"/>
      <c r="AM702" s="320"/>
      <c r="AN702" s="320"/>
      <c r="AO702" s="320"/>
      <c r="AP702" s="320"/>
      <c r="AQ702" s="320"/>
      <c r="AR702" s="320"/>
      <c r="AS702" s="320"/>
      <c r="AT702" s="320"/>
      <c r="AU702" s="321"/>
    </row>
    <row r="703">
      <c r="A703" s="319"/>
      <c r="B703" s="320"/>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c r="AA703" s="320"/>
      <c r="AB703" s="320"/>
      <c r="AC703" s="320"/>
      <c r="AD703" s="320"/>
      <c r="AE703" s="320"/>
      <c r="AF703" s="320"/>
      <c r="AG703" s="320"/>
      <c r="AH703" s="320"/>
      <c r="AI703" s="320"/>
      <c r="AJ703" s="320"/>
      <c r="AK703" s="320"/>
      <c r="AL703" s="320"/>
      <c r="AM703" s="320"/>
      <c r="AN703" s="320"/>
      <c r="AO703" s="320"/>
      <c r="AP703" s="320"/>
      <c r="AQ703" s="320"/>
      <c r="AR703" s="320"/>
      <c r="AS703" s="320"/>
      <c r="AT703" s="320"/>
      <c r="AU703" s="321"/>
    </row>
    <row r="704">
      <c r="A704" s="319"/>
      <c r="B704" s="320"/>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c r="AA704" s="320"/>
      <c r="AB704" s="320"/>
      <c r="AC704" s="320"/>
      <c r="AD704" s="320"/>
      <c r="AE704" s="320"/>
      <c r="AF704" s="320"/>
      <c r="AG704" s="320"/>
      <c r="AH704" s="320"/>
      <c r="AI704" s="320"/>
      <c r="AJ704" s="320"/>
      <c r="AK704" s="320"/>
      <c r="AL704" s="320"/>
      <c r="AM704" s="320"/>
      <c r="AN704" s="320"/>
      <c r="AO704" s="320"/>
      <c r="AP704" s="320"/>
      <c r="AQ704" s="320"/>
      <c r="AR704" s="320"/>
      <c r="AS704" s="320"/>
      <c r="AT704" s="320"/>
      <c r="AU704" s="321"/>
    </row>
    <row r="705">
      <c r="A705" s="319"/>
      <c r="B705" s="320"/>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c r="AA705" s="320"/>
      <c r="AB705" s="320"/>
      <c r="AC705" s="320"/>
      <c r="AD705" s="320"/>
      <c r="AE705" s="320"/>
      <c r="AF705" s="320"/>
      <c r="AG705" s="320"/>
      <c r="AH705" s="320"/>
      <c r="AI705" s="320"/>
      <c r="AJ705" s="320"/>
      <c r="AK705" s="320"/>
      <c r="AL705" s="320"/>
      <c r="AM705" s="320"/>
      <c r="AN705" s="320"/>
      <c r="AO705" s="320"/>
      <c r="AP705" s="320"/>
      <c r="AQ705" s="320"/>
      <c r="AR705" s="320"/>
      <c r="AS705" s="320"/>
      <c r="AT705" s="320"/>
      <c r="AU705" s="321"/>
    </row>
    <row r="706">
      <c r="A706" s="319"/>
      <c r="B706" s="320"/>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c r="AA706" s="320"/>
      <c r="AB706" s="320"/>
      <c r="AC706" s="320"/>
      <c r="AD706" s="320"/>
      <c r="AE706" s="320"/>
      <c r="AF706" s="320"/>
      <c r="AG706" s="320"/>
      <c r="AH706" s="320"/>
      <c r="AI706" s="320"/>
      <c r="AJ706" s="320"/>
      <c r="AK706" s="320"/>
      <c r="AL706" s="320"/>
      <c r="AM706" s="320"/>
      <c r="AN706" s="320"/>
      <c r="AO706" s="320"/>
      <c r="AP706" s="320"/>
      <c r="AQ706" s="320"/>
      <c r="AR706" s="320"/>
      <c r="AS706" s="320"/>
      <c r="AT706" s="320"/>
      <c r="AU706" s="321"/>
    </row>
    <row r="707">
      <c r="A707" s="319"/>
      <c r="B707" s="320"/>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c r="AA707" s="320"/>
      <c r="AB707" s="320"/>
      <c r="AC707" s="320"/>
      <c r="AD707" s="320"/>
      <c r="AE707" s="320"/>
      <c r="AF707" s="320"/>
      <c r="AG707" s="320"/>
      <c r="AH707" s="320"/>
      <c r="AI707" s="320"/>
      <c r="AJ707" s="320"/>
      <c r="AK707" s="320"/>
      <c r="AL707" s="320"/>
      <c r="AM707" s="320"/>
      <c r="AN707" s="320"/>
      <c r="AO707" s="320"/>
      <c r="AP707" s="320"/>
      <c r="AQ707" s="320"/>
      <c r="AR707" s="320"/>
      <c r="AS707" s="320"/>
      <c r="AT707" s="320"/>
      <c r="AU707" s="321"/>
    </row>
    <row r="708">
      <c r="A708" s="319"/>
      <c r="B708" s="320"/>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c r="AA708" s="320"/>
      <c r="AB708" s="320"/>
      <c r="AC708" s="320"/>
      <c r="AD708" s="320"/>
      <c r="AE708" s="320"/>
      <c r="AF708" s="320"/>
      <c r="AG708" s="320"/>
      <c r="AH708" s="320"/>
      <c r="AI708" s="320"/>
      <c r="AJ708" s="320"/>
      <c r="AK708" s="320"/>
      <c r="AL708" s="320"/>
      <c r="AM708" s="320"/>
      <c r="AN708" s="320"/>
      <c r="AO708" s="320"/>
      <c r="AP708" s="320"/>
      <c r="AQ708" s="320"/>
      <c r="AR708" s="320"/>
      <c r="AS708" s="320"/>
      <c r="AT708" s="320"/>
      <c r="AU708" s="321"/>
    </row>
    <row r="709">
      <c r="A709" s="319"/>
      <c r="B709" s="320"/>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c r="AA709" s="320"/>
      <c r="AB709" s="320"/>
      <c r="AC709" s="320"/>
      <c r="AD709" s="320"/>
      <c r="AE709" s="320"/>
      <c r="AF709" s="320"/>
      <c r="AG709" s="320"/>
      <c r="AH709" s="320"/>
      <c r="AI709" s="320"/>
      <c r="AJ709" s="320"/>
      <c r="AK709" s="320"/>
      <c r="AL709" s="320"/>
      <c r="AM709" s="320"/>
      <c r="AN709" s="320"/>
      <c r="AO709" s="320"/>
      <c r="AP709" s="320"/>
      <c r="AQ709" s="320"/>
      <c r="AR709" s="320"/>
      <c r="AS709" s="320"/>
      <c r="AT709" s="320"/>
      <c r="AU709" s="321"/>
    </row>
    <row r="710">
      <c r="A710" s="319"/>
      <c r="B710" s="320"/>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c r="AA710" s="320"/>
      <c r="AB710" s="320"/>
      <c r="AC710" s="320"/>
      <c r="AD710" s="320"/>
      <c r="AE710" s="320"/>
      <c r="AF710" s="320"/>
      <c r="AG710" s="320"/>
      <c r="AH710" s="320"/>
      <c r="AI710" s="320"/>
      <c r="AJ710" s="320"/>
      <c r="AK710" s="320"/>
      <c r="AL710" s="320"/>
      <c r="AM710" s="320"/>
      <c r="AN710" s="320"/>
      <c r="AO710" s="320"/>
      <c r="AP710" s="320"/>
      <c r="AQ710" s="320"/>
      <c r="AR710" s="320"/>
      <c r="AS710" s="320"/>
      <c r="AT710" s="320"/>
      <c r="AU710" s="321"/>
    </row>
    <row r="711">
      <c r="A711" s="319"/>
      <c r="B711" s="320"/>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c r="AA711" s="320"/>
      <c r="AB711" s="320"/>
      <c r="AC711" s="320"/>
      <c r="AD711" s="320"/>
      <c r="AE711" s="320"/>
      <c r="AF711" s="320"/>
      <c r="AG711" s="320"/>
      <c r="AH711" s="320"/>
      <c r="AI711" s="320"/>
      <c r="AJ711" s="320"/>
      <c r="AK711" s="320"/>
      <c r="AL711" s="320"/>
      <c r="AM711" s="320"/>
      <c r="AN711" s="320"/>
      <c r="AO711" s="320"/>
      <c r="AP711" s="320"/>
      <c r="AQ711" s="320"/>
      <c r="AR711" s="320"/>
      <c r="AS711" s="320"/>
      <c r="AT711" s="320"/>
      <c r="AU711" s="321"/>
    </row>
    <row r="712">
      <c r="A712" s="319"/>
      <c r="B712" s="320"/>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c r="AA712" s="320"/>
      <c r="AB712" s="320"/>
      <c r="AC712" s="320"/>
      <c r="AD712" s="320"/>
      <c r="AE712" s="320"/>
      <c r="AF712" s="320"/>
      <c r="AG712" s="320"/>
      <c r="AH712" s="320"/>
      <c r="AI712" s="320"/>
      <c r="AJ712" s="320"/>
      <c r="AK712" s="320"/>
      <c r="AL712" s="320"/>
      <c r="AM712" s="320"/>
      <c r="AN712" s="320"/>
      <c r="AO712" s="320"/>
      <c r="AP712" s="320"/>
      <c r="AQ712" s="320"/>
      <c r="AR712" s="320"/>
      <c r="AS712" s="320"/>
      <c r="AT712" s="320"/>
      <c r="AU712" s="321"/>
    </row>
    <row r="713">
      <c r="A713" s="319"/>
      <c r="B713" s="320"/>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c r="AA713" s="320"/>
      <c r="AB713" s="320"/>
      <c r="AC713" s="320"/>
      <c r="AD713" s="320"/>
      <c r="AE713" s="320"/>
      <c r="AF713" s="320"/>
      <c r="AG713" s="320"/>
      <c r="AH713" s="320"/>
      <c r="AI713" s="320"/>
      <c r="AJ713" s="320"/>
      <c r="AK713" s="320"/>
      <c r="AL713" s="320"/>
      <c r="AM713" s="320"/>
      <c r="AN713" s="320"/>
      <c r="AO713" s="320"/>
      <c r="AP713" s="320"/>
      <c r="AQ713" s="320"/>
      <c r="AR713" s="320"/>
      <c r="AS713" s="320"/>
      <c r="AT713" s="320"/>
      <c r="AU713" s="321"/>
    </row>
    <row r="714">
      <c r="A714" s="319"/>
      <c r="B714" s="320"/>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c r="AA714" s="320"/>
      <c r="AB714" s="320"/>
      <c r="AC714" s="320"/>
      <c r="AD714" s="320"/>
      <c r="AE714" s="320"/>
      <c r="AF714" s="320"/>
      <c r="AG714" s="320"/>
      <c r="AH714" s="320"/>
      <c r="AI714" s="320"/>
      <c r="AJ714" s="320"/>
      <c r="AK714" s="320"/>
      <c r="AL714" s="320"/>
      <c r="AM714" s="320"/>
      <c r="AN714" s="320"/>
      <c r="AO714" s="320"/>
      <c r="AP714" s="320"/>
      <c r="AQ714" s="320"/>
      <c r="AR714" s="320"/>
      <c r="AS714" s="320"/>
      <c r="AT714" s="320"/>
      <c r="AU714" s="321"/>
    </row>
    <row r="715">
      <c r="A715" s="319"/>
      <c r="B715" s="320"/>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c r="AA715" s="320"/>
      <c r="AB715" s="320"/>
      <c r="AC715" s="320"/>
      <c r="AD715" s="320"/>
      <c r="AE715" s="320"/>
      <c r="AF715" s="320"/>
      <c r="AG715" s="320"/>
      <c r="AH715" s="320"/>
      <c r="AI715" s="320"/>
      <c r="AJ715" s="320"/>
      <c r="AK715" s="320"/>
      <c r="AL715" s="320"/>
      <c r="AM715" s="320"/>
      <c r="AN715" s="320"/>
      <c r="AO715" s="320"/>
      <c r="AP715" s="320"/>
      <c r="AQ715" s="320"/>
      <c r="AR715" s="320"/>
      <c r="AS715" s="320"/>
      <c r="AT715" s="320"/>
      <c r="AU715" s="321"/>
    </row>
    <row r="716">
      <c r="A716" s="319"/>
      <c r="B716" s="320"/>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c r="AA716" s="320"/>
      <c r="AB716" s="320"/>
      <c r="AC716" s="320"/>
      <c r="AD716" s="320"/>
      <c r="AE716" s="320"/>
      <c r="AF716" s="320"/>
      <c r="AG716" s="320"/>
      <c r="AH716" s="320"/>
      <c r="AI716" s="320"/>
      <c r="AJ716" s="320"/>
      <c r="AK716" s="320"/>
      <c r="AL716" s="320"/>
      <c r="AM716" s="320"/>
      <c r="AN716" s="320"/>
      <c r="AO716" s="320"/>
      <c r="AP716" s="320"/>
      <c r="AQ716" s="320"/>
      <c r="AR716" s="320"/>
      <c r="AS716" s="320"/>
      <c r="AT716" s="320"/>
      <c r="AU716" s="321"/>
    </row>
    <row r="717">
      <c r="A717" s="319"/>
      <c r="B717" s="320"/>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c r="AA717" s="320"/>
      <c r="AB717" s="320"/>
      <c r="AC717" s="320"/>
      <c r="AD717" s="320"/>
      <c r="AE717" s="320"/>
      <c r="AF717" s="320"/>
      <c r="AG717" s="320"/>
      <c r="AH717" s="320"/>
      <c r="AI717" s="320"/>
      <c r="AJ717" s="320"/>
      <c r="AK717" s="320"/>
      <c r="AL717" s="320"/>
      <c r="AM717" s="320"/>
      <c r="AN717" s="320"/>
      <c r="AO717" s="320"/>
      <c r="AP717" s="320"/>
      <c r="AQ717" s="320"/>
      <c r="AR717" s="320"/>
      <c r="AS717" s="320"/>
      <c r="AT717" s="320"/>
      <c r="AU717" s="321"/>
    </row>
    <row r="718">
      <c r="A718" s="319"/>
      <c r="B718" s="320"/>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c r="AA718" s="320"/>
      <c r="AB718" s="320"/>
      <c r="AC718" s="320"/>
      <c r="AD718" s="320"/>
      <c r="AE718" s="320"/>
      <c r="AF718" s="320"/>
      <c r="AG718" s="320"/>
      <c r="AH718" s="320"/>
      <c r="AI718" s="320"/>
      <c r="AJ718" s="320"/>
      <c r="AK718" s="320"/>
      <c r="AL718" s="320"/>
      <c r="AM718" s="320"/>
      <c r="AN718" s="320"/>
      <c r="AO718" s="320"/>
      <c r="AP718" s="320"/>
      <c r="AQ718" s="320"/>
      <c r="AR718" s="320"/>
      <c r="AS718" s="320"/>
      <c r="AT718" s="320"/>
      <c r="AU718" s="321"/>
    </row>
    <row r="719">
      <c r="A719" s="319"/>
      <c r="B719" s="320"/>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c r="AA719" s="320"/>
      <c r="AB719" s="320"/>
      <c r="AC719" s="320"/>
      <c r="AD719" s="320"/>
      <c r="AE719" s="320"/>
      <c r="AF719" s="320"/>
      <c r="AG719" s="320"/>
      <c r="AH719" s="320"/>
      <c r="AI719" s="320"/>
      <c r="AJ719" s="320"/>
      <c r="AK719" s="320"/>
      <c r="AL719" s="320"/>
      <c r="AM719" s="320"/>
      <c r="AN719" s="320"/>
      <c r="AO719" s="320"/>
      <c r="AP719" s="320"/>
      <c r="AQ719" s="320"/>
      <c r="AR719" s="320"/>
      <c r="AS719" s="320"/>
      <c r="AT719" s="320"/>
      <c r="AU719" s="321"/>
    </row>
    <row r="720">
      <c r="A720" s="319"/>
      <c r="B720" s="320"/>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c r="AA720" s="320"/>
      <c r="AB720" s="320"/>
      <c r="AC720" s="320"/>
      <c r="AD720" s="320"/>
      <c r="AE720" s="320"/>
      <c r="AF720" s="320"/>
      <c r="AG720" s="320"/>
      <c r="AH720" s="320"/>
      <c r="AI720" s="320"/>
      <c r="AJ720" s="320"/>
      <c r="AK720" s="320"/>
      <c r="AL720" s="320"/>
      <c r="AM720" s="320"/>
      <c r="AN720" s="320"/>
      <c r="AO720" s="320"/>
      <c r="AP720" s="320"/>
      <c r="AQ720" s="320"/>
      <c r="AR720" s="320"/>
      <c r="AS720" s="320"/>
      <c r="AT720" s="320"/>
      <c r="AU720" s="321"/>
    </row>
    <row r="721">
      <c r="A721" s="319"/>
      <c r="B721" s="320"/>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c r="AA721" s="320"/>
      <c r="AB721" s="320"/>
      <c r="AC721" s="320"/>
      <c r="AD721" s="320"/>
      <c r="AE721" s="320"/>
      <c r="AF721" s="320"/>
      <c r="AG721" s="320"/>
      <c r="AH721" s="320"/>
      <c r="AI721" s="320"/>
      <c r="AJ721" s="320"/>
      <c r="AK721" s="320"/>
      <c r="AL721" s="320"/>
      <c r="AM721" s="320"/>
      <c r="AN721" s="320"/>
      <c r="AO721" s="320"/>
      <c r="AP721" s="320"/>
      <c r="AQ721" s="320"/>
      <c r="AR721" s="320"/>
      <c r="AS721" s="320"/>
      <c r="AT721" s="320"/>
      <c r="AU721" s="321"/>
    </row>
    <row r="722">
      <c r="A722" s="319"/>
      <c r="B722" s="320"/>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c r="AA722" s="320"/>
      <c r="AB722" s="320"/>
      <c r="AC722" s="320"/>
      <c r="AD722" s="320"/>
      <c r="AE722" s="320"/>
      <c r="AF722" s="320"/>
      <c r="AG722" s="320"/>
      <c r="AH722" s="320"/>
      <c r="AI722" s="320"/>
      <c r="AJ722" s="320"/>
      <c r="AK722" s="320"/>
      <c r="AL722" s="320"/>
      <c r="AM722" s="320"/>
      <c r="AN722" s="320"/>
      <c r="AO722" s="320"/>
      <c r="AP722" s="320"/>
      <c r="AQ722" s="320"/>
      <c r="AR722" s="320"/>
      <c r="AS722" s="320"/>
      <c r="AT722" s="320"/>
      <c r="AU722" s="321"/>
    </row>
    <row r="723">
      <c r="A723" s="319"/>
      <c r="B723" s="320"/>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c r="AA723" s="320"/>
      <c r="AB723" s="320"/>
      <c r="AC723" s="320"/>
      <c r="AD723" s="320"/>
      <c r="AE723" s="320"/>
      <c r="AF723" s="320"/>
      <c r="AG723" s="320"/>
      <c r="AH723" s="320"/>
      <c r="AI723" s="320"/>
      <c r="AJ723" s="320"/>
      <c r="AK723" s="320"/>
      <c r="AL723" s="320"/>
      <c r="AM723" s="320"/>
      <c r="AN723" s="320"/>
      <c r="AO723" s="320"/>
      <c r="AP723" s="320"/>
      <c r="AQ723" s="320"/>
      <c r="AR723" s="320"/>
      <c r="AS723" s="320"/>
      <c r="AT723" s="320"/>
      <c r="AU723" s="321"/>
    </row>
    <row r="724">
      <c r="A724" s="319"/>
      <c r="B724" s="320"/>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c r="AA724" s="320"/>
      <c r="AB724" s="320"/>
      <c r="AC724" s="320"/>
      <c r="AD724" s="320"/>
      <c r="AE724" s="320"/>
      <c r="AF724" s="320"/>
      <c r="AG724" s="320"/>
      <c r="AH724" s="320"/>
      <c r="AI724" s="320"/>
      <c r="AJ724" s="320"/>
      <c r="AK724" s="320"/>
      <c r="AL724" s="320"/>
      <c r="AM724" s="320"/>
      <c r="AN724" s="320"/>
      <c r="AO724" s="320"/>
      <c r="AP724" s="320"/>
      <c r="AQ724" s="320"/>
      <c r="AR724" s="320"/>
      <c r="AS724" s="320"/>
      <c r="AT724" s="320"/>
      <c r="AU724" s="321"/>
    </row>
    <row r="725">
      <c r="A725" s="319"/>
      <c r="B725" s="320"/>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c r="AA725" s="320"/>
      <c r="AB725" s="320"/>
      <c r="AC725" s="320"/>
      <c r="AD725" s="320"/>
      <c r="AE725" s="320"/>
      <c r="AF725" s="320"/>
      <c r="AG725" s="320"/>
      <c r="AH725" s="320"/>
      <c r="AI725" s="320"/>
      <c r="AJ725" s="320"/>
      <c r="AK725" s="320"/>
      <c r="AL725" s="320"/>
      <c r="AM725" s="320"/>
      <c r="AN725" s="320"/>
      <c r="AO725" s="320"/>
      <c r="AP725" s="320"/>
      <c r="AQ725" s="320"/>
      <c r="AR725" s="320"/>
      <c r="AS725" s="320"/>
      <c r="AT725" s="320"/>
      <c r="AU725" s="321"/>
    </row>
    <row r="726">
      <c r="A726" s="319"/>
      <c r="B726" s="320"/>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c r="AA726" s="320"/>
      <c r="AB726" s="320"/>
      <c r="AC726" s="320"/>
      <c r="AD726" s="320"/>
      <c r="AE726" s="320"/>
      <c r="AF726" s="320"/>
      <c r="AG726" s="320"/>
      <c r="AH726" s="320"/>
      <c r="AI726" s="320"/>
      <c r="AJ726" s="320"/>
      <c r="AK726" s="320"/>
      <c r="AL726" s="320"/>
      <c r="AM726" s="320"/>
      <c r="AN726" s="320"/>
      <c r="AO726" s="320"/>
      <c r="AP726" s="320"/>
      <c r="AQ726" s="320"/>
      <c r="AR726" s="320"/>
      <c r="AS726" s="320"/>
      <c r="AT726" s="320"/>
      <c r="AU726" s="321"/>
    </row>
    <row r="727">
      <c r="A727" s="319"/>
      <c r="B727" s="320"/>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c r="AA727" s="320"/>
      <c r="AB727" s="320"/>
      <c r="AC727" s="320"/>
      <c r="AD727" s="320"/>
      <c r="AE727" s="320"/>
      <c r="AF727" s="320"/>
      <c r="AG727" s="320"/>
      <c r="AH727" s="320"/>
      <c r="AI727" s="320"/>
      <c r="AJ727" s="320"/>
      <c r="AK727" s="320"/>
      <c r="AL727" s="320"/>
      <c r="AM727" s="320"/>
      <c r="AN727" s="320"/>
      <c r="AO727" s="320"/>
      <c r="AP727" s="320"/>
      <c r="AQ727" s="320"/>
      <c r="AR727" s="320"/>
      <c r="AS727" s="320"/>
      <c r="AT727" s="320"/>
      <c r="AU727" s="321"/>
    </row>
    <row r="728">
      <c r="A728" s="319"/>
      <c r="B728" s="320"/>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c r="AA728" s="320"/>
      <c r="AB728" s="320"/>
      <c r="AC728" s="320"/>
      <c r="AD728" s="320"/>
      <c r="AE728" s="320"/>
      <c r="AF728" s="320"/>
      <c r="AG728" s="320"/>
      <c r="AH728" s="320"/>
      <c r="AI728" s="320"/>
      <c r="AJ728" s="320"/>
      <c r="AK728" s="320"/>
      <c r="AL728" s="320"/>
      <c r="AM728" s="320"/>
      <c r="AN728" s="320"/>
      <c r="AO728" s="320"/>
      <c r="AP728" s="320"/>
      <c r="AQ728" s="320"/>
      <c r="AR728" s="320"/>
      <c r="AS728" s="320"/>
      <c r="AT728" s="320"/>
      <c r="AU728" s="321"/>
    </row>
    <row r="729">
      <c r="A729" s="319"/>
      <c r="B729" s="320"/>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c r="AA729" s="320"/>
      <c r="AB729" s="320"/>
      <c r="AC729" s="320"/>
      <c r="AD729" s="320"/>
      <c r="AE729" s="320"/>
      <c r="AF729" s="320"/>
      <c r="AG729" s="320"/>
      <c r="AH729" s="320"/>
      <c r="AI729" s="320"/>
      <c r="AJ729" s="320"/>
      <c r="AK729" s="320"/>
      <c r="AL729" s="320"/>
      <c r="AM729" s="320"/>
      <c r="AN729" s="320"/>
      <c r="AO729" s="320"/>
      <c r="AP729" s="320"/>
      <c r="AQ729" s="320"/>
      <c r="AR729" s="320"/>
      <c r="AS729" s="320"/>
      <c r="AT729" s="320"/>
      <c r="AU729" s="321"/>
    </row>
    <row r="730">
      <c r="A730" s="319"/>
      <c r="B730" s="320"/>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c r="AA730" s="320"/>
      <c r="AB730" s="320"/>
      <c r="AC730" s="320"/>
      <c r="AD730" s="320"/>
      <c r="AE730" s="320"/>
      <c r="AF730" s="320"/>
      <c r="AG730" s="320"/>
      <c r="AH730" s="320"/>
      <c r="AI730" s="320"/>
      <c r="AJ730" s="320"/>
      <c r="AK730" s="320"/>
      <c r="AL730" s="320"/>
      <c r="AM730" s="320"/>
      <c r="AN730" s="320"/>
      <c r="AO730" s="320"/>
      <c r="AP730" s="320"/>
      <c r="AQ730" s="320"/>
      <c r="AR730" s="320"/>
      <c r="AS730" s="320"/>
      <c r="AT730" s="320"/>
      <c r="AU730" s="321"/>
    </row>
    <row r="731">
      <c r="A731" s="319"/>
      <c r="B731" s="320"/>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c r="AA731" s="320"/>
      <c r="AB731" s="320"/>
      <c r="AC731" s="320"/>
      <c r="AD731" s="320"/>
      <c r="AE731" s="320"/>
      <c r="AF731" s="320"/>
      <c r="AG731" s="320"/>
      <c r="AH731" s="320"/>
      <c r="AI731" s="320"/>
      <c r="AJ731" s="320"/>
      <c r="AK731" s="320"/>
      <c r="AL731" s="320"/>
      <c r="AM731" s="320"/>
      <c r="AN731" s="320"/>
      <c r="AO731" s="320"/>
      <c r="AP731" s="320"/>
      <c r="AQ731" s="320"/>
      <c r="AR731" s="320"/>
      <c r="AS731" s="320"/>
      <c r="AT731" s="320"/>
      <c r="AU731" s="321"/>
    </row>
    <row r="732">
      <c r="A732" s="319"/>
      <c r="B732" s="320"/>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c r="AA732" s="320"/>
      <c r="AB732" s="320"/>
      <c r="AC732" s="320"/>
      <c r="AD732" s="320"/>
      <c r="AE732" s="320"/>
      <c r="AF732" s="320"/>
      <c r="AG732" s="320"/>
      <c r="AH732" s="320"/>
      <c r="AI732" s="320"/>
      <c r="AJ732" s="320"/>
      <c r="AK732" s="320"/>
      <c r="AL732" s="320"/>
      <c r="AM732" s="320"/>
      <c r="AN732" s="320"/>
      <c r="AO732" s="320"/>
      <c r="AP732" s="320"/>
      <c r="AQ732" s="320"/>
      <c r="AR732" s="320"/>
      <c r="AS732" s="320"/>
      <c r="AT732" s="320"/>
      <c r="AU732" s="321"/>
    </row>
    <row r="733">
      <c r="A733" s="319"/>
      <c r="B733" s="320"/>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c r="AA733" s="320"/>
      <c r="AB733" s="320"/>
      <c r="AC733" s="320"/>
      <c r="AD733" s="320"/>
      <c r="AE733" s="320"/>
      <c r="AF733" s="320"/>
      <c r="AG733" s="320"/>
      <c r="AH733" s="320"/>
      <c r="AI733" s="320"/>
      <c r="AJ733" s="320"/>
      <c r="AK733" s="320"/>
      <c r="AL733" s="320"/>
      <c r="AM733" s="320"/>
      <c r="AN733" s="320"/>
      <c r="AO733" s="320"/>
      <c r="AP733" s="320"/>
      <c r="AQ733" s="320"/>
      <c r="AR733" s="320"/>
      <c r="AS733" s="320"/>
      <c r="AT733" s="320"/>
      <c r="AU733" s="321"/>
    </row>
    <row r="734">
      <c r="A734" s="319"/>
      <c r="B734" s="320"/>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c r="AA734" s="320"/>
      <c r="AB734" s="320"/>
      <c r="AC734" s="320"/>
      <c r="AD734" s="320"/>
      <c r="AE734" s="320"/>
      <c r="AF734" s="320"/>
      <c r="AG734" s="320"/>
      <c r="AH734" s="320"/>
      <c r="AI734" s="320"/>
      <c r="AJ734" s="320"/>
      <c r="AK734" s="320"/>
      <c r="AL734" s="320"/>
      <c r="AM734" s="320"/>
      <c r="AN734" s="320"/>
      <c r="AO734" s="320"/>
      <c r="AP734" s="320"/>
      <c r="AQ734" s="320"/>
      <c r="AR734" s="320"/>
      <c r="AS734" s="320"/>
      <c r="AT734" s="320"/>
      <c r="AU734" s="321"/>
    </row>
    <row r="735">
      <c r="A735" s="319"/>
      <c r="B735" s="320"/>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c r="AA735" s="320"/>
      <c r="AB735" s="320"/>
      <c r="AC735" s="320"/>
      <c r="AD735" s="320"/>
      <c r="AE735" s="320"/>
      <c r="AF735" s="320"/>
      <c r="AG735" s="320"/>
      <c r="AH735" s="320"/>
      <c r="AI735" s="320"/>
      <c r="AJ735" s="320"/>
      <c r="AK735" s="320"/>
      <c r="AL735" s="320"/>
      <c r="AM735" s="320"/>
      <c r="AN735" s="320"/>
      <c r="AO735" s="320"/>
      <c r="AP735" s="320"/>
      <c r="AQ735" s="320"/>
      <c r="AR735" s="320"/>
      <c r="AS735" s="320"/>
      <c r="AT735" s="320"/>
      <c r="AU735" s="321"/>
    </row>
    <row r="736">
      <c r="A736" s="319"/>
      <c r="B736" s="320"/>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c r="AA736" s="320"/>
      <c r="AB736" s="320"/>
      <c r="AC736" s="320"/>
      <c r="AD736" s="320"/>
      <c r="AE736" s="320"/>
      <c r="AF736" s="320"/>
      <c r="AG736" s="320"/>
      <c r="AH736" s="320"/>
      <c r="AI736" s="320"/>
      <c r="AJ736" s="320"/>
      <c r="AK736" s="320"/>
      <c r="AL736" s="320"/>
      <c r="AM736" s="320"/>
      <c r="AN736" s="320"/>
      <c r="AO736" s="320"/>
      <c r="AP736" s="320"/>
      <c r="AQ736" s="320"/>
      <c r="AR736" s="320"/>
      <c r="AS736" s="320"/>
      <c r="AT736" s="320"/>
      <c r="AU736" s="321"/>
    </row>
    <row r="737">
      <c r="A737" s="319"/>
      <c r="B737" s="320"/>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c r="AA737" s="320"/>
      <c r="AB737" s="320"/>
      <c r="AC737" s="320"/>
      <c r="AD737" s="320"/>
      <c r="AE737" s="320"/>
      <c r="AF737" s="320"/>
      <c r="AG737" s="320"/>
      <c r="AH737" s="320"/>
      <c r="AI737" s="320"/>
      <c r="AJ737" s="320"/>
      <c r="AK737" s="320"/>
      <c r="AL737" s="320"/>
      <c r="AM737" s="320"/>
      <c r="AN737" s="320"/>
      <c r="AO737" s="320"/>
      <c r="AP737" s="320"/>
      <c r="AQ737" s="320"/>
      <c r="AR737" s="320"/>
      <c r="AS737" s="320"/>
      <c r="AT737" s="320"/>
      <c r="AU737" s="321"/>
    </row>
    <row r="738">
      <c r="A738" s="319"/>
      <c r="B738" s="320"/>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c r="AA738" s="320"/>
      <c r="AB738" s="320"/>
      <c r="AC738" s="320"/>
      <c r="AD738" s="320"/>
      <c r="AE738" s="320"/>
      <c r="AF738" s="320"/>
      <c r="AG738" s="320"/>
      <c r="AH738" s="320"/>
      <c r="AI738" s="320"/>
      <c r="AJ738" s="320"/>
      <c r="AK738" s="320"/>
      <c r="AL738" s="320"/>
      <c r="AM738" s="320"/>
      <c r="AN738" s="320"/>
      <c r="AO738" s="320"/>
      <c r="AP738" s="320"/>
      <c r="AQ738" s="320"/>
      <c r="AR738" s="320"/>
      <c r="AS738" s="320"/>
      <c r="AT738" s="320"/>
      <c r="AU738" s="321"/>
    </row>
    <row r="739">
      <c r="A739" s="319"/>
      <c r="B739" s="320"/>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c r="AA739" s="320"/>
      <c r="AB739" s="320"/>
      <c r="AC739" s="320"/>
      <c r="AD739" s="320"/>
      <c r="AE739" s="320"/>
      <c r="AF739" s="320"/>
      <c r="AG739" s="320"/>
      <c r="AH739" s="320"/>
      <c r="AI739" s="320"/>
      <c r="AJ739" s="320"/>
      <c r="AK739" s="320"/>
      <c r="AL739" s="320"/>
      <c r="AM739" s="320"/>
      <c r="AN739" s="320"/>
      <c r="AO739" s="320"/>
      <c r="AP739" s="320"/>
      <c r="AQ739" s="320"/>
      <c r="AR739" s="320"/>
      <c r="AS739" s="320"/>
      <c r="AT739" s="320"/>
      <c r="AU739" s="321"/>
    </row>
    <row r="740">
      <c r="A740" s="319"/>
      <c r="B740" s="320"/>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c r="AA740" s="320"/>
      <c r="AB740" s="320"/>
      <c r="AC740" s="320"/>
      <c r="AD740" s="320"/>
      <c r="AE740" s="320"/>
      <c r="AF740" s="320"/>
      <c r="AG740" s="320"/>
      <c r="AH740" s="320"/>
      <c r="AI740" s="320"/>
      <c r="AJ740" s="320"/>
      <c r="AK740" s="320"/>
      <c r="AL740" s="320"/>
      <c r="AM740" s="320"/>
      <c r="AN740" s="320"/>
      <c r="AO740" s="320"/>
      <c r="AP740" s="320"/>
      <c r="AQ740" s="320"/>
      <c r="AR740" s="320"/>
      <c r="AS740" s="320"/>
      <c r="AT740" s="320"/>
      <c r="AU740" s="321"/>
    </row>
    <row r="741">
      <c r="A741" s="319"/>
      <c r="B741" s="320"/>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c r="AA741" s="320"/>
      <c r="AB741" s="320"/>
      <c r="AC741" s="320"/>
      <c r="AD741" s="320"/>
      <c r="AE741" s="320"/>
      <c r="AF741" s="320"/>
      <c r="AG741" s="320"/>
      <c r="AH741" s="320"/>
      <c r="AI741" s="320"/>
      <c r="AJ741" s="320"/>
      <c r="AK741" s="320"/>
      <c r="AL741" s="320"/>
      <c r="AM741" s="320"/>
      <c r="AN741" s="320"/>
      <c r="AO741" s="320"/>
      <c r="AP741" s="320"/>
      <c r="AQ741" s="320"/>
      <c r="AR741" s="320"/>
      <c r="AS741" s="320"/>
      <c r="AT741" s="320"/>
      <c r="AU741" s="321"/>
    </row>
    <row r="742">
      <c r="A742" s="319"/>
      <c r="B742" s="320"/>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c r="AA742" s="320"/>
      <c r="AB742" s="320"/>
      <c r="AC742" s="320"/>
      <c r="AD742" s="320"/>
      <c r="AE742" s="320"/>
      <c r="AF742" s="320"/>
      <c r="AG742" s="320"/>
      <c r="AH742" s="320"/>
      <c r="AI742" s="320"/>
      <c r="AJ742" s="320"/>
      <c r="AK742" s="320"/>
      <c r="AL742" s="320"/>
      <c r="AM742" s="320"/>
      <c r="AN742" s="320"/>
      <c r="AO742" s="320"/>
      <c r="AP742" s="320"/>
      <c r="AQ742" s="320"/>
      <c r="AR742" s="320"/>
      <c r="AS742" s="320"/>
      <c r="AT742" s="320"/>
      <c r="AU742" s="321"/>
    </row>
    <row r="743">
      <c r="A743" s="319"/>
      <c r="B743" s="320"/>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c r="AA743" s="320"/>
      <c r="AB743" s="320"/>
      <c r="AC743" s="320"/>
      <c r="AD743" s="320"/>
      <c r="AE743" s="320"/>
      <c r="AF743" s="320"/>
      <c r="AG743" s="320"/>
      <c r="AH743" s="320"/>
      <c r="AI743" s="320"/>
      <c r="AJ743" s="320"/>
      <c r="AK743" s="320"/>
      <c r="AL743" s="320"/>
      <c r="AM743" s="320"/>
      <c r="AN743" s="320"/>
      <c r="AO743" s="320"/>
      <c r="AP743" s="320"/>
      <c r="AQ743" s="320"/>
      <c r="AR743" s="320"/>
      <c r="AS743" s="320"/>
      <c r="AT743" s="320"/>
      <c r="AU743" s="321"/>
    </row>
    <row r="744">
      <c r="A744" s="319"/>
      <c r="B744" s="320"/>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c r="AA744" s="320"/>
      <c r="AB744" s="320"/>
      <c r="AC744" s="320"/>
      <c r="AD744" s="320"/>
      <c r="AE744" s="320"/>
      <c r="AF744" s="320"/>
      <c r="AG744" s="320"/>
      <c r="AH744" s="320"/>
      <c r="AI744" s="320"/>
      <c r="AJ744" s="320"/>
      <c r="AK744" s="320"/>
      <c r="AL744" s="320"/>
      <c r="AM744" s="320"/>
      <c r="AN744" s="320"/>
      <c r="AO744" s="320"/>
      <c r="AP744" s="320"/>
      <c r="AQ744" s="320"/>
      <c r="AR744" s="320"/>
      <c r="AS744" s="320"/>
      <c r="AT744" s="320"/>
      <c r="AU744" s="321"/>
    </row>
    <row r="745">
      <c r="A745" s="319"/>
      <c r="B745" s="320"/>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c r="AA745" s="320"/>
      <c r="AB745" s="320"/>
      <c r="AC745" s="320"/>
      <c r="AD745" s="320"/>
      <c r="AE745" s="320"/>
      <c r="AF745" s="320"/>
      <c r="AG745" s="320"/>
      <c r="AH745" s="320"/>
      <c r="AI745" s="320"/>
      <c r="AJ745" s="320"/>
      <c r="AK745" s="320"/>
      <c r="AL745" s="320"/>
      <c r="AM745" s="320"/>
      <c r="AN745" s="320"/>
      <c r="AO745" s="320"/>
      <c r="AP745" s="320"/>
      <c r="AQ745" s="320"/>
      <c r="AR745" s="320"/>
      <c r="AS745" s="320"/>
      <c r="AT745" s="320"/>
      <c r="AU745" s="321"/>
    </row>
    <row r="746">
      <c r="A746" s="319"/>
      <c r="B746" s="320"/>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c r="AA746" s="320"/>
      <c r="AB746" s="320"/>
      <c r="AC746" s="320"/>
      <c r="AD746" s="320"/>
      <c r="AE746" s="320"/>
      <c r="AF746" s="320"/>
      <c r="AG746" s="320"/>
      <c r="AH746" s="320"/>
      <c r="AI746" s="320"/>
      <c r="AJ746" s="320"/>
      <c r="AK746" s="320"/>
      <c r="AL746" s="320"/>
      <c r="AM746" s="320"/>
      <c r="AN746" s="320"/>
      <c r="AO746" s="320"/>
      <c r="AP746" s="320"/>
      <c r="AQ746" s="320"/>
      <c r="AR746" s="320"/>
      <c r="AS746" s="320"/>
      <c r="AT746" s="320"/>
      <c r="AU746" s="321"/>
    </row>
    <row r="747">
      <c r="A747" s="319"/>
      <c r="B747" s="320"/>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c r="AA747" s="320"/>
      <c r="AB747" s="320"/>
      <c r="AC747" s="320"/>
      <c r="AD747" s="320"/>
      <c r="AE747" s="320"/>
      <c r="AF747" s="320"/>
      <c r="AG747" s="320"/>
      <c r="AH747" s="320"/>
      <c r="AI747" s="320"/>
      <c r="AJ747" s="320"/>
      <c r="AK747" s="320"/>
      <c r="AL747" s="320"/>
      <c r="AM747" s="320"/>
      <c r="AN747" s="320"/>
      <c r="AO747" s="320"/>
      <c r="AP747" s="320"/>
      <c r="AQ747" s="320"/>
      <c r="AR747" s="320"/>
      <c r="AS747" s="320"/>
      <c r="AT747" s="320"/>
      <c r="AU747" s="321"/>
    </row>
    <row r="748">
      <c r="A748" s="319"/>
      <c r="B748" s="320"/>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c r="AA748" s="320"/>
      <c r="AB748" s="320"/>
      <c r="AC748" s="320"/>
      <c r="AD748" s="320"/>
      <c r="AE748" s="320"/>
      <c r="AF748" s="320"/>
      <c r="AG748" s="320"/>
      <c r="AH748" s="320"/>
      <c r="AI748" s="320"/>
      <c r="AJ748" s="320"/>
      <c r="AK748" s="320"/>
      <c r="AL748" s="320"/>
      <c r="AM748" s="320"/>
      <c r="AN748" s="320"/>
      <c r="AO748" s="320"/>
      <c r="AP748" s="320"/>
      <c r="AQ748" s="320"/>
      <c r="AR748" s="320"/>
      <c r="AS748" s="320"/>
      <c r="AT748" s="320"/>
      <c r="AU748" s="321"/>
    </row>
    <row r="749">
      <c r="A749" s="319"/>
      <c r="B749" s="320"/>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c r="AA749" s="320"/>
      <c r="AB749" s="320"/>
      <c r="AC749" s="320"/>
      <c r="AD749" s="320"/>
      <c r="AE749" s="320"/>
      <c r="AF749" s="320"/>
      <c r="AG749" s="320"/>
      <c r="AH749" s="320"/>
      <c r="AI749" s="320"/>
      <c r="AJ749" s="320"/>
      <c r="AK749" s="320"/>
      <c r="AL749" s="320"/>
      <c r="AM749" s="320"/>
      <c r="AN749" s="320"/>
      <c r="AO749" s="320"/>
      <c r="AP749" s="320"/>
      <c r="AQ749" s="320"/>
      <c r="AR749" s="320"/>
      <c r="AS749" s="320"/>
      <c r="AT749" s="320"/>
      <c r="AU749" s="321"/>
    </row>
    <row r="750">
      <c r="A750" s="319"/>
      <c r="B750" s="320"/>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c r="AA750" s="320"/>
      <c r="AB750" s="320"/>
      <c r="AC750" s="320"/>
      <c r="AD750" s="320"/>
      <c r="AE750" s="320"/>
      <c r="AF750" s="320"/>
      <c r="AG750" s="320"/>
      <c r="AH750" s="320"/>
      <c r="AI750" s="320"/>
      <c r="AJ750" s="320"/>
      <c r="AK750" s="320"/>
      <c r="AL750" s="320"/>
      <c r="AM750" s="320"/>
      <c r="AN750" s="320"/>
      <c r="AO750" s="320"/>
      <c r="AP750" s="320"/>
      <c r="AQ750" s="320"/>
      <c r="AR750" s="320"/>
      <c r="AS750" s="320"/>
      <c r="AT750" s="320"/>
      <c r="AU750" s="321"/>
    </row>
    <row r="751">
      <c r="A751" s="319"/>
      <c r="B751" s="320"/>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c r="AA751" s="320"/>
      <c r="AB751" s="320"/>
      <c r="AC751" s="320"/>
      <c r="AD751" s="320"/>
      <c r="AE751" s="320"/>
      <c r="AF751" s="320"/>
      <c r="AG751" s="320"/>
      <c r="AH751" s="320"/>
      <c r="AI751" s="320"/>
      <c r="AJ751" s="320"/>
      <c r="AK751" s="320"/>
      <c r="AL751" s="320"/>
      <c r="AM751" s="320"/>
      <c r="AN751" s="320"/>
      <c r="AO751" s="320"/>
      <c r="AP751" s="320"/>
      <c r="AQ751" s="320"/>
      <c r="AR751" s="320"/>
      <c r="AS751" s="320"/>
      <c r="AT751" s="320"/>
      <c r="AU751" s="321"/>
    </row>
    <row r="752">
      <c r="A752" s="319"/>
      <c r="B752" s="320"/>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c r="AA752" s="320"/>
      <c r="AB752" s="320"/>
      <c r="AC752" s="320"/>
      <c r="AD752" s="320"/>
      <c r="AE752" s="320"/>
      <c r="AF752" s="320"/>
      <c r="AG752" s="320"/>
      <c r="AH752" s="320"/>
      <c r="AI752" s="320"/>
      <c r="AJ752" s="320"/>
      <c r="AK752" s="320"/>
      <c r="AL752" s="320"/>
      <c r="AM752" s="320"/>
      <c r="AN752" s="320"/>
      <c r="AO752" s="320"/>
      <c r="AP752" s="320"/>
      <c r="AQ752" s="320"/>
      <c r="AR752" s="320"/>
      <c r="AS752" s="320"/>
      <c r="AT752" s="320"/>
      <c r="AU752" s="321"/>
    </row>
    <row r="753">
      <c r="A753" s="319"/>
      <c r="B753" s="320"/>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c r="AA753" s="320"/>
      <c r="AB753" s="320"/>
      <c r="AC753" s="320"/>
      <c r="AD753" s="320"/>
      <c r="AE753" s="320"/>
      <c r="AF753" s="320"/>
      <c r="AG753" s="320"/>
      <c r="AH753" s="320"/>
      <c r="AI753" s="320"/>
      <c r="AJ753" s="320"/>
      <c r="AK753" s="320"/>
      <c r="AL753" s="320"/>
      <c r="AM753" s="320"/>
      <c r="AN753" s="320"/>
      <c r="AO753" s="320"/>
      <c r="AP753" s="320"/>
      <c r="AQ753" s="320"/>
      <c r="AR753" s="320"/>
      <c r="AS753" s="320"/>
      <c r="AT753" s="320"/>
      <c r="AU753" s="321"/>
    </row>
    <row r="754">
      <c r="A754" s="319"/>
      <c r="B754" s="320"/>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c r="AA754" s="320"/>
      <c r="AB754" s="320"/>
      <c r="AC754" s="320"/>
      <c r="AD754" s="320"/>
      <c r="AE754" s="320"/>
      <c r="AF754" s="320"/>
      <c r="AG754" s="320"/>
      <c r="AH754" s="320"/>
      <c r="AI754" s="320"/>
      <c r="AJ754" s="320"/>
      <c r="AK754" s="320"/>
      <c r="AL754" s="320"/>
      <c r="AM754" s="320"/>
      <c r="AN754" s="320"/>
      <c r="AO754" s="320"/>
      <c r="AP754" s="320"/>
      <c r="AQ754" s="320"/>
      <c r="AR754" s="320"/>
      <c r="AS754" s="320"/>
      <c r="AT754" s="320"/>
      <c r="AU754" s="321"/>
    </row>
    <row r="755">
      <c r="A755" s="319"/>
      <c r="B755" s="320"/>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c r="AA755" s="320"/>
      <c r="AB755" s="320"/>
      <c r="AC755" s="320"/>
      <c r="AD755" s="320"/>
      <c r="AE755" s="320"/>
      <c r="AF755" s="320"/>
      <c r="AG755" s="320"/>
      <c r="AH755" s="320"/>
      <c r="AI755" s="320"/>
      <c r="AJ755" s="320"/>
      <c r="AK755" s="320"/>
      <c r="AL755" s="320"/>
      <c r="AM755" s="320"/>
      <c r="AN755" s="320"/>
      <c r="AO755" s="320"/>
      <c r="AP755" s="320"/>
      <c r="AQ755" s="320"/>
      <c r="AR755" s="320"/>
      <c r="AS755" s="320"/>
      <c r="AT755" s="320"/>
      <c r="AU755" s="321"/>
    </row>
    <row r="756">
      <c r="A756" s="319"/>
      <c r="B756" s="320"/>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c r="AA756" s="320"/>
      <c r="AB756" s="320"/>
      <c r="AC756" s="320"/>
      <c r="AD756" s="320"/>
      <c r="AE756" s="320"/>
      <c r="AF756" s="320"/>
      <c r="AG756" s="320"/>
      <c r="AH756" s="320"/>
      <c r="AI756" s="320"/>
      <c r="AJ756" s="320"/>
      <c r="AK756" s="320"/>
      <c r="AL756" s="320"/>
      <c r="AM756" s="320"/>
      <c r="AN756" s="320"/>
      <c r="AO756" s="320"/>
      <c r="AP756" s="320"/>
      <c r="AQ756" s="320"/>
      <c r="AR756" s="320"/>
      <c r="AS756" s="320"/>
      <c r="AT756" s="320"/>
      <c r="AU756" s="321"/>
    </row>
    <row r="757">
      <c r="A757" s="319"/>
      <c r="B757" s="320"/>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c r="AA757" s="320"/>
      <c r="AB757" s="320"/>
      <c r="AC757" s="320"/>
      <c r="AD757" s="320"/>
      <c r="AE757" s="320"/>
      <c r="AF757" s="320"/>
      <c r="AG757" s="320"/>
      <c r="AH757" s="320"/>
      <c r="AI757" s="320"/>
      <c r="AJ757" s="320"/>
      <c r="AK757" s="320"/>
      <c r="AL757" s="320"/>
      <c r="AM757" s="320"/>
      <c r="AN757" s="320"/>
      <c r="AO757" s="320"/>
      <c r="AP757" s="320"/>
      <c r="AQ757" s="320"/>
      <c r="AR757" s="320"/>
      <c r="AS757" s="320"/>
      <c r="AT757" s="320"/>
      <c r="AU757" s="321"/>
    </row>
    <row r="758">
      <c r="A758" s="319"/>
      <c r="B758" s="320"/>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c r="AA758" s="320"/>
      <c r="AB758" s="320"/>
      <c r="AC758" s="320"/>
      <c r="AD758" s="320"/>
      <c r="AE758" s="320"/>
      <c r="AF758" s="320"/>
      <c r="AG758" s="320"/>
      <c r="AH758" s="320"/>
      <c r="AI758" s="320"/>
      <c r="AJ758" s="320"/>
      <c r="AK758" s="320"/>
      <c r="AL758" s="320"/>
      <c r="AM758" s="320"/>
      <c r="AN758" s="320"/>
      <c r="AO758" s="320"/>
      <c r="AP758" s="320"/>
      <c r="AQ758" s="320"/>
      <c r="AR758" s="320"/>
      <c r="AS758" s="320"/>
      <c r="AT758" s="320"/>
      <c r="AU758" s="321"/>
    </row>
    <row r="759">
      <c r="A759" s="319"/>
      <c r="B759" s="320"/>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c r="AA759" s="320"/>
      <c r="AB759" s="320"/>
      <c r="AC759" s="320"/>
      <c r="AD759" s="320"/>
      <c r="AE759" s="320"/>
      <c r="AF759" s="320"/>
      <c r="AG759" s="320"/>
      <c r="AH759" s="320"/>
      <c r="AI759" s="320"/>
      <c r="AJ759" s="320"/>
      <c r="AK759" s="320"/>
      <c r="AL759" s="320"/>
      <c r="AM759" s="320"/>
      <c r="AN759" s="320"/>
      <c r="AO759" s="320"/>
      <c r="AP759" s="320"/>
      <c r="AQ759" s="320"/>
      <c r="AR759" s="320"/>
      <c r="AS759" s="320"/>
      <c r="AT759" s="320"/>
      <c r="AU759" s="321"/>
    </row>
    <row r="760">
      <c r="A760" s="319"/>
      <c r="B760" s="320"/>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c r="AA760" s="320"/>
      <c r="AB760" s="320"/>
      <c r="AC760" s="320"/>
      <c r="AD760" s="320"/>
      <c r="AE760" s="320"/>
      <c r="AF760" s="320"/>
      <c r="AG760" s="320"/>
      <c r="AH760" s="320"/>
      <c r="AI760" s="320"/>
      <c r="AJ760" s="320"/>
      <c r="AK760" s="320"/>
      <c r="AL760" s="320"/>
      <c r="AM760" s="320"/>
      <c r="AN760" s="320"/>
      <c r="AO760" s="320"/>
      <c r="AP760" s="320"/>
      <c r="AQ760" s="320"/>
      <c r="AR760" s="320"/>
      <c r="AS760" s="320"/>
      <c r="AT760" s="320"/>
      <c r="AU760" s="321"/>
    </row>
    <row r="761">
      <c r="A761" s="319"/>
      <c r="B761" s="320"/>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c r="AA761" s="320"/>
      <c r="AB761" s="320"/>
      <c r="AC761" s="320"/>
      <c r="AD761" s="320"/>
      <c r="AE761" s="320"/>
      <c r="AF761" s="320"/>
      <c r="AG761" s="320"/>
      <c r="AH761" s="320"/>
      <c r="AI761" s="320"/>
      <c r="AJ761" s="320"/>
      <c r="AK761" s="320"/>
      <c r="AL761" s="320"/>
      <c r="AM761" s="320"/>
      <c r="AN761" s="320"/>
      <c r="AO761" s="320"/>
      <c r="AP761" s="320"/>
      <c r="AQ761" s="320"/>
      <c r="AR761" s="320"/>
      <c r="AS761" s="320"/>
      <c r="AT761" s="320"/>
      <c r="AU761" s="321"/>
    </row>
    <row r="762">
      <c r="A762" s="319"/>
      <c r="B762" s="320"/>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c r="AA762" s="320"/>
      <c r="AB762" s="320"/>
      <c r="AC762" s="320"/>
      <c r="AD762" s="320"/>
      <c r="AE762" s="320"/>
      <c r="AF762" s="320"/>
      <c r="AG762" s="320"/>
      <c r="AH762" s="320"/>
      <c r="AI762" s="320"/>
      <c r="AJ762" s="320"/>
      <c r="AK762" s="320"/>
      <c r="AL762" s="320"/>
      <c r="AM762" s="320"/>
      <c r="AN762" s="320"/>
      <c r="AO762" s="320"/>
      <c r="AP762" s="320"/>
      <c r="AQ762" s="320"/>
      <c r="AR762" s="320"/>
      <c r="AS762" s="320"/>
      <c r="AT762" s="320"/>
      <c r="AU762" s="321"/>
    </row>
    <row r="763">
      <c r="A763" s="319"/>
      <c r="B763" s="320"/>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c r="AA763" s="320"/>
      <c r="AB763" s="320"/>
      <c r="AC763" s="320"/>
      <c r="AD763" s="320"/>
      <c r="AE763" s="320"/>
      <c r="AF763" s="320"/>
      <c r="AG763" s="320"/>
      <c r="AH763" s="320"/>
      <c r="AI763" s="320"/>
      <c r="AJ763" s="320"/>
      <c r="AK763" s="320"/>
      <c r="AL763" s="320"/>
      <c r="AM763" s="320"/>
      <c r="AN763" s="320"/>
      <c r="AO763" s="320"/>
      <c r="AP763" s="320"/>
      <c r="AQ763" s="320"/>
      <c r="AR763" s="320"/>
      <c r="AS763" s="320"/>
      <c r="AT763" s="320"/>
      <c r="AU763" s="321"/>
    </row>
    <row r="764">
      <c r="A764" s="319"/>
      <c r="B764" s="320"/>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c r="AA764" s="320"/>
      <c r="AB764" s="320"/>
      <c r="AC764" s="320"/>
      <c r="AD764" s="320"/>
      <c r="AE764" s="320"/>
      <c r="AF764" s="320"/>
      <c r="AG764" s="320"/>
      <c r="AH764" s="320"/>
      <c r="AI764" s="320"/>
      <c r="AJ764" s="320"/>
      <c r="AK764" s="320"/>
      <c r="AL764" s="320"/>
      <c r="AM764" s="320"/>
      <c r="AN764" s="320"/>
      <c r="AO764" s="320"/>
      <c r="AP764" s="320"/>
      <c r="AQ764" s="320"/>
      <c r="AR764" s="320"/>
      <c r="AS764" s="320"/>
      <c r="AT764" s="320"/>
      <c r="AU764" s="321"/>
    </row>
    <row r="765">
      <c r="A765" s="319"/>
      <c r="B765" s="320"/>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c r="AA765" s="320"/>
      <c r="AB765" s="320"/>
      <c r="AC765" s="320"/>
      <c r="AD765" s="320"/>
      <c r="AE765" s="320"/>
      <c r="AF765" s="320"/>
      <c r="AG765" s="320"/>
      <c r="AH765" s="320"/>
      <c r="AI765" s="320"/>
      <c r="AJ765" s="320"/>
      <c r="AK765" s="320"/>
      <c r="AL765" s="320"/>
      <c r="AM765" s="320"/>
      <c r="AN765" s="320"/>
      <c r="AO765" s="320"/>
      <c r="AP765" s="320"/>
      <c r="AQ765" s="320"/>
      <c r="AR765" s="320"/>
      <c r="AS765" s="320"/>
      <c r="AT765" s="320"/>
      <c r="AU765" s="321"/>
    </row>
    <row r="766">
      <c r="A766" s="319"/>
      <c r="B766" s="320"/>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c r="AA766" s="320"/>
      <c r="AB766" s="320"/>
      <c r="AC766" s="320"/>
      <c r="AD766" s="320"/>
      <c r="AE766" s="320"/>
      <c r="AF766" s="320"/>
      <c r="AG766" s="320"/>
      <c r="AH766" s="320"/>
      <c r="AI766" s="320"/>
      <c r="AJ766" s="320"/>
      <c r="AK766" s="320"/>
      <c r="AL766" s="320"/>
      <c r="AM766" s="320"/>
      <c r="AN766" s="320"/>
      <c r="AO766" s="320"/>
      <c r="AP766" s="320"/>
      <c r="AQ766" s="320"/>
      <c r="AR766" s="320"/>
      <c r="AS766" s="320"/>
      <c r="AT766" s="320"/>
      <c r="AU766" s="321"/>
    </row>
    <row r="767">
      <c r="A767" s="319"/>
      <c r="B767" s="320"/>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c r="AA767" s="320"/>
      <c r="AB767" s="320"/>
      <c r="AC767" s="320"/>
      <c r="AD767" s="320"/>
      <c r="AE767" s="320"/>
      <c r="AF767" s="320"/>
      <c r="AG767" s="320"/>
      <c r="AH767" s="320"/>
      <c r="AI767" s="320"/>
      <c r="AJ767" s="320"/>
      <c r="AK767" s="320"/>
      <c r="AL767" s="320"/>
      <c r="AM767" s="320"/>
      <c r="AN767" s="320"/>
      <c r="AO767" s="320"/>
      <c r="AP767" s="320"/>
      <c r="AQ767" s="320"/>
      <c r="AR767" s="320"/>
      <c r="AS767" s="320"/>
      <c r="AT767" s="320"/>
      <c r="AU767" s="321"/>
    </row>
    <row r="768">
      <c r="A768" s="319"/>
      <c r="B768" s="320"/>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c r="AA768" s="320"/>
      <c r="AB768" s="320"/>
      <c r="AC768" s="320"/>
      <c r="AD768" s="320"/>
      <c r="AE768" s="320"/>
      <c r="AF768" s="320"/>
      <c r="AG768" s="320"/>
      <c r="AH768" s="320"/>
      <c r="AI768" s="320"/>
      <c r="AJ768" s="320"/>
      <c r="AK768" s="320"/>
      <c r="AL768" s="320"/>
      <c r="AM768" s="320"/>
      <c r="AN768" s="320"/>
      <c r="AO768" s="320"/>
      <c r="AP768" s="320"/>
      <c r="AQ768" s="320"/>
      <c r="AR768" s="320"/>
      <c r="AS768" s="320"/>
      <c r="AT768" s="320"/>
      <c r="AU768" s="321"/>
    </row>
    <row r="769">
      <c r="A769" s="319"/>
      <c r="B769" s="320"/>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c r="AA769" s="320"/>
      <c r="AB769" s="320"/>
      <c r="AC769" s="320"/>
      <c r="AD769" s="320"/>
      <c r="AE769" s="320"/>
      <c r="AF769" s="320"/>
      <c r="AG769" s="320"/>
      <c r="AH769" s="320"/>
      <c r="AI769" s="320"/>
      <c r="AJ769" s="320"/>
      <c r="AK769" s="320"/>
      <c r="AL769" s="320"/>
      <c r="AM769" s="320"/>
      <c r="AN769" s="320"/>
      <c r="AO769" s="320"/>
      <c r="AP769" s="320"/>
      <c r="AQ769" s="320"/>
      <c r="AR769" s="320"/>
      <c r="AS769" s="320"/>
      <c r="AT769" s="320"/>
      <c r="AU769" s="321"/>
    </row>
    <row r="770">
      <c r="A770" s="319"/>
      <c r="B770" s="320"/>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c r="AA770" s="320"/>
      <c r="AB770" s="320"/>
      <c r="AC770" s="320"/>
      <c r="AD770" s="320"/>
      <c r="AE770" s="320"/>
      <c r="AF770" s="320"/>
      <c r="AG770" s="320"/>
      <c r="AH770" s="320"/>
      <c r="AI770" s="320"/>
      <c r="AJ770" s="320"/>
      <c r="AK770" s="320"/>
      <c r="AL770" s="320"/>
      <c r="AM770" s="320"/>
      <c r="AN770" s="320"/>
      <c r="AO770" s="320"/>
      <c r="AP770" s="320"/>
      <c r="AQ770" s="320"/>
      <c r="AR770" s="320"/>
      <c r="AS770" s="320"/>
      <c r="AT770" s="320"/>
      <c r="AU770" s="321"/>
    </row>
    <row r="771">
      <c r="A771" s="319"/>
      <c r="B771" s="320"/>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c r="AA771" s="320"/>
      <c r="AB771" s="320"/>
      <c r="AC771" s="320"/>
      <c r="AD771" s="320"/>
      <c r="AE771" s="320"/>
      <c r="AF771" s="320"/>
      <c r="AG771" s="320"/>
      <c r="AH771" s="320"/>
      <c r="AI771" s="320"/>
      <c r="AJ771" s="320"/>
      <c r="AK771" s="320"/>
      <c r="AL771" s="320"/>
      <c r="AM771" s="320"/>
      <c r="AN771" s="320"/>
      <c r="AO771" s="320"/>
      <c r="AP771" s="320"/>
      <c r="AQ771" s="320"/>
      <c r="AR771" s="320"/>
      <c r="AS771" s="320"/>
      <c r="AT771" s="320"/>
      <c r="AU771" s="321"/>
    </row>
    <row r="772">
      <c r="A772" s="319"/>
      <c r="B772" s="320"/>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c r="AA772" s="320"/>
      <c r="AB772" s="320"/>
      <c r="AC772" s="320"/>
      <c r="AD772" s="320"/>
      <c r="AE772" s="320"/>
      <c r="AF772" s="320"/>
      <c r="AG772" s="320"/>
      <c r="AH772" s="320"/>
      <c r="AI772" s="320"/>
      <c r="AJ772" s="320"/>
      <c r="AK772" s="320"/>
      <c r="AL772" s="320"/>
      <c r="AM772" s="320"/>
      <c r="AN772" s="320"/>
      <c r="AO772" s="320"/>
      <c r="AP772" s="320"/>
      <c r="AQ772" s="320"/>
      <c r="AR772" s="320"/>
      <c r="AS772" s="320"/>
      <c r="AT772" s="320"/>
      <c r="AU772" s="321"/>
    </row>
    <row r="773">
      <c r="A773" s="319"/>
      <c r="B773" s="320"/>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c r="AA773" s="320"/>
      <c r="AB773" s="320"/>
      <c r="AC773" s="320"/>
      <c r="AD773" s="320"/>
      <c r="AE773" s="320"/>
      <c r="AF773" s="320"/>
      <c r="AG773" s="320"/>
      <c r="AH773" s="320"/>
      <c r="AI773" s="320"/>
      <c r="AJ773" s="320"/>
      <c r="AK773" s="320"/>
      <c r="AL773" s="320"/>
      <c r="AM773" s="320"/>
      <c r="AN773" s="320"/>
      <c r="AO773" s="320"/>
      <c r="AP773" s="320"/>
      <c r="AQ773" s="320"/>
      <c r="AR773" s="320"/>
      <c r="AS773" s="320"/>
      <c r="AT773" s="320"/>
      <c r="AU773" s="321"/>
    </row>
    <row r="774">
      <c r="A774" s="319"/>
      <c r="B774" s="320"/>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c r="AA774" s="320"/>
      <c r="AB774" s="320"/>
      <c r="AC774" s="320"/>
      <c r="AD774" s="320"/>
      <c r="AE774" s="320"/>
      <c r="AF774" s="320"/>
      <c r="AG774" s="320"/>
      <c r="AH774" s="320"/>
      <c r="AI774" s="320"/>
      <c r="AJ774" s="320"/>
      <c r="AK774" s="320"/>
      <c r="AL774" s="320"/>
      <c r="AM774" s="320"/>
      <c r="AN774" s="320"/>
      <c r="AO774" s="320"/>
      <c r="AP774" s="320"/>
      <c r="AQ774" s="320"/>
      <c r="AR774" s="320"/>
      <c r="AS774" s="320"/>
      <c r="AT774" s="320"/>
      <c r="AU774" s="321"/>
    </row>
    <row r="775">
      <c r="A775" s="319"/>
      <c r="B775" s="320"/>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c r="AA775" s="320"/>
      <c r="AB775" s="320"/>
      <c r="AC775" s="320"/>
      <c r="AD775" s="320"/>
      <c r="AE775" s="320"/>
      <c r="AF775" s="320"/>
      <c r="AG775" s="320"/>
      <c r="AH775" s="320"/>
      <c r="AI775" s="320"/>
      <c r="AJ775" s="320"/>
      <c r="AK775" s="320"/>
      <c r="AL775" s="320"/>
      <c r="AM775" s="320"/>
      <c r="AN775" s="320"/>
      <c r="AO775" s="320"/>
      <c r="AP775" s="320"/>
      <c r="AQ775" s="320"/>
      <c r="AR775" s="320"/>
      <c r="AS775" s="320"/>
      <c r="AT775" s="320"/>
      <c r="AU775" s="321"/>
    </row>
    <row r="776">
      <c r="A776" s="319"/>
      <c r="B776" s="320"/>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c r="AA776" s="320"/>
      <c r="AB776" s="320"/>
      <c r="AC776" s="320"/>
      <c r="AD776" s="320"/>
      <c r="AE776" s="320"/>
      <c r="AF776" s="320"/>
      <c r="AG776" s="320"/>
      <c r="AH776" s="320"/>
      <c r="AI776" s="320"/>
      <c r="AJ776" s="320"/>
      <c r="AK776" s="320"/>
      <c r="AL776" s="320"/>
      <c r="AM776" s="320"/>
      <c r="AN776" s="320"/>
      <c r="AO776" s="320"/>
      <c r="AP776" s="320"/>
      <c r="AQ776" s="320"/>
      <c r="AR776" s="320"/>
      <c r="AS776" s="320"/>
      <c r="AT776" s="320"/>
      <c r="AU776" s="321"/>
    </row>
    <row r="777">
      <c r="A777" s="319"/>
      <c r="B777" s="320"/>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c r="AA777" s="320"/>
      <c r="AB777" s="320"/>
      <c r="AC777" s="320"/>
      <c r="AD777" s="320"/>
      <c r="AE777" s="320"/>
      <c r="AF777" s="320"/>
      <c r="AG777" s="320"/>
      <c r="AH777" s="320"/>
      <c r="AI777" s="320"/>
      <c r="AJ777" s="320"/>
      <c r="AK777" s="320"/>
      <c r="AL777" s="320"/>
      <c r="AM777" s="320"/>
      <c r="AN777" s="320"/>
      <c r="AO777" s="320"/>
      <c r="AP777" s="320"/>
      <c r="AQ777" s="320"/>
      <c r="AR777" s="320"/>
      <c r="AS777" s="320"/>
      <c r="AT777" s="320"/>
      <c r="AU777" s="321"/>
    </row>
    <row r="778">
      <c r="A778" s="319"/>
      <c r="B778" s="320"/>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c r="AA778" s="320"/>
      <c r="AB778" s="320"/>
      <c r="AC778" s="320"/>
      <c r="AD778" s="320"/>
      <c r="AE778" s="320"/>
      <c r="AF778" s="320"/>
      <c r="AG778" s="320"/>
      <c r="AH778" s="320"/>
      <c r="AI778" s="320"/>
      <c r="AJ778" s="320"/>
      <c r="AK778" s="320"/>
      <c r="AL778" s="320"/>
      <c r="AM778" s="320"/>
      <c r="AN778" s="320"/>
      <c r="AO778" s="320"/>
      <c r="AP778" s="320"/>
      <c r="AQ778" s="320"/>
      <c r="AR778" s="320"/>
      <c r="AS778" s="320"/>
      <c r="AT778" s="320"/>
      <c r="AU778" s="321"/>
    </row>
    <row r="779">
      <c r="A779" s="319"/>
      <c r="B779" s="320"/>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c r="AA779" s="320"/>
      <c r="AB779" s="320"/>
      <c r="AC779" s="320"/>
      <c r="AD779" s="320"/>
      <c r="AE779" s="320"/>
      <c r="AF779" s="320"/>
      <c r="AG779" s="320"/>
      <c r="AH779" s="320"/>
      <c r="AI779" s="320"/>
      <c r="AJ779" s="320"/>
      <c r="AK779" s="320"/>
      <c r="AL779" s="320"/>
      <c r="AM779" s="320"/>
      <c r="AN779" s="320"/>
      <c r="AO779" s="320"/>
      <c r="AP779" s="320"/>
      <c r="AQ779" s="320"/>
      <c r="AR779" s="320"/>
      <c r="AS779" s="320"/>
      <c r="AT779" s="320"/>
      <c r="AU779" s="321"/>
    </row>
    <row r="780">
      <c r="A780" s="319"/>
      <c r="B780" s="320"/>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c r="AA780" s="320"/>
      <c r="AB780" s="320"/>
      <c r="AC780" s="320"/>
      <c r="AD780" s="320"/>
      <c r="AE780" s="320"/>
      <c r="AF780" s="320"/>
      <c r="AG780" s="320"/>
      <c r="AH780" s="320"/>
      <c r="AI780" s="320"/>
      <c r="AJ780" s="320"/>
      <c r="AK780" s="320"/>
      <c r="AL780" s="320"/>
      <c r="AM780" s="320"/>
      <c r="AN780" s="320"/>
      <c r="AO780" s="320"/>
      <c r="AP780" s="320"/>
      <c r="AQ780" s="320"/>
      <c r="AR780" s="320"/>
      <c r="AS780" s="320"/>
      <c r="AT780" s="320"/>
      <c r="AU780" s="321"/>
    </row>
    <row r="781">
      <c r="A781" s="319"/>
      <c r="B781" s="320"/>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c r="AA781" s="320"/>
      <c r="AB781" s="320"/>
      <c r="AC781" s="320"/>
      <c r="AD781" s="320"/>
      <c r="AE781" s="320"/>
      <c r="AF781" s="320"/>
      <c r="AG781" s="320"/>
      <c r="AH781" s="320"/>
      <c r="AI781" s="320"/>
      <c r="AJ781" s="320"/>
      <c r="AK781" s="320"/>
      <c r="AL781" s="320"/>
      <c r="AM781" s="320"/>
      <c r="AN781" s="320"/>
      <c r="AO781" s="320"/>
      <c r="AP781" s="320"/>
      <c r="AQ781" s="320"/>
      <c r="AR781" s="320"/>
      <c r="AS781" s="320"/>
      <c r="AT781" s="320"/>
      <c r="AU781" s="321"/>
    </row>
    <row r="782">
      <c r="A782" s="319"/>
      <c r="B782" s="320"/>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c r="AA782" s="320"/>
      <c r="AB782" s="320"/>
      <c r="AC782" s="320"/>
      <c r="AD782" s="320"/>
      <c r="AE782" s="320"/>
      <c r="AF782" s="320"/>
      <c r="AG782" s="320"/>
      <c r="AH782" s="320"/>
      <c r="AI782" s="320"/>
      <c r="AJ782" s="320"/>
      <c r="AK782" s="320"/>
      <c r="AL782" s="320"/>
      <c r="AM782" s="320"/>
      <c r="AN782" s="320"/>
      <c r="AO782" s="320"/>
      <c r="AP782" s="320"/>
      <c r="AQ782" s="320"/>
      <c r="AR782" s="320"/>
      <c r="AS782" s="320"/>
      <c r="AT782" s="320"/>
      <c r="AU782" s="321"/>
    </row>
    <row r="783">
      <c r="A783" s="319"/>
      <c r="B783" s="320"/>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c r="AA783" s="320"/>
      <c r="AB783" s="320"/>
      <c r="AC783" s="320"/>
      <c r="AD783" s="320"/>
      <c r="AE783" s="320"/>
      <c r="AF783" s="320"/>
      <c r="AG783" s="320"/>
      <c r="AH783" s="320"/>
      <c r="AI783" s="320"/>
      <c r="AJ783" s="320"/>
      <c r="AK783" s="320"/>
      <c r="AL783" s="320"/>
      <c r="AM783" s="320"/>
      <c r="AN783" s="320"/>
      <c r="AO783" s="320"/>
      <c r="AP783" s="320"/>
      <c r="AQ783" s="320"/>
      <c r="AR783" s="320"/>
      <c r="AS783" s="320"/>
      <c r="AT783" s="320"/>
      <c r="AU783" s="321"/>
    </row>
    <row r="784">
      <c r="A784" s="319"/>
      <c r="B784" s="320"/>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c r="AA784" s="320"/>
      <c r="AB784" s="320"/>
      <c r="AC784" s="320"/>
      <c r="AD784" s="320"/>
      <c r="AE784" s="320"/>
      <c r="AF784" s="320"/>
      <c r="AG784" s="320"/>
      <c r="AH784" s="320"/>
      <c r="AI784" s="320"/>
      <c r="AJ784" s="320"/>
      <c r="AK784" s="320"/>
      <c r="AL784" s="320"/>
      <c r="AM784" s="320"/>
      <c r="AN784" s="320"/>
      <c r="AO784" s="320"/>
      <c r="AP784" s="320"/>
      <c r="AQ784" s="320"/>
      <c r="AR784" s="320"/>
      <c r="AS784" s="320"/>
      <c r="AT784" s="320"/>
      <c r="AU784" s="321"/>
    </row>
    <row r="785">
      <c r="A785" s="319"/>
      <c r="B785" s="320"/>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c r="AA785" s="320"/>
      <c r="AB785" s="320"/>
      <c r="AC785" s="320"/>
      <c r="AD785" s="320"/>
      <c r="AE785" s="320"/>
      <c r="AF785" s="320"/>
      <c r="AG785" s="320"/>
      <c r="AH785" s="320"/>
      <c r="AI785" s="320"/>
      <c r="AJ785" s="320"/>
      <c r="AK785" s="320"/>
      <c r="AL785" s="320"/>
      <c r="AM785" s="320"/>
      <c r="AN785" s="320"/>
      <c r="AO785" s="320"/>
      <c r="AP785" s="320"/>
      <c r="AQ785" s="320"/>
      <c r="AR785" s="320"/>
      <c r="AS785" s="320"/>
      <c r="AT785" s="320"/>
      <c r="AU785" s="321"/>
    </row>
    <row r="786">
      <c r="A786" s="319"/>
      <c r="B786" s="320"/>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c r="AA786" s="320"/>
      <c r="AB786" s="320"/>
      <c r="AC786" s="320"/>
      <c r="AD786" s="320"/>
      <c r="AE786" s="320"/>
      <c r="AF786" s="320"/>
      <c r="AG786" s="320"/>
      <c r="AH786" s="320"/>
      <c r="AI786" s="320"/>
      <c r="AJ786" s="320"/>
      <c r="AK786" s="320"/>
      <c r="AL786" s="320"/>
      <c r="AM786" s="320"/>
      <c r="AN786" s="320"/>
      <c r="AO786" s="320"/>
      <c r="AP786" s="320"/>
      <c r="AQ786" s="320"/>
      <c r="AR786" s="320"/>
      <c r="AS786" s="320"/>
      <c r="AT786" s="320"/>
      <c r="AU786" s="321"/>
    </row>
    <row r="787">
      <c r="A787" s="319"/>
      <c r="B787" s="320"/>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c r="AA787" s="320"/>
      <c r="AB787" s="320"/>
      <c r="AC787" s="320"/>
      <c r="AD787" s="320"/>
      <c r="AE787" s="320"/>
      <c r="AF787" s="320"/>
      <c r="AG787" s="320"/>
      <c r="AH787" s="320"/>
      <c r="AI787" s="320"/>
      <c r="AJ787" s="320"/>
      <c r="AK787" s="320"/>
      <c r="AL787" s="320"/>
      <c r="AM787" s="320"/>
      <c r="AN787" s="320"/>
      <c r="AO787" s="320"/>
      <c r="AP787" s="320"/>
      <c r="AQ787" s="320"/>
      <c r="AR787" s="320"/>
      <c r="AS787" s="320"/>
      <c r="AT787" s="320"/>
      <c r="AU787" s="321"/>
    </row>
    <row r="788">
      <c r="A788" s="319"/>
      <c r="B788" s="320"/>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c r="AA788" s="320"/>
      <c r="AB788" s="320"/>
      <c r="AC788" s="320"/>
      <c r="AD788" s="320"/>
      <c r="AE788" s="320"/>
      <c r="AF788" s="320"/>
      <c r="AG788" s="320"/>
      <c r="AH788" s="320"/>
      <c r="AI788" s="320"/>
      <c r="AJ788" s="320"/>
      <c r="AK788" s="320"/>
      <c r="AL788" s="320"/>
      <c r="AM788" s="320"/>
      <c r="AN788" s="320"/>
      <c r="AO788" s="320"/>
      <c r="AP788" s="320"/>
      <c r="AQ788" s="320"/>
      <c r="AR788" s="320"/>
      <c r="AS788" s="320"/>
      <c r="AT788" s="320"/>
      <c r="AU788" s="321"/>
    </row>
    <row r="789">
      <c r="A789" s="319"/>
      <c r="B789" s="320"/>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c r="AA789" s="320"/>
      <c r="AB789" s="320"/>
      <c r="AC789" s="320"/>
      <c r="AD789" s="320"/>
      <c r="AE789" s="320"/>
      <c r="AF789" s="320"/>
      <c r="AG789" s="320"/>
      <c r="AH789" s="320"/>
      <c r="AI789" s="320"/>
      <c r="AJ789" s="320"/>
      <c r="AK789" s="320"/>
      <c r="AL789" s="320"/>
      <c r="AM789" s="320"/>
      <c r="AN789" s="320"/>
      <c r="AO789" s="320"/>
      <c r="AP789" s="320"/>
      <c r="AQ789" s="320"/>
      <c r="AR789" s="320"/>
      <c r="AS789" s="320"/>
      <c r="AT789" s="320"/>
      <c r="AU789" s="321"/>
    </row>
    <row r="790">
      <c r="A790" s="319"/>
      <c r="B790" s="320"/>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c r="AA790" s="320"/>
      <c r="AB790" s="320"/>
      <c r="AC790" s="320"/>
      <c r="AD790" s="320"/>
      <c r="AE790" s="320"/>
      <c r="AF790" s="320"/>
      <c r="AG790" s="320"/>
      <c r="AH790" s="320"/>
      <c r="AI790" s="320"/>
      <c r="AJ790" s="320"/>
      <c r="AK790" s="320"/>
      <c r="AL790" s="320"/>
      <c r="AM790" s="320"/>
      <c r="AN790" s="320"/>
      <c r="AO790" s="320"/>
      <c r="AP790" s="320"/>
      <c r="AQ790" s="320"/>
      <c r="AR790" s="320"/>
      <c r="AS790" s="320"/>
      <c r="AT790" s="320"/>
      <c r="AU790" s="321"/>
    </row>
    <row r="791">
      <c r="A791" s="319"/>
      <c r="B791" s="320"/>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c r="AA791" s="320"/>
      <c r="AB791" s="320"/>
      <c r="AC791" s="320"/>
      <c r="AD791" s="320"/>
      <c r="AE791" s="320"/>
      <c r="AF791" s="320"/>
      <c r="AG791" s="320"/>
      <c r="AH791" s="320"/>
      <c r="AI791" s="320"/>
      <c r="AJ791" s="320"/>
      <c r="AK791" s="320"/>
      <c r="AL791" s="320"/>
      <c r="AM791" s="320"/>
      <c r="AN791" s="320"/>
      <c r="AO791" s="320"/>
      <c r="AP791" s="320"/>
      <c r="AQ791" s="320"/>
      <c r="AR791" s="320"/>
      <c r="AS791" s="320"/>
      <c r="AT791" s="320"/>
      <c r="AU791" s="321"/>
    </row>
    <row r="792">
      <c r="A792" s="319"/>
      <c r="B792" s="320"/>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c r="AA792" s="320"/>
      <c r="AB792" s="320"/>
      <c r="AC792" s="320"/>
      <c r="AD792" s="320"/>
      <c r="AE792" s="320"/>
      <c r="AF792" s="320"/>
      <c r="AG792" s="320"/>
      <c r="AH792" s="320"/>
      <c r="AI792" s="320"/>
      <c r="AJ792" s="320"/>
      <c r="AK792" s="320"/>
      <c r="AL792" s="320"/>
      <c r="AM792" s="320"/>
      <c r="AN792" s="320"/>
      <c r="AO792" s="320"/>
      <c r="AP792" s="320"/>
      <c r="AQ792" s="320"/>
      <c r="AR792" s="320"/>
      <c r="AS792" s="320"/>
      <c r="AT792" s="320"/>
      <c r="AU792" s="321"/>
    </row>
    <row r="793">
      <c r="A793" s="319"/>
      <c r="B793" s="320"/>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c r="AA793" s="320"/>
      <c r="AB793" s="320"/>
      <c r="AC793" s="320"/>
      <c r="AD793" s="320"/>
      <c r="AE793" s="320"/>
      <c r="AF793" s="320"/>
      <c r="AG793" s="320"/>
      <c r="AH793" s="320"/>
      <c r="AI793" s="320"/>
      <c r="AJ793" s="320"/>
      <c r="AK793" s="320"/>
      <c r="AL793" s="320"/>
      <c r="AM793" s="320"/>
      <c r="AN793" s="320"/>
      <c r="AO793" s="320"/>
      <c r="AP793" s="320"/>
      <c r="AQ793" s="320"/>
      <c r="AR793" s="320"/>
      <c r="AS793" s="320"/>
      <c r="AT793" s="320"/>
      <c r="AU793" s="321"/>
    </row>
    <row r="794">
      <c r="A794" s="319"/>
      <c r="B794" s="320"/>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c r="AA794" s="320"/>
      <c r="AB794" s="320"/>
      <c r="AC794" s="320"/>
      <c r="AD794" s="320"/>
      <c r="AE794" s="320"/>
      <c r="AF794" s="320"/>
      <c r="AG794" s="320"/>
      <c r="AH794" s="320"/>
      <c r="AI794" s="320"/>
      <c r="AJ794" s="320"/>
      <c r="AK794" s="320"/>
      <c r="AL794" s="320"/>
      <c r="AM794" s="320"/>
      <c r="AN794" s="320"/>
      <c r="AO794" s="320"/>
      <c r="AP794" s="320"/>
      <c r="AQ794" s="320"/>
      <c r="AR794" s="320"/>
      <c r="AS794" s="320"/>
      <c r="AT794" s="320"/>
      <c r="AU794" s="321"/>
    </row>
    <row r="795">
      <c r="A795" s="319"/>
      <c r="B795" s="320"/>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c r="AA795" s="320"/>
      <c r="AB795" s="320"/>
      <c r="AC795" s="320"/>
      <c r="AD795" s="320"/>
      <c r="AE795" s="320"/>
      <c r="AF795" s="320"/>
      <c r="AG795" s="320"/>
      <c r="AH795" s="320"/>
      <c r="AI795" s="320"/>
      <c r="AJ795" s="320"/>
      <c r="AK795" s="320"/>
      <c r="AL795" s="320"/>
      <c r="AM795" s="320"/>
      <c r="AN795" s="320"/>
      <c r="AO795" s="320"/>
      <c r="AP795" s="320"/>
      <c r="AQ795" s="320"/>
      <c r="AR795" s="320"/>
      <c r="AS795" s="320"/>
      <c r="AT795" s="320"/>
      <c r="AU795" s="321"/>
    </row>
    <row r="796">
      <c r="A796" s="319"/>
      <c r="B796" s="320"/>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c r="AA796" s="320"/>
      <c r="AB796" s="320"/>
      <c r="AC796" s="320"/>
      <c r="AD796" s="320"/>
      <c r="AE796" s="320"/>
      <c r="AF796" s="320"/>
      <c r="AG796" s="320"/>
      <c r="AH796" s="320"/>
      <c r="AI796" s="320"/>
      <c r="AJ796" s="320"/>
      <c r="AK796" s="320"/>
      <c r="AL796" s="320"/>
      <c r="AM796" s="320"/>
      <c r="AN796" s="320"/>
      <c r="AO796" s="320"/>
      <c r="AP796" s="320"/>
      <c r="AQ796" s="320"/>
      <c r="AR796" s="320"/>
      <c r="AS796" s="320"/>
      <c r="AT796" s="320"/>
      <c r="AU796" s="321"/>
    </row>
    <row r="797">
      <c r="A797" s="319"/>
      <c r="B797" s="320"/>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c r="AA797" s="320"/>
      <c r="AB797" s="320"/>
      <c r="AC797" s="320"/>
      <c r="AD797" s="320"/>
      <c r="AE797" s="320"/>
      <c r="AF797" s="320"/>
      <c r="AG797" s="320"/>
      <c r="AH797" s="320"/>
      <c r="AI797" s="320"/>
      <c r="AJ797" s="320"/>
      <c r="AK797" s="320"/>
      <c r="AL797" s="320"/>
      <c r="AM797" s="320"/>
      <c r="AN797" s="320"/>
      <c r="AO797" s="320"/>
      <c r="AP797" s="320"/>
      <c r="AQ797" s="320"/>
      <c r="AR797" s="320"/>
      <c r="AS797" s="320"/>
      <c r="AT797" s="320"/>
      <c r="AU797" s="321"/>
    </row>
    <row r="798">
      <c r="A798" s="319"/>
      <c r="B798" s="320"/>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c r="AA798" s="320"/>
      <c r="AB798" s="320"/>
      <c r="AC798" s="320"/>
      <c r="AD798" s="320"/>
      <c r="AE798" s="320"/>
      <c r="AF798" s="320"/>
      <c r="AG798" s="320"/>
      <c r="AH798" s="320"/>
      <c r="AI798" s="320"/>
      <c r="AJ798" s="320"/>
      <c r="AK798" s="320"/>
      <c r="AL798" s="320"/>
      <c r="AM798" s="320"/>
      <c r="AN798" s="320"/>
      <c r="AO798" s="320"/>
      <c r="AP798" s="320"/>
      <c r="AQ798" s="320"/>
      <c r="AR798" s="320"/>
      <c r="AS798" s="320"/>
      <c r="AT798" s="320"/>
      <c r="AU798" s="321"/>
    </row>
    <row r="799">
      <c r="A799" s="319"/>
      <c r="B799" s="320"/>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c r="AA799" s="320"/>
      <c r="AB799" s="320"/>
      <c r="AC799" s="320"/>
      <c r="AD799" s="320"/>
      <c r="AE799" s="320"/>
      <c r="AF799" s="320"/>
      <c r="AG799" s="320"/>
      <c r="AH799" s="320"/>
      <c r="AI799" s="320"/>
      <c r="AJ799" s="320"/>
      <c r="AK799" s="320"/>
      <c r="AL799" s="320"/>
      <c r="AM799" s="320"/>
      <c r="AN799" s="320"/>
      <c r="AO799" s="320"/>
      <c r="AP799" s="320"/>
      <c r="AQ799" s="320"/>
      <c r="AR799" s="320"/>
      <c r="AS799" s="320"/>
      <c r="AT799" s="320"/>
      <c r="AU799" s="321"/>
    </row>
    <row r="800">
      <c r="A800" s="319"/>
      <c r="B800" s="320"/>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c r="AA800" s="320"/>
      <c r="AB800" s="320"/>
      <c r="AC800" s="320"/>
      <c r="AD800" s="320"/>
      <c r="AE800" s="320"/>
      <c r="AF800" s="320"/>
      <c r="AG800" s="320"/>
      <c r="AH800" s="320"/>
      <c r="AI800" s="320"/>
      <c r="AJ800" s="320"/>
      <c r="AK800" s="320"/>
      <c r="AL800" s="320"/>
      <c r="AM800" s="320"/>
      <c r="AN800" s="320"/>
      <c r="AO800" s="320"/>
      <c r="AP800" s="320"/>
      <c r="AQ800" s="320"/>
      <c r="AR800" s="320"/>
      <c r="AS800" s="320"/>
      <c r="AT800" s="320"/>
      <c r="AU800" s="321"/>
    </row>
    <row r="801">
      <c r="A801" s="319"/>
      <c r="B801" s="320"/>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c r="AA801" s="320"/>
      <c r="AB801" s="320"/>
      <c r="AC801" s="320"/>
      <c r="AD801" s="320"/>
      <c r="AE801" s="320"/>
      <c r="AF801" s="320"/>
      <c r="AG801" s="320"/>
      <c r="AH801" s="320"/>
      <c r="AI801" s="320"/>
      <c r="AJ801" s="320"/>
      <c r="AK801" s="320"/>
      <c r="AL801" s="320"/>
      <c r="AM801" s="320"/>
      <c r="AN801" s="320"/>
      <c r="AO801" s="320"/>
      <c r="AP801" s="320"/>
      <c r="AQ801" s="320"/>
      <c r="AR801" s="320"/>
      <c r="AS801" s="320"/>
      <c r="AT801" s="320"/>
      <c r="AU801" s="321"/>
    </row>
    <row r="802">
      <c r="A802" s="319"/>
      <c r="B802" s="320"/>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c r="AA802" s="320"/>
      <c r="AB802" s="320"/>
      <c r="AC802" s="320"/>
      <c r="AD802" s="320"/>
      <c r="AE802" s="320"/>
      <c r="AF802" s="320"/>
      <c r="AG802" s="320"/>
      <c r="AH802" s="320"/>
      <c r="AI802" s="320"/>
      <c r="AJ802" s="320"/>
      <c r="AK802" s="320"/>
      <c r="AL802" s="320"/>
      <c r="AM802" s="320"/>
      <c r="AN802" s="320"/>
      <c r="AO802" s="320"/>
      <c r="AP802" s="320"/>
      <c r="AQ802" s="320"/>
      <c r="AR802" s="320"/>
      <c r="AS802" s="320"/>
      <c r="AT802" s="320"/>
      <c r="AU802" s="321"/>
    </row>
    <row r="803">
      <c r="A803" s="319"/>
      <c r="B803" s="320"/>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c r="AA803" s="320"/>
      <c r="AB803" s="320"/>
      <c r="AC803" s="320"/>
      <c r="AD803" s="320"/>
      <c r="AE803" s="320"/>
      <c r="AF803" s="320"/>
      <c r="AG803" s="320"/>
      <c r="AH803" s="320"/>
      <c r="AI803" s="320"/>
      <c r="AJ803" s="320"/>
      <c r="AK803" s="320"/>
      <c r="AL803" s="320"/>
      <c r="AM803" s="320"/>
      <c r="AN803" s="320"/>
      <c r="AO803" s="320"/>
      <c r="AP803" s="320"/>
      <c r="AQ803" s="320"/>
      <c r="AR803" s="320"/>
      <c r="AS803" s="320"/>
      <c r="AT803" s="320"/>
      <c r="AU803" s="321"/>
    </row>
    <row r="804">
      <c r="A804" s="319"/>
      <c r="B804" s="320"/>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c r="AA804" s="320"/>
      <c r="AB804" s="320"/>
      <c r="AC804" s="320"/>
      <c r="AD804" s="320"/>
      <c r="AE804" s="320"/>
      <c r="AF804" s="320"/>
      <c r="AG804" s="320"/>
      <c r="AH804" s="320"/>
      <c r="AI804" s="320"/>
      <c r="AJ804" s="320"/>
      <c r="AK804" s="320"/>
      <c r="AL804" s="320"/>
      <c r="AM804" s="320"/>
      <c r="AN804" s="320"/>
      <c r="AO804" s="320"/>
      <c r="AP804" s="320"/>
      <c r="AQ804" s="320"/>
      <c r="AR804" s="320"/>
      <c r="AS804" s="320"/>
      <c r="AT804" s="320"/>
      <c r="AU804" s="321"/>
    </row>
    <row r="805">
      <c r="A805" s="319"/>
      <c r="B805" s="320"/>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c r="AA805" s="320"/>
      <c r="AB805" s="320"/>
      <c r="AC805" s="320"/>
      <c r="AD805" s="320"/>
      <c r="AE805" s="320"/>
      <c r="AF805" s="320"/>
      <c r="AG805" s="320"/>
      <c r="AH805" s="320"/>
      <c r="AI805" s="320"/>
      <c r="AJ805" s="320"/>
      <c r="AK805" s="320"/>
      <c r="AL805" s="320"/>
      <c r="AM805" s="320"/>
      <c r="AN805" s="320"/>
      <c r="AO805" s="320"/>
      <c r="AP805" s="320"/>
      <c r="AQ805" s="320"/>
      <c r="AR805" s="320"/>
      <c r="AS805" s="320"/>
      <c r="AT805" s="320"/>
      <c r="AU805" s="321"/>
    </row>
    <row r="806">
      <c r="A806" s="319"/>
      <c r="B806" s="320"/>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c r="AA806" s="320"/>
      <c r="AB806" s="320"/>
      <c r="AC806" s="320"/>
      <c r="AD806" s="320"/>
      <c r="AE806" s="320"/>
      <c r="AF806" s="320"/>
      <c r="AG806" s="320"/>
      <c r="AH806" s="320"/>
      <c r="AI806" s="320"/>
      <c r="AJ806" s="320"/>
      <c r="AK806" s="320"/>
      <c r="AL806" s="320"/>
      <c r="AM806" s="320"/>
      <c r="AN806" s="320"/>
      <c r="AO806" s="320"/>
      <c r="AP806" s="320"/>
      <c r="AQ806" s="320"/>
      <c r="AR806" s="320"/>
      <c r="AS806" s="320"/>
      <c r="AT806" s="320"/>
      <c r="AU806" s="321"/>
    </row>
    <row r="807">
      <c r="A807" s="319"/>
      <c r="B807" s="320"/>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c r="AA807" s="320"/>
      <c r="AB807" s="320"/>
      <c r="AC807" s="320"/>
      <c r="AD807" s="320"/>
      <c r="AE807" s="320"/>
      <c r="AF807" s="320"/>
      <c r="AG807" s="320"/>
      <c r="AH807" s="320"/>
      <c r="AI807" s="320"/>
      <c r="AJ807" s="320"/>
      <c r="AK807" s="320"/>
      <c r="AL807" s="320"/>
      <c r="AM807" s="320"/>
      <c r="AN807" s="320"/>
      <c r="AO807" s="320"/>
      <c r="AP807" s="320"/>
      <c r="AQ807" s="320"/>
      <c r="AR807" s="320"/>
      <c r="AS807" s="320"/>
      <c r="AT807" s="320"/>
      <c r="AU807" s="321"/>
    </row>
    <row r="808">
      <c r="A808" s="319"/>
      <c r="B808" s="320"/>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c r="AA808" s="320"/>
      <c r="AB808" s="320"/>
      <c r="AC808" s="320"/>
      <c r="AD808" s="320"/>
      <c r="AE808" s="320"/>
      <c r="AF808" s="320"/>
      <c r="AG808" s="320"/>
      <c r="AH808" s="320"/>
      <c r="AI808" s="320"/>
      <c r="AJ808" s="320"/>
      <c r="AK808" s="320"/>
      <c r="AL808" s="320"/>
      <c r="AM808" s="320"/>
      <c r="AN808" s="320"/>
      <c r="AO808" s="320"/>
      <c r="AP808" s="320"/>
      <c r="AQ808" s="320"/>
      <c r="AR808" s="320"/>
      <c r="AS808" s="320"/>
      <c r="AT808" s="320"/>
      <c r="AU808" s="321"/>
    </row>
    <row r="809">
      <c r="A809" s="319"/>
      <c r="B809" s="320"/>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c r="AA809" s="320"/>
      <c r="AB809" s="320"/>
      <c r="AC809" s="320"/>
      <c r="AD809" s="320"/>
      <c r="AE809" s="320"/>
      <c r="AF809" s="320"/>
      <c r="AG809" s="320"/>
      <c r="AH809" s="320"/>
      <c r="AI809" s="320"/>
      <c r="AJ809" s="320"/>
      <c r="AK809" s="320"/>
      <c r="AL809" s="320"/>
      <c r="AM809" s="320"/>
      <c r="AN809" s="320"/>
      <c r="AO809" s="320"/>
      <c r="AP809" s="320"/>
      <c r="AQ809" s="320"/>
      <c r="AR809" s="320"/>
      <c r="AS809" s="320"/>
      <c r="AT809" s="320"/>
      <c r="AU809" s="321"/>
    </row>
    <row r="810">
      <c r="A810" s="319"/>
      <c r="B810" s="320"/>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c r="AA810" s="320"/>
      <c r="AB810" s="320"/>
      <c r="AC810" s="320"/>
      <c r="AD810" s="320"/>
      <c r="AE810" s="320"/>
      <c r="AF810" s="320"/>
      <c r="AG810" s="320"/>
      <c r="AH810" s="320"/>
      <c r="AI810" s="320"/>
      <c r="AJ810" s="320"/>
      <c r="AK810" s="320"/>
      <c r="AL810" s="320"/>
      <c r="AM810" s="320"/>
      <c r="AN810" s="320"/>
      <c r="AO810" s="320"/>
      <c r="AP810" s="320"/>
      <c r="AQ810" s="320"/>
      <c r="AR810" s="320"/>
      <c r="AS810" s="320"/>
      <c r="AT810" s="320"/>
      <c r="AU810" s="321"/>
    </row>
    <row r="811">
      <c r="A811" s="319"/>
      <c r="B811" s="320"/>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c r="AA811" s="320"/>
      <c r="AB811" s="320"/>
      <c r="AC811" s="320"/>
      <c r="AD811" s="320"/>
      <c r="AE811" s="320"/>
      <c r="AF811" s="320"/>
      <c r="AG811" s="320"/>
      <c r="AH811" s="320"/>
      <c r="AI811" s="320"/>
      <c r="AJ811" s="320"/>
      <c r="AK811" s="320"/>
      <c r="AL811" s="320"/>
      <c r="AM811" s="320"/>
      <c r="AN811" s="320"/>
      <c r="AO811" s="320"/>
      <c r="AP811" s="320"/>
      <c r="AQ811" s="320"/>
      <c r="AR811" s="320"/>
      <c r="AS811" s="320"/>
      <c r="AT811" s="320"/>
      <c r="AU811" s="321"/>
    </row>
    <row r="812">
      <c r="A812" s="319"/>
      <c r="B812" s="320"/>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c r="AA812" s="320"/>
      <c r="AB812" s="320"/>
      <c r="AC812" s="320"/>
      <c r="AD812" s="320"/>
      <c r="AE812" s="320"/>
      <c r="AF812" s="320"/>
      <c r="AG812" s="320"/>
      <c r="AH812" s="320"/>
      <c r="AI812" s="320"/>
      <c r="AJ812" s="320"/>
      <c r="AK812" s="320"/>
      <c r="AL812" s="320"/>
      <c r="AM812" s="320"/>
      <c r="AN812" s="320"/>
      <c r="AO812" s="320"/>
      <c r="AP812" s="320"/>
      <c r="AQ812" s="320"/>
      <c r="AR812" s="320"/>
      <c r="AS812" s="320"/>
      <c r="AT812" s="320"/>
      <c r="AU812" s="321"/>
    </row>
    <row r="813">
      <c r="A813" s="319"/>
      <c r="B813" s="320"/>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c r="AA813" s="320"/>
      <c r="AB813" s="320"/>
      <c r="AC813" s="320"/>
      <c r="AD813" s="320"/>
      <c r="AE813" s="320"/>
      <c r="AF813" s="320"/>
      <c r="AG813" s="320"/>
      <c r="AH813" s="320"/>
      <c r="AI813" s="320"/>
      <c r="AJ813" s="320"/>
      <c r="AK813" s="320"/>
      <c r="AL813" s="320"/>
      <c r="AM813" s="320"/>
      <c r="AN813" s="320"/>
      <c r="AO813" s="320"/>
      <c r="AP813" s="320"/>
      <c r="AQ813" s="320"/>
      <c r="AR813" s="320"/>
      <c r="AS813" s="320"/>
      <c r="AT813" s="320"/>
      <c r="AU813" s="321"/>
    </row>
    <row r="814">
      <c r="A814" s="319"/>
      <c r="B814" s="320"/>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c r="AA814" s="320"/>
      <c r="AB814" s="320"/>
      <c r="AC814" s="320"/>
      <c r="AD814" s="320"/>
      <c r="AE814" s="320"/>
      <c r="AF814" s="320"/>
      <c r="AG814" s="320"/>
      <c r="AH814" s="320"/>
      <c r="AI814" s="320"/>
      <c r="AJ814" s="320"/>
      <c r="AK814" s="320"/>
      <c r="AL814" s="320"/>
      <c r="AM814" s="320"/>
      <c r="AN814" s="320"/>
      <c r="AO814" s="320"/>
      <c r="AP814" s="320"/>
      <c r="AQ814" s="320"/>
      <c r="AR814" s="320"/>
      <c r="AS814" s="320"/>
      <c r="AT814" s="320"/>
      <c r="AU814" s="321"/>
    </row>
    <row r="815">
      <c r="A815" s="319"/>
      <c r="B815" s="320"/>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c r="AA815" s="320"/>
      <c r="AB815" s="320"/>
      <c r="AC815" s="320"/>
      <c r="AD815" s="320"/>
      <c r="AE815" s="320"/>
      <c r="AF815" s="320"/>
      <c r="AG815" s="320"/>
      <c r="AH815" s="320"/>
      <c r="AI815" s="320"/>
      <c r="AJ815" s="320"/>
      <c r="AK815" s="320"/>
      <c r="AL815" s="320"/>
      <c r="AM815" s="320"/>
      <c r="AN815" s="320"/>
      <c r="AO815" s="320"/>
      <c r="AP815" s="320"/>
      <c r="AQ815" s="320"/>
      <c r="AR815" s="320"/>
      <c r="AS815" s="320"/>
      <c r="AT815" s="320"/>
      <c r="AU815" s="321"/>
    </row>
    <row r="816">
      <c r="A816" s="319"/>
      <c r="B816" s="320"/>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c r="AA816" s="320"/>
      <c r="AB816" s="320"/>
      <c r="AC816" s="320"/>
      <c r="AD816" s="320"/>
      <c r="AE816" s="320"/>
      <c r="AF816" s="320"/>
      <c r="AG816" s="320"/>
      <c r="AH816" s="320"/>
      <c r="AI816" s="320"/>
      <c r="AJ816" s="320"/>
      <c r="AK816" s="320"/>
      <c r="AL816" s="320"/>
      <c r="AM816" s="320"/>
      <c r="AN816" s="320"/>
      <c r="AO816" s="320"/>
      <c r="AP816" s="320"/>
      <c r="AQ816" s="320"/>
      <c r="AR816" s="320"/>
      <c r="AS816" s="320"/>
      <c r="AT816" s="320"/>
      <c r="AU816" s="321"/>
    </row>
    <row r="817">
      <c r="A817" s="319"/>
      <c r="B817" s="320"/>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c r="AA817" s="320"/>
      <c r="AB817" s="320"/>
      <c r="AC817" s="320"/>
      <c r="AD817" s="320"/>
      <c r="AE817" s="320"/>
      <c r="AF817" s="320"/>
      <c r="AG817" s="320"/>
      <c r="AH817" s="320"/>
      <c r="AI817" s="320"/>
      <c r="AJ817" s="320"/>
      <c r="AK817" s="320"/>
      <c r="AL817" s="320"/>
      <c r="AM817" s="320"/>
      <c r="AN817" s="320"/>
      <c r="AO817" s="320"/>
      <c r="AP817" s="320"/>
      <c r="AQ817" s="320"/>
      <c r="AR817" s="320"/>
      <c r="AS817" s="320"/>
      <c r="AT817" s="320"/>
      <c r="AU817" s="321"/>
    </row>
    <row r="818">
      <c r="A818" s="319"/>
      <c r="B818" s="320"/>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c r="AA818" s="320"/>
      <c r="AB818" s="320"/>
      <c r="AC818" s="320"/>
      <c r="AD818" s="320"/>
      <c r="AE818" s="320"/>
      <c r="AF818" s="320"/>
      <c r="AG818" s="320"/>
      <c r="AH818" s="320"/>
      <c r="AI818" s="320"/>
      <c r="AJ818" s="320"/>
      <c r="AK818" s="320"/>
      <c r="AL818" s="320"/>
      <c r="AM818" s="320"/>
      <c r="AN818" s="320"/>
      <c r="AO818" s="320"/>
      <c r="AP818" s="320"/>
      <c r="AQ818" s="320"/>
      <c r="AR818" s="320"/>
      <c r="AS818" s="320"/>
      <c r="AT818" s="320"/>
      <c r="AU818" s="321"/>
    </row>
    <row r="819">
      <c r="A819" s="319"/>
      <c r="B819" s="320"/>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c r="AA819" s="320"/>
      <c r="AB819" s="320"/>
      <c r="AC819" s="320"/>
      <c r="AD819" s="320"/>
      <c r="AE819" s="320"/>
      <c r="AF819" s="320"/>
      <c r="AG819" s="320"/>
      <c r="AH819" s="320"/>
      <c r="AI819" s="320"/>
      <c r="AJ819" s="320"/>
      <c r="AK819" s="320"/>
      <c r="AL819" s="320"/>
      <c r="AM819" s="320"/>
      <c r="AN819" s="320"/>
      <c r="AO819" s="320"/>
      <c r="AP819" s="320"/>
      <c r="AQ819" s="320"/>
      <c r="AR819" s="320"/>
      <c r="AS819" s="320"/>
      <c r="AT819" s="320"/>
      <c r="AU819" s="321"/>
    </row>
    <row r="820">
      <c r="A820" s="319"/>
      <c r="B820" s="320"/>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c r="AA820" s="320"/>
      <c r="AB820" s="320"/>
      <c r="AC820" s="320"/>
      <c r="AD820" s="320"/>
      <c r="AE820" s="320"/>
      <c r="AF820" s="320"/>
      <c r="AG820" s="320"/>
      <c r="AH820" s="320"/>
      <c r="AI820" s="320"/>
      <c r="AJ820" s="320"/>
      <c r="AK820" s="320"/>
      <c r="AL820" s="320"/>
      <c r="AM820" s="320"/>
      <c r="AN820" s="320"/>
      <c r="AO820" s="320"/>
      <c r="AP820" s="320"/>
      <c r="AQ820" s="320"/>
      <c r="AR820" s="320"/>
      <c r="AS820" s="320"/>
      <c r="AT820" s="320"/>
      <c r="AU820" s="321"/>
    </row>
    <row r="821">
      <c r="A821" s="319"/>
      <c r="B821" s="320"/>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c r="AA821" s="320"/>
      <c r="AB821" s="320"/>
      <c r="AC821" s="320"/>
      <c r="AD821" s="320"/>
      <c r="AE821" s="320"/>
      <c r="AF821" s="320"/>
      <c r="AG821" s="320"/>
      <c r="AH821" s="320"/>
      <c r="AI821" s="320"/>
      <c r="AJ821" s="320"/>
      <c r="AK821" s="320"/>
      <c r="AL821" s="320"/>
      <c r="AM821" s="320"/>
      <c r="AN821" s="320"/>
      <c r="AO821" s="320"/>
      <c r="AP821" s="320"/>
      <c r="AQ821" s="320"/>
      <c r="AR821" s="320"/>
      <c r="AS821" s="320"/>
      <c r="AT821" s="320"/>
      <c r="AU821" s="321"/>
    </row>
    <row r="822">
      <c r="A822" s="319"/>
      <c r="B822" s="320"/>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c r="AA822" s="320"/>
      <c r="AB822" s="320"/>
      <c r="AC822" s="320"/>
      <c r="AD822" s="320"/>
      <c r="AE822" s="320"/>
      <c r="AF822" s="320"/>
      <c r="AG822" s="320"/>
      <c r="AH822" s="320"/>
      <c r="AI822" s="320"/>
      <c r="AJ822" s="320"/>
      <c r="AK822" s="320"/>
      <c r="AL822" s="320"/>
      <c r="AM822" s="320"/>
      <c r="AN822" s="320"/>
      <c r="AO822" s="320"/>
      <c r="AP822" s="320"/>
      <c r="AQ822" s="320"/>
      <c r="AR822" s="320"/>
      <c r="AS822" s="320"/>
      <c r="AT822" s="320"/>
      <c r="AU822" s="321"/>
    </row>
    <row r="823">
      <c r="A823" s="319"/>
      <c r="B823" s="320"/>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c r="AA823" s="320"/>
      <c r="AB823" s="320"/>
      <c r="AC823" s="320"/>
      <c r="AD823" s="320"/>
      <c r="AE823" s="320"/>
      <c r="AF823" s="320"/>
      <c r="AG823" s="320"/>
      <c r="AH823" s="320"/>
      <c r="AI823" s="320"/>
      <c r="AJ823" s="320"/>
      <c r="AK823" s="320"/>
      <c r="AL823" s="320"/>
      <c r="AM823" s="320"/>
      <c r="AN823" s="320"/>
      <c r="AO823" s="320"/>
      <c r="AP823" s="320"/>
      <c r="AQ823" s="320"/>
      <c r="AR823" s="320"/>
      <c r="AS823" s="320"/>
      <c r="AT823" s="320"/>
      <c r="AU823" s="321"/>
    </row>
    <row r="824">
      <c r="A824" s="319"/>
      <c r="B824" s="320"/>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c r="AA824" s="320"/>
      <c r="AB824" s="320"/>
      <c r="AC824" s="320"/>
      <c r="AD824" s="320"/>
      <c r="AE824" s="320"/>
      <c r="AF824" s="320"/>
      <c r="AG824" s="320"/>
      <c r="AH824" s="320"/>
      <c r="AI824" s="320"/>
      <c r="AJ824" s="320"/>
      <c r="AK824" s="320"/>
      <c r="AL824" s="320"/>
      <c r="AM824" s="320"/>
      <c r="AN824" s="320"/>
      <c r="AO824" s="320"/>
      <c r="AP824" s="320"/>
      <c r="AQ824" s="320"/>
      <c r="AR824" s="320"/>
      <c r="AS824" s="320"/>
      <c r="AT824" s="320"/>
      <c r="AU824" s="321"/>
    </row>
    <row r="825">
      <c r="A825" s="319"/>
      <c r="B825" s="320"/>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c r="AA825" s="320"/>
      <c r="AB825" s="320"/>
      <c r="AC825" s="320"/>
      <c r="AD825" s="320"/>
      <c r="AE825" s="320"/>
      <c r="AF825" s="320"/>
      <c r="AG825" s="320"/>
      <c r="AH825" s="320"/>
      <c r="AI825" s="320"/>
      <c r="AJ825" s="320"/>
      <c r="AK825" s="320"/>
      <c r="AL825" s="320"/>
      <c r="AM825" s="320"/>
      <c r="AN825" s="320"/>
      <c r="AO825" s="320"/>
      <c r="AP825" s="320"/>
      <c r="AQ825" s="320"/>
      <c r="AR825" s="320"/>
      <c r="AS825" s="320"/>
      <c r="AT825" s="320"/>
      <c r="AU825" s="321"/>
    </row>
    <row r="826">
      <c r="A826" s="319"/>
      <c r="B826" s="320"/>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c r="AA826" s="320"/>
      <c r="AB826" s="320"/>
      <c r="AC826" s="320"/>
      <c r="AD826" s="320"/>
      <c r="AE826" s="320"/>
      <c r="AF826" s="320"/>
      <c r="AG826" s="320"/>
      <c r="AH826" s="320"/>
      <c r="AI826" s="320"/>
      <c r="AJ826" s="320"/>
      <c r="AK826" s="320"/>
      <c r="AL826" s="320"/>
      <c r="AM826" s="320"/>
      <c r="AN826" s="320"/>
      <c r="AO826" s="320"/>
      <c r="AP826" s="320"/>
      <c r="AQ826" s="320"/>
      <c r="AR826" s="320"/>
      <c r="AS826" s="320"/>
      <c r="AT826" s="320"/>
      <c r="AU826" s="321"/>
    </row>
    <row r="827">
      <c r="A827" s="319"/>
      <c r="B827" s="320"/>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c r="AA827" s="320"/>
      <c r="AB827" s="320"/>
      <c r="AC827" s="320"/>
      <c r="AD827" s="320"/>
      <c r="AE827" s="320"/>
      <c r="AF827" s="320"/>
      <c r="AG827" s="320"/>
      <c r="AH827" s="320"/>
      <c r="AI827" s="320"/>
      <c r="AJ827" s="320"/>
      <c r="AK827" s="320"/>
      <c r="AL827" s="320"/>
      <c r="AM827" s="320"/>
      <c r="AN827" s="320"/>
      <c r="AO827" s="320"/>
      <c r="AP827" s="320"/>
      <c r="AQ827" s="320"/>
      <c r="AR827" s="320"/>
      <c r="AS827" s="320"/>
      <c r="AT827" s="320"/>
      <c r="AU827" s="321"/>
    </row>
    <row r="828">
      <c r="A828" s="319"/>
      <c r="B828" s="320"/>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c r="AA828" s="320"/>
      <c r="AB828" s="320"/>
      <c r="AC828" s="320"/>
      <c r="AD828" s="320"/>
      <c r="AE828" s="320"/>
      <c r="AF828" s="320"/>
      <c r="AG828" s="320"/>
      <c r="AH828" s="320"/>
      <c r="AI828" s="320"/>
      <c r="AJ828" s="320"/>
      <c r="AK828" s="320"/>
      <c r="AL828" s="320"/>
      <c r="AM828" s="320"/>
      <c r="AN828" s="320"/>
      <c r="AO828" s="320"/>
      <c r="AP828" s="320"/>
      <c r="AQ828" s="320"/>
      <c r="AR828" s="320"/>
      <c r="AS828" s="320"/>
      <c r="AT828" s="320"/>
      <c r="AU828" s="321"/>
    </row>
    <row r="829">
      <c r="A829" s="319"/>
      <c r="B829" s="320"/>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c r="AA829" s="320"/>
      <c r="AB829" s="320"/>
      <c r="AC829" s="320"/>
      <c r="AD829" s="320"/>
      <c r="AE829" s="320"/>
      <c r="AF829" s="320"/>
      <c r="AG829" s="320"/>
      <c r="AH829" s="320"/>
      <c r="AI829" s="320"/>
      <c r="AJ829" s="320"/>
      <c r="AK829" s="320"/>
      <c r="AL829" s="320"/>
      <c r="AM829" s="320"/>
      <c r="AN829" s="320"/>
      <c r="AO829" s="320"/>
      <c r="AP829" s="320"/>
      <c r="AQ829" s="320"/>
      <c r="AR829" s="320"/>
      <c r="AS829" s="320"/>
      <c r="AT829" s="320"/>
      <c r="AU829" s="321"/>
    </row>
    <row r="830">
      <c r="A830" s="319"/>
      <c r="B830" s="320"/>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c r="AA830" s="320"/>
      <c r="AB830" s="320"/>
      <c r="AC830" s="320"/>
      <c r="AD830" s="320"/>
      <c r="AE830" s="320"/>
      <c r="AF830" s="320"/>
      <c r="AG830" s="320"/>
      <c r="AH830" s="320"/>
      <c r="AI830" s="320"/>
      <c r="AJ830" s="320"/>
      <c r="AK830" s="320"/>
      <c r="AL830" s="320"/>
      <c r="AM830" s="320"/>
      <c r="AN830" s="320"/>
      <c r="AO830" s="320"/>
      <c r="AP830" s="320"/>
      <c r="AQ830" s="320"/>
      <c r="AR830" s="320"/>
      <c r="AS830" s="320"/>
      <c r="AT830" s="320"/>
      <c r="AU830" s="321"/>
    </row>
    <row r="831">
      <c r="A831" s="319"/>
      <c r="B831" s="320"/>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c r="AA831" s="320"/>
      <c r="AB831" s="320"/>
      <c r="AC831" s="320"/>
      <c r="AD831" s="320"/>
      <c r="AE831" s="320"/>
      <c r="AF831" s="320"/>
      <c r="AG831" s="320"/>
      <c r="AH831" s="320"/>
      <c r="AI831" s="320"/>
      <c r="AJ831" s="320"/>
      <c r="AK831" s="320"/>
      <c r="AL831" s="320"/>
      <c r="AM831" s="320"/>
      <c r="AN831" s="320"/>
      <c r="AO831" s="320"/>
      <c r="AP831" s="320"/>
      <c r="AQ831" s="320"/>
      <c r="AR831" s="320"/>
      <c r="AS831" s="320"/>
      <c r="AT831" s="320"/>
      <c r="AU831" s="321"/>
    </row>
    <row r="832">
      <c r="A832" s="319"/>
      <c r="B832" s="320"/>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c r="AA832" s="320"/>
      <c r="AB832" s="320"/>
      <c r="AC832" s="320"/>
      <c r="AD832" s="320"/>
      <c r="AE832" s="320"/>
      <c r="AF832" s="320"/>
      <c r="AG832" s="320"/>
      <c r="AH832" s="320"/>
      <c r="AI832" s="320"/>
      <c r="AJ832" s="320"/>
      <c r="AK832" s="320"/>
      <c r="AL832" s="320"/>
      <c r="AM832" s="320"/>
      <c r="AN832" s="320"/>
      <c r="AO832" s="320"/>
      <c r="AP832" s="320"/>
      <c r="AQ832" s="320"/>
      <c r="AR832" s="320"/>
      <c r="AS832" s="320"/>
      <c r="AT832" s="320"/>
      <c r="AU832" s="321"/>
    </row>
    <row r="833">
      <c r="A833" s="319"/>
      <c r="B833" s="320"/>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c r="AA833" s="320"/>
      <c r="AB833" s="320"/>
      <c r="AC833" s="320"/>
      <c r="AD833" s="320"/>
      <c r="AE833" s="320"/>
      <c r="AF833" s="320"/>
      <c r="AG833" s="320"/>
      <c r="AH833" s="320"/>
      <c r="AI833" s="320"/>
      <c r="AJ833" s="320"/>
      <c r="AK833" s="320"/>
      <c r="AL833" s="320"/>
      <c r="AM833" s="320"/>
      <c r="AN833" s="320"/>
      <c r="AO833" s="320"/>
      <c r="AP833" s="320"/>
      <c r="AQ833" s="320"/>
      <c r="AR833" s="320"/>
      <c r="AS833" s="320"/>
      <c r="AT833" s="320"/>
      <c r="AU833" s="321"/>
    </row>
    <row r="834">
      <c r="A834" s="319"/>
      <c r="B834" s="320"/>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c r="AA834" s="320"/>
      <c r="AB834" s="320"/>
      <c r="AC834" s="320"/>
      <c r="AD834" s="320"/>
      <c r="AE834" s="320"/>
      <c r="AF834" s="320"/>
      <c r="AG834" s="320"/>
      <c r="AH834" s="320"/>
      <c r="AI834" s="320"/>
      <c r="AJ834" s="320"/>
      <c r="AK834" s="320"/>
      <c r="AL834" s="320"/>
      <c r="AM834" s="320"/>
      <c r="AN834" s="320"/>
      <c r="AO834" s="320"/>
      <c r="AP834" s="320"/>
      <c r="AQ834" s="320"/>
      <c r="AR834" s="320"/>
      <c r="AS834" s="320"/>
      <c r="AT834" s="320"/>
      <c r="AU834" s="321"/>
    </row>
    <row r="835">
      <c r="A835" s="319"/>
      <c r="B835" s="320"/>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c r="AA835" s="320"/>
      <c r="AB835" s="320"/>
      <c r="AC835" s="320"/>
      <c r="AD835" s="320"/>
      <c r="AE835" s="320"/>
      <c r="AF835" s="320"/>
      <c r="AG835" s="320"/>
      <c r="AH835" s="320"/>
      <c r="AI835" s="320"/>
      <c r="AJ835" s="320"/>
      <c r="AK835" s="320"/>
      <c r="AL835" s="320"/>
      <c r="AM835" s="320"/>
      <c r="AN835" s="320"/>
      <c r="AO835" s="320"/>
      <c r="AP835" s="320"/>
      <c r="AQ835" s="320"/>
      <c r="AR835" s="320"/>
      <c r="AS835" s="320"/>
      <c r="AT835" s="320"/>
      <c r="AU835" s="321"/>
    </row>
    <row r="836">
      <c r="A836" s="319"/>
      <c r="B836" s="320"/>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c r="AA836" s="320"/>
      <c r="AB836" s="320"/>
      <c r="AC836" s="320"/>
      <c r="AD836" s="320"/>
      <c r="AE836" s="320"/>
      <c r="AF836" s="320"/>
      <c r="AG836" s="320"/>
      <c r="AH836" s="320"/>
      <c r="AI836" s="320"/>
      <c r="AJ836" s="320"/>
      <c r="AK836" s="320"/>
      <c r="AL836" s="320"/>
      <c r="AM836" s="320"/>
      <c r="AN836" s="320"/>
      <c r="AO836" s="320"/>
      <c r="AP836" s="320"/>
      <c r="AQ836" s="320"/>
      <c r="AR836" s="320"/>
      <c r="AS836" s="320"/>
      <c r="AT836" s="320"/>
      <c r="AU836" s="321"/>
    </row>
    <row r="837">
      <c r="A837" s="319"/>
      <c r="B837" s="320"/>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c r="AA837" s="320"/>
      <c r="AB837" s="320"/>
      <c r="AC837" s="320"/>
      <c r="AD837" s="320"/>
      <c r="AE837" s="320"/>
      <c r="AF837" s="320"/>
      <c r="AG837" s="320"/>
      <c r="AH837" s="320"/>
      <c r="AI837" s="320"/>
      <c r="AJ837" s="320"/>
      <c r="AK837" s="320"/>
      <c r="AL837" s="320"/>
      <c r="AM837" s="320"/>
      <c r="AN837" s="320"/>
      <c r="AO837" s="320"/>
      <c r="AP837" s="320"/>
      <c r="AQ837" s="320"/>
      <c r="AR837" s="320"/>
      <c r="AS837" s="320"/>
      <c r="AT837" s="320"/>
      <c r="AU837" s="321"/>
    </row>
    <row r="838">
      <c r="A838" s="319"/>
      <c r="B838" s="320"/>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c r="AA838" s="320"/>
      <c r="AB838" s="320"/>
      <c r="AC838" s="320"/>
      <c r="AD838" s="320"/>
      <c r="AE838" s="320"/>
      <c r="AF838" s="320"/>
      <c r="AG838" s="320"/>
      <c r="AH838" s="320"/>
      <c r="AI838" s="320"/>
      <c r="AJ838" s="320"/>
      <c r="AK838" s="320"/>
      <c r="AL838" s="320"/>
      <c r="AM838" s="320"/>
      <c r="AN838" s="320"/>
      <c r="AO838" s="320"/>
      <c r="AP838" s="320"/>
      <c r="AQ838" s="320"/>
      <c r="AR838" s="320"/>
      <c r="AS838" s="320"/>
      <c r="AT838" s="320"/>
      <c r="AU838" s="321"/>
    </row>
    <row r="839">
      <c r="A839" s="319"/>
      <c r="B839" s="320"/>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c r="AA839" s="320"/>
      <c r="AB839" s="320"/>
      <c r="AC839" s="320"/>
      <c r="AD839" s="320"/>
      <c r="AE839" s="320"/>
      <c r="AF839" s="320"/>
      <c r="AG839" s="320"/>
      <c r="AH839" s="320"/>
      <c r="AI839" s="320"/>
      <c r="AJ839" s="320"/>
      <c r="AK839" s="320"/>
      <c r="AL839" s="320"/>
      <c r="AM839" s="320"/>
      <c r="AN839" s="320"/>
      <c r="AO839" s="320"/>
      <c r="AP839" s="320"/>
      <c r="AQ839" s="320"/>
      <c r="AR839" s="320"/>
      <c r="AS839" s="320"/>
      <c r="AT839" s="320"/>
      <c r="AU839" s="321"/>
    </row>
    <row r="840">
      <c r="A840" s="319"/>
      <c r="B840" s="320"/>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c r="AA840" s="320"/>
      <c r="AB840" s="320"/>
      <c r="AC840" s="320"/>
      <c r="AD840" s="320"/>
      <c r="AE840" s="320"/>
      <c r="AF840" s="320"/>
      <c r="AG840" s="320"/>
      <c r="AH840" s="320"/>
      <c r="AI840" s="320"/>
      <c r="AJ840" s="320"/>
      <c r="AK840" s="320"/>
      <c r="AL840" s="320"/>
      <c r="AM840" s="320"/>
      <c r="AN840" s="320"/>
      <c r="AO840" s="320"/>
      <c r="AP840" s="320"/>
      <c r="AQ840" s="320"/>
      <c r="AR840" s="320"/>
      <c r="AS840" s="320"/>
      <c r="AT840" s="320"/>
      <c r="AU840" s="321"/>
    </row>
    <row r="841">
      <c r="A841" s="319"/>
      <c r="B841" s="320"/>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c r="AA841" s="320"/>
      <c r="AB841" s="320"/>
      <c r="AC841" s="320"/>
      <c r="AD841" s="320"/>
      <c r="AE841" s="320"/>
      <c r="AF841" s="320"/>
      <c r="AG841" s="320"/>
      <c r="AH841" s="320"/>
      <c r="AI841" s="320"/>
      <c r="AJ841" s="320"/>
      <c r="AK841" s="320"/>
      <c r="AL841" s="320"/>
      <c r="AM841" s="320"/>
      <c r="AN841" s="320"/>
      <c r="AO841" s="320"/>
      <c r="AP841" s="320"/>
      <c r="AQ841" s="320"/>
      <c r="AR841" s="320"/>
      <c r="AS841" s="320"/>
      <c r="AT841" s="320"/>
      <c r="AU841" s="321"/>
    </row>
    <row r="842">
      <c r="A842" s="319"/>
      <c r="B842" s="320"/>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c r="AA842" s="320"/>
      <c r="AB842" s="320"/>
      <c r="AC842" s="320"/>
      <c r="AD842" s="320"/>
      <c r="AE842" s="320"/>
      <c r="AF842" s="320"/>
      <c r="AG842" s="320"/>
      <c r="AH842" s="320"/>
      <c r="AI842" s="320"/>
      <c r="AJ842" s="320"/>
      <c r="AK842" s="320"/>
      <c r="AL842" s="320"/>
      <c r="AM842" s="320"/>
      <c r="AN842" s="320"/>
      <c r="AO842" s="320"/>
      <c r="AP842" s="320"/>
      <c r="AQ842" s="320"/>
      <c r="AR842" s="320"/>
      <c r="AS842" s="320"/>
      <c r="AT842" s="320"/>
      <c r="AU842" s="321"/>
    </row>
    <row r="843">
      <c r="A843" s="319"/>
      <c r="B843" s="320"/>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c r="AA843" s="320"/>
      <c r="AB843" s="320"/>
      <c r="AC843" s="320"/>
      <c r="AD843" s="320"/>
      <c r="AE843" s="320"/>
      <c r="AF843" s="320"/>
      <c r="AG843" s="320"/>
      <c r="AH843" s="320"/>
      <c r="AI843" s="320"/>
      <c r="AJ843" s="320"/>
      <c r="AK843" s="320"/>
      <c r="AL843" s="320"/>
      <c r="AM843" s="320"/>
      <c r="AN843" s="320"/>
      <c r="AO843" s="320"/>
      <c r="AP843" s="320"/>
      <c r="AQ843" s="320"/>
      <c r="AR843" s="320"/>
      <c r="AS843" s="320"/>
      <c r="AT843" s="320"/>
      <c r="AU843" s="321"/>
    </row>
    <row r="844">
      <c r="A844" s="319"/>
      <c r="B844" s="320"/>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c r="AA844" s="320"/>
      <c r="AB844" s="320"/>
      <c r="AC844" s="320"/>
      <c r="AD844" s="320"/>
      <c r="AE844" s="320"/>
      <c r="AF844" s="320"/>
      <c r="AG844" s="320"/>
      <c r="AH844" s="320"/>
      <c r="AI844" s="320"/>
      <c r="AJ844" s="320"/>
      <c r="AK844" s="320"/>
      <c r="AL844" s="320"/>
      <c r="AM844" s="320"/>
      <c r="AN844" s="320"/>
      <c r="AO844" s="320"/>
      <c r="AP844" s="320"/>
      <c r="AQ844" s="320"/>
      <c r="AR844" s="320"/>
      <c r="AS844" s="320"/>
      <c r="AT844" s="320"/>
      <c r="AU844" s="321"/>
    </row>
    <row r="845">
      <c r="A845" s="319"/>
      <c r="B845" s="320"/>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c r="AA845" s="320"/>
      <c r="AB845" s="320"/>
      <c r="AC845" s="320"/>
      <c r="AD845" s="320"/>
      <c r="AE845" s="320"/>
      <c r="AF845" s="320"/>
      <c r="AG845" s="320"/>
      <c r="AH845" s="320"/>
      <c r="AI845" s="320"/>
      <c r="AJ845" s="320"/>
      <c r="AK845" s="320"/>
      <c r="AL845" s="320"/>
      <c r="AM845" s="320"/>
      <c r="AN845" s="320"/>
      <c r="AO845" s="320"/>
      <c r="AP845" s="320"/>
      <c r="AQ845" s="320"/>
      <c r="AR845" s="320"/>
      <c r="AS845" s="320"/>
      <c r="AT845" s="320"/>
      <c r="AU845" s="321"/>
    </row>
    <row r="846">
      <c r="A846" s="319"/>
      <c r="B846" s="320"/>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c r="AA846" s="320"/>
      <c r="AB846" s="320"/>
      <c r="AC846" s="320"/>
      <c r="AD846" s="320"/>
      <c r="AE846" s="320"/>
      <c r="AF846" s="320"/>
      <c r="AG846" s="320"/>
      <c r="AH846" s="320"/>
      <c r="AI846" s="320"/>
      <c r="AJ846" s="320"/>
      <c r="AK846" s="320"/>
      <c r="AL846" s="320"/>
      <c r="AM846" s="320"/>
      <c r="AN846" s="320"/>
      <c r="AO846" s="320"/>
      <c r="AP846" s="320"/>
      <c r="AQ846" s="320"/>
      <c r="AR846" s="320"/>
      <c r="AS846" s="320"/>
      <c r="AT846" s="320"/>
      <c r="AU846" s="321"/>
    </row>
    <row r="847">
      <c r="A847" s="319"/>
      <c r="B847" s="320"/>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c r="AA847" s="320"/>
      <c r="AB847" s="320"/>
      <c r="AC847" s="320"/>
      <c r="AD847" s="320"/>
      <c r="AE847" s="320"/>
      <c r="AF847" s="320"/>
      <c r="AG847" s="320"/>
      <c r="AH847" s="320"/>
      <c r="AI847" s="320"/>
      <c r="AJ847" s="320"/>
      <c r="AK847" s="320"/>
      <c r="AL847" s="320"/>
      <c r="AM847" s="320"/>
      <c r="AN847" s="320"/>
      <c r="AO847" s="320"/>
      <c r="AP847" s="320"/>
      <c r="AQ847" s="320"/>
      <c r="AR847" s="320"/>
      <c r="AS847" s="320"/>
      <c r="AT847" s="320"/>
      <c r="AU847" s="321"/>
    </row>
    <row r="848">
      <c r="A848" s="319"/>
      <c r="B848" s="320"/>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c r="AA848" s="320"/>
      <c r="AB848" s="320"/>
      <c r="AC848" s="320"/>
      <c r="AD848" s="320"/>
      <c r="AE848" s="320"/>
      <c r="AF848" s="320"/>
      <c r="AG848" s="320"/>
      <c r="AH848" s="320"/>
      <c r="AI848" s="320"/>
      <c r="AJ848" s="320"/>
      <c r="AK848" s="320"/>
      <c r="AL848" s="320"/>
      <c r="AM848" s="320"/>
      <c r="AN848" s="320"/>
      <c r="AO848" s="320"/>
      <c r="AP848" s="320"/>
      <c r="AQ848" s="320"/>
      <c r="AR848" s="320"/>
      <c r="AS848" s="320"/>
      <c r="AT848" s="320"/>
      <c r="AU848" s="321"/>
    </row>
    <row r="849">
      <c r="A849" s="319"/>
      <c r="B849" s="320"/>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c r="AA849" s="320"/>
      <c r="AB849" s="320"/>
      <c r="AC849" s="320"/>
      <c r="AD849" s="320"/>
      <c r="AE849" s="320"/>
      <c r="AF849" s="320"/>
      <c r="AG849" s="320"/>
      <c r="AH849" s="320"/>
      <c r="AI849" s="320"/>
      <c r="AJ849" s="320"/>
      <c r="AK849" s="320"/>
      <c r="AL849" s="320"/>
      <c r="AM849" s="320"/>
      <c r="AN849" s="320"/>
      <c r="AO849" s="320"/>
      <c r="AP849" s="320"/>
      <c r="AQ849" s="320"/>
      <c r="AR849" s="320"/>
      <c r="AS849" s="320"/>
      <c r="AT849" s="320"/>
      <c r="AU849" s="321"/>
    </row>
    <row r="850">
      <c r="A850" s="319"/>
      <c r="B850" s="320"/>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c r="AA850" s="320"/>
      <c r="AB850" s="320"/>
      <c r="AC850" s="320"/>
      <c r="AD850" s="320"/>
      <c r="AE850" s="320"/>
      <c r="AF850" s="320"/>
      <c r="AG850" s="320"/>
      <c r="AH850" s="320"/>
      <c r="AI850" s="320"/>
      <c r="AJ850" s="320"/>
      <c r="AK850" s="320"/>
      <c r="AL850" s="320"/>
      <c r="AM850" s="320"/>
      <c r="AN850" s="320"/>
      <c r="AO850" s="320"/>
      <c r="AP850" s="320"/>
      <c r="AQ850" s="320"/>
      <c r="AR850" s="320"/>
      <c r="AS850" s="320"/>
      <c r="AT850" s="320"/>
      <c r="AU850" s="321"/>
    </row>
    <row r="851">
      <c r="A851" s="319"/>
      <c r="B851" s="320"/>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c r="AA851" s="320"/>
      <c r="AB851" s="320"/>
      <c r="AC851" s="320"/>
      <c r="AD851" s="320"/>
      <c r="AE851" s="320"/>
      <c r="AF851" s="320"/>
      <c r="AG851" s="320"/>
      <c r="AH851" s="320"/>
      <c r="AI851" s="320"/>
      <c r="AJ851" s="320"/>
      <c r="AK851" s="320"/>
      <c r="AL851" s="320"/>
      <c r="AM851" s="320"/>
      <c r="AN851" s="320"/>
      <c r="AO851" s="320"/>
      <c r="AP851" s="320"/>
      <c r="AQ851" s="320"/>
      <c r="AR851" s="320"/>
      <c r="AS851" s="320"/>
      <c r="AT851" s="320"/>
      <c r="AU851" s="321"/>
    </row>
    <row r="852">
      <c r="A852" s="319"/>
      <c r="B852" s="320"/>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c r="AA852" s="320"/>
      <c r="AB852" s="320"/>
      <c r="AC852" s="320"/>
      <c r="AD852" s="320"/>
      <c r="AE852" s="320"/>
      <c r="AF852" s="320"/>
      <c r="AG852" s="320"/>
      <c r="AH852" s="320"/>
      <c r="AI852" s="320"/>
      <c r="AJ852" s="320"/>
      <c r="AK852" s="320"/>
      <c r="AL852" s="320"/>
      <c r="AM852" s="320"/>
      <c r="AN852" s="320"/>
      <c r="AO852" s="320"/>
      <c r="AP852" s="320"/>
      <c r="AQ852" s="320"/>
      <c r="AR852" s="320"/>
      <c r="AS852" s="320"/>
      <c r="AT852" s="320"/>
      <c r="AU852" s="321"/>
    </row>
    <row r="853">
      <c r="A853" s="319"/>
      <c r="B853" s="320"/>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c r="AA853" s="320"/>
      <c r="AB853" s="320"/>
      <c r="AC853" s="320"/>
      <c r="AD853" s="320"/>
      <c r="AE853" s="320"/>
      <c r="AF853" s="320"/>
      <c r="AG853" s="320"/>
      <c r="AH853" s="320"/>
      <c r="AI853" s="320"/>
      <c r="AJ853" s="320"/>
      <c r="AK853" s="320"/>
      <c r="AL853" s="320"/>
      <c r="AM853" s="320"/>
      <c r="AN853" s="320"/>
      <c r="AO853" s="320"/>
      <c r="AP853" s="320"/>
      <c r="AQ853" s="320"/>
      <c r="AR853" s="320"/>
      <c r="AS853" s="320"/>
      <c r="AT853" s="320"/>
      <c r="AU853" s="321"/>
    </row>
    <row r="854">
      <c r="A854" s="319"/>
      <c r="B854" s="320"/>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c r="AA854" s="320"/>
      <c r="AB854" s="320"/>
      <c r="AC854" s="320"/>
      <c r="AD854" s="320"/>
      <c r="AE854" s="320"/>
      <c r="AF854" s="320"/>
      <c r="AG854" s="320"/>
      <c r="AH854" s="320"/>
      <c r="AI854" s="320"/>
      <c r="AJ854" s="320"/>
      <c r="AK854" s="320"/>
      <c r="AL854" s="320"/>
      <c r="AM854" s="320"/>
      <c r="AN854" s="320"/>
      <c r="AO854" s="320"/>
      <c r="AP854" s="320"/>
      <c r="AQ854" s="320"/>
      <c r="AR854" s="320"/>
      <c r="AS854" s="320"/>
      <c r="AT854" s="320"/>
      <c r="AU854" s="321"/>
    </row>
    <row r="855">
      <c r="A855" s="319"/>
      <c r="B855" s="320"/>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c r="AA855" s="320"/>
      <c r="AB855" s="320"/>
      <c r="AC855" s="320"/>
      <c r="AD855" s="320"/>
      <c r="AE855" s="320"/>
      <c r="AF855" s="320"/>
      <c r="AG855" s="320"/>
      <c r="AH855" s="320"/>
      <c r="AI855" s="320"/>
      <c r="AJ855" s="320"/>
      <c r="AK855" s="320"/>
      <c r="AL855" s="320"/>
      <c r="AM855" s="320"/>
      <c r="AN855" s="320"/>
      <c r="AO855" s="320"/>
      <c r="AP855" s="320"/>
      <c r="AQ855" s="320"/>
      <c r="AR855" s="320"/>
      <c r="AS855" s="320"/>
      <c r="AT855" s="320"/>
      <c r="AU855" s="321"/>
    </row>
    <row r="856">
      <c r="A856" s="319"/>
      <c r="B856" s="320"/>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c r="AA856" s="320"/>
      <c r="AB856" s="320"/>
      <c r="AC856" s="320"/>
      <c r="AD856" s="320"/>
      <c r="AE856" s="320"/>
      <c r="AF856" s="320"/>
      <c r="AG856" s="320"/>
      <c r="AH856" s="320"/>
      <c r="AI856" s="320"/>
      <c r="AJ856" s="320"/>
      <c r="AK856" s="320"/>
      <c r="AL856" s="320"/>
      <c r="AM856" s="320"/>
      <c r="AN856" s="320"/>
      <c r="AO856" s="320"/>
      <c r="AP856" s="320"/>
      <c r="AQ856" s="320"/>
      <c r="AR856" s="320"/>
      <c r="AS856" s="320"/>
      <c r="AT856" s="320"/>
      <c r="AU856" s="321"/>
    </row>
    <row r="857">
      <c r="A857" s="319"/>
      <c r="B857" s="320"/>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c r="AA857" s="320"/>
      <c r="AB857" s="320"/>
      <c r="AC857" s="320"/>
      <c r="AD857" s="320"/>
      <c r="AE857" s="320"/>
      <c r="AF857" s="320"/>
      <c r="AG857" s="320"/>
      <c r="AH857" s="320"/>
      <c r="AI857" s="320"/>
      <c r="AJ857" s="320"/>
      <c r="AK857" s="320"/>
      <c r="AL857" s="320"/>
      <c r="AM857" s="320"/>
      <c r="AN857" s="320"/>
      <c r="AO857" s="320"/>
      <c r="AP857" s="320"/>
      <c r="AQ857" s="320"/>
      <c r="AR857" s="320"/>
      <c r="AS857" s="320"/>
      <c r="AT857" s="320"/>
      <c r="AU857" s="321"/>
    </row>
    <row r="858">
      <c r="A858" s="319"/>
      <c r="B858" s="320"/>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c r="AA858" s="320"/>
      <c r="AB858" s="320"/>
      <c r="AC858" s="320"/>
      <c r="AD858" s="320"/>
      <c r="AE858" s="320"/>
      <c r="AF858" s="320"/>
      <c r="AG858" s="320"/>
      <c r="AH858" s="320"/>
      <c r="AI858" s="320"/>
      <c r="AJ858" s="320"/>
      <c r="AK858" s="320"/>
      <c r="AL858" s="320"/>
      <c r="AM858" s="320"/>
      <c r="AN858" s="320"/>
      <c r="AO858" s="320"/>
      <c r="AP858" s="320"/>
      <c r="AQ858" s="320"/>
      <c r="AR858" s="320"/>
      <c r="AS858" s="320"/>
      <c r="AT858" s="320"/>
      <c r="AU858" s="321"/>
    </row>
    <row r="859">
      <c r="A859" s="319"/>
      <c r="B859" s="320"/>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c r="AA859" s="320"/>
      <c r="AB859" s="320"/>
      <c r="AC859" s="320"/>
      <c r="AD859" s="320"/>
      <c r="AE859" s="320"/>
      <c r="AF859" s="320"/>
      <c r="AG859" s="320"/>
      <c r="AH859" s="320"/>
      <c r="AI859" s="320"/>
      <c r="AJ859" s="320"/>
      <c r="AK859" s="320"/>
      <c r="AL859" s="320"/>
      <c r="AM859" s="320"/>
      <c r="AN859" s="320"/>
      <c r="AO859" s="320"/>
      <c r="AP859" s="320"/>
      <c r="AQ859" s="320"/>
      <c r="AR859" s="320"/>
      <c r="AS859" s="320"/>
      <c r="AT859" s="320"/>
      <c r="AU859" s="321"/>
    </row>
    <row r="860">
      <c r="A860" s="319"/>
      <c r="B860" s="320"/>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c r="AA860" s="320"/>
      <c r="AB860" s="320"/>
      <c r="AC860" s="320"/>
      <c r="AD860" s="320"/>
      <c r="AE860" s="320"/>
      <c r="AF860" s="320"/>
      <c r="AG860" s="320"/>
      <c r="AH860" s="320"/>
      <c r="AI860" s="320"/>
      <c r="AJ860" s="320"/>
      <c r="AK860" s="320"/>
      <c r="AL860" s="320"/>
      <c r="AM860" s="320"/>
      <c r="AN860" s="320"/>
      <c r="AO860" s="320"/>
      <c r="AP860" s="320"/>
      <c r="AQ860" s="320"/>
      <c r="AR860" s="320"/>
      <c r="AS860" s="320"/>
      <c r="AT860" s="320"/>
      <c r="AU860" s="321"/>
    </row>
    <row r="861">
      <c r="A861" s="319"/>
      <c r="B861" s="320"/>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c r="AA861" s="320"/>
      <c r="AB861" s="320"/>
      <c r="AC861" s="320"/>
      <c r="AD861" s="320"/>
      <c r="AE861" s="320"/>
      <c r="AF861" s="320"/>
      <c r="AG861" s="320"/>
      <c r="AH861" s="320"/>
      <c r="AI861" s="320"/>
      <c r="AJ861" s="320"/>
      <c r="AK861" s="320"/>
      <c r="AL861" s="320"/>
      <c r="AM861" s="320"/>
      <c r="AN861" s="320"/>
      <c r="AO861" s="320"/>
      <c r="AP861" s="320"/>
      <c r="AQ861" s="320"/>
      <c r="AR861" s="320"/>
      <c r="AS861" s="320"/>
      <c r="AT861" s="320"/>
      <c r="AU861" s="321"/>
    </row>
    <row r="862">
      <c r="A862" s="319"/>
      <c r="B862" s="320"/>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c r="AA862" s="320"/>
      <c r="AB862" s="320"/>
      <c r="AC862" s="320"/>
      <c r="AD862" s="320"/>
      <c r="AE862" s="320"/>
      <c r="AF862" s="320"/>
      <c r="AG862" s="320"/>
      <c r="AH862" s="320"/>
      <c r="AI862" s="320"/>
      <c r="AJ862" s="320"/>
      <c r="AK862" s="320"/>
      <c r="AL862" s="320"/>
      <c r="AM862" s="320"/>
      <c r="AN862" s="320"/>
      <c r="AO862" s="320"/>
      <c r="AP862" s="320"/>
      <c r="AQ862" s="320"/>
      <c r="AR862" s="320"/>
      <c r="AS862" s="320"/>
      <c r="AT862" s="320"/>
      <c r="AU862" s="321"/>
    </row>
    <row r="863">
      <c r="A863" s="319"/>
      <c r="B863" s="320"/>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c r="AA863" s="320"/>
      <c r="AB863" s="320"/>
      <c r="AC863" s="320"/>
      <c r="AD863" s="320"/>
      <c r="AE863" s="320"/>
      <c r="AF863" s="320"/>
      <c r="AG863" s="320"/>
      <c r="AH863" s="320"/>
      <c r="AI863" s="320"/>
      <c r="AJ863" s="320"/>
      <c r="AK863" s="320"/>
      <c r="AL863" s="320"/>
      <c r="AM863" s="320"/>
      <c r="AN863" s="320"/>
      <c r="AO863" s="320"/>
      <c r="AP863" s="320"/>
      <c r="AQ863" s="320"/>
      <c r="AR863" s="320"/>
      <c r="AS863" s="320"/>
      <c r="AT863" s="320"/>
      <c r="AU863" s="321"/>
    </row>
    <row r="864">
      <c r="A864" s="319"/>
      <c r="B864" s="320"/>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c r="AA864" s="320"/>
      <c r="AB864" s="320"/>
      <c r="AC864" s="320"/>
      <c r="AD864" s="320"/>
      <c r="AE864" s="320"/>
      <c r="AF864" s="320"/>
      <c r="AG864" s="320"/>
      <c r="AH864" s="320"/>
      <c r="AI864" s="320"/>
      <c r="AJ864" s="320"/>
      <c r="AK864" s="320"/>
      <c r="AL864" s="320"/>
      <c r="AM864" s="320"/>
      <c r="AN864" s="320"/>
      <c r="AO864" s="320"/>
      <c r="AP864" s="320"/>
      <c r="AQ864" s="320"/>
      <c r="AR864" s="320"/>
      <c r="AS864" s="320"/>
      <c r="AT864" s="320"/>
      <c r="AU864" s="321"/>
    </row>
    <row r="865">
      <c r="A865" s="319"/>
      <c r="B865" s="320"/>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c r="AA865" s="320"/>
      <c r="AB865" s="320"/>
      <c r="AC865" s="320"/>
      <c r="AD865" s="320"/>
      <c r="AE865" s="320"/>
      <c r="AF865" s="320"/>
      <c r="AG865" s="320"/>
      <c r="AH865" s="320"/>
      <c r="AI865" s="320"/>
      <c r="AJ865" s="320"/>
      <c r="AK865" s="320"/>
      <c r="AL865" s="320"/>
      <c r="AM865" s="320"/>
      <c r="AN865" s="320"/>
      <c r="AO865" s="320"/>
      <c r="AP865" s="320"/>
      <c r="AQ865" s="320"/>
      <c r="AR865" s="320"/>
      <c r="AS865" s="320"/>
      <c r="AT865" s="320"/>
      <c r="AU865" s="321"/>
    </row>
    <row r="866">
      <c r="A866" s="319"/>
      <c r="B866" s="320"/>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c r="AA866" s="320"/>
      <c r="AB866" s="320"/>
      <c r="AC866" s="320"/>
      <c r="AD866" s="320"/>
      <c r="AE866" s="320"/>
      <c r="AF866" s="320"/>
      <c r="AG866" s="320"/>
      <c r="AH866" s="320"/>
      <c r="AI866" s="320"/>
      <c r="AJ866" s="320"/>
      <c r="AK866" s="320"/>
      <c r="AL866" s="320"/>
      <c r="AM866" s="320"/>
      <c r="AN866" s="320"/>
      <c r="AO866" s="320"/>
      <c r="AP866" s="320"/>
      <c r="AQ866" s="320"/>
      <c r="AR866" s="320"/>
      <c r="AS866" s="320"/>
      <c r="AT866" s="320"/>
      <c r="AU866" s="321"/>
    </row>
    <row r="867">
      <c r="A867" s="319"/>
      <c r="B867" s="320"/>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c r="AA867" s="320"/>
      <c r="AB867" s="320"/>
      <c r="AC867" s="320"/>
      <c r="AD867" s="320"/>
      <c r="AE867" s="320"/>
      <c r="AF867" s="320"/>
      <c r="AG867" s="320"/>
      <c r="AH867" s="320"/>
      <c r="AI867" s="320"/>
      <c r="AJ867" s="320"/>
      <c r="AK867" s="320"/>
      <c r="AL867" s="320"/>
      <c r="AM867" s="320"/>
      <c r="AN867" s="320"/>
      <c r="AO867" s="320"/>
      <c r="AP867" s="320"/>
      <c r="AQ867" s="320"/>
      <c r="AR867" s="320"/>
      <c r="AS867" s="320"/>
      <c r="AT867" s="320"/>
      <c r="AU867" s="321"/>
    </row>
    <row r="868">
      <c r="A868" s="319"/>
      <c r="B868" s="320"/>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c r="AA868" s="320"/>
      <c r="AB868" s="320"/>
      <c r="AC868" s="320"/>
      <c r="AD868" s="320"/>
      <c r="AE868" s="320"/>
      <c r="AF868" s="320"/>
      <c r="AG868" s="320"/>
      <c r="AH868" s="320"/>
      <c r="AI868" s="320"/>
      <c r="AJ868" s="320"/>
      <c r="AK868" s="320"/>
      <c r="AL868" s="320"/>
      <c r="AM868" s="320"/>
      <c r="AN868" s="320"/>
      <c r="AO868" s="320"/>
      <c r="AP868" s="320"/>
      <c r="AQ868" s="320"/>
      <c r="AR868" s="320"/>
      <c r="AS868" s="320"/>
      <c r="AT868" s="320"/>
      <c r="AU868" s="321"/>
    </row>
    <row r="869">
      <c r="A869" s="319"/>
      <c r="B869" s="320"/>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c r="AA869" s="320"/>
      <c r="AB869" s="320"/>
      <c r="AC869" s="320"/>
      <c r="AD869" s="320"/>
      <c r="AE869" s="320"/>
      <c r="AF869" s="320"/>
      <c r="AG869" s="320"/>
      <c r="AH869" s="320"/>
      <c r="AI869" s="320"/>
      <c r="AJ869" s="320"/>
      <c r="AK869" s="320"/>
      <c r="AL869" s="320"/>
      <c r="AM869" s="320"/>
      <c r="AN869" s="320"/>
      <c r="AO869" s="320"/>
      <c r="AP869" s="320"/>
      <c r="AQ869" s="320"/>
      <c r="AR869" s="320"/>
      <c r="AS869" s="320"/>
      <c r="AT869" s="320"/>
      <c r="AU869" s="321"/>
    </row>
    <row r="870">
      <c r="A870" s="319"/>
      <c r="B870" s="320"/>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c r="AA870" s="320"/>
      <c r="AB870" s="320"/>
      <c r="AC870" s="320"/>
      <c r="AD870" s="320"/>
      <c r="AE870" s="320"/>
      <c r="AF870" s="320"/>
      <c r="AG870" s="320"/>
      <c r="AH870" s="320"/>
      <c r="AI870" s="320"/>
      <c r="AJ870" s="320"/>
      <c r="AK870" s="320"/>
      <c r="AL870" s="320"/>
      <c r="AM870" s="320"/>
      <c r="AN870" s="320"/>
      <c r="AO870" s="320"/>
      <c r="AP870" s="320"/>
      <c r="AQ870" s="320"/>
      <c r="AR870" s="320"/>
      <c r="AS870" s="320"/>
      <c r="AT870" s="320"/>
      <c r="AU870" s="321"/>
    </row>
    <row r="871">
      <c r="A871" s="319"/>
      <c r="B871" s="320"/>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c r="AA871" s="320"/>
      <c r="AB871" s="320"/>
      <c r="AC871" s="320"/>
      <c r="AD871" s="320"/>
      <c r="AE871" s="320"/>
      <c r="AF871" s="320"/>
      <c r="AG871" s="320"/>
      <c r="AH871" s="320"/>
      <c r="AI871" s="320"/>
      <c r="AJ871" s="320"/>
      <c r="AK871" s="320"/>
      <c r="AL871" s="320"/>
      <c r="AM871" s="320"/>
      <c r="AN871" s="320"/>
      <c r="AO871" s="320"/>
      <c r="AP871" s="320"/>
      <c r="AQ871" s="320"/>
      <c r="AR871" s="320"/>
      <c r="AS871" s="320"/>
      <c r="AT871" s="320"/>
      <c r="AU871" s="321"/>
    </row>
    <row r="872">
      <c r="A872" s="319"/>
      <c r="B872" s="320"/>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c r="AA872" s="320"/>
      <c r="AB872" s="320"/>
      <c r="AC872" s="320"/>
      <c r="AD872" s="320"/>
      <c r="AE872" s="320"/>
      <c r="AF872" s="320"/>
      <c r="AG872" s="320"/>
      <c r="AH872" s="320"/>
      <c r="AI872" s="320"/>
      <c r="AJ872" s="320"/>
      <c r="AK872" s="320"/>
      <c r="AL872" s="320"/>
      <c r="AM872" s="320"/>
      <c r="AN872" s="320"/>
      <c r="AO872" s="320"/>
      <c r="AP872" s="320"/>
      <c r="AQ872" s="320"/>
      <c r="AR872" s="320"/>
      <c r="AS872" s="320"/>
      <c r="AT872" s="320"/>
      <c r="AU872" s="321"/>
    </row>
    <row r="873">
      <c r="A873" s="319"/>
      <c r="B873" s="320"/>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c r="AA873" s="320"/>
      <c r="AB873" s="320"/>
      <c r="AC873" s="320"/>
      <c r="AD873" s="320"/>
      <c r="AE873" s="320"/>
      <c r="AF873" s="320"/>
      <c r="AG873" s="320"/>
      <c r="AH873" s="320"/>
      <c r="AI873" s="320"/>
      <c r="AJ873" s="320"/>
      <c r="AK873" s="320"/>
      <c r="AL873" s="320"/>
      <c r="AM873" s="320"/>
      <c r="AN873" s="320"/>
      <c r="AO873" s="320"/>
      <c r="AP873" s="320"/>
      <c r="AQ873" s="320"/>
      <c r="AR873" s="320"/>
      <c r="AS873" s="320"/>
      <c r="AT873" s="320"/>
      <c r="AU873" s="321"/>
    </row>
    <row r="874">
      <c r="A874" s="319"/>
      <c r="B874" s="320"/>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c r="AA874" s="320"/>
      <c r="AB874" s="320"/>
      <c r="AC874" s="320"/>
      <c r="AD874" s="320"/>
      <c r="AE874" s="320"/>
      <c r="AF874" s="320"/>
      <c r="AG874" s="320"/>
      <c r="AH874" s="320"/>
      <c r="AI874" s="320"/>
      <c r="AJ874" s="320"/>
      <c r="AK874" s="320"/>
      <c r="AL874" s="320"/>
      <c r="AM874" s="320"/>
      <c r="AN874" s="320"/>
      <c r="AO874" s="320"/>
      <c r="AP874" s="320"/>
      <c r="AQ874" s="320"/>
      <c r="AR874" s="320"/>
      <c r="AS874" s="320"/>
      <c r="AT874" s="320"/>
      <c r="AU874" s="321"/>
    </row>
    <row r="875">
      <c r="A875" s="319"/>
      <c r="B875" s="320"/>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c r="AA875" s="320"/>
      <c r="AB875" s="320"/>
      <c r="AC875" s="320"/>
      <c r="AD875" s="320"/>
      <c r="AE875" s="320"/>
      <c r="AF875" s="320"/>
      <c r="AG875" s="320"/>
      <c r="AH875" s="320"/>
      <c r="AI875" s="320"/>
      <c r="AJ875" s="320"/>
      <c r="AK875" s="320"/>
      <c r="AL875" s="320"/>
      <c r="AM875" s="320"/>
      <c r="AN875" s="320"/>
      <c r="AO875" s="320"/>
      <c r="AP875" s="320"/>
      <c r="AQ875" s="320"/>
      <c r="AR875" s="320"/>
      <c r="AS875" s="320"/>
      <c r="AT875" s="320"/>
      <c r="AU875" s="321"/>
    </row>
    <row r="876">
      <c r="A876" s="319"/>
      <c r="B876" s="320"/>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c r="AA876" s="320"/>
      <c r="AB876" s="320"/>
      <c r="AC876" s="320"/>
      <c r="AD876" s="320"/>
      <c r="AE876" s="320"/>
      <c r="AF876" s="320"/>
      <c r="AG876" s="320"/>
      <c r="AH876" s="320"/>
      <c r="AI876" s="320"/>
      <c r="AJ876" s="320"/>
      <c r="AK876" s="320"/>
      <c r="AL876" s="320"/>
      <c r="AM876" s="320"/>
      <c r="AN876" s="320"/>
      <c r="AO876" s="320"/>
      <c r="AP876" s="320"/>
      <c r="AQ876" s="320"/>
      <c r="AR876" s="320"/>
      <c r="AS876" s="320"/>
      <c r="AT876" s="320"/>
      <c r="AU876" s="321"/>
    </row>
    <row r="877">
      <c r="A877" s="319"/>
      <c r="B877" s="320"/>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c r="AA877" s="320"/>
      <c r="AB877" s="320"/>
      <c r="AC877" s="320"/>
      <c r="AD877" s="320"/>
      <c r="AE877" s="320"/>
      <c r="AF877" s="320"/>
      <c r="AG877" s="320"/>
      <c r="AH877" s="320"/>
      <c r="AI877" s="320"/>
      <c r="AJ877" s="320"/>
      <c r="AK877" s="320"/>
      <c r="AL877" s="320"/>
      <c r="AM877" s="320"/>
      <c r="AN877" s="320"/>
      <c r="AO877" s="320"/>
      <c r="AP877" s="320"/>
      <c r="AQ877" s="320"/>
      <c r="AR877" s="320"/>
      <c r="AS877" s="320"/>
      <c r="AT877" s="320"/>
      <c r="AU877" s="321"/>
    </row>
    <row r="878">
      <c r="A878" s="319"/>
      <c r="B878" s="320"/>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c r="AA878" s="320"/>
      <c r="AB878" s="320"/>
      <c r="AC878" s="320"/>
      <c r="AD878" s="320"/>
      <c r="AE878" s="320"/>
      <c r="AF878" s="320"/>
      <c r="AG878" s="320"/>
      <c r="AH878" s="320"/>
      <c r="AI878" s="320"/>
      <c r="AJ878" s="320"/>
      <c r="AK878" s="320"/>
      <c r="AL878" s="320"/>
      <c r="AM878" s="320"/>
      <c r="AN878" s="320"/>
      <c r="AO878" s="320"/>
      <c r="AP878" s="320"/>
      <c r="AQ878" s="320"/>
      <c r="AR878" s="320"/>
      <c r="AS878" s="320"/>
      <c r="AT878" s="320"/>
      <c r="AU878" s="321"/>
    </row>
    <row r="879">
      <c r="A879" s="319"/>
      <c r="B879" s="320"/>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c r="AA879" s="320"/>
      <c r="AB879" s="320"/>
      <c r="AC879" s="320"/>
      <c r="AD879" s="320"/>
      <c r="AE879" s="320"/>
      <c r="AF879" s="320"/>
      <c r="AG879" s="320"/>
      <c r="AH879" s="320"/>
      <c r="AI879" s="320"/>
      <c r="AJ879" s="320"/>
      <c r="AK879" s="320"/>
      <c r="AL879" s="320"/>
      <c r="AM879" s="320"/>
      <c r="AN879" s="320"/>
      <c r="AO879" s="320"/>
      <c r="AP879" s="320"/>
      <c r="AQ879" s="320"/>
      <c r="AR879" s="320"/>
      <c r="AS879" s="320"/>
      <c r="AT879" s="320"/>
      <c r="AU879" s="321"/>
    </row>
    <row r="880">
      <c r="A880" s="319"/>
      <c r="B880" s="320"/>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c r="AA880" s="320"/>
      <c r="AB880" s="320"/>
      <c r="AC880" s="320"/>
      <c r="AD880" s="320"/>
      <c r="AE880" s="320"/>
      <c r="AF880" s="320"/>
      <c r="AG880" s="320"/>
      <c r="AH880" s="320"/>
      <c r="AI880" s="320"/>
      <c r="AJ880" s="320"/>
      <c r="AK880" s="320"/>
      <c r="AL880" s="320"/>
      <c r="AM880" s="320"/>
      <c r="AN880" s="320"/>
      <c r="AO880" s="320"/>
      <c r="AP880" s="320"/>
      <c r="AQ880" s="320"/>
      <c r="AR880" s="320"/>
      <c r="AS880" s="320"/>
      <c r="AT880" s="320"/>
      <c r="AU880" s="321"/>
    </row>
    <row r="881">
      <c r="A881" s="319"/>
      <c r="B881" s="320"/>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c r="AA881" s="320"/>
      <c r="AB881" s="320"/>
      <c r="AC881" s="320"/>
      <c r="AD881" s="320"/>
      <c r="AE881" s="320"/>
      <c r="AF881" s="320"/>
      <c r="AG881" s="320"/>
      <c r="AH881" s="320"/>
      <c r="AI881" s="320"/>
      <c r="AJ881" s="320"/>
      <c r="AK881" s="320"/>
      <c r="AL881" s="320"/>
      <c r="AM881" s="320"/>
      <c r="AN881" s="320"/>
      <c r="AO881" s="320"/>
      <c r="AP881" s="320"/>
      <c r="AQ881" s="320"/>
      <c r="AR881" s="320"/>
      <c r="AS881" s="320"/>
      <c r="AT881" s="320"/>
      <c r="AU881" s="321"/>
    </row>
    <row r="882">
      <c r="A882" s="319"/>
      <c r="B882" s="320"/>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c r="AA882" s="320"/>
      <c r="AB882" s="320"/>
      <c r="AC882" s="320"/>
      <c r="AD882" s="320"/>
      <c r="AE882" s="320"/>
      <c r="AF882" s="320"/>
      <c r="AG882" s="320"/>
      <c r="AH882" s="320"/>
      <c r="AI882" s="320"/>
      <c r="AJ882" s="320"/>
      <c r="AK882" s="320"/>
      <c r="AL882" s="320"/>
      <c r="AM882" s="320"/>
      <c r="AN882" s="320"/>
      <c r="AO882" s="320"/>
      <c r="AP882" s="320"/>
      <c r="AQ882" s="320"/>
      <c r="AR882" s="320"/>
      <c r="AS882" s="320"/>
      <c r="AT882" s="320"/>
      <c r="AU882" s="321"/>
    </row>
    <row r="883">
      <c r="A883" s="319"/>
      <c r="B883" s="320"/>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c r="AA883" s="320"/>
      <c r="AB883" s="320"/>
      <c r="AC883" s="320"/>
      <c r="AD883" s="320"/>
      <c r="AE883" s="320"/>
      <c r="AF883" s="320"/>
      <c r="AG883" s="320"/>
      <c r="AH883" s="320"/>
      <c r="AI883" s="320"/>
      <c r="AJ883" s="320"/>
      <c r="AK883" s="320"/>
      <c r="AL883" s="320"/>
      <c r="AM883" s="320"/>
      <c r="AN883" s="320"/>
      <c r="AO883" s="320"/>
      <c r="AP883" s="320"/>
      <c r="AQ883" s="320"/>
      <c r="AR883" s="320"/>
      <c r="AS883" s="320"/>
      <c r="AT883" s="320"/>
      <c r="AU883" s="321"/>
    </row>
    <row r="884">
      <c r="A884" s="319"/>
      <c r="B884" s="320"/>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c r="AA884" s="320"/>
      <c r="AB884" s="320"/>
      <c r="AC884" s="320"/>
      <c r="AD884" s="320"/>
      <c r="AE884" s="320"/>
      <c r="AF884" s="320"/>
      <c r="AG884" s="320"/>
      <c r="AH884" s="320"/>
      <c r="AI884" s="320"/>
      <c r="AJ884" s="320"/>
      <c r="AK884" s="320"/>
      <c r="AL884" s="320"/>
      <c r="AM884" s="320"/>
      <c r="AN884" s="320"/>
      <c r="AO884" s="320"/>
      <c r="AP884" s="320"/>
      <c r="AQ884" s="320"/>
      <c r="AR884" s="320"/>
      <c r="AS884" s="320"/>
      <c r="AT884" s="320"/>
      <c r="AU884" s="321"/>
    </row>
    <row r="885">
      <c r="A885" s="319"/>
      <c r="B885" s="320"/>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c r="AA885" s="320"/>
      <c r="AB885" s="320"/>
      <c r="AC885" s="320"/>
      <c r="AD885" s="320"/>
      <c r="AE885" s="320"/>
      <c r="AF885" s="320"/>
      <c r="AG885" s="320"/>
      <c r="AH885" s="320"/>
      <c r="AI885" s="320"/>
      <c r="AJ885" s="320"/>
      <c r="AK885" s="320"/>
      <c r="AL885" s="320"/>
      <c r="AM885" s="320"/>
      <c r="AN885" s="320"/>
      <c r="AO885" s="320"/>
      <c r="AP885" s="320"/>
      <c r="AQ885" s="320"/>
      <c r="AR885" s="320"/>
      <c r="AS885" s="320"/>
      <c r="AT885" s="320"/>
      <c r="AU885" s="321"/>
    </row>
    <row r="886">
      <c r="A886" s="319"/>
      <c r="B886" s="320"/>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c r="AA886" s="320"/>
      <c r="AB886" s="320"/>
      <c r="AC886" s="320"/>
      <c r="AD886" s="320"/>
      <c r="AE886" s="320"/>
      <c r="AF886" s="320"/>
      <c r="AG886" s="320"/>
      <c r="AH886" s="320"/>
      <c r="AI886" s="320"/>
      <c r="AJ886" s="320"/>
      <c r="AK886" s="320"/>
      <c r="AL886" s="320"/>
      <c r="AM886" s="320"/>
      <c r="AN886" s="320"/>
      <c r="AO886" s="320"/>
      <c r="AP886" s="320"/>
      <c r="AQ886" s="320"/>
      <c r="AR886" s="320"/>
      <c r="AS886" s="320"/>
      <c r="AT886" s="320"/>
      <c r="AU886" s="321"/>
    </row>
    <row r="887">
      <c r="A887" s="319"/>
      <c r="B887" s="320"/>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c r="AA887" s="320"/>
      <c r="AB887" s="320"/>
      <c r="AC887" s="320"/>
      <c r="AD887" s="320"/>
      <c r="AE887" s="320"/>
      <c r="AF887" s="320"/>
      <c r="AG887" s="320"/>
      <c r="AH887" s="320"/>
      <c r="AI887" s="320"/>
      <c r="AJ887" s="320"/>
      <c r="AK887" s="320"/>
      <c r="AL887" s="320"/>
      <c r="AM887" s="320"/>
      <c r="AN887" s="320"/>
      <c r="AO887" s="320"/>
      <c r="AP887" s="320"/>
      <c r="AQ887" s="320"/>
      <c r="AR887" s="320"/>
      <c r="AS887" s="320"/>
      <c r="AT887" s="320"/>
      <c r="AU887" s="321"/>
    </row>
    <row r="888">
      <c r="A888" s="319"/>
      <c r="B888" s="320"/>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c r="AA888" s="320"/>
      <c r="AB888" s="320"/>
      <c r="AC888" s="320"/>
      <c r="AD888" s="320"/>
      <c r="AE888" s="320"/>
      <c r="AF888" s="320"/>
      <c r="AG888" s="320"/>
      <c r="AH888" s="320"/>
      <c r="AI888" s="320"/>
      <c r="AJ888" s="320"/>
      <c r="AK888" s="320"/>
      <c r="AL888" s="320"/>
      <c r="AM888" s="320"/>
      <c r="AN888" s="320"/>
      <c r="AO888" s="320"/>
      <c r="AP888" s="320"/>
      <c r="AQ888" s="320"/>
      <c r="AR888" s="320"/>
      <c r="AS888" s="320"/>
      <c r="AT888" s="320"/>
      <c r="AU888" s="321"/>
    </row>
    <row r="889">
      <c r="A889" s="319"/>
      <c r="B889" s="320"/>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c r="AA889" s="320"/>
      <c r="AB889" s="320"/>
      <c r="AC889" s="320"/>
      <c r="AD889" s="320"/>
      <c r="AE889" s="320"/>
      <c r="AF889" s="320"/>
      <c r="AG889" s="320"/>
      <c r="AH889" s="320"/>
      <c r="AI889" s="320"/>
      <c r="AJ889" s="320"/>
      <c r="AK889" s="320"/>
      <c r="AL889" s="320"/>
      <c r="AM889" s="320"/>
      <c r="AN889" s="320"/>
      <c r="AO889" s="320"/>
      <c r="AP889" s="320"/>
      <c r="AQ889" s="320"/>
      <c r="AR889" s="320"/>
      <c r="AS889" s="320"/>
      <c r="AT889" s="320"/>
      <c r="AU889" s="321"/>
    </row>
    <row r="890">
      <c r="A890" s="319"/>
      <c r="B890" s="320"/>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c r="AA890" s="320"/>
      <c r="AB890" s="320"/>
      <c r="AC890" s="320"/>
      <c r="AD890" s="320"/>
      <c r="AE890" s="320"/>
      <c r="AF890" s="320"/>
      <c r="AG890" s="320"/>
      <c r="AH890" s="320"/>
      <c r="AI890" s="320"/>
      <c r="AJ890" s="320"/>
      <c r="AK890" s="320"/>
      <c r="AL890" s="320"/>
      <c r="AM890" s="320"/>
      <c r="AN890" s="320"/>
      <c r="AO890" s="320"/>
      <c r="AP890" s="320"/>
      <c r="AQ890" s="320"/>
      <c r="AR890" s="320"/>
      <c r="AS890" s="320"/>
      <c r="AT890" s="320"/>
      <c r="AU890" s="321"/>
    </row>
    <row r="891">
      <c r="A891" s="319"/>
      <c r="B891" s="320"/>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c r="AA891" s="320"/>
      <c r="AB891" s="320"/>
      <c r="AC891" s="320"/>
      <c r="AD891" s="320"/>
      <c r="AE891" s="320"/>
      <c r="AF891" s="320"/>
      <c r="AG891" s="320"/>
      <c r="AH891" s="320"/>
      <c r="AI891" s="320"/>
      <c r="AJ891" s="320"/>
      <c r="AK891" s="320"/>
      <c r="AL891" s="320"/>
      <c r="AM891" s="320"/>
      <c r="AN891" s="320"/>
      <c r="AO891" s="320"/>
      <c r="AP891" s="320"/>
      <c r="AQ891" s="320"/>
      <c r="AR891" s="320"/>
      <c r="AS891" s="320"/>
      <c r="AT891" s="320"/>
      <c r="AU891" s="321"/>
    </row>
    <row r="892">
      <c r="A892" s="319"/>
      <c r="B892" s="320"/>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c r="AA892" s="320"/>
      <c r="AB892" s="320"/>
      <c r="AC892" s="320"/>
      <c r="AD892" s="320"/>
      <c r="AE892" s="320"/>
      <c r="AF892" s="320"/>
      <c r="AG892" s="320"/>
      <c r="AH892" s="320"/>
      <c r="AI892" s="320"/>
      <c r="AJ892" s="320"/>
      <c r="AK892" s="320"/>
      <c r="AL892" s="320"/>
      <c r="AM892" s="320"/>
      <c r="AN892" s="320"/>
      <c r="AO892" s="320"/>
      <c r="AP892" s="320"/>
      <c r="AQ892" s="320"/>
      <c r="AR892" s="320"/>
      <c r="AS892" s="320"/>
      <c r="AT892" s="320"/>
      <c r="AU892" s="321"/>
    </row>
    <row r="893">
      <c r="A893" s="319"/>
      <c r="B893" s="320"/>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c r="AA893" s="320"/>
      <c r="AB893" s="320"/>
      <c r="AC893" s="320"/>
      <c r="AD893" s="320"/>
      <c r="AE893" s="320"/>
      <c r="AF893" s="320"/>
      <c r="AG893" s="320"/>
      <c r="AH893" s="320"/>
      <c r="AI893" s="320"/>
      <c r="AJ893" s="320"/>
      <c r="AK893" s="320"/>
      <c r="AL893" s="320"/>
      <c r="AM893" s="320"/>
      <c r="AN893" s="320"/>
      <c r="AO893" s="320"/>
      <c r="AP893" s="320"/>
      <c r="AQ893" s="320"/>
      <c r="AR893" s="320"/>
      <c r="AS893" s="320"/>
      <c r="AT893" s="320"/>
      <c r="AU893" s="321"/>
    </row>
    <row r="894">
      <c r="A894" s="319"/>
      <c r="B894" s="320"/>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c r="AA894" s="320"/>
      <c r="AB894" s="320"/>
      <c r="AC894" s="320"/>
      <c r="AD894" s="320"/>
      <c r="AE894" s="320"/>
      <c r="AF894" s="320"/>
      <c r="AG894" s="320"/>
      <c r="AH894" s="320"/>
      <c r="AI894" s="320"/>
      <c r="AJ894" s="320"/>
      <c r="AK894" s="320"/>
      <c r="AL894" s="320"/>
      <c r="AM894" s="320"/>
      <c r="AN894" s="320"/>
      <c r="AO894" s="320"/>
      <c r="AP894" s="320"/>
      <c r="AQ894" s="320"/>
      <c r="AR894" s="320"/>
      <c r="AS894" s="320"/>
      <c r="AT894" s="320"/>
      <c r="AU894" s="321"/>
    </row>
    <row r="895">
      <c r="A895" s="319"/>
      <c r="B895" s="320"/>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c r="AA895" s="320"/>
      <c r="AB895" s="320"/>
      <c r="AC895" s="320"/>
      <c r="AD895" s="320"/>
      <c r="AE895" s="320"/>
      <c r="AF895" s="320"/>
      <c r="AG895" s="320"/>
      <c r="AH895" s="320"/>
      <c r="AI895" s="320"/>
      <c r="AJ895" s="320"/>
      <c r="AK895" s="320"/>
      <c r="AL895" s="320"/>
      <c r="AM895" s="320"/>
      <c r="AN895" s="320"/>
      <c r="AO895" s="320"/>
      <c r="AP895" s="320"/>
      <c r="AQ895" s="320"/>
      <c r="AR895" s="320"/>
      <c r="AS895" s="320"/>
      <c r="AT895" s="320"/>
      <c r="AU895" s="321"/>
    </row>
    <row r="896">
      <c r="A896" s="319"/>
      <c r="B896" s="320"/>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c r="AA896" s="320"/>
      <c r="AB896" s="320"/>
      <c r="AC896" s="320"/>
      <c r="AD896" s="320"/>
      <c r="AE896" s="320"/>
      <c r="AF896" s="320"/>
      <c r="AG896" s="320"/>
      <c r="AH896" s="320"/>
      <c r="AI896" s="320"/>
      <c r="AJ896" s="320"/>
      <c r="AK896" s="320"/>
      <c r="AL896" s="320"/>
      <c r="AM896" s="320"/>
      <c r="AN896" s="320"/>
      <c r="AO896" s="320"/>
      <c r="AP896" s="320"/>
      <c r="AQ896" s="320"/>
      <c r="AR896" s="320"/>
      <c r="AS896" s="320"/>
      <c r="AT896" s="320"/>
      <c r="AU896" s="321"/>
    </row>
    <row r="897">
      <c r="A897" s="319"/>
      <c r="B897" s="320"/>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c r="AA897" s="320"/>
      <c r="AB897" s="320"/>
      <c r="AC897" s="320"/>
      <c r="AD897" s="320"/>
      <c r="AE897" s="320"/>
      <c r="AF897" s="320"/>
      <c r="AG897" s="320"/>
      <c r="AH897" s="320"/>
      <c r="AI897" s="320"/>
      <c r="AJ897" s="320"/>
      <c r="AK897" s="320"/>
      <c r="AL897" s="320"/>
      <c r="AM897" s="320"/>
      <c r="AN897" s="320"/>
      <c r="AO897" s="320"/>
      <c r="AP897" s="320"/>
      <c r="AQ897" s="320"/>
      <c r="AR897" s="320"/>
      <c r="AS897" s="320"/>
      <c r="AT897" s="320"/>
      <c r="AU897" s="321"/>
    </row>
    <row r="898">
      <c r="A898" s="319"/>
      <c r="B898" s="320"/>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c r="AA898" s="320"/>
      <c r="AB898" s="320"/>
      <c r="AC898" s="320"/>
      <c r="AD898" s="320"/>
      <c r="AE898" s="320"/>
      <c r="AF898" s="320"/>
      <c r="AG898" s="320"/>
      <c r="AH898" s="320"/>
      <c r="AI898" s="320"/>
      <c r="AJ898" s="320"/>
      <c r="AK898" s="320"/>
      <c r="AL898" s="320"/>
      <c r="AM898" s="320"/>
      <c r="AN898" s="320"/>
      <c r="AO898" s="320"/>
      <c r="AP898" s="320"/>
      <c r="AQ898" s="320"/>
      <c r="AR898" s="320"/>
      <c r="AS898" s="320"/>
      <c r="AT898" s="320"/>
      <c r="AU898" s="321"/>
    </row>
    <row r="899">
      <c r="A899" s="319"/>
      <c r="B899" s="320"/>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c r="AA899" s="320"/>
      <c r="AB899" s="320"/>
      <c r="AC899" s="320"/>
      <c r="AD899" s="320"/>
      <c r="AE899" s="320"/>
      <c r="AF899" s="320"/>
      <c r="AG899" s="320"/>
      <c r="AH899" s="320"/>
      <c r="AI899" s="320"/>
      <c r="AJ899" s="320"/>
      <c r="AK899" s="320"/>
      <c r="AL899" s="320"/>
      <c r="AM899" s="320"/>
      <c r="AN899" s="320"/>
      <c r="AO899" s="320"/>
      <c r="AP899" s="320"/>
      <c r="AQ899" s="320"/>
      <c r="AR899" s="320"/>
      <c r="AS899" s="320"/>
      <c r="AT899" s="320"/>
      <c r="AU899" s="321"/>
    </row>
    <row r="900">
      <c r="A900" s="319"/>
      <c r="B900" s="320"/>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c r="AA900" s="320"/>
      <c r="AB900" s="320"/>
      <c r="AC900" s="320"/>
      <c r="AD900" s="320"/>
      <c r="AE900" s="320"/>
      <c r="AF900" s="320"/>
      <c r="AG900" s="320"/>
      <c r="AH900" s="320"/>
      <c r="AI900" s="320"/>
      <c r="AJ900" s="320"/>
      <c r="AK900" s="320"/>
      <c r="AL900" s="320"/>
      <c r="AM900" s="320"/>
      <c r="AN900" s="320"/>
      <c r="AO900" s="320"/>
      <c r="AP900" s="320"/>
      <c r="AQ900" s="320"/>
      <c r="AR900" s="320"/>
      <c r="AS900" s="320"/>
      <c r="AT900" s="320"/>
      <c r="AU900" s="321"/>
    </row>
    <row r="901">
      <c r="A901" s="319"/>
      <c r="B901" s="320"/>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c r="AA901" s="320"/>
      <c r="AB901" s="320"/>
      <c r="AC901" s="320"/>
      <c r="AD901" s="320"/>
      <c r="AE901" s="320"/>
      <c r="AF901" s="320"/>
      <c r="AG901" s="320"/>
      <c r="AH901" s="320"/>
      <c r="AI901" s="320"/>
      <c r="AJ901" s="320"/>
      <c r="AK901" s="320"/>
      <c r="AL901" s="320"/>
      <c r="AM901" s="320"/>
      <c r="AN901" s="320"/>
      <c r="AO901" s="320"/>
      <c r="AP901" s="320"/>
      <c r="AQ901" s="320"/>
      <c r="AR901" s="320"/>
      <c r="AS901" s="320"/>
      <c r="AT901" s="320"/>
      <c r="AU901" s="321"/>
    </row>
    <row r="902">
      <c r="A902" s="319"/>
      <c r="B902" s="320"/>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c r="AA902" s="320"/>
      <c r="AB902" s="320"/>
      <c r="AC902" s="320"/>
      <c r="AD902" s="320"/>
      <c r="AE902" s="320"/>
      <c r="AF902" s="320"/>
      <c r="AG902" s="320"/>
      <c r="AH902" s="320"/>
      <c r="AI902" s="320"/>
      <c r="AJ902" s="320"/>
      <c r="AK902" s="320"/>
      <c r="AL902" s="320"/>
      <c r="AM902" s="320"/>
      <c r="AN902" s="320"/>
      <c r="AO902" s="320"/>
      <c r="AP902" s="320"/>
      <c r="AQ902" s="320"/>
      <c r="AR902" s="320"/>
      <c r="AS902" s="320"/>
      <c r="AT902" s="320"/>
      <c r="AU902" s="321"/>
    </row>
    <row r="903">
      <c r="A903" s="319"/>
      <c r="B903" s="320"/>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c r="AA903" s="320"/>
      <c r="AB903" s="320"/>
      <c r="AC903" s="320"/>
      <c r="AD903" s="320"/>
      <c r="AE903" s="320"/>
      <c r="AF903" s="320"/>
      <c r="AG903" s="320"/>
      <c r="AH903" s="320"/>
      <c r="AI903" s="320"/>
      <c r="AJ903" s="320"/>
      <c r="AK903" s="320"/>
      <c r="AL903" s="320"/>
      <c r="AM903" s="320"/>
      <c r="AN903" s="320"/>
      <c r="AO903" s="320"/>
      <c r="AP903" s="320"/>
      <c r="AQ903" s="320"/>
      <c r="AR903" s="320"/>
      <c r="AS903" s="320"/>
      <c r="AT903" s="320"/>
      <c r="AU903" s="321"/>
    </row>
    <row r="904">
      <c r="A904" s="319"/>
      <c r="B904" s="320"/>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c r="AA904" s="320"/>
      <c r="AB904" s="320"/>
      <c r="AC904" s="320"/>
      <c r="AD904" s="320"/>
      <c r="AE904" s="320"/>
      <c r="AF904" s="320"/>
      <c r="AG904" s="320"/>
      <c r="AH904" s="320"/>
      <c r="AI904" s="320"/>
      <c r="AJ904" s="320"/>
      <c r="AK904" s="320"/>
      <c r="AL904" s="320"/>
      <c r="AM904" s="320"/>
      <c r="AN904" s="320"/>
      <c r="AO904" s="320"/>
      <c r="AP904" s="320"/>
      <c r="AQ904" s="320"/>
      <c r="AR904" s="320"/>
      <c r="AS904" s="320"/>
      <c r="AT904" s="320"/>
      <c r="AU904" s="321"/>
    </row>
    <row r="905">
      <c r="A905" s="319"/>
      <c r="B905" s="320"/>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c r="AA905" s="320"/>
      <c r="AB905" s="320"/>
      <c r="AC905" s="320"/>
      <c r="AD905" s="320"/>
      <c r="AE905" s="320"/>
      <c r="AF905" s="320"/>
      <c r="AG905" s="320"/>
      <c r="AH905" s="320"/>
      <c r="AI905" s="320"/>
      <c r="AJ905" s="320"/>
      <c r="AK905" s="320"/>
      <c r="AL905" s="320"/>
      <c r="AM905" s="320"/>
      <c r="AN905" s="320"/>
      <c r="AO905" s="320"/>
      <c r="AP905" s="320"/>
      <c r="AQ905" s="320"/>
      <c r="AR905" s="320"/>
      <c r="AS905" s="320"/>
      <c r="AT905" s="320"/>
      <c r="AU905" s="321"/>
    </row>
    <row r="906">
      <c r="A906" s="319"/>
      <c r="B906" s="320"/>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c r="AA906" s="320"/>
      <c r="AB906" s="320"/>
      <c r="AC906" s="320"/>
      <c r="AD906" s="320"/>
      <c r="AE906" s="320"/>
      <c r="AF906" s="320"/>
      <c r="AG906" s="320"/>
      <c r="AH906" s="320"/>
      <c r="AI906" s="320"/>
      <c r="AJ906" s="320"/>
      <c r="AK906" s="320"/>
      <c r="AL906" s="320"/>
      <c r="AM906" s="320"/>
      <c r="AN906" s="320"/>
      <c r="AO906" s="320"/>
      <c r="AP906" s="320"/>
      <c r="AQ906" s="320"/>
      <c r="AR906" s="320"/>
      <c r="AS906" s="320"/>
      <c r="AT906" s="320"/>
      <c r="AU906" s="321"/>
    </row>
    <row r="907">
      <c r="A907" s="319"/>
      <c r="B907" s="320"/>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c r="AA907" s="320"/>
      <c r="AB907" s="320"/>
      <c r="AC907" s="320"/>
      <c r="AD907" s="320"/>
      <c r="AE907" s="320"/>
      <c r="AF907" s="320"/>
      <c r="AG907" s="320"/>
      <c r="AH907" s="320"/>
      <c r="AI907" s="320"/>
      <c r="AJ907" s="320"/>
      <c r="AK907" s="320"/>
      <c r="AL907" s="320"/>
      <c r="AM907" s="320"/>
      <c r="AN907" s="320"/>
      <c r="AO907" s="320"/>
      <c r="AP907" s="320"/>
      <c r="AQ907" s="320"/>
      <c r="AR907" s="320"/>
      <c r="AS907" s="320"/>
      <c r="AT907" s="320"/>
      <c r="AU907" s="321"/>
    </row>
    <row r="908">
      <c r="A908" s="319"/>
      <c r="B908" s="320"/>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c r="AA908" s="320"/>
      <c r="AB908" s="320"/>
      <c r="AC908" s="320"/>
      <c r="AD908" s="320"/>
      <c r="AE908" s="320"/>
      <c r="AF908" s="320"/>
      <c r="AG908" s="320"/>
      <c r="AH908" s="320"/>
      <c r="AI908" s="320"/>
      <c r="AJ908" s="320"/>
      <c r="AK908" s="320"/>
      <c r="AL908" s="320"/>
      <c r="AM908" s="320"/>
      <c r="AN908" s="320"/>
      <c r="AO908" s="320"/>
      <c r="AP908" s="320"/>
      <c r="AQ908" s="320"/>
      <c r="AR908" s="320"/>
      <c r="AS908" s="320"/>
      <c r="AT908" s="320"/>
      <c r="AU908" s="321"/>
    </row>
    <row r="909">
      <c r="A909" s="319"/>
      <c r="B909" s="320"/>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c r="AA909" s="320"/>
      <c r="AB909" s="320"/>
      <c r="AC909" s="320"/>
      <c r="AD909" s="320"/>
      <c r="AE909" s="320"/>
      <c r="AF909" s="320"/>
      <c r="AG909" s="320"/>
      <c r="AH909" s="320"/>
      <c r="AI909" s="320"/>
      <c r="AJ909" s="320"/>
      <c r="AK909" s="320"/>
      <c r="AL909" s="320"/>
      <c r="AM909" s="320"/>
      <c r="AN909" s="320"/>
      <c r="AO909" s="320"/>
      <c r="AP909" s="320"/>
      <c r="AQ909" s="320"/>
      <c r="AR909" s="320"/>
      <c r="AS909" s="320"/>
      <c r="AT909" s="320"/>
      <c r="AU909" s="321"/>
    </row>
    <row r="910">
      <c r="A910" s="319"/>
      <c r="B910" s="320"/>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c r="AA910" s="320"/>
      <c r="AB910" s="320"/>
      <c r="AC910" s="320"/>
      <c r="AD910" s="320"/>
      <c r="AE910" s="320"/>
      <c r="AF910" s="320"/>
      <c r="AG910" s="320"/>
      <c r="AH910" s="320"/>
      <c r="AI910" s="320"/>
      <c r="AJ910" s="320"/>
      <c r="AK910" s="320"/>
      <c r="AL910" s="320"/>
      <c r="AM910" s="320"/>
      <c r="AN910" s="320"/>
      <c r="AO910" s="320"/>
      <c r="AP910" s="320"/>
      <c r="AQ910" s="320"/>
      <c r="AR910" s="320"/>
      <c r="AS910" s="320"/>
      <c r="AT910" s="320"/>
      <c r="AU910" s="321"/>
    </row>
    <row r="911">
      <c r="A911" s="319"/>
      <c r="B911" s="320"/>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c r="AA911" s="320"/>
      <c r="AB911" s="320"/>
      <c r="AC911" s="320"/>
      <c r="AD911" s="320"/>
      <c r="AE911" s="320"/>
      <c r="AF911" s="320"/>
      <c r="AG911" s="320"/>
      <c r="AH911" s="320"/>
      <c r="AI911" s="320"/>
      <c r="AJ911" s="320"/>
      <c r="AK911" s="320"/>
      <c r="AL911" s="320"/>
      <c r="AM911" s="320"/>
      <c r="AN911" s="320"/>
      <c r="AO911" s="320"/>
      <c r="AP911" s="320"/>
      <c r="AQ911" s="320"/>
      <c r="AR911" s="320"/>
      <c r="AS911" s="320"/>
      <c r="AT911" s="320"/>
      <c r="AU911" s="321"/>
    </row>
    <row r="912">
      <c r="A912" s="319"/>
      <c r="B912" s="320"/>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c r="AA912" s="320"/>
      <c r="AB912" s="320"/>
      <c r="AC912" s="320"/>
      <c r="AD912" s="320"/>
      <c r="AE912" s="320"/>
      <c r="AF912" s="320"/>
      <c r="AG912" s="320"/>
      <c r="AH912" s="320"/>
      <c r="AI912" s="320"/>
      <c r="AJ912" s="320"/>
      <c r="AK912" s="320"/>
      <c r="AL912" s="320"/>
      <c r="AM912" s="320"/>
      <c r="AN912" s="320"/>
      <c r="AO912" s="320"/>
      <c r="AP912" s="320"/>
      <c r="AQ912" s="320"/>
      <c r="AR912" s="320"/>
      <c r="AS912" s="320"/>
      <c r="AT912" s="320"/>
      <c r="AU912" s="321"/>
    </row>
    <row r="913">
      <c r="A913" s="319"/>
      <c r="B913" s="320"/>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c r="AA913" s="320"/>
      <c r="AB913" s="320"/>
      <c r="AC913" s="320"/>
      <c r="AD913" s="320"/>
      <c r="AE913" s="320"/>
      <c r="AF913" s="320"/>
      <c r="AG913" s="320"/>
      <c r="AH913" s="320"/>
      <c r="AI913" s="320"/>
      <c r="AJ913" s="320"/>
      <c r="AK913" s="320"/>
      <c r="AL913" s="320"/>
      <c r="AM913" s="320"/>
      <c r="AN913" s="320"/>
      <c r="AO913" s="320"/>
      <c r="AP913" s="320"/>
      <c r="AQ913" s="320"/>
      <c r="AR913" s="320"/>
      <c r="AS913" s="320"/>
      <c r="AT913" s="320"/>
      <c r="AU913" s="321"/>
    </row>
    <row r="914">
      <c r="A914" s="319"/>
      <c r="B914" s="320"/>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c r="AA914" s="320"/>
      <c r="AB914" s="320"/>
      <c r="AC914" s="320"/>
      <c r="AD914" s="320"/>
      <c r="AE914" s="320"/>
      <c r="AF914" s="320"/>
      <c r="AG914" s="320"/>
      <c r="AH914" s="320"/>
      <c r="AI914" s="320"/>
      <c r="AJ914" s="320"/>
      <c r="AK914" s="320"/>
      <c r="AL914" s="320"/>
      <c r="AM914" s="320"/>
      <c r="AN914" s="320"/>
      <c r="AO914" s="320"/>
      <c r="AP914" s="320"/>
      <c r="AQ914" s="320"/>
      <c r="AR914" s="320"/>
      <c r="AS914" s="320"/>
      <c r="AT914" s="320"/>
      <c r="AU914" s="321"/>
    </row>
    <row r="915">
      <c r="A915" s="319"/>
      <c r="B915" s="320"/>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c r="AA915" s="320"/>
      <c r="AB915" s="320"/>
      <c r="AC915" s="320"/>
      <c r="AD915" s="320"/>
      <c r="AE915" s="320"/>
      <c r="AF915" s="320"/>
      <c r="AG915" s="320"/>
      <c r="AH915" s="320"/>
      <c r="AI915" s="320"/>
      <c r="AJ915" s="320"/>
      <c r="AK915" s="320"/>
      <c r="AL915" s="320"/>
      <c r="AM915" s="320"/>
      <c r="AN915" s="320"/>
      <c r="AO915" s="320"/>
      <c r="AP915" s="320"/>
      <c r="AQ915" s="320"/>
      <c r="AR915" s="320"/>
      <c r="AS915" s="320"/>
      <c r="AT915" s="320"/>
      <c r="AU915" s="321"/>
    </row>
    <row r="916">
      <c r="A916" s="319"/>
      <c r="B916" s="320"/>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c r="AA916" s="320"/>
      <c r="AB916" s="320"/>
      <c r="AC916" s="320"/>
      <c r="AD916" s="320"/>
      <c r="AE916" s="320"/>
      <c r="AF916" s="320"/>
      <c r="AG916" s="320"/>
      <c r="AH916" s="320"/>
      <c r="AI916" s="320"/>
      <c r="AJ916" s="320"/>
      <c r="AK916" s="320"/>
      <c r="AL916" s="320"/>
      <c r="AM916" s="320"/>
      <c r="AN916" s="320"/>
      <c r="AO916" s="320"/>
      <c r="AP916" s="320"/>
      <c r="AQ916" s="320"/>
      <c r="AR916" s="320"/>
      <c r="AS916" s="320"/>
      <c r="AT916" s="320"/>
      <c r="AU916" s="321"/>
    </row>
    <row r="917">
      <c r="A917" s="319"/>
      <c r="B917" s="320"/>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c r="AA917" s="320"/>
      <c r="AB917" s="320"/>
      <c r="AC917" s="320"/>
      <c r="AD917" s="320"/>
      <c r="AE917" s="320"/>
      <c r="AF917" s="320"/>
      <c r="AG917" s="320"/>
      <c r="AH917" s="320"/>
      <c r="AI917" s="320"/>
      <c r="AJ917" s="320"/>
      <c r="AK917" s="320"/>
      <c r="AL917" s="320"/>
      <c r="AM917" s="320"/>
      <c r="AN917" s="320"/>
      <c r="AO917" s="320"/>
      <c r="AP917" s="320"/>
      <c r="AQ917" s="320"/>
      <c r="AR917" s="320"/>
      <c r="AS917" s="320"/>
      <c r="AT917" s="320"/>
      <c r="AU917" s="321"/>
    </row>
    <row r="918">
      <c r="A918" s="319"/>
      <c r="B918" s="320"/>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c r="AA918" s="320"/>
      <c r="AB918" s="320"/>
      <c r="AC918" s="320"/>
      <c r="AD918" s="320"/>
      <c r="AE918" s="320"/>
      <c r="AF918" s="320"/>
      <c r="AG918" s="320"/>
      <c r="AH918" s="320"/>
      <c r="AI918" s="320"/>
      <c r="AJ918" s="320"/>
      <c r="AK918" s="320"/>
      <c r="AL918" s="320"/>
      <c r="AM918" s="320"/>
      <c r="AN918" s="320"/>
      <c r="AO918" s="320"/>
      <c r="AP918" s="320"/>
      <c r="AQ918" s="320"/>
      <c r="AR918" s="320"/>
      <c r="AS918" s="320"/>
      <c r="AT918" s="320"/>
      <c r="AU918" s="321"/>
    </row>
    <row r="919">
      <c r="A919" s="319"/>
      <c r="B919" s="320"/>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c r="AA919" s="320"/>
      <c r="AB919" s="320"/>
      <c r="AC919" s="320"/>
      <c r="AD919" s="320"/>
      <c r="AE919" s="320"/>
      <c r="AF919" s="320"/>
      <c r="AG919" s="320"/>
      <c r="AH919" s="320"/>
      <c r="AI919" s="320"/>
      <c r="AJ919" s="320"/>
      <c r="AK919" s="320"/>
      <c r="AL919" s="320"/>
      <c r="AM919" s="320"/>
      <c r="AN919" s="320"/>
      <c r="AO919" s="320"/>
      <c r="AP919" s="320"/>
      <c r="AQ919" s="320"/>
      <c r="AR919" s="320"/>
      <c r="AS919" s="320"/>
      <c r="AT919" s="320"/>
      <c r="AU919" s="321"/>
    </row>
    <row r="920">
      <c r="A920" s="319"/>
      <c r="B920" s="320"/>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c r="AA920" s="320"/>
      <c r="AB920" s="320"/>
      <c r="AC920" s="320"/>
      <c r="AD920" s="320"/>
      <c r="AE920" s="320"/>
      <c r="AF920" s="320"/>
      <c r="AG920" s="320"/>
      <c r="AH920" s="320"/>
      <c r="AI920" s="320"/>
      <c r="AJ920" s="320"/>
      <c r="AK920" s="320"/>
      <c r="AL920" s="320"/>
      <c r="AM920" s="320"/>
      <c r="AN920" s="320"/>
      <c r="AO920" s="320"/>
      <c r="AP920" s="320"/>
      <c r="AQ920" s="320"/>
      <c r="AR920" s="320"/>
      <c r="AS920" s="320"/>
      <c r="AT920" s="320"/>
      <c r="AU920" s="321"/>
    </row>
    <row r="921">
      <c r="A921" s="319"/>
      <c r="B921" s="320"/>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c r="AA921" s="320"/>
      <c r="AB921" s="320"/>
      <c r="AC921" s="320"/>
      <c r="AD921" s="320"/>
      <c r="AE921" s="320"/>
      <c r="AF921" s="320"/>
      <c r="AG921" s="320"/>
      <c r="AH921" s="320"/>
      <c r="AI921" s="320"/>
      <c r="AJ921" s="320"/>
      <c r="AK921" s="320"/>
      <c r="AL921" s="320"/>
      <c r="AM921" s="320"/>
      <c r="AN921" s="320"/>
      <c r="AO921" s="320"/>
      <c r="AP921" s="320"/>
      <c r="AQ921" s="320"/>
      <c r="AR921" s="320"/>
      <c r="AS921" s="320"/>
      <c r="AT921" s="320"/>
      <c r="AU921" s="321"/>
    </row>
    <row r="922">
      <c r="A922" s="319"/>
      <c r="B922" s="320"/>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c r="AA922" s="320"/>
      <c r="AB922" s="320"/>
      <c r="AC922" s="320"/>
      <c r="AD922" s="320"/>
      <c r="AE922" s="320"/>
      <c r="AF922" s="320"/>
      <c r="AG922" s="320"/>
      <c r="AH922" s="320"/>
      <c r="AI922" s="320"/>
      <c r="AJ922" s="320"/>
      <c r="AK922" s="320"/>
      <c r="AL922" s="320"/>
      <c r="AM922" s="320"/>
      <c r="AN922" s="320"/>
      <c r="AO922" s="320"/>
      <c r="AP922" s="320"/>
      <c r="AQ922" s="320"/>
      <c r="AR922" s="320"/>
      <c r="AS922" s="320"/>
      <c r="AT922" s="320"/>
      <c r="AU922" s="321"/>
    </row>
    <row r="923">
      <c r="A923" s="319"/>
      <c r="B923" s="320"/>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c r="AA923" s="320"/>
      <c r="AB923" s="320"/>
      <c r="AC923" s="320"/>
      <c r="AD923" s="320"/>
      <c r="AE923" s="320"/>
      <c r="AF923" s="320"/>
      <c r="AG923" s="320"/>
      <c r="AH923" s="320"/>
      <c r="AI923" s="320"/>
      <c r="AJ923" s="320"/>
      <c r="AK923" s="320"/>
      <c r="AL923" s="320"/>
      <c r="AM923" s="320"/>
      <c r="AN923" s="320"/>
      <c r="AO923" s="320"/>
      <c r="AP923" s="320"/>
      <c r="AQ923" s="320"/>
      <c r="AR923" s="320"/>
      <c r="AS923" s="320"/>
      <c r="AT923" s="320"/>
      <c r="AU923" s="321"/>
    </row>
    <row r="924">
      <c r="A924" s="319"/>
      <c r="B924" s="320"/>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c r="AA924" s="320"/>
      <c r="AB924" s="320"/>
      <c r="AC924" s="320"/>
      <c r="AD924" s="320"/>
      <c r="AE924" s="320"/>
      <c r="AF924" s="320"/>
      <c r="AG924" s="320"/>
      <c r="AH924" s="320"/>
      <c r="AI924" s="320"/>
      <c r="AJ924" s="320"/>
      <c r="AK924" s="320"/>
      <c r="AL924" s="320"/>
      <c r="AM924" s="320"/>
      <c r="AN924" s="320"/>
      <c r="AO924" s="320"/>
      <c r="AP924" s="320"/>
      <c r="AQ924" s="320"/>
      <c r="AR924" s="320"/>
      <c r="AS924" s="320"/>
      <c r="AT924" s="320"/>
      <c r="AU924" s="321"/>
    </row>
    <row r="925">
      <c r="A925" s="319"/>
      <c r="B925" s="320"/>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c r="AA925" s="320"/>
      <c r="AB925" s="320"/>
      <c r="AC925" s="320"/>
      <c r="AD925" s="320"/>
      <c r="AE925" s="320"/>
      <c r="AF925" s="320"/>
      <c r="AG925" s="320"/>
      <c r="AH925" s="320"/>
      <c r="AI925" s="320"/>
      <c r="AJ925" s="320"/>
      <c r="AK925" s="320"/>
      <c r="AL925" s="320"/>
      <c r="AM925" s="320"/>
      <c r="AN925" s="320"/>
      <c r="AO925" s="320"/>
      <c r="AP925" s="320"/>
      <c r="AQ925" s="320"/>
      <c r="AR925" s="320"/>
      <c r="AS925" s="320"/>
      <c r="AT925" s="320"/>
      <c r="AU925" s="321"/>
    </row>
    <row r="926">
      <c r="A926" s="319"/>
      <c r="B926" s="320"/>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c r="AA926" s="320"/>
      <c r="AB926" s="320"/>
      <c r="AC926" s="320"/>
      <c r="AD926" s="320"/>
      <c r="AE926" s="320"/>
      <c r="AF926" s="320"/>
      <c r="AG926" s="320"/>
      <c r="AH926" s="320"/>
      <c r="AI926" s="320"/>
      <c r="AJ926" s="320"/>
      <c r="AK926" s="320"/>
      <c r="AL926" s="320"/>
      <c r="AM926" s="320"/>
      <c r="AN926" s="320"/>
      <c r="AO926" s="320"/>
      <c r="AP926" s="320"/>
      <c r="AQ926" s="320"/>
      <c r="AR926" s="320"/>
      <c r="AS926" s="320"/>
      <c r="AT926" s="320"/>
      <c r="AU926" s="321"/>
    </row>
    <row r="927">
      <c r="A927" s="319"/>
      <c r="B927" s="320"/>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c r="AA927" s="320"/>
      <c r="AB927" s="320"/>
      <c r="AC927" s="320"/>
      <c r="AD927" s="320"/>
      <c r="AE927" s="320"/>
      <c r="AF927" s="320"/>
      <c r="AG927" s="320"/>
      <c r="AH927" s="320"/>
      <c r="AI927" s="320"/>
      <c r="AJ927" s="320"/>
      <c r="AK927" s="320"/>
      <c r="AL927" s="320"/>
      <c r="AM927" s="320"/>
      <c r="AN927" s="320"/>
      <c r="AO927" s="320"/>
      <c r="AP927" s="320"/>
      <c r="AQ927" s="320"/>
      <c r="AR927" s="320"/>
      <c r="AS927" s="320"/>
      <c r="AT927" s="320"/>
      <c r="AU927" s="321"/>
    </row>
    <row r="928">
      <c r="A928" s="319"/>
      <c r="B928" s="320"/>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c r="AA928" s="320"/>
      <c r="AB928" s="320"/>
      <c r="AC928" s="320"/>
      <c r="AD928" s="320"/>
      <c r="AE928" s="320"/>
      <c r="AF928" s="320"/>
      <c r="AG928" s="320"/>
      <c r="AH928" s="320"/>
      <c r="AI928" s="320"/>
      <c r="AJ928" s="320"/>
      <c r="AK928" s="320"/>
      <c r="AL928" s="320"/>
      <c r="AM928" s="320"/>
      <c r="AN928" s="320"/>
      <c r="AO928" s="320"/>
      <c r="AP928" s="320"/>
      <c r="AQ928" s="320"/>
      <c r="AR928" s="320"/>
      <c r="AS928" s="320"/>
      <c r="AT928" s="320"/>
      <c r="AU928" s="321"/>
    </row>
    <row r="929">
      <c r="A929" s="319"/>
      <c r="B929" s="320"/>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c r="AA929" s="320"/>
      <c r="AB929" s="320"/>
      <c r="AC929" s="320"/>
      <c r="AD929" s="320"/>
      <c r="AE929" s="320"/>
      <c r="AF929" s="320"/>
      <c r="AG929" s="320"/>
      <c r="AH929" s="320"/>
      <c r="AI929" s="320"/>
      <c r="AJ929" s="320"/>
      <c r="AK929" s="320"/>
      <c r="AL929" s="320"/>
      <c r="AM929" s="320"/>
      <c r="AN929" s="320"/>
      <c r="AO929" s="320"/>
      <c r="AP929" s="320"/>
      <c r="AQ929" s="320"/>
      <c r="AR929" s="320"/>
      <c r="AS929" s="320"/>
      <c r="AT929" s="320"/>
      <c r="AU929" s="321"/>
    </row>
    <row r="930">
      <c r="A930" s="319"/>
      <c r="B930" s="320"/>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c r="AA930" s="320"/>
      <c r="AB930" s="320"/>
      <c r="AC930" s="320"/>
      <c r="AD930" s="320"/>
      <c r="AE930" s="320"/>
      <c r="AF930" s="320"/>
      <c r="AG930" s="320"/>
      <c r="AH930" s="320"/>
      <c r="AI930" s="320"/>
      <c r="AJ930" s="320"/>
      <c r="AK930" s="320"/>
      <c r="AL930" s="320"/>
      <c r="AM930" s="320"/>
      <c r="AN930" s="320"/>
      <c r="AO930" s="320"/>
      <c r="AP930" s="320"/>
      <c r="AQ930" s="320"/>
      <c r="AR930" s="320"/>
      <c r="AS930" s="320"/>
      <c r="AT930" s="320"/>
      <c r="AU930" s="321"/>
    </row>
    <row r="931">
      <c r="A931" s="319"/>
      <c r="B931" s="320"/>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c r="AA931" s="320"/>
      <c r="AB931" s="320"/>
      <c r="AC931" s="320"/>
      <c r="AD931" s="320"/>
      <c r="AE931" s="320"/>
      <c r="AF931" s="320"/>
      <c r="AG931" s="320"/>
      <c r="AH931" s="320"/>
      <c r="AI931" s="320"/>
      <c r="AJ931" s="320"/>
      <c r="AK931" s="320"/>
      <c r="AL931" s="320"/>
      <c r="AM931" s="320"/>
      <c r="AN931" s="320"/>
      <c r="AO931" s="320"/>
      <c r="AP931" s="320"/>
      <c r="AQ931" s="320"/>
      <c r="AR931" s="320"/>
      <c r="AS931" s="320"/>
      <c r="AT931" s="320"/>
      <c r="AU931" s="321"/>
    </row>
    <row r="932">
      <c r="A932" s="319"/>
      <c r="B932" s="320"/>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c r="AA932" s="320"/>
      <c r="AB932" s="320"/>
      <c r="AC932" s="320"/>
      <c r="AD932" s="320"/>
      <c r="AE932" s="320"/>
      <c r="AF932" s="320"/>
      <c r="AG932" s="320"/>
      <c r="AH932" s="320"/>
      <c r="AI932" s="320"/>
      <c r="AJ932" s="320"/>
      <c r="AK932" s="320"/>
      <c r="AL932" s="320"/>
      <c r="AM932" s="320"/>
      <c r="AN932" s="320"/>
      <c r="AO932" s="320"/>
      <c r="AP932" s="320"/>
      <c r="AQ932" s="320"/>
      <c r="AR932" s="320"/>
      <c r="AS932" s="320"/>
      <c r="AT932" s="320"/>
      <c r="AU932" s="321"/>
    </row>
    <row r="933">
      <c r="A933" s="319"/>
      <c r="B933" s="320"/>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c r="AA933" s="320"/>
      <c r="AB933" s="320"/>
      <c r="AC933" s="320"/>
      <c r="AD933" s="320"/>
      <c r="AE933" s="320"/>
      <c r="AF933" s="320"/>
      <c r="AG933" s="320"/>
      <c r="AH933" s="320"/>
      <c r="AI933" s="320"/>
      <c r="AJ933" s="320"/>
      <c r="AK933" s="320"/>
      <c r="AL933" s="320"/>
      <c r="AM933" s="320"/>
      <c r="AN933" s="320"/>
      <c r="AO933" s="320"/>
      <c r="AP933" s="320"/>
      <c r="AQ933" s="320"/>
      <c r="AR933" s="320"/>
      <c r="AS933" s="320"/>
      <c r="AT933" s="320"/>
      <c r="AU933" s="321"/>
    </row>
    <row r="934">
      <c r="A934" s="319"/>
      <c r="B934" s="320"/>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c r="AA934" s="320"/>
      <c r="AB934" s="320"/>
      <c r="AC934" s="320"/>
      <c r="AD934" s="320"/>
      <c r="AE934" s="320"/>
      <c r="AF934" s="320"/>
      <c r="AG934" s="320"/>
      <c r="AH934" s="320"/>
      <c r="AI934" s="320"/>
      <c r="AJ934" s="320"/>
      <c r="AK934" s="320"/>
      <c r="AL934" s="320"/>
      <c r="AM934" s="320"/>
      <c r="AN934" s="320"/>
      <c r="AO934" s="320"/>
      <c r="AP934" s="320"/>
      <c r="AQ934" s="320"/>
      <c r="AR934" s="320"/>
      <c r="AS934" s="320"/>
      <c r="AT934" s="320"/>
      <c r="AU934" s="321"/>
    </row>
    <row r="935">
      <c r="A935" s="319"/>
      <c r="B935" s="320"/>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c r="AA935" s="320"/>
      <c r="AB935" s="320"/>
      <c r="AC935" s="320"/>
      <c r="AD935" s="320"/>
      <c r="AE935" s="320"/>
      <c r="AF935" s="320"/>
      <c r="AG935" s="320"/>
      <c r="AH935" s="320"/>
      <c r="AI935" s="320"/>
      <c r="AJ935" s="320"/>
      <c r="AK935" s="320"/>
      <c r="AL935" s="320"/>
      <c r="AM935" s="320"/>
      <c r="AN935" s="320"/>
      <c r="AO935" s="320"/>
      <c r="AP935" s="320"/>
      <c r="AQ935" s="320"/>
      <c r="AR935" s="320"/>
      <c r="AS935" s="320"/>
      <c r="AT935" s="320"/>
      <c r="AU935" s="321"/>
    </row>
    <row r="936">
      <c r="A936" s="319"/>
      <c r="B936" s="320"/>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c r="AA936" s="320"/>
      <c r="AB936" s="320"/>
      <c r="AC936" s="320"/>
      <c r="AD936" s="320"/>
      <c r="AE936" s="320"/>
      <c r="AF936" s="320"/>
      <c r="AG936" s="320"/>
      <c r="AH936" s="320"/>
      <c r="AI936" s="320"/>
      <c r="AJ936" s="320"/>
      <c r="AK936" s="320"/>
      <c r="AL936" s="320"/>
      <c r="AM936" s="320"/>
      <c r="AN936" s="320"/>
      <c r="AO936" s="320"/>
      <c r="AP936" s="320"/>
      <c r="AQ936" s="320"/>
      <c r="AR936" s="320"/>
      <c r="AS936" s="320"/>
      <c r="AT936" s="320"/>
      <c r="AU936" s="321"/>
    </row>
    <row r="937">
      <c r="A937" s="319"/>
      <c r="B937" s="320"/>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c r="AA937" s="320"/>
      <c r="AB937" s="320"/>
      <c r="AC937" s="320"/>
      <c r="AD937" s="320"/>
      <c r="AE937" s="320"/>
      <c r="AF937" s="320"/>
      <c r="AG937" s="320"/>
      <c r="AH937" s="320"/>
      <c r="AI937" s="320"/>
      <c r="AJ937" s="320"/>
      <c r="AK937" s="320"/>
      <c r="AL937" s="320"/>
      <c r="AM937" s="320"/>
      <c r="AN937" s="320"/>
      <c r="AO937" s="320"/>
      <c r="AP937" s="320"/>
      <c r="AQ937" s="320"/>
      <c r="AR937" s="320"/>
      <c r="AS937" s="320"/>
      <c r="AT937" s="320"/>
      <c r="AU937" s="321"/>
    </row>
    <row r="938">
      <c r="A938" s="319"/>
      <c r="B938" s="320"/>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c r="AA938" s="320"/>
      <c r="AB938" s="320"/>
      <c r="AC938" s="320"/>
      <c r="AD938" s="320"/>
      <c r="AE938" s="320"/>
      <c r="AF938" s="320"/>
      <c r="AG938" s="320"/>
      <c r="AH938" s="320"/>
      <c r="AI938" s="320"/>
      <c r="AJ938" s="320"/>
      <c r="AK938" s="320"/>
      <c r="AL938" s="320"/>
      <c r="AM938" s="320"/>
      <c r="AN938" s="320"/>
      <c r="AO938" s="320"/>
      <c r="AP938" s="320"/>
      <c r="AQ938" s="320"/>
      <c r="AR938" s="320"/>
      <c r="AS938" s="320"/>
      <c r="AT938" s="320"/>
      <c r="AU938" s="321"/>
    </row>
    <row r="939">
      <c r="A939" s="319"/>
      <c r="B939" s="320"/>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c r="AA939" s="320"/>
      <c r="AB939" s="320"/>
      <c r="AC939" s="320"/>
      <c r="AD939" s="320"/>
      <c r="AE939" s="320"/>
      <c r="AF939" s="320"/>
      <c r="AG939" s="320"/>
      <c r="AH939" s="320"/>
      <c r="AI939" s="320"/>
      <c r="AJ939" s="320"/>
      <c r="AK939" s="320"/>
      <c r="AL939" s="320"/>
      <c r="AM939" s="320"/>
      <c r="AN939" s="320"/>
      <c r="AO939" s="320"/>
      <c r="AP939" s="320"/>
      <c r="AQ939" s="320"/>
      <c r="AR939" s="320"/>
      <c r="AS939" s="320"/>
      <c r="AT939" s="320"/>
      <c r="AU939" s="321"/>
    </row>
    <row r="940">
      <c r="A940" s="319"/>
      <c r="B940" s="320"/>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c r="AA940" s="320"/>
      <c r="AB940" s="320"/>
      <c r="AC940" s="320"/>
      <c r="AD940" s="320"/>
      <c r="AE940" s="320"/>
      <c r="AF940" s="320"/>
      <c r="AG940" s="320"/>
      <c r="AH940" s="320"/>
      <c r="AI940" s="320"/>
      <c r="AJ940" s="320"/>
      <c r="AK940" s="320"/>
      <c r="AL940" s="320"/>
      <c r="AM940" s="320"/>
      <c r="AN940" s="320"/>
      <c r="AO940" s="320"/>
      <c r="AP940" s="320"/>
      <c r="AQ940" s="320"/>
      <c r="AR940" s="320"/>
      <c r="AS940" s="320"/>
      <c r="AT940" s="320"/>
      <c r="AU940" s="321"/>
    </row>
    <row r="941">
      <c r="A941" s="319"/>
      <c r="B941" s="320"/>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c r="AA941" s="320"/>
      <c r="AB941" s="320"/>
      <c r="AC941" s="320"/>
      <c r="AD941" s="320"/>
      <c r="AE941" s="320"/>
      <c r="AF941" s="320"/>
      <c r="AG941" s="320"/>
      <c r="AH941" s="320"/>
      <c r="AI941" s="320"/>
      <c r="AJ941" s="320"/>
      <c r="AK941" s="320"/>
      <c r="AL941" s="320"/>
      <c r="AM941" s="320"/>
      <c r="AN941" s="320"/>
      <c r="AO941" s="320"/>
      <c r="AP941" s="320"/>
      <c r="AQ941" s="320"/>
      <c r="AR941" s="320"/>
      <c r="AS941" s="320"/>
      <c r="AT941" s="320"/>
      <c r="AU941" s="321"/>
    </row>
    <row r="942">
      <c r="A942" s="319"/>
      <c r="B942" s="320"/>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c r="AA942" s="320"/>
      <c r="AB942" s="320"/>
      <c r="AC942" s="320"/>
      <c r="AD942" s="320"/>
      <c r="AE942" s="320"/>
      <c r="AF942" s="320"/>
      <c r="AG942" s="320"/>
      <c r="AH942" s="320"/>
      <c r="AI942" s="320"/>
      <c r="AJ942" s="320"/>
      <c r="AK942" s="320"/>
      <c r="AL942" s="320"/>
      <c r="AM942" s="320"/>
      <c r="AN942" s="320"/>
      <c r="AO942" s="320"/>
      <c r="AP942" s="320"/>
      <c r="AQ942" s="320"/>
      <c r="AR942" s="320"/>
      <c r="AS942" s="320"/>
      <c r="AT942" s="320"/>
      <c r="AU942" s="321"/>
    </row>
    <row r="943">
      <c r="A943" s="319"/>
      <c r="B943" s="320"/>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c r="AA943" s="320"/>
      <c r="AB943" s="320"/>
      <c r="AC943" s="320"/>
      <c r="AD943" s="320"/>
      <c r="AE943" s="320"/>
      <c r="AF943" s="320"/>
      <c r="AG943" s="320"/>
      <c r="AH943" s="320"/>
      <c r="AI943" s="320"/>
      <c r="AJ943" s="320"/>
      <c r="AK943" s="320"/>
      <c r="AL943" s="320"/>
      <c r="AM943" s="320"/>
      <c r="AN943" s="320"/>
      <c r="AO943" s="320"/>
      <c r="AP943" s="320"/>
      <c r="AQ943" s="320"/>
      <c r="AR943" s="320"/>
      <c r="AS943" s="320"/>
      <c r="AT943" s="320"/>
      <c r="AU943" s="321"/>
    </row>
    <row r="944">
      <c r="A944" s="319"/>
      <c r="B944" s="320"/>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c r="AA944" s="320"/>
      <c r="AB944" s="320"/>
      <c r="AC944" s="320"/>
      <c r="AD944" s="320"/>
      <c r="AE944" s="320"/>
      <c r="AF944" s="320"/>
      <c r="AG944" s="320"/>
      <c r="AH944" s="320"/>
      <c r="AI944" s="320"/>
      <c r="AJ944" s="320"/>
      <c r="AK944" s="320"/>
      <c r="AL944" s="320"/>
      <c r="AM944" s="320"/>
      <c r="AN944" s="320"/>
      <c r="AO944" s="320"/>
      <c r="AP944" s="320"/>
      <c r="AQ944" s="320"/>
      <c r="AR944" s="320"/>
      <c r="AS944" s="320"/>
      <c r="AT944" s="320"/>
      <c r="AU944" s="321"/>
    </row>
    <row r="945">
      <c r="A945" s="319"/>
      <c r="B945" s="320"/>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c r="AA945" s="320"/>
      <c r="AB945" s="320"/>
      <c r="AC945" s="320"/>
      <c r="AD945" s="320"/>
      <c r="AE945" s="320"/>
      <c r="AF945" s="320"/>
      <c r="AG945" s="320"/>
      <c r="AH945" s="320"/>
      <c r="AI945" s="320"/>
      <c r="AJ945" s="320"/>
      <c r="AK945" s="320"/>
      <c r="AL945" s="320"/>
      <c r="AM945" s="320"/>
      <c r="AN945" s="320"/>
      <c r="AO945" s="320"/>
      <c r="AP945" s="320"/>
      <c r="AQ945" s="320"/>
      <c r="AR945" s="320"/>
      <c r="AS945" s="320"/>
      <c r="AT945" s="320"/>
      <c r="AU945" s="321"/>
    </row>
    <row r="946">
      <c r="A946" s="319"/>
      <c r="B946" s="320"/>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c r="AA946" s="320"/>
      <c r="AB946" s="320"/>
      <c r="AC946" s="320"/>
      <c r="AD946" s="320"/>
      <c r="AE946" s="320"/>
      <c r="AF946" s="320"/>
      <c r="AG946" s="320"/>
      <c r="AH946" s="320"/>
      <c r="AI946" s="320"/>
      <c r="AJ946" s="320"/>
      <c r="AK946" s="320"/>
      <c r="AL946" s="320"/>
      <c r="AM946" s="320"/>
      <c r="AN946" s="320"/>
      <c r="AO946" s="320"/>
      <c r="AP946" s="320"/>
      <c r="AQ946" s="320"/>
      <c r="AR946" s="320"/>
      <c r="AS946" s="320"/>
      <c r="AT946" s="320"/>
      <c r="AU946" s="321"/>
    </row>
    <row r="947">
      <c r="A947" s="319"/>
      <c r="B947" s="320"/>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c r="AA947" s="320"/>
      <c r="AB947" s="320"/>
      <c r="AC947" s="320"/>
      <c r="AD947" s="320"/>
      <c r="AE947" s="320"/>
      <c r="AF947" s="320"/>
      <c r="AG947" s="320"/>
      <c r="AH947" s="320"/>
      <c r="AI947" s="320"/>
      <c r="AJ947" s="320"/>
      <c r="AK947" s="320"/>
      <c r="AL947" s="320"/>
      <c r="AM947" s="320"/>
      <c r="AN947" s="320"/>
      <c r="AO947" s="320"/>
      <c r="AP947" s="320"/>
      <c r="AQ947" s="320"/>
      <c r="AR947" s="320"/>
      <c r="AS947" s="320"/>
      <c r="AT947" s="320"/>
      <c r="AU947" s="321"/>
    </row>
    <row r="948">
      <c r="A948" s="319"/>
      <c r="B948" s="320"/>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c r="AA948" s="320"/>
      <c r="AB948" s="320"/>
      <c r="AC948" s="320"/>
      <c r="AD948" s="320"/>
      <c r="AE948" s="320"/>
      <c r="AF948" s="320"/>
      <c r="AG948" s="320"/>
      <c r="AH948" s="320"/>
      <c r="AI948" s="320"/>
      <c r="AJ948" s="320"/>
      <c r="AK948" s="320"/>
      <c r="AL948" s="320"/>
      <c r="AM948" s="320"/>
      <c r="AN948" s="320"/>
      <c r="AO948" s="320"/>
      <c r="AP948" s="320"/>
      <c r="AQ948" s="320"/>
      <c r="AR948" s="320"/>
      <c r="AS948" s="320"/>
      <c r="AT948" s="320"/>
      <c r="AU948" s="321"/>
    </row>
    <row r="949">
      <c r="A949" s="319"/>
      <c r="B949" s="320"/>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c r="AA949" s="320"/>
      <c r="AB949" s="320"/>
      <c r="AC949" s="320"/>
      <c r="AD949" s="320"/>
      <c r="AE949" s="320"/>
      <c r="AF949" s="320"/>
      <c r="AG949" s="320"/>
      <c r="AH949" s="320"/>
      <c r="AI949" s="320"/>
      <c r="AJ949" s="320"/>
      <c r="AK949" s="320"/>
      <c r="AL949" s="320"/>
      <c r="AM949" s="320"/>
      <c r="AN949" s="320"/>
      <c r="AO949" s="320"/>
      <c r="AP949" s="320"/>
      <c r="AQ949" s="320"/>
      <c r="AR949" s="320"/>
      <c r="AS949" s="320"/>
      <c r="AT949" s="320"/>
      <c r="AU949" s="321"/>
    </row>
    <row r="950">
      <c r="A950" s="319"/>
      <c r="B950" s="320"/>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c r="AA950" s="320"/>
      <c r="AB950" s="320"/>
      <c r="AC950" s="320"/>
      <c r="AD950" s="320"/>
      <c r="AE950" s="320"/>
      <c r="AF950" s="320"/>
      <c r="AG950" s="320"/>
      <c r="AH950" s="320"/>
      <c r="AI950" s="320"/>
      <c r="AJ950" s="320"/>
      <c r="AK950" s="320"/>
      <c r="AL950" s="320"/>
      <c r="AM950" s="320"/>
      <c r="AN950" s="320"/>
      <c r="AO950" s="320"/>
      <c r="AP950" s="320"/>
      <c r="AQ950" s="320"/>
      <c r="AR950" s="320"/>
      <c r="AS950" s="320"/>
      <c r="AT950" s="320"/>
      <c r="AU950" s="321"/>
    </row>
    <row r="951">
      <c r="A951" s="319"/>
      <c r="B951" s="320"/>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c r="AA951" s="320"/>
      <c r="AB951" s="320"/>
      <c r="AC951" s="320"/>
      <c r="AD951" s="320"/>
      <c r="AE951" s="320"/>
      <c r="AF951" s="320"/>
      <c r="AG951" s="320"/>
      <c r="AH951" s="320"/>
      <c r="AI951" s="320"/>
      <c r="AJ951" s="320"/>
      <c r="AK951" s="320"/>
      <c r="AL951" s="320"/>
      <c r="AM951" s="320"/>
      <c r="AN951" s="320"/>
      <c r="AO951" s="320"/>
      <c r="AP951" s="320"/>
      <c r="AQ951" s="320"/>
      <c r="AR951" s="320"/>
      <c r="AS951" s="320"/>
      <c r="AT951" s="320"/>
      <c r="AU951" s="321"/>
    </row>
    <row r="952">
      <c r="A952" s="319"/>
      <c r="B952" s="320"/>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c r="AA952" s="320"/>
      <c r="AB952" s="320"/>
      <c r="AC952" s="320"/>
      <c r="AD952" s="320"/>
      <c r="AE952" s="320"/>
      <c r="AF952" s="320"/>
      <c r="AG952" s="320"/>
      <c r="AH952" s="320"/>
      <c r="AI952" s="320"/>
      <c r="AJ952" s="320"/>
      <c r="AK952" s="320"/>
      <c r="AL952" s="320"/>
      <c r="AM952" s="320"/>
      <c r="AN952" s="320"/>
      <c r="AO952" s="320"/>
      <c r="AP952" s="320"/>
      <c r="AQ952" s="320"/>
      <c r="AR952" s="320"/>
      <c r="AS952" s="320"/>
      <c r="AT952" s="320"/>
      <c r="AU952" s="321"/>
    </row>
    <row r="953">
      <c r="A953" s="319"/>
      <c r="B953" s="320"/>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c r="AA953" s="320"/>
      <c r="AB953" s="320"/>
      <c r="AC953" s="320"/>
      <c r="AD953" s="320"/>
      <c r="AE953" s="320"/>
      <c r="AF953" s="320"/>
      <c r="AG953" s="320"/>
      <c r="AH953" s="320"/>
      <c r="AI953" s="320"/>
      <c r="AJ953" s="320"/>
      <c r="AK953" s="320"/>
      <c r="AL953" s="320"/>
      <c r="AM953" s="320"/>
      <c r="AN953" s="320"/>
      <c r="AO953" s="320"/>
      <c r="AP953" s="320"/>
      <c r="AQ953" s="320"/>
      <c r="AR953" s="320"/>
      <c r="AS953" s="320"/>
      <c r="AT953" s="320"/>
      <c r="AU953" s="321"/>
    </row>
    <row r="954">
      <c r="A954" s="319"/>
      <c r="B954" s="320"/>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c r="AA954" s="320"/>
      <c r="AB954" s="320"/>
      <c r="AC954" s="320"/>
      <c r="AD954" s="320"/>
      <c r="AE954" s="320"/>
      <c r="AF954" s="320"/>
      <c r="AG954" s="320"/>
      <c r="AH954" s="320"/>
      <c r="AI954" s="320"/>
      <c r="AJ954" s="320"/>
      <c r="AK954" s="320"/>
      <c r="AL954" s="320"/>
      <c r="AM954" s="320"/>
      <c r="AN954" s="320"/>
      <c r="AO954" s="320"/>
      <c r="AP954" s="320"/>
      <c r="AQ954" s="320"/>
      <c r="AR954" s="320"/>
      <c r="AS954" s="320"/>
      <c r="AT954" s="320"/>
      <c r="AU954" s="321"/>
    </row>
    <row r="955">
      <c r="A955" s="319"/>
      <c r="B955" s="320"/>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c r="AA955" s="320"/>
      <c r="AB955" s="320"/>
      <c r="AC955" s="320"/>
      <c r="AD955" s="320"/>
      <c r="AE955" s="320"/>
      <c r="AF955" s="320"/>
      <c r="AG955" s="320"/>
      <c r="AH955" s="320"/>
      <c r="AI955" s="320"/>
      <c r="AJ955" s="320"/>
      <c r="AK955" s="320"/>
      <c r="AL955" s="320"/>
      <c r="AM955" s="320"/>
      <c r="AN955" s="320"/>
      <c r="AO955" s="320"/>
      <c r="AP955" s="320"/>
      <c r="AQ955" s="320"/>
      <c r="AR955" s="320"/>
      <c r="AS955" s="320"/>
      <c r="AT955" s="320"/>
      <c r="AU955" s="321"/>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2" t="s">
        <v>1798</v>
      </c>
      <c r="B1" s="313" t="s">
        <v>1799</v>
      </c>
      <c r="C1" s="313" t="s">
        <v>1800</v>
      </c>
      <c r="D1" s="313" t="s">
        <v>1801</v>
      </c>
      <c r="E1" s="313" t="s">
        <v>1802</v>
      </c>
      <c r="F1" s="313" t="s">
        <v>1803</v>
      </c>
      <c r="G1" s="314" t="s">
        <v>1805</v>
      </c>
      <c r="H1" s="313" t="s">
        <v>1806</v>
      </c>
      <c r="I1" s="313" t="s">
        <v>1807</v>
      </c>
      <c r="J1" s="313" t="s">
        <v>1808</v>
      </c>
      <c r="K1" s="313" t="s">
        <v>1809</v>
      </c>
      <c r="L1" s="315"/>
      <c r="M1" s="313" t="s">
        <v>1811</v>
      </c>
      <c r="N1" s="316" t="s">
        <v>1812</v>
      </c>
      <c r="O1" s="316" t="s">
        <v>1813</v>
      </c>
      <c r="P1" s="313" t="s">
        <v>1814</v>
      </c>
      <c r="Q1" s="317" t="s">
        <v>1815</v>
      </c>
      <c r="R1" s="313" t="s">
        <v>1816</v>
      </c>
      <c r="S1" s="313" t="s">
        <v>1817</v>
      </c>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5"/>
      <c r="AS1" s="315"/>
      <c r="AT1" s="315"/>
      <c r="AU1" s="318"/>
    </row>
    <row r="2">
      <c r="A2" s="319"/>
      <c r="B2" s="320"/>
      <c r="C2" s="320"/>
      <c r="D2" s="320"/>
      <c r="E2" s="320"/>
      <c r="F2" s="320"/>
      <c r="G2" s="320"/>
      <c r="H2" s="320"/>
      <c r="I2" s="320"/>
      <c r="J2" s="320"/>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1"/>
    </row>
    <row r="3">
      <c r="A3" s="319"/>
      <c r="B3" s="320"/>
      <c r="C3" s="320"/>
      <c r="D3" s="320"/>
      <c r="E3" s="320"/>
      <c r="F3" s="320"/>
      <c r="G3" s="320"/>
      <c r="H3" s="320"/>
      <c r="I3" s="320"/>
      <c r="J3" s="320"/>
      <c r="K3" s="320"/>
      <c r="L3" s="320"/>
      <c r="M3" s="320"/>
      <c r="N3" s="320"/>
      <c r="O3" s="320"/>
      <c r="P3" s="320"/>
      <c r="Q3" s="320"/>
      <c r="R3" s="320"/>
      <c r="S3" s="320"/>
      <c r="T3" s="320"/>
      <c r="U3" s="320"/>
      <c r="V3" s="320"/>
      <c r="W3" s="320"/>
      <c r="X3" s="320"/>
      <c r="Y3" s="320"/>
      <c r="Z3" s="320"/>
      <c r="AA3" s="320"/>
      <c r="AB3" s="320"/>
      <c r="AC3" s="320"/>
      <c r="AD3" s="320"/>
      <c r="AE3" s="320"/>
      <c r="AF3" s="320"/>
      <c r="AG3" s="320"/>
      <c r="AH3" s="320"/>
      <c r="AI3" s="320"/>
      <c r="AJ3" s="320"/>
      <c r="AK3" s="320"/>
      <c r="AL3" s="320"/>
      <c r="AM3" s="320"/>
      <c r="AN3" s="320"/>
      <c r="AO3" s="320"/>
      <c r="AP3" s="320"/>
      <c r="AQ3" s="320"/>
      <c r="AR3" s="320"/>
      <c r="AS3" s="320"/>
      <c r="AT3" s="320"/>
      <c r="AU3" s="321"/>
    </row>
    <row r="4">
      <c r="A4" s="319"/>
      <c r="B4" s="320"/>
      <c r="C4" s="320"/>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320"/>
      <c r="AO4" s="320"/>
      <c r="AP4" s="320"/>
      <c r="AQ4" s="320"/>
      <c r="AR4" s="320"/>
      <c r="AS4" s="320"/>
      <c r="AT4" s="320"/>
      <c r="AU4" s="321"/>
    </row>
    <row r="5">
      <c r="A5" s="319"/>
      <c r="B5" s="320"/>
      <c r="C5" s="320"/>
      <c r="D5" s="320"/>
      <c r="E5" s="320"/>
      <c r="F5" s="320"/>
      <c r="G5" s="320"/>
      <c r="H5" s="320"/>
      <c r="I5" s="320"/>
      <c r="J5" s="320"/>
      <c r="K5" s="320"/>
      <c r="L5" s="320"/>
      <c r="M5" s="320"/>
      <c r="N5" s="320"/>
      <c r="O5" s="320"/>
      <c r="P5" s="320"/>
      <c r="Q5" s="320"/>
      <c r="R5" s="320"/>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1"/>
    </row>
    <row r="6">
      <c r="A6" s="319"/>
      <c r="B6" s="320"/>
      <c r="C6" s="320"/>
      <c r="D6" s="320"/>
      <c r="E6" s="320"/>
      <c r="F6" s="320"/>
      <c r="G6" s="320"/>
      <c r="H6" s="320"/>
      <c r="I6" s="320"/>
      <c r="J6" s="320"/>
      <c r="K6" s="320"/>
      <c r="L6" s="320"/>
      <c r="M6" s="320"/>
      <c r="N6" s="320"/>
      <c r="O6" s="320"/>
      <c r="P6" s="320"/>
      <c r="Q6" s="320"/>
      <c r="R6" s="320"/>
      <c r="S6" s="320"/>
      <c r="T6" s="320"/>
      <c r="U6" s="320"/>
      <c r="V6" s="320"/>
      <c r="W6" s="320"/>
      <c r="X6" s="320"/>
      <c r="Y6" s="320"/>
      <c r="Z6" s="320"/>
      <c r="AA6" s="320"/>
      <c r="AB6" s="320"/>
      <c r="AC6" s="320"/>
      <c r="AD6" s="320"/>
      <c r="AE6" s="320"/>
      <c r="AF6" s="320"/>
      <c r="AG6" s="320"/>
      <c r="AH6" s="320"/>
      <c r="AI6" s="320"/>
      <c r="AJ6" s="320"/>
      <c r="AK6" s="320"/>
      <c r="AL6" s="320"/>
      <c r="AM6" s="320"/>
      <c r="AN6" s="320"/>
      <c r="AO6" s="320"/>
      <c r="AP6" s="320"/>
      <c r="AQ6" s="320"/>
      <c r="AR6" s="320"/>
      <c r="AS6" s="320"/>
      <c r="AT6" s="320"/>
      <c r="AU6" s="321"/>
    </row>
    <row r="7">
      <c r="A7" s="319"/>
      <c r="B7" s="320"/>
      <c r="C7" s="320"/>
      <c r="D7" s="320"/>
      <c r="E7" s="320"/>
      <c r="F7" s="320"/>
      <c r="G7" s="320"/>
      <c r="H7" s="320"/>
      <c r="I7" s="320"/>
      <c r="J7" s="320"/>
      <c r="K7" s="320"/>
      <c r="L7" s="320"/>
      <c r="M7" s="320"/>
      <c r="N7" s="320"/>
      <c r="O7" s="320"/>
      <c r="P7" s="320"/>
      <c r="Q7" s="320"/>
      <c r="R7" s="320"/>
      <c r="S7" s="320"/>
      <c r="T7" s="320"/>
      <c r="U7" s="320"/>
      <c r="V7" s="320"/>
      <c r="W7" s="320"/>
      <c r="X7" s="320"/>
      <c r="Y7" s="320"/>
      <c r="Z7" s="320"/>
      <c r="AA7" s="320"/>
      <c r="AB7" s="320"/>
      <c r="AC7" s="320"/>
      <c r="AD7" s="320"/>
      <c r="AE7" s="320"/>
      <c r="AF7" s="320"/>
      <c r="AG7" s="320"/>
      <c r="AH7" s="320"/>
      <c r="AI7" s="320"/>
      <c r="AJ7" s="320"/>
      <c r="AK7" s="320"/>
      <c r="AL7" s="320"/>
      <c r="AM7" s="320"/>
      <c r="AN7" s="320"/>
      <c r="AO7" s="320"/>
      <c r="AP7" s="320"/>
      <c r="AQ7" s="320"/>
      <c r="AR7" s="320"/>
      <c r="AS7" s="320"/>
      <c r="AT7" s="320"/>
      <c r="AU7" s="321"/>
    </row>
    <row r="8">
      <c r="A8" s="319"/>
      <c r="B8" s="320"/>
      <c r="C8" s="320"/>
      <c r="D8" s="320"/>
      <c r="E8" s="320"/>
      <c r="F8" s="320"/>
      <c r="G8" s="320"/>
      <c r="H8" s="320"/>
      <c r="I8" s="320"/>
      <c r="J8" s="320"/>
      <c r="K8" s="320"/>
      <c r="L8" s="320"/>
      <c r="M8" s="320"/>
      <c r="N8" s="320"/>
      <c r="O8" s="320"/>
      <c r="P8" s="320"/>
      <c r="Q8" s="320"/>
      <c r="R8" s="320"/>
      <c r="S8" s="320"/>
      <c r="T8" s="320"/>
      <c r="U8" s="320"/>
      <c r="V8" s="320"/>
      <c r="W8" s="320"/>
      <c r="X8" s="320"/>
      <c r="Y8" s="320"/>
      <c r="Z8" s="320"/>
      <c r="AA8" s="320"/>
      <c r="AB8" s="320"/>
      <c r="AC8" s="320"/>
      <c r="AD8" s="320"/>
      <c r="AE8" s="320"/>
      <c r="AF8" s="320"/>
      <c r="AG8" s="320"/>
      <c r="AH8" s="320"/>
      <c r="AI8" s="320"/>
      <c r="AJ8" s="320"/>
      <c r="AK8" s="320"/>
      <c r="AL8" s="320"/>
      <c r="AM8" s="320"/>
      <c r="AN8" s="320"/>
      <c r="AO8" s="320"/>
      <c r="AP8" s="320"/>
      <c r="AQ8" s="320"/>
      <c r="AR8" s="320"/>
      <c r="AS8" s="320"/>
      <c r="AT8" s="320"/>
      <c r="AU8" s="321"/>
    </row>
    <row r="9">
      <c r="A9" s="319"/>
      <c r="B9" s="320"/>
      <c r="C9" s="320"/>
      <c r="D9" s="320"/>
      <c r="E9" s="320"/>
      <c r="F9" s="320"/>
      <c r="G9" s="320"/>
      <c r="H9" s="320"/>
      <c r="I9" s="320"/>
      <c r="J9" s="320"/>
      <c r="K9" s="320"/>
      <c r="L9" s="320"/>
      <c r="M9" s="320"/>
      <c r="N9" s="320"/>
      <c r="O9" s="320"/>
      <c r="P9" s="320"/>
      <c r="Q9" s="320"/>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1"/>
    </row>
    <row r="10">
      <c r="A10" s="319"/>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0"/>
      <c r="AF10" s="320"/>
      <c r="AG10" s="320"/>
      <c r="AH10" s="320"/>
      <c r="AI10" s="320"/>
      <c r="AJ10" s="320"/>
      <c r="AK10" s="320"/>
      <c r="AL10" s="320"/>
      <c r="AM10" s="320"/>
      <c r="AN10" s="320"/>
      <c r="AO10" s="320"/>
      <c r="AP10" s="320"/>
      <c r="AQ10" s="320"/>
      <c r="AR10" s="320"/>
      <c r="AS10" s="320"/>
      <c r="AT10" s="320"/>
      <c r="AU10" s="321"/>
    </row>
    <row r="11">
      <c r="A11" s="319"/>
      <c r="B11" s="320"/>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1"/>
    </row>
    <row r="12">
      <c r="A12" s="319"/>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1"/>
    </row>
    <row r="13">
      <c r="A13" s="319"/>
      <c r="B13" s="320"/>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1"/>
    </row>
    <row r="14">
      <c r="A14" s="319"/>
      <c r="B14" s="320"/>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1"/>
    </row>
    <row r="15">
      <c r="A15" s="319"/>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c r="AA15" s="320"/>
      <c r="AB15" s="320"/>
      <c r="AC15" s="320"/>
      <c r="AD15" s="320"/>
      <c r="AE15" s="320"/>
      <c r="AF15" s="320"/>
      <c r="AG15" s="320"/>
      <c r="AH15" s="320"/>
      <c r="AI15" s="320"/>
      <c r="AJ15" s="320"/>
      <c r="AK15" s="320"/>
      <c r="AL15" s="320"/>
      <c r="AM15" s="320"/>
      <c r="AN15" s="320"/>
      <c r="AO15" s="320"/>
      <c r="AP15" s="320"/>
      <c r="AQ15" s="320"/>
      <c r="AR15" s="320"/>
      <c r="AS15" s="320"/>
      <c r="AT15" s="320"/>
      <c r="AU15" s="321"/>
    </row>
    <row r="16">
      <c r="A16" s="319"/>
      <c r="B16" s="320"/>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1"/>
    </row>
    <row r="17">
      <c r="A17" s="319"/>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1"/>
    </row>
    <row r="18">
      <c r="A18" s="319"/>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0"/>
      <c r="AU18" s="321"/>
    </row>
    <row r="19">
      <c r="A19" s="319"/>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0"/>
      <c r="AU19" s="321"/>
    </row>
    <row r="20">
      <c r="A20" s="319"/>
      <c r="B20" s="320"/>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1"/>
    </row>
    <row r="21">
      <c r="A21" s="319"/>
      <c r="B21" s="320"/>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c r="AA21" s="320"/>
      <c r="AB21" s="320"/>
      <c r="AC21" s="320"/>
      <c r="AD21" s="320"/>
      <c r="AE21" s="320"/>
      <c r="AF21" s="320"/>
      <c r="AG21" s="320"/>
      <c r="AH21" s="320"/>
      <c r="AI21" s="320"/>
      <c r="AJ21" s="320"/>
      <c r="AK21" s="320"/>
      <c r="AL21" s="320"/>
      <c r="AM21" s="320"/>
      <c r="AN21" s="320"/>
      <c r="AO21" s="320"/>
      <c r="AP21" s="320"/>
      <c r="AQ21" s="320"/>
      <c r="AR21" s="320"/>
      <c r="AS21" s="320"/>
      <c r="AT21" s="320"/>
      <c r="AU21" s="321"/>
    </row>
    <row r="22">
      <c r="A22" s="319"/>
      <c r="B22" s="320"/>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1"/>
    </row>
    <row r="23">
      <c r="A23" s="319"/>
      <c r="B23" s="320"/>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c r="AA23" s="320"/>
      <c r="AB23" s="320"/>
      <c r="AC23" s="320"/>
      <c r="AD23" s="320"/>
      <c r="AE23" s="320"/>
      <c r="AF23" s="320"/>
      <c r="AG23" s="320"/>
      <c r="AH23" s="320"/>
      <c r="AI23" s="320"/>
      <c r="AJ23" s="320"/>
      <c r="AK23" s="320"/>
      <c r="AL23" s="320"/>
      <c r="AM23" s="320"/>
      <c r="AN23" s="320"/>
      <c r="AO23" s="320"/>
      <c r="AP23" s="320"/>
      <c r="AQ23" s="320"/>
      <c r="AR23" s="320"/>
      <c r="AS23" s="320"/>
      <c r="AT23" s="320"/>
      <c r="AU23" s="321"/>
    </row>
    <row r="24">
      <c r="A24" s="319"/>
      <c r="B24" s="320"/>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c r="AA24" s="320"/>
      <c r="AB24" s="320"/>
      <c r="AC24" s="320"/>
      <c r="AD24" s="320"/>
      <c r="AE24" s="320"/>
      <c r="AF24" s="320"/>
      <c r="AG24" s="320"/>
      <c r="AH24" s="320"/>
      <c r="AI24" s="320"/>
      <c r="AJ24" s="320"/>
      <c r="AK24" s="320"/>
      <c r="AL24" s="320"/>
      <c r="AM24" s="320"/>
      <c r="AN24" s="320"/>
      <c r="AO24" s="320"/>
      <c r="AP24" s="320"/>
      <c r="AQ24" s="320"/>
      <c r="AR24" s="320"/>
      <c r="AS24" s="320"/>
      <c r="AT24" s="320"/>
      <c r="AU24" s="321"/>
    </row>
    <row r="25">
      <c r="A25" s="319"/>
      <c r="B25" s="320"/>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c r="AA25" s="320"/>
      <c r="AB25" s="320"/>
      <c r="AC25" s="320"/>
      <c r="AD25" s="320"/>
      <c r="AE25" s="320"/>
      <c r="AF25" s="320"/>
      <c r="AG25" s="320"/>
      <c r="AH25" s="320"/>
      <c r="AI25" s="320"/>
      <c r="AJ25" s="320"/>
      <c r="AK25" s="320"/>
      <c r="AL25" s="320"/>
      <c r="AM25" s="320"/>
      <c r="AN25" s="320"/>
      <c r="AO25" s="320"/>
      <c r="AP25" s="320"/>
      <c r="AQ25" s="320"/>
      <c r="AR25" s="320"/>
      <c r="AS25" s="320"/>
      <c r="AT25" s="320"/>
      <c r="AU25" s="321"/>
    </row>
    <row r="26">
      <c r="A26" s="319"/>
      <c r="B26" s="320"/>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c r="AA26" s="320"/>
      <c r="AB26" s="320"/>
      <c r="AC26" s="320"/>
      <c r="AD26" s="320"/>
      <c r="AE26" s="320"/>
      <c r="AF26" s="320"/>
      <c r="AG26" s="320"/>
      <c r="AH26" s="320"/>
      <c r="AI26" s="320"/>
      <c r="AJ26" s="320"/>
      <c r="AK26" s="320"/>
      <c r="AL26" s="320"/>
      <c r="AM26" s="320"/>
      <c r="AN26" s="320"/>
      <c r="AO26" s="320"/>
      <c r="AP26" s="320"/>
      <c r="AQ26" s="320"/>
      <c r="AR26" s="320"/>
      <c r="AS26" s="320"/>
      <c r="AT26" s="320"/>
      <c r="AU26" s="321"/>
    </row>
    <row r="27">
      <c r="A27" s="319"/>
      <c r="B27" s="320"/>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c r="AA27" s="320"/>
      <c r="AB27" s="320"/>
      <c r="AC27" s="320"/>
      <c r="AD27" s="320"/>
      <c r="AE27" s="320"/>
      <c r="AF27" s="320"/>
      <c r="AG27" s="320"/>
      <c r="AH27" s="320"/>
      <c r="AI27" s="320"/>
      <c r="AJ27" s="320"/>
      <c r="AK27" s="320"/>
      <c r="AL27" s="320"/>
      <c r="AM27" s="320"/>
      <c r="AN27" s="320"/>
      <c r="AO27" s="320"/>
      <c r="AP27" s="320"/>
      <c r="AQ27" s="320"/>
      <c r="AR27" s="320"/>
      <c r="AS27" s="320"/>
      <c r="AT27" s="320"/>
      <c r="AU27" s="321"/>
    </row>
    <row r="28">
      <c r="A28" s="319"/>
      <c r="B28" s="320"/>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c r="AA28" s="320"/>
      <c r="AB28" s="320"/>
      <c r="AC28" s="320"/>
      <c r="AD28" s="320"/>
      <c r="AE28" s="320"/>
      <c r="AF28" s="320"/>
      <c r="AG28" s="320"/>
      <c r="AH28" s="320"/>
      <c r="AI28" s="320"/>
      <c r="AJ28" s="320"/>
      <c r="AK28" s="320"/>
      <c r="AL28" s="320"/>
      <c r="AM28" s="320"/>
      <c r="AN28" s="320"/>
      <c r="AO28" s="320"/>
      <c r="AP28" s="320"/>
      <c r="AQ28" s="320"/>
      <c r="AR28" s="320"/>
      <c r="AS28" s="320"/>
      <c r="AT28" s="320"/>
      <c r="AU28" s="321"/>
    </row>
    <row r="29">
      <c r="A29" s="319"/>
      <c r="B29" s="320"/>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c r="AA29" s="320"/>
      <c r="AB29" s="320"/>
      <c r="AC29" s="320"/>
      <c r="AD29" s="320"/>
      <c r="AE29" s="320"/>
      <c r="AF29" s="320"/>
      <c r="AG29" s="320"/>
      <c r="AH29" s="320"/>
      <c r="AI29" s="320"/>
      <c r="AJ29" s="320"/>
      <c r="AK29" s="320"/>
      <c r="AL29" s="320"/>
      <c r="AM29" s="320"/>
      <c r="AN29" s="320"/>
      <c r="AO29" s="320"/>
      <c r="AP29" s="320"/>
      <c r="AQ29" s="320"/>
      <c r="AR29" s="320"/>
      <c r="AS29" s="320"/>
      <c r="AT29" s="320"/>
      <c r="AU29" s="321"/>
    </row>
    <row r="30">
      <c r="A30" s="319"/>
      <c r="B30" s="320"/>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c r="AA30" s="320"/>
      <c r="AB30" s="320"/>
      <c r="AC30" s="320"/>
      <c r="AD30" s="320"/>
      <c r="AE30" s="320"/>
      <c r="AF30" s="320"/>
      <c r="AG30" s="320"/>
      <c r="AH30" s="320"/>
      <c r="AI30" s="320"/>
      <c r="AJ30" s="320"/>
      <c r="AK30" s="320"/>
      <c r="AL30" s="320"/>
      <c r="AM30" s="320"/>
      <c r="AN30" s="320"/>
      <c r="AO30" s="320"/>
      <c r="AP30" s="320"/>
      <c r="AQ30" s="320"/>
      <c r="AR30" s="320"/>
      <c r="AS30" s="320"/>
      <c r="AT30" s="320"/>
      <c r="AU30" s="321"/>
    </row>
    <row r="31">
      <c r="A31" s="319"/>
      <c r="B31" s="320"/>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c r="AA31" s="320"/>
      <c r="AB31" s="320"/>
      <c r="AC31" s="320"/>
      <c r="AD31" s="320"/>
      <c r="AE31" s="320"/>
      <c r="AF31" s="320"/>
      <c r="AG31" s="320"/>
      <c r="AH31" s="320"/>
      <c r="AI31" s="320"/>
      <c r="AJ31" s="320"/>
      <c r="AK31" s="320"/>
      <c r="AL31" s="320"/>
      <c r="AM31" s="320"/>
      <c r="AN31" s="320"/>
      <c r="AO31" s="320"/>
      <c r="AP31" s="320"/>
      <c r="AQ31" s="320"/>
      <c r="AR31" s="320"/>
      <c r="AS31" s="320"/>
      <c r="AT31" s="320"/>
      <c r="AU31" s="321"/>
    </row>
    <row r="32">
      <c r="A32" s="319"/>
      <c r="B32" s="320"/>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c r="AA32" s="320"/>
      <c r="AB32" s="320"/>
      <c r="AC32" s="320"/>
      <c r="AD32" s="320"/>
      <c r="AE32" s="320"/>
      <c r="AF32" s="320"/>
      <c r="AG32" s="320"/>
      <c r="AH32" s="320"/>
      <c r="AI32" s="320"/>
      <c r="AJ32" s="320"/>
      <c r="AK32" s="320"/>
      <c r="AL32" s="320"/>
      <c r="AM32" s="320"/>
      <c r="AN32" s="320"/>
      <c r="AO32" s="320"/>
      <c r="AP32" s="320"/>
      <c r="AQ32" s="320"/>
      <c r="AR32" s="320"/>
      <c r="AS32" s="320"/>
      <c r="AT32" s="320"/>
      <c r="AU32" s="321"/>
    </row>
    <row r="33">
      <c r="A33" s="319"/>
      <c r="B33" s="320"/>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c r="AA33" s="320"/>
      <c r="AB33" s="320"/>
      <c r="AC33" s="320"/>
      <c r="AD33" s="320"/>
      <c r="AE33" s="320"/>
      <c r="AF33" s="320"/>
      <c r="AG33" s="320"/>
      <c r="AH33" s="320"/>
      <c r="AI33" s="320"/>
      <c r="AJ33" s="320"/>
      <c r="AK33" s="320"/>
      <c r="AL33" s="320"/>
      <c r="AM33" s="320"/>
      <c r="AN33" s="320"/>
      <c r="AO33" s="320"/>
      <c r="AP33" s="320"/>
      <c r="AQ33" s="320"/>
      <c r="AR33" s="320"/>
      <c r="AS33" s="320"/>
      <c r="AT33" s="320"/>
      <c r="AU33" s="321"/>
    </row>
    <row r="34">
      <c r="A34" s="319"/>
      <c r="B34" s="320"/>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c r="AA34" s="320"/>
      <c r="AB34" s="320"/>
      <c r="AC34" s="320"/>
      <c r="AD34" s="320"/>
      <c r="AE34" s="320"/>
      <c r="AF34" s="320"/>
      <c r="AG34" s="320"/>
      <c r="AH34" s="320"/>
      <c r="AI34" s="320"/>
      <c r="AJ34" s="320"/>
      <c r="AK34" s="320"/>
      <c r="AL34" s="320"/>
      <c r="AM34" s="320"/>
      <c r="AN34" s="320"/>
      <c r="AO34" s="320"/>
      <c r="AP34" s="320"/>
      <c r="AQ34" s="320"/>
      <c r="AR34" s="320"/>
      <c r="AS34" s="320"/>
      <c r="AT34" s="320"/>
      <c r="AU34" s="321"/>
    </row>
    <row r="35">
      <c r="A35" s="319"/>
      <c r="B35" s="320"/>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c r="AA35" s="320"/>
      <c r="AB35" s="320"/>
      <c r="AC35" s="320"/>
      <c r="AD35" s="320"/>
      <c r="AE35" s="320"/>
      <c r="AF35" s="320"/>
      <c r="AG35" s="320"/>
      <c r="AH35" s="320"/>
      <c r="AI35" s="320"/>
      <c r="AJ35" s="320"/>
      <c r="AK35" s="320"/>
      <c r="AL35" s="320"/>
      <c r="AM35" s="320"/>
      <c r="AN35" s="320"/>
      <c r="AO35" s="320"/>
      <c r="AP35" s="320"/>
      <c r="AQ35" s="320"/>
      <c r="AR35" s="320"/>
      <c r="AS35" s="320"/>
      <c r="AT35" s="320"/>
      <c r="AU35" s="321"/>
    </row>
    <row r="36">
      <c r="A36" s="319"/>
      <c r="B36" s="320"/>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c r="AA36" s="320"/>
      <c r="AB36" s="320"/>
      <c r="AC36" s="320"/>
      <c r="AD36" s="320"/>
      <c r="AE36" s="320"/>
      <c r="AF36" s="320"/>
      <c r="AG36" s="320"/>
      <c r="AH36" s="320"/>
      <c r="AI36" s="320"/>
      <c r="AJ36" s="320"/>
      <c r="AK36" s="320"/>
      <c r="AL36" s="320"/>
      <c r="AM36" s="320"/>
      <c r="AN36" s="320"/>
      <c r="AO36" s="320"/>
      <c r="AP36" s="320"/>
      <c r="AQ36" s="320"/>
      <c r="AR36" s="320"/>
      <c r="AS36" s="320"/>
      <c r="AT36" s="320"/>
      <c r="AU36" s="321"/>
    </row>
    <row r="37">
      <c r="A37" s="319"/>
      <c r="B37" s="320"/>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1"/>
    </row>
    <row r="38">
      <c r="A38" s="319"/>
      <c r="B38" s="320"/>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1"/>
    </row>
    <row r="39">
      <c r="A39" s="319"/>
      <c r="B39" s="320"/>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1"/>
    </row>
    <row r="40">
      <c r="A40" s="319"/>
      <c r="B40" s="320"/>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1"/>
    </row>
    <row r="41">
      <c r="A41" s="319"/>
      <c r="B41" s="320"/>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c r="AA41" s="320"/>
      <c r="AB41" s="320"/>
      <c r="AC41" s="320"/>
      <c r="AD41" s="320"/>
      <c r="AE41" s="320"/>
      <c r="AF41" s="320"/>
      <c r="AG41" s="320"/>
      <c r="AH41" s="320"/>
      <c r="AI41" s="320"/>
      <c r="AJ41" s="320"/>
      <c r="AK41" s="320"/>
      <c r="AL41" s="320"/>
      <c r="AM41" s="320"/>
      <c r="AN41" s="320"/>
      <c r="AO41" s="320"/>
      <c r="AP41" s="320"/>
      <c r="AQ41" s="320"/>
      <c r="AR41" s="320"/>
      <c r="AS41" s="320"/>
      <c r="AT41" s="320"/>
      <c r="AU41" s="321"/>
    </row>
    <row r="42">
      <c r="A42" s="319"/>
      <c r="B42" s="320"/>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320"/>
      <c r="AI42" s="320"/>
      <c r="AJ42" s="320"/>
      <c r="AK42" s="320"/>
      <c r="AL42" s="320"/>
      <c r="AM42" s="320"/>
      <c r="AN42" s="320"/>
      <c r="AO42" s="320"/>
      <c r="AP42" s="320"/>
      <c r="AQ42" s="320"/>
      <c r="AR42" s="320"/>
      <c r="AS42" s="320"/>
      <c r="AT42" s="320"/>
      <c r="AU42" s="321"/>
    </row>
    <row r="43">
      <c r="A43" s="319"/>
      <c r="B43" s="320"/>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c r="AA43" s="320"/>
      <c r="AB43" s="320"/>
      <c r="AC43" s="320"/>
      <c r="AD43" s="320"/>
      <c r="AE43" s="320"/>
      <c r="AF43" s="320"/>
      <c r="AG43" s="320"/>
      <c r="AH43" s="320"/>
      <c r="AI43" s="320"/>
      <c r="AJ43" s="320"/>
      <c r="AK43" s="320"/>
      <c r="AL43" s="320"/>
      <c r="AM43" s="320"/>
      <c r="AN43" s="320"/>
      <c r="AO43" s="320"/>
      <c r="AP43" s="320"/>
      <c r="AQ43" s="320"/>
      <c r="AR43" s="320"/>
      <c r="AS43" s="320"/>
      <c r="AT43" s="320"/>
      <c r="AU43" s="321"/>
    </row>
    <row r="44">
      <c r="A44" s="319"/>
      <c r="B44" s="320"/>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c r="AA44" s="320"/>
      <c r="AB44" s="320"/>
      <c r="AC44" s="320"/>
      <c r="AD44" s="320"/>
      <c r="AE44" s="320"/>
      <c r="AF44" s="320"/>
      <c r="AG44" s="320"/>
      <c r="AH44" s="320"/>
      <c r="AI44" s="320"/>
      <c r="AJ44" s="320"/>
      <c r="AK44" s="320"/>
      <c r="AL44" s="320"/>
      <c r="AM44" s="320"/>
      <c r="AN44" s="320"/>
      <c r="AO44" s="320"/>
      <c r="AP44" s="320"/>
      <c r="AQ44" s="320"/>
      <c r="AR44" s="320"/>
      <c r="AS44" s="320"/>
      <c r="AT44" s="320"/>
      <c r="AU44" s="321"/>
    </row>
    <row r="45">
      <c r="A45" s="319"/>
      <c r="B45" s="320"/>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c r="AA45" s="320"/>
      <c r="AB45" s="320"/>
      <c r="AC45" s="320"/>
      <c r="AD45" s="320"/>
      <c r="AE45" s="320"/>
      <c r="AF45" s="320"/>
      <c r="AG45" s="320"/>
      <c r="AH45" s="320"/>
      <c r="AI45" s="320"/>
      <c r="AJ45" s="320"/>
      <c r="AK45" s="320"/>
      <c r="AL45" s="320"/>
      <c r="AM45" s="320"/>
      <c r="AN45" s="320"/>
      <c r="AO45" s="320"/>
      <c r="AP45" s="320"/>
      <c r="AQ45" s="320"/>
      <c r="AR45" s="320"/>
      <c r="AS45" s="320"/>
      <c r="AT45" s="320"/>
      <c r="AU45" s="321"/>
    </row>
    <row r="46">
      <c r="A46" s="319"/>
      <c r="B46" s="320"/>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c r="AA46" s="320"/>
      <c r="AB46" s="320"/>
      <c r="AC46" s="320"/>
      <c r="AD46" s="320"/>
      <c r="AE46" s="320"/>
      <c r="AF46" s="320"/>
      <c r="AG46" s="320"/>
      <c r="AH46" s="320"/>
      <c r="AI46" s="320"/>
      <c r="AJ46" s="320"/>
      <c r="AK46" s="320"/>
      <c r="AL46" s="320"/>
      <c r="AM46" s="320"/>
      <c r="AN46" s="320"/>
      <c r="AO46" s="320"/>
      <c r="AP46" s="320"/>
      <c r="AQ46" s="320"/>
      <c r="AR46" s="320"/>
      <c r="AS46" s="320"/>
      <c r="AT46" s="320"/>
      <c r="AU46" s="321"/>
    </row>
    <row r="47">
      <c r="A47" s="319"/>
      <c r="B47" s="320"/>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c r="AA47" s="320"/>
      <c r="AB47" s="320"/>
      <c r="AC47" s="320"/>
      <c r="AD47" s="320"/>
      <c r="AE47" s="320"/>
      <c r="AF47" s="320"/>
      <c r="AG47" s="320"/>
      <c r="AH47" s="320"/>
      <c r="AI47" s="320"/>
      <c r="AJ47" s="320"/>
      <c r="AK47" s="320"/>
      <c r="AL47" s="320"/>
      <c r="AM47" s="320"/>
      <c r="AN47" s="320"/>
      <c r="AO47" s="320"/>
      <c r="AP47" s="320"/>
      <c r="AQ47" s="320"/>
      <c r="AR47" s="320"/>
      <c r="AS47" s="320"/>
      <c r="AT47" s="320"/>
      <c r="AU47" s="321"/>
    </row>
    <row r="48">
      <c r="A48" s="319"/>
      <c r="B48" s="320"/>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c r="AA48" s="320"/>
      <c r="AB48" s="320"/>
      <c r="AC48" s="320"/>
      <c r="AD48" s="320"/>
      <c r="AE48" s="320"/>
      <c r="AF48" s="320"/>
      <c r="AG48" s="320"/>
      <c r="AH48" s="320"/>
      <c r="AI48" s="320"/>
      <c r="AJ48" s="320"/>
      <c r="AK48" s="320"/>
      <c r="AL48" s="320"/>
      <c r="AM48" s="320"/>
      <c r="AN48" s="320"/>
      <c r="AO48" s="320"/>
      <c r="AP48" s="320"/>
      <c r="AQ48" s="320"/>
      <c r="AR48" s="320"/>
      <c r="AS48" s="320"/>
      <c r="AT48" s="320"/>
      <c r="AU48" s="321"/>
    </row>
    <row r="49">
      <c r="A49" s="319"/>
      <c r="B49" s="320"/>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1"/>
    </row>
    <row r="50">
      <c r="A50" s="319"/>
      <c r="B50" s="320"/>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c r="AA50" s="320"/>
      <c r="AB50" s="320"/>
      <c r="AC50" s="320"/>
      <c r="AD50" s="320"/>
      <c r="AE50" s="320"/>
      <c r="AF50" s="320"/>
      <c r="AG50" s="320"/>
      <c r="AH50" s="320"/>
      <c r="AI50" s="320"/>
      <c r="AJ50" s="320"/>
      <c r="AK50" s="320"/>
      <c r="AL50" s="320"/>
      <c r="AM50" s="320"/>
      <c r="AN50" s="320"/>
      <c r="AO50" s="320"/>
      <c r="AP50" s="320"/>
      <c r="AQ50" s="320"/>
      <c r="AR50" s="320"/>
      <c r="AS50" s="320"/>
      <c r="AT50" s="320"/>
      <c r="AU50" s="321"/>
    </row>
    <row r="51">
      <c r="A51" s="319"/>
      <c r="B51" s="320"/>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c r="AA51" s="320"/>
      <c r="AB51" s="320"/>
      <c r="AC51" s="320"/>
      <c r="AD51" s="320"/>
      <c r="AE51" s="320"/>
      <c r="AF51" s="320"/>
      <c r="AG51" s="320"/>
      <c r="AH51" s="320"/>
      <c r="AI51" s="320"/>
      <c r="AJ51" s="320"/>
      <c r="AK51" s="320"/>
      <c r="AL51" s="320"/>
      <c r="AM51" s="320"/>
      <c r="AN51" s="320"/>
      <c r="AO51" s="320"/>
      <c r="AP51" s="320"/>
      <c r="AQ51" s="320"/>
      <c r="AR51" s="320"/>
      <c r="AS51" s="320"/>
      <c r="AT51" s="320"/>
      <c r="AU51" s="321"/>
    </row>
    <row r="52">
      <c r="A52" s="319"/>
      <c r="B52" s="320"/>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1"/>
    </row>
    <row r="53">
      <c r="A53" s="319"/>
      <c r="B53" s="320"/>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c r="AA53" s="320"/>
      <c r="AB53" s="320"/>
      <c r="AC53" s="320"/>
      <c r="AD53" s="320"/>
      <c r="AE53" s="320"/>
      <c r="AF53" s="320"/>
      <c r="AG53" s="320"/>
      <c r="AH53" s="320"/>
      <c r="AI53" s="320"/>
      <c r="AJ53" s="320"/>
      <c r="AK53" s="320"/>
      <c r="AL53" s="320"/>
      <c r="AM53" s="320"/>
      <c r="AN53" s="320"/>
      <c r="AO53" s="320"/>
      <c r="AP53" s="320"/>
      <c r="AQ53" s="320"/>
      <c r="AR53" s="320"/>
      <c r="AS53" s="320"/>
      <c r="AT53" s="320"/>
      <c r="AU53" s="321"/>
    </row>
    <row r="54">
      <c r="A54" s="319"/>
      <c r="B54" s="320"/>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c r="AA54" s="320"/>
      <c r="AB54" s="320"/>
      <c r="AC54" s="320"/>
      <c r="AD54" s="320"/>
      <c r="AE54" s="320"/>
      <c r="AF54" s="320"/>
      <c r="AG54" s="320"/>
      <c r="AH54" s="320"/>
      <c r="AI54" s="320"/>
      <c r="AJ54" s="320"/>
      <c r="AK54" s="320"/>
      <c r="AL54" s="320"/>
      <c r="AM54" s="320"/>
      <c r="AN54" s="320"/>
      <c r="AO54" s="320"/>
      <c r="AP54" s="320"/>
      <c r="AQ54" s="320"/>
      <c r="AR54" s="320"/>
      <c r="AS54" s="320"/>
      <c r="AT54" s="320"/>
      <c r="AU54" s="321"/>
    </row>
    <row r="55">
      <c r="A55" s="319"/>
      <c r="B55" s="320"/>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1"/>
    </row>
    <row r="56">
      <c r="A56" s="319"/>
      <c r="B56" s="320"/>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c r="AA56" s="320"/>
      <c r="AB56" s="320"/>
      <c r="AC56" s="320"/>
      <c r="AD56" s="320"/>
      <c r="AE56" s="320"/>
      <c r="AF56" s="320"/>
      <c r="AG56" s="320"/>
      <c r="AH56" s="320"/>
      <c r="AI56" s="320"/>
      <c r="AJ56" s="320"/>
      <c r="AK56" s="320"/>
      <c r="AL56" s="320"/>
      <c r="AM56" s="320"/>
      <c r="AN56" s="320"/>
      <c r="AO56" s="320"/>
      <c r="AP56" s="320"/>
      <c r="AQ56" s="320"/>
      <c r="AR56" s="320"/>
      <c r="AS56" s="320"/>
      <c r="AT56" s="320"/>
      <c r="AU56" s="321"/>
    </row>
    <row r="57">
      <c r="A57" s="319"/>
      <c r="B57" s="320"/>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20"/>
      <c r="AU57" s="321"/>
    </row>
    <row r="58">
      <c r="A58" s="319"/>
      <c r="B58" s="320"/>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c r="AA58" s="320"/>
      <c r="AB58" s="320"/>
      <c r="AC58" s="320"/>
      <c r="AD58" s="320"/>
      <c r="AE58" s="320"/>
      <c r="AF58" s="320"/>
      <c r="AG58" s="320"/>
      <c r="AH58" s="320"/>
      <c r="AI58" s="320"/>
      <c r="AJ58" s="320"/>
      <c r="AK58" s="320"/>
      <c r="AL58" s="320"/>
      <c r="AM58" s="320"/>
      <c r="AN58" s="320"/>
      <c r="AO58" s="320"/>
      <c r="AP58" s="320"/>
      <c r="AQ58" s="320"/>
      <c r="AR58" s="320"/>
      <c r="AS58" s="320"/>
      <c r="AT58" s="320"/>
      <c r="AU58" s="321"/>
    </row>
    <row r="59">
      <c r="A59" s="319"/>
      <c r="B59" s="320"/>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c r="AA59" s="320"/>
      <c r="AB59" s="320"/>
      <c r="AC59" s="320"/>
      <c r="AD59" s="320"/>
      <c r="AE59" s="320"/>
      <c r="AF59" s="320"/>
      <c r="AG59" s="320"/>
      <c r="AH59" s="320"/>
      <c r="AI59" s="320"/>
      <c r="AJ59" s="320"/>
      <c r="AK59" s="320"/>
      <c r="AL59" s="320"/>
      <c r="AM59" s="320"/>
      <c r="AN59" s="320"/>
      <c r="AO59" s="320"/>
      <c r="AP59" s="320"/>
      <c r="AQ59" s="320"/>
      <c r="AR59" s="320"/>
      <c r="AS59" s="320"/>
      <c r="AT59" s="320"/>
      <c r="AU59" s="321"/>
    </row>
    <row r="60">
      <c r="A60" s="319"/>
      <c r="B60" s="320"/>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c r="AA60" s="320"/>
      <c r="AB60" s="320"/>
      <c r="AC60" s="320"/>
      <c r="AD60" s="320"/>
      <c r="AE60" s="320"/>
      <c r="AF60" s="320"/>
      <c r="AG60" s="320"/>
      <c r="AH60" s="320"/>
      <c r="AI60" s="320"/>
      <c r="AJ60" s="320"/>
      <c r="AK60" s="320"/>
      <c r="AL60" s="320"/>
      <c r="AM60" s="320"/>
      <c r="AN60" s="320"/>
      <c r="AO60" s="320"/>
      <c r="AP60" s="320"/>
      <c r="AQ60" s="320"/>
      <c r="AR60" s="320"/>
      <c r="AS60" s="320"/>
      <c r="AT60" s="320"/>
      <c r="AU60" s="321"/>
    </row>
    <row r="61">
      <c r="A61" s="319"/>
      <c r="B61" s="320"/>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c r="AA61" s="320"/>
      <c r="AB61" s="320"/>
      <c r="AC61" s="320"/>
      <c r="AD61" s="320"/>
      <c r="AE61" s="320"/>
      <c r="AF61" s="320"/>
      <c r="AG61" s="320"/>
      <c r="AH61" s="320"/>
      <c r="AI61" s="320"/>
      <c r="AJ61" s="320"/>
      <c r="AK61" s="320"/>
      <c r="AL61" s="320"/>
      <c r="AM61" s="320"/>
      <c r="AN61" s="320"/>
      <c r="AO61" s="320"/>
      <c r="AP61" s="320"/>
      <c r="AQ61" s="320"/>
      <c r="AR61" s="320"/>
      <c r="AS61" s="320"/>
      <c r="AT61" s="320"/>
      <c r="AU61" s="321"/>
    </row>
    <row r="62">
      <c r="A62" s="319"/>
      <c r="B62" s="320"/>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c r="AA62" s="320"/>
      <c r="AB62" s="320"/>
      <c r="AC62" s="320"/>
      <c r="AD62" s="320"/>
      <c r="AE62" s="320"/>
      <c r="AF62" s="320"/>
      <c r="AG62" s="320"/>
      <c r="AH62" s="320"/>
      <c r="AI62" s="320"/>
      <c r="AJ62" s="320"/>
      <c r="AK62" s="320"/>
      <c r="AL62" s="320"/>
      <c r="AM62" s="320"/>
      <c r="AN62" s="320"/>
      <c r="AO62" s="320"/>
      <c r="AP62" s="320"/>
      <c r="AQ62" s="320"/>
      <c r="AR62" s="320"/>
      <c r="AS62" s="320"/>
      <c r="AT62" s="320"/>
      <c r="AU62" s="321"/>
    </row>
    <row r="63">
      <c r="A63" s="319"/>
      <c r="B63" s="320"/>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320"/>
      <c r="AD63" s="320"/>
      <c r="AE63" s="320"/>
      <c r="AF63" s="320"/>
      <c r="AG63" s="320"/>
      <c r="AH63" s="320"/>
      <c r="AI63" s="320"/>
      <c r="AJ63" s="320"/>
      <c r="AK63" s="320"/>
      <c r="AL63" s="320"/>
      <c r="AM63" s="320"/>
      <c r="AN63" s="320"/>
      <c r="AO63" s="320"/>
      <c r="AP63" s="320"/>
      <c r="AQ63" s="320"/>
      <c r="AR63" s="320"/>
      <c r="AS63" s="320"/>
      <c r="AT63" s="320"/>
      <c r="AU63" s="321"/>
    </row>
    <row r="64">
      <c r="A64" s="319"/>
      <c r="B64" s="320"/>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c r="AA64" s="320"/>
      <c r="AB64" s="320"/>
      <c r="AC64" s="320"/>
      <c r="AD64" s="320"/>
      <c r="AE64" s="320"/>
      <c r="AF64" s="320"/>
      <c r="AG64" s="320"/>
      <c r="AH64" s="320"/>
      <c r="AI64" s="320"/>
      <c r="AJ64" s="320"/>
      <c r="AK64" s="320"/>
      <c r="AL64" s="320"/>
      <c r="AM64" s="320"/>
      <c r="AN64" s="320"/>
      <c r="AO64" s="320"/>
      <c r="AP64" s="320"/>
      <c r="AQ64" s="320"/>
      <c r="AR64" s="320"/>
      <c r="AS64" s="320"/>
      <c r="AT64" s="320"/>
      <c r="AU64" s="321"/>
    </row>
    <row r="65">
      <c r="A65" s="319"/>
      <c r="B65" s="320"/>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c r="AA65" s="320"/>
      <c r="AB65" s="320"/>
      <c r="AC65" s="320"/>
      <c r="AD65" s="320"/>
      <c r="AE65" s="320"/>
      <c r="AF65" s="320"/>
      <c r="AG65" s="320"/>
      <c r="AH65" s="320"/>
      <c r="AI65" s="320"/>
      <c r="AJ65" s="320"/>
      <c r="AK65" s="320"/>
      <c r="AL65" s="320"/>
      <c r="AM65" s="320"/>
      <c r="AN65" s="320"/>
      <c r="AO65" s="320"/>
      <c r="AP65" s="320"/>
      <c r="AQ65" s="320"/>
      <c r="AR65" s="320"/>
      <c r="AS65" s="320"/>
      <c r="AT65" s="320"/>
      <c r="AU65" s="321"/>
    </row>
    <row r="66">
      <c r="A66" s="319"/>
      <c r="B66" s="320"/>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c r="AA66" s="320"/>
      <c r="AB66" s="320"/>
      <c r="AC66" s="320"/>
      <c r="AD66" s="320"/>
      <c r="AE66" s="320"/>
      <c r="AF66" s="320"/>
      <c r="AG66" s="320"/>
      <c r="AH66" s="320"/>
      <c r="AI66" s="320"/>
      <c r="AJ66" s="320"/>
      <c r="AK66" s="320"/>
      <c r="AL66" s="320"/>
      <c r="AM66" s="320"/>
      <c r="AN66" s="320"/>
      <c r="AO66" s="320"/>
      <c r="AP66" s="320"/>
      <c r="AQ66" s="320"/>
      <c r="AR66" s="320"/>
      <c r="AS66" s="320"/>
      <c r="AT66" s="320"/>
      <c r="AU66" s="321"/>
    </row>
    <row r="67">
      <c r="A67" s="319"/>
      <c r="B67" s="320"/>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c r="AA67" s="320"/>
      <c r="AB67" s="320"/>
      <c r="AC67" s="320"/>
      <c r="AD67" s="320"/>
      <c r="AE67" s="320"/>
      <c r="AF67" s="320"/>
      <c r="AG67" s="320"/>
      <c r="AH67" s="320"/>
      <c r="AI67" s="320"/>
      <c r="AJ67" s="320"/>
      <c r="AK67" s="320"/>
      <c r="AL67" s="320"/>
      <c r="AM67" s="320"/>
      <c r="AN67" s="320"/>
      <c r="AO67" s="320"/>
      <c r="AP67" s="320"/>
      <c r="AQ67" s="320"/>
      <c r="AR67" s="320"/>
      <c r="AS67" s="320"/>
      <c r="AT67" s="320"/>
      <c r="AU67" s="321"/>
    </row>
    <row r="68">
      <c r="A68" s="319"/>
      <c r="B68" s="320"/>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c r="AA68" s="320"/>
      <c r="AB68" s="320"/>
      <c r="AC68" s="320"/>
      <c r="AD68" s="320"/>
      <c r="AE68" s="320"/>
      <c r="AF68" s="320"/>
      <c r="AG68" s="320"/>
      <c r="AH68" s="320"/>
      <c r="AI68" s="320"/>
      <c r="AJ68" s="320"/>
      <c r="AK68" s="320"/>
      <c r="AL68" s="320"/>
      <c r="AM68" s="320"/>
      <c r="AN68" s="320"/>
      <c r="AO68" s="320"/>
      <c r="AP68" s="320"/>
      <c r="AQ68" s="320"/>
      <c r="AR68" s="320"/>
      <c r="AS68" s="320"/>
      <c r="AT68" s="320"/>
      <c r="AU68" s="321"/>
    </row>
    <row r="69">
      <c r="A69" s="319"/>
      <c r="B69" s="320"/>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c r="AA69" s="320"/>
      <c r="AB69" s="320"/>
      <c r="AC69" s="320"/>
      <c r="AD69" s="320"/>
      <c r="AE69" s="320"/>
      <c r="AF69" s="320"/>
      <c r="AG69" s="320"/>
      <c r="AH69" s="320"/>
      <c r="AI69" s="320"/>
      <c r="AJ69" s="320"/>
      <c r="AK69" s="320"/>
      <c r="AL69" s="320"/>
      <c r="AM69" s="320"/>
      <c r="AN69" s="320"/>
      <c r="AO69" s="320"/>
      <c r="AP69" s="320"/>
      <c r="AQ69" s="320"/>
      <c r="AR69" s="320"/>
      <c r="AS69" s="320"/>
      <c r="AT69" s="320"/>
      <c r="AU69" s="321"/>
    </row>
    <row r="70">
      <c r="A70" s="319"/>
      <c r="B70" s="320"/>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c r="AA70" s="320"/>
      <c r="AB70" s="320"/>
      <c r="AC70" s="320"/>
      <c r="AD70" s="320"/>
      <c r="AE70" s="320"/>
      <c r="AF70" s="320"/>
      <c r="AG70" s="320"/>
      <c r="AH70" s="320"/>
      <c r="AI70" s="320"/>
      <c r="AJ70" s="320"/>
      <c r="AK70" s="320"/>
      <c r="AL70" s="320"/>
      <c r="AM70" s="320"/>
      <c r="AN70" s="320"/>
      <c r="AO70" s="320"/>
      <c r="AP70" s="320"/>
      <c r="AQ70" s="320"/>
      <c r="AR70" s="320"/>
      <c r="AS70" s="320"/>
      <c r="AT70" s="320"/>
      <c r="AU70" s="321"/>
    </row>
    <row r="71">
      <c r="A71" s="319"/>
      <c r="B71" s="320"/>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c r="AA71" s="320"/>
      <c r="AB71" s="320"/>
      <c r="AC71" s="320"/>
      <c r="AD71" s="320"/>
      <c r="AE71" s="320"/>
      <c r="AF71" s="320"/>
      <c r="AG71" s="320"/>
      <c r="AH71" s="320"/>
      <c r="AI71" s="320"/>
      <c r="AJ71" s="320"/>
      <c r="AK71" s="320"/>
      <c r="AL71" s="320"/>
      <c r="AM71" s="320"/>
      <c r="AN71" s="320"/>
      <c r="AO71" s="320"/>
      <c r="AP71" s="320"/>
      <c r="AQ71" s="320"/>
      <c r="AR71" s="320"/>
      <c r="AS71" s="320"/>
      <c r="AT71" s="320"/>
      <c r="AU71" s="321"/>
    </row>
    <row r="72">
      <c r="A72" s="319"/>
      <c r="B72" s="320"/>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c r="AA72" s="320"/>
      <c r="AB72" s="320"/>
      <c r="AC72" s="320"/>
      <c r="AD72" s="320"/>
      <c r="AE72" s="320"/>
      <c r="AF72" s="320"/>
      <c r="AG72" s="320"/>
      <c r="AH72" s="320"/>
      <c r="AI72" s="320"/>
      <c r="AJ72" s="320"/>
      <c r="AK72" s="320"/>
      <c r="AL72" s="320"/>
      <c r="AM72" s="320"/>
      <c r="AN72" s="320"/>
      <c r="AO72" s="320"/>
      <c r="AP72" s="320"/>
      <c r="AQ72" s="320"/>
      <c r="AR72" s="320"/>
      <c r="AS72" s="320"/>
      <c r="AT72" s="320"/>
      <c r="AU72" s="321"/>
    </row>
    <row r="73">
      <c r="A73" s="319"/>
      <c r="B73" s="320"/>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c r="AA73" s="320"/>
      <c r="AB73" s="320"/>
      <c r="AC73" s="320"/>
      <c r="AD73" s="320"/>
      <c r="AE73" s="320"/>
      <c r="AF73" s="320"/>
      <c r="AG73" s="320"/>
      <c r="AH73" s="320"/>
      <c r="AI73" s="320"/>
      <c r="AJ73" s="320"/>
      <c r="AK73" s="320"/>
      <c r="AL73" s="320"/>
      <c r="AM73" s="320"/>
      <c r="AN73" s="320"/>
      <c r="AO73" s="320"/>
      <c r="AP73" s="320"/>
      <c r="AQ73" s="320"/>
      <c r="AR73" s="320"/>
      <c r="AS73" s="320"/>
      <c r="AT73" s="320"/>
      <c r="AU73" s="321"/>
    </row>
    <row r="74">
      <c r="A74" s="319"/>
      <c r="B74" s="320"/>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c r="AA74" s="320"/>
      <c r="AB74" s="320"/>
      <c r="AC74" s="320"/>
      <c r="AD74" s="320"/>
      <c r="AE74" s="320"/>
      <c r="AF74" s="320"/>
      <c r="AG74" s="320"/>
      <c r="AH74" s="320"/>
      <c r="AI74" s="320"/>
      <c r="AJ74" s="320"/>
      <c r="AK74" s="320"/>
      <c r="AL74" s="320"/>
      <c r="AM74" s="320"/>
      <c r="AN74" s="320"/>
      <c r="AO74" s="320"/>
      <c r="AP74" s="320"/>
      <c r="AQ74" s="320"/>
      <c r="AR74" s="320"/>
      <c r="AS74" s="320"/>
      <c r="AT74" s="320"/>
      <c r="AU74" s="321"/>
    </row>
    <row r="75">
      <c r="A75" s="319"/>
      <c r="B75" s="320"/>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c r="AA75" s="320"/>
      <c r="AB75" s="320"/>
      <c r="AC75" s="320"/>
      <c r="AD75" s="320"/>
      <c r="AE75" s="320"/>
      <c r="AF75" s="320"/>
      <c r="AG75" s="320"/>
      <c r="AH75" s="320"/>
      <c r="AI75" s="320"/>
      <c r="AJ75" s="320"/>
      <c r="AK75" s="320"/>
      <c r="AL75" s="320"/>
      <c r="AM75" s="320"/>
      <c r="AN75" s="320"/>
      <c r="AO75" s="320"/>
      <c r="AP75" s="320"/>
      <c r="AQ75" s="320"/>
      <c r="AR75" s="320"/>
      <c r="AS75" s="320"/>
      <c r="AT75" s="320"/>
      <c r="AU75" s="321"/>
    </row>
    <row r="76">
      <c r="A76" s="319"/>
      <c r="B76" s="320"/>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c r="AA76" s="320"/>
      <c r="AB76" s="320"/>
      <c r="AC76" s="320"/>
      <c r="AD76" s="320"/>
      <c r="AE76" s="320"/>
      <c r="AF76" s="320"/>
      <c r="AG76" s="320"/>
      <c r="AH76" s="320"/>
      <c r="AI76" s="320"/>
      <c r="AJ76" s="320"/>
      <c r="AK76" s="320"/>
      <c r="AL76" s="320"/>
      <c r="AM76" s="320"/>
      <c r="AN76" s="320"/>
      <c r="AO76" s="320"/>
      <c r="AP76" s="320"/>
      <c r="AQ76" s="320"/>
      <c r="AR76" s="320"/>
      <c r="AS76" s="320"/>
      <c r="AT76" s="320"/>
      <c r="AU76" s="321"/>
    </row>
    <row r="77">
      <c r="A77" s="319"/>
      <c r="B77" s="320"/>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c r="AA77" s="320"/>
      <c r="AB77" s="320"/>
      <c r="AC77" s="320"/>
      <c r="AD77" s="320"/>
      <c r="AE77" s="320"/>
      <c r="AF77" s="320"/>
      <c r="AG77" s="320"/>
      <c r="AH77" s="320"/>
      <c r="AI77" s="320"/>
      <c r="AJ77" s="320"/>
      <c r="AK77" s="320"/>
      <c r="AL77" s="320"/>
      <c r="AM77" s="320"/>
      <c r="AN77" s="320"/>
      <c r="AO77" s="320"/>
      <c r="AP77" s="320"/>
      <c r="AQ77" s="320"/>
      <c r="AR77" s="320"/>
      <c r="AS77" s="320"/>
      <c r="AT77" s="320"/>
      <c r="AU77" s="321"/>
    </row>
    <row r="78">
      <c r="A78" s="319"/>
      <c r="B78" s="320"/>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1"/>
    </row>
    <row r="79">
      <c r="A79" s="319"/>
      <c r="B79" s="320"/>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c r="AA79" s="320"/>
      <c r="AB79" s="320"/>
      <c r="AC79" s="320"/>
      <c r="AD79" s="320"/>
      <c r="AE79" s="320"/>
      <c r="AF79" s="320"/>
      <c r="AG79" s="320"/>
      <c r="AH79" s="320"/>
      <c r="AI79" s="320"/>
      <c r="AJ79" s="320"/>
      <c r="AK79" s="320"/>
      <c r="AL79" s="320"/>
      <c r="AM79" s="320"/>
      <c r="AN79" s="320"/>
      <c r="AO79" s="320"/>
      <c r="AP79" s="320"/>
      <c r="AQ79" s="320"/>
      <c r="AR79" s="320"/>
      <c r="AS79" s="320"/>
      <c r="AT79" s="320"/>
      <c r="AU79" s="321"/>
    </row>
    <row r="80">
      <c r="A80" s="319"/>
      <c r="B80" s="320"/>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c r="AA80" s="320"/>
      <c r="AB80" s="320"/>
      <c r="AC80" s="320"/>
      <c r="AD80" s="320"/>
      <c r="AE80" s="320"/>
      <c r="AF80" s="320"/>
      <c r="AG80" s="320"/>
      <c r="AH80" s="320"/>
      <c r="AI80" s="320"/>
      <c r="AJ80" s="320"/>
      <c r="AK80" s="320"/>
      <c r="AL80" s="320"/>
      <c r="AM80" s="320"/>
      <c r="AN80" s="320"/>
      <c r="AO80" s="320"/>
      <c r="AP80" s="320"/>
      <c r="AQ80" s="320"/>
      <c r="AR80" s="320"/>
      <c r="AS80" s="320"/>
      <c r="AT80" s="320"/>
      <c r="AU80" s="321"/>
    </row>
    <row r="81">
      <c r="A81" s="319"/>
      <c r="B81" s="320"/>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c r="AA81" s="320"/>
      <c r="AB81" s="320"/>
      <c r="AC81" s="320"/>
      <c r="AD81" s="320"/>
      <c r="AE81" s="320"/>
      <c r="AF81" s="320"/>
      <c r="AG81" s="320"/>
      <c r="AH81" s="320"/>
      <c r="AI81" s="320"/>
      <c r="AJ81" s="320"/>
      <c r="AK81" s="320"/>
      <c r="AL81" s="320"/>
      <c r="AM81" s="320"/>
      <c r="AN81" s="320"/>
      <c r="AO81" s="320"/>
      <c r="AP81" s="320"/>
      <c r="AQ81" s="320"/>
      <c r="AR81" s="320"/>
      <c r="AS81" s="320"/>
      <c r="AT81" s="320"/>
      <c r="AU81" s="321"/>
    </row>
    <row r="82">
      <c r="A82" s="319"/>
      <c r="B82" s="320"/>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c r="AA82" s="320"/>
      <c r="AB82" s="320"/>
      <c r="AC82" s="320"/>
      <c r="AD82" s="320"/>
      <c r="AE82" s="320"/>
      <c r="AF82" s="320"/>
      <c r="AG82" s="320"/>
      <c r="AH82" s="320"/>
      <c r="AI82" s="320"/>
      <c r="AJ82" s="320"/>
      <c r="AK82" s="320"/>
      <c r="AL82" s="320"/>
      <c r="AM82" s="320"/>
      <c r="AN82" s="320"/>
      <c r="AO82" s="320"/>
      <c r="AP82" s="320"/>
      <c r="AQ82" s="320"/>
      <c r="AR82" s="320"/>
      <c r="AS82" s="320"/>
      <c r="AT82" s="320"/>
      <c r="AU82" s="321"/>
    </row>
    <row r="83">
      <c r="A83" s="319"/>
      <c r="B83" s="320"/>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c r="AA83" s="320"/>
      <c r="AB83" s="320"/>
      <c r="AC83" s="320"/>
      <c r="AD83" s="320"/>
      <c r="AE83" s="320"/>
      <c r="AF83" s="320"/>
      <c r="AG83" s="320"/>
      <c r="AH83" s="320"/>
      <c r="AI83" s="320"/>
      <c r="AJ83" s="320"/>
      <c r="AK83" s="320"/>
      <c r="AL83" s="320"/>
      <c r="AM83" s="320"/>
      <c r="AN83" s="320"/>
      <c r="AO83" s="320"/>
      <c r="AP83" s="320"/>
      <c r="AQ83" s="320"/>
      <c r="AR83" s="320"/>
      <c r="AS83" s="320"/>
      <c r="AT83" s="320"/>
      <c r="AU83" s="321"/>
    </row>
    <row r="84">
      <c r="A84" s="319"/>
      <c r="B84" s="320"/>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c r="AA84" s="320"/>
      <c r="AB84" s="320"/>
      <c r="AC84" s="320"/>
      <c r="AD84" s="320"/>
      <c r="AE84" s="320"/>
      <c r="AF84" s="320"/>
      <c r="AG84" s="320"/>
      <c r="AH84" s="320"/>
      <c r="AI84" s="320"/>
      <c r="AJ84" s="320"/>
      <c r="AK84" s="320"/>
      <c r="AL84" s="320"/>
      <c r="AM84" s="320"/>
      <c r="AN84" s="320"/>
      <c r="AO84" s="320"/>
      <c r="AP84" s="320"/>
      <c r="AQ84" s="320"/>
      <c r="AR84" s="320"/>
      <c r="AS84" s="320"/>
      <c r="AT84" s="320"/>
      <c r="AU84" s="321"/>
    </row>
    <row r="85">
      <c r="A85" s="319"/>
      <c r="B85" s="320"/>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c r="AA85" s="320"/>
      <c r="AB85" s="320"/>
      <c r="AC85" s="320"/>
      <c r="AD85" s="320"/>
      <c r="AE85" s="320"/>
      <c r="AF85" s="320"/>
      <c r="AG85" s="320"/>
      <c r="AH85" s="320"/>
      <c r="AI85" s="320"/>
      <c r="AJ85" s="320"/>
      <c r="AK85" s="320"/>
      <c r="AL85" s="320"/>
      <c r="AM85" s="320"/>
      <c r="AN85" s="320"/>
      <c r="AO85" s="320"/>
      <c r="AP85" s="320"/>
      <c r="AQ85" s="320"/>
      <c r="AR85" s="320"/>
      <c r="AS85" s="320"/>
      <c r="AT85" s="320"/>
      <c r="AU85" s="321"/>
    </row>
    <row r="86">
      <c r="A86" s="319"/>
      <c r="B86" s="320"/>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c r="AA86" s="320"/>
      <c r="AB86" s="320"/>
      <c r="AC86" s="320"/>
      <c r="AD86" s="320"/>
      <c r="AE86" s="320"/>
      <c r="AF86" s="320"/>
      <c r="AG86" s="320"/>
      <c r="AH86" s="320"/>
      <c r="AI86" s="320"/>
      <c r="AJ86" s="320"/>
      <c r="AK86" s="320"/>
      <c r="AL86" s="320"/>
      <c r="AM86" s="320"/>
      <c r="AN86" s="320"/>
      <c r="AO86" s="320"/>
      <c r="AP86" s="320"/>
      <c r="AQ86" s="320"/>
      <c r="AR86" s="320"/>
      <c r="AS86" s="320"/>
      <c r="AT86" s="320"/>
      <c r="AU86" s="321"/>
    </row>
    <row r="87">
      <c r="A87" s="319"/>
      <c r="B87" s="320"/>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1"/>
    </row>
    <row r="88">
      <c r="A88" s="319"/>
      <c r="B88" s="320"/>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c r="AA88" s="320"/>
      <c r="AB88" s="320"/>
      <c r="AC88" s="320"/>
      <c r="AD88" s="320"/>
      <c r="AE88" s="320"/>
      <c r="AF88" s="320"/>
      <c r="AG88" s="320"/>
      <c r="AH88" s="320"/>
      <c r="AI88" s="320"/>
      <c r="AJ88" s="320"/>
      <c r="AK88" s="320"/>
      <c r="AL88" s="320"/>
      <c r="AM88" s="320"/>
      <c r="AN88" s="320"/>
      <c r="AO88" s="320"/>
      <c r="AP88" s="320"/>
      <c r="AQ88" s="320"/>
      <c r="AR88" s="320"/>
      <c r="AS88" s="320"/>
      <c r="AT88" s="320"/>
      <c r="AU88" s="321"/>
    </row>
    <row r="89">
      <c r="A89" s="319"/>
      <c r="B89" s="320"/>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c r="AA89" s="320"/>
      <c r="AB89" s="320"/>
      <c r="AC89" s="320"/>
      <c r="AD89" s="320"/>
      <c r="AE89" s="320"/>
      <c r="AF89" s="320"/>
      <c r="AG89" s="320"/>
      <c r="AH89" s="320"/>
      <c r="AI89" s="320"/>
      <c r="AJ89" s="320"/>
      <c r="AK89" s="320"/>
      <c r="AL89" s="320"/>
      <c r="AM89" s="320"/>
      <c r="AN89" s="320"/>
      <c r="AO89" s="320"/>
      <c r="AP89" s="320"/>
      <c r="AQ89" s="320"/>
      <c r="AR89" s="320"/>
      <c r="AS89" s="320"/>
      <c r="AT89" s="320"/>
      <c r="AU89" s="321"/>
    </row>
    <row r="90">
      <c r="A90" s="319"/>
      <c r="B90" s="320"/>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c r="AA90" s="320"/>
      <c r="AB90" s="320"/>
      <c r="AC90" s="320"/>
      <c r="AD90" s="320"/>
      <c r="AE90" s="320"/>
      <c r="AF90" s="320"/>
      <c r="AG90" s="320"/>
      <c r="AH90" s="320"/>
      <c r="AI90" s="320"/>
      <c r="AJ90" s="320"/>
      <c r="AK90" s="320"/>
      <c r="AL90" s="320"/>
      <c r="AM90" s="320"/>
      <c r="AN90" s="320"/>
      <c r="AO90" s="320"/>
      <c r="AP90" s="320"/>
      <c r="AQ90" s="320"/>
      <c r="AR90" s="320"/>
      <c r="AS90" s="320"/>
      <c r="AT90" s="320"/>
      <c r="AU90" s="321"/>
    </row>
    <row r="91">
      <c r="A91" s="319"/>
      <c r="B91" s="320"/>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c r="AA91" s="320"/>
      <c r="AB91" s="320"/>
      <c r="AC91" s="320"/>
      <c r="AD91" s="320"/>
      <c r="AE91" s="320"/>
      <c r="AF91" s="320"/>
      <c r="AG91" s="320"/>
      <c r="AH91" s="320"/>
      <c r="AI91" s="320"/>
      <c r="AJ91" s="320"/>
      <c r="AK91" s="320"/>
      <c r="AL91" s="320"/>
      <c r="AM91" s="320"/>
      <c r="AN91" s="320"/>
      <c r="AO91" s="320"/>
      <c r="AP91" s="320"/>
      <c r="AQ91" s="320"/>
      <c r="AR91" s="320"/>
      <c r="AS91" s="320"/>
      <c r="AT91" s="320"/>
      <c r="AU91" s="321"/>
    </row>
    <row r="92">
      <c r="A92" s="319"/>
      <c r="B92" s="320"/>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c r="AA92" s="320"/>
      <c r="AB92" s="320"/>
      <c r="AC92" s="320"/>
      <c r="AD92" s="320"/>
      <c r="AE92" s="320"/>
      <c r="AF92" s="320"/>
      <c r="AG92" s="320"/>
      <c r="AH92" s="320"/>
      <c r="AI92" s="320"/>
      <c r="AJ92" s="320"/>
      <c r="AK92" s="320"/>
      <c r="AL92" s="320"/>
      <c r="AM92" s="320"/>
      <c r="AN92" s="320"/>
      <c r="AO92" s="320"/>
      <c r="AP92" s="320"/>
      <c r="AQ92" s="320"/>
      <c r="AR92" s="320"/>
      <c r="AS92" s="320"/>
      <c r="AT92" s="320"/>
      <c r="AU92" s="321"/>
    </row>
    <row r="93">
      <c r="A93" s="319"/>
      <c r="B93" s="320"/>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c r="AA93" s="320"/>
      <c r="AB93" s="320"/>
      <c r="AC93" s="320"/>
      <c r="AD93" s="320"/>
      <c r="AE93" s="320"/>
      <c r="AF93" s="320"/>
      <c r="AG93" s="320"/>
      <c r="AH93" s="320"/>
      <c r="AI93" s="320"/>
      <c r="AJ93" s="320"/>
      <c r="AK93" s="320"/>
      <c r="AL93" s="320"/>
      <c r="AM93" s="320"/>
      <c r="AN93" s="320"/>
      <c r="AO93" s="320"/>
      <c r="AP93" s="320"/>
      <c r="AQ93" s="320"/>
      <c r="AR93" s="320"/>
      <c r="AS93" s="320"/>
      <c r="AT93" s="320"/>
      <c r="AU93" s="321"/>
    </row>
    <row r="94">
      <c r="A94" s="319"/>
      <c r="B94" s="320"/>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c r="AA94" s="320"/>
      <c r="AB94" s="320"/>
      <c r="AC94" s="320"/>
      <c r="AD94" s="320"/>
      <c r="AE94" s="320"/>
      <c r="AF94" s="320"/>
      <c r="AG94" s="320"/>
      <c r="AH94" s="320"/>
      <c r="AI94" s="320"/>
      <c r="AJ94" s="320"/>
      <c r="AK94" s="320"/>
      <c r="AL94" s="320"/>
      <c r="AM94" s="320"/>
      <c r="AN94" s="320"/>
      <c r="AO94" s="320"/>
      <c r="AP94" s="320"/>
      <c r="AQ94" s="320"/>
      <c r="AR94" s="320"/>
      <c r="AS94" s="320"/>
      <c r="AT94" s="320"/>
      <c r="AU94" s="321"/>
    </row>
    <row r="95">
      <c r="A95" s="319"/>
      <c r="B95" s="320"/>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c r="AA95" s="320"/>
      <c r="AB95" s="320"/>
      <c r="AC95" s="320"/>
      <c r="AD95" s="320"/>
      <c r="AE95" s="320"/>
      <c r="AF95" s="320"/>
      <c r="AG95" s="320"/>
      <c r="AH95" s="320"/>
      <c r="AI95" s="320"/>
      <c r="AJ95" s="320"/>
      <c r="AK95" s="320"/>
      <c r="AL95" s="320"/>
      <c r="AM95" s="320"/>
      <c r="AN95" s="320"/>
      <c r="AO95" s="320"/>
      <c r="AP95" s="320"/>
      <c r="AQ95" s="320"/>
      <c r="AR95" s="320"/>
      <c r="AS95" s="320"/>
      <c r="AT95" s="320"/>
      <c r="AU95" s="321"/>
    </row>
    <row r="96">
      <c r="A96" s="319"/>
      <c r="B96" s="320"/>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c r="AA96" s="320"/>
      <c r="AB96" s="320"/>
      <c r="AC96" s="320"/>
      <c r="AD96" s="320"/>
      <c r="AE96" s="320"/>
      <c r="AF96" s="320"/>
      <c r="AG96" s="320"/>
      <c r="AH96" s="320"/>
      <c r="AI96" s="320"/>
      <c r="AJ96" s="320"/>
      <c r="AK96" s="320"/>
      <c r="AL96" s="320"/>
      <c r="AM96" s="320"/>
      <c r="AN96" s="320"/>
      <c r="AO96" s="320"/>
      <c r="AP96" s="320"/>
      <c r="AQ96" s="320"/>
      <c r="AR96" s="320"/>
      <c r="AS96" s="320"/>
      <c r="AT96" s="320"/>
      <c r="AU96" s="321"/>
    </row>
    <row r="97">
      <c r="A97" s="319"/>
      <c r="B97" s="320"/>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c r="AA97" s="320"/>
      <c r="AB97" s="320"/>
      <c r="AC97" s="320"/>
      <c r="AD97" s="320"/>
      <c r="AE97" s="320"/>
      <c r="AF97" s="320"/>
      <c r="AG97" s="320"/>
      <c r="AH97" s="320"/>
      <c r="AI97" s="320"/>
      <c r="AJ97" s="320"/>
      <c r="AK97" s="320"/>
      <c r="AL97" s="320"/>
      <c r="AM97" s="320"/>
      <c r="AN97" s="320"/>
      <c r="AO97" s="320"/>
      <c r="AP97" s="320"/>
      <c r="AQ97" s="320"/>
      <c r="AR97" s="320"/>
      <c r="AS97" s="320"/>
      <c r="AT97" s="320"/>
      <c r="AU97" s="321"/>
    </row>
    <row r="98">
      <c r="A98" s="319"/>
      <c r="B98" s="320"/>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c r="AA98" s="320"/>
      <c r="AB98" s="320"/>
      <c r="AC98" s="320"/>
      <c r="AD98" s="320"/>
      <c r="AE98" s="320"/>
      <c r="AF98" s="320"/>
      <c r="AG98" s="320"/>
      <c r="AH98" s="320"/>
      <c r="AI98" s="320"/>
      <c r="AJ98" s="320"/>
      <c r="AK98" s="320"/>
      <c r="AL98" s="320"/>
      <c r="AM98" s="320"/>
      <c r="AN98" s="320"/>
      <c r="AO98" s="320"/>
      <c r="AP98" s="320"/>
      <c r="AQ98" s="320"/>
      <c r="AR98" s="320"/>
      <c r="AS98" s="320"/>
      <c r="AT98" s="320"/>
      <c r="AU98" s="321"/>
    </row>
    <row r="99">
      <c r="A99" s="319"/>
      <c r="B99" s="320"/>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c r="AA99" s="320"/>
      <c r="AB99" s="320"/>
      <c r="AC99" s="320"/>
      <c r="AD99" s="320"/>
      <c r="AE99" s="320"/>
      <c r="AF99" s="320"/>
      <c r="AG99" s="320"/>
      <c r="AH99" s="320"/>
      <c r="AI99" s="320"/>
      <c r="AJ99" s="320"/>
      <c r="AK99" s="320"/>
      <c r="AL99" s="320"/>
      <c r="AM99" s="320"/>
      <c r="AN99" s="320"/>
      <c r="AO99" s="320"/>
      <c r="AP99" s="320"/>
      <c r="AQ99" s="320"/>
      <c r="AR99" s="320"/>
      <c r="AS99" s="320"/>
      <c r="AT99" s="320"/>
      <c r="AU99" s="321"/>
    </row>
    <row r="100">
      <c r="A100" s="319"/>
      <c r="B100" s="320"/>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c r="AA100" s="320"/>
      <c r="AB100" s="320"/>
      <c r="AC100" s="320"/>
      <c r="AD100" s="320"/>
      <c r="AE100" s="320"/>
      <c r="AF100" s="320"/>
      <c r="AG100" s="320"/>
      <c r="AH100" s="320"/>
      <c r="AI100" s="320"/>
      <c r="AJ100" s="320"/>
      <c r="AK100" s="320"/>
      <c r="AL100" s="320"/>
      <c r="AM100" s="320"/>
      <c r="AN100" s="320"/>
      <c r="AO100" s="320"/>
      <c r="AP100" s="320"/>
      <c r="AQ100" s="320"/>
      <c r="AR100" s="320"/>
      <c r="AS100" s="320"/>
      <c r="AT100" s="320"/>
      <c r="AU100" s="321"/>
    </row>
    <row r="101">
      <c r="A101" s="319"/>
      <c r="B101" s="320"/>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c r="AA101" s="320"/>
      <c r="AB101" s="320"/>
      <c r="AC101" s="320"/>
      <c r="AD101" s="320"/>
      <c r="AE101" s="320"/>
      <c r="AF101" s="320"/>
      <c r="AG101" s="320"/>
      <c r="AH101" s="320"/>
      <c r="AI101" s="320"/>
      <c r="AJ101" s="320"/>
      <c r="AK101" s="320"/>
      <c r="AL101" s="320"/>
      <c r="AM101" s="320"/>
      <c r="AN101" s="320"/>
      <c r="AO101" s="320"/>
      <c r="AP101" s="320"/>
      <c r="AQ101" s="320"/>
      <c r="AR101" s="320"/>
      <c r="AS101" s="320"/>
      <c r="AT101" s="320"/>
      <c r="AU101" s="321"/>
    </row>
    <row r="102">
      <c r="A102" s="319"/>
      <c r="B102" s="320"/>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c r="AA102" s="320"/>
      <c r="AB102" s="320"/>
      <c r="AC102" s="320"/>
      <c r="AD102" s="320"/>
      <c r="AE102" s="320"/>
      <c r="AF102" s="320"/>
      <c r="AG102" s="320"/>
      <c r="AH102" s="320"/>
      <c r="AI102" s="320"/>
      <c r="AJ102" s="320"/>
      <c r="AK102" s="320"/>
      <c r="AL102" s="320"/>
      <c r="AM102" s="320"/>
      <c r="AN102" s="320"/>
      <c r="AO102" s="320"/>
      <c r="AP102" s="320"/>
      <c r="AQ102" s="320"/>
      <c r="AR102" s="320"/>
      <c r="AS102" s="320"/>
      <c r="AT102" s="320"/>
      <c r="AU102" s="321"/>
    </row>
    <row r="103">
      <c r="A103" s="319"/>
      <c r="B103" s="320"/>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c r="AA103" s="320"/>
      <c r="AB103" s="320"/>
      <c r="AC103" s="320"/>
      <c r="AD103" s="320"/>
      <c r="AE103" s="320"/>
      <c r="AF103" s="320"/>
      <c r="AG103" s="320"/>
      <c r="AH103" s="320"/>
      <c r="AI103" s="320"/>
      <c r="AJ103" s="320"/>
      <c r="AK103" s="320"/>
      <c r="AL103" s="320"/>
      <c r="AM103" s="320"/>
      <c r="AN103" s="320"/>
      <c r="AO103" s="320"/>
      <c r="AP103" s="320"/>
      <c r="AQ103" s="320"/>
      <c r="AR103" s="320"/>
      <c r="AS103" s="320"/>
      <c r="AT103" s="320"/>
      <c r="AU103" s="321"/>
    </row>
    <row r="104">
      <c r="A104" s="319"/>
      <c r="B104" s="320"/>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c r="AA104" s="320"/>
      <c r="AB104" s="320"/>
      <c r="AC104" s="320"/>
      <c r="AD104" s="320"/>
      <c r="AE104" s="320"/>
      <c r="AF104" s="320"/>
      <c r="AG104" s="320"/>
      <c r="AH104" s="320"/>
      <c r="AI104" s="320"/>
      <c r="AJ104" s="320"/>
      <c r="AK104" s="320"/>
      <c r="AL104" s="320"/>
      <c r="AM104" s="320"/>
      <c r="AN104" s="320"/>
      <c r="AO104" s="320"/>
      <c r="AP104" s="320"/>
      <c r="AQ104" s="320"/>
      <c r="AR104" s="320"/>
      <c r="AS104" s="320"/>
      <c r="AT104" s="320"/>
      <c r="AU104" s="321"/>
    </row>
    <row r="105">
      <c r="A105" s="319"/>
      <c r="B105" s="320"/>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c r="AA105" s="320"/>
      <c r="AB105" s="320"/>
      <c r="AC105" s="320"/>
      <c r="AD105" s="320"/>
      <c r="AE105" s="320"/>
      <c r="AF105" s="320"/>
      <c r="AG105" s="320"/>
      <c r="AH105" s="320"/>
      <c r="AI105" s="320"/>
      <c r="AJ105" s="320"/>
      <c r="AK105" s="320"/>
      <c r="AL105" s="320"/>
      <c r="AM105" s="320"/>
      <c r="AN105" s="320"/>
      <c r="AO105" s="320"/>
      <c r="AP105" s="320"/>
      <c r="AQ105" s="320"/>
      <c r="AR105" s="320"/>
      <c r="AS105" s="320"/>
      <c r="AT105" s="320"/>
      <c r="AU105" s="321"/>
    </row>
    <row r="106">
      <c r="A106" s="319"/>
      <c r="B106" s="320"/>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c r="AA106" s="320"/>
      <c r="AB106" s="320"/>
      <c r="AC106" s="320"/>
      <c r="AD106" s="320"/>
      <c r="AE106" s="320"/>
      <c r="AF106" s="320"/>
      <c r="AG106" s="320"/>
      <c r="AH106" s="320"/>
      <c r="AI106" s="320"/>
      <c r="AJ106" s="320"/>
      <c r="AK106" s="320"/>
      <c r="AL106" s="320"/>
      <c r="AM106" s="320"/>
      <c r="AN106" s="320"/>
      <c r="AO106" s="320"/>
      <c r="AP106" s="320"/>
      <c r="AQ106" s="320"/>
      <c r="AR106" s="320"/>
      <c r="AS106" s="320"/>
      <c r="AT106" s="320"/>
      <c r="AU106" s="321"/>
    </row>
    <row r="107">
      <c r="A107" s="319"/>
      <c r="B107" s="320"/>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c r="AA107" s="320"/>
      <c r="AB107" s="320"/>
      <c r="AC107" s="320"/>
      <c r="AD107" s="320"/>
      <c r="AE107" s="320"/>
      <c r="AF107" s="320"/>
      <c r="AG107" s="320"/>
      <c r="AH107" s="320"/>
      <c r="AI107" s="320"/>
      <c r="AJ107" s="320"/>
      <c r="AK107" s="320"/>
      <c r="AL107" s="320"/>
      <c r="AM107" s="320"/>
      <c r="AN107" s="320"/>
      <c r="AO107" s="320"/>
      <c r="AP107" s="320"/>
      <c r="AQ107" s="320"/>
      <c r="AR107" s="320"/>
      <c r="AS107" s="320"/>
      <c r="AT107" s="320"/>
      <c r="AU107" s="321"/>
    </row>
    <row r="108">
      <c r="A108" s="319"/>
      <c r="B108" s="320"/>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c r="AA108" s="320"/>
      <c r="AB108" s="320"/>
      <c r="AC108" s="320"/>
      <c r="AD108" s="320"/>
      <c r="AE108" s="320"/>
      <c r="AF108" s="320"/>
      <c r="AG108" s="320"/>
      <c r="AH108" s="320"/>
      <c r="AI108" s="320"/>
      <c r="AJ108" s="320"/>
      <c r="AK108" s="320"/>
      <c r="AL108" s="320"/>
      <c r="AM108" s="320"/>
      <c r="AN108" s="320"/>
      <c r="AO108" s="320"/>
      <c r="AP108" s="320"/>
      <c r="AQ108" s="320"/>
      <c r="AR108" s="320"/>
      <c r="AS108" s="320"/>
      <c r="AT108" s="320"/>
      <c r="AU108" s="321"/>
    </row>
    <row r="109">
      <c r="A109" s="319"/>
      <c r="B109" s="320"/>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c r="AA109" s="320"/>
      <c r="AB109" s="320"/>
      <c r="AC109" s="320"/>
      <c r="AD109" s="320"/>
      <c r="AE109" s="320"/>
      <c r="AF109" s="320"/>
      <c r="AG109" s="320"/>
      <c r="AH109" s="320"/>
      <c r="AI109" s="320"/>
      <c r="AJ109" s="320"/>
      <c r="AK109" s="320"/>
      <c r="AL109" s="320"/>
      <c r="AM109" s="320"/>
      <c r="AN109" s="320"/>
      <c r="AO109" s="320"/>
      <c r="AP109" s="320"/>
      <c r="AQ109" s="320"/>
      <c r="AR109" s="320"/>
      <c r="AS109" s="320"/>
      <c r="AT109" s="320"/>
      <c r="AU109" s="321"/>
    </row>
    <row r="110">
      <c r="A110" s="319"/>
      <c r="B110" s="320"/>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c r="AA110" s="320"/>
      <c r="AB110" s="320"/>
      <c r="AC110" s="320"/>
      <c r="AD110" s="320"/>
      <c r="AE110" s="320"/>
      <c r="AF110" s="320"/>
      <c r="AG110" s="320"/>
      <c r="AH110" s="320"/>
      <c r="AI110" s="320"/>
      <c r="AJ110" s="320"/>
      <c r="AK110" s="320"/>
      <c r="AL110" s="320"/>
      <c r="AM110" s="320"/>
      <c r="AN110" s="320"/>
      <c r="AO110" s="320"/>
      <c r="AP110" s="320"/>
      <c r="AQ110" s="320"/>
      <c r="AR110" s="320"/>
      <c r="AS110" s="320"/>
      <c r="AT110" s="320"/>
      <c r="AU110" s="321"/>
    </row>
    <row r="111">
      <c r="A111" s="319"/>
      <c r="B111" s="320"/>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c r="AA111" s="320"/>
      <c r="AB111" s="320"/>
      <c r="AC111" s="320"/>
      <c r="AD111" s="320"/>
      <c r="AE111" s="320"/>
      <c r="AF111" s="320"/>
      <c r="AG111" s="320"/>
      <c r="AH111" s="320"/>
      <c r="AI111" s="320"/>
      <c r="AJ111" s="320"/>
      <c r="AK111" s="320"/>
      <c r="AL111" s="320"/>
      <c r="AM111" s="320"/>
      <c r="AN111" s="320"/>
      <c r="AO111" s="320"/>
      <c r="AP111" s="320"/>
      <c r="AQ111" s="320"/>
      <c r="AR111" s="320"/>
      <c r="AS111" s="320"/>
      <c r="AT111" s="320"/>
      <c r="AU111" s="321"/>
    </row>
    <row r="112">
      <c r="A112" s="319"/>
      <c r="B112" s="320"/>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c r="AA112" s="320"/>
      <c r="AB112" s="320"/>
      <c r="AC112" s="320"/>
      <c r="AD112" s="320"/>
      <c r="AE112" s="320"/>
      <c r="AF112" s="320"/>
      <c r="AG112" s="320"/>
      <c r="AH112" s="320"/>
      <c r="AI112" s="320"/>
      <c r="AJ112" s="320"/>
      <c r="AK112" s="320"/>
      <c r="AL112" s="320"/>
      <c r="AM112" s="320"/>
      <c r="AN112" s="320"/>
      <c r="AO112" s="320"/>
      <c r="AP112" s="320"/>
      <c r="AQ112" s="320"/>
      <c r="AR112" s="320"/>
      <c r="AS112" s="320"/>
      <c r="AT112" s="320"/>
      <c r="AU112" s="321"/>
    </row>
    <row r="113">
      <c r="A113" s="319"/>
      <c r="B113" s="320"/>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c r="AA113" s="320"/>
      <c r="AB113" s="320"/>
      <c r="AC113" s="320"/>
      <c r="AD113" s="320"/>
      <c r="AE113" s="320"/>
      <c r="AF113" s="320"/>
      <c r="AG113" s="320"/>
      <c r="AH113" s="320"/>
      <c r="AI113" s="320"/>
      <c r="AJ113" s="320"/>
      <c r="AK113" s="320"/>
      <c r="AL113" s="320"/>
      <c r="AM113" s="320"/>
      <c r="AN113" s="320"/>
      <c r="AO113" s="320"/>
      <c r="AP113" s="320"/>
      <c r="AQ113" s="320"/>
      <c r="AR113" s="320"/>
      <c r="AS113" s="320"/>
      <c r="AT113" s="320"/>
      <c r="AU113" s="321"/>
    </row>
    <row r="114">
      <c r="A114" s="319"/>
      <c r="B114" s="320"/>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c r="AA114" s="320"/>
      <c r="AB114" s="320"/>
      <c r="AC114" s="320"/>
      <c r="AD114" s="320"/>
      <c r="AE114" s="320"/>
      <c r="AF114" s="320"/>
      <c r="AG114" s="320"/>
      <c r="AH114" s="320"/>
      <c r="AI114" s="320"/>
      <c r="AJ114" s="320"/>
      <c r="AK114" s="320"/>
      <c r="AL114" s="320"/>
      <c r="AM114" s="320"/>
      <c r="AN114" s="320"/>
      <c r="AO114" s="320"/>
      <c r="AP114" s="320"/>
      <c r="AQ114" s="320"/>
      <c r="AR114" s="320"/>
      <c r="AS114" s="320"/>
      <c r="AT114" s="320"/>
      <c r="AU114" s="321"/>
    </row>
    <row r="115">
      <c r="A115" s="319"/>
      <c r="B115" s="320"/>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c r="AA115" s="320"/>
      <c r="AB115" s="320"/>
      <c r="AC115" s="320"/>
      <c r="AD115" s="320"/>
      <c r="AE115" s="320"/>
      <c r="AF115" s="320"/>
      <c r="AG115" s="320"/>
      <c r="AH115" s="320"/>
      <c r="AI115" s="320"/>
      <c r="AJ115" s="320"/>
      <c r="AK115" s="320"/>
      <c r="AL115" s="320"/>
      <c r="AM115" s="320"/>
      <c r="AN115" s="320"/>
      <c r="AO115" s="320"/>
      <c r="AP115" s="320"/>
      <c r="AQ115" s="320"/>
      <c r="AR115" s="320"/>
      <c r="AS115" s="320"/>
      <c r="AT115" s="320"/>
      <c r="AU115" s="321"/>
    </row>
    <row r="116">
      <c r="A116" s="319"/>
      <c r="B116" s="320"/>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c r="AA116" s="320"/>
      <c r="AB116" s="320"/>
      <c r="AC116" s="320"/>
      <c r="AD116" s="320"/>
      <c r="AE116" s="320"/>
      <c r="AF116" s="320"/>
      <c r="AG116" s="320"/>
      <c r="AH116" s="320"/>
      <c r="AI116" s="320"/>
      <c r="AJ116" s="320"/>
      <c r="AK116" s="320"/>
      <c r="AL116" s="320"/>
      <c r="AM116" s="320"/>
      <c r="AN116" s="320"/>
      <c r="AO116" s="320"/>
      <c r="AP116" s="320"/>
      <c r="AQ116" s="320"/>
      <c r="AR116" s="320"/>
      <c r="AS116" s="320"/>
      <c r="AT116" s="320"/>
      <c r="AU116" s="321"/>
    </row>
    <row r="117">
      <c r="A117" s="319"/>
      <c r="B117" s="320"/>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c r="AA117" s="320"/>
      <c r="AB117" s="320"/>
      <c r="AC117" s="320"/>
      <c r="AD117" s="320"/>
      <c r="AE117" s="320"/>
      <c r="AF117" s="320"/>
      <c r="AG117" s="320"/>
      <c r="AH117" s="320"/>
      <c r="AI117" s="320"/>
      <c r="AJ117" s="320"/>
      <c r="AK117" s="320"/>
      <c r="AL117" s="320"/>
      <c r="AM117" s="320"/>
      <c r="AN117" s="320"/>
      <c r="AO117" s="320"/>
      <c r="AP117" s="320"/>
      <c r="AQ117" s="320"/>
      <c r="AR117" s="320"/>
      <c r="AS117" s="320"/>
      <c r="AT117" s="320"/>
      <c r="AU117" s="321"/>
    </row>
    <row r="118">
      <c r="A118" s="319"/>
      <c r="B118" s="320"/>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c r="AA118" s="320"/>
      <c r="AB118" s="320"/>
      <c r="AC118" s="320"/>
      <c r="AD118" s="320"/>
      <c r="AE118" s="320"/>
      <c r="AF118" s="320"/>
      <c r="AG118" s="320"/>
      <c r="AH118" s="320"/>
      <c r="AI118" s="320"/>
      <c r="AJ118" s="320"/>
      <c r="AK118" s="320"/>
      <c r="AL118" s="320"/>
      <c r="AM118" s="320"/>
      <c r="AN118" s="320"/>
      <c r="AO118" s="320"/>
      <c r="AP118" s="320"/>
      <c r="AQ118" s="320"/>
      <c r="AR118" s="320"/>
      <c r="AS118" s="320"/>
      <c r="AT118" s="320"/>
      <c r="AU118" s="321"/>
    </row>
    <row r="119">
      <c r="A119" s="319"/>
      <c r="B119" s="320"/>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c r="AA119" s="320"/>
      <c r="AB119" s="320"/>
      <c r="AC119" s="320"/>
      <c r="AD119" s="320"/>
      <c r="AE119" s="320"/>
      <c r="AF119" s="320"/>
      <c r="AG119" s="320"/>
      <c r="AH119" s="320"/>
      <c r="AI119" s="320"/>
      <c r="AJ119" s="320"/>
      <c r="AK119" s="320"/>
      <c r="AL119" s="320"/>
      <c r="AM119" s="320"/>
      <c r="AN119" s="320"/>
      <c r="AO119" s="320"/>
      <c r="AP119" s="320"/>
      <c r="AQ119" s="320"/>
      <c r="AR119" s="320"/>
      <c r="AS119" s="320"/>
      <c r="AT119" s="320"/>
      <c r="AU119" s="321"/>
    </row>
    <row r="120">
      <c r="A120" s="319"/>
      <c r="B120" s="320"/>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c r="AA120" s="320"/>
      <c r="AB120" s="320"/>
      <c r="AC120" s="320"/>
      <c r="AD120" s="320"/>
      <c r="AE120" s="320"/>
      <c r="AF120" s="320"/>
      <c r="AG120" s="320"/>
      <c r="AH120" s="320"/>
      <c r="AI120" s="320"/>
      <c r="AJ120" s="320"/>
      <c r="AK120" s="320"/>
      <c r="AL120" s="320"/>
      <c r="AM120" s="320"/>
      <c r="AN120" s="320"/>
      <c r="AO120" s="320"/>
      <c r="AP120" s="320"/>
      <c r="AQ120" s="320"/>
      <c r="AR120" s="320"/>
      <c r="AS120" s="320"/>
      <c r="AT120" s="320"/>
      <c r="AU120" s="321"/>
    </row>
    <row r="121">
      <c r="A121" s="319"/>
      <c r="B121" s="320"/>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c r="AA121" s="320"/>
      <c r="AB121" s="320"/>
      <c r="AC121" s="320"/>
      <c r="AD121" s="320"/>
      <c r="AE121" s="320"/>
      <c r="AF121" s="320"/>
      <c r="AG121" s="320"/>
      <c r="AH121" s="320"/>
      <c r="AI121" s="320"/>
      <c r="AJ121" s="320"/>
      <c r="AK121" s="320"/>
      <c r="AL121" s="320"/>
      <c r="AM121" s="320"/>
      <c r="AN121" s="320"/>
      <c r="AO121" s="320"/>
      <c r="AP121" s="320"/>
      <c r="AQ121" s="320"/>
      <c r="AR121" s="320"/>
      <c r="AS121" s="320"/>
      <c r="AT121" s="320"/>
      <c r="AU121" s="321"/>
    </row>
    <row r="122">
      <c r="A122" s="319"/>
      <c r="B122" s="320"/>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c r="AA122" s="320"/>
      <c r="AB122" s="320"/>
      <c r="AC122" s="320"/>
      <c r="AD122" s="320"/>
      <c r="AE122" s="320"/>
      <c r="AF122" s="320"/>
      <c r="AG122" s="320"/>
      <c r="AH122" s="320"/>
      <c r="AI122" s="320"/>
      <c r="AJ122" s="320"/>
      <c r="AK122" s="320"/>
      <c r="AL122" s="320"/>
      <c r="AM122" s="320"/>
      <c r="AN122" s="320"/>
      <c r="AO122" s="320"/>
      <c r="AP122" s="320"/>
      <c r="AQ122" s="320"/>
      <c r="AR122" s="320"/>
      <c r="AS122" s="320"/>
      <c r="AT122" s="320"/>
      <c r="AU122" s="321"/>
    </row>
    <row r="123">
      <c r="A123" s="319"/>
      <c r="B123" s="320"/>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c r="AA123" s="320"/>
      <c r="AB123" s="320"/>
      <c r="AC123" s="320"/>
      <c r="AD123" s="320"/>
      <c r="AE123" s="320"/>
      <c r="AF123" s="320"/>
      <c r="AG123" s="320"/>
      <c r="AH123" s="320"/>
      <c r="AI123" s="320"/>
      <c r="AJ123" s="320"/>
      <c r="AK123" s="320"/>
      <c r="AL123" s="320"/>
      <c r="AM123" s="320"/>
      <c r="AN123" s="320"/>
      <c r="AO123" s="320"/>
      <c r="AP123" s="320"/>
      <c r="AQ123" s="320"/>
      <c r="AR123" s="320"/>
      <c r="AS123" s="320"/>
      <c r="AT123" s="320"/>
      <c r="AU123" s="321"/>
    </row>
    <row r="124">
      <c r="A124" s="319"/>
      <c r="B124" s="320"/>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c r="AA124" s="320"/>
      <c r="AB124" s="320"/>
      <c r="AC124" s="320"/>
      <c r="AD124" s="320"/>
      <c r="AE124" s="320"/>
      <c r="AF124" s="320"/>
      <c r="AG124" s="320"/>
      <c r="AH124" s="320"/>
      <c r="AI124" s="320"/>
      <c r="AJ124" s="320"/>
      <c r="AK124" s="320"/>
      <c r="AL124" s="320"/>
      <c r="AM124" s="320"/>
      <c r="AN124" s="320"/>
      <c r="AO124" s="320"/>
      <c r="AP124" s="320"/>
      <c r="AQ124" s="320"/>
      <c r="AR124" s="320"/>
      <c r="AS124" s="320"/>
      <c r="AT124" s="320"/>
      <c r="AU124" s="321"/>
    </row>
    <row r="125">
      <c r="A125" s="319"/>
      <c r="B125" s="320"/>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c r="AA125" s="320"/>
      <c r="AB125" s="320"/>
      <c r="AC125" s="320"/>
      <c r="AD125" s="320"/>
      <c r="AE125" s="320"/>
      <c r="AF125" s="320"/>
      <c r="AG125" s="320"/>
      <c r="AH125" s="320"/>
      <c r="AI125" s="320"/>
      <c r="AJ125" s="320"/>
      <c r="AK125" s="320"/>
      <c r="AL125" s="320"/>
      <c r="AM125" s="320"/>
      <c r="AN125" s="320"/>
      <c r="AO125" s="320"/>
      <c r="AP125" s="320"/>
      <c r="AQ125" s="320"/>
      <c r="AR125" s="320"/>
      <c r="AS125" s="320"/>
      <c r="AT125" s="320"/>
      <c r="AU125" s="321"/>
    </row>
    <row r="126">
      <c r="A126" s="319"/>
      <c r="B126" s="320"/>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c r="AA126" s="320"/>
      <c r="AB126" s="320"/>
      <c r="AC126" s="320"/>
      <c r="AD126" s="320"/>
      <c r="AE126" s="320"/>
      <c r="AF126" s="320"/>
      <c r="AG126" s="320"/>
      <c r="AH126" s="320"/>
      <c r="AI126" s="320"/>
      <c r="AJ126" s="320"/>
      <c r="AK126" s="320"/>
      <c r="AL126" s="320"/>
      <c r="AM126" s="320"/>
      <c r="AN126" s="320"/>
      <c r="AO126" s="320"/>
      <c r="AP126" s="320"/>
      <c r="AQ126" s="320"/>
      <c r="AR126" s="320"/>
      <c r="AS126" s="320"/>
      <c r="AT126" s="320"/>
      <c r="AU126" s="321"/>
    </row>
    <row r="127">
      <c r="A127" s="319"/>
      <c r="B127" s="320"/>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c r="AA127" s="320"/>
      <c r="AB127" s="320"/>
      <c r="AC127" s="320"/>
      <c r="AD127" s="320"/>
      <c r="AE127" s="320"/>
      <c r="AF127" s="320"/>
      <c r="AG127" s="320"/>
      <c r="AH127" s="320"/>
      <c r="AI127" s="320"/>
      <c r="AJ127" s="320"/>
      <c r="AK127" s="320"/>
      <c r="AL127" s="320"/>
      <c r="AM127" s="320"/>
      <c r="AN127" s="320"/>
      <c r="AO127" s="320"/>
      <c r="AP127" s="320"/>
      <c r="AQ127" s="320"/>
      <c r="AR127" s="320"/>
      <c r="AS127" s="320"/>
      <c r="AT127" s="320"/>
      <c r="AU127" s="321"/>
    </row>
    <row r="128">
      <c r="A128" s="319"/>
      <c r="B128" s="320"/>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c r="AA128" s="320"/>
      <c r="AB128" s="320"/>
      <c r="AC128" s="320"/>
      <c r="AD128" s="320"/>
      <c r="AE128" s="320"/>
      <c r="AF128" s="320"/>
      <c r="AG128" s="320"/>
      <c r="AH128" s="320"/>
      <c r="AI128" s="320"/>
      <c r="AJ128" s="320"/>
      <c r="AK128" s="320"/>
      <c r="AL128" s="320"/>
      <c r="AM128" s="320"/>
      <c r="AN128" s="320"/>
      <c r="AO128" s="320"/>
      <c r="AP128" s="320"/>
      <c r="AQ128" s="320"/>
      <c r="AR128" s="320"/>
      <c r="AS128" s="320"/>
      <c r="AT128" s="320"/>
      <c r="AU128" s="321"/>
    </row>
    <row r="129">
      <c r="A129" s="319"/>
      <c r="B129" s="320"/>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c r="AA129" s="320"/>
      <c r="AB129" s="320"/>
      <c r="AC129" s="320"/>
      <c r="AD129" s="320"/>
      <c r="AE129" s="320"/>
      <c r="AF129" s="320"/>
      <c r="AG129" s="320"/>
      <c r="AH129" s="320"/>
      <c r="AI129" s="320"/>
      <c r="AJ129" s="320"/>
      <c r="AK129" s="320"/>
      <c r="AL129" s="320"/>
      <c r="AM129" s="320"/>
      <c r="AN129" s="320"/>
      <c r="AO129" s="320"/>
      <c r="AP129" s="320"/>
      <c r="AQ129" s="320"/>
      <c r="AR129" s="320"/>
      <c r="AS129" s="320"/>
      <c r="AT129" s="320"/>
      <c r="AU129" s="321"/>
    </row>
    <row r="130">
      <c r="A130" s="319"/>
      <c r="B130" s="320"/>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c r="AA130" s="320"/>
      <c r="AB130" s="320"/>
      <c r="AC130" s="320"/>
      <c r="AD130" s="320"/>
      <c r="AE130" s="320"/>
      <c r="AF130" s="320"/>
      <c r="AG130" s="320"/>
      <c r="AH130" s="320"/>
      <c r="AI130" s="320"/>
      <c r="AJ130" s="320"/>
      <c r="AK130" s="320"/>
      <c r="AL130" s="320"/>
      <c r="AM130" s="320"/>
      <c r="AN130" s="320"/>
      <c r="AO130" s="320"/>
      <c r="AP130" s="320"/>
      <c r="AQ130" s="320"/>
      <c r="AR130" s="320"/>
      <c r="AS130" s="320"/>
      <c r="AT130" s="320"/>
      <c r="AU130" s="321"/>
    </row>
    <row r="131">
      <c r="A131" s="319"/>
      <c r="B131" s="320"/>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c r="AA131" s="320"/>
      <c r="AB131" s="320"/>
      <c r="AC131" s="320"/>
      <c r="AD131" s="320"/>
      <c r="AE131" s="320"/>
      <c r="AF131" s="320"/>
      <c r="AG131" s="320"/>
      <c r="AH131" s="320"/>
      <c r="AI131" s="320"/>
      <c r="AJ131" s="320"/>
      <c r="AK131" s="320"/>
      <c r="AL131" s="320"/>
      <c r="AM131" s="320"/>
      <c r="AN131" s="320"/>
      <c r="AO131" s="320"/>
      <c r="AP131" s="320"/>
      <c r="AQ131" s="320"/>
      <c r="AR131" s="320"/>
      <c r="AS131" s="320"/>
      <c r="AT131" s="320"/>
      <c r="AU131" s="321"/>
    </row>
    <row r="132">
      <c r="A132" s="319"/>
      <c r="B132" s="320"/>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c r="AA132" s="320"/>
      <c r="AB132" s="320"/>
      <c r="AC132" s="320"/>
      <c r="AD132" s="320"/>
      <c r="AE132" s="320"/>
      <c r="AF132" s="320"/>
      <c r="AG132" s="320"/>
      <c r="AH132" s="320"/>
      <c r="AI132" s="320"/>
      <c r="AJ132" s="320"/>
      <c r="AK132" s="320"/>
      <c r="AL132" s="320"/>
      <c r="AM132" s="320"/>
      <c r="AN132" s="320"/>
      <c r="AO132" s="320"/>
      <c r="AP132" s="320"/>
      <c r="AQ132" s="320"/>
      <c r="AR132" s="320"/>
      <c r="AS132" s="320"/>
      <c r="AT132" s="320"/>
      <c r="AU132" s="321"/>
    </row>
    <row r="133">
      <c r="A133" s="319"/>
      <c r="B133" s="320"/>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c r="AA133" s="320"/>
      <c r="AB133" s="320"/>
      <c r="AC133" s="320"/>
      <c r="AD133" s="320"/>
      <c r="AE133" s="320"/>
      <c r="AF133" s="320"/>
      <c r="AG133" s="320"/>
      <c r="AH133" s="320"/>
      <c r="AI133" s="320"/>
      <c r="AJ133" s="320"/>
      <c r="AK133" s="320"/>
      <c r="AL133" s="320"/>
      <c r="AM133" s="320"/>
      <c r="AN133" s="320"/>
      <c r="AO133" s="320"/>
      <c r="AP133" s="320"/>
      <c r="AQ133" s="320"/>
      <c r="AR133" s="320"/>
      <c r="AS133" s="320"/>
      <c r="AT133" s="320"/>
      <c r="AU133" s="321"/>
    </row>
    <row r="134">
      <c r="A134" s="319"/>
      <c r="B134" s="320"/>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c r="AA134" s="320"/>
      <c r="AB134" s="320"/>
      <c r="AC134" s="320"/>
      <c r="AD134" s="320"/>
      <c r="AE134" s="320"/>
      <c r="AF134" s="320"/>
      <c r="AG134" s="320"/>
      <c r="AH134" s="320"/>
      <c r="AI134" s="320"/>
      <c r="AJ134" s="320"/>
      <c r="AK134" s="320"/>
      <c r="AL134" s="320"/>
      <c r="AM134" s="320"/>
      <c r="AN134" s="320"/>
      <c r="AO134" s="320"/>
      <c r="AP134" s="320"/>
      <c r="AQ134" s="320"/>
      <c r="AR134" s="320"/>
      <c r="AS134" s="320"/>
      <c r="AT134" s="320"/>
      <c r="AU134" s="321"/>
    </row>
    <row r="135">
      <c r="A135" s="319"/>
      <c r="B135" s="320"/>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c r="AA135" s="320"/>
      <c r="AB135" s="320"/>
      <c r="AC135" s="320"/>
      <c r="AD135" s="320"/>
      <c r="AE135" s="320"/>
      <c r="AF135" s="320"/>
      <c r="AG135" s="320"/>
      <c r="AH135" s="320"/>
      <c r="AI135" s="320"/>
      <c r="AJ135" s="320"/>
      <c r="AK135" s="320"/>
      <c r="AL135" s="320"/>
      <c r="AM135" s="320"/>
      <c r="AN135" s="320"/>
      <c r="AO135" s="320"/>
      <c r="AP135" s="320"/>
      <c r="AQ135" s="320"/>
      <c r="AR135" s="320"/>
      <c r="AS135" s="320"/>
      <c r="AT135" s="320"/>
      <c r="AU135" s="321"/>
    </row>
    <row r="136">
      <c r="A136" s="319"/>
      <c r="B136" s="320"/>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c r="AA136" s="320"/>
      <c r="AB136" s="320"/>
      <c r="AC136" s="320"/>
      <c r="AD136" s="320"/>
      <c r="AE136" s="320"/>
      <c r="AF136" s="320"/>
      <c r="AG136" s="320"/>
      <c r="AH136" s="320"/>
      <c r="AI136" s="320"/>
      <c r="AJ136" s="320"/>
      <c r="AK136" s="320"/>
      <c r="AL136" s="320"/>
      <c r="AM136" s="320"/>
      <c r="AN136" s="320"/>
      <c r="AO136" s="320"/>
      <c r="AP136" s="320"/>
      <c r="AQ136" s="320"/>
      <c r="AR136" s="320"/>
      <c r="AS136" s="320"/>
      <c r="AT136" s="320"/>
      <c r="AU136" s="321"/>
    </row>
    <row r="137">
      <c r="A137" s="319"/>
      <c r="B137" s="320"/>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c r="AA137" s="320"/>
      <c r="AB137" s="320"/>
      <c r="AC137" s="320"/>
      <c r="AD137" s="320"/>
      <c r="AE137" s="320"/>
      <c r="AF137" s="320"/>
      <c r="AG137" s="320"/>
      <c r="AH137" s="320"/>
      <c r="AI137" s="320"/>
      <c r="AJ137" s="320"/>
      <c r="AK137" s="320"/>
      <c r="AL137" s="320"/>
      <c r="AM137" s="320"/>
      <c r="AN137" s="320"/>
      <c r="AO137" s="320"/>
      <c r="AP137" s="320"/>
      <c r="AQ137" s="320"/>
      <c r="AR137" s="320"/>
      <c r="AS137" s="320"/>
      <c r="AT137" s="320"/>
      <c r="AU137" s="321"/>
    </row>
    <row r="138">
      <c r="A138" s="319"/>
      <c r="B138" s="320"/>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c r="AA138" s="320"/>
      <c r="AB138" s="320"/>
      <c r="AC138" s="320"/>
      <c r="AD138" s="320"/>
      <c r="AE138" s="320"/>
      <c r="AF138" s="320"/>
      <c r="AG138" s="320"/>
      <c r="AH138" s="320"/>
      <c r="AI138" s="320"/>
      <c r="AJ138" s="320"/>
      <c r="AK138" s="320"/>
      <c r="AL138" s="320"/>
      <c r="AM138" s="320"/>
      <c r="AN138" s="320"/>
      <c r="AO138" s="320"/>
      <c r="AP138" s="320"/>
      <c r="AQ138" s="320"/>
      <c r="AR138" s="320"/>
      <c r="AS138" s="320"/>
      <c r="AT138" s="320"/>
      <c r="AU138" s="321"/>
    </row>
    <row r="139">
      <c r="A139" s="319"/>
      <c r="B139" s="320"/>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c r="AA139" s="320"/>
      <c r="AB139" s="320"/>
      <c r="AC139" s="320"/>
      <c r="AD139" s="320"/>
      <c r="AE139" s="320"/>
      <c r="AF139" s="320"/>
      <c r="AG139" s="320"/>
      <c r="AH139" s="320"/>
      <c r="AI139" s="320"/>
      <c r="AJ139" s="320"/>
      <c r="AK139" s="320"/>
      <c r="AL139" s="320"/>
      <c r="AM139" s="320"/>
      <c r="AN139" s="320"/>
      <c r="AO139" s="320"/>
      <c r="AP139" s="320"/>
      <c r="AQ139" s="320"/>
      <c r="AR139" s="320"/>
      <c r="AS139" s="320"/>
      <c r="AT139" s="320"/>
      <c r="AU139" s="321"/>
    </row>
    <row r="140">
      <c r="A140" s="319"/>
      <c r="B140" s="320"/>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c r="AA140" s="320"/>
      <c r="AB140" s="320"/>
      <c r="AC140" s="320"/>
      <c r="AD140" s="320"/>
      <c r="AE140" s="320"/>
      <c r="AF140" s="320"/>
      <c r="AG140" s="320"/>
      <c r="AH140" s="320"/>
      <c r="AI140" s="320"/>
      <c r="AJ140" s="320"/>
      <c r="AK140" s="320"/>
      <c r="AL140" s="320"/>
      <c r="AM140" s="320"/>
      <c r="AN140" s="320"/>
      <c r="AO140" s="320"/>
      <c r="AP140" s="320"/>
      <c r="AQ140" s="320"/>
      <c r="AR140" s="320"/>
      <c r="AS140" s="320"/>
      <c r="AT140" s="320"/>
      <c r="AU140" s="321"/>
    </row>
    <row r="141">
      <c r="A141" s="319"/>
      <c r="B141" s="320"/>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c r="AA141" s="320"/>
      <c r="AB141" s="320"/>
      <c r="AC141" s="320"/>
      <c r="AD141" s="320"/>
      <c r="AE141" s="320"/>
      <c r="AF141" s="320"/>
      <c r="AG141" s="320"/>
      <c r="AH141" s="320"/>
      <c r="AI141" s="320"/>
      <c r="AJ141" s="320"/>
      <c r="AK141" s="320"/>
      <c r="AL141" s="320"/>
      <c r="AM141" s="320"/>
      <c r="AN141" s="320"/>
      <c r="AO141" s="320"/>
      <c r="AP141" s="320"/>
      <c r="AQ141" s="320"/>
      <c r="AR141" s="320"/>
      <c r="AS141" s="320"/>
      <c r="AT141" s="320"/>
      <c r="AU141" s="321"/>
    </row>
    <row r="142">
      <c r="A142" s="319"/>
      <c r="B142" s="320"/>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c r="AA142" s="320"/>
      <c r="AB142" s="320"/>
      <c r="AC142" s="320"/>
      <c r="AD142" s="320"/>
      <c r="AE142" s="320"/>
      <c r="AF142" s="320"/>
      <c r="AG142" s="320"/>
      <c r="AH142" s="320"/>
      <c r="AI142" s="320"/>
      <c r="AJ142" s="320"/>
      <c r="AK142" s="320"/>
      <c r="AL142" s="320"/>
      <c r="AM142" s="320"/>
      <c r="AN142" s="320"/>
      <c r="AO142" s="320"/>
      <c r="AP142" s="320"/>
      <c r="AQ142" s="320"/>
      <c r="AR142" s="320"/>
      <c r="AS142" s="320"/>
      <c r="AT142" s="320"/>
      <c r="AU142" s="321"/>
    </row>
    <row r="143">
      <c r="A143" s="319"/>
      <c r="B143" s="320"/>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c r="AA143" s="320"/>
      <c r="AB143" s="320"/>
      <c r="AC143" s="320"/>
      <c r="AD143" s="320"/>
      <c r="AE143" s="320"/>
      <c r="AF143" s="320"/>
      <c r="AG143" s="320"/>
      <c r="AH143" s="320"/>
      <c r="AI143" s="320"/>
      <c r="AJ143" s="320"/>
      <c r="AK143" s="320"/>
      <c r="AL143" s="320"/>
      <c r="AM143" s="320"/>
      <c r="AN143" s="320"/>
      <c r="AO143" s="320"/>
      <c r="AP143" s="320"/>
      <c r="AQ143" s="320"/>
      <c r="AR143" s="320"/>
      <c r="AS143" s="320"/>
      <c r="AT143" s="320"/>
      <c r="AU143" s="321"/>
    </row>
    <row r="144">
      <c r="A144" s="319"/>
      <c r="B144" s="320"/>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c r="AA144" s="320"/>
      <c r="AB144" s="320"/>
      <c r="AC144" s="320"/>
      <c r="AD144" s="320"/>
      <c r="AE144" s="320"/>
      <c r="AF144" s="320"/>
      <c r="AG144" s="320"/>
      <c r="AH144" s="320"/>
      <c r="AI144" s="320"/>
      <c r="AJ144" s="320"/>
      <c r="AK144" s="320"/>
      <c r="AL144" s="320"/>
      <c r="AM144" s="320"/>
      <c r="AN144" s="320"/>
      <c r="AO144" s="320"/>
      <c r="AP144" s="320"/>
      <c r="AQ144" s="320"/>
      <c r="AR144" s="320"/>
      <c r="AS144" s="320"/>
      <c r="AT144" s="320"/>
      <c r="AU144" s="321"/>
    </row>
    <row r="145">
      <c r="A145" s="319"/>
      <c r="B145" s="320"/>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c r="AA145" s="320"/>
      <c r="AB145" s="320"/>
      <c r="AC145" s="320"/>
      <c r="AD145" s="320"/>
      <c r="AE145" s="320"/>
      <c r="AF145" s="320"/>
      <c r="AG145" s="320"/>
      <c r="AH145" s="320"/>
      <c r="AI145" s="320"/>
      <c r="AJ145" s="320"/>
      <c r="AK145" s="320"/>
      <c r="AL145" s="320"/>
      <c r="AM145" s="320"/>
      <c r="AN145" s="320"/>
      <c r="AO145" s="320"/>
      <c r="AP145" s="320"/>
      <c r="AQ145" s="320"/>
      <c r="AR145" s="320"/>
      <c r="AS145" s="320"/>
      <c r="AT145" s="320"/>
      <c r="AU145" s="321"/>
    </row>
    <row r="146">
      <c r="A146" s="319"/>
      <c r="B146" s="320"/>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c r="AA146" s="320"/>
      <c r="AB146" s="320"/>
      <c r="AC146" s="320"/>
      <c r="AD146" s="320"/>
      <c r="AE146" s="320"/>
      <c r="AF146" s="320"/>
      <c r="AG146" s="320"/>
      <c r="AH146" s="320"/>
      <c r="AI146" s="320"/>
      <c r="AJ146" s="320"/>
      <c r="AK146" s="320"/>
      <c r="AL146" s="320"/>
      <c r="AM146" s="320"/>
      <c r="AN146" s="320"/>
      <c r="AO146" s="320"/>
      <c r="AP146" s="320"/>
      <c r="AQ146" s="320"/>
      <c r="AR146" s="320"/>
      <c r="AS146" s="320"/>
      <c r="AT146" s="320"/>
      <c r="AU146" s="321"/>
    </row>
    <row r="147">
      <c r="A147" s="319"/>
      <c r="B147" s="320"/>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c r="AA147" s="320"/>
      <c r="AB147" s="320"/>
      <c r="AC147" s="320"/>
      <c r="AD147" s="320"/>
      <c r="AE147" s="320"/>
      <c r="AF147" s="320"/>
      <c r="AG147" s="320"/>
      <c r="AH147" s="320"/>
      <c r="AI147" s="320"/>
      <c r="AJ147" s="320"/>
      <c r="AK147" s="320"/>
      <c r="AL147" s="320"/>
      <c r="AM147" s="320"/>
      <c r="AN147" s="320"/>
      <c r="AO147" s="320"/>
      <c r="AP147" s="320"/>
      <c r="AQ147" s="320"/>
      <c r="AR147" s="320"/>
      <c r="AS147" s="320"/>
      <c r="AT147" s="320"/>
      <c r="AU147" s="321"/>
    </row>
    <row r="148">
      <c r="A148" s="319"/>
      <c r="B148" s="320"/>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c r="AA148" s="320"/>
      <c r="AB148" s="320"/>
      <c r="AC148" s="320"/>
      <c r="AD148" s="320"/>
      <c r="AE148" s="320"/>
      <c r="AF148" s="320"/>
      <c r="AG148" s="320"/>
      <c r="AH148" s="320"/>
      <c r="AI148" s="320"/>
      <c r="AJ148" s="320"/>
      <c r="AK148" s="320"/>
      <c r="AL148" s="320"/>
      <c r="AM148" s="320"/>
      <c r="AN148" s="320"/>
      <c r="AO148" s="320"/>
      <c r="AP148" s="320"/>
      <c r="AQ148" s="320"/>
      <c r="AR148" s="320"/>
      <c r="AS148" s="320"/>
      <c r="AT148" s="320"/>
      <c r="AU148" s="321"/>
    </row>
    <row r="149">
      <c r="A149" s="319"/>
      <c r="B149" s="320"/>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c r="AA149" s="320"/>
      <c r="AB149" s="320"/>
      <c r="AC149" s="320"/>
      <c r="AD149" s="320"/>
      <c r="AE149" s="320"/>
      <c r="AF149" s="320"/>
      <c r="AG149" s="320"/>
      <c r="AH149" s="320"/>
      <c r="AI149" s="320"/>
      <c r="AJ149" s="320"/>
      <c r="AK149" s="320"/>
      <c r="AL149" s="320"/>
      <c r="AM149" s="320"/>
      <c r="AN149" s="320"/>
      <c r="AO149" s="320"/>
      <c r="AP149" s="320"/>
      <c r="AQ149" s="320"/>
      <c r="AR149" s="320"/>
      <c r="AS149" s="320"/>
      <c r="AT149" s="320"/>
      <c r="AU149" s="321"/>
    </row>
    <row r="150">
      <c r="A150" s="319"/>
      <c r="B150" s="320"/>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c r="AA150" s="320"/>
      <c r="AB150" s="320"/>
      <c r="AC150" s="320"/>
      <c r="AD150" s="320"/>
      <c r="AE150" s="320"/>
      <c r="AF150" s="320"/>
      <c r="AG150" s="320"/>
      <c r="AH150" s="320"/>
      <c r="AI150" s="320"/>
      <c r="AJ150" s="320"/>
      <c r="AK150" s="320"/>
      <c r="AL150" s="320"/>
      <c r="AM150" s="320"/>
      <c r="AN150" s="320"/>
      <c r="AO150" s="320"/>
      <c r="AP150" s="320"/>
      <c r="AQ150" s="320"/>
      <c r="AR150" s="320"/>
      <c r="AS150" s="320"/>
      <c r="AT150" s="320"/>
      <c r="AU150" s="321"/>
    </row>
    <row r="151">
      <c r="A151" s="319"/>
      <c r="B151" s="320"/>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c r="AA151" s="320"/>
      <c r="AB151" s="320"/>
      <c r="AC151" s="320"/>
      <c r="AD151" s="320"/>
      <c r="AE151" s="320"/>
      <c r="AF151" s="320"/>
      <c r="AG151" s="320"/>
      <c r="AH151" s="320"/>
      <c r="AI151" s="320"/>
      <c r="AJ151" s="320"/>
      <c r="AK151" s="320"/>
      <c r="AL151" s="320"/>
      <c r="AM151" s="320"/>
      <c r="AN151" s="320"/>
      <c r="AO151" s="320"/>
      <c r="AP151" s="320"/>
      <c r="AQ151" s="320"/>
      <c r="AR151" s="320"/>
      <c r="AS151" s="320"/>
      <c r="AT151" s="320"/>
      <c r="AU151" s="321"/>
    </row>
    <row r="152">
      <c r="A152" s="319"/>
      <c r="B152" s="320"/>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c r="AA152" s="320"/>
      <c r="AB152" s="320"/>
      <c r="AC152" s="320"/>
      <c r="AD152" s="320"/>
      <c r="AE152" s="320"/>
      <c r="AF152" s="320"/>
      <c r="AG152" s="320"/>
      <c r="AH152" s="320"/>
      <c r="AI152" s="320"/>
      <c r="AJ152" s="320"/>
      <c r="AK152" s="320"/>
      <c r="AL152" s="320"/>
      <c r="AM152" s="320"/>
      <c r="AN152" s="320"/>
      <c r="AO152" s="320"/>
      <c r="AP152" s="320"/>
      <c r="AQ152" s="320"/>
      <c r="AR152" s="320"/>
      <c r="AS152" s="320"/>
      <c r="AT152" s="320"/>
      <c r="AU152" s="321"/>
    </row>
    <row r="153">
      <c r="A153" s="319"/>
      <c r="B153" s="320"/>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c r="AA153" s="320"/>
      <c r="AB153" s="320"/>
      <c r="AC153" s="320"/>
      <c r="AD153" s="320"/>
      <c r="AE153" s="320"/>
      <c r="AF153" s="320"/>
      <c r="AG153" s="320"/>
      <c r="AH153" s="320"/>
      <c r="AI153" s="320"/>
      <c r="AJ153" s="320"/>
      <c r="AK153" s="320"/>
      <c r="AL153" s="320"/>
      <c r="AM153" s="320"/>
      <c r="AN153" s="320"/>
      <c r="AO153" s="320"/>
      <c r="AP153" s="320"/>
      <c r="AQ153" s="320"/>
      <c r="AR153" s="320"/>
      <c r="AS153" s="320"/>
      <c r="AT153" s="320"/>
      <c r="AU153" s="321"/>
    </row>
    <row r="154">
      <c r="A154" s="319"/>
      <c r="B154" s="320"/>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c r="AA154" s="320"/>
      <c r="AB154" s="320"/>
      <c r="AC154" s="320"/>
      <c r="AD154" s="320"/>
      <c r="AE154" s="320"/>
      <c r="AF154" s="320"/>
      <c r="AG154" s="320"/>
      <c r="AH154" s="320"/>
      <c r="AI154" s="320"/>
      <c r="AJ154" s="320"/>
      <c r="AK154" s="320"/>
      <c r="AL154" s="320"/>
      <c r="AM154" s="320"/>
      <c r="AN154" s="320"/>
      <c r="AO154" s="320"/>
      <c r="AP154" s="320"/>
      <c r="AQ154" s="320"/>
      <c r="AR154" s="320"/>
      <c r="AS154" s="320"/>
      <c r="AT154" s="320"/>
      <c r="AU154" s="321"/>
    </row>
    <row r="155">
      <c r="A155" s="319"/>
      <c r="B155" s="320"/>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c r="AA155" s="320"/>
      <c r="AB155" s="320"/>
      <c r="AC155" s="320"/>
      <c r="AD155" s="320"/>
      <c r="AE155" s="320"/>
      <c r="AF155" s="320"/>
      <c r="AG155" s="320"/>
      <c r="AH155" s="320"/>
      <c r="AI155" s="320"/>
      <c r="AJ155" s="320"/>
      <c r="AK155" s="320"/>
      <c r="AL155" s="320"/>
      <c r="AM155" s="320"/>
      <c r="AN155" s="320"/>
      <c r="AO155" s="320"/>
      <c r="AP155" s="320"/>
      <c r="AQ155" s="320"/>
      <c r="AR155" s="320"/>
      <c r="AS155" s="320"/>
      <c r="AT155" s="320"/>
      <c r="AU155" s="321"/>
    </row>
    <row r="156">
      <c r="A156" s="319"/>
      <c r="B156" s="320"/>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c r="AA156" s="320"/>
      <c r="AB156" s="320"/>
      <c r="AC156" s="320"/>
      <c r="AD156" s="320"/>
      <c r="AE156" s="320"/>
      <c r="AF156" s="320"/>
      <c r="AG156" s="320"/>
      <c r="AH156" s="320"/>
      <c r="AI156" s="320"/>
      <c r="AJ156" s="320"/>
      <c r="AK156" s="320"/>
      <c r="AL156" s="320"/>
      <c r="AM156" s="320"/>
      <c r="AN156" s="320"/>
      <c r="AO156" s="320"/>
      <c r="AP156" s="320"/>
      <c r="AQ156" s="320"/>
      <c r="AR156" s="320"/>
      <c r="AS156" s="320"/>
      <c r="AT156" s="320"/>
      <c r="AU156" s="321"/>
    </row>
    <row r="157">
      <c r="A157" s="319"/>
      <c r="B157" s="320"/>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c r="AA157" s="320"/>
      <c r="AB157" s="320"/>
      <c r="AC157" s="320"/>
      <c r="AD157" s="320"/>
      <c r="AE157" s="320"/>
      <c r="AF157" s="320"/>
      <c r="AG157" s="320"/>
      <c r="AH157" s="320"/>
      <c r="AI157" s="320"/>
      <c r="AJ157" s="320"/>
      <c r="AK157" s="320"/>
      <c r="AL157" s="320"/>
      <c r="AM157" s="320"/>
      <c r="AN157" s="320"/>
      <c r="AO157" s="320"/>
      <c r="AP157" s="320"/>
      <c r="AQ157" s="320"/>
      <c r="AR157" s="320"/>
      <c r="AS157" s="320"/>
      <c r="AT157" s="320"/>
      <c r="AU157" s="321"/>
    </row>
    <row r="158">
      <c r="A158" s="319"/>
      <c r="B158" s="320"/>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c r="AA158" s="320"/>
      <c r="AB158" s="320"/>
      <c r="AC158" s="320"/>
      <c r="AD158" s="320"/>
      <c r="AE158" s="320"/>
      <c r="AF158" s="320"/>
      <c r="AG158" s="320"/>
      <c r="AH158" s="320"/>
      <c r="AI158" s="320"/>
      <c r="AJ158" s="320"/>
      <c r="AK158" s="320"/>
      <c r="AL158" s="320"/>
      <c r="AM158" s="320"/>
      <c r="AN158" s="320"/>
      <c r="AO158" s="320"/>
      <c r="AP158" s="320"/>
      <c r="AQ158" s="320"/>
      <c r="AR158" s="320"/>
      <c r="AS158" s="320"/>
      <c r="AT158" s="320"/>
      <c r="AU158" s="321"/>
    </row>
    <row r="159">
      <c r="A159" s="319"/>
      <c r="B159" s="320"/>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c r="AA159" s="320"/>
      <c r="AB159" s="320"/>
      <c r="AC159" s="320"/>
      <c r="AD159" s="320"/>
      <c r="AE159" s="320"/>
      <c r="AF159" s="320"/>
      <c r="AG159" s="320"/>
      <c r="AH159" s="320"/>
      <c r="AI159" s="320"/>
      <c r="AJ159" s="320"/>
      <c r="AK159" s="320"/>
      <c r="AL159" s="320"/>
      <c r="AM159" s="320"/>
      <c r="AN159" s="320"/>
      <c r="AO159" s="320"/>
      <c r="AP159" s="320"/>
      <c r="AQ159" s="320"/>
      <c r="AR159" s="320"/>
      <c r="AS159" s="320"/>
      <c r="AT159" s="320"/>
      <c r="AU159" s="321"/>
    </row>
    <row r="160">
      <c r="A160" s="319"/>
      <c r="B160" s="320"/>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c r="AA160" s="320"/>
      <c r="AB160" s="320"/>
      <c r="AC160" s="320"/>
      <c r="AD160" s="320"/>
      <c r="AE160" s="320"/>
      <c r="AF160" s="320"/>
      <c r="AG160" s="320"/>
      <c r="AH160" s="320"/>
      <c r="AI160" s="320"/>
      <c r="AJ160" s="320"/>
      <c r="AK160" s="320"/>
      <c r="AL160" s="320"/>
      <c r="AM160" s="320"/>
      <c r="AN160" s="320"/>
      <c r="AO160" s="320"/>
      <c r="AP160" s="320"/>
      <c r="AQ160" s="320"/>
      <c r="AR160" s="320"/>
      <c r="AS160" s="320"/>
      <c r="AT160" s="320"/>
      <c r="AU160" s="321"/>
    </row>
    <row r="161">
      <c r="A161" s="319"/>
      <c r="B161" s="320"/>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c r="AA161" s="320"/>
      <c r="AB161" s="320"/>
      <c r="AC161" s="320"/>
      <c r="AD161" s="320"/>
      <c r="AE161" s="320"/>
      <c r="AF161" s="320"/>
      <c r="AG161" s="320"/>
      <c r="AH161" s="320"/>
      <c r="AI161" s="320"/>
      <c r="AJ161" s="320"/>
      <c r="AK161" s="320"/>
      <c r="AL161" s="320"/>
      <c r="AM161" s="320"/>
      <c r="AN161" s="320"/>
      <c r="AO161" s="320"/>
      <c r="AP161" s="320"/>
      <c r="AQ161" s="320"/>
      <c r="AR161" s="320"/>
      <c r="AS161" s="320"/>
      <c r="AT161" s="320"/>
      <c r="AU161" s="321"/>
    </row>
    <row r="162">
      <c r="A162" s="319"/>
      <c r="B162" s="320"/>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c r="AA162" s="320"/>
      <c r="AB162" s="320"/>
      <c r="AC162" s="320"/>
      <c r="AD162" s="320"/>
      <c r="AE162" s="320"/>
      <c r="AF162" s="320"/>
      <c r="AG162" s="320"/>
      <c r="AH162" s="320"/>
      <c r="AI162" s="320"/>
      <c r="AJ162" s="320"/>
      <c r="AK162" s="320"/>
      <c r="AL162" s="320"/>
      <c r="AM162" s="320"/>
      <c r="AN162" s="320"/>
      <c r="AO162" s="320"/>
      <c r="AP162" s="320"/>
      <c r="AQ162" s="320"/>
      <c r="AR162" s="320"/>
      <c r="AS162" s="320"/>
      <c r="AT162" s="320"/>
      <c r="AU162" s="321"/>
    </row>
    <row r="163">
      <c r="A163" s="319"/>
      <c r="B163" s="320"/>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c r="AA163" s="320"/>
      <c r="AB163" s="320"/>
      <c r="AC163" s="320"/>
      <c r="AD163" s="320"/>
      <c r="AE163" s="320"/>
      <c r="AF163" s="320"/>
      <c r="AG163" s="320"/>
      <c r="AH163" s="320"/>
      <c r="AI163" s="320"/>
      <c r="AJ163" s="320"/>
      <c r="AK163" s="320"/>
      <c r="AL163" s="320"/>
      <c r="AM163" s="320"/>
      <c r="AN163" s="320"/>
      <c r="AO163" s="320"/>
      <c r="AP163" s="320"/>
      <c r="AQ163" s="320"/>
      <c r="AR163" s="320"/>
      <c r="AS163" s="320"/>
      <c r="AT163" s="320"/>
      <c r="AU163" s="321"/>
    </row>
    <row r="164">
      <c r="A164" s="319"/>
      <c r="B164" s="320"/>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c r="AA164" s="320"/>
      <c r="AB164" s="320"/>
      <c r="AC164" s="320"/>
      <c r="AD164" s="320"/>
      <c r="AE164" s="320"/>
      <c r="AF164" s="320"/>
      <c r="AG164" s="320"/>
      <c r="AH164" s="320"/>
      <c r="AI164" s="320"/>
      <c r="AJ164" s="320"/>
      <c r="AK164" s="320"/>
      <c r="AL164" s="320"/>
      <c r="AM164" s="320"/>
      <c r="AN164" s="320"/>
      <c r="AO164" s="320"/>
      <c r="AP164" s="320"/>
      <c r="AQ164" s="320"/>
      <c r="AR164" s="320"/>
      <c r="AS164" s="320"/>
      <c r="AT164" s="320"/>
      <c r="AU164" s="321"/>
    </row>
    <row r="165">
      <c r="A165" s="319"/>
      <c r="B165" s="320"/>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c r="AA165" s="320"/>
      <c r="AB165" s="320"/>
      <c r="AC165" s="320"/>
      <c r="AD165" s="320"/>
      <c r="AE165" s="320"/>
      <c r="AF165" s="320"/>
      <c r="AG165" s="320"/>
      <c r="AH165" s="320"/>
      <c r="AI165" s="320"/>
      <c r="AJ165" s="320"/>
      <c r="AK165" s="320"/>
      <c r="AL165" s="320"/>
      <c r="AM165" s="320"/>
      <c r="AN165" s="320"/>
      <c r="AO165" s="320"/>
      <c r="AP165" s="320"/>
      <c r="AQ165" s="320"/>
      <c r="AR165" s="320"/>
      <c r="AS165" s="320"/>
      <c r="AT165" s="320"/>
      <c r="AU165" s="321"/>
    </row>
    <row r="166">
      <c r="A166" s="319"/>
      <c r="B166" s="320"/>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c r="AA166" s="320"/>
      <c r="AB166" s="320"/>
      <c r="AC166" s="320"/>
      <c r="AD166" s="320"/>
      <c r="AE166" s="320"/>
      <c r="AF166" s="320"/>
      <c r="AG166" s="320"/>
      <c r="AH166" s="320"/>
      <c r="AI166" s="320"/>
      <c r="AJ166" s="320"/>
      <c r="AK166" s="320"/>
      <c r="AL166" s="320"/>
      <c r="AM166" s="320"/>
      <c r="AN166" s="320"/>
      <c r="AO166" s="320"/>
      <c r="AP166" s="320"/>
      <c r="AQ166" s="320"/>
      <c r="AR166" s="320"/>
      <c r="AS166" s="320"/>
      <c r="AT166" s="320"/>
      <c r="AU166" s="321"/>
    </row>
    <row r="167">
      <c r="A167" s="319"/>
      <c r="B167" s="320"/>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c r="AA167" s="320"/>
      <c r="AB167" s="320"/>
      <c r="AC167" s="320"/>
      <c r="AD167" s="320"/>
      <c r="AE167" s="320"/>
      <c r="AF167" s="320"/>
      <c r="AG167" s="320"/>
      <c r="AH167" s="320"/>
      <c r="AI167" s="320"/>
      <c r="AJ167" s="320"/>
      <c r="AK167" s="320"/>
      <c r="AL167" s="320"/>
      <c r="AM167" s="320"/>
      <c r="AN167" s="320"/>
      <c r="AO167" s="320"/>
      <c r="AP167" s="320"/>
      <c r="AQ167" s="320"/>
      <c r="AR167" s="320"/>
      <c r="AS167" s="320"/>
      <c r="AT167" s="320"/>
      <c r="AU167" s="321"/>
    </row>
    <row r="168">
      <c r="A168" s="319"/>
      <c r="B168" s="320"/>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c r="AA168" s="320"/>
      <c r="AB168" s="320"/>
      <c r="AC168" s="320"/>
      <c r="AD168" s="320"/>
      <c r="AE168" s="320"/>
      <c r="AF168" s="320"/>
      <c r="AG168" s="320"/>
      <c r="AH168" s="320"/>
      <c r="AI168" s="320"/>
      <c r="AJ168" s="320"/>
      <c r="AK168" s="320"/>
      <c r="AL168" s="320"/>
      <c r="AM168" s="320"/>
      <c r="AN168" s="320"/>
      <c r="AO168" s="320"/>
      <c r="AP168" s="320"/>
      <c r="AQ168" s="320"/>
      <c r="AR168" s="320"/>
      <c r="AS168" s="320"/>
      <c r="AT168" s="320"/>
      <c r="AU168" s="321"/>
    </row>
    <row r="169">
      <c r="A169" s="319"/>
      <c r="B169" s="320"/>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c r="AA169" s="320"/>
      <c r="AB169" s="320"/>
      <c r="AC169" s="320"/>
      <c r="AD169" s="320"/>
      <c r="AE169" s="320"/>
      <c r="AF169" s="320"/>
      <c r="AG169" s="320"/>
      <c r="AH169" s="320"/>
      <c r="AI169" s="320"/>
      <c r="AJ169" s="320"/>
      <c r="AK169" s="320"/>
      <c r="AL169" s="320"/>
      <c r="AM169" s="320"/>
      <c r="AN169" s="320"/>
      <c r="AO169" s="320"/>
      <c r="AP169" s="320"/>
      <c r="AQ169" s="320"/>
      <c r="AR169" s="320"/>
      <c r="AS169" s="320"/>
      <c r="AT169" s="320"/>
      <c r="AU169" s="321"/>
    </row>
    <row r="170">
      <c r="A170" s="319"/>
      <c r="B170" s="320"/>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c r="AA170" s="320"/>
      <c r="AB170" s="320"/>
      <c r="AC170" s="320"/>
      <c r="AD170" s="320"/>
      <c r="AE170" s="320"/>
      <c r="AF170" s="320"/>
      <c r="AG170" s="320"/>
      <c r="AH170" s="320"/>
      <c r="AI170" s="320"/>
      <c r="AJ170" s="320"/>
      <c r="AK170" s="320"/>
      <c r="AL170" s="320"/>
      <c r="AM170" s="320"/>
      <c r="AN170" s="320"/>
      <c r="AO170" s="320"/>
      <c r="AP170" s="320"/>
      <c r="AQ170" s="320"/>
      <c r="AR170" s="320"/>
      <c r="AS170" s="320"/>
      <c r="AT170" s="320"/>
      <c r="AU170" s="321"/>
    </row>
    <row r="171">
      <c r="A171" s="319"/>
      <c r="B171" s="320"/>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c r="AA171" s="320"/>
      <c r="AB171" s="320"/>
      <c r="AC171" s="320"/>
      <c r="AD171" s="320"/>
      <c r="AE171" s="320"/>
      <c r="AF171" s="320"/>
      <c r="AG171" s="320"/>
      <c r="AH171" s="320"/>
      <c r="AI171" s="320"/>
      <c r="AJ171" s="320"/>
      <c r="AK171" s="320"/>
      <c r="AL171" s="320"/>
      <c r="AM171" s="320"/>
      <c r="AN171" s="320"/>
      <c r="AO171" s="320"/>
      <c r="AP171" s="320"/>
      <c r="AQ171" s="320"/>
      <c r="AR171" s="320"/>
      <c r="AS171" s="320"/>
      <c r="AT171" s="320"/>
      <c r="AU171" s="321"/>
    </row>
    <row r="172">
      <c r="A172" s="319"/>
      <c r="B172" s="320"/>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c r="AA172" s="320"/>
      <c r="AB172" s="320"/>
      <c r="AC172" s="320"/>
      <c r="AD172" s="320"/>
      <c r="AE172" s="320"/>
      <c r="AF172" s="320"/>
      <c r="AG172" s="320"/>
      <c r="AH172" s="320"/>
      <c r="AI172" s="320"/>
      <c r="AJ172" s="320"/>
      <c r="AK172" s="320"/>
      <c r="AL172" s="320"/>
      <c r="AM172" s="320"/>
      <c r="AN172" s="320"/>
      <c r="AO172" s="320"/>
      <c r="AP172" s="320"/>
      <c r="AQ172" s="320"/>
      <c r="AR172" s="320"/>
      <c r="AS172" s="320"/>
      <c r="AT172" s="320"/>
      <c r="AU172" s="321"/>
    </row>
    <row r="173">
      <c r="A173" s="319"/>
      <c r="B173" s="320"/>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c r="AA173" s="320"/>
      <c r="AB173" s="320"/>
      <c r="AC173" s="320"/>
      <c r="AD173" s="320"/>
      <c r="AE173" s="320"/>
      <c r="AF173" s="320"/>
      <c r="AG173" s="320"/>
      <c r="AH173" s="320"/>
      <c r="AI173" s="320"/>
      <c r="AJ173" s="320"/>
      <c r="AK173" s="320"/>
      <c r="AL173" s="320"/>
      <c r="AM173" s="320"/>
      <c r="AN173" s="320"/>
      <c r="AO173" s="320"/>
      <c r="AP173" s="320"/>
      <c r="AQ173" s="320"/>
      <c r="AR173" s="320"/>
      <c r="AS173" s="320"/>
      <c r="AT173" s="320"/>
      <c r="AU173" s="321"/>
    </row>
    <row r="174">
      <c r="A174" s="319"/>
      <c r="B174" s="320"/>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20"/>
      <c r="AN174" s="320"/>
      <c r="AO174" s="320"/>
      <c r="AP174" s="320"/>
      <c r="AQ174" s="320"/>
      <c r="AR174" s="320"/>
      <c r="AS174" s="320"/>
      <c r="AT174" s="320"/>
      <c r="AU174" s="321"/>
    </row>
    <row r="175">
      <c r="A175" s="319"/>
      <c r="B175" s="320"/>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c r="AA175" s="320"/>
      <c r="AB175" s="320"/>
      <c r="AC175" s="320"/>
      <c r="AD175" s="320"/>
      <c r="AE175" s="320"/>
      <c r="AF175" s="320"/>
      <c r="AG175" s="320"/>
      <c r="AH175" s="320"/>
      <c r="AI175" s="320"/>
      <c r="AJ175" s="320"/>
      <c r="AK175" s="320"/>
      <c r="AL175" s="320"/>
      <c r="AM175" s="320"/>
      <c r="AN175" s="320"/>
      <c r="AO175" s="320"/>
      <c r="AP175" s="320"/>
      <c r="AQ175" s="320"/>
      <c r="AR175" s="320"/>
      <c r="AS175" s="320"/>
      <c r="AT175" s="320"/>
      <c r="AU175" s="321"/>
    </row>
    <row r="176">
      <c r="A176" s="319"/>
      <c r="B176" s="320"/>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c r="AA176" s="320"/>
      <c r="AB176" s="320"/>
      <c r="AC176" s="320"/>
      <c r="AD176" s="320"/>
      <c r="AE176" s="320"/>
      <c r="AF176" s="320"/>
      <c r="AG176" s="320"/>
      <c r="AH176" s="320"/>
      <c r="AI176" s="320"/>
      <c r="AJ176" s="320"/>
      <c r="AK176" s="320"/>
      <c r="AL176" s="320"/>
      <c r="AM176" s="320"/>
      <c r="AN176" s="320"/>
      <c r="AO176" s="320"/>
      <c r="AP176" s="320"/>
      <c r="AQ176" s="320"/>
      <c r="AR176" s="320"/>
      <c r="AS176" s="320"/>
      <c r="AT176" s="320"/>
      <c r="AU176" s="321"/>
    </row>
    <row r="177">
      <c r="A177" s="319"/>
      <c r="B177" s="320"/>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c r="AA177" s="320"/>
      <c r="AB177" s="320"/>
      <c r="AC177" s="320"/>
      <c r="AD177" s="320"/>
      <c r="AE177" s="320"/>
      <c r="AF177" s="320"/>
      <c r="AG177" s="320"/>
      <c r="AH177" s="320"/>
      <c r="AI177" s="320"/>
      <c r="AJ177" s="320"/>
      <c r="AK177" s="320"/>
      <c r="AL177" s="320"/>
      <c r="AM177" s="320"/>
      <c r="AN177" s="320"/>
      <c r="AO177" s="320"/>
      <c r="AP177" s="320"/>
      <c r="AQ177" s="320"/>
      <c r="AR177" s="320"/>
      <c r="AS177" s="320"/>
      <c r="AT177" s="320"/>
      <c r="AU177" s="321"/>
    </row>
    <row r="178">
      <c r="A178" s="319"/>
      <c r="B178" s="320"/>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c r="AA178" s="320"/>
      <c r="AB178" s="320"/>
      <c r="AC178" s="320"/>
      <c r="AD178" s="320"/>
      <c r="AE178" s="320"/>
      <c r="AF178" s="320"/>
      <c r="AG178" s="320"/>
      <c r="AH178" s="320"/>
      <c r="AI178" s="320"/>
      <c r="AJ178" s="320"/>
      <c r="AK178" s="320"/>
      <c r="AL178" s="320"/>
      <c r="AM178" s="320"/>
      <c r="AN178" s="320"/>
      <c r="AO178" s="320"/>
      <c r="AP178" s="320"/>
      <c r="AQ178" s="320"/>
      <c r="AR178" s="320"/>
      <c r="AS178" s="320"/>
      <c r="AT178" s="320"/>
      <c r="AU178" s="321"/>
    </row>
    <row r="179">
      <c r="A179" s="319"/>
      <c r="B179" s="320"/>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0"/>
      <c r="AN179" s="320"/>
      <c r="AO179" s="320"/>
      <c r="AP179" s="320"/>
      <c r="AQ179" s="320"/>
      <c r="AR179" s="320"/>
      <c r="AS179" s="320"/>
      <c r="AT179" s="320"/>
      <c r="AU179" s="321"/>
    </row>
    <row r="180">
      <c r="A180" s="319"/>
      <c r="B180" s="320"/>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c r="AA180" s="320"/>
      <c r="AB180" s="320"/>
      <c r="AC180" s="320"/>
      <c r="AD180" s="320"/>
      <c r="AE180" s="320"/>
      <c r="AF180" s="320"/>
      <c r="AG180" s="320"/>
      <c r="AH180" s="320"/>
      <c r="AI180" s="320"/>
      <c r="AJ180" s="320"/>
      <c r="AK180" s="320"/>
      <c r="AL180" s="320"/>
      <c r="AM180" s="320"/>
      <c r="AN180" s="320"/>
      <c r="AO180" s="320"/>
      <c r="AP180" s="320"/>
      <c r="AQ180" s="320"/>
      <c r="AR180" s="320"/>
      <c r="AS180" s="320"/>
      <c r="AT180" s="320"/>
      <c r="AU180" s="321"/>
    </row>
    <row r="181">
      <c r="A181" s="319"/>
      <c r="B181" s="320"/>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c r="AA181" s="320"/>
      <c r="AB181" s="320"/>
      <c r="AC181" s="320"/>
      <c r="AD181" s="320"/>
      <c r="AE181" s="320"/>
      <c r="AF181" s="320"/>
      <c r="AG181" s="320"/>
      <c r="AH181" s="320"/>
      <c r="AI181" s="320"/>
      <c r="AJ181" s="320"/>
      <c r="AK181" s="320"/>
      <c r="AL181" s="320"/>
      <c r="AM181" s="320"/>
      <c r="AN181" s="320"/>
      <c r="AO181" s="320"/>
      <c r="AP181" s="320"/>
      <c r="AQ181" s="320"/>
      <c r="AR181" s="320"/>
      <c r="AS181" s="320"/>
      <c r="AT181" s="320"/>
      <c r="AU181" s="321"/>
    </row>
    <row r="182">
      <c r="A182" s="319"/>
      <c r="B182" s="320"/>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c r="AA182" s="320"/>
      <c r="AB182" s="320"/>
      <c r="AC182" s="320"/>
      <c r="AD182" s="320"/>
      <c r="AE182" s="320"/>
      <c r="AF182" s="320"/>
      <c r="AG182" s="320"/>
      <c r="AH182" s="320"/>
      <c r="AI182" s="320"/>
      <c r="AJ182" s="320"/>
      <c r="AK182" s="320"/>
      <c r="AL182" s="320"/>
      <c r="AM182" s="320"/>
      <c r="AN182" s="320"/>
      <c r="AO182" s="320"/>
      <c r="AP182" s="320"/>
      <c r="AQ182" s="320"/>
      <c r="AR182" s="320"/>
      <c r="AS182" s="320"/>
      <c r="AT182" s="320"/>
      <c r="AU182" s="321"/>
    </row>
    <row r="183">
      <c r="A183" s="319"/>
      <c r="B183" s="320"/>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c r="AA183" s="320"/>
      <c r="AB183" s="320"/>
      <c r="AC183" s="320"/>
      <c r="AD183" s="320"/>
      <c r="AE183" s="320"/>
      <c r="AF183" s="320"/>
      <c r="AG183" s="320"/>
      <c r="AH183" s="320"/>
      <c r="AI183" s="320"/>
      <c r="AJ183" s="320"/>
      <c r="AK183" s="320"/>
      <c r="AL183" s="320"/>
      <c r="AM183" s="320"/>
      <c r="AN183" s="320"/>
      <c r="AO183" s="320"/>
      <c r="AP183" s="320"/>
      <c r="AQ183" s="320"/>
      <c r="AR183" s="320"/>
      <c r="AS183" s="320"/>
      <c r="AT183" s="320"/>
      <c r="AU183" s="321"/>
    </row>
    <row r="184">
      <c r="A184" s="319"/>
      <c r="B184" s="320"/>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c r="AA184" s="320"/>
      <c r="AB184" s="320"/>
      <c r="AC184" s="320"/>
      <c r="AD184" s="320"/>
      <c r="AE184" s="320"/>
      <c r="AF184" s="320"/>
      <c r="AG184" s="320"/>
      <c r="AH184" s="320"/>
      <c r="AI184" s="320"/>
      <c r="AJ184" s="320"/>
      <c r="AK184" s="320"/>
      <c r="AL184" s="320"/>
      <c r="AM184" s="320"/>
      <c r="AN184" s="320"/>
      <c r="AO184" s="320"/>
      <c r="AP184" s="320"/>
      <c r="AQ184" s="320"/>
      <c r="AR184" s="320"/>
      <c r="AS184" s="320"/>
      <c r="AT184" s="320"/>
      <c r="AU184" s="321"/>
    </row>
    <row r="185">
      <c r="A185" s="319"/>
      <c r="B185" s="320"/>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c r="AA185" s="320"/>
      <c r="AB185" s="320"/>
      <c r="AC185" s="320"/>
      <c r="AD185" s="320"/>
      <c r="AE185" s="320"/>
      <c r="AF185" s="320"/>
      <c r="AG185" s="320"/>
      <c r="AH185" s="320"/>
      <c r="AI185" s="320"/>
      <c r="AJ185" s="320"/>
      <c r="AK185" s="320"/>
      <c r="AL185" s="320"/>
      <c r="AM185" s="320"/>
      <c r="AN185" s="320"/>
      <c r="AO185" s="320"/>
      <c r="AP185" s="320"/>
      <c r="AQ185" s="320"/>
      <c r="AR185" s="320"/>
      <c r="AS185" s="320"/>
      <c r="AT185" s="320"/>
      <c r="AU185" s="321"/>
    </row>
    <row r="186">
      <c r="A186" s="319"/>
      <c r="B186" s="320"/>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c r="AA186" s="320"/>
      <c r="AB186" s="320"/>
      <c r="AC186" s="320"/>
      <c r="AD186" s="320"/>
      <c r="AE186" s="320"/>
      <c r="AF186" s="320"/>
      <c r="AG186" s="320"/>
      <c r="AH186" s="320"/>
      <c r="AI186" s="320"/>
      <c r="AJ186" s="320"/>
      <c r="AK186" s="320"/>
      <c r="AL186" s="320"/>
      <c r="AM186" s="320"/>
      <c r="AN186" s="320"/>
      <c r="AO186" s="320"/>
      <c r="AP186" s="320"/>
      <c r="AQ186" s="320"/>
      <c r="AR186" s="320"/>
      <c r="AS186" s="320"/>
      <c r="AT186" s="320"/>
      <c r="AU186" s="321"/>
    </row>
    <row r="187">
      <c r="A187" s="319"/>
      <c r="B187" s="320"/>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c r="AA187" s="320"/>
      <c r="AB187" s="320"/>
      <c r="AC187" s="320"/>
      <c r="AD187" s="320"/>
      <c r="AE187" s="320"/>
      <c r="AF187" s="320"/>
      <c r="AG187" s="320"/>
      <c r="AH187" s="320"/>
      <c r="AI187" s="320"/>
      <c r="AJ187" s="320"/>
      <c r="AK187" s="320"/>
      <c r="AL187" s="320"/>
      <c r="AM187" s="320"/>
      <c r="AN187" s="320"/>
      <c r="AO187" s="320"/>
      <c r="AP187" s="320"/>
      <c r="AQ187" s="320"/>
      <c r="AR187" s="320"/>
      <c r="AS187" s="320"/>
      <c r="AT187" s="320"/>
      <c r="AU187" s="321"/>
    </row>
    <row r="188">
      <c r="A188" s="319"/>
      <c r="B188" s="320"/>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c r="AA188" s="320"/>
      <c r="AB188" s="320"/>
      <c r="AC188" s="320"/>
      <c r="AD188" s="320"/>
      <c r="AE188" s="320"/>
      <c r="AF188" s="320"/>
      <c r="AG188" s="320"/>
      <c r="AH188" s="320"/>
      <c r="AI188" s="320"/>
      <c r="AJ188" s="320"/>
      <c r="AK188" s="320"/>
      <c r="AL188" s="320"/>
      <c r="AM188" s="320"/>
      <c r="AN188" s="320"/>
      <c r="AO188" s="320"/>
      <c r="AP188" s="320"/>
      <c r="AQ188" s="320"/>
      <c r="AR188" s="320"/>
      <c r="AS188" s="320"/>
      <c r="AT188" s="320"/>
      <c r="AU188" s="321"/>
    </row>
    <row r="189">
      <c r="A189" s="319"/>
      <c r="B189" s="320"/>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c r="AA189" s="320"/>
      <c r="AB189" s="320"/>
      <c r="AC189" s="320"/>
      <c r="AD189" s="320"/>
      <c r="AE189" s="320"/>
      <c r="AF189" s="320"/>
      <c r="AG189" s="320"/>
      <c r="AH189" s="320"/>
      <c r="AI189" s="320"/>
      <c r="AJ189" s="320"/>
      <c r="AK189" s="320"/>
      <c r="AL189" s="320"/>
      <c r="AM189" s="320"/>
      <c r="AN189" s="320"/>
      <c r="AO189" s="320"/>
      <c r="AP189" s="320"/>
      <c r="AQ189" s="320"/>
      <c r="AR189" s="320"/>
      <c r="AS189" s="320"/>
      <c r="AT189" s="320"/>
      <c r="AU189" s="321"/>
    </row>
    <row r="190">
      <c r="A190" s="319"/>
      <c r="B190" s="320"/>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c r="AA190" s="320"/>
      <c r="AB190" s="320"/>
      <c r="AC190" s="320"/>
      <c r="AD190" s="320"/>
      <c r="AE190" s="320"/>
      <c r="AF190" s="320"/>
      <c r="AG190" s="320"/>
      <c r="AH190" s="320"/>
      <c r="AI190" s="320"/>
      <c r="AJ190" s="320"/>
      <c r="AK190" s="320"/>
      <c r="AL190" s="320"/>
      <c r="AM190" s="320"/>
      <c r="AN190" s="320"/>
      <c r="AO190" s="320"/>
      <c r="AP190" s="320"/>
      <c r="AQ190" s="320"/>
      <c r="AR190" s="320"/>
      <c r="AS190" s="320"/>
      <c r="AT190" s="320"/>
      <c r="AU190" s="321"/>
    </row>
    <row r="191">
      <c r="A191" s="319"/>
      <c r="B191" s="320"/>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c r="AA191" s="320"/>
      <c r="AB191" s="320"/>
      <c r="AC191" s="320"/>
      <c r="AD191" s="320"/>
      <c r="AE191" s="320"/>
      <c r="AF191" s="320"/>
      <c r="AG191" s="320"/>
      <c r="AH191" s="320"/>
      <c r="AI191" s="320"/>
      <c r="AJ191" s="320"/>
      <c r="AK191" s="320"/>
      <c r="AL191" s="320"/>
      <c r="AM191" s="320"/>
      <c r="AN191" s="320"/>
      <c r="AO191" s="320"/>
      <c r="AP191" s="320"/>
      <c r="AQ191" s="320"/>
      <c r="AR191" s="320"/>
      <c r="AS191" s="320"/>
      <c r="AT191" s="320"/>
      <c r="AU191" s="321"/>
    </row>
    <row r="192">
      <c r="A192" s="319"/>
      <c r="B192" s="320"/>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c r="AA192" s="320"/>
      <c r="AB192" s="320"/>
      <c r="AC192" s="320"/>
      <c r="AD192" s="320"/>
      <c r="AE192" s="320"/>
      <c r="AF192" s="320"/>
      <c r="AG192" s="320"/>
      <c r="AH192" s="320"/>
      <c r="AI192" s="320"/>
      <c r="AJ192" s="320"/>
      <c r="AK192" s="320"/>
      <c r="AL192" s="320"/>
      <c r="AM192" s="320"/>
      <c r="AN192" s="320"/>
      <c r="AO192" s="320"/>
      <c r="AP192" s="320"/>
      <c r="AQ192" s="320"/>
      <c r="AR192" s="320"/>
      <c r="AS192" s="320"/>
      <c r="AT192" s="320"/>
      <c r="AU192" s="321"/>
    </row>
    <row r="193">
      <c r="A193" s="319"/>
      <c r="B193" s="320"/>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c r="AA193" s="320"/>
      <c r="AB193" s="320"/>
      <c r="AC193" s="320"/>
      <c r="AD193" s="320"/>
      <c r="AE193" s="320"/>
      <c r="AF193" s="320"/>
      <c r="AG193" s="320"/>
      <c r="AH193" s="320"/>
      <c r="AI193" s="320"/>
      <c r="AJ193" s="320"/>
      <c r="AK193" s="320"/>
      <c r="AL193" s="320"/>
      <c r="AM193" s="320"/>
      <c r="AN193" s="320"/>
      <c r="AO193" s="320"/>
      <c r="AP193" s="320"/>
      <c r="AQ193" s="320"/>
      <c r="AR193" s="320"/>
      <c r="AS193" s="320"/>
      <c r="AT193" s="320"/>
      <c r="AU193" s="321"/>
    </row>
    <row r="194">
      <c r="A194" s="319"/>
      <c r="B194" s="320"/>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c r="AA194" s="320"/>
      <c r="AB194" s="320"/>
      <c r="AC194" s="320"/>
      <c r="AD194" s="320"/>
      <c r="AE194" s="320"/>
      <c r="AF194" s="320"/>
      <c r="AG194" s="320"/>
      <c r="AH194" s="320"/>
      <c r="AI194" s="320"/>
      <c r="AJ194" s="320"/>
      <c r="AK194" s="320"/>
      <c r="AL194" s="320"/>
      <c r="AM194" s="320"/>
      <c r="AN194" s="320"/>
      <c r="AO194" s="320"/>
      <c r="AP194" s="320"/>
      <c r="AQ194" s="320"/>
      <c r="AR194" s="320"/>
      <c r="AS194" s="320"/>
      <c r="AT194" s="320"/>
      <c r="AU194" s="321"/>
    </row>
    <row r="195">
      <c r="A195" s="319"/>
      <c r="B195" s="320"/>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c r="AA195" s="320"/>
      <c r="AB195" s="320"/>
      <c r="AC195" s="320"/>
      <c r="AD195" s="320"/>
      <c r="AE195" s="320"/>
      <c r="AF195" s="320"/>
      <c r="AG195" s="320"/>
      <c r="AH195" s="320"/>
      <c r="AI195" s="320"/>
      <c r="AJ195" s="320"/>
      <c r="AK195" s="320"/>
      <c r="AL195" s="320"/>
      <c r="AM195" s="320"/>
      <c r="AN195" s="320"/>
      <c r="AO195" s="320"/>
      <c r="AP195" s="320"/>
      <c r="AQ195" s="320"/>
      <c r="AR195" s="320"/>
      <c r="AS195" s="320"/>
      <c r="AT195" s="320"/>
      <c r="AU195" s="321"/>
    </row>
    <row r="196">
      <c r="A196" s="319"/>
      <c r="B196" s="320"/>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c r="AA196" s="320"/>
      <c r="AB196" s="320"/>
      <c r="AC196" s="320"/>
      <c r="AD196" s="320"/>
      <c r="AE196" s="320"/>
      <c r="AF196" s="320"/>
      <c r="AG196" s="320"/>
      <c r="AH196" s="320"/>
      <c r="AI196" s="320"/>
      <c r="AJ196" s="320"/>
      <c r="AK196" s="320"/>
      <c r="AL196" s="320"/>
      <c r="AM196" s="320"/>
      <c r="AN196" s="320"/>
      <c r="AO196" s="320"/>
      <c r="AP196" s="320"/>
      <c r="AQ196" s="320"/>
      <c r="AR196" s="320"/>
      <c r="AS196" s="320"/>
      <c r="AT196" s="320"/>
      <c r="AU196" s="321"/>
    </row>
    <row r="197">
      <c r="A197" s="319"/>
      <c r="B197" s="320"/>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c r="AA197" s="320"/>
      <c r="AB197" s="320"/>
      <c r="AC197" s="320"/>
      <c r="AD197" s="320"/>
      <c r="AE197" s="320"/>
      <c r="AF197" s="320"/>
      <c r="AG197" s="320"/>
      <c r="AH197" s="320"/>
      <c r="AI197" s="320"/>
      <c r="AJ197" s="320"/>
      <c r="AK197" s="320"/>
      <c r="AL197" s="320"/>
      <c r="AM197" s="320"/>
      <c r="AN197" s="320"/>
      <c r="AO197" s="320"/>
      <c r="AP197" s="320"/>
      <c r="AQ197" s="320"/>
      <c r="AR197" s="320"/>
      <c r="AS197" s="320"/>
      <c r="AT197" s="320"/>
      <c r="AU197" s="321"/>
    </row>
    <row r="198">
      <c r="A198" s="319"/>
      <c r="B198" s="320"/>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c r="AA198" s="320"/>
      <c r="AB198" s="320"/>
      <c r="AC198" s="320"/>
      <c r="AD198" s="320"/>
      <c r="AE198" s="320"/>
      <c r="AF198" s="320"/>
      <c r="AG198" s="320"/>
      <c r="AH198" s="320"/>
      <c r="AI198" s="320"/>
      <c r="AJ198" s="320"/>
      <c r="AK198" s="320"/>
      <c r="AL198" s="320"/>
      <c r="AM198" s="320"/>
      <c r="AN198" s="320"/>
      <c r="AO198" s="320"/>
      <c r="AP198" s="320"/>
      <c r="AQ198" s="320"/>
      <c r="AR198" s="320"/>
      <c r="AS198" s="320"/>
      <c r="AT198" s="320"/>
      <c r="AU198" s="321"/>
    </row>
    <row r="199">
      <c r="A199" s="319"/>
      <c r="B199" s="320"/>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c r="AA199" s="320"/>
      <c r="AB199" s="320"/>
      <c r="AC199" s="320"/>
      <c r="AD199" s="320"/>
      <c r="AE199" s="320"/>
      <c r="AF199" s="320"/>
      <c r="AG199" s="320"/>
      <c r="AH199" s="320"/>
      <c r="AI199" s="320"/>
      <c r="AJ199" s="320"/>
      <c r="AK199" s="320"/>
      <c r="AL199" s="320"/>
      <c r="AM199" s="320"/>
      <c r="AN199" s="320"/>
      <c r="AO199" s="320"/>
      <c r="AP199" s="320"/>
      <c r="AQ199" s="320"/>
      <c r="AR199" s="320"/>
      <c r="AS199" s="320"/>
      <c r="AT199" s="320"/>
      <c r="AU199" s="321"/>
    </row>
    <row r="200">
      <c r="A200" s="319"/>
      <c r="B200" s="320"/>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c r="AA200" s="320"/>
      <c r="AB200" s="320"/>
      <c r="AC200" s="320"/>
      <c r="AD200" s="320"/>
      <c r="AE200" s="320"/>
      <c r="AF200" s="320"/>
      <c r="AG200" s="320"/>
      <c r="AH200" s="320"/>
      <c r="AI200" s="320"/>
      <c r="AJ200" s="320"/>
      <c r="AK200" s="320"/>
      <c r="AL200" s="320"/>
      <c r="AM200" s="320"/>
      <c r="AN200" s="320"/>
      <c r="AO200" s="320"/>
      <c r="AP200" s="320"/>
      <c r="AQ200" s="320"/>
      <c r="AR200" s="320"/>
      <c r="AS200" s="320"/>
      <c r="AT200" s="320"/>
      <c r="AU200" s="321"/>
    </row>
    <row r="201">
      <c r="A201" s="319"/>
      <c r="B201" s="320"/>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c r="AA201" s="320"/>
      <c r="AB201" s="320"/>
      <c r="AC201" s="320"/>
      <c r="AD201" s="320"/>
      <c r="AE201" s="320"/>
      <c r="AF201" s="320"/>
      <c r="AG201" s="320"/>
      <c r="AH201" s="320"/>
      <c r="AI201" s="320"/>
      <c r="AJ201" s="320"/>
      <c r="AK201" s="320"/>
      <c r="AL201" s="320"/>
      <c r="AM201" s="320"/>
      <c r="AN201" s="320"/>
      <c r="AO201" s="320"/>
      <c r="AP201" s="320"/>
      <c r="AQ201" s="320"/>
      <c r="AR201" s="320"/>
      <c r="AS201" s="320"/>
      <c r="AT201" s="320"/>
      <c r="AU201" s="321"/>
    </row>
    <row r="202">
      <c r="A202" s="319"/>
      <c r="B202" s="320"/>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c r="AA202" s="320"/>
      <c r="AB202" s="320"/>
      <c r="AC202" s="320"/>
      <c r="AD202" s="320"/>
      <c r="AE202" s="320"/>
      <c r="AF202" s="320"/>
      <c r="AG202" s="320"/>
      <c r="AH202" s="320"/>
      <c r="AI202" s="320"/>
      <c r="AJ202" s="320"/>
      <c r="AK202" s="320"/>
      <c r="AL202" s="320"/>
      <c r="AM202" s="320"/>
      <c r="AN202" s="320"/>
      <c r="AO202" s="320"/>
      <c r="AP202" s="320"/>
      <c r="AQ202" s="320"/>
      <c r="AR202" s="320"/>
      <c r="AS202" s="320"/>
      <c r="AT202" s="320"/>
      <c r="AU202" s="321"/>
    </row>
    <row r="203">
      <c r="A203" s="319"/>
      <c r="B203" s="320"/>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c r="AA203" s="320"/>
      <c r="AB203" s="320"/>
      <c r="AC203" s="320"/>
      <c r="AD203" s="320"/>
      <c r="AE203" s="320"/>
      <c r="AF203" s="320"/>
      <c r="AG203" s="320"/>
      <c r="AH203" s="320"/>
      <c r="AI203" s="320"/>
      <c r="AJ203" s="320"/>
      <c r="AK203" s="320"/>
      <c r="AL203" s="320"/>
      <c r="AM203" s="320"/>
      <c r="AN203" s="320"/>
      <c r="AO203" s="320"/>
      <c r="AP203" s="320"/>
      <c r="AQ203" s="320"/>
      <c r="AR203" s="320"/>
      <c r="AS203" s="320"/>
      <c r="AT203" s="320"/>
      <c r="AU203" s="321"/>
    </row>
    <row r="204">
      <c r="A204" s="319"/>
      <c r="B204" s="320"/>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c r="AA204" s="320"/>
      <c r="AB204" s="320"/>
      <c r="AC204" s="320"/>
      <c r="AD204" s="320"/>
      <c r="AE204" s="320"/>
      <c r="AF204" s="320"/>
      <c r="AG204" s="320"/>
      <c r="AH204" s="320"/>
      <c r="AI204" s="320"/>
      <c r="AJ204" s="320"/>
      <c r="AK204" s="320"/>
      <c r="AL204" s="320"/>
      <c r="AM204" s="320"/>
      <c r="AN204" s="320"/>
      <c r="AO204" s="320"/>
      <c r="AP204" s="320"/>
      <c r="AQ204" s="320"/>
      <c r="AR204" s="320"/>
      <c r="AS204" s="320"/>
      <c r="AT204" s="320"/>
      <c r="AU204" s="321"/>
    </row>
    <row r="205">
      <c r="A205" s="319"/>
      <c r="B205" s="320"/>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c r="AA205" s="320"/>
      <c r="AB205" s="320"/>
      <c r="AC205" s="320"/>
      <c r="AD205" s="320"/>
      <c r="AE205" s="320"/>
      <c r="AF205" s="320"/>
      <c r="AG205" s="320"/>
      <c r="AH205" s="320"/>
      <c r="AI205" s="320"/>
      <c r="AJ205" s="320"/>
      <c r="AK205" s="320"/>
      <c r="AL205" s="320"/>
      <c r="AM205" s="320"/>
      <c r="AN205" s="320"/>
      <c r="AO205" s="320"/>
      <c r="AP205" s="320"/>
      <c r="AQ205" s="320"/>
      <c r="AR205" s="320"/>
      <c r="AS205" s="320"/>
      <c r="AT205" s="320"/>
      <c r="AU205" s="321"/>
    </row>
    <row r="206">
      <c r="A206" s="319"/>
      <c r="B206" s="320"/>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c r="AA206" s="320"/>
      <c r="AB206" s="320"/>
      <c r="AC206" s="320"/>
      <c r="AD206" s="320"/>
      <c r="AE206" s="320"/>
      <c r="AF206" s="320"/>
      <c r="AG206" s="320"/>
      <c r="AH206" s="320"/>
      <c r="AI206" s="320"/>
      <c r="AJ206" s="320"/>
      <c r="AK206" s="320"/>
      <c r="AL206" s="320"/>
      <c r="AM206" s="320"/>
      <c r="AN206" s="320"/>
      <c r="AO206" s="320"/>
      <c r="AP206" s="320"/>
      <c r="AQ206" s="320"/>
      <c r="AR206" s="320"/>
      <c r="AS206" s="320"/>
      <c r="AT206" s="320"/>
      <c r="AU206" s="321"/>
    </row>
    <row r="207">
      <c r="A207" s="319"/>
      <c r="B207" s="320"/>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c r="AA207" s="320"/>
      <c r="AB207" s="320"/>
      <c r="AC207" s="320"/>
      <c r="AD207" s="320"/>
      <c r="AE207" s="320"/>
      <c r="AF207" s="320"/>
      <c r="AG207" s="320"/>
      <c r="AH207" s="320"/>
      <c r="AI207" s="320"/>
      <c r="AJ207" s="320"/>
      <c r="AK207" s="320"/>
      <c r="AL207" s="320"/>
      <c r="AM207" s="320"/>
      <c r="AN207" s="320"/>
      <c r="AO207" s="320"/>
      <c r="AP207" s="320"/>
      <c r="AQ207" s="320"/>
      <c r="AR207" s="320"/>
      <c r="AS207" s="320"/>
      <c r="AT207" s="320"/>
      <c r="AU207" s="321"/>
    </row>
    <row r="208">
      <c r="A208" s="319"/>
      <c r="B208" s="320"/>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c r="AA208" s="320"/>
      <c r="AB208" s="320"/>
      <c r="AC208" s="320"/>
      <c r="AD208" s="320"/>
      <c r="AE208" s="320"/>
      <c r="AF208" s="320"/>
      <c r="AG208" s="320"/>
      <c r="AH208" s="320"/>
      <c r="AI208" s="320"/>
      <c r="AJ208" s="320"/>
      <c r="AK208" s="320"/>
      <c r="AL208" s="320"/>
      <c r="AM208" s="320"/>
      <c r="AN208" s="320"/>
      <c r="AO208" s="320"/>
      <c r="AP208" s="320"/>
      <c r="AQ208" s="320"/>
      <c r="AR208" s="320"/>
      <c r="AS208" s="320"/>
      <c r="AT208" s="320"/>
      <c r="AU208" s="321"/>
    </row>
    <row r="209">
      <c r="A209" s="319"/>
      <c r="B209" s="320"/>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c r="AA209" s="320"/>
      <c r="AB209" s="320"/>
      <c r="AC209" s="320"/>
      <c r="AD209" s="320"/>
      <c r="AE209" s="320"/>
      <c r="AF209" s="320"/>
      <c r="AG209" s="320"/>
      <c r="AH209" s="320"/>
      <c r="AI209" s="320"/>
      <c r="AJ209" s="320"/>
      <c r="AK209" s="320"/>
      <c r="AL209" s="320"/>
      <c r="AM209" s="320"/>
      <c r="AN209" s="320"/>
      <c r="AO209" s="320"/>
      <c r="AP209" s="320"/>
      <c r="AQ209" s="320"/>
      <c r="AR209" s="320"/>
      <c r="AS209" s="320"/>
      <c r="AT209" s="320"/>
      <c r="AU209" s="321"/>
    </row>
    <row r="210">
      <c r="A210" s="319"/>
      <c r="B210" s="320"/>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c r="AA210" s="320"/>
      <c r="AB210" s="320"/>
      <c r="AC210" s="320"/>
      <c r="AD210" s="320"/>
      <c r="AE210" s="320"/>
      <c r="AF210" s="320"/>
      <c r="AG210" s="320"/>
      <c r="AH210" s="320"/>
      <c r="AI210" s="320"/>
      <c r="AJ210" s="320"/>
      <c r="AK210" s="320"/>
      <c r="AL210" s="320"/>
      <c r="AM210" s="320"/>
      <c r="AN210" s="320"/>
      <c r="AO210" s="320"/>
      <c r="AP210" s="320"/>
      <c r="AQ210" s="320"/>
      <c r="AR210" s="320"/>
      <c r="AS210" s="320"/>
      <c r="AT210" s="320"/>
      <c r="AU210" s="321"/>
    </row>
    <row r="211">
      <c r="A211" s="319"/>
      <c r="B211" s="320"/>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c r="AA211" s="320"/>
      <c r="AB211" s="320"/>
      <c r="AC211" s="320"/>
      <c r="AD211" s="320"/>
      <c r="AE211" s="320"/>
      <c r="AF211" s="320"/>
      <c r="AG211" s="320"/>
      <c r="AH211" s="320"/>
      <c r="AI211" s="320"/>
      <c r="AJ211" s="320"/>
      <c r="AK211" s="320"/>
      <c r="AL211" s="320"/>
      <c r="AM211" s="320"/>
      <c r="AN211" s="320"/>
      <c r="AO211" s="320"/>
      <c r="AP211" s="320"/>
      <c r="AQ211" s="320"/>
      <c r="AR211" s="320"/>
      <c r="AS211" s="320"/>
      <c r="AT211" s="320"/>
      <c r="AU211" s="321"/>
    </row>
    <row r="212">
      <c r="A212" s="319"/>
      <c r="B212" s="320"/>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c r="AA212" s="320"/>
      <c r="AB212" s="320"/>
      <c r="AC212" s="320"/>
      <c r="AD212" s="320"/>
      <c r="AE212" s="320"/>
      <c r="AF212" s="320"/>
      <c r="AG212" s="320"/>
      <c r="AH212" s="320"/>
      <c r="AI212" s="320"/>
      <c r="AJ212" s="320"/>
      <c r="AK212" s="320"/>
      <c r="AL212" s="320"/>
      <c r="AM212" s="320"/>
      <c r="AN212" s="320"/>
      <c r="AO212" s="320"/>
      <c r="AP212" s="320"/>
      <c r="AQ212" s="320"/>
      <c r="AR212" s="320"/>
      <c r="AS212" s="320"/>
      <c r="AT212" s="320"/>
      <c r="AU212" s="321"/>
    </row>
    <row r="213">
      <c r="A213" s="319"/>
      <c r="B213" s="320"/>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c r="AA213" s="320"/>
      <c r="AB213" s="320"/>
      <c r="AC213" s="320"/>
      <c r="AD213" s="320"/>
      <c r="AE213" s="320"/>
      <c r="AF213" s="320"/>
      <c r="AG213" s="320"/>
      <c r="AH213" s="320"/>
      <c r="AI213" s="320"/>
      <c r="AJ213" s="320"/>
      <c r="AK213" s="320"/>
      <c r="AL213" s="320"/>
      <c r="AM213" s="320"/>
      <c r="AN213" s="320"/>
      <c r="AO213" s="320"/>
      <c r="AP213" s="320"/>
      <c r="AQ213" s="320"/>
      <c r="AR213" s="320"/>
      <c r="AS213" s="320"/>
      <c r="AT213" s="320"/>
      <c r="AU213" s="321"/>
    </row>
    <row r="214">
      <c r="A214" s="319"/>
      <c r="B214" s="320"/>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c r="AA214" s="320"/>
      <c r="AB214" s="320"/>
      <c r="AC214" s="320"/>
      <c r="AD214" s="320"/>
      <c r="AE214" s="320"/>
      <c r="AF214" s="320"/>
      <c r="AG214" s="320"/>
      <c r="AH214" s="320"/>
      <c r="AI214" s="320"/>
      <c r="AJ214" s="320"/>
      <c r="AK214" s="320"/>
      <c r="AL214" s="320"/>
      <c r="AM214" s="320"/>
      <c r="AN214" s="320"/>
      <c r="AO214" s="320"/>
      <c r="AP214" s="320"/>
      <c r="AQ214" s="320"/>
      <c r="AR214" s="320"/>
      <c r="AS214" s="320"/>
      <c r="AT214" s="320"/>
      <c r="AU214" s="321"/>
    </row>
    <row r="215">
      <c r="A215" s="319"/>
      <c r="B215" s="320"/>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c r="AA215" s="320"/>
      <c r="AB215" s="320"/>
      <c r="AC215" s="320"/>
      <c r="AD215" s="320"/>
      <c r="AE215" s="320"/>
      <c r="AF215" s="320"/>
      <c r="AG215" s="320"/>
      <c r="AH215" s="320"/>
      <c r="AI215" s="320"/>
      <c r="AJ215" s="320"/>
      <c r="AK215" s="320"/>
      <c r="AL215" s="320"/>
      <c r="AM215" s="320"/>
      <c r="AN215" s="320"/>
      <c r="AO215" s="320"/>
      <c r="AP215" s="320"/>
      <c r="AQ215" s="320"/>
      <c r="AR215" s="320"/>
      <c r="AS215" s="320"/>
      <c r="AT215" s="320"/>
      <c r="AU215" s="321"/>
    </row>
    <row r="216">
      <c r="A216" s="319"/>
      <c r="B216" s="320"/>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c r="AA216" s="320"/>
      <c r="AB216" s="320"/>
      <c r="AC216" s="320"/>
      <c r="AD216" s="320"/>
      <c r="AE216" s="320"/>
      <c r="AF216" s="320"/>
      <c r="AG216" s="320"/>
      <c r="AH216" s="320"/>
      <c r="AI216" s="320"/>
      <c r="AJ216" s="320"/>
      <c r="AK216" s="320"/>
      <c r="AL216" s="320"/>
      <c r="AM216" s="320"/>
      <c r="AN216" s="320"/>
      <c r="AO216" s="320"/>
      <c r="AP216" s="320"/>
      <c r="AQ216" s="320"/>
      <c r="AR216" s="320"/>
      <c r="AS216" s="320"/>
      <c r="AT216" s="320"/>
      <c r="AU216" s="321"/>
    </row>
    <row r="217">
      <c r="A217" s="319"/>
      <c r="B217" s="320"/>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c r="AA217" s="320"/>
      <c r="AB217" s="320"/>
      <c r="AC217" s="320"/>
      <c r="AD217" s="320"/>
      <c r="AE217" s="320"/>
      <c r="AF217" s="320"/>
      <c r="AG217" s="320"/>
      <c r="AH217" s="320"/>
      <c r="AI217" s="320"/>
      <c r="AJ217" s="320"/>
      <c r="AK217" s="320"/>
      <c r="AL217" s="320"/>
      <c r="AM217" s="320"/>
      <c r="AN217" s="320"/>
      <c r="AO217" s="320"/>
      <c r="AP217" s="320"/>
      <c r="AQ217" s="320"/>
      <c r="AR217" s="320"/>
      <c r="AS217" s="320"/>
      <c r="AT217" s="320"/>
      <c r="AU217" s="321"/>
    </row>
    <row r="218">
      <c r="A218" s="319"/>
      <c r="B218" s="320"/>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c r="AA218" s="320"/>
      <c r="AB218" s="320"/>
      <c r="AC218" s="320"/>
      <c r="AD218" s="320"/>
      <c r="AE218" s="320"/>
      <c r="AF218" s="320"/>
      <c r="AG218" s="320"/>
      <c r="AH218" s="320"/>
      <c r="AI218" s="320"/>
      <c r="AJ218" s="320"/>
      <c r="AK218" s="320"/>
      <c r="AL218" s="320"/>
      <c r="AM218" s="320"/>
      <c r="AN218" s="320"/>
      <c r="AO218" s="320"/>
      <c r="AP218" s="320"/>
      <c r="AQ218" s="320"/>
      <c r="AR218" s="320"/>
      <c r="AS218" s="320"/>
      <c r="AT218" s="320"/>
      <c r="AU218" s="321"/>
    </row>
    <row r="219">
      <c r="A219" s="319"/>
      <c r="B219" s="320"/>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c r="AA219" s="320"/>
      <c r="AB219" s="320"/>
      <c r="AC219" s="320"/>
      <c r="AD219" s="320"/>
      <c r="AE219" s="320"/>
      <c r="AF219" s="320"/>
      <c r="AG219" s="320"/>
      <c r="AH219" s="320"/>
      <c r="AI219" s="320"/>
      <c r="AJ219" s="320"/>
      <c r="AK219" s="320"/>
      <c r="AL219" s="320"/>
      <c r="AM219" s="320"/>
      <c r="AN219" s="320"/>
      <c r="AO219" s="320"/>
      <c r="AP219" s="320"/>
      <c r="AQ219" s="320"/>
      <c r="AR219" s="320"/>
      <c r="AS219" s="320"/>
      <c r="AT219" s="320"/>
      <c r="AU219" s="321"/>
    </row>
    <row r="220">
      <c r="A220" s="319"/>
      <c r="B220" s="320"/>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c r="AA220" s="320"/>
      <c r="AB220" s="320"/>
      <c r="AC220" s="320"/>
      <c r="AD220" s="320"/>
      <c r="AE220" s="320"/>
      <c r="AF220" s="320"/>
      <c r="AG220" s="320"/>
      <c r="AH220" s="320"/>
      <c r="AI220" s="320"/>
      <c r="AJ220" s="320"/>
      <c r="AK220" s="320"/>
      <c r="AL220" s="320"/>
      <c r="AM220" s="320"/>
      <c r="AN220" s="320"/>
      <c r="AO220" s="320"/>
      <c r="AP220" s="320"/>
      <c r="AQ220" s="320"/>
      <c r="AR220" s="320"/>
      <c r="AS220" s="320"/>
      <c r="AT220" s="320"/>
      <c r="AU220" s="321"/>
    </row>
    <row r="221">
      <c r="A221" s="319"/>
      <c r="B221" s="320"/>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c r="AA221" s="320"/>
      <c r="AB221" s="320"/>
      <c r="AC221" s="320"/>
      <c r="AD221" s="320"/>
      <c r="AE221" s="320"/>
      <c r="AF221" s="320"/>
      <c r="AG221" s="320"/>
      <c r="AH221" s="320"/>
      <c r="AI221" s="320"/>
      <c r="AJ221" s="320"/>
      <c r="AK221" s="320"/>
      <c r="AL221" s="320"/>
      <c r="AM221" s="320"/>
      <c r="AN221" s="320"/>
      <c r="AO221" s="320"/>
      <c r="AP221" s="320"/>
      <c r="AQ221" s="320"/>
      <c r="AR221" s="320"/>
      <c r="AS221" s="320"/>
      <c r="AT221" s="320"/>
      <c r="AU221" s="321"/>
    </row>
    <row r="222">
      <c r="A222" s="319"/>
      <c r="B222" s="320"/>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c r="AA222" s="320"/>
      <c r="AB222" s="320"/>
      <c r="AC222" s="320"/>
      <c r="AD222" s="320"/>
      <c r="AE222" s="320"/>
      <c r="AF222" s="320"/>
      <c r="AG222" s="320"/>
      <c r="AH222" s="320"/>
      <c r="AI222" s="320"/>
      <c r="AJ222" s="320"/>
      <c r="AK222" s="320"/>
      <c r="AL222" s="320"/>
      <c r="AM222" s="320"/>
      <c r="AN222" s="320"/>
      <c r="AO222" s="320"/>
      <c r="AP222" s="320"/>
      <c r="AQ222" s="320"/>
      <c r="AR222" s="320"/>
      <c r="AS222" s="320"/>
      <c r="AT222" s="320"/>
      <c r="AU222" s="321"/>
    </row>
    <row r="223">
      <c r="A223" s="319"/>
      <c r="B223" s="320"/>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c r="AA223" s="320"/>
      <c r="AB223" s="320"/>
      <c r="AC223" s="320"/>
      <c r="AD223" s="320"/>
      <c r="AE223" s="320"/>
      <c r="AF223" s="320"/>
      <c r="AG223" s="320"/>
      <c r="AH223" s="320"/>
      <c r="AI223" s="320"/>
      <c r="AJ223" s="320"/>
      <c r="AK223" s="320"/>
      <c r="AL223" s="320"/>
      <c r="AM223" s="320"/>
      <c r="AN223" s="320"/>
      <c r="AO223" s="320"/>
      <c r="AP223" s="320"/>
      <c r="AQ223" s="320"/>
      <c r="AR223" s="320"/>
      <c r="AS223" s="320"/>
      <c r="AT223" s="320"/>
      <c r="AU223" s="321"/>
    </row>
    <row r="224">
      <c r="A224" s="319"/>
      <c r="B224" s="320"/>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c r="AA224" s="320"/>
      <c r="AB224" s="320"/>
      <c r="AC224" s="320"/>
      <c r="AD224" s="320"/>
      <c r="AE224" s="320"/>
      <c r="AF224" s="320"/>
      <c r="AG224" s="320"/>
      <c r="AH224" s="320"/>
      <c r="AI224" s="320"/>
      <c r="AJ224" s="320"/>
      <c r="AK224" s="320"/>
      <c r="AL224" s="320"/>
      <c r="AM224" s="320"/>
      <c r="AN224" s="320"/>
      <c r="AO224" s="320"/>
      <c r="AP224" s="320"/>
      <c r="AQ224" s="320"/>
      <c r="AR224" s="320"/>
      <c r="AS224" s="320"/>
      <c r="AT224" s="320"/>
      <c r="AU224" s="321"/>
    </row>
    <row r="225">
      <c r="A225" s="319"/>
      <c r="B225" s="320"/>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c r="AA225" s="320"/>
      <c r="AB225" s="320"/>
      <c r="AC225" s="320"/>
      <c r="AD225" s="320"/>
      <c r="AE225" s="320"/>
      <c r="AF225" s="320"/>
      <c r="AG225" s="320"/>
      <c r="AH225" s="320"/>
      <c r="AI225" s="320"/>
      <c r="AJ225" s="320"/>
      <c r="AK225" s="320"/>
      <c r="AL225" s="320"/>
      <c r="AM225" s="320"/>
      <c r="AN225" s="320"/>
      <c r="AO225" s="320"/>
      <c r="AP225" s="320"/>
      <c r="AQ225" s="320"/>
      <c r="AR225" s="320"/>
      <c r="AS225" s="320"/>
      <c r="AT225" s="320"/>
      <c r="AU225" s="321"/>
    </row>
    <row r="226">
      <c r="A226" s="319"/>
      <c r="B226" s="320"/>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c r="AA226" s="320"/>
      <c r="AB226" s="320"/>
      <c r="AC226" s="320"/>
      <c r="AD226" s="320"/>
      <c r="AE226" s="320"/>
      <c r="AF226" s="320"/>
      <c r="AG226" s="320"/>
      <c r="AH226" s="320"/>
      <c r="AI226" s="320"/>
      <c r="AJ226" s="320"/>
      <c r="AK226" s="320"/>
      <c r="AL226" s="320"/>
      <c r="AM226" s="320"/>
      <c r="AN226" s="320"/>
      <c r="AO226" s="320"/>
      <c r="AP226" s="320"/>
      <c r="AQ226" s="320"/>
      <c r="AR226" s="320"/>
      <c r="AS226" s="320"/>
      <c r="AT226" s="320"/>
      <c r="AU226" s="321"/>
    </row>
    <row r="227">
      <c r="A227" s="319"/>
      <c r="B227" s="320"/>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c r="AA227" s="320"/>
      <c r="AB227" s="320"/>
      <c r="AC227" s="320"/>
      <c r="AD227" s="320"/>
      <c r="AE227" s="320"/>
      <c r="AF227" s="320"/>
      <c r="AG227" s="320"/>
      <c r="AH227" s="320"/>
      <c r="AI227" s="320"/>
      <c r="AJ227" s="320"/>
      <c r="AK227" s="320"/>
      <c r="AL227" s="320"/>
      <c r="AM227" s="320"/>
      <c r="AN227" s="320"/>
      <c r="AO227" s="320"/>
      <c r="AP227" s="320"/>
      <c r="AQ227" s="320"/>
      <c r="AR227" s="320"/>
      <c r="AS227" s="320"/>
      <c r="AT227" s="320"/>
      <c r="AU227" s="321"/>
    </row>
    <row r="228">
      <c r="A228" s="319"/>
      <c r="B228" s="320"/>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c r="AA228" s="320"/>
      <c r="AB228" s="320"/>
      <c r="AC228" s="320"/>
      <c r="AD228" s="320"/>
      <c r="AE228" s="320"/>
      <c r="AF228" s="320"/>
      <c r="AG228" s="320"/>
      <c r="AH228" s="320"/>
      <c r="AI228" s="320"/>
      <c r="AJ228" s="320"/>
      <c r="AK228" s="320"/>
      <c r="AL228" s="320"/>
      <c r="AM228" s="320"/>
      <c r="AN228" s="320"/>
      <c r="AO228" s="320"/>
      <c r="AP228" s="320"/>
      <c r="AQ228" s="320"/>
      <c r="AR228" s="320"/>
      <c r="AS228" s="320"/>
      <c r="AT228" s="320"/>
      <c r="AU228" s="321"/>
    </row>
    <row r="229">
      <c r="A229" s="319"/>
      <c r="B229" s="320"/>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c r="AA229" s="320"/>
      <c r="AB229" s="320"/>
      <c r="AC229" s="320"/>
      <c r="AD229" s="320"/>
      <c r="AE229" s="320"/>
      <c r="AF229" s="320"/>
      <c r="AG229" s="320"/>
      <c r="AH229" s="320"/>
      <c r="AI229" s="320"/>
      <c r="AJ229" s="320"/>
      <c r="AK229" s="320"/>
      <c r="AL229" s="320"/>
      <c r="AM229" s="320"/>
      <c r="AN229" s="320"/>
      <c r="AO229" s="320"/>
      <c r="AP229" s="320"/>
      <c r="AQ229" s="320"/>
      <c r="AR229" s="320"/>
      <c r="AS229" s="320"/>
      <c r="AT229" s="320"/>
      <c r="AU229" s="321"/>
    </row>
    <row r="230">
      <c r="A230" s="319"/>
      <c r="B230" s="320"/>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c r="AA230" s="320"/>
      <c r="AB230" s="320"/>
      <c r="AC230" s="320"/>
      <c r="AD230" s="320"/>
      <c r="AE230" s="320"/>
      <c r="AF230" s="320"/>
      <c r="AG230" s="320"/>
      <c r="AH230" s="320"/>
      <c r="AI230" s="320"/>
      <c r="AJ230" s="320"/>
      <c r="AK230" s="320"/>
      <c r="AL230" s="320"/>
      <c r="AM230" s="320"/>
      <c r="AN230" s="320"/>
      <c r="AO230" s="320"/>
      <c r="AP230" s="320"/>
      <c r="AQ230" s="320"/>
      <c r="AR230" s="320"/>
      <c r="AS230" s="320"/>
      <c r="AT230" s="320"/>
      <c r="AU230" s="321"/>
    </row>
    <row r="231">
      <c r="A231" s="319"/>
      <c r="B231" s="320"/>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c r="AA231" s="320"/>
      <c r="AB231" s="320"/>
      <c r="AC231" s="320"/>
      <c r="AD231" s="320"/>
      <c r="AE231" s="320"/>
      <c r="AF231" s="320"/>
      <c r="AG231" s="320"/>
      <c r="AH231" s="320"/>
      <c r="AI231" s="320"/>
      <c r="AJ231" s="320"/>
      <c r="AK231" s="320"/>
      <c r="AL231" s="320"/>
      <c r="AM231" s="320"/>
      <c r="AN231" s="320"/>
      <c r="AO231" s="320"/>
      <c r="AP231" s="320"/>
      <c r="AQ231" s="320"/>
      <c r="AR231" s="320"/>
      <c r="AS231" s="320"/>
      <c r="AT231" s="320"/>
      <c r="AU231" s="321"/>
    </row>
    <row r="232">
      <c r="A232" s="319"/>
      <c r="B232" s="320"/>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c r="AA232" s="320"/>
      <c r="AB232" s="320"/>
      <c r="AC232" s="320"/>
      <c r="AD232" s="320"/>
      <c r="AE232" s="320"/>
      <c r="AF232" s="320"/>
      <c r="AG232" s="320"/>
      <c r="AH232" s="320"/>
      <c r="AI232" s="320"/>
      <c r="AJ232" s="320"/>
      <c r="AK232" s="320"/>
      <c r="AL232" s="320"/>
      <c r="AM232" s="320"/>
      <c r="AN232" s="320"/>
      <c r="AO232" s="320"/>
      <c r="AP232" s="320"/>
      <c r="AQ232" s="320"/>
      <c r="AR232" s="320"/>
      <c r="AS232" s="320"/>
      <c r="AT232" s="320"/>
      <c r="AU232" s="321"/>
    </row>
    <row r="233">
      <c r="A233" s="319"/>
      <c r="B233" s="320"/>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c r="AA233" s="320"/>
      <c r="AB233" s="320"/>
      <c r="AC233" s="320"/>
      <c r="AD233" s="320"/>
      <c r="AE233" s="320"/>
      <c r="AF233" s="320"/>
      <c r="AG233" s="320"/>
      <c r="AH233" s="320"/>
      <c r="AI233" s="320"/>
      <c r="AJ233" s="320"/>
      <c r="AK233" s="320"/>
      <c r="AL233" s="320"/>
      <c r="AM233" s="320"/>
      <c r="AN233" s="320"/>
      <c r="AO233" s="320"/>
      <c r="AP233" s="320"/>
      <c r="AQ233" s="320"/>
      <c r="AR233" s="320"/>
      <c r="AS233" s="320"/>
      <c r="AT233" s="320"/>
      <c r="AU233" s="321"/>
    </row>
    <row r="234">
      <c r="A234" s="319"/>
      <c r="B234" s="320"/>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c r="AA234" s="320"/>
      <c r="AB234" s="320"/>
      <c r="AC234" s="320"/>
      <c r="AD234" s="320"/>
      <c r="AE234" s="320"/>
      <c r="AF234" s="320"/>
      <c r="AG234" s="320"/>
      <c r="AH234" s="320"/>
      <c r="AI234" s="320"/>
      <c r="AJ234" s="320"/>
      <c r="AK234" s="320"/>
      <c r="AL234" s="320"/>
      <c r="AM234" s="320"/>
      <c r="AN234" s="320"/>
      <c r="AO234" s="320"/>
      <c r="AP234" s="320"/>
      <c r="AQ234" s="320"/>
      <c r="AR234" s="320"/>
      <c r="AS234" s="320"/>
      <c r="AT234" s="320"/>
      <c r="AU234" s="321"/>
    </row>
    <row r="235">
      <c r="A235" s="319"/>
      <c r="B235" s="320"/>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c r="AA235" s="320"/>
      <c r="AB235" s="320"/>
      <c r="AC235" s="320"/>
      <c r="AD235" s="320"/>
      <c r="AE235" s="320"/>
      <c r="AF235" s="320"/>
      <c r="AG235" s="320"/>
      <c r="AH235" s="320"/>
      <c r="AI235" s="320"/>
      <c r="AJ235" s="320"/>
      <c r="AK235" s="320"/>
      <c r="AL235" s="320"/>
      <c r="AM235" s="320"/>
      <c r="AN235" s="320"/>
      <c r="AO235" s="320"/>
      <c r="AP235" s="320"/>
      <c r="AQ235" s="320"/>
      <c r="AR235" s="320"/>
      <c r="AS235" s="320"/>
      <c r="AT235" s="320"/>
      <c r="AU235" s="321"/>
    </row>
    <row r="236">
      <c r="A236" s="319"/>
      <c r="B236" s="320"/>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c r="AA236" s="320"/>
      <c r="AB236" s="320"/>
      <c r="AC236" s="320"/>
      <c r="AD236" s="320"/>
      <c r="AE236" s="320"/>
      <c r="AF236" s="320"/>
      <c r="AG236" s="320"/>
      <c r="AH236" s="320"/>
      <c r="AI236" s="320"/>
      <c r="AJ236" s="320"/>
      <c r="AK236" s="320"/>
      <c r="AL236" s="320"/>
      <c r="AM236" s="320"/>
      <c r="AN236" s="320"/>
      <c r="AO236" s="320"/>
      <c r="AP236" s="320"/>
      <c r="AQ236" s="320"/>
      <c r="AR236" s="320"/>
      <c r="AS236" s="320"/>
      <c r="AT236" s="320"/>
      <c r="AU236" s="321"/>
    </row>
    <row r="237">
      <c r="A237" s="319"/>
      <c r="B237" s="320"/>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c r="AA237" s="320"/>
      <c r="AB237" s="320"/>
      <c r="AC237" s="320"/>
      <c r="AD237" s="320"/>
      <c r="AE237" s="320"/>
      <c r="AF237" s="320"/>
      <c r="AG237" s="320"/>
      <c r="AH237" s="320"/>
      <c r="AI237" s="320"/>
      <c r="AJ237" s="320"/>
      <c r="AK237" s="320"/>
      <c r="AL237" s="320"/>
      <c r="AM237" s="320"/>
      <c r="AN237" s="320"/>
      <c r="AO237" s="320"/>
      <c r="AP237" s="320"/>
      <c r="AQ237" s="320"/>
      <c r="AR237" s="320"/>
      <c r="AS237" s="320"/>
      <c r="AT237" s="320"/>
      <c r="AU237" s="321"/>
    </row>
    <row r="238">
      <c r="A238" s="319"/>
      <c r="B238" s="320"/>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c r="AA238" s="320"/>
      <c r="AB238" s="320"/>
      <c r="AC238" s="320"/>
      <c r="AD238" s="320"/>
      <c r="AE238" s="320"/>
      <c r="AF238" s="320"/>
      <c r="AG238" s="320"/>
      <c r="AH238" s="320"/>
      <c r="AI238" s="320"/>
      <c r="AJ238" s="320"/>
      <c r="AK238" s="320"/>
      <c r="AL238" s="320"/>
      <c r="AM238" s="320"/>
      <c r="AN238" s="320"/>
      <c r="AO238" s="320"/>
      <c r="AP238" s="320"/>
      <c r="AQ238" s="320"/>
      <c r="AR238" s="320"/>
      <c r="AS238" s="320"/>
      <c r="AT238" s="320"/>
      <c r="AU238" s="321"/>
    </row>
    <row r="239">
      <c r="A239" s="319"/>
      <c r="B239" s="320"/>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c r="AA239" s="320"/>
      <c r="AB239" s="320"/>
      <c r="AC239" s="320"/>
      <c r="AD239" s="320"/>
      <c r="AE239" s="320"/>
      <c r="AF239" s="320"/>
      <c r="AG239" s="320"/>
      <c r="AH239" s="320"/>
      <c r="AI239" s="320"/>
      <c r="AJ239" s="320"/>
      <c r="AK239" s="320"/>
      <c r="AL239" s="320"/>
      <c r="AM239" s="320"/>
      <c r="AN239" s="320"/>
      <c r="AO239" s="320"/>
      <c r="AP239" s="320"/>
      <c r="AQ239" s="320"/>
      <c r="AR239" s="320"/>
      <c r="AS239" s="320"/>
      <c r="AT239" s="320"/>
      <c r="AU239" s="321"/>
    </row>
    <row r="240">
      <c r="A240" s="319"/>
      <c r="B240" s="320"/>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c r="AA240" s="320"/>
      <c r="AB240" s="320"/>
      <c r="AC240" s="320"/>
      <c r="AD240" s="320"/>
      <c r="AE240" s="320"/>
      <c r="AF240" s="320"/>
      <c r="AG240" s="320"/>
      <c r="AH240" s="320"/>
      <c r="AI240" s="320"/>
      <c r="AJ240" s="320"/>
      <c r="AK240" s="320"/>
      <c r="AL240" s="320"/>
      <c r="AM240" s="320"/>
      <c r="AN240" s="320"/>
      <c r="AO240" s="320"/>
      <c r="AP240" s="320"/>
      <c r="AQ240" s="320"/>
      <c r="AR240" s="320"/>
      <c r="AS240" s="320"/>
      <c r="AT240" s="320"/>
      <c r="AU240" s="321"/>
    </row>
    <row r="241">
      <c r="A241" s="319"/>
      <c r="B241" s="320"/>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c r="AA241" s="320"/>
      <c r="AB241" s="320"/>
      <c r="AC241" s="320"/>
      <c r="AD241" s="320"/>
      <c r="AE241" s="320"/>
      <c r="AF241" s="320"/>
      <c r="AG241" s="320"/>
      <c r="AH241" s="320"/>
      <c r="AI241" s="320"/>
      <c r="AJ241" s="320"/>
      <c r="AK241" s="320"/>
      <c r="AL241" s="320"/>
      <c r="AM241" s="320"/>
      <c r="AN241" s="320"/>
      <c r="AO241" s="320"/>
      <c r="AP241" s="320"/>
      <c r="AQ241" s="320"/>
      <c r="AR241" s="320"/>
      <c r="AS241" s="320"/>
      <c r="AT241" s="320"/>
      <c r="AU241" s="321"/>
    </row>
    <row r="242">
      <c r="A242" s="319"/>
      <c r="B242" s="320"/>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c r="AA242" s="320"/>
      <c r="AB242" s="320"/>
      <c r="AC242" s="320"/>
      <c r="AD242" s="320"/>
      <c r="AE242" s="320"/>
      <c r="AF242" s="320"/>
      <c r="AG242" s="320"/>
      <c r="AH242" s="320"/>
      <c r="AI242" s="320"/>
      <c r="AJ242" s="320"/>
      <c r="AK242" s="320"/>
      <c r="AL242" s="320"/>
      <c r="AM242" s="320"/>
      <c r="AN242" s="320"/>
      <c r="AO242" s="320"/>
      <c r="AP242" s="320"/>
      <c r="AQ242" s="320"/>
      <c r="AR242" s="320"/>
      <c r="AS242" s="320"/>
      <c r="AT242" s="320"/>
      <c r="AU242" s="321"/>
    </row>
    <row r="243">
      <c r="A243" s="319"/>
      <c r="B243" s="320"/>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c r="AA243" s="320"/>
      <c r="AB243" s="320"/>
      <c r="AC243" s="320"/>
      <c r="AD243" s="320"/>
      <c r="AE243" s="320"/>
      <c r="AF243" s="320"/>
      <c r="AG243" s="320"/>
      <c r="AH243" s="320"/>
      <c r="AI243" s="320"/>
      <c r="AJ243" s="320"/>
      <c r="AK243" s="320"/>
      <c r="AL243" s="320"/>
      <c r="AM243" s="320"/>
      <c r="AN243" s="320"/>
      <c r="AO243" s="320"/>
      <c r="AP243" s="320"/>
      <c r="AQ243" s="320"/>
      <c r="AR243" s="320"/>
      <c r="AS243" s="320"/>
      <c r="AT243" s="320"/>
      <c r="AU243" s="321"/>
    </row>
    <row r="244">
      <c r="A244" s="319"/>
      <c r="B244" s="320"/>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c r="AA244" s="320"/>
      <c r="AB244" s="320"/>
      <c r="AC244" s="320"/>
      <c r="AD244" s="320"/>
      <c r="AE244" s="320"/>
      <c r="AF244" s="320"/>
      <c r="AG244" s="320"/>
      <c r="AH244" s="320"/>
      <c r="AI244" s="320"/>
      <c r="AJ244" s="320"/>
      <c r="AK244" s="320"/>
      <c r="AL244" s="320"/>
      <c r="AM244" s="320"/>
      <c r="AN244" s="320"/>
      <c r="AO244" s="320"/>
      <c r="AP244" s="320"/>
      <c r="AQ244" s="320"/>
      <c r="AR244" s="320"/>
      <c r="AS244" s="320"/>
      <c r="AT244" s="320"/>
      <c r="AU244" s="321"/>
    </row>
    <row r="245">
      <c r="A245" s="319"/>
      <c r="B245" s="320"/>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c r="AA245" s="320"/>
      <c r="AB245" s="320"/>
      <c r="AC245" s="320"/>
      <c r="AD245" s="320"/>
      <c r="AE245" s="320"/>
      <c r="AF245" s="320"/>
      <c r="AG245" s="320"/>
      <c r="AH245" s="320"/>
      <c r="AI245" s="320"/>
      <c r="AJ245" s="320"/>
      <c r="AK245" s="320"/>
      <c r="AL245" s="320"/>
      <c r="AM245" s="320"/>
      <c r="AN245" s="320"/>
      <c r="AO245" s="320"/>
      <c r="AP245" s="320"/>
      <c r="AQ245" s="320"/>
      <c r="AR245" s="320"/>
      <c r="AS245" s="320"/>
      <c r="AT245" s="320"/>
      <c r="AU245" s="321"/>
    </row>
    <row r="246">
      <c r="A246" s="319"/>
      <c r="B246" s="320"/>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c r="AA246" s="320"/>
      <c r="AB246" s="320"/>
      <c r="AC246" s="320"/>
      <c r="AD246" s="320"/>
      <c r="AE246" s="320"/>
      <c r="AF246" s="320"/>
      <c r="AG246" s="320"/>
      <c r="AH246" s="320"/>
      <c r="AI246" s="320"/>
      <c r="AJ246" s="320"/>
      <c r="AK246" s="320"/>
      <c r="AL246" s="320"/>
      <c r="AM246" s="320"/>
      <c r="AN246" s="320"/>
      <c r="AO246" s="320"/>
      <c r="AP246" s="320"/>
      <c r="AQ246" s="320"/>
      <c r="AR246" s="320"/>
      <c r="AS246" s="320"/>
      <c r="AT246" s="320"/>
      <c r="AU246" s="321"/>
    </row>
    <row r="247">
      <c r="A247" s="319"/>
      <c r="B247" s="320"/>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c r="AA247" s="320"/>
      <c r="AB247" s="320"/>
      <c r="AC247" s="320"/>
      <c r="AD247" s="320"/>
      <c r="AE247" s="320"/>
      <c r="AF247" s="320"/>
      <c r="AG247" s="320"/>
      <c r="AH247" s="320"/>
      <c r="AI247" s="320"/>
      <c r="AJ247" s="320"/>
      <c r="AK247" s="320"/>
      <c r="AL247" s="320"/>
      <c r="AM247" s="320"/>
      <c r="AN247" s="320"/>
      <c r="AO247" s="320"/>
      <c r="AP247" s="320"/>
      <c r="AQ247" s="320"/>
      <c r="AR247" s="320"/>
      <c r="AS247" s="320"/>
      <c r="AT247" s="320"/>
      <c r="AU247" s="321"/>
    </row>
    <row r="248">
      <c r="A248" s="319"/>
      <c r="B248" s="320"/>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c r="AA248" s="320"/>
      <c r="AB248" s="320"/>
      <c r="AC248" s="320"/>
      <c r="AD248" s="320"/>
      <c r="AE248" s="320"/>
      <c r="AF248" s="320"/>
      <c r="AG248" s="320"/>
      <c r="AH248" s="320"/>
      <c r="AI248" s="320"/>
      <c r="AJ248" s="320"/>
      <c r="AK248" s="320"/>
      <c r="AL248" s="320"/>
      <c r="AM248" s="320"/>
      <c r="AN248" s="320"/>
      <c r="AO248" s="320"/>
      <c r="AP248" s="320"/>
      <c r="AQ248" s="320"/>
      <c r="AR248" s="320"/>
      <c r="AS248" s="320"/>
      <c r="AT248" s="320"/>
      <c r="AU248" s="321"/>
    </row>
    <row r="249">
      <c r="A249" s="319"/>
      <c r="B249" s="320"/>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c r="AA249" s="320"/>
      <c r="AB249" s="320"/>
      <c r="AC249" s="320"/>
      <c r="AD249" s="320"/>
      <c r="AE249" s="320"/>
      <c r="AF249" s="320"/>
      <c r="AG249" s="320"/>
      <c r="AH249" s="320"/>
      <c r="AI249" s="320"/>
      <c r="AJ249" s="320"/>
      <c r="AK249" s="320"/>
      <c r="AL249" s="320"/>
      <c r="AM249" s="320"/>
      <c r="AN249" s="320"/>
      <c r="AO249" s="320"/>
      <c r="AP249" s="320"/>
      <c r="AQ249" s="320"/>
      <c r="AR249" s="320"/>
      <c r="AS249" s="320"/>
      <c r="AT249" s="320"/>
      <c r="AU249" s="321"/>
    </row>
    <row r="250">
      <c r="A250" s="319"/>
      <c r="B250" s="320"/>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c r="AA250" s="320"/>
      <c r="AB250" s="320"/>
      <c r="AC250" s="320"/>
      <c r="AD250" s="320"/>
      <c r="AE250" s="320"/>
      <c r="AF250" s="320"/>
      <c r="AG250" s="320"/>
      <c r="AH250" s="320"/>
      <c r="AI250" s="320"/>
      <c r="AJ250" s="320"/>
      <c r="AK250" s="320"/>
      <c r="AL250" s="320"/>
      <c r="AM250" s="320"/>
      <c r="AN250" s="320"/>
      <c r="AO250" s="320"/>
      <c r="AP250" s="320"/>
      <c r="AQ250" s="320"/>
      <c r="AR250" s="320"/>
      <c r="AS250" s="320"/>
      <c r="AT250" s="320"/>
      <c r="AU250" s="321"/>
    </row>
    <row r="251">
      <c r="A251" s="319"/>
      <c r="B251" s="320"/>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c r="AA251" s="320"/>
      <c r="AB251" s="320"/>
      <c r="AC251" s="320"/>
      <c r="AD251" s="320"/>
      <c r="AE251" s="320"/>
      <c r="AF251" s="320"/>
      <c r="AG251" s="320"/>
      <c r="AH251" s="320"/>
      <c r="AI251" s="320"/>
      <c r="AJ251" s="320"/>
      <c r="AK251" s="320"/>
      <c r="AL251" s="320"/>
      <c r="AM251" s="320"/>
      <c r="AN251" s="320"/>
      <c r="AO251" s="320"/>
      <c r="AP251" s="320"/>
      <c r="AQ251" s="320"/>
      <c r="AR251" s="320"/>
      <c r="AS251" s="320"/>
      <c r="AT251" s="320"/>
      <c r="AU251" s="321"/>
    </row>
    <row r="252">
      <c r="A252" s="319"/>
      <c r="B252" s="320"/>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c r="AA252" s="320"/>
      <c r="AB252" s="320"/>
      <c r="AC252" s="320"/>
      <c r="AD252" s="320"/>
      <c r="AE252" s="320"/>
      <c r="AF252" s="320"/>
      <c r="AG252" s="320"/>
      <c r="AH252" s="320"/>
      <c r="AI252" s="320"/>
      <c r="AJ252" s="320"/>
      <c r="AK252" s="320"/>
      <c r="AL252" s="320"/>
      <c r="AM252" s="320"/>
      <c r="AN252" s="320"/>
      <c r="AO252" s="320"/>
      <c r="AP252" s="320"/>
      <c r="AQ252" s="320"/>
      <c r="AR252" s="320"/>
      <c r="AS252" s="320"/>
      <c r="AT252" s="320"/>
      <c r="AU252" s="321"/>
    </row>
    <row r="253">
      <c r="A253" s="319"/>
      <c r="B253" s="320"/>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c r="AA253" s="320"/>
      <c r="AB253" s="320"/>
      <c r="AC253" s="320"/>
      <c r="AD253" s="320"/>
      <c r="AE253" s="320"/>
      <c r="AF253" s="320"/>
      <c r="AG253" s="320"/>
      <c r="AH253" s="320"/>
      <c r="AI253" s="320"/>
      <c r="AJ253" s="320"/>
      <c r="AK253" s="320"/>
      <c r="AL253" s="320"/>
      <c r="AM253" s="320"/>
      <c r="AN253" s="320"/>
      <c r="AO253" s="320"/>
      <c r="AP253" s="320"/>
      <c r="AQ253" s="320"/>
      <c r="AR253" s="320"/>
      <c r="AS253" s="320"/>
      <c r="AT253" s="320"/>
      <c r="AU253" s="321"/>
    </row>
    <row r="254">
      <c r="A254" s="319"/>
      <c r="B254" s="320"/>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c r="AA254" s="320"/>
      <c r="AB254" s="320"/>
      <c r="AC254" s="320"/>
      <c r="AD254" s="320"/>
      <c r="AE254" s="320"/>
      <c r="AF254" s="320"/>
      <c r="AG254" s="320"/>
      <c r="AH254" s="320"/>
      <c r="AI254" s="320"/>
      <c r="AJ254" s="320"/>
      <c r="AK254" s="320"/>
      <c r="AL254" s="320"/>
      <c r="AM254" s="320"/>
      <c r="AN254" s="320"/>
      <c r="AO254" s="320"/>
      <c r="AP254" s="320"/>
      <c r="AQ254" s="320"/>
      <c r="AR254" s="320"/>
      <c r="AS254" s="320"/>
      <c r="AT254" s="320"/>
      <c r="AU254" s="321"/>
    </row>
    <row r="255">
      <c r="A255" s="319"/>
      <c r="B255" s="320"/>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c r="AA255" s="320"/>
      <c r="AB255" s="320"/>
      <c r="AC255" s="320"/>
      <c r="AD255" s="320"/>
      <c r="AE255" s="320"/>
      <c r="AF255" s="320"/>
      <c r="AG255" s="320"/>
      <c r="AH255" s="320"/>
      <c r="AI255" s="320"/>
      <c r="AJ255" s="320"/>
      <c r="AK255" s="320"/>
      <c r="AL255" s="320"/>
      <c r="AM255" s="320"/>
      <c r="AN255" s="320"/>
      <c r="AO255" s="320"/>
      <c r="AP255" s="320"/>
      <c r="AQ255" s="320"/>
      <c r="AR255" s="320"/>
      <c r="AS255" s="320"/>
      <c r="AT255" s="320"/>
      <c r="AU255" s="321"/>
    </row>
    <row r="256">
      <c r="A256" s="319"/>
      <c r="B256" s="320"/>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c r="AA256" s="320"/>
      <c r="AB256" s="320"/>
      <c r="AC256" s="320"/>
      <c r="AD256" s="320"/>
      <c r="AE256" s="320"/>
      <c r="AF256" s="320"/>
      <c r="AG256" s="320"/>
      <c r="AH256" s="320"/>
      <c r="AI256" s="320"/>
      <c r="AJ256" s="320"/>
      <c r="AK256" s="320"/>
      <c r="AL256" s="320"/>
      <c r="AM256" s="320"/>
      <c r="AN256" s="320"/>
      <c r="AO256" s="320"/>
      <c r="AP256" s="320"/>
      <c r="AQ256" s="320"/>
      <c r="AR256" s="320"/>
      <c r="AS256" s="320"/>
      <c r="AT256" s="320"/>
      <c r="AU256" s="321"/>
    </row>
    <row r="257">
      <c r="A257" s="319"/>
      <c r="B257" s="320"/>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c r="AA257" s="320"/>
      <c r="AB257" s="320"/>
      <c r="AC257" s="320"/>
      <c r="AD257" s="320"/>
      <c r="AE257" s="320"/>
      <c r="AF257" s="320"/>
      <c r="AG257" s="320"/>
      <c r="AH257" s="320"/>
      <c r="AI257" s="320"/>
      <c r="AJ257" s="320"/>
      <c r="AK257" s="320"/>
      <c r="AL257" s="320"/>
      <c r="AM257" s="320"/>
      <c r="AN257" s="320"/>
      <c r="AO257" s="320"/>
      <c r="AP257" s="320"/>
      <c r="AQ257" s="320"/>
      <c r="AR257" s="320"/>
      <c r="AS257" s="320"/>
      <c r="AT257" s="320"/>
      <c r="AU257" s="321"/>
    </row>
    <row r="258">
      <c r="A258" s="319"/>
      <c r="B258" s="320"/>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c r="AA258" s="320"/>
      <c r="AB258" s="320"/>
      <c r="AC258" s="320"/>
      <c r="AD258" s="320"/>
      <c r="AE258" s="320"/>
      <c r="AF258" s="320"/>
      <c r="AG258" s="320"/>
      <c r="AH258" s="320"/>
      <c r="AI258" s="320"/>
      <c r="AJ258" s="320"/>
      <c r="AK258" s="320"/>
      <c r="AL258" s="320"/>
      <c r="AM258" s="320"/>
      <c r="AN258" s="320"/>
      <c r="AO258" s="320"/>
      <c r="AP258" s="320"/>
      <c r="AQ258" s="320"/>
      <c r="AR258" s="320"/>
      <c r="AS258" s="320"/>
      <c r="AT258" s="320"/>
      <c r="AU258" s="321"/>
    </row>
    <row r="259">
      <c r="A259" s="319"/>
      <c r="B259" s="320"/>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c r="AA259" s="320"/>
      <c r="AB259" s="320"/>
      <c r="AC259" s="320"/>
      <c r="AD259" s="320"/>
      <c r="AE259" s="320"/>
      <c r="AF259" s="320"/>
      <c r="AG259" s="320"/>
      <c r="AH259" s="320"/>
      <c r="AI259" s="320"/>
      <c r="AJ259" s="320"/>
      <c r="AK259" s="320"/>
      <c r="AL259" s="320"/>
      <c r="AM259" s="320"/>
      <c r="AN259" s="320"/>
      <c r="AO259" s="320"/>
      <c r="AP259" s="320"/>
      <c r="AQ259" s="320"/>
      <c r="AR259" s="320"/>
      <c r="AS259" s="320"/>
      <c r="AT259" s="320"/>
      <c r="AU259" s="321"/>
    </row>
    <row r="260">
      <c r="A260" s="319"/>
      <c r="B260" s="320"/>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c r="AA260" s="320"/>
      <c r="AB260" s="320"/>
      <c r="AC260" s="320"/>
      <c r="AD260" s="320"/>
      <c r="AE260" s="320"/>
      <c r="AF260" s="320"/>
      <c r="AG260" s="320"/>
      <c r="AH260" s="320"/>
      <c r="AI260" s="320"/>
      <c r="AJ260" s="320"/>
      <c r="AK260" s="320"/>
      <c r="AL260" s="320"/>
      <c r="AM260" s="320"/>
      <c r="AN260" s="320"/>
      <c r="AO260" s="320"/>
      <c r="AP260" s="320"/>
      <c r="AQ260" s="320"/>
      <c r="AR260" s="320"/>
      <c r="AS260" s="320"/>
      <c r="AT260" s="320"/>
      <c r="AU260" s="321"/>
    </row>
    <row r="261">
      <c r="A261" s="319"/>
      <c r="B261" s="320"/>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c r="AA261" s="320"/>
      <c r="AB261" s="320"/>
      <c r="AC261" s="320"/>
      <c r="AD261" s="320"/>
      <c r="AE261" s="320"/>
      <c r="AF261" s="320"/>
      <c r="AG261" s="320"/>
      <c r="AH261" s="320"/>
      <c r="AI261" s="320"/>
      <c r="AJ261" s="320"/>
      <c r="AK261" s="320"/>
      <c r="AL261" s="320"/>
      <c r="AM261" s="320"/>
      <c r="AN261" s="320"/>
      <c r="AO261" s="320"/>
      <c r="AP261" s="320"/>
      <c r="AQ261" s="320"/>
      <c r="AR261" s="320"/>
      <c r="AS261" s="320"/>
      <c r="AT261" s="320"/>
      <c r="AU261" s="321"/>
    </row>
    <row r="262">
      <c r="A262" s="319"/>
      <c r="B262" s="320"/>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c r="AA262" s="320"/>
      <c r="AB262" s="320"/>
      <c r="AC262" s="320"/>
      <c r="AD262" s="320"/>
      <c r="AE262" s="320"/>
      <c r="AF262" s="320"/>
      <c r="AG262" s="320"/>
      <c r="AH262" s="320"/>
      <c r="AI262" s="320"/>
      <c r="AJ262" s="320"/>
      <c r="AK262" s="320"/>
      <c r="AL262" s="320"/>
      <c r="AM262" s="320"/>
      <c r="AN262" s="320"/>
      <c r="AO262" s="320"/>
      <c r="AP262" s="320"/>
      <c r="AQ262" s="320"/>
      <c r="AR262" s="320"/>
      <c r="AS262" s="320"/>
      <c r="AT262" s="320"/>
      <c r="AU262" s="321"/>
    </row>
    <row r="263">
      <c r="A263" s="319"/>
      <c r="B263" s="320"/>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c r="AA263" s="320"/>
      <c r="AB263" s="320"/>
      <c r="AC263" s="320"/>
      <c r="AD263" s="320"/>
      <c r="AE263" s="320"/>
      <c r="AF263" s="320"/>
      <c r="AG263" s="320"/>
      <c r="AH263" s="320"/>
      <c r="AI263" s="320"/>
      <c r="AJ263" s="320"/>
      <c r="AK263" s="320"/>
      <c r="AL263" s="320"/>
      <c r="AM263" s="320"/>
      <c r="AN263" s="320"/>
      <c r="AO263" s="320"/>
      <c r="AP263" s="320"/>
      <c r="AQ263" s="320"/>
      <c r="AR263" s="320"/>
      <c r="AS263" s="320"/>
      <c r="AT263" s="320"/>
      <c r="AU263" s="321"/>
    </row>
    <row r="264">
      <c r="A264" s="319"/>
      <c r="B264" s="320"/>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c r="AA264" s="320"/>
      <c r="AB264" s="320"/>
      <c r="AC264" s="320"/>
      <c r="AD264" s="320"/>
      <c r="AE264" s="320"/>
      <c r="AF264" s="320"/>
      <c r="AG264" s="320"/>
      <c r="AH264" s="320"/>
      <c r="AI264" s="320"/>
      <c r="AJ264" s="320"/>
      <c r="AK264" s="320"/>
      <c r="AL264" s="320"/>
      <c r="AM264" s="320"/>
      <c r="AN264" s="320"/>
      <c r="AO264" s="320"/>
      <c r="AP264" s="320"/>
      <c r="AQ264" s="320"/>
      <c r="AR264" s="320"/>
      <c r="AS264" s="320"/>
      <c r="AT264" s="320"/>
      <c r="AU264" s="321"/>
    </row>
    <row r="265">
      <c r="A265" s="319"/>
      <c r="B265" s="320"/>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c r="AA265" s="320"/>
      <c r="AB265" s="320"/>
      <c r="AC265" s="320"/>
      <c r="AD265" s="320"/>
      <c r="AE265" s="320"/>
      <c r="AF265" s="320"/>
      <c r="AG265" s="320"/>
      <c r="AH265" s="320"/>
      <c r="AI265" s="320"/>
      <c r="AJ265" s="320"/>
      <c r="AK265" s="320"/>
      <c r="AL265" s="320"/>
      <c r="AM265" s="320"/>
      <c r="AN265" s="320"/>
      <c r="AO265" s="320"/>
      <c r="AP265" s="320"/>
      <c r="AQ265" s="320"/>
      <c r="AR265" s="320"/>
      <c r="AS265" s="320"/>
      <c r="AT265" s="320"/>
      <c r="AU265" s="321"/>
    </row>
    <row r="266">
      <c r="A266" s="319"/>
      <c r="B266" s="320"/>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c r="AA266" s="320"/>
      <c r="AB266" s="320"/>
      <c r="AC266" s="320"/>
      <c r="AD266" s="320"/>
      <c r="AE266" s="320"/>
      <c r="AF266" s="320"/>
      <c r="AG266" s="320"/>
      <c r="AH266" s="320"/>
      <c r="AI266" s="320"/>
      <c r="AJ266" s="320"/>
      <c r="AK266" s="320"/>
      <c r="AL266" s="320"/>
      <c r="AM266" s="320"/>
      <c r="AN266" s="320"/>
      <c r="AO266" s="320"/>
      <c r="AP266" s="320"/>
      <c r="AQ266" s="320"/>
      <c r="AR266" s="320"/>
      <c r="AS266" s="320"/>
      <c r="AT266" s="320"/>
      <c r="AU266" s="321"/>
    </row>
    <row r="267">
      <c r="A267" s="319"/>
      <c r="B267" s="320"/>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c r="AA267" s="320"/>
      <c r="AB267" s="320"/>
      <c r="AC267" s="320"/>
      <c r="AD267" s="320"/>
      <c r="AE267" s="320"/>
      <c r="AF267" s="320"/>
      <c r="AG267" s="320"/>
      <c r="AH267" s="320"/>
      <c r="AI267" s="320"/>
      <c r="AJ267" s="320"/>
      <c r="AK267" s="320"/>
      <c r="AL267" s="320"/>
      <c r="AM267" s="320"/>
      <c r="AN267" s="320"/>
      <c r="AO267" s="320"/>
      <c r="AP267" s="320"/>
      <c r="AQ267" s="320"/>
      <c r="AR267" s="320"/>
      <c r="AS267" s="320"/>
      <c r="AT267" s="320"/>
      <c r="AU267" s="321"/>
    </row>
    <row r="268">
      <c r="A268" s="319"/>
      <c r="B268" s="320"/>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c r="AA268" s="320"/>
      <c r="AB268" s="320"/>
      <c r="AC268" s="320"/>
      <c r="AD268" s="320"/>
      <c r="AE268" s="320"/>
      <c r="AF268" s="320"/>
      <c r="AG268" s="320"/>
      <c r="AH268" s="320"/>
      <c r="AI268" s="320"/>
      <c r="AJ268" s="320"/>
      <c r="AK268" s="320"/>
      <c r="AL268" s="320"/>
      <c r="AM268" s="320"/>
      <c r="AN268" s="320"/>
      <c r="AO268" s="320"/>
      <c r="AP268" s="320"/>
      <c r="AQ268" s="320"/>
      <c r="AR268" s="320"/>
      <c r="AS268" s="320"/>
      <c r="AT268" s="320"/>
      <c r="AU268" s="321"/>
    </row>
    <row r="269">
      <c r="A269" s="319"/>
      <c r="B269" s="320"/>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c r="AA269" s="320"/>
      <c r="AB269" s="320"/>
      <c r="AC269" s="320"/>
      <c r="AD269" s="320"/>
      <c r="AE269" s="320"/>
      <c r="AF269" s="320"/>
      <c r="AG269" s="320"/>
      <c r="AH269" s="320"/>
      <c r="AI269" s="320"/>
      <c r="AJ269" s="320"/>
      <c r="AK269" s="320"/>
      <c r="AL269" s="320"/>
      <c r="AM269" s="320"/>
      <c r="AN269" s="320"/>
      <c r="AO269" s="320"/>
      <c r="AP269" s="320"/>
      <c r="AQ269" s="320"/>
      <c r="AR269" s="320"/>
      <c r="AS269" s="320"/>
      <c r="AT269" s="320"/>
      <c r="AU269" s="321"/>
    </row>
    <row r="270">
      <c r="A270" s="319"/>
      <c r="B270" s="320"/>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c r="AA270" s="320"/>
      <c r="AB270" s="320"/>
      <c r="AC270" s="320"/>
      <c r="AD270" s="320"/>
      <c r="AE270" s="320"/>
      <c r="AF270" s="320"/>
      <c r="AG270" s="320"/>
      <c r="AH270" s="320"/>
      <c r="AI270" s="320"/>
      <c r="AJ270" s="320"/>
      <c r="AK270" s="320"/>
      <c r="AL270" s="320"/>
      <c r="AM270" s="320"/>
      <c r="AN270" s="320"/>
      <c r="AO270" s="320"/>
      <c r="AP270" s="320"/>
      <c r="AQ270" s="320"/>
      <c r="AR270" s="320"/>
      <c r="AS270" s="320"/>
      <c r="AT270" s="320"/>
      <c r="AU270" s="321"/>
    </row>
    <row r="271">
      <c r="A271" s="319"/>
      <c r="B271" s="320"/>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c r="AA271" s="320"/>
      <c r="AB271" s="320"/>
      <c r="AC271" s="320"/>
      <c r="AD271" s="320"/>
      <c r="AE271" s="320"/>
      <c r="AF271" s="320"/>
      <c r="AG271" s="320"/>
      <c r="AH271" s="320"/>
      <c r="AI271" s="320"/>
      <c r="AJ271" s="320"/>
      <c r="AK271" s="320"/>
      <c r="AL271" s="320"/>
      <c r="AM271" s="320"/>
      <c r="AN271" s="320"/>
      <c r="AO271" s="320"/>
      <c r="AP271" s="320"/>
      <c r="AQ271" s="320"/>
      <c r="AR271" s="320"/>
      <c r="AS271" s="320"/>
      <c r="AT271" s="320"/>
      <c r="AU271" s="321"/>
    </row>
    <row r="272">
      <c r="A272" s="319"/>
      <c r="B272" s="320"/>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c r="AA272" s="320"/>
      <c r="AB272" s="320"/>
      <c r="AC272" s="320"/>
      <c r="AD272" s="320"/>
      <c r="AE272" s="320"/>
      <c r="AF272" s="320"/>
      <c r="AG272" s="320"/>
      <c r="AH272" s="320"/>
      <c r="AI272" s="320"/>
      <c r="AJ272" s="320"/>
      <c r="AK272" s="320"/>
      <c r="AL272" s="320"/>
      <c r="AM272" s="320"/>
      <c r="AN272" s="320"/>
      <c r="AO272" s="320"/>
      <c r="AP272" s="320"/>
      <c r="AQ272" s="320"/>
      <c r="AR272" s="320"/>
      <c r="AS272" s="320"/>
      <c r="AT272" s="320"/>
      <c r="AU272" s="321"/>
    </row>
    <row r="273">
      <c r="A273" s="319"/>
      <c r="B273" s="320"/>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c r="AA273" s="320"/>
      <c r="AB273" s="320"/>
      <c r="AC273" s="320"/>
      <c r="AD273" s="320"/>
      <c r="AE273" s="320"/>
      <c r="AF273" s="320"/>
      <c r="AG273" s="320"/>
      <c r="AH273" s="320"/>
      <c r="AI273" s="320"/>
      <c r="AJ273" s="320"/>
      <c r="AK273" s="320"/>
      <c r="AL273" s="320"/>
      <c r="AM273" s="320"/>
      <c r="AN273" s="320"/>
      <c r="AO273" s="320"/>
      <c r="AP273" s="320"/>
      <c r="AQ273" s="320"/>
      <c r="AR273" s="320"/>
      <c r="AS273" s="320"/>
      <c r="AT273" s="320"/>
      <c r="AU273" s="321"/>
    </row>
    <row r="274">
      <c r="A274" s="319"/>
      <c r="B274" s="320"/>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c r="AA274" s="320"/>
      <c r="AB274" s="320"/>
      <c r="AC274" s="320"/>
      <c r="AD274" s="320"/>
      <c r="AE274" s="320"/>
      <c r="AF274" s="320"/>
      <c r="AG274" s="320"/>
      <c r="AH274" s="320"/>
      <c r="AI274" s="320"/>
      <c r="AJ274" s="320"/>
      <c r="AK274" s="320"/>
      <c r="AL274" s="320"/>
      <c r="AM274" s="320"/>
      <c r="AN274" s="320"/>
      <c r="AO274" s="320"/>
      <c r="AP274" s="320"/>
      <c r="AQ274" s="320"/>
      <c r="AR274" s="320"/>
      <c r="AS274" s="320"/>
      <c r="AT274" s="320"/>
      <c r="AU274" s="321"/>
    </row>
    <row r="275">
      <c r="A275" s="319"/>
      <c r="B275" s="320"/>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c r="AA275" s="320"/>
      <c r="AB275" s="320"/>
      <c r="AC275" s="320"/>
      <c r="AD275" s="320"/>
      <c r="AE275" s="320"/>
      <c r="AF275" s="320"/>
      <c r="AG275" s="320"/>
      <c r="AH275" s="320"/>
      <c r="AI275" s="320"/>
      <c r="AJ275" s="320"/>
      <c r="AK275" s="320"/>
      <c r="AL275" s="320"/>
      <c r="AM275" s="320"/>
      <c r="AN275" s="320"/>
      <c r="AO275" s="320"/>
      <c r="AP275" s="320"/>
      <c r="AQ275" s="320"/>
      <c r="AR275" s="320"/>
      <c r="AS275" s="320"/>
      <c r="AT275" s="320"/>
      <c r="AU275" s="321"/>
    </row>
    <row r="276">
      <c r="A276" s="319"/>
      <c r="B276" s="320"/>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c r="AA276" s="320"/>
      <c r="AB276" s="320"/>
      <c r="AC276" s="320"/>
      <c r="AD276" s="320"/>
      <c r="AE276" s="320"/>
      <c r="AF276" s="320"/>
      <c r="AG276" s="320"/>
      <c r="AH276" s="320"/>
      <c r="AI276" s="320"/>
      <c r="AJ276" s="320"/>
      <c r="AK276" s="320"/>
      <c r="AL276" s="320"/>
      <c r="AM276" s="320"/>
      <c r="AN276" s="320"/>
      <c r="AO276" s="320"/>
      <c r="AP276" s="320"/>
      <c r="AQ276" s="320"/>
      <c r="AR276" s="320"/>
      <c r="AS276" s="320"/>
      <c r="AT276" s="320"/>
      <c r="AU276" s="321"/>
    </row>
    <row r="277">
      <c r="A277" s="319"/>
      <c r="B277" s="320"/>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c r="AA277" s="320"/>
      <c r="AB277" s="320"/>
      <c r="AC277" s="320"/>
      <c r="AD277" s="320"/>
      <c r="AE277" s="320"/>
      <c r="AF277" s="320"/>
      <c r="AG277" s="320"/>
      <c r="AH277" s="320"/>
      <c r="AI277" s="320"/>
      <c r="AJ277" s="320"/>
      <c r="AK277" s="320"/>
      <c r="AL277" s="320"/>
      <c r="AM277" s="320"/>
      <c r="AN277" s="320"/>
      <c r="AO277" s="320"/>
      <c r="AP277" s="320"/>
      <c r="AQ277" s="320"/>
      <c r="AR277" s="320"/>
      <c r="AS277" s="320"/>
      <c r="AT277" s="320"/>
      <c r="AU277" s="321"/>
    </row>
    <row r="278">
      <c r="A278" s="319"/>
      <c r="B278" s="320"/>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c r="AA278" s="320"/>
      <c r="AB278" s="320"/>
      <c r="AC278" s="320"/>
      <c r="AD278" s="320"/>
      <c r="AE278" s="320"/>
      <c r="AF278" s="320"/>
      <c r="AG278" s="320"/>
      <c r="AH278" s="320"/>
      <c r="AI278" s="320"/>
      <c r="AJ278" s="320"/>
      <c r="AK278" s="320"/>
      <c r="AL278" s="320"/>
      <c r="AM278" s="320"/>
      <c r="AN278" s="320"/>
      <c r="AO278" s="320"/>
      <c r="AP278" s="320"/>
      <c r="AQ278" s="320"/>
      <c r="AR278" s="320"/>
      <c r="AS278" s="320"/>
      <c r="AT278" s="320"/>
      <c r="AU278" s="321"/>
    </row>
    <row r="279">
      <c r="A279" s="319"/>
      <c r="B279" s="320"/>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c r="AA279" s="320"/>
      <c r="AB279" s="320"/>
      <c r="AC279" s="320"/>
      <c r="AD279" s="320"/>
      <c r="AE279" s="320"/>
      <c r="AF279" s="320"/>
      <c r="AG279" s="320"/>
      <c r="AH279" s="320"/>
      <c r="AI279" s="320"/>
      <c r="AJ279" s="320"/>
      <c r="AK279" s="320"/>
      <c r="AL279" s="320"/>
      <c r="AM279" s="320"/>
      <c r="AN279" s="320"/>
      <c r="AO279" s="320"/>
      <c r="AP279" s="320"/>
      <c r="AQ279" s="320"/>
      <c r="AR279" s="320"/>
      <c r="AS279" s="320"/>
      <c r="AT279" s="320"/>
      <c r="AU279" s="321"/>
    </row>
    <row r="280">
      <c r="A280" s="319"/>
      <c r="B280" s="320"/>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c r="AA280" s="320"/>
      <c r="AB280" s="320"/>
      <c r="AC280" s="320"/>
      <c r="AD280" s="320"/>
      <c r="AE280" s="320"/>
      <c r="AF280" s="320"/>
      <c r="AG280" s="320"/>
      <c r="AH280" s="320"/>
      <c r="AI280" s="320"/>
      <c r="AJ280" s="320"/>
      <c r="AK280" s="320"/>
      <c r="AL280" s="320"/>
      <c r="AM280" s="320"/>
      <c r="AN280" s="320"/>
      <c r="AO280" s="320"/>
      <c r="AP280" s="320"/>
      <c r="AQ280" s="320"/>
      <c r="AR280" s="320"/>
      <c r="AS280" s="320"/>
      <c r="AT280" s="320"/>
      <c r="AU280" s="321"/>
    </row>
    <row r="281">
      <c r="A281" s="319"/>
      <c r="B281" s="320"/>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c r="AA281" s="320"/>
      <c r="AB281" s="320"/>
      <c r="AC281" s="320"/>
      <c r="AD281" s="320"/>
      <c r="AE281" s="320"/>
      <c r="AF281" s="320"/>
      <c r="AG281" s="320"/>
      <c r="AH281" s="320"/>
      <c r="AI281" s="320"/>
      <c r="AJ281" s="320"/>
      <c r="AK281" s="320"/>
      <c r="AL281" s="320"/>
      <c r="AM281" s="320"/>
      <c r="AN281" s="320"/>
      <c r="AO281" s="320"/>
      <c r="AP281" s="320"/>
      <c r="AQ281" s="320"/>
      <c r="AR281" s="320"/>
      <c r="AS281" s="320"/>
      <c r="AT281" s="320"/>
      <c r="AU281" s="321"/>
    </row>
    <row r="282">
      <c r="A282" s="319"/>
      <c r="B282" s="320"/>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c r="AA282" s="320"/>
      <c r="AB282" s="320"/>
      <c r="AC282" s="320"/>
      <c r="AD282" s="320"/>
      <c r="AE282" s="320"/>
      <c r="AF282" s="320"/>
      <c r="AG282" s="320"/>
      <c r="AH282" s="320"/>
      <c r="AI282" s="320"/>
      <c r="AJ282" s="320"/>
      <c r="AK282" s="320"/>
      <c r="AL282" s="320"/>
      <c r="AM282" s="320"/>
      <c r="AN282" s="320"/>
      <c r="AO282" s="320"/>
      <c r="AP282" s="320"/>
      <c r="AQ282" s="320"/>
      <c r="AR282" s="320"/>
      <c r="AS282" s="320"/>
      <c r="AT282" s="320"/>
      <c r="AU282" s="321"/>
    </row>
    <row r="283">
      <c r="A283" s="319"/>
      <c r="B283" s="320"/>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c r="AA283" s="320"/>
      <c r="AB283" s="320"/>
      <c r="AC283" s="320"/>
      <c r="AD283" s="320"/>
      <c r="AE283" s="320"/>
      <c r="AF283" s="320"/>
      <c r="AG283" s="320"/>
      <c r="AH283" s="320"/>
      <c r="AI283" s="320"/>
      <c r="AJ283" s="320"/>
      <c r="AK283" s="320"/>
      <c r="AL283" s="320"/>
      <c r="AM283" s="320"/>
      <c r="AN283" s="320"/>
      <c r="AO283" s="320"/>
      <c r="AP283" s="320"/>
      <c r="AQ283" s="320"/>
      <c r="AR283" s="320"/>
      <c r="AS283" s="320"/>
      <c r="AT283" s="320"/>
      <c r="AU283" s="321"/>
    </row>
    <row r="284">
      <c r="A284" s="319"/>
      <c r="B284" s="320"/>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c r="AA284" s="320"/>
      <c r="AB284" s="320"/>
      <c r="AC284" s="320"/>
      <c r="AD284" s="320"/>
      <c r="AE284" s="320"/>
      <c r="AF284" s="320"/>
      <c r="AG284" s="320"/>
      <c r="AH284" s="320"/>
      <c r="AI284" s="320"/>
      <c r="AJ284" s="320"/>
      <c r="AK284" s="320"/>
      <c r="AL284" s="320"/>
      <c r="AM284" s="320"/>
      <c r="AN284" s="320"/>
      <c r="AO284" s="320"/>
      <c r="AP284" s="320"/>
      <c r="AQ284" s="320"/>
      <c r="AR284" s="320"/>
      <c r="AS284" s="320"/>
      <c r="AT284" s="320"/>
      <c r="AU284" s="321"/>
    </row>
    <row r="285">
      <c r="A285" s="319"/>
      <c r="B285" s="320"/>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c r="AA285" s="320"/>
      <c r="AB285" s="320"/>
      <c r="AC285" s="320"/>
      <c r="AD285" s="320"/>
      <c r="AE285" s="320"/>
      <c r="AF285" s="320"/>
      <c r="AG285" s="320"/>
      <c r="AH285" s="320"/>
      <c r="AI285" s="320"/>
      <c r="AJ285" s="320"/>
      <c r="AK285" s="320"/>
      <c r="AL285" s="320"/>
      <c r="AM285" s="320"/>
      <c r="AN285" s="320"/>
      <c r="AO285" s="320"/>
      <c r="AP285" s="320"/>
      <c r="AQ285" s="320"/>
      <c r="AR285" s="320"/>
      <c r="AS285" s="320"/>
      <c r="AT285" s="320"/>
      <c r="AU285" s="321"/>
    </row>
    <row r="286">
      <c r="A286" s="319"/>
      <c r="B286" s="320"/>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c r="AA286" s="320"/>
      <c r="AB286" s="320"/>
      <c r="AC286" s="320"/>
      <c r="AD286" s="320"/>
      <c r="AE286" s="320"/>
      <c r="AF286" s="320"/>
      <c r="AG286" s="320"/>
      <c r="AH286" s="320"/>
      <c r="AI286" s="320"/>
      <c r="AJ286" s="320"/>
      <c r="AK286" s="320"/>
      <c r="AL286" s="320"/>
      <c r="AM286" s="320"/>
      <c r="AN286" s="320"/>
      <c r="AO286" s="320"/>
      <c r="AP286" s="320"/>
      <c r="AQ286" s="320"/>
      <c r="AR286" s="320"/>
      <c r="AS286" s="320"/>
      <c r="AT286" s="320"/>
      <c r="AU286" s="321"/>
    </row>
    <row r="287">
      <c r="A287" s="319"/>
      <c r="B287" s="320"/>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c r="AA287" s="320"/>
      <c r="AB287" s="320"/>
      <c r="AC287" s="320"/>
      <c r="AD287" s="320"/>
      <c r="AE287" s="320"/>
      <c r="AF287" s="320"/>
      <c r="AG287" s="320"/>
      <c r="AH287" s="320"/>
      <c r="AI287" s="320"/>
      <c r="AJ287" s="320"/>
      <c r="AK287" s="320"/>
      <c r="AL287" s="320"/>
      <c r="AM287" s="320"/>
      <c r="AN287" s="320"/>
      <c r="AO287" s="320"/>
      <c r="AP287" s="320"/>
      <c r="AQ287" s="320"/>
      <c r="AR287" s="320"/>
      <c r="AS287" s="320"/>
      <c r="AT287" s="320"/>
      <c r="AU287" s="321"/>
    </row>
    <row r="288">
      <c r="A288" s="319"/>
      <c r="B288" s="320"/>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c r="AA288" s="320"/>
      <c r="AB288" s="320"/>
      <c r="AC288" s="320"/>
      <c r="AD288" s="320"/>
      <c r="AE288" s="320"/>
      <c r="AF288" s="320"/>
      <c r="AG288" s="320"/>
      <c r="AH288" s="320"/>
      <c r="AI288" s="320"/>
      <c r="AJ288" s="320"/>
      <c r="AK288" s="320"/>
      <c r="AL288" s="320"/>
      <c r="AM288" s="320"/>
      <c r="AN288" s="320"/>
      <c r="AO288" s="320"/>
      <c r="AP288" s="320"/>
      <c r="AQ288" s="320"/>
      <c r="AR288" s="320"/>
      <c r="AS288" s="320"/>
      <c r="AT288" s="320"/>
      <c r="AU288" s="321"/>
    </row>
    <row r="289">
      <c r="A289" s="319"/>
      <c r="B289" s="320"/>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c r="AA289" s="320"/>
      <c r="AB289" s="320"/>
      <c r="AC289" s="320"/>
      <c r="AD289" s="320"/>
      <c r="AE289" s="320"/>
      <c r="AF289" s="320"/>
      <c r="AG289" s="320"/>
      <c r="AH289" s="320"/>
      <c r="AI289" s="320"/>
      <c r="AJ289" s="320"/>
      <c r="AK289" s="320"/>
      <c r="AL289" s="320"/>
      <c r="AM289" s="320"/>
      <c r="AN289" s="320"/>
      <c r="AO289" s="320"/>
      <c r="AP289" s="320"/>
      <c r="AQ289" s="320"/>
      <c r="AR289" s="320"/>
      <c r="AS289" s="320"/>
      <c r="AT289" s="320"/>
      <c r="AU289" s="321"/>
    </row>
    <row r="290">
      <c r="A290" s="319"/>
      <c r="B290" s="320"/>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c r="AA290" s="320"/>
      <c r="AB290" s="320"/>
      <c r="AC290" s="320"/>
      <c r="AD290" s="320"/>
      <c r="AE290" s="320"/>
      <c r="AF290" s="320"/>
      <c r="AG290" s="320"/>
      <c r="AH290" s="320"/>
      <c r="AI290" s="320"/>
      <c r="AJ290" s="320"/>
      <c r="AK290" s="320"/>
      <c r="AL290" s="320"/>
      <c r="AM290" s="320"/>
      <c r="AN290" s="320"/>
      <c r="AO290" s="320"/>
      <c r="AP290" s="320"/>
      <c r="AQ290" s="320"/>
      <c r="AR290" s="320"/>
      <c r="AS290" s="320"/>
      <c r="AT290" s="320"/>
      <c r="AU290" s="321"/>
    </row>
    <row r="291">
      <c r="A291" s="319"/>
      <c r="B291" s="320"/>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c r="AA291" s="320"/>
      <c r="AB291" s="320"/>
      <c r="AC291" s="320"/>
      <c r="AD291" s="320"/>
      <c r="AE291" s="320"/>
      <c r="AF291" s="320"/>
      <c r="AG291" s="320"/>
      <c r="AH291" s="320"/>
      <c r="AI291" s="320"/>
      <c r="AJ291" s="320"/>
      <c r="AK291" s="320"/>
      <c r="AL291" s="320"/>
      <c r="AM291" s="320"/>
      <c r="AN291" s="320"/>
      <c r="AO291" s="320"/>
      <c r="AP291" s="320"/>
      <c r="AQ291" s="320"/>
      <c r="AR291" s="320"/>
      <c r="AS291" s="320"/>
      <c r="AT291" s="320"/>
      <c r="AU291" s="321"/>
    </row>
    <row r="292">
      <c r="A292" s="319"/>
      <c r="B292" s="320"/>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c r="AA292" s="320"/>
      <c r="AB292" s="320"/>
      <c r="AC292" s="320"/>
      <c r="AD292" s="320"/>
      <c r="AE292" s="320"/>
      <c r="AF292" s="320"/>
      <c r="AG292" s="320"/>
      <c r="AH292" s="320"/>
      <c r="AI292" s="320"/>
      <c r="AJ292" s="320"/>
      <c r="AK292" s="320"/>
      <c r="AL292" s="320"/>
      <c r="AM292" s="320"/>
      <c r="AN292" s="320"/>
      <c r="AO292" s="320"/>
      <c r="AP292" s="320"/>
      <c r="AQ292" s="320"/>
      <c r="AR292" s="320"/>
      <c r="AS292" s="320"/>
      <c r="AT292" s="320"/>
      <c r="AU292" s="321"/>
    </row>
    <row r="293">
      <c r="A293" s="319"/>
      <c r="B293" s="320"/>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c r="AA293" s="320"/>
      <c r="AB293" s="320"/>
      <c r="AC293" s="320"/>
      <c r="AD293" s="320"/>
      <c r="AE293" s="320"/>
      <c r="AF293" s="320"/>
      <c r="AG293" s="320"/>
      <c r="AH293" s="320"/>
      <c r="AI293" s="320"/>
      <c r="AJ293" s="320"/>
      <c r="AK293" s="320"/>
      <c r="AL293" s="320"/>
      <c r="AM293" s="320"/>
      <c r="AN293" s="320"/>
      <c r="AO293" s="320"/>
      <c r="AP293" s="320"/>
      <c r="AQ293" s="320"/>
      <c r="AR293" s="320"/>
      <c r="AS293" s="320"/>
      <c r="AT293" s="320"/>
      <c r="AU293" s="321"/>
    </row>
    <row r="294">
      <c r="A294" s="319"/>
      <c r="B294" s="320"/>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c r="AA294" s="320"/>
      <c r="AB294" s="320"/>
      <c r="AC294" s="320"/>
      <c r="AD294" s="320"/>
      <c r="AE294" s="320"/>
      <c r="AF294" s="320"/>
      <c r="AG294" s="320"/>
      <c r="AH294" s="320"/>
      <c r="AI294" s="320"/>
      <c r="AJ294" s="320"/>
      <c r="AK294" s="320"/>
      <c r="AL294" s="320"/>
      <c r="AM294" s="320"/>
      <c r="AN294" s="320"/>
      <c r="AO294" s="320"/>
      <c r="AP294" s="320"/>
      <c r="AQ294" s="320"/>
      <c r="AR294" s="320"/>
      <c r="AS294" s="320"/>
      <c r="AT294" s="320"/>
      <c r="AU294" s="321"/>
    </row>
    <row r="295">
      <c r="A295" s="319"/>
      <c r="B295" s="320"/>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c r="AA295" s="320"/>
      <c r="AB295" s="320"/>
      <c r="AC295" s="320"/>
      <c r="AD295" s="320"/>
      <c r="AE295" s="320"/>
      <c r="AF295" s="320"/>
      <c r="AG295" s="320"/>
      <c r="AH295" s="320"/>
      <c r="AI295" s="320"/>
      <c r="AJ295" s="320"/>
      <c r="AK295" s="320"/>
      <c r="AL295" s="320"/>
      <c r="AM295" s="320"/>
      <c r="AN295" s="320"/>
      <c r="AO295" s="320"/>
      <c r="AP295" s="320"/>
      <c r="AQ295" s="320"/>
      <c r="AR295" s="320"/>
      <c r="AS295" s="320"/>
      <c r="AT295" s="320"/>
      <c r="AU295" s="321"/>
    </row>
    <row r="296">
      <c r="A296" s="319"/>
      <c r="B296" s="320"/>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c r="AA296" s="320"/>
      <c r="AB296" s="320"/>
      <c r="AC296" s="320"/>
      <c r="AD296" s="320"/>
      <c r="AE296" s="320"/>
      <c r="AF296" s="320"/>
      <c r="AG296" s="320"/>
      <c r="AH296" s="320"/>
      <c r="AI296" s="320"/>
      <c r="AJ296" s="320"/>
      <c r="AK296" s="320"/>
      <c r="AL296" s="320"/>
      <c r="AM296" s="320"/>
      <c r="AN296" s="320"/>
      <c r="AO296" s="320"/>
      <c r="AP296" s="320"/>
      <c r="AQ296" s="320"/>
      <c r="AR296" s="320"/>
      <c r="AS296" s="320"/>
      <c r="AT296" s="320"/>
      <c r="AU296" s="321"/>
    </row>
    <row r="297">
      <c r="A297" s="319"/>
      <c r="B297" s="320"/>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c r="AA297" s="320"/>
      <c r="AB297" s="320"/>
      <c r="AC297" s="320"/>
      <c r="AD297" s="320"/>
      <c r="AE297" s="320"/>
      <c r="AF297" s="320"/>
      <c r="AG297" s="320"/>
      <c r="AH297" s="320"/>
      <c r="AI297" s="320"/>
      <c r="AJ297" s="320"/>
      <c r="AK297" s="320"/>
      <c r="AL297" s="320"/>
      <c r="AM297" s="320"/>
      <c r="AN297" s="320"/>
      <c r="AO297" s="320"/>
      <c r="AP297" s="320"/>
      <c r="AQ297" s="320"/>
      <c r="AR297" s="320"/>
      <c r="AS297" s="320"/>
      <c r="AT297" s="320"/>
      <c r="AU297" s="321"/>
    </row>
    <row r="298">
      <c r="A298" s="319"/>
      <c r="B298" s="320"/>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c r="AA298" s="320"/>
      <c r="AB298" s="320"/>
      <c r="AC298" s="320"/>
      <c r="AD298" s="320"/>
      <c r="AE298" s="320"/>
      <c r="AF298" s="320"/>
      <c r="AG298" s="320"/>
      <c r="AH298" s="320"/>
      <c r="AI298" s="320"/>
      <c r="AJ298" s="320"/>
      <c r="AK298" s="320"/>
      <c r="AL298" s="320"/>
      <c r="AM298" s="320"/>
      <c r="AN298" s="320"/>
      <c r="AO298" s="320"/>
      <c r="AP298" s="320"/>
      <c r="AQ298" s="320"/>
      <c r="AR298" s="320"/>
      <c r="AS298" s="320"/>
      <c r="AT298" s="320"/>
      <c r="AU298" s="321"/>
    </row>
    <row r="299">
      <c r="A299" s="319"/>
      <c r="B299" s="320"/>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c r="AA299" s="320"/>
      <c r="AB299" s="320"/>
      <c r="AC299" s="320"/>
      <c r="AD299" s="320"/>
      <c r="AE299" s="320"/>
      <c r="AF299" s="320"/>
      <c r="AG299" s="320"/>
      <c r="AH299" s="320"/>
      <c r="AI299" s="320"/>
      <c r="AJ299" s="320"/>
      <c r="AK299" s="320"/>
      <c r="AL299" s="320"/>
      <c r="AM299" s="320"/>
      <c r="AN299" s="320"/>
      <c r="AO299" s="320"/>
      <c r="AP299" s="320"/>
      <c r="AQ299" s="320"/>
      <c r="AR299" s="320"/>
      <c r="AS299" s="320"/>
      <c r="AT299" s="320"/>
      <c r="AU299" s="321"/>
    </row>
    <row r="300">
      <c r="A300" s="319"/>
      <c r="B300" s="320"/>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c r="AA300" s="320"/>
      <c r="AB300" s="320"/>
      <c r="AC300" s="320"/>
      <c r="AD300" s="320"/>
      <c r="AE300" s="320"/>
      <c r="AF300" s="320"/>
      <c r="AG300" s="320"/>
      <c r="AH300" s="320"/>
      <c r="AI300" s="320"/>
      <c r="AJ300" s="320"/>
      <c r="AK300" s="320"/>
      <c r="AL300" s="320"/>
      <c r="AM300" s="320"/>
      <c r="AN300" s="320"/>
      <c r="AO300" s="320"/>
      <c r="AP300" s="320"/>
      <c r="AQ300" s="320"/>
      <c r="AR300" s="320"/>
      <c r="AS300" s="320"/>
      <c r="AT300" s="320"/>
      <c r="AU300" s="321"/>
    </row>
    <row r="301">
      <c r="A301" s="319"/>
      <c r="B301" s="320"/>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c r="AA301" s="320"/>
      <c r="AB301" s="320"/>
      <c r="AC301" s="320"/>
      <c r="AD301" s="320"/>
      <c r="AE301" s="320"/>
      <c r="AF301" s="320"/>
      <c r="AG301" s="320"/>
      <c r="AH301" s="320"/>
      <c r="AI301" s="320"/>
      <c r="AJ301" s="320"/>
      <c r="AK301" s="320"/>
      <c r="AL301" s="320"/>
      <c r="AM301" s="320"/>
      <c r="AN301" s="320"/>
      <c r="AO301" s="320"/>
      <c r="AP301" s="320"/>
      <c r="AQ301" s="320"/>
      <c r="AR301" s="320"/>
      <c r="AS301" s="320"/>
      <c r="AT301" s="320"/>
      <c r="AU301" s="321"/>
    </row>
    <row r="302">
      <c r="A302" s="319"/>
      <c r="B302" s="320"/>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c r="AA302" s="320"/>
      <c r="AB302" s="320"/>
      <c r="AC302" s="320"/>
      <c r="AD302" s="320"/>
      <c r="AE302" s="320"/>
      <c r="AF302" s="320"/>
      <c r="AG302" s="320"/>
      <c r="AH302" s="320"/>
      <c r="AI302" s="320"/>
      <c r="AJ302" s="320"/>
      <c r="AK302" s="320"/>
      <c r="AL302" s="320"/>
      <c r="AM302" s="320"/>
      <c r="AN302" s="320"/>
      <c r="AO302" s="320"/>
      <c r="AP302" s="320"/>
      <c r="AQ302" s="320"/>
      <c r="AR302" s="320"/>
      <c r="AS302" s="320"/>
      <c r="AT302" s="320"/>
      <c r="AU302" s="321"/>
    </row>
    <row r="303">
      <c r="A303" s="319"/>
      <c r="B303" s="320"/>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c r="AA303" s="320"/>
      <c r="AB303" s="320"/>
      <c r="AC303" s="320"/>
      <c r="AD303" s="320"/>
      <c r="AE303" s="320"/>
      <c r="AF303" s="320"/>
      <c r="AG303" s="320"/>
      <c r="AH303" s="320"/>
      <c r="AI303" s="320"/>
      <c r="AJ303" s="320"/>
      <c r="AK303" s="320"/>
      <c r="AL303" s="320"/>
      <c r="AM303" s="320"/>
      <c r="AN303" s="320"/>
      <c r="AO303" s="320"/>
      <c r="AP303" s="320"/>
      <c r="AQ303" s="320"/>
      <c r="AR303" s="320"/>
      <c r="AS303" s="320"/>
      <c r="AT303" s="320"/>
      <c r="AU303" s="321"/>
    </row>
    <row r="304">
      <c r="A304" s="319"/>
      <c r="B304" s="320"/>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c r="AA304" s="320"/>
      <c r="AB304" s="320"/>
      <c r="AC304" s="320"/>
      <c r="AD304" s="320"/>
      <c r="AE304" s="320"/>
      <c r="AF304" s="320"/>
      <c r="AG304" s="320"/>
      <c r="AH304" s="320"/>
      <c r="AI304" s="320"/>
      <c r="AJ304" s="320"/>
      <c r="AK304" s="320"/>
      <c r="AL304" s="320"/>
      <c r="AM304" s="320"/>
      <c r="AN304" s="320"/>
      <c r="AO304" s="320"/>
      <c r="AP304" s="320"/>
      <c r="AQ304" s="320"/>
      <c r="AR304" s="320"/>
      <c r="AS304" s="320"/>
      <c r="AT304" s="320"/>
      <c r="AU304" s="321"/>
    </row>
    <row r="305">
      <c r="A305" s="319"/>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c r="AA305" s="320"/>
      <c r="AB305" s="320"/>
      <c r="AC305" s="320"/>
      <c r="AD305" s="320"/>
      <c r="AE305" s="320"/>
      <c r="AF305" s="320"/>
      <c r="AG305" s="320"/>
      <c r="AH305" s="320"/>
      <c r="AI305" s="320"/>
      <c r="AJ305" s="320"/>
      <c r="AK305" s="320"/>
      <c r="AL305" s="320"/>
      <c r="AM305" s="320"/>
      <c r="AN305" s="320"/>
      <c r="AO305" s="320"/>
      <c r="AP305" s="320"/>
      <c r="AQ305" s="320"/>
      <c r="AR305" s="320"/>
      <c r="AS305" s="320"/>
      <c r="AT305" s="320"/>
      <c r="AU305" s="321"/>
    </row>
    <row r="306">
      <c r="A306" s="319"/>
      <c r="B306" s="320"/>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c r="AA306" s="320"/>
      <c r="AB306" s="320"/>
      <c r="AC306" s="320"/>
      <c r="AD306" s="320"/>
      <c r="AE306" s="320"/>
      <c r="AF306" s="320"/>
      <c r="AG306" s="320"/>
      <c r="AH306" s="320"/>
      <c r="AI306" s="320"/>
      <c r="AJ306" s="320"/>
      <c r="AK306" s="320"/>
      <c r="AL306" s="320"/>
      <c r="AM306" s="320"/>
      <c r="AN306" s="320"/>
      <c r="AO306" s="320"/>
      <c r="AP306" s="320"/>
      <c r="AQ306" s="320"/>
      <c r="AR306" s="320"/>
      <c r="AS306" s="320"/>
      <c r="AT306" s="320"/>
      <c r="AU306" s="321"/>
    </row>
    <row r="307">
      <c r="A307" s="319"/>
      <c r="B307" s="320"/>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c r="AA307" s="320"/>
      <c r="AB307" s="320"/>
      <c r="AC307" s="320"/>
      <c r="AD307" s="320"/>
      <c r="AE307" s="320"/>
      <c r="AF307" s="320"/>
      <c r="AG307" s="320"/>
      <c r="AH307" s="320"/>
      <c r="AI307" s="320"/>
      <c r="AJ307" s="320"/>
      <c r="AK307" s="320"/>
      <c r="AL307" s="320"/>
      <c r="AM307" s="320"/>
      <c r="AN307" s="320"/>
      <c r="AO307" s="320"/>
      <c r="AP307" s="320"/>
      <c r="AQ307" s="320"/>
      <c r="AR307" s="320"/>
      <c r="AS307" s="320"/>
      <c r="AT307" s="320"/>
      <c r="AU307" s="321"/>
    </row>
    <row r="308">
      <c r="A308" s="319"/>
      <c r="B308" s="320"/>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c r="AA308" s="320"/>
      <c r="AB308" s="320"/>
      <c r="AC308" s="320"/>
      <c r="AD308" s="320"/>
      <c r="AE308" s="320"/>
      <c r="AF308" s="320"/>
      <c r="AG308" s="320"/>
      <c r="AH308" s="320"/>
      <c r="AI308" s="320"/>
      <c r="AJ308" s="320"/>
      <c r="AK308" s="320"/>
      <c r="AL308" s="320"/>
      <c r="AM308" s="320"/>
      <c r="AN308" s="320"/>
      <c r="AO308" s="320"/>
      <c r="AP308" s="320"/>
      <c r="AQ308" s="320"/>
      <c r="AR308" s="320"/>
      <c r="AS308" s="320"/>
      <c r="AT308" s="320"/>
      <c r="AU308" s="321"/>
    </row>
    <row r="309">
      <c r="A309" s="319"/>
      <c r="B309" s="320"/>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c r="AA309" s="320"/>
      <c r="AB309" s="320"/>
      <c r="AC309" s="320"/>
      <c r="AD309" s="320"/>
      <c r="AE309" s="320"/>
      <c r="AF309" s="320"/>
      <c r="AG309" s="320"/>
      <c r="AH309" s="320"/>
      <c r="AI309" s="320"/>
      <c r="AJ309" s="320"/>
      <c r="AK309" s="320"/>
      <c r="AL309" s="320"/>
      <c r="AM309" s="320"/>
      <c r="AN309" s="320"/>
      <c r="AO309" s="320"/>
      <c r="AP309" s="320"/>
      <c r="AQ309" s="320"/>
      <c r="AR309" s="320"/>
      <c r="AS309" s="320"/>
      <c r="AT309" s="320"/>
      <c r="AU309" s="321"/>
    </row>
    <row r="310">
      <c r="A310" s="319"/>
      <c r="B310" s="320"/>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c r="AA310" s="320"/>
      <c r="AB310" s="320"/>
      <c r="AC310" s="320"/>
      <c r="AD310" s="320"/>
      <c r="AE310" s="320"/>
      <c r="AF310" s="320"/>
      <c r="AG310" s="320"/>
      <c r="AH310" s="320"/>
      <c r="AI310" s="320"/>
      <c r="AJ310" s="320"/>
      <c r="AK310" s="320"/>
      <c r="AL310" s="320"/>
      <c r="AM310" s="320"/>
      <c r="AN310" s="320"/>
      <c r="AO310" s="320"/>
      <c r="AP310" s="320"/>
      <c r="AQ310" s="320"/>
      <c r="AR310" s="320"/>
      <c r="AS310" s="320"/>
      <c r="AT310" s="320"/>
      <c r="AU310" s="321"/>
    </row>
    <row r="311">
      <c r="A311" s="319"/>
      <c r="B311" s="320"/>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c r="AA311" s="320"/>
      <c r="AB311" s="320"/>
      <c r="AC311" s="320"/>
      <c r="AD311" s="320"/>
      <c r="AE311" s="320"/>
      <c r="AF311" s="320"/>
      <c r="AG311" s="320"/>
      <c r="AH311" s="320"/>
      <c r="AI311" s="320"/>
      <c r="AJ311" s="320"/>
      <c r="AK311" s="320"/>
      <c r="AL311" s="320"/>
      <c r="AM311" s="320"/>
      <c r="AN311" s="320"/>
      <c r="AO311" s="320"/>
      <c r="AP311" s="320"/>
      <c r="AQ311" s="320"/>
      <c r="AR311" s="320"/>
      <c r="AS311" s="320"/>
      <c r="AT311" s="320"/>
      <c r="AU311" s="321"/>
    </row>
    <row r="312">
      <c r="A312" s="319"/>
      <c r="B312" s="320"/>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c r="AA312" s="320"/>
      <c r="AB312" s="320"/>
      <c r="AC312" s="320"/>
      <c r="AD312" s="320"/>
      <c r="AE312" s="320"/>
      <c r="AF312" s="320"/>
      <c r="AG312" s="320"/>
      <c r="AH312" s="320"/>
      <c r="AI312" s="320"/>
      <c r="AJ312" s="320"/>
      <c r="AK312" s="320"/>
      <c r="AL312" s="320"/>
      <c r="AM312" s="320"/>
      <c r="AN312" s="320"/>
      <c r="AO312" s="320"/>
      <c r="AP312" s="320"/>
      <c r="AQ312" s="320"/>
      <c r="AR312" s="320"/>
      <c r="AS312" s="320"/>
      <c r="AT312" s="320"/>
      <c r="AU312" s="321"/>
    </row>
    <row r="313">
      <c r="A313" s="319"/>
      <c r="B313" s="320"/>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c r="AA313" s="320"/>
      <c r="AB313" s="320"/>
      <c r="AC313" s="320"/>
      <c r="AD313" s="320"/>
      <c r="AE313" s="320"/>
      <c r="AF313" s="320"/>
      <c r="AG313" s="320"/>
      <c r="AH313" s="320"/>
      <c r="AI313" s="320"/>
      <c r="AJ313" s="320"/>
      <c r="AK313" s="320"/>
      <c r="AL313" s="320"/>
      <c r="AM313" s="320"/>
      <c r="AN313" s="320"/>
      <c r="AO313" s="320"/>
      <c r="AP313" s="320"/>
      <c r="AQ313" s="320"/>
      <c r="AR313" s="320"/>
      <c r="AS313" s="320"/>
      <c r="AT313" s="320"/>
      <c r="AU313" s="321"/>
    </row>
    <row r="314">
      <c r="A314" s="319"/>
      <c r="B314" s="320"/>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c r="AA314" s="320"/>
      <c r="AB314" s="320"/>
      <c r="AC314" s="320"/>
      <c r="AD314" s="320"/>
      <c r="AE314" s="320"/>
      <c r="AF314" s="320"/>
      <c r="AG314" s="320"/>
      <c r="AH314" s="320"/>
      <c r="AI314" s="320"/>
      <c r="AJ314" s="320"/>
      <c r="AK314" s="320"/>
      <c r="AL314" s="320"/>
      <c r="AM314" s="320"/>
      <c r="AN314" s="320"/>
      <c r="AO314" s="320"/>
      <c r="AP314" s="320"/>
      <c r="AQ314" s="320"/>
      <c r="AR314" s="320"/>
      <c r="AS314" s="320"/>
      <c r="AT314" s="320"/>
      <c r="AU314" s="321"/>
    </row>
    <row r="315">
      <c r="A315" s="319"/>
      <c r="B315" s="320"/>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c r="AA315" s="320"/>
      <c r="AB315" s="320"/>
      <c r="AC315" s="320"/>
      <c r="AD315" s="320"/>
      <c r="AE315" s="320"/>
      <c r="AF315" s="320"/>
      <c r="AG315" s="320"/>
      <c r="AH315" s="320"/>
      <c r="AI315" s="320"/>
      <c r="AJ315" s="320"/>
      <c r="AK315" s="320"/>
      <c r="AL315" s="320"/>
      <c r="AM315" s="320"/>
      <c r="AN315" s="320"/>
      <c r="AO315" s="320"/>
      <c r="AP315" s="320"/>
      <c r="AQ315" s="320"/>
      <c r="AR315" s="320"/>
      <c r="AS315" s="320"/>
      <c r="AT315" s="320"/>
      <c r="AU315" s="321"/>
    </row>
    <row r="316">
      <c r="A316" s="319"/>
      <c r="B316" s="320"/>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c r="AA316" s="320"/>
      <c r="AB316" s="320"/>
      <c r="AC316" s="320"/>
      <c r="AD316" s="320"/>
      <c r="AE316" s="320"/>
      <c r="AF316" s="320"/>
      <c r="AG316" s="320"/>
      <c r="AH316" s="320"/>
      <c r="AI316" s="320"/>
      <c r="AJ316" s="320"/>
      <c r="AK316" s="320"/>
      <c r="AL316" s="320"/>
      <c r="AM316" s="320"/>
      <c r="AN316" s="320"/>
      <c r="AO316" s="320"/>
      <c r="AP316" s="320"/>
      <c r="AQ316" s="320"/>
      <c r="AR316" s="320"/>
      <c r="AS316" s="320"/>
      <c r="AT316" s="320"/>
      <c r="AU316" s="321"/>
    </row>
    <row r="317">
      <c r="A317" s="319"/>
      <c r="B317" s="320"/>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c r="AA317" s="320"/>
      <c r="AB317" s="320"/>
      <c r="AC317" s="320"/>
      <c r="AD317" s="320"/>
      <c r="AE317" s="320"/>
      <c r="AF317" s="320"/>
      <c r="AG317" s="320"/>
      <c r="AH317" s="320"/>
      <c r="AI317" s="320"/>
      <c r="AJ317" s="320"/>
      <c r="AK317" s="320"/>
      <c r="AL317" s="320"/>
      <c r="AM317" s="320"/>
      <c r="AN317" s="320"/>
      <c r="AO317" s="320"/>
      <c r="AP317" s="320"/>
      <c r="AQ317" s="320"/>
      <c r="AR317" s="320"/>
      <c r="AS317" s="320"/>
      <c r="AT317" s="320"/>
      <c r="AU317" s="321"/>
    </row>
    <row r="318">
      <c r="A318" s="319"/>
      <c r="B318" s="320"/>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c r="AA318" s="320"/>
      <c r="AB318" s="320"/>
      <c r="AC318" s="320"/>
      <c r="AD318" s="320"/>
      <c r="AE318" s="320"/>
      <c r="AF318" s="320"/>
      <c r="AG318" s="320"/>
      <c r="AH318" s="320"/>
      <c r="AI318" s="320"/>
      <c r="AJ318" s="320"/>
      <c r="AK318" s="320"/>
      <c r="AL318" s="320"/>
      <c r="AM318" s="320"/>
      <c r="AN318" s="320"/>
      <c r="AO318" s="320"/>
      <c r="AP318" s="320"/>
      <c r="AQ318" s="320"/>
      <c r="AR318" s="320"/>
      <c r="AS318" s="320"/>
      <c r="AT318" s="320"/>
      <c r="AU318" s="321"/>
    </row>
    <row r="319">
      <c r="A319" s="319"/>
      <c r="B319" s="320"/>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c r="AA319" s="320"/>
      <c r="AB319" s="320"/>
      <c r="AC319" s="320"/>
      <c r="AD319" s="320"/>
      <c r="AE319" s="320"/>
      <c r="AF319" s="320"/>
      <c r="AG319" s="320"/>
      <c r="AH319" s="320"/>
      <c r="AI319" s="320"/>
      <c r="AJ319" s="320"/>
      <c r="AK319" s="320"/>
      <c r="AL319" s="320"/>
      <c r="AM319" s="320"/>
      <c r="AN319" s="320"/>
      <c r="AO319" s="320"/>
      <c r="AP319" s="320"/>
      <c r="AQ319" s="320"/>
      <c r="AR319" s="320"/>
      <c r="AS319" s="320"/>
      <c r="AT319" s="320"/>
      <c r="AU319" s="321"/>
    </row>
    <row r="320">
      <c r="A320" s="319"/>
      <c r="B320" s="320"/>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c r="AA320" s="320"/>
      <c r="AB320" s="320"/>
      <c r="AC320" s="320"/>
      <c r="AD320" s="320"/>
      <c r="AE320" s="320"/>
      <c r="AF320" s="320"/>
      <c r="AG320" s="320"/>
      <c r="AH320" s="320"/>
      <c r="AI320" s="320"/>
      <c r="AJ320" s="320"/>
      <c r="AK320" s="320"/>
      <c r="AL320" s="320"/>
      <c r="AM320" s="320"/>
      <c r="AN320" s="320"/>
      <c r="AO320" s="320"/>
      <c r="AP320" s="320"/>
      <c r="AQ320" s="320"/>
      <c r="AR320" s="320"/>
      <c r="AS320" s="320"/>
      <c r="AT320" s="320"/>
      <c r="AU320" s="321"/>
    </row>
    <row r="321">
      <c r="A321" s="319"/>
      <c r="B321" s="320"/>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c r="AA321" s="320"/>
      <c r="AB321" s="320"/>
      <c r="AC321" s="320"/>
      <c r="AD321" s="320"/>
      <c r="AE321" s="320"/>
      <c r="AF321" s="320"/>
      <c r="AG321" s="320"/>
      <c r="AH321" s="320"/>
      <c r="AI321" s="320"/>
      <c r="AJ321" s="320"/>
      <c r="AK321" s="320"/>
      <c r="AL321" s="320"/>
      <c r="AM321" s="320"/>
      <c r="AN321" s="320"/>
      <c r="AO321" s="320"/>
      <c r="AP321" s="320"/>
      <c r="AQ321" s="320"/>
      <c r="AR321" s="320"/>
      <c r="AS321" s="320"/>
      <c r="AT321" s="320"/>
      <c r="AU321" s="321"/>
    </row>
    <row r="322">
      <c r="A322" s="319"/>
      <c r="B322" s="320"/>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c r="AA322" s="320"/>
      <c r="AB322" s="320"/>
      <c r="AC322" s="320"/>
      <c r="AD322" s="320"/>
      <c r="AE322" s="320"/>
      <c r="AF322" s="320"/>
      <c r="AG322" s="320"/>
      <c r="AH322" s="320"/>
      <c r="AI322" s="320"/>
      <c r="AJ322" s="320"/>
      <c r="AK322" s="320"/>
      <c r="AL322" s="320"/>
      <c r="AM322" s="320"/>
      <c r="AN322" s="320"/>
      <c r="AO322" s="320"/>
      <c r="AP322" s="320"/>
      <c r="AQ322" s="320"/>
      <c r="AR322" s="320"/>
      <c r="AS322" s="320"/>
      <c r="AT322" s="320"/>
      <c r="AU322" s="321"/>
    </row>
    <row r="323">
      <c r="A323" s="319"/>
      <c r="B323" s="320"/>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c r="AA323" s="320"/>
      <c r="AB323" s="320"/>
      <c r="AC323" s="320"/>
      <c r="AD323" s="320"/>
      <c r="AE323" s="320"/>
      <c r="AF323" s="320"/>
      <c r="AG323" s="320"/>
      <c r="AH323" s="320"/>
      <c r="AI323" s="320"/>
      <c r="AJ323" s="320"/>
      <c r="AK323" s="320"/>
      <c r="AL323" s="320"/>
      <c r="AM323" s="320"/>
      <c r="AN323" s="320"/>
      <c r="AO323" s="320"/>
      <c r="AP323" s="320"/>
      <c r="AQ323" s="320"/>
      <c r="AR323" s="320"/>
      <c r="AS323" s="320"/>
      <c r="AT323" s="320"/>
      <c r="AU323" s="321"/>
    </row>
    <row r="324">
      <c r="A324" s="319"/>
      <c r="B324" s="320"/>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c r="AA324" s="320"/>
      <c r="AB324" s="320"/>
      <c r="AC324" s="320"/>
      <c r="AD324" s="320"/>
      <c r="AE324" s="320"/>
      <c r="AF324" s="320"/>
      <c r="AG324" s="320"/>
      <c r="AH324" s="320"/>
      <c r="AI324" s="320"/>
      <c r="AJ324" s="320"/>
      <c r="AK324" s="320"/>
      <c r="AL324" s="320"/>
      <c r="AM324" s="320"/>
      <c r="AN324" s="320"/>
      <c r="AO324" s="320"/>
      <c r="AP324" s="320"/>
      <c r="AQ324" s="320"/>
      <c r="AR324" s="320"/>
      <c r="AS324" s="320"/>
      <c r="AT324" s="320"/>
      <c r="AU324" s="321"/>
    </row>
    <row r="325">
      <c r="A325" s="319"/>
      <c r="B325" s="320"/>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c r="AA325" s="320"/>
      <c r="AB325" s="320"/>
      <c r="AC325" s="320"/>
      <c r="AD325" s="320"/>
      <c r="AE325" s="320"/>
      <c r="AF325" s="320"/>
      <c r="AG325" s="320"/>
      <c r="AH325" s="320"/>
      <c r="AI325" s="320"/>
      <c r="AJ325" s="320"/>
      <c r="AK325" s="320"/>
      <c r="AL325" s="320"/>
      <c r="AM325" s="320"/>
      <c r="AN325" s="320"/>
      <c r="AO325" s="320"/>
      <c r="AP325" s="320"/>
      <c r="AQ325" s="320"/>
      <c r="AR325" s="320"/>
      <c r="AS325" s="320"/>
      <c r="AT325" s="320"/>
      <c r="AU325" s="321"/>
    </row>
    <row r="326">
      <c r="A326" s="319"/>
      <c r="B326" s="320"/>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c r="AA326" s="320"/>
      <c r="AB326" s="320"/>
      <c r="AC326" s="320"/>
      <c r="AD326" s="320"/>
      <c r="AE326" s="320"/>
      <c r="AF326" s="320"/>
      <c r="AG326" s="320"/>
      <c r="AH326" s="320"/>
      <c r="AI326" s="320"/>
      <c r="AJ326" s="320"/>
      <c r="AK326" s="320"/>
      <c r="AL326" s="320"/>
      <c r="AM326" s="320"/>
      <c r="AN326" s="320"/>
      <c r="AO326" s="320"/>
      <c r="AP326" s="320"/>
      <c r="AQ326" s="320"/>
      <c r="AR326" s="320"/>
      <c r="AS326" s="320"/>
      <c r="AT326" s="320"/>
      <c r="AU326" s="321"/>
    </row>
    <row r="327">
      <c r="A327" s="319"/>
      <c r="B327" s="320"/>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c r="AA327" s="320"/>
      <c r="AB327" s="320"/>
      <c r="AC327" s="320"/>
      <c r="AD327" s="320"/>
      <c r="AE327" s="320"/>
      <c r="AF327" s="320"/>
      <c r="AG327" s="320"/>
      <c r="AH327" s="320"/>
      <c r="AI327" s="320"/>
      <c r="AJ327" s="320"/>
      <c r="AK327" s="320"/>
      <c r="AL327" s="320"/>
      <c r="AM327" s="320"/>
      <c r="AN327" s="320"/>
      <c r="AO327" s="320"/>
      <c r="AP327" s="320"/>
      <c r="AQ327" s="320"/>
      <c r="AR327" s="320"/>
      <c r="AS327" s="320"/>
      <c r="AT327" s="320"/>
      <c r="AU327" s="321"/>
    </row>
    <row r="328">
      <c r="A328" s="319"/>
      <c r="B328" s="320"/>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c r="AA328" s="320"/>
      <c r="AB328" s="320"/>
      <c r="AC328" s="320"/>
      <c r="AD328" s="320"/>
      <c r="AE328" s="320"/>
      <c r="AF328" s="320"/>
      <c r="AG328" s="320"/>
      <c r="AH328" s="320"/>
      <c r="AI328" s="320"/>
      <c r="AJ328" s="320"/>
      <c r="AK328" s="320"/>
      <c r="AL328" s="320"/>
      <c r="AM328" s="320"/>
      <c r="AN328" s="320"/>
      <c r="AO328" s="320"/>
      <c r="AP328" s="320"/>
      <c r="AQ328" s="320"/>
      <c r="AR328" s="320"/>
      <c r="AS328" s="320"/>
      <c r="AT328" s="320"/>
      <c r="AU328" s="321"/>
    </row>
    <row r="329">
      <c r="A329" s="319"/>
      <c r="B329" s="320"/>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c r="AA329" s="320"/>
      <c r="AB329" s="320"/>
      <c r="AC329" s="320"/>
      <c r="AD329" s="320"/>
      <c r="AE329" s="320"/>
      <c r="AF329" s="320"/>
      <c r="AG329" s="320"/>
      <c r="AH329" s="320"/>
      <c r="AI329" s="320"/>
      <c r="AJ329" s="320"/>
      <c r="AK329" s="320"/>
      <c r="AL329" s="320"/>
      <c r="AM329" s="320"/>
      <c r="AN329" s="320"/>
      <c r="AO329" s="320"/>
      <c r="AP329" s="320"/>
      <c r="AQ329" s="320"/>
      <c r="AR329" s="320"/>
      <c r="AS329" s="320"/>
      <c r="AT329" s="320"/>
      <c r="AU329" s="321"/>
    </row>
    <row r="330">
      <c r="A330" s="319"/>
      <c r="B330" s="320"/>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c r="AA330" s="320"/>
      <c r="AB330" s="320"/>
      <c r="AC330" s="320"/>
      <c r="AD330" s="320"/>
      <c r="AE330" s="320"/>
      <c r="AF330" s="320"/>
      <c r="AG330" s="320"/>
      <c r="AH330" s="320"/>
      <c r="AI330" s="320"/>
      <c r="AJ330" s="320"/>
      <c r="AK330" s="320"/>
      <c r="AL330" s="320"/>
      <c r="AM330" s="320"/>
      <c r="AN330" s="320"/>
      <c r="AO330" s="320"/>
      <c r="AP330" s="320"/>
      <c r="AQ330" s="320"/>
      <c r="AR330" s="320"/>
      <c r="AS330" s="320"/>
      <c r="AT330" s="320"/>
      <c r="AU330" s="321"/>
    </row>
    <row r="331">
      <c r="A331" s="319"/>
      <c r="B331" s="320"/>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20"/>
      <c r="AP331" s="320"/>
      <c r="AQ331" s="320"/>
      <c r="AR331" s="320"/>
      <c r="AS331" s="320"/>
      <c r="AT331" s="320"/>
      <c r="AU331" s="321"/>
    </row>
    <row r="332">
      <c r="A332" s="319"/>
      <c r="B332" s="320"/>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c r="AA332" s="320"/>
      <c r="AB332" s="320"/>
      <c r="AC332" s="320"/>
      <c r="AD332" s="320"/>
      <c r="AE332" s="320"/>
      <c r="AF332" s="320"/>
      <c r="AG332" s="320"/>
      <c r="AH332" s="320"/>
      <c r="AI332" s="320"/>
      <c r="AJ332" s="320"/>
      <c r="AK332" s="320"/>
      <c r="AL332" s="320"/>
      <c r="AM332" s="320"/>
      <c r="AN332" s="320"/>
      <c r="AO332" s="320"/>
      <c r="AP332" s="320"/>
      <c r="AQ332" s="320"/>
      <c r="AR332" s="320"/>
      <c r="AS332" s="320"/>
      <c r="AT332" s="320"/>
      <c r="AU332" s="321"/>
    </row>
    <row r="333">
      <c r="A333" s="319"/>
      <c r="B333" s="320"/>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c r="AA333" s="320"/>
      <c r="AB333" s="320"/>
      <c r="AC333" s="320"/>
      <c r="AD333" s="320"/>
      <c r="AE333" s="320"/>
      <c r="AF333" s="320"/>
      <c r="AG333" s="320"/>
      <c r="AH333" s="320"/>
      <c r="AI333" s="320"/>
      <c r="AJ333" s="320"/>
      <c r="AK333" s="320"/>
      <c r="AL333" s="320"/>
      <c r="AM333" s="320"/>
      <c r="AN333" s="320"/>
      <c r="AO333" s="320"/>
      <c r="AP333" s="320"/>
      <c r="AQ333" s="320"/>
      <c r="AR333" s="320"/>
      <c r="AS333" s="320"/>
      <c r="AT333" s="320"/>
      <c r="AU333" s="321"/>
    </row>
    <row r="334">
      <c r="A334" s="319"/>
      <c r="B334" s="320"/>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c r="AA334" s="320"/>
      <c r="AB334" s="320"/>
      <c r="AC334" s="320"/>
      <c r="AD334" s="320"/>
      <c r="AE334" s="320"/>
      <c r="AF334" s="320"/>
      <c r="AG334" s="320"/>
      <c r="AH334" s="320"/>
      <c r="AI334" s="320"/>
      <c r="AJ334" s="320"/>
      <c r="AK334" s="320"/>
      <c r="AL334" s="320"/>
      <c r="AM334" s="320"/>
      <c r="AN334" s="320"/>
      <c r="AO334" s="320"/>
      <c r="AP334" s="320"/>
      <c r="AQ334" s="320"/>
      <c r="AR334" s="320"/>
      <c r="AS334" s="320"/>
      <c r="AT334" s="320"/>
      <c r="AU334" s="321"/>
    </row>
    <row r="335">
      <c r="A335" s="319"/>
      <c r="B335" s="320"/>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c r="AA335" s="320"/>
      <c r="AB335" s="320"/>
      <c r="AC335" s="320"/>
      <c r="AD335" s="320"/>
      <c r="AE335" s="320"/>
      <c r="AF335" s="320"/>
      <c r="AG335" s="320"/>
      <c r="AH335" s="320"/>
      <c r="AI335" s="320"/>
      <c r="AJ335" s="320"/>
      <c r="AK335" s="320"/>
      <c r="AL335" s="320"/>
      <c r="AM335" s="320"/>
      <c r="AN335" s="320"/>
      <c r="AO335" s="320"/>
      <c r="AP335" s="320"/>
      <c r="AQ335" s="320"/>
      <c r="AR335" s="320"/>
      <c r="AS335" s="320"/>
      <c r="AT335" s="320"/>
      <c r="AU335" s="321"/>
    </row>
    <row r="336">
      <c r="A336" s="319"/>
      <c r="B336" s="320"/>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c r="AA336" s="320"/>
      <c r="AB336" s="320"/>
      <c r="AC336" s="320"/>
      <c r="AD336" s="320"/>
      <c r="AE336" s="320"/>
      <c r="AF336" s="320"/>
      <c r="AG336" s="320"/>
      <c r="AH336" s="320"/>
      <c r="AI336" s="320"/>
      <c r="AJ336" s="320"/>
      <c r="AK336" s="320"/>
      <c r="AL336" s="320"/>
      <c r="AM336" s="320"/>
      <c r="AN336" s="320"/>
      <c r="AO336" s="320"/>
      <c r="AP336" s="320"/>
      <c r="AQ336" s="320"/>
      <c r="AR336" s="320"/>
      <c r="AS336" s="320"/>
      <c r="AT336" s="320"/>
      <c r="AU336" s="321"/>
    </row>
    <row r="337">
      <c r="A337" s="319"/>
      <c r="B337" s="320"/>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c r="AA337" s="320"/>
      <c r="AB337" s="320"/>
      <c r="AC337" s="320"/>
      <c r="AD337" s="320"/>
      <c r="AE337" s="320"/>
      <c r="AF337" s="320"/>
      <c r="AG337" s="320"/>
      <c r="AH337" s="320"/>
      <c r="AI337" s="320"/>
      <c r="AJ337" s="320"/>
      <c r="AK337" s="320"/>
      <c r="AL337" s="320"/>
      <c r="AM337" s="320"/>
      <c r="AN337" s="320"/>
      <c r="AO337" s="320"/>
      <c r="AP337" s="320"/>
      <c r="AQ337" s="320"/>
      <c r="AR337" s="320"/>
      <c r="AS337" s="320"/>
      <c r="AT337" s="320"/>
      <c r="AU337" s="321"/>
    </row>
    <row r="338">
      <c r="A338" s="319"/>
      <c r="B338" s="320"/>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c r="AA338" s="320"/>
      <c r="AB338" s="320"/>
      <c r="AC338" s="320"/>
      <c r="AD338" s="320"/>
      <c r="AE338" s="320"/>
      <c r="AF338" s="320"/>
      <c r="AG338" s="320"/>
      <c r="AH338" s="320"/>
      <c r="AI338" s="320"/>
      <c r="AJ338" s="320"/>
      <c r="AK338" s="320"/>
      <c r="AL338" s="320"/>
      <c r="AM338" s="320"/>
      <c r="AN338" s="320"/>
      <c r="AO338" s="320"/>
      <c r="AP338" s="320"/>
      <c r="AQ338" s="320"/>
      <c r="AR338" s="320"/>
      <c r="AS338" s="320"/>
      <c r="AT338" s="320"/>
      <c r="AU338" s="321"/>
    </row>
    <row r="339">
      <c r="A339" s="319"/>
      <c r="B339" s="320"/>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c r="AA339" s="320"/>
      <c r="AB339" s="320"/>
      <c r="AC339" s="320"/>
      <c r="AD339" s="320"/>
      <c r="AE339" s="320"/>
      <c r="AF339" s="320"/>
      <c r="AG339" s="320"/>
      <c r="AH339" s="320"/>
      <c r="AI339" s="320"/>
      <c r="AJ339" s="320"/>
      <c r="AK339" s="320"/>
      <c r="AL339" s="320"/>
      <c r="AM339" s="320"/>
      <c r="AN339" s="320"/>
      <c r="AO339" s="320"/>
      <c r="AP339" s="320"/>
      <c r="AQ339" s="320"/>
      <c r="AR339" s="320"/>
      <c r="AS339" s="320"/>
      <c r="AT339" s="320"/>
      <c r="AU339" s="321"/>
    </row>
    <row r="340">
      <c r="A340" s="319"/>
      <c r="B340" s="320"/>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c r="AA340" s="320"/>
      <c r="AB340" s="320"/>
      <c r="AC340" s="320"/>
      <c r="AD340" s="320"/>
      <c r="AE340" s="320"/>
      <c r="AF340" s="320"/>
      <c r="AG340" s="320"/>
      <c r="AH340" s="320"/>
      <c r="AI340" s="320"/>
      <c r="AJ340" s="320"/>
      <c r="AK340" s="320"/>
      <c r="AL340" s="320"/>
      <c r="AM340" s="320"/>
      <c r="AN340" s="320"/>
      <c r="AO340" s="320"/>
      <c r="AP340" s="320"/>
      <c r="AQ340" s="320"/>
      <c r="AR340" s="320"/>
      <c r="AS340" s="320"/>
      <c r="AT340" s="320"/>
      <c r="AU340" s="321"/>
    </row>
    <row r="341">
      <c r="A341" s="319"/>
      <c r="B341" s="320"/>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c r="AA341" s="320"/>
      <c r="AB341" s="320"/>
      <c r="AC341" s="320"/>
      <c r="AD341" s="320"/>
      <c r="AE341" s="320"/>
      <c r="AF341" s="320"/>
      <c r="AG341" s="320"/>
      <c r="AH341" s="320"/>
      <c r="AI341" s="320"/>
      <c r="AJ341" s="320"/>
      <c r="AK341" s="320"/>
      <c r="AL341" s="320"/>
      <c r="AM341" s="320"/>
      <c r="AN341" s="320"/>
      <c r="AO341" s="320"/>
      <c r="AP341" s="320"/>
      <c r="AQ341" s="320"/>
      <c r="AR341" s="320"/>
      <c r="AS341" s="320"/>
      <c r="AT341" s="320"/>
      <c r="AU341" s="321"/>
    </row>
    <row r="342">
      <c r="A342" s="319"/>
      <c r="B342" s="320"/>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c r="AA342" s="320"/>
      <c r="AB342" s="320"/>
      <c r="AC342" s="320"/>
      <c r="AD342" s="320"/>
      <c r="AE342" s="320"/>
      <c r="AF342" s="320"/>
      <c r="AG342" s="320"/>
      <c r="AH342" s="320"/>
      <c r="AI342" s="320"/>
      <c r="AJ342" s="320"/>
      <c r="AK342" s="320"/>
      <c r="AL342" s="320"/>
      <c r="AM342" s="320"/>
      <c r="AN342" s="320"/>
      <c r="AO342" s="320"/>
      <c r="AP342" s="320"/>
      <c r="AQ342" s="320"/>
      <c r="AR342" s="320"/>
      <c r="AS342" s="320"/>
      <c r="AT342" s="320"/>
      <c r="AU342" s="321"/>
    </row>
    <row r="343">
      <c r="A343" s="319"/>
      <c r="B343" s="320"/>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c r="AA343" s="320"/>
      <c r="AB343" s="320"/>
      <c r="AC343" s="320"/>
      <c r="AD343" s="320"/>
      <c r="AE343" s="320"/>
      <c r="AF343" s="320"/>
      <c r="AG343" s="320"/>
      <c r="AH343" s="320"/>
      <c r="AI343" s="320"/>
      <c r="AJ343" s="320"/>
      <c r="AK343" s="320"/>
      <c r="AL343" s="320"/>
      <c r="AM343" s="320"/>
      <c r="AN343" s="320"/>
      <c r="AO343" s="320"/>
      <c r="AP343" s="320"/>
      <c r="AQ343" s="320"/>
      <c r="AR343" s="320"/>
      <c r="AS343" s="320"/>
      <c r="AT343" s="320"/>
      <c r="AU343" s="321"/>
    </row>
    <row r="344">
      <c r="A344" s="319"/>
      <c r="B344" s="320"/>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c r="AA344" s="320"/>
      <c r="AB344" s="320"/>
      <c r="AC344" s="320"/>
      <c r="AD344" s="320"/>
      <c r="AE344" s="320"/>
      <c r="AF344" s="320"/>
      <c r="AG344" s="320"/>
      <c r="AH344" s="320"/>
      <c r="AI344" s="320"/>
      <c r="AJ344" s="320"/>
      <c r="AK344" s="320"/>
      <c r="AL344" s="320"/>
      <c r="AM344" s="320"/>
      <c r="AN344" s="320"/>
      <c r="AO344" s="320"/>
      <c r="AP344" s="320"/>
      <c r="AQ344" s="320"/>
      <c r="AR344" s="320"/>
      <c r="AS344" s="320"/>
      <c r="AT344" s="320"/>
      <c r="AU344" s="321"/>
    </row>
    <row r="345">
      <c r="A345" s="319"/>
      <c r="B345" s="320"/>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c r="AA345" s="320"/>
      <c r="AB345" s="320"/>
      <c r="AC345" s="320"/>
      <c r="AD345" s="320"/>
      <c r="AE345" s="320"/>
      <c r="AF345" s="320"/>
      <c r="AG345" s="320"/>
      <c r="AH345" s="320"/>
      <c r="AI345" s="320"/>
      <c r="AJ345" s="320"/>
      <c r="AK345" s="320"/>
      <c r="AL345" s="320"/>
      <c r="AM345" s="320"/>
      <c r="AN345" s="320"/>
      <c r="AO345" s="320"/>
      <c r="AP345" s="320"/>
      <c r="AQ345" s="320"/>
      <c r="AR345" s="320"/>
      <c r="AS345" s="320"/>
      <c r="AT345" s="320"/>
      <c r="AU345" s="321"/>
    </row>
    <row r="346">
      <c r="A346" s="319"/>
      <c r="B346" s="320"/>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c r="AA346" s="320"/>
      <c r="AB346" s="320"/>
      <c r="AC346" s="320"/>
      <c r="AD346" s="320"/>
      <c r="AE346" s="320"/>
      <c r="AF346" s="320"/>
      <c r="AG346" s="320"/>
      <c r="AH346" s="320"/>
      <c r="AI346" s="320"/>
      <c r="AJ346" s="320"/>
      <c r="AK346" s="320"/>
      <c r="AL346" s="320"/>
      <c r="AM346" s="320"/>
      <c r="AN346" s="320"/>
      <c r="AO346" s="320"/>
      <c r="AP346" s="320"/>
      <c r="AQ346" s="320"/>
      <c r="AR346" s="320"/>
      <c r="AS346" s="320"/>
      <c r="AT346" s="320"/>
      <c r="AU346" s="321"/>
    </row>
    <row r="347">
      <c r="A347" s="319"/>
      <c r="B347" s="320"/>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c r="AA347" s="320"/>
      <c r="AB347" s="320"/>
      <c r="AC347" s="320"/>
      <c r="AD347" s="320"/>
      <c r="AE347" s="320"/>
      <c r="AF347" s="320"/>
      <c r="AG347" s="320"/>
      <c r="AH347" s="320"/>
      <c r="AI347" s="320"/>
      <c r="AJ347" s="320"/>
      <c r="AK347" s="320"/>
      <c r="AL347" s="320"/>
      <c r="AM347" s="320"/>
      <c r="AN347" s="320"/>
      <c r="AO347" s="320"/>
      <c r="AP347" s="320"/>
      <c r="AQ347" s="320"/>
      <c r="AR347" s="320"/>
      <c r="AS347" s="320"/>
      <c r="AT347" s="320"/>
      <c r="AU347" s="321"/>
    </row>
    <row r="348">
      <c r="A348" s="319"/>
      <c r="B348" s="320"/>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c r="AA348" s="320"/>
      <c r="AB348" s="320"/>
      <c r="AC348" s="320"/>
      <c r="AD348" s="320"/>
      <c r="AE348" s="320"/>
      <c r="AF348" s="320"/>
      <c r="AG348" s="320"/>
      <c r="AH348" s="320"/>
      <c r="AI348" s="320"/>
      <c r="AJ348" s="320"/>
      <c r="AK348" s="320"/>
      <c r="AL348" s="320"/>
      <c r="AM348" s="320"/>
      <c r="AN348" s="320"/>
      <c r="AO348" s="320"/>
      <c r="AP348" s="320"/>
      <c r="AQ348" s="320"/>
      <c r="AR348" s="320"/>
      <c r="AS348" s="320"/>
      <c r="AT348" s="320"/>
      <c r="AU348" s="321"/>
    </row>
    <row r="349">
      <c r="A349" s="319"/>
      <c r="B349" s="320"/>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c r="AA349" s="320"/>
      <c r="AB349" s="320"/>
      <c r="AC349" s="320"/>
      <c r="AD349" s="320"/>
      <c r="AE349" s="320"/>
      <c r="AF349" s="320"/>
      <c r="AG349" s="320"/>
      <c r="AH349" s="320"/>
      <c r="AI349" s="320"/>
      <c r="AJ349" s="320"/>
      <c r="AK349" s="320"/>
      <c r="AL349" s="320"/>
      <c r="AM349" s="320"/>
      <c r="AN349" s="320"/>
      <c r="AO349" s="320"/>
      <c r="AP349" s="320"/>
      <c r="AQ349" s="320"/>
      <c r="AR349" s="320"/>
      <c r="AS349" s="320"/>
      <c r="AT349" s="320"/>
      <c r="AU349" s="321"/>
    </row>
    <row r="350">
      <c r="A350" s="319"/>
      <c r="B350" s="320"/>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c r="AA350" s="320"/>
      <c r="AB350" s="320"/>
      <c r="AC350" s="320"/>
      <c r="AD350" s="320"/>
      <c r="AE350" s="320"/>
      <c r="AF350" s="320"/>
      <c r="AG350" s="320"/>
      <c r="AH350" s="320"/>
      <c r="AI350" s="320"/>
      <c r="AJ350" s="320"/>
      <c r="AK350" s="320"/>
      <c r="AL350" s="320"/>
      <c r="AM350" s="320"/>
      <c r="AN350" s="320"/>
      <c r="AO350" s="320"/>
      <c r="AP350" s="320"/>
      <c r="AQ350" s="320"/>
      <c r="AR350" s="320"/>
      <c r="AS350" s="320"/>
      <c r="AT350" s="320"/>
      <c r="AU350" s="321"/>
    </row>
    <row r="351">
      <c r="A351" s="319"/>
      <c r="B351" s="320"/>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c r="AA351" s="320"/>
      <c r="AB351" s="320"/>
      <c r="AC351" s="320"/>
      <c r="AD351" s="320"/>
      <c r="AE351" s="320"/>
      <c r="AF351" s="320"/>
      <c r="AG351" s="320"/>
      <c r="AH351" s="320"/>
      <c r="AI351" s="320"/>
      <c r="AJ351" s="320"/>
      <c r="AK351" s="320"/>
      <c r="AL351" s="320"/>
      <c r="AM351" s="320"/>
      <c r="AN351" s="320"/>
      <c r="AO351" s="320"/>
      <c r="AP351" s="320"/>
      <c r="AQ351" s="320"/>
      <c r="AR351" s="320"/>
      <c r="AS351" s="320"/>
      <c r="AT351" s="320"/>
      <c r="AU351" s="321"/>
    </row>
    <row r="352">
      <c r="A352" s="319"/>
      <c r="B352" s="320"/>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c r="AA352" s="320"/>
      <c r="AB352" s="320"/>
      <c r="AC352" s="320"/>
      <c r="AD352" s="320"/>
      <c r="AE352" s="320"/>
      <c r="AF352" s="320"/>
      <c r="AG352" s="320"/>
      <c r="AH352" s="320"/>
      <c r="AI352" s="320"/>
      <c r="AJ352" s="320"/>
      <c r="AK352" s="320"/>
      <c r="AL352" s="320"/>
      <c r="AM352" s="320"/>
      <c r="AN352" s="320"/>
      <c r="AO352" s="320"/>
      <c r="AP352" s="320"/>
      <c r="AQ352" s="320"/>
      <c r="AR352" s="320"/>
      <c r="AS352" s="320"/>
      <c r="AT352" s="320"/>
      <c r="AU352" s="321"/>
    </row>
    <row r="353">
      <c r="A353" s="319"/>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c r="AA353" s="320"/>
      <c r="AB353" s="320"/>
      <c r="AC353" s="320"/>
      <c r="AD353" s="320"/>
      <c r="AE353" s="320"/>
      <c r="AF353" s="320"/>
      <c r="AG353" s="320"/>
      <c r="AH353" s="320"/>
      <c r="AI353" s="320"/>
      <c r="AJ353" s="320"/>
      <c r="AK353" s="320"/>
      <c r="AL353" s="320"/>
      <c r="AM353" s="320"/>
      <c r="AN353" s="320"/>
      <c r="AO353" s="320"/>
      <c r="AP353" s="320"/>
      <c r="AQ353" s="320"/>
      <c r="AR353" s="320"/>
      <c r="AS353" s="320"/>
      <c r="AT353" s="320"/>
      <c r="AU353" s="321"/>
    </row>
    <row r="354">
      <c r="A354" s="319"/>
      <c r="B354" s="320"/>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c r="AA354" s="320"/>
      <c r="AB354" s="320"/>
      <c r="AC354" s="320"/>
      <c r="AD354" s="320"/>
      <c r="AE354" s="320"/>
      <c r="AF354" s="320"/>
      <c r="AG354" s="320"/>
      <c r="AH354" s="320"/>
      <c r="AI354" s="320"/>
      <c r="AJ354" s="320"/>
      <c r="AK354" s="320"/>
      <c r="AL354" s="320"/>
      <c r="AM354" s="320"/>
      <c r="AN354" s="320"/>
      <c r="AO354" s="320"/>
      <c r="AP354" s="320"/>
      <c r="AQ354" s="320"/>
      <c r="AR354" s="320"/>
      <c r="AS354" s="320"/>
      <c r="AT354" s="320"/>
      <c r="AU354" s="321"/>
    </row>
    <row r="355">
      <c r="A355" s="319"/>
      <c r="B355" s="320"/>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c r="AA355" s="320"/>
      <c r="AB355" s="320"/>
      <c r="AC355" s="320"/>
      <c r="AD355" s="320"/>
      <c r="AE355" s="320"/>
      <c r="AF355" s="320"/>
      <c r="AG355" s="320"/>
      <c r="AH355" s="320"/>
      <c r="AI355" s="320"/>
      <c r="AJ355" s="320"/>
      <c r="AK355" s="320"/>
      <c r="AL355" s="320"/>
      <c r="AM355" s="320"/>
      <c r="AN355" s="320"/>
      <c r="AO355" s="320"/>
      <c r="AP355" s="320"/>
      <c r="AQ355" s="320"/>
      <c r="AR355" s="320"/>
      <c r="AS355" s="320"/>
      <c r="AT355" s="320"/>
      <c r="AU355" s="321"/>
    </row>
    <row r="356">
      <c r="A356" s="319"/>
      <c r="B356" s="320"/>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c r="AA356" s="320"/>
      <c r="AB356" s="320"/>
      <c r="AC356" s="320"/>
      <c r="AD356" s="320"/>
      <c r="AE356" s="320"/>
      <c r="AF356" s="320"/>
      <c r="AG356" s="320"/>
      <c r="AH356" s="320"/>
      <c r="AI356" s="320"/>
      <c r="AJ356" s="320"/>
      <c r="AK356" s="320"/>
      <c r="AL356" s="320"/>
      <c r="AM356" s="320"/>
      <c r="AN356" s="320"/>
      <c r="AO356" s="320"/>
      <c r="AP356" s="320"/>
      <c r="AQ356" s="320"/>
      <c r="AR356" s="320"/>
      <c r="AS356" s="320"/>
      <c r="AT356" s="320"/>
      <c r="AU356" s="321"/>
    </row>
    <row r="357">
      <c r="A357" s="319"/>
      <c r="B357" s="320"/>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c r="AA357" s="320"/>
      <c r="AB357" s="320"/>
      <c r="AC357" s="320"/>
      <c r="AD357" s="320"/>
      <c r="AE357" s="320"/>
      <c r="AF357" s="320"/>
      <c r="AG357" s="320"/>
      <c r="AH357" s="320"/>
      <c r="AI357" s="320"/>
      <c r="AJ357" s="320"/>
      <c r="AK357" s="320"/>
      <c r="AL357" s="320"/>
      <c r="AM357" s="320"/>
      <c r="AN357" s="320"/>
      <c r="AO357" s="320"/>
      <c r="AP357" s="320"/>
      <c r="AQ357" s="320"/>
      <c r="AR357" s="320"/>
      <c r="AS357" s="320"/>
      <c r="AT357" s="320"/>
      <c r="AU357" s="321"/>
    </row>
    <row r="358">
      <c r="A358" s="319"/>
      <c r="B358" s="320"/>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c r="AA358" s="320"/>
      <c r="AB358" s="320"/>
      <c r="AC358" s="320"/>
      <c r="AD358" s="320"/>
      <c r="AE358" s="320"/>
      <c r="AF358" s="320"/>
      <c r="AG358" s="320"/>
      <c r="AH358" s="320"/>
      <c r="AI358" s="320"/>
      <c r="AJ358" s="320"/>
      <c r="AK358" s="320"/>
      <c r="AL358" s="320"/>
      <c r="AM358" s="320"/>
      <c r="AN358" s="320"/>
      <c r="AO358" s="320"/>
      <c r="AP358" s="320"/>
      <c r="AQ358" s="320"/>
      <c r="AR358" s="320"/>
      <c r="AS358" s="320"/>
      <c r="AT358" s="320"/>
      <c r="AU358" s="321"/>
    </row>
    <row r="359">
      <c r="A359" s="319"/>
      <c r="B359" s="320"/>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c r="AA359" s="320"/>
      <c r="AB359" s="320"/>
      <c r="AC359" s="320"/>
      <c r="AD359" s="320"/>
      <c r="AE359" s="320"/>
      <c r="AF359" s="320"/>
      <c r="AG359" s="320"/>
      <c r="AH359" s="320"/>
      <c r="AI359" s="320"/>
      <c r="AJ359" s="320"/>
      <c r="AK359" s="320"/>
      <c r="AL359" s="320"/>
      <c r="AM359" s="320"/>
      <c r="AN359" s="320"/>
      <c r="AO359" s="320"/>
      <c r="AP359" s="320"/>
      <c r="AQ359" s="320"/>
      <c r="AR359" s="320"/>
      <c r="AS359" s="320"/>
      <c r="AT359" s="320"/>
      <c r="AU359" s="321"/>
    </row>
    <row r="360">
      <c r="A360" s="319"/>
      <c r="B360" s="320"/>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c r="AA360" s="320"/>
      <c r="AB360" s="320"/>
      <c r="AC360" s="320"/>
      <c r="AD360" s="320"/>
      <c r="AE360" s="320"/>
      <c r="AF360" s="320"/>
      <c r="AG360" s="320"/>
      <c r="AH360" s="320"/>
      <c r="AI360" s="320"/>
      <c r="AJ360" s="320"/>
      <c r="AK360" s="320"/>
      <c r="AL360" s="320"/>
      <c r="AM360" s="320"/>
      <c r="AN360" s="320"/>
      <c r="AO360" s="320"/>
      <c r="AP360" s="320"/>
      <c r="AQ360" s="320"/>
      <c r="AR360" s="320"/>
      <c r="AS360" s="320"/>
      <c r="AT360" s="320"/>
      <c r="AU360" s="321"/>
    </row>
    <row r="361">
      <c r="A361" s="319"/>
      <c r="B361" s="320"/>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c r="AA361" s="320"/>
      <c r="AB361" s="320"/>
      <c r="AC361" s="320"/>
      <c r="AD361" s="320"/>
      <c r="AE361" s="320"/>
      <c r="AF361" s="320"/>
      <c r="AG361" s="320"/>
      <c r="AH361" s="320"/>
      <c r="AI361" s="320"/>
      <c r="AJ361" s="320"/>
      <c r="AK361" s="320"/>
      <c r="AL361" s="320"/>
      <c r="AM361" s="320"/>
      <c r="AN361" s="320"/>
      <c r="AO361" s="320"/>
      <c r="AP361" s="320"/>
      <c r="AQ361" s="320"/>
      <c r="AR361" s="320"/>
      <c r="AS361" s="320"/>
      <c r="AT361" s="320"/>
      <c r="AU361" s="321"/>
    </row>
    <row r="362">
      <c r="A362" s="319"/>
      <c r="B362" s="320"/>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c r="AA362" s="320"/>
      <c r="AB362" s="320"/>
      <c r="AC362" s="320"/>
      <c r="AD362" s="320"/>
      <c r="AE362" s="320"/>
      <c r="AF362" s="320"/>
      <c r="AG362" s="320"/>
      <c r="AH362" s="320"/>
      <c r="AI362" s="320"/>
      <c r="AJ362" s="320"/>
      <c r="AK362" s="320"/>
      <c r="AL362" s="320"/>
      <c r="AM362" s="320"/>
      <c r="AN362" s="320"/>
      <c r="AO362" s="320"/>
      <c r="AP362" s="320"/>
      <c r="AQ362" s="320"/>
      <c r="AR362" s="320"/>
      <c r="AS362" s="320"/>
      <c r="AT362" s="320"/>
      <c r="AU362" s="321"/>
    </row>
    <row r="363">
      <c r="A363" s="319"/>
      <c r="B363" s="320"/>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c r="AA363" s="320"/>
      <c r="AB363" s="320"/>
      <c r="AC363" s="320"/>
      <c r="AD363" s="320"/>
      <c r="AE363" s="320"/>
      <c r="AF363" s="320"/>
      <c r="AG363" s="320"/>
      <c r="AH363" s="320"/>
      <c r="AI363" s="320"/>
      <c r="AJ363" s="320"/>
      <c r="AK363" s="320"/>
      <c r="AL363" s="320"/>
      <c r="AM363" s="320"/>
      <c r="AN363" s="320"/>
      <c r="AO363" s="320"/>
      <c r="AP363" s="320"/>
      <c r="AQ363" s="320"/>
      <c r="AR363" s="320"/>
      <c r="AS363" s="320"/>
      <c r="AT363" s="320"/>
      <c r="AU363" s="321"/>
    </row>
    <row r="364">
      <c r="A364" s="319"/>
      <c r="B364" s="320"/>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c r="AA364" s="320"/>
      <c r="AB364" s="320"/>
      <c r="AC364" s="320"/>
      <c r="AD364" s="320"/>
      <c r="AE364" s="320"/>
      <c r="AF364" s="320"/>
      <c r="AG364" s="320"/>
      <c r="AH364" s="320"/>
      <c r="AI364" s="320"/>
      <c r="AJ364" s="320"/>
      <c r="AK364" s="320"/>
      <c r="AL364" s="320"/>
      <c r="AM364" s="320"/>
      <c r="AN364" s="320"/>
      <c r="AO364" s="320"/>
      <c r="AP364" s="320"/>
      <c r="AQ364" s="320"/>
      <c r="AR364" s="320"/>
      <c r="AS364" s="320"/>
      <c r="AT364" s="320"/>
      <c r="AU364" s="321"/>
    </row>
    <row r="365">
      <c r="A365" s="319"/>
      <c r="B365" s="320"/>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c r="AA365" s="320"/>
      <c r="AB365" s="320"/>
      <c r="AC365" s="320"/>
      <c r="AD365" s="320"/>
      <c r="AE365" s="320"/>
      <c r="AF365" s="320"/>
      <c r="AG365" s="320"/>
      <c r="AH365" s="320"/>
      <c r="AI365" s="320"/>
      <c r="AJ365" s="320"/>
      <c r="AK365" s="320"/>
      <c r="AL365" s="320"/>
      <c r="AM365" s="320"/>
      <c r="AN365" s="320"/>
      <c r="AO365" s="320"/>
      <c r="AP365" s="320"/>
      <c r="AQ365" s="320"/>
      <c r="AR365" s="320"/>
      <c r="AS365" s="320"/>
      <c r="AT365" s="320"/>
      <c r="AU365" s="321"/>
    </row>
    <row r="366">
      <c r="A366" s="319"/>
      <c r="B366" s="320"/>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c r="AA366" s="320"/>
      <c r="AB366" s="320"/>
      <c r="AC366" s="320"/>
      <c r="AD366" s="320"/>
      <c r="AE366" s="320"/>
      <c r="AF366" s="320"/>
      <c r="AG366" s="320"/>
      <c r="AH366" s="320"/>
      <c r="AI366" s="320"/>
      <c r="AJ366" s="320"/>
      <c r="AK366" s="320"/>
      <c r="AL366" s="320"/>
      <c r="AM366" s="320"/>
      <c r="AN366" s="320"/>
      <c r="AO366" s="320"/>
      <c r="AP366" s="320"/>
      <c r="AQ366" s="320"/>
      <c r="AR366" s="320"/>
      <c r="AS366" s="320"/>
      <c r="AT366" s="320"/>
      <c r="AU366" s="321"/>
    </row>
    <row r="367">
      <c r="A367" s="319"/>
      <c r="B367" s="320"/>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c r="AA367" s="320"/>
      <c r="AB367" s="320"/>
      <c r="AC367" s="320"/>
      <c r="AD367" s="320"/>
      <c r="AE367" s="320"/>
      <c r="AF367" s="320"/>
      <c r="AG367" s="320"/>
      <c r="AH367" s="320"/>
      <c r="AI367" s="320"/>
      <c r="AJ367" s="320"/>
      <c r="AK367" s="320"/>
      <c r="AL367" s="320"/>
      <c r="AM367" s="320"/>
      <c r="AN367" s="320"/>
      <c r="AO367" s="320"/>
      <c r="AP367" s="320"/>
      <c r="AQ367" s="320"/>
      <c r="AR367" s="320"/>
      <c r="AS367" s="320"/>
      <c r="AT367" s="320"/>
      <c r="AU367" s="321"/>
    </row>
    <row r="368">
      <c r="A368" s="319"/>
      <c r="B368" s="320"/>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c r="AA368" s="320"/>
      <c r="AB368" s="320"/>
      <c r="AC368" s="320"/>
      <c r="AD368" s="320"/>
      <c r="AE368" s="320"/>
      <c r="AF368" s="320"/>
      <c r="AG368" s="320"/>
      <c r="AH368" s="320"/>
      <c r="AI368" s="320"/>
      <c r="AJ368" s="320"/>
      <c r="AK368" s="320"/>
      <c r="AL368" s="320"/>
      <c r="AM368" s="320"/>
      <c r="AN368" s="320"/>
      <c r="AO368" s="320"/>
      <c r="AP368" s="320"/>
      <c r="AQ368" s="320"/>
      <c r="AR368" s="320"/>
      <c r="AS368" s="320"/>
      <c r="AT368" s="320"/>
      <c r="AU368" s="321"/>
    </row>
    <row r="369">
      <c r="A369" s="319"/>
      <c r="B369" s="320"/>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c r="AA369" s="320"/>
      <c r="AB369" s="320"/>
      <c r="AC369" s="320"/>
      <c r="AD369" s="320"/>
      <c r="AE369" s="320"/>
      <c r="AF369" s="320"/>
      <c r="AG369" s="320"/>
      <c r="AH369" s="320"/>
      <c r="AI369" s="320"/>
      <c r="AJ369" s="320"/>
      <c r="AK369" s="320"/>
      <c r="AL369" s="320"/>
      <c r="AM369" s="320"/>
      <c r="AN369" s="320"/>
      <c r="AO369" s="320"/>
      <c r="AP369" s="320"/>
      <c r="AQ369" s="320"/>
      <c r="AR369" s="320"/>
      <c r="AS369" s="320"/>
      <c r="AT369" s="320"/>
      <c r="AU369" s="321"/>
    </row>
    <row r="370">
      <c r="A370" s="319"/>
      <c r="B370" s="320"/>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c r="AA370" s="320"/>
      <c r="AB370" s="320"/>
      <c r="AC370" s="320"/>
      <c r="AD370" s="320"/>
      <c r="AE370" s="320"/>
      <c r="AF370" s="320"/>
      <c r="AG370" s="320"/>
      <c r="AH370" s="320"/>
      <c r="AI370" s="320"/>
      <c r="AJ370" s="320"/>
      <c r="AK370" s="320"/>
      <c r="AL370" s="320"/>
      <c r="AM370" s="320"/>
      <c r="AN370" s="320"/>
      <c r="AO370" s="320"/>
      <c r="AP370" s="320"/>
      <c r="AQ370" s="320"/>
      <c r="AR370" s="320"/>
      <c r="AS370" s="320"/>
      <c r="AT370" s="320"/>
      <c r="AU370" s="321"/>
    </row>
    <row r="371">
      <c r="A371" s="319"/>
      <c r="B371" s="320"/>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c r="AA371" s="320"/>
      <c r="AB371" s="320"/>
      <c r="AC371" s="320"/>
      <c r="AD371" s="320"/>
      <c r="AE371" s="320"/>
      <c r="AF371" s="320"/>
      <c r="AG371" s="320"/>
      <c r="AH371" s="320"/>
      <c r="AI371" s="320"/>
      <c r="AJ371" s="320"/>
      <c r="AK371" s="320"/>
      <c r="AL371" s="320"/>
      <c r="AM371" s="320"/>
      <c r="AN371" s="320"/>
      <c r="AO371" s="320"/>
      <c r="AP371" s="320"/>
      <c r="AQ371" s="320"/>
      <c r="AR371" s="320"/>
      <c r="AS371" s="320"/>
      <c r="AT371" s="320"/>
      <c r="AU371" s="321"/>
    </row>
    <row r="372">
      <c r="A372" s="319"/>
      <c r="B372" s="320"/>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c r="AA372" s="320"/>
      <c r="AB372" s="320"/>
      <c r="AC372" s="320"/>
      <c r="AD372" s="320"/>
      <c r="AE372" s="320"/>
      <c r="AF372" s="320"/>
      <c r="AG372" s="320"/>
      <c r="AH372" s="320"/>
      <c r="AI372" s="320"/>
      <c r="AJ372" s="320"/>
      <c r="AK372" s="320"/>
      <c r="AL372" s="320"/>
      <c r="AM372" s="320"/>
      <c r="AN372" s="320"/>
      <c r="AO372" s="320"/>
      <c r="AP372" s="320"/>
      <c r="AQ372" s="320"/>
      <c r="AR372" s="320"/>
      <c r="AS372" s="320"/>
      <c r="AT372" s="320"/>
      <c r="AU372" s="321"/>
    </row>
    <row r="373">
      <c r="A373" s="319"/>
      <c r="B373" s="320"/>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c r="AA373" s="320"/>
      <c r="AB373" s="320"/>
      <c r="AC373" s="320"/>
      <c r="AD373" s="320"/>
      <c r="AE373" s="320"/>
      <c r="AF373" s="320"/>
      <c r="AG373" s="320"/>
      <c r="AH373" s="320"/>
      <c r="AI373" s="320"/>
      <c r="AJ373" s="320"/>
      <c r="AK373" s="320"/>
      <c r="AL373" s="320"/>
      <c r="AM373" s="320"/>
      <c r="AN373" s="320"/>
      <c r="AO373" s="320"/>
      <c r="AP373" s="320"/>
      <c r="AQ373" s="320"/>
      <c r="AR373" s="320"/>
      <c r="AS373" s="320"/>
      <c r="AT373" s="320"/>
      <c r="AU373" s="321"/>
    </row>
    <row r="374">
      <c r="A374" s="319"/>
      <c r="B374" s="320"/>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c r="AA374" s="320"/>
      <c r="AB374" s="320"/>
      <c r="AC374" s="320"/>
      <c r="AD374" s="320"/>
      <c r="AE374" s="320"/>
      <c r="AF374" s="320"/>
      <c r="AG374" s="320"/>
      <c r="AH374" s="320"/>
      <c r="AI374" s="320"/>
      <c r="AJ374" s="320"/>
      <c r="AK374" s="320"/>
      <c r="AL374" s="320"/>
      <c r="AM374" s="320"/>
      <c r="AN374" s="320"/>
      <c r="AO374" s="320"/>
      <c r="AP374" s="320"/>
      <c r="AQ374" s="320"/>
      <c r="AR374" s="320"/>
      <c r="AS374" s="320"/>
      <c r="AT374" s="320"/>
      <c r="AU374" s="321"/>
    </row>
    <row r="375">
      <c r="A375" s="319"/>
      <c r="B375" s="320"/>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c r="AA375" s="320"/>
      <c r="AB375" s="320"/>
      <c r="AC375" s="320"/>
      <c r="AD375" s="320"/>
      <c r="AE375" s="320"/>
      <c r="AF375" s="320"/>
      <c r="AG375" s="320"/>
      <c r="AH375" s="320"/>
      <c r="AI375" s="320"/>
      <c r="AJ375" s="320"/>
      <c r="AK375" s="320"/>
      <c r="AL375" s="320"/>
      <c r="AM375" s="320"/>
      <c r="AN375" s="320"/>
      <c r="AO375" s="320"/>
      <c r="AP375" s="320"/>
      <c r="AQ375" s="320"/>
      <c r="AR375" s="320"/>
      <c r="AS375" s="320"/>
      <c r="AT375" s="320"/>
      <c r="AU375" s="321"/>
    </row>
    <row r="376">
      <c r="A376" s="319"/>
      <c r="B376" s="320"/>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c r="AA376" s="320"/>
      <c r="AB376" s="320"/>
      <c r="AC376" s="320"/>
      <c r="AD376" s="320"/>
      <c r="AE376" s="320"/>
      <c r="AF376" s="320"/>
      <c r="AG376" s="320"/>
      <c r="AH376" s="320"/>
      <c r="AI376" s="320"/>
      <c r="AJ376" s="320"/>
      <c r="AK376" s="320"/>
      <c r="AL376" s="320"/>
      <c r="AM376" s="320"/>
      <c r="AN376" s="320"/>
      <c r="AO376" s="320"/>
      <c r="AP376" s="320"/>
      <c r="AQ376" s="320"/>
      <c r="AR376" s="320"/>
      <c r="AS376" s="320"/>
      <c r="AT376" s="320"/>
      <c r="AU376" s="321"/>
    </row>
    <row r="377">
      <c r="A377" s="319"/>
      <c r="B377" s="320"/>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c r="AA377" s="320"/>
      <c r="AB377" s="320"/>
      <c r="AC377" s="320"/>
      <c r="AD377" s="320"/>
      <c r="AE377" s="320"/>
      <c r="AF377" s="320"/>
      <c r="AG377" s="320"/>
      <c r="AH377" s="320"/>
      <c r="AI377" s="320"/>
      <c r="AJ377" s="320"/>
      <c r="AK377" s="320"/>
      <c r="AL377" s="320"/>
      <c r="AM377" s="320"/>
      <c r="AN377" s="320"/>
      <c r="AO377" s="320"/>
      <c r="AP377" s="320"/>
      <c r="AQ377" s="320"/>
      <c r="AR377" s="320"/>
      <c r="AS377" s="320"/>
      <c r="AT377" s="320"/>
      <c r="AU377" s="321"/>
    </row>
    <row r="378">
      <c r="A378" s="319"/>
      <c r="B378" s="320"/>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c r="AA378" s="320"/>
      <c r="AB378" s="320"/>
      <c r="AC378" s="320"/>
      <c r="AD378" s="320"/>
      <c r="AE378" s="320"/>
      <c r="AF378" s="320"/>
      <c r="AG378" s="320"/>
      <c r="AH378" s="320"/>
      <c r="AI378" s="320"/>
      <c r="AJ378" s="320"/>
      <c r="AK378" s="320"/>
      <c r="AL378" s="320"/>
      <c r="AM378" s="320"/>
      <c r="AN378" s="320"/>
      <c r="AO378" s="320"/>
      <c r="AP378" s="320"/>
      <c r="AQ378" s="320"/>
      <c r="AR378" s="320"/>
      <c r="AS378" s="320"/>
      <c r="AT378" s="320"/>
      <c r="AU378" s="321"/>
    </row>
    <row r="379">
      <c r="A379" s="319"/>
      <c r="B379" s="320"/>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c r="AA379" s="320"/>
      <c r="AB379" s="320"/>
      <c r="AC379" s="320"/>
      <c r="AD379" s="320"/>
      <c r="AE379" s="320"/>
      <c r="AF379" s="320"/>
      <c r="AG379" s="320"/>
      <c r="AH379" s="320"/>
      <c r="AI379" s="320"/>
      <c r="AJ379" s="320"/>
      <c r="AK379" s="320"/>
      <c r="AL379" s="320"/>
      <c r="AM379" s="320"/>
      <c r="AN379" s="320"/>
      <c r="AO379" s="320"/>
      <c r="AP379" s="320"/>
      <c r="AQ379" s="320"/>
      <c r="AR379" s="320"/>
      <c r="AS379" s="320"/>
      <c r="AT379" s="320"/>
      <c r="AU379" s="321"/>
    </row>
    <row r="380">
      <c r="A380" s="319"/>
      <c r="B380" s="320"/>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c r="AA380" s="320"/>
      <c r="AB380" s="320"/>
      <c r="AC380" s="320"/>
      <c r="AD380" s="320"/>
      <c r="AE380" s="320"/>
      <c r="AF380" s="320"/>
      <c r="AG380" s="320"/>
      <c r="AH380" s="320"/>
      <c r="AI380" s="320"/>
      <c r="AJ380" s="320"/>
      <c r="AK380" s="320"/>
      <c r="AL380" s="320"/>
      <c r="AM380" s="320"/>
      <c r="AN380" s="320"/>
      <c r="AO380" s="320"/>
      <c r="AP380" s="320"/>
      <c r="AQ380" s="320"/>
      <c r="AR380" s="320"/>
      <c r="AS380" s="320"/>
      <c r="AT380" s="320"/>
      <c r="AU380" s="321"/>
    </row>
    <row r="381">
      <c r="A381" s="319"/>
      <c r="B381" s="320"/>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c r="AA381" s="320"/>
      <c r="AB381" s="320"/>
      <c r="AC381" s="320"/>
      <c r="AD381" s="320"/>
      <c r="AE381" s="320"/>
      <c r="AF381" s="320"/>
      <c r="AG381" s="320"/>
      <c r="AH381" s="320"/>
      <c r="AI381" s="320"/>
      <c r="AJ381" s="320"/>
      <c r="AK381" s="320"/>
      <c r="AL381" s="320"/>
      <c r="AM381" s="320"/>
      <c r="AN381" s="320"/>
      <c r="AO381" s="320"/>
      <c r="AP381" s="320"/>
      <c r="AQ381" s="320"/>
      <c r="AR381" s="320"/>
      <c r="AS381" s="320"/>
      <c r="AT381" s="320"/>
      <c r="AU381" s="321"/>
    </row>
    <row r="382">
      <c r="A382" s="319"/>
      <c r="B382" s="320"/>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c r="AA382" s="320"/>
      <c r="AB382" s="320"/>
      <c r="AC382" s="320"/>
      <c r="AD382" s="320"/>
      <c r="AE382" s="320"/>
      <c r="AF382" s="320"/>
      <c r="AG382" s="320"/>
      <c r="AH382" s="320"/>
      <c r="AI382" s="320"/>
      <c r="AJ382" s="320"/>
      <c r="AK382" s="320"/>
      <c r="AL382" s="320"/>
      <c r="AM382" s="320"/>
      <c r="AN382" s="320"/>
      <c r="AO382" s="320"/>
      <c r="AP382" s="320"/>
      <c r="AQ382" s="320"/>
      <c r="AR382" s="320"/>
      <c r="AS382" s="320"/>
      <c r="AT382" s="320"/>
      <c r="AU382" s="321"/>
    </row>
    <row r="383">
      <c r="A383" s="319"/>
      <c r="B383" s="320"/>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c r="AA383" s="320"/>
      <c r="AB383" s="320"/>
      <c r="AC383" s="320"/>
      <c r="AD383" s="320"/>
      <c r="AE383" s="320"/>
      <c r="AF383" s="320"/>
      <c r="AG383" s="320"/>
      <c r="AH383" s="320"/>
      <c r="AI383" s="320"/>
      <c r="AJ383" s="320"/>
      <c r="AK383" s="320"/>
      <c r="AL383" s="320"/>
      <c r="AM383" s="320"/>
      <c r="AN383" s="320"/>
      <c r="AO383" s="320"/>
      <c r="AP383" s="320"/>
      <c r="AQ383" s="320"/>
      <c r="AR383" s="320"/>
      <c r="AS383" s="320"/>
      <c r="AT383" s="320"/>
      <c r="AU383" s="321"/>
    </row>
    <row r="384">
      <c r="A384" s="319"/>
      <c r="B384" s="320"/>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c r="AA384" s="320"/>
      <c r="AB384" s="320"/>
      <c r="AC384" s="320"/>
      <c r="AD384" s="320"/>
      <c r="AE384" s="320"/>
      <c r="AF384" s="320"/>
      <c r="AG384" s="320"/>
      <c r="AH384" s="320"/>
      <c r="AI384" s="320"/>
      <c r="AJ384" s="320"/>
      <c r="AK384" s="320"/>
      <c r="AL384" s="320"/>
      <c r="AM384" s="320"/>
      <c r="AN384" s="320"/>
      <c r="AO384" s="320"/>
      <c r="AP384" s="320"/>
      <c r="AQ384" s="320"/>
      <c r="AR384" s="320"/>
      <c r="AS384" s="320"/>
      <c r="AT384" s="320"/>
      <c r="AU384" s="321"/>
    </row>
    <row r="385">
      <c r="A385" s="319"/>
      <c r="B385" s="320"/>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c r="AA385" s="320"/>
      <c r="AB385" s="320"/>
      <c r="AC385" s="320"/>
      <c r="AD385" s="320"/>
      <c r="AE385" s="320"/>
      <c r="AF385" s="320"/>
      <c r="AG385" s="320"/>
      <c r="AH385" s="320"/>
      <c r="AI385" s="320"/>
      <c r="AJ385" s="320"/>
      <c r="AK385" s="320"/>
      <c r="AL385" s="320"/>
      <c r="AM385" s="320"/>
      <c r="AN385" s="320"/>
      <c r="AO385" s="320"/>
      <c r="AP385" s="320"/>
      <c r="AQ385" s="320"/>
      <c r="AR385" s="320"/>
      <c r="AS385" s="320"/>
      <c r="AT385" s="320"/>
      <c r="AU385" s="321"/>
    </row>
    <row r="386">
      <c r="A386" s="319"/>
      <c r="B386" s="320"/>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c r="AA386" s="320"/>
      <c r="AB386" s="320"/>
      <c r="AC386" s="320"/>
      <c r="AD386" s="320"/>
      <c r="AE386" s="320"/>
      <c r="AF386" s="320"/>
      <c r="AG386" s="320"/>
      <c r="AH386" s="320"/>
      <c r="AI386" s="320"/>
      <c r="AJ386" s="320"/>
      <c r="AK386" s="320"/>
      <c r="AL386" s="320"/>
      <c r="AM386" s="320"/>
      <c r="AN386" s="320"/>
      <c r="AO386" s="320"/>
      <c r="AP386" s="320"/>
      <c r="AQ386" s="320"/>
      <c r="AR386" s="320"/>
      <c r="AS386" s="320"/>
      <c r="AT386" s="320"/>
      <c r="AU386" s="321"/>
    </row>
    <row r="387">
      <c r="A387" s="319"/>
      <c r="B387" s="320"/>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c r="AA387" s="320"/>
      <c r="AB387" s="320"/>
      <c r="AC387" s="320"/>
      <c r="AD387" s="320"/>
      <c r="AE387" s="320"/>
      <c r="AF387" s="320"/>
      <c r="AG387" s="320"/>
      <c r="AH387" s="320"/>
      <c r="AI387" s="320"/>
      <c r="AJ387" s="320"/>
      <c r="AK387" s="320"/>
      <c r="AL387" s="320"/>
      <c r="AM387" s="320"/>
      <c r="AN387" s="320"/>
      <c r="AO387" s="320"/>
      <c r="AP387" s="320"/>
      <c r="AQ387" s="320"/>
      <c r="AR387" s="320"/>
      <c r="AS387" s="320"/>
      <c r="AT387" s="320"/>
      <c r="AU387" s="321"/>
    </row>
    <row r="388">
      <c r="A388" s="319"/>
      <c r="B388" s="320"/>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c r="AA388" s="320"/>
      <c r="AB388" s="320"/>
      <c r="AC388" s="320"/>
      <c r="AD388" s="320"/>
      <c r="AE388" s="320"/>
      <c r="AF388" s="320"/>
      <c r="AG388" s="320"/>
      <c r="AH388" s="320"/>
      <c r="AI388" s="320"/>
      <c r="AJ388" s="320"/>
      <c r="AK388" s="320"/>
      <c r="AL388" s="320"/>
      <c r="AM388" s="320"/>
      <c r="AN388" s="320"/>
      <c r="AO388" s="320"/>
      <c r="AP388" s="320"/>
      <c r="AQ388" s="320"/>
      <c r="AR388" s="320"/>
      <c r="AS388" s="320"/>
      <c r="AT388" s="320"/>
      <c r="AU388" s="321"/>
    </row>
    <row r="389">
      <c r="A389" s="319"/>
      <c r="B389" s="320"/>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c r="AA389" s="320"/>
      <c r="AB389" s="320"/>
      <c r="AC389" s="320"/>
      <c r="AD389" s="320"/>
      <c r="AE389" s="320"/>
      <c r="AF389" s="320"/>
      <c r="AG389" s="320"/>
      <c r="AH389" s="320"/>
      <c r="AI389" s="320"/>
      <c r="AJ389" s="320"/>
      <c r="AK389" s="320"/>
      <c r="AL389" s="320"/>
      <c r="AM389" s="320"/>
      <c r="AN389" s="320"/>
      <c r="AO389" s="320"/>
      <c r="AP389" s="320"/>
      <c r="AQ389" s="320"/>
      <c r="AR389" s="320"/>
      <c r="AS389" s="320"/>
      <c r="AT389" s="320"/>
      <c r="AU389" s="321"/>
    </row>
    <row r="390">
      <c r="A390" s="319"/>
      <c r="B390" s="320"/>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c r="AA390" s="320"/>
      <c r="AB390" s="320"/>
      <c r="AC390" s="320"/>
      <c r="AD390" s="320"/>
      <c r="AE390" s="320"/>
      <c r="AF390" s="320"/>
      <c r="AG390" s="320"/>
      <c r="AH390" s="320"/>
      <c r="AI390" s="320"/>
      <c r="AJ390" s="320"/>
      <c r="AK390" s="320"/>
      <c r="AL390" s="320"/>
      <c r="AM390" s="320"/>
      <c r="AN390" s="320"/>
      <c r="AO390" s="320"/>
      <c r="AP390" s="320"/>
      <c r="AQ390" s="320"/>
      <c r="AR390" s="320"/>
      <c r="AS390" s="320"/>
      <c r="AT390" s="320"/>
      <c r="AU390" s="321"/>
    </row>
    <row r="391">
      <c r="A391" s="319"/>
      <c r="B391" s="320"/>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c r="AA391" s="320"/>
      <c r="AB391" s="320"/>
      <c r="AC391" s="320"/>
      <c r="AD391" s="320"/>
      <c r="AE391" s="320"/>
      <c r="AF391" s="320"/>
      <c r="AG391" s="320"/>
      <c r="AH391" s="320"/>
      <c r="AI391" s="320"/>
      <c r="AJ391" s="320"/>
      <c r="AK391" s="320"/>
      <c r="AL391" s="320"/>
      <c r="AM391" s="320"/>
      <c r="AN391" s="320"/>
      <c r="AO391" s="320"/>
      <c r="AP391" s="320"/>
      <c r="AQ391" s="320"/>
      <c r="AR391" s="320"/>
      <c r="AS391" s="320"/>
      <c r="AT391" s="320"/>
      <c r="AU391" s="321"/>
    </row>
    <row r="392">
      <c r="A392" s="319"/>
      <c r="B392" s="320"/>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c r="AA392" s="320"/>
      <c r="AB392" s="320"/>
      <c r="AC392" s="320"/>
      <c r="AD392" s="320"/>
      <c r="AE392" s="320"/>
      <c r="AF392" s="320"/>
      <c r="AG392" s="320"/>
      <c r="AH392" s="320"/>
      <c r="AI392" s="320"/>
      <c r="AJ392" s="320"/>
      <c r="AK392" s="320"/>
      <c r="AL392" s="320"/>
      <c r="AM392" s="320"/>
      <c r="AN392" s="320"/>
      <c r="AO392" s="320"/>
      <c r="AP392" s="320"/>
      <c r="AQ392" s="320"/>
      <c r="AR392" s="320"/>
      <c r="AS392" s="320"/>
      <c r="AT392" s="320"/>
      <c r="AU392" s="321"/>
    </row>
    <row r="393">
      <c r="A393" s="319"/>
      <c r="B393" s="320"/>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c r="AA393" s="320"/>
      <c r="AB393" s="320"/>
      <c r="AC393" s="320"/>
      <c r="AD393" s="320"/>
      <c r="AE393" s="320"/>
      <c r="AF393" s="320"/>
      <c r="AG393" s="320"/>
      <c r="AH393" s="320"/>
      <c r="AI393" s="320"/>
      <c r="AJ393" s="320"/>
      <c r="AK393" s="320"/>
      <c r="AL393" s="320"/>
      <c r="AM393" s="320"/>
      <c r="AN393" s="320"/>
      <c r="AO393" s="320"/>
      <c r="AP393" s="320"/>
      <c r="AQ393" s="320"/>
      <c r="AR393" s="320"/>
      <c r="AS393" s="320"/>
      <c r="AT393" s="320"/>
      <c r="AU393" s="321"/>
    </row>
    <row r="394">
      <c r="A394" s="319"/>
      <c r="B394" s="320"/>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c r="AA394" s="320"/>
      <c r="AB394" s="320"/>
      <c r="AC394" s="320"/>
      <c r="AD394" s="320"/>
      <c r="AE394" s="320"/>
      <c r="AF394" s="320"/>
      <c r="AG394" s="320"/>
      <c r="AH394" s="320"/>
      <c r="AI394" s="320"/>
      <c r="AJ394" s="320"/>
      <c r="AK394" s="320"/>
      <c r="AL394" s="320"/>
      <c r="AM394" s="320"/>
      <c r="AN394" s="320"/>
      <c r="AO394" s="320"/>
      <c r="AP394" s="320"/>
      <c r="AQ394" s="320"/>
      <c r="AR394" s="320"/>
      <c r="AS394" s="320"/>
      <c r="AT394" s="320"/>
      <c r="AU394" s="321"/>
    </row>
    <row r="395">
      <c r="A395" s="319"/>
      <c r="B395" s="320"/>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c r="AA395" s="320"/>
      <c r="AB395" s="320"/>
      <c r="AC395" s="320"/>
      <c r="AD395" s="320"/>
      <c r="AE395" s="320"/>
      <c r="AF395" s="320"/>
      <c r="AG395" s="320"/>
      <c r="AH395" s="320"/>
      <c r="AI395" s="320"/>
      <c r="AJ395" s="320"/>
      <c r="AK395" s="320"/>
      <c r="AL395" s="320"/>
      <c r="AM395" s="320"/>
      <c r="AN395" s="320"/>
      <c r="AO395" s="320"/>
      <c r="AP395" s="320"/>
      <c r="AQ395" s="320"/>
      <c r="AR395" s="320"/>
      <c r="AS395" s="320"/>
      <c r="AT395" s="320"/>
      <c r="AU395" s="321"/>
    </row>
    <row r="396">
      <c r="A396" s="319"/>
      <c r="B396" s="320"/>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c r="AA396" s="320"/>
      <c r="AB396" s="320"/>
      <c r="AC396" s="320"/>
      <c r="AD396" s="320"/>
      <c r="AE396" s="320"/>
      <c r="AF396" s="320"/>
      <c r="AG396" s="320"/>
      <c r="AH396" s="320"/>
      <c r="AI396" s="320"/>
      <c r="AJ396" s="320"/>
      <c r="AK396" s="320"/>
      <c r="AL396" s="320"/>
      <c r="AM396" s="320"/>
      <c r="AN396" s="320"/>
      <c r="AO396" s="320"/>
      <c r="AP396" s="320"/>
      <c r="AQ396" s="320"/>
      <c r="AR396" s="320"/>
      <c r="AS396" s="320"/>
      <c r="AT396" s="320"/>
      <c r="AU396" s="321"/>
    </row>
    <row r="397">
      <c r="A397" s="319"/>
      <c r="B397" s="320"/>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c r="AA397" s="320"/>
      <c r="AB397" s="320"/>
      <c r="AC397" s="320"/>
      <c r="AD397" s="320"/>
      <c r="AE397" s="320"/>
      <c r="AF397" s="320"/>
      <c r="AG397" s="320"/>
      <c r="AH397" s="320"/>
      <c r="AI397" s="320"/>
      <c r="AJ397" s="320"/>
      <c r="AK397" s="320"/>
      <c r="AL397" s="320"/>
      <c r="AM397" s="320"/>
      <c r="AN397" s="320"/>
      <c r="AO397" s="320"/>
      <c r="AP397" s="320"/>
      <c r="AQ397" s="320"/>
      <c r="AR397" s="320"/>
      <c r="AS397" s="320"/>
      <c r="AT397" s="320"/>
      <c r="AU397" s="321"/>
    </row>
    <row r="398">
      <c r="A398" s="319"/>
      <c r="B398" s="320"/>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c r="AA398" s="320"/>
      <c r="AB398" s="320"/>
      <c r="AC398" s="320"/>
      <c r="AD398" s="320"/>
      <c r="AE398" s="320"/>
      <c r="AF398" s="320"/>
      <c r="AG398" s="320"/>
      <c r="AH398" s="320"/>
      <c r="AI398" s="320"/>
      <c r="AJ398" s="320"/>
      <c r="AK398" s="320"/>
      <c r="AL398" s="320"/>
      <c r="AM398" s="320"/>
      <c r="AN398" s="320"/>
      <c r="AO398" s="320"/>
      <c r="AP398" s="320"/>
      <c r="AQ398" s="320"/>
      <c r="AR398" s="320"/>
      <c r="AS398" s="320"/>
      <c r="AT398" s="320"/>
      <c r="AU398" s="321"/>
    </row>
    <row r="399">
      <c r="A399" s="319"/>
      <c r="B399" s="320"/>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c r="AA399" s="320"/>
      <c r="AB399" s="320"/>
      <c r="AC399" s="320"/>
      <c r="AD399" s="320"/>
      <c r="AE399" s="320"/>
      <c r="AF399" s="320"/>
      <c r="AG399" s="320"/>
      <c r="AH399" s="320"/>
      <c r="AI399" s="320"/>
      <c r="AJ399" s="320"/>
      <c r="AK399" s="320"/>
      <c r="AL399" s="320"/>
      <c r="AM399" s="320"/>
      <c r="AN399" s="320"/>
      <c r="AO399" s="320"/>
      <c r="AP399" s="320"/>
      <c r="AQ399" s="320"/>
      <c r="AR399" s="320"/>
      <c r="AS399" s="320"/>
      <c r="AT399" s="320"/>
      <c r="AU399" s="321"/>
    </row>
    <row r="400">
      <c r="A400" s="319"/>
      <c r="B400" s="320"/>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c r="AA400" s="320"/>
      <c r="AB400" s="320"/>
      <c r="AC400" s="320"/>
      <c r="AD400" s="320"/>
      <c r="AE400" s="320"/>
      <c r="AF400" s="320"/>
      <c r="AG400" s="320"/>
      <c r="AH400" s="320"/>
      <c r="AI400" s="320"/>
      <c r="AJ400" s="320"/>
      <c r="AK400" s="320"/>
      <c r="AL400" s="320"/>
      <c r="AM400" s="320"/>
      <c r="AN400" s="320"/>
      <c r="AO400" s="320"/>
      <c r="AP400" s="320"/>
      <c r="AQ400" s="320"/>
      <c r="AR400" s="320"/>
      <c r="AS400" s="320"/>
      <c r="AT400" s="320"/>
      <c r="AU400" s="321"/>
    </row>
    <row r="401">
      <c r="A401" s="319"/>
      <c r="B401" s="320"/>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c r="AA401" s="320"/>
      <c r="AB401" s="320"/>
      <c r="AC401" s="320"/>
      <c r="AD401" s="320"/>
      <c r="AE401" s="320"/>
      <c r="AF401" s="320"/>
      <c r="AG401" s="320"/>
      <c r="AH401" s="320"/>
      <c r="AI401" s="320"/>
      <c r="AJ401" s="320"/>
      <c r="AK401" s="320"/>
      <c r="AL401" s="320"/>
      <c r="AM401" s="320"/>
      <c r="AN401" s="320"/>
      <c r="AO401" s="320"/>
      <c r="AP401" s="320"/>
      <c r="AQ401" s="320"/>
      <c r="AR401" s="320"/>
      <c r="AS401" s="320"/>
      <c r="AT401" s="320"/>
      <c r="AU401" s="321"/>
    </row>
    <row r="402">
      <c r="A402" s="319"/>
      <c r="B402" s="320"/>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c r="AA402" s="320"/>
      <c r="AB402" s="320"/>
      <c r="AC402" s="320"/>
      <c r="AD402" s="320"/>
      <c r="AE402" s="320"/>
      <c r="AF402" s="320"/>
      <c r="AG402" s="320"/>
      <c r="AH402" s="320"/>
      <c r="AI402" s="320"/>
      <c r="AJ402" s="320"/>
      <c r="AK402" s="320"/>
      <c r="AL402" s="320"/>
      <c r="AM402" s="320"/>
      <c r="AN402" s="320"/>
      <c r="AO402" s="320"/>
      <c r="AP402" s="320"/>
      <c r="AQ402" s="320"/>
      <c r="AR402" s="320"/>
      <c r="AS402" s="320"/>
      <c r="AT402" s="320"/>
      <c r="AU402" s="321"/>
    </row>
    <row r="403">
      <c r="A403" s="319"/>
      <c r="B403" s="320"/>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c r="AA403" s="320"/>
      <c r="AB403" s="320"/>
      <c r="AC403" s="320"/>
      <c r="AD403" s="320"/>
      <c r="AE403" s="320"/>
      <c r="AF403" s="320"/>
      <c r="AG403" s="320"/>
      <c r="AH403" s="320"/>
      <c r="AI403" s="320"/>
      <c r="AJ403" s="320"/>
      <c r="AK403" s="320"/>
      <c r="AL403" s="320"/>
      <c r="AM403" s="320"/>
      <c r="AN403" s="320"/>
      <c r="AO403" s="320"/>
      <c r="AP403" s="320"/>
      <c r="AQ403" s="320"/>
      <c r="AR403" s="320"/>
      <c r="AS403" s="320"/>
      <c r="AT403" s="320"/>
      <c r="AU403" s="321"/>
    </row>
    <row r="404">
      <c r="A404" s="319"/>
      <c r="B404" s="320"/>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c r="AA404" s="320"/>
      <c r="AB404" s="320"/>
      <c r="AC404" s="320"/>
      <c r="AD404" s="320"/>
      <c r="AE404" s="320"/>
      <c r="AF404" s="320"/>
      <c r="AG404" s="320"/>
      <c r="AH404" s="320"/>
      <c r="AI404" s="320"/>
      <c r="AJ404" s="320"/>
      <c r="AK404" s="320"/>
      <c r="AL404" s="320"/>
      <c r="AM404" s="320"/>
      <c r="AN404" s="320"/>
      <c r="AO404" s="320"/>
      <c r="AP404" s="320"/>
      <c r="AQ404" s="320"/>
      <c r="AR404" s="320"/>
      <c r="AS404" s="320"/>
      <c r="AT404" s="320"/>
      <c r="AU404" s="321"/>
    </row>
    <row r="405">
      <c r="A405" s="319"/>
      <c r="B405" s="320"/>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c r="AA405" s="320"/>
      <c r="AB405" s="320"/>
      <c r="AC405" s="320"/>
      <c r="AD405" s="320"/>
      <c r="AE405" s="320"/>
      <c r="AF405" s="320"/>
      <c r="AG405" s="320"/>
      <c r="AH405" s="320"/>
      <c r="AI405" s="320"/>
      <c r="AJ405" s="320"/>
      <c r="AK405" s="320"/>
      <c r="AL405" s="320"/>
      <c r="AM405" s="320"/>
      <c r="AN405" s="320"/>
      <c r="AO405" s="320"/>
      <c r="AP405" s="320"/>
      <c r="AQ405" s="320"/>
      <c r="AR405" s="320"/>
      <c r="AS405" s="320"/>
      <c r="AT405" s="320"/>
      <c r="AU405" s="321"/>
    </row>
    <row r="406">
      <c r="A406" s="319"/>
      <c r="B406" s="320"/>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c r="AA406" s="320"/>
      <c r="AB406" s="320"/>
      <c r="AC406" s="320"/>
      <c r="AD406" s="320"/>
      <c r="AE406" s="320"/>
      <c r="AF406" s="320"/>
      <c r="AG406" s="320"/>
      <c r="AH406" s="320"/>
      <c r="AI406" s="320"/>
      <c r="AJ406" s="320"/>
      <c r="AK406" s="320"/>
      <c r="AL406" s="320"/>
      <c r="AM406" s="320"/>
      <c r="AN406" s="320"/>
      <c r="AO406" s="320"/>
      <c r="AP406" s="320"/>
      <c r="AQ406" s="320"/>
      <c r="AR406" s="320"/>
      <c r="AS406" s="320"/>
      <c r="AT406" s="320"/>
      <c r="AU406" s="321"/>
    </row>
    <row r="407">
      <c r="A407" s="319"/>
      <c r="B407" s="320"/>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c r="AA407" s="320"/>
      <c r="AB407" s="320"/>
      <c r="AC407" s="320"/>
      <c r="AD407" s="320"/>
      <c r="AE407" s="320"/>
      <c r="AF407" s="320"/>
      <c r="AG407" s="320"/>
      <c r="AH407" s="320"/>
      <c r="AI407" s="320"/>
      <c r="AJ407" s="320"/>
      <c r="AK407" s="320"/>
      <c r="AL407" s="320"/>
      <c r="AM407" s="320"/>
      <c r="AN407" s="320"/>
      <c r="AO407" s="320"/>
      <c r="AP407" s="320"/>
      <c r="AQ407" s="320"/>
      <c r="AR407" s="320"/>
      <c r="AS407" s="320"/>
      <c r="AT407" s="320"/>
      <c r="AU407" s="321"/>
    </row>
    <row r="408">
      <c r="A408" s="319"/>
      <c r="B408" s="320"/>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c r="AA408" s="320"/>
      <c r="AB408" s="320"/>
      <c r="AC408" s="320"/>
      <c r="AD408" s="320"/>
      <c r="AE408" s="320"/>
      <c r="AF408" s="320"/>
      <c r="AG408" s="320"/>
      <c r="AH408" s="320"/>
      <c r="AI408" s="320"/>
      <c r="AJ408" s="320"/>
      <c r="AK408" s="320"/>
      <c r="AL408" s="320"/>
      <c r="AM408" s="320"/>
      <c r="AN408" s="320"/>
      <c r="AO408" s="320"/>
      <c r="AP408" s="320"/>
      <c r="AQ408" s="320"/>
      <c r="AR408" s="320"/>
      <c r="AS408" s="320"/>
      <c r="AT408" s="320"/>
      <c r="AU408" s="321"/>
    </row>
    <row r="409">
      <c r="A409" s="319"/>
      <c r="B409" s="320"/>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c r="AA409" s="320"/>
      <c r="AB409" s="320"/>
      <c r="AC409" s="320"/>
      <c r="AD409" s="320"/>
      <c r="AE409" s="320"/>
      <c r="AF409" s="320"/>
      <c r="AG409" s="320"/>
      <c r="AH409" s="320"/>
      <c r="AI409" s="320"/>
      <c r="AJ409" s="320"/>
      <c r="AK409" s="320"/>
      <c r="AL409" s="320"/>
      <c r="AM409" s="320"/>
      <c r="AN409" s="320"/>
      <c r="AO409" s="320"/>
      <c r="AP409" s="320"/>
      <c r="AQ409" s="320"/>
      <c r="AR409" s="320"/>
      <c r="AS409" s="320"/>
      <c r="AT409" s="320"/>
      <c r="AU409" s="321"/>
    </row>
    <row r="410">
      <c r="A410" s="319"/>
      <c r="B410" s="320"/>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c r="AA410" s="320"/>
      <c r="AB410" s="320"/>
      <c r="AC410" s="320"/>
      <c r="AD410" s="320"/>
      <c r="AE410" s="320"/>
      <c r="AF410" s="320"/>
      <c r="AG410" s="320"/>
      <c r="AH410" s="320"/>
      <c r="AI410" s="320"/>
      <c r="AJ410" s="320"/>
      <c r="AK410" s="320"/>
      <c r="AL410" s="320"/>
      <c r="AM410" s="320"/>
      <c r="AN410" s="320"/>
      <c r="AO410" s="320"/>
      <c r="AP410" s="320"/>
      <c r="AQ410" s="320"/>
      <c r="AR410" s="320"/>
      <c r="AS410" s="320"/>
      <c r="AT410" s="320"/>
      <c r="AU410" s="321"/>
    </row>
    <row r="411">
      <c r="A411" s="319"/>
      <c r="B411" s="320"/>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c r="AA411" s="320"/>
      <c r="AB411" s="320"/>
      <c r="AC411" s="320"/>
      <c r="AD411" s="320"/>
      <c r="AE411" s="320"/>
      <c r="AF411" s="320"/>
      <c r="AG411" s="320"/>
      <c r="AH411" s="320"/>
      <c r="AI411" s="320"/>
      <c r="AJ411" s="320"/>
      <c r="AK411" s="320"/>
      <c r="AL411" s="320"/>
      <c r="AM411" s="320"/>
      <c r="AN411" s="320"/>
      <c r="AO411" s="320"/>
      <c r="AP411" s="320"/>
      <c r="AQ411" s="320"/>
      <c r="AR411" s="320"/>
      <c r="AS411" s="320"/>
      <c r="AT411" s="320"/>
      <c r="AU411" s="321"/>
    </row>
    <row r="412">
      <c r="A412" s="319"/>
      <c r="B412" s="320"/>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c r="AA412" s="320"/>
      <c r="AB412" s="320"/>
      <c r="AC412" s="320"/>
      <c r="AD412" s="320"/>
      <c r="AE412" s="320"/>
      <c r="AF412" s="320"/>
      <c r="AG412" s="320"/>
      <c r="AH412" s="320"/>
      <c r="AI412" s="320"/>
      <c r="AJ412" s="320"/>
      <c r="AK412" s="320"/>
      <c r="AL412" s="320"/>
      <c r="AM412" s="320"/>
      <c r="AN412" s="320"/>
      <c r="AO412" s="320"/>
      <c r="AP412" s="320"/>
      <c r="AQ412" s="320"/>
      <c r="AR412" s="320"/>
      <c r="AS412" s="320"/>
      <c r="AT412" s="320"/>
      <c r="AU412" s="321"/>
    </row>
    <row r="413">
      <c r="A413" s="319"/>
      <c r="B413" s="320"/>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c r="AA413" s="320"/>
      <c r="AB413" s="320"/>
      <c r="AC413" s="320"/>
      <c r="AD413" s="320"/>
      <c r="AE413" s="320"/>
      <c r="AF413" s="320"/>
      <c r="AG413" s="320"/>
      <c r="AH413" s="320"/>
      <c r="AI413" s="320"/>
      <c r="AJ413" s="320"/>
      <c r="AK413" s="320"/>
      <c r="AL413" s="320"/>
      <c r="AM413" s="320"/>
      <c r="AN413" s="320"/>
      <c r="AO413" s="320"/>
      <c r="AP413" s="320"/>
      <c r="AQ413" s="320"/>
      <c r="AR413" s="320"/>
      <c r="AS413" s="320"/>
      <c r="AT413" s="320"/>
      <c r="AU413" s="321"/>
    </row>
    <row r="414">
      <c r="A414" s="319"/>
      <c r="B414" s="320"/>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c r="AA414" s="320"/>
      <c r="AB414" s="320"/>
      <c r="AC414" s="320"/>
      <c r="AD414" s="320"/>
      <c r="AE414" s="320"/>
      <c r="AF414" s="320"/>
      <c r="AG414" s="320"/>
      <c r="AH414" s="320"/>
      <c r="AI414" s="320"/>
      <c r="AJ414" s="320"/>
      <c r="AK414" s="320"/>
      <c r="AL414" s="320"/>
      <c r="AM414" s="320"/>
      <c r="AN414" s="320"/>
      <c r="AO414" s="320"/>
      <c r="AP414" s="320"/>
      <c r="AQ414" s="320"/>
      <c r="AR414" s="320"/>
      <c r="AS414" s="320"/>
      <c r="AT414" s="320"/>
      <c r="AU414" s="321"/>
    </row>
    <row r="415">
      <c r="A415" s="319"/>
      <c r="B415" s="320"/>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c r="AA415" s="320"/>
      <c r="AB415" s="320"/>
      <c r="AC415" s="320"/>
      <c r="AD415" s="320"/>
      <c r="AE415" s="320"/>
      <c r="AF415" s="320"/>
      <c r="AG415" s="320"/>
      <c r="AH415" s="320"/>
      <c r="AI415" s="320"/>
      <c r="AJ415" s="320"/>
      <c r="AK415" s="320"/>
      <c r="AL415" s="320"/>
      <c r="AM415" s="320"/>
      <c r="AN415" s="320"/>
      <c r="AO415" s="320"/>
      <c r="AP415" s="320"/>
      <c r="AQ415" s="320"/>
      <c r="AR415" s="320"/>
      <c r="AS415" s="320"/>
      <c r="AT415" s="320"/>
      <c r="AU415" s="321"/>
    </row>
    <row r="416">
      <c r="A416" s="319"/>
      <c r="B416" s="320"/>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c r="AA416" s="320"/>
      <c r="AB416" s="320"/>
      <c r="AC416" s="320"/>
      <c r="AD416" s="320"/>
      <c r="AE416" s="320"/>
      <c r="AF416" s="320"/>
      <c r="AG416" s="320"/>
      <c r="AH416" s="320"/>
      <c r="AI416" s="320"/>
      <c r="AJ416" s="320"/>
      <c r="AK416" s="320"/>
      <c r="AL416" s="320"/>
      <c r="AM416" s="320"/>
      <c r="AN416" s="320"/>
      <c r="AO416" s="320"/>
      <c r="AP416" s="320"/>
      <c r="AQ416" s="320"/>
      <c r="AR416" s="320"/>
      <c r="AS416" s="320"/>
      <c r="AT416" s="320"/>
      <c r="AU416" s="321"/>
    </row>
    <row r="417">
      <c r="A417" s="319"/>
      <c r="B417" s="320"/>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c r="AA417" s="320"/>
      <c r="AB417" s="320"/>
      <c r="AC417" s="320"/>
      <c r="AD417" s="320"/>
      <c r="AE417" s="320"/>
      <c r="AF417" s="320"/>
      <c r="AG417" s="320"/>
      <c r="AH417" s="320"/>
      <c r="AI417" s="320"/>
      <c r="AJ417" s="320"/>
      <c r="AK417" s="320"/>
      <c r="AL417" s="320"/>
      <c r="AM417" s="320"/>
      <c r="AN417" s="320"/>
      <c r="AO417" s="320"/>
      <c r="AP417" s="320"/>
      <c r="AQ417" s="320"/>
      <c r="AR417" s="320"/>
      <c r="AS417" s="320"/>
      <c r="AT417" s="320"/>
      <c r="AU417" s="321"/>
    </row>
    <row r="418">
      <c r="A418" s="319"/>
      <c r="B418" s="320"/>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c r="AA418" s="320"/>
      <c r="AB418" s="320"/>
      <c r="AC418" s="320"/>
      <c r="AD418" s="320"/>
      <c r="AE418" s="320"/>
      <c r="AF418" s="320"/>
      <c r="AG418" s="320"/>
      <c r="AH418" s="320"/>
      <c r="AI418" s="320"/>
      <c r="AJ418" s="320"/>
      <c r="AK418" s="320"/>
      <c r="AL418" s="320"/>
      <c r="AM418" s="320"/>
      <c r="AN418" s="320"/>
      <c r="AO418" s="320"/>
      <c r="AP418" s="320"/>
      <c r="AQ418" s="320"/>
      <c r="AR418" s="320"/>
      <c r="AS418" s="320"/>
      <c r="AT418" s="320"/>
      <c r="AU418" s="321"/>
    </row>
    <row r="419">
      <c r="A419" s="319"/>
      <c r="B419" s="320"/>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c r="AA419" s="320"/>
      <c r="AB419" s="320"/>
      <c r="AC419" s="320"/>
      <c r="AD419" s="320"/>
      <c r="AE419" s="320"/>
      <c r="AF419" s="320"/>
      <c r="AG419" s="320"/>
      <c r="AH419" s="320"/>
      <c r="AI419" s="320"/>
      <c r="AJ419" s="320"/>
      <c r="AK419" s="320"/>
      <c r="AL419" s="320"/>
      <c r="AM419" s="320"/>
      <c r="AN419" s="320"/>
      <c r="AO419" s="320"/>
      <c r="AP419" s="320"/>
      <c r="AQ419" s="320"/>
      <c r="AR419" s="320"/>
      <c r="AS419" s="320"/>
      <c r="AT419" s="320"/>
      <c r="AU419" s="321"/>
    </row>
    <row r="420">
      <c r="A420" s="319"/>
      <c r="B420" s="320"/>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c r="AA420" s="320"/>
      <c r="AB420" s="320"/>
      <c r="AC420" s="320"/>
      <c r="AD420" s="320"/>
      <c r="AE420" s="320"/>
      <c r="AF420" s="320"/>
      <c r="AG420" s="320"/>
      <c r="AH420" s="320"/>
      <c r="AI420" s="320"/>
      <c r="AJ420" s="320"/>
      <c r="AK420" s="320"/>
      <c r="AL420" s="320"/>
      <c r="AM420" s="320"/>
      <c r="AN420" s="320"/>
      <c r="AO420" s="320"/>
      <c r="AP420" s="320"/>
      <c r="AQ420" s="320"/>
      <c r="AR420" s="320"/>
      <c r="AS420" s="320"/>
      <c r="AT420" s="320"/>
      <c r="AU420" s="321"/>
    </row>
    <row r="421">
      <c r="A421" s="319"/>
      <c r="B421" s="320"/>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c r="AA421" s="320"/>
      <c r="AB421" s="320"/>
      <c r="AC421" s="320"/>
      <c r="AD421" s="320"/>
      <c r="AE421" s="320"/>
      <c r="AF421" s="320"/>
      <c r="AG421" s="320"/>
      <c r="AH421" s="320"/>
      <c r="AI421" s="320"/>
      <c r="AJ421" s="320"/>
      <c r="AK421" s="320"/>
      <c r="AL421" s="320"/>
      <c r="AM421" s="320"/>
      <c r="AN421" s="320"/>
      <c r="AO421" s="320"/>
      <c r="AP421" s="320"/>
      <c r="AQ421" s="320"/>
      <c r="AR421" s="320"/>
      <c r="AS421" s="320"/>
      <c r="AT421" s="320"/>
      <c r="AU421" s="321"/>
    </row>
    <row r="422">
      <c r="A422" s="319"/>
      <c r="B422" s="320"/>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c r="AA422" s="320"/>
      <c r="AB422" s="320"/>
      <c r="AC422" s="320"/>
      <c r="AD422" s="320"/>
      <c r="AE422" s="320"/>
      <c r="AF422" s="320"/>
      <c r="AG422" s="320"/>
      <c r="AH422" s="320"/>
      <c r="AI422" s="320"/>
      <c r="AJ422" s="320"/>
      <c r="AK422" s="320"/>
      <c r="AL422" s="320"/>
      <c r="AM422" s="320"/>
      <c r="AN422" s="320"/>
      <c r="AO422" s="320"/>
      <c r="AP422" s="320"/>
      <c r="AQ422" s="320"/>
      <c r="AR422" s="320"/>
      <c r="AS422" s="320"/>
      <c r="AT422" s="320"/>
      <c r="AU422" s="321"/>
    </row>
    <row r="423">
      <c r="A423" s="319"/>
      <c r="B423" s="320"/>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c r="AA423" s="320"/>
      <c r="AB423" s="320"/>
      <c r="AC423" s="320"/>
      <c r="AD423" s="320"/>
      <c r="AE423" s="320"/>
      <c r="AF423" s="320"/>
      <c r="AG423" s="320"/>
      <c r="AH423" s="320"/>
      <c r="AI423" s="320"/>
      <c r="AJ423" s="320"/>
      <c r="AK423" s="320"/>
      <c r="AL423" s="320"/>
      <c r="AM423" s="320"/>
      <c r="AN423" s="320"/>
      <c r="AO423" s="320"/>
      <c r="AP423" s="320"/>
      <c r="AQ423" s="320"/>
      <c r="AR423" s="320"/>
      <c r="AS423" s="320"/>
      <c r="AT423" s="320"/>
      <c r="AU423" s="321"/>
    </row>
    <row r="424">
      <c r="A424" s="319"/>
      <c r="B424" s="320"/>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c r="AA424" s="320"/>
      <c r="AB424" s="320"/>
      <c r="AC424" s="320"/>
      <c r="AD424" s="320"/>
      <c r="AE424" s="320"/>
      <c r="AF424" s="320"/>
      <c r="AG424" s="320"/>
      <c r="AH424" s="320"/>
      <c r="AI424" s="320"/>
      <c r="AJ424" s="320"/>
      <c r="AK424" s="320"/>
      <c r="AL424" s="320"/>
      <c r="AM424" s="320"/>
      <c r="AN424" s="320"/>
      <c r="AO424" s="320"/>
      <c r="AP424" s="320"/>
      <c r="AQ424" s="320"/>
      <c r="AR424" s="320"/>
      <c r="AS424" s="320"/>
      <c r="AT424" s="320"/>
      <c r="AU424" s="321"/>
    </row>
    <row r="425">
      <c r="A425" s="319"/>
      <c r="B425" s="320"/>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c r="AA425" s="320"/>
      <c r="AB425" s="320"/>
      <c r="AC425" s="320"/>
      <c r="AD425" s="320"/>
      <c r="AE425" s="320"/>
      <c r="AF425" s="320"/>
      <c r="AG425" s="320"/>
      <c r="AH425" s="320"/>
      <c r="AI425" s="320"/>
      <c r="AJ425" s="320"/>
      <c r="AK425" s="320"/>
      <c r="AL425" s="320"/>
      <c r="AM425" s="320"/>
      <c r="AN425" s="320"/>
      <c r="AO425" s="320"/>
      <c r="AP425" s="320"/>
      <c r="AQ425" s="320"/>
      <c r="AR425" s="320"/>
      <c r="AS425" s="320"/>
      <c r="AT425" s="320"/>
      <c r="AU425" s="321"/>
    </row>
    <row r="426">
      <c r="A426" s="319"/>
      <c r="B426" s="320"/>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c r="AA426" s="320"/>
      <c r="AB426" s="320"/>
      <c r="AC426" s="320"/>
      <c r="AD426" s="320"/>
      <c r="AE426" s="320"/>
      <c r="AF426" s="320"/>
      <c r="AG426" s="320"/>
      <c r="AH426" s="320"/>
      <c r="AI426" s="320"/>
      <c r="AJ426" s="320"/>
      <c r="AK426" s="320"/>
      <c r="AL426" s="320"/>
      <c r="AM426" s="320"/>
      <c r="AN426" s="320"/>
      <c r="AO426" s="320"/>
      <c r="AP426" s="320"/>
      <c r="AQ426" s="320"/>
      <c r="AR426" s="320"/>
      <c r="AS426" s="320"/>
      <c r="AT426" s="320"/>
      <c r="AU426" s="321"/>
    </row>
    <row r="427">
      <c r="A427" s="319"/>
      <c r="B427" s="320"/>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c r="AA427" s="320"/>
      <c r="AB427" s="320"/>
      <c r="AC427" s="320"/>
      <c r="AD427" s="320"/>
      <c r="AE427" s="320"/>
      <c r="AF427" s="320"/>
      <c r="AG427" s="320"/>
      <c r="AH427" s="320"/>
      <c r="AI427" s="320"/>
      <c r="AJ427" s="320"/>
      <c r="AK427" s="320"/>
      <c r="AL427" s="320"/>
      <c r="AM427" s="320"/>
      <c r="AN427" s="320"/>
      <c r="AO427" s="320"/>
      <c r="AP427" s="320"/>
      <c r="AQ427" s="320"/>
      <c r="AR427" s="320"/>
      <c r="AS427" s="320"/>
      <c r="AT427" s="320"/>
      <c r="AU427" s="321"/>
    </row>
    <row r="428">
      <c r="A428" s="319"/>
      <c r="B428" s="320"/>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c r="AA428" s="320"/>
      <c r="AB428" s="320"/>
      <c r="AC428" s="320"/>
      <c r="AD428" s="320"/>
      <c r="AE428" s="320"/>
      <c r="AF428" s="320"/>
      <c r="AG428" s="320"/>
      <c r="AH428" s="320"/>
      <c r="AI428" s="320"/>
      <c r="AJ428" s="320"/>
      <c r="AK428" s="320"/>
      <c r="AL428" s="320"/>
      <c r="AM428" s="320"/>
      <c r="AN428" s="320"/>
      <c r="AO428" s="320"/>
      <c r="AP428" s="320"/>
      <c r="AQ428" s="320"/>
      <c r="AR428" s="320"/>
      <c r="AS428" s="320"/>
      <c r="AT428" s="320"/>
      <c r="AU428" s="321"/>
    </row>
    <row r="429">
      <c r="A429" s="319"/>
      <c r="B429" s="320"/>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c r="AA429" s="320"/>
      <c r="AB429" s="320"/>
      <c r="AC429" s="320"/>
      <c r="AD429" s="320"/>
      <c r="AE429" s="320"/>
      <c r="AF429" s="320"/>
      <c r="AG429" s="320"/>
      <c r="AH429" s="320"/>
      <c r="AI429" s="320"/>
      <c r="AJ429" s="320"/>
      <c r="AK429" s="320"/>
      <c r="AL429" s="320"/>
      <c r="AM429" s="320"/>
      <c r="AN429" s="320"/>
      <c r="AO429" s="320"/>
      <c r="AP429" s="320"/>
      <c r="AQ429" s="320"/>
      <c r="AR429" s="320"/>
      <c r="AS429" s="320"/>
      <c r="AT429" s="320"/>
      <c r="AU429" s="321"/>
    </row>
    <row r="430">
      <c r="A430" s="319"/>
      <c r="B430" s="320"/>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c r="AA430" s="320"/>
      <c r="AB430" s="320"/>
      <c r="AC430" s="320"/>
      <c r="AD430" s="320"/>
      <c r="AE430" s="320"/>
      <c r="AF430" s="320"/>
      <c r="AG430" s="320"/>
      <c r="AH430" s="320"/>
      <c r="AI430" s="320"/>
      <c r="AJ430" s="320"/>
      <c r="AK430" s="320"/>
      <c r="AL430" s="320"/>
      <c r="AM430" s="320"/>
      <c r="AN430" s="320"/>
      <c r="AO430" s="320"/>
      <c r="AP430" s="320"/>
      <c r="AQ430" s="320"/>
      <c r="AR430" s="320"/>
      <c r="AS430" s="320"/>
      <c r="AT430" s="320"/>
      <c r="AU430" s="321"/>
    </row>
    <row r="431">
      <c r="A431" s="319"/>
      <c r="B431" s="320"/>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c r="AA431" s="320"/>
      <c r="AB431" s="320"/>
      <c r="AC431" s="320"/>
      <c r="AD431" s="320"/>
      <c r="AE431" s="320"/>
      <c r="AF431" s="320"/>
      <c r="AG431" s="320"/>
      <c r="AH431" s="320"/>
      <c r="AI431" s="320"/>
      <c r="AJ431" s="320"/>
      <c r="AK431" s="320"/>
      <c r="AL431" s="320"/>
      <c r="AM431" s="320"/>
      <c r="AN431" s="320"/>
      <c r="AO431" s="320"/>
      <c r="AP431" s="320"/>
      <c r="AQ431" s="320"/>
      <c r="AR431" s="320"/>
      <c r="AS431" s="320"/>
      <c r="AT431" s="320"/>
      <c r="AU431" s="321"/>
    </row>
    <row r="432">
      <c r="A432" s="319"/>
      <c r="B432" s="320"/>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c r="AA432" s="320"/>
      <c r="AB432" s="320"/>
      <c r="AC432" s="320"/>
      <c r="AD432" s="320"/>
      <c r="AE432" s="320"/>
      <c r="AF432" s="320"/>
      <c r="AG432" s="320"/>
      <c r="AH432" s="320"/>
      <c r="AI432" s="320"/>
      <c r="AJ432" s="320"/>
      <c r="AK432" s="320"/>
      <c r="AL432" s="320"/>
      <c r="AM432" s="320"/>
      <c r="AN432" s="320"/>
      <c r="AO432" s="320"/>
      <c r="AP432" s="320"/>
      <c r="AQ432" s="320"/>
      <c r="AR432" s="320"/>
      <c r="AS432" s="320"/>
      <c r="AT432" s="320"/>
      <c r="AU432" s="321"/>
    </row>
    <row r="433">
      <c r="A433" s="319"/>
      <c r="B433" s="320"/>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c r="AA433" s="320"/>
      <c r="AB433" s="320"/>
      <c r="AC433" s="320"/>
      <c r="AD433" s="320"/>
      <c r="AE433" s="320"/>
      <c r="AF433" s="320"/>
      <c r="AG433" s="320"/>
      <c r="AH433" s="320"/>
      <c r="AI433" s="320"/>
      <c r="AJ433" s="320"/>
      <c r="AK433" s="320"/>
      <c r="AL433" s="320"/>
      <c r="AM433" s="320"/>
      <c r="AN433" s="320"/>
      <c r="AO433" s="320"/>
      <c r="AP433" s="320"/>
      <c r="AQ433" s="320"/>
      <c r="AR433" s="320"/>
      <c r="AS433" s="320"/>
      <c r="AT433" s="320"/>
      <c r="AU433" s="321"/>
    </row>
    <row r="434">
      <c r="A434" s="319"/>
      <c r="B434" s="320"/>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c r="AA434" s="320"/>
      <c r="AB434" s="320"/>
      <c r="AC434" s="320"/>
      <c r="AD434" s="320"/>
      <c r="AE434" s="320"/>
      <c r="AF434" s="320"/>
      <c r="AG434" s="320"/>
      <c r="AH434" s="320"/>
      <c r="AI434" s="320"/>
      <c r="AJ434" s="320"/>
      <c r="AK434" s="320"/>
      <c r="AL434" s="320"/>
      <c r="AM434" s="320"/>
      <c r="AN434" s="320"/>
      <c r="AO434" s="320"/>
      <c r="AP434" s="320"/>
      <c r="AQ434" s="320"/>
      <c r="AR434" s="320"/>
      <c r="AS434" s="320"/>
      <c r="AT434" s="320"/>
      <c r="AU434" s="321"/>
    </row>
    <row r="435">
      <c r="A435" s="319"/>
      <c r="B435" s="320"/>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c r="AA435" s="320"/>
      <c r="AB435" s="320"/>
      <c r="AC435" s="320"/>
      <c r="AD435" s="320"/>
      <c r="AE435" s="320"/>
      <c r="AF435" s="320"/>
      <c r="AG435" s="320"/>
      <c r="AH435" s="320"/>
      <c r="AI435" s="320"/>
      <c r="AJ435" s="320"/>
      <c r="AK435" s="320"/>
      <c r="AL435" s="320"/>
      <c r="AM435" s="320"/>
      <c r="AN435" s="320"/>
      <c r="AO435" s="320"/>
      <c r="AP435" s="320"/>
      <c r="AQ435" s="320"/>
      <c r="AR435" s="320"/>
      <c r="AS435" s="320"/>
      <c r="AT435" s="320"/>
      <c r="AU435" s="321"/>
    </row>
    <row r="436">
      <c r="A436" s="319"/>
      <c r="B436" s="320"/>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c r="AA436" s="320"/>
      <c r="AB436" s="320"/>
      <c r="AC436" s="320"/>
      <c r="AD436" s="320"/>
      <c r="AE436" s="320"/>
      <c r="AF436" s="320"/>
      <c r="AG436" s="320"/>
      <c r="AH436" s="320"/>
      <c r="AI436" s="320"/>
      <c r="AJ436" s="320"/>
      <c r="AK436" s="320"/>
      <c r="AL436" s="320"/>
      <c r="AM436" s="320"/>
      <c r="AN436" s="320"/>
      <c r="AO436" s="320"/>
      <c r="AP436" s="320"/>
      <c r="AQ436" s="320"/>
      <c r="AR436" s="320"/>
      <c r="AS436" s="320"/>
      <c r="AT436" s="320"/>
      <c r="AU436" s="321"/>
    </row>
    <row r="437">
      <c r="A437" s="319"/>
      <c r="B437" s="320"/>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c r="AA437" s="320"/>
      <c r="AB437" s="320"/>
      <c r="AC437" s="320"/>
      <c r="AD437" s="320"/>
      <c r="AE437" s="320"/>
      <c r="AF437" s="320"/>
      <c r="AG437" s="320"/>
      <c r="AH437" s="320"/>
      <c r="AI437" s="320"/>
      <c r="AJ437" s="320"/>
      <c r="AK437" s="320"/>
      <c r="AL437" s="320"/>
      <c r="AM437" s="320"/>
      <c r="AN437" s="320"/>
      <c r="AO437" s="320"/>
      <c r="AP437" s="320"/>
      <c r="AQ437" s="320"/>
      <c r="AR437" s="320"/>
      <c r="AS437" s="320"/>
      <c r="AT437" s="320"/>
      <c r="AU437" s="321"/>
    </row>
    <row r="438">
      <c r="A438" s="319"/>
      <c r="B438" s="320"/>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c r="AA438" s="320"/>
      <c r="AB438" s="320"/>
      <c r="AC438" s="320"/>
      <c r="AD438" s="320"/>
      <c r="AE438" s="320"/>
      <c r="AF438" s="320"/>
      <c r="AG438" s="320"/>
      <c r="AH438" s="320"/>
      <c r="AI438" s="320"/>
      <c r="AJ438" s="320"/>
      <c r="AK438" s="320"/>
      <c r="AL438" s="320"/>
      <c r="AM438" s="320"/>
      <c r="AN438" s="320"/>
      <c r="AO438" s="320"/>
      <c r="AP438" s="320"/>
      <c r="AQ438" s="320"/>
      <c r="AR438" s="320"/>
      <c r="AS438" s="320"/>
      <c r="AT438" s="320"/>
      <c r="AU438" s="321"/>
    </row>
    <row r="439">
      <c r="A439" s="319"/>
      <c r="B439" s="320"/>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c r="AA439" s="320"/>
      <c r="AB439" s="320"/>
      <c r="AC439" s="320"/>
      <c r="AD439" s="320"/>
      <c r="AE439" s="320"/>
      <c r="AF439" s="320"/>
      <c r="AG439" s="320"/>
      <c r="AH439" s="320"/>
      <c r="AI439" s="320"/>
      <c r="AJ439" s="320"/>
      <c r="AK439" s="320"/>
      <c r="AL439" s="320"/>
      <c r="AM439" s="320"/>
      <c r="AN439" s="320"/>
      <c r="AO439" s="320"/>
      <c r="AP439" s="320"/>
      <c r="AQ439" s="320"/>
      <c r="AR439" s="320"/>
      <c r="AS439" s="320"/>
      <c r="AT439" s="320"/>
      <c r="AU439" s="321"/>
    </row>
    <row r="440">
      <c r="A440" s="319"/>
      <c r="B440" s="320"/>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c r="AA440" s="320"/>
      <c r="AB440" s="320"/>
      <c r="AC440" s="320"/>
      <c r="AD440" s="320"/>
      <c r="AE440" s="320"/>
      <c r="AF440" s="320"/>
      <c r="AG440" s="320"/>
      <c r="AH440" s="320"/>
      <c r="AI440" s="320"/>
      <c r="AJ440" s="320"/>
      <c r="AK440" s="320"/>
      <c r="AL440" s="320"/>
      <c r="AM440" s="320"/>
      <c r="AN440" s="320"/>
      <c r="AO440" s="320"/>
      <c r="AP440" s="320"/>
      <c r="AQ440" s="320"/>
      <c r="AR440" s="320"/>
      <c r="AS440" s="320"/>
      <c r="AT440" s="320"/>
      <c r="AU440" s="321"/>
    </row>
    <row r="441">
      <c r="A441" s="319"/>
      <c r="B441" s="320"/>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c r="AA441" s="320"/>
      <c r="AB441" s="320"/>
      <c r="AC441" s="320"/>
      <c r="AD441" s="320"/>
      <c r="AE441" s="320"/>
      <c r="AF441" s="320"/>
      <c r="AG441" s="320"/>
      <c r="AH441" s="320"/>
      <c r="AI441" s="320"/>
      <c r="AJ441" s="320"/>
      <c r="AK441" s="320"/>
      <c r="AL441" s="320"/>
      <c r="AM441" s="320"/>
      <c r="AN441" s="320"/>
      <c r="AO441" s="320"/>
      <c r="AP441" s="320"/>
      <c r="AQ441" s="320"/>
      <c r="AR441" s="320"/>
      <c r="AS441" s="320"/>
      <c r="AT441" s="320"/>
      <c r="AU441" s="321"/>
    </row>
    <row r="442">
      <c r="A442" s="319"/>
      <c r="B442" s="320"/>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c r="AA442" s="320"/>
      <c r="AB442" s="320"/>
      <c r="AC442" s="320"/>
      <c r="AD442" s="320"/>
      <c r="AE442" s="320"/>
      <c r="AF442" s="320"/>
      <c r="AG442" s="320"/>
      <c r="AH442" s="320"/>
      <c r="AI442" s="320"/>
      <c r="AJ442" s="320"/>
      <c r="AK442" s="320"/>
      <c r="AL442" s="320"/>
      <c r="AM442" s="320"/>
      <c r="AN442" s="320"/>
      <c r="AO442" s="320"/>
      <c r="AP442" s="320"/>
      <c r="AQ442" s="320"/>
      <c r="AR442" s="320"/>
      <c r="AS442" s="320"/>
      <c r="AT442" s="320"/>
      <c r="AU442" s="321"/>
    </row>
    <row r="443">
      <c r="A443" s="319"/>
      <c r="B443" s="320"/>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c r="AA443" s="320"/>
      <c r="AB443" s="320"/>
      <c r="AC443" s="320"/>
      <c r="AD443" s="320"/>
      <c r="AE443" s="320"/>
      <c r="AF443" s="320"/>
      <c r="AG443" s="320"/>
      <c r="AH443" s="320"/>
      <c r="AI443" s="320"/>
      <c r="AJ443" s="320"/>
      <c r="AK443" s="320"/>
      <c r="AL443" s="320"/>
      <c r="AM443" s="320"/>
      <c r="AN443" s="320"/>
      <c r="AO443" s="320"/>
      <c r="AP443" s="320"/>
      <c r="AQ443" s="320"/>
      <c r="AR443" s="320"/>
      <c r="AS443" s="320"/>
      <c r="AT443" s="320"/>
      <c r="AU443" s="321"/>
    </row>
    <row r="444">
      <c r="A444" s="319"/>
      <c r="B444" s="320"/>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c r="AA444" s="320"/>
      <c r="AB444" s="320"/>
      <c r="AC444" s="320"/>
      <c r="AD444" s="320"/>
      <c r="AE444" s="320"/>
      <c r="AF444" s="320"/>
      <c r="AG444" s="320"/>
      <c r="AH444" s="320"/>
      <c r="AI444" s="320"/>
      <c r="AJ444" s="320"/>
      <c r="AK444" s="320"/>
      <c r="AL444" s="320"/>
      <c r="AM444" s="320"/>
      <c r="AN444" s="320"/>
      <c r="AO444" s="320"/>
      <c r="AP444" s="320"/>
      <c r="AQ444" s="320"/>
      <c r="AR444" s="320"/>
      <c r="AS444" s="320"/>
      <c r="AT444" s="320"/>
      <c r="AU444" s="321"/>
    </row>
    <row r="445">
      <c r="A445" s="319"/>
      <c r="B445" s="320"/>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c r="AA445" s="320"/>
      <c r="AB445" s="320"/>
      <c r="AC445" s="320"/>
      <c r="AD445" s="320"/>
      <c r="AE445" s="320"/>
      <c r="AF445" s="320"/>
      <c r="AG445" s="320"/>
      <c r="AH445" s="320"/>
      <c r="AI445" s="320"/>
      <c r="AJ445" s="320"/>
      <c r="AK445" s="320"/>
      <c r="AL445" s="320"/>
      <c r="AM445" s="320"/>
      <c r="AN445" s="320"/>
      <c r="AO445" s="320"/>
      <c r="AP445" s="320"/>
      <c r="AQ445" s="320"/>
      <c r="AR445" s="320"/>
      <c r="AS445" s="320"/>
      <c r="AT445" s="320"/>
      <c r="AU445" s="321"/>
    </row>
    <row r="446">
      <c r="A446" s="319"/>
      <c r="B446" s="320"/>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c r="AA446" s="320"/>
      <c r="AB446" s="320"/>
      <c r="AC446" s="320"/>
      <c r="AD446" s="320"/>
      <c r="AE446" s="320"/>
      <c r="AF446" s="320"/>
      <c r="AG446" s="320"/>
      <c r="AH446" s="320"/>
      <c r="AI446" s="320"/>
      <c r="AJ446" s="320"/>
      <c r="AK446" s="320"/>
      <c r="AL446" s="320"/>
      <c r="AM446" s="320"/>
      <c r="AN446" s="320"/>
      <c r="AO446" s="320"/>
      <c r="AP446" s="320"/>
      <c r="AQ446" s="320"/>
      <c r="AR446" s="320"/>
      <c r="AS446" s="320"/>
      <c r="AT446" s="320"/>
      <c r="AU446" s="321"/>
    </row>
    <row r="447">
      <c r="A447" s="319"/>
      <c r="B447" s="320"/>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c r="AA447" s="320"/>
      <c r="AB447" s="320"/>
      <c r="AC447" s="320"/>
      <c r="AD447" s="320"/>
      <c r="AE447" s="320"/>
      <c r="AF447" s="320"/>
      <c r="AG447" s="320"/>
      <c r="AH447" s="320"/>
      <c r="AI447" s="320"/>
      <c r="AJ447" s="320"/>
      <c r="AK447" s="320"/>
      <c r="AL447" s="320"/>
      <c r="AM447" s="320"/>
      <c r="AN447" s="320"/>
      <c r="AO447" s="320"/>
      <c r="AP447" s="320"/>
      <c r="AQ447" s="320"/>
      <c r="AR447" s="320"/>
      <c r="AS447" s="320"/>
      <c r="AT447" s="320"/>
      <c r="AU447" s="321"/>
    </row>
    <row r="448">
      <c r="A448" s="319"/>
      <c r="B448" s="320"/>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c r="AA448" s="320"/>
      <c r="AB448" s="320"/>
      <c r="AC448" s="320"/>
      <c r="AD448" s="320"/>
      <c r="AE448" s="320"/>
      <c r="AF448" s="320"/>
      <c r="AG448" s="320"/>
      <c r="AH448" s="320"/>
      <c r="AI448" s="320"/>
      <c r="AJ448" s="320"/>
      <c r="AK448" s="320"/>
      <c r="AL448" s="320"/>
      <c r="AM448" s="320"/>
      <c r="AN448" s="320"/>
      <c r="AO448" s="320"/>
      <c r="AP448" s="320"/>
      <c r="AQ448" s="320"/>
      <c r="AR448" s="320"/>
      <c r="AS448" s="320"/>
      <c r="AT448" s="320"/>
      <c r="AU448" s="321"/>
    </row>
    <row r="449">
      <c r="A449" s="319"/>
      <c r="B449" s="320"/>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c r="AA449" s="320"/>
      <c r="AB449" s="320"/>
      <c r="AC449" s="320"/>
      <c r="AD449" s="320"/>
      <c r="AE449" s="320"/>
      <c r="AF449" s="320"/>
      <c r="AG449" s="320"/>
      <c r="AH449" s="320"/>
      <c r="AI449" s="320"/>
      <c r="AJ449" s="320"/>
      <c r="AK449" s="320"/>
      <c r="AL449" s="320"/>
      <c r="AM449" s="320"/>
      <c r="AN449" s="320"/>
      <c r="AO449" s="320"/>
      <c r="AP449" s="320"/>
      <c r="AQ449" s="320"/>
      <c r="AR449" s="320"/>
      <c r="AS449" s="320"/>
      <c r="AT449" s="320"/>
      <c r="AU449" s="321"/>
    </row>
    <row r="450">
      <c r="A450" s="319"/>
      <c r="B450" s="320"/>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c r="AA450" s="320"/>
      <c r="AB450" s="320"/>
      <c r="AC450" s="320"/>
      <c r="AD450" s="320"/>
      <c r="AE450" s="320"/>
      <c r="AF450" s="320"/>
      <c r="AG450" s="320"/>
      <c r="AH450" s="320"/>
      <c r="AI450" s="320"/>
      <c r="AJ450" s="320"/>
      <c r="AK450" s="320"/>
      <c r="AL450" s="320"/>
      <c r="AM450" s="320"/>
      <c r="AN450" s="320"/>
      <c r="AO450" s="320"/>
      <c r="AP450" s="320"/>
      <c r="AQ450" s="320"/>
      <c r="AR450" s="320"/>
      <c r="AS450" s="320"/>
      <c r="AT450" s="320"/>
      <c r="AU450" s="321"/>
    </row>
    <row r="451">
      <c r="A451" s="319"/>
      <c r="B451" s="320"/>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c r="AA451" s="320"/>
      <c r="AB451" s="320"/>
      <c r="AC451" s="320"/>
      <c r="AD451" s="320"/>
      <c r="AE451" s="320"/>
      <c r="AF451" s="320"/>
      <c r="AG451" s="320"/>
      <c r="AH451" s="320"/>
      <c r="AI451" s="320"/>
      <c r="AJ451" s="320"/>
      <c r="AK451" s="320"/>
      <c r="AL451" s="320"/>
      <c r="AM451" s="320"/>
      <c r="AN451" s="320"/>
      <c r="AO451" s="320"/>
      <c r="AP451" s="320"/>
      <c r="AQ451" s="320"/>
      <c r="AR451" s="320"/>
      <c r="AS451" s="320"/>
      <c r="AT451" s="320"/>
      <c r="AU451" s="321"/>
    </row>
    <row r="452">
      <c r="A452" s="319"/>
      <c r="B452" s="320"/>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c r="AA452" s="320"/>
      <c r="AB452" s="320"/>
      <c r="AC452" s="320"/>
      <c r="AD452" s="320"/>
      <c r="AE452" s="320"/>
      <c r="AF452" s="320"/>
      <c r="AG452" s="320"/>
      <c r="AH452" s="320"/>
      <c r="AI452" s="320"/>
      <c r="AJ452" s="320"/>
      <c r="AK452" s="320"/>
      <c r="AL452" s="320"/>
      <c r="AM452" s="320"/>
      <c r="AN452" s="320"/>
      <c r="AO452" s="320"/>
      <c r="AP452" s="320"/>
      <c r="AQ452" s="320"/>
      <c r="AR452" s="320"/>
      <c r="AS452" s="320"/>
      <c r="AT452" s="320"/>
      <c r="AU452" s="321"/>
    </row>
    <row r="453">
      <c r="A453" s="319"/>
      <c r="B453" s="320"/>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c r="AA453" s="320"/>
      <c r="AB453" s="320"/>
      <c r="AC453" s="320"/>
      <c r="AD453" s="320"/>
      <c r="AE453" s="320"/>
      <c r="AF453" s="320"/>
      <c r="AG453" s="320"/>
      <c r="AH453" s="320"/>
      <c r="AI453" s="320"/>
      <c r="AJ453" s="320"/>
      <c r="AK453" s="320"/>
      <c r="AL453" s="320"/>
      <c r="AM453" s="320"/>
      <c r="AN453" s="320"/>
      <c r="AO453" s="320"/>
      <c r="AP453" s="320"/>
      <c r="AQ453" s="320"/>
      <c r="AR453" s="320"/>
      <c r="AS453" s="320"/>
      <c r="AT453" s="320"/>
      <c r="AU453" s="321"/>
    </row>
    <row r="454">
      <c r="A454" s="319"/>
      <c r="B454" s="320"/>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c r="AA454" s="320"/>
      <c r="AB454" s="320"/>
      <c r="AC454" s="320"/>
      <c r="AD454" s="320"/>
      <c r="AE454" s="320"/>
      <c r="AF454" s="320"/>
      <c r="AG454" s="320"/>
      <c r="AH454" s="320"/>
      <c r="AI454" s="320"/>
      <c r="AJ454" s="320"/>
      <c r="AK454" s="320"/>
      <c r="AL454" s="320"/>
      <c r="AM454" s="320"/>
      <c r="AN454" s="320"/>
      <c r="AO454" s="320"/>
      <c r="AP454" s="320"/>
      <c r="AQ454" s="320"/>
      <c r="AR454" s="320"/>
      <c r="AS454" s="320"/>
      <c r="AT454" s="320"/>
      <c r="AU454" s="321"/>
    </row>
    <row r="455">
      <c r="A455" s="319"/>
      <c r="B455" s="320"/>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c r="AA455" s="320"/>
      <c r="AB455" s="320"/>
      <c r="AC455" s="320"/>
      <c r="AD455" s="320"/>
      <c r="AE455" s="320"/>
      <c r="AF455" s="320"/>
      <c r="AG455" s="320"/>
      <c r="AH455" s="320"/>
      <c r="AI455" s="320"/>
      <c r="AJ455" s="320"/>
      <c r="AK455" s="320"/>
      <c r="AL455" s="320"/>
      <c r="AM455" s="320"/>
      <c r="AN455" s="320"/>
      <c r="AO455" s="320"/>
      <c r="AP455" s="320"/>
      <c r="AQ455" s="320"/>
      <c r="AR455" s="320"/>
      <c r="AS455" s="320"/>
      <c r="AT455" s="320"/>
      <c r="AU455" s="321"/>
    </row>
    <row r="456">
      <c r="A456" s="319"/>
      <c r="B456" s="320"/>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c r="AA456" s="320"/>
      <c r="AB456" s="320"/>
      <c r="AC456" s="320"/>
      <c r="AD456" s="320"/>
      <c r="AE456" s="320"/>
      <c r="AF456" s="320"/>
      <c r="AG456" s="320"/>
      <c r="AH456" s="320"/>
      <c r="AI456" s="320"/>
      <c r="AJ456" s="320"/>
      <c r="AK456" s="320"/>
      <c r="AL456" s="320"/>
      <c r="AM456" s="320"/>
      <c r="AN456" s="320"/>
      <c r="AO456" s="320"/>
      <c r="AP456" s="320"/>
      <c r="AQ456" s="320"/>
      <c r="AR456" s="320"/>
      <c r="AS456" s="320"/>
      <c r="AT456" s="320"/>
      <c r="AU456" s="321"/>
    </row>
    <row r="457">
      <c r="A457" s="319"/>
      <c r="B457" s="320"/>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c r="AA457" s="320"/>
      <c r="AB457" s="320"/>
      <c r="AC457" s="320"/>
      <c r="AD457" s="320"/>
      <c r="AE457" s="320"/>
      <c r="AF457" s="320"/>
      <c r="AG457" s="320"/>
      <c r="AH457" s="320"/>
      <c r="AI457" s="320"/>
      <c r="AJ457" s="320"/>
      <c r="AK457" s="320"/>
      <c r="AL457" s="320"/>
      <c r="AM457" s="320"/>
      <c r="AN457" s="320"/>
      <c r="AO457" s="320"/>
      <c r="AP457" s="320"/>
      <c r="AQ457" s="320"/>
      <c r="AR457" s="320"/>
      <c r="AS457" s="320"/>
      <c r="AT457" s="320"/>
      <c r="AU457" s="321"/>
    </row>
    <row r="458">
      <c r="A458" s="319"/>
      <c r="B458" s="320"/>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c r="AA458" s="320"/>
      <c r="AB458" s="320"/>
      <c r="AC458" s="320"/>
      <c r="AD458" s="320"/>
      <c r="AE458" s="320"/>
      <c r="AF458" s="320"/>
      <c r="AG458" s="320"/>
      <c r="AH458" s="320"/>
      <c r="AI458" s="320"/>
      <c r="AJ458" s="320"/>
      <c r="AK458" s="320"/>
      <c r="AL458" s="320"/>
      <c r="AM458" s="320"/>
      <c r="AN458" s="320"/>
      <c r="AO458" s="320"/>
      <c r="AP458" s="320"/>
      <c r="AQ458" s="320"/>
      <c r="AR458" s="320"/>
      <c r="AS458" s="320"/>
      <c r="AT458" s="320"/>
      <c r="AU458" s="321"/>
    </row>
    <row r="459">
      <c r="A459" s="319"/>
      <c r="B459" s="320"/>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c r="AA459" s="320"/>
      <c r="AB459" s="320"/>
      <c r="AC459" s="320"/>
      <c r="AD459" s="320"/>
      <c r="AE459" s="320"/>
      <c r="AF459" s="320"/>
      <c r="AG459" s="320"/>
      <c r="AH459" s="320"/>
      <c r="AI459" s="320"/>
      <c r="AJ459" s="320"/>
      <c r="AK459" s="320"/>
      <c r="AL459" s="320"/>
      <c r="AM459" s="320"/>
      <c r="AN459" s="320"/>
      <c r="AO459" s="320"/>
      <c r="AP459" s="320"/>
      <c r="AQ459" s="320"/>
      <c r="AR459" s="320"/>
      <c r="AS459" s="320"/>
      <c r="AT459" s="320"/>
      <c r="AU459" s="321"/>
    </row>
    <row r="460">
      <c r="A460" s="319"/>
      <c r="B460" s="320"/>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c r="AA460" s="320"/>
      <c r="AB460" s="320"/>
      <c r="AC460" s="320"/>
      <c r="AD460" s="320"/>
      <c r="AE460" s="320"/>
      <c r="AF460" s="320"/>
      <c r="AG460" s="320"/>
      <c r="AH460" s="320"/>
      <c r="AI460" s="320"/>
      <c r="AJ460" s="320"/>
      <c r="AK460" s="320"/>
      <c r="AL460" s="320"/>
      <c r="AM460" s="320"/>
      <c r="AN460" s="320"/>
      <c r="AO460" s="320"/>
      <c r="AP460" s="320"/>
      <c r="AQ460" s="320"/>
      <c r="AR460" s="320"/>
      <c r="AS460" s="320"/>
      <c r="AT460" s="320"/>
      <c r="AU460" s="321"/>
    </row>
    <row r="461">
      <c r="A461" s="319"/>
      <c r="B461" s="320"/>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c r="AA461" s="320"/>
      <c r="AB461" s="320"/>
      <c r="AC461" s="320"/>
      <c r="AD461" s="320"/>
      <c r="AE461" s="320"/>
      <c r="AF461" s="320"/>
      <c r="AG461" s="320"/>
      <c r="AH461" s="320"/>
      <c r="AI461" s="320"/>
      <c r="AJ461" s="320"/>
      <c r="AK461" s="320"/>
      <c r="AL461" s="320"/>
      <c r="AM461" s="320"/>
      <c r="AN461" s="320"/>
      <c r="AO461" s="320"/>
      <c r="AP461" s="320"/>
      <c r="AQ461" s="320"/>
      <c r="AR461" s="320"/>
      <c r="AS461" s="320"/>
      <c r="AT461" s="320"/>
      <c r="AU461" s="321"/>
    </row>
    <row r="462">
      <c r="A462" s="319"/>
      <c r="B462" s="320"/>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c r="AA462" s="320"/>
      <c r="AB462" s="320"/>
      <c r="AC462" s="320"/>
      <c r="AD462" s="320"/>
      <c r="AE462" s="320"/>
      <c r="AF462" s="320"/>
      <c r="AG462" s="320"/>
      <c r="AH462" s="320"/>
      <c r="AI462" s="320"/>
      <c r="AJ462" s="320"/>
      <c r="AK462" s="320"/>
      <c r="AL462" s="320"/>
      <c r="AM462" s="320"/>
      <c r="AN462" s="320"/>
      <c r="AO462" s="320"/>
      <c r="AP462" s="320"/>
      <c r="AQ462" s="320"/>
      <c r="AR462" s="320"/>
      <c r="AS462" s="320"/>
      <c r="AT462" s="320"/>
      <c r="AU462" s="321"/>
    </row>
    <row r="463">
      <c r="A463" s="319"/>
      <c r="B463" s="320"/>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c r="AA463" s="320"/>
      <c r="AB463" s="320"/>
      <c r="AC463" s="320"/>
      <c r="AD463" s="320"/>
      <c r="AE463" s="320"/>
      <c r="AF463" s="320"/>
      <c r="AG463" s="320"/>
      <c r="AH463" s="320"/>
      <c r="AI463" s="320"/>
      <c r="AJ463" s="320"/>
      <c r="AK463" s="320"/>
      <c r="AL463" s="320"/>
      <c r="AM463" s="320"/>
      <c r="AN463" s="320"/>
      <c r="AO463" s="320"/>
      <c r="AP463" s="320"/>
      <c r="AQ463" s="320"/>
      <c r="AR463" s="320"/>
      <c r="AS463" s="320"/>
      <c r="AT463" s="320"/>
      <c r="AU463" s="321"/>
    </row>
    <row r="464">
      <c r="A464" s="319"/>
      <c r="B464" s="320"/>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c r="AA464" s="320"/>
      <c r="AB464" s="320"/>
      <c r="AC464" s="320"/>
      <c r="AD464" s="320"/>
      <c r="AE464" s="320"/>
      <c r="AF464" s="320"/>
      <c r="AG464" s="320"/>
      <c r="AH464" s="320"/>
      <c r="AI464" s="320"/>
      <c r="AJ464" s="320"/>
      <c r="AK464" s="320"/>
      <c r="AL464" s="320"/>
      <c r="AM464" s="320"/>
      <c r="AN464" s="320"/>
      <c r="AO464" s="320"/>
      <c r="AP464" s="320"/>
      <c r="AQ464" s="320"/>
      <c r="AR464" s="320"/>
      <c r="AS464" s="320"/>
      <c r="AT464" s="320"/>
      <c r="AU464" s="321"/>
    </row>
    <row r="465">
      <c r="A465" s="319"/>
      <c r="B465" s="320"/>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c r="AA465" s="320"/>
      <c r="AB465" s="320"/>
      <c r="AC465" s="320"/>
      <c r="AD465" s="320"/>
      <c r="AE465" s="320"/>
      <c r="AF465" s="320"/>
      <c r="AG465" s="320"/>
      <c r="AH465" s="320"/>
      <c r="AI465" s="320"/>
      <c r="AJ465" s="320"/>
      <c r="AK465" s="320"/>
      <c r="AL465" s="320"/>
      <c r="AM465" s="320"/>
      <c r="AN465" s="320"/>
      <c r="AO465" s="320"/>
      <c r="AP465" s="320"/>
      <c r="AQ465" s="320"/>
      <c r="AR465" s="320"/>
      <c r="AS465" s="320"/>
      <c r="AT465" s="320"/>
      <c r="AU465" s="321"/>
    </row>
    <row r="466">
      <c r="A466" s="319"/>
      <c r="B466" s="320"/>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c r="AA466" s="320"/>
      <c r="AB466" s="320"/>
      <c r="AC466" s="320"/>
      <c r="AD466" s="320"/>
      <c r="AE466" s="320"/>
      <c r="AF466" s="320"/>
      <c r="AG466" s="320"/>
      <c r="AH466" s="320"/>
      <c r="AI466" s="320"/>
      <c r="AJ466" s="320"/>
      <c r="AK466" s="320"/>
      <c r="AL466" s="320"/>
      <c r="AM466" s="320"/>
      <c r="AN466" s="320"/>
      <c r="AO466" s="320"/>
      <c r="AP466" s="320"/>
      <c r="AQ466" s="320"/>
      <c r="AR466" s="320"/>
      <c r="AS466" s="320"/>
      <c r="AT466" s="320"/>
      <c r="AU466" s="321"/>
    </row>
    <row r="467">
      <c r="A467" s="319"/>
      <c r="B467" s="320"/>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c r="AA467" s="320"/>
      <c r="AB467" s="320"/>
      <c r="AC467" s="320"/>
      <c r="AD467" s="320"/>
      <c r="AE467" s="320"/>
      <c r="AF467" s="320"/>
      <c r="AG467" s="320"/>
      <c r="AH467" s="320"/>
      <c r="AI467" s="320"/>
      <c r="AJ467" s="320"/>
      <c r="AK467" s="320"/>
      <c r="AL467" s="320"/>
      <c r="AM467" s="320"/>
      <c r="AN467" s="320"/>
      <c r="AO467" s="320"/>
      <c r="AP467" s="320"/>
      <c r="AQ467" s="320"/>
      <c r="AR467" s="320"/>
      <c r="AS467" s="320"/>
      <c r="AT467" s="320"/>
      <c r="AU467" s="321"/>
    </row>
    <row r="468">
      <c r="A468" s="319"/>
      <c r="B468" s="320"/>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c r="AA468" s="320"/>
      <c r="AB468" s="320"/>
      <c r="AC468" s="320"/>
      <c r="AD468" s="320"/>
      <c r="AE468" s="320"/>
      <c r="AF468" s="320"/>
      <c r="AG468" s="320"/>
      <c r="AH468" s="320"/>
      <c r="AI468" s="320"/>
      <c r="AJ468" s="320"/>
      <c r="AK468" s="320"/>
      <c r="AL468" s="320"/>
      <c r="AM468" s="320"/>
      <c r="AN468" s="320"/>
      <c r="AO468" s="320"/>
      <c r="AP468" s="320"/>
      <c r="AQ468" s="320"/>
      <c r="AR468" s="320"/>
      <c r="AS468" s="320"/>
      <c r="AT468" s="320"/>
      <c r="AU468" s="321"/>
    </row>
    <row r="469">
      <c r="A469" s="319"/>
      <c r="B469" s="320"/>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c r="AA469" s="320"/>
      <c r="AB469" s="320"/>
      <c r="AC469" s="320"/>
      <c r="AD469" s="320"/>
      <c r="AE469" s="320"/>
      <c r="AF469" s="320"/>
      <c r="AG469" s="320"/>
      <c r="AH469" s="320"/>
      <c r="AI469" s="320"/>
      <c r="AJ469" s="320"/>
      <c r="AK469" s="320"/>
      <c r="AL469" s="320"/>
      <c r="AM469" s="320"/>
      <c r="AN469" s="320"/>
      <c r="AO469" s="320"/>
      <c r="AP469" s="320"/>
      <c r="AQ469" s="320"/>
      <c r="AR469" s="320"/>
      <c r="AS469" s="320"/>
      <c r="AT469" s="320"/>
      <c r="AU469" s="321"/>
    </row>
    <row r="470">
      <c r="A470" s="319"/>
      <c r="B470" s="320"/>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c r="AA470" s="320"/>
      <c r="AB470" s="320"/>
      <c r="AC470" s="320"/>
      <c r="AD470" s="320"/>
      <c r="AE470" s="320"/>
      <c r="AF470" s="320"/>
      <c r="AG470" s="320"/>
      <c r="AH470" s="320"/>
      <c r="AI470" s="320"/>
      <c r="AJ470" s="320"/>
      <c r="AK470" s="320"/>
      <c r="AL470" s="320"/>
      <c r="AM470" s="320"/>
      <c r="AN470" s="320"/>
      <c r="AO470" s="320"/>
      <c r="AP470" s="320"/>
      <c r="AQ470" s="320"/>
      <c r="AR470" s="320"/>
      <c r="AS470" s="320"/>
      <c r="AT470" s="320"/>
      <c r="AU470" s="321"/>
    </row>
    <row r="471">
      <c r="A471" s="319"/>
      <c r="B471" s="320"/>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c r="AA471" s="320"/>
      <c r="AB471" s="320"/>
      <c r="AC471" s="320"/>
      <c r="AD471" s="320"/>
      <c r="AE471" s="320"/>
      <c r="AF471" s="320"/>
      <c r="AG471" s="320"/>
      <c r="AH471" s="320"/>
      <c r="AI471" s="320"/>
      <c r="AJ471" s="320"/>
      <c r="AK471" s="320"/>
      <c r="AL471" s="320"/>
      <c r="AM471" s="320"/>
      <c r="AN471" s="320"/>
      <c r="AO471" s="320"/>
      <c r="AP471" s="320"/>
      <c r="AQ471" s="320"/>
      <c r="AR471" s="320"/>
      <c r="AS471" s="320"/>
      <c r="AT471" s="320"/>
      <c r="AU471" s="321"/>
    </row>
    <row r="472">
      <c r="A472" s="319"/>
      <c r="B472" s="320"/>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c r="AA472" s="320"/>
      <c r="AB472" s="320"/>
      <c r="AC472" s="320"/>
      <c r="AD472" s="320"/>
      <c r="AE472" s="320"/>
      <c r="AF472" s="320"/>
      <c r="AG472" s="320"/>
      <c r="AH472" s="320"/>
      <c r="AI472" s="320"/>
      <c r="AJ472" s="320"/>
      <c r="AK472" s="320"/>
      <c r="AL472" s="320"/>
      <c r="AM472" s="320"/>
      <c r="AN472" s="320"/>
      <c r="AO472" s="320"/>
      <c r="AP472" s="320"/>
      <c r="AQ472" s="320"/>
      <c r="AR472" s="320"/>
      <c r="AS472" s="320"/>
      <c r="AT472" s="320"/>
      <c r="AU472" s="321"/>
    </row>
    <row r="473">
      <c r="A473" s="319"/>
      <c r="B473" s="320"/>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c r="AA473" s="320"/>
      <c r="AB473" s="320"/>
      <c r="AC473" s="320"/>
      <c r="AD473" s="320"/>
      <c r="AE473" s="320"/>
      <c r="AF473" s="320"/>
      <c r="AG473" s="320"/>
      <c r="AH473" s="320"/>
      <c r="AI473" s="320"/>
      <c r="AJ473" s="320"/>
      <c r="AK473" s="320"/>
      <c r="AL473" s="320"/>
      <c r="AM473" s="320"/>
      <c r="AN473" s="320"/>
      <c r="AO473" s="320"/>
      <c r="AP473" s="320"/>
      <c r="AQ473" s="320"/>
      <c r="AR473" s="320"/>
      <c r="AS473" s="320"/>
      <c r="AT473" s="320"/>
      <c r="AU473" s="321"/>
    </row>
    <row r="474">
      <c r="A474" s="319"/>
      <c r="B474" s="320"/>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c r="AA474" s="320"/>
      <c r="AB474" s="320"/>
      <c r="AC474" s="320"/>
      <c r="AD474" s="320"/>
      <c r="AE474" s="320"/>
      <c r="AF474" s="320"/>
      <c r="AG474" s="320"/>
      <c r="AH474" s="320"/>
      <c r="AI474" s="320"/>
      <c r="AJ474" s="320"/>
      <c r="AK474" s="320"/>
      <c r="AL474" s="320"/>
      <c r="AM474" s="320"/>
      <c r="AN474" s="320"/>
      <c r="AO474" s="320"/>
      <c r="AP474" s="320"/>
      <c r="AQ474" s="320"/>
      <c r="AR474" s="320"/>
      <c r="AS474" s="320"/>
      <c r="AT474" s="320"/>
      <c r="AU474" s="321"/>
    </row>
    <row r="475">
      <c r="A475" s="319"/>
      <c r="B475" s="320"/>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c r="AA475" s="320"/>
      <c r="AB475" s="320"/>
      <c r="AC475" s="320"/>
      <c r="AD475" s="320"/>
      <c r="AE475" s="320"/>
      <c r="AF475" s="320"/>
      <c r="AG475" s="320"/>
      <c r="AH475" s="320"/>
      <c r="AI475" s="320"/>
      <c r="AJ475" s="320"/>
      <c r="AK475" s="320"/>
      <c r="AL475" s="320"/>
      <c r="AM475" s="320"/>
      <c r="AN475" s="320"/>
      <c r="AO475" s="320"/>
      <c r="AP475" s="320"/>
      <c r="AQ475" s="320"/>
      <c r="AR475" s="320"/>
      <c r="AS475" s="320"/>
      <c r="AT475" s="320"/>
      <c r="AU475" s="321"/>
    </row>
    <row r="476">
      <c r="A476" s="319"/>
      <c r="B476" s="320"/>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c r="AA476" s="320"/>
      <c r="AB476" s="320"/>
      <c r="AC476" s="320"/>
      <c r="AD476" s="320"/>
      <c r="AE476" s="320"/>
      <c r="AF476" s="320"/>
      <c r="AG476" s="320"/>
      <c r="AH476" s="320"/>
      <c r="AI476" s="320"/>
      <c r="AJ476" s="320"/>
      <c r="AK476" s="320"/>
      <c r="AL476" s="320"/>
      <c r="AM476" s="320"/>
      <c r="AN476" s="320"/>
      <c r="AO476" s="320"/>
      <c r="AP476" s="320"/>
      <c r="AQ476" s="320"/>
      <c r="AR476" s="320"/>
      <c r="AS476" s="320"/>
      <c r="AT476" s="320"/>
      <c r="AU476" s="321"/>
    </row>
    <row r="477">
      <c r="A477" s="319"/>
      <c r="B477" s="320"/>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c r="AA477" s="320"/>
      <c r="AB477" s="320"/>
      <c r="AC477" s="320"/>
      <c r="AD477" s="320"/>
      <c r="AE477" s="320"/>
      <c r="AF477" s="320"/>
      <c r="AG477" s="320"/>
      <c r="AH477" s="320"/>
      <c r="AI477" s="320"/>
      <c r="AJ477" s="320"/>
      <c r="AK477" s="320"/>
      <c r="AL477" s="320"/>
      <c r="AM477" s="320"/>
      <c r="AN477" s="320"/>
      <c r="AO477" s="320"/>
      <c r="AP477" s="320"/>
      <c r="AQ477" s="320"/>
      <c r="AR477" s="320"/>
      <c r="AS477" s="320"/>
      <c r="AT477" s="320"/>
      <c r="AU477" s="321"/>
    </row>
    <row r="478">
      <c r="A478" s="319"/>
      <c r="B478" s="320"/>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c r="AA478" s="320"/>
      <c r="AB478" s="320"/>
      <c r="AC478" s="320"/>
      <c r="AD478" s="320"/>
      <c r="AE478" s="320"/>
      <c r="AF478" s="320"/>
      <c r="AG478" s="320"/>
      <c r="AH478" s="320"/>
      <c r="AI478" s="320"/>
      <c r="AJ478" s="320"/>
      <c r="AK478" s="320"/>
      <c r="AL478" s="320"/>
      <c r="AM478" s="320"/>
      <c r="AN478" s="320"/>
      <c r="AO478" s="320"/>
      <c r="AP478" s="320"/>
      <c r="AQ478" s="320"/>
      <c r="AR478" s="320"/>
      <c r="AS478" s="320"/>
      <c r="AT478" s="320"/>
      <c r="AU478" s="321"/>
    </row>
    <row r="479">
      <c r="A479" s="319"/>
      <c r="B479" s="320"/>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c r="AA479" s="320"/>
      <c r="AB479" s="320"/>
      <c r="AC479" s="320"/>
      <c r="AD479" s="320"/>
      <c r="AE479" s="320"/>
      <c r="AF479" s="320"/>
      <c r="AG479" s="320"/>
      <c r="AH479" s="320"/>
      <c r="AI479" s="320"/>
      <c r="AJ479" s="320"/>
      <c r="AK479" s="320"/>
      <c r="AL479" s="320"/>
      <c r="AM479" s="320"/>
      <c r="AN479" s="320"/>
      <c r="AO479" s="320"/>
      <c r="AP479" s="320"/>
      <c r="AQ479" s="320"/>
      <c r="AR479" s="320"/>
      <c r="AS479" s="320"/>
      <c r="AT479" s="320"/>
      <c r="AU479" s="321"/>
    </row>
    <row r="480">
      <c r="A480" s="319"/>
      <c r="B480" s="320"/>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c r="AA480" s="320"/>
      <c r="AB480" s="320"/>
      <c r="AC480" s="320"/>
      <c r="AD480" s="320"/>
      <c r="AE480" s="320"/>
      <c r="AF480" s="320"/>
      <c r="AG480" s="320"/>
      <c r="AH480" s="320"/>
      <c r="AI480" s="320"/>
      <c r="AJ480" s="320"/>
      <c r="AK480" s="320"/>
      <c r="AL480" s="320"/>
      <c r="AM480" s="320"/>
      <c r="AN480" s="320"/>
      <c r="AO480" s="320"/>
      <c r="AP480" s="320"/>
      <c r="AQ480" s="320"/>
      <c r="AR480" s="320"/>
      <c r="AS480" s="320"/>
      <c r="AT480" s="320"/>
      <c r="AU480" s="321"/>
    </row>
    <row r="481">
      <c r="A481" s="319"/>
      <c r="B481" s="320"/>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c r="AA481" s="320"/>
      <c r="AB481" s="320"/>
      <c r="AC481" s="320"/>
      <c r="AD481" s="320"/>
      <c r="AE481" s="320"/>
      <c r="AF481" s="320"/>
      <c r="AG481" s="320"/>
      <c r="AH481" s="320"/>
      <c r="AI481" s="320"/>
      <c r="AJ481" s="320"/>
      <c r="AK481" s="320"/>
      <c r="AL481" s="320"/>
      <c r="AM481" s="320"/>
      <c r="AN481" s="320"/>
      <c r="AO481" s="320"/>
      <c r="AP481" s="320"/>
      <c r="AQ481" s="320"/>
      <c r="AR481" s="320"/>
      <c r="AS481" s="320"/>
      <c r="AT481" s="320"/>
      <c r="AU481" s="321"/>
    </row>
    <row r="482">
      <c r="A482" s="319"/>
      <c r="B482" s="320"/>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c r="AA482" s="320"/>
      <c r="AB482" s="320"/>
      <c r="AC482" s="320"/>
      <c r="AD482" s="320"/>
      <c r="AE482" s="320"/>
      <c r="AF482" s="320"/>
      <c r="AG482" s="320"/>
      <c r="AH482" s="320"/>
      <c r="AI482" s="320"/>
      <c r="AJ482" s="320"/>
      <c r="AK482" s="320"/>
      <c r="AL482" s="320"/>
      <c r="AM482" s="320"/>
      <c r="AN482" s="320"/>
      <c r="AO482" s="320"/>
      <c r="AP482" s="320"/>
      <c r="AQ482" s="320"/>
      <c r="AR482" s="320"/>
      <c r="AS482" s="320"/>
      <c r="AT482" s="320"/>
      <c r="AU482" s="321"/>
    </row>
    <row r="483">
      <c r="A483" s="319"/>
      <c r="B483" s="320"/>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c r="AA483" s="320"/>
      <c r="AB483" s="320"/>
      <c r="AC483" s="320"/>
      <c r="AD483" s="320"/>
      <c r="AE483" s="320"/>
      <c r="AF483" s="320"/>
      <c r="AG483" s="320"/>
      <c r="AH483" s="320"/>
      <c r="AI483" s="320"/>
      <c r="AJ483" s="320"/>
      <c r="AK483" s="320"/>
      <c r="AL483" s="320"/>
      <c r="AM483" s="320"/>
      <c r="AN483" s="320"/>
      <c r="AO483" s="320"/>
      <c r="AP483" s="320"/>
      <c r="AQ483" s="320"/>
      <c r="AR483" s="320"/>
      <c r="AS483" s="320"/>
      <c r="AT483" s="320"/>
      <c r="AU483" s="321"/>
    </row>
    <row r="484">
      <c r="A484" s="319"/>
      <c r="B484" s="320"/>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c r="AA484" s="320"/>
      <c r="AB484" s="320"/>
      <c r="AC484" s="320"/>
      <c r="AD484" s="320"/>
      <c r="AE484" s="320"/>
      <c r="AF484" s="320"/>
      <c r="AG484" s="320"/>
      <c r="AH484" s="320"/>
      <c r="AI484" s="320"/>
      <c r="AJ484" s="320"/>
      <c r="AK484" s="320"/>
      <c r="AL484" s="320"/>
      <c r="AM484" s="320"/>
      <c r="AN484" s="320"/>
      <c r="AO484" s="320"/>
      <c r="AP484" s="320"/>
      <c r="AQ484" s="320"/>
      <c r="AR484" s="320"/>
      <c r="AS484" s="320"/>
      <c r="AT484" s="320"/>
      <c r="AU484" s="321"/>
    </row>
    <row r="485">
      <c r="A485" s="319"/>
      <c r="B485" s="320"/>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c r="AA485" s="320"/>
      <c r="AB485" s="320"/>
      <c r="AC485" s="320"/>
      <c r="AD485" s="320"/>
      <c r="AE485" s="320"/>
      <c r="AF485" s="320"/>
      <c r="AG485" s="320"/>
      <c r="AH485" s="320"/>
      <c r="AI485" s="320"/>
      <c r="AJ485" s="320"/>
      <c r="AK485" s="320"/>
      <c r="AL485" s="320"/>
      <c r="AM485" s="320"/>
      <c r="AN485" s="320"/>
      <c r="AO485" s="320"/>
      <c r="AP485" s="320"/>
      <c r="AQ485" s="320"/>
      <c r="AR485" s="320"/>
      <c r="AS485" s="320"/>
      <c r="AT485" s="320"/>
      <c r="AU485" s="321"/>
    </row>
    <row r="486">
      <c r="A486" s="319"/>
      <c r="B486" s="320"/>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c r="AA486" s="320"/>
      <c r="AB486" s="320"/>
      <c r="AC486" s="320"/>
      <c r="AD486" s="320"/>
      <c r="AE486" s="320"/>
      <c r="AF486" s="320"/>
      <c r="AG486" s="320"/>
      <c r="AH486" s="320"/>
      <c r="AI486" s="320"/>
      <c r="AJ486" s="320"/>
      <c r="AK486" s="320"/>
      <c r="AL486" s="320"/>
      <c r="AM486" s="320"/>
      <c r="AN486" s="320"/>
      <c r="AO486" s="320"/>
      <c r="AP486" s="320"/>
      <c r="AQ486" s="320"/>
      <c r="AR486" s="320"/>
      <c r="AS486" s="320"/>
      <c r="AT486" s="320"/>
      <c r="AU486" s="321"/>
    </row>
    <row r="487">
      <c r="A487" s="319"/>
      <c r="B487" s="320"/>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c r="AA487" s="320"/>
      <c r="AB487" s="320"/>
      <c r="AC487" s="320"/>
      <c r="AD487" s="320"/>
      <c r="AE487" s="320"/>
      <c r="AF487" s="320"/>
      <c r="AG487" s="320"/>
      <c r="AH487" s="320"/>
      <c r="AI487" s="320"/>
      <c r="AJ487" s="320"/>
      <c r="AK487" s="320"/>
      <c r="AL487" s="320"/>
      <c r="AM487" s="320"/>
      <c r="AN487" s="320"/>
      <c r="AO487" s="320"/>
      <c r="AP487" s="320"/>
      <c r="AQ487" s="320"/>
      <c r="AR487" s="320"/>
      <c r="AS487" s="320"/>
      <c r="AT487" s="320"/>
      <c r="AU487" s="321"/>
    </row>
    <row r="488">
      <c r="A488" s="319"/>
      <c r="B488" s="320"/>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c r="AA488" s="320"/>
      <c r="AB488" s="320"/>
      <c r="AC488" s="320"/>
      <c r="AD488" s="320"/>
      <c r="AE488" s="320"/>
      <c r="AF488" s="320"/>
      <c r="AG488" s="320"/>
      <c r="AH488" s="320"/>
      <c r="AI488" s="320"/>
      <c r="AJ488" s="320"/>
      <c r="AK488" s="320"/>
      <c r="AL488" s="320"/>
      <c r="AM488" s="320"/>
      <c r="AN488" s="320"/>
      <c r="AO488" s="320"/>
      <c r="AP488" s="320"/>
      <c r="AQ488" s="320"/>
      <c r="AR488" s="320"/>
      <c r="AS488" s="320"/>
      <c r="AT488" s="320"/>
      <c r="AU488" s="321"/>
    </row>
    <row r="489">
      <c r="A489" s="319"/>
      <c r="B489" s="320"/>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c r="AA489" s="320"/>
      <c r="AB489" s="320"/>
      <c r="AC489" s="320"/>
      <c r="AD489" s="320"/>
      <c r="AE489" s="320"/>
      <c r="AF489" s="320"/>
      <c r="AG489" s="320"/>
      <c r="AH489" s="320"/>
      <c r="AI489" s="320"/>
      <c r="AJ489" s="320"/>
      <c r="AK489" s="320"/>
      <c r="AL489" s="320"/>
      <c r="AM489" s="320"/>
      <c r="AN489" s="320"/>
      <c r="AO489" s="320"/>
      <c r="AP489" s="320"/>
      <c r="AQ489" s="320"/>
      <c r="AR489" s="320"/>
      <c r="AS489" s="320"/>
      <c r="AT489" s="320"/>
      <c r="AU489" s="321"/>
    </row>
    <row r="490">
      <c r="A490" s="319"/>
      <c r="B490" s="320"/>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c r="AA490" s="320"/>
      <c r="AB490" s="320"/>
      <c r="AC490" s="320"/>
      <c r="AD490" s="320"/>
      <c r="AE490" s="320"/>
      <c r="AF490" s="320"/>
      <c r="AG490" s="320"/>
      <c r="AH490" s="320"/>
      <c r="AI490" s="320"/>
      <c r="AJ490" s="320"/>
      <c r="AK490" s="320"/>
      <c r="AL490" s="320"/>
      <c r="AM490" s="320"/>
      <c r="AN490" s="320"/>
      <c r="AO490" s="320"/>
      <c r="AP490" s="320"/>
      <c r="AQ490" s="320"/>
      <c r="AR490" s="320"/>
      <c r="AS490" s="320"/>
      <c r="AT490" s="320"/>
      <c r="AU490" s="321"/>
    </row>
    <row r="491">
      <c r="A491" s="319"/>
      <c r="B491" s="320"/>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c r="AA491" s="320"/>
      <c r="AB491" s="320"/>
      <c r="AC491" s="320"/>
      <c r="AD491" s="320"/>
      <c r="AE491" s="320"/>
      <c r="AF491" s="320"/>
      <c r="AG491" s="320"/>
      <c r="AH491" s="320"/>
      <c r="AI491" s="320"/>
      <c r="AJ491" s="320"/>
      <c r="AK491" s="320"/>
      <c r="AL491" s="320"/>
      <c r="AM491" s="320"/>
      <c r="AN491" s="320"/>
      <c r="AO491" s="320"/>
      <c r="AP491" s="320"/>
      <c r="AQ491" s="320"/>
      <c r="AR491" s="320"/>
      <c r="AS491" s="320"/>
      <c r="AT491" s="320"/>
      <c r="AU491" s="321"/>
    </row>
    <row r="492">
      <c r="A492" s="319"/>
      <c r="B492" s="320"/>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c r="AA492" s="320"/>
      <c r="AB492" s="320"/>
      <c r="AC492" s="320"/>
      <c r="AD492" s="320"/>
      <c r="AE492" s="320"/>
      <c r="AF492" s="320"/>
      <c r="AG492" s="320"/>
      <c r="AH492" s="320"/>
      <c r="AI492" s="320"/>
      <c r="AJ492" s="320"/>
      <c r="AK492" s="320"/>
      <c r="AL492" s="320"/>
      <c r="AM492" s="320"/>
      <c r="AN492" s="320"/>
      <c r="AO492" s="320"/>
      <c r="AP492" s="320"/>
      <c r="AQ492" s="320"/>
      <c r="AR492" s="320"/>
      <c r="AS492" s="320"/>
      <c r="AT492" s="320"/>
      <c r="AU492" s="321"/>
    </row>
    <row r="493">
      <c r="A493" s="319"/>
      <c r="B493" s="320"/>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c r="AA493" s="320"/>
      <c r="AB493" s="320"/>
      <c r="AC493" s="320"/>
      <c r="AD493" s="320"/>
      <c r="AE493" s="320"/>
      <c r="AF493" s="320"/>
      <c r="AG493" s="320"/>
      <c r="AH493" s="320"/>
      <c r="AI493" s="320"/>
      <c r="AJ493" s="320"/>
      <c r="AK493" s="320"/>
      <c r="AL493" s="320"/>
      <c r="AM493" s="320"/>
      <c r="AN493" s="320"/>
      <c r="AO493" s="320"/>
      <c r="AP493" s="320"/>
      <c r="AQ493" s="320"/>
      <c r="AR493" s="320"/>
      <c r="AS493" s="320"/>
      <c r="AT493" s="320"/>
      <c r="AU493" s="321"/>
    </row>
    <row r="494">
      <c r="A494" s="319"/>
      <c r="B494" s="320"/>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c r="AA494" s="320"/>
      <c r="AB494" s="320"/>
      <c r="AC494" s="320"/>
      <c r="AD494" s="320"/>
      <c r="AE494" s="320"/>
      <c r="AF494" s="320"/>
      <c r="AG494" s="320"/>
      <c r="AH494" s="320"/>
      <c r="AI494" s="320"/>
      <c r="AJ494" s="320"/>
      <c r="AK494" s="320"/>
      <c r="AL494" s="320"/>
      <c r="AM494" s="320"/>
      <c r="AN494" s="320"/>
      <c r="AO494" s="320"/>
      <c r="AP494" s="320"/>
      <c r="AQ494" s="320"/>
      <c r="AR494" s="320"/>
      <c r="AS494" s="320"/>
      <c r="AT494" s="320"/>
      <c r="AU494" s="321"/>
    </row>
    <row r="495">
      <c r="A495" s="319"/>
      <c r="B495" s="320"/>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c r="AA495" s="320"/>
      <c r="AB495" s="320"/>
      <c r="AC495" s="320"/>
      <c r="AD495" s="320"/>
      <c r="AE495" s="320"/>
      <c r="AF495" s="320"/>
      <c r="AG495" s="320"/>
      <c r="AH495" s="320"/>
      <c r="AI495" s="320"/>
      <c r="AJ495" s="320"/>
      <c r="AK495" s="320"/>
      <c r="AL495" s="320"/>
      <c r="AM495" s="320"/>
      <c r="AN495" s="320"/>
      <c r="AO495" s="320"/>
      <c r="AP495" s="320"/>
      <c r="AQ495" s="320"/>
      <c r="AR495" s="320"/>
      <c r="AS495" s="320"/>
      <c r="AT495" s="320"/>
      <c r="AU495" s="321"/>
    </row>
    <row r="496">
      <c r="A496" s="319"/>
      <c r="B496" s="320"/>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c r="AA496" s="320"/>
      <c r="AB496" s="320"/>
      <c r="AC496" s="320"/>
      <c r="AD496" s="320"/>
      <c r="AE496" s="320"/>
      <c r="AF496" s="320"/>
      <c r="AG496" s="320"/>
      <c r="AH496" s="320"/>
      <c r="AI496" s="320"/>
      <c r="AJ496" s="320"/>
      <c r="AK496" s="320"/>
      <c r="AL496" s="320"/>
      <c r="AM496" s="320"/>
      <c r="AN496" s="320"/>
      <c r="AO496" s="320"/>
      <c r="AP496" s="320"/>
      <c r="AQ496" s="320"/>
      <c r="AR496" s="320"/>
      <c r="AS496" s="320"/>
      <c r="AT496" s="320"/>
      <c r="AU496" s="321"/>
    </row>
    <row r="497">
      <c r="A497" s="319"/>
      <c r="B497" s="320"/>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c r="AA497" s="320"/>
      <c r="AB497" s="320"/>
      <c r="AC497" s="320"/>
      <c r="AD497" s="320"/>
      <c r="AE497" s="320"/>
      <c r="AF497" s="320"/>
      <c r="AG497" s="320"/>
      <c r="AH497" s="320"/>
      <c r="AI497" s="320"/>
      <c r="AJ497" s="320"/>
      <c r="AK497" s="320"/>
      <c r="AL497" s="320"/>
      <c r="AM497" s="320"/>
      <c r="AN497" s="320"/>
      <c r="AO497" s="320"/>
      <c r="AP497" s="320"/>
      <c r="AQ497" s="320"/>
      <c r="AR497" s="320"/>
      <c r="AS497" s="320"/>
      <c r="AT497" s="320"/>
      <c r="AU497" s="321"/>
    </row>
    <row r="498">
      <c r="A498" s="319"/>
      <c r="B498" s="320"/>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c r="AA498" s="320"/>
      <c r="AB498" s="320"/>
      <c r="AC498" s="320"/>
      <c r="AD498" s="320"/>
      <c r="AE498" s="320"/>
      <c r="AF498" s="320"/>
      <c r="AG498" s="320"/>
      <c r="AH498" s="320"/>
      <c r="AI498" s="320"/>
      <c r="AJ498" s="320"/>
      <c r="AK498" s="320"/>
      <c r="AL498" s="320"/>
      <c r="AM498" s="320"/>
      <c r="AN498" s="320"/>
      <c r="AO498" s="320"/>
      <c r="AP498" s="320"/>
      <c r="AQ498" s="320"/>
      <c r="AR498" s="320"/>
      <c r="AS498" s="320"/>
      <c r="AT498" s="320"/>
      <c r="AU498" s="321"/>
    </row>
    <row r="499">
      <c r="A499" s="319"/>
      <c r="B499" s="320"/>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c r="AA499" s="320"/>
      <c r="AB499" s="320"/>
      <c r="AC499" s="320"/>
      <c r="AD499" s="320"/>
      <c r="AE499" s="320"/>
      <c r="AF499" s="320"/>
      <c r="AG499" s="320"/>
      <c r="AH499" s="320"/>
      <c r="AI499" s="320"/>
      <c r="AJ499" s="320"/>
      <c r="AK499" s="320"/>
      <c r="AL499" s="320"/>
      <c r="AM499" s="320"/>
      <c r="AN499" s="320"/>
      <c r="AO499" s="320"/>
      <c r="AP499" s="320"/>
      <c r="AQ499" s="320"/>
      <c r="AR499" s="320"/>
      <c r="AS499" s="320"/>
      <c r="AT499" s="320"/>
      <c r="AU499" s="321"/>
    </row>
    <row r="500">
      <c r="A500" s="319"/>
      <c r="B500" s="320"/>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c r="AA500" s="320"/>
      <c r="AB500" s="320"/>
      <c r="AC500" s="320"/>
      <c r="AD500" s="320"/>
      <c r="AE500" s="320"/>
      <c r="AF500" s="320"/>
      <c r="AG500" s="320"/>
      <c r="AH500" s="320"/>
      <c r="AI500" s="320"/>
      <c r="AJ500" s="320"/>
      <c r="AK500" s="320"/>
      <c r="AL500" s="320"/>
      <c r="AM500" s="320"/>
      <c r="AN500" s="320"/>
      <c r="AO500" s="320"/>
      <c r="AP500" s="320"/>
      <c r="AQ500" s="320"/>
      <c r="AR500" s="320"/>
      <c r="AS500" s="320"/>
      <c r="AT500" s="320"/>
      <c r="AU500" s="321"/>
    </row>
    <row r="501">
      <c r="A501" s="319"/>
      <c r="B501" s="320"/>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c r="AA501" s="320"/>
      <c r="AB501" s="320"/>
      <c r="AC501" s="320"/>
      <c r="AD501" s="320"/>
      <c r="AE501" s="320"/>
      <c r="AF501" s="320"/>
      <c r="AG501" s="320"/>
      <c r="AH501" s="320"/>
      <c r="AI501" s="320"/>
      <c r="AJ501" s="320"/>
      <c r="AK501" s="320"/>
      <c r="AL501" s="320"/>
      <c r="AM501" s="320"/>
      <c r="AN501" s="320"/>
      <c r="AO501" s="320"/>
      <c r="AP501" s="320"/>
      <c r="AQ501" s="320"/>
      <c r="AR501" s="320"/>
      <c r="AS501" s="320"/>
      <c r="AT501" s="320"/>
      <c r="AU501" s="321"/>
    </row>
    <row r="502">
      <c r="A502" s="319"/>
      <c r="B502" s="320"/>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c r="AA502" s="320"/>
      <c r="AB502" s="320"/>
      <c r="AC502" s="320"/>
      <c r="AD502" s="320"/>
      <c r="AE502" s="320"/>
      <c r="AF502" s="320"/>
      <c r="AG502" s="320"/>
      <c r="AH502" s="320"/>
      <c r="AI502" s="320"/>
      <c r="AJ502" s="320"/>
      <c r="AK502" s="320"/>
      <c r="AL502" s="320"/>
      <c r="AM502" s="320"/>
      <c r="AN502" s="320"/>
      <c r="AO502" s="320"/>
      <c r="AP502" s="320"/>
      <c r="AQ502" s="320"/>
      <c r="AR502" s="320"/>
      <c r="AS502" s="320"/>
      <c r="AT502" s="320"/>
      <c r="AU502" s="321"/>
    </row>
    <row r="503">
      <c r="A503" s="319"/>
      <c r="B503" s="320"/>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c r="AA503" s="320"/>
      <c r="AB503" s="320"/>
      <c r="AC503" s="320"/>
      <c r="AD503" s="320"/>
      <c r="AE503" s="320"/>
      <c r="AF503" s="320"/>
      <c r="AG503" s="320"/>
      <c r="AH503" s="320"/>
      <c r="AI503" s="320"/>
      <c r="AJ503" s="320"/>
      <c r="AK503" s="320"/>
      <c r="AL503" s="320"/>
      <c r="AM503" s="320"/>
      <c r="AN503" s="320"/>
      <c r="AO503" s="320"/>
      <c r="AP503" s="320"/>
      <c r="AQ503" s="320"/>
      <c r="AR503" s="320"/>
      <c r="AS503" s="320"/>
      <c r="AT503" s="320"/>
      <c r="AU503" s="321"/>
    </row>
    <row r="504">
      <c r="A504" s="319"/>
      <c r="B504" s="320"/>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c r="AA504" s="320"/>
      <c r="AB504" s="320"/>
      <c r="AC504" s="320"/>
      <c r="AD504" s="320"/>
      <c r="AE504" s="320"/>
      <c r="AF504" s="320"/>
      <c r="AG504" s="320"/>
      <c r="AH504" s="320"/>
      <c r="AI504" s="320"/>
      <c r="AJ504" s="320"/>
      <c r="AK504" s="320"/>
      <c r="AL504" s="320"/>
      <c r="AM504" s="320"/>
      <c r="AN504" s="320"/>
      <c r="AO504" s="320"/>
      <c r="AP504" s="320"/>
      <c r="AQ504" s="320"/>
      <c r="AR504" s="320"/>
      <c r="AS504" s="320"/>
      <c r="AT504" s="320"/>
      <c r="AU504" s="321"/>
    </row>
    <row r="505">
      <c r="A505" s="319"/>
      <c r="B505" s="320"/>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c r="AA505" s="320"/>
      <c r="AB505" s="320"/>
      <c r="AC505" s="320"/>
      <c r="AD505" s="320"/>
      <c r="AE505" s="320"/>
      <c r="AF505" s="320"/>
      <c r="AG505" s="320"/>
      <c r="AH505" s="320"/>
      <c r="AI505" s="320"/>
      <c r="AJ505" s="320"/>
      <c r="AK505" s="320"/>
      <c r="AL505" s="320"/>
      <c r="AM505" s="320"/>
      <c r="AN505" s="320"/>
      <c r="AO505" s="320"/>
      <c r="AP505" s="320"/>
      <c r="AQ505" s="320"/>
      <c r="AR505" s="320"/>
      <c r="AS505" s="320"/>
      <c r="AT505" s="320"/>
      <c r="AU505" s="321"/>
    </row>
    <row r="506">
      <c r="A506" s="319"/>
      <c r="B506" s="320"/>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c r="AA506" s="320"/>
      <c r="AB506" s="320"/>
      <c r="AC506" s="320"/>
      <c r="AD506" s="320"/>
      <c r="AE506" s="320"/>
      <c r="AF506" s="320"/>
      <c r="AG506" s="320"/>
      <c r="AH506" s="320"/>
      <c r="AI506" s="320"/>
      <c r="AJ506" s="320"/>
      <c r="AK506" s="320"/>
      <c r="AL506" s="320"/>
      <c r="AM506" s="320"/>
      <c r="AN506" s="320"/>
      <c r="AO506" s="320"/>
      <c r="AP506" s="320"/>
      <c r="AQ506" s="320"/>
      <c r="AR506" s="320"/>
      <c r="AS506" s="320"/>
      <c r="AT506" s="320"/>
      <c r="AU506" s="321"/>
    </row>
    <row r="507">
      <c r="A507" s="319"/>
      <c r="B507" s="320"/>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c r="AA507" s="320"/>
      <c r="AB507" s="320"/>
      <c r="AC507" s="320"/>
      <c r="AD507" s="320"/>
      <c r="AE507" s="320"/>
      <c r="AF507" s="320"/>
      <c r="AG507" s="320"/>
      <c r="AH507" s="320"/>
      <c r="AI507" s="320"/>
      <c r="AJ507" s="320"/>
      <c r="AK507" s="320"/>
      <c r="AL507" s="320"/>
      <c r="AM507" s="320"/>
      <c r="AN507" s="320"/>
      <c r="AO507" s="320"/>
      <c r="AP507" s="320"/>
      <c r="AQ507" s="320"/>
      <c r="AR507" s="320"/>
      <c r="AS507" s="320"/>
      <c r="AT507" s="320"/>
      <c r="AU507" s="321"/>
    </row>
    <row r="508">
      <c r="A508" s="319"/>
      <c r="B508" s="320"/>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c r="AA508" s="320"/>
      <c r="AB508" s="320"/>
      <c r="AC508" s="320"/>
      <c r="AD508" s="320"/>
      <c r="AE508" s="320"/>
      <c r="AF508" s="320"/>
      <c r="AG508" s="320"/>
      <c r="AH508" s="320"/>
      <c r="AI508" s="320"/>
      <c r="AJ508" s="320"/>
      <c r="AK508" s="320"/>
      <c r="AL508" s="320"/>
      <c r="AM508" s="320"/>
      <c r="AN508" s="320"/>
      <c r="AO508" s="320"/>
      <c r="AP508" s="320"/>
      <c r="AQ508" s="320"/>
      <c r="AR508" s="320"/>
      <c r="AS508" s="320"/>
      <c r="AT508" s="320"/>
      <c r="AU508" s="321"/>
    </row>
    <row r="509">
      <c r="A509" s="319"/>
      <c r="B509" s="320"/>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c r="AA509" s="320"/>
      <c r="AB509" s="320"/>
      <c r="AC509" s="320"/>
      <c r="AD509" s="320"/>
      <c r="AE509" s="320"/>
      <c r="AF509" s="320"/>
      <c r="AG509" s="320"/>
      <c r="AH509" s="320"/>
      <c r="AI509" s="320"/>
      <c r="AJ509" s="320"/>
      <c r="AK509" s="320"/>
      <c r="AL509" s="320"/>
      <c r="AM509" s="320"/>
      <c r="AN509" s="320"/>
      <c r="AO509" s="320"/>
      <c r="AP509" s="320"/>
      <c r="AQ509" s="320"/>
      <c r="AR509" s="320"/>
      <c r="AS509" s="320"/>
      <c r="AT509" s="320"/>
      <c r="AU509" s="321"/>
    </row>
    <row r="510">
      <c r="A510" s="319"/>
      <c r="B510" s="320"/>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c r="AA510" s="320"/>
      <c r="AB510" s="320"/>
      <c r="AC510" s="320"/>
      <c r="AD510" s="320"/>
      <c r="AE510" s="320"/>
      <c r="AF510" s="320"/>
      <c r="AG510" s="320"/>
      <c r="AH510" s="320"/>
      <c r="AI510" s="320"/>
      <c r="AJ510" s="320"/>
      <c r="AK510" s="320"/>
      <c r="AL510" s="320"/>
      <c r="AM510" s="320"/>
      <c r="AN510" s="320"/>
      <c r="AO510" s="320"/>
      <c r="AP510" s="320"/>
      <c r="AQ510" s="320"/>
      <c r="AR510" s="320"/>
      <c r="AS510" s="320"/>
      <c r="AT510" s="320"/>
      <c r="AU510" s="321"/>
    </row>
    <row r="511">
      <c r="A511" s="319"/>
      <c r="B511" s="320"/>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c r="AA511" s="320"/>
      <c r="AB511" s="320"/>
      <c r="AC511" s="320"/>
      <c r="AD511" s="320"/>
      <c r="AE511" s="320"/>
      <c r="AF511" s="320"/>
      <c r="AG511" s="320"/>
      <c r="AH511" s="320"/>
      <c r="AI511" s="320"/>
      <c r="AJ511" s="320"/>
      <c r="AK511" s="320"/>
      <c r="AL511" s="320"/>
      <c r="AM511" s="320"/>
      <c r="AN511" s="320"/>
      <c r="AO511" s="320"/>
      <c r="AP511" s="320"/>
      <c r="AQ511" s="320"/>
      <c r="AR511" s="320"/>
      <c r="AS511" s="320"/>
      <c r="AT511" s="320"/>
      <c r="AU511" s="321"/>
    </row>
    <row r="512">
      <c r="A512" s="319"/>
      <c r="B512" s="320"/>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c r="AA512" s="320"/>
      <c r="AB512" s="320"/>
      <c r="AC512" s="320"/>
      <c r="AD512" s="320"/>
      <c r="AE512" s="320"/>
      <c r="AF512" s="320"/>
      <c r="AG512" s="320"/>
      <c r="AH512" s="320"/>
      <c r="AI512" s="320"/>
      <c r="AJ512" s="320"/>
      <c r="AK512" s="320"/>
      <c r="AL512" s="320"/>
      <c r="AM512" s="320"/>
      <c r="AN512" s="320"/>
      <c r="AO512" s="320"/>
      <c r="AP512" s="320"/>
      <c r="AQ512" s="320"/>
      <c r="AR512" s="320"/>
      <c r="AS512" s="320"/>
      <c r="AT512" s="320"/>
      <c r="AU512" s="321"/>
    </row>
    <row r="513">
      <c r="A513" s="319"/>
      <c r="B513" s="320"/>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c r="AA513" s="320"/>
      <c r="AB513" s="320"/>
      <c r="AC513" s="320"/>
      <c r="AD513" s="320"/>
      <c r="AE513" s="320"/>
      <c r="AF513" s="320"/>
      <c r="AG513" s="320"/>
      <c r="AH513" s="320"/>
      <c r="AI513" s="320"/>
      <c r="AJ513" s="320"/>
      <c r="AK513" s="320"/>
      <c r="AL513" s="320"/>
      <c r="AM513" s="320"/>
      <c r="AN513" s="320"/>
      <c r="AO513" s="320"/>
      <c r="AP513" s="320"/>
      <c r="AQ513" s="320"/>
      <c r="AR513" s="320"/>
      <c r="AS513" s="320"/>
      <c r="AT513" s="320"/>
      <c r="AU513" s="321"/>
    </row>
    <row r="514">
      <c r="A514" s="319"/>
      <c r="B514" s="320"/>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c r="AA514" s="320"/>
      <c r="AB514" s="320"/>
      <c r="AC514" s="320"/>
      <c r="AD514" s="320"/>
      <c r="AE514" s="320"/>
      <c r="AF514" s="320"/>
      <c r="AG514" s="320"/>
      <c r="AH514" s="320"/>
      <c r="AI514" s="320"/>
      <c r="AJ514" s="320"/>
      <c r="AK514" s="320"/>
      <c r="AL514" s="320"/>
      <c r="AM514" s="320"/>
      <c r="AN514" s="320"/>
      <c r="AO514" s="320"/>
      <c r="AP514" s="320"/>
      <c r="AQ514" s="320"/>
      <c r="AR514" s="320"/>
      <c r="AS514" s="320"/>
      <c r="AT514" s="320"/>
      <c r="AU514" s="321"/>
    </row>
    <row r="515">
      <c r="A515" s="319"/>
      <c r="B515" s="320"/>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c r="AA515" s="320"/>
      <c r="AB515" s="320"/>
      <c r="AC515" s="320"/>
      <c r="AD515" s="320"/>
      <c r="AE515" s="320"/>
      <c r="AF515" s="320"/>
      <c r="AG515" s="320"/>
      <c r="AH515" s="320"/>
      <c r="AI515" s="320"/>
      <c r="AJ515" s="320"/>
      <c r="AK515" s="320"/>
      <c r="AL515" s="320"/>
      <c r="AM515" s="320"/>
      <c r="AN515" s="320"/>
      <c r="AO515" s="320"/>
      <c r="AP515" s="320"/>
      <c r="AQ515" s="320"/>
      <c r="AR515" s="320"/>
      <c r="AS515" s="320"/>
      <c r="AT515" s="320"/>
      <c r="AU515" s="321"/>
    </row>
    <row r="516">
      <c r="A516" s="319"/>
      <c r="B516" s="320"/>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c r="AA516" s="320"/>
      <c r="AB516" s="320"/>
      <c r="AC516" s="320"/>
      <c r="AD516" s="320"/>
      <c r="AE516" s="320"/>
      <c r="AF516" s="320"/>
      <c r="AG516" s="320"/>
      <c r="AH516" s="320"/>
      <c r="AI516" s="320"/>
      <c r="AJ516" s="320"/>
      <c r="AK516" s="320"/>
      <c r="AL516" s="320"/>
      <c r="AM516" s="320"/>
      <c r="AN516" s="320"/>
      <c r="AO516" s="320"/>
      <c r="AP516" s="320"/>
      <c r="AQ516" s="320"/>
      <c r="AR516" s="320"/>
      <c r="AS516" s="320"/>
      <c r="AT516" s="320"/>
      <c r="AU516" s="321"/>
    </row>
    <row r="517">
      <c r="A517" s="319"/>
      <c r="B517" s="320"/>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c r="AA517" s="320"/>
      <c r="AB517" s="320"/>
      <c r="AC517" s="320"/>
      <c r="AD517" s="320"/>
      <c r="AE517" s="320"/>
      <c r="AF517" s="320"/>
      <c r="AG517" s="320"/>
      <c r="AH517" s="320"/>
      <c r="AI517" s="320"/>
      <c r="AJ517" s="320"/>
      <c r="AK517" s="320"/>
      <c r="AL517" s="320"/>
      <c r="AM517" s="320"/>
      <c r="AN517" s="320"/>
      <c r="AO517" s="320"/>
      <c r="AP517" s="320"/>
      <c r="AQ517" s="320"/>
      <c r="AR517" s="320"/>
      <c r="AS517" s="320"/>
      <c r="AT517" s="320"/>
      <c r="AU517" s="321"/>
    </row>
    <row r="518">
      <c r="A518" s="319"/>
      <c r="B518" s="320"/>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c r="AA518" s="320"/>
      <c r="AB518" s="320"/>
      <c r="AC518" s="320"/>
      <c r="AD518" s="320"/>
      <c r="AE518" s="320"/>
      <c r="AF518" s="320"/>
      <c r="AG518" s="320"/>
      <c r="AH518" s="320"/>
      <c r="AI518" s="320"/>
      <c r="AJ518" s="320"/>
      <c r="AK518" s="320"/>
      <c r="AL518" s="320"/>
      <c r="AM518" s="320"/>
      <c r="AN518" s="320"/>
      <c r="AO518" s="320"/>
      <c r="AP518" s="320"/>
      <c r="AQ518" s="320"/>
      <c r="AR518" s="320"/>
      <c r="AS518" s="320"/>
      <c r="AT518" s="320"/>
      <c r="AU518" s="321"/>
    </row>
    <row r="519">
      <c r="A519" s="319"/>
      <c r="B519" s="320"/>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c r="AA519" s="320"/>
      <c r="AB519" s="320"/>
      <c r="AC519" s="320"/>
      <c r="AD519" s="320"/>
      <c r="AE519" s="320"/>
      <c r="AF519" s="320"/>
      <c r="AG519" s="320"/>
      <c r="AH519" s="320"/>
      <c r="AI519" s="320"/>
      <c r="AJ519" s="320"/>
      <c r="AK519" s="320"/>
      <c r="AL519" s="320"/>
      <c r="AM519" s="320"/>
      <c r="AN519" s="320"/>
      <c r="AO519" s="320"/>
      <c r="AP519" s="320"/>
      <c r="AQ519" s="320"/>
      <c r="AR519" s="320"/>
      <c r="AS519" s="320"/>
      <c r="AT519" s="320"/>
      <c r="AU519" s="321"/>
    </row>
    <row r="520">
      <c r="A520" s="319"/>
      <c r="B520" s="320"/>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c r="AA520" s="320"/>
      <c r="AB520" s="320"/>
      <c r="AC520" s="320"/>
      <c r="AD520" s="320"/>
      <c r="AE520" s="320"/>
      <c r="AF520" s="320"/>
      <c r="AG520" s="320"/>
      <c r="AH520" s="320"/>
      <c r="AI520" s="320"/>
      <c r="AJ520" s="320"/>
      <c r="AK520" s="320"/>
      <c r="AL520" s="320"/>
      <c r="AM520" s="320"/>
      <c r="AN520" s="320"/>
      <c r="AO520" s="320"/>
      <c r="AP520" s="320"/>
      <c r="AQ520" s="320"/>
      <c r="AR520" s="320"/>
      <c r="AS520" s="320"/>
      <c r="AT520" s="320"/>
      <c r="AU520" s="321"/>
    </row>
    <row r="521">
      <c r="A521" s="319"/>
      <c r="B521" s="320"/>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c r="AA521" s="320"/>
      <c r="AB521" s="320"/>
      <c r="AC521" s="320"/>
      <c r="AD521" s="320"/>
      <c r="AE521" s="320"/>
      <c r="AF521" s="320"/>
      <c r="AG521" s="320"/>
      <c r="AH521" s="320"/>
      <c r="AI521" s="320"/>
      <c r="AJ521" s="320"/>
      <c r="AK521" s="320"/>
      <c r="AL521" s="320"/>
      <c r="AM521" s="320"/>
      <c r="AN521" s="320"/>
      <c r="AO521" s="320"/>
      <c r="AP521" s="320"/>
      <c r="AQ521" s="320"/>
      <c r="AR521" s="320"/>
      <c r="AS521" s="320"/>
      <c r="AT521" s="320"/>
      <c r="AU521" s="321"/>
    </row>
    <row r="522">
      <c r="A522" s="319"/>
      <c r="B522" s="320"/>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c r="AA522" s="320"/>
      <c r="AB522" s="320"/>
      <c r="AC522" s="320"/>
      <c r="AD522" s="320"/>
      <c r="AE522" s="320"/>
      <c r="AF522" s="320"/>
      <c r="AG522" s="320"/>
      <c r="AH522" s="320"/>
      <c r="AI522" s="320"/>
      <c r="AJ522" s="320"/>
      <c r="AK522" s="320"/>
      <c r="AL522" s="320"/>
      <c r="AM522" s="320"/>
      <c r="AN522" s="320"/>
      <c r="AO522" s="320"/>
      <c r="AP522" s="320"/>
      <c r="AQ522" s="320"/>
      <c r="AR522" s="320"/>
      <c r="AS522" s="320"/>
      <c r="AT522" s="320"/>
      <c r="AU522" s="321"/>
    </row>
    <row r="523">
      <c r="A523" s="319"/>
      <c r="B523" s="320"/>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c r="AA523" s="320"/>
      <c r="AB523" s="320"/>
      <c r="AC523" s="320"/>
      <c r="AD523" s="320"/>
      <c r="AE523" s="320"/>
      <c r="AF523" s="320"/>
      <c r="AG523" s="320"/>
      <c r="AH523" s="320"/>
      <c r="AI523" s="320"/>
      <c r="AJ523" s="320"/>
      <c r="AK523" s="320"/>
      <c r="AL523" s="320"/>
      <c r="AM523" s="320"/>
      <c r="AN523" s="320"/>
      <c r="AO523" s="320"/>
      <c r="AP523" s="320"/>
      <c r="AQ523" s="320"/>
      <c r="AR523" s="320"/>
      <c r="AS523" s="320"/>
      <c r="AT523" s="320"/>
      <c r="AU523" s="321"/>
    </row>
    <row r="524">
      <c r="A524" s="319"/>
      <c r="B524" s="320"/>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c r="AA524" s="320"/>
      <c r="AB524" s="320"/>
      <c r="AC524" s="320"/>
      <c r="AD524" s="320"/>
      <c r="AE524" s="320"/>
      <c r="AF524" s="320"/>
      <c r="AG524" s="320"/>
      <c r="AH524" s="320"/>
      <c r="AI524" s="320"/>
      <c r="AJ524" s="320"/>
      <c r="AK524" s="320"/>
      <c r="AL524" s="320"/>
      <c r="AM524" s="320"/>
      <c r="AN524" s="320"/>
      <c r="AO524" s="320"/>
      <c r="AP524" s="320"/>
      <c r="AQ524" s="320"/>
      <c r="AR524" s="320"/>
      <c r="AS524" s="320"/>
      <c r="AT524" s="320"/>
      <c r="AU524" s="321"/>
    </row>
    <row r="525">
      <c r="A525" s="319"/>
      <c r="B525" s="320"/>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c r="AA525" s="320"/>
      <c r="AB525" s="320"/>
      <c r="AC525" s="320"/>
      <c r="AD525" s="320"/>
      <c r="AE525" s="320"/>
      <c r="AF525" s="320"/>
      <c r="AG525" s="320"/>
      <c r="AH525" s="320"/>
      <c r="AI525" s="320"/>
      <c r="AJ525" s="320"/>
      <c r="AK525" s="320"/>
      <c r="AL525" s="320"/>
      <c r="AM525" s="320"/>
      <c r="AN525" s="320"/>
      <c r="AO525" s="320"/>
      <c r="AP525" s="320"/>
      <c r="AQ525" s="320"/>
      <c r="AR525" s="320"/>
      <c r="AS525" s="320"/>
      <c r="AT525" s="320"/>
      <c r="AU525" s="321"/>
    </row>
    <row r="526">
      <c r="A526" s="319"/>
      <c r="B526" s="320"/>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c r="AA526" s="320"/>
      <c r="AB526" s="320"/>
      <c r="AC526" s="320"/>
      <c r="AD526" s="320"/>
      <c r="AE526" s="320"/>
      <c r="AF526" s="320"/>
      <c r="AG526" s="320"/>
      <c r="AH526" s="320"/>
      <c r="AI526" s="320"/>
      <c r="AJ526" s="320"/>
      <c r="AK526" s="320"/>
      <c r="AL526" s="320"/>
      <c r="AM526" s="320"/>
      <c r="AN526" s="320"/>
      <c r="AO526" s="320"/>
      <c r="AP526" s="320"/>
      <c r="AQ526" s="320"/>
      <c r="AR526" s="320"/>
      <c r="AS526" s="320"/>
      <c r="AT526" s="320"/>
      <c r="AU526" s="321"/>
    </row>
    <row r="527">
      <c r="A527" s="319"/>
      <c r="B527" s="320"/>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c r="AA527" s="320"/>
      <c r="AB527" s="320"/>
      <c r="AC527" s="320"/>
      <c r="AD527" s="320"/>
      <c r="AE527" s="320"/>
      <c r="AF527" s="320"/>
      <c r="AG527" s="320"/>
      <c r="AH527" s="320"/>
      <c r="AI527" s="320"/>
      <c r="AJ527" s="320"/>
      <c r="AK527" s="320"/>
      <c r="AL527" s="320"/>
      <c r="AM527" s="320"/>
      <c r="AN527" s="320"/>
      <c r="AO527" s="320"/>
      <c r="AP527" s="320"/>
      <c r="AQ527" s="320"/>
      <c r="AR527" s="320"/>
      <c r="AS527" s="320"/>
      <c r="AT527" s="320"/>
      <c r="AU527" s="321"/>
    </row>
    <row r="528">
      <c r="A528" s="319"/>
      <c r="B528" s="320"/>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c r="AA528" s="320"/>
      <c r="AB528" s="320"/>
      <c r="AC528" s="320"/>
      <c r="AD528" s="320"/>
      <c r="AE528" s="320"/>
      <c r="AF528" s="320"/>
      <c r="AG528" s="320"/>
      <c r="AH528" s="320"/>
      <c r="AI528" s="320"/>
      <c r="AJ528" s="320"/>
      <c r="AK528" s="320"/>
      <c r="AL528" s="320"/>
      <c r="AM528" s="320"/>
      <c r="AN528" s="320"/>
      <c r="AO528" s="320"/>
      <c r="AP528" s="320"/>
      <c r="AQ528" s="320"/>
      <c r="AR528" s="320"/>
      <c r="AS528" s="320"/>
      <c r="AT528" s="320"/>
      <c r="AU528" s="321"/>
    </row>
    <row r="529">
      <c r="A529" s="319"/>
      <c r="B529" s="320"/>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c r="AA529" s="320"/>
      <c r="AB529" s="320"/>
      <c r="AC529" s="320"/>
      <c r="AD529" s="320"/>
      <c r="AE529" s="320"/>
      <c r="AF529" s="320"/>
      <c r="AG529" s="320"/>
      <c r="AH529" s="320"/>
      <c r="AI529" s="320"/>
      <c r="AJ529" s="320"/>
      <c r="AK529" s="320"/>
      <c r="AL529" s="320"/>
      <c r="AM529" s="320"/>
      <c r="AN529" s="320"/>
      <c r="AO529" s="320"/>
      <c r="AP529" s="320"/>
      <c r="AQ529" s="320"/>
      <c r="AR529" s="320"/>
      <c r="AS529" s="320"/>
      <c r="AT529" s="320"/>
      <c r="AU529" s="321"/>
    </row>
    <row r="530">
      <c r="A530" s="319"/>
      <c r="B530" s="320"/>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c r="AA530" s="320"/>
      <c r="AB530" s="320"/>
      <c r="AC530" s="320"/>
      <c r="AD530" s="320"/>
      <c r="AE530" s="320"/>
      <c r="AF530" s="320"/>
      <c r="AG530" s="320"/>
      <c r="AH530" s="320"/>
      <c r="AI530" s="320"/>
      <c r="AJ530" s="320"/>
      <c r="AK530" s="320"/>
      <c r="AL530" s="320"/>
      <c r="AM530" s="320"/>
      <c r="AN530" s="320"/>
      <c r="AO530" s="320"/>
      <c r="AP530" s="320"/>
      <c r="AQ530" s="320"/>
      <c r="AR530" s="320"/>
      <c r="AS530" s="320"/>
      <c r="AT530" s="320"/>
      <c r="AU530" s="321"/>
    </row>
    <row r="531">
      <c r="A531" s="319"/>
      <c r="B531" s="320"/>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c r="AA531" s="320"/>
      <c r="AB531" s="320"/>
      <c r="AC531" s="320"/>
      <c r="AD531" s="320"/>
      <c r="AE531" s="320"/>
      <c r="AF531" s="320"/>
      <c r="AG531" s="320"/>
      <c r="AH531" s="320"/>
      <c r="AI531" s="320"/>
      <c r="AJ531" s="320"/>
      <c r="AK531" s="320"/>
      <c r="AL531" s="320"/>
      <c r="AM531" s="320"/>
      <c r="AN531" s="320"/>
      <c r="AO531" s="320"/>
      <c r="AP531" s="320"/>
      <c r="AQ531" s="320"/>
      <c r="AR531" s="320"/>
      <c r="AS531" s="320"/>
      <c r="AT531" s="320"/>
      <c r="AU531" s="321"/>
    </row>
    <row r="532">
      <c r="A532" s="319"/>
      <c r="B532" s="320"/>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c r="AA532" s="320"/>
      <c r="AB532" s="320"/>
      <c r="AC532" s="320"/>
      <c r="AD532" s="320"/>
      <c r="AE532" s="320"/>
      <c r="AF532" s="320"/>
      <c r="AG532" s="320"/>
      <c r="AH532" s="320"/>
      <c r="AI532" s="320"/>
      <c r="AJ532" s="320"/>
      <c r="AK532" s="320"/>
      <c r="AL532" s="320"/>
      <c r="AM532" s="320"/>
      <c r="AN532" s="320"/>
      <c r="AO532" s="320"/>
      <c r="AP532" s="320"/>
      <c r="AQ532" s="320"/>
      <c r="AR532" s="320"/>
      <c r="AS532" s="320"/>
      <c r="AT532" s="320"/>
      <c r="AU532" s="321"/>
    </row>
    <row r="533">
      <c r="A533" s="319"/>
      <c r="B533" s="320"/>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c r="AA533" s="320"/>
      <c r="AB533" s="320"/>
      <c r="AC533" s="320"/>
      <c r="AD533" s="320"/>
      <c r="AE533" s="320"/>
      <c r="AF533" s="320"/>
      <c r="AG533" s="320"/>
      <c r="AH533" s="320"/>
      <c r="AI533" s="320"/>
      <c r="AJ533" s="320"/>
      <c r="AK533" s="320"/>
      <c r="AL533" s="320"/>
      <c r="AM533" s="320"/>
      <c r="AN533" s="320"/>
      <c r="AO533" s="320"/>
      <c r="AP533" s="320"/>
      <c r="AQ533" s="320"/>
      <c r="AR533" s="320"/>
      <c r="AS533" s="320"/>
      <c r="AT533" s="320"/>
      <c r="AU533" s="321"/>
    </row>
    <row r="534">
      <c r="A534" s="319"/>
      <c r="B534" s="320"/>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c r="AA534" s="320"/>
      <c r="AB534" s="320"/>
      <c r="AC534" s="320"/>
      <c r="AD534" s="320"/>
      <c r="AE534" s="320"/>
      <c r="AF534" s="320"/>
      <c r="AG534" s="320"/>
      <c r="AH534" s="320"/>
      <c r="AI534" s="320"/>
      <c r="AJ534" s="320"/>
      <c r="AK534" s="320"/>
      <c r="AL534" s="320"/>
      <c r="AM534" s="320"/>
      <c r="AN534" s="320"/>
      <c r="AO534" s="320"/>
      <c r="AP534" s="320"/>
      <c r="AQ534" s="320"/>
      <c r="AR534" s="320"/>
      <c r="AS534" s="320"/>
      <c r="AT534" s="320"/>
      <c r="AU534" s="321"/>
    </row>
    <row r="535">
      <c r="A535" s="319"/>
      <c r="B535" s="320"/>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c r="AA535" s="320"/>
      <c r="AB535" s="320"/>
      <c r="AC535" s="320"/>
      <c r="AD535" s="320"/>
      <c r="AE535" s="320"/>
      <c r="AF535" s="320"/>
      <c r="AG535" s="320"/>
      <c r="AH535" s="320"/>
      <c r="AI535" s="320"/>
      <c r="AJ535" s="320"/>
      <c r="AK535" s="320"/>
      <c r="AL535" s="320"/>
      <c r="AM535" s="320"/>
      <c r="AN535" s="320"/>
      <c r="AO535" s="320"/>
      <c r="AP535" s="320"/>
      <c r="AQ535" s="320"/>
      <c r="AR535" s="320"/>
      <c r="AS535" s="320"/>
      <c r="AT535" s="320"/>
      <c r="AU535" s="321"/>
    </row>
    <row r="536">
      <c r="A536" s="319"/>
      <c r="B536" s="320"/>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c r="AA536" s="320"/>
      <c r="AB536" s="320"/>
      <c r="AC536" s="320"/>
      <c r="AD536" s="320"/>
      <c r="AE536" s="320"/>
      <c r="AF536" s="320"/>
      <c r="AG536" s="320"/>
      <c r="AH536" s="320"/>
      <c r="AI536" s="320"/>
      <c r="AJ536" s="320"/>
      <c r="AK536" s="320"/>
      <c r="AL536" s="320"/>
      <c r="AM536" s="320"/>
      <c r="AN536" s="320"/>
      <c r="AO536" s="320"/>
      <c r="AP536" s="320"/>
      <c r="AQ536" s="320"/>
      <c r="AR536" s="320"/>
      <c r="AS536" s="320"/>
      <c r="AT536" s="320"/>
      <c r="AU536" s="321"/>
    </row>
    <row r="537">
      <c r="A537" s="319"/>
      <c r="B537" s="320"/>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c r="AA537" s="320"/>
      <c r="AB537" s="320"/>
      <c r="AC537" s="320"/>
      <c r="AD537" s="320"/>
      <c r="AE537" s="320"/>
      <c r="AF537" s="320"/>
      <c r="AG537" s="320"/>
      <c r="AH537" s="320"/>
      <c r="AI537" s="320"/>
      <c r="AJ537" s="320"/>
      <c r="AK537" s="320"/>
      <c r="AL537" s="320"/>
      <c r="AM537" s="320"/>
      <c r="AN537" s="320"/>
      <c r="AO537" s="320"/>
      <c r="AP537" s="320"/>
      <c r="AQ537" s="320"/>
      <c r="AR537" s="320"/>
      <c r="AS537" s="320"/>
      <c r="AT537" s="320"/>
      <c r="AU537" s="321"/>
    </row>
    <row r="538">
      <c r="A538" s="319"/>
      <c r="B538" s="320"/>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c r="AA538" s="320"/>
      <c r="AB538" s="320"/>
      <c r="AC538" s="320"/>
      <c r="AD538" s="320"/>
      <c r="AE538" s="320"/>
      <c r="AF538" s="320"/>
      <c r="AG538" s="320"/>
      <c r="AH538" s="320"/>
      <c r="AI538" s="320"/>
      <c r="AJ538" s="320"/>
      <c r="AK538" s="320"/>
      <c r="AL538" s="320"/>
      <c r="AM538" s="320"/>
      <c r="AN538" s="320"/>
      <c r="AO538" s="320"/>
      <c r="AP538" s="320"/>
      <c r="AQ538" s="320"/>
      <c r="AR538" s="320"/>
      <c r="AS538" s="320"/>
      <c r="AT538" s="320"/>
      <c r="AU538" s="321"/>
    </row>
    <row r="539">
      <c r="A539" s="319"/>
      <c r="B539" s="320"/>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c r="AA539" s="320"/>
      <c r="AB539" s="320"/>
      <c r="AC539" s="320"/>
      <c r="AD539" s="320"/>
      <c r="AE539" s="320"/>
      <c r="AF539" s="320"/>
      <c r="AG539" s="320"/>
      <c r="AH539" s="320"/>
      <c r="AI539" s="320"/>
      <c r="AJ539" s="320"/>
      <c r="AK539" s="320"/>
      <c r="AL539" s="320"/>
      <c r="AM539" s="320"/>
      <c r="AN539" s="320"/>
      <c r="AO539" s="320"/>
      <c r="AP539" s="320"/>
      <c r="AQ539" s="320"/>
      <c r="AR539" s="320"/>
      <c r="AS539" s="320"/>
      <c r="AT539" s="320"/>
      <c r="AU539" s="321"/>
    </row>
    <row r="540">
      <c r="A540" s="319"/>
      <c r="B540" s="320"/>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c r="AA540" s="320"/>
      <c r="AB540" s="320"/>
      <c r="AC540" s="320"/>
      <c r="AD540" s="320"/>
      <c r="AE540" s="320"/>
      <c r="AF540" s="320"/>
      <c r="AG540" s="320"/>
      <c r="AH540" s="320"/>
      <c r="AI540" s="320"/>
      <c r="AJ540" s="320"/>
      <c r="AK540" s="320"/>
      <c r="AL540" s="320"/>
      <c r="AM540" s="320"/>
      <c r="AN540" s="320"/>
      <c r="AO540" s="320"/>
      <c r="AP540" s="320"/>
      <c r="AQ540" s="320"/>
      <c r="AR540" s="320"/>
      <c r="AS540" s="320"/>
      <c r="AT540" s="320"/>
      <c r="AU540" s="321"/>
    </row>
    <row r="541">
      <c r="A541" s="319"/>
      <c r="B541" s="320"/>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c r="AA541" s="320"/>
      <c r="AB541" s="320"/>
      <c r="AC541" s="320"/>
      <c r="AD541" s="320"/>
      <c r="AE541" s="320"/>
      <c r="AF541" s="320"/>
      <c r="AG541" s="320"/>
      <c r="AH541" s="320"/>
      <c r="AI541" s="320"/>
      <c r="AJ541" s="320"/>
      <c r="AK541" s="320"/>
      <c r="AL541" s="320"/>
      <c r="AM541" s="320"/>
      <c r="AN541" s="320"/>
      <c r="AO541" s="320"/>
      <c r="AP541" s="320"/>
      <c r="AQ541" s="320"/>
      <c r="AR541" s="320"/>
      <c r="AS541" s="320"/>
      <c r="AT541" s="320"/>
      <c r="AU541" s="321"/>
    </row>
    <row r="542">
      <c r="A542" s="319"/>
      <c r="B542" s="320"/>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c r="AA542" s="320"/>
      <c r="AB542" s="320"/>
      <c r="AC542" s="320"/>
      <c r="AD542" s="320"/>
      <c r="AE542" s="320"/>
      <c r="AF542" s="320"/>
      <c r="AG542" s="320"/>
      <c r="AH542" s="320"/>
      <c r="AI542" s="320"/>
      <c r="AJ542" s="320"/>
      <c r="AK542" s="320"/>
      <c r="AL542" s="320"/>
      <c r="AM542" s="320"/>
      <c r="AN542" s="320"/>
      <c r="AO542" s="320"/>
      <c r="AP542" s="320"/>
      <c r="AQ542" s="320"/>
      <c r="AR542" s="320"/>
      <c r="AS542" s="320"/>
      <c r="AT542" s="320"/>
      <c r="AU542" s="321"/>
    </row>
    <row r="543">
      <c r="A543" s="319"/>
      <c r="B543" s="320"/>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c r="AA543" s="320"/>
      <c r="AB543" s="320"/>
      <c r="AC543" s="320"/>
      <c r="AD543" s="320"/>
      <c r="AE543" s="320"/>
      <c r="AF543" s="320"/>
      <c r="AG543" s="320"/>
      <c r="AH543" s="320"/>
      <c r="AI543" s="320"/>
      <c r="AJ543" s="320"/>
      <c r="AK543" s="320"/>
      <c r="AL543" s="320"/>
      <c r="AM543" s="320"/>
      <c r="AN543" s="320"/>
      <c r="AO543" s="320"/>
      <c r="AP543" s="320"/>
      <c r="AQ543" s="320"/>
      <c r="AR543" s="320"/>
      <c r="AS543" s="320"/>
      <c r="AT543" s="320"/>
      <c r="AU543" s="321"/>
    </row>
    <row r="544">
      <c r="A544" s="319"/>
      <c r="B544" s="320"/>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c r="AA544" s="320"/>
      <c r="AB544" s="320"/>
      <c r="AC544" s="320"/>
      <c r="AD544" s="320"/>
      <c r="AE544" s="320"/>
      <c r="AF544" s="320"/>
      <c r="AG544" s="320"/>
      <c r="AH544" s="320"/>
      <c r="AI544" s="320"/>
      <c r="AJ544" s="320"/>
      <c r="AK544" s="320"/>
      <c r="AL544" s="320"/>
      <c r="AM544" s="320"/>
      <c r="AN544" s="320"/>
      <c r="AO544" s="320"/>
      <c r="AP544" s="320"/>
      <c r="AQ544" s="320"/>
      <c r="AR544" s="320"/>
      <c r="AS544" s="320"/>
      <c r="AT544" s="320"/>
      <c r="AU544" s="321"/>
    </row>
    <row r="545">
      <c r="A545" s="319"/>
      <c r="B545" s="320"/>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c r="AA545" s="320"/>
      <c r="AB545" s="320"/>
      <c r="AC545" s="320"/>
      <c r="AD545" s="320"/>
      <c r="AE545" s="320"/>
      <c r="AF545" s="320"/>
      <c r="AG545" s="320"/>
      <c r="AH545" s="320"/>
      <c r="AI545" s="320"/>
      <c r="AJ545" s="320"/>
      <c r="AK545" s="320"/>
      <c r="AL545" s="320"/>
      <c r="AM545" s="320"/>
      <c r="AN545" s="320"/>
      <c r="AO545" s="320"/>
      <c r="AP545" s="320"/>
      <c r="AQ545" s="320"/>
      <c r="AR545" s="320"/>
      <c r="AS545" s="320"/>
      <c r="AT545" s="320"/>
      <c r="AU545" s="321"/>
    </row>
    <row r="546">
      <c r="A546" s="319"/>
      <c r="B546" s="320"/>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c r="AA546" s="320"/>
      <c r="AB546" s="320"/>
      <c r="AC546" s="320"/>
      <c r="AD546" s="320"/>
      <c r="AE546" s="320"/>
      <c r="AF546" s="320"/>
      <c r="AG546" s="320"/>
      <c r="AH546" s="320"/>
      <c r="AI546" s="320"/>
      <c r="AJ546" s="320"/>
      <c r="AK546" s="320"/>
      <c r="AL546" s="320"/>
      <c r="AM546" s="320"/>
      <c r="AN546" s="320"/>
      <c r="AO546" s="320"/>
      <c r="AP546" s="320"/>
      <c r="AQ546" s="320"/>
      <c r="AR546" s="320"/>
      <c r="AS546" s="320"/>
      <c r="AT546" s="320"/>
      <c r="AU546" s="321"/>
    </row>
    <row r="547">
      <c r="A547" s="319"/>
      <c r="B547" s="320"/>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c r="AA547" s="320"/>
      <c r="AB547" s="320"/>
      <c r="AC547" s="320"/>
      <c r="AD547" s="320"/>
      <c r="AE547" s="320"/>
      <c r="AF547" s="320"/>
      <c r="AG547" s="320"/>
      <c r="AH547" s="320"/>
      <c r="AI547" s="320"/>
      <c r="AJ547" s="320"/>
      <c r="AK547" s="320"/>
      <c r="AL547" s="320"/>
      <c r="AM547" s="320"/>
      <c r="AN547" s="320"/>
      <c r="AO547" s="320"/>
      <c r="AP547" s="320"/>
      <c r="AQ547" s="320"/>
      <c r="AR547" s="320"/>
      <c r="AS547" s="320"/>
      <c r="AT547" s="320"/>
      <c r="AU547" s="321"/>
    </row>
    <row r="548">
      <c r="A548" s="319"/>
      <c r="B548" s="320"/>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c r="AA548" s="320"/>
      <c r="AB548" s="320"/>
      <c r="AC548" s="320"/>
      <c r="AD548" s="320"/>
      <c r="AE548" s="320"/>
      <c r="AF548" s="320"/>
      <c r="AG548" s="320"/>
      <c r="AH548" s="320"/>
      <c r="AI548" s="320"/>
      <c r="AJ548" s="320"/>
      <c r="AK548" s="320"/>
      <c r="AL548" s="320"/>
      <c r="AM548" s="320"/>
      <c r="AN548" s="320"/>
      <c r="AO548" s="320"/>
      <c r="AP548" s="320"/>
      <c r="AQ548" s="320"/>
      <c r="AR548" s="320"/>
      <c r="AS548" s="320"/>
      <c r="AT548" s="320"/>
      <c r="AU548" s="321"/>
    </row>
    <row r="549">
      <c r="A549" s="319"/>
      <c r="B549" s="320"/>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c r="AA549" s="320"/>
      <c r="AB549" s="320"/>
      <c r="AC549" s="320"/>
      <c r="AD549" s="320"/>
      <c r="AE549" s="320"/>
      <c r="AF549" s="320"/>
      <c r="AG549" s="320"/>
      <c r="AH549" s="320"/>
      <c r="AI549" s="320"/>
      <c r="AJ549" s="320"/>
      <c r="AK549" s="320"/>
      <c r="AL549" s="320"/>
      <c r="AM549" s="320"/>
      <c r="AN549" s="320"/>
      <c r="AO549" s="320"/>
      <c r="AP549" s="320"/>
      <c r="AQ549" s="320"/>
      <c r="AR549" s="320"/>
      <c r="AS549" s="320"/>
      <c r="AT549" s="320"/>
      <c r="AU549" s="321"/>
    </row>
    <row r="550">
      <c r="A550" s="319"/>
      <c r="B550" s="320"/>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c r="AA550" s="320"/>
      <c r="AB550" s="320"/>
      <c r="AC550" s="320"/>
      <c r="AD550" s="320"/>
      <c r="AE550" s="320"/>
      <c r="AF550" s="320"/>
      <c r="AG550" s="320"/>
      <c r="AH550" s="320"/>
      <c r="AI550" s="320"/>
      <c r="AJ550" s="320"/>
      <c r="AK550" s="320"/>
      <c r="AL550" s="320"/>
      <c r="AM550" s="320"/>
      <c r="AN550" s="320"/>
      <c r="AO550" s="320"/>
      <c r="AP550" s="320"/>
      <c r="AQ550" s="320"/>
      <c r="AR550" s="320"/>
      <c r="AS550" s="320"/>
      <c r="AT550" s="320"/>
      <c r="AU550" s="321"/>
    </row>
    <row r="551">
      <c r="A551" s="319"/>
      <c r="B551" s="320"/>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c r="AA551" s="320"/>
      <c r="AB551" s="320"/>
      <c r="AC551" s="320"/>
      <c r="AD551" s="320"/>
      <c r="AE551" s="320"/>
      <c r="AF551" s="320"/>
      <c r="AG551" s="320"/>
      <c r="AH551" s="320"/>
      <c r="AI551" s="320"/>
      <c r="AJ551" s="320"/>
      <c r="AK551" s="320"/>
      <c r="AL551" s="320"/>
      <c r="AM551" s="320"/>
      <c r="AN551" s="320"/>
      <c r="AO551" s="320"/>
      <c r="AP551" s="320"/>
      <c r="AQ551" s="320"/>
      <c r="AR551" s="320"/>
      <c r="AS551" s="320"/>
      <c r="AT551" s="320"/>
      <c r="AU551" s="321"/>
    </row>
    <row r="552">
      <c r="A552" s="319"/>
      <c r="B552" s="320"/>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c r="AA552" s="320"/>
      <c r="AB552" s="320"/>
      <c r="AC552" s="320"/>
      <c r="AD552" s="320"/>
      <c r="AE552" s="320"/>
      <c r="AF552" s="320"/>
      <c r="AG552" s="320"/>
      <c r="AH552" s="320"/>
      <c r="AI552" s="320"/>
      <c r="AJ552" s="320"/>
      <c r="AK552" s="320"/>
      <c r="AL552" s="320"/>
      <c r="AM552" s="320"/>
      <c r="AN552" s="320"/>
      <c r="AO552" s="320"/>
      <c r="AP552" s="320"/>
      <c r="AQ552" s="320"/>
      <c r="AR552" s="320"/>
      <c r="AS552" s="320"/>
      <c r="AT552" s="320"/>
      <c r="AU552" s="321"/>
    </row>
    <row r="553">
      <c r="A553" s="319"/>
      <c r="B553" s="320"/>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c r="AA553" s="320"/>
      <c r="AB553" s="320"/>
      <c r="AC553" s="320"/>
      <c r="AD553" s="320"/>
      <c r="AE553" s="320"/>
      <c r="AF553" s="320"/>
      <c r="AG553" s="320"/>
      <c r="AH553" s="320"/>
      <c r="AI553" s="320"/>
      <c r="AJ553" s="320"/>
      <c r="AK553" s="320"/>
      <c r="AL553" s="320"/>
      <c r="AM553" s="320"/>
      <c r="AN553" s="320"/>
      <c r="AO553" s="320"/>
      <c r="AP553" s="320"/>
      <c r="AQ553" s="320"/>
      <c r="AR553" s="320"/>
      <c r="AS553" s="320"/>
      <c r="AT553" s="320"/>
      <c r="AU553" s="321"/>
    </row>
    <row r="554">
      <c r="A554" s="319"/>
      <c r="B554" s="320"/>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c r="AA554" s="320"/>
      <c r="AB554" s="320"/>
      <c r="AC554" s="320"/>
      <c r="AD554" s="320"/>
      <c r="AE554" s="320"/>
      <c r="AF554" s="320"/>
      <c r="AG554" s="320"/>
      <c r="AH554" s="320"/>
      <c r="AI554" s="320"/>
      <c r="AJ554" s="320"/>
      <c r="AK554" s="320"/>
      <c r="AL554" s="320"/>
      <c r="AM554" s="320"/>
      <c r="AN554" s="320"/>
      <c r="AO554" s="320"/>
      <c r="AP554" s="320"/>
      <c r="AQ554" s="320"/>
      <c r="AR554" s="320"/>
      <c r="AS554" s="320"/>
      <c r="AT554" s="320"/>
      <c r="AU554" s="321"/>
    </row>
    <row r="555">
      <c r="A555" s="319"/>
      <c r="B555" s="320"/>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c r="AA555" s="320"/>
      <c r="AB555" s="320"/>
      <c r="AC555" s="320"/>
      <c r="AD555" s="320"/>
      <c r="AE555" s="320"/>
      <c r="AF555" s="320"/>
      <c r="AG555" s="320"/>
      <c r="AH555" s="320"/>
      <c r="AI555" s="320"/>
      <c r="AJ555" s="320"/>
      <c r="AK555" s="320"/>
      <c r="AL555" s="320"/>
      <c r="AM555" s="320"/>
      <c r="AN555" s="320"/>
      <c r="AO555" s="320"/>
      <c r="AP555" s="320"/>
      <c r="AQ555" s="320"/>
      <c r="AR555" s="320"/>
      <c r="AS555" s="320"/>
      <c r="AT555" s="320"/>
      <c r="AU555" s="321"/>
    </row>
    <row r="556">
      <c r="A556" s="319"/>
      <c r="B556" s="320"/>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c r="AA556" s="320"/>
      <c r="AB556" s="320"/>
      <c r="AC556" s="320"/>
      <c r="AD556" s="320"/>
      <c r="AE556" s="320"/>
      <c r="AF556" s="320"/>
      <c r="AG556" s="320"/>
      <c r="AH556" s="320"/>
      <c r="AI556" s="320"/>
      <c r="AJ556" s="320"/>
      <c r="AK556" s="320"/>
      <c r="AL556" s="320"/>
      <c r="AM556" s="320"/>
      <c r="AN556" s="320"/>
      <c r="AO556" s="320"/>
      <c r="AP556" s="320"/>
      <c r="AQ556" s="320"/>
      <c r="AR556" s="320"/>
      <c r="AS556" s="320"/>
      <c r="AT556" s="320"/>
      <c r="AU556" s="321"/>
    </row>
    <row r="557">
      <c r="A557" s="319"/>
      <c r="B557" s="320"/>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c r="AA557" s="320"/>
      <c r="AB557" s="320"/>
      <c r="AC557" s="320"/>
      <c r="AD557" s="320"/>
      <c r="AE557" s="320"/>
      <c r="AF557" s="320"/>
      <c r="AG557" s="320"/>
      <c r="AH557" s="320"/>
      <c r="AI557" s="320"/>
      <c r="AJ557" s="320"/>
      <c r="AK557" s="320"/>
      <c r="AL557" s="320"/>
      <c r="AM557" s="320"/>
      <c r="AN557" s="320"/>
      <c r="AO557" s="320"/>
      <c r="AP557" s="320"/>
      <c r="AQ557" s="320"/>
      <c r="AR557" s="320"/>
      <c r="AS557" s="320"/>
      <c r="AT557" s="320"/>
      <c r="AU557" s="321"/>
    </row>
    <row r="558">
      <c r="A558" s="319"/>
      <c r="B558" s="320"/>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c r="AA558" s="320"/>
      <c r="AB558" s="320"/>
      <c r="AC558" s="320"/>
      <c r="AD558" s="320"/>
      <c r="AE558" s="320"/>
      <c r="AF558" s="320"/>
      <c r="AG558" s="320"/>
      <c r="AH558" s="320"/>
      <c r="AI558" s="320"/>
      <c r="AJ558" s="320"/>
      <c r="AK558" s="320"/>
      <c r="AL558" s="320"/>
      <c r="AM558" s="320"/>
      <c r="AN558" s="320"/>
      <c r="AO558" s="320"/>
      <c r="AP558" s="320"/>
      <c r="AQ558" s="320"/>
      <c r="AR558" s="320"/>
      <c r="AS558" s="320"/>
      <c r="AT558" s="320"/>
      <c r="AU558" s="321"/>
    </row>
    <row r="559">
      <c r="A559" s="319"/>
      <c r="B559" s="320"/>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c r="AA559" s="320"/>
      <c r="AB559" s="320"/>
      <c r="AC559" s="320"/>
      <c r="AD559" s="320"/>
      <c r="AE559" s="320"/>
      <c r="AF559" s="320"/>
      <c r="AG559" s="320"/>
      <c r="AH559" s="320"/>
      <c r="AI559" s="320"/>
      <c r="AJ559" s="320"/>
      <c r="AK559" s="320"/>
      <c r="AL559" s="320"/>
      <c r="AM559" s="320"/>
      <c r="AN559" s="320"/>
      <c r="AO559" s="320"/>
      <c r="AP559" s="320"/>
      <c r="AQ559" s="320"/>
      <c r="AR559" s="320"/>
      <c r="AS559" s="320"/>
      <c r="AT559" s="320"/>
      <c r="AU559" s="321"/>
    </row>
    <row r="560">
      <c r="A560" s="319"/>
      <c r="B560" s="320"/>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c r="AA560" s="320"/>
      <c r="AB560" s="320"/>
      <c r="AC560" s="320"/>
      <c r="AD560" s="320"/>
      <c r="AE560" s="320"/>
      <c r="AF560" s="320"/>
      <c r="AG560" s="320"/>
      <c r="AH560" s="320"/>
      <c r="AI560" s="320"/>
      <c r="AJ560" s="320"/>
      <c r="AK560" s="320"/>
      <c r="AL560" s="320"/>
      <c r="AM560" s="320"/>
      <c r="AN560" s="320"/>
      <c r="AO560" s="320"/>
      <c r="AP560" s="320"/>
      <c r="AQ560" s="320"/>
      <c r="AR560" s="320"/>
      <c r="AS560" s="320"/>
      <c r="AT560" s="320"/>
      <c r="AU560" s="321"/>
    </row>
    <row r="561">
      <c r="A561" s="319"/>
      <c r="B561" s="320"/>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c r="AA561" s="320"/>
      <c r="AB561" s="320"/>
      <c r="AC561" s="320"/>
      <c r="AD561" s="320"/>
      <c r="AE561" s="320"/>
      <c r="AF561" s="320"/>
      <c r="AG561" s="320"/>
      <c r="AH561" s="320"/>
      <c r="AI561" s="320"/>
      <c r="AJ561" s="320"/>
      <c r="AK561" s="320"/>
      <c r="AL561" s="320"/>
      <c r="AM561" s="320"/>
      <c r="AN561" s="320"/>
      <c r="AO561" s="320"/>
      <c r="AP561" s="320"/>
      <c r="AQ561" s="320"/>
      <c r="AR561" s="320"/>
      <c r="AS561" s="320"/>
      <c r="AT561" s="320"/>
      <c r="AU561" s="321"/>
    </row>
    <row r="562">
      <c r="A562" s="319"/>
      <c r="B562" s="320"/>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c r="AA562" s="320"/>
      <c r="AB562" s="320"/>
      <c r="AC562" s="320"/>
      <c r="AD562" s="320"/>
      <c r="AE562" s="320"/>
      <c r="AF562" s="320"/>
      <c r="AG562" s="320"/>
      <c r="AH562" s="320"/>
      <c r="AI562" s="320"/>
      <c r="AJ562" s="320"/>
      <c r="AK562" s="320"/>
      <c r="AL562" s="320"/>
      <c r="AM562" s="320"/>
      <c r="AN562" s="320"/>
      <c r="AO562" s="320"/>
      <c r="AP562" s="320"/>
      <c r="AQ562" s="320"/>
      <c r="AR562" s="320"/>
      <c r="AS562" s="320"/>
      <c r="AT562" s="320"/>
      <c r="AU562" s="321"/>
    </row>
    <row r="563">
      <c r="A563" s="319"/>
      <c r="B563" s="320"/>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c r="AA563" s="320"/>
      <c r="AB563" s="320"/>
      <c r="AC563" s="320"/>
      <c r="AD563" s="320"/>
      <c r="AE563" s="320"/>
      <c r="AF563" s="320"/>
      <c r="AG563" s="320"/>
      <c r="AH563" s="320"/>
      <c r="AI563" s="320"/>
      <c r="AJ563" s="320"/>
      <c r="AK563" s="320"/>
      <c r="AL563" s="320"/>
      <c r="AM563" s="320"/>
      <c r="AN563" s="320"/>
      <c r="AO563" s="320"/>
      <c r="AP563" s="320"/>
      <c r="AQ563" s="320"/>
      <c r="AR563" s="320"/>
      <c r="AS563" s="320"/>
      <c r="AT563" s="320"/>
      <c r="AU563" s="321"/>
    </row>
    <row r="564">
      <c r="A564" s="319"/>
      <c r="B564" s="320"/>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c r="AA564" s="320"/>
      <c r="AB564" s="320"/>
      <c r="AC564" s="320"/>
      <c r="AD564" s="320"/>
      <c r="AE564" s="320"/>
      <c r="AF564" s="320"/>
      <c r="AG564" s="320"/>
      <c r="AH564" s="320"/>
      <c r="AI564" s="320"/>
      <c r="AJ564" s="320"/>
      <c r="AK564" s="320"/>
      <c r="AL564" s="320"/>
      <c r="AM564" s="320"/>
      <c r="AN564" s="320"/>
      <c r="AO564" s="320"/>
      <c r="AP564" s="320"/>
      <c r="AQ564" s="320"/>
      <c r="AR564" s="320"/>
      <c r="AS564" s="320"/>
      <c r="AT564" s="320"/>
      <c r="AU564" s="321"/>
    </row>
    <row r="565">
      <c r="A565" s="319"/>
      <c r="B565" s="320"/>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c r="AA565" s="320"/>
      <c r="AB565" s="320"/>
      <c r="AC565" s="320"/>
      <c r="AD565" s="320"/>
      <c r="AE565" s="320"/>
      <c r="AF565" s="320"/>
      <c r="AG565" s="320"/>
      <c r="AH565" s="320"/>
      <c r="AI565" s="320"/>
      <c r="AJ565" s="320"/>
      <c r="AK565" s="320"/>
      <c r="AL565" s="320"/>
      <c r="AM565" s="320"/>
      <c r="AN565" s="320"/>
      <c r="AO565" s="320"/>
      <c r="AP565" s="320"/>
      <c r="AQ565" s="320"/>
      <c r="AR565" s="320"/>
      <c r="AS565" s="320"/>
      <c r="AT565" s="320"/>
      <c r="AU565" s="321"/>
    </row>
    <row r="566">
      <c r="A566" s="319"/>
      <c r="B566" s="320"/>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c r="AA566" s="320"/>
      <c r="AB566" s="320"/>
      <c r="AC566" s="320"/>
      <c r="AD566" s="320"/>
      <c r="AE566" s="320"/>
      <c r="AF566" s="320"/>
      <c r="AG566" s="320"/>
      <c r="AH566" s="320"/>
      <c r="AI566" s="320"/>
      <c r="AJ566" s="320"/>
      <c r="AK566" s="320"/>
      <c r="AL566" s="320"/>
      <c r="AM566" s="320"/>
      <c r="AN566" s="320"/>
      <c r="AO566" s="320"/>
      <c r="AP566" s="320"/>
      <c r="AQ566" s="320"/>
      <c r="AR566" s="320"/>
      <c r="AS566" s="320"/>
      <c r="AT566" s="320"/>
      <c r="AU566" s="321"/>
    </row>
    <row r="567">
      <c r="A567" s="319"/>
      <c r="B567" s="320"/>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c r="AA567" s="320"/>
      <c r="AB567" s="320"/>
      <c r="AC567" s="320"/>
      <c r="AD567" s="320"/>
      <c r="AE567" s="320"/>
      <c r="AF567" s="320"/>
      <c r="AG567" s="320"/>
      <c r="AH567" s="320"/>
      <c r="AI567" s="320"/>
      <c r="AJ567" s="320"/>
      <c r="AK567" s="320"/>
      <c r="AL567" s="320"/>
      <c r="AM567" s="320"/>
      <c r="AN567" s="320"/>
      <c r="AO567" s="320"/>
      <c r="AP567" s="320"/>
      <c r="AQ567" s="320"/>
      <c r="AR567" s="320"/>
      <c r="AS567" s="320"/>
      <c r="AT567" s="320"/>
      <c r="AU567" s="321"/>
    </row>
    <row r="568">
      <c r="A568" s="319"/>
      <c r="B568" s="320"/>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c r="AA568" s="320"/>
      <c r="AB568" s="320"/>
      <c r="AC568" s="320"/>
      <c r="AD568" s="320"/>
      <c r="AE568" s="320"/>
      <c r="AF568" s="320"/>
      <c r="AG568" s="320"/>
      <c r="AH568" s="320"/>
      <c r="AI568" s="320"/>
      <c r="AJ568" s="320"/>
      <c r="AK568" s="320"/>
      <c r="AL568" s="320"/>
      <c r="AM568" s="320"/>
      <c r="AN568" s="320"/>
      <c r="AO568" s="320"/>
      <c r="AP568" s="320"/>
      <c r="AQ568" s="320"/>
      <c r="AR568" s="320"/>
      <c r="AS568" s="320"/>
      <c r="AT568" s="320"/>
      <c r="AU568" s="321"/>
    </row>
    <row r="569">
      <c r="A569" s="319"/>
      <c r="B569" s="320"/>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c r="AA569" s="320"/>
      <c r="AB569" s="320"/>
      <c r="AC569" s="320"/>
      <c r="AD569" s="320"/>
      <c r="AE569" s="320"/>
      <c r="AF569" s="320"/>
      <c r="AG569" s="320"/>
      <c r="AH569" s="320"/>
      <c r="AI569" s="320"/>
      <c r="AJ569" s="320"/>
      <c r="AK569" s="320"/>
      <c r="AL569" s="320"/>
      <c r="AM569" s="320"/>
      <c r="AN569" s="320"/>
      <c r="AO569" s="320"/>
      <c r="AP569" s="320"/>
      <c r="AQ569" s="320"/>
      <c r="AR569" s="320"/>
      <c r="AS569" s="320"/>
      <c r="AT569" s="320"/>
      <c r="AU569" s="321"/>
    </row>
    <row r="570">
      <c r="A570" s="319"/>
      <c r="B570" s="320"/>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c r="AA570" s="320"/>
      <c r="AB570" s="320"/>
      <c r="AC570" s="320"/>
      <c r="AD570" s="320"/>
      <c r="AE570" s="320"/>
      <c r="AF570" s="320"/>
      <c r="AG570" s="320"/>
      <c r="AH570" s="320"/>
      <c r="AI570" s="320"/>
      <c r="AJ570" s="320"/>
      <c r="AK570" s="320"/>
      <c r="AL570" s="320"/>
      <c r="AM570" s="320"/>
      <c r="AN570" s="320"/>
      <c r="AO570" s="320"/>
      <c r="AP570" s="320"/>
      <c r="AQ570" s="320"/>
      <c r="AR570" s="320"/>
      <c r="AS570" s="320"/>
      <c r="AT570" s="320"/>
      <c r="AU570" s="321"/>
    </row>
    <row r="571">
      <c r="A571" s="319"/>
      <c r="B571" s="320"/>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c r="AA571" s="320"/>
      <c r="AB571" s="320"/>
      <c r="AC571" s="320"/>
      <c r="AD571" s="320"/>
      <c r="AE571" s="320"/>
      <c r="AF571" s="320"/>
      <c r="AG571" s="320"/>
      <c r="AH571" s="320"/>
      <c r="AI571" s="320"/>
      <c r="AJ571" s="320"/>
      <c r="AK571" s="320"/>
      <c r="AL571" s="320"/>
      <c r="AM571" s="320"/>
      <c r="AN571" s="320"/>
      <c r="AO571" s="320"/>
      <c r="AP571" s="320"/>
      <c r="AQ571" s="320"/>
      <c r="AR571" s="320"/>
      <c r="AS571" s="320"/>
      <c r="AT571" s="320"/>
      <c r="AU571" s="321"/>
    </row>
    <row r="572">
      <c r="A572" s="319"/>
      <c r="B572" s="320"/>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c r="AA572" s="320"/>
      <c r="AB572" s="320"/>
      <c r="AC572" s="320"/>
      <c r="AD572" s="320"/>
      <c r="AE572" s="320"/>
      <c r="AF572" s="320"/>
      <c r="AG572" s="320"/>
      <c r="AH572" s="320"/>
      <c r="AI572" s="320"/>
      <c r="AJ572" s="320"/>
      <c r="AK572" s="320"/>
      <c r="AL572" s="320"/>
      <c r="AM572" s="320"/>
      <c r="AN572" s="320"/>
      <c r="AO572" s="320"/>
      <c r="AP572" s="320"/>
      <c r="AQ572" s="320"/>
      <c r="AR572" s="320"/>
      <c r="AS572" s="320"/>
      <c r="AT572" s="320"/>
      <c r="AU572" s="321"/>
    </row>
    <row r="573">
      <c r="A573" s="319"/>
      <c r="B573" s="320"/>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c r="AA573" s="320"/>
      <c r="AB573" s="320"/>
      <c r="AC573" s="320"/>
      <c r="AD573" s="320"/>
      <c r="AE573" s="320"/>
      <c r="AF573" s="320"/>
      <c r="AG573" s="320"/>
      <c r="AH573" s="320"/>
      <c r="AI573" s="320"/>
      <c r="AJ573" s="320"/>
      <c r="AK573" s="320"/>
      <c r="AL573" s="320"/>
      <c r="AM573" s="320"/>
      <c r="AN573" s="320"/>
      <c r="AO573" s="320"/>
      <c r="AP573" s="320"/>
      <c r="AQ573" s="320"/>
      <c r="AR573" s="320"/>
      <c r="AS573" s="320"/>
      <c r="AT573" s="320"/>
      <c r="AU573" s="321"/>
    </row>
    <row r="574">
      <c r="A574" s="319"/>
      <c r="B574" s="320"/>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c r="AA574" s="320"/>
      <c r="AB574" s="320"/>
      <c r="AC574" s="320"/>
      <c r="AD574" s="320"/>
      <c r="AE574" s="320"/>
      <c r="AF574" s="320"/>
      <c r="AG574" s="320"/>
      <c r="AH574" s="320"/>
      <c r="AI574" s="320"/>
      <c r="AJ574" s="320"/>
      <c r="AK574" s="320"/>
      <c r="AL574" s="320"/>
      <c r="AM574" s="320"/>
      <c r="AN574" s="320"/>
      <c r="AO574" s="320"/>
      <c r="AP574" s="320"/>
      <c r="AQ574" s="320"/>
      <c r="AR574" s="320"/>
      <c r="AS574" s="320"/>
      <c r="AT574" s="320"/>
      <c r="AU574" s="321"/>
    </row>
    <row r="575">
      <c r="A575" s="319"/>
      <c r="B575" s="320"/>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c r="AA575" s="320"/>
      <c r="AB575" s="320"/>
      <c r="AC575" s="320"/>
      <c r="AD575" s="320"/>
      <c r="AE575" s="320"/>
      <c r="AF575" s="320"/>
      <c r="AG575" s="320"/>
      <c r="AH575" s="320"/>
      <c r="AI575" s="320"/>
      <c r="AJ575" s="320"/>
      <c r="AK575" s="320"/>
      <c r="AL575" s="320"/>
      <c r="AM575" s="320"/>
      <c r="AN575" s="320"/>
      <c r="AO575" s="320"/>
      <c r="AP575" s="320"/>
      <c r="AQ575" s="320"/>
      <c r="AR575" s="320"/>
      <c r="AS575" s="320"/>
      <c r="AT575" s="320"/>
      <c r="AU575" s="321"/>
    </row>
    <row r="576">
      <c r="A576" s="319"/>
      <c r="B576" s="320"/>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c r="AA576" s="320"/>
      <c r="AB576" s="320"/>
      <c r="AC576" s="320"/>
      <c r="AD576" s="320"/>
      <c r="AE576" s="320"/>
      <c r="AF576" s="320"/>
      <c r="AG576" s="320"/>
      <c r="AH576" s="320"/>
      <c r="AI576" s="320"/>
      <c r="AJ576" s="320"/>
      <c r="AK576" s="320"/>
      <c r="AL576" s="320"/>
      <c r="AM576" s="320"/>
      <c r="AN576" s="320"/>
      <c r="AO576" s="320"/>
      <c r="AP576" s="320"/>
      <c r="AQ576" s="320"/>
      <c r="AR576" s="320"/>
      <c r="AS576" s="320"/>
      <c r="AT576" s="320"/>
      <c r="AU576" s="321"/>
    </row>
    <row r="577">
      <c r="A577" s="319"/>
      <c r="B577" s="320"/>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c r="AA577" s="320"/>
      <c r="AB577" s="320"/>
      <c r="AC577" s="320"/>
      <c r="AD577" s="320"/>
      <c r="AE577" s="320"/>
      <c r="AF577" s="320"/>
      <c r="AG577" s="320"/>
      <c r="AH577" s="320"/>
      <c r="AI577" s="320"/>
      <c r="AJ577" s="320"/>
      <c r="AK577" s="320"/>
      <c r="AL577" s="320"/>
      <c r="AM577" s="320"/>
      <c r="AN577" s="320"/>
      <c r="AO577" s="320"/>
      <c r="AP577" s="320"/>
      <c r="AQ577" s="320"/>
      <c r="AR577" s="320"/>
      <c r="AS577" s="320"/>
      <c r="AT577" s="320"/>
      <c r="AU577" s="321"/>
    </row>
    <row r="578">
      <c r="A578" s="319"/>
      <c r="B578" s="320"/>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c r="AA578" s="320"/>
      <c r="AB578" s="320"/>
      <c r="AC578" s="320"/>
      <c r="AD578" s="320"/>
      <c r="AE578" s="320"/>
      <c r="AF578" s="320"/>
      <c r="AG578" s="320"/>
      <c r="AH578" s="320"/>
      <c r="AI578" s="320"/>
      <c r="AJ578" s="320"/>
      <c r="AK578" s="320"/>
      <c r="AL578" s="320"/>
      <c r="AM578" s="320"/>
      <c r="AN578" s="320"/>
      <c r="AO578" s="320"/>
      <c r="AP578" s="320"/>
      <c r="AQ578" s="320"/>
      <c r="AR578" s="320"/>
      <c r="AS578" s="320"/>
      <c r="AT578" s="320"/>
      <c r="AU578" s="321"/>
    </row>
    <row r="579">
      <c r="A579" s="319"/>
      <c r="B579" s="320"/>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c r="AA579" s="320"/>
      <c r="AB579" s="320"/>
      <c r="AC579" s="320"/>
      <c r="AD579" s="320"/>
      <c r="AE579" s="320"/>
      <c r="AF579" s="320"/>
      <c r="AG579" s="320"/>
      <c r="AH579" s="320"/>
      <c r="AI579" s="320"/>
      <c r="AJ579" s="320"/>
      <c r="AK579" s="320"/>
      <c r="AL579" s="320"/>
      <c r="AM579" s="320"/>
      <c r="AN579" s="320"/>
      <c r="AO579" s="320"/>
      <c r="AP579" s="320"/>
      <c r="AQ579" s="320"/>
      <c r="AR579" s="320"/>
      <c r="AS579" s="320"/>
      <c r="AT579" s="320"/>
      <c r="AU579" s="321"/>
    </row>
    <row r="580">
      <c r="A580" s="319"/>
      <c r="B580" s="320"/>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c r="AA580" s="320"/>
      <c r="AB580" s="320"/>
      <c r="AC580" s="320"/>
      <c r="AD580" s="320"/>
      <c r="AE580" s="320"/>
      <c r="AF580" s="320"/>
      <c r="AG580" s="320"/>
      <c r="AH580" s="320"/>
      <c r="AI580" s="320"/>
      <c r="AJ580" s="320"/>
      <c r="AK580" s="320"/>
      <c r="AL580" s="320"/>
      <c r="AM580" s="320"/>
      <c r="AN580" s="320"/>
      <c r="AO580" s="320"/>
      <c r="AP580" s="320"/>
      <c r="AQ580" s="320"/>
      <c r="AR580" s="320"/>
      <c r="AS580" s="320"/>
      <c r="AT580" s="320"/>
      <c r="AU580" s="321"/>
    </row>
    <row r="581">
      <c r="A581" s="319"/>
      <c r="B581" s="320"/>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c r="AA581" s="320"/>
      <c r="AB581" s="320"/>
      <c r="AC581" s="320"/>
      <c r="AD581" s="320"/>
      <c r="AE581" s="320"/>
      <c r="AF581" s="320"/>
      <c r="AG581" s="320"/>
      <c r="AH581" s="320"/>
      <c r="AI581" s="320"/>
      <c r="AJ581" s="320"/>
      <c r="AK581" s="320"/>
      <c r="AL581" s="320"/>
      <c r="AM581" s="320"/>
      <c r="AN581" s="320"/>
      <c r="AO581" s="320"/>
      <c r="AP581" s="320"/>
      <c r="AQ581" s="320"/>
      <c r="AR581" s="320"/>
      <c r="AS581" s="320"/>
      <c r="AT581" s="320"/>
      <c r="AU581" s="321"/>
    </row>
    <row r="582">
      <c r="A582" s="319"/>
      <c r="B582" s="320"/>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c r="AA582" s="320"/>
      <c r="AB582" s="320"/>
      <c r="AC582" s="320"/>
      <c r="AD582" s="320"/>
      <c r="AE582" s="320"/>
      <c r="AF582" s="320"/>
      <c r="AG582" s="320"/>
      <c r="AH582" s="320"/>
      <c r="AI582" s="320"/>
      <c r="AJ582" s="320"/>
      <c r="AK582" s="320"/>
      <c r="AL582" s="320"/>
      <c r="AM582" s="320"/>
      <c r="AN582" s="320"/>
      <c r="AO582" s="320"/>
      <c r="AP582" s="320"/>
      <c r="AQ582" s="320"/>
      <c r="AR582" s="320"/>
      <c r="AS582" s="320"/>
      <c r="AT582" s="320"/>
      <c r="AU582" s="321"/>
    </row>
    <row r="583">
      <c r="A583" s="319"/>
      <c r="B583" s="320"/>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c r="AA583" s="320"/>
      <c r="AB583" s="320"/>
      <c r="AC583" s="320"/>
      <c r="AD583" s="320"/>
      <c r="AE583" s="320"/>
      <c r="AF583" s="320"/>
      <c r="AG583" s="320"/>
      <c r="AH583" s="320"/>
      <c r="AI583" s="320"/>
      <c r="AJ583" s="320"/>
      <c r="AK583" s="320"/>
      <c r="AL583" s="320"/>
      <c r="AM583" s="320"/>
      <c r="AN583" s="320"/>
      <c r="AO583" s="320"/>
      <c r="AP583" s="320"/>
      <c r="AQ583" s="320"/>
      <c r="AR583" s="320"/>
      <c r="AS583" s="320"/>
      <c r="AT583" s="320"/>
      <c r="AU583" s="321"/>
    </row>
    <row r="584">
      <c r="A584" s="319"/>
      <c r="B584" s="320"/>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c r="AA584" s="320"/>
      <c r="AB584" s="320"/>
      <c r="AC584" s="320"/>
      <c r="AD584" s="320"/>
      <c r="AE584" s="320"/>
      <c r="AF584" s="320"/>
      <c r="AG584" s="320"/>
      <c r="AH584" s="320"/>
      <c r="AI584" s="320"/>
      <c r="AJ584" s="320"/>
      <c r="AK584" s="320"/>
      <c r="AL584" s="320"/>
      <c r="AM584" s="320"/>
      <c r="AN584" s="320"/>
      <c r="AO584" s="320"/>
      <c r="AP584" s="320"/>
      <c r="AQ584" s="320"/>
      <c r="AR584" s="320"/>
      <c r="AS584" s="320"/>
      <c r="AT584" s="320"/>
      <c r="AU584" s="321"/>
    </row>
    <row r="585">
      <c r="A585" s="319"/>
      <c r="B585" s="320"/>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c r="AA585" s="320"/>
      <c r="AB585" s="320"/>
      <c r="AC585" s="320"/>
      <c r="AD585" s="320"/>
      <c r="AE585" s="320"/>
      <c r="AF585" s="320"/>
      <c r="AG585" s="320"/>
      <c r="AH585" s="320"/>
      <c r="AI585" s="320"/>
      <c r="AJ585" s="320"/>
      <c r="AK585" s="320"/>
      <c r="AL585" s="320"/>
      <c r="AM585" s="320"/>
      <c r="AN585" s="320"/>
      <c r="AO585" s="320"/>
      <c r="AP585" s="320"/>
      <c r="AQ585" s="320"/>
      <c r="AR585" s="320"/>
      <c r="AS585" s="320"/>
      <c r="AT585" s="320"/>
      <c r="AU585" s="321"/>
    </row>
    <row r="586">
      <c r="A586" s="319"/>
      <c r="B586" s="320"/>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c r="AA586" s="320"/>
      <c r="AB586" s="320"/>
      <c r="AC586" s="320"/>
      <c r="AD586" s="320"/>
      <c r="AE586" s="320"/>
      <c r="AF586" s="320"/>
      <c r="AG586" s="320"/>
      <c r="AH586" s="320"/>
      <c r="AI586" s="320"/>
      <c r="AJ586" s="320"/>
      <c r="AK586" s="320"/>
      <c r="AL586" s="320"/>
      <c r="AM586" s="320"/>
      <c r="AN586" s="320"/>
      <c r="AO586" s="320"/>
      <c r="AP586" s="320"/>
      <c r="AQ586" s="320"/>
      <c r="AR586" s="320"/>
      <c r="AS586" s="320"/>
      <c r="AT586" s="320"/>
      <c r="AU586" s="321"/>
    </row>
    <row r="587">
      <c r="A587" s="319"/>
      <c r="B587" s="320"/>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c r="AA587" s="320"/>
      <c r="AB587" s="320"/>
      <c r="AC587" s="320"/>
      <c r="AD587" s="320"/>
      <c r="AE587" s="320"/>
      <c r="AF587" s="320"/>
      <c r="AG587" s="320"/>
      <c r="AH587" s="320"/>
      <c r="AI587" s="320"/>
      <c r="AJ587" s="320"/>
      <c r="AK587" s="320"/>
      <c r="AL587" s="320"/>
      <c r="AM587" s="320"/>
      <c r="AN587" s="320"/>
      <c r="AO587" s="320"/>
      <c r="AP587" s="320"/>
      <c r="AQ587" s="320"/>
      <c r="AR587" s="320"/>
      <c r="AS587" s="320"/>
      <c r="AT587" s="320"/>
      <c r="AU587" s="321"/>
    </row>
    <row r="588">
      <c r="A588" s="319"/>
      <c r="B588" s="320"/>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c r="AA588" s="320"/>
      <c r="AB588" s="320"/>
      <c r="AC588" s="320"/>
      <c r="AD588" s="320"/>
      <c r="AE588" s="320"/>
      <c r="AF588" s="320"/>
      <c r="AG588" s="320"/>
      <c r="AH588" s="320"/>
      <c r="AI588" s="320"/>
      <c r="AJ588" s="320"/>
      <c r="AK588" s="320"/>
      <c r="AL588" s="320"/>
      <c r="AM588" s="320"/>
      <c r="AN588" s="320"/>
      <c r="AO588" s="320"/>
      <c r="AP588" s="320"/>
      <c r="AQ588" s="320"/>
      <c r="AR588" s="320"/>
      <c r="AS588" s="320"/>
      <c r="AT588" s="320"/>
      <c r="AU588" s="321"/>
    </row>
    <row r="589">
      <c r="A589" s="319"/>
      <c r="B589" s="320"/>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c r="AA589" s="320"/>
      <c r="AB589" s="320"/>
      <c r="AC589" s="320"/>
      <c r="AD589" s="320"/>
      <c r="AE589" s="320"/>
      <c r="AF589" s="320"/>
      <c r="AG589" s="320"/>
      <c r="AH589" s="320"/>
      <c r="AI589" s="320"/>
      <c r="AJ589" s="320"/>
      <c r="AK589" s="320"/>
      <c r="AL589" s="320"/>
      <c r="AM589" s="320"/>
      <c r="AN589" s="320"/>
      <c r="AO589" s="320"/>
      <c r="AP589" s="320"/>
      <c r="AQ589" s="320"/>
      <c r="AR589" s="320"/>
      <c r="AS589" s="320"/>
      <c r="AT589" s="320"/>
      <c r="AU589" s="321"/>
    </row>
    <row r="590">
      <c r="A590" s="319"/>
      <c r="B590" s="320"/>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c r="AA590" s="320"/>
      <c r="AB590" s="320"/>
      <c r="AC590" s="320"/>
      <c r="AD590" s="320"/>
      <c r="AE590" s="320"/>
      <c r="AF590" s="320"/>
      <c r="AG590" s="320"/>
      <c r="AH590" s="320"/>
      <c r="AI590" s="320"/>
      <c r="AJ590" s="320"/>
      <c r="AK590" s="320"/>
      <c r="AL590" s="320"/>
      <c r="AM590" s="320"/>
      <c r="AN590" s="320"/>
      <c r="AO590" s="320"/>
      <c r="AP590" s="320"/>
      <c r="AQ590" s="320"/>
      <c r="AR590" s="320"/>
      <c r="AS590" s="320"/>
      <c r="AT590" s="320"/>
      <c r="AU590" s="321"/>
    </row>
    <row r="591">
      <c r="A591" s="319"/>
      <c r="B591" s="320"/>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c r="AA591" s="320"/>
      <c r="AB591" s="320"/>
      <c r="AC591" s="320"/>
      <c r="AD591" s="320"/>
      <c r="AE591" s="320"/>
      <c r="AF591" s="320"/>
      <c r="AG591" s="320"/>
      <c r="AH591" s="320"/>
      <c r="AI591" s="320"/>
      <c r="AJ591" s="320"/>
      <c r="AK591" s="320"/>
      <c r="AL591" s="320"/>
      <c r="AM591" s="320"/>
      <c r="AN591" s="320"/>
      <c r="AO591" s="320"/>
      <c r="AP591" s="320"/>
      <c r="AQ591" s="320"/>
      <c r="AR591" s="320"/>
      <c r="AS591" s="320"/>
      <c r="AT591" s="320"/>
      <c r="AU591" s="321"/>
    </row>
    <row r="592">
      <c r="A592" s="319"/>
      <c r="B592" s="320"/>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c r="AA592" s="320"/>
      <c r="AB592" s="320"/>
      <c r="AC592" s="320"/>
      <c r="AD592" s="320"/>
      <c r="AE592" s="320"/>
      <c r="AF592" s="320"/>
      <c r="AG592" s="320"/>
      <c r="AH592" s="320"/>
      <c r="AI592" s="320"/>
      <c r="AJ592" s="320"/>
      <c r="AK592" s="320"/>
      <c r="AL592" s="320"/>
      <c r="AM592" s="320"/>
      <c r="AN592" s="320"/>
      <c r="AO592" s="320"/>
      <c r="AP592" s="320"/>
      <c r="AQ592" s="320"/>
      <c r="AR592" s="320"/>
      <c r="AS592" s="320"/>
      <c r="AT592" s="320"/>
      <c r="AU592" s="321"/>
    </row>
    <row r="593">
      <c r="A593" s="319"/>
      <c r="B593" s="320"/>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c r="AA593" s="320"/>
      <c r="AB593" s="320"/>
      <c r="AC593" s="320"/>
      <c r="AD593" s="320"/>
      <c r="AE593" s="320"/>
      <c r="AF593" s="320"/>
      <c r="AG593" s="320"/>
      <c r="AH593" s="320"/>
      <c r="AI593" s="320"/>
      <c r="AJ593" s="320"/>
      <c r="AK593" s="320"/>
      <c r="AL593" s="320"/>
      <c r="AM593" s="320"/>
      <c r="AN593" s="320"/>
      <c r="AO593" s="320"/>
      <c r="AP593" s="320"/>
      <c r="AQ593" s="320"/>
      <c r="AR593" s="320"/>
      <c r="AS593" s="320"/>
      <c r="AT593" s="320"/>
      <c r="AU593" s="321"/>
    </row>
    <row r="594">
      <c r="A594" s="319"/>
      <c r="B594" s="320"/>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c r="AA594" s="320"/>
      <c r="AB594" s="320"/>
      <c r="AC594" s="320"/>
      <c r="AD594" s="320"/>
      <c r="AE594" s="320"/>
      <c r="AF594" s="320"/>
      <c r="AG594" s="320"/>
      <c r="AH594" s="320"/>
      <c r="AI594" s="320"/>
      <c r="AJ594" s="320"/>
      <c r="AK594" s="320"/>
      <c r="AL594" s="320"/>
      <c r="AM594" s="320"/>
      <c r="AN594" s="320"/>
      <c r="AO594" s="320"/>
      <c r="AP594" s="320"/>
      <c r="AQ594" s="320"/>
      <c r="AR594" s="320"/>
      <c r="AS594" s="320"/>
      <c r="AT594" s="320"/>
      <c r="AU594" s="321"/>
    </row>
    <row r="595">
      <c r="A595" s="319"/>
      <c r="B595" s="320"/>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c r="AA595" s="320"/>
      <c r="AB595" s="320"/>
      <c r="AC595" s="320"/>
      <c r="AD595" s="320"/>
      <c r="AE595" s="320"/>
      <c r="AF595" s="320"/>
      <c r="AG595" s="320"/>
      <c r="AH595" s="320"/>
      <c r="AI595" s="320"/>
      <c r="AJ595" s="320"/>
      <c r="AK595" s="320"/>
      <c r="AL595" s="320"/>
      <c r="AM595" s="320"/>
      <c r="AN595" s="320"/>
      <c r="AO595" s="320"/>
      <c r="AP595" s="320"/>
      <c r="AQ595" s="320"/>
      <c r="AR595" s="320"/>
      <c r="AS595" s="320"/>
      <c r="AT595" s="320"/>
      <c r="AU595" s="321"/>
    </row>
    <row r="596">
      <c r="A596" s="319"/>
      <c r="B596" s="320"/>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c r="AA596" s="320"/>
      <c r="AB596" s="320"/>
      <c r="AC596" s="320"/>
      <c r="AD596" s="320"/>
      <c r="AE596" s="320"/>
      <c r="AF596" s="320"/>
      <c r="AG596" s="320"/>
      <c r="AH596" s="320"/>
      <c r="AI596" s="320"/>
      <c r="AJ596" s="320"/>
      <c r="AK596" s="320"/>
      <c r="AL596" s="320"/>
      <c r="AM596" s="320"/>
      <c r="AN596" s="320"/>
      <c r="AO596" s="320"/>
      <c r="AP596" s="320"/>
      <c r="AQ596" s="320"/>
      <c r="AR596" s="320"/>
      <c r="AS596" s="320"/>
      <c r="AT596" s="320"/>
      <c r="AU596" s="321"/>
    </row>
    <row r="597">
      <c r="A597" s="319"/>
      <c r="B597" s="320"/>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c r="AA597" s="320"/>
      <c r="AB597" s="320"/>
      <c r="AC597" s="320"/>
      <c r="AD597" s="320"/>
      <c r="AE597" s="320"/>
      <c r="AF597" s="320"/>
      <c r="AG597" s="320"/>
      <c r="AH597" s="320"/>
      <c r="AI597" s="320"/>
      <c r="AJ597" s="320"/>
      <c r="AK597" s="320"/>
      <c r="AL597" s="320"/>
      <c r="AM597" s="320"/>
      <c r="AN597" s="320"/>
      <c r="AO597" s="320"/>
      <c r="AP597" s="320"/>
      <c r="AQ597" s="320"/>
      <c r="AR597" s="320"/>
      <c r="AS597" s="320"/>
      <c r="AT597" s="320"/>
      <c r="AU597" s="321"/>
    </row>
    <row r="598">
      <c r="A598" s="319"/>
      <c r="B598" s="320"/>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c r="AA598" s="320"/>
      <c r="AB598" s="320"/>
      <c r="AC598" s="320"/>
      <c r="AD598" s="320"/>
      <c r="AE598" s="320"/>
      <c r="AF598" s="320"/>
      <c r="AG598" s="320"/>
      <c r="AH598" s="320"/>
      <c r="AI598" s="320"/>
      <c r="AJ598" s="320"/>
      <c r="AK598" s="320"/>
      <c r="AL598" s="320"/>
      <c r="AM598" s="320"/>
      <c r="AN598" s="320"/>
      <c r="AO598" s="320"/>
      <c r="AP598" s="320"/>
      <c r="AQ598" s="320"/>
      <c r="AR598" s="320"/>
      <c r="AS598" s="320"/>
      <c r="AT598" s="320"/>
      <c r="AU598" s="321"/>
    </row>
    <row r="599">
      <c r="A599" s="319"/>
      <c r="B599" s="320"/>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c r="AA599" s="320"/>
      <c r="AB599" s="320"/>
      <c r="AC599" s="320"/>
      <c r="AD599" s="320"/>
      <c r="AE599" s="320"/>
      <c r="AF599" s="320"/>
      <c r="AG599" s="320"/>
      <c r="AH599" s="320"/>
      <c r="AI599" s="320"/>
      <c r="AJ599" s="320"/>
      <c r="AK599" s="320"/>
      <c r="AL599" s="320"/>
      <c r="AM599" s="320"/>
      <c r="AN599" s="320"/>
      <c r="AO599" s="320"/>
      <c r="AP599" s="320"/>
      <c r="AQ599" s="320"/>
      <c r="AR599" s="320"/>
      <c r="AS599" s="320"/>
      <c r="AT599" s="320"/>
      <c r="AU599" s="321"/>
    </row>
    <row r="600">
      <c r="A600" s="319"/>
      <c r="B600" s="320"/>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c r="AA600" s="320"/>
      <c r="AB600" s="320"/>
      <c r="AC600" s="320"/>
      <c r="AD600" s="320"/>
      <c r="AE600" s="320"/>
      <c r="AF600" s="320"/>
      <c r="AG600" s="320"/>
      <c r="AH600" s="320"/>
      <c r="AI600" s="320"/>
      <c r="AJ600" s="320"/>
      <c r="AK600" s="320"/>
      <c r="AL600" s="320"/>
      <c r="AM600" s="320"/>
      <c r="AN600" s="320"/>
      <c r="AO600" s="320"/>
      <c r="AP600" s="320"/>
      <c r="AQ600" s="320"/>
      <c r="AR600" s="320"/>
      <c r="AS600" s="320"/>
      <c r="AT600" s="320"/>
      <c r="AU600" s="321"/>
    </row>
    <row r="601">
      <c r="A601" s="319"/>
      <c r="B601" s="320"/>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c r="AA601" s="320"/>
      <c r="AB601" s="320"/>
      <c r="AC601" s="320"/>
      <c r="AD601" s="320"/>
      <c r="AE601" s="320"/>
      <c r="AF601" s="320"/>
      <c r="AG601" s="320"/>
      <c r="AH601" s="320"/>
      <c r="AI601" s="320"/>
      <c r="AJ601" s="320"/>
      <c r="AK601" s="320"/>
      <c r="AL601" s="320"/>
      <c r="AM601" s="320"/>
      <c r="AN601" s="320"/>
      <c r="AO601" s="320"/>
      <c r="AP601" s="320"/>
      <c r="AQ601" s="320"/>
      <c r="AR601" s="320"/>
      <c r="AS601" s="320"/>
      <c r="AT601" s="320"/>
      <c r="AU601" s="321"/>
    </row>
    <row r="602">
      <c r="A602" s="319"/>
      <c r="B602" s="320"/>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c r="AA602" s="320"/>
      <c r="AB602" s="320"/>
      <c r="AC602" s="320"/>
      <c r="AD602" s="320"/>
      <c r="AE602" s="320"/>
      <c r="AF602" s="320"/>
      <c r="AG602" s="320"/>
      <c r="AH602" s="320"/>
      <c r="AI602" s="320"/>
      <c r="AJ602" s="320"/>
      <c r="AK602" s="320"/>
      <c r="AL602" s="320"/>
      <c r="AM602" s="320"/>
      <c r="AN602" s="320"/>
      <c r="AO602" s="320"/>
      <c r="AP602" s="320"/>
      <c r="AQ602" s="320"/>
      <c r="AR602" s="320"/>
      <c r="AS602" s="320"/>
      <c r="AT602" s="320"/>
      <c r="AU602" s="321"/>
    </row>
    <row r="603">
      <c r="A603" s="319"/>
      <c r="B603" s="320"/>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c r="AA603" s="320"/>
      <c r="AB603" s="320"/>
      <c r="AC603" s="320"/>
      <c r="AD603" s="320"/>
      <c r="AE603" s="320"/>
      <c r="AF603" s="320"/>
      <c r="AG603" s="320"/>
      <c r="AH603" s="320"/>
      <c r="AI603" s="320"/>
      <c r="AJ603" s="320"/>
      <c r="AK603" s="320"/>
      <c r="AL603" s="320"/>
      <c r="AM603" s="320"/>
      <c r="AN603" s="320"/>
      <c r="AO603" s="320"/>
      <c r="AP603" s="320"/>
      <c r="AQ603" s="320"/>
      <c r="AR603" s="320"/>
      <c r="AS603" s="320"/>
      <c r="AT603" s="320"/>
      <c r="AU603" s="321"/>
    </row>
    <row r="604">
      <c r="A604" s="319"/>
      <c r="B604" s="320"/>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c r="AA604" s="320"/>
      <c r="AB604" s="320"/>
      <c r="AC604" s="320"/>
      <c r="AD604" s="320"/>
      <c r="AE604" s="320"/>
      <c r="AF604" s="320"/>
      <c r="AG604" s="320"/>
      <c r="AH604" s="320"/>
      <c r="AI604" s="320"/>
      <c r="AJ604" s="320"/>
      <c r="AK604" s="320"/>
      <c r="AL604" s="320"/>
      <c r="AM604" s="320"/>
      <c r="AN604" s="320"/>
      <c r="AO604" s="320"/>
      <c r="AP604" s="320"/>
      <c r="AQ604" s="320"/>
      <c r="AR604" s="320"/>
      <c r="AS604" s="320"/>
      <c r="AT604" s="320"/>
      <c r="AU604" s="321"/>
    </row>
    <row r="605">
      <c r="A605" s="319"/>
      <c r="B605" s="320"/>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c r="AA605" s="320"/>
      <c r="AB605" s="320"/>
      <c r="AC605" s="320"/>
      <c r="AD605" s="320"/>
      <c r="AE605" s="320"/>
      <c r="AF605" s="320"/>
      <c r="AG605" s="320"/>
      <c r="AH605" s="320"/>
      <c r="AI605" s="320"/>
      <c r="AJ605" s="320"/>
      <c r="AK605" s="320"/>
      <c r="AL605" s="320"/>
      <c r="AM605" s="320"/>
      <c r="AN605" s="320"/>
      <c r="AO605" s="320"/>
      <c r="AP605" s="320"/>
      <c r="AQ605" s="320"/>
      <c r="AR605" s="320"/>
      <c r="AS605" s="320"/>
      <c r="AT605" s="320"/>
      <c r="AU605" s="321"/>
    </row>
    <row r="606">
      <c r="A606" s="319"/>
      <c r="B606" s="320"/>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c r="AA606" s="320"/>
      <c r="AB606" s="320"/>
      <c r="AC606" s="320"/>
      <c r="AD606" s="320"/>
      <c r="AE606" s="320"/>
      <c r="AF606" s="320"/>
      <c r="AG606" s="320"/>
      <c r="AH606" s="320"/>
      <c r="AI606" s="320"/>
      <c r="AJ606" s="320"/>
      <c r="AK606" s="320"/>
      <c r="AL606" s="320"/>
      <c r="AM606" s="320"/>
      <c r="AN606" s="320"/>
      <c r="AO606" s="320"/>
      <c r="AP606" s="320"/>
      <c r="AQ606" s="320"/>
      <c r="AR606" s="320"/>
      <c r="AS606" s="320"/>
      <c r="AT606" s="320"/>
      <c r="AU606" s="321"/>
    </row>
    <row r="607">
      <c r="A607" s="319"/>
      <c r="B607" s="320"/>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c r="AA607" s="320"/>
      <c r="AB607" s="320"/>
      <c r="AC607" s="320"/>
      <c r="AD607" s="320"/>
      <c r="AE607" s="320"/>
      <c r="AF607" s="320"/>
      <c r="AG607" s="320"/>
      <c r="AH607" s="320"/>
      <c r="AI607" s="320"/>
      <c r="AJ607" s="320"/>
      <c r="AK607" s="320"/>
      <c r="AL607" s="320"/>
      <c r="AM607" s="320"/>
      <c r="AN607" s="320"/>
      <c r="AO607" s="320"/>
      <c r="AP607" s="320"/>
      <c r="AQ607" s="320"/>
      <c r="AR607" s="320"/>
      <c r="AS607" s="320"/>
      <c r="AT607" s="320"/>
      <c r="AU607" s="321"/>
    </row>
    <row r="608">
      <c r="A608" s="319"/>
      <c r="B608" s="320"/>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c r="AA608" s="320"/>
      <c r="AB608" s="320"/>
      <c r="AC608" s="320"/>
      <c r="AD608" s="320"/>
      <c r="AE608" s="320"/>
      <c r="AF608" s="320"/>
      <c r="AG608" s="320"/>
      <c r="AH608" s="320"/>
      <c r="AI608" s="320"/>
      <c r="AJ608" s="320"/>
      <c r="AK608" s="320"/>
      <c r="AL608" s="320"/>
      <c r="AM608" s="320"/>
      <c r="AN608" s="320"/>
      <c r="AO608" s="320"/>
      <c r="AP608" s="320"/>
      <c r="AQ608" s="320"/>
      <c r="AR608" s="320"/>
      <c r="AS608" s="320"/>
      <c r="AT608" s="320"/>
      <c r="AU608" s="321"/>
    </row>
    <row r="609">
      <c r="A609" s="319"/>
      <c r="B609" s="320"/>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c r="AA609" s="320"/>
      <c r="AB609" s="320"/>
      <c r="AC609" s="320"/>
      <c r="AD609" s="320"/>
      <c r="AE609" s="320"/>
      <c r="AF609" s="320"/>
      <c r="AG609" s="320"/>
      <c r="AH609" s="320"/>
      <c r="AI609" s="320"/>
      <c r="AJ609" s="320"/>
      <c r="AK609" s="320"/>
      <c r="AL609" s="320"/>
      <c r="AM609" s="320"/>
      <c r="AN609" s="320"/>
      <c r="AO609" s="320"/>
      <c r="AP609" s="320"/>
      <c r="AQ609" s="320"/>
      <c r="AR609" s="320"/>
      <c r="AS609" s="320"/>
      <c r="AT609" s="320"/>
      <c r="AU609" s="321"/>
    </row>
    <row r="610">
      <c r="A610" s="319"/>
      <c r="B610" s="320"/>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c r="AA610" s="320"/>
      <c r="AB610" s="320"/>
      <c r="AC610" s="320"/>
      <c r="AD610" s="320"/>
      <c r="AE610" s="320"/>
      <c r="AF610" s="320"/>
      <c r="AG610" s="320"/>
      <c r="AH610" s="320"/>
      <c r="AI610" s="320"/>
      <c r="AJ610" s="320"/>
      <c r="AK610" s="320"/>
      <c r="AL610" s="320"/>
      <c r="AM610" s="320"/>
      <c r="AN610" s="320"/>
      <c r="AO610" s="320"/>
      <c r="AP610" s="320"/>
      <c r="AQ610" s="320"/>
      <c r="AR610" s="320"/>
      <c r="AS610" s="320"/>
      <c r="AT610" s="320"/>
      <c r="AU610" s="321"/>
    </row>
    <row r="611">
      <c r="A611" s="319"/>
      <c r="B611" s="320"/>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c r="AA611" s="320"/>
      <c r="AB611" s="320"/>
      <c r="AC611" s="320"/>
      <c r="AD611" s="320"/>
      <c r="AE611" s="320"/>
      <c r="AF611" s="320"/>
      <c r="AG611" s="320"/>
      <c r="AH611" s="320"/>
      <c r="AI611" s="320"/>
      <c r="AJ611" s="320"/>
      <c r="AK611" s="320"/>
      <c r="AL611" s="320"/>
      <c r="AM611" s="320"/>
      <c r="AN611" s="320"/>
      <c r="AO611" s="320"/>
      <c r="AP611" s="320"/>
      <c r="AQ611" s="320"/>
      <c r="AR611" s="320"/>
      <c r="AS611" s="320"/>
      <c r="AT611" s="320"/>
      <c r="AU611" s="321"/>
    </row>
    <row r="612">
      <c r="A612" s="319"/>
      <c r="B612" s="320"/>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c r="AA612" s="320"/>
      <c r="AB612" s="320"/>
      <c r="AC612" s="320"/>
      <c r="AD612" s="320"/>
      <c r="AE612" s="320"/>
      <c r="AF612" s="320"/>
      <c r="AG612" s="320"/>
      <c r="AH612" s="320"/>
      <c r="AI612" s="320"/>
      <c r="AJ612" s="320"/>
      <c r="AK612" s="320"/>
      <c r="AL612" s="320"/>
      <c r="AM612" s="320"/>
      <c r="AN612" s="320"/>
      <c r="AO612" s="320"/>
      <c r="AP612" s="320"/>
      <c r="AQ612" s="320"/>
      <c r="AR612" s="320"/>
      <c r="AS612" s="320"/>
      <c r="AT612" s="320"/>
      <c r="AU612" s="321"/>
    </row>
    <row r="613">
      <c r="A613" s="319"/>
      <c r="B613" s="320"/>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c r="AA613" s="320"/>
      <c r="AB613" s="320"/>
      <c r="AC613" s="320"/>
      <c r="AD613" s="320"/>
      <c r="AE613" s="320"/>
      <c r="AF613" s="320"/>
      <c r="AG613" s="320"/>
      <c r="AH613" s="320"/>
      <c r="AI613" s="320"/>
      <c r="AJ613" s="320"/>
      <c r="AK613" s="320"/>
      <c r="AL613" s="320"/>
      <c r="AM613" s="320"/>
      <c r="AN613" s="320"/>
      <c r="AO613" s="320"/>
      <c r="AP613" s="320"/>
      <c r="AQ613" s="320"/>
      <c r="AR613" s="320"/>
      <c r="AS613" s="320"/>
      <c r="AT613" s="320"/>
      <c r="AU613" s="321"/>
    </row>
    <row r="614">
      <c r="A614" s="319"/>
      <c r="B614" s="320"/>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c r="AA614" s="320"/>
      <c r="AB614" s="320"/>
      <c r="AC614" s="320"/>
      <c r="AD614" s="320"/>
      <c r="AE614" s="320"/>
      <c r="AF614" s="320"/>
      <c r="AG614" s="320"/>
      <c r="AH614" s="320"/>
      <c r="AI614" s="320"/>
      <c r="AJ614" s="320"/>
      <c r="AK614" s="320"/>
      <c r="AL614" s="320"/>
      <c r="AM614" s="320"/>
      <c r="AN614" s="320"/>
      <c r="AO614" s="320"/>
      <c r="AP614" s="320"/>
      <c r="AQ614" s="320"/>
      <c r="AR614" s="320"/>
      <c r="AS614" s="320"/>
      <c r="AT614" s="320"/>
      <c r="AU614" s="321"/>
    </row>
    <row r="615">
      <c r="A615" s="319"/>
      <c r="B615" s="320"/>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c r="AA615" s="320"/>
      <c r="AB615" s="320"/>
      <c r="AC615" s="320"/>
      <c r="AD615" s="320"/>
      <c r="AE615" s="320"/>
      <c r="AF615" s="320"/>
      <c r="AG615" s="320"/>
      <c r="AH615" s="320"/>
      <c r="AI615" s="320"/>
      <c r="AJ615" s="320"/>
      <c r="AK615" s="320"/>
      <c r="AL615" s="320"/>
      <c r="AM615" s="320"/>
      <c r="AN615" s="320"/>
      <c r="AO615" s="320"/>
      <c r="AP615" s="320"/>
      <c r="AQ615" s="320"/>
      <c r="AR615" s="320"/>
      <c r="AS615" s="320"/>
      <c r="AT615" s="320"/>
      <c r="AU615" s="321"/>
    </row>
    <row r="616">
      <c r="A616" s="319"/>
      <c r="B616" s="320"/>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c r="AA616" s="320"/>
      <c r="AB616" s="320"/>
      <c r="AC616" s="320"/>
      <c r="AD616" s="320"/>
      <c r="AE616" s="320"/>
      <c r="AF616" s="320"/>
      <c r="AG616" s="320"/>
      <c r="AH616" s="320"/>
      <c r="AI616" s="320"/>
      <c r="AJ616" s="320"/>
      <c r="AK616" s="320"/>
      <c r="AL616" s="320"/>
      <c r="AM616" s="320"/>
      <c r="AN616" s="320"/>
      <c r="AO616" s="320"/>
      <c r="AP616" s="320"/>
      <c r="AQ616" s="320"/>
      <c r="AR616" s="320"/>
      <c r="AS616" s="320"/>
      <c r="AT616" s="320"/>
      <c r="AU616" s="321"/>
    </row>
    <row r="617">
      <c r="A617" s="319"/>
      <c r="B617" s="320"/>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c r="AA617" s="320"/>
      <c r="AB617" s="320"/>
      <c r="AC617" s="320"/>
      <c r="AD617" s="320"/>
      <c r="AE617" s="320"/>
      <c r="AF617" s="320"/>
      <c r="AG617" s="320"/>
      <c r="AH617" s="320"/>
      <c r="AI617" s="320"/>
      <c r="AJ617" s="320"/>
      <c r="AK617" s="320"/>
      <c r="AL617" s="320"/>
      <c r="AM617" s="320"/>
      <c r="AN617" s="320"/>
      <c r="AO617" s="320"/>
      <c r="AP617" s="320"/>
      <c r="AQ617" s="320"/>
      <c r="AR617" s="320"/>
      <c r="AS617" s="320"/>
      <c r="AT617" s="320"/>
      <c r="AU617" s="321"/>
    </row>
    <row r="618">
      <c r="A618" s="319"/>
      <c r="B618" s="320"/>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c r="AA618" s="320"/>
      <c r="AB618" s="320"/>
      <c r="AC618" s="320"/>
      <c r="AD618" s="320"/>
      <c r="AE618" s="320"/>
      <c r="AF618" s="320"/>
      <c r="AG618" s="320"/>
      <c r="AH618" s="320"/>
      <c r="AI618" s="320"/>
      <c r="AJ618" s="320"/>
      <c r="AK618" s="320"/>
      <c r="AL618" s="320"/>
      <c r="AM618" s="320"/>
      <c r="AN618" s="320"/>
      <c r="AO618" s="320"/>
      <c r="AP618" s="320"/>
      <c r="AQ618" s="320"/>
      <c r="AR618" s="320"/>
      <c r="AS618" s="320"/>
      <c r="AT618" s="320"/>
      <c r="AU618" s="321"/>
    </row>
    <row r="619">
      <c r="A619" s="319"/>
      <c r="B619" s="320"/>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c r="AA619" s="320"/>
      <c r="AB619" s="320"/>
      <c r="AC619" s="320"/>
      <c r="AD619" s="320"/>
      <c r="AE619" s="320"/>
      <c r="AF619" s="320"/>
      <c r="AG619" s="320"/>
      <c r="AH619" s="320"/>
      <c r="AI619" s="320"/>
      <c r="AJ619" s="320"/>
      <c r="AK619" s="320"/>
      <c r="AL619" s="320"/>
      <c r="AM619" s="320"/>
      <c r="AN619" s="320"/>
      <c r="AO619" s="320"/>
      <c r="AP619" s="320"/>
      <c r="AQ619" s="320"/>
      <c r="AR619" s="320"/>
      <c r="AS619" s="320"/>
      <c r="AT619" s="320"/>
      <c r="AU619" s="321"/>
    </row>
    <row r="620">
      <c r="A620" s="319"/>
      <c r="B620" s="320"/>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c r="AA620" s="320"/>
      <c r="AB620" s="320"/>
      <c r="AC620" s="320"/>
      <c r="AD620" s="320"/>
      <c r="AE620" s="320"/>
      <c r="AF620" s="320"/>
      <c r="AG620" s="320"/>
      <c r="AH620" s="320"/>
      <c r="AI620" s="320"/>
      <c r="AJ620" s="320"/>
      <c r="AK620" s="320"/>
      <c r="AL620" s="320"/>
      <c r="AM620" s="320"/>
      <c r="AN620" s="320"/>
      <c r="AO620" s="320"/>
      <c r="AP620" s="320"/>
      <c r="AQ620" s="320"/>
      <c r="AR620" s="320"/>
      <c r="AS620" s="320"/>
      <c r="AT620" s="320"/>
      <c r="AU620" s="321"/>
    </row>
    <row r="621">
      <c r="A621" s="319"/>
      <c r="B621" s="320"/>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c r="AA621" s="320"/>
      <c r="AB621" s="320"/>
      <c r="AC621" s="320"/>
      <c r="AD621" s="320"/>
      <c r="AE621" s="320"/>
      <c r="AF621" s="320"/>
      <c r="AG621" s="320"/>
      <c r="AH621" s="320"/>
      <c r="AI621" s="320"/>
      <c r="AJ621" s="320"/>
      <c r="AK621" s="320"/>
      <c r="AL621" s="320"/>
      <c r="AM621" s="320"/>
      <c r="AN621" s="320"/>
      <c r="AO621" s="320"/>
      <c r="AP621" s="320"/>
      <c r="AQ621" s="320"/>
      <c r="AR621" s="320"/>
      <c r="AS621" s="320"/>
      <c r="AT621" s="320"/>
      <c r="AU621" s="321"/>
    </row>
    <row r="622">
      <c r="A622" s="319"/>
      <c r="B622" s="320"/>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c r="AA622" s="320"/>
      <c r="AB622" s="320"/>
      <c r="AC622" s="320"/>
      <c r="AD622" s="320"/>
      <c r="AE622" s="320"/>
      <c r="AF622" s="320"/>
      <c r="AG622" s="320"/>
      <c r="AH622" s="320"/>
      <c r="AI622" s="320"/>
      <c r="AJ622" s="320"/>
      <c r="AK622" s="320"/>
      <c r="AL622" s="320"/>
      <c r="AM622" s="320"/>
      <c r="AN622" s="320"/>
      <c r="AO622" s="320"/>
      <c r="AP622" s="320"/>
      <c r="AQ622" s="320"/>
      <c r="AR622" s="320"/>
      <c r="AS622" s="320"/>
      <c r="AT622" s="320"/>
      <c r="AU622" s="321"/>
    </row>
    <row r="623">
      <c r="A623" s="319"/>
      <c r="B623" s="320"/>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c r="AA623" s="320"/>
      <c r="AB623" s="320"/>
      <c r="AC623" s="320"/>
      <c r="AD623" s="320"/>
      <c r="AE623" s="320"/>
      <c r="AF623" s="320"/>
      <c r="AG623" s="320"/>
      <c r="AH623" s="320"/>
      <c r="AI623" s="320"/>
      <c r="AJ623" s="320"/>
      <c r="AK623" s="320"/>
      <c r="AL623" s="320"/>
      <c r="AM623" s="320"/>
      <c r="AN623" s="320"/>
      <c r="AO623" s="320"/>
      <c r="AP623" s="320"/>
      <c r="AQ623" s="320"/>
      <c r="AR623" s="320"/>
      <c r="AS623" s="320"/>
      <c r="AT623" s="320"/>
      <c r="AU623" s="321"/>
    </row>
    <row r="624">
      <c r="A624" s="319"/>
      <c r="B624" s="320"/>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c r="AA624" s="320"/>
      <c r="AB624" s="320"/>
      <c r="AC624" s="320"/>
      <c r="AD624" s="320"/>
      <c r="AE624" s="320"/>
      <c r="AF624" s="320"/>
      <c r="AG624" s="320"/>
      <c r="AH624" s="320"/>
      <c r="AI624" s="320"/>
      <c r="AJ624" s="320"/>
      <c r="AK624" s="320"/>
      <c r="AL624" s="320"/>
      <c r="AM624" s="320"/>
      <c r="AN624" s="320"/>
      <c r="AO624" s="320"/>
      <c r="AP624" s="320"/>
      <c r="AQ624" s="320"/>
      <c r="AR624" s="320"/>
      <c r="AS624" s="320"/>
      <c r="AT624" s="320"/>
      <c r="AU624" s="321"/>
    </row>
    <row r="625">
      <c r="A625" s="319"/>
      <c r="B625" s="320"/>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c r="AA625" s="320"/>
      <c r="AB625" s="320"/>
      <c r="AC625" s="320"/>
      <c r="AD625" s="320"/>
      <c r="AE625" s="320"/>
      <c r="AF625" s="320"/>
      <c r="AG625" s="320"/>
      <c r="AH625" s="320"/>
      <c r="AI625" s="320"/>
      <c r="AJ625" s="320"/>
      <c r="AK625" s="320"/>
      <c r="AL625" s="320"/>
      <c r="AM625" s="320"/>
      <c r="AN625" s="320"/>
      <c r="AO625" s="320"/>
      <c r="AP625" s="320"/>
      <c r="AQ625" s="320"/>
      <c r="AR625" s="320"/>
      <c r="AS625" s="320"/>
      <c r="AT625" s="320"/>
      <c r="AU625" s="321"/>
    </row>
    <row r="626">
      <c r="A626" s="319"/>
      <c r="B626" s="320"/>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c r="AA626" s="320"/>
      <c r="AB626" s="320"/>
      <c r="AC626" s="320"/>
      <c r="AD626" s="320"/>
      <c r="AE626" s="320"/>
      <c r="AF626" s="320"/>
      <c r="AG626" s="320"/>
      <c r="AH626" s="320"/>
      <c r="AI626" s="320"/>
      <c r="AJ626" s="320"/>
      <c r="AK626" s="320"/>
      <c r="AL626" s="320"/>
      <c r="AM626" s="320"/>
      <c r="AN626" s="320"/>
      <c r="AO626" s="320"/>
      <c r="AP626" s="320"/>
      <c r="AQ626" s="320"/>
      <c r="AR626" s="320"/>
      <c r="AS626" s="320"/>
      <c r="AT626" s="320"/>
      <c r="AU626" s="321"/>
    </row>
    <row r="627">
      <c r="A627" s="319"/>
      <c r="B627" s="320"/>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c r="AA627" s="320"/>
      <c r="AB627" s="320"/>
      <c r="AC627" s="320"/>
      <c r="AD627" s="320"/>
      <c r="AE627" s="320"/>
      <c r="AF627" s="320"/>
      <c r="AG627" s="320"/>
      <c r="AH627" s="320"/>
      <c r="AI627" s="320"/>
      <c r="AJ627" s="320"/>
      <c r="AK627" s="320"/>
      <c r="AL627" s="320"/>
      <c r="AM627" s="320"/>
      <c r="AN627" s="320"/>
      <c r="AO627" s="320"/>
      <c r="AP627" s="320"/>
      <c r="AQ627" s="320"/>
      <c r="AR627" s="320"/>
      <c r="AS627" s="320"/>
      <c r="AT627" s="320"/>
      <c r="AU627" s="321"/>
    </row>
    <row r="628">
      <c r="A628" s="319"/>
      <c r="B628" s="320"/>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c r="AA628" s="320"/>
      <c r="AB628" s="320"/>
      <c r="AC628" s="320"/>
      <c r="AD628" s="320"/>
      <c r="AE628" s="320"/>
      <c r="AF628" s="320"/>
      <c r="AG628" s="320"/>
      <c r="AH628" s="320"/>
      <c r="AI628" s="320"/>
      <c r="AJ628" s="320"/>
      <c r="AK628" s="320"/>
      <c r="AL628" s="320"/>
      <c r="AM628" s="320"/>
      <c r="AN628" s="320"/>
      <c r="AO628" s="320"/>
      <c r="AP628" s="320"/>
      <c r="AQ628" s="320"/>
      <c r="AR628" s="320"/>
      <c r="AS628" s="320"/>
      <c r="AT628" s="320"/>
      <c r="AU628" s="321"/>
    </row>
    <row r="629">
      <c r="A629" s="319"/>
      <c r="B629" s="320"/>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c r="AA629" s="320"/>
      <c r="AB629" s="320"/>
      <c r="AC629" s="320"/>
      <c r="AD629" s="320"/>
      <c r="AE629" s="320"/>
      <c r="AF629" s="320"/>
      <c r="AG629" s="320"/>
      <c r="AH629" s="320"/>
      <c r="AI629" s="320"/>
      <c r="AJ629" s="320"/>
      <c r="AK629" s="320"/>
      <c r="AL629" s="320"/>
      <c r="AM629" s="320"/>
      <c r="AN629" s="320"/>
      <c r="AO629" s="320"/>
      <c r="AP629" s="320"/>
      <c r="AQ629" s="320"/>
      <c r="AR629" s="320"/>
      <c r="AS629" s="320"/>
      <c r="AT629" s="320"/>
      <c r="AU629" s="321"/>
    </row>
    <row r="630">
      <c r="A630" s="319"/>
      <c r="B630" s="320"/>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c r="AA630" s="320"/>
      <c r="AB630" s="320"/>
      <c r="AC630" s="320"/>
      <c r="AD630" s="320"/>
      <c r="AE630" s="320"/>
      <c r="AF630" s="320"/>
      <c r="AG630" s="320"/>
      <c r="AH630" s="320"/>
      <c r="AI630" s="320"/>
      <c r="AJ630" s="320"/>
      <c r="AK630" s="320"/>
      <c r="AL630" s="320"/>
      <c r="AM630" s="320"/>
      <c r="AN630" s="320"/>
      <c r="AO630" s="320"/>
      <c r="AP630" s="320"/>
      <c r="AQ630" s="320"/>
      <c r="AR630" s="320"/>
      <c r="AS630" s="320"/>
      <c r="AT630" s="320"/>
      <c r="AU630" s="321"/>
    </row>
    <row r="631">
      <c r="A631" s="319"/>
      <c r="B631" s="320"/>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c r="AA631" s="320"/>
      <c r="AB631" s="320"/>
      <c r="AC631" s="320"/>
      <c r="AD631" s="320"/>
      <c r="AE631" s="320"/>
      <c r="AF631" s="320"/>
      <c r="AG631" s="320"/>
      <c r="AH631" s="320"/>
      <c r="AI631" s="320"/>
      <c r="AJ631" s="320"/>
      <c r="AK631" s="320"/>
      <c r="AL631" s="320"/>
      <c r="AM631" s="320"/>
      <c r="AN631" s="320"/>
      <c r="AO631" s="320"/>
      <c r="AP631" s="320"/>
      <c r="AQ631" s="320"/>
      <c r="AR631" s="320"/>
      <c r="AS631" s="320"/>
      <c r="AT631" s="320"/>
      <c r="AU631" s="321"/>
    </row>
    <row r="632">
      <c r="A632" s="319"/>
      <c r="B632" s="320"/>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c r="AA632" s="320"/>
      <c r="AB632" s="320"/>
      <c r="AC632" s="320"/>
      <c r="AD632" s="320"/>
      <c r="AE632" s="320"/>
      <c r="AF632" s="320"/>
      <c r="AG632" s="320"/>
      <c r="AH632" s="320"/>
      <c r="AI632" s="320"/>
      <c r="AJ632" s="320"/>
      <c r="AK632" s="320"/>
      <c r="AL632" s="320"/>
      <c r="AM632" s="320"/>
      <c r="AN632" s="320"/>
      <c r="AO632" s="320"/>
      <c r="AP632" s="320"/>
      <c r="AQ632" s="320"/>
      <c r="AR632" s="320"/>
      <c r="AS632" s="320"/>
      <c r="AT632" s="320"/>
      <c r="AU632" s="321"/>
    </row>
    <row r="633">
      <c r="A633" s="319"/>
      <c r="B633" s="320"/>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c r="AA633" s="320"/>
      <c r="AB633" s="320"/>
      <c r="AC633" s="320"/>
      <c r="AD633" s="320"/>
      <c r="AE633" s="320"/>
      <c r="AF633" s="320"/>
      <c r="AG633" s="320"/>
      <c r="AH633" s="320"/>
      <c r="AI633" s="320"/>
      <c r="AJ633" s="320"/>
      <c r="AK633" s="320"/>
      <c r="AL633" s="320"/>
      <c r="AM633" s="320"/>
      <c r="AN633" s="320"/>
      <c r="AO633" s="320"/>
      <c r="AP633" s="320"/>
      <c r="AQ633" s="320"/>
      <c r="AR633" s="320"/>
      <c r="AS633" s="320"/>
      <c r="AT633" s="320"/>
      <c r="AU633" s="321"/>
    </row>
    <row r="634">
      <c r="A634" s="319"/>
      <c r="B634" s="320"/>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c r="AA634" s="320"/>
      <c r="AB634" s="320"/>
      <c r="AC634" s="320"/>
      <c r="AD634" s="320"/>
      <c r="AE634" s="320"/>
      <c r="AF634" s="320"/>
      <c r="AG634" s="320"/>
      <c r="AH634" s="320"/>
      <c r="AI634" s="320"/>
      <c r="AJ634" s="320"/>
      <c r="AK634" s="320"/>
      <c r="AL634" s="320"/>
      <c r="AM634" s="320"/>
      <c r="AN634" s="320"/>
      <c r="AO634" s="320"/>
      <c r="AP634" s="320"/>
      <c r="AQ634" s="320"/>
      <c r="AR634" s="320"/>
      <c r="AS634" s="320"/>
      <c r="AT634" s="320"/>
      <c r="AU634" s="321"/>
    </row>
    <row r="635">
      <c r="A635" s="319"/>
      <c r="B635" s="320"/>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c r="AA635" s="320"/>
      <c r="AB635" s="320"/>
      <c r="AC635" s="320"/>
      <c r="AD635" s="320"/>
      <c r="AE635" s="320"/>
      <c r="AF635" s="320"/>
      <c r="AG635" s="320"/>
      <c r="AH635" s="320"/>
      <c r="AI635" s="320"/>
      <c r="AJ635" s="320"/>
      <c r="AK635" s="320"/>
      <c r="AL635" s="320"/>
      <c r="AM635" s="320"/>
      <c r="AN635" s="320"/>
      <c r="AO635" s="320"/>
      <c r="AP635" s="320"/>
      <c r="AQ635" s="320"/>
      <c r="AR635" s="320"/>
      <c r="AS635" s="320"/>
      <c r="AT635" s="320"/>
      <c r="AU635" s="321"/>
    </row>
    <row r="636">
      <c r="A636" s="319"/>
      <c r="B636" s="320"/>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c r="AA636" s="320"/>
      <c r="AB636" s="320"/>
      <c r="AC636" s="320"/>
      <c r="AD636" s="320"/>
      <c r="AE636" s="320"/>
      <c r="AF636" s="320"/>
      <c r="AG636" s="320"/>
      <c r="AH636" s="320"/>
      <c r="AI636" s="320"/>
      <c r="AJ636" s="320"/>
      <c r="AK636" s="320"/>
      <c r="AL636" s="320"/>
      <c r="AM636" s="320"/>
      <c r="AN636" s="320"/>
      <c r="AO636" s="320"/>
      <c r="AP636" s="320"/>
      <c r="AQ636" s="320"/>
      <c r="AR636" s="320"/>
      <c r="AS636" s="320"/>
      <c r="AT636" s="320"/>
      <c r="AU636" s="321"/>
    </row>
    <row r="637">
      <c r="A637" s="319"/>
      <c r="B637" s="320"/>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c r="AA637" s="320"/>
      <c r="AB637" s="320"/>
      <c r="AC637" s="320"/>
      <c r="AD637" s="320"/>
      <c r="AE637" s="320"/>
      <c r="AF637" s="320"/>
      <c r="AG637" s="320"/>
      <c r="AH637" s="320"/>
      <c r="AI637" s="320"/>
      <c r="AJ637" s="320"/>
      <c r="AK637" s="320"/>
      <c r="AL637" s="320"/>
      <c r="AM637" s="320"/>
      <c r="AN637" s="320"/>
      <c r="AO637" s="320"/>
      <c r="AP637" s="320"/>
      <c r="AQ637" s="320"/>
      <c r="AR637" s="320"/>
      <c r="AS637" s="320"/>
      <c r="AT637" s="320"/>
      <c r="AU637" s="321"/>
    </row>
    <row r="638">
      <c r="A638" s="319"/>
      <c r="B638" s="320"/>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c r="AA638" s="320"/>
      <c r="AB638" s="320"/>
      <c r="AC638" s="320"/>
      <c r="AD638" s="320"/>
      <c r="AE638" s="320"/>
      <c r="AF638" s="320"/>
      <c r="AG638" s="320"/>
      <c r="AH638" s="320"/>
      <c r="AI638" s="320"/>
      <c r="AJ638" s="320"/>
      <c r="AK638" s="320"/>
      <c r="AL638" s="320"/>
      <c r="AM638" s="320"/>
      <c r="AN638" s="320"/>
      <c r="AO638" s="320"/>
      <c r="AP638" s="320"/>
      <c r="AQ638" s="320"/>
      <c r="AR638" s="320"/>
      <c r="AS638" s="320"/>
      <c r="AT638" s="320"/>
      <c r="AU638" s="321"/>
    </row>
    <row r="639">
      <c r="A639" s="319"/>
      <c r="B639" s="320"/>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c r="AA639" s="320"/>
      <c r="AB639" s="320"/>
      <c r="AC639" s="320"/>
      <c r="AD639" s="320"/>
      <c r="AE639" s="320"/>
      <c r="AF639" s="320"/>
      <c r="AG639" s="320"/>
      <c r="AH639" s="320"/>
      <c r="AI639" s="320"/>
      <c r="AJ639" s="320"/>
      <c r="AK639" s="320"/>
      <c r="AL639" s="320"/>
      <c r="AM639" s="320"/>
      <c r="AN639" s="320"/>
      <c r="AO639" s="320"/>
      <c r="AP639" s="320"/>
      <c r="AQ639" s="320"/>
      <c r="AR639" s="320"/>
      <c r="AS639" s="320"/>
      <c r="AT639" s="320"/>
      <c r="AU639" s="321"/>
    </row>
    <row r="640">
      <c r="A640" s="319"/>
      <c r="B640" s="320"/>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c r="AA640" s="320"/>
      <c r="AB640" s="320"/>
      <c r="AC640" s="320"/>
      <c r="AD640" s="320"/>
      <c r="AE640" s="320"/>
      <c r="AF640" s="320"/>
      <c r="AG640" s="320"/>
      <c r="AH640" s="320"/>
      <c r="AI640" s="320"/>
      <c r="AJ640" s="320"/>
      <c r="AK640" s="320"/>
      <c r="AL640" s="320"/>
      <c r="AM640" s="320"/>
      <c r="AN640" s="320"/>
      <c r="AO640" s="320"/>
      <c r="AP640" s="320"/>
      <c r="AQ640" s="320"/>
      <c r="AR640" s="320"/>
      <c r="AS640" s="320"/>
      <c r="AT640" s="320"/>
      <c r="AU640" s="321"/>
    </row>
    <row r="641">
      <c r="A641" s="319"/>
      <c r="B641" s="320"/>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c r="AA641" s="320"/>
      <c r="AB641" s="320"/>
      <c r="AC641" s="320"/>
      <c r="AD641" s="320"/>
      <c r="AE641" s="320"/>
      <c r="AF641" s="320"/>
      <c r="AG641" s="320"/>
      <c r="AH641" s="320"/>
      <c r="AI641" s="320"/>
      <c r="AJ641" s="320"/>
      <c r="AK641" s="320"/>
      <c r="AL641" s="320"/>
      <c r="AM641" s="320"/>
      <c r="AN641" s="320"/>
      <c r="AO641" s="320"/>
      <c r="AP641" s="320"/>
      <c r="AQ641" s="320"/>
      <c r="AR641" s="320"/>
      <c r="AS641" s="320"/>
      <c r="AT641" s="320"/>
      <c r="AU641" s="321"/>
    </row>
    <row r="642">
      <c r="A642" s="319"/>
      <c r="B642" s="320"/>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c r="AA642" s="320"/>
      <c r="AB642" s="320"/>
      <c r="AC642" s="320"/>
      <c r="AD642" s="320"/>
      <c r="AE642" s="320"/>
      <c r="AF642" s="320"/>
      <c r="AG642" s="320"/>
      <c r="AH642" s="320"/>
      <c r="AI642" s="320"/>
      <c r="AJ642" s="320"/>
      <c r="AK642" s="320"/>
      <c r="AL642" s="320"/>
      <c r="AM642" s="320"/>
      <c r="AN642" s="320"/>
      <c r="AO642" s="320"/>
      <c r="AP642" s="320"/>
      <c r="AQ642" s="320"/>
      <c r="AR642" s="320"/>
      <c r="AS642" s="320"/>
      <c r="AT642" s="320"/>
      <c r="AU642" s="321"/>
    </row>
    <row r="643">
      <c r="A643" s="319"/>
      <c r="B643" s="320"/>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c r="AA643" s="320"/>
      <c r="AB643" s="320"/>
      <c r="AC643" s="320"/>
      <c r="AD643" s="320"/>
      <c r="AE643" s="320"/>
      <c r="AF643" s="320"/>
      <c r="AG643" s="320"/>
      <c r="AH643" s="320"/>
      <c r="AI643" s="320"/>
      <c r="AJ643" s="320"/>
      <c r="AK643" s="320"/>
      <c r="AL643" s="320"/>
      <c r="AM643" s="320"/>
      <c r="AN643" s="320"/>
      <c r="AO643" s="320"/>
      <c r="AP643" s="320"/>
      <c r="AQ643" s="320"/>
      <c r="AR643" s="320"/>
      <c r="AS643" s="320"/>
      <c r="AT643" s="320"/>
      <c r="AU643" s="321"/>
    </row>
    <row r="644">
      <c r="A644" s="319"/>
      <c r="B644" s="320"/>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c r="AA644" s="320"/>
      <c r="AB644" s="320"/>
      <c r="AC644" s="320"/>
      <c r="AD644" s="320"/>
      <c r="AE644" s="320"/>
      <c r="AF644" s="320"/>
      <c r="AG644" s="320"/>
      <c r="AH644" s="320"/>
      <c r="AI644" s="320"/>
      <c r="AJ644" s="320"/>
      <c r="AK644" s="320"/>
      <c r="AL644" s="320"/>
      <c r="AM644" s="320"/>
      <c r="AN644" s="320"/>
      <c r="AO644" s="320"/>
      <c r="AP644" s="320"/>
      <c r="AQ644" s="320"/>
      <c r="AR644" s="320"/>
      <c r="AS644" s="320"/>
      <c r="AT644" s="320"/>
      <c r="AU644" s="321"/>
    </row>
    <row r="645">
      <c r="A645" s="319"/>
      <c r="B645" s="320"/>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c r="AA645" s="320"/>
      <c r="AB645" s="320"/>
      <c r="AC645" s="320"/>
      <c r="AD645" s="320"/>
      <c r="AE645" s="320"/>
      <c r="AF645" s="320"/>
      <c r="AG645" s="320"/>
      <c r="AH645" s="320"/>
      <c r="AI645" s="320"/>
      <c r="AJ645" s="320"/>
      <c r="AK645" s="320"/>
      <c r="AL645" s="320"/>
      <c r="AM645" s="320"/>
      <c r="AN645" s="320"/>
      <c r="AO645" s="320"/>
      <c r="AP645" s="320"/>
      <c r="AQ645" s="320"/>
      <c r="AR645" s="320"/>
      <c r="AS645" s="320"/>
      <c r="AT645" s="320"/>
      <c r="AU645" s="321"/>
    </row>
    <row r="646">
      <c r="A646" s="319"/>
      <c r="B646" s="320"/>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c r="AA646" s="320"/>
      <c r="AB646" s="320"/>
      <c r="AC646" s="320"/>
      <c r="AD646" s="320"/>
      <c r="AE646" s="320"/>
      <c r="AF646" s="320"/>
      <c r="AG646" s="320"/>
      <c r="AH646" s="320"/>
      <c r="AI646" s="320"/>
      <c r="AJ646" s="320"/>
      <c r="AK646" s="320"/>
      <c r="AL646" s="320"/>
      <c r="AM646" s="320"/>
      <c r="AN646" s="320"/>
      <c r="AO646" s="320"/>
      <c r="AP646" s="320"/>
      <c r="AQ646" s="320"/>
      <c r="AR646" s="320"/>
      <c r="AS646" s="320"/>
      <c r="AT646" s="320"/>
      <c r="AU646" s="321"/>
    </row>
    <row r="647">
      <c r="A647" s="319"/>
      <c r="B647" s="320"/>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c r="AA647" s="320"/>
      <c r="AB647" s="320"/>
      <c r="AC647" s="320"/>
      <c r="AD647" s="320"/>
      <c r="AE647" s="320"/>
      <c r="AF647" s="320"/>
      <c r="AG647" s="320"/>
      <c r="AH647" s="320"/>
      <c r="AI647" s="320"/>
      <c r="AJ647" s="320"/>
      <c r="AK647" s="320"/>
      <c r="AL647" s="320"/>
      <c r="AM647" s="320"/>
      <c r="AN647" s="320"/>
      <c r="AO647" s="320"/>
      <c r="AP647" s="320"/>
      <c r="AQ647" s="320"/>
      <c r="AR647" s="320"/>
      <c r="AS647" s="320"/>
      <c r="AT647" s="320"/>
      <c r="AU647" s="321"/>
    </row>
    <row r="648">
      <c r="A648" s="319"/>
      <c r="B648" s="320"/>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c r="AA648" s="320"/>
      <c r="AB648" s="320"/>
      <c r="AC648" s="320"/>
      <c r="AD648" s="320"/>
      <c r="AE648" s="320"/>
      <c r="AF648" s="320"/>
      <c r="AG648" s="320"/>
      <c r="AH648" s="320"/>
      <c r="AI648" s="320"/>
      <c r="AJ648" s="320"/>
      <c r="AK648" s="320"/>
      <c r="AL648" s="320"/>
      <c r="AM648" s="320"/>
      <c r="AN648" s="320"/>
      <c r="AO648" s="320"/>
      <c r="AP648" s="320"/>
      <c r="AQ648" s="320"/>
      <c r="AR648" s="320"/>
      <c r="AS648" s="320"/>
      <c r="AT648" s="320"/>
      <c r="AU648" s="321"/>
    </row>
    <row r="649">
      <c r="A649" s="319"/>
      <c r="B649" s="320"/>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c r="AA649" s="320"/>
      <c r="AB649" s="320"/>
      <c r="AC649" s="320"/>
      <c r="AD649" s="320"/>
      <c r="AE649" s="320"/>
      <c r="AF649" s="320"/>
      <c r="AG649" s="320"/>
      <c r="AH649" s="320"/>
      <c r="AI649" s="320"/>
      <c r="AJ649" s="320"/>
      <c r="AK649" s="320"/>
      <c r="AL649" s="320"/>
      <c r="AM649" s="320"/>
      <c r="AN649" s="320"/>
      <c r="AO649" s="320"/>
      <c r="AP649" s="320"/>
      <c r="AQ649" s="320"/>
      <c r="AR649" s="320"/>
      <c r="AS649" s="320"/>
      <c r="AT649" s="320"/>
      <c r="AU649" s="321"/>
    </row>
    <row r="650">
      <c r="A650" s="319"/>
      <c r="B650" s="320"/>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c r="AA650" s="320"/>
      <c r="AB650" s="320"/>
      <c r="AC650" s="320"/>
      <c r="AD650" s="320"/>
      <c r="AE650" s="320"/>
      <c r="AF650" s="320"/>
      <c r="AG650" s="320"/>
      <c r="AH650" s="320"/>
      <c r="AI650" s="320"/>
      <c r="AJ650" s="320"/>
      <c r="AK650" s="320"/>
      <c r="AL650" s="320"/>
      <c r="AM650" s="320"/>
      <c r="AN650" s="320"/>
      <c r="AO650" s="320"/>
      <c r="AP650" s="320"/>
      <c r="AQ650" s="320"/>
      <c r="AR650" s="320"/>
      <c r="AS650" s="320"/>
      <c r="AT650" s="320"/>
      <c r="AU650" s="321"/>
    </row>
    <row r="651">
      <c r="A651" s="319"/>
      <c r="B651" s="320"/>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c r="AA651" s="320"/>
      <c r="AB651" s="320"/>
      <c r="AC651" s="320"/>
      <c r="AD651" s="320"/>
      <c r="AE651" s="320"/>
      <c r="AF651" s="320"/>
      <c r="AG651" s="320"/>
      <c r="AH651" s="320"/>
      <c r="AI651" s="320"/>
      <c r="AJ651" s="320"/>
      <c r="AK651" s="320"/>
      <c r="AL651" s="320"/>
      <c r="AM651" s="320"/>
      <c r="AN651" s="320"/>
      <c r="AO651" s="320"/>
      <c r="AP651" s="320"/>
      <c r="AQ651" s="320"/>
      <c r="AR651" s="320"/>
      <c r="AS651" s="320"/>
      <c r="AT651" s="320"/>
      <c r="AU651" s="321"/>
    </row>
    <row r="652">
      <c r="A652" s="319"/>
      <c r="B652" s="320"/>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c r="AA652" s="320"/>
      <c r="AB652" s="320"/>
      <c r="AC652" s="320"/>
      <c r="AD652" s="320"/>
      <c r="AE652" s="320"/>
      <c r="AF652" s="320"/>
      <c r="AG652" s="320"/>
      <c r="AH652" s="320"/>
      <c r="AI652" s="320"/>
      <c r="AJ652" s="320"/>
      <c r="AK652" s="320"/>
      <c r="AL652" s="320"/>
      <c r="AM652" s="320"/>
      <c r="AN652" s="320"/>
      <c r="AO652" s="320"/>
      <c r="AP652" s="320"/>
      <c r="AQ652" s="320"/>
      <c r="AR652" s="320"/>
      <c r="AS652" s="320"/>
      <c r="AT652" s="320"/>
      <c r="AU652" s="321"/>
    </row>
    <row r="653">
      <c r="A653" s="319"/>
      <c r="B653" s="320"/>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c r="AA653" s="320"/>
      <c r="AB653" s="320"/>
      <c r="AC653" s="320"/>
      <c r="AD653" s="320"/>
      <c r="AE653" s="320"/>
      <c r="AF653" s="320"/>
      <c r="AG653" s="320"/>
      <c r="AH653" s="320"/>
      <c r="AI653" s="320"/>
      <c r="AJ653" s="320"/>
      <c r="AK653" s="320"/>
      <c r="AL653" s="320"/>
      <c r="AM653" s="320"/>
      <c r="AN653" s="320"/>
      <c r="AO653" s="320"/>
      <c r="AP653" s="320"/>
      <c r="AQ653" s="320"/>
      <c r="AR653" s="320"/>
      <c r="AS653" s="320"/>
      <c r="AT653" s="320"/>
      <c r="AU653" s="321"/>
    </row>
    <row r="654">
      <c r="A654" s="319"/>
      <c r="B654" s="320"/>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c r="AA654" s="320"/>
      <c r="AB654" s="320"/>
      <c r="AC654" s="320"/>
      <c r="AD654" s="320"/>
      <c r="AE654" s="320"/>
      <c r="AF654" s="320"/>
      <c r="AG654" s="320"/>
      <c r="AH654" s="320"/>
      <c r="AI654" s="320"/>
      <c r="AJ654" s="320"/>
      <c r="AK654" s="320"/>
      <c r="AL654" s="320"/>
      <c r="AM654" s="320"/>
      <c r="AN654" s="320"/>
      <c r="AO654" s="320"/>
      <c r="AP654" s="320"/>
      <c r="AQ654" s="320"/>
      <c r="AR654" s="320"/>
      <c r="AS654" s="320"/>
      <c r="AT654" s="320"/>
      <c r="AU654" s="321"/>
    </row>
    <row r="655">
      <c r="A655" s="319"/>
      <c r="B655" s="320"/>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c r="AA655" s="320"/>
      <c r="AB655" s="320"/>
      <c r="AC655" s="320"/>
      <c r="AD655" s="320"/>
      <c r="AE655" s="320"/>
      <c r="AF655" s="320"/>
      <c r="AG655" s="320"/>
      <c r="AH655" s="320"/>
      <c r="AI655" s="320"/>
      <c r="AJ655" s="320"/>
      <c r="AK655" s="320"/>
      <c r="AL655" s="320"/>
      <c r="AM655" s="320"/>
      <c r="AN655" s="320"/>
      <c r="AO655" s="320"/>
      <c r="AP655" s="320"/>
      <c r="AQ655" s="320"/>
      <c r="AR655" s="320"/>
      <c r="AS655" s="320"/>
      <c r="AT655" s="320"/>
      <c r="AU655" s="321"/>
    </row>
    <row r="656">
      <c r="A656" s="319"/>
      <c r="B656" s="320"/>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c r="AA656" s="320"/>
      <c r="AB656" s="320"/>
      <c r="AC656" s="320"/>
      <c r="AD656" s="320"/>
      <c r="AE656" s="320"/>
      <c r="AF656" s="320"/>
      <c r="AG656" s="320"/>
      <c r="AH656" s="320"/>
      <c r="AI656" s="320"/>
      <c r="AJ656" s="320"/>
      <c r="AK656" s="320"/>
      <c r="AL656" s="320"/>
      <c r="AM656" s="320"/>
      <c r="AN656" s="320"/>
      <c r="AO656" s="320"/>
      <c r="AP656" s="320"/>
      <c r="AQ656" s="320"/>
      <c r="AR656" s="320"/>
      <c r="AS656" s="320"/>
      <c r="AT656" s="320"/>
      <c r="AU656" s="321"/>
    </row>
    <row r="657">
      <c r="A657" s="319"/>
      <c r="B657" s="320"/>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c r="AA657" s="320"/>
      <c r="AB657" s="320"/>
      <c r="AC657" s="320"/>
      <c r="AD657" s="320"/>
      <c r="AE657" s="320"/>
      <c r="AF657" s="320"/>
      <c r="AG657" s="320"/>
      <c r="AH657" s="320"/>
      <c r="AI657" s="320"/>
      <c r="AJ657" s="320"/>
      <c r="AK657" s="320"/>
      <c r="AL657" s="320"/>
      <c r="AM657" s="320"/>
      <c r="AN657" s="320"/>
      <c r="AO657" s="320"/>
      <c r="AP657" s="320"/>
      <c r="AQ657" s="320"/>
      <c r="AR657" s="320"/>
      <c r="AS657" s="320"/>
      <c r="AT657" s="320"/>
      <c r="AU657" s="321"/>
    </row>
    <row r="658">
      <c r="A658" s="319"/>
      <c r="B658" s="320"/>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c r="AA658" s="320"/>
      <c r="AB658" s="320"/>
      <c r="AC658" s="320"/>
      <c r="AD658" s="320"/>
      <c r="AE658" s="320"/>
      <c r="AF658" s="320"/>
      <c r="AG658" s="320"/>
      <c r="AH658" s="320"/>
      <c r="AI658" s="320"/>
      <c r="AJ658" s="320"/>
      <c r="AK658" s="320"/>
      <c r="AL658" s="320"/>
      <c r="AM658" s="320"/>
      <c r="AN658" s="320"/>
      <c r="AO658" s="320"/>
      <c r="AP658" s="320"/>
      <c r="AQ658" s="320"/>
      <c r="AR658" s="320"/>
      <c r="AS658" s="320"/>
      <c r="AT658" s="320"/>
      <c r="AU658" s="321"/>
    </row>
    <row r="659">
      <c r="A659" s="319"/>
      <c r="B659" s="320"/>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c r="AA659" s="320"/>
      <c r="AB659" s="320"/>
      <c r="AC659" s="320"/>
      <c r="AD659" s="320"/>
      <c r="AE659" s="320"/>
      <c r="AF659" s="320"/>
      <c r="AG659" s="320"/>
      <c r="AH659" s="320"/>
      <c r="AI659" s="320"/>
      <c r="AJ659" s="320"/>
      <c r="AK659" s="320"/>
      <c r="AL659" s="320"/>
      <c r="AM659" s="320"/>
      <c r="AN659" s="320"/>
      <c r="AO659" s="320"/>
      <c r="AP659" s="320"/>
      <c r="AQ659" s="320"/>
      <c r="AR659" s="320"/>
      <c r="AS659" s="320"/>
      <c r="AT659" s="320"/>
      <c r="AU659" s="321"/>
    </row>
    <row r="660">
      <c r="A660" s="319"/>
      <c r="B660" s="320"/>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c r="AA660" s="320"/>
      <c r="AB660" s="320"/>
      <c r="AC660" s="320"/>
      <c r="AD660" s="320"/>
      <c r="AE660" s="320"/>
      <c r="AF660" s="320"/>
      <c r="AG660" s="320"/>
      <c r="AH660" s="320"/>
      <c r="AI660" s="320"/>
      <c r="AJ660" s="320"/>
      <c r="AK660" s="320"/>
      <c r="AL660" s="320"/>
      <c r="AM660" s="320"/>
      <c r="AN660" s="320"/>
      <c r="AO660" s="320"/>
      <c r="AP660" s="320"/>
      <c r="AQ660" s="320"/>
      <c r="AR660" s="320"/>
      <c r="AS660" s="320"/>
      <c r="AT660" s="320"/>
      <c r="AU660" s="321"/>
    </row>
    <row r="661">
      <c r="A661" s="319"/>
      <c r="B661" s="320"/>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c r="AA661" s="320"/>
      <c r="AB661" s="320"/>
      <c r="AC661" s="320"/>
      <c r="AD661" s="320"/>
      <c r="AE661" s="320"/>
      <c r="AF661" s="320"/>
      <c r="AG661" s="320"/>
      <c r="AH661" s="320"/>
      <c r="AI661" s="320"/>
      <c r="AJ661" s="320"/>
      <c r="AK661" s="320"/>
      <c r="AL661" s="320"/>
      <c r="AM661" s="320"/>
      <c r="AN661" s="320"/>
      <c r="AO661" s="320"/>
      <c r="AP661" s="320"/>
      <c r="AQ661" s="320"/>
      <c r="AR661" s="320"/>
      <c r="AS661" s="320"/>
      <c r="AT661" s="320"/>
      <c r="AU661" s="321"/>
    </row>
    <row r="662">
      <c r="A662" s="319"/>
      <c r="B662" s="320"/>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c r="AA662" s="320"/>
      <c r="AB662" s="320"/>
      <c r="AC662" s="320"/>
      <c r="AD662" s="320"/>
      <c r="AE662" s="320"/>
      <c r="AF662" s="320"/>
      <c r="AG662" s="320"/>
      <c r="AH662" s="320"/>
      <c r="AI662" s="320"/>
      <c r="AJ662" s="320"/>
      <c r="AK662" s="320"/>
      <c r="AL662" s="320"/>
      <c r="AM662" s="320"/>
      <c r="AN662" s="320"/>
      <c r="AO662" s="320"/>
      <c r="AP662" s="320"/>
      <c r="AQ662" s="320"/>
      <c r="AR662" s="320"/>
      <c r="AS662" s="320"/>
      <c r="AT662" s="320"/>
      <c r="AU662" s="321"/>
    </row>
    <row r="663">
      <c r="A663" s="319"/>
      <c r="B663" s="320"/>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c r="AA663" s="320"/>
      <c r="AB663" s="320"/>
      <c r="AC663" s="320"/>
      <c r="AD663" s="320"/>
      <c r="AE663" s="320"/>
      <c r="AF663" s="320"/>
      <c r="AG663" s="320"/>
      <c r="AH663" s="320"/>
      <c r="AI663" s="320"/>
      <c r="AJ663" s="320"/>
      <c r="AK663" s="320"/>
      <c r="AL663" s="320"/>
      <c r="AM663" s="320"/>
      <c r="AN663" s="320"/>
      <c r="AO663" s="320"/>
      <c r="AP663" s="320"/>
      <c r="AQ663" s="320"/>
      <c r="AR663" s="320"/>
      <c r="AS663" s="320"/>
      <c r="AT663" s="320"/>
      <c r="AU663" s="321"/>
    </row>
    <row r="664">
      <c r="A664" s="319"/>
      <c r="B664" s="320"/>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c r="AA664" s="320"/>
      <c r="AB664" s="320"/>
      <c r="AC664" s="320"/>
      <c r="AD664" s="320"/>
      <c r="AE664" s="320"/>
      <c r="AF664" s="320"/>
      <c r="AG664" s="320"/>
      <c r="AH664" s="320"/>
      <c r="AI664" s="320"/>
      <c r="AJ664" s="320"/>
      <c r="AK664" s="320"/>
      <c r="AL664" s="320"/>
      <c r="AM664" s="320"/>
      <c r="AN664" s="320"/>
      <c r="AO664" s="320"/>
      <c r="AP664" s="320"/>
      <c r="AQ664" s="320"/>
      <c r="AR664" s="320"/>
      <c r="AS664" s="320"/>
      <c r="AT664" s="320"/>
      <c r="AU664" s="321"/>
    </row>
    <row r="665">
      <c r="A665" s="319"/>
      <c r="B665" s="320"/>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c r="AA665" s="320"/>
      <c r="AB665" s="320"/>
      <c r="AC665" s="320"/>
      <c r="AD665" s="320"/>
      <c r="AE665" s="320"/>
      <c r="AF665" s="320"/>
      <c r="AG665" s="320"/>
      <c r="AH665" s="320"/>
      <c r="AI665" s="320"/>
      <c r="AJ665" s="320"/>
      <c r="AK665" s="320"/>
      <c r="AL665" s="320"/>
      <c r="AM665" s="320"/>
      <c r="AN665" s="320"/>
      <c r="AO665" s="320"/>
      <c r="AP665" s="320"/>
      <c r="AQ665" s="320"/>
      <c r="AR665" s="320"/>
      <c r="AS665" s="320"/>
      <c r="AT665" s="320"/>
      <c r="AU665" s="321"/>
    </row>
    <row r="666">
      <c r="A666" s="319"/>
      <c r="B666" s="320"/>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c r="AA666" s="320"/>
      <c r="AB666" s="320"/>
      <c r="AC666" s="320"/>
      <c r="AD666" s="320"/>
      <c r="AE666" s="320"/>
      <c r="AF666" s="320"/>
      <c r="AG666" s="320"/>
      <c r="AH666" s="320"/>
      <c r="AI666" s="320"/>
      <c r="AJ666" s="320"/>
      <c r="AK666" s="320"/>
      <c r="AL666" s="320"/>
      <c r="AM666" s="320"/>
      <c r="AN666" s="320"/>
      <c r="AO666" s="320"/>
      <c r="AP666" s="320"/>
      <c r="AQ666" s="320"/>
      <c r="AR666" s="320"/>
      <c r="AS666" s="320"/>
      <c r="AT666" s="320"/>
      <c r="AU666" s="321"/>
    </row>
    <row r="667">
      <c r="A667" s="319"/>
      <c r="B667" s="320"/>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c r="AA667" s="320"/>
      <c r="AB667" s="320"/>
      <c r="AC667" s="320"/>
      <c r="AD667" s="320"/>
      <c r="AE667" s="320"/>
      <c r="AF667" s="320"/>
      <c r="AG667" s="320"/>
      <c r="AH667" s="320"/>
      <c r="AI667" s="320"/>
      <c r="AJ667" s="320"/>
      <c r="AK667" s="320"/>
      <c r="AL667" s="320"/>
      <c r="AM667" s="320"/>
      <c r="AN667" s="320"/>
      <c r="AO667" s="320"/>
      <c r="AP667" s="320"/>
      <c r="AQ667" s="320"/>
      <c r="AR667" s="320"/>
      <c r="AS667" s="320"/>
      <c r="AT667" s="320"/>
      <c r="AU667" s="321"/>
    </row>
    <row r="668">
      <c r="A668" s="319"/>
      <c r="B668" s="320"/>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c r="AA668" s="320"/>
      <c r="AB668" s="320"/>
      <c r="AC668" s="320"/>
      <c r="AD668" s="320"/>
      <c r="AE668" s="320"/>
      <c r="AF668" s="320"/>
      <c r="AG668" s="320"/>
      <c r="AH668" s="320"/>
      <c r="AI668" s="320"/>
      <c r="AJ668" s="320"/>
      <c r="AK668" s="320"/>
      <c r="AL668" s="320"/>
      <c r="AM668" s="320"/>
      <c r="AN668" s="320"/>
      <c r="AO668" s="320"/>
      <c r="AP668" s="320"/>
      <c r="AQ668" s="320"/>
      <c r="AR668" s="320"/>
      <c r="AS668" s="320"/>
      <c r="AT668" s="320"/>
      <c r="AU668" s="321"/>
    </row>
    <row r="669">
      <c r="A669" s="319"/>
      <c r="B669" s="320"/>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c r="AA669" s="320"/>
      <c r="AB669" s="320"/>
      <c r="AC669" s="320"/>
      <c r="AD669" s="320"/>
      <c r="AE669" s="320"/>
      <c r="AF669" s="320"/>
      <c r="AG669" s="320"/>
      <c r="AH669" s="320"/>
      <c r="AI669" s="320"/>
      <c r="AJ669" s="320"/>
      <c r="AK669" s="320"/>
      <c r="AL669" s="320"/>
      <c r="AM669" s="320"/>
      <c r="AN669" s="320"/>
      <c r="AO669" s="320"/>
      <c r="AP669" s="320"/>
      <c r="AQ669" s="320"/>
      <c r="AR669" s="320"/>
      <c r="AS669" s="320"/>
      <c r="AT669" s="320"/>
      <c r="AU669" s="321"/>
    </row>
    <row r="670">
      <c r="A670" s="319"/>
      <c r="B670" s="320"/>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c r="AA670" s="320"/>
      <c r="AB670" s="320"/>
      <c r="AC670" s="320"/>
      <c r="AD670" s="320"/>
      <c r="AE670" s="320"/>
      <c r="AF670" s="320"/>
      <c r="AG670" s="320"/>
      <c r="AH670" s="320"/>
      <c r="AI670" s="320"/>
      <c r="AJ670" s="320"/>
      <c r="AK670" s="320"/>
      <c r="AL670" s="320"/>
      <c r="AM670" s="320"/>
      <c r="AN670" s="320"/>
      <c r="AO670" s="320"/>
      <c r="AP670" s="320"/>
      <c r="AQ670" s="320"/>
      <c r="AR670" s="320"/>
      <c r="AS670" s="320"/>
      <c r="AT670" s="320"/>
      <c r="AU670" s="321"/>
    </row>
    <row r="671">
      <c r="A671" s="319"/>
      <c r="B671" s="320"/>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c r="AA671" s="320"/>
      <c r="AB671" s="320"/>
      <c r="AC671" s="320"/>
      <c r="AD671" s="320"/>
      <c r="AE671" s="320"/>
      <c r="AF671" s="320"/>
      <c r="AG671" s="320"/>
      <c r="AH671" s="320"/>
      <c r="AI671" s="320"/>
      <c r="AJ671" s="320"/>
      <c r="AK671" s="320"/>
      <c r="AL671" s="320"/>
      <c r="AM671" s="320"/>
      <c r="AN671" s="320"/>
      <c r="AO671" s="320"/>
      <c r="AP671" s="320"/>
      <c r="AQ671" s="320"/>
      <c r="AR671" s="320"/>
      <c r="AS671" s="320"/>
      <c r="AT671" s="320"/>
      <c r="AU671" s="321"/>
    </row>
    <row r="672">
      <c r="A672" s="319"/>
      <c r="B672" s="320"/>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c r="AA672" s="320"/>
      <c r="AB672" s="320"/>
      <c r="AC672" s="320"/>
      <c r="AD672" s="320"/>
      <c r="AE672" s="320"/>
      <c r="AF672" s="320"/>
      <c r="AG672" s="320"/>
      <c r="AH672" s="320"/>
      <c r="AI672" s="320"/>
      <c r="AJ672" s="320"/>
      <c r="AK672" s="320"/>
      <c r="AL672" s="320"/>
      <c r="AM672" s="320"/>
      <c r="AN672" s="320"/>
      <c r="AO672" s="320"/>
      <c r="AP672" s="320"/>
      <c r="AQ672" s="320"/>
      <c r="AR672" s="320"/>
      <c r="AS672" s="320"/>
      <c r="AT672" s="320"/>
      <c r="AU672" s="321"/>
    </row>
    <row r="673">
      <c r="A673" s="319"/>
      <c r="B673" s="320"/>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c r="AA673" s="320"/>
      <c r="AB673" s="320"/>
      <c r="AC673" s="320"/>
      <c r="AD673" s="320"/>
      <c r="AE673" s="320"/>
      <c r="AF673" s="320"/>
      <c r="AG673" s="320"/>
      <c r="AH673" s="320"/>
      <c r="AI673" s="320"/>
      <c r="AJ673" s="320"/>
      <c r="AK673" s="320"/>
      <c r="AL673" s="320"/>
      <c r="AM673" s="320"/>
      <c r="AN673" s="320"/>
      <c r="AO673" s="320"/>
      <c r="AP673" s="320"/>
      <c r="AQ673" s="320"/>
      <c r="AR673" s="320"/>
      <c r="AS673" s="320"/>
      <c r="AT673" s="320"/>
      <c r="AU673" s="321"/>
    </row>
    <row r="674">
      <c r="A674" s="319"/>
      <c r="B674" s="320"/>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c r="AA674" s="320"/>
      <c r="AB674" s="320"/>
      <c r="AC674" s="320"/>
      <c r="AD674" s="320"/>
      <c r="AE674" s="320"/>
      <c r="AF674" s="320"/>
      <c r="AG674" s="320"/>
      <c r="AH674" s="320"/>
      <c r="AI674" s="320"/>
      <c r="AJ674" s="320"/>
      <c r="AK674" s="320"/>
      <c r="AL674" s="320"/>
      <c r="AM674" s="320"/>
      <c r="AN674" s="320"/>
      <c r="AO674" s="320"/>
      <c r="AP674" s="320"/>
      <c r="AQ674" s="320"/>
      <c r="AR674" s="320"/>
      <c r="AS674" s="320"/>
      <c r="AT674" s="320"/>
      <c r="AU674" s="321"/>
    </row>
    <row r="675">
      <c r="A675" s="319"/>
      <c r="B675" s="320"/>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c r="AA675" s="320"/>
      <c r="AB675" s="320"/>
      <c r="AC675" s="320"/>
      <c r="AD675" s="320"/>
      <c r="AE675" s="320"/>
      <c r="AF675" s="320"/>
      <c r="AG675" s="320"/>
      <c r="AH675" s="320"/>
      <c r="AI675" s="320"/>
      <c r="AJ675" s="320"/>
      <c r="AK675" s="320"/>
      <c r="AL675" s="320"/>
      <c r="AM675" s="320"/>
      <c r="AN675" s="320"/>
      <c r="AO675" s="320"/>
      <c r="AP675" s="320"/>
      <c r="AQ675" s="320"/>
      <c r="AR675" s="320"/>
      <c r="AS675" s="320"/>
      <c r="AT675" s="320"/>
      <c r="AU675" s="321"/>
    </row>
    <row r="676">
      <c r="A676" s="319"/>
      <c r="B676" s="320"/>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c r="AA676" s="320"/>
      <c r="AB676" s="320"/>
      <c r="AC676" s="320"/>
      <c r="AD676" s="320"/>
      <c r="AE676" s="320"/>
      <c r="AF676" s="320"/>
      <c r="AG676" s="320"/>
      <c r="AH676" s="320"/>
      <c r="AI676" s="320"/>
      <c r="AJ676" s="320"/>
      <c r="AK676" s="320"/>
      <c r="AL676" s="320"/>
      <c r="AM676" s="320"/>
      <c r="AN676" s="320"/>
      <c r="AO676" s="320"/>
      <c r="AP676" s="320"/>
      <c r="AQ676" s="320"/>
      <c r="AR676" s="320"/>
      <c r="AS676" s="320"/>
      <c r="AT676" s="320"/>
      <c r="AU676" s="321"/>
    </row>
    <row r="677">
      <c r="A677" s="319"/>
      <c r="B677" s="320"/>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c r="AA677" s="320"/>
      <c r="AB677" s="320"/>
      <c r="AC677" s="320"/>
      <c r="AD677" s="320"/>
      <c r="AE677" s="320"/>
      <c r="AF677" s="320"/>
      <c r="AG677" s="320"/>
      <c r="AH677" s="320"/>
      <c r="AI677" s="320"/>
      <c r="AJ677" s="320"/>
      <c r="AK677" s="320"/>
      <c r="AL677" s="320"/>
      <c r="AM677" s="320"/>
      <c r="AN677" s="320"/>
      <c r="AO677" s="320"/>
      <c r="AP677" s="320"/>
      <c r="AQ677" s="320"/>
      <c r="AR677" s="320"/>
      <c r="AS677" s="320"/>
      <c r="AT677" s="320"/>
      <c r="AU677" s="321"/>
    </row>
    <row r="678">
      <c r="A678" s="319"/>
      <c r="B678" s="320"/>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c r="AA678" s="320"/>
      <c r="AB678" s="320"/>
      <c r="AC678" s="320"/>
      <c r="AD678" s="320"/>
      <c r="AE678" s="320"/>
      <c r="AF678" s="320"/>
      <c r="AG678" s="320"/>
      <c r="AH678" s="320"/>
      <c r="AI678" s="320"/>
      <c r="AJ678" s="320"/>
      <c r="AK678" s="320"/>
      <c r="AL678" s="320"/>
      <c r="AM678" s="320"/>
      <c r="AN678" s="320"/>
      <c r="AO678" s="320"/>
      <c r="AP678" s="320"/>
      <c r="AQ678" s="320"/>
      <c r="AR678" s="320"/>
      <c r="AS678" s="320"/>
      <c r="AT678" s="320"/>
      <c r="AU678" s="321"/>
    </row>
    <row r="679">
      <c r="A679" s="319"/>
      <c r="B679" s="320"/>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c r="AA679" s="320"/>
      <c r="AB679" s="320"/>
      <c r="AC679" s="320"/>
      <c r="AD679" s="320"/>
      <c r="AE679" s="320"/>
      <c r="AF679" s="320"/>
      <c r="AG679" s="320"/>
      <c r="AH679" s="320"/>
      <c r="AI679" s="320"/>
      <c r="AJ679" s="320"/>
      <c r="AK679" s="320"/>
      <c r="AL679" s="320"/>
      <c r="AM679" s="320"/>
      <c r="AN679" s="320"/>
      <c r="AO679" s="320"/>
      <c r="AP679" s="320"/>
      <c r="AQ679" s="320"/>
      <c r="AR679" s="320"/>
      <c r="AS679" s="320"/>
      <c r="AT679" s="320"/>
      <c r="AU679" s="321"/>
    </row>
    <row r="680">
      <c r="A680" s="319"/>
      <c r="B680" s="320"/>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c r="AA680" s="320"/>
      <c r="AB680" s="320"/>
      <c r="AC680" s="320"/>
      <c r="AD680" s="320"/>
      <c r="AE680" s="320"/>
      <c r="AF680" s="320"/>
      <c r="AG680" s="320"/>
      <c r="AH680" s="320"/>
      <c r="AI680" s="320"/>
      <c r="AJ680" s="320"/>
      <c r="AK680" s="320"/>
      <c r="AL680" s="320"/>
      <c r="AM680" s="320"/>
      <c r="AN680" s="320"/>
      <c r="AO680" s="320"/>
      <c r="AP680" s="320"/>
      <c r="AQ680" s="320"/>
      <c r="AR680" s="320"/>
      <c r="AS680" s="320"/>
      <c r="AT680" s="320"/>
      <c r="AU680" s="321"/>
    </row>
    <row r="681">
      <c r="A681" s="319"/>
      <c r="B681" s="320"/>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c r="AA681" s="320"/>
      <c r="AB681" s="320"/>
      <c r="AC681" s="320"/>
      <c r="AD681" s="320"/>
      <c r="AE681" s="320"/>
      <c r="AF681" s="320"/>
      <c r="AG681" s="320"/>
      <c r="AH681" s="320"/>
      <c r="AI681" s="320"/>
      <c r="AJ681" s="320"/>
      <c r="AK681" s="320"/>
      <c r="AL681" s="320"/>
      <c r="AM681" s="320"/>
      <c r="AN681" s="320"/>
      <c r="AO681" s="320"/>
      <c r="AP681" s="320"/>
      <c r="AQ681" s="320"/>
      <c r="AR681" s="320"/>
      <c r="AS681" s="320"/>
      <c r="AT681" s="320"/>
      <c r="AU681" s="321"/>
    </row>
    <row r="682">
      <c r="A682" s="319"/>
      <c r="B682" s="320"/>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c r="AA682" s="320"/>
      <c r="AB682" s="320"/>
      <c r="AC682" s="320"/>
      <c r="AD682" s="320"/>
      <c r="AE682" s="320"/>
      <c r="AF682" s="320"/>
      <c r="AG682" s="320"/>
      <c r="AH682" s="320"/>
      <c r="AI682" s="320"/>
      <c r="AJ682" s="320"/>
      <c r="AK682" s="320"/>
      <c r="AL682" s="320"/>
      <c r="AM682" s="320"/>
      <c r="AN682" s="320"/>
      <c r="AO682" s="320"/>
      <c r="AP682" s="320"/>
      <c r="AQ682" s="320"/>
      <c r="AR682" s="320"/>
      <c r="AS682" s="320"/>
      <c r="AT682" s="320"/>
      <c r="AU682" s="321"/>
    </row>
    <row r="683">
      <c r="A683" s="319"/>
      <c r="B683" s="320"/>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c r="AA683" s="320"/>
      <c r="AB683" s="320"/>
      <c r="AC683" s="320"/>
      <c r="AD683" s="320"/>
      <c r="AE683" s="320"/>
      <c r="AF683" s="320"/>
      <c r="AG683" s="320"/>
      <c r="AH683" s="320"/>
      <c r="AI683" s="320"/>
      <c r="AJ683" s="320"/>
      <c r="AK683" s="320"/>
      <c r="AL683" s="320"/>
      <c r="AM683" s="320"/>
      <c r="AN683" s="320"/>
      <c r="AO683" s="320"/>
      <c r="AP683" s="320"/>
      <c r="AQ683" s="320"/>
      <c r="AR683" s="320"/>
      <c r="AS683" s="320"/>
      <c r="AT683" s="320"/>
      <c r="AU683" s="321"/>
    </row>
    <row r="684">
      <c r="A684" s="319"/>
      <c r="B684" s="320"/>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c r="AA684" s="320"/>
      <c r="AB684" s="320"/>
      <c r="AC684" s="320"/>
      <c r="AD684" s="320"/>
      <c r="AE684" s="320"/>
      <c r="AF684" s="320"/>
      <c r="AG684" s="320"/>
      <c r="AH684" s="320"/>
      <c r="AI684" s="320"/>
      <c r="AJ684" s="320"/>
      <c r="AK684" s="320"/>
      <c r="AL684" s="320"/>
      <c r="AM684" s="320"/>
      <c r="AN684" s="320"/>
      <c r="AO684" s="320"/>
      <c r="AP684" s="320"/>
      <c r="AQ684" s="320"/>
      <c r="AR684" s="320"/>
      <c r="AS684" s="320"/>
      <c r="AT684" s="320"/>
      <c r="AU684" s="321"/>
    </row>
    <row r="685">
      <c r="A685" s="319"/>
      <c r="B685" s="320"/>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c r="AA685" s="320"/>
      <c r="AB685" s="320"/>
      <c r="AC685" s="320"/>
      <c r="AD685" s="320"/>
      <c r="AE685" s="320"/>
      <c r="AF685" s="320"/>
      <c r="AG685" s="320"/>
      <c r="AH685" s="320"/>
      <c r="AI685" s="320"/>
      <c r="AJ685" s="320"/>
      <c r="AK685" s="320"/>
      <c r="AL685" s="320"/>
      <c r="AM685" s="320"/>
      <c r="AN685" s="320"/>
      <c r="AO685" s="320"/>
      <c r="AP685" s="320"/>
      <c r="AQ685" s="320"/>
      <c r="AR685" s="320"/>
      <c r="AS685" s="320"/>
      <c r="AT685" s="320"/>
      <c r="AU685" s="321"/>
    </row>
    <row r="686">
      <c r="A686" s="319"/>
      <c r="B686" s="320"/>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c r="AA686" s="320"/>
      <c r="AB686" s="320"/>
      <c r="AC686" s="320"/>
      <c r="AD686" s="320"/>
      <c r="AE686" s="320"/>
      <c r="AF686" s="320"/>
      <c r="AG686" s="320"/>
      <c r="AH686" s="320"/>
      <c r="AI686" s="320"/>
      <c r="AJ686" s="320"/>
      <c r="AK686" s="320"/>
      <c r="AL686" s="320"/>
      <c r="AM686" s="320"/>
      <c r="AN686" s="320"/>
      <c r="AO686" s="320"/>
      <c r="AP686" s="320"/>
      <c r="AQ686" s="320"/>
      <c r="AR686" s="320"/>
      <c r="AS686" s="320"/>
      <c r="AT686" s="320"/>
      <c r="AU686" s="321"/>
    </row>
    <row r="687">
      <c r="A687" s="319"/>
      <c r="B687" s="320"/>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c r="AA687" s="320"/>
      <c r="AB687" s="320"/>
      <c r="AC687" s="320"/>
      <c r="AD687" s="320"/>
      <c r="AE687" s="320"/>
      <c r="AF687" s="320"/>
      <c r="AG687" s="320"/>
      <c r="AH687" s="320"/>
      <c r="AI687" s="320"/>
      <c r="AJ687" s="320"/>
      <c r="AK687" s="320"/>
      <c r="AL687" s="320"/>
      <c r="AM687" s="320"/>
      <c r="AN687" s="320"/>
      <c r="AO687" s="320"/>
      <c r="AP687" s="320"/>
      <c r="AQ687" s="320"/>
      <c r="AR687" s="320"/>
      <c r="AS687" s="320"/>
      <c r="AT687" s="320"/>
      <c r="AU687" s="321"/>
    </row>
    <row r="688">
      <c r="A688" s="319"/>
      <c r="B688" s="320"/>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c r="AA688" s="320"/>
      <c r="AB688" s="320"/>
      <c r="AC688" s="320"/>
      <c r="AD688" s="320"/>
      <c r="AE688" s="320"/>
      <c r="AF688" s="320"/>
      <c r="AG688" s="320"/>
      <c r="AH688" s="320"/>
      <c r="AI688" s="320"/>
      <c r="AJ688" s="320"/>
      <c r="AK688" s="320"/>
      <c r="AL688" s="320"/>
      <c r="AM688" s="320"/>
      <c r="AN688" s="320"/>
      <c r="AO688" s="320"/>
      <c r="AP688" s="320"/>
      <c r="AQ688" s="320"/>
      <c r="AR688" s="320"/>
      <c r="AS688" s="320"/>
      <c r="AT688" s="320"/>
      <c r="AU688" s="321"/>
    </row>
    <row r="689">
      <c r="A689" s="319"/>
      <c r="B689" s="320"/>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c r="AA689" s="320"/>
      <c r="AB689" s="320"/>
      <c r="AC689" s="320"/>
      <c r="AD689" s="320"/>
      <c r="AE689" s="320"/>
      <c r="AF689" s="320"/>
      <c r="AG689" s="320"/>
      <c r="AH689" s="320"/>
      <c r="AI689" s="320"/>
      <c r="AJ689" s="320"/>
      <c r="AK689" s="320"/>
      <c r="AL689" s="320"/>
      <c r="AM689" s="320"/>
      <c r="AN689" s="320"/>
      <c r="AO689" s="320"/>
      <c r="AP689" s="320"/>
      <c r="AQ689" s="320"/>
      <c r="AR689" s="320"/>
      <c r="AS689" s="320"/>
      <c r="AT689" s="320"/>
      <c r="AU689" s="321"/>
    </row>
    <row r="690">
      <c r="A690" s="319"/>
      <c r="B690" s="320"/>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c r="AA690" s="320"/>
      <c r="AB690" s="320"/>
      <c r="AC690" s="320"/>
      <c r="AD690" s="320"/>
      <c r="AE690" s="320"/>
      <c r="AF690" s="320"/>
      <c r="AG690" s="320"/>
      <c r="AH690" s="320"/>
      <c r="AI690" s="320"/>
      <c r="AJ690" s="320"/>
      <c r="AK690" s="320"/>
      <c r="AL690" s="320"/>
      <c r="AM690" s="320"/>
      <c r="AN690" s="320"/>
      <c r="AO690" s="320"/>
      <c r="AP690" s="320"/>
      <c r="AQ690" s="320"/>
      <c r="AR690" s="320"/>
      <c r="AS690" s="320"/>
      <c r="AT690" s="320"/>
      <c r="AU690" s="321"/>
    </row>
    <row r="691">
      <c r="A691" s="319"/>
      <c r="B691" s="320"/>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c r="AA691" s="320"/>
      <c r="AB691" s="320"/>
      <c r="AC691" s="320"/>
      <c r="AD691" s="320"/>
      <c r="AE691" s="320"/>
      <c r="AF691" s="320"/>
      <c r="AG691" s="320"/>
      <c r="AH691" s="320"/>
      <c r="AI691" s="320"/>
      <c r="AJ691" s="320"/>
      <c r="AK691" s="320"/>
      <c r="AL691" s="320"/>
      <c r="AM691" s="320"/>
      <c r="AN691" s="320"/>
      <c r="AO691" s="320"/>
      <c r="AP691" s="320"/>
      <c r="AQ691" s="320"/>
      <c r="AR691" s="320"/>
      <c r="AS691" s="320"/>
      <c r="AT691" s="320"/>
      <c r="AU691" s="321"/>
    </row>
    <row r="692">
      <c r="A692" s="319"/>
      <c r="B692" s="320"/>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c r="AA692" s="320"/>
      <c r="AB692" s="320"/>
      <c r="AC692" s="320"/>
      <c r="AD692" s="320"/>
      <c r="AE692" s="320"/>
      <c r="AF692" s="320"/>
      <c r="AG692" s="320"/>
      <c r="AH692" s="320"/>
      <c r="AI692" s="320"/>
      <c r="AJ692" s="320"/>
      <c r="AK692" s="320"/>
      <c r="AL692" s="320"/>
      <c r="AM692" s="320"/>
      <c r="AN692" s="320"/>
      <c r="AO692" s="320"/>
      <c r="AP692" s="320"/>
      <c r="AQ692" s="320"/>
      <c r="AR692" s="320"/>
      <c r="AS692" s="320"/>
      <c r="AT692" s="320"/>
      <c r="AU692" s="321"/>
    </row>
    <row r="693">
      <c r="A693" s="319"/>
      <c r="B693" s="320"/>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c r="AA693" s="320"/>
      <c r="AB693" s="320"/>
      <c r="AC693" s="320"/>
      <c r="AD693" s="320"/>
      <c r="AE693" s="320"/>
      <c r="AF693" s="320"/>
      <c r="AG693" s="320"/>
      <c r="AH693" s="320"/>
      <c r="AI693" s="320"/>
      <c r="AJ693" s="320"/>
      <c r="AK693" s="320"/>
      <c r="AL693" s="320"/>
      <c r="AM693" s="320"/>
      <c r="AN693" s="320"/>
      <c r="AO693" s="320"/>
      <c r="AP693" s="320"/>
      <c r="AQ693" s="320"/>
      <c r="AR693" s="320"/>
      <c r="AS693" s="320"/>
      <c r="AT693" s="320"/>
      <c r="AU693" s="321"/>
    </row>
    <row r="694">
      <c r="A694" s="319"/>
      <c r="B694" s="320"/>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c r="AA694" s="320"/>
      <c r="AB694" s="320"/>
      <c r="AC694" s="320"/>
      <c r="AD694" s="320"/>
      <c r="AE694" s="320"/>
      <c r="AF694" s="320"/>
      <c r="AG694" s="320"/>
      <c r="AH694" s="320"/>
      <c r="AI694" s="320"/>
      <c r="AJ694" s="320"/>
      <c r="AK694" s="320"/>
      <c r="AL694" s="320"/>
      <c r="AM694" s="320"/>
      <c r="AN694" s="320"/>
      <c r="AO694" s="320"/>
      <c r="AP694" s="320"/>
      <c r="AQ694" s="320"/>
      <c r="AR694" s="320"/>
      <c r="AS694" s="320"/>
      <c r="AT694" s="320"/>
      <c r="AU694" s="321"/>
    </row>
    <row r="695">
      <c r="A695" s="319"/>
      <c r="B695" s="320"/>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c r="AA695" s="320"/>
      <c r="AB695" s="320"/>
      <c r="AC695" s="320"/>
      <c r="AD695" s="320"/>
      <c r="AE695" s="320"/>
      <c r="AF695" s="320"/>
      <c r="AG695" s="320"/>
      <c r="AH695" s="320"/>
      <c r="AI695" s="320"/>
      <c r="AJ695" s="320"/>
      <c r="AK695" s="320"/>
      <c r="AL695" s="320"/>
      <c r="AM695" s="320"/>
      <c r="AN695" s="320"/>
      <c r="AO695" s="320"/>
      <c r="AP695" s="320"/>
      <c r="AQ695" s="320"/>
      <c r="AR695" s="320"/>
      <c r="AS695" s="320"/>
      <c r="AT695" s="320"/>
      <c r="AU695" s="321"/>
    </row>
    <row r="696">
      <c r="A696" s="319"/>
      <c r="B696" s="320"/>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c r="AA696" s="320"/>
      <c r="AB696" s="320"/>
      <c r="AC696" s="320"/>
      <c r="AD696" s="320"/>
      <c r="AE696" s="320"/>
      <c r="AF696" s="320"/>
      <c r="AG696" s="320"/>
      <c r="AH696" s="320"/>
      <c r="AI696" s="320"/>
      <c r="AJ696" s="320"/>
      <c r="AK696" s="320"/>
      <c r="AL696" s="320"/>
      <c r="AM696" s="320"/>
      <c r="AN696" s="320"/>
      <c r="AO696" s="320"/>
      <c r="AP696" s="320"/>
      <c r="AQ696" s="320"/>
      <c r="AR696" s="320"/>
      <c r="AS696" s="320"/>
      <c r="AT696" s="320"/>
      <c r="AU696" s="321"/>
    </row>
    <row r="697">
      <c r="A697" s="319"/>
      <c r="B697" s="320"/>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c r="AA697" s="320"/>
      <c r="AB697" s="320"/>
      <c r="AC697" s="320"/>
      <c r="AD697" s="320"/>
      <c r="AE697" s="320"/>
      <c r="AF697" s="320"/>
      <c r="AG697" s="320"/>
      <c r="AH697" s="320"/>
      <c r="AI697" s="320"/>
      <c r="AJ697" s="320"/>
      <c r="AK697" s="320"/>
      <c r="AL697" s="320"/>
      <c r="AM697" s="320"/>
      <c r="AN697" s="320"/>
      <c r="AO697" s="320"/>
      <c r="AP697" s="320"/>
      <c r="AQ697" s="320"/>
      <c r="AR697" s="320"/>
      <c r="AS697" s="320"/>
      <c r="AT697" s="320"/>
      <c r="AU697" s="321"/>
    </row>
    <row r="698">
      <c r="A698" s="319"/>
      <c r="B698" s="320"/>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c r="AA698" s="320"/>
      <c r="AB698" s="320"/>
      <c r="AC698" s="320"/>
      <c r="AD698" s="320"/>
      <c r="AE698" s="320"/>
      <c r="AF698" s="320"/>
      <c r="AG698" s="320"/>
      <c r="AH698" s="320"/>
      <c r="AI698" s="320"/>
      <c r="AJ698" s="320"/>
      <c r="AK698" s="320"/>
      <c r="AL698" s="320"/>
      <c r="AM698" s="320"/>
      <c r="AN698" s="320"/>
      <c r="AO698" s="320"/>
      <c r="AP698" s="320"/>
      <c r="AQ698" s="320"/>
      <c r="AR698" s="320"/>
      <c r="AS698" s="320"/>
      <c r="AT698" s="320"/>
      <c r="AU698" s="321"/>
    </row>
    <row r="699">
      <c r="A699" s="319"/>
      <c r="B699" s="320"/>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c r="AA699" s="320"/>
      <c r="AB699" s="320"/>
      <c r="AC699" s="320"/>
      <c r="AD699" s="320"/>
      <c r="AE699" s="320"/>
      <c r="AF699" s="320"/>
      <c r="AG699" s="320"/>
      <c r="AH699" s="320"/>
      <c r="AI699" s="320"/>
      <c r="AJ699" s="320"/>
      <c r="AK699" s="320"/>
      <c r="AL699" s="320"/>
      <c r="AM699" s="320"/>
      <c r="AN699" s="320"/>
      <c r="AO699" s="320"/>
      <c r="AP699" s="320"/>
      <c r="AQ699" s="320"/>
      <c r="AR699" s="320"/>
      <c r="AS699" s="320"/>
      <c r="AT699" s="320"/>
      <c r="AU699" s="321"/>
    </row>
    <row r="700">
      <c r="A700" s="319"/>
      <c r="B700" s="320"/>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c r="AA700" s="320"/>
      <c r="AB700" s="320"/>
      <c r="AC700" s="320"/>
      <c r="AD700" s="320"/>
      <c r="AE700" s="320"/>
      <c r="AF700" s="320"/>
      <c r="AG700" s="320"/>
      <c r="AH700" s="320"/>
      <c r="AI700" s="320"/>
      <c r="AJ700" s="320"/>
      <c r="AK700" s="320"/>
      <c r="AL700" s="320"/>
      <c r="AM700" s="320"/>
      <c r="AN700" s="320"/>
      <c r="AO700" s="320"/>
      <c r="AP700" s="320"/>
      <c r="AQ700" s="320"/>
      <c r="AR700" s="320"/>
      <c r="AS700" s="320"/>
      <c r="AT700" s="320"/>
      <c r="AU700" s="321"/>
    </row>
    <row r="701">
      <c r="A701" s="319"/>
      <c r="B701" s="320"/>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c r="AA701" s="320"/>
      <c r="AB701" s="320"/>
      <c r="AC701" s="320"/>
      <c r="AD701" s="320"/>
      <c r="AE701" s="320"/>
      <c r="AF701" s="320"/>
      <c r="AG701" s="320"/>
      <c r="AH701" s="320"/>
      <c r="AI701" s="320"/>
      <c r="AJ701" s="320"/>
      <c r="AK701" s="320"/>
      <c r="AL701" s="320"/>
      <c r="AM701" s="320"/>
      <c r="AN701" s="320"/>
      <c r="AO701" s="320"/>
      <c r="AP701" s="320"/>
      <c r="AQ701" s="320"/>
      <c r="AR701" s="320"/>
      <c r="AS701" s="320"/>
      <c r="AT701" s="320"/>
      <c r="AU701" s="321"/>
    </row>
    <row r="702">
      <c r="A702" s="319"/>
      <c r="B702" s="320"/>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c r="AA702" s="320"/>
      <c r="AB702" s="320"/>
      <c r="AC702" s="320"/>
      <c r="AD702" s="320"/>
      <c r="AE702" s="320"/>
      <c r="AF702" s="320"/>
      <c r="AG702" s="320"/>
      <c r="AH702" s="320"/>
      <c r="AI702" s="320"/>
      <c r="AJ702" s="320"/>
      <c r="AK702" s="320"/>
      <c r="AL702" s="320"/>
      <c r="AM702" s="320"/>
      <c r="AN702" s="320"/>
      <c r="AO702" s="320"/>
      <c r="AP702" s="320"/>
      <c r="AQ702" s="320"/>
      <c r="AR702" s="320"/>
      <c r="AS702" s="320"/>
      <c r="AT702" s="320"/>
      <c r="AU702" s="321"/>
    </row>
    <row r="703">
      <c r="A703" s="319"/>
      <c r="B703" s="320"/>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c r="AA703" s="320"/>
      <c r="AB703" s="320"/>
      <c r="AC703" s="320"/>
      <c r="AD703" s="320"/>
      <c r="AE703" s="320"/>
      <c r="AF703" s="320"/>
      <c r="AG703" s="320"/>
      <c r="AH703" s="320"/>
      <c r="AI703" s="320"/>
      <c r="AJ703" s="320"/>
      <c r="AK703" s="320"/>
      <c r="AL703" s="320"/>
      <c r="AM703" s="320"/>
      <c r="AN703" s="320"/>
      <c r="AO703" s="320"/>
      <c r="AP703" s="320"/>
      <c r="AQ703" s="320"/>
      <c r="AR703" s="320"/>
      <c r="AS703" s="320"/>
      <c r="AT703" s="320"/>
      <c r="AU703" s="321"/>
    </row>
    <row r="704">
      <c r="A704" s="319"/>
      <c r="B704" s="320"/>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c r="AA704" s="320"/>
      <c r="AB704" s="320"/>
      <c r="AC704" s="320"/>
      <c r="AD704" s="320"/>
      <c r="AE704" s="320"/>
      <c r="AF704" s="320"/>
      <c r="AG704" s="320"/>
      <c r="AH704" s="320"/>
      <c r="AI704" s="320"/>
      <c r="AJ704" s="320"/>
      <c r="AK704" s="320"/>
      <c r="AL704" s="320"/>
      <c r="AM704" s="320"/>
      <c r="AN704" s="320"/>
      <c r="AO704" s="320"/>
      <c r="AP704" s="320"/>
      <c r="AQ704" s="320"/>
      <c r="AR704" s="320"/>
      <c r="AS704" s="320"/>
      <c r="AT704" s="320"/>
      <c r="AU704" s="321"/>
    </row>
    <row r="705">
      <c r="A705" s="319"/>
      <c r="B705" s="320"/>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c r="AA705" s="320"/>
      <c r="AB705" s="320"/>
      <c r="AC705" s="320"/>
      <c r="AD705" s="320"/>
      <c r="AE705" s="320"/>
      <c r="AF705" s="320"/>
      <c r="AG705" s="320"/>
      <c r="AH705" s="320"/>
      <c r="AI705" s="320"/>
      <c r="AJ705" s="320"/>
      <c r="AK705" s="320"/>
      <c r="AL705" s="320"/>
      <c r="AM705" s="320"/>
      <c r="AN705" s="320"/>
      <c r="AO705" s="320"/>
      <c r="AP705" s="320"/>
      <c r="AQ705" s="320"/>
      <c r="AR705" s="320"/>
      <c r="AS705" s="320"/>
      <c r="AT705" s="320"/>
      <c r="AU705" s="321"/>
    </row>
    <row r="706">
      <c r="A706" s="319"/>
      <c r="B706" s="320"/>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c r="AA706" s="320"/>
      <c r="AB706" s="320"/>
      <c r="AC706" s="320"/>
      <c r="AD706" s="320"/>
      <c r="AE706" s="320"/>
      <c r="AF706" s="320"/>
      <c r="AG706" s="320"/>
      <c r="AH706" s="320"/>
      <c r="AI706" s="320"/>
      <c r="AJ706" s="320"/>
      <c r="AK706" s="320"/>
      <c r="AL706" s="320"/>
      <c r="AM706" s="320"/>
      <c r="AN706" s="320"/>
      <c r="AO706" s="320"/>
      <c r="AP706" s="320"/>
      <c r="AQ706" s="320"/>
      <c r="AR706" s="320"/>
      <c r="AS706" s="320"/>
      <c r="AT706" s="320"/>
      <c r="AU706" s="321"/>
    </row>
    <row r="707">
      <c r="A707" s="319"/>
      <c r="B707" s="320"/>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c r="AA707" s="320"/>
      <c r="AB707" s="320"/>
      <c r="AC707" s="320"/>
      <c r="AD707" s="320"/>
      <c r="AE707" s="320"/>
      <c r="AF707" s="320"/>
      <c r="AG707" s="320"/>
      <c r="AH707" s="320"/>
      <c r="AI707" s="320"/>
      <c r="AJ707" s="320"/>
      <c r="AK707" s="320"/>
      <c r="AL707" s="320"/>
      <c r="AM707" s="320"/>
      <c r="AN707" s="320"/>
      <c r="AO707" s="320"/>
      <c r="AP707" s="320"/>
      <c r="AQ707" s="320"/>
      <c r="AR707" s="320"/>
      <c r="AS707" s="320"/>
      <c r="AT707" s="320"/>
      <c r="AU707" s="321"/>
    </row>
    <row r="708">
      <c r="A708" s="319"/>
      <c r="B708" s="320"/>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c r="AA708" s="320"/>
      <c r="AB708" s="320"/>
      <c r="AC708" s="320"/>
      <c r="AD708" s="320"/>
      <c r="AE708" s="320"/>
      <c r="AF708" s="320"/>
      <c r="AG708" s="320"/>
      <c r="AH708" s="320"/>
      <c r="AI708" s="320"/>
      <c r="AJ708" s="320"/>
      <c r="AK708" s="320"/>
      <c r="AL708" s="320"/>
      <c r="AM708" s="320"/>
      <c r="AN708" s="320"/>
      <c r="AO708" s="320"/>
      <c r="AP708" s="320"/>
      <c r="AQ708" s="320"/>
      <c r="AR708" s="320"/>
      <c r="AS708" s="320"/>
      <c r="AT708" s="320"/>
      <c r="AU708" s="321"/>
    </row>
    <row r="709">
      <c r="A709" s="319"/>
      <c r="B709" s="320"/>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c r="AA709" s="320"/>
      <c r="AB709" s="320"/>
      <c r="AC709" s="320"/>
      <c r="AD709" s="320"/>
      <c r="AE709" s="320"/>
      <c r="AF709" s="320"/>
      <c r="AG709" s="320"/>
      <c r="AH709" s="320"/>
      <c r="AI709" s="320"/>
      <c r="AJ709" s="320"/>
      <c r="AK709" s="320"/>
      <c r="AL709" s="320"/>
      <c r="AM709" s="320"/>
      <c r="AN709" s="320"/>
      <c r="AO709" s="320"/>
      <c r="AP709" s="320"/>
      <c r="AQ709" s="320"/>
      <c r="AR709" s="320"/>
      <c r="AS709" s="320"/>
      <c r="AT709" s="320"/>
      <c r="AU709" s="321"/>
    </row>
    <row r="710">
      <c r="A710" s="319"/>
      <c r="B710" s="320"/>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c r="AA710" s="320"/>
      <c r="AB710" s="320"/>
      <c r="AC710" s="320"/>
      <c r="AD710" s="320"/>
      <c r="AE710" s="320"/>
      <c r="AF710" s="320"/>
      <c r="AG710" s="320"/>
      <c r="AH710" s="320"/>
      <c r="AI710" s="320"/>
      <c r="AJ710" s="320"/>
      <c r="AK710" s="320"/>
      <c r="AL710" s="320"/>
      <c r="AM710" s="320"/>
      <c r="AN710" s="320"/>
      <c r="AO710" s="320"/>
      <c r="AP710" s="320"/>
      <c r="AQ710" s="320"/>
      <c r="AR710" s="320"/>
      <c r="AS710" s="320"/>
      <c r="AT710" s="320"/>
      <c r="AU710" s="321"/>
    </row>
    <row r="711">
      <c r="A711" s="319"/>
      <c r="B711" s="320"/>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c r="AA711" s="320"/>
      <c r="AB711" s="320"/>
      <c r="AC711" s="320"/>
      <c r="AD711" s="320"/>
      <c r="AE711" s="320"/>
      <c r="AF711" s="320"/>
      <c r="AG711" s="320"/>
      <c r="AH711" s="320"/>
      <c r="AI711" s="320"/>
      <c r="AJ711" s="320"/>
      <c r="AK711" s="320"/>
      <c r="AL711" s="320"/>
      <c r="AM711" s="320"/>
      <c r="AN711" s="320"/>
      <c r="AO711" s="320"/>
      <c r="AP711" s="320"/>
      <c r="AQ711" s="320"/>
      <c r="AR711" s="320"/>
      <c r="AS711" s="320"/>
      <c r="AT711" s="320"/>
      <c r="AU711" s="321"/>
    </row>
    <row r="712">
      <c r="A712" s="319"/>
      <c r="B712" s="320"/>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c r="AA712" s="320"/>
      <c r="AB712" s="320"/>
      <c r="AC712" s="320"/>
      <c r="AD712" s="320"/>
      <c r="AE712" s="320"/>
      <c r="AF712" s="320"/>
      <c r="AG712" s="320"/>
      <c r="AH712" s="320"/>
      <c r="AI712" s="320"/>
      <c r="AJ712" s="320"/>
      <c r="AK712" s="320"/>
      <c r="AL712" s="320"/>
      <c r="AM712" s="320"/>
      <c r="AN712" s="320"/>
      <c r="AO712" s="320"/>
      <c r="AP712" s="320"/>
      <c r="AQ712" s="320"/>
      <c r="AR712" s="320"/>
      <c r="AS712" s="320"/>
      <c r="AT712" s="320"/>
      <c r="AU712" s="321"/>
    </row>
    <row r="713">
      <c r="A713" s="319"/>
      <c r="B713" s="320"/>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c r="AA713" s="320"/>
      <c r="AB713" s="320"/>
      <c r="AC713" s="320"/>
      <c r="AD713" s="320"/>
      <c r="AE713" s="320"/>
      <c r="AF713" s="320"/>
      <c r="AG713" s="320"/>
      <c r="AH713" s="320"/>
      <c r="AI713" s="320"/>
      <c r="AJ713" s="320"/>
      <c r="AK713" s="320"/>
      <c r="AL713" s="320"/>
      <c r="AM713" s="320"/>
      <c r="AN713" s="320"/>
      <c r="AO713" s="320"/>
      <c r="AP713" s="320"/>
      <c r="AQ713" s="320"/>
      <c r="AR713" s="320"/>
      <c r="AS713" s="320"/>
      <c r="AT713" s="320"/>
      <c r="AU713" s="321"/>
    </row>
    <row r="714">
      <c r="A714" s="319"/>
      <c r="B714" s="320"/>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c r="AA714" s="320"/>
      <c r="AB714" s="320"/>
      <c r="AC714" s="320"/>
      <c r="AD714" s="320"/>
      <c r="AE714" s="320"/>
      <c r="AF714" s="320"/>
      <c r="AG714" s="320"/>
      <c r="AH714" s="320"/>
      <c r="AI714" s="320"/>
      <c r="AJ714" s="320"/>
      <c r="AK714" s="320"/>
      <c r="AL714" s="320"/>
      <c r="AM714" s="320"/>
      <c r="AN714" s="320"/>
      <c r="AO714" s="320"/>
      <c r="AP714" s="320"/>
      <c r="AQ714" s="320"/>
      <c r="AR714" s="320"/>
      <c r="AS714" s="320"/>
      <c r="AT714" s="320"/>
      <c r="AU714" s="321"/>
    </row>
    <row r="715">
      <c r="A715" s="319"/>
      <c r="B715" s="320"/>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c r="AA715" s="320"/>
      <c r="AB715" s="320"/>
      <c r="AC715" s="320"/>
      <c r="AD715" s="320"/>
      <c r="AE715" s="320"/>
      <c r="AF715" s="320"/>
      <c r="AG715" s="320"/>
      <c r="AH715" s="320"/>
      <c r="AI715" s="320"/>
      <c r="AJ715" s="320"/>
      <c r="AK715" s="320"/>
      <c r="AL715" s="320"/>
      <c r="AM715" s="320"/>
      <c r="AN715" s="320"/>
      <c r="AO715" s="320"/>
      <c r="AP715" s="320"/>
      <c r="AQ715" s="320"/>
      <c r="AR715" s="320"/>
      <c r="AS715" s="320"/>
      <c r="AT715" s="320"/>
      <c r="AU715" s="321"/>
    </row>
    <row r="716">
      <c r="A716" s="319"/>
      <c r="B716" s="320"/>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c r="AA716" s="320"/>
      <c r="AB716" s="320"/>
      <c r="AC716" s="320"/>
      <c r="AD716" s="320"/>
      <c r="AE716" s="320"/>
      <c r="AF716" s="320"/>
      <c r="AG716" s="320"/>
      <c r="AH716" s="320"/>
      <c r="AI716" s="320"/>
      <c r="AJ716" s="320"/>
      <c r="AK716" s="320"/>
      <c r="AL716" s="320"/>
      <c r="AM716" s="320"/>
      <c r="AN716" s="320"/>
      <c r="AO716" s="320"/>
      <c r="AP716" s="320"/>
      <c r="AQ716" s="320"/>
      <c r="AR716" s="320"/>
      <c r="AS716" s="320"/>
      <c r="AT716" s="320"/>
      <c r="AU716" s="321"/>
    </row>
    <row r="717">
      <c r="A717" s="319"/>
      <c r="B717" s="320"/>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c r="AA717" s="320"/>
      <c r="AB717" s="320"/>
      <c r="AC717" s="320"/>
      <c r="AD717" s="320"/>
      <c r="AE717" s="320"/>
      <c r="AF717" s="320"/>
      <c r="AG717" s="320"/>
      <c r="AH717" s="320"/>
      <c r="AI717" s="320"/>
      <c r="AJ717" s="320"/>
      <c r="AK717" s="320"/>
      <c r="AL717" s="320"/>
      <c r="AM717" s="320"/>
      <c r="AN717" s="320"/>
      <c r="AO717" s="320"/>
      <c r="AP717" s="320"/>
      <c r="AQ717" s="320"/>
      <c r="AR717" s="320"/>
      <c r="AS717" s="320"/>
      <c r="AT717" s="320"/>
      <c r="AU717" s="321"/>
    </row>
    <row r="718">
      <c r="A718" s="319"/>
      <c r="B718" s="320"/>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c r="AA718" s="320"/>
      <c r="AB718" s="320"/>
      <c r="AC718" s="320"/>
      <c r="AD718" s="320"/>
      <c r="AE718" s="320"/>
      <c r="AF718" s="320"/>
      <c r="AG718" s="320"/>
      <c r="AH718" s="320"/>
      <c r="AI718" s="320"/>
      <c r="AJ718" s="320"/>
      <c r="AK718" s="320"/>
      <c r="AL718" s="320"/>
      <c r="AM718" s="320"/>
      <c r="AN718" s="320"/>
      <c r="AO718" s="320"/>
      <c r="AP718" s="320"/>
      <c r="AQ718" s="320"/>
      <c r="AR718" s="320"/>
      <c r="AS718" s="320"/>
      <c r="AT718" s="320"/>
      <c r="AU718" s="321"/>
    </row>
    <row r="719">
      <c r="A719" s="319"/>
      <c r="B719" s="320"/>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c r="AA719" s="320"/>
      <c r="AB719" s="320"/>
      <c r="AC719" s="320"/>
      <c r="AD719" s="320"/>
      <c r="AE719" s="320"/>
      <c r="AF719" s="320"/>
      <c r="AG719" s="320"/>
      <c r="AH719" s="320"/>
      <c r="AI719" s="320"/>
      <c r="AJ719" s="320"/>
      <c r="AK719" s="320"/>
      <c r="AL719" s="320"/>
      <c r="AM719" s="320"/>
      <c r="AN719" s="320"/>
      <c r="AO719" s="320"/>
      <c r="AP719" s="320"/>
      <c r="AQ719" s="320"/>
      <c r="AR719" s="320"/>
      <c r="AS719" s="320"/>
      <c r="AT719" s="320"/>
      <c r="AU719" s="321"/>
    </row>
    <row r="720">
      <c r="A720" s="319"/>
      <c r="B720" s="320"/>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c r="AA720" s="320"/>
      <c r="AB720" s="320"/>
      <c r="AC720" s="320"/>
      <c r="AD720" s="320"/>
      <c r="AE720" s="320"/>
      <c r="AF720" s="320"/>
      <c r="AG720" s="320"/>
      <c r="AH720" s="320"/>
      <c r="AI720" s="320"/>
      <c r="AJ720" s="320"/>
      <c r="AK720" s="320"/>
      <c r="AL720" s="320"/>
      <c r="AM720" s="320"/>
      <c r="AN720" s="320"/>
      <c r="AO720" s="320"/>
      <c r="AP720" s="320"/>
      <c r="AQ720" s="320"/>
      <c r="AR720" s="320"/>
      <c r="AS720" s="320"/>
      <c r="AT720" s="320"/>
      <c r="AU720" s="321"/>
    </row>
    <row r="721">
      <c r="A721" s="319"/>
      <c r="B721" s="320"/>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c r="AA721" s="320"/>
      <c r="AB721" s="320"/>
      <c r="AC721" s="320"/>
      <c r="AD721" s="320"/>
      <c r="AE721" s="320"/>
      <c r="AF721" s="320"/>
      <c r="AG721" s="320"/>
      <c r="AH721" s="320"/>
      <c r="AI721" s="320"/>
      <c r="AJ721" s="320"/>
      <c r="AK721" s="320"/>
      <c r="AL721" s="320"/>
      <c r="AM721" s="320"/>
      <c r="AN721" s="320"/>
      <c r="AO721" s="320"/>
      <c r="AP721" s="320"/>
      <c r="AQ721" s="320"/>
      <c r="AR721" s="320"/>
      <c r="AS721" s="320"/>
      <c r="AT721" s="320"/>
      <c r="AU721" s="321"/>
    </row>
    <row r="722">
      <c r="A722" s="319"/>
      <c r="B722" s="320"/>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c r="AA722" s="320"/>
      <c r="AB722" s="320"/>
      <c r="AC722" s="320"/>
      <c r="AD722" s="320"/>
      <c r="AE722" s="320"/>
      <c r="AF722" s="320"/>
      <c r="AG722" s="320"/>
      <c r="AH722" s="320"/>
      <c r="AI722" s="320"/>
      <c r="AJ722" s="320"/>
      <c r="AK722" s="320"/>
      <c r="AL722" s="320"/>
      <c r="AM722" s="320"/>
      <c r="AN722" s="320"/>
      <c r="AO722" s="320"/>
      <c r="AP722" s="320"/>
      <c r="AQ722" s="320"/>
      <c r="AR722" s="320"/>
      <c r="AS722" s="320"/>
      <c r="AT722" s="320"/>
      <c r="AU722" s="321"/>
    </row>
    <row r="723">
      <c r="A723" s="319"/>
      <c r="B723" s="320"/>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c r="AA723" s="320"/>
      <c r="AB723" s="320"/>
      <c r="AC723" s="320"/>
      <c r="AD723" s="320"/>
      <c r="AE723" s="320"/>
      <c r="AF723" s="320"/>
      <c r="AG723" s="320"/>
      <c r="AH723" s="320"/>
      <c r="AI723" s="320"/>
      <c r="AJ723" s="320"/>
      <c r="AK723" s="320"/>
      <c r="AL723" s="320"/>
      <c r="AM723" s="320"/>
      <c r="AN723" s="320"/>
      <c r="AO723" s="320"/>
      <c r="AP723" s="320"/>
      <c r="AQ723" s="320"/>
      <c r="AR723" s="320"/>
      <c r="AS723" s="320"/>
      <c r="AT723" s="320"/>
      <c r="AU723" s="321"/>
    </row>
    <row r="724">
      <c r="A724" s="319"/>
      <c r="B724" s="320"/>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c r="AA724" s="320"/>
      <c r="AB724" s="320"/>
      <c r="AC724" s="320"/>
      <c r="AD724" s="320"/>
      <c r="AE724" s="320"/>
      <c r="AF724" s="320"/>
      <c r="AG724" s="320"/>
      <c r="AH724" s="320"/>
      <c r="AI724" s="320"/>
      <c r="AJ724" s="320"/>
      <c r="AK724" s="320"/>
      <c r="AL724" s="320"/>
      <c r="AM724" s="320"/>
      <c r="AN724" s="320"/>
      <c r="AO724" s="320"/>
      <c r="AP724" s="320"/>
      <c r="AQ724" s="320"/>
      <c r="AR724" s="320"/>
      <c r="AS724" s="320"/>
      <c r="AT724" s="320"/>
      <c r="AU724" s="321"/>
    </row>
    <row r="725">
      <c r="A725" s="319"/>
      <c r="B725" s="320"/>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c r="AA725" s="320"/>
      <c r="AB725" s="320"/>
      <c r="AC725" s="320"/>
      <c r="AD725" s="320"/>
      <c r="AE725" s="320"/>
      <c r="AF725" s="320"/>
      <c r="AG725" s="320"/>
      <c r="AH725" s="320"/>
      <c r="AI725" s="320"/>
      <c r="AJ725" s="320"/>
      <c r="AK725" s="320"/>
      <c r="AL725" s="320"/>
      <c r="AM725" s="320"/>
      <c r="AN725" s="320"/>
      <c r="AO725" s="320"/>
      <c r="AP725" s="320"/>
      <c r="AQ725" s="320"/>
      <c r="AR725" s="320"/>
      <c r="AS725" s="320"/>
      <c r="AT725" s="320"/>
      <c r="AU725" s="321"/>
    </row>
    <row r="726">
      <c r="A726" s="319"/>
      <c r="B726" s="320"/>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c r="AA726" s="320"/>
      <c r="AB726" s="320"/>
      <c r="AC726" s="320"/>
      <c r="AD726" s="320"/>
      <c r="AE726" s="320"/>
      <c r="AF726" s="320"/>
      <c r="AG726" s="320"/>
      <c r="AH726" s="320"/>
      <c r="AI726" s="320"/>
      <c r="AJ726" s="320"/>
      <c r="AK726" s="320"/>
      <c r="AL726" s="320"/>
      <c r="AM726" s="320"/>
      <c r="AN726" s="320"/>
      <c r="AO726" s="320"/>
      <c r="AP726" s="320"/>
      <c r="AQ726" s="320"/>
      <c r="AR726" s="320"/>
      <c r="AS726" s="320"/>
      <c r="AT726" s="320"/>
      <c r="AU726" s="321"/>
    </row>
    <row r="727">
      <c r="A727" s="319"/>
      <c r="B727" s="320"/>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c r="AA727" s="320"/>
      <c r="AB727" s="320"/>
      <c r="AC727" s="320"/>
      <c r="AD727" s="320"/>
      <c r="AE727" s="320"/>
      <c r="AF727" s="320"/>
      <c r="AG727" s="320"/>
      <c r="AH727" s="320"/>
      <c r="AI727" s="320"/>
      <c r="AJ727" s="320"/>
      <c r="AK727" s="320"/>
      <c r="AL727" s="320"/>
      <c r="AM727" s="320"/>
      <c r="AN727" s="320"/>
      <c r="AO727" s="320"/>
      <c r="AP727" s="320"/>
      <c r="AQ727" s="320"/>
      <c r="AR727" s="320"/>
      <c r="AS727" s="320"/>
      <c r="AT727" s="320"/>
      <c r="AU727" s="321"/>
    </row>
    <row r="728">
      <c r="A728" s="319"/>
      <c r="B728" s="320"/>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c r="AA728" s="320"/>
      <c r="AB728" s="320"/>
      <c r="AC728" s="320"/>
      <c r="AD728" s="320"/>
      <c r="AE728" s="320"/>
      <c r="AF728" s="320"/>
      <c r="AG728" s="320"/>
      <c r="AH728" s="320"/>
      <c r="AI728" s="320"/>
      <c r="AJ728" s="320"/>
      <c r="AK728" s="320"/>
      <c r="AL728" s="320"/>
      <c r="AM728" s="320"/>
      <c r="AN728" s="320"/>
      <c r="AO728" s="320"/>
      <c r="AP728" s="320"/>
      <c r="AQ728" s="320"/>
      <c r="AR728" s="320"/>
      <c r="AS728" s="320"/>
      <c r="AT728" s="320"/>
      <c r="AU728" s="321"/>
    </row>
    <row r="729">
      <c r="A729" s="319"/>
      <c r="B729" s="320"/>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c r="AA729" s="320"/>
      <c r="AB729" s="320"/>
      <c r="AC729" s="320"/>
      <c r="AD729" s="320"/>
      <c r="AE729" s="320"/>
      <c r="AF729" s="320"/>
      <c r="AG729" s="320"/>
      <c r="AH729" s="320"/>
      <c r="AI729" s="320"/>
      <c r="AJ729" s="320"/>
      <c r="AK729" s="320"/>
      <c r="AL729" s="320"/>
      <c r="AM729" s="320"/>
      <c r="AN729" s="320"/>
      <c r="AO729" s="320"/>
      <c r="AP729" s="320"/>
      <c r="AQ729" s="320"/>
      <c r="AR729" s="320"/>
      <c r="AS729" s="320"/>
      <c r="AT729" s="320"/>
      <c r="AU729" s="321"/>
    </row>
    <row r="730">
      <c r="A730" s="319"/>
      <c r="B730" s="320"/>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c r="AA730" s="320"/>
      <c r="AB730" s="320"/>
      <c r="AC730" s="320"/>
      <c r="AD730" s="320"/>
      <c r="AE730" s="320"/>
      <c r="AF730" s="320"/>
      <c r="AG730" s="320"/>
      <c r="AH730" s="320"/>
      <c r="AI730" s="320"/>
      <c r="AJ730" s="320"/>
      <c r="AK730" s="320"/>
      <c r="AL730" s="320"/>
      <c r="AM730" s="320"/>
      <c r="AN730" s="320"/>
      <c r="AO730" s="320"/>
      <c r="AP730" s="320"/>
      <c r="AQ730" s="320"/>
      <c r="AR730" s="320"/>
      <c r="AS730" s="320"/>
      <c r="AT730" s="320"/>
      <c r="AU730" s="321"/>
    </row>
    <row r="731">
      <c r="A731" s="319"/>
      <c r="B731" s="320"/>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c r="AA731" s="320"/>
      <c r="AB731" s="320"/>
      <c r="AC731" s="320"/>
      <c r="AD731" s="320"/>
      <c r="AE731" s="320"/>
      <c r="AF731" s="320"/>
      <c r="AG731" s="320"/>
      <c r="AH731" s="320"/>
      <c r="AI731" s="320"/>
      <c r="AJ731" s="320"/>
      <c r="AK731" s="320"/>
      <c r="AL731" s="320"/>
      <c r="AM731" s="320"/>
      <c r="AN731" s="320"/>
      <c r="AO731" s="320"/>
      <c r="AP731" s="320"/>
      <c r="AQ731" s="320"/>
      <c r="AR731" s="320"/>
      <c r="AS731" s="320"/>
      <c r="AT731" s="320"/>
      <c r="AU731" s="321"/>
    </row>
    <row r="732">
      <c r="A732" s="319"/>
      <c r="B732" s="320"/>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c r="AA732" s="320"/>
      <c r="AB732" s="320"/>
      <c r="AC732" s="320"/>
      <c r="AD732" s="320"/>
      <c r="AE732" s="320"/>
      <c r="AF732" s="320"/>
      <c r="AG732" s="320"/>
      <c r="AH732" s="320"/>
      <c r="AI732" s="320"/>
      <c r="AJ732" s="320"/>
      <c r="AK732" s="320"/>
      <c r="AL732" s="320"/>
      <c r="AM732" s="320"/>
      <c r="AN732" s="320"/>
      <c r="AO732" s="320"/>
      <c r="AP732" s="320"/>
      <c r="AQ732" s="320"/>
      <c r="AR732" s="320"/>
      <c r="AS732" s="320"/>
      <c r="AT732" s="320"/>
      <c r="AU732" s="321"/>
    </row>
    <row r="733">
      <c r="A733" s="319"/>
      <c r="B733" s="320"/>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c r="AA733" s="320"/>
      <c r="AB733" s="320"/>
      <c r="AC733" s="320"/>
      <c r="AD733" s="320"/>
      <c r="AE733" s="320"/>
      <c r="AF733" s="320"/>
      <c r="AG733" s="320"/>
      <c r="AH733" s="320"/>
      <c r="AI733" s="320"/>
      <c r="AJ733" s="320"/>
      <c r="AK733" s="320"/>
      <c r="AL733" s="320"/>
      <c r="AM733" s="320"/>
      <c r="AN733" s="320"/>
      <c r="AO733" s="320"/>
      <c r="AP733" s="320"/>
      <c r="AQ733" s="320"/>
      <c r="AR733" s="320"/>
      <c r="AS733" s="320"/>
      <c r="AT733" s="320"/>
      <c r="AU733" s="321"/>
    </row>
    <row r="734">
      <c r="A734" s="319"/>
      <c r="B734" s="320"/>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c r="AA734" s="320"/>
      <c r="AB734" s="320"/>
      <c r="AC734" s="320"/>
      <c r="AD734" s="320"/>
      <c r="AE734" s="320"/>
      <c r="AF734" s="320"/>
      <c r="AG734" s="320"/>
      <c r="AH734" s="320"/>
      <c r="AI734" s="320"/>
      <c r="AJ734" s="320"/>
      <c r="AK734" s="320"/>
      <c r="AL734" s="320"/>
      <c r="AM734" s="320"/>
      <c r="AN734" s="320"/>
      <c r="AO734" s="320"/>
      <c r="AP734" s="320"/>
      <c r="AQ734" s="320"/>
      <c r="AR734" s="320"/>
      <c r="AS734" s="320"/>
      <c r="AT734" s="320"/>
      <c r="AU734" s="321"/>
    </row>
    <row r="735">
      <c r="A735" s="319"/>
      <c r="B735" s="320"/>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c r="AA735" s="320"/>
      <c r="AB735" s="320"/>
      <c r="AC735" s="320"/>
      <c r="AD735" s="320"/>
      <c r="AE735" s="320"/>
      <c r="AF735" s="320"/>
      <c r="AG735" s="320"/>
      <c r="AH735" s="320"/>
      <c r="AI735" s="320"/>
      <c r="AJ735" s="320"/>
      <c r="AK735" s="320"/>
      <c r="AL735" s="320"/>
      <c r="AM735" s="320"/>
      <c r="AN735" s="320"/>
      <c r="AO735" s="320"/>
      <c r="AP735" s="320"/>
      <c r="AQ735" s="320"/>
      <c r="AR735" s="320"/>
      <c r="AS735" s="320"/>
      <c r="AT735" s="320"/>
      <c r="AU735" s="321"/>
    </row>
    <row r="736">
      <c r="A736" s="319"/>
      <c r="B736" s="320"/>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c r="AA736" s="320"/>
      <c r="AB736" s="320"/>
      <c r="AC736" s="320"/>
      <c r="AD736" s="320"/>
      <c r="AE736" s="320"/>
      <c r="AF736" s="320"/>
      <c r="AG736" s="320"/>
      <c r="AH736" s="320"/>
      <c r="AI736" s="320"/>
      <c r="AJ736" s="320"/>
      <c r="AK736" s="320"/>
      <c r="AL736" s="320"/>
      <c r="AM736" s="320"/>
      <c r="AN736" s="320"/>
      <c r="AO736" s="320"/>
      <c r="AP736" s="320"/>
      <c r="AQ736" s="320"/>
      <c r="AR736" s="320"/>
      <c r="AS736" s="320"/>
      <c r="AT736" s="320"/>
      <c r="AU736" s="321"/>
    </row>
    <row r="737">
      <c r="A737" s="319"/>
      <c r="B737" s="320"/>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c r="AA737" s="320"/>
      <c r="AB737" s="320"/>
      <c r="AC737" s="320"/>
      <c r="AD737" s="320"/>
      <c r="AE737" s="320"/>
      <c r="AF737" s="320"/>
      <c r="AG737" s="320"/>
      <c r="AH737" s="320"/>
      <c r="AI737" s="320"/>
      <c r="AJ737" s="320"/>
      <c r="AK737" s="320"/>
      <c r="AL737" s="320"/>
      <c r="AM737" s="320"/>
      <c r="AN737" s="320"/>
      <c r="AO737" s="320"/>
      <c r="AP737" s="320"/>
      <c r="AQ737" s="320"/>
      <c r="AR737" s="320"/>
      <c r="AS737" s="320"/>
      <c r="AT737" s="320"/>
      <c r="AU737" s="321"/>
    </row>
    <row r="738">
      <c r="A738" s="319"/>
      <c r="B738" s="320"/>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c r="AA738" s="320"/>
      <c r="AB738" s="320"/>
      <c r="AC738" s="320"/>
      <c r="AD738" s="320"/>
      <c r="AE738" s="320"/>
      <c r="AF738" s="320"/>
      <c r="AG738" s="320"/>
      <c r="AH738" s="320"/>
      <c r="AI738" s="320"/>
      <c r="AJ738" s="320"/>
      <c r="AK738" s="320"/>
      <c r="AL738" s="320"/>
      <c r="AM738" s="320"/>
      <c r="AN738" s="320"/>
      <c r="AO738" s="320"/>
      <c r="AP738" s="320"/>
      <c r="AQ738" s="320"/>
      <c r="AR738" s="320"/>
      <c r="AS738" s="320"/>
      <c r="AT738" s="320"/>
      <c r="AU738" s="321"/>
    </row>
    <row r="739">
      <c r="A739" s="319"/>
      <c r="B739" s="320"/>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c r="AA739" s="320"/>
      <c r="AB739" s="320"/>
      <c r="AC739" s="320"/>
      <c r="AD739" s="320"/>
      <c r="AE739" s="320"/>
      <c r="AF739" s="320"/>
      <c r="AG739" s="320"/>
      <c r="AH739" s="320"/>
      <c r="AI739" s="320"/>
      <c r="AJ739" s="320"/>
      <c r="AK739" s="320"/>
      <c r="AL739" s="320"/>
      <c r="AM739" s="320"/>
      <c r="AN739" s="320"/>
      <c r="AO739" s="320"/>
      <c r="AP739" s="320"/>
      <c r="AQ739" s="320"/>
      <c r="AR739" s="320"/>
      <c r="AS739" s="320"/>
      <c r="AT739" s="320"/>
      <c r="AU739" s="321"/>
    </row>
    <row r="740">
      <c r="A740" s="319"/>
      <c r="B740" s="320"/>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c r="AA740" s="320"/>
      <c r="AB740" s="320"/>
      <c r="AC740" s="320"/>
      <c r="AD740" s="320"/>
      <c r="AE740" s="320"/>
      <c r="AF740" s="320"/>
      <c r="AG740" s="320"/>
      <c r="AH740" s="320"/>
      <c r="AI740" s="320"/>
      <c r="AJ740" s="320"/>
      <c r="AK740" s="320"/>
      <c r="AL740" s="320"/>
      <c r="AM740" s="320"/>
      <c r="AN740" s="320"/>
      <c r="AO740" s="320"/>
      <c r="AP740" s="320"/>
      <c r="AQ740" s="320"/>
      <c r="AR740" s="320"/>
      <c r="AS740" s="320"/>
      <c r="AT740" s="320"/>
      <c r="AU740" s="321"/>
    </row>
    <row r="741">
      <c r="A741" s="319"/>
      <c r="B741" s="320"/>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c r="AA741" s="320"/>
      <c r="AB741" s="320"/>
      <c r="AC741" s="320"/>
      <c r="AD741" s="320"/>
      <c r="AE741" s="320"/>
      <c r="AF741" s="320"/>
      <c r="AG741" s="320"/>
      <c r="AH741" s="320"/>
      <c r="AI741" s="320"/>
      <c r="AJ741" s="320"/>
      <c r="AK741" s="320"/>
      <c r="AL741" s="320"/>
      <c r="AM741" s="320"/>
      <c r="AN741" s="320"/>
      <c r="AO741" s="320"/>
      <c r="AP741" s="320"/>
      <c r="AQ741" s="320"/>
      <c r="AR741" s="320"/>
      <c r="AS741" s="320"/>
      <c r="AT741" s="320"/>
      <c r="AU741" s="321"/>
    </row>
    <row r="742">
      <c r="A742" s="319"/>
      <c r="B742" s="320"/>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c r="AA742" s="320"/>
      <c r="AB742" s="320"/>
      <c r="AC742" s="320"/>
      <c r="AD742" s="320"/>
      <c r="AE742" s="320"/>
      <c r="AF742" s="320"/>
      <c r="AG742" s="320"/>
      <c r="AH742" s="320"/>
      <c r="AI742" s="320"/>
      <c r="AJ742" s="320"/>
      <c r="AK742" s="320"/>
      <c r="AL742" s="320"/>
      <c r="AM742" s="320"/>
      <c r="AN742" s="320"/>
      <c r="AO742" s="320"/>
      <c r="AP742" s="320"/>
      <c r="AQ742" s="320"/>
      <c r="AR742" s="320"/>
      <c r="AS742" s="320"/>
      <c r="AT742" s="320"/>
      <c r="AU742" s="321"/>
    </row>
    <row r="743">
      <c r="A743" s="319"/>
      <c r="B743" s="320"/>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c r="AA743" s="320"/>
      <c r="AB743" s="320"/>
      <c r="AC743" s="320"/>
      <c r="AD743" s="320"/>
      <c r="AE743" s="320"/>
      <c r="AF743" s="320"/>
      <c r="AG743" s="320"/>
      <c r="AH743" s="320"/>
      <c r="AI743" s="320"/>
      <c r="AJ743" s="320"/>
      <c r="AK743" s="320"/>
      <c r="AL743" s="320"/>
      <c r="AM743" s="320"/>
      <c r="AN743" s="320"/>
      <c r="AO743" s="320"/>
      <c r="AP743" s="320"/>
      <c r="AQ743" s="320"/>
      <c r="AR743" s="320"/>
      <c r="AS743" s="320"/>
      <c r="AT743" s="320"/>
      <c r="AU743" s="321"/>
    </row>
    <row r="744">
      <c r="A744" s="319"/>
      <c r="B744" s="320"/>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c r="AA744" s="320"/>
      <c r="AB744" s="320"/>
      <c r="AC744" s="320"/>
      <c r="AD744" s="320"/>
      <c r="AE744" s="320"/>
      <c r="AF744" s="320"/>
      <c r="AG744" s="320"/>
      <c r="AH744" s="320"/>
      <c r="AI744" s="320"/>
      <c r="AJ744" s="320"/>
      <c r="AK744" s="320"/>
      <c r="AL744" s="320"/>
      <c r="AM744" s="320"/>
      <c r="AN744" s="320"/>
      <c r="AO744" s="320"/>
      <c r="AP744" s="320"/>
      <c r="AQ744" s="320"/>
      <c r="AR744" s="320"/>
      <c r="AS744" s="320"/>
      <c r="AT744" s="320"/>
      <c r="AU744" s="321"/>
    </row>
    <row r="745">
      <c r="A745" s="319"/>
      <c r="B745" s="320"/>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c r="AA745" s="320"/>
      <c r="AB745" s="320"/>
      <c r="AC745" s="320"/>
      <c r="AD745" s="320"/>
      <c r="AE745" s="320"/>
      <c r="AF745" s="320"/>
      <c r="AG745" s="320"/>
      <c r="AH745" s="320"/>
      <c r="AI745" s="320"/>
      <c r="AJ745" s="320"/>
      <c r="AK745" s="320"/>
      <c r="AL745" s="320"/>
      <c r="AM745" s="320"/>
      <c r="AN745" s="320"/>
      <c r="AO745" s="320"/>
      <c r="AP745" s="320"/>
      <c r="AQ745" s="320"/>
      <c r="AR745" s="320"/>
      <c r="AS745" s="320"/>
      <c r="AT745" s="320"/>
      <c r="AU745" s="321"/>
    </row>
    <row r="746">
      <c r="A746" s="319"/>
      <c r="B746" s="320"/>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c r="AA746" s="320"/>
      <c r="AB746" s="320"/>
      <c r="AC746" s="320"/>
      <c r="AD746" s="320"/>
      <c r="AE746" s="320"/>
      <c r="AF746" s="320"/>
      <c r="AG746" s="320"/>
      <c r="AH746" s="320"/>
      <c r="AI746" s="320"/>
      <c r="AJ746" s="320"/>
      <c r="AK746" s="320"/>
      <c r="AL746" s="320"/>
      <c r="AM746" s="320"/>
      <c r="AN746" s="320"/>
      <c r="AO746" s="320"/>
      <c r="AP746" s="320"/>
      <c r="AQ746" s="320"/>
      <c r="AR746" s="320"/>
      <c r="AS746" s="320"/>
      <c r="AT746" s="320"/>
      <c r="AU746" s="321"/>
    </row>
    <row r="747">
      <c r="A747" s="319"/>
      <c r="B747" s="320"/>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c r="AA747" s="320"/>
      <c r="AB747" s="320"/>
      <c r="AC747" s="320"/>
      <c r="AD747" s="320"/>
      <c r="AE747" s="320"/>
      <c r="AF747" s="320"/>
      <c r="AG747" s="320"/>
      <c r="AH747" s="320"/>
      <c r="AI747" s="320"/>
      <c r="AJ747" s="320"/>
      <c r="AK747" s="320"/>
      <c r="AL747" s="320"/>
      <c r="AM747" s="320"/>
      <c r="AN747" s="320"/>
      <c r="AO747" s="320"/>
      <c r="AP747" s="320"/>
      <c r="AQ747" s="320"/>
      <c r="AR747" s="320"/>
      <c r="AS747" s="320"/>
      <c r="AT747" s="320"/>
      <c r="AU747" s="321"/>
    </row>
    <row r="748">
      <c r="A748" s="319"/>
      <c r="B748" s="320"/>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c r="AA748" s="320"/>
      <c r="AB748" s="320"/>
      <c r="AC748" s="320"/>
      <c r="AD748" s="320"/>
      <c r="AE748" s="320"/>
      <c r="AF748" s="320"/>
      <c r="AG748" s="320"/>
      <c r="AH748" s="320"/>
      <c r="AI748" s="320"/>
      <c r="AJ748" s="320"/>
      <c r="AK748" s="320"/>
      <c r="AL748" s="320"/>
      <c r="AM748" s="320"/>
      <c r="AN748" s="320"/>
      <c r="AO748" s="320"/>
      <c r="AP748" s="320"/>
      <c r="AQ748" s="320"/>
      <c r="AR748" s="320"/>
      <c r="AS748" s="320"/>
      <c r="AT748" s="320"/>
      <c r="AU748" s="321"/>
    </row>
    <row r="749">
      <c r="A749" s="319"/>
      <c r="B749" s="320"/>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c r="AA749" s="320"/>
      <c r="AB749" s="320"/>
      <c r="AC749" s="320"/>
      <c r="AD749" s="320"/>
      <c r="AE749" s="320"/>
      <c r="AF749" s="320"/>
      <c r="AG749" s="320"/>
      <c r="AH749" s="320"/>
      <c r="AI749" s="320"/>
      <c r="AJ749" s="320"/>
      <c r="AK749" s="320"/>
      <c r="AL749" s="320"/>
      <c r="AM749" s="320"/>
      <c r="AN749" s="320"/>
      <c r="AO749" s="320"/>
      <c r="AP749" s="320"/>
      <c r="AQ749" s="320"/>
      <c r="AR749" s="320"/>
      <c r="AS749" s="320"/>
      <c r="AT749" s="320"/>
      <c r="AU749" s="321"/>
    </row>
    <row r="750">
      <c r="A750" s="319"/>
      <c r="B750" s="320"/>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c r="AA750" s="320"/>
      <c r="AB750" s="320"/>
      <c r="AC750" s="320"/>
      <c r="AD750" s="320"/>
      <c r="AE750" s="320"/>
      <c r="AF750" s="320"/>
      <c r="AG750" s="320"/>
      <c r="AH750" s="320"/>
      <c r="AI750" s="320"/>
      <c r="AJ750" s="320"/>
      <c r="AK750" s="320"/>
      <c r="AL750" s="320"/>
      <c r="AM750" s="320"/>
      <c r="AN750" s="320"/>
      <c r="AO750" s="320"/>
      <c r="AP750" s="320"/>
      <c r="AQ750" s="320"/>
      <c r="AR750" s="320"/>
      <c r="AS750" s="320"/>
      <c r="AT750" s="320"/>
      <c r="AU750" s="321"/>
    </row>
    <row r="751">
      <c r="A751" s="319"/>
      <c r="B751" s="320"/>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c r="AA751" s="320"/>
      <c r="AB751" s="320"/>
      <c r="AC751" s="320"/>
      <c r="AD751" s="320"/>
      <c r="AE751" s="320"/>
      <c r="AF751" s="320"/>
      <c r="AG751" s="320"/>
      <c r="AH751" s="320"/>
      <c r="AI751" s="320"/>
      <c r="AJ751" s="320"/>
      <c r="AK751" s="320"/>
      <c r="AL751" s="320"/>
      <c r="AM751" s="320"/>
      <c r="AN751" s="320"/>
      <c r="AO751" s="320"/>
      <c r="AP751" s="320"/>
      <c r="AQ751" s="320"/>
      <c r="AR751" s="320"/>
      <c r="AS751" s="320"/>
      <c r="AT751" s="320"/>
      <c r="AU751" s="321"/>
    </row>
    <row r="752">
      <c r="A752" s="319"/>
      <c r="B752" s="320"/>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c r="AA752" s="320"/>
      <c r="AB752" s="320"/>
      <c r="AC752" s="320"/>
      <c r="AD752" s="320"/>
      <c r="AE752" s="320"/>
      <c r="AF752" s="320"/>
      <c r="AG752" s="320"/>
      <c r="AH752" s="320"/>
      <c r="AI752" s="320"/>
      <c r="AJ752" s="320"/>
      <c r="AK752" s="320"/>
      <c r="AL752" s="320"/>
      <c r="AM752" s="320"/>
      <c r="AN752" s="320"/>
      <c r="AO752" s="320"/>
      <c r="AP752" s="320"/>
      <c r="AQ752" s="320"/>
      <c r="AR752" s="320"/>
      <c r="AS752" s="320"/>
      <c r="AT752" s="320"/>
      <c r="AU752" s="321"/>
    </row>
    <row r="753">
      <c r="A753" s="319"/>
      <c r="B753" s="320"/>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c r="AA753" s="320"/>
      <c r="AB753" s="320"/>
      <c r="AC753" s="320"/>
      <c r="AD753" s="320"/>
      <c r="AE753" s="320"/>
      <c r="AF753" s="320"/>
      <c r="AG753" s="320"/>
      <c r="AH753" s="320"/>
      <c r="AI753" s="320"/>
      <c r="AJ753" s="320"/>
      <c r="AK753" s="320"/>
      <c r="AL753" s="320"/>
      <c r="AM753" s="320"/>
      <c r="AN753" s="320"/>
      <c r="AO753" s="320"/>
      <c r="AP753" s="320"/>
      <c r="AQ753" s="320"/>
      <c r="AR753" s="320"/>
      <c r="AS753" s="320"/>
      <c r="AT753" s="320"/>
      <c r="AU753" s="321"/>
    </row>
    <row r="754">
      <c r="A754" s="319"/>
      <c r="B754" s="320"/>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c r="AA754" s="320"/>
      <c r="AB754" s="320"/>
      <c r="AC754" s="320"/>
      <c r="AD754" s="320"/>
      <c r="AE754" s="320"/>
      <c r="AF754" s="320"/>
      <c r="AG754" s="320"/>
      <c r="AH754" s="320"/>
      <c r="AI754" s="320"/>
      <c r="AJ754" s="320"/>
      <c r="AK754" s="320"/>
      <c r="AL754" s="320"/>
      <c r="AM754" s="320"/>
      <c r="AN754" s="320"/>
      <c r="AO754" s="320"/>
      <c r="AP754" s="320"/>
      <c r="AQ754" s="320"/>
      <c r="AR754" s="320"/>
      <c r="AS754" s="320"/>
      <c r="AT754" s="320"/>
      <c r="AU754" s="321"/>
    </row>
    <row r="755">
      <c r="A755" s="319"/>
      <c r="B755" s="320"/>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c r="AA755" s="320"/>
      <c r="AB755" s="320"/>
      <c r="AC755" s="320"/>
      <c r="AD755" s="320"/>
      <c r="AE755" s="320"/>
      <c r="AF755" s="320"/>
      <c r="AG755" s="320"/>
      <c r="AH755" s="320"/>
      <c r="AI755" s="320"/>
      <c r="AJ755" s="320"/>
      <c r="AK755" s="320"/>
      <c r="AL755" s="320"/>
      <c r="AM755" s="320"/>
      <c r="AN755" s="320"/>
      <c r="AO755" s="320"/>
      <c r="AP755" s="320"/>
      <c r="AQ755" s="320"/>
      <c r="AR755" s="320"/>
      <c r="AS755" s="320"/>
      <c r="AT755" s="320"/>
      <c r="AU755" s="321"/>
    </row>
    <row r="756">
      <c r="A756" s="319"/>
      <c r="B756" s="320"/>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c r="AA756" s="320"/>
      <c r="AB756" s="320"/>
      <c r="AC756" s="320"/>
      <c r="AD756" s="320"/>
      <c r="AE756" s="320"/>
      <c r="AF756" s="320"/>
      <c r="AG756" s="320"/>
      <c r="AH756" s="320"/>
      <c r="AI756" s="320"/>
      <c r="AJ756" s="320"/>
      <c r="AK756" s="320"/>
      <c r="AL756" s="320"/>
      <c r="AM756" s="320"/>
      <c r="AN756" s="320"/>
      <c r="AO756" s="320"/>
      <c r="AP756" s="320"/>
      <c r="AQ756" s="320"/>
      <c r="AR756" s="320"/>
      <c r="AS756" s="320"/>
      <c r="AT756" s="320"/>
      <c r="AU756" s="321"/>
    </row>
    <row r="757">
      <c r="A757" s="319"/>
      <c r="B757" s="320"/>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c r="AA757" s="320"/>
      <c r="AB757" s="320"/>
      <c r="AC757" s="320"/>
      <c r="AD757" s="320"/>
      <c r="AE757" s="320"/>
      <c r="AF757" s="320"/>
      <c r="AG757" s="320"/>
      <c r="AH757" s="320"/>
      <c r="AI757" s="320"/>
      <c r="AJ757" s="320"/>
      <c r="AK757" s="320"/>
      <c r="AL757" s="320"/>
      <c r="AM757" s="320"/>
      <c r="AN757" s="320"/>
      <c r="AO757" s="320"/>
      <c r="AP757" s="320"/>
      <c r="AQ757" s="320"/>
      <c r="AR757" s="320"/>
      <c r="AS757" s="320"/>
      <c r="AT757" s="320"/>
      <c r="AU757" s="321"/>
    </row>
    <row r="758">
      <c r="A758" s="319"/>
      <c r="B758" s="320"/>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c r="AA758" s="320"/>
      <c r="AB758" s="320"/>
      <c r="AC758" s="320"/>
      <c r="AD758" s="320"/>
      <c r="AE758" s="320"/>
      <c r="AF758" s="320"/>
      <c r="AG758" s="320"/>
      <c r="AH758" s="320"/>
      <c r="AI758" s="320"/>
      <c r="AJ758" s="320"/>
      <c r="AK758" s="320"/>
      <c r="AL758" s="320"/>
      <c r="AM758" s="320"/>
      <c r="AN758" s="320"/>
      <c r="AO758" s="320"/>
      <c r="AP758" s="320"/>
      <c r="AQ758" s="320"/>
      <c r="AR758" s="320"/>
      <c r="AS758" s="320"/>
      <c r="AT758" s="320"/>
      <c r="AU758" s="321"/>
    </row>
    <row r="759">
      <c r="A759" s="319"/>
      <c r="B759" s="320"/>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c r="AA759" s="320"/>
      <c r="AB759" s="320"/>
      <c r="AC759" s="320"/>
      <c r="AD759" s="320"/>
      <c r="AE759" s="320"/>
      <c r="AF759" s="320"/>
      <c r="AG759" s="320"/>
      <c r="AH759" s="320"/>
      <c r="AI759" s="320"/>
      <c r="AJ759" s="320"/>
      <c r="AK759" s="320"/>
      <c r="AL759" s="320"/>
      <c r="AM759" s="320"/>
      <c r="AN759" s="320"/>
      <c r="AO759" s="320"/>
      <c r="AP759" s="320"/>
      <c r="AQ759" s="320"/>
      <c r="AR759" s="320"/>
      <c r="AS759" s="320"/>
      <c r="AT759" s="320"/>
      <c r="AU759" s="321"/>
    </row>
    <row r="760">
      <c r="A760" s="319"/>
      <c r="B760" s="320"/>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c r="AA760" s="320"/>
      <c r="AB760" s="320"/>
      <c r="AC760" s="320"/>
      <c r="AD760" s="320"/>
      <c r="AE760" s="320"/>
      <c r="AF760" s="320"/>
      <c r="AG760" s="320"/>
      <c r="AH760" s="320"/>
      <c r="AI760" s="320"/>
      <c r="AJ760" s="320"/>
      <c r="AK760" s="320"/>
      <c r="AL760" s="320"/>
      <c r="AM760" s="320"/>
      <c r="AN760" s="320"/>
      <c r="AO760" s="320"/>
      <c r="AP760" s="320"/>
      <c r="AQ760" s="320"/>
      <c r="AR760" s="320"/>
      <c r="AS760" s="320"/>
      <c r="AT760" s="320"/>
      <c r="AU760" s="321"/>
    </row>
    <row r="761">
      <c r="A761" s="319"/>
      <c r="B761" s="320"/>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c r="AA761" s="320"/>
      <c r="AB761" s="320"/>
      <c r="AC761" s="320"/>
      <c r="AD761" s="320"/>
      <c r="AE761" s="320"/>
      <c r="AF761" s="320"/>
      <c r="AG761" s="320"/>
      <c r="AH761" s="320"/>
      <c r="AI761" s="320"/>
      <c r="AJ761" s="320"/>
      <c r="AK761" s="320"/>
      <c r="AL761" s="320"/>
      <c r="AM761" s="320"/>
      <c r="AN761" s="320"/>
      <c r="AO761" s="320"/>
      <c r="AP761" s="320"/>
      <c r="AQ761" s="320"/>
      <c r="AR761" s="320"/>
      <c r="AS761" s="320"/>
      <c r="AT761" s="320"/>
      <c r="AU761" s="321"/>
    </row>
    <row r="762">
      <c r="A762" s="319"/>
      <c r="B762" s="320"/>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c r="AA762" s="320"/>
      <c r="AB762" s="320"/>
      <c r="AC762" s="320"/>
      <c r="AD762" s="320"/>
      <c r="AE762" s="320"/>
      <c r="AF762" s="320"/>
      <c r="AG762" s="320"/>
      <c r="AH762" s="320"/>
      <c r="AI762" s="320"/>
      <c r="AJ762" s="320"/>
      <c r="AK762" s="320"/>
      <c r="AL762" s="320"/>
      <c r="AM762" s="320"/>
      <c r="AN762" s="320"/>
      <c r="AO762" s="320"/>
      <c r="AP762" s="320"/>
      <c r="AQ762" s="320"/>
      <c r="AR762" s="320"/>
      <c r="AS762" s="320"/>
      <c r="AT762" s="320"/>
      <c r="AU762" s="321"/>
    </row>
    <row r="763">
      <c r="A763" s="319"/>
      <c r="B763" s="320"/>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c r="AA763" s="320"/>
      <c r="AB763" s="320"/>
      <c r="AC763" s="320"/>
      <c r="AD763" s="320"/>
      <c r="AE763" s="320"/>
      <c r="AF763" s="320"/>
      <c r="AG763" s="320"/>
      <c r="AH763" s="320"/>
      <c r="AI763" s="320"/>
      <c r="AJ763" s="320"/>
      <c r="AK763" s="320"/>
      <c r="AL763" s="320"/>
      <c r="AM763" s="320"/>
      <c r="AN763" s="320"/>
      <c r="AO763" s="320"/>
      <c r="AP763" s="320"/>
      <c r="AQ763" s="320"/>
      <c r="AR763" s="320"/>
      <c r="AS763" s="320"/>
      <c r="AT763" s="320"/>
      <c r="AU763" s="321"/>
    </row>
    <row r="764">
      <c r="A764" s="319"/>
      <c r="B764" s="320"/>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c r="AA764" s="320"/>
      <c r="AB764" s="320"/>
      <c r="AC764" s="320"/>
      <c r="AD764" s="320"/>
      <c r="AE764" s="320"/>
      <c r="AF764" s="320"/>
      <c r="AG764" s="320"/>
      <c r="AH764" s="320"/>
      <c r="AI764" s="320"/>
      <c r="AJ764" s="320"/>
      <c r="AK764" s="320"/>
      <c r="AL764" s="320"/>
      <c r="AM764" s="320"/>
      <c r="AN764" s="320"/>
      <c r="AO764" s="320"/>
      <c r="AP764" s="320"/>
      <c r="AQ764" s="320"/>
      <c r="AR764" s="320"/>
      <c r="AS764" s="320"/>
      <c r="AT764" s="320"/>
      <c r="AU764" s="321"/>
    </row>
    <row r="765">
      <c r="A765" s="319"/>
      <c r="B765" s="320"/>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c r="AA765" s="320"/>
      <c r="AB765" s="320"/>
      <c r="AC765" s="320"/>
      <c r="AD765" s="320"/>
      <c r="AE765" s="320"/>
      <c r="AF765" s="320"/>
      <c r="AG765" s="320"/>
      <c r="AH765" s="320"/>
      <c r="AI765" s="320"/>
      <c r="AJ765" s="320"/>
      <c r="AK765" s="320"/>
      <c r="AL765" s="320"/>
      <c r="AM765" s="320"/>
      <c r="AN765" s="320"/>
      <c r="AO765" s="320"/>
      <c r="AP765" s="320"/>
      <c r="AQ765" s="320"/>
      <c r="AR765" s="320"/>
      <c r="AS765" s="320"/>
      <c r="AT765" s="320"/>
      <c r="AU765" s="321"/>
    </row>
    <row r="766">
      <c r="A766" s="319"/>
      <c r="B766" s="320"/>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c r="AA766" s="320"/>
      <c r="AB766" s="320"/>
      <c r="AC766" s="320"/>
      <c r="AD766" s="320"/>
      <c r="AE766" s="320"/>
      <c r="AF766" s="320"/>
      <c r="AG766" s="320"/>
      <c r="AH766" s="320"/>
      <c r="AI766" s="320"/>
      <c r="AJ766" s="320"/>
      <c r="AK766" s="320"/>
      <c r="AL766" s="320"/>
      <c r="AM766" s="320"/>
      <c r="AN766" s="320"/>
      <c r="AO766" s="320"/>
      <c r="AP766" s="320"/>
      <c r="AQ766" s="320"/>
      <c r="AR766" s="320"/>
      <c r="AS766" s="320"/>
      <c r="AT766" s="320"/>
      <c r="AU766" s="321"/>
    </row>
    <row r="767">
      <c r="A767" s="319"/>
      <c r="B767" s="320"/>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c r="AA767" s="320"/>
      <c r="AB767" s="320"/>
      <c r="AC767" s="320"/>
      <c r="AD767" s="320"/>
      <c r="AE767" s="320"/>
      <c r="AF767" s="320"/>
      <c r="AG767" s="320"/>
      <c r="AH767" s="320"/>
      <c r="AI767" s="320"/>
      <c r="AJ767" s="320"/>
      <c r="AK767" s="320"/>
      <c r="AL767" s="320"/>
      <c r="AM767" s="320"/>
      <c r="AN767" s="320"/>
      <c r="AO767" s="320"/>
      <c r="AP767" s="320"/>
      <c r="AQ767" s="320"/>
      <c r="AR767" s="320"/>
      <c r="AS767" s="320"/>
      <c r="AT767" s="320"/>
      <c r="AU767" s="321"/>
    </row>
    <row r="768">
      <c r="A768" s="319"/>
      <c r="B768" s="320"/>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c r="AA768" s="320"/>
      <c r="AB768" s="320"/>
      <c r="AC768" s="320"/>
      <c r="AD768" s="320"/>
      <c r="AE768" s="320"/>
      <c r="AF768" s="320"/>
      <c r="AG768" s="320"/>
      <c r="AH768" s="320"/>
      <c r="AI768" s="320"/>
      <c r="AJ768" s="320"/>
      <c r="AK768" s="320"/>
      <c r="AL768" s="320"/>
      <c r="AM768" s="320"/>
      <c r="AN768" s="320"/>
      <c r="AO768" s="320"/>
      <c r="AP768" s="320"/>
      <c r="AQ768" s="320"/>
      <c r="AR768" s="320"/>
      <c r="AS768" s="320"/>
      <c r="AT768" s="320"/>
      <c r="AU768" s="321"/>
    </row>
    <row r="769">
      <c r="A769" s="319"/>
      <c r="B769" s="320"/>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c r="AA769" s="320"/>
      <c r="AB769" s="320"/>
      <c r="AC769" s="320"/>
      <c r="AD769" s="320"/>
      <c r="AE769" s="320"/>
      <c r="AF769" s="320"/>
      <c r="AG769" s="320"/>
      <c r="AH769" s="320"/>
      <c r="AI769" s="320"/>
      <c r="AJ769" s="320"/>
      <c r="AK769" s="320"/>
      <c r="AL769" s="320"/>
      <c r="AM769" s="320"/>
      <c r="AN769" s="320"/>
      <c r="AO769" s="320"/>
      <c r="AP769" s="320"/>
      <c r="AQ769" s="320"/>
      <c r="AR769" s="320"/>
      <c r="AS769" s="320"/>
      <c r="AT769" s="320"/>
      <c r="AU769" s="321"/>
    </row>
    <row r="770">
      <c r="A770" s="319"/>
      <c r="B770" s="320"/>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c r="AA770" s="320"/>
      <c r="AB770" s="320"/>
      <c r="AC770" s="320"/>
      <c r="AD770" s="320"/>
      <c r="AE770" s="320"/>
      <c r="AF770" s="320"/>
      <c r="AG770" s="320"/>
      <c r="AH770" s="320"/>
      <c r="AI770" s="320"/>
      <c r="AJ770" s="320"/>
      <c r="AK770" s="320"/>
      <c r="AL770" s="320"/>
      <c r="AM770" s="320"/>
      <c r="AN770" s="320"/>
      <c r="AO770" s="320"/>
      <c r="AP770" s="320"/>
      <c r="AQ770" s="320"/>
      <c r="AR770" s="320"/>
      <c r="AS770" s="320"/>
      <c r="AT770" s="320"/>
      <c r="AU770" s="321"/>
    </row>
    <row r="771">
      <c r="A771" s="319"/>
      <c r="B771" s="320"/>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c r="AA771" s="320"/>
      <c r="AB771" s="320"/>
      <c r="AC771" s="320"/>
      <c r="AD771" s="320"/>
      <c r="AE771" s="320"/>
      <c r="AF771" s="320"/>
      <c r="AG771" s="320"/>
      <c r="AH771" s="320"/>
      <c r="AI771" s="320"/>
      <c r="AJ771" s="320"/>
      <c r="AK771" s="320"/>
      <c r="AL771" s="320"/>
      <c r="AM771" s="320"/>
      <c r="AN771" s="320"/>
      <c r="AO771" s="320"/>
      <c r="AP771" s="320"/>
      <c r="AQ771" s="320"/>
      <c r="AR771" s="320"/>
      <c r="AS771" s="320"/>
      <c r="AT771" s="320"/>
      <c r="AU771" s="321"/>
    </row>
    <row r="772">
      <c r="A772" s="319"/>
      <c r="B772" s="320"/>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c r="AA772" s="320"/>
      <c r="AB772" s="320"/>
      <c r="AC772" s="320"/>
      <c r="AD772" s="320"/>
      <c r="AE772" s="320"/>
      <c r="AF772" s="320"/>
      <c r="AG772" s="320"/>
      <c r="AH772" s="320"/>
      <c r="AI772" s="320"/>
      <c r="AJ772" s="320"/>
      <c r="AK772" s="320"/>
      <c r="AL772" s="320"/>
      <c r="AM772" s="320"/>
      <c r="AN772" s="320"/>
      <c r="AO772" s="320"/>
      <c r="AP772" s="320"/>
      <c r="AQ772" s="320"/>
      <c r="AR772" s="320"/>
      <c r="AS772" s="320"/>
      <c r="AT772" s="320"/>
      <c r="AU772" s="321"/>
    </row>
    <row r="773">
      <c r="A773" s="319"/>
      <c r="B773" s="320"/>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c r="AA773" s="320"/>
      <c r="AB773" s="320"/>
      <c r="AC773" s="320"/>
      <c r="AD773" s="320"/>
      <c r="AE773" s="320"/>
      <c r="AF773" s="320"/>
      <c r="AG773" s="320"/>
      <c r="AH773" s="320"/>
      <c r="AI773" s="320"/>
      <c r="AJ773" s="320"/>
      <c r="AK773" s="320"/>
      <c r="AL773" s="320"/>
      <c r="AM773" s="320"/>
      <c r="AN773" s="320"/>
      <c r="AO773" s="320"/>
      <c r="AP773" s="320"/>
      <c r="AQ773" s="320"/>
      <c r="AR773" s="320"/>
      <c r="AS773" s="320"/>
      <c r="AT773" s="320"/>
      <c r="AU773" s="321"/>
    </row>
    <row r="774">
      <c r="A774" s="319"/>
      <c r="B774" s="320"/>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c r="AA774" s="320"/>
      <c r="AB774" s="320"/>
      <c r="AC774" s="320"/>
      <c r="AD774" s="320"/>
      <c r="AE774" s="320"/>
      <c r="AF774" s="320"/>
      <c r="AG774" s="320"/>
      <c r="AH774" s="320"/>
      <c r="AI774" s="320"/>
      <c r="AJ774" s="320"/>
      <c r="AK774" s="320"/>
      <c r="AL774" s="320"/>
      <c r="AM774" s="320"/>
      <c r="AN774" s="320"/>
      <c r="AO774" s="320"/>
      <c r="AP774" s="320"/>
      <c r="AQ774" s="320"/>
      <c r="AR774" s="320"/>
      <c r="AS774" s="320"/>
      <c r="AT774" s="320"/>
      <c r="AU774" s="321"/>
    </row>
    <row r="775">
      <c r="A775" s="319"/>
      <c r="B775" s="320"/>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c r="AA775" s="320"/>
      <c r="AB775" s="320"/>
      <c r="AC775" s="320"/>
      <c r="AD775" s="320"/>
      <c r="AE775" s="320"/>
      <c r="AF775" s="320"/>
      <c r="AG775" s="320"/>
      <c r="AH775" s="320"/>
      <c r="AI775" s="320"/>
      <c r="AJ775" s="320"/>
      <c r="AK775" s="320"/>
      <c r="AL775" s="320"/>
      <c r="AM775" s="320"/>
      <c r="AN775" s="320"/>
      <c r="AO775" s="320"/>
      <c r="AP775" s="320"/>
      <c r="AQ775" s="320"/>
      <c r="AR775" s="320"/>
      <c r="AS775" s="320"/>
      <c r="AT775" s="320"/>
      <c r="AU775" s="321"/>
    </row>
    <row r="776">
      <c r="A776" s="319"/>
      <c r="B776" s="320"/>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c r="AA776" s="320"/>
      <c r="AB776" s="320"/>
      <c r="AC776" s="320"/>
      <c r="AD776" s="320"/>
      <c r="AE776" s="320"/>
      <c r="AF776" s="320"/>
      <c r="AG776" s="320"/>
      <c r="AH776" s="320"/>
      <c r="AI776" s="320"/>
      <c r="AJ776" s="320"/>
      <c r="AK776" s="320"/>
      <c r="AL776" s="320"/>
      <c r="AM776" s="320"/>
      <c r="AN776" s="320"/>
      <c r="AO776" s="320"/>
      <c r="AP776" s="320"/>
      <c r="AQ776" s="320"/>
      <c r="AR776" s="320"/>
      <c r="AS776" s="320"/>
      <c r="AT776" s="320"/>
      <c r="AU776" s="321"/>
    </row>
    <row r="777">
      <c r="A777" s="319"/>
      <c r="B777" s="320"/>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c r="AA777" s="320"/>
      <c r="AB777" s="320"/>
      <c r="AC777" s="320"/>
      <c r="AD777" s="320"/>
      <c r="AE777" s="320"/>
      <c r="AF777" s="320"/>
      <c r="AG777" s="320"/>
      <c r="AH777" s="320"/>
      <c r="AI777" s="320"/>
      <c r="AJ777" s="320"/>
      <c r="AK777" s="320"/>
      <c r="AL777" s="320"/>
      <c r="AM777" s="320"/>
      <c r="AN777" s="320"/>
      <c r="AO777" s="320"/>
      <c r="AP777" s="320"/>
      <c r="AQ777" s="320"/>
      <c r="AR777" s="320"/>
      <c r="AS777" s="320"/>
      <c r="AT777" s="320"/>
      <c r="AU777" s="321"/>
    </row>
    <row r="778">
      <c r="A778" s="319"/>
      <c r="B778" s="320"/>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c r="AA778" s="320"/>
      <c r="AB778" s="320"/>
      <c r="AC778" s="320"/>
      <c r="AD778" s="320"/>
      <c r="AE778" s="320"/>
      <c r="AF778" s="320"/>
      <c r="AG778" s="320"/>
      <c r="AH778" s="320"/>
      <c r="AI778" s="320"/>
      <c r="AJ778" s="320"/>
      <c r="AK778" s="320"/>
      <c r="AL778" s="320"/>
      <c r="AM778" s="320"/>
      <c r="AN778" s="320"/>
      <c r="AO778" s="320"/>
      <c r="AP778" s="320"/>
      <c r="AQ778" s="320"/>
      <c r="AR778" s="320"/>
      <c r="AS778" s="320"/>
      <c r="AT778" s="320"/>
      <c r="AU778" s="321"/>
    </row>
    <row r="779">
      <c r="A779" s="319"/>
      <c r="B779" s="320"/>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c r="AA779" s="320"/>
      <c r="AB779" s="320"/>
      <c r="AC779" s="320"/>
      <c r="AD779" s="320"/>
      <c r="AE779" s="320"/>
      <c r="AF779" s="320"/>
      <c r="AG779" s="320"/>
      <c r="AH779" s="320"/>
      <c r="AI779" s="320"/>
      <c r="AJ779" s="320"/>
      <c r="AK779" s="320"/>
      <c r="AL779" s="320"/>
      <c r="AM779" s="320"/>
      <c r="AN779" s="320"/>
      <c r="AO779" s="320"/>
      <c r="AP779" s="320"/>
      <c r="AQ779" s="320"/>
      <c r="AR779" s="320"/>
      <c r="AS779" s="320"/>
      <c r="AT779" s="320"/>
      <c r="AU779" s="321"/>
    </row>
    <row r="780">
      <c r="A780" s="319"/>
      <c r="B780" s="320"/>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c r="AA780" s="320"/>
      <c r="AB780" s="320"/>
      <c r="AC780" s="320"/>
      <c r="AD780" s="320"/>
      <c r="AE780" s="320"/>
      <c r="AF780" s="320"/>
      <c r="AG780" s="320"/>
      <c r="AH780" s="320"/>
      <c r="AI780" s="320"/>
      <c r="AJ780" s="320"/>
      <c r="AK780" s="320"/>
      <c r="AL780" s="320"/>
      <c r="AM780" s="320"/>
      <c r="AN780" s="320"/>
      <c r="AO780" s="320"/>
      <c r="AP780" s="320"/>
      <c r="AQ780" s="320"/>
      <c r="AR780" s="320"/>
      <c r="AS780" s="320"/>
      <c r="AT780" s="320"/>
      <c r="AU780" s="321"/>
    </row>
    <row r="781">
      <c r="A781" s="319"/>
      <c r="B781" s="320"/>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c r="AA781" s="320"/>
      <c r="AB781" s="320"/>
      <c r="AC781" s="320"/>
      <c r="AD781" s="320"/>
      <c r="AE781" s="320"/>
      <c r="AF781" s="320"/>
      <c r="AG781" s="320"/>
      <c r="AH781" s="320"/>
      <c r="AI781" s="320"/>
      <c r="AJ781" s="320"/>
      <c r="AK781" s="320"/>
      <c r="AL781" s="320"/>
      <c r="AM781" s="320"/>
      <c r="AN781" s="320"/>
      <c r="AO781" s="320"/>
      <c r="AP781" s="320"/>
      <c r="AQ781" s="320"/>
      <c r="AR781" s="320"/>
      <c r="AS781" s="320"/>
      <c r="AT781" s="320"/>
      <c r="AU781" s="321"/>
    </row>
    <row r="782">
      <c r="A782" s="319"/>
      <c r="B782" s="320"/>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c r="AA782" s="320"/>
      <c r="AB782" s="320"/>
      <c r="AC782" s="320"/>
      <c r="AD782" s="320"/>
      <c r="AE782" s="320"/>
      <c r="AF782" s="320"/>
      <c r="AG782" s="320"/>
      <c r="AH782" s="320"/>
      <c r="AI782" s="320"/>
      <c r="AJ782" s="320"/>
      <c r="AK782" s="320"/>
      <c r="AL782" s="320"/>
      <c r="AM782" s="320"/>
      <c r="AN782" s="320"/>
      <c r="AO782" s="320"/>
      <c r="AP782" s="320"/>
      <c r="AQ782" s="320"/>
      <c r="AR782" s="320"/>
      <c r="AS782" s="320"/>
      <c r="AT782" s="320"/>
      <c r="AU782" s="321"/>
    </row>
    <row r="783">
      <c r="A783" s="319"/>
      <c r="B783" s="320"/>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c r="AA783" s="320"/>
      <c r="AB783" s="320"/>
      <c r="AC783" s="320"/>
      <c r="AD783" s="320"/>
      <c r="AE783" s="320"/>
      <c r="AF783" s="320"/>
      <c r="AG783" s="320"/>
      <c r="AH783" s="320"/>
      <c r="AI783" s="320"/>
      <c r="AJ783" s="320"/>
      <c r="AK783" s="320"/>
      <c r="AL783" s="320"/>
      <c r="AM783" s="320"/>
      <c r="AN783" s="320"/>
      <c r="AO783" s="320"/>
      <c r="AP783" s="320"/>
      <c r="AQ783" s="320"/>
      <c r="AR783" s="320"/>
      <c r="AS783" s="320"/>
      <c r="AT783" s="320"/>
      <c r="AU783" s="321"/>
    </row>
    <row r="784">
      <c r="A784" s="319"/>
      <c r="B784" s="320"/>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c r="AA784" s="320"/>
      <c r="AB784" s="320"/>
      <c r="AC784" s="320"/>
      <c r="AD784" s="320"/>
      <c r="AE784" s="320"/>
      <c r="AF784" s="320"/>
      <c r="AG784" s="320"/>
      <c r="AH784" s="320"/>
      <c r="AI784" s="320"/>
      <c r="AJ784" s="320"/>
      <c r="AK784" s="320"/>
      <c r="AL784" s="320"/>
      <c r="AM784" s="320"/>
      <c r="AN784" s="320"/>
      <c r="AO784" s="320"/>
      <c r="AP784" s="320"/>
      <c r="AQ784" s="320"/>
      <c r="AR784" s="320"/>
      <c r="AS784" s="320"/>
      <c r="AT784" s="320"/>
      <c r="AU784" s="321"/>
    </row>
    <row r="785">
      <c r="A785" s="319"/>
      <c r="B785" s="320"/>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c r="AA785" s="320"/>
      <c r="AB785" s="320"/>
      <c r="AC785" s="320"/>
      <c r="AD785" s="320"/>
      <c r="AE785" s="320"/>
      <c r="AF785" s="320"/>
      <c r="AG785" s="320"/>
      <c r="AH785" s="320"/>
      <c r="AI785" s="320"/>
      <c r="AJ785" s="320"/>
      <c r="AK785" s="320"/>
      <c r="AL785" s="320"/>
      <c r="AM785" s="320"/>
      <c r="AN785" s="320"/>
      <c r="AO785" s="320"/>
      <c r="AP785" s="320"/>
      <c r="AQ785" s="320"/>
      <c r="AR785" s="320"/>
      <c r="AS785" s="320"/>
      <c r="AT785" s="320"/>
      <c r="AU785" s="321"/>
    </row>
    <row r="786">
      <c r="A786" s="319"/>
      <c r="B786" s="320"/>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c r="AA786" s="320"/>
      <c r="AB786" s="320"/>
      <c r="AC786" s="320"/>
      <c r="AD786" s="320"/>
      <c r="AE786" s="320"/>
      <c r="AF786" s="320"/>
      <c r="AG786" s="320"/>
      <c r="AH786" s="320"/>
      <c r="AI786" s="320"/>
      <c r="AJ786" s="320"/>
      <c r="AK786" s="320"/>
      <c r="AL786" s="320"/>
      <c r="AM786" s="320"/>
      <c r="AN786" s="320"/>
      <c r="AO786" s="320"/>
      <c r="AP786" s="320"/>
      <c r="AQ786" s="320"/>
      <c r="AR786" s="320"/>
      <c r="AS786" s="320"/>
      <c r="AT786" s="320"/>
      <c r="AU786" s="321"/>
    </row>
    <row r="787">
      <c r="A787" s="319"/>
      <c r="B787" s="320"/>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c r="AA787" s="320"/>
      <c r="AB787" s="320"/>
      <c r="AC787" s="320"/>
      <c r="AD787" s="320"/>
      <c r="AE787" s="320"/>
      <c r="AF787" s="320"/>
      <c r="AG787" s="320"/>
      <c r="AH787" s="320"/>
      <c r="AI787" s="320"/>
      <c r="AJ787" s="320"/>
      <c r="AK787" s="320"/>
      <c r="AL787" s="320"/>
      <c r="AM787" s="320"/>
      <c r="AN787" s="320"/>
      <c r="AO787" s="320"/>
      <c r="AP787" s="320"/>
      <c r="AQ787" s="320"/>
      <c r="AR787" s="320"/>
      <c r="AS787" s="320"/>
      <c r="AT787" s="320"/>
      <c r="AU787" s="321"/>
    </row>
    <row r="788">
      <c r="A788" s="319"/>
      <c r="B788" s="320"/>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c r="AA788" s="320"/>
      <c r="AB788" s="320"/>
      <c r="AC788" s="320"/>
      <c r="AD788" s="320"/>
      <c r="AE788" s="320"/>
      <c r="AF788" s="320"/>
      <c r="AG788" s="320"/>
      <c r="AH788" s="320"/>
      <c r="AI788" s="320"/>
      <c r="AJ788" s="320"/>
      <c r="AK788" s="320"/>
      <c r="AL788" s="320"/>
      <c r="AM788" s="320"/>
      <c r="AN788" s="320"/>
      <c r="AO788" s="320"/>
      <c r="AP788" s="320"/>
      <c r="AQ788" s="320"/>
      <c r="AR788" s="320"/>
      <c r="AS788" s="320"/>
      <c r="AT788" s="320"/>
      <c r="AU788" s="321"/>
    </row>
    <row r="789">
      <c r="A789" s="319"/>
      <c r="B789" s="320"/>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c r="AA789" s="320"/>
      <c r="AB789" s="320"/>
      <c r="AC789" s="320"/>
      <c r="AD789" s="320"/>
      <c r="AE789" s="320"/>
      <c r="AF789" s="320"/>
      <c r="AG789" s="320"/>
      <c r="AH789" s="320"/>
      <c r="AI789" s="320"/>
      <c r="AJ789" s="320"/>
      <c r="AK789" s="320"/>
      <c r="AL789" s="320"/>
      <c r="AM789" s="320"/>
      <c r="AN789" s="320"/>
      <c r="AO789" s="320"/>
      <c r="AP789" s="320"/>
      <c r="AQ789" s="320"/>
      <c r="AR789" s="320"/>
      <c r="AS789" s="320"/>
      <c r="AT789" s="320"/>
      <c r="AU789" s="321"/>
    </row>
    <row r="790">
      <c r="A790" s="319"/>
      <c r="B790" s="320"/>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c r="AA790" s="320"/>
      <c r="AB790" s="320"/>
      <c r="AC790" s="320"/>
      <c r="AD790" s="320"/>
      <c r="AE790" s="320"/>
      <c r="AF790" s="320"/>
      <c r="AG790" s="320"/>
      <c r="AH790" s="320"/>
      <c r="AI790" s="320"/>
      <c r="AJ790" s="320"/>
      <c r="AK790" s="320"/>
      <c r="AL790" s="320"/>
      <c r="AM790" s="320"/>
      <c r="AN790" s="320"/>
      <c r="AO790" s="320"/>
      <c r="AP790" s="320"/>
      <c r="AQ790" s="320"/>
      <c r="AR790" s="320"/>
      <c r="AS790" s="320"/>
      <c r="AT790" s="320"/>
      <c r="AU790" s="321"/>
    </row>
    <row r="791">
      <c r="A791" s="319"/>
      <c r="B791" s="320"/>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c r="AA791" s="320"/>
      <c r="AB791" s="320"/>
      <c r="AC791" s="320"/>
      <c r="AD791" s="320"/>
      <c r="AE791" s="320"/>
      <c r="AF791" s="320"/>
      <c r="AG791" s="320"/>
      <c r="AH791" s="320"/>
      <c r="AI791" s="320"/>
      <c r="AJ791" s="320"/>
      <c r="AK791" s="320"/>
      <c r="AL791" s="320"/>
      <c r="AM791" s="320"/>
      <c r="AN791" s="320"/>
      <c r="AO791" s="320"/>
      <c r="AP791" s="320"/>
      <c r="AQ791" s="320"/>
      <c r="AR791" s="320"/>
      <c r="AS791" s="320"/>
      <c r="AT791" s="320"/>
      <c r="AU791" s="321"/>
    </row>
    <row r="792">
      <c r="A792" s="319"/>
      <c r="B792" s="320"/>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c r="AA792" s="320"/>
      <c r="AB792" s="320"/>
      <c r="AC792" s="320"/>
      <c r="AD792" s="320"/>
      <c r="AE792" s="320"/>
      <c r="AF792" s="320"/>
      <c r="AG792" s="320"/>
      <c r="AH792" s="320"/>
      <c r="AI792" s="320"/>
      <c r="AJ792" s="320"/>
      <c r="AK792" s="320"/>
      <c r="AL792" s="320"/>
      <c r="AM792" s="320"/>
      <c r="AN792" s="320"/>
      <c r="AO792" s="320"/>
      <c r="AP792" s="320"/>
      <c r="AQ792" s="320"/>
      <c r="AR792" s="320"/>
      <c r="AS792" s="320"/>
      <c r="AT792" s="320"/>
      <c r="AU792" s="321"/>
    </row>
    <row r="793">
      <c r="A793" s="319"/>
      <c r="B793" s="320"/>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c r="AA793" s="320"/>
      <c r="AB793" s="320"/>
      <c r="AC793" s="320"/>
      <c r="AD793" s="320"/>
      <c r="AE793" s="320"/>
      <c r="AF793" s="320"/>
      <c r="AG793" s="320"/>
      <c r="AH793" s="320"/>
      <c r="AI793" s="320"/>
      <c r="AJ793" s="320"/>
      <c r="AK793" s="320"/>
      <c r="AL793" s="320"/>
      <c r="AM793" s="320"/>
      <c r="AN793" s="320"/>
      <c r="AO793" s="320"/>
      <c r="AP793" s="320"/>
      <c r="AQ793" s="320"/>
      <c r="AR793" s="320"/>
      <c r="AS793" s="320"/>
      <c r="AT793" s="320"/>
      <c r="AU793" s="321"/>
    </row>
    <row r="794">
      <c r="A794" s="319"/>
      <c r="B794" s="320"/>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c r="AA794" s="320"/>
      <c r="AB794" s="320"/>
      <c r="AC794" s="320"/>
      <c r="AD794" s="320"/>
      <c r="AE794" s="320"/>
      <c r="AF794" s="320"/>
      <c r="AG794" s="320"/>
      <c r="AH794" s="320"/>
      <c r="AI794" s="320"/>
      <c r="AJ794" s="320"/>
      <c r="AK794" s="320"/>
      <c r="AL794" s="320"/>
      <c r="AM794" s="320"/>
      <c r="AN794" s="320"/>
      <c r="AO794" s="320"/>
      <c r="AP794" s="320"/>
      <c r="AQ794" s="320"/>
      <c r="AR794" s="320"/>
      <c r="AS794" s="320"/>
      <c r="AT794" s="320"/>
      <c r="AU794" s="321"/>
    </row>
    <row r="795">
      <c r="A795" s="319"/>
      <c r="B795" s="320"/>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c r="AA795" s="320"/>
      <c r="AB795" s="320"/>
      <c r="AC795" s="320"/>
      <c r="AD795" s="320"/>
      <c r="AE795" s="320"/>
      <c r="AF795" s="320"/>
      <c r="AG795" s="320"/>
      <c r="AH795" s="320"/>
      <c r="AI795" s="320"/>
      <c r="AJ795" s="320"/>
      <c r="AK795" s="320"/>
      <c r="AL795" s="320"/>
      <c r="AM795" s="320"/>
      <c r="AN795" s="320"/>
      <c r="AO795" s="320"/>
      <c r="AP795" s="320"/>
      <c r="AQ795" s="320"/>
      <c r="AR795" s="320"/>
      <c r="AS795" s="320"/>
      <c r="AT795" s="320"/>
      <c r="AU795" s="321"/>
    </row>
    <row r="796">
      <c r="A796" s="319"/>
      <c r="B796" s="320"/>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c r="AA796" s="320"/>
      <c r="AB796" s="320"/>
      <c r="AC796" s="320"/>
      <c r="AD796" s="320"/>
      <c r="AE796" s="320"/>
      <c r="AF796" s="320"/>
      <c r="AG796" s="320"/>
      <c r="AH796" s="320"/>
      <c r="AI796" s="320"/>
      <c r="AJ796" s="320"/>
      <c r="AK796" s="320"/>
      <c r="AL796" s="320"/>
      <c r="AM796" s="320"/>
      <c r="AN796" s="320"/>
      <c r="AO796" s="320"/>
      <c r="AP796" s="320"/>
      <c r="AQ796" s="320"/>
      <c r="AR796" s="320"/>
      <c r="AS796" s="320"/>
      <c r="AT796" s="320"/>
      <c r="AU796" s="321"/>
    </row>
    <row r="797">
      <c r="A797" s="319"/>
      <c r="B797" s="320"/>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c r="AA797" s="320"/>
      <c r="AB797" s="320"/>
      <c r="AC797" s="320"/>
      <c r="AD797" s="320"/>
      <c r="AE797" s="320"/>
      <c r="AF797" s="320"/>
      <c r="AG797" s="320"/>
      <c r="AH797" s="320"/>
      <c r="AI797" s="320"/>
      <c r="AJ797" s="320"/>
      <c r="AK797" s="320"/>
      <c r="AL797" s="320"/>
      <c r="AM797" s="320"/>
      <c r="AN797" s="320"/>
      <c r="AO797" s="320"/>
      <c r="AP797" s="320"/>
      <c r="AQ797" s="320"/>
      <c r="AR797" s="320"/>
      <c r="AS797" s="320"/>
      <c r="AT797" s="320"/>
      <c r="AU797" s="321"/>
    </row>
    <row r="798">
      <c r="A798" s="319"/>
      <c r="B798" s="320"/>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c r="AA798" s="320"/>
      <c r="AB798" s="320"/>
      <c r="AC798" s="320"/>
      <c r="AD798" s="320"/>
      <c r="AE798" s="320"/>
      <c r="AF798" s="320"/>
      <c r="AG798" s="320"/>
      <c r="AH798" s="320"/>
      <c r="AI798" s="320"/>
      <c r="AJ798" s="320"/>
      <c r="AK798" s="320"/>
      <c r="AL798" s="320"/>
      <c r="AM798" s="320"/>
      <c r="AN798" s="320"/>
      <c r="AO798" s="320"/>
      <c r="AP798" s="320"/>
      <c r="AQ798" s="320"/>
      <c r="AR798" s="320"/>
      <c r="AS798" s="320"/>
      <c r="AT798" s="320"/>
      <c r="AU798" s="321"/>
    </row>
    <row r="799">
      <c r="A799" s="319"/>
      <c r="B799" s="320"/>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c r="AA799" s="320"/>
      <c r="AB799" s="320"/>
      <c r="AC799" s="320"/>
      <c r="AD799" s="320"/>
      <c r="AE799" s="320"/>
      <c r="AF799" s="320"/>
      <c r="AG799" s="320"/>
      <c r="AH799" s="320"/>
      <c r="AI799" s="320"/>
      <c r="AJ799" s="320"/>
      <c r="AK799" s="320"/>
      <c r="AL799" s="320"/>
      <c r="AM799" s="320"/>
      <c r="AN799" s="320"/>
      <c r="AO799" s="320"/>
      <c r="AP799" s="320"/>
      <c r="AQ799" s="320"/>
      <c r="AR799" s="320"/>
      <c r="AS799" s="320"/>
      <c r="AT799" s="320"/>
      <c r="AU799" s="321"/>
    </row>
    <row r="800">
      <c r="A800" s="319"/>
      <c r="B800" s="320"/>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c r="AA800" s="320"/>
      <c r="AB800" s="320"/>
      <c r="AC800" s="320"/>
      <c r="AD800" s="320"/>
      <c r="AE800" s="320"/>
      <c r="AF800" s="320"/>
      <c r="AG800" s="320"/>
      <c r="AH800" s="320"/>
      <c r="AI800" s="320"/>
      <c r="AJ800" s="320"/>
      <c r="AK800" s="320"/>
      <c r="AL800" s="320"/>
      <c r="AM800" s="320"/>
      <c r="AN800" s="320"/>
      <c r="AO800" s="320"/>
      <c r="AP800" s="320"/>
      <c r="AQ800" s="320"/>
      <c r="AR800" s="320"/>
      <c r="AS800" s="320"/>
      <c r="AT800" s="320"/>
      <c r="AU800" s="321"/>
    </row>
    <row r="801">
      <c r="A801" s="319"/>
      <c r="B801" s="320"/>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c r="AA801" s="320"/>
      <c r="AB801" s="320"/>
      <c r="AC801" s="320"/>
      <c r="AD801" s="320"/>
      <c r="AE801" s="320"/>
      <c r="AF801" s="320"/>
      <c r="AG801" s="320"/>
      <c r="AH801" s="320"/>
      <c r="AI801" s="320"/>
      <c r="AJ801" s="320"/>
      <c r="AK801" s="320"/>
      <c r="AL801" s="320"/>
      <c r="AM801" s="320"/>
      <c r="AN801" s="320"/>
      <c r="AO801" s="320"/>
      <c r="AP801" s="320"/>
      <c r="AQ801" s="320"/>
      <c r="AR801" s="320"/>
      <c r="AS801" s="320"/>
      <c r="AT801" s="320"/>
      <c r="AU801" s="321"/>
    </row>
    <row r="802">
      <c r="A802" s="319"/>
      <c r="B802" s="320"/>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c r="AA802" s="320"/>
      <c r="AB802" s="320"/>
      <c r="AC802" s="320"/>
      <c r="AD802" s="320"/>
      <c r="AE802" s="320"/>
      <c r="AF802" s="320"/>
      <c r="AG802" s="320"/>
      <c r="AH802" s="320"/>
      <c r="AI802" s="320"/>
      <c r="AJ802" s="320"/>
      <c r="AK802" s="320"/>
      <c r="AL802" s="320"/>
      <c r="AM802" s="320"/>
      <c r="AN802" s="320"/>
      <c r="AO802" s="320"/>
      <c r="AP802" s="320"/>
      <c r="AQ802" s="320"/>
      <c r="AR802" s="320"/>
      <c r="AS802" s="320"/>
      <c r="AT802" s="320"/>
      <c r="AU802" s="321"/>
    </row>
    <row r="803">
      <c r="A803" s="319"/>
      <c r="B803" s="320"/>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c r="AA803" s="320"/>
      <c r="AB803" s="320"/>
      <c r="AC803" s="320"/>
      <c r="AD803" s="320"/>
      <c r="AE803" s="320"/>
      <c r="AF803" s="320"/>
      <c r="AG803" s="320"/>
      <c r="AH803" s="320"/>
      <c r="AI803" s="320"/>
      <c r="AJ803" s="320"/>
      <c r="AK803" s="320"/>
      <c r="AL803" s="320"/>
      <c r="AM803" s="320"/>
      <c r="AN803" s="320"/>
      <c r="AO803" s="320"/>
      <c r="AP803" s="320"/>
      <c r="AQ803" s="320"/>
      <c r="AR803" s="320"/>
      <c r="AS803" s="320"/>
      <c r="AT803" s="320"/>
      <c r="AU803" s="321"/>
    </row>
    <row r="804">
      <c r="A804" s="319"/>
      <c r="B804" s="320"/>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c r="AA804" s="320"/>
      <c r="AB804" s="320"/>
      <c r="AC804" s="320"/>
      <c r="AD804" s="320"/>
      <c r="AE804" s="320"/>
      <c r="AF804" s="320"/>
      <c r="AG804" s="320"/>
      <c r="AH804" s="320"/>
      <c r="AI804" s="320"/>
      <c r="AJ804" s="320"/>
      <c r="AK804" s="320"/>
      <c r="AL804" s="320"/>
      <c r="AM804" s="320"/>
      <c r="AN804" s="320"/>
      <c r="AO804" s="320"/>
      <c r="AP804" s="320"/>
      <c r="AQ804" s="320"/>
      <c r="AR804" s="320"/>
      <c r="AS804" s="320"/>
      <c r="AT804" s="320"/>
      <c r="AU804" s="321"/>
    </row>
    <row r="805">
      <c r="A805" s="319"/>
      <c r="B805" s="320"/>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c r="AA805" s="320"/>
      <c r="AB805" s="320"/>
      <c r="AC805" s="320"/>
      <c r="AD805" s="320"/>
      <c r="AE805" s="320"/>
      <c r="AF805" s="320"/>
      <c r="AG805" s="320"/>
      <c r="AH805" s="320"/>
      <c r="AI805" s="320"/>
      <c r="AJ805" s="320"/>
      <c r="AK805" s="320"/>
      <c r="AL805" s="320"/>
      <c r="AM805" s="320"/>
      <c r="AN805" s="320"/>
      <c r="AO805" s="320"/>
      <c r="AP805" s="320"/>
      <c r="AQ805" s="320"/>
      <c r="AR805" s="320"/>
      <c r="AS805" s="320"/>
      <c r="AT805" s="320"/>
      <c r="AU805" s="321"/>
    </row>
    <row r="806">
      <c r="A806" s="319"/>
      <c r="B806" s="320"/>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c r="AA806" s="320"/>
      <c r="AB806" s="320"/>
      <c r="AC806" s="320"/>
      <c r="AD806" s="320"/>
      <c r="AE806" s="320"/>
      <c r="AF806" s="320"/>
      <c r="AG806" s="320"/>
      <c r="AH806" s="320"/>
      <c r="AI806" s="320"/>
      <c r="AJ806" s="320"/>
      <c r="AK806" s="320"/>
      <c r="AL806" s="320"/>
      <c r="AM806" s="320"/>
      <c r="AN806" s="320"/>
      <c r="AO806" s="320"/>
      <c r="AP806" s="320"/>
      <c r="AQ806" s="320"/>
      <c r="AR806" s="320"/>
      <c r="AS806" s="320"/>
      <c r="AT806" s="320"/>
      <c r="AU806" s="321"/>
    </row>
    <row r="807">
      <c r="A807" s="319"/>
      <c r="B807" s="320"/>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c r="AA807" s="320"/>
      <c r="AB807" s="320"/>
      <c r="AC807" s="320"/>
      <c r="AD807" s="320"/>
      <c r="AE807" s="320"/>
      <c r="AF807" s="320"/>
      <c r="AG807" s="320"/>
      <c r="AH807" s="320"/>
      <c r="AI807" s="320"/>
      <c r="AJ807" s="320"/>
      <c r="AK807" s="320"/>
      <c r="AL807" s="320"/>
      <c r="AM807" s="320"/>
      <c r="AN807" s="320"/>
      <c r="AO807" s="320"/>
      <c r="AP807" s="320"/>
      <c r="AQ807" s="320"/>
      <c r="AR807" s="320"/>
      <c r="AS807" s="320"/>
      <c r="AT807" s="320"/>
      <c r="AU807" s="321"/>
    </row>
    <row r="808">
      <c r="A808" s="319"/>
      <c r="B808" s="320"/>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c r="AA808" s="320"/>
      <c r="AB808" s="320"/>
      <c r="AC808" s="320"/>
      <c r="AD808" s="320"/>
      <c r="AE808" s="320"/>
      <c r="AF808" s="320"/>
      <c r="AG808" s="320"/>
      <c r="AH808" s="320"/>
      <c r="AI808" s="320"/>
      <c r="AJ808" s="320"/>
      <c r="AK808" s="320"/>
      <c r="AL808" s="320"/>
      <c r="AM808" s="320"/>
      <c r="AN808" s="320"/>
      <c r="AO808" s="320"/>
      <c r="AP808" s="320"/>
      <c r="AQ808" s="320"/>
      <c r="AR808" s="320"/>
      <c r="AS808" s="320"/>
      <c r="AT808" s="320"/>
      <c r="AU808" s="321"/>
    </row>
    <row r="809">
      <c r="A809" s="319"/>
      <c r="B809" s="320"/>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c r="AA809" s="320"/>
      <c r="AB809" s="320"/>
      <c r="AC809" s="320"/>
      <c r="AD809" s="320"/>
      <c r="AE809" s="320"/>
      <c r="AF809" s="320"/>
      <c r="AG809" s="320"/>
      <c r="AH809" s="320"/>
      <c r="AI809" s="320"/>
      <c r="AJ809" s="320"/>
      <c r="AK809" s="320"/>
      <c r="AL809" s="320"/>
      <c r="AM809" s="320"/>
      <c r="AN809" s="320"/>
      <c r="AO809" s="320"/>
      <c r="AP809" s="320"/>
      <c r="AQ809" s="320"/>
      <c r="AR809" s="320"/>
      <c r="AS809" s="320"/>
      <c r="AT809" s="320"/>
      <c r="AU809" s="321"/>
    </row>
    <row r="810">
      <c r="A810" s="319"/>
      <c r="B810" s="320"/>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c r="AA810" s="320"/>
      <c r="AB810" s="320"/>
      <c r="AC810" s="320"/>
      <c r="AD810" s="320"/>
      <c r="AE810" s="320"/>
      <c r="AF810" s="320"/>
      <c r="AG810" s="320"/>
      <c r="AH810" s="320"/>
      <c r="AI810" s="320"/>
      <c r="AJ810" s="320"/>
      <c r="AK810" s="320"/>
      <c r="AL810" s="320"/>
      <c r="AM810" s="320"/>
      <c r="AN810" s="320"/>
      <c r="AO810" s="320"/>
      <c r="AP810" s="320"/>
      <c r="AQ810" s="320"/>
      <c r="AR810" s="320"/>
      <c r="AS810" s="320"/>
      <c r="AT810" s="320"/>
      <c r="AU810" s="321"/>
    </row>
    <row r="811">
      <c r="A811" s="319"/>
      <c r="B811" s="320"/>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c r="AA811" s="320"/>
      <c r="AB811" s="320"/>
      <c r="AC811" s="320"/>
      <c r="AD811" s="320"/>
      <c r="AE811" s="320"/>
      <c r="AF811" s="320"/>
      <c r="AG811" s="320"/>
      <c r="AH811" s="320"/>
      <c r="AI811" s="320"/>
      <c r="AJ811" s="320"/>
      <c r="AK811" s="320"/>
      <c r="AL811" s="320"/>
      <c r="AM811" s="320"/>
      <c r="AN811" s="320"/>
      <c r="AO811" s="320"/>
      <c r="AP811" s="320"/>
      <c r="AQ811" s="320"/>
      <c r="AR811" s="320"/>
      <c r="AS811" s="320"/>
      <c r="AT811" s="320"/>
      <c r="AU811" s="321"/>
    </row>
    <row r="812">
      <c r="A812" s="319"/>
      <c r="B812" s="320"/>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c r="AA812" s="320"/>
      <c r="AB812" s="320"/>
      <c r="AC812" s="320"/>
      <c r="AD812" s="320"/>
      <c r="AE812" s="320"/>
      <c r="AF812" s="320"/>
      <c r="AG812" s="320"/>
      <c r="AH812" s="320"/>
      <c r="AI812" s="320"/>
      <c r="AJ812" s="320"/>
      <c r="AK812" s="320"/>
      <c r="AL812" s="320"/>
      <c r="AM812" s="320"/>
      <c r="AN812" s="320"/>
      <c r="AO812" s="320"/>
      <c r="AP812" s="320"/>
      <c r="AQ812" s="320"/>
      <c r="AR812" s="320"/>
      <c r="AS812" s="320"/>
      <c r="AT812" s="320"/>
      <c r="AU812" s="321"/>
    </row>
    <row r="813">
      <c r="A813" s="319"/>
      <c r="B813" s="320"/>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c r="AA813" s="320"/>
      <c r="AB813" s="320"/>
      <c r="AC813" s="320"/>
      <c r="AD813" s="320"/>
      <c r="AE813" s="320"/>
      <c r="AF813" s="320"/>
      <c r="AG813" s="320"/>
      <c r="AH813" s="320"/>
      <c r="AI813" s="320"/>
      <c r="AJ813" s="320"/>
      <c r="AK813" s="320"/>
      <c r="AL813" s="320"/>
      <c r="AM813" s="320"/>
      <c r="AN813" s="320"/>
      <c r="AO813" s="320"/>
      <c r="AP813" s="320"/>
      <c r="AQ813" s="320"/>
      <c r="AR813" s="320"/>
      <c r="AS813" s="320"/>
      <c r="AT813" s="320"/>
      <c r="AU813" s="321"/>
    </row>
    <row r="814">
      <c r="A814" s="319"/>
      <c r="B814" s="320"/>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c r="AA814" s="320"/>
      <c r="AB814" s="320"/>
      <c r="AC814" s="320"/>
      <c r="AD814" s="320"/>
      <c r="AE814" s="320"/>
      <c r="AF814" s="320"/>
      <c r="AG814" s="320"/>
      <c r="AH814" s="320"/>
      <c r="AI814" s="320"/>
      <c r="AJ814" s="320"/>
      <c r="AK814" s="320"/>
      <c r="AL814" s="320"/>
      <c r="AM814" s="320"/>
      <c r="AN814" s="320"/>
      <c r="AO814" s="320"/>
      <c r="AP814" s="320"/>
      <c r="AQ814" s="320"/>
      <c r="AR814" s="320"/>
      <c r="AS814" s="320"/>
      <c r="AT814" s="320"/>
      <c r="AU814" s="321"/>
    </row>
    <row r="815">
      <c r="A815" s="319"/>
      <c r="B815" s="320"/>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c r="AA815" s="320"/>
      <c r="AB815" s="320"/>
      <c r="AC815" s="320"/>
      <c r="AD815" s="320"/>
      <c r="AE815" s="320"/>
      <c r="AF815" s="320"/>
      <c r="AG815" s="320"/>
      <c r="AH815" s="320"/>
      <c r="AI815" s="320"/>
      <c r="AJ815" s="320"/>
      <c r="AK815" s="320"/>
      <c r="AL815" s="320"/>
      <c r="AM815" s="320"/>
      <c r="AN815" s="320"/>
      <c r="AO815" s="320"/>
      <c r="AP815" s="320"/>
      <c r="AQ815" s="320"/>
      <c r="AR815" s="320"/>
      <c r="AS815" s="320"/>
      <c r="AT815" s="320"/>
      <c r="AU815" s="321"/>
    </row>
    <row r="816">
      <c r="A816" s="319"/>
      <c r="B816" s="320"/>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c r="AA816" s="320"/>
      <c r="AB816" s="320"/>
      <c r="AC816" s="320"/>
      <c r="AD816" s="320"/>
      <c r="AE816" s="320"/>
      <c r="AF816" s="320"/>
      <c r="AG816" s="320"/>
      <c r="AH816" s="320"/>
      <c r="AI816" s="320"/>
      <c r="AJ816" s="320"/>
      <c r="AK816" s="320"/>
      <c r="AL816" s="320"/>
      <c r="AM816" s="320"/>
      <c r="AN816" s="320"/>
      <c r="AO816" s="320"/>
      <c r="AP816" s="320"/>
      <c r="AQ816" s="320"/>
      <c r="AR816" s="320"/>
      <c r="AS816" s="320"/>
      <c r="AT816" s="320"/>
      <c r="AU816" s="321"/>
    </row>
    <row r="817">
      <c r="A817" s="319"/>
      <c r="B817" s="320"/>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c r="AA817" s="320"/>
      <c r="AB817" s="320"/>
      <c r="AC817" s="320"/>
      <c r="AD817" s="320"/>
      <c r="AE817" s="320"/>
      <c r="AF817" s="320"/>
      <c r="AG817" s="320"/>
      <c r="AH817" s="320"/>
      <c r="AI817" s="320"/>
      <c r="AJ817" s="320"/>
      <c r="AK817" s="320"/>
      <c r="AL817" s="320"/>
      <c r="AM817" s="320"/>
      <c r="AN817" s="320"/>
      <c r="AO817" s="320"/>
      <c r="AP817" s="320"/>
      <c r="AQ817" s="320"/>
      <c r="AR817" s="320"/>
      <c r="AS817" s="320"/>
      <c r="AT817" s="320"/>
      <c r="AU817" s="321"/>
    </row>
    <row r="818">
      <c r="A818" s="319"/>
      <c r="B818" s="320"/>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c r="AA818" s="320"/>
      <c r="AB818" s="320"/>
      <c r="AC818" s="320"/>
      <c r="AD818" s="320"/>
      <c r="AE818" s="320"/>
      <c r="AF818" s="320"/>
      <c r="AG818" s="320"/>
      <c r="AH818" s="320"/>
      <c r="AI818" s="320"/>
      <c r="AJ818" s="320"/>
      <c r="AK818" s="320"/>
      <c r="AL818" s="320"/>
      <c r="AM818" s="320"/>
      <c r="AN818" s="320"/>
      <c r="AO818" s="320"/>
      <c r="AP818" s="320"/>
      <c r="AQ818" s="320"/>
      <c r="AR818" s="320"/>
      <c r="AS818" s="320"/>
      <c r="AT818" s="320"/>
      <c r="AU818" s="321"/>
    </row>
    <row r="819">
      <c r="A819" s="319"/>
      <c r="B819" s="320"/>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c r="AA819" s="320"/>
      <c r="AB819" s="320"/>
      <c r="AC819" s="320"/>
      <c r="AD819" s="320"/>
      <c r="AE819" s="320"/>
      <c r="AF819" s="320"/>
      <c r="AG819" s="320"/>
      <c r="AH819" s="320"/>
      <c r="AI819" s="320"/>
      <c r="AJ819" s="320"/>
      <c r="AK819" s="320"/>
      <c r="AL819" s="320"/>
      <c r="AM819" s="320"/>
      <c r="AN819" s="320"/>
      <c r="AO819" s="320"/>
      <c r="AP819" s="320"/>
      <c r="AQ819" s="320"/>
      <c r="AR819" s="320"/>
      <c r="AS819" s="320"/>
      <c r="AT819" s="320"/>
      <c r="AU819" s="321"/>
    </row>
    <row r="820">
      <c r="A820" s="319"/>
      <c r="B820" s="320"/>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c r="AA820" s="320"/>
      <c r="AB820" s="320"/>
      <c r="AC820" s="320"/>
      <c r="AD820" s="320"/>
      <c r="AE820" s="320"/>
      <c r="AF820" s="320"/>
      <c r="AG820" s="320"/>
      <c r="AH820" s="320"/>
      <c r="AI820" s="320"/>
      <c r="AJ820" s="320"/>
      <c r="AK820" s="320"/>
      <c r="AL820" s="320"/>
      <c r="AM820" s="320"/>
      <c r="AN820" s="320"/>
      <c r="AO820" s="320"/>
      <c r="AP820" s="320"/>
      <c r="AQ820" s="320"/>
      <c r="AR820" s="320"/>
      <c r="AS820" s="320"/>
      <c r="AT820" s="320"/>
      <c r="AU820" s="321"/>
    </row>
    <row r="821">
      <c r="A821" s="319"/>
      <c r="B821" s="320"/>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c r="AA821" s="320"/>
      <c r="AB821" s="320"/>
      <c r="AC821" s="320"/>
      <c r="AD821" s="320"/>
      <c r="AE821" s="320"/>
      <c r="AF821" s="320"/>
      <c r="AG821" s="320"/>
      <c r="AH821" s="320"/>
      <c r="AI821" s="320"/>
      <c r="AJ821" s="320"/>
      <c r="AK821" s="320"/>
      <c r="AL821" s="320"/>
      <c r="AM821" s="320"/>
      <c r="AN821" s="320"/>
      <c r="AO821" s="320"/>
      <c r="AP821" s="320"/>
      <c r="AQ821" s="320"/>
      <c r="AR821" s="320"/>
      <c r="AS821" s="320"/>
      <c r="AT821" s="320"/>
      <c r="AU821" s="321"/>
    </row>
    <row r="822">
      <c r="A822" s="319"/>
      <c r="B822" s="320"/>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c r="AA822" s="320"/>
      <c r="AB822" s="320"/>
      <c r="AC822" s="320"/>
      <c r="AD822" s="320"/>
      <c r="AE822" s="320"/>
      <c r="AF822" s="320"/>
      <c r="AG822" s="320"/>
      <c r="AH822" s="320"/>
      <c r="AI822" s="320"/>
      <c r="AJ822" s="320"/>
      <c r="AK822" s="320"/>
      <c r="AL822" s="320"/>
      <c r="AM822" s="320"/>
      <c r="AN822" s="320"/>
      <c r="AO822" s="320"/>
      <c r="AP822" s="320"/>
      <c r="AQ822" s="320"/>
      <c r="AR822" s="320"/>
      <c r="AS822" s="320"/>
      <c r="AT822" s="320"/>
      <c r="AU822" s="321"/>
    </row>
    <row r="823">
      <c r="A823" s="319"/>
      <c r="B823" s="320"/>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c r="AA823" s="320"/>
      <c r="AB823" s="320"/>
      <c r="AC823" s="320"/>
      <c r="AD823" s="320"/>
      <c r="AE823" s="320"/>
      <c r="AF823" s="320"/>
      <c r="AG823" s="320"/>
      <c r="AH823" s="320"/>
      <c r="AI823" s="320"/>
      <c r="AJ823" s="320"/>
      <c r="AK823" s="320"/>
      <c r="AL823" s="320"/>
      <c r="AM823" s="320"/>
      <c r="AN823" s="320"/>
      <c r="AO823" s="320"/>
      <c r="AP823" s="320"/>
      <c r="AQ823" s="320"/>
      <c r="AR823" s="320"/>
      <c r="AS823" s="320"/>
      <c r="AT823" s="320"/>
      <c r="AU823" s="321"/>
    </row>
    <row r="824">
      <c r="A824" s="319"/>
      <c r="B824" s="320"/>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c r="AA824" s="320"/>
      <c r="AB824" s="320"/>
      <c r="AC824" s="320"/>
      <c r="AD824" s="320"/>
      <c r="AE824" s="320"/>
      <c r="AF824" s="320"/>
      <c r="AG824" s="320"/>
      <c r="AH824" s="320"/>
      <c r="AI824" s="320"/>
      <c r="AJ824" s="320"/>
      <c r="AK824" s="320"/>
      <c r="AL824" s="320"/>
      <c r="AM824" s="320"/>
      <c r="AN824" s="320"/>
      <c r="AO824" s="320"/>
      <c r="AP824" s="320"/>
      <c r="AQ824" s="320"/>
      <c r="AR824" s="320"/>
      <c r="AS824" s="320"/>
      <c r="AT824" s="320"/>
      <c r="AU824" s="321"/>
    </row>
    <row r="825">
      <c r="A825" s="319"/>
      <c r="B825" s="320"/>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c r="AA825" s="320"/>
      <c r="AB825" s="320"/>
      <c r="AC825" s="320"/>
      <c r="AD825" s="320"/>
      <c r="AE825" s="320"/>
      <c r="AF825" s="320"/>
      <c r="AG825" s="320"/>
      <c r="AH825" s="320"/>
      <c r="AI825" s="320"/>
      <c r="AJ825" s="320"/>
      <c r="AK825" s="320"/>
      <c r="AL825" s="320"/>
      <c r="AM825" s="320"/>
      <c r="AN825" s="320"/>
      <c r="AO825" s="320"/>
      <c r="AP825" s="320"/>
      <c r="AQ825" s="320"/>
      <c r="AR825" s="320"/>
      <c r="AS825" s="320"/>
      <c r="AT825" s="320"/>
      <c r="AU825" s="321"/>
    </row>
    <row r="826">
      <c r="A826" s="319"/>
      <c r="B826" s="320"/>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c r="AA826" s="320"/>
      <c r="AB826" s="320"/>
      <c r="AC826" s="320"/>
      <c r="AD826" s="320"/>
      <c r="AE826" s="320"/>
      <c r="AF826" s="320"/>
      <c r="AG826" s="320"/>
      <c r="AH826" s="320"/>
      <c r="AI826" s="320"/>
      <c r="AJ826" s="320"/>
      <c r="AK826" s="320"/>
      <c r="AL826" s="320"/>
      <c r="AM826" s="320"/>
      <c r="AN826" s="320"/>
      <c r="AO826" s="320"/>
      <c r="AP826" s="320"/>
      <c r="AQ826" s="320"/>
      <c r="AR826" s="320"/>
      <c r="AS826" s="320"/>
      <c r="AT826" s="320"/>
      <c r="AU826" s="321"/>
    </row>
    <row r="827">
      <c r="A827" s="319"/>
      <c r="B827" s="320"/>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c r="AA827" s="320"/>
      <c r="AB827" s="320"/>
      <c r="AC827" s="320"/>
      <c r="AD827" s="320"/>
      <c r="AE827" s="320"/>
      <c r="AF827" s="320"/>
      <c r="AG827" s="320"/>
      <c r="AH827" s="320"/>
      <c r="AI827" s="320"/>
      <c r="AJ827" s="320"/>
      <c r="AK827" s="320"/>
      <c r="AL827" s="320"/>
      <c r="AM827" s="320"/>
      <c r="AN827" s="320"/>
      <c r="AO827" s="320"/>
      <c r="AP827" s="320"/>
      <c r="AQ827" s="320"/>
      <c r="AR827" s="320"/>
      <c r="AS827" s="320"/>
      <c r="AT827" s="320"/>
      <c r="AU827" s="321"/>
    </row>
    <row r="828">
      <c r="A828" s="319"/>
      <c r="B828" s="320"/>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c r="AA828" s="320"/>
      <c r="AB828" s="320"/>
      <c r="AC828" s="320"/>
      <c r="AD828" s="320"/>
      <c r="AE828" s="320"/>
      <c r="AF828" s="320"/>
      <c r="AG828" s="320"/>
      <c r="AH828" s="320"/>
      <c r="AI828" s="320"/>
      <c r="AJ828" s="320"/>
      <c r="AK828" s="320"/>
      <c r="AL828" s="320"/>
      <c r="AM828" s="320"/>
      <c r="AN828" s="320"/>
      <c r="AO828" s="320"/>
      <c r="AP828" s="320"/>
      <c r="AQ828" s="320"/>
      <c r="AR828" s="320"/>
      <c r="AS828" s="320"/>
      <c r="AT828" s="320"/>
      <c r="AU828" s="321"/>
    </row>
    <row r="829">
      <c r="A829" s="319"/>
      <c r="B829" s="320"/>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c r="AA829" s="320"/>
      <c r="AB829" s="320"/>
      <c r="AC829" s="320"/>
      <c r="AD829" s="320"/>
      <c r="AE829" s="320"/>
      <c r="AF829" s="320"/>
      <c r="AG829" s="320"/>
      <c r="AH829" s="320"/>
      <c r="AI829" s="320"/>
      <c r="AJ829" s="320"/>
      <c r="AK829" s="320"/>
      <c r="AL829" s="320"/>
      <c r="AM829" s="320"/>
      <c r="AN829" s="320"/>
      <c r="AO829" s="320"/>
      <c r="AP829" s="320"/>
      <c r="AQ829" s="320"/>
      <c r="AR829" s="320"/>
      <c r="AS829" s="320"/>
      <c r="AT829" s="320"/>
      <c r="AU829" s="321"/>
    </row>
    <row r="830">
      <c r="A830" s="319"/>
      <c r="B830" s="320"/>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c r="AA830" s="320"/>
      <c r="AB830" s="320"/>
      <c r="AC830" s="320"/>
      <c r="AD830" s="320"/>
      <c r="AE830" s="320"/>
      <c r="AF830" s="320"/>
      <c r="AG830" s="320"/>
      <c r="AH830" s="320"/>
      <c r="AI830" s="320"/>
      <c r="AJ830" s="320"/>
      <c r="AK830" s="320"/>
      <c r="AL830" s="320"/>
      <c r="AM830" s="320"/>
      <c r="AN830" s="320"/>
      <c r="AO830" s="320"/>
      <c r="AP830" s="320"/>
      <c r="AQ830" s="320"/>
      <c r="AR830" s="320"/>
      <c r="AS830" s="320"/>
      <c r="AT830" s="320"/>
      <c r="AU830" s="321"/>
    </row>
    <row r="831">
      <c r="A831" s="319"/>
      <c r="B831" s="320"/>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c r="AA831" s="320"/>
      <c r="AB831" s="320"/>
      <c r="AC831" s="320"/>
      <c r="AD831" s="320"/>
      <c r="AE831" s="320"/>
      <c r="AF831" s="320"/>
      <c r="AG831" s="320"/>
      <c r="AH831" s="320"/>
      <c r="AI831" s="320"/>
      <c r="AJ831" s="320"/>
      <c r="AK831" s="320"/>
      <c r="AL831" s="320"/>
      <c r="AM831" s="320"/>
      <c r="AN831" s="320"/>
      <c r="AO831" s="320"/>
      <c r="AP831" s="320"/>
      <c r="AQ831" s="320"/>
      <c r="AR831" s="320"/>
      <c r="AS831" s="320"/>
      <c r="AT831" s="320"/>
      <c r="AU831" s="321"/>
    </row>
    <row r="832">
      <c r="A832" s="319"/>
      <c r="B832" s="320"/>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c r="AA832" s="320"/>
      <c r="AB832" s="320"/>
      <c r="AC832" s="320"/>
      <c r="AD832" s="320"/>
      <c r="AE832" s="320"/>
      <c r="AF832" s="320"/>
      <c r="AG832" s="320"/>
      <c r="AH832" s="320"/>
      <c r="AI832" s="320"/>
      <c r="AJ832" s="320"/>
      <c r="AK832" s="320"/>
      <c r="AL832" s="320"/>
      <c r="AM832" s="320"/>
      <c r="AN832" s="320"/>
      <c r="AO832" s="320"/>
      <c r="AP832" s="320"/>
      <c r="AQ832" s="320"/>
      <c r="AR832" s="320"/>
      <c r="AS832" s="320"/>
      <c r="AT832" s="320"/>
      <c r="AU832" s="321"/>
    </row>
    <row r="833">
      <c r="A833" s="319"/>
      <c r="B833" s="320"/>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c r="AA833" s="320"/>
      <c r="AB833" s="320"/>
      <c r="AC833" s="320"/>
      <c r="AD833" s="320"/>
      <c r="AE833" s="320"/>
      <c r="AF833" s="320"/>
      <c r="AG833" s="320"/>
      <c r="AH833" s="320"/>
      <c r="AI833" s="320"/>
      <c r="AJ833" s="320"/>
      <c r="AK833" s="320"/>
      <c r="AL833" s="320"/>
      <c r="AM833" s="320"/>
      <c r="AN833" s="320"/>
      <c r="AO833" s="320"/>
      <c r="AP833" s="320"/>
      <c r="AQ833" s="320"/>
      <c r="AR833" s="320"/>
      <c r="AS833" s="320"/>
      <c r="AT833" s="320"/>
      <c r="AU833" s="321"/>
    </row>
    <row r="834">
      <c r="A834" s="319"/>
      <c r="B834" s="320"/>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c r="AA834" s="320"/>
      <c r="AB834" s="320"/>
      <c r="AC834" s="320"/>
      <c r="AD834" s="320"/>
      <c r="AE834" s="320"/>
      <c r="AF834" s="320"/>
      <c r="AG834" s="320"/>
      <c r="AH834" s="320"/>
      <c r="AI834" s="320"/>
      <c r="AJ834" s="320"/>
      <c r="AK834" s="320"/>
      <c r="AL834" s="320"/>
      <c r="AM834" s="320"/>
      <c r="AN834" s="320"/>
      <c r="AO834" s="320"/>
      <c r="AP834" s="320"/>
      <c r="AQ834" s="320"/>
      <c r="AR834" s="320"/>
      <c r="AS834" s="320"/>
      <c r="AT834" s="320"/>
      <c r="AU834" s="321"/>
    </row>
    <row r="835">
      <c r="A835" s="319"/>
      <c r="B835" s="320"/>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c r="AA835" s="320"/>
      <c r="AB835" s="320"/>
      <c r="AC835" s="320"/>
      <c r="AD835" s="320"/>
      <c r="AE835" s="320"/>
      <c r="AF835" s="320"/>
      <c r="AG835" s="320"/>
      <c r="AH835" s="320"/>
      <c r="AI835" s="320"/>
      <c r="AJ835" s="320"/>
      <c r="AK835" s="320"/>
      <c r="AL835" s="320"/>
      <c r="AM835" s="320"/>
      <c r="AN835" s="320"/>
      <c r="AO835" s="320"/>
      <c r="AP835" s="320"/>
      <c r="AQ835" s="320"/>
      <c r="AR835" s="320"/>
      <c r="AS835" s="320"/>
      <c r="AT835" s="320"/>
      <c r="AU835" s="321"/>
    </row>
    <row r="836">
      <c r="A836" s="319"/>
      <c r="B836" s="320"/>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c r="AA836" s="320"/>
      <c r="AB836" s="320"/>
      <c r="AC836" s="320"/>
      <c r="AD836" s="320"/>
      <c r="AE836" s="320"/>
      <c r="AF836" s="320"/>
      <c r="AG836" s="320"/>
      <c r="AH836" s="320"/>
      <c r="AI836" s="320"/>
      <c r="AJ836" s="320"/>
      <c r="AK836" s="320"/>
      <c r="AL836" s="320"/>
      <c r="AM836" s="320"/>
      <c r="AN836" s="320"/>
      <c r="AO836" s="320"/>
      <c r="AP836" s="320"/>
      <c r="AQ836" s="320"/>
      <c r="AR836" s="320"/>
      <c r="AS836" s="320"/>
      <c r="AT836" s="320"/>
      <c r="AU836" s="321"/>
    </row>
    <row r="837">
      <c r="A837" s="319"/>
      <c r="B837" s="320"/>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c r="AA837" s="320"/>
      <c r="AB837" s="320"/>
      <c r="AC837" s="320"/>
      <c r="AD837" s="320"/>
      <c r="AE837" s="320"/>
      <c r="AF837" s="320"/>
      <c r="AG837" s="320"/>
      <c r="AH837" s="320"/>
      <c r="AI837" s="320"/>
      <c r="AJ837" s="320"/>
      <c r="AK837" s="320"/>
      <c r="AL837" s="320"/>
      <c r="AM837" s="320"/>
      <c r="AN837" s="320"/>
      <c r="AO837" s="320"/>
      <c r="AP837" s="320"/>
      <c r="AQ837" s="320"/>
      <c r="AR837" s="320"/>
      <c r="AS837" s="320"/>
      <c r="AT837" s="320"/>
      <c r="AU837" s="321"/>
    </row>
    <row r="838">
      <c r="A838" s="319"/>
      <c r="B838" s="320"/>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c r="AA838" s="320"/>
      <c r="AB838" s="320"/>
      <c r="AC838" s="320"/>
      <c r="AD838" s="320"/>
      <c r="AE838" s="320"/>
      <c r="AF838" s="320"/>
      <c r="AG838" s="320"/>
      <c r="AH838" s="320"/>
      <c r="AI838" s="320"/>
      <c r="AJ838" s="320"/>
      <c r="AK838" s="320"/>
      <c r="AL838" s="320"/>
      <c r="AM838" s="320"/>
      <c r="AN838" s="320"/>
      <c r="AO838" s="320"/>
      <c r="AP838" s="320"/>
      <c r="AQ838" s="320"/>
      <c r="AR838" s="320"/>
      <c r="AS838" s="320"/>
      <c r="AT838" s="320"/>
      <c r="AU838" s="321"/>
    </row>
    <row r="839">
      <c r="A839" s="319"/>
      <c r="B839" s="320"/>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c r="AA839" s="320"/>
      <c r="AB839" s="320"/>
      <c r="AC839" s="320"/>
      <c r="AD839" s="320"/>
      <c r="AE839" s="320"/>
      <c r="AF839" s="320"/>
      <c r="AG839" s="320"/>
      <c r="AH839" s="320"/>
      <c r="AI839" s="320"/>
      <c r="AJ839" s="320"/>
      <c r="AK839" s="320"/>
      <c r="AL839" s="320"/>
      <c r="AM839" s="320"/>
      <c r="AN839" s="320"/>
      <c r="AO839" s="320"/>
      <c r="AP839" s="320"/>
      <c r="AQ839" s="320"/>
      <c r="AR839" s="320"/>
      <c r="AS839" s="320"/>
      <c r="AT839" s="320"/>
      <c r="AU839" s="321"/>
    </row>
    <row r="840">
      <c r="A840" s="319"/>
      <c r="B840" s="320"/>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c r="AA840" s="320"/>
      <c r="AB840" s="320"/>
      <c r="AC840" s="320"/>
      <c r="AD840" s="320"/>
      <c r="AE840" s="320"/>
      <c r="AF840" s="320"/>
      <c r="AG840" s="320"/>
      <c r="AH840" s="320"/>
      <c r="AI840" s="320"/>
      <c r="AJ840" s="320"/>
      <c r="AK840" s="320"/>
      <c r="AL840" s="320"/>
      <c r="AM840" s="320"/>
      <c r="AN840" s="320"/>
      <c r="AO840" s="320"/>
      <c r="AP840" s="320"/>
      <c r="AQ840" s="320"/>
      <c r="AR840" s="320"/>
      <c r="AS840" s="320"/>
      <c r="AT840" s="320"/>
      <c r="AU840" s="321"/>
    </row>
    <row r="841">
      <c r="A841" s="319"/>
      <c r="B841" s="320"/>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c r="AA841" s="320"/>
      <c r="AB841" s="320"/>
      <c r="AC841" s="320"/>
      <c r="AD841" s="320"/>
      <c r="AE841" s="320"/>
      <c r="AF841" s="320"/>
      <c r="AG841" s="320"/>
      <c r="AH841" s="320"/>
      <c r="AI841" s="320"/>
      <c r="AJ841" s="320"/>
      <c r="AK841" s="320"/>
      <c r="AL841" s="320"/>
      <c r="AM841" s="320"/>
      <c r="AN841" s="320"/>
      <c r="AO841" s="320"/>
      <c r="AP841" s="320"/>
      <c r="AQ841" s="320"/>
      <c r="AR841" s="320"/>
      <c r="AS841" s="320"/>
      <c r="AT841" s="320"/>
      <c r="AU841" s="321"/>
    </row>
    <row r="842">
      <c r="A842" s="319"/>
      <c r="B842" s="320"/>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c r="AA842" s="320"/>
      <c r="AB842" s="320"/>
      <c r="AC842" s="320"/>
      <c r="AD842" s="320"/>
      <c r="AE842" s="320"/>
      <c r="AF842" s="320"/>
      <c r="AG842" s="320"/>
      <c r="AH842" s="320"/>
      <c r="AI842" s="320"/>
      <c r="AJ842" s="320"/>
      <c r="AK842" s="320"/>
      <c r="AL842" s="320"/>
      <c r="AM842" s="320"/>
      <c r="AN842" s="320"/>
      <c r="AO842" s="320"/>
      <c r="AP842" s="320"/>
      <c r="AQ842" s="320"/>
      <c r="AR842" s="320"/>
      <c r="AS842" s="320"/>
      <c r="AT842" s="320"/>
      <c r="AU842" s="321"/>
    </row>
    <row r="843">
      <c r="A843" s="319"/>
      <c r="B843" s="320"/>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c r="AA843" s="320"/>
      <c r="AB843" s="320"/>
      <c r="AC843" s="320"/>
      <c r="AD843" s="320"/>
      <c r="AE843" s="320"/>
      <c r="AF843" s="320"/>
      <c r="AG843" s="320"/>
      <c r="AH843" s="320"/>
      <c r="AI843" s="320"/>
      <c r="AJ843" s="320"/>
      <c r="AK843" s="320"/>
      <c r="AL843" s="320"/>
      <c r="AM843" s="320"/>
      <c r="AN843" s="320"/>
      <c r="AO843" s="320"/>
      <c r="AP843" s="320"/>
      <c r="AQ843" s="320"/>
      <c r="AR843" s="320"/>
      <c r="AS843" s="320"/>
      <c r="AT843" s="320"/>
      <c r="AU843" s="321"/>
    </row>
    <row r="844">
      <c r="A844" s="319"/>
      <c r="B844" s="320"/>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c r="AA844" s="320"/>
      <c r="AB844" s="320"/>
      <c r="AC844" s="320"/>
      <c r="AD844" s="320"/>
      <c r="AE844" s="320"/>
      <c r="AF844" s="320"/>
      <c r="AG844" s="320"/>
      <c r="AH844" s="320"/>
      <c r="AI844" s="320"/>
      <c r="AJ844" s="320"/>
      <c r="AK844" s="320"/>
      <c r="AL844" s="320"/>
      <c r="AM844" s="320"/>
      <c r="AN844" s="320"/>
      <c r="AO844" s="320"/>
      <c r="AP844" s="320"/>
      <c r="AQ844" s="320"/>
      <c r="AR844" s="320"/>
      <c r="AS844" s="320"/>
      <c r="AT844" s="320"/>
      <c r="AU844" s="321"/>
    </row>
    <row r="845">
      <c r="A845" s="319"/>
      <c r="B845" s="320"/>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c r="AA845" s="320"/>
      <c r="AB845" s="320"/>
      <c r="AC845" s="320"/>
      <c r="AD845" s="320"/>
      <c r="AE845" s="320"/>
      <c r="AF845" s="320"/>
      <c r="AG845" s="320"/>
      <c r="AH845" s="320"/>
      <c r="AI845" s="320"/>
      <c r="AJ845" s="320"/>
      <c r="AK845" s="320"/>
      <c r="AL845" s="320"/>
      <c r="AM845" s="320"/>
      <c r="AN845" s="320"/>
      <c r="AO845" s="320"/>
      <c r="AP845" s="320"/>
      <c r="AQ845" s="320"/>
      <c r="AR845" s="320"/>
      <c r="AS845" s="320"/>
      <c r="AT845" s="320"/>
      <c r="AU845" s="321"/>
    </row>
    <row r="846">
      <c r="A846" s="319"/>
      <c r="B846" s="320"/>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c r="AA846" s="320"/>
      <c r="AB846" s="320"/>
      <c r="AC846" s="320"/>
      <c r="AD846" s="320"/>
      <c r="AE846" s="320"/>
      <c r="AF846" s="320"/>
      <c r="AG846" s="320"/>
      <c r="AH846" s="320"/>
      <c r="AI846" s="320"/>
      <c r="AJ846" s="320"/>
      <c r="AK846" s="320"/>
      <c r="AL846" s="320"/>
      <c r="AM846" s="320"/>
      <c r="AN846" s="320"/>
      <c r="AO846" s="320"/>
      <c r="AP846" s="320"/>
      <c r="AQ846" s="320"/>
      <c r="AR846" s="320"/>
      <c r="AS846" s="320"/>
      <c r="AT846" s="320"/>
      <c r="AU846" s="321"/>
    </row>
    <row r="847">
      <c r="A847" s="319"/>
      <c r="B847" s="320"/>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c r="AA847" s="320"/>
      <c r="AB847" s="320"/>
      <c r="AC847" s="320"/>
      <c r="AD847" s="320"/>
      <c r="AE847" s="320"/>
      <c r="AF847" s="320"/>
      <c r="AG847" s="320"/>
      <c r="AH847" s="320"/>
      <c r="AI847" s="320"/>
      <c r="AJ847" s="320"/>
      <c r="AK847" s="320"/>
      <c r="AL847" s="320"/>
      <c r="AM847" s="320"/>
      <c r="AN847" s="320"/>
      <c r="AO847" s="320"/>
      <c r="AP847" s="320"/>
      <c r="AQ847" s="320"/>
      <c r="AR847" s="320"/>
      <c r="AS847" s="320"/>
      <c r="AT847" s="320"/>
      <c r="AU847" s="321"/>
    </row>
    <row r="848">
      <c r="A848" s="319"/>
      <c r="B848" s="320"/>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c r="AA848" s="320"/>
      <c r="AB848" s="320"/>
      <c r="AC848" s="320"/>
      <c r="AD848" s="320"/>
      <c r="AE848" s="320"/>
      <c r="AF848" s="320"/>
      <c r="AG848" s="320"/>
      <c r="AH848" s="320"/>
      <c r="AI848" s="320"/>
      <c r="AJ848" s="320"/>
      <c r="AK848" s="320"/>
      <c r="AL848" s="320"/>
      <c r="AM848" s="320"/>
      <c r="AN848" s="320"/>
      <c r="AO848" s="320"/>
      <c r="AP848" s="320"/>
      <c r="AQ848" s="320"/>
      <c r="AR848" s="320"/>
      <c r="AS848" s="320"/>
      <c r="AT848" s="320"/>
      <c r="AU848" s="321"/>
    </row>
    <row r="849">
      <c r="A849" s="319"/>
      <c r="B849" s="320"/>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c r="AA849" s="320"/>
      <c r="AB849" s="320"/>
      <c r="AC849" s="320"/>
      <c r="AD849" s="320"/>
      <c r="AE849" s="320"/>
      <c r="AF849" s="320"/>
      <c r="AG849" s="320"/>
      <c r="AH849" s="320"/>
      <c r="AI849" s="320"/>
      <c r="AJ849" s="320"/>
      <c r="AK849" s="320"/>
      <c r="AL849" s="320"/>
      <c r="AM849" s="320"/>
      <c r="AN849" s="320"/>
      <c r="AO849" s="320"/>
      <c r="AP849" s="320"/>
      <c r="AQ849" s="320"/>
      <c r="AR849" s="320"/>
      <c r="AS849" s="320"/>
      <c r="AT849" s="320"/>
      <c r="AU849" s="321"/>
    </row>
    <row r="850">
      <c r="A850" s="319"/>
      <c r="B850" s="320"/>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c r="AA850" s="320"/>
      <c r="AB850" s="320"/>
      <c r="AC850" s="320"/>
      <c r="AD850" s="320"/>
      <c r="AE850" s="320"/>
      <c r="AF850" s="320"/>
      <c r="AG850" s="320"/>
      <c r="AH850" s="320"/>
      <c r="AI850" s="320"/>
      <c r="AJ850" s="320"/>
      <c r="AK850" s="320"/>
      <c r="AL850" s="320"/>
      <c r="AM850" s="320"/>
      <c r="AN850" s="320"/>
      <c r="AO850" s="320"/>
      <c r="AP850" s="320"/>
      <c r="AQ850" s="320"/>
      <c r="AR850" s="320"/>
      <c r="AS850" s="320"/>
      <c r="AT850" s="320"/>
      <c r="AU850" s="321"/>
    </row>
    <row r="851">
      <c r="A851" s="319"/>
      <c r="B851" s="320"/>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c r="AA851" s="320"/>
      <c r="AB851" s="320"/>
      <c r="AC851" s="320"/>
      <c r="AD851" s="320"/>
      <c r="AE851" s="320"/>
      <c r="AF851" s="320"/>
      <c r="AG851" s="320"/>
      <c r="AH851" s="320"/>
      <c r="AI851" s="320"/>
      <c r="AJ851" s="320"/>
      <c r="AK851" s="320"/>
      <c r="AL851" s="320"/>
      <c r="AM851" s="320"/>
      <c r="AN851" s="320"/>
      <c r="AO851" s="320"/>
      <c r="AP851" s="320"/>
      <c r="AQ851" s="320"/>
      <c r="AR851" s="320"/>
      <c r="AS851" s="320"/>
      <c r="AT851" s="320"/>
      <c r="AU851" s="321"/>
    </row>
    <row r="852">
      <c r="A852" s="319"/>
      <c r="B852" s="320"/>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c r="AA852" s="320"/>
      <c r="AB852" s="320"/>
      <c r="AC852" s="320"/>
      <c r="AD852" s="320"/>
      <c r="AE852" s="320"/>
      <c r="AF852" s="320"/>
      <c r="AG852" s="320"/>
      <c r="AH852" s="320"/>
      <c r="AI852" s="320"/>
      <c r="AJ852" s="320"/>
      <c r="AK852" s="320"/>
      <c r="AL852" s="320"/>
      <c r="AM852" s="320"/>
      <c r="AN852" s="320"/>
      <c r="AO852" s="320"/>
      <c r="AP852" s="320"/>
      <c r="AQ852" s="320"/>
      <c r="AR852" s="320"/>
      <c r="AS852" s="320"/>
      <c r="AT852" s="320"/>
      <c r="AU852" s="321"/>
    </row>
    <row r="853">
      <c r="A853" s="319"/>
      <c r="B853" s="320"/>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c r="AA853" s="320"/>
      <c r="AB853" s="320"/>
      <c r="AC853" s="320"/>
      <c r="AD853" s="320"/>
      <c r="AE853" s="320"/>
      <c r="AF853" s="320"/>
      <c r="AG853" s="320"/>
      <c r="AH853" s="320"/>
      <c r="AI853" s="320"/>
      <c r="AJ853" s="320"/>
      <c r="AK853" s="320"/>
      <c r="AL853" s="320"/>
      <c r="AM853" s="320"/>
      <c r="AN853" s="320"/>
      <c r="AO853" s="320"/>
      <c r="AP853" s="320"/>
      <c r="AQ853" s="320"/>
      <c r="AR853" s="320"/>
      <c r="AS853" s="320"/>
      <c r="AT853" s="320"/>
      <c r="AU853" s="321"/>
    </row>
    <row r="854">
      <c r="A854" s="319"/>
      <c r="B854" s="320"/>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c r="AA854" s="320"/>
      <c r="AB854" s="320"/>
      <c r="AC854" s="320"/>
      <c r="AD854" s="320"/>
      <c r="AE854" s="320"/>
      <c r="AF854" s="320"/>
      <c r="AG854" s="320"/>
      <c r="AH854" s="320"/>
      <c r="AI854" s="320"/>
      <c r="AJ854" s="320"/>
      <c r="AK854" s="320"/>
      <c r="AL854" s="320"/>
      <c r="AM854" s="320"/>
      <c r="AN854" s="320"/>
      <c r="AO854" s="320"/>
      <c r="AP854" s="320"/>
      <c r="AQ854" s="320"/>
      <c r="AR854" s="320"/>
      <c r="AS854" s="320"/>
      <c r="AT854" s="320"/>
      <c r="AU854" s="321"/>
    </row>
    <row r="855">
      <c r="A855" s="319"/>
      <c r="B855" s="320"/>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c r="AA855" s="320"/>
      <c r="AB855" s="320"/>
      <c r="AC855" s="320"/>
      <c r="AD855" s="320"/>
      <c r="AE855" s="320"/>
      <c r="AF855" s="320"/>
      <c r="AG855" s="320"/>
      <c r="AH855" s="320"/>
      <c r="AI855" s="320"/>
      <c r="AJ855" s="320"/>
      <c r="AK855" s="320"/>
      <c r="AL855" s="320"/>
      <c r="AM855" s="320"/>
      <c r="AN855" s="320"/>
      <c r="AO855" s="320"/>
      <c r="AP855" s="320"/>
      <c r="AQ855" s="320"/>
      <c r="AR855" s="320"/>
      <c r="AS855" s="320"/>
      <c r="AT855" s="320"/>
      <c r="AU855" s="321"/>
    </row>
    <row r="856">
      <c r="A856" s="319"/>
      <c r="B856" s="320"/>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c r="AA856" s="320"/>
      <c r="AB856" s="320"/>
      <c r="AC856" s="320"/>
      <c r="AD856" s="320"/>
      <c r="AE856" s="320"/>
      <c r="AF856" s="320"/>
      <c r="AG856" s="320"/>
      <c r="AH856" s="320"/>
      <c r="AI856" s="320"/>
      <c r="AJ856" s="320"/>
      <c r="AK856" s="320"/>
      <c r="AL856" s="320"/>
      <c r="AM856" s="320"/>
      <c r="AN856" s="320"/>
      <c r="AO856" s="320"/>
      <c r="AP856" s="320"/>
      <c r="AQ856" s="320"/>
      <c r="AR856" s="320"/>
      <c r="AS856" s="320"/>
      <c r="AT856" s="320"/>
      <c r="AU856" s="321"/>
    </row>
    <row r="857">
      <c r="A857" s="319"/>
      <c r="B857" s="320"/>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c r="AA857" s="320"/>
      <c r="AB857" s="320"/>
      <c r="AC857" s="320"/>
      <c r="AD857" s="320"/>
      <c r="AE857" s="320"/>
      <c r="AF857" s="320"/>
      <c r="AG857" s="320"/>
      <c r="AH857" s="320"/>
      <c r="AI857" s="320"/>
      <c r="AJ857" s="320"/>
      <c r="AK857" s="320"/>
      <c r="AL857" s="320"/>
      <c r="AM857" s="320"/>
      <c r="AN857" s="320"/>
      <c r="AO857" s="320"/>
      <c r="AP857" s="320"/>
      <c r="AQ857" s="320"/>
      <c r="AR857" s="320"/>
      <c r="AS857" s="320"/>
      <c r="AT857" s="320"/>
      <c r="AU857" s="321"/>
    </row>
    <row r="858">
      <c r="A858" s="319"/>
      <c r="B858" s="320"/>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c r="AA858" s="320"/>
      <c r="AB858" s="320"/>
      <c r="AC858" s="320"/>
      <c r="AD858" s="320"/>
      <c r="AE858" s="320"/>
      <c r="AF858" s="320"/>
      <c r="AG858" s="320"/>
      <c r="AH858" s="320"/>
      <c r="AI858" s="320"/>
      <c r="AJ858" s="320"/>
      <c r="AK858" s="320"/>
      <c r="AL858" s="320"/>
      <c r="AM858" s="320"/>
      <c r="AN858" s="320"/>
      <c r="AO858" s="320"/>
      <c r="AP858" s="320"/>
      <c r="AQ858" s="320"/>
      <c r="AR858" s="320"/>
      <c r="AS858" s="320"/>
      <c r="AT858" s="320"/>
      <c r="AU858" s="321"/>
    </row>
    <row r="859">
      <c r="A859" s="319"/>
      <c r="B859" s="320"/>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c r="AA859" s="320"/>
      <c r="AB859" s="320"/>
      <c r="AC859" s="320"/>
      <c r="AD859" s="320"/>
      <c r="AE859" s="320"/>
      <c r="AF859" s="320"/>
      <c r="AG859" s="320"/>
      <c r="AH859" s="320"/>
      <c r="AI859" s="320"/>
      <c r="AJ859" s="320"/>
      <c r="AK859" s="320"/>
      <c r="AL859" s="320"/>
      <c r="AM859" s="320"/>
      <c r="AN859" s="320"/>
      <c r="AO859" s="320"/>
      <c r="AP859" s="320"/>
      <c r="AQ859" s="320"/>
      <c r="AR859" s="320"/>
      <c r="AS859" s="320"/>
      <c r="AT859" s="320"/>
      <c r="AU859" s="321"/>
    </row>
    <row r="860">
      <c r="A860" s="319"/>
      <c r="B860" s="320"/>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c r="AA860" s="320"/>
      <c r="AB860" s="320"/>
      <c r="AC860" s="320"/>
      <c r="AD860" s="320"/>
      <c r="AE860" s="320"/>
      <c r="AF860" s="320"/>
      <c r="AG860" s="320"/>
      <c r="AH860" s="320"/>
      <c r="AI860" s="320"/>
      <c r="AJ860" s="320"/>
      <c r="AK860" s="320"/>
      <c r="AL860" s="320"/>
      <c r="AM860" s="320"/>
      <c r="AN860" s="320"/>
      <c r="AO860" s="320"/>
      <c r="AP860" s="320"/>
      <c r="AQ860" s="320"/>
      <c r="AR860" s="320"/>
      <c r="AS860" s="320"/>
      <c r="AT860" s="320"/>
      <c r="AU860" s="321"/>
    </row>
    <row r="861">
      <c r="A861" s="319"/>
      <c r="B861" s="320"/>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c r="AA861" s="320"/>
      <c r="AB861" s="320"/>
      <c r="AC861" s="320"/>
      <c r="AD861" s="320"/>
      <c r="AE861" s="320"/>
      <c r="AF861" s="320"/>
      <c r="AG861" s="320"/>
      <c r="AH861" s="320"/>
      <c r="AI861" s="320"/>
      <c r="AJ861" s="320"/>
      <c r="AK861" s="320"/>
      <c r="AL861" s="320"/>
      <c r="AM861" s="320"/>
      <c r="AN861" s="320"/>
      <c r="AO861" s="320"/>
      <c r="AP861" s="320"/>
      <c r="AQ861" s="320"/>
      <c r="AR861" s="320"/>
      <c r="AS861" s="320"/>
      <c r="AT861" s="320"/>
      <c r="AU861" s="321"/>
    </row>
    <row r="862">
      <c r="A862" s="319"/>
      <c r="B862" s="320"/>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c r="AA862" s="320"/>
      <c r="AB862" s="320"/>
      <c r="AC862" s="320"/>
      <c r="AD862" s="320"/>
      <c r="AE862" s="320"/>
      <c r="AF862" s="320"/>
      <c r="AG862" s="320"/>
      <c r="AH862" s="320"/>
      <c r="AI862" s="320"/>
      <c r="AJ862" s="320"/>
      <c r="AK862" s="320"/>
      <c r="AL862" s="320"/>
      <c r="AM862" s="320"/>
      <c r="AN862" s="320"/>
      <c r="AO862" s="320"/>
      <c r="AP862" s="320"/>
      <c r="AQ862" s="320"/>
      <c r="AR862" s="320"/>
      <c r="AS862" s="320"/>
      <c r="AT862" s="320"/>
      <c r="AU862" s="321"/>
    </row>
    <row r="863">
      <c r="A863" s="319"/>
      <c r="B863" s="320"/>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c r="AA863" s="320"/>
      <c r="AB863" s="320"/>
      <c r="AC863" s="320"/>
      <c r="AD863" s="320"/>
      <c r="AE863" s="320"/>
      <c r="AF863" s="320"/>
      <c r="AG863" s="320"/>
      <c r="AH863" s="320"/>
      <c r="AI863" s="320"/>
      <c r="AJ863" s="320"/>
      <c r="AK863" s="320"/>
      <c r="AL863" s="320"/>
      <c r="AM863" s="320"/>
      <c r="AN863" s="320"/>
      <c r="AO863" s="320"/>
      <c r="AP863" s="320"/>
      <c r="AQ863" s="320"/>
      <c r="AR863" s="320"/>
      <c r="AS863" s="320"/>
      <c r="AT863" s="320"/>
      <c r="AU863" s="321"/>
    </row>
    <row r="864">
      <c r="A864" s="319"/>
      <c r="B864" s="320"/>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c r="AA864" s="320"/>
      <c r="AB864" s="320"/>
      <c r="AC864" s="320"/>
      <c r="AD864" s="320"/>
      <c r="AE864" s="320"/>
      <c r="AF864" s="320"/>
      <c r="AG864" s="320"/>
      <c r="AH864" s="320"/>
      <c r="AI864" s="320"/>
      <c r="AJ864" s="320"/>
      <c r="AK864" s="320"/>
      <c r="AL864" s="320"/>
      <c r="AM864" s="320"/>
      <c r="AN864" s="320"/>
      <c r="AO864" s="320"/>
      <c r="AP864" s="320"/>
      <c r="AQ864" s="320"/>
      <c r="AR864" s="320"/>
      <c r="AS864" s="320"/>
      <c r="AT864" s="320"/>
      <c r="AU864" s="321"/>
    </row>
    <row r="865">
      <c r="A865" s="319"/>
      <c r="B865" s="320"/>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c r="AA865" s="320"/>
      <c r="AB865" s="320"/>
      <c r="AC865" s="320"/>
      <c r="AD865" s="320"/>
      <c r="AE865" s="320"/>
      <c r="AF865" s="320"/>
      <c r="AG865" s="320"/>
      <c r="AH865" s="320"/>
      <c r="AI865" s="320"/>
      <c r="AJ865" s="320"/>
      <c r="AK865" s="320"/>
      <c r="AL865" s="320"/>
      <c r="AM865" s="320"/>
      <c r="AN865" s="320"/>
      <c r="AO865" s="320"/>
      <c r="AP865" s="320"/>
      <c r="AQ865" s="320"/>
      <c r="AR865" s="320"/>
      <c r="AS865" s="320"/>
      <c r="AT865" s="320"/>
      <c r="AU865" s="321"/>
    </row>
    <row r="866">
      <c r="A866" s="319"/>
      <c r="B866" s="320"/>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c r="AA866" s="320"/>
      <c r="AB866" s="320"/>
      <c r="AC866" s="320"/>
      <c r="AD866" s="320"/>
      <c r="AE866" s="320"/>
      <c r="AF866" s="320"/>
      <c r="AG866" s="320"/>
      <c r="AH866" s="320"/>
      <c r="AI866" s="320"/>
      <c r="AJ866" s="320"/>
      <c r="AK866" s="320"/>
      <c r="AL866" s="320"/>
      <c r="AM866" s="320"/>
      <c r="AN866" s="320"/>
      <c r="AO866" s="320"/>
      <c r="AP866" s="320"/>
      <c r="AQ866" s="320"/>
      <c r="AR866" s="320"/>
      <c r="AS866" s="320"/>
      <c r="AT866" s="320"/>
      <c r="AU866" s="321"/>
    </row>
    <row r="867">
      <c r="A867" s="319"/>
      <c r="B867" s="320"/>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c r="AA867" s="320"/>
      <c r="AB867" s="320"/>
      <c r="AC867" s="320"/>
      <c r="AD867" s="320"/>
      <c r="AE867" s="320"/>
      <c r="AF867" s="320"/>
      <c r="AG867" s="320"/>
      <c r="AH867" s="320"/>
      <c r="AI867" s="320"/>
      <c r="AJ867" s="320"/>
      <c r="AK867" s="320"/>
      <c r="AL867" s="320"/>
      <c r="AM867" s="320"/>
      <c r="AN867" s="320"/>
      <c r="AO867" s="320"/>
      <c r="AP867" s="320"/>
      <c r="AQ867" s="320"/>
      <c r="AR867" s="320"/>
      <c r="AS867" s="320"/>
      <c r="AT867" s="320"/>
      <c r="AU867" s="321"/>
    </row>
    <row r="868">
      <c r="A868" s="319"/>
      <c r="B868" s="320"/>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c r="AA868" s="320"/>
      <c r="AB868" s="320"/>
      <c r="AC868" s="320"/>
      <c r="AD868" s="320"/>
      <c r="AE868" s="320"/>
      <c r="AF868" s="320"/>
      <c r="AG868" s="320"/>
      <c r="AH868" s="320"/>
      <c r="AI868" s="320"/>
      <c r="AJ868" s="320"/>
      <c r="AK868" s="320"/>
      <c r="AL868" s="320"/>
      <c r="AM868" s="320"/>
      <c r="AN868" s="320"/>
      <c r="AO868" s="320"/>
      <c r="AP868" s="320"/>
      <c r="AQ868" s="320"/>
      <c r="AR868" s="320"/>
      <c r="AS868" s="320"/>
      <c r="AT868" s="320"/>
      <c r="AU868" s="321"/>
    </row>
    <row r="869">
      <c r="A869" s="319"/>
      <c r="B869" s="320"/>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c r="AA869" s="320"/>
      <c r="AB869" s="320"/>
      <c r="AC869" s="320"/>
      <c r="AD869" s="320"/>
      <c r="AE869" s="320"/>
      <c r="AF869" s="320"/>
      <c r="AG869" s="320"/>
      <c r="AH869" s="320"/>
      <c r="AI869" s="320"/>
      <c r="AJ869" s="320"/>
      <c r="AK869" s="320"/>
      <c r="AL869" s="320"/>
      <c r="AM869" s="320"/>
      <c r="AN869" s="320"/>
      <c r="AO869" s="320"/>
      <c r="AP869" s="320"/>
      <c r="AQ869" s="320"/>
      <c r="AR869" s="320"/>
      <c r="AS869" s="320"/>
      <c r="AT869" s="320"/>
      <c r="AU869" s="321"/>
    </row>
    <row r="870">
      <c r="A870" s="319"/>
      <c r="B870" s="320"/>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c r="AA870" s="320"/>
      <c r="AB870" s="320"/>
      <c r="AC870" s="320"/>
      <c r="AD870" s="320"/>
      <c r="AE870" s="320"/>
      <c r="AF870" s="320"/>
      <c r="AG870" s="320"/>
      <c r="AH870" s="320"/>
      <c r="AI870" s="320"/>
      <c r="AJ870" s="320"/>
      <c r="AK870" s="320"/>
      <c r="AL870" s="320"/>
      <c r="AM870" s="320"/>
      <c r="AN870" s="320"/>
      <c r="AO870" s="320"/>
      <c r="AP870" s="320"/>
      <c r="AQ870" s="320"/>
      <c r="AR870" s="320"/>
      <c r="AS870" s="320"/>
      <c r="AT870" s="320"/>
      <c r="AU870" s="321"/>
    </row>
    <row r="871">
      <c r="A871" s="319"/>
      <c r="B871" s="320"/>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c r="AA871" s="320"/>
      <c r="AB871" s="320"/>
      <c r="AC871" s="320"/>
      <c r="AD871" s="320"/>
      <c r="AE871" s="320"/>
      <c r="AF871" s="320"/>
      <c r="AG871" s="320"/>
      <c r="AH871" s="320"/>
      <c r="AI871" s="320"/>
      <c r="AJ871" s="320"/>
      <c r="AK871" s="320"/>
      <c r="AL871" s="320"/>
      <c r="AM871" s="320"/>
      <c r="AN871" s="320"/>
      <c r="AO871" s="320"/>
      <c r="AP871" s="320"/>
      <c r="AQ871" s="320"/>
      <c r="AR871" s="320"/>
      <c r="AS871" s="320"/>
      <c r="AT871" s="320"/>
      <c r="AU871" s="321"/>
    </row>
    <row r="872">
      <c r="A872" s="319"/>
      <c r="B872" s="320"/>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c r="AA872" s="320"/>
      <c r="AB872" s="320"/>
      <c r="AC872" s="320"/>
      <c r="AD872" s="320"/>
      <c r="AE872" s="320"/>
      <c r="AF872" s="320"/>
      <c r="AG872" s="320"/>
      <c r="AH872" s="320"/>
      <c r="AI872" s="320"/>
      <c r="AJ872" s="320"/>
      <c r="AK872" s="320"/>
      <c r="AL872" s="320"/>
      <c r="AM872" s="320"/>
      <c r="AN872" s="320"/>
      <c r="AO872" s="320"/>
      <c r="AP872" s="320"/>
      <c r="AQ872" s="320"/>
      <c r="AR872" s="320"/>
      <c r="AS872" s="320"/>
      <c r="AT872" s="320"/>
      <c r="AU872" s="321"/>
    </row>
    <row r="873">
      <c r="A873" s="319"/>
      <c r="B873" s="320"/>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c r="AA873" s="320"/>
      <c r="AB873" s="320"/>
      <c r="AC873" s="320"/>
      <c r="AD873" s="320"/>
      <c r="AE873" s="320"/>
      <c r="AF873" s="320"/>
      <c r="AG873" s="320"/>
      <c r="AH873" s="320"/>
      <c r="AI873" s="320"/>
      <c r="AJ873" s="320"/>
      <c r="AK873" s="320"/>
      <c r="AL873" s="320"/>
      <c r="AM873" s="320"/>
      <c r="AN873" s="320"/>
      <c r="AO873" s="320"/>
      <c r="AP873" s="320"/>
      <c r="AQ873" s="320"/>
      <c r="AR873" s="320"/>
      <c r="AS873" s="320"/>
      <c r="AT873" s="320"/>
      <c r="AU873" s="321"/>
    </row>
    <row r="874">
      <c r="A874" s="319"/>
      <c r="B874" s="320"/>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c r="AA874" s="320"/>
      <c r="AB874" s="320"/>
      <c r="AC874" s="320"/>
      <c r="AD874" s="320"/>
      <c r="AE874" s="320"/>
      <c r="AF874" s="320"/>
      <c r="AG874" s="320"/>
      <c r="AH874" s="320"/>
      <c r="AI874" s="320"/>
      <c r="AJ874" s="320"/>
      <c r="AK874" s="320"/>
      <c r="AL874" s="320"/>
      <c r="AM874" s="320"/>
      <c r="AN874" s="320"/>
      <c r="AO874" s="320"/>
      <c r="AP874" s="320"/>
      <c r="AQ874" s="320"/>
      <c r="AR874" s="320"/>
      <c r="AS874" s="320"/>
      <c r="AT874" s="320"/>
      <c r="AU874" s="321"/>
    </row>
    <row r="875">
      <c r="A875" s="319"/>
      <c r="B875" s="320"/>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c r="AA875" s="320"/>
      <c r="AB875" s="320"/>
      <c r="AC875" s="320"/>
      <c r="AD875" s="320"/>
      <c r="AE875" s="320"/>
      <c r="AF875" s="320"/>
      <c r="AG875" s="320"/>
      <c r="AH875" s="320"/>
      <c r="AI875" s="320"/>
      <c r="AJ875" s="320"/>
      <c r="AK875" s="320"/>
      <c r="AL875" s="320"/>
      <c r="AM875" s="320"/>
      <c r="AN875" s="320"/>
      <c r="AO875" s="320"/>
      <c r="AP875" s="320"/>
      <c r="AQ875" s="320"/>
      <c r="AR875" s="320"/>
      <c r="AS875" s="320"/>
      <c r="AT875" s="320"/>
      <c r="AU875" s="321"/>
    </row>
    <row r="876">
      <c r="A876" s="319"/>
      <c r="B876" s="320"/>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c r="AA876" s="320"/>
      <c r="AB876" s="320"/>
      <c r="AC876" s="320"/>
      <c r="AD876" s="320"/>
      <c r="AE876" s="320"/>
      <c r="AF876" s="320"/>
      <c r="AG876" s="320"/>
      <c r="AH876" s="320"/>
      <c r="AI876" s="320"/>
      <c r="AJ876" s="320"/>
      <c r="AK876" s="320"/>
      <c r="AL876" s="320"/>
      <c r="AM876" s="320"/>
      <c r="AN876" s="320"/>
      <c r="AO876" s="320"/>
      <c r="AP876" s="320"/>
      <c r="AQ876" s="320"/>
      <c r="AR876" s="320"/>
      <c r="AS876" s="320"/>
      <c r="AT876" s="320"/>
      <c r="AU876" s="321"/>
    </row>
    <row r="877">
      <c r="A877" s="319"/>
      <c r="B877" s="320"/>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c r="AA877" s="320"/>
      <c r="AB877" s="320"/>
      <c r="AC877" s="320"/>
      <c r="AD877" s="320"/>
      <c r="AE877" s="320"/>
      <c r="AF877" s="320"/>
      <c r="AG877" s="320"/>
      <c r="AH877" s="320"/>
      <c r="AI877" s="320"/>
      <c r="AJ877" s="320"/>
      <c r="AK877" s="320"/>
      <c r="AL877" s="320"/>
      <c r="AM877" s="320"/>
      <c r="AN877" s="320"/>
      <c r="AO877" s="320"/>
      <c r="AP877" s="320"/>
      <c r="AQ877" s="320"/>
      <c r="AR877" s="320"/>
      <c r="AS877" s="320"/>
      <c r="AT877" s="320"/>
      <c r="AU877" s="321"/>
    </row>
    <row r="878">
      <c r="A878" s="319"/>
      <c r="B878" s="320"/>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c r="AA878" s="320"/>
      <c r="AB878" s="320"/>
      <c r="AC878" s="320"/>
      <c r="AD878" s="320"/>
      <c r="AE878" s="320"/>
      <c r="AF878" s="320"/>
      <c r="AG878" s="320"/>
      <c r="AH878" s="320"/>
      <c r="AI878" s="320"/>
      <c r="AJ878" s="320"/>
      <c r="AK878" s="320"/>
      <c r="AL878" s="320"/>
      <c r="AM878" s="320"/>
      <c r="AN878" s="320"/>
      <c r="AO878" s="320"/>
      <c r="AP878" s="320"/>
      <c r="AQ878" s="320"/>
      <c r="AR878" s="320"/>
      <c r="AS878" s="320"/>
      <c r="AT878" s="320"/>
      <c r="AU878" s="321"/>
    </row>
    <row r="879">
      <c r="A879" s="319"/>
      <c r="B879" s="320"/>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c r="AA879" s="320"/>
      <c r="AB879" s="320"/>
      <c r="AC879" s="320"/>
      <c r="AD879" s="320"/>
      <c r="AE879" s="320"/>
      <c r="AF879" s="320"/>
      <c r="AG879" s="320"/>
      <c r="AH879" s="320"/>
      <c r="AI879" s="320"/>
      <c r="AJ879" s="320"/>
      <c r="AK879" s="320"/>
      <c r="AL879" s="320"/>
      <c r="AM879" s="320"/>
      <c r="AN879" s="320"/>
      <c r="AO879" s="320"/>
      <c r="AP879" s="320"/>
      <c r="AQ879" s="320"/>
      <c r="AR879" s="320"/>
      <c r="AS879" s="320"/>
      <c r="AT879" s="320"/>
      <c r="AU879" s="321"/>
    </row>
    <row r="880">
      <c r="A880" s="319"/>
      <c r="B880" s="320"/>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c r="AA880" s="320"/>
      <c r="AB880" s="320"/>
      <c r="AC880" s="320"/>
      <c r="AD880" s="320"/>
      <c r="AE880" s="320"/>
      <c r="AF880" s="320"/>
      <c r="AG880" s="320"/>
      <c r="AH880" s="320"/>
      <c r="AI880" s="320"/>
      <c r="AJ880" s="320"/>
      <c r="AK880" s="320"/>
      <c r="AL880" s="320"/>
      <c r="AM880" s="320"/>
      <c r="AN880" s="320"/>
      <c r="AO880" s="320"/>
      <c r="AP880" s="320"/>
      <c r="AQ880" s="320"/>
      <c r="AR880" s="320"/>
      <c r="AS880" s="320"/>
      <c r="AT880" s="320"/>
      <c r="AU880" s="321"/>
    </row>
    <row r="881">
      <c r="A881" s="319"/>
      <c r="B881" s="320"/>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c r="AA881" s="320"/>
      <c r="AB881" s="320"/>
      <c r="AC881" s="320"/>
      <c r="AD881" s="320"/>
      <c r="AE881" s="320"/>
      <c r="AF881" s="320"/>
      <c r="AG881" s="320"/>
      <c r="AH881" s="320"/>
      <c r="AI881" s="320"/>
      <c r="AJ881" s="320"/>
      <c r="AK881" s="320"/>
      <c r="AL881" s="320"/>
      <c r="AM881" s="320"/>
      <c r="AN881" s="320"/>
      <c r="AO881" s="320"/>
      <c r="AP881" s="320"/>
      <c r="AQ881" s="320"/>
      <c r="AR881" s="320"/>
      <c r="AS881" s="320"/>
      <c r="AT881" s="320"/>
      <c r="AU881" s="321"/>
    </row>
    <row r="882">
      <c r="A882" s="319"/>
      <c r="B882" s="320"/>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c r="AA882" s="320"/>
      <c r="AB882" s="320"/>
      <c r="AC882" s="320"/>
      <c r="AD882" s="320"/>
      <c r="AE882" s="320"/>
      <c r="AF882" s="320"/>
      <c r="AG882" s="320"/>
      <c r="AH882" s="320"/>
      <c r="AI882" s="320"/>
      <c r="AJ882" s="320"/>
      <c r="AK882" s="320"/>
      <c r="AL882" s="320"/>
      <c r="AM882" s="320"/>
      <c r="AN882" s="320"/>
      <c r="AO882" s="320"/>
      <c r="AP882" s="320"/>
      <c r="AQ882" s="320"/>
      <c r="AR882" s="320"/>
      <c r="AS882" s="320"/>
      <c r="AT882" s="320"/>
      <c r="AU882" s="321"/>
    </row>
    <row r="883">
      <c r="A883" s="319"/>
      <c r="B883" s="320"/>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c r="AA883" s="320"/>
      <c r="AB883" s="320"/>
      <c r="AC883" s="320"/>
      <c r="AD883" s="320"/>
      <c r="AE883" s="320"/>
      <c r="AF883" s="320"/>
      <c r="AG883" s="320"/>
      <c r="AH883" s="320"/>
      <c r="AI883" s="320"/>
      <c r="AJ883" s="320"/>
      <c r="AK883" s="320"/>
      <c r="AL883" s="320"/>
      <c r="AM883" s="320"/>
      <c r="AN883" s="320"/>
      <c r="AO883" s="320"/>
      <c r="AP883" s="320"/>
      <c r="AQ883" s="320"/>
      <c r="AR883" s="320"/>
      <c r="AS883" s="320"/>
      <c r="AT883" s="320"/>
      <c r="AU883" s="321"/>
    </row>
    <row r="884">
      <c r="A884" s="319"/>
      <c r="B884" s="320"/>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c r="AA884" s="320"/>
      <c r="AB884" s="320"/>
      <c r="AC884" s="320"/>
      <c r="AD884" s="320"/>
      <c r="AE884" s="320"/>
      <c r="AF884" s="320"/>
      <c r="AG884" s="320"/>
      <c r="AH884" s="320"/>
      <c r="AI884" s="320"/>
      <c r="AJ884" s="320"/>
      <c r="AK884" s="320"/>
      <c r="AL884" s="320"/>
      <c r="AM884" s="320"/>
      <c r="AN884" s="320"/>
      <c r="AO884" s="320"/>
      <c r="AP884" s="320"/>
      <c r="AQ884" s="320"/>
      <c r="AR884" s="320"/>
      <c r="AS884" s="320"/>
      <c r="AT884" s="320"/>
      <c r="AU884" s="321"/>
    </row>
    <row r="885">
      <c r="A885" s="319"/>
      <c r="B885" s="320"/>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c r="AA885" s="320"/>
      <c r="AB885" s="320"/>
      <c r="AC885" s="320"/>
      <c r="AD885" s="320"/>
      <c r="AE885" s="320"/>
      <c r="AF885" s="320"/>
      <c r="AG885" s="320"/>
      <c r="AH885" s="320"/>
      <c r="AI885" s="320"/>
      <c r="AJ885" s="320"/>
      <c r="AK885" s="320"/>
      <c r="AL885" s="320"/>
      <c r="AM885" s="320"/>
      <c r="AN885" s="320"/>
      <c r="AO885" s="320"/>
      <c r="AP885" s="320"/>
      <c r="AQ885" s="320"/>
      <c r="AR885" s="320"/>
      <c r="AS885" s="320"/>
      <c r="AT885" s="320"/>
      <c r="AU885" s="321"/>
    </row>
    <row r="886">
      <c r="A886" s="319"/>
      <c r="B886" s="320"/>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c r="AA886" s="320"/>
      <c r="AB886" s="320"/>
      <c r="AC886" s="320"/>
      <c r="AD886" s="320"/>
      <c r="AE886" s="320"/>
      <c r="AF886" s="320"/>
      <c r="AG886" s="320"/>
      <c r="AH886" s="320"/>
      <c r="AI886" s="320"/>
      <c r="AJ886" s="320"/>
      <c r="AK886" s="320"/>
      <c r="AL886" s="320"/>
      <c r="AM886" s="320"/>
      <c r="AN886" s="320"/>
      <c r="AO886" s="320"/>
      <c r="AP886" s="320"/>
      <c r="AQ886" s="320"/>
      <c r="AR886" s="320"/>
      <c r="AS886" s="320"/>
      <c r="AT886" s="320"/>
      <c r="AU886" s="321"/>
    </row>
    <row r="887">
      <c r="A887" s="319"/>
      <c r="B887" s="320"/>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c r="AA887" s="320"/>
      <c r="AB887" s="320"/>
      <c r="AC887" s="320"/>
      <c r="AD887" s="320"/>
      <c r="AE887" s="320"/>
      <c r="AF887" s="320"/>
      <c r="AG887" s="320"/>
      <c r="AH887" s="320"/>
      <c r="AI887" s="320"/>
      <c r="AJ887" s="320"/>
      <c r="AK887" s="320"/>
      <c r="AL887" s="320"/>
      <c r="AM887" s="320"/>
      <c r="AN887" s="320"/>
      <c r="AO887" s="320"/>
      <c r="AP887" s="320"/>
      <c r="AQ887" s="320"/>
      <c r="AR887" s="320"/>
      <c r="AS887" s="320"/>
      <c r="AT887" s="320"/>
      <c r="AU887" s="321"/>
    </row>
    <row r="888">
      <c r="A888" s="319"/>
      <c r="B888" s="320"/>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c r="AA888" s="320"/>
      <c r="AB888" s="320"/>
      <c r="AC888" s="320"/>
      <c r="AD888" s="320"/>
      <c r="AE888" s="320"/>
      <c r="AF888" s="320"/>
      <c r="AG888" s="320"/>
      <c r="AH888" s="320"/>
      <c r="AI888" s="320"/>
      <c r="AJ888" s="320"/>
      <c r="AK888" s="320"/>
      <c r="AL888" s="320"/>
      <c r="AM888" s="320"/>
      <c r="AN888" s="320"/>
      <c r="AO888" s="320"/>
      <c r="AP888" s="320"/>
      <c r="AQ888" s="320"/>
      <c r="AR888" s="320"/>
      <c r="AS888" s="320"/>
      <c r="AT888" s="320"/>
      <c r="AU888" s="321"/>
    </row>
    <row r="889">
      <c r="A889" s="319"/>
      <c r="B889" s="320"/>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c r="AA889" s="320"/>
      <c r="AB889" s="320"/>
      <c r="AC889" s="320"/>
      <c r="AD889" s="320"/>
      <c r="AE889" s="320"/>
      <c r="AF889" s="320"/>
      <c r="AG889" s="320"/>
      <c r="AH889" s="320"/>
      <c r="AI889" s="320"/>
      <c r="AJ889" s="320"/>
      <c r="AK889" s="320"/>
      <c r="AL889" s="320"/>
      <c r="AM889" s="320"/>
      <c r="AN889" s="320"/>
      <c r="AO889" s="320"/>
      <c r="AP889" s="320"/>
      <c r="AQ889" s="320"/>
      <c r="AR889" s="320"/>
      <c r="AS889" s="320"/>
      <c r="AT889" s="320"/>
      <c r="AU889" s="321"/>
    </row>
    <row r="890">
      <c r="A890" s="319"/>
      <c r="B890" s="320"/>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c r="AA890" s="320"/>
      <c r="AB890" s="320"/>
      <c r="AC890" s="320"/>
      <c r="AD890" s="320"/>
      <c r="AE890" s="320"/>
      <c r="AF890" s="320"/>
      <c r="AG890" s="320"/>
      <c r="AH890" s="320"/>
      <c r="AI890" s="320"/>
      <c r="AJ890" s="320"/>
      <c r="AK890" s="320"/>
      <c r="AL890" s="320"/>
      <c r="AM890" s="320"/>
      <c r="AN890" s="320"/>
      <c r="AO890" s="320"/>
      <c r="AP890" s="320"/>
      <c r="AQ890" s="320"/>
      <c r="AR890" s="320"/>
      <c r="AS890" s="320"/>
      <c r="AT890" s="320"/>
      <c r="AU890" s="321"/>
    </row>
    <row r="891">
      <c r="A891" s="319"/>
      <c r="B891" s="320"/>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c r="AA891" s="320"/>
      <c r="AB891" s="320"/>
      <c r="AC891" s="320"/>
      <c r="AD891" s="320"/>
      <c r="AE891" s="320"/>
      <c r="AF891" s="320"/>
      <c r="AG891" s="320"/>
      <c r="AH891" s="320"/>
      <c r="AI891" s="320"/>
      <c r="AJ891" s="320"/>
      <c r="AK891" s="320"/>
      <c r="AL891" s="320"/>
      <c r="AM891" s="320"/>
      <c r="AN891" s="320"/>
      <c r="AO891" s="320"/>
      <c r="AP891" s="320"/>
      <c r="AQ891" s="320"/>
      <c r="AR891" s="320"/>
      <c r="AS891" s="320"/>
      <c r="AT891" s="320"/>
      <c r="AU891" s="321"/>
    </row>
    <row r="892">
      <c r="A892" s="319"/>
      <c r="B892" s="320"/>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c r="AA892" s="320"/>
      <c r="AB892" s="320"/>
      <c r="AC892" s="320"/>
      <c r="AD892" s="320"/>
      <c r="AE892" s="320"/>
      <c r="AF892" s="320"/>
      <c r="AG892" s="320"/>
      <c r="AH892" s="320"/>
      <c r="AI892" s="320"/>
      <c r="AJ892" s="320"/>
      <c r="AK892" s="320"/>
      <c r="AL892" s="320"/>
      <c r="AM892" s="320"/>
      <c r="AN892" s="320"/>
      <c r="AO892" s="320"/>
      <c r="AP892" s="320"/>
      <c r="AQ892" s="320"/>
      <c r="AR892" s="320"/>
      <c r="AS892" s="320"/>
      <c r="AT892" s="320"/>
      <c r="AU892" s="321"/>
    </row>
    <row r="893">
      <c r="A893" s="319"/>
      <c r="B893" s="320"/>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c r="AA893" s="320"/>
      <c r="AB893" s="320"/>
      <c r="AC893" s="320"/>
      <c r="AD893" s="320"/>
      <c r="AE893" s="320"/>
      <c r="AF893" s="320"/>
      <c r="AG893" s="320"/>
      <c r="AH893" s="320"/>
      <c r="AI893" s="320"/>
      <c r="AJ893" s="320"/>
      <c r="AK893" s="320"/>
      <c r="AL893" s="320"/>
      <c r="AM893" s="320"/>
      <c r="AN893" s="320"/>
      <c r="AO893" s="320"/>
      <c r="AP893" s="320"/>
      <c r="AQ893" s="320"/>
      <c r="AR893" s="320"/>
      <c r="AS893" s="320"/>
      <c r="AT893" s="320"/>
      <c r="AU893" s="321"/>
    </row>
    <row r="894">
      <c r="A894" s="319"/>
      <c r="B894" s="320"/>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c r="AA894" s="320"/>
      <c r="AB894" s="320"/>
      <c r="AC894" s="320"/>
      <c r="AD894" s="320"/>
      <c r="AE894" s="320"/>
      <c r="AF894" s="320"/>
      <c r="AG894" s="320"/>
      <c r="AH894" s="320"/>
      <c r="AI894" s="320"/>
      <c r="AJ894" s="320"/>
      <c r="AK894" s="320"/>
      <c r="AL894" s="320"/>
      <c r="AM894" s="320"/>
      <c r="AN894" s="320"/>
      <c r="AO894" s="320"/>
      <c r="AP894" s="320"/>
      <c r="AQ894" s="320"/>
      <c r="AR894" s="320"/>
      <c r="AS894" s="320"/>
      <c r="AT894" s="320"/>
      <c r="AU894" s="321"/>
    </row>
    <row r="895">
      <c r="A895" s="319"/>
      <c r="B895" s="320"/>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c r="AA895" s="320"/>
      <c r="AB895" s="320"/>
      <c r="AC895" s="320"/>
      <c r="AD895" s="320"/>
      <c r="AE895" s="320"/>
      <c r="AF895" s="320"/>
      <c r="AG895" s="320"/>
      <c r="AH895" s="320"/>
      <c r="AI895" s="320"/>
      <c r="AJ895" s="320"/>
      <c r="AK895" s="320"/>
      <c r="AL895" s="320"/>
      <c r="AM895" s="320"/>
      <c r="AN895" s="320"/>
      <c r="AO895" s="320"/>
      <c r="AP895" s="320"/>
      <c r="AQ895" s="320"/>
      <c r="AR895" s="320"/>
      <c r="AS895" s="320"/>
      <c r="AT895" s="320"/>
      <c r="AU895" s="321"/>
    </row>
    <row r="896">
      <c r="A896" s="319"/>
      <c r="B896" s="320"/>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c r="AA896" s="320"/>
      <c r="AB896" s="320"/>
      <c r="AC896" s="320"/>
      <c r="AD896" s="320"/>
      <c r="AE896" s="320"/>
      <c r="AF896" s="320"/>
      <c r="AG896" s="320"/>
      <c r="AH896" s="320"/>
      <c r="AI896" s="320"/>
      <c r="AJ896" s="320"/>
      <c r="AK896" s="320"/>
      <c r="AL896" s="320"/>
      <c r="AM896" s="320"/>
      <c r="AN896" s="320"/>
      <c r="AO896" s="320"/>
      <c r="AP896" s="320"/>
      <c r="AQ896" s="320"/>
      <c r="AR896" s="320"/>
      <c r="AS896" s="320"/>
      <c r="AT896" s="320"/>
      <c r="AU896" s="321"/>
    </row>
    <row r="897">
      <c r="A897" s="319"/>
      <c r="B897" s="320"/>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c r="AA897" s="320"/>
      <c r="AB897" s="320"/>
      <c r="AC897" s="320"/>
      <c r="AD897" s="320"/>
      <c r="AE897" s="320"/>
      <c r="AF897" s="320"/>
      <c r="AG897" s="320"/>
      <c r="AH897" s="320"/>
      <c r="AI897" s="320"/>
      <c r="AJ897" s="320"/>
      <c r="AK897" s="320"/>
      <c r="AL897" s="320"/>
      <c r="AM897" s="320"/>
      <c r="AN897" s="320"/>
      <c r="AO897" s="320"/>
      <c r="AP897" s="320"/>
      <c r="AQ897" s="320"/>
      <c r="AR897" s="320"/>
      <c r="AS897" s="320"/>
      <c r="AT897" s="320"/>
      <c r="AU897" s="321"/>
    </row>
    <row r="898">
      <c r="A898" s="319"/>
      <c r="B898" s="320"/>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c r="AA898" s="320"/>
      <c r="AB898" s="320"/>
      <c r="AC898" s="320"/>
      <c r="AD898" s="320"/>
      <c r="AE898" s="320"/>
      <c r="AF898" s="320"/>
      <c r="AG898" s="320"/>
      <c r="AH898" s="320"/>
      <c r="AI898" s="320"/>
      <c r="AJ898" s="320"/>
      <c r="AK898" s="320"/>
      <c r="AL898" s="320"/>
      <c r="AM898" s="320"/>
      <c r="AN898" s="320"/>
      <c r="AO898" s="320"/>
      <c r="AP898" s="320"/>
      <c r="AQ898" s="320"/>
      <c r="AR898" s="320"/>
      <c r="AS898" s="320"/>
      <c r="AT898" s="320"/>
      <c r="AU898" s="321"/>
    </row>
    <row r="899">
      <c r="A899" s="319"/>
      <c r="B899" s="320"/>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c r="AA899" s="320"/>
      <c r="AB899" s="320"/>
      <c r="AC899" s="320"/>
      <c r="AD899" s="320"/>
      <c r="AE899" s="320"/>
      <c r="AF899" s="320"/>
      <c r="AG899" s="320"/>
      <c r="AH899" s="320"/>
      <c r="AI899" s="320"/>
      <c r="AJ899" s="320"/>
      <c r="AK899" s="320"/>
      <c r="AL899" s="320"/>
      <c r="AM899" s="320"/>
      <c r="AN899" s="320"/>
      <c r="AO899" s="320"/>
      <c r="AP899" s="320"/>
      <c r="AQ899" s="320"/>
      <c r="AR899" s="320"/>
      <c r="AS899" s="320"/>
      <c r="AT899" s="320"/>
      <c r="AU899" s="321"/>
    </row>
    <row r="900">
      <c r="A900" s="319"/>
      <c r="B900" s="320"/>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c r="AA900" s="320"/>
      <c r="AB900" s="320"/>
      <c r="AC900" s="320"/>
      <c r="AD900" s="320"/>
      <c r="AE900" s="320"/>
      <c r="AF900" s="320"/>
      <c r="AG900" s="320"/>
      <c r="AH900" s="320"/>
      <c r="AI900" s="320"/>
      <c r="AJ900" s="320"/>
      <c r="AK900" s="320"/>
      <c r="AL900" s="320"/>
      <c r="AM900" s="320"/>
      <c r="AN900" s="320"/>
      <c r="AO900" s="320"/>
      <c r="AP900" s="320"/>
      <c r="AQ900" s="320"/>
      <c r="AR900" s="320"/>
      <c r="AS900" s="320"/>
      <c r="AT900" s="320"/>
      <c r="AU900" s="321"/>
    </row>
    <row r="901">
      <c r="A901" s="319"/>
      <c r="B901" s="320"/>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c r="AA901" s="320"/>
      <c r="AB901" s="320"/>
      <c r="AC901" s="320"/>
      <c r="AD901" s="320"/>
      <c r="AE901" s="320"/>
      <c r="AF901" s="320"/>
      <c r="AG901" s="320"/>
      <c r="AH901" s="320"/>
      <c r="AI901" s="320"/>
      <c r="AJ901" s="320"/>
      <c r="AK901" s="320"/>
      <c r="AL901" s="320"/>
      <c r="AM901" s="320"/>
      <c r="AN901" s="320"/>
      <c r="AO901" s="320"/>
      <c r="AP901" s="320"/>
      <c r="AQ901" s="320"/>
      <c r="AR901" s="320"/>
      <c r="AS901" s="320"/>
      <c r="AT901" s="320"/>
      <c r="AU901" s="321"/>
    </row>
    <row r="902">
      <c r="A902" s="319"/>
      <c r="B902" s="320"/>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c r="AA902" s="320"/>
      <c r="AB902" s="320"/>
      <c r="AC902" s="320"/>
      <c r="AD902" s="320"/>
      <c r="AE902" s="320"/>
      <c r="AF902" s="320"/>
      <c r="AG902" s="320"/>
      <c r="AH902" s="320"/>
      <c r="AI902" s="320"/>
      <c r="AJ902" s="320"/>
      <c r="AK902" s="320"/>
      <c r="AL902" s="320"/>
      <c r="AM902" s="320"/>
      <c r="AN902" s="320"/>
      <c r="AO902" s="320"/>
      <c r="AP902" s="320"/>
      <c r="AQ902" s="320"/>
      <c r="AR902" s="320"/>
      <c r="AS902" s="320"/>
      <c r="AT902" s="320"/>
      <c r="AU902" s="321"/>
    </row>
    <row r="903">
      <c r="A903" s="319"/>
      <c r="B903" s="320"/>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c r="AA903" s="320"/>
      <c r="AB903" s="320"/>
      <c r="AC903" s="320"/>
      <c r="AD903" s="320"/>
      <c r="AE903" s="320"/>
      <c r="AF903" s="320"/>
      <c r="AG903" s="320"/>
      <c r="AH903" s="320"/>
      <c r="AI903" s="320"/>
      <c r="AJ903" s="320"/>
      <c r="AK903" s="320"/>
      <c r="AL903" s="320"/>
      <c r="AM903" s="320"/>
      <c r="AN903" s="320"/>
      <c r="AO903" s="320"/>
      <c r="AP903" s="320"/>
      <c r="AQ903" s="320"/>
      <c r="AR903" s="320"/>
      <c r="AS903" s="320"/>
      <c r="AT903" s="320"/>
      <c r="AU903" s="321"/>
    </row>
    <row r="904">
      <c r="A904" s="319"/>
      <c r="B904" s="320"/>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c r="AA904" s="320"/>
      <c r="AB904" s="320"/>
      <c r="AC904" s="320"/>
      <c r="AD904" s="320"/>
      <c r="AE904" s="320"/>
      <c r="AF904" s="320"/>
      <c r="AG904" s="320"/>
      <c r="AH904" s="320"/>
      <c r="AI904" s="320"/>
      <c r="AJ904" s="320"/>
      <c r="AK904" s="320"/>
      <c r="AL904" s="320"/>
      <c r="AM904" s="320"/>
      <c r="AN904" s="320"/>
      <c r="AO904" s="320"/>
      <c r="AP904" s="320"/>
      <c r="AQ904" s="320"/>
      <c r="AR904" s="320"/>
      <c r="AS904" s="320"/>
      <c r="AT904" s="320"/>
      <c r="AU904" s="321"/>
    </row>
    <row r="905">
      <c r="A905" s="319"/>
      <c r="B905" s="320"/>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c r="AA905" s="320"/>
      <c r="AB905" s="320"/>
      <c r="AC905" s="320"/>
      <c r="AD905" s="320"/>
      <c r="AE905" s="320"/>
      <c r="AF905" s="320"/>
      <c r="AG905" s="320"/>
      <c r="AH905" s="320"/>
      <c r="AI905" s="320"/>
      <c r="AJ905" s="320"/>
      <c r="AK905" s="320"/>
      <c r="AL905" s="320"/>
      <c r="AM905" s="320"/>
      <c r="AN905" s="320"/>
      <c r="AO905" s="320"/>
      <c r="AP905" s="320"/>
      <c r="AQ905" s="320"/>
      <c r="AR905" s="320"/>
      <c r="AS905" s="320"/>
      <c r="AT905" s="320"/>
      <c r="AU905" s="321"/>
    </row>
    <row r="906">
      <c r="A906" s="319"/>
      <c r="B906" s="320"/>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c r="AA906" s="320"/>
      <c r="AB906" s="320"/>
      <c r="AC906" s="320"/>
      <c r="AD906" s="320"/>
      <c r="AE906" s="320"/>
      <c r="AF906" s="320"/>
      <c r="AG906" s="320"/>
      <c r="AH906" s="320"/>
      <c r="AI906" s="320"/>
      <c r="AJ906" s="320"/>
      <c r="AK906" s="320"/>
      <c r="AL906" s="320"/>
      <c r="AM906" s="320"/>
      <c r="AN906" s="320"/>
      <c r="AO906" s="320"/>
      <c r="AP906" s="320"/>
      <c r="AQ906" s="320"/>
      <c r="AR906" s="320"/>
      <c r="AS906" s="320"/>
      <c r="AT906" s="320"/>
      <c r="AU906" s="321"/>
    </row>
    <row r="907">
      <c r="A907" s="319"/>
      <c r="B907" s="320"/>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c r="AA907" s="320"/>
      <c r="AB907" s="320"/>
      <c r="AC907" s="320"/>
      <c r="AD907" s="320"/>
      <c r="AE907" s="320"/>
      <c r="AF907" s="320"/>
      <c r="AG907" s="320"/>
      <c r="AH907" s="320"/>
      <c r="AI907" s="320"/>
      <c r="AJ907" s="320"/>
      <c r="AK907" s="320"/>
      <c r="AL907" s="320"/>
      <c r="AM907" s="320"/>
      <c r="AN907" s="320"/>
      <c r="AO907" s="320"/>
      <c r="AP907" s="320"/>
      <c r="AQ907" s="320"/>
      <c r="AR907" s="320"/>
      <c r="AS907" s="320"/>
      <c r="AT907" s="320"/>
      <c r="AU907" s="321"/>
    </row>
    <row r="908">
      <c r="A908" s="319"/>
      <c r="B908" s="320"/>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c r="AA908" s="320"/>
      <c r="AB908" s="320"/>
      <c r="AC908" s="320"/>
      <c r="AD908" s="320"/>
      <c r="AE908" s="320"/>
      <c r="AF908" s="320"/>
      <c r="AG908" s="320"/>
      <c r="AH908" s="320"/>
      <c r="AI908" s="320"/>
      <c r="AJ908" s="320"/>
      <c r="AK908" s="320"/>
      <c r="AL908" s="320"/>
      <c r="AM908" s="320"/>
      <c r="AN908" s="320"/>
      <c r="AO908" s="320"/>
      <c r="AP908" s="320"/>
      <c r="AQ908" s="320"/>
      <c r="AR908" s="320"/>
      <c r="AS908" s="320"/>
      <c r="AT908" s="320"/>
      <c r="AU908" s="321"/>
    </row>
    <row r="909">
      <c r="A909" s="319"/>
      <c r="B909" s="320"/>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c r="AA909" s="320"/>
      <c r="AB909" s="320"/>
      <c r="AC909" s="320"/>
      <c r="AD909" s="320"/>
      <c r="AE909" s="320"/>
      <c r="AF909" s="320"/>
      <c r="AG909" s="320"/>
      <c r="AH909" s="320"/>
      <c r="AI909" s="320"/>
      <c r="AJ909" s="320"/>
      <c r="AK909" s="320"/>
      <c r="AL909" s="320"/>
      <c r="AM909" s="320"/>
      <c r="AN909" s="320"/>
      <c r="AO909" s="320"/>
      <c r="AP909" s="320"/>
      <c r="AQ909" s="320"/>
      <c r="AR909" s="320"/>
      <c r="AS909" s="320"/>
      <c r="AT909" s="320"/>
      <c r="AU909" s="321"/>
    </row>
    <row r="910">
      <c r="A910" s="319"/>
      <c r="B910" s="320"/>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c r="AA910" s="320"/>
      <c r="AB910" s="320"/>
      <c r="AC910" s="320"/>
      <c r="AD910" s="320"/>
      <c r="AE910" s="320"/>
      <c r="AF910" s="320"/>
      <c r="AG910" s="320"/>
      <c r="AH910" s="320"/>
      <c r="AI910" s="320"/>
      <c r="AJ910" s="320"/>
      <c r="AK910" s="320"/>
      <c r="AL910" s="320"/>
      <c r="AM910" s="320"/>
      <c r="AN910" s="320"/>
      <c r="AO910" s="320"/>
      <c r="AP910" s="320"/>
      <c r="AQ910" s="320"/>
      <c r="AR910" s="320"/>
      <c r="AS910" s="320"/>
      <c r="AT910" s="320"/>
      <c r="AU910" s="321"/>
    </row>
    <row r="911">
      <c r="A911" s="319"/>
      <c r="B911" s="320"/>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c r="AA911" s="320"/>
      <c r="AB911" s="320"/>
      <c r="AC911" s="320"/>
      <c r="AD911" s="320"/>
      <c r="AE911" s="320"/>
      <c r="AF911" s="320"/>
      <c r="AG911" s="320"/>
      <c r="AH911" s="320"/>
      <c r="AI911" s="320"/>
      <c r="AJ911" s="320"/>
      <c r="AK911" s="320"/>
      <c r="AL911" s="320"/>
      <c r="AM911" s="320"/>
      <c r="AN911" s="320"/>
      <c r="AO911" s="320"/>
      <c r="AP911" s="320"/>
      <c r="AQ911" s="320"/>
      <c r="AR911" s="320"/>
      <c r="AS911" s="320"/>
      <c r="AT911" s="320"/>
      <c r="AU911" s="321"/>
    </row>
    <row r="912">
      <c r="A912" s="319"/>
      <c r="B912" s="320"/>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c r="AA912" s="320"/>
      <c r="AB912" s="320"/>
      <c r="AC912" s="320"/>
      <c r="AD912" s="320"/>
      <c r="AE912" s="320"/>
      <c r="AF912" s="320"/>
      <c r="AG912" s="320"/>
      <c r="AH912" s="320"/>
      <c r="AI912" s="320"/>
      <c r="AJ912" s="320"/>
      <c r="AK912" s="320"/>
      <c r="AL912" s="320"/>
      <c r="AM912" s="320"/>
      <c r="AN912" s="320"/>
      <c r="AO912" s="320"/>
      <c r="AP912" s="320"/>
      <c r="AQ912" s="320"/>
      <c r="AR912" s="320"/>
      <c r="AS912" s="320"/>
      <c r="AT912" s="320"/>
      <c r="AU912" s="321"/>
    </row>
    <row r="913">
      <c r="A913" s="319"/>
      <c r="B913" s="320"/>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c r="AA913" s="320"/>
      <c r="AB913" s="320"/>
      <c r="AC913" s="320"/>
      <c r="AD913" s="320"/>
      <c r="AE913" s="320"/>
      <c r="AF913" s="320"/>
      <c r="AG913" s="320"/>
      <c r="AH913" s="320"/>
      <c r="AI913" s="320"/>
      <c r="AJ913" s="320"/>
      <c r="AK913" s="320"/>
      <c r="AL913" s="320"/>
      <c r="AM913" s="320"/>
      <c r="AN913" s="320"/>
      <c r="AO913" s="320"/>
      <c r="AP913" s="320"/>
      <c r="AQ913" s="320"/>
      <c r="AR913" s="320"/>
      <c r="AS913" s="320"/>
      <c r="AT913" s="320"/>
      <c r="AU913" s="321"/>
    </row>
    <row r="914">
      <c r="A914" s="319"/>
      <c r="B914" s="320"/>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c r="AA914" s="320"/>
      <c r="AB914" s="320"/>
      <c r="AC914" s="320"/>
      <c r="AD914" s="320"/>
      <c r="AE914" s="320"/>
      <c r="AF914" s="320"/>
      <c r="AG914" s="320"/>
      <c r="AH914" s="320"/>
      <c r="AI914" s="320"/>
      <c r="AJ914" s="320"/>
      <c r="AK914" s="320"/>
      <c r="AL914" s="320"/>
      <c r="AM914" s="320"/>
      <c r="AN914" s="320"/>
      <c r="AO914" s="320"/>
      <c r="AP914" s="320"/>
      <c r="AQ914" s="320"/>
      <c r="AR914" s="320"/>
      <c r="AS914" s="320"/>
      <c r="AT914" s="320"/>
      <c r="AU914" s="321"/>
    </row>
    <row r="915">
      <c r="A915" s="319"/>
      <c r="B915" s="320"/>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c r="AA915" s="320"/>
      <c r="AB915" s="320"/>
      <c r="AC915" s="320"/>
      <c r="AD915" s="320"/>
      <c r="AE915" s="320"/>
      <c r="AF915" s="320"/>
      <c r="AG915" s="320"/>
      <c r="AH915" s="320"/>
      <c r="AI915" s="320"/>
      <c r="AJ915" s="320"/>
      <c r="AK915" s="320"/>
      <c r="AL915" s="320"/>
      <c r="AM915" s="320"/>
      <c r="AN915" s="320"/>
      <c r="AO915" s="320"/>
      <c r="AP915" s="320"/>
      <c r="AQ915" s="320"/>
      <c r="AR915" s="320"/>
      <c r="AS915" s="320"/>
      <c r="AT915" s="320"/>
      <c r="AU915" s="321"/>
    </row>
    <row r="916">
      <c r="A916" s="319"/>
      <c r="B916" s="320"/>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c r="AA916" s="320"/>
      <c r="AB916" s="320"/>
      <c r="AC916" s="320"/>
      <c r="AD916" s="320"/>
      <c r="AE916" s="320"/>
      <c r="AF916" s="320"/>
      <c r="AG916" s="320"/>
      <c r="AH916" s="320"/>
      <c r="AI916" s="320"/>
      <c r="AJ916" s="320"/>
      <c r="AK916" s="320"/>
      <c r="AL916" s="320"/>
      <c r="AM916" s="320"/>
      <c r="AN916" s="320"/>
      <c r="AO916" s="320"/>
      <c r="AP916" s="320"/>
      <c r="AQ916" s="320"/>
      <c r="AR916" s="320"/>
      <c r="AS916" s="320"/>
      <c r="AT916" s="320"/>
      <c r="AU916" s="321"/>
    </row>
    <row r="917">
      <c r="A917" s="319"/>
      <c r="B917" s="320"/>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c r="AA917" s="320"/>
      <c r="AB917" s="320"/>
      <c r="AC917" s="320"/>
      <c r="AD917" s="320"/>
      <c r="AE917" s="320"/>
      <c r="AF917" s="320"/>
      <c r="AG917" s="320"/>
      <c r="AH917" s="320"/>
      <c r="AI917" s="320"/>
      <c r="AJ917" s="320"/>
      <c r="AK917" s="320"/>
      <c r="AL917" s="320"/>
      <c r="AM917" s="320"/>
      <c r="AN917" s="320"/>
      <c r="AO917" s="320"/>
      <c r="AP917" s="320"/>
      <c r="AQ917" s="320"/>
      <c r="AR917" s="320"/>
      <c r="AS917" s="320"/>
      <c r="AT917" s="320"/>
      <c r="AU917" s="321"/>
    </row>
    <row r="918">
      <c r="A918" s="319"/>
      <c r="B918" s="320"/>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c r="AA918" s="320"/>
      <c r="AB918" s="320"/>
      <c r="AC918" s="320"/>
      <c r="AD918" s="320"/>
      <c r="AE918" s="320"/>
      <c r="AF918" s="320"/>
      <c r="AG918" s="320"/>
      <c r="AH918" s="320"/>
      <c r="AI918" s="320"/>
      <c r="AJ918" s="320"/>
      <c r="AK918" s="320"/>
      <c r="AL918" s="320"/>
      <c r="AM918" s="320"/>
      <c r="AN918" s="320"/>
      <c r="AO918" s="320"/>
      <c r="AP918" s="320"/>
      <c r="AQ918" s="320"/>
      <c r="AR918" s="320"/>
      <c r="AS918" s="320"/>
      <c r="AT918" s="320"/>
      <c r="AU918" s="321"/>
    </row>
    <row r="919">
      <c r="A919" s="319"/>
      <c r="B919" s="320"/>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c r="AA919" s="320"/>
      <c r="AB919" s="320"/>
      <c r="AC919" s="320"/>
      <c r="AD919" s="320"/>
      <c r="AE919" s="320"/>
      <c r="AF919" s="320"/>
      <c r="AG919" s="320"/>
      <c r="AH919" s="320"/>
      <c r="AI919" s="320"/>
      <c r="AJ919" s="320"/>
      <c r="AK919" s="320"/>
      <c r="AL919" s="320"/>
      <c r="AM919" s="320"/>
      <c r="AN919" s="320"/>
      <c r="AO919" s="320"/>
      <c r="AP919" s="320"/>
      <c r="AQ919" s="320"/>
      <c r="AR919" s="320"/>
      <c r="AS919" s="320"/>
      <c r="AT919" s="320"/>
      <c r="AU919" s="321"/>
    </row>
    <row r="920">
      <c r="A920" s="319"/>
      <c r="B920" s="320"/>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c r="AA920" s="320"/>
      <c r="AB920" s="320"/>
      <c r="AC920" s="320"/>
      <c r="AD920" s="320"/>
      <c r="AE920" s="320"/>
      <c r="AF920" s="320"/>
      <c r="AG920" s="320"/>
      <c r="AH920" s="320"/>
      <c r="AI920" s="320"/>
      <c r="AJ920" s="320"/>
      <c r="AK920" s="320"/>
      <c r="AL920" s="320"/>
      <c r="AM920" s="320"/>
      <c r="AN920" s="320"/>
      <c r="AO920" s="320"/>
      <c r="AP920" s="320"/>
      <c r="AQ920" s="320"/>
      <c r="AR920" s="320"/>
      <c r="AS920" s="320"/>
      <c r="AT920" s="320"/>
      <c r="AU920" s="321"/>
    </row>
    <row r="921">
      <c r="A921" s="319"/>
      <c r="B921" s="320"/>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c r="AA921" s="320"/>
      <c r="AB921" s="320"/>
      <c r="AC921" s="320"/>
      <c r="AD921" s="320"/>
      <c r="AE921" s="320"/>
      <c r="AF921" s="320"/>
      <c r="AG921" s="320"/>
      <c r="AH921" s="320"/>
      <c r="AI921" s="320"/>
      <c r="AJ921" s="320"/>
      <c r="AK921" s="320"/>
      <c r="AL921" s="320"/>
      <c r="AM921" s="320"/>
      <c r="AN921" s="320"/>
      <c r="AO921" s="320"/>
      <c r="AP921" s="320"/>
      <c r="AQ921" s="320"/>
      <c r="AR921" s="320"/>
      <c r="AS921" s="320"/>
      <c r="AT921" s="320"/>
      <c r="AU921" s="321"/>
    </row>
    <row r="922">
      <c r="A922" s="319"/>
      <c r="B922" s="320"/>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c r="AA922" s="320"/>
      <c r="AB922" s="320"/>
      <c r="AC922" s="320"/>
      <c r="AD922" s="320"/>
      <c r="AE922" s="320"/>
      <c r="AF922" s="320"/>
      <c r="AG922" s="320"/>
      <c r="AH922" s="320"/>
      <c r="AI922" s="320"/>
      <c r="AJ922" s="320"/>
      <c r="AK922" s="320"/>
      <c r="AL922" s="320"/>
      <c r="AM922" s="320"/>
      <c r="AN922" s="320"/>
      <c r="AO922" s="320"/>
      <c r="AP922" s="320"/>
      <c r="AQ922" s="320"/>
      <c r="AR922" s="320"/>
      <c r="AS922" s="320"/>
      <c r="AT922" s="320"/>
      <c r="AU922" s="321"/>
    </row>
    <row r="923">
      <c r="A923" s="319"/>
      <c r="B923" s="320"/>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c r="AA923" s="320"/>
      <c r="AB923" s="320"/>
      <c r="AC923" s="320"/>
      <c r="AD923" s="320"/>
      <c r="AE923" s="320"/>
      <c r="AF923" s="320"/>
      <c r="AG923" s="320"/>
      <c r="AH923" s="320"/>
      <c r="AI923" s="320"/>
      <c r="AJ923" s="320"/>
      <c r="AK923" s="320"/>
      <c r="AL923" s="320"/>
      <c r="AM923" s="320"/>
      <c r="AN923" s="320"/>
      <c r="AO923" s="320"/>
      <c r="AP923" s="320"/>
      <c r="AQ923" s="320"/>
      <c r="AR923" s="320"/>
      <c r="AS923" s="320"/>
      <c r="AT923" s="320"/>
      <c r="AU923" s="321"/>
    </row>
    <row r="924">
      <c r="A924" s="319"/>
      <c r="B924" s="320"/>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c r="AA924" s="320"/>
      <c r="AB924" s="320"/>
      <c r="AC924" s="320"/>
      <c r="AD924" s="320"/>
      <c r="AE924" s="320"/>
      <c r="AF924" s="320"/>
      <c r="AG924" s="320"/>
      <c r="AH924" s="320"/>
      <c r="AI924" s="320"/>
      <c r="AJ924" s="320"/>
      <c r="AK924" s="320"/>
      <c r="AL924" s="320"/>
      <c r="AM924" s="320"/>
      <c r="AN924" s="320"/>
      <c r="AO924" s="320"/>
      <c r="AP924" s="320"/>
      <c r="AQ924" s="320"/>
      <c r="AR924" s="320"/>
      <c r="AS924" s="320"/>
      <c r="AT924" s="320"/>
      <c r="AU924" s="321"/>
    </row>
    <row r="925">
      <c r="A925" s="319"/>
      <c r="B925" s="320"/>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c r="AA925" s="320"/>
      <c r="AB925" s="320"/>
      <c r="AC925" s="320"/>
      <c r="AD925" s="320"/>
      <c r="AE925" s="320"/>
      <c r="AF925" s="320"/>
      <c r="AG925" s="320"/>
      <c r="AH925" s="320"/>
      <c r="AI925" s="320"/>
      <c r="AJ925" s="320"/>
      <c r="AK925" s="320"/>
      <c r="AL925" s="320"/>
      <c r="AM925" s="320"/>
      <c r="AN925" s="320"/>
      <c r="AO925" s="320"/>
      <c r="AP925" s="320"/>
      <c r="AQ925" s="320"/>
      <c r="AR925" s="320"/>
      <c r="AS925" s="320"/>
      <c r="AT925" s="320"/>
      <c r="AU925" s="321"/>
    </row>
    <row r="926">
      <c r="A926" s="319"/>
      <c r="B926" s="320"/>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c r="AA926" s="320"/>
      <c r="AB926" s="320"/>
      <c r="AC926" s="320"/>
      <c r="AD926" s="320"/>
      <c r="AE926" s="320"/>
      <c r="AF926" s="320"/>
      <c r="AG926" s="320"/>
      <c r="AH926" s="320"/>
      <c r="AI926" s="320"/>
      <c r="AJ926" s="320"/>
      <c r="AK926" s="320"/>
      <c r="AL926" s="320"/>
      <c r="AM926" s="320"/>
      <c r="AN926" s="320"/>
      <c r="AO926" s="320"/>
      <c r="AP926" s="320"/>
      <c r="AQ926" s="320"/>
      <c r="AR926" s="320"/>
      <c r="AS926" s="320"/>
      <c r="AT926" s="320"/>
      <c r="AU926" s="321"/>
    </row>
    <row r="927">
      <c r="A927" s="319"/>
      <c r="B927" s="320"/>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c r="AA927" s="320"/>
      <c r="AB927" s="320"/>
      <c r="AC927" s="320"/>
      <c r="AD927" s="320"/>
      <c r="AE927" s="320"/>
      <c r="AF927" s="320"/>
      <c r="AG927" s="320"/>
      <c r="AH927" s="320"/>
      <c r="AI927" s="320"/>
      <c r="AJ927" s="320"/>
      <c r="AK927" s="320"/>
      <c r="AL927" s="320"/>
      <c r="AM927" s="320"/>
      <c r="AN927" s="320"/>
      <c r="AO927" s="320"/>
      <c r="AP927" s="320"/>
      <c r="AQ927" s="320"/>
      <c r="AR927" s="320"/>
      <c r="AS927" s="320"/>
      <c r="AT927" s="320"/>
      <c r="AU927" s="321"/>
    </row>
    <row r="928">
      <c r="A928" s="319"/>
      <c r="B928" s="320"/>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c r="AA928" s="320"/>
      <c r="AB928" s="320"/>
      <c r="AC928" s="320"/>
      <c r="AD928" s="320"/>
      <c r="AE928" s="320"/>
      <c r="AF928" s="320"/>
      <c r="AG928" s="320"/>
      <c r="AH928" s="320"/>
      <c r="AI928" s="320"/>
      <c r="AJ928" s="320"/>
      <c r="AK928" s="320"/>
      <c r="AL928" s="320"/>
      <c r="AM928" s="320"/>
      <c r="AN928" s="320"/>
      <c r="AO928" s="320"/>
      <c r="AP928" s="320"/>
      <c r="AQ928" s="320"/>
      <c r="AR928" s="320"/>
      <c r="AS928" s="320"/>
      <c r="AT928" s="320"/>
      <c r="AU928" s="321"/>
    </row>
    <row r="929">
      <c r="A929" s="319"/>
      <c r="B929" s="320"/>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c r="AA929" s="320"/>
      <c r="AB929" s="320"/>
      <c r="AC929" s="320"/>
      <c r="AD929" s="320"/>
      <c r="AE929" s="320"/>
      <c r="AF929" s="320"/>
      <c r="AG929" s="320"/>
      <c r="AH929" s="320"/>
      <c r="AI929" s="320"/>
      <c r="AJ929" s="320"/>
      <c r="AK929" s="320"/>
      <c r="AL929" s="320"/>
      <c r="AM929" s="320"/>
      <c r="AN929" s="320"/>
      <c r="AO929" s="320"/>
      <c r="AP929" s="320"/>
      <c r="AQ929" s="320"/>
      <c r="AR929" s="320"/>
      <c r="AS929" s="320"/>
      <c r="AT929" s="320"/>
      <c r="AU929" s="321"/>
    </row>
    <row r="930">
      <c r="A930" s="319"/>
      <c r="B930" s="320"/>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c r="AA930" s="320"/>
      <c r="AB930" s="320"/>
      <c r="AC930" s="320"/>
      <c r="AD930" s="320"/>
      <c r="AE930" s="320"/>
      <c r="AF930" s="320"/>
      <c r="AG930" s="320"/>
      <c r="AH930" s="320"/>
      <c r="AI930" s="320"/>
      <c r="AJ930" s="320"/>
      <c r="AK930" s="320"/>
      <c r="AL930" s="320"/>
      <c r="AM930" s="320"/>
      <c r="AN930" s="320"/>
      <c r="AO930" s="320"/>
      <c r="AP930" s="320"/>
      <c r="AQ930" s="320"/>
      <c r="AR930" s="320"/>
      <c r="AS930" s="320"/>
      <c r="AT930" s="320"/>
      <c r="AU930" s="321"/>
    </row>
    <row r="931">
      <c r="A931" s="319"/>
      <c r="B931" s="320"/>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c r="AA931" s="320"/>
      <c r="AB931" s="320"/>
      <c r="AC931" s="320"/>
      <c r="AD931" s="320"/>
      <c r="AE931" s="320"/>
      <c r="AF931" s="320"/>
      <c r="AG931" s="320"/>
      <c r="AH931" s="320"/>
      <c r="AI931" s="320"/>
      <c r="AJ931" s="320"/>
      <c r="AK931" s="320"/>
      <c r="AL931" s="320"/>
      <c r="AM931" s="320"/>
      <c r="AN931" s="320"/>
      <c r="AO931" s="320"/>
      <c r="AP931" s="320"/>
      <c r="AQ931" s="320"/>
      <c r="AR931" s="320"/>
      <c r="AS931" s="320"/>
      <c r="AT931" s="320"/>
      <c r="AU931" s="321"/>
    </row>
    <row r="932">
      <c r="A932" s="319"/>
      <c r="B932" s="320"/>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c r="AA932" s="320"/>
      <c r="AB932" s="320"/>
      <c r="AC932" s="320"/>
      <c r="AD932" s="320"/>
      <c r="AE932" s="320"/>
      <c r="AF932" s="320"/>
      <c r="AG932" s="320"/>
      <c r="AH932" s="320"/>
      <c r="AI932" s="320"/>
      <c r="AJ932" s="320"/>
      <c r="AK932" s="320"/>
      <c r="AL932" s="320"/>
      <c r="AM932" s="320"/>
      <c r="AN932" s="320"/>
      <c r="AO932" s="320"/>
      <c r="AP932" s="320"/>
      <c r="AQ932" s="320"/>
      <c r="AR932" s="320"/>
      <c r="AS932" s="320"/>
      <c r="AT932" s="320"/>
      <c r="AU932" s="321"/>
    </row>
    <row r="933">
      <c r="A933" s="319"/>
      <c r="B933" s="320"/>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c r="AA933" s="320"/>
      <c r="AB933" s="320"/>
      <c r="AC933" s="320"/>
      <c r="AD933" s="320"/>
      <c r="AE933" s="320"/>
      <c r="AF933" s="320"/>
      <c r="AG933" s="320"/>
      <c r="AH933" s="320"/>
      <c r="AI933" s="320"/>
      <c r="AJ933" s="320"/>
      <c r="AK933" s="320"/>
      <c r="AL933" s="320"/>
      <c r="AM933" s="320"/>
      <c r="AN933" s="320"/>
      <c r="AO933" s="320"/>
      <c r="AP933" s="320"/>
      <c r="AQ933" s="320"/>
      <c r="AR933" s="320"/>
      <c r="AS933" s="320"/>
      <c r="AT933" s="320"/>
      <c r="AU933" s="321"/>
    </row>
    <row r="934">
      <c r="A934" s="319"/>
      <c r="B934" s="320"/>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c r="AA934" s="320"/>
      <c r="AB934" s="320"/>
      <c r="AC934" s="320"/>
      <c r="AD934" s="320"/>
      <c r="AE934" s="320"/>
      <c r="AF934" s="320"/>
      <c r="AG934" s="320"/>
      <c r="AH934" s="320"/>
      <c r="AI934" s="320"/>
      <c r="AJ934" s="320"/>
      <c r="AK934" s="320"/>
      <c r="AL934" s="320"/>
      <c r="AM934" s="320"/>
      <c r="AN934" s="320"/>
      <c r="AO934" s="320"/>
      <c r="AP934" s="320"/>
      <c r="AQ934" s="320"/>
      <c r="AR934" s="320"/>
      <c r="AS934" s="320"/>
      <c r="AT934" s="320"/>
      <c r="AU934" s="321"/>
    </row>
    <row r="935">
      <c r="A935" s="319"/>
      <c r="B935" s="320"/>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c r="AA935" s="320"/>
      <c r="AB935" s="320"/>
      <c r="AC935" s="320"/>
      <c r="AD935" s="320"/>
      <c r="AE935" s="320"/>
      <c r="AF935" s="320"/>
      <c r="AG935" s="320"/>
      <c r="AH935" s="320"/>
      <c r="AI935" s="320"/>
      <c r="AJ935" s="320"/>
      <c r="AK935" s="320"/>
      <c r="AL935" s="320"/>
      <c r="AM935" s="320"/>
      <c r="AN935" s="320"/>
      <c r="AO935" s="320"/>
      <c r="AP935" s="320"/>
      <c r="AQ935" s="320"/>
      <c r="AR935" s="320"/>
      <c r="AS935" s="320"/>
      <c r="AT935" s="320"/>
      <c r="AU935" s="321"/>
    </row>
    <row r="936">
      <c r="A936" s="319"/>
      <c r="B936" s="320"/>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c r="AA936" s="320"/>
      <c r="AB936" s="320"/>
      <c r="AC936" s="320"/>
      <c r="AD936" s="320"/>
      <c r="AE936" s="320"/>
      <c r="AF936" s="320"/>
      <c r="AG936" s="320"/>
      <c r="AH936" s="320"/>
      <c r="AI936" s="320"/>
      <c r="AJ936" s="320"/>
      <c r="AK936" s="320"/>
      <c r="AL936" s="320"/>
      <c r="AM936" s="320"/>
      <c r="AN936" s="320"/>
      <c r="AO936" s="320"/>
      <c r="AP936" s="320"/>
      <c r="AQ936" s="320"/>
      <c r="AR936" s="320"/>
      <c r="AS936" s="320"/>
      <c r="AT936" s="320"/>
      <c r="AU936" s="321"/>
    </row>
    <row r="937">
      <c r="A937" s="319"/>
      <c r="B937" s="320"/>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c r="AA937" s="320"/>
      <c r="AB937" s="320"/>
      <c r="AC937" s="320"/>
      <c r="AD937" s="320"/>
      <c r="AE937" s="320"/>
      <c r="AF937" s="320"/>
      <c r="AG937" s="320"/>
      <c r="AH937" s="320"/>
      <c r="AI937" s="320"/>
      <c r="AJ937" s="320"/>
      <c r="AK937" s="320"/>
      <c r="AL937" s="320"/>
      <c r="AM937" s="320"/>
      <c r="AN937" s="320"/>
      <c r="AO937" s="320"/>
      <c r="AP937" s="320"/>
      <c r="AQ937" s="320"/>
      <c r="AR937" s="320"/>
      <c r="AS937" s="320"/>
      <c r="AT937" s="320"/>
      <c r="AU937" s="321"/>
    </row>
    <row r="938">
      <c r="A938" s="319"/>
      <c r="B938" s="320"/>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c r="AA938" s="320"/>
      <c r="AB938" s="320"/>
      <c r="AC938" s="320"/>
      <c r="AD938" s="320"/>
      <c r="AE938" s="320"/>
      <c r="AF938" s="320"/>
      <c r="AG938" s="320"/>
      <c r="AH938" s="320"/>
      <c r="AI938" s="320"/>
      <c r="AJ938" s="320"/>
      <c r="AK938" s="320"/>
      <c r="AL938" s="320"/>
      <c r="AM938" s="320"/>
      <c r="AN938" s="320"/>
      <c r="AO938" s="320"/>
      <c r="AP938" s="320"/>
      <c r="AQ938" s="320"/>
      <c r="AR938" s="320"/>
      <c r="AS938" s="320"/>
      <c r="AT938" s="320"/>
      <c r="AU938" s="321"/>
    </row>
    <row r="939">
      <c r="A939" s="319"/>
      <c r="B939" s="320"/>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c r="AA939" s="320"/>
      <c r="AB939" s="320"/>
      <c r="AC939" s="320"/>
      <c r="AD939" s="320"/>
      <c r="AE939" s="320"/>
      <c r="AF939" s="320"/>
      <c r="AG939" s="320"/>
      <c r="AH939" s="320"/>
      <c r="AI939" s="320"/>
      <c r="AJ939" s="320"/>
      <c r="AK939" s="320"/>
      <c r="AL939" s="320"/>
      <c r="AM939" s="320"/>
      <c r="AN939" s="320"/>
      <c r="AO939" s="320"/>
      <c r="AP939" s="320"/>
      <c r="AQ939" s="320"/>
      <c r="AR939" s="320"/>
      <c r="AS939" s="320"/>
      <c r="AT939" s="320"/>
      <c r="AU939" s="321"/>
    </row>
    <row r="940">
      <c r="A940" s="319"/>
      <c r="B940" s="320"/>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c r="AA940" s="320"/>
      <c r="AB940" s="320"/>
      <c r="AC940" s="320"/>
      <c r="AD940" s="320"/>
      <c r="AE940" s="320"/>
      <c r="AF940" s="320"/>
      <c r="AG940" s="320"/>
      <c r="AH940" s="320"/>
      <c r="AI940" s="320"/>
      <c r="AJ940" s="320"/>
      <c r="AK940" s="320"/>
      <c r="AL940" s="320"/>
      <c r="AM940" s="320"/>
      <c r="AN940" s="320"/>
      <c r="AO940" s="320"/>
      <c r="AP940" s="320"/>
      <c r="AQ940" s="320"/>
      <c r="AR940" s="320"/>
      <c r="AS940" s="320"/>
      <c r="AT940" s="320"/>
      <c r="AU940" s="321"/>
    </row>
    <row r="941">
      <c r="A941" s="319"/>
      <c r="B941" s="320"/>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c r="AA941" s="320"/>
      <c r="AB941" s="320"/>
      <c r="AC941" s="320"/>
      <c r="AD941" s="320"/>
      <c r="AE941" s="320"/>
      <c r="AF941" s="320"/>
      <c r="AG941" s="320"/>
      <c r="AH941" s="320"/>
      <c r="AI941" s="320"/>
      <c r="AJ941" s="320"/>
      <c r="AK941" s="320"/>
      <c r="AL941" s="320"/>
      <c r="AM941" s="320"/>
      <c r="AN941" s="320"/>
      <c r="AO941" s="320"/>
      <c r="AP941" s="320"/>
      <c r="AQ941" s="320"/>
      <c r="AR941" s="320"/>
      <c r="AS941" s="320"/>
      <c r="AT941" s="320"/>
      <c r="AU941" s="321"/>
    </row>
    <row r="942">
      <c r="A942" s="319"/>
      <c r="B942" s="320"/>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c r="AA942" s="320"/>
      <c r="AB942" s="320"/>
      <c r="AC942" s="320"/>
      <c r="AD942" s="320"/>
      <c r="AE942" s="320"/>
      <c r="AF942" s="320"/>
      <c r="AG942" s="320"/>
      <c r="AH942" s="320"/>
      <c r="AI942" s="320"/>
      <c r="AJ942" s="320"/>
      <c r="AK942" s="320"/>
      <c r="AL942" s="320"/>
      <c r="AM942" s="320"/>
      <c r="AN942" s="320"/>
      <c r="AO942" s="320"/>
      <c r="AP942" s="320"/>
      <c r="AQ942" s="320"/>
      <c r="AR942" s="320"/>
      <c r="AS942" s="320"/>
      <c r="AT942" s="320"/>
      <c r="AU942" s="321"/>
    </row>
    <row r="943">
      <c r="A943" s="319"/>
      <c r="B943" s="320"/>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c r="AA943" s="320"/>
      <c r="AB943" s="320"/>
      <c r="AC943" s="320"/>
      <c r="AD943" s="320"/>
      <c r="AE943" s="320"/>
      <c r="AF943" s="320"/>
      <c r="AG943" s="320"/>
      <c r="AH943" s="320"/>
      <c r="AI943" s="320"/>
      <c r="AJ943" s="320"/>
      <c r="AK943" s="320"/>
      <c r="AL943" s="320"/>
      <c r="AM943" s="320"/>
      <c r="AN943" s="320"/>
      <c r="AO943" s="320"/>
      <c r="AP943" s="320"/>
      <c r="AQ943" s="320"/>
      <c r="AR943" s="320"/>
      <c r="AS943" s="320"/>
      <c r="AT943" s="320"/>
      <c r="AU943" s="321"/>
    </row>
    <row r="944">
      <c r="A944" s="319"/>
      <c r="B944" s="320"/>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c r="AA944" s="320"/>
      <c r="AB944" s="320"/>
      <c r="AC944" s="320"/>
      <c r="AD944" s="320"/>
      <c r="AE944" s="320"/>
      <c r="AF944" s="320"/>
      <c r="AG944" s="320"/>
      <c r="AH944" s="320"/>
      <c r="AI944" s="320"/>
      <c r="AJ944" s="320"/>
      <c r="AK944" s="320"/>
      <c r="AL944" s="320"/>
      <c r="AM944" s="320"/>
      <c r="AN944" s="320"/>
      <c r="AO944" s="320"/>
      <c r="AP944" s="320"/>
      <c r="AQ944" s="320"/>
      <c r="AR944" s="320"/>
      <c r="AS944" s="320"/>
      <c r="AT944" s="320"/>
      <c r="AU944" s="321"/>
    </row>
    <row r="945">
      <c r="A945" s="319"/>
      <c r="B945" s="320"/>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c r="AA945" s="320"/>
      <c r="AB945" s="320"/>
      <c r="AC945" s="320"/>
      <c r="AD945" s="320"/>
      <c r="AE945" s="320"/>
      <c r="AF945" s="320"/>
      <c r="AG945" s="320"/>
      <c r="AH945" s="320"/>
      <c r="AI945" s="320"/>
      <c r="AJ945" s="320"/>
      <c r="AK945" s="320"/>
      <c r="AL945" s="320"/>
      <c r="AM945" s="320"/>
      <c r="AN945" s="320"/>
      <c r="AO945" s="320"/>
      <c r="AP945" s="320"/>
      <c r="AQ945" s="320"/>
      <c r="AR945" s="320"/>
      <c r="AS945" s="320"/>
      <c r="AT945" s="320"/>
      <c r="AU945" s="321"/>
    </row>
    <row r="946">
      <c r="A946" s="319"/>
      <c r="B946" s="320"/>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c r="AA946" s="320"/>
      <c r="AB946" s="320"/>
      <c r="AC946" s="320"/>
      <c r="AD946" s="320"/>
      <c r="AE946" s="320"/>
      <c r="AF946" s="320"/>
      <c r="AG946" s="320"/>
      <c r="AH946" s="320"/>
      <c r="AI946" s="320"/>
      <c r="AJ946" s="320"/>
      <c r="AK946" s="320"/>
      <c r="AL946" s="320"/>
      <c r="AM946" s="320"/>
      <c r="AN946" s="320"/>
      <c r="AO946" s="320"/>
      <c r="AP946" s="320"/>
      <c r="AQ946" s="320"/>
      <c r="AR946" s="320"/>
      <c r="AS946" s="320"/>
      <c r="AT946" s="320"/>
      <c r="AU946" s="321"/>
    </row>
    <row r="947">
      <c r="A947" s="319"/>
      <c r="B947" s="320"/>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c r="AA947" s="320"/>
      <c r="AB947" s="320"/>
      <c r="AC947" s="320"/>
      <c r="AD947" s="320"/>
      <c r="AE947" s="320"/>
      <c r="AF947" s="320"/>
      <c r="AG947" s="320"/>
      <c r="AH947" s="320"/>
      <c r="AI947" s="320"/>
      <c r="AJ947" s="320"/>
      <c r="AK947" s="320"/>
      <c r="AL947" s="320"/>
      <c r="AM947" s="320"/>
      <c r="AN947" s="320"/>
      <c r="AO947" s="320"/>
      <c r="AP947" s="320"/>
      <c r="AQ947" s="320"/>
      <c r="AR947" s="320"/>
      <c r="AS947" s="320"/>
      <c r="AT947" s="320"/>
      <c r="AU947" s="321"/>
    </row>
    <row r="948">
      <c r="A948" s="319"/>
      <c r="B948" s="320"/>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c r="AA948" s="320"/>
      <c r="AB948" s="320"/>
      <c r="AC948" s="320"/>
      <c r="AD948" s="320"/>
      <c r="AE948" s="320"/>
      <c r="AF948" s="320"/>
      <c r="AG948" s="320"/>
      <c r="AH948" s="320"/>
      <c r="AI948" s="320"/>
      <c r="AJ948" s="320"/>
      <c r="AK948" s="320"/>
      <c r="AL948" s="320"/>
      <c r="AM948" s="320"/>
      <c r="AN948" s="320"/>
      <c r="AO948" s="320"/>
      <c r="AP948" s="320"/>
      <c r="AQ948" s="320"/>
      <c r="AR948" s="320"/>
      <c r="AS948" s="320"/>
      <c r="AT948" s="320"/>
      <c r="AU948" s="321"/>
    </row>
    <row r="949">
      <c r="A949" s="319"/>
      <c r="B949" s="320"/>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c r="AA949" s="320"/>
      <c r="AB949" s="320"/>
      <c r="AC949" s="320"/>
      <c r="AD949" s="320"/>
      <c r="AE949" s="320"/>
      <c r="AF949" s="320"/>
      <c r="AG949" s="320"/>
      <c r="AH949" s="320"/>
      <c r="AI949" s="320"/>
      <c r="AJ949" s="320"/>
      <c r="AK949" s="320"/>
      <c r="AL949" s="320"/>
      <c r="AM949" s="320"/>
      <c r="AN949" s="320"/>
      <c r="AO949" s="320"/>
      <c r="AP949" s="320"/>
      <c r="AQ949" s="320"/>
      <c r="AR949" s="320"/>
      <c r="AS949" s="320"/>
      <c r="AT949" s="320"/>
      <c r="AU949" s="321"/>
    </row>
    <row r="950">
      <c r="A950" s="319"/>
      <c r="B950" s="320"/>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c r="AA950" s="320"/>
      <c r="AB950" s="320"/>
      <c r="AC950" s="320"/>
      <c r="AD950" s="320"/>
      <c r="AE950" s="320"/>
      <c r="AF950" s="320"/>
      <c r="AG950" s="320"/>
      <c r="AH950" s="320"/>
      <c r="AI950" s="320"/>
      <c r="AJ950" s="320"/>
      <c r="AK950" s="320"/>
      <c r="AL950" s="320"/>
      <c r="AM950" s="320"/>
      <c r="AN950" s="320"/>
      <c r="AO950" s="320"/>
      <c r="AP950" s="320"/>
      <c r="AQ950" s="320"/>
      <c r="AR950" s="320"/>
      <c r="AS950" s="320"/>
      <c r="AT950" s="320"/>
      <c r="AU950" s="321"/>
    </row>
    <row r="951">
      <c r="A951" s="319"/>
      <c r="B951" s="320"/>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c r="AA951" s="320"/>
      <c r="AB951" s="320"/>
      <c r="AC951" s="320"/>
      <c r="AD951" s="320"/>
      <c r="AE951" s="320"/>
      <c r="AF951" s="320"/>
      <c r="AG951" s="320"/>
      <c r="AH951" s="320"/>
      <c r="AI951" s="320"/>
      <c r="AJ951" s="320"/>
      <c r="AK951" s="320"/>
      <c r="AL951" s="320"/>
      <c r="AM951" s="320"/>
      <c r="AN951" s="320"/>
      <c r="AO951" s="320"/>
      <c r="AP951" s="320"/>
      <c r="AQ951" s="320"/>
      <c r="AR951" s="320"/>
      <c r="AS951" s="320"/>
      <c r="AT951" s="320"/>
      <c r="AU951" s="321"/>
    </row>
    <row r="952">
      <c r="A952" s="319"/>
      <c r="B952" s="320"/>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c r="AA952" s="320"/>
      <c r="AB952" s="320"/>
      <c r="AC952" s="320"/>
      <c r="AD952" s="320"/>
      <c r="AE952" s="320"/>
      <c r="AF952" s="320"/>
      <c r="AG952" s="320"/>
      <c r="AH952" s="320"/>
      <c r="AI952" s="320"/>
      <c r="AJ952" s="320"/>
      <c r="AK952" s="320"/>
      <c r="AL952" s="320"/>
      <c r="AM952" s="320"/>
      <c r="AN952" s="320"/>
      <c r="AO952" s="320"/>
      <c r="AP952" s="320"/>
      <c r="AQ952" s="320"/>
      <c r="AR952" s="320"/>
      <c r="AS952" s="320"/>
      <c r="AT952" s="320"/>
      <c r="AU952" s="321"/>
    </row>
    <row r="953">
      <c r="A953" s="319"/>
      <c r="B953" s="320"/>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c r="AA953" s="320"/>
      <c r="AB953" s="320"/>
      <c r="AC953" s="320"/>
      <c r="AD953" s="320"/>
      <c r="AE953" s="320"/>
      <c r="AF953" s="320"/>
      <c r="AG953" s="320"/>
      <c r="AH953" s="320"/>
      <c r="AI953" s="320"/>
      <c r="AJ953" s="320"/>
      <c r="AK953" s="320"/>
      <c r="AL953" s="320"/>
      <c r="AM953" s="320"/>
      <c r="AN953" s="320"/>
      <c r="AO953" s="320"/>
      <c r="AP953" s="320"/>
      <c r="AQ953" s="320"/>
      <c r="AR953" s="320"/>
      <c r="AS953" s="320"/>
      <c r="AT953" s="320"/>
      <c r="AU953" s="321"/>
    </row>
    <row r="954">
      <c r="A954" s="319"/>
      <c r="B954" s="320"/>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c r="AA954" s="320"/>
      <c r="AB954" s="320"/>
      <c r="AC954" s="320"/>
      <c r="AD954" s="320"/>
      <c r="AE954" s="320"/>
      <c r="AF954" s="320"/>
      <c r="AG954" s="320"/>
      <c r="AH954" s="320"/>
      <c r="AI954" s="320"/>
      <c r="AJ954" s="320"/>
      <c r="AK954" s="320"/>
      <c r="AL954" s="320"/>
      <c r="AM954" s="320"/>
      <c r="AN954" s="320"/>
      <c r="AO954" s="320"/>
      <c r="AP954" s="320"/>
      <c r="AQ954" s="320"/>
      <c r="AR954" s="320"/>
      <c r="AS954" s="320"/>
      <c r="AT954" s="320"/>
      <c r="AU954" s="321"/>
    </row>
    <row r="955">
      <c r="A955" s="319"/>
      <c r="B955" s="320"/>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c r="AA955" s="320"/>
      <c r="AB955" s="320"/>
      <c r="AC955" s="320"/>
      <c r="AD955" s="320"/>
      <c r="AE955" s="320"/>
      <c r="AF955" s="320"/>
      <c r="AG955" s="320"/>
      <c r="AH955" s="320"/>
      <c r="AI955" s="320"/>
      <c r="AJ955" s="320"/>
      <c r="AK955" s="320"/>
      <c r="AL955" s="320"/>
      <c r="AM955" s="320"/>
      <c r="AN955" s="320"/>
      <c r="AO955" s="320"/>
      <c r="AP955" s="320"/>
      <c r="AQ955" s="320"/>
      <c r="AR955" s="320"/>
      <c r="AS955" s="320"/>
      <c r="AT955" s="320"/>
      <c r="AU955" s="321"/>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94" t="s">
        <v>1329</v>
      </c>
      <c r="B1" s="94" t="s">
        <v>35</v>
      </c>
      <c r="C1" s="94" t="s">
        <v>1331</v>
      </c>
      <c r="D1" s="94" t="s">
        <v>1332</v>
      </c>
      <c r="E1" s="94" t="s">
        <v>1892</v>
      </c>
      <c r="F1" s="95" t="s">
        <v>47</v>
      </c>
      <c r="G1" s="94" t="s">
        <v>48</v>
      </c>
      <c r="H1" s="95" t="s">
        <v>1334</v>
      </c>
      <c r="I1" s="94" t="s">
        <v>1339</v>
      </c>
      <c r="J1" s="96" t="s">
        <v>53</v>
      </c>
      <c r="K1" s="94" t="s">
        <v>1344</v>
      </c>
      <c r="L1" s="94" t="s">
        <v>54</v>
      </c>
      <c r="M1" s="97" t="s">
        <v>1345</v>
      </c>
      <c r="N1" s="97" t="s">
        <v>1346</v>
      </c>
      <c r="O1" s="97" t="s">
        <v>1347</v>
      </c>
      <c r="P1" s="97" t="s">
        <v>55</v>
      </c>
      <c r="Q1" s="97" t="s">
        <v>1346</v>
      </c>
      <c r="R1" s="97" t="s">
        <v>1348</v>
      </c>
      <c r="S1" s="97" t="s">
        <v>67</v>
      </c>
      <c r="T1" s="94" t="s">
        <v>68</v>
      </c>
      <c r="U1" s="98" t="s">
        <v>69</v>
      </c>
      <c r="V1" s="94" t="s">
        <v>70</v>
      </c>
      <c r="W1" s="105"/>
      <c r="X1" s="105"/>
      <c r="Y1" s="105"/>
      <c r="Z1" s="105"/>
      <c r="AA1" s="105"/>
      <c r="AB1" s="105"/>
      <c r="AC1" s="105"/>
      <c r="AD1" s="105"/>
      <c r="AE1" s="105"/>
      <c r="AF1" s="105"/>
      <c r="AG1" s="105"/>
      <c r="AH1" s="105"/>
      <c r="AI1" s="105"/>
    </row>
    <row r="2">
      <c r="A2" s="70">
        <v>1.0</v>
      </c>
      <c r="B2" s="70" t="s">
        <v>76</v>
      </c>
      <c r="C2" s="4" t="s">
        <v>80</v>
      </c>
      <c r="D2" s="4" t="s">
        <v>81</v>
      </c>
      <c r="E2" s="142"/>
      <c r="F2" s="142">
        <v>45352.0</v>
      </c>
      <c r="G2" s="139">
        <v>45355.0</v>
      </c>
      <c r="H2" s="142">
        <v>45363.0</v>
      </c>
      <c r="I2" s="4">
        <v>20.97</v>
      </c>
      <c r="J2" s="114">
        <v>0.513</v>
      </c>
      <c r="K2" s="136" t="s">
        <v>1431</v>
      </c>
      <c r="L2" s="115">
        <f t="shared" ref="L2:L100" si="1">I2*J2*(44.01/12.011)</f>
        <v>39.41740206</v>
      </c>
      <c r="M2" s="116">
        <f t="shared" ref="M2:M100" si="2">IF(C2="AECN",0.68,"ERROR")</f>
        <v>0.68</v>
      </c>
      <c r="N2" s="116">
        <f t="shared" ref="N2:N100" si="3">IF(C2="AECN",0.2,"ERROR")</f>
        <v>0.2</v>
      </c>
      <c r="O2" s="117">
        <f t="shared" ref="O2:O100" si="4">(0.1738*((I2/M2)*N2))/1000</f>
        <v>0.001071937059</v>
      </c>
      <c r="P2" s="117">
        <f t="shared" ref="P2:P100" si="5">IF(C2="AECN",(140.5*I2)/1000,ERROR)</f>
        <v>2.946285</v>
      </c>
      <c r="Q2" s="118">
        <f t="shared" ref="Q2:Q100" si="6">IF(C2="AECN",2030,"ERROR")</f>
        <v>2030</v>
      </c>
      <c r="R2" s="117">
        <f t="shared" ref="R2:R100" si="7">(0.1046*I2*Q2)/1000</f>
        <v>4.45272786</v>
      </c>
      <c r="S2" s="117">
        <f t="shared" ref="S2:S100" si="8">(0.7205*I2)/1000</f>
        <v>0.015108885</v>
      </c>
      <c r="T2" s="117">
        <f t="shared" ref="T2:T100" si="9">SUM(R2:S2,P2,O2)</f>
        <v>7.415193682</v>
      </c>
      <c r="U2" s="117">
        <f t="shared" ref="U2:U100" si="10">L2-T2</f>
        <v>32.00220837</v>
      </c>
      <c r="V2" s="115">
        <f>U2</f>
        <v>32.00220837</v>
      </c>
      <c r="W2" s="140"/>
      <c r="X2" s="140"/>
      <c r="Y2" s="140"/>
      <c r="AD2" s="161"/>
      <c r="AE2" s="161"/>
      <c r="AF2" s="156"/>
      <c r="AG2" s="161"/>
      <c r="AH2" s="161"/>
    </row>
    <row r="3">
      <c r="A3" s="70">
        <v>2.0</v>
      </c>
      <c r="B3" s="70" t="s">
        <v>85</v>
      </c>
      <c r="C3" s="4" t="s">
        <v>80</v>
      </c>
      <c r="D3" s="4" t="s">
        <v>81</v>
      </c>
      <c r="E3" s="142"/>
      <c r="F3" s="142">
        <v>45373.0</v>
      </c>
      <c r="G3" s="139">
        <v>45376.0</v>
      </c>
      <c r="H3" s="108">
        <v>45381.0</v>
      </c>
      <c r="I3" s="4">
        <v>19.63</v>
      </c>
      <c r="J3" s="157">
        <v>0.44</v>
      </c>
      <c r="K3" s="136" t="s">
        <v>1431</v>
      </c>
      <c r="L3" s="115">
        <f t="shared" si="1"/>
        <v>31.64792041</v>
      </c>
      <c r="M3" s="116">
        <f t="shared" si="2"/>
        <v>0.68</v>
      </c>
      <c r="N3" s="116">
        <f t="shared" si="3"/>
        <v>0.2</v>
      </c>
      <c r="O3" s="117">
        <f t="shared" si="4"/>
        <v>0.001003439412</v>
      </c>
      <c r="P3" s="117">
        <f t="shared" si="5"/>
        <v>2.758015</v>
      </c>
      <c r="Q3" s="118">
        <f t="shared" si="6"/>
        <v>2030</v>
      </c>
      <c r="R3" s="117">
        <f t="shared" si="7"/>
        <v>4.16819494</v>
      </c>
      <c r="S3" s="117">
        <f t="shared" si="8"/>
        <v>0.014143415</v>
      </c>
      <c r="T3" s="117">
        <f t="shared" si="9"/>
        <v>6.941356794</v>
      </c>
      <c r="U3" s="117">
        <f t="shared" si="10"/>
        <v>24.70656361</v>
      </c>
      <c r="V3" s="115">
        <f t="shared" ref="V3:V9" si="11">U3+V2</f>
        <v>56.70877199</v>
      </c>
      <c r="W3" s="140"/>
      <c r="X3" s="140"/>
      <c r="Y3" s="140"/>
      <c r="AD3" s="161"/>
      <c r="AE3" s="155"/>
    </row>
    <row r="4">
      <c r="A4" s="70">
        <v>3.0</v>
      </c>
      <c r="B4" s="70" t="s">
        <v>88</v>
      </c>
      <c r="C4" s="4" t="s">
        <v>80</v>
      </c>
      <c r="D4" s="4" t="s">
        <v>81</v>
      </c>
      <c r="E4" s="142"/>
      <c r="F4" s="142">
        <v>45380.0</v>
      </c>
      <c r="G4" s="139">
        <v>45383.0</v>
      </c>
      <c r="H4" s="108">
        <v>45388.0</v>
      </c>
      <c r="I4" s="4">
        <v>21.03</v>
      </c>
      <c r="J4" s="157">
        <v>0.44</v>
      </c>
      <c r="K4" s="136" t="s">
        <v>1431</v>
      </c>
      <c r="L4" s="115">
        <f t="shared" si="1"/>
        <v>33.90503139</v>
      </c>
      <c r="M4" s="116">
        <f t="shared" si="2"/>
        <v>0.68</v>
      </c>
      <c r="N4" s="116">
        <f t="shared" si="3"/>
        <v>0.2</v>
      </c>
      <c r="O4" s="117">
        <f t="shared" si="4"/>
        <v>0.001075004118</v>
      </c>
      <c r="P4" s="117">
        <f t="shared" si="5"/>
        <v>2.954715</v>
      </c>
      <c r="Q4" s="118">
        <f t="shared" si="6"/>
        <v>2030</v>
      </c>
      <c r="R4" s="117">
        <f t="shared" si="7"/>
        <v>4.46546814</v>
      </c>
      <c r="S4" s="117">
        <f t="shared" si="8"/>
        <v>0.015152115</v>
      </c>
      <c r="T4" s="117">
        <f t="shared" si="9"/>
        <v>7.436410259</v>
      </c>
      <c r="U4" s="117">
        <f t="shared" si="10"/>
        <v>26.46862113</v>
      </c>
      <c r="V4" s="115">
        <f t="shared" si="11"/>
        <v>83.17739312</v>
      </c>
    </row>
    <row r="5">
      <c r="A5" s="70">
        <v>4.0</v>
      </c>
      <c r="B5" s="70" t="s">
        <v>92</v>
      </c>
      <c r="C5" s="4" t="s">
        <v>80</v>
      </c>
      <c r="D5" s="4" t="s">
        <v>81</v>
      </c>
      <c r="E5" s="142"/>
      <c r="F5" s="142">
        <v>45380.0</v>
      </c>
      <c r="G5" s="139">
        <v>45383.0</v>
      </c>
      <c r="H5" s="108">
        <v>45388.0</v>
      </c>
      <c r="I5" s="4">
        <v>20.04</v>
      </c>
      <c r="J5" s="157">
        <v>0.44</v>
      </c>
      <c r="K5" s="136" t="s">
        <v>1431</v>
      </c>
      <c r="L5" s="115">
        <f t="shared" si="1"/>
        <v>32.30893148</v>
      </c>
      <c r="M5" s="116">
        <f t="shared" si="2"/>
        <v>0.68</v>
      </c>
      <c r="N5" s="116">
        <f t="shared" si="3"/>
        <v>0.2</v>
      </c>
      <c r="O5" s="117">
        <f t="shared" si="4"/>
        <v>0.001024397647</v>
      </c>
      <c r="P5" s="117">
        <f t="shared" si="5"/>
        <v>2.81562</v>
      </c>
      <c r="Q5" s="118">
        <f t="shared" si="6"/>
        <v>2030</v>
      </c>
      <c r="R5" s="117">
        <f t="shared" si="7"/>
        <v>4.25525352</v>
      </c>
      <c r="S5" s="117">
        <f t="shared" si="8"/>
        <v>0.01443882</v>
      </c>
      <c r="T5" s="117">
        <f t="shared" si="9"/>
        <v>7.086336738</v>
      </c>
      <c r="U5" s="117">
        <f t="shared" si="10"/>
        <v>25.22259474</v>
      </c>
      <c r="V5" s="115">
        <f t="shared" si="11"/>
        <v>108.3999879</v>
      </c>
    </row>
    <row r="6">
      <c r="A6" s="70">
        <v>5.0</v>
      </c>
      <c r="B6" s="70" t="s">
        <v>94</v>
      </c>
      <c r="C6" s="4" t="s">
        <v>80</v>
      </c>
      <c r="D6" s="4" t="s">
        <v>81</v>
      </c>
      <c r="E6" s="322"/>
      <c r="F6" s="139">
        <v>45387.0</v>
      </c>
      <c r="G6" s="139">
        <v>45390.0</v>
      </c>
      <c r="H6" s="108">
        <v>45395.0</v>
      </c>
      <c r="I6" s="4">
        <v>21.0</v>
      </c>
      <c r="J6" s="157">
        <v>0.44</v>
      </c>
      <c r="K6" s="136" t="s">
        <v>1431</v>
      </c>
      <c r="L6" s="115">
        <f t="shared" si="1"/>
        <v>33.85666472</v>
      </c>
      <c r="M6" s="116">
        <f t="shared" si="2"/>
        <v>0.68</v>
      </c>
      <c r="N6" s="116">
        <f t="shared" si="3"/>
        <v>0.2</v>
      </c>
      <c r="O6" s="117">
        <f t="shared" si="4"/>
        <v>0.001073470588</v>
      </c>
      <c r="P6" s="117">
        <f t="shared" si="5"/>
        <v>2.9505</v>
      </c>
      <c r="Q6" s="118">
        <f t="shared" si="6"/>
        <v>2030</v>
      </c>
      <c r="R6" s="117">
        <f t="shared" si="7"/>
        <v>4.459098</v>
      </c>
      <c r="S6" s="117">
        <f t="shared" si="8"/>
        <v>0.0151305</v>
      </c>
      <c r="T6" s="117">
        <f t="shared" si="9"/>
        <v>7.425801971</v>
      </c>
      <c r="U6" s="117">
        <f t="shared" si="10"/>
        <v>26.43086275</v>
      </c>
      <c r="V6" s="115">
        <f t="shared" si="11"/>
        <v>134.8308506</v>
      </c>
    </row>
    <row r="7">
      <c r="A7" s="70">
        <v>6.0</v>
      </c>
      <c r="B7" s="70" t="s">
        <v>1893</v>
      </c>
      <c r="C7" s="4" t="s">
        <v>80</v>
      </c>
      <c r="D7" s="4" t="s">
        <v>105</v>
      </c>
      <c r="E7" s="159" t="s">
        <v>1894</v>
      </c>
      <c r="F7" s="142">
        <v>45394.0</v>
      </c>
      <c r="G7" s="139">
        <v>45415.0</v>
      </c>
      <c r="H7" s="139">
        <v>45423.0</v>
      </c>
      <c r="I7" s="2">
        <f>25.95+26.08+25.82</f>
        <v>77.85</v>
      </c>
      <c r="J7" s="157">
        <v>0.44</v>
      </c>
      <c r="K7" s="136" t="s">
        <v>1436</v>
      </c>
      <c r="L7" s="115">
        <f t="shared" si="1"/>
        <v>125.5114928</v>
      </c>
      <c r="M7" s="116">
        <f t="shared" si="2"/>
        <v>0.68</v>
      </c>
      <c r="N7" s="116">
        <f t="shared" si="3"/>
        <v>0.2</v>
      </c>
      <c r="O7" s="117">
        <f t="shared" si="4"/>
        <v>0.003979508824</v>
      </c>
      <c r="P7" s="117">
        <f t="shared" si="5"/>
        <v>10.937925</v>
      </c>
      <c r="Q7" s="118">
        <f t="shared" si="6"/>
        <v>2030</v>
      </c>
      <c r="R7" s="117">
        <f t="shared" si="7"/>
        <v>16.5305133</v>
      </c>
      <c r="S7" s="117">
        <f t="shared" si="8"/>
        <v>0.056090925</v>
      </c>
      <c r="T7" s="117">
        <f t="shared" si="9"/>
        <v>27.52850873</v>
      </c>
      <c r="U7" s="117">
        <f t="shared" si="10"/>
        <v>97.98298406</v>
      </c>
      <c r="V7" s="115">
        <f t="shared" si="11"/>
        <v>232.8138347</v>
      </c>
      <c r="W7" s="140"/>
      <c r="X7" s="140"/>
      <c r="Y7" s="140"/>
      <c r="AD7" s="161"/>
      <c r="AE7" s="155"/>
    </row>
    <row r="8">
      <c r="A8" s="70">
        <v>7.0</v>
      </c>
      <c r="B8" s="70" t="s">
        <v>98</v>
      </c>
      <c r="C8" s="4" t="s">
        <v>80</v>
      </c>
      <c r="D8" s="4" t="s">
        <v>81</v>
      </c>
      <c r="E8" s="322"/>
      <c r="F8" s="139">
        <v>45394.0</v>
      </c>
      <c r="G8" s="139">
        <v>45397.0</v>
      </c>
      <c r="H8" s="108">
        <v>45399.0</v>
      </c>
      <c r="I8" s="2">
        <v>20.2</v>
      </c>
      <c r="J8" s="157">
        <v>0.44</v>
      </c>
      <c r="K8" s="136" t="s">
        <v>1431</v>
      </c>
      <c r="L8" s="115">
        <f t="shared" si="1"/>
        <v>32.56688702</v>
      </c>
      <c r="M8" s="116">
        <f t="shared" si="2"/>
        <v>0.68</v>
      </c>
      <c r="N8" s="116">
        <f t="shared" si="3"/>
        <v>0.2</v>
      </c>
      <c r="O8" s="117">
        <f t="shared" si="4"/>
        <v>0.001032576471</v>
      </c>
      <c r="P8" s="117">
        <f t="shared" si="5"/>
        <v>2.8381</v>
      </c>
      <c r="Q8" s="118">
        <f t="shared" si="6"/>
        <v>2030</v>
      </c>
      <c r="R8" s="117">
        <f t="shared" si="7"/>
        <v>4.2892276</v>
      </c>
      <c r="S8" s="117">
        <f t="shared" si="8"/>
        <v>0.0145541</v>
      </c>
      <c r="T8" s="117">
        <f t="shared" si="9"/>
        <v>7.142914276</v>
      </c>
      <c r="U8" s="117">
        <f t="shared" si="10"/>
        <v>25.42397274</v>
      </c>
      <c r="V8" s="115">
        <f t="shared" si="11"/>
        <v>258.2378074</v>
      </c>
    </row>
    <row r="9">
      <c r="A9" s="70">
        <v>8.0</v>
      </c>
      <c r="B9" s="70" t="s">
        <v>101</v>
      </c>
      <c r="C9" s="4" t="s">
        <v>80</v>
      </c>
      <c r="D9" s="4" t="s">
        <v>81</v>
      </c>
      <c r="E9" s="322"/>
      <c r="F9" s="139">
        <v>45394.0</v>
      </c>
      <c r="G9" s="139">
        <v>45397.0</v>
      </c>
      <c r="H9" s="108">
        <v>45399.0</v>
      </c>
      <c r="I9" s="4">
        <v>20.63</v>
      </c>
      <c r="J9" s="157">
        <v>0.44</v>
      </c>
      <c r="K9" s="136" t="s">
        <v>1431</v>
      </c>
      <c r="L9" s="115">
        <f t="shared" si="1"/>
        <v>33.26014254</v>
      </c>
      <c r="M9" s="116">
        <f t="shared" si="2"/>
        <v>0.68</v>
      </c>
      <c r="N9" s="116">
        <f t="shared" si="3"/>
        <v>0.2</v>
      </c>
      <c r="O9" s="117">
        <f t="shared" si="4"/>
        <v>0.001054557059</v>
      </c>
      <c r="P9" s="117">
        <f t="shared" si="5"/>
        <v>2.898515</v>
      </c>
      <c r="Q9" s="118">
        <f t="shared" si="6"/>
        <v>2030</v>
      </c>
      <c r="R9" s="117">
        <f t="shared" si="7"/>
        <v>4.38053294</v>
      </c>
      <c r="S9" s="117">
        <f t="shared" si="8"/>
        <v>0.014863915</v>
      </c>
      <c r="T9" s="117">
        <f t="shared" si="9"/>
        <v>7.294966412</v>
      </c>
      <c r="U9" s="117">
        <f t="shared" si="10"/>
        <v>25.96517612</v>
      </c>
      <c r="V9" s="115">
        <f t="shared" si="11"/>
        <v>284.2029835</v>
      </c>
    </row>
    <row r="10">
      <c r="A10" s="70">
        <v>10.0</v>
      </c>
      <c r="B10" s="70" t="s">
        <v>109</v>
      </c>
      <c r="C10" s="4" t="s">
        <v>80</v>
      </c>
      <c r="D10" s="4" t="s">
        <v>81</v>
      </c>
      <c r="E10" s="142"/>
      <c r="F10" s="142">
        <v>45414.0</v>
      </c>
      <c r="G10" s="139">
        <f t="shared" ref="G10:G11" si="12">IF(D10="truck",F10+4,IF(D10="train",F10+16,""))</f>
        <v>45418</v>
      </c>
      <c r="H10" s="139">
        <v>45423.0</v>
      </c>
      <c r="I10" s="2">
        <v>20.83</v>
      </c>
      <c r="J10" s="157">
        <v>0.44</v>
      </c>
      <c r="K10" s="4" t="s">
        <v>1436</v>
      </c>
      <c r="L10" s="115">
        <f t="shared" si="1"/>
        <v>33.58258696</v>
      </c>
      <c r="M10" s="116">
        <f t="shared" si="2"/>
        <v>0.68</v>
      </c>
      <c r="N10" s="116">
        <f t="shared" si="3"/>
        <v>0.2</v>
      </c>
      <c r="O10" s="117">
        <f t="shared" si="4"/>
        <v>0.001064780588</v>
      </c>
      <c r="P10" s="117">
        <f t="shared" si="5"/>
        <v>2.926615</v>
      </c>
      <c r="Q10" s="118">
        <f t="shared" si="6"/>
        <v>2030</v>
      </c>
      <c r="R10" s="117">
        <f t="shared" si="7"/>
        <v>4.42300054</v>
      </c>
      <c r="S10" s="117">
        <f t="shared" si="8"/>
        <v>0.015008015</v>
      </c>
      <c r="T10" s="117">
        <f t="shared" si="9"/>
        <v>7.365688336</v>
      </c>
      <c r="U10" s="117">
        <f t="shared" si="10"/>
        <v>26.21689863</v>
      </c>
      <c r="V10" s="115" t="str">
        <f>U10+#REF!</f>
        <v>#REF!</v>
      </c>
      <c r="W10" s="140"/>
      <c r="X10" s="140"/>
      <c r="Y10" s="140"/>
      <c r="AD10" s="161"/>
      <c r="AE10" s="155"/>
    </row>
    <row r="11">
      <c r="A11" s="70">
        <v>11.0</v>
      </c>
      <c r="B11" s="70" t="s">
        <v>112</v>
      </c>
      <c r="C11" s="4" t="s">
        <v>80</v>
      </c>
      <c r="D11" s="4" t="s">
        <v>81</v>
      </c>
      <c r="E11" s="142"/>
      <c r="F11" s="142">
        <v>45414.0</v>
      </c>
      <c r="G11" s="139">
        <f t="shared" si="12"/>
        <v>45418</v>
      </c>
      <c r="H11" s="139">
        <v>45423.0</v>
      </c>
      <c r="I11" s="136">
        <f t="shared" ref="I11:I100" si="13">IF(D11="truck",20,IF(D11="train",80,""))</f>
        <v>20</v>
      </c>
      <c r="J11" s="157">
        <v>0.44</v>
      </c>
      <c r="K11" s="4" t="s">
        <v>1436</v>
      </c>
      <c r="L11" s="115">
        <f t="shared" si="1"/>
        <v>32.24444259</v>
      </c>
      <c r="M11" s="116">
        <f t="shared" si="2"/>
        <v>0.68</v>
      </c>
      <c r="N11" s="116">
        <f t="shared" si="3"/>
        <v>0.2</v>
      </c>
      <c r="O11" s="117">
        <f t="shared" si="4"/>
        <v>0.001022352941</v>
      </c>
      <c r="P11" s="117">
        <f t="shared" si="5"/>
        <v>2.81</v>
      </c>
      <c r="Q11" s="118">
        <f t="shared" si="6"/>
        <v>2030</v>
      </c>
      <c r="R11" s="117">
        <f t="shared" si="7"/>
        <v>4.24676</v>
      </c>
      <c r="S11" s="117">
        <f t="shared" si="8"/>
        <v>0.01441</v>
      </c>
      <c r="T11" s="117">
        <f t="shared" si="9"/>
        <v>7.072192353</v>
      </c>
      <c r="U11" s="117">
        <f t="shared" si="10"/>
        <v>25.17225024</v>
      </c>
      <c r="V11" s="115" t="str">
        <f t="shared" ref="V11:V100" si="14">U11+V10</f>
        <v>#REF!</v>
      </c>
    </row>
    <row r="12">
      <c r="A12" s="70">
        <v>12.0</v>
      </c>
      <c r="B12" s="70" t="s">
        <v>114</v>
      </c>
      <c r="C12" s="4" t="s">
        <v>80</v>
      </c>
      <c r="D12" s="4" t="s">
        <v>105</v>
      </c>
      <c r="E12" s="159" t="s">
        <v>1895</v>
      </c>
      <c r="F12" s="142">
        <v>45415.0</v>
      </c>
      <c r="G12" s="139">
        <f t="shared" ref="G12:G100" si="15">IF(D12="truck",F12+4,IF(D12="train",F12+21,""))</f>
        <v>45436</v>
      </c>
      <c r="H12" s="139">
        <f t="shared" ref="H12:H100" si="16">IF(D12="truck",G12+3,IF(D12="train",G12+5,""))</f>
        <v>45441</v>
      </c>
      <c r="I12" s="136">
        <f t="shared" si="13"/>
        <v>80</v>
      </c>
      <c r="J12" s="157">
        <v>0.44</v>
      </c>
      <c r="K12" s="136" t="s">
        <v>1896</v>
      </c>
      <c r="L12" s="115">
        <f t="shared" si="1"/>
        <v>128.9777704</v>
      </c>
      <c r="M12" s="116">
        <f t="shared" si="2"/>
        <v>0.68</v>
      </c>
      <c r="N12" s="116">
        <f t="shared" si="3"/>
        <v>0.2</v>
      </c>
      <c r="O12" s="117">
        <f t="shared" si="4"/>
        <v>0.004089411765</v>
      </c>
      <c r="P12" s="117">
        <f t="shared" si="5"/>
        <v>11.24</v>
      </c>
      <c r="Q12" s="118">
        <f t="shared" si="6"/>
        <v>2030</v>
      </c>
      <c r="R12" s="117">
        <f t="shared" si="7"/>
        <v>16.98704</v>
      </c>
      <c r="S12" s="117">
        <f t="shared" si="8"/>
        <v>0.05764</v>
      </c>
      <c r="T12" s="117">
        <f t="shared" si="9"/>
        <v>28.28876941</v>
      </c>
      <c r="U12" s="117">
        <f t="shared" si="10"/>
        <v>100.689001</v>
      </c>
      <c r="V12" s="115" t="str">
        <f t="shared" si="14"/>
        <v>#REF!</v>
      </c>
    </row>
    <row r="13">
      <c r="A13" s="70">
        <v>13.0</v>
      </c>
      <c r="B13" s="70" t="s">
        <v>118</v>
      </c>
      <c r="C13" s="4" t="s">
        <v>80</v>
      </c>
      <c r="D13" s="4" t="s">
        <v>105</v>
      </c>
      <c r="E13" s="159" t="s">
        <v>1897</v>
      </c>
      <c r="F13" s="142">
        <v>45418.0</v>
      </c>
      <c r="G13" s="139">
        <f t="shared" si="15"/>
        <v>45439</v>
      </c>
      <c r="H13" s="139">
        <f t="shared" si="16"/>
        <v>45444</v>
      </c>
      <c r="I13" s="136">
        <f t="shared" si="13"/>
        <v>80</v>
      </c>
      <c r="J13" s="157">
        <v>0.44</v>
      </c>
      <c r="K13" s="136" t="s">
        <v>1896</v>
      </c>
      <c r="L13" s="115">
        <f t="shared" si="1"/>
        <v>128.9777704</v>
      </c>
      <c r="M13" s="116">
        <f t="shared" si="2"/>
        <v>0.68</v>
      </c>
      <c r="N13" s="116">
        <f t="shared" si="3"/>
        <v>0.2</v>
      </c>
      <c r="O13" s="117">
        <f t="shared" si="4"/>
        <v>0.004089411765</v>
      </c>
      <c r="P13" s="117">
        <f t="shared" si="5"/>
        <v>11.24</v>
      </c>
      <c r="Q13" s="118">
        <f t="shared" si="6"/>
        <v>2030</v>
      </c>
      <c r="R13" s="117">
        <f t="shared" si="7"/>
        <v>16.98704</v>
      </c>
      <c r="S13" s="117">
        <f t="shared" si="8"/>
        <v>0.05764</v>
      </c>
      <c r="T13" s="117">
        <f t="shared" si="9"/>
        <v>28.28876941</v>
      </c>
      <c r="U13" s="117">
        <f t="shared" si="10"/>
        <v>100.689001</v>
      </c>
      <c r="V13" s="115" t="str">
        <f t="shared" si="14"/>
        <v>#REF!</v>
      </c>
    </row>
    <row r="14">
      <c r="A14" s="70">
        <v>14.0</v>
      </c>
      <c r="B14" s="70" t="s">
        <v>121</v>
      </c>
      <c r="C14" s="4" t="s">
        <v>80</v>
      </c>
      <c r="D14" s="4" t="s">
        <v>105</v>
      </c>
      <c r="E14" s="159" t="s">
        <v>1898</v>
      </c>
      <c r="F14" s="142">
        <v>45419.0</v>
      </c>
      <c r="G14" s="139">
        <f t="shared" si="15"/>
        <v>45440</v>
      </c>
      <c r="H14" s="139">
        <f t="shared" si="16"/>
        <v>45445</v>
      </c>
      <c r="I14" s="136">
        <f t="shared" si="13"/>
        <v>80</v>
      </c>
      <c r="J14" s="157">
        <v>0.44</v>
      </c>
      <c r="K14" s="136" t="s">
        <v>1896</v>
      </c>
      <c r="L14" s="115">
        <f t="shared" si="1"/>
        <v>128.9777704</v>
      </c>
      <c r="M14" s="116">
        <f t="shared" si="2"/>
        <v>0.68</v>
      </c>
      <c r="N14" s="116">
        <f t="shared" si="3"/>
        <v>0.2</v>
      </c>
      <c r="O14" s="117">
        <f t="shared" si="4"/>
        <v>0.004089411765</v>
      </c>
      <c r="P14" s="117">
        <f t="shared" si="5"/>
        <v>11.24</v>
      </c>
      <c r="Q14" s="118">
        <f t="shared" si="6"/>
        <v>2030</v>
      </c>
      <c r="R14" s="117">
        <f t="shared" si="7"/>
        <v>16.98704</v>
      </c>
      <c r="S14" s="117">
        <f t="shared" si="8"/>
        <v>0.05764</v>
      </c>
      <c r="T14" s="117">
        <f t="shared" si="9"/>
        <v>28.28876941</v>
      </c>
      <c r="U14" s="117">
        <f t="shared" si="10"/>
        <v>100.689001</v>
      </c>
      <c r="V14" s="115" t="str">
        <f t="shared" si="14"/>
        <v>#REF!</v>
      </c>
    </row>
    <row r="15">
      <c r="A15" s="70">
        <v>15.0</v>
      </c>
      <c r="B15" s="70" t="s">
        <v>125</v>
      </c>
      <c r="C15" s="4" t="s">
        <v>80</v>
      </c>
      <c r="D15" s="4" t="s">
        <v>81</v>
      </c>
      <c r="E15" s="142"/>
      <c r="F15" s="142">
        <v>45422.0</v>
      </c>
      <c r="G15" s="139">
        <f t="shared" si="15"/>
        <v>45426</v>
      </c>
      <c r="H15" s="139">
        <f t="shared" si="16"/>
        <v>45429</v>
      </c>
      <c r="I15" s="136">
        <f t="shared" si="13"/>
        <v>20</v>
      </c>
      <c r="J15" s="157">
        <v>0.44</v>
      </c>
      <c r="K15" s="4" t="s">
        <v>1436</v>
      </c>
      <c r="L15" s="115">
        <f t="shared" si="1"/>
        <v>32.24444259</v>
      </c>
      <c r="M15" s="116">
        <f t="shared" si="2"/>
        <v>0.68</v>
      </c>
      <c r="N15" s="116">
        <f t="shared" si="3"/>
        <v>0.2</v>
      </c>
      <c r="O15" s="117">
        <f t="shared" si="4"/>
        <v>0.001022352941</v>
      </c>
      <c r="P15" s="117">
        <f t="shared" si="5"/>
        <v>2.81</v>
      </c>
      <c r="Q15" s="118">
        <f t="shared" si="6"/>
        <v>2030</v>
      </c>
      <c r="R15" s="117">
        <f t="shared" si="7"/>
        <v>4.24676</v>
      </c>
      <c r="S15" s="117">
        <f t="shared" si="8"/>
        <v>0.01441</v>
      </c>
      <c r="T15" s="117">
        <f t="shared" si="9"/>
        <v>7.072192353</v>
      </c>
      <c r="U15" s="117">
        <f t="shared" si="10"/>
        <v>25.17225024</v>
      </c>
      <c r="V15" s="115" t="str">
        <f t="shared" si="14"/>
        <v>#REF!</v>
      </c>
    </row>
    <row r="16">
      <c r="A16" s="70">
        <v>16.0</v>
      </c>
      <c r="B16" s="70" t="s">
        <v>128</v>
      </c>
      <c r="C16" s="4" t="s">
        <v>80</v>
      </c>
      <c r="D16" s="4" t="s">
        <v>81</v>
      </c>
      <c r="E16" s="142"/>
      <c r="F16" s="142">
        <v>45423.0</v>
      </c>
      <c r="G16" s="139">
        <f t="shared" si="15"/>
        <v>45427</v>
      </c>
      <c r="H16" s="139">
        <f t="shared" si="16"/>
        <v>45430</v>
      </c>
      <c r="I16" s="136">
        <f t="shared" si="13"/>
        <v>20</v>
      </c>
      <c r="J16" s="157">
        <v>0.44</v>
      </c>
      <c r="K16" s="4" t="s">
        <v>1436</v>
      </c>
      <c r="L16" s="115">
        <f t="shared" si="1"/>
        <v>32.24444259</v>
      </c>
      <c r="M16" s="116">
        <f t="shared" si="2"/>
        <v>0.68</v>
      </c>
      <c r="N16" s="116">
        <f t="shared" si="3"/>
        <v>0.2</v>
      </c>
      <c r="O16" s="117">
        <f t="shared" si="4"/>
        <v>0.001022352941</v>
      </c>
      <c r="P16" s="117">
        <f t="shared" si="5"/>
        <v>2.81</v>
      </c>
      <c r="Q16" s="118">
        <f t="shared" si="6"/>
        <v>2030</v>
      </c>
      <c r="R16" s="117">
        <f t="shared" si="7"/>
        <v>4.24676</v>
      </c>
      <c r="S16" s="117">
        <f t="shared" si="8"/>
        <v>0.01441</v>
      </c>
      <c r="T16" s="117">
        <f t="shared" si="9"/>
        <v>7.072192353</v>
      </c>
      <c r="U16" s="117">
        <f t="shared" si="10"/>
        <v>25.17225024</v>
      </c>
      <c r="V16" s="115" t="str">
        <f t="shared" si="14"/>
        <v>#REF!</v>
      </c>
      <c r="W16" s="140"/>
      <c r="X16" s="140"/>
      <c r="Y16" s="140"/>
      <c r="AD16" s="161"/>
      <c r="AE16" s="155"/>
    </row>
    <row r="17">
      <c r="A17" s="70">
        <v>17.0</v>
      </c>
      <c r="B17" s="70" t="s">
        <v>130</v>
      </c>
      <c r="C17" s="4" t="s">
        <v>80</v>
      </c>
      <c r="D17" s="4" t="s">
        <v>81</v>
      </c>
      <c r="E17" s="142"/>
      <c r="F17" s="142">
        <v>45423.0</v>
      </c>
      <c r="G17" s="139">
        <f t="shared" si="15"/>
        <v>45427</v>
      </c>
      <c r="H17" s="139">
        <f t="shared" si="16"/>
        <v>45430</v>
      </c>
      <c r="I17" s="136">
        <f t="shared" si="13"/>
        <v>20</v>
      </c>
      <c r="J17" s="157">
        <v>0.44</v>
      </c>
      <c r="K17" s="4" t="s">
        <v>1436</v>
      </c>
      <c r="L17" s="115">
        <f t="shared" si="1"/>
        <v>32.24444259</v>
      </c>
      <c r="M17" s="116">
        <f t="shared" si="2"/>
        <v>0.68</v>
      </c>
      <c r="N17" s="116">
        <f t="shared" si="3"/>
        <v>0.2</v>
      </c>
      <c r="O17" s="117">
        <f t="shared" si="4"/>
        <v>0.001022352941</v>
      </c>
      <c r="P17" s="117">
        <f t="shared" si="5"/>
        <v>2.81</v>
      </c>
      <c r="Q17" s="118">
        <f t="shared" si="6"/>
        <v>2030</v>
      </c>
      <c r="R17" s="117">
        <f t="shared" si="7"/>
        <v>4.24676</v>
      </c>
      <c r="S17" s="117">
        <f t="shared" si="8"/>
        <v>0.01441</v>
      </c>
      <c r="T17" s="117">
        <f t="shared" si="9"/>
        <v>7.072192353</v>
      </c>
      <c r="U17" s="117">
        <f t="shared" si="10"/>
        <v>25.17225024</v>
      </c>
      <c r="V17" s="115" t="str">
        <f t="shared" si="14"/>
        <v>#REF!</v>
      </c>
      <c r="W17" s="140"/>
      <c r="X17" s="140"/>
      <c r="Y17" s="140"/>
      <c r="AD17" s="161"/>
      <c r="AE17" s="155"/>
    </row>
    <row r="18">
      <c r="A18" s="70">
        <v>19.0</v>
      </c>
      <c r="B18" s="70" t="s">
        <v>132</v>
      </c>
      <c r="C18" s="4" t="s">
        <v>80</v>
      </c>
      <c r="D18" s="4" t="s">
        <v>81</v>
      </c>
      <c r="E18" s="159"/>
      <c r="F18" s="142">
        <v>45437.0</v>
      </c>
      <c r="G18" s="139">
        <f t="shared" si="15"/>
        <v>45441</v>
      </c>
      <c r="H18" s="139">
        <f t="shared" si="16"/>
        <v>45444</v>
      </c>
      <c r="I18" s="136">
        <f t="shared" si="13"/>
        <v>20</v>
      </c>
      <c r="J18" s="157">
        <v>0.44</v>
      </c>
      <c r="K18" s="4" t="s">
        <v>1436</v>
      </c>
      <c r="L18" s="115">
        <f t="shared" si="1"/>
        <v>32.24444259</v>
      </c>
      <c r="M18" s="116">
        <f t="shared" si="2"/>
        <v>0.68</v>
      </c>
      <c r="N18" s="116">
        <f t="shared" si="3"/>
        <v>0.2</v>
      </c>
      <c r="O18" s="117">
        <f t="shared" si="4"/>
        <v>0.001022352941</v>
      </c>
      <c r="P18" s="117">
        <f t="shared" si="5"/>
        <v>2.81</v>
      </c>
      <c r="Q18" s="118">
        <f t="shared" si="6"/>
        <v>2030</v>
      </c>
      <c r="R18" s="117">
        <f t="shared" si="7"/>
        <v>4.24676</v>
      </c>
      <c r="S18" s="117">
        <f t="shared" si="8"/>
        <v>0.01441</v>
      </c>
      <c r="T18" s="117">
        <f t="shared" si="9"/>
        <v>7.072192353</v>
      </c>
      <c r="U18" s="117">
        <f t="shared" si="10"/>
        <v>25.17225024</v>
      </c>
      <c r="V18" s="115" t="str">
        <f t="shared" si="14"/>
        <v>#REF!</v>
      </c>
    </row>
    <row r="19">
      <c r="A19" s="70">
        <v>20.0</v>
      </c>
      <c r="B19" s="70" t="s">
        <v>134</v>
      </c>
      <c r="C19" s="4" t="s">
        <v>80</v>
      </c>
      <c r="D19" s="4" t="s">
        <v>81</v>
      </c>
      <c r="E19" s="159"/>
      <c r="F19" s="142">
        <v>45437.0</v>
      </c>
      <c r="G19" s="139">
        <f t="shared" si="15"/>
        <v>45441</v>
      </c>
      <c r="H19" s="139">
        <f t="shared" si="16"/>
        <v>45444</v>
      </c>
      <c r="I19" s="136">
        <f t="shared" si="13"/>
        <v>20</v>
      </c>
      <c r="J19" s="157">
        <v>0.44</v>
      </c>
      <c r="K19" s="4" t="s">
        <v>1436</v>
      </c>
      <c r="L19" s="115">
        <f t="shared" si="1"/>
        <v>32.24444259</v>
      </c>
      <c r="M19" s="116">
        <f t="shared" si="2"/>
        <v>0.68</v>
      </c>
      <c r="N19" s="116">
        <f t="shared" si="3"/>
        <v>0.2</v>
      </c>
      <c r="O19" s="117">
        <f t="shared" si="4"/>
        <v>0.001022352941</v>
      </c>
      <c r="P19" s="117">
        <f t="shared" si="5"/>
        <v>2.81</v>
      </c>
      <c r="Q19" s="118">
        <f t="shared" si="6"/>
        <v>2030</v>
      </c>
      <c r="R19" s="117">
        <f t="shared" si="7"/>
        <v>4.24676</v>
      </c>
      <c r="S19" s="117">
        <f t="shared" si="8"/>
        <v>0.01441</v>
      </c>
      <c r="T19" s="117">
        <f t="shared" si="9"/>
        <v>7.072192353</v>
      </c>
      <c r="U19" s="117">
        <f t="shared" si="10"/>
        <v>25.17225024</v>
      </c>
      <c r="V19" s="115" t="str">
        <f t="shared" si="14"/>
        <v>#REF!</v>
      </c>
    </row>
    <row r="20">
      <c r="A20" s="70">
        <v>21.0</v>
      </c>
      <c r="B20" s="70" t="s">
        <v>138</v>
      </c>
      <c r="C20" s="4" t="s">
        <v>80</v>
      </c>
      <c r="D20" s="4" t="s">
        <v>81</v>
      </c>
      <c r="E20" s="159"/>
      <c r="F20" s="142">
        <v>45437.0</v>
      </c>
      <c r="G20" s="139">
        <f t="shared" si="15"/>
        <v>45441</v>
      </c>
      <c r="H20" s="139">
        <f t="shared" si="16"/>
        <v>45444</v>
      </c>
      <c r="I20" s="136">
        <f t="shared" si="13"/>
        <v>20</v>
      </c>
      <c r="J20" s="157">
        <v>0.44</v>
      </c>
      <c r="K20" s="4" t="s">
        <v>1436</v>
      </c>
      <c r="L20" s="115">
        <f t="shared" si="1"/>
        <v>32.24444259</v>
      </c>
      <c r="M20" s="116">
        <f t="shared" si="2"/>
        <v>0.68</v>
      </c>
      <c r="N20" s="116">
        <f t="shared" si="3"/>
        <v>0.2</v>
      </c>
      <c r="O20" s="117">
        <f t="shared" si="4"/>
        <v>0.001022352941</v>
      </c>
      <c r="P20" s="117">
        <f t="shared" si="5"/>
        <v>2.81</v>
      </c>
      <c r="Q20" s="118">
        <f t="shared" si="6"/>
        <v>2030</v>
      </c>
      <c r="R20" s="117">
        <f t="shared" si="7"/>
        <v>4.24676</v>
      </c>
      <c r="S20" s="117">
        <f t="shared" si="8"/>
        <v>0.01441</v>
      </c>
      <c r="T20" s="117">
        <f t="shared" si="9"/>
        <v>7.072192353</v>
      </c>
      <c r="U20" s="117">
        <f t="shared" si="10"/>
        <v>25.17225024</v>
      </c>
      <c r="V20" s="115" t="str">
        <f t="shared" si="14"/>
        <v>#REF!</v>
      </c>
    </row>
    <row r="21">
      <c r="A21" s="70">
        <v>18.0</v>
      </c>
      <c r="B21" s="70" t="s">
        <v>1899</v>
      </c>
      <c r="C21" s="4" t="s">
        <v>80</v>
      </c>
      <c r="D21" s="4" t="s">
        <v>105</v>
      </c>
      <c r="E21" s="322">
        <v>1.0</v>
      </c>
      <c r="F21" s="139">
        <v>45443.0</v>
      </c>
      <c r="G21" s="139">
        <f t="shared" si="15"/>
        <v>45464</v>
      </c>
      <c r="H21" s="139">
        <f t="shared" si="16"/>
        <v>45469</v>
      </c>
      <c r="I21" s="136">
        <f t="shared" si="13"/>
        <v>80</v>
      </c>
      <c r="J21" s="157">
        <v>0.44</v>
      </c>
      <c r="K21" s="4" t="s">
        <v>1436</v>
      </c>
      <c r="L21" s="115">
        <f t="shared" si="1"/>
        <v>128.9777704</v>
      </c>
      <c r="M21" s="116">
        <f t="shared" si="2"/>
        <v>0.68</v>
      </c>
      <c r="N21" s="116">
        <f t="shared" si="3"/>
        <v>0.2</v>
      </c>
      <c r="O21" s="117">
        <f t="shared" si="4"/>
        <v>0.004089411765</v>
      </c>
      <c r="P21" s="117">
        <f t="shared" si="5"/>
        <v>11.24</v>
      </c>
      <c r="Q21" s="118">
        <f t="shared" si="6"/>
        <v>2030</v>
      </c>
      <c r="R21" s="117">
        <f t="shared" si="7"/>
        <v>16.98704</v>
      </c>
      <c r="S21" s="117">
        <f t="shared" si="8"/>
        <v>0.05764</v>
      </c>
      <c r="T21" s="117">
        <f t="shared" si="9"/>
        <v>28.28876941</v>
      </c>
      <c r="U21" s="117">
        <f t="shared" si="10"/>
        <v>100.689001</v>
      </c>
      <c r="V21" s="115" t="str">
        <f t="shared" si="14"/>
        <v>#REF!</v>
      </c>
    </row>
    <row r="22">
      <c r="A22" s="70">
        <v>28.0</v>
      </c>
      <c r="B22" s="70" t="s">
        <v>1900</v>
      </c>
      <c r="C22" s="4" t="s">
        <v>80</v>
      </c>
      <c r="D22" s="4" t="s">
        <v>105</v>
      </c>
      <c r="E22" s="322">
        <v>5.0</v>
      </c>
      <c r="F22" s="139">
        <v>45443.0</v>
      </c>
      <c r="G22" s="139">
        <f t="shared" si="15"/>
        <v>45464</v>
      </c>
      <c r="H22" s="139">
        <f t="shared" si="16"/>
        <v>45469</v>
      </c>
      <c r="I22" s="136">
        <f t="shared" si="13"/>
        <v>80</v>
      </c>
      <c r="J22" s="157">
        <v>0.44</v>
      </c>
      <c r="K22" s="4" t="s">
        <v>1436</v>
      </c>
      <c r="L22" s="115">
        <f t="shared" si="1"/>
        <v>128.9777704</v>
      </c>
      <c r="M22" s="116">
        <f t="shared" si="2"/>
        <v>0.68</v>
      </c>
      <c r="N22" s="116">
        <f t="shared" si="3"/>
        <v>0.2</v>
      </c>
      <c r="O22" s="117">
        <f t="shared" si="4"/>
        <v>0.004089411765</v>
      </c>
      <c r="P22" s="117">
        <f t="shared" si="5"/>
        <v>11.24</v>
      </c>
      <c r="Q22" s="118">
        <f t="shared" si="6"/>
        <v>2030</v>
      </c>
      <c r="R22" s="117">
        <f t="shared" si="7"/>
        <v>16.98704</v>
      </c>
      <c r="S22" s="117">
        <f t="shared" si="8"/>
        <v>0.05764</v>
      </c>
      <c r="T22" s="117">
        <f t="shared" si="9"/>
        <v>28.28876941</v>
      </c>
      <c r="U22" s="117">
        <f t="shared" si="10"/>
        <v>100.689001</v>
      </c>
      <c r="V22" s="115" t="str">
        <f t="shared" si="14"/>
        <v>#REF!</v>
      </c>
    </row>
    <row r="23">
      <c r="A23" s="70">
        <v>29.0</v>
      </c>
      <c r="B23" s="70" t="s">
        <v>1901</v>
      </c>
      <c r="C23" s="4" t="s">
        <v>80</v>
      </c>
      <c r="D23" s="4" t="s">
        <v>105</v>
      </c>
      <c r="E23" s="322">
        <v>6.0</v>
      </c>
      <c r="F23" s="139">
        <v>45443.0</v>
      </c>
      <c r="G23" s="139">
        <f t="shared" si="15"/>
        <v>45464</v>
      </c>
      <c r="H23" s="139">
        <f t="shared" si="16"/>
        <v>45469</v>
      </c>
      <c r="I23" s="136">
        <f t="shared" si="13"/>
        <v>80</v>
      </c>
      <c r="J23" s="157">
        <v>0.44</v>
      </c>
      <c r="K23" s="4" t="s">
        <v>1436</v>
      </c>
      <c r="L23" s="115">
        <f t="shared" si="1"/>
        <v>128.9777704</v>
      </c>
      <c r="M23" s="116">
        <f t="shared" si="2"/>
        <v>0.68</v>
      </c>
      <c r="N23" s="116">
        <f t="shared" si="3"/>
        <v>0.2</v>
      </c>
      <c r="O23" s="117">
        <f t="shared" si="4"/>
        <v>0.004089411765</v>
      </c>
      <c r="P23" s="117">
        <f t="shared" si="5"/>
        <v>11.24</v>
      </c>
      <c r="Q23" s="118">
        <f t="shared" si="6"/>
        <v>2030</v>
      </c>
      <c r="R23" s="117">
        <f t="shared" si="7"/>
        <v>16.98704</v>
      </c>
      <c r="S23" s="117">
        <f t="shared" si="8"/>
        <v>0.05764</v>
      </c>
      <c r="T23" s="117">
        <f t="shared" si="9"/>
        <v>28.28876941</v>
      </c>
      <c r="U23" s="117">
        <f t="shared" si="10"/>
        <v>100.689001</v>
      </c>
      <c r="V23" s="115" t="str">
        <f t="shared" si="14"/>
        <v>#REF!</v>
      </c>
    </row>
    <row r="24">
      <c r="A24" s="70">
        <v>22.0</v>
      </c>
      <c r="B24" s="70"/>
      <c r="C24" s="4" t="s">
        <v>80</v>
      </c>
      <c r="D24" s="4" t="s">
        <v>81</v>
      </c>
      <c r="E24" s="159"/>
      <c r="F24" s="142">
        <v>45446.0</v>
      </c>
      <c r="G24" s="139">
        <f t="shared" si="15"/>
        <v>45450</v>
      </c>
      <c r="H24" s="139">
        <f t="shared" si="16"/>
        <v>45453</v>
      </c>
      <c r="I24" s="136">
        <f t="shared" si="13"/>
        <v>20</v>
      </c>
      <c r="J24" s="157">
        <v>0.44</v>
      </c>
      <c r="K24" s="4" t="s">
        <v>1436</v>
      </c>
      <c r="L24" s="115">
        <f t="shared" si="1"/>
        <v>32.24444259</v>
      </c>
      <c r="M24" s="116">
        <f t="shared" si="2"/>
        <v>0.68</v>
      </c>
      <c r="N24" s="116">
        <f t="shared" si="3"/>
        <v>0.2</v>
      </c>
      <c r="O24" s="117">
        <f t="shared" si="4"/>
        <v>0.001022352941</v>
      </c>
      <c r="P24" s="117">
        <f t="shared" si="5"/>
        <v>2.81</v>
      </c>
      <c r="Q24" s="118">
        <f t="shared" si="6"/>
        <v>2030</v>
      </c>
      <c r="R24" s="117">
        <f t="shared" si="7"/>
        <v>4.24676</v>
      </c>
      <c r="S24" s="117">
        <f t="shared" si="8"/>
        <v>0.01441</v>
      </c>
      <c r="T24" s="117">
        <f t="shared" si="9"/>
        <v>7.072192353</v>
      </c>
      <c r="U24" s="117">
        <f t="shared" si="10"/>
        <v>25.17225024</v>
      </c>
      <c r="V24" s="115" t="str">
        <f t="shared" si="14"/>
        <v>#REF!</v>
      </c>
    </row>
    <row r="25">
      <c r="A25" s="70">
        <v>23.0</v>
      </c>
      <c r="B25" s="70"/>
      <c r="C25" s="4" t="s">
        <v>80</v>
      </c>
      <c r="D25" s="4" t="s">
        <v>81</v>
      </c>
      <c r="E25" s="159"/>
      <c r="F25" s="142">
        <v>45446.0</v>
      </c>
      <c r="G25" s="139">
        <f t="shared" si="15"/>
        <v>45450</v>
      </c>
      <c r="H25" s="139">
        <f t="shared" si="16"/>
        <v>45453</v>
      </c>
      <c r="I25" s="136">
        <f t="shared" si="13"/>
        <v>20</v>
      </c>
      <c r="J25" s="157">
        <v>0.44</v>
      </c>
      <c r="K25" s="4" t="s">
        <v>1436</v>
      </c>
      <c r="L25" s="115">
        <f t="shared" si="1"/>
        <v>32.24444259</v>
      </c>
      <c r="M25" s="116">
        <f t="shared" si="2"/>
        <v>0.68</v>
      </c>
      <c r="N25" s="116">
        <f t="shared" si="3"/>
        <v>0.2</v>
      </c>
      <c r="O25" s="117">
        <f t="shared" si="4"/>
        <v>0.001022352941</v>
      </c>
      <c r="P25" s="117">
        <f t="shared" si="5"/>
        <v>2.81</v>
      </c>
      <c r="Q25" s="118">
        <f t="shared" si="6"/>
        <v>2030</v>
      </c>
      <c r="R25" s="117">
        <f t="shared" si="7"/>
        <v>4.24676</v>
      </c>
      <c r="S25" s="117">
        <f t="shared" si="8"/>
        <v>0.01441</v>
      </c>
      <c r="T25" s="117">
        <f t="shared" si="9"/>
        <v>7.072192353</v>
      </c>
      <c r="U25" s="117">
        <f t="shared" si="10"/>
        <v>25.17225024</v>
      </c>
      <c r="V25" s="115" t="str">
        <f t="shared" si="14"/>
        <v>#REF!</v>
      </c>
    </row>
    <row r="26">
      <c r="A26" s="70">
        <v>24.0</v>
      </c>
      <c r="B26" s="70"/>
      <c r="C26" s="4" t="s">
        <v>80</v>
      </c>
      <c r="D26" s="4" t="s">
        <v>81</v>
      </c>
      <c r="E26" s="159"/>
      <c r="F26" s="142">
        <v>45446.0</v>
      </c>
      <c r="G26" s="139">
        <f t="shared" si="15"/>
        <v>45450</v>
      </c>
      <c r="H26" s="139">
        <f t="shared" si="16"/>
        <v>45453</v>
      </c>
      <c r="I26" s="136">
        <f t="shared" si="13"/>
        <v>20</v>
      </c>
      <c r="J26" s="157">
        <v>0.44</v>
      </c>
      <c r="K26" s="4" t="s">
        <v>1436</v>
      </c>
      <c r="L26" s="115">
        <f t="shared" si="1"/>
        <v>32.24444259</v>
      </c>
      <c r="M26" s="116">
        <f t="shared" si="2"/>
        <v>0.68</v>
      </c>
      <c r="N26" s="116">
        <f t="shared" si="3"/>
        <v>0.2</v>
      </c>
      <c r="O26" s="117">
        <f t="shared" si="4"/>
        <v>0.001022352941</v>
      </c>
      <c r="P26" s="117">
        <f t="shared" si="5"/>
        <v>2.81</v>
      </c>
      <c r="Q26" s="118">
        <f t="shared" si="6"/>
        <v>2030</v>
      </c>
      <c r="R26" s="117">
        <f t="shared" si="7"/>
        <v>4.24676</v>
      </c>
      <c r="S26" s="117">
        <f t="shared" si="8"/>
        <v>0.01441</v>
      </c>
      <c r="T26" s="117">
        <f t="shared" si="9"/>
        <v>7.072192353</v>
      </c>
      <c r="U26" s="117">
        <f t="shared" si="10"/>
        <v>25.17225024</v>
      </c>
      <c r="V26" s="115" t="str">
        <f t="shared" si="14"/>
        <v>#REF!</v>
      </c>
    </row>
    <row r="27">
      <c r="A27" s="70">
        <v>25.0</v>
      </c>
      <c r="C27" s="4" t="s">
        <v>80</v>
      </c>
      <c r="D27" s="4" t="s">
        <v>105</v>
      </c>
      <c r="E27" s="322">
        <v>2.0</v>
      </c>
      <c r="F27" s="139">
        <v>45450.0</v>
      </c>
      <c r="G27" s="139">
        <f t="shared" si="15"/>
        <v>45471</v>
      </c>
      <c r="H27" s="139">
        <f t="shared" si="16"/>
        <v>45476</v>
      </c>
      <c r="I27" s="136">
        <f t="shared" si="13"/>
        <v>80</v>
      </c>
      <c r="J27" s="157">
        <v>0.44</v>
      </c>
      <c r="K27" s="4" t="s">
        <v>1436</v>
      </c>
      <c r="L27" s="115">
        <f t="shared" si="1"/>
        <v>128.9777704</v>
      </c>
      <c r="M27" s="116">
        <f t="shared" si="2"/>
        <v>0.68</v>
      </c>
      <c r="N27" s="116">
        <f t="shared" si="3"/>
        <v>0.2</v>
      </c>
      <c r="O27" s="117">
        <f t="shared" si="4"/>
        <v>0.004089411765</v>
      </c>
      <c r="P27" s="117">
        <f t="shared" si="5"/>
        <v>11.24</v>
      </c>
      <c r="Q27" s="118">
        <f t="shared" si="6"/>
        <v>2030</v>
      </c>
      <c r="R27" s="117">
        <f t="shared" si="7"/>
        <v>16.98704</v>
      </c>
      <c r="S27" s="117">
        <f t="shared" si="8"/>
        <v>0.05764</v>
      </c>
      <c r="T27" s="117">
        <f t="shared" si="9"/>
        <v>28.28876941</v>
      </c>
      <c r="U27" s="117">
        <f t="shared" si="10"/>
        <v>100.689001</v>
      </c>
      <c r="V27" s="115" t="str">
        <f t="shared" si="14"/>
        <v>#REF!</v>
      </c>
    </row>
    <row r="28">
      <c r="A28" s="70">
        <v>26.0</v>
      </c>
      <c r="C28" s="4" t="s">
        <v>80</v>
      </c>
      <c r="D28" s="4" t="s">
        <v>105</v>
      </c>
      <c r="E28" s="322">
        <v>3.0</v>
      </c>
      <c r="F28" s="139">
        <v>45450.0</v>
      </c>
      <c r="G28" s="139">
        <f t="shared" si="15"/>
        <v>45471</v>
      </c>
      <c r="H28" s="139">
        <f t="shared" si="16"/>
        <v>45476</v>
      </c>
      <c r="I28" s="136">
        <f t="shared" si="13"/>
        <v>80</v>
      </c>
      <c r="J28" s="157">
        <v>0.44</v>
      </c>
      <c r="K28" s="4" t="s">
        <v>1436</v>
      </c>
      <c r="L28" s="115">
        <f t="shared" si="1"/>
        <v>128.9777704</v>
      </c>
      <c r="M28" s="116">
        <f t="shared" si="2"/>
        <v>0.68</v>
      </c>
      <c r="N28" s="116">
        <f t="shared" si="3"/>
        <v>0.2</v>
      </c>
      <c r="O28" s="117">
        <f t="shared" si="4"/>
        <v>0.004089411765</v>
      </c>
      <c r="P28" s="117">
        <f t="shared" si="5"/>
        <v>11.24</v>
      </c>
      <c r="Q28" s="118">
        <f t="shared" si="6"/>
        <v>2030</v>
      </c>
      <c r="R28" s="117">
        <f t="shared" si="7"/>
        <v>16.98704</v>
      </c>
      <c r="S28" s="117">
        <f t="shared" si="8"/>
        <v>0.05764</v>
      </c>
      <c r="T28" s="117">
        <f t="shared" si="9"/>
        <v>28.28876941</v>
      </c>
      <c r="U28" s="117">
        <f t="shared" si="10"/>
        <v>100.689001</v>
      </c>
      <c r="V28" s="115" t="str">
        <f t="shared" si="14"/>
        <v>#REF!</v>
      </c>
    </row>
    <row r="29">
      <c r="A29" s="70">
        <v>27.0</v>
      </c>
      <c r="C29" s="4" t="s">
        <v>80</v>
      </c>
      <c r="D29" s="4" t="s">
        <v>105</v>
      </c>
      <c r="E29" s="322">
        <v>4.0</v>
      </c>
      <c r="F29" s="139">
        <v>45450.0</v>
      </c>
      <c r="G29" s="139">
        <f t="shared" si="15"/>
        <v>45471</v>
      </c>
      <c r="H29" s="139">
        <f t="shared" si="16"/>
        <v>45476</v>
      </c>
      <c r="I29" s="136">
        <f t="shared" si="13"/>
        <v>80</v>
      </c>
      <c r="J29" s="157">
        <v>0.44</v>
      </c>
      <c r="K29" s="4" t="s">
        <v>1436</v>
      </c>
      <c r="L29" s="115">
        <f t="shared" si="1"/>
        <v>128.9777704</v>
      </c>
      <c r="M29" s="116">
        <f t="shared" si="2"/>
        <v>0.68</v>
      </c>
      <c r="N29" s="116">
        <f t="shared" si="3"/>
        <v>0.2</v>
      </c>
      <c r="O29" s="117">
        <f t="shared" si="4"/>
        <v>0.004089411765</v>
      </c>
      <c r="P29" s="117">
        <f t="shared" si="5"/>
        <v>11.24</v>
      </c>
      <c r="Q29" s="118">
        <f t="shared" si="6"/>
        <v>2030</v>
      </c>
      <c r="R29" s="117">
        <f t="shared" si="7"/>
        <v>16.98704</v>
      </c>
      <c r="S29" s="117">
        <f t="shared" si="8"/>
        <v>0.05764</v>
      </c>
      <c r="T29" s="117">
        <f t="shared" si="9"/>
        <v>28.28876941</v>
      </c>
      <c r="U29" s="117">
        <f t="shared" si="10"/>
        <v>100.689001</v>
      </c>
      <c r="V29" s="115" t="str">
        <f t="shared" si="14"/>
        <v>#REF!</v>
      </c>
    </row>
    <row r="30">
      <c r="A30" s="70">
        <v>30.0</v>
      </c>
      <c r="C30" s="4" t="s">
        <v>80</v>
      </c>
      <c r="D30" s="4" t="s">
        <v>105</v>
      </c>
      <c r="E30" s="322">
        <v>7.0</v>
      </c>
      <c r="F30" s="139">
        <v>45457.0</v>
      </c>
      <c r="G30" s="139">
        <f t="shared" si="15"/>
        <v>45478</v>
      </c>
      <c r="H30" s="139">
        <f t="shared" si="16"/>
        <v>45483</v>
      </c>
      <c r="I30" s="136">
        <f t="shared" si="13"/>
        <v>80</v>
      </c>
      <c r="J30" s="157">
        <v>0.44</v>
      </c>
      <c r="K30" s="4" t="s">
        <v>1436</v>
      </c>
      <c r="L30" s="115">
        <f t="shared" si="1"/>
        <v>128.9777704</v>
      </c>
      <c r="M30" s="116">
        <f t="shared" si="2"/>
        <v>0.68</v>
      </c>
      <c r="N30" s="116">
        <f t="shared" si="3"/>
        <v>0.2</v>
      </c>
      <c r="O30" s="117">
        <f t="shared" si="4"/>
        <v>0.004089411765</v>
      </c>
      <c r="P30" s="117">
        <f t="shared" si="5"/>
        <v>11.24</v>
      </c>
      <c r="Q30" s="118">
        <f t="shared" si="6"/>
        <v>2030</v>
      </c>
      <c r="R30" s="117">
        <f t="shared" si="7"/>
        <v>16.98704</v>
      </c>
      <c r="S30" s="117">
        <f t="shared" si="8"/>
        <v>0.05764</v>
      </c>
      <c r="T30" s="117">
        <f t="shared" si="9"/>
        <v>28.28876941</v>
      </c>
      <c r="U30" s="117">
        <f t="shared" si="10"/>
        <v>100.689001</v>
      </c>
      <c r="V30" s="115" t="str">
        <f t="shared" si="14"/>
        <v>#REF!</v>
      </c>
    </row>
    <row r="31">
      <c r="A31" s="70">
        <v>31.0</v>
      </c>
      <c r="C31" s="4" t="s">
        <v>80</v>
      </c>
      <c r="D31" s="4" t="s">
        <v>105</v>
      </c>
      <c r="E31" s="322">
        <v>8.0</v>
      </c>
      <c r="F31" s="139">
        <v>45457.0</v>
      </c>
      <c r="G31" s="139">
        <f t="shared" si="15"/>
        <v>45478</v>
      </c>
      <c r="H31" s="139">
        <f t="shared" si="16"/>
        <v>45483</v>
      </c>
      <c r="I31" s="136">
        <f t="shared" si="13"/>
        <v>80</v>
      </c>
      <c r="J31" s="157">
        <v>0.44</v>
      </c>
      <c r="K31" s="4" t="s">
        <v>1436</v>
      </c>
      <c r="L31" s="115">
        <f t="shared" si="1"/>
        <v>128.9777704</v>
      </c>
      <c r="M31" s="116">
        <f t="shared" si="2"/>
        <v>0.68</v>
      </c>
      <c r="N31" s="116">
        <f t="shared" si="3"/>
        <v>0.2</v>
      </c>
      <c r="O31" s="117">
        <f t="shared" si="4"/>
        <v>0.004089411765</v>
      </c>
      <c r="P31" s="117">
        <f t="shared" si="5"/>
        <v>11.24</v>
      </c>
      <c r="Q31" s="118">
        <f t="shared" si="6"/>
        <v>2030</v>
      </c>
      <c r="R31" s="117">
        <f t="shared" si="7"/>
        <v>16.98704</v>
      </c>
      <c r="S31" s="117">
        <f t="shared" si="8"/>
        <v>0.05764</v>
      </c>
      <c r="T31" s="117">
        <f t="shared" si="9"/>
        <v>28.28876941</v>
      </c>
      <c r="U31" s="117">
        <f t="shared" si="10"/>
        <v>100.689001</v>
      </c>
      <c r="V31" s="115" t="str">
        <f t="shared" si="14"/>
        <v>#REF!</v>
      </c>
    </row>
    <row r="32">
      <c r="A32" s="70">
        <v>32.0</v>
      </c>
      <c r="C32" s="4" t="s">
        <v>80</v>
      </c>
      <c r="D32" s="4" t="s">
        <v>105</v>
      </c>
      <c r="E32" s="322">
        <v>9.0</v>
      </c>
      <c r="F32" s="139">
        <v>45457.0</v>
      </c>
      <c r="G32" s="139">
        <f t="shared" si="15"/>
        <v>45478</v>
      </c>
      <c r="H32" s="139">
        <f t="shared" si="16"/>
        <v>45483</v>
      </c>
      <c r="I32" s="136">
        <f t="shared" si="13"/>
        <v>80</v>
      </c>
      <c r="J32" s="157">
        <v>0.44</v>
      </c>
      <c r="K32" s="4" t="s">
        <v>1436</v>
      </c>
      <c r="L32" s="115">
        <f t="shared" si="1"/>
        <v>128.9777704</v>
      </c>
      <c r="M32" s="116">
        <f t="shared" si="2"/>
        <v>0.68</v>
      </c>
      <c r="N32" s="116">
        <f t="shared" si="3"/>
        <v>0.2</v>
      </c>
      <c r="O32" s="117">
        <f t="shared" si="4"/>
        <v>0.004089411765</v>
      </c>
      <c r="P32" s="117">
        <f t="shared" si="5"/>
        <v>11.24</v>
      </c>
      <c r="Q32" s="118">
        <f t="shared" si="6"/>
        <v>2030</v>
      </c>
      <c r="R32" s="117">
        <f t="shared" si="7"/>
        <v>16.98704</v>
      </c>
      <c r="S32" s="117">
        <f t="shared" si="8"/>
        <v>0.05764</v>
      </c>
      <c r="T32" s="117">
        <f t="shared" si="9"/>
        <v>28.28876941</v>
      </c>
      <c r="U32" s="117">
        <f t="shared" si="10"/>
        <v>100.689001</v>
      </c>
      <c r="V32" s="115" t="str">
        <f t="shared" si="14"/>
        <v>#REF!</v>
      </c>
    </row>
    <row r="33">
      <c r="A33" s="70">
        <v>36.0</v>
      </c>
      <c r="C33" s="4" t="s">
        <v>80</v>
      </c>
      <c r="D33" s="4" t="s">
        <v>105</v>
      </c>
      <c r="E33" s="322">
        <v>1.0</v>
      </c>
      <c r="F33" s="139">
        <v>45478.0</v>
      </c>
      <c r="G33" s="139">
        <f t="shared" si="15"/>
        <v>45499</v>
      </c>
      <c r="H33" s="139">
        <f t="shared" si="16"/>
        <v>45504</v>
      </c>
      <c r="I33" s="136">
        <f t="shared" si="13"/>
        <v>80</v>
      </c>
      <c r="J33" s="157">
        <v>0.44</v>
      </c>
      <c r="K33" s="4" t="s">
        <v>1436</v>
      </c>
      <c r="L33" s="115">
        <f t="shared" si="1"/>
        <v>128.9777704</v>
      </c>
      <c r="M33" s="116">
        <f t="shared" si="2"/>
        <v>0.68</v>
      </c>
      <c r="N33" s="116">
        <f t="shared" si="3"/>
        <v>0.2</v>
      </c>
      <c r="O33" s="117">
        <f t="shared" si="4"/>
        <v>0.004089411765</v>
      </c>
      <c r="P33" s="117">
        <f t="shared" si="5"/>
        <v>11.24</v>
      </c>
      <c r="Q33" s="118">
        <f t="shared" si="6"/>
        <v>2030</v>
      </c>
      <c r="R33" s="117">
        <f t="shared" si="7"/>
        <v>16.98704</v>
      </c>
      <c r="S33" s="117">
        <f t="shared" si="8"/>
        <v>0.05764</v>
      </c>
      <c r="T33" s="117">
        <f t="shared" si="9"/>
        <v>28.28876941</v>
      </c>
      <c r="U33" s="117">
        <f t="shared" si="10"/>
        <v>100.689001</v>
      </c>
      <c r="V33" s="115" t="str">
        <f t="shared" si="14"/>
        <v>#REF!</v>
      </c>
    </row>
    <row r="34">
      <c r="A34" s="70">
        <v>37.0</v>
      </c>
      <c r="B34" s="70"/>
      <c r="C34" s="4" t="s">
        <v>80</v>
      </c>
      <c r="D34" s="4" t="s">
        <v>81</v>
      </c>
      <c r="E34" s="159"/>
      <c r="F34" s="142">
        <v>45478.0</v>
      </c>
      <c r="G34" s="139">
        <f t="shared" si="15"/>
        <v>45482</v>
      </c>
      <c r="H34" s="139">
        <f t="shared" si="16"/>
        <v>45485</v>
      </c>
      <c r="I34" s="136">
        <f t="shared" si="13"/>
        <v>20</v>
      </c>
      <c r="J34" s="157">
        <v>0.44</v>
      </c>
      <c r="K34" s="4" t="s">
        <v>1436</v>
      </c>
      <c r="L34" s="115">
        <f t="shared" si="1"/>
        <v>32.24444259</v>
      </c>
      <c r="M34" s="116">
        <f t="shared" si="2"/>
        <v>0.68</v>
      </c>
      <c r="N34" s="116">
        <f t="shared" si="3"/>
        <v>0.2</v>
      </c>
      <c r="O34" s="117">
        <f t="shared" si="4"/>
        <v>0.001022352941</v>
      </c>
      <c r="P34" s="117">
        <f t="shared" si="5"/>
        <v>2.81</v>
      </c>
      <c r="Q34" s="118">
        <f t="shared" si="6"/>
        <v>2030</v>
      </c>
      <c r="R34" s="117">
        <f t="shared" si="7"/>
        <v>4.24676</v>
      </c>
      <c r="S34" s="117">
        <f t="shared" si="8"/>
        <v>0.01441</v>
      </c>
      <c r="T34" s="117">
        <f t="shared" si="9"/>
        <v>7.072192353</v>
      </c>
      <c r="U34" s="117">
        <f t="shared" si="10"/>
        <v>25.17225024</v>
      </c>
      <c r="V34" s="115" t="str">
        <f t="shared" si="14"/>
        <v>#REF!</v>
      </c>
    </row>
    <row r="35">
      <c r="A35" s="70">
        <v>38.0</v>
      </c>
      <c r="B35" s="70"/>
      <c r="C35" s="4" t="s">
        <v>80</v>
      </c>
      <c r="D35" s="4" t="s">
        <v>81</v>
      </c>
      <c r="E35" s="159"/>
      <c r="F35" s="142">
        <v>45478.0</v>
      </c>
      <c r="G35" s="139">
        <f t="shared" si="15"/>
        <v>45482</v>
      </c>
      <c r="H35" s="139">
        <f t="shared" si="16"/>
        <v>45485</v>
      </c>
      <c r="I35" s="136">
        <f t="shared" si="13"/>
        <v>20</v>
      </c>
      <c r="J35" s="157">
        <v>0.44</v>
      </c>
      <c r="K35" s="4" t="s">
        <v>1436</v>
      </c>
      <c r="L35" s="115">
        <f t="shared" si="1"/>
        <v>32.24444259</v>
      </c>
      <c r="M35" s="116">
        <f t="shared" si="2"/>
        <v>0.68</v>
      </c>
      <c r="N35" s="116">
        <f t="shared" si="3"/>
        <v>0.2</v>
      </c>
      <c r="O35" s="117">
        <f t="shared" si="4"/>
        <v>0.001022352941</v>
      </c>
      <c r="P35" s="117">
        <f t="shared" si="5"/>
        <v>2.81</v>
      </c>
      <c r="Q35" s="118">
        <f t="shared" si="6"/>
        <v>2030</v>
      </c>
      <c r="R35" s="117">
        <f t="shared" si="7"/>
        <v>4.24676</v>
      </c>
      <c r="S35" s="117">
        <f t="shared" si="8"/>
        <v>0.01441</v>
      </c>
      <c r="T35" s="117">
        <f t="shared" si="9"/>
        <v>7.072192353</v>
      </c>
      <c r="U35" s="117">
        <f t="shared" si="10"/>
        <v>25.17225024</v>
      </c>
      <c r="V35" s="115" t="str">
        <f t="shared" si="14"/>
        <v>#REF!</v>
      </c>
    </row>
    <row r="36">
      <c r="A36" s="70">
        <v>39.0</v>
      </c>
      <c r="B36" s="70"/>
      <c r="C36" s="4" t="s">
        <v>80</v>
      </c>
      <c r="D36" s="4" t="s">
        <v>81</v>
      </c>
      <c r="E36" s="159"/>
      <c r="F36" s="142">
        <v>45478.0</v>
      </c>
      <c r="G36" s="139">
        <f t="shared" si="15"/>
        <v>45482</v>
      </c>
      <c r="H36" s="139">
        <f t="shared" si="16"/>
        <v>45485</v>
      </c>
      <c r="I36" s="136">
        <f t="shared" si="13"/>
        <v>20</v>
      </c>
      <c r="J36" s="157">
        <v>0.44</v>
      </c>
      <c r="K36" s="4" t="s">
        <v>1436</v>
      </c>
      <c r="L36" s="115">
        <f t="shared" si="1"/>
        <v>32.24444259</v>
      </c>
      <c r="M36" s="116">
        <f t="shared" si="2"/>
        <v>0.68</v>
      </c>
      <c r="N36" s="116">
        <f t="shared" si="3"/>
        <v>0.2</v>
      </c>
      <c r="O36" s="117">
        <f t="shared" si="4"/>
        <v>0.001022352941</v>
      </c>
      <c r="P36" s="117">
        <f t="shared" si="5"/>
        <v>2.81</v>
      </c>
      <c r="Q36" s="118">
        <f t="shared" si="6"/>
        <v>2030</v>
      </c>
      <c r="R36" s="117">
        <f t="shared" si="7"/>
        <v>4.24676</v>
      </c>
      <c r="S36" s="117">
        <f t="shared" si="8"/>
        <v>0.01441</v>
      </c>
      <c r="T36" s="117">
        <f t="shared" si="9"/>
        <v>7.072192353</v>
      </c>
      <c r="U36" s="117">
        <f t="shared" si="10"/>
        <v>25.17225024</v>
      </c>
      <c r="V36" s="115" t="str">
        <f t="shared" si="14"/>
        <v>#REF!</v>
      </c>
    </row>
    <row r="37">
      <c r="A37" s="70">
        <v>46.0</v>
      </c>
      <c r="C37" s="4" t="s">
        <v>80</v>
      </c>
      <c r="D37" s="4" t="s">
        <v>105</v>
      </c>
      <c r="E37" s="322">
        <v>5.0</v>
      </c>
      <c r="F37" s="139">
        <v>45478.0</v>
      </c>
      <c r="G37" s="139">
        <f t="shared" si="15"/>
        <v>45499</v>
      </c>
      <c r="H37" s="139">
        <f t="shared" si="16"/>
        <v>45504</v>
      </c>
      <c r="I37" s="136">
        <f t="shared" si="13"/>
        <v>80</v>
      </c>
      <c r="J37" s="157">
        <v>0.44</v>
      </c>
      <c r="K37" s="4" t="s">
        <v>1436</v>
      </c>
      <c r="L37" s="115">
        <f t="shared" si="1"/>
        <v>128.9777704</v>
      </c>
      <c r="M37" s="116">
        <f t="shared" si="2"/>
        <v>0.68</v>
      </c>
      <c r="N37" s="116">
        <f t="shared" si="3"/>
        <v>0.2</v>
      </c>
      <c r="O37" s="117">
        <f t="shared" si="4"/>
        <v>0.004089411765</v>
      </c>
      <c r="P37" s="117">
        <f t="shared" si="5"/>
        <v>11.24</v>
      </c>
      <c r="Q37" s="118">
        <f t="shared" si="6"/>
        <v>2030</v>
      </c>
      <c r="R37" s="117">
        <f t="shared" si="7"/>
        <v>16.98704</v>
      </c>
      <c r="S37" s="117">
        <f t="shared" si="8"/>
        <v>0.05764</v>
      </c>
      <c r="T37" s="117">
        <f t="shared" si="9"/>
        <v>28.28876941</v>
      </c>
      <c r="U37" s="117">
        <f t="shared" si="10"/>
        <v>100.689001</v>
      </c>
      <c r="V37" s="115" t="str">
        <f t="shared" si="14"/>
        <v>#REF!</v>
      </c>
    </row>
    <row r="38">
      <c r="A38" s="70">
        <v>47.0</v>
      </c>
      <c r="C38" s="4" t="s">
        <v>80</v>
      </c>
      <c r="D38" s="4" t="s">
        <v>105</v>
      </c>
      <c r="E38" s="322">
        <v>6.0</v>
      </c>
      <c r="F38" s="139">
        <v>45481.0</v>
      </c>
      <c r="G38" s="139">
        <f t="shared" si="15"/>
        <v>45502</v>
      </c>
      <c r="H38" s="139">
        <f t="shared" si="16"/>
        <v>45507</v>
      </c>
      <c r="I38" s="136">
        <f t="shared" si="13"/>
        <v>80</v>
      </c>
      <c r="J38" s="157">
        <v>0.44</v>
      </c>
      <c r="K38" s="4" t="s">
        <v>1436</v>
      </c>
      <c r="L38" s="115">
        <f t="shared" si="1"/>
        <v>128.9777704</v>
      </c>
      <c r="M38" s="116">
        <f t="shared" si="2"/>
        <v>0.68</v>
      </c>
      <c r="N38" s="116">
        <f t="shared" si="3"/>
        <v>0.2</v>
      </c>
      <c r="O38" s="117">
        <f t="shared" si="4"/>
        <v>0.004089411765</v>
      </c>
      <c r="P38" s="117">
        <f t="shared" si="5"/>
        <v>11.24</v>
      </c>
      <c r="Q38" s="118">
        <f t="shared" si="6"/>
        <v>2030</v>
      </c>
      <c r="R38" s="117">
        <f t="shared" si="7"/>
        <v>16.98704</v>
      </c>
      <c r="S38" s="117">
        <f t="shared" si="8"/>
        <v>0.05764</v>
      </c>
      <c r="T38" s="117">
        <f t="shared" si="9"/>
        <v>28.28876941</v>
      </c>
      <c r="U38" s="117">
        <f t="shared" si="10"/>
        <v>100.689001</v>
      </c>
      <c r="V38" s="115" t="str">
        <f t="shared" si="14"/>
        <v>#REF!</v>
      </c>
    </row>
    <row r="39">
      <c r="A39" s="70">
        <v>40.0</v>
      </c>
      <c r="C39" s="4" t="s">
        <v>80</v>
      </c>
      <c r="D39" s="4" t="s">
        <v>105</v>
      </c>
      <c r="E39" s="322">
        <v>2.0</v>
      </c>
      <c r="F39" s="139">
        <v>45485.0</v>
      </c>
      <c r="G39" s="139">
        <f t="shared" si="15"/>
        <v>45506</v>
      </c>
      <c r="H39" s="139">
        <f t="shared" si="16"/>
        <v>45511</v>
      </c>
      <c r="I39" s="136">
        <f t="shared" si="13"/>
        <v>80</v>
      </c>
      <c r="J39" s="157">
        <v>0.44</v>
      </c>
      <c r="K39" s="4" t="s">
        <v>1436</v>
      </c>
      <c r="L39" s="115">
        <f t="shared" si="1"/>
        <v>128.9777704</v>
      </c>
      <c r="M39" s="116">
        <f t="shared" si="2"/>
        <v>0.68</v>
      </c>
      <c r="N39" s="116">
        <f t="shared" si="3"/>
        <v>0.2</v>
      </c>
      <c r="O39" s="117">
        <f t="shared" si="4"/>
        <v>0.004089411765</v>
      </c>
      <c r="P39" s="117">
        <f t="shared" si="5"/>
        <v>11.24</v>
      </c>
      <c r="Q39" s="118">
        <f t="shared" si="6"/>
        <v>2030</v>
      </c>
      <c r="R39" s="117">
        <f t="shared" si="7"/>
        <v>16.98704</v>
      </c>
      <c r="S39" s="117">
        <f t="shared" si="8"/>
        <v>0.05764</v>
      </c>
      <c r="T39" s="117">
        <f t="shared" si="9"/>
        <v>28.28876941</v>
      </c>
      <c r="U39" s="117">
        <f t="shared" si="10"/>
        <v>100.689001</v>
      </c>
      <c r="V39" s="115" t="str">
        <f t="shared" si="14"/>
        <v>#REF!</v>
      </c>
    </row>
    <row r="40">
      <c r="A40" s="70">
        <v>41.0</v>
      </c>
      <c r="B40" s="70"/>
      <c r="C40" s="4" t="s">
        <v>80</v>
      </c>
      <c r="D40" s="4" t="s">
        <v>81</v>
      </c>
      <c r="E40" s="159"/>
      <c r="F40" s="142">
        <v>45485.0</v>
      </c>
      <c r="G40" s="139">
        <f t="shared" si="15"/>
        <v>45489</v>
      </c>
      <c r="H40" s="139">
        <f t="shared" si="16"/>
        <v>45492</v>
      </c>
      <c r="I40" s="136">
        <f t="shared" si="13"/>
        <v>20</v>
      </c>
      <c r="J40" s="157">
        <v>0.44</v>
      </c>
      <c r="K40" s="4" t="s">
        <v>1436</v>
      </c>
      <c r="L40" s="115">
        <f t="shared" si="1"/>
        <v>32.24444259</v>
      </c>
      <c r="M40" s="116">
        <f t="shared" si="2"/>
        <v>0.68</v>
      </c>
      <c r="N40" s="116">
        <f t="shared" si="3"/>
        <v>0.2</v>
      </c>
      <c r="O40" s="117">
        <f t="shared" si="4"/>
        <v>0.001022352941</v>
      </c>
      <c r="P40" s="117">
        <f t="shared" si="5"/>
        <v>2.81</v>
      </c>
      <c r="Q40" s="118">
        <f t="shared" si="6"/>
        <v>2030</v>
      </c>
      <c r="R40" s="117">
        <f t="shared" si="7"/>
        <v>4.24676</v>
      </c>
      <c r="S40" s="117">
        <f t="shared" si="8"/>
        <v>0.01441</v>
      </c>
      <c r="T40" s="117">
        <f t="shared" si="9"/>
        <v>7.072192353</v>
      </c>
      <c r="U40" s="117">
        <f t="shared" si="10"/>
        <v>25.17225024</v>
      </c>
      <c r="V40" s="115" t="str">
        <f t="shared" si="14"/>
        <v>#REF!</v>
      </c>
    </row>
    <row r="41">
      <c r="A41" s="70">
        <v>42.0</v>
      </c>
      <c r="B41" s="70"/>
      <c r="C41" s="4" t="s">
        <v>80</v>
      </c>
      <c r="D41" s="4" t="s">
        <v>81</v>
      </c>
      <c r="E41" s="159"/>
      <c r="F41" s="142">
        <v>45485.0</v>
      </c>
      <c r="G41" s="139">
        <f t="shared" si="15"/>
        <v>45489</v>
      </c>
      <c r="H41" s="139">
        <f t="shared" si="16"/>
        <v>45492</v>
      </c>
      <c r="I41" s="136">
        <f t="shared" si="13"/>
        <v>20</v>
      </c>
      <c r="J41" s="157">
        <v>0.44</v>
      </c>
      <c r="K41" s="4" t="s">
        <v>1436</v>
      </c>
      <c r="L41" s="115">
        <f t="shared" si="1"/>
        <v>32.24444259</v>
      </c>
      <c r="M41" s="116">
        <f t="shared" si="2"/>
        <v>0.68</v>
      </c>
      <c r="N41" s="116">
        <f t="shared" si="3"/>
        <v>0.2</v>
      </c>
      <c r="O41" s="117">
        <f t="shared" si="4"/>
        <v>0.001022352941</v>
      </c>
      <c r="P41" s="117">
        <f t="shared" si="5"/>
        <v>2.81</v>
      </c>
      <c r="Q41" s="118">
        <f t="shared" si="6"/>
        <v>2030</v>
      </c>
      <c r="R41" s="117">
        <f t="shared" si="7"/>
        <v>4.24676</v>
      </c>
      <c r="S41" s="117">
        <f t="shared" si="8"/>
        <v>0.01441</v>
      </c>
      <c r="T41" s="117">
        <f t="shared" si="9"/>
        <v>7.072192353</v>
      </c>
      <c r="U41" s="117">
        <f t="shared" si="10"/>
        <v>25.17225024</v>
      </c>
      <c r="V41" s="115" t="str">
        <f t="shared" si="14"/>
        <v>#REF!</v>
      </c>
    </row>
    <row r="42">
      <c r="A42" s="70">
        <v>43.0</v>
      </c>
      <c r="B42" s="70"/>
      <c r="C42" s="4" t="s">
        <v>80</v>
      </c>
      <c r="D42" s="4" t="s">
        <v>81</v>
      </c>
      <c r="E42" s="159"/>
      <c r="F42" s="142">
        <v>45485.0</v>
      </c>
      <c r="G42" s="139">
        <f t="shared" si="15"/>
        <v>45489</v>
      </c>
      <c r="H42" s="139">
        <f t="shared" si="16"/>
        <v>45492</v>
      </c>
      <c r="I42" s="136">
        <f t="shared" si="13"/>
        <v>20</v>
      </c>
      <c r="J42" s="157">
        <v>0.44</v>
      </c>
      <c r="K42" s="4" t="s">
        <v>1436</v>
      </c>
      <c r="L42" s="115">
        <f t="shared" si="1"/>
        <v>32.24444259</v>
      </c>
      <c r="M42" s="116">
        <f t="shared" si="2"/>
        <v>0.68</v>
      </c>
      <c r="N42" s="116">
        <f t="shared" si="3"/>
        <v>0.2</v>
      </c>
      <c r="O42" s="117">
        <f t="shared" si="4"/>
        <v>0.001022352941</v>
      </c>
      <c r="P42" s="117">
        <f t="shared" si="5"/>
        <v>2.81</v>
      </c>
      <c r="Q42" s="118">
        <f t="shared" si="6"/>
        <v>2030</v>
      </c>
      <c r="R42" s="117">
        <f t="shared" si="7"/>
        <v>4.24676</v>
      </c>
      <c r="S42" s="117">
        <f t="shared" si="8"/>
        <v>0.01441</v>
      </c>
      <c r="T42" s="117">
        <f t="shared" si="9"/>
        <v>7.072192353</v>
      </c>
      <c r="U42" s="117">
        <f t="shared" si="10"/>
        <v>25.17225024</v>
      </c>
      <c r="V42" s="115" t="str">
        <f t="shared" si="14"/>
        <v>#REF!</v>
      </c>
    </row>
    <row r="43">
      <c r="A43" s="70">
        <v>34.0</v>
      </c>
      <c r="C43" s="4" t="s">
        <v>80</v>
      </c>
      <c r="D43" s="4" t="s">
        <v>105</v>
      </c>
      <c r="E43" s="322">
        <v>11.0</v>
      </c>
      <c r="F43" s="139">
        <v>45486.0</v>
      </c>
      <c r="G43" s="139">
        <f t="shared" si="15"/>
        <v>45507</v>
      </c>
      <c r="H43" s="139">
        <f t="shared" si="16"/>
        <v>45512</v>
      </c>
      <c r="I43" s="136">
        <f t="shared" si="13"/>
        <v>80</v>
      </c>
      <c r="J43" s="157">
        <v>0.44</v>
      </c>
      <c r="K43" s="4" t="s">
        <v>1436</v>
      </c>
      <c r="L43" s="115">
        <f t="shared" si="1"/>
        <v>128.9777704</v>
      </c>
      <c r="M43" s="116">
        <f t="shared" si="2"/>
        <v>0.68</v>
      </c>
      <c r="N43" s="116">
        <f t="shared" si="3"/>
        <v>0.2</v>
      </c>
      <c r="O43" s="117">
        <f t="shared" si="4"/>
        <v>0.004089411765</v>
      </c>
      <c r="P43" s="117">
        <f t="shared" si="5"/>
        <v>11.24</v>
      </c>
      <c r="Q43" s="118">
        <f t="shared" si="6"/>
        <v>2030</v>
      </c>
      <c r="R43" s="117">
        <f t="shared" si="7"/>
        <v>16.98704</v>
      </c>
      <c r="S43" s="117">
        <f t="shared" si="8"/>
        <v>0.05764</v>
      </c>
      <c r="T43" s="117">
        <f t="shared" si="9"/>
        <v>28.28876941</v>
      </c>
      <c r="U43" s="117">
        <f t="shared" si="10"/>
        <v>100.689001</v>
      </c>
      <c r="V43" s="115" t="str">
        <f t="shared" si="14"/>
        <v>#REF!</v>
      </c>
    </row>
    <row r="44">
      <c r="A44" s="70">
        <v>35.0</v>
      </c>
      <c r="C44" s="4" t="s">
        <v>80</v>
      </c>
      <c r="D44" s="4" t="s">
        <v>105</v>
      </c>
      <c r="E44" s="322">
        <v>12.0</v>
      </c>
      <c r="F44" s="139">
        <v>45486.0</v>
      </c>
      <c r="G44" s="139">
        <f t="shared" si="15"/>
        <v>45507</v>
      </c>
      <c r="H44" s="139">
        <f t="shared" si="16"/>
        <v>45512</v>
      </c>
      <c r="I44" s="136">
        <f t="shared" si="13"/>
        <v>80</v>
      </c>
      <c r="J44" s="157">
        <v>0.44</v>
      </c>
      <c r="K44" s="4" t="s">
        <v>1436</v>
      </c>
      <c r="L44" s="115">
        <f t="shared" si="1"/>
        <v>128.9777704</v>
      </c>
      <c r="M44" s="116">
        <f t="shared" si="2"/>
        <v>0.68</v>
      </c>
      <c r="N44" s="116">
        <f t="shared" si="3"/>
        <v>0.2</v>
      </c>
      <c r="O44" s="117">
        <f t="shared" si="4"/>
        <v>0.004089411765</v>
      </c>
      <c r="P44" s="117">
        <f t="shared" si="5"/>
        <v>11.24</v>
      </c>
      <c r="Q44" s="118">
        <f t="shared" si="6"/>
        <v>2030</v>
      </c>
      <c r="R44" s="117">
        <f t="shared" si="7"/>
        <v>16.98704</v>
      </c>
      <c r="S44" s="117">
        <f t="shared" si="8"/>
        <v>0.05764</v>
      </c>
      <c r="T44" s="117">
        <f t="shared" si="9"/>
        <v>28.28876941</v>
      </c>
      <c r="U44" s="117">
        <f t="shared" si="10"/>
        <v>100.689001</v>
      </c>
      <c r="V44" s="115" t="str">
        <f t="shared" si="14"/>
        <v>#REF!</v>
      </c>
    </row>
    <row r="45">
      <c r="A45" s="70">
        <v>45.0</v>
      </c>
      <c r="C45" s="4" t="s">
        <v>80</v>
      </c>
      <c r="D45" s="4" t="s">
        <v>105</v>
      </c>
      <c r="E45" s="322">
        <v>4.0</v>
      </c>
      <c r="F45" s="139">
        <v>45491.0</v>
      </c>
      <c r="G45" s="139">
        <f t="shared" si="15"/>
        <v>45512</v>
      </c>
      <c r="H45" s="139">
        <f t="shared" si="16"/>
        <v>45517</v>
      </c>
      <c r="I45" s="136">
        <f t="shared" si="13"/>
        <v>80</v>
      </c>
      <c r="J45" s="157">
        <v>0.44</v>
      </c>
      <c r="K45" s="4" t="s">
        <v>1436</v>
      </c>
      <c r="L45" s="115">
        <f t="shared" si="1"/>
        <v>128.9777704</v>
      </c>
      <c r="M45" s="116">
        <f t="shared" si="2"/>
        <v>0.68</v>
      </c>
      <c r="N45" s="116">
        <f t="shared" si="3"/>
        <v>0.2</v>
      </c>
      <c r="O45" s="117">
        <f t="shared" si="4"/>
        <v>0.004089411765</v>
      </c>
      <c r="P45" s="117">
        <f t="shared" si="5"/>
        <v>11.24</v>
      </c>
      <c r="Q45" s="118">
        <f t="shared" si="6"/>
        <v>2030</v>
      </c>
      <c r="R45" s="117">
        <f t="shared" si="7"/>
        <v>16.98704</v>
      </c>
      <c r="S45" s="117">
        <f t="shared" si="8"/>
        <v>0.05764</v>
      </c>
      <c r="T45" s="117">
        <f t="shared" si="9"/>
        <v>28.28876941</v>
      </c>
      <c r="U45" s="117">
        <f t="shared" si="10"/>
        <v>100.689001</v>
      </c>
      <c r="V45" s="115" t="str">
        <f t="shared" si="14"/>
        <v>#REF!</v>
      </c>
    </row>
    <row r="46">
      <c r="A46" s="70">
        <v>33.0</v>
      </c>
      <c r="C46" s="4" t="s">
        <v>80</v>
      </c>
      <c r="D46" s="4" t="s">
        <v>105</v>
      </c>
      <c r="E46" s="322">
        <v>10.0</v>
      </c>
      <c r="F46" s="139">
        <v>45493.0</v>
      </c>
      <c r="G46" s="139">
        <f t="shared" si="15"/>
        <v>45514</v>
      </c>
      <c r="H46" s="139">
        <f t="shared" si="16"/>
        <v>45519</v>
      </c>
      <c r="I46" s="136">
        <f t="shared" si="13"/>
        <v>80</v>
      </c>
      <c r="J46" s="157">
        <v>0.44</v>
      </c>
      <c r="K46" s="4" t="s">
        <v>1436</v>
      </c>
      <c r="L46" s="115">
        <f t="shared" si="1"/>
        <v>128.9777704</v>
      </c>
      <c r="M46" s="116">
        <f t="shared" si="2"/>
        <v>0.68</v>
      </c>
      <c r="N46" s="116">
        <f t="shared" si="3"/>
        <v>0.2</v>
      </c>
      <c r="O46" s="117">
        <f t="shared" si="4"/>
        <v>0.004089411765</v>
      </c>
      <c r="P46" s="117">
        <f t="shared" si="5"/>
        <v>11.24</v>
      </c>
      <c r="Q46" s="118">
        <f t="shared" si="6"/>
        <v>2030</v>
      </c>
      <c r="R46" s="117">
        <f t="shared" si="7"/>
        <v>16.98704</v>
      </c>
      <c r="S46" s="117">
        <f t="shared" si="8"/>
        <v>0.05764</v>
      </c>
      <c r="T46" s="117">
        <f t="shared" si="9"/>
        <v>28.28876941</v>
      </c>
      <c r="U46" s="117">
        <f t="shared" si="10"/>
        <v>100.689001</v>
      </c>
      <c r="V46" s="115" t="str">
        <f t="shared" si="14"/>
        <v>#REF!</v>
      </c>
    </row>
    <row r="47">
      <c r="A47" s="70">
        <v>44.0</v>
      </c>
      <c r="C47" s="4" t="s">
        <v>80</v>
      </c>
      <c r="D47" s="4" t="s">
        <v>105</v>
      </c>
      <c r="E47" s="322">
        <v>3.0</v>
      </c>
      <c r="F47" s="139">
        <v>45495.0</v>
      </c>
      <c r="G47" s="139">
        <f t="shared" si="15"/>
        <v>45516</v>
      </c>
      <c r="H47" s="139">
        <f t="shared" si="16"/>
        <v>45521</v>
      </c>
      <c r="I47" s="136">
        <f t="shared" si="13"/>
        <v>80</v>
      </c>
      <c r="J47" s="157">
        <v>0.44</v>
      </c>
      <c r="K47" s="4" t="s">
        <v>1436</v>
      </c>
      <c r="L47" s="115">
        <f t="shared" si="1"/>
        <v>128.9777704</v>
      </c>
      <c r="M47" s="116">
        <f t="shared" si="2"/>
        <v>0.68</v>
      </c>
      <c r="N47" s="116">
        <f t="shared" si="3"/>
        <v>0.2</v>
      </c>
      <c r="O47" s="117">
        <f t="shared" si="4"/>
        <v>0.004089411765</v>
      </c>
      <c r="P47" s="117">
        <f t="shared" si="5"/>
        <v>11.24</v>
      </c>
      <c r="Q47" s="118">
        <f t="shared" si="6"/>
        <v>2030</v>
      </c>
      <c r="R47" s="117">
        <f t="shared" si="7"/>
        <v>16.98704</v>
      </c>
      <c r="S47" s="117">
        <f t="shared" si="8"/>
        <v>0.05764</v>
      </c>
      <c r="T47" s="117">
        <f t="shared" si="9"/>
        <v>28.28876941</v>
      </c>
      <c r="U47" s="117">
        <f t="shared" si="10"/>
        <v>100.689001</v>
      </c>
      <c r="V47" s="115" t="str">
        <f t="shared" si="14"/>
        <v>#REF!</v>
      </c>
    </row>
    <row r="48">
      <c r="A48" s="70">
        <v>48.0</v>
      </c>
      <c r="C48" s="4" t="s">
        <v>80</v>
      </c>
      <c r="D48" s="4" t="s">
        <v>105</v>
      </c>
      <c r="E48" s="322">
        <v>7.0</v>
      </c>
      <c r="F48" s="139">
        <v>45498.0</v>
      </c>
      <c r="G48" s="139">
        <f t="shared" si="15"/>
        <v>45519</v>
      </c>
      <c r="H48" s="139">
        <f t="shared" si="16"/>
        <v>45524</v>
      </c>
      <c r="I48" s="136">
        <f t="shared" si="13"/>
        <v>80</v>
      </c>
      <c r="J48" s="157">
        <v>0.44</v>
      </c>
      <c r="K48" s="4" t="s">
        <v>1436</v>
      </c>
      <c r="L48" s="115">
        <f t="shared" si="1"/>
        <v>128.9777704</v>
      </c>
      <c r="M48" s="116">
        <f t="shared" si="2"/>
        <v>0.68</v>
      </c>
      <c r="N48" s="116">
        <f t="shared" si="3"/>
        <v>0.2</v>
      </c>
      <c r="O48" s="117">
        <f t="shared" si="4"/>
        <v>0.004089411765</v>
      </c>
      <c r="P48" s="117">
        <f t="shared" si="5"/>
        <v>11.24</v>
      </c>
      <c r="Q48" s="118">
        <f t="shared" si="6"/>
        <v>2030</v>
      </c>
      <c r="R48" s="117">
        <f t="shared" si="7"/>
        <v>16.98704</v>
      </c>
      <c r="S48" s="117">
        <f t="shared" si="8"/>
        <v>0.05764</v>
      </c>
      <c r="T48" s="117">
        <f t="shared" si="9"/>
        <v>28.28876941</v>
      </c>
      <c r="U48" s="117">
        <f t="shared" si="10"/>
        <v>100.689001</v>
      </c>
      <c r="V48" s="115" t="str">
        <f t="shared" si="14"/>
        <v>#REF!</v>
      </c>
    </row>
    <row r="49">
      <c r="A49" s="70">
        <v>49.0</v>
      </c>
      <c r="C49" s="4" t="s">
        <v>80</v>
      </c>
      <c r="D49" s="4" t="s">
        <v>105</v>
      </c>
      <c r="E49" s="322">
        <v>8.0</v>
      </c>
      <c r="F49" s="139">
        <v>45501.0</v>
      </c>
      <c r="G49" s="139">
        <f t="shared" si="15"/>
        <v>45522</v>
      </c>
      <c r="H49" s="139">
        <f t="shared" si="16"/>
        <v>45527</v>
      </c>
      <c r="I49" s="136">
        <f t="shared" si="13"/>
        <v>80</v>
      </c>
      <c r="J49" s="157">
        <v>0.44</v>
      </c>
      <c r="K49" s="4" t="s">
        <v>1436</v>
      </c>
      <c r="L49" s="115">
        <f t="shared" si="1"/>
        <v>128.9777704</v>
      </c>
      <c r="M49" s="116">
        <f t="shared" si="2"/>
        <v>0.68</v>
      </c>
      <c r="N49" s="116">
        <f t="shared" si="3"/>
        <v>0.2</v>
      </c>
      <c r="O49" s="117">
        <f t="shared" si="4"/>
        <v>0.004089411765</v>
      </c>
      <c r="P49" s="117">
        <f t="shared" si="5"/>
        <v>11.24</v>
      </c>
      <c r="Q49" s="118">
        <f t="shared" si="6"/>
        <v>2030</v>
      </c>
      <c r="R49" s="117">
        <f t="shared" si="7"/>
        <v>16.98704</v>
      </c>
      <c r="S49" s="117">
        <f t="shared" si="8"/>
        <v>0.05764</v>
      </c>
      <c r="T49" s="117">
        <f t="shared" si="9"/>
        <v>28.28876941</v>
      </c>
      <c r="U49" s="117">
        <f t="shared" si="10"/>
        <v>100.689001</v>
      </c>
      <c r="V49" s="115" t="str">
        <f t="shared" si="14"/>
        <v>#REF!</v>
      </c>
    </row>
    <row r="50">
      <c r="A50" s="70">
        <v>50.0</v>
      </c>
      <c r="C50" s="4" t="s">
        <v>80</v>
      </c>
      <c r="D50" s="4" t="s">
        <v>105</v>
      </c>
      <c r="E50" s="322">
        <v>9.0</v>
      </c>
      <c r="F50" s="139">
        <v>45504.0</v>
      </c>
      <c r="G50" s="139">
        <f t="shared" si="15"/>
        <v>45525</v>
      </c>
      <c r="H50" s="139">
        <f t="shared" si="16"/>
        <v>45530</v>
      </c>
      <c r="I50" s="136">
        <f t="shared" si="13"/>
        <v>80</v>
      </c>
      <c r="J50" s="157">
        <v>0.44</v>
      </c>
      <c r="K50" s="4" t="s">
        <v>1436</v>
      </c>
      <c r="L50" s="115">
        <f t="shared" si="1"/>
        <v>128.9777704</v>
      </c>
      <c r="M50" s="116">
        <f t="shared" si="2"/>
        <v>0.68</v>
      </c>
      <c r="N50" s="116">
        <f t="shared" si="3"/>
        <v>0.2</v>
      </c>
      <c r="O50" s="117">
        <f t="shared" si="4"/>
        <v>0.004089411765</v>
      </c>
      <c r="P50" s="117">
        <f t="shared" si="5"/>
        <v>11.24</v>
      </c>
      <c r="Q50" s="118">
        <f t="shared" si="6"/>
        <v>2030</v>
      </c>
      <c r="R50" s="117">
        <f t="shared" si="7"/>
        <v>16.98704</v>
      </c>
      <c r="S50" s="117">
        <f t="shared" si="8"/>
        <v>0.05764</v>
      </c>
      <c r="T50" s="117">
        <f t="shared" si="9"/>
        <v>28.28876941</v>
      </c>
      <c r="U50" s="117">
        <f t="shared" si="10"/>
        <v>100.689001</v>
      </c>
      <c r="V50" s="115" t="str">
        <f t="shared" si="14"/>
        <v>#REF!</v>
      </c>
    </row>
    <row r="51">
      <c r="A51" s="70">
        <v>54.0</v>
      </c>
      <c r="C51" s="4" t="s">
        <v>80</v>
      </c>
      <c r="D51" s="4" t="s">
        <v>105</v>
      </c>
      <c r="E51" s="322">
        <v>1.0</v>
      </c>
      <c r="F51" s="139">
        <v>45513.0</v>
      </c>
      <c r="G51" s="139">
        <f t="shared" si="15"/>
        <v>45534</v>
      </c>
      <c r="H51" s="139">
        <f t="shared" si="16"/>
        <v>45539</v>
      </c>
      <c r="I51" s="136">
        <f t="shared" si="13"/>
        <v>80</v>
      </c>
      <c r="J51" s="157">
        <v>0.44</v>
      </c>
      <c r="K51" s="4" t="s">
        <v>1436</v>
      </c>
      <c r="L51" s="115">
        <f t="shared" si="1"/>
        <v>128.9777704</v>
      </c>
      <c r="M51" s="116">
        <f t="shared" si="2"/>
        <v>0.68</v>
      </c>
      <c r="N51" s="116">
        <f t="shared" si="3"/>
        <v>0.2</v>
      </c>
      <c r="O51" s="117">
        <f t="shared" si="4"/>
        <v>0.004089411765</v>
      </c>
      <c r="P51" s="117">
        <f t="shared" si="5"/>
        <v>11.24</v>
      </c>
      <c r="Q51" s="118">
        <f t="shared" si="6"/>
        <v>2030</v>
      </c>
      <c r="R51" s="117">
        <f t="shared" si="7"/>
        <v>16.98704</v>
      </c>
      <c r="S51" s="117">
        <f t="shared" si="8"/>
        <v>0.05764</v>
      </c>
      <c r="T51" s="117">
        <f t="shared" si="9"/>
        <v>28.28876941</v>
      </c>
      <c r="U51" s="117">
        <f t="shared" si="10"/>
        <v>100.689001</v>
      </c>
      <c r="V51" s="115" t="str">
        <f t="shared" si="14"/>
        <v>#REF!</v>
      </c>
    </row>
    <row r="52">
      <c r="A52" s="70">
        <v>58.0</v>
      </c>
      <c r="C52" s="4" t="s">
        <v>80</v>
      </c>
      <c r="D52" s="4" t="s">
        <v>105</v>
      </c>
      <c r="E52" s="322">
        <v>5.0</v>
      </c>
      <c r="F52" s="139">
        <v>45513.0</v>
      </c>
      <c r="G52" s="139">
        <f t="shared" si="15"/>
        <v>45534</v>
      </c>
      <c r="H52" s="139">
        <f t="shared" si="16"/>
        <v>45539</v>
      </c>
      <c r="I52" s="136">
        <f t="shared" si="13"/>
        <v>80</v>
      </c>
      <c r="J52" s="157">
        <v>0.44</v>
      </c>
      <c r="K52" s="4" t="s">
        <v>1436</v>
      </c>
      <c r="L52" s="115">
        <f t="shared" si="1"/>
        <v>128.9777704</v>
      </c>
      <c r="M52" s="116">
        <f t="shared" si="2"/>
        <v>0.68</v>
      </c>
      <c r="N52" s="116">
        <f t="shared" si="3"/>
        <v>0.2</v>
      </c>
      <c r="O52" s="117">
        <f t="shared" si="4"/>
        <v>0.004089411765</v>
      </c>
      <c r="P52" s="117">
        <f t="shared" si="5"/>
        <v>11.24</v>
      </c>
      <c r="Q52" s="118">
        <f t="shared" si="6"/>
        <v>2030</v>
      </c>
      <c r="R52" s="117">
        <f t="shared" si="7"/>
        <v>16.98704</v>
      </c>
      <c r="S52" s="117">
        <f t="shared" si="8"/>
        <v>0.05764</v>
      </c>
      <c r="T52" s="117">
        <f t="shared" si="9"/>
        <v>28.28876941</v>
      </c>
      <c r="U52" s="117">
        <f t="shared" si="10"/>
        <v>100.689001</v>
      </c>
      <c r="V52" s="115" t="str">
        <f t="shared" si="14"/>
        <v>#REF!</v>
      </c>
    </row>
    <row r="53">
      <c r="A53" s="70">
        <v>59.0</v>
      </c>
      <c r="C53" s="4" t="s">
        <v>80</v>
      </c>
      <c r="D53" s="4" t="s">
        <v>105</v>
      </c>
      <c r="E53" s="322">
        <v>6.0</v>
      </c>
      <c r="F53" s="139">
        <v>45516.0</v>
      </c>
      <c r="G53" s="139">
        <f t="shared" si="15"/>
        <v>45537</v>
      </c>
      <c r="H53" s="139">
        <f t="shared" si="16"/>
        <v>45542</v>
      </c>
      <c r="I53" s="136">
        <f t="shared" si="13"/>
        <v>80</v>
      </c>
      <c r="J53" s="157">
        <v>0.44</v>
      </c>
      <c r="K53" s="4" t="s">
        <v>1436</v>
      </c>
      <c r="L53" s="115">
        <f t="shared" si="1"/>
        <v>128.9777704</v>
      </c>
      <c r="M53" s="116">
        <f t="shared" si="2"/>
        <v>0.68</v>
      </c>
      <c r="N53" s="116">
        <f t="shared" si="3"/>
        <v>0.2</v>
      </c>
      <c r="O53" s="117">
        <f t="shared" si="4"/>
        <v>0.004089411765</v>
      </c>
      <c r="P53" s="117">
        <f t="shared" si="5"/>
        <v>11.24</v>
      </c>
      <c r="Q53" s="118">
        <f t="shared" si="6"/>
        <v>2030</v>
      </c>
      <c r="R53" s="117">
        <f t="shared" si="7"/>
        <v>16.98704</v>
      </c>
      <c r="S53" s="117">
        <f t="shared" si="8"/>
        <v>0.05764</v>
      </c>
      <c r="T53" s="117">
        <f t="shared" si="9"/>
        <v>28.28876941</v>
      </c>
      <c r="U53" s="117">
        <f t="shared" si="10"/>
        <v>100.689001</v>
      </c>
      <c r="V53" s="115" t="str">
        <f t="shared" si="14"/>
        <v>#REF!</v>
      </c>
    </row>
    <row r="54">
      <c r="A54" s="70">
        <v>55.0</v>
      </c>
      <c r="C54" s="4" t="s">
        <v>80</v>
      </c>
      <c r="D54" s="4" t="s">
        <v>105</v>
      </c>
      <c r="E54" s="322">
        <v>2.0</v>
      </c>
      <c r="F54" s="139">
        <v>45520.0</v>
      </c>
      <c r="G54" s="139">
        <f t="shared" si="15"/>
        <v>45541</v>
      </c>
      <c r="H54" s="139">
        <f t="shared" si="16"/>
        <v>45546</v>
      </c>
      <c r="I54" s="136">
        <f t="shared" si="13"/>
        <v>80</v>
      </c>
      <c r="J54" s="157">
        <v>0.44</v>
      </c>
      <c r="K54" s="4" t="s">
        <v>1436</v>
      </c>
      <c r="L54" s="115">
        <f t="shared" si="1"/>
        <v>128.9777704</v>
      </c>
      <c r="M54" s="116">
        <f t="shared" si="2"/>
        <v>0.68</v>
      </c>
      <c r="N54" s="116">
        <f t="shared" si="3"/>
        <v>0.2</v>
      </c>
      <c r="O54" s="117">
        <f t="shared" si="4"/>
        <v>0.004089411765</v>
      </c>
      <c r="P54" s="117">
        <f t="shared" si="5"/>
        <v>11.24</v>
      </c>
      <c r="Q54" s="118">
        <f t="shared" si="6"/>
        <v>2030</v>
      </c>
      <c r="R54" s="117">
        <f t="shared" si="7"/>
        <v>16.98704</v>
      </c>
      <c r="S54" s="117">
        <f t="shared" si="8"/>
        <v>0.05764</v>
      </c>
      <c r="T54" s="117">
        <f t="shared" si="9"/>
        <v>28.28876941</v>
      </c>
      <c r="U54" s="117">
        <f t="shared" si="10"/>
        <v>100.689001</v>
      </c>
      <c r="V54" s="115" t="str">
        <f t="shared" si="14"/>
        <v>#REF!</v>
      </c>
    </row>
    <row r="55">
      <c r="A55" s="70">
        <v>42.0</v>
      </c>
      <c r="B55" s="70"/>
      <c r="C55" s="4" t="s">
        <v>80</v>
      </c>
      <c r="D55" s="4" t="s">
        <v>81</v>
      </c>
      <c r="E55" s="159"/>
      <c r="F55" s="142">
        <v>45518.0</v>
      </c>
      <c r="G55" s="139">
        <f t="shared" si="15"/>
        <v>45522</v>
      </c>
      <c r="H55" s="139">
        <f t="shared" si="16"/>
        <v>45525</v>
      </c>
      <c r="I55" s="136">
        <f t="shared" si="13"/>
        <v>20</v>
      </c>
      <c r="J55" s="157">
        <v>0.44</v>
      </c>
      <c r="K55" s="4" t="s">
        <v>1436</v>
      </c>
      <c r="L55" s="115">
        <f t="shared" si="1"/>
        <v>32.24444259</v>
      </c>
      <c r="M55" s="116">
        <f t="shared" si="2"/>
        <v>0.68</v>
      </c>
      <c r="N55" s="116">
        <f t="shared" si="3"/>
        <v>0.2</v>
      </c>
      <c r="O55" s="117">
        <f t="shared" si="4"/>
        <v>0.001022352941</v>
      </c>
      <c r="P55" s="117">
        <f t="shared" si="5"/>
        <v>2.81</v>
      </c>
      <c r="Q55" s="118">
        <f t="shared" si="6"/>
        <v>2030</v>
      </c>
      <c r="R55" s="117">
        <f t="shared" si="7"/>
        <v>4.24676</v>
      </c>
      <c r="S55" s="117">
        <f t="shared" si="8"/>
        <v>0.01441</v>
      </c>
      <c r="T55" s="117">
        <f t="shared" si="9"/>
        <v>7.072192353</v>
      </c>
      <c r="U55" s="117">
        <f t="shared" si="10"/>
        <v>25.17225024</v>
      </c>
      <c r="V55" s="115" t="str">
        <f t="shared" si="14"/>
        <v>#REF!</v>
      </c>
    </row>
    <row r="56">
      <c r="A56" s="70">
        <v>42.0</v>
      </c>
      <c r="B56" s="70"/>
      <c r="C56" s="4" t="s">
        <v>80</v>
      </c>
      <c r="D56" s="4" t="s">
        <v>81</v>
      </c>
      <c r="E56" s="159"/>
      <c r="F56" s="142">
        <v>45518.0</v>
      </c>
      <c r="G56" s="139">
        <f t="shared" si="15"/>
        <v>45522</v>
      </c>
      <c r="H56" s="139">
        <f t="shared" si="16"/>
        <v>45525</v>
      </c>
      <c r="I56" s="136">
        <f t="shared" si="13"/>
        <v>20</v>
      </c>
      <c r="J56" s="157">
        <v>0.44</v>
      </c>
      <c r="K56" s="4" t="s">
        <v>1436</v>
      </c>
      <c r="L56" s="115">
        <f t="shared" si="1"/>
        <v>32.24444259</v>
      </c>
      <c r="M56" s="116">
        <f t="shared" si="2"/>
        <v>0.68</v>
      </c>
      <c r="N56" s="116">
        <f t="shared" si="3"/>
        <v>0.2</v>
      </c>
      <c r="O56" s="117">
        <f t="shared" si="4"/>
        <v>0.001022352941</v>
      </c>
      <c r="P56" s="117">
        <f t="shared" si="5"/>
        <v>2.81</v>
      </c>
      <c r="Q56" s="118">
        <f t="shared" si="6"/>
        <v>2030</v>
      </c>
      <c r="R56" s="117">
        <f t="shared" si="7"/>
        <v>4.24676</v>
      </c>
      <c r="S56" s="117">
        <f t="shared" si="8"/>
        <v>0.01441</v>
      </c>
      <c r="T56" s="117">
        <f t="shared" si="9"/>
        <v>7.072192353</v>
      </c>
      <c r="U56" s="117">
        <f t="shared" si="10"/>
        <v>25.17225024</v>
      </c>
      <c r="V56" s="115" t="str">
        <f t="shared" si="14"/>
        <v>#REF!</v>
      </c>
    </row>
    <row r="57">
      <c r="A57" s="70">
        <v>42.0</v>
      </c>
      <c r="B57" s="70"/>
      <c r="C57" s="4" t="s">
        <v>80</v>
      </c>
      <c r="D57" s="4" t="s">
        <v>81</v>
      </c>
      <c r="E57" s="159"/>
      <c r="F57" s="142">
        <v>45518.0</v>
      </c>
      <c r="G57" s="139">
        <f t="shared" si="15"/>
        <v>45522</v>
      </c>
      <c r="H57" s="139">
        <f t="shared" si="16"/>
        <v>45525</v>
      </c>
      <c r="I57" s="136">
        <f t="shared" si="13"/>
        <v>20</v>
      </c>
      <c r="J57" s="157">
        <v>0.44</v>
      </c>
      <c r="K57" s="4" t="s">
        <v>1436</v>
      </c>
      <c r="L57" s="115">
        <f t="shared" si="1"/>
        <v>32.24444259</v>
      </c>
      <c r="M57" s="116">
        <f t="shared" si="2"/>
        <v>0.68</v>
      </c>
      <c r="N57" s="116">
        <f t="shared" si="3"/>
        <v>0.2</v>
      </c>
      <c r="O57" s="117">
        <f t="shared" si="4"/>
        <v>0.001022352941</v>
      </c>
      <c r="P57" s="117">
        <f t="shared" si="5"/>
        <v>2.81</v>
      </c>
      <c r="Q57" s="118">
        <f t="shared" si="6"/>
        <v>2030</v>
      </c>
      <c r="R57" s="117">
        <f t="shared" si="7"/>
        <v>4.24676</v>
      </c>
      <c r="S57" s="117">
        <f t="shared" si="8"/>
        <v>0.01441</v>
      </c>
      <c r="T57" s="117">
        <f t="shared" si="9"/>
        <v>7.072192353</v>
      </c>
      <c r="U57" s="117">
        <f t="shared" si="10"/>
        <v>25.17225024</v>
      </c>
      <c r="V57" s="115" t="str">
        <f t="shared" si="14"/>
        <v>#REF!</v>
      </c>
    </row>
    <row r="58">
      <c r="A58" s="70">
        <v>57.0</v>
      </c>
      <c r="C58" s="4" t="s">
        <v>80</v>
      </c>
      <c r="D58" s="4" t="s">
        <v>105</v>
      </c>
      <c r="E58" s="322">
        <v>4.0</v>
      </c>
      <c r="F58" s="139">
        <v>45526.0</v>
      </c>
      <c r="G58" s="139">
        <f t="shared" si="15"/>
        <v>45547</v>
      </c>
      <c r="H58" s="139">
        <f t="shared" si="16"/>
        <v>45552</v>
      </c>
      <c r="I58" s="136">
        <f t="shared" si="13"/>
        <v>80</v>
      </c>
      <c r="J58" s="157">
        <v>0.44</v>
      </c>
      <c r="K58" s="4" t="s">
        <v>1436</v>
      </c>
      <c r="L58" s="115">
        <f t="shared" si="1"/>
        <v>128.9777704</v>
      </c>
      <c r="M58" s="116">
        <f t="shared" si="2"/>
        <v>0.68</v>
      </c>
      <c r="N58" s="116">
        <f t="shared" si="3"/>
        <v>0.2</v>
      </c>
      <c r="O58" s="117">
        <f t="shared" si="4"/>
        <v>0.004089411765</v>
      </c>
      <c r="P58" s="117">
        <f t="shared" si="5"/>
        <v>11.24</v>
      </c>
      <c r="Q58" s="118">
        <f t="shared" si="6"/>
        <v>2030</v>
      </c>
      <c r="R58" s="117">
        <f t="shared" si="7"/>
        <v>16.98704</v>
      </c>
      <c r="S58" s="117">
        <f t="shared" si="8"/>
        <v>0.05764</v>
      </c>
      <c r="T58" s="117">
        <f t="shared" si="9"/>
        <v>28.28876941</v>
      </c>
      <c r="U58" s="117">
        <f t="shared" si="10"/>
        <v>100.689001</v>
      </c>
      <c r="V58" s="115" t="str">
        <f t="shared" si="14"/>
        <v>#REF!</v>
      </c>
    </row>
    <row r="59">
      <c r="A59" s="70">
        <v>52.0</v>
      </c>
      <c r="C59" s="4" t="s">
        <v>80</v>
      </c>
      <c r="D59" s="4" t="s">
        <v>105</v>
      </c>
      <c r="E59" s="322">
        <v>11.0</v>
      </c>
      <c r="F59" s="139">
        <v>45528.0</v>
      </c>
      <c r="G59" s="139">
        <f t="shared" si="15"/>
        <v>45549</v>
      </c>
      <c r="H59" s="139">
        <f t="shared" si="16"/>
        <v>45554</v>
      </c>
      <c r="I59" s="136">
        <f t="shared" si="13"/>
        <v>80</v>
      </c>
      <c r="J59" s="157">
        <v>0.44</v>
      </c>
      <c r="K59" s="4" t="s">
        <v>1436</v>
      </c>
      <c r="L59" s="115">
        <f t="shared" si="1"/>
        <v>128.9777704</v>
      </c>
      <c r="M59" s="116">
        <f t="shared" si="2"/>
        <v>0.68</v>
      </c>
      <c r="N59" s="116">
        <f t="shared" si="3"/>
        <v>0.2</v>
      </c>
      <c r="O59" s="117">
        <f t="shared" si="4"/>
        <v>0.004089411765</v>
      </c>
      <c r="P59" s="117">
        <f t="shared" si="5"/>
        <v>11.24</v>
      </c>
      <c r="Q59" s="118">
        <f t="shared" si="6"/>
        <v>2030</v>
      </c>
      <c r="R59" s="117">
        <f t="shared" si="7"/>
        <v>16.98704</v>
      </c>
      <c r="S59" s="117">
        <f t="shared" si="8"/>
        <v>0.05764</v>
      </c>
      <c r="T59" s="117">
        <f t="shared" si="9"/>
        <v>28.28876941</v>
      </c>
      <c r="U59" s="117">
        <f t="shared" si="10"/>
        <v>100.689001</v>
      </c>
      <c r="V59" s="115" t="str">
        <f t="shared" si="14"/>
        <v>#REF!</v>
      </c>
    </row>
    <row r="60">
      <c r="A60" s="70">
        <v>53.0</v>
      </c>
      <c r="C60" s="4" t="s">
        <v>80</v>
      </c>
      <c r="D60" s="4" t="s">
        <v>105</v>
      </c>
      <c r="E60" s="322">
        <v>12.0</v>
      </c>
      <c r="F60" s="139">
        <v>45528.0</v>
      </c>
      <c r="G60" s="139">
        <f t="shared" si="15"/>
        <v>45549</v>
      </c>
      <c r="H60" s="139">
        <f t="shared" si="16"/>
        <v>45554</v>
      </c>
      <c r="I60" s="136">
        <f t="shared" si="13"/>
        <v>80</v>
      </c>
      <c r="J60" s="157">
        <v>0.44</v>
      </c>
      <c r="K60" s="4" t="s">
        <v>1436</v>
      </c>
      <c r="L60" s="115">
        <f t="shared" si="1"/>
        <v>128.9777704</v>
      </c>
      <c r="M60" s="116">
        <f t="shared" si="2"/>
        <v>0.68</v>
      </c>
      <c r="N60" s="116">
        <f t="shared" si="3"/>
        <v>0.2</v>
      </c>
      <c r="O60" s="117">
        <f t="shared" si="4"/>
        <v>0.004089411765</v>
      </c>
      <c r="P60" s="117">
        <f t="shared" si="5"/>
        <v>11.24</v>
      </c>
      <c r="Q60" s="118">
        <f t="shared" si="6"/>
        <v>2030</v>
      </c>
      <c r="R60" s="117">
        <f t="shared" si="7"/>
        <v>16.98704</v>
      </c>
      <c r="S60" s="117">
        <f t="shared" si="8"/>
        <v>0.05764</v>
      </c>
      <c r="T60" s="117">
        <f t="shared" si="9"/>
        <v>28.28876941</v>
      </c>
      <c r="U60" s="117">
        <f t="shared" si="10"/>
        <v>100.689001</v>
      </c>
      <c r="V60" s="115" t="str">
        <f t="shared" si="14"/>
        <v>#REF!</v>
      </c>
    </row>
    <row r="61">
      <c r="A61" s="70">
        <v>56.0</v>
      </c>
      <c r="C61" s="4" t="s">
        <v>80</v>
      </c>
      <c r="D61" s="4" t="s">
        <v>105</v>
      </c>
      <c r="E61" s="322">
        <v>3.0</v>
      </c>
      <c r="F61" s="139">
        <v>45530.0</v>
      </c>
      <c r="G61" s="139">
        <f t="shared" si="15"/>
        <v>45551</v>
      </c>
      <c r="H61" s="139">
        <f t="shared" si="16"/>
        <v>45556</v>
      </c>
      <c r="I61" s="136">
        <f t="shared" si="13"/>
        <v>80</v>
      </c>
      <c r="J61" s="157">
        <v>0.44</v>
      </c>
      <c r="K61" s="4" t="s">
        <v>1436</v>
      </c>
      <c r="L61" s="115">
        <f t="shared" si="1"/>
        <v>128.9777704</v>
      </c>
      <c r="M61" s="116">
        <f t="shared" si="2"/>
        <v>0.68</v>
      </c>
      <c r="N61" s="116">
        <f t="shared" si="3"/>
        <v>0.2</v>
      </c>
      <c r="O61" s="117">
        <f t="shared" si="4"/>
        <v>0.004089411765</v>
      </c>
      <c r="P61" s="117">
        <f t="shared" si="5"/>
        <v>11.24</v>
      </c>
      <c r="Q61" s="118">
        <f t="shared" si="6"/>
        <v>2030</v>
      </c>
      <c r="R61" s="117">
        <f t="shared" si="7"/>
        <v>16.98704</v>
      </c>
      <c r="S61" s="117">
        <f t="shared" si="8"/>
        <v>0.05764</v>
      </c>
      <c r="T61" s="117">
        <f t="shared" si="9"/>
        <v>28.28876941</v>
      </c>
      <c r="U61" s="117">
        <f t="shared" si="10"/>
        <v>100.689001</v>
      </c>
      <c r="V61" s="115" t="str">
        <f t="shared" si="14"/>
        <v>#REF!</v>
      </c>
    </row>
    <row r="62">
      <c r="A62" s="70">
        <v>60.0</v>
      </c>
      <c r="C62" s="4" t="s">
        <v>80</v>
      </c>
      <c r="D62" s="4" t="s">
        <v>105</v>
      </c>
      <c r="E62" s="322">
        <v>7.0</v>
      </c>
      <c r="F62" s="139">
        <v>45533.0</v>
      </c>
      <c r="G62" s="139">
        <f t="shared" si="15"/>
        <v>45554</v>
      </c>
      <c r="H62" s="139">
        <f t="shared" si="16"/>
        <v>45559</v>
      </c>
      <c r="I62" s="136">
        <f t="shared" si="13"/>
        <v>80</v>
      </c>
      <c r="J62" s="157">
        <v>0.44</v>
      </c>
      <c r="K62" s="4" t="s">
        <v>1436</v>
      </c>
      <c r="L62" s="115">
        <f t="shared" si="1"/>
        <v>128.9777704</v>
      </c>
      <c r="M62" s="116">
        <f t="shared" si="2"/>
        <v>0.68</v>
      </c>
      <c r="N62" s="116">
        <f t="shared" si="3"/>
        <v>0.2</v>
      </c>
      <c r="O62" s="117">
        <f t="shared" si="4"/>
        <v>0.004089411765</v>
      </c>
      <c r="P62" s="117">
        <f t="shared" si="5"/>
        <v>11.24</v>
      </c>
      <c r="Q62" s="118">
        <f t="shared" si="6"/>
        <v>2030</v>
      </c>
      <c r="R62" s="117">
        <f t="shared" si="7"/>
        <v>16.98704</v>
      </c>
      <c r="S62" s="117">
        <f t="shared" si="8"/>
        <v>0.05764</v>
      </c>
      <c r="T62" s="117">
        <f t="shared" si="9"/>
        <v>28.28876941</v>
      </c>
      <c r="U62" s="117">
        <f t="shared" si="10"/>
        <v>100.689001</v>
      </c>
      <c r="V62" s="115" t="str">
        <f t="shared" si="14"/>
        <v>#REF!</v>
      </c>
    </row>
    <row r="63">
      <c r="A63" s="70">
        <v>51.0</v>
      </c>
      <c r="C63" s="4" t="s">
        <v>80</v>
      </c>
      <c r="D63" s="4" t="s">
        <v>105</v>
      </c>
      <c r="E63" s="322">
        <v>10.0</v>
      </c>
      <c r="F63" s="139">
        <v>45535.0</v>
      </c>
      <c r="G63" s="139">
        <f t="shared" si="15"/>
        <v>45556</v>
      </c>
      <c r="H63" s="139">
        <f t="shared" si="16"/>
        <v>45561</v>
      </c>
      <c r="I63" s="136">
        <f t="shared" si="13"/>
        <v>80</v>
      </c>
      <c r="J63" s="157">
        <v>0.44</v>
      </c>
      <c r="K63" s="4" t="s">
        <v>1436</v>
      </c>
      <c r="L63" s="115">
        <f t="shared" si="1"/>
        <v>128.9777704</v>
      </c>
      <c r="M63" s="116">
        <f t="shared" si="2"/>
        <v>0.68</v>
      </c>
      <c r="N63" s="116">
        <f t="shared" si="3"/>
        <v>0.2</v>
      </c>
      <c r="O63" s="117">
        <f t="shared" si="4"/>
        <v>0.004089411765</v>
      </c>
      <c r="P63" s="117">
        <f t="shared" si="5"/>
        <v>11.24</v>
      </c>
      <c r="Q63" s="118">
        <f t="shared" si="6"/>
        <v>2030</v>
      </c>
      <c r="R63" s="117">
        <f t="shared" si="7"/>
        <v>16.98704</v>
      </c>
      <c r="S63" s="117">
        <f t="shared" si="8"/>
        <v>0.05764</v>
      </c>
      <c r="T63" s="117">
        <f t="shared" si="9"/>
        <v>28.28876941</v>
      </c>
      <c r="U63" s="117">
        <f t="shared" si="10"/>
        <v>100.689001</v>
      </c>
      <c r="V63" s="115" t="str">
        <f t="shared" si="14"/>
        <v>#REF!</v>
      </c>
    </row>
    <row r="64">
      <c r="A64" s="70">
        <v>61.0</v>
      </c>
      <c r="C64" s="4" t="s">
        <v>80</v>
      </c>
      <c r="D64" s="4" t="s">
        <v>105</v>
      </c>
      <c r="E64" s="322">
        <v>8.0</v>
      </c>
      <c r="F64" s="139">
        <v>45536.0</v>
      </c>
      <c r="G64" s="139">
        <f t="shared" si="15"/>
        <v>45557</v>
      </c>
      <c r="H64" s="139">
        <f t="shared" si="16"/>
        <v>45562</v>
      </c>
      <c r="I64" s="136">
        <f t="shared" si="13"/>
        <v>80</v>
      </c>
      <c r="J64" s="157">
        <v>0.44</v>
      </c>
      <c r="K64" s="4" t="s">
        <v>1436</v>
      </c>
      <c r="L64" s="115">
        <f t="shared" si="1"/>
        <v>128.9777704</v>
      </c>
      <c r="M64" s="116">
        <f t="shared" si="2"/>
        <v>0.68</v>
      </c>
      <c r="N64" s="116">
        <f t="shared" si="3"/>
        <v>0.2</v>
      </c>
      <c r="O64" s="117">
        <f t="shared" si="4"/>
        <v>0.004089411765</v>
      </c>
      <c r="P64" s="117">
        <f t="shared" si="5"/>
        <v>11.24</v>
      </c>
      <c r="Q64" s="118">
        <f t="shared" si="6"/>
        <v>2030</v>
      </c>
      <c r="R64" s="117">
        <f t="shared" si="7"/>
        <v>16.98704</v>
      </c>
      <c r="S64" s="117">
        <f t="shared" si="8"/>
        <v>0.05764</v>
      </c>
      <c r="T64" s="117">
        <f t="shared" si="9"/>
        <v>28.28876941</v>
      </c>
      <c r="U64" s="117">
        <f t="shared" si="10"/>
        <v>100.689001</v>
      </c>
      <c r="V64" s="115" t="str">
        <f t="shared" si="14"/>
        <v>#REF!</v>
      </c>
    </row>
    <row r="65">
      <c r="A65" s="70">
        <v>62.0</v>
      </c>
      <c r="C65" s="4" t="s">
        <v>80</v>
      </c>
      <c r="D65" s="4" t="s">
        <v>105</v>
      </c>
      <c r="E65" s="322">
        <v>9.0</v>
      </c>
      <c r="F65" s="139">
        <v>45539.0</v>
      </c>
      <c r="G65" s="139">
        <f t="shared" si="15"/>
        <v>45560</v>
      </c>
      <c r="H65" s="139">
        <f t="shared" si="16"/>
        <v>45565</v>
      </c>
      <c r="I65" s="136">
        <f t="shared" si="13"/>
        <v>80</v>
      </c>
      <c r="J65" s="157">
        <v>0.44</v>
      </c>
      <c r="K65" s="4" t="s">
        <v>1436</v>
      </c>
      <c r="L65" s="115">
        <f t="shared" si="1"/>
        <v>128.9777704</v>
      </c>
      <c r="M65" s="116">
        <f t="shared" si="2"/>
        <v>0.68</v>
      </c>
      <c r="N65" s="116">
        <f t="shared" si="3"/>
        <v>0.2</v>
      </c>
      <c r="O65" s="117">
        <f t="shared" si="4"/>
        <v>0.004089411765</v>
      </c>
      <c r="P65" s="117">
        <f t="shared" si="5"/>
        <v>11.24</v>
      </c>
      <c r="Q65" s="118">
        <f t="shared" si="6"/>
        <v>2030</v>
      </c>
      <c r="R65" s="117">
        <f t="shared" si="7"/>
        <v>16.98704</v>
      </c>
      <c r="S65" s="117">
        <f t="shared" si="8"/>
        <v>0.05764</v>
      </c>
      <c r="T65" s="117">
        <f t="shared" si="9"/>
        <v>28.28876941</v>
      </c>
      <c r="U65" s="117">
        <f t="shared" si="10"/>
        <v>100.689001</v>
      </c>
      <c r="V65" s="115" t="str">
        <f t="shared" si="14"/>
        <v>#REF!</v>
      </c>
    </row>
    <row r="66">
      <c r="A66" s="70">
        <v>66.0</v>
      </c>
      <c r="C66" s="4" t="s">
        <v>80</v>
      </c>
      <c r="D66" s="4" t="s">
        <v>105</v>
      </c>
      <c r="E66" s="322">
        <v>1.0</v>
      </c>
      <c r="F66" s="139">
        <v>45548.0</v>
      </c>
      <c r="G66" s="139">
        <f t="shared" si="15"/>
        <v>45569</v>
      </c>
      <c r="H66" s="139">
        <f t="shared" si="16"/>
        <v>45574</v>
      </c>
      <c r="I66" s="136">
        <f t="shared" si="13"/>
        <v>80</v>
      </c>
      <c r="J66" s="157">
        <v>0.44</v>
      </c>
      <c r="K66" s="4" t="s">
        <v>1436</v>
      </c>
      <c r="L66" s="115">
        <f t="shared" si="1"/>
        <v>128.9777704</v>
      </c>
      <c r="M66" s="116">
        <f t="shared" si="2"/>
        <v>0.68</v>
      </c>
      <c r="N66" s="116">
        <f t="shared" si="3"/>
        <v>0.2</v>
      </c>
      <c r="O66" s="117">
        <f t="shared" si="4"/>
        <v>0.004089411765</v>
      </c>
      <c r="P66" s="117">
        <f t="shared" si="5"/>
        <v>11.24</v>
      </c>
      <c r="Q66" s="118">
        <f t="shared" si="6"/>
        <v>2030</v>
      </c>
      <c r="R66" s="117">
        <f t="shared" si="7"/>
        <v>16.98704</v>
      </c>
      <c r="S66" s="117">
        <f t="shared" si="8"/>
        <v>0.05764</v>
      </c>
      <c r="T66" s="117">
        <f t="shared" si="9"/>
        <v>28.28876941</v>
      </c>
      <c r="U66" s="117">
        <f t="shared" si="10"/>
        <v>100.689001</v>
      </c>
      <c r="V66" s="115" t="str">
        <f t="shared" si="14"/>
        <v>#REF!</v>
      </c>
    </row>
    <row r="67">
      <c r="A67" s="70">
        <v>70.0</v>
      </c>
      <c r="C67" s="4" t="s">
        <v>80</v>
      </c>
      <c r="D67" s="4" t="s">
        <v>105</v>
      </c>
      <c r="E67" s="322">
        <v>5.0</v>
      </c>
      <c r="F67" s="139">
        <v>45548.0</v>
      </c>
      <c r="G67" s="139">
        <f t="shared" si="15"/>
        <v>45569</v>
      </c>
      <c r="H67" s="139">
        <f t="shared" si="16"/>
        <v>45574</v>
      </c>
      <c r="I67" s="136">
        <f t="shared" si="13"/>
        <v>80</v>
      </c>
      <c r="J67" s="157">
        <v>0.44</v>
      </c>
      <c r="K67" s="4" t="s">
        <v>1436</v>
      </c>
      <c r="L67" s="115">
        <f t="shared" si="1"/>
        <v>128.9777704</v>
      </c>
      <c r="M67" s="116">
        <f t="shared" si="2"/>
        <v>0.68</v>
      </c>
      <c r="N67" s="116">
        <f t="shared" si="3"/>
        <v>0.2</v>
      </c>
      <c r="O67" s="117">
        <f t="shared" si="4"/>
        <v>0.004089411765</v>
      </c>
      <c r="P67" s="117">
        <f t="shared" si="5"/>
        <v>11.24</v>
      </c>
      <c r="Q67" s="118">
        <f t="shared" si="6"/>
        <v>2030</v>
      </c>
      <c r="R67" s="117">
        <f t="shared" si="7"/>
        <v>16.98704</v>
      </c>
      <c r="S67" s="117">
        <f t="shared" si="8"/>
        <v>0.05764</v>
      </c>
      <c r="T67" s="117">
        <f t="shared" si="9"/>
        <v>28.28876941</v>
      </c>
      <c r="U67" s="117">
        <f t="shared" si="10"/>
        <v>100.689001</v>
      </c>
      <c r="V67" s="115" t="str">
        <f t="shared" si="14"/>
        <v>#REF!</v>
      </c>
    </row>
    <row r="68">
      <c r="A68" s="70">
        <v>71.0</v>
      </c>
      <c r="C68" s="4" t="s">
        <v>80</v>
      </c>
      <c r="D68" s="4" t="s">
        <v>105</v>
      </c>
      <c r="E68" s="322">
        <v>6.0</v>
      </c>
      <c r="F68" s="139">
        <v>45551.0</v>
      </c>
      <c r="G68" s="139">
        <f t="shared" si="15"/>
        <v>45572</v>
      </c>
      <c r="H68" s="139">
        <f t="shared" si="16"/>
        <v>45577</v>
      </c>
      <c r="I68" s="136">
        <f t="shared" si="13"/>
        <v>80</v>
      </c>
      <c r="J68" s="157">
        <v>0.44</v>
      </c>
      <c r="K68" s="4" t="s">
        <v>1436</v>
      </c>
      <c r="L68" s="115">
        <f t="shared" si="1"/>
        <v>128.9777704</v>
      </c>
      <c r="M68" s="116">
        <f t="shared" si="2"/>
        <v>0.68</v>
      </c>
      <c r="N68" s="116">
        <f t="shared" si="3"/>
        <v>0.2</v>
      </c>
      <c r="O68" s="117">
        <f t="shared" si="4"/>
        <v>0.004089411765</v>
      </c>
      <c r="P68" s="117">
        <f t="shared" si="5"/>
        <v>11.24</v>
      </c>
      <c r="Q68" s="118">
        <f t="shared" si="6"/>
        <v>2030</v>
      </c>
      <c r="R68" s="117">
        <f t="shared" si="7"/>
        <v>16.98704</v>
      </c>
      <c r="S68" s="117">
        <f t="shared" si="8"/>
        <v>0.05764</v>
      </c>
      <c r="T68" s="117">
        <f t="shared" si="9"/>
        <v>28.28876941</v>
      </c>
      <c r="U68" s="117">
        <f t="shared" si="10"/>
        <v>100.689001</v>
      </c>
      <c r="V68" s="115" t="str">
        <f t="shared" si="14"/>
        <v>#REF!</v>
      </c>
    </row>
    <row r="69">
      <c r="A69" s="70">
        <v>67.0</v>
      </c>
      <c r="C69" s="4" t="s">
        <v>80</v>
      </c>
      <c r="D69" s="4" t="s">
        <v>105</v>
      </c>
      <c r="E69" s="322">
        <v>2.0</v>
      </c>
      <c r="F69" s="139">
        <v>45555.0</v>
      </c>
      <c r="G69" s="139">
        <f t="shared" si="15"/>
        <v>45576</v>
      </c>
      <c r="H69" s="139">
        <f t="shared" si="16"/>
        <v>45581</v>
      </c>
      <c r="I69" s="136">
        <f t="shared" si="13"/>
        <v>80</v>
      </c>
      <c r="J69" s="157">
        <v>0.44</v>
      </c>
      <c r="K69" s="4" t="s">
        <v>1436</v>
      </c>
      <c r="L69" s="115">
        <f t="shared" si="1"/>
        <v>128.9777704</v>
      </c>
      <c r="M69" s="116">
        <f t="shared" si="2"/>
        <v>0.68</v>
      </c>
      <c r="N69" s="116">
        <f t="shared" si="3"/>
        <v>0.2</v>
      </c>
      <c r="O69" s="117">
        <f t="shared" si="4"/>
        <v>0.004089411765</v>
      </c>
      <c r="P69" s="117">
        <f t="shared" si="5"/>
        <v>11.24</v>
      </c>
      <c r="Q69" s="118">
        <f t="shared" si="6"/>
        <v>2030</v>
      </c>
      <c r="R69" s="117">
        <f t="shared" si="7"/>
        <v>16.98704</v>
      </c>
      <c r="S69" s="117">
        <f t="shared" si="8"/>
        <v>0.05764</v>
      </c>
      <c r="T69" s="117">
        <f t="shared" si="9"/>
        <v>28.28876941</v>
      </c>
      <c r="U69" s="117">
        <f t="shared" si="10"/>
        <v>100.689001</v>
      </c>
      <c r="V69" s="115" t="str">
        <f t="shared" si="14"/>
        <v>#REF!</v>
      </c>
    </row>
    <row r="70">
      <c r="A70" s="70">
        <v>69.0</v>
      </c>
      <c r="C70" s="4" t="s">
        <v>80</v>
      </c>
      <c r="D70" s="4" t="s">
        <v>105</v>
      </c>
      <c r="E70" s="322">
        <v>4.0</v>
      </c>
      <c r="F70" s="139">
        <v>45561.0</v>
      </c>
      <c r="G70" s="139">
        <f t="shared" si="15"/>
        <v>45582</v>
      </c>
      <c r="H70" s="139">
        <f t="shared" si="16"/>
        <v>45587</v>
      </c>
      <c r="I70" s="136">
        <f t="shared" si="13"/>
        <v>80</v>
      </c>
      <c r="J70" s="157">
        <v>0.44</v>
      </c>
      <c r="K70" s="4" t="s">
        <v>1436</v>
      </c>
      <c r="L70" s="115">
        <f t="shared" si="1"/>
        <v>128.9777704</v>
      </c>
      <c r="M70" s="116">
        <f t="shared" si="2"/>
        <v>0.68</v>
      </c>
      <c r="N70" s="116">
        <f t="shared" si="3"/>
        <v>0.2</v>
      </c>
      <c r="O70" s="117">
        <f t="shared" si="4"/>
        <v>0.004089411765</v>
      </c>
      <c r="P70" s="117">
        <f t="shared" si="5"/>
        <v>11.24</v>
      </c>
      <c r="Q70" s="118">
        <f t="shared" si="6"/>
        <v>2030</v>
      </c>
      <c r="R70" s="117">
        <f t="shared" si="7"/>
        <v>16.98704</v>
      </c>
      <c r="S70" s="117">
        <f t="shared" si="8"/>
        <v>0.05764</v>
      </c>
      <c r="T70" s="117">
        <f t="shared" si="9"/>
        <v>28.28876941</v>
      </c>
      <c r="U70" s="117">
        <f t="shared" si="10"/>
        <v>100.689001</v>
      </c>
      <c r="V70" s="115" t="str">
        <f t="shared" si="14"/>
        <v>#REF!</v>
      </c>
    </row>
    <row r="71">
      <c r="A71" s="70">
        <v>64.0</v>
      </c>
      <c r="C71" s="4" t="s">
        <v>80</v>
      </c>
      <c r="D71" s="4" t="s">
        <v>105</v>
      </c>
      <c r="E71" s="322">
        <v>11.0</v>
      </c>
      <c r="F71" s="139">
        <v>45563.0</v>
      </c>
      <c r="G71" s="139">
        <f t="shared" si="15"/>
        <v>45584</v>
      </c>
      <c r="H71" s="139">
        <f t="shared" si="16"/>
        <v>45589</v>
      </c>
      <c r="I71" s="136">
        <f t="shared" si="13"/>
        <v>80</v>
      </c>
      <c r="J71" s="157">
        <v>0.44</v>
      </c>
      <c r="K71" s="4" t="s">
        <v>1436</v>
      </c>
      <c r="L71" s="115">
        <f t="shared" si="1"/>
        <v>128.9777704</v>
      </c>
      <c r="M71" s="116">
        <f t="shared" si="2"/>
        <v>0.68</v>
      </c>
      <c r="N71" s="116">
        <f t="shared" si="3"/>
        <v>0.2</v>
      </c>
      <c r="O71" s="117">
        <f t="shared" si="4"/>
        <v>0.004089411765</v>
      </c>
      <c r="P71" s="117">
        <f t="shared" si="5"/>
        <v>11.24</v>
      </c>
      <c r="Q71" s="118">
        <f t="shared" si="6"/>
        <v>2030</v>
      </c>
      <c r="R71" s="117">
        <f t="shared" si="7"/>
        <v>16.98704</v>
      </c>
      <c r="S71" s="117">
        <f t="shared" si="8"/>
        <v>0.05764</v>
      </c>
      <c r="T71" s="117">
        <f t="shared" si="9"/>
        <v>28.28876941</v>
      </c>
      <c r="U71" s="117">
        <f t="shared" si="10"/>
        <v>100.689001</v>
      </c>
      <c r="V71" s="115" t="str">
        <f t="shared" si="14"/>
        <v>#REF!</v>
      </c>
    </row>
    <row r="72">
      <c r="A72" s="70">
        <v>65.0</v>
      </c>
      <c r="C72" s="4" t="s">
        <v>80</v>
      </c>
      <c r="D72" s="4" t="s">
        <v>105</v>
      </c>
      <c r="E72" s="322">
        <v>12.0</v>
      </c>
      <c r="F72" s="139">
        <v>45563.0</v>
      </c>
      <c r="G72" s="139">
        <f t="shared" si="15"/>
        <v>45584</v>
      </c>
      <c r="H72" s="139">
        <f t="shared" si="16"/>
        <v>45589</v>
      </c>
      <c r="I72" s="136">
        <f t="shared" si="13"/>
        <v>80</v>
      </c>
      <c r="J72" s="157">
        <v>0.44</v>
      </c>
      <c r="K72" s="4" t="s">
        <v>1436</v>
      </c>
      <c r="L72" s="115">
        <f t="shared" si="1"/>
        <v>128.9777704</v>
      </c>
      <c r="M72" s="116">
        <f t="shared" si="2"/>
        <v>0.68</v>
      </c>
      <c r="N72" s="116">
        <f t="shared" si="3"/>
        <v>0.2</v>
      </c>
      <c r="O72" s="117">
        <f t="shared" si="4"/>
        <v>0.004089411765</v>
      </c>
      <c r="P72" s="117">
        <f t="shared" si="5"/>
        <v>11.24</v>
      </c>
      <c r="Q72" s="118">
        <f t="shared" si="6"/>
        <v>2030</v>
      </c>
      <c r="R72" s="117">
        <f t="shared" si="7"/>
        <v>16.98704</v>
      </c>
      <c r="S72" s="117">
        <f t="shared" si="8"/>
        <v>0.05764</v>
      </c>
      <c r="T72" s="117">
        <f t="shared" si="9"/>
        <v>28.28876941</v>
      </c>
      <c r="U72" s="117">
        <f t="shared" si="10"/>
        <v>100.689001</v>
      </c>
      <c r="V72" s="115" t="str">
        <f t="shared" si="14"/>
        <v>#REF!</v>
      </c>
    </row>
    <row r="73">
      <c r="A73" s="70">
        <v>68.0</v>
      </c>
      <c r="C73" s="4" t="s">
        <v>80</v>
      </c>
      <c r="D73" s="4" t="s">
        <v>105</v>
      </c>
      <c r="E73" s="322">
        <v>3.0</v>
      </c>
      <c r="F73" s="139">
        <v>45565.0</v>
      </c>
      <c r="G73" s="139">
        <f t="shared" si="15"/>
        <v>45586</v>
      </c>
      <c r="H73" s="139">
        <f t="shared" si="16"/>
        <v>45591</v>
      </c>
      <c r="I73" s="136">
        <f t="shared" si="13"/>
        <v>80</v>
      </c>
      <c r="J73" s="157">
        <v>0.44</v>
      </c>
      <c r="K73" s="4" t="s">
        <v>1436</v>
      </c>
      <c r="L73" s="115">
        <f t="shared" si="1"/>
        <v>128.9777704</v>
      </c>
      <c r="M73" s="116">
        <f t="shared" si="2"/>
        <v>0.68</v>
      </c>
      <c r="N73" s="116">
        <f t="shared" si="3"/>
        <v>0.2</v>
      </c>
      <c r="O73" s="117">
        <f t="shared" si="4"/>
        <v>0.004089411765</v>
      </c>
      <c r="P73" s="117">
        <f t="shared" si="5"/>
        <v>11.24</v>
      </c>
      <c r="Q73" s="118">
        <f t="shared" si="6"/>
        <v>2030</v>
      </c>
      <c r="R73" s="117">
        <f t="shared" si="7"/>
        <v>16.98704</v>
      </c>
      <c r="S73" s="117">
        <f t="shared" si="8"/>
        <v>0.05764</v>
      </c>
      <c r="T73" s="117">
        <f t="shared" si="9"/>
        <v>28.28876941</v>
      </c>
      <c r="U73" s="117">
        <f t="shared" si="10"/>
        <v>100.689001</v>
      </c>
      <c r="V73" s="115" t="str">
        <f t="shared" si="14"/>
        <v>#REF!</v>
      </c>
    </row>
    <row r="74">
      <c r="A74" s="70">
        <v>72.0</v>
      </c>
      <c r="C74" s="4" t="s">
        <v>80</v>
      </c>
      <c r="D74" s="4" t="s">
        <v>105</v>
      </c>
      <c r="E74" s="322">
        <v>7.0</v>
      </c>
      <c r="F74" s="139">
        <v>45568.0</v>
      </c>
      <c r="G74" s="139">
        <f t="shared" si="15"/>
        <v>45589</v>
      </c>
      <c r="H74" s="139">
        <f t="shared" si="16"/>
        <v>45594</v>
      </c>
      <c r="I74" s="136">
        <f t="shared" si="13"/>
        <v>80</v>
      </c>
      <c r="J74" s="157">
        <v>0.44</v>
      </c>
      <c r="K74" s="4" t="s">
        <v>1436</v>
      </c>
      <c r="L74" s="115">
        <f t="shared" si="1"/>
        <v>128.9777704</v>
      </c>
      <c r="M74" s="116">
        <f t="shared" si="2"/>
        <v>0.68</v>
      </c>
      <c r="N74" s="116">
        <f t="shared" si="3"/>
        <v>0.2</v>
      </c>
      <c r="O74" s="117">
        <f t="shared" si="4"/>
        <v>0.004089411765</v>
      </c>
      <c r="P74" s="117">
        <f t="shared" si="5"/>
        <v>11.24</v>
      </c>
      <c r="Q74" s="118">
        <f t="shared" si="6"/>
        <v>2030</v>
      </c>
      <c r="R74" s="117">
        <f t="shared" si="7"/>
        <v>16.98704</v>
      </c>
      <c r="S74" s="117">
        <f t="shared" si="8"/>
        <v>0.05764</v>
      </c>
      <c r="T74" s="117">
        <f t="shared" si="9"/>
        <v>28.28876941</v>
      </c>
      <c r="U74" s="117">
        <f t="shared" si="10"/>
        <v>100.689001</v>
      </c>
      <c r="V74" s="115" t="str">
        <f t="shared" si="14"/>
        <v>#REF!</v>
      </c>
    </row>
    <row r="75">
      <c r="A75" s="70">
        <v>63.0</v>
      </c>
      <c r="C75" s="4" t="s">
        <v>80</v>
      </c>
      <c r="D75" s="4" t="s">
        <v>105</v>
      </c>
      <c r="E75" s="322">
        <v>10.0</v>
      </c>
      <c r="F75" s="139">
        <v>45570.0</v>
      </c>
      <c r="G75" s="139">
        <f t="shared" si="15"/>
        <v>45591</v>
      </c>
      <c r="H75" s="139">
        <f t="shared" si="16"/>
        <v>45596</v>
      </c>
      <c r="I75" s="136">
        <f t="shared" si="13"/>
        <v>80</v>
      </c>
      <c r="J75" s="157">
        <v>0.44</v>
      </c>
      <c r="K75" s="4" t="s">
        <v>1436</v>
      </c>
      <c r="L75" s="115">
        <f t="shared" si="1"/>
        <v>128.9777704</v>
      </c>
      <c r="M75" s="116">
        <f t="shared" si="2"/>
        <v>0.68</v>
      </c>
      <c r="N75" s="116">
        <f t="shared" si="3"/>
        <v>0.2</v>
      </c>
      <c r="O75" s="117">
        <f t="shared" si="4"/>
        <v>0.004089411765</v>
      </c>
      <c r="P75" s="117">
        <f t="shared" si="5"/>
        <v>11.24</v>
      </c>
      <c r="Q75" s="118">
        <f t="shared" si="6"/>
        <v>2030</v>
      </c>
      <c r="R75" s="117">
        <f t="shared" si="7"/>
        <v>16.98704</v>
      </c>
      <c r="S75" s="117">
        <f t="shared" si="8"/>
        <v>0.05764</v>
      </c>
      <c r="T75" s="117">
        <f t="shared" si="9"/>
        <v>28.28876941</v>
      </c>
      <c r="U75" s="117">
        <f t="shared" si="10"/>
        <v>100.689001</v>
      </c>
      <c r="V75" s="115" t="str">
        <f t="shared" si="14"/>
        <v>#REF!</v>
      </c>
    </row>
    <row r="76">
      <c r="A76" s="70">
        <v>73.0</v>
      </c>
      <c r="C76" s="4" t="s">
        <v>80</v>
      </c>
      <c r="D76" s="4" t="s">
        <v>105</v>
      </c>
      <c r="E76" s="322">
        <v>8.0</v>
      </c>
      <c r="F76" s="139">
        <v>45571.0</v>
      </c>
      <c r="G76" s="139">
        <f t="shared" si="15"/>
        <v>45592</v>
      </c>
      <c r="H76" s="139">
        <f t="shared" si="16"/>
        <v>45597</v>
      </c>
      <c r="I76" s="136">
        <f t="shared" si="13"/>
        <v>80</v>
      </c>
      <c r="J76" s="157">
        <v>0.44</v>
      </c>
      <c r="K76" s="4" t="s">
        <v>1436</v>
      </c>
      <c r="L76" s="115">
        <f t="shared" si="1"/>
        <v>128.9777704</v>
      </c>
      <c r="M76" s="116">
        <f t="shared" si="2"/>
        <v>0.68</v>
      </c>
      <c r="N76" s="116">
        <f t="shared" si="3"/>
        <v>0.2</v>
      </c>
      <c r="O76" s="117">
        <f t="shared" si="4"/>
        <v>0.004089411765</v>
      </c>
      <c r="P76" s="117">
        <f t="shared" si="5"/>
        <v>11.24</v>
      </c>
      <c r="Q76" s="118">
        <f t="shared" si="6"/>
        <v>2030</v>
      </c>
      <c r="R76" s="117">
        <f t="shared" si="7"/>
        <v>16.98704</v>
      </c>
      <c r="S76" s="117">
        <f t="shared" si="8"/>
        <v>0.05764</v>
      </c>
      <c r="T76" s="117">
        <f t="shared" si="9"/>
        <v>28.28876941</v>
      </c>
      <c r="U76" s="117">
        <f t="shared" si="10"/>
        <v>100.689001</v>
      </c>
      <c r="V76" s="115" t="str">
        <f t="shared" si="14"/>
        <v>#REF!</v>
      </c>
    </row>
    <row r="77">
      <c r="A77" s="70">
        <v>74.0</v>
      </c>
      <c r="C77" s="4" t="s">
        <v>80</v>
      </c>
      <c r="D77" s="4" t="s">
        <v>105</v>
      </c>
      <c r="E77" s="322">
        <v>9.0</v>
      </c>
      <c r="F77" s="139">
        <v>45574.0</v>
      </c>
      <c r="G77" s="139">
        <f t="shared" si="15"/>
        <v>45595</v>
      </c>
      <c r="H77" s="139">
        <f t="shared" si="16"/>
        <v>45600</v>
      </c>
      <c r="I77" s="136">
        <f t="shared" si="13"/>
        <v>80</v>
      </c>
      <c r="J77" s="157">
        <v>0.44</v>
      </c>
      <c r="K77" s="4" t="s">
        <v>1436</v>
      </c>
      <c r="L77" s="115">
        <f t="shared" si="1"/>
        <v>128.9777704</v>
      </c>
      <c r="M77" s="116">
        <f t="shared" si="2"/>
        <v>0.68</v>
      </c>
      <c r="N77" s="116">
        <f t="shared" si="3"/>
        <v>0.2</v>
      </c>
      <c r="O77" s="117">
        <f t="shared" si="4"/>
        <v>0.004089411765</v>
      </c>
      <c r="P77" s="117">
        <f t="shared" si="5"/>
        <v>11.24</v>
      </c>
      <c r="Q77" s="118">
        <f t="shared" si="6"/>
        <v>2030</v>
      </c>
      <c r="R77" s="117">
        <f t="shared" si="7"/>
        <v>16.98704</v>
      </c>
      <c r="S77" s="117">
        <f t="shared" si="8"/>
        <v>0.05764</v>
      </c>
      <c r="T77" s="117">
        <f t="shared" si="9"/>
        <v>28.28876941</v>
      </c>
      <c r="U77" s="117">
        <f t="shared" si="10"/>
        <v>100.689001</v>
      </c>
      <c r="V77" s="115" t="str">
        <f t="shared" si="14"/>
        <v>#REF!</v>
      </c>
    </row>
    <row r="78">
      <c r="A78" s="70">
        <v>78.0</v>
      </c>
      <c r="C78" s="4" t="s">
        <v>80</v>
      </c>
      <c r="D78" s="4" t="s">
        <v>105</v>
      </c>
      <c r="E78" s="322">
        <v>1.0</v>
      </c>
      <c r="F78" s="139">
        <v>45583.0</v>
      </c>
      <c r="G78" s="139">
        <f t="shared" si="15"/>
        <v>45604</v>
      </c>
      <c r="H78" s="139">
        <f t="shared" si="16"/>
        <v>45609</v>
      </c>
      <c r="I78" s="136">
        <f t="shared" si="13"/>
        <v>80</v>
      </c>
      <c r="J78" s="157">
        <v>0.44</v>
      </c>
      <c r="K78" s="4" t="s">
        <v>1436</v>
      </c>
      <c r="L78" s="115">
        <f t="shared" si="1"/>
        <v>128.9777704</v>
      </c>
      <c r="M78" s="116">
        <f t="shared" si="2"/>
        <v>0.68</v>
      </c>
      <c r="N78" s="116">
        <f t="shared" si="3"/>
        <v>0.2</v>
      </c>
      <c r="O78" s="117">
        <f t="shared" si="4"/>
        <v>0.004089411765</v>
      </c>
      <c r="P78" s="117">
        <f t="shared" si="5"/>
        <v>11.24</v>
      </c>
      <c r="Q78" s="118">
        <f t="shared" si="6"/>
        <v>2030</v>
      </c>
      <c r="R78" s="117">
        <f t="shared" si="7"/>
        <v>16.98704</v>
      </c>
      <c r="S78" s="117">
        <f t="shared" si="8"/>
        <v>0.05764</v>
      </c>
      <c r="T78" s="117">
        <f t="shared" si="9"/>
        <v>28.28876941</v>
      </c>
      <c r="U78" s="117">
        <f t="shared" si="10"/>
        <v>100.689001</v>
      </c>
      <c r="V78" s="115" t="str">
        <f t="shared" si="14"/>
        <v>#REF!</v>
      </c>
    </row>
    <row r="79">
      <c r="A79" s="70">
        <v>82.0</v>
      </c>
      <c r="C79" s="4" t="s">
        <v>80</v>
      </c>
      <c r="D79" s="4" t="s">
        <v>105</v>
      </c>
      <c r="E79" s="322">
        <v>5.0</v>
      </c>
      <c r="F79" s="139">
        <v>45583.0</v>
      </c>
      <c r="G79" s="139">
        <f t="shared" si="15"/>
        <v>45604</v>
      </c>
      <c r="H79" s="139">
        <f t="shared" si="16"/>
        <v>45609</v>
      </c>
      <c r="I79" s="136">
        <f t="shared" si="13"/>
        <v>80</v>
      </c>
      <c r="J79" s="157">
        <v>0.44</v>
      </c>
      <c r="K79" s="4" t="s">
        <v>1436</v>
      </c>
      <c r="L79" s="115">
        <f t="shared" si="1"/>
        <v>128.9777704</v>
      </c>
      <c r="M79" s="116">
        <f t="shared" si="2"/>
        <v>0.68</v>
      </c>
      <c r="N79" s="116">
        <f t="shared" si="3"/>
        <v>0.2</v>
      </c>
      <c r="O79" s="117">
        <f t="shared" si="4"/>
        <v>0.004089411765</v>
      </c>
      <c r="P79" s="117">
        <f t="shared" si="5"/>
        <v>11.24</v>
      </c>
      <c r="Q79" s="118">
        <f t="shared" si="6"/>
        <v>2030</v>
      </c>
      <c r="R79" s="117">
        <f t="shared" si="7"/>
        <v>16.98704</v>
      </c>
      <c r="S79" s="117">
        <f t="shared" si="8"/>
        <v>0.05764</v>
      </c>
      <c r="T79" s="117">
        <f t="shared" si="9"/>
        <v>28.28876941</v>
      </c>
      <c r="U79" s="117">
        <f t="shared" si="10"/>
        <v>100.689001</v>
      </c>
      <c r="V79" s="115" t="str">
        <f t="shared" si="14"/>
        <v>#REF!</v>
      </c>
    </row>
    <row r="80">
      <c r="A80" s="70">
        <v>83.0</v>
      </c>
      <c r="C80" s="4" t="s">
        <v>80</v>
      </c>
      <c r="D80" s="4" t="s">
        <v>105</v>
      </c>
      <c r="E80" s="322">
        <v>6.0</v>
      </c>
      <c r="F80" s="139">
        <v>45586.0</v>
      </c>
      <c r="G80" s="139">
        <f t="shared" si="15"/>
        <v>45607</v>
      </c>
      <c r="H80" s="139">
        <f t="shared" si="16"/>
        <v>45612</v>
      </c>
      <c r="I80" s="136">
        <f t="shared" si="13"/>
        <v>80</v>
      </c>
      <c r="J80" s="157">
        <v>0.44</v>
      </c>
      <c r="K80" s="4" t="s">
        <v>1436</v>
      </c>
      <c r="L80" s="115">
        <f t="shared" si="1"/>
        <v>128.9777704</v>
      </c>
      <c r="M80" s="116">
        <f t="shared" si="2"/>
        <v>0.68</v>
      </c>
      <c r="N80" s="116">
        <f t="shared" si="3"/>
        <v>0.2</v>
      </c>
      <c r="O80" s="117">
        <f t="shared" si="4"/>
        <v>0.004089411765</v>
      </c>
      <c r="P80" s="117">
        <f t="shared" si="5"/>
        <v>11.24</v>
      </c>
      <c r="Q80" s="118">
        <f t="shared" si="6"/>
        <v>2030</v>
      </c>
      <c r="R80" s="117">
        <f t="shared" si="7"/>
        <v>16.98704</v>
      </c>
      <c r="S80" s="117">
        <f t="shared" si="8"/>
        <v>0.05764</v>
      </c>
      <c r="T80" s="117">
        <f t="shared" si="9"/>
        <v>28.28876941</v>
      </c>
      <c r="U80" s="117">
        <f t="shared" si="10"/>
        <v>100.689001</v>
      </c>
      <c r="V80" s="115" t="str">
        <f t="shared" si="14"/>
        <v>#REF!</v>
      </c>
    </row>
    <row r="81">
      <c r="A81" s="70">
        <v>79.0</v>
      </c>
      <c r="C81" s="4" t="s">
        <v>80</v>
      </c>
      <c r="D81" s="4" t="s">
        <v>105</v>
      </c>
      <c r="E81" s="322">
        <v>2.0</v>
      </c>
      <c r="F81" s="139">
        <v>45590.0</v>
      </c>
      <c r="G81" s="139">
        <f t="shared" si="15"/>
        <v>45611</v>
      </c>
      <c r="H81" s="139">
        <f t="shared" si="16"/>
        <v>45616</v>
      </c>
      <c r="I81" s="136">
        <f t="shared" si="13"/>
        <v>80</v>
      </c>
      <c r="J81" s="157">
        <v>0.44</v>
      </c>
      <c r="K81" s="4" t="s">
        <v>1436</v>
      </c>
      <c r="L81" s="115">
        <f t="shared" si="1"/>
        <v>128.9777704</v>
      </c>
      <c r="M81" s="116">
        <f t="shared" si="2"/>
        <v>0.68</v>
      </c>
      <c r="N81" s="116">
        <f t="shared" si="3"/>
        <v>0.2</v>
      </c>
      <c r="O81" s="117">
        <f t="shared" si="4"/>
        <v>0.004089411765</v>
      </c>
      <c r="P81" s="117">
        <f t="shared" si="5"/>
        <v>11.24</v>
      </c>
      <c r="Q81" s="118">
        <f t="shared" si="6"/>
        <v>2030</v>
      </c>
      <c r="R81" s="117">
        <f t="shared" si="7"/>
        <v>16.98704</v>
      </c>
      <c r="S81" s="117">
        <f t="shared" si="8"/>
        <v>0.05764</v>
      </c>
      <c r="T81" s="117">
        <f t="shared" si="9"/>
        <v>28.28876941</v>
      </c>
      <c r="U81" s="117">
        <f t="shared" si="10"/>
        <v>100.689001</v>
      </c>
      <c r="V81" s="115" t="str">
        <f t="shared" si="14"/>
        <v>#REF!</v>
      </c>
    </row>
    <row r="82">
      <c r="A82" s="70">
        <v>81.0</v>
      </c>
      <c r="C82" s="4" t="s">
        <v>80</v>
      </c>
      <c r="D82" s="4" t="s">
        <v>105</v>
      </c>
      <c r="E82" s="322">
        <v>4.0</v>
      </c>
      <c r="F82" s="139">
        <v>45596.0</v>
      </c>
      <c r="G82" s="139">
        <f t="shared" si="15"/>
        <v>45617</v>
      </c>
      <c r="H82" s="139">
        <f t="shared" si="16"/>
        <v>45622</v>
      </c>
      <c r="I82" s="136">
        <f t="shared" si="13"/>
        <v>80</v>
      </c>
      <c r="J82" s="157">
        <v>0.44</v>
      </c>
      <c r="K82" s="4" t="s">
        <v>1436</v>
      </c>
      <c r="L82" s="115">
        <f t="shared" si="1"/>
        <v>128.9777704</v>
      </c>
      <c r="M82" s="116">
        <f t="shared" si="2"/>
        <v>0.68</v>
      </c>
      <c r="N82" s="116">
        <f t="shared" si="3"/>
        <v>0.2</v>
      </c>
      <c r="O82" s="117">
        <f t="shared" si="4"/>
        <v>0.004089411765</v>
      </c>
      <c r="P82" s="117">
        <f t="shared" si="5"/>
        <v>11.24</v>
      </c>
      <c r="Q82" s="118">
        <f t="shared" si="6"/>
        <v>2030</v>
      </c>
      <c r="R82" s="117">
        <f t="shared" si="7"/>
        <v>16.98704</v>
      </c>
      <c r="S82" s="117">
        <f t="shared" si="8"/>
        <v>0.05764</v>
      </c>
      <c r="T82" s="117">
        <f t="shared" si="9"/>
        <v>28.28876941</v>
      </c>
      <c r="U82" s="117">
        <f t="shared" si="10"/>
        <v>100.689001</v>
      </c>
      <c r="V82" s="115" t="str">
        <f t="shared" si="14"/>
        <v>#REF!</v>
      </c>
    </row>
    <row r="83">
      <c r="A83" s="70">
        <v>76.0</v>
      </c>
      <c r="C83" s="4" t="s">
        <v>80</v>
      </c>
      <c r="D83" s="4" t="s">
        <v>105</v>
      </c>
      <c r="E83" s="322">
        <v>11.0</v>
      </c>
      <c r="F83" s="139">
        <v>45598.0</v>
      </c>
      <c r="G83" s="139">
        <f t="shared" si="15"/>
        <v>45619</v>
      </c>
      <c r="H83" s="139">
        <f t="shared" si="16"/>
        <v>45624</v>
      </c>
      <c r="I83" s="136">
        <f t="shared" si="13"/>
        <v>80</v>
      </c>
      <c r="J83" s="157">
        <v>0.44</v>
      </c>
      <c r="K83" s="4" t="s">
        <v>1436</v>
      </c>
      <c r="L83" s="115">
        <f t="shared" si="1"/>
        <v>128.9777704</v>
      </c>
      <c r="M83" s="116">
        <f t="shared" si="2"/>
        <v>0.68</v>
      </c>
      <c r="N83" s="116">
        <f t="shared" si="3"/>
        <v>0.2</v>
      </c>
      <c r="O83" s="117">
        <f t="shared" si="4"/>
        <v>0.004089411765</v>
      </c>
      <c r="P83" s="117">
        <f t="shared" si="5"/>
        <v>11.24</v>
      </c>
      <c r="Q83" s="118">
        <f t="shared" si="6"/>
        <v>2030</v>
      </c>
      <c r="R83" s="117">
        <f t="shared" si="7"/>
        <v>16.98704</v>
      </c>
      <c r="S83" s="117">
        <f t="shared" si="8"/>
        <v>0.05764</v>
      </c>
      <c r="T83" s="117">
        <f t="shared" si="9"/>
        <v>28.28876941</v>
      </c>
      <c r="U83" s="117">
        <f t="shared" si="10"/>
        <v>100.689001</v>
      </c>
      <c r="V83" s="115" t="str">
        <f t="shared" si="14"/>
        <v>#REF!</v>
      </c>
    </row>
    <row r="84">
      <c r="A84" s="70">
        <v>77.0</v>
      </c>
      <c r="C84" s="4" t="s">
        <v>80</v>
      </c>
      <c r="D84" s="4" t="s">
        <v>105</v>
      </c>
      <c r="E84" s="322">
        <v>12.0</v>
      </c>
      <c r="F84" s="139">
        <v>45598.0</v>
      </c>
      <c r="G84" s="139">
        <f t="shared" si="15"/>
        <v>45619</v>
      </c>
      <c r="H84" s="139">
        <f t="shared" si="16"/>
        <v>45624</v>
      </c>
      <c r="I84" s="136">
        <f t="shared" si="13"/>
        <v>80</v>
      </c>
      <c r="J84" s="157">
        <v>0.44</v>
      </c>
      <c r="K84" s="4" t="s">
        <v>1436</v>
      </c>
      <c r="L84" s="115">
        <f t="shared" si="1"/>
        <v>128.9777704</v>
      </c>
      <c r="M84" s="116">
        <f t="shared" si="2"/>
        <v>0.68</v>
      </c>
      <c r="N84" s="116">
        <f t="shared" si="3"/>
        <v>0.2</v>
      </c>
      <c r="O84" s="117">
        <f t="shared" si="4"/>
        <v>0.004089411765</v>
      </c>
      <c r="P84" s="117">
        <f t="shared" si="5"/>
        <v>11.24</v>
      </c>
      <c r="Q84" s="118">
        <f t="shared" si="6"/>
        <v>2030</v>
      </c>
      <c r="R84" s="117">
        <f t="shared" si="7"/>
        <v>16.98704</v>
      </c>
      <c r="S84" s="117">
        <f t="shared" si="8"/>
        <v>0.05764</v>
      </c>
      <c r="T84" s="117">
        <f t="shared" si="9"/>
        <v>28.28876941</v>
      </c>
      <c r="U84" s="117">
        <f t="shared" si="10"/>
        <v>100.689001</v>
      </c>
      <c r="V84" s="115" t="str">
        <f t="shared" si="14"/>
        <v>#REF!</v>
      </c>
    </row>
    <row r="85">
      <c r="A85" s="70">
        <v>80.0</v>
      </c>
      <c r="C85" s="4" t="s">
        <v>80</v>
      </c>
      <c r="D85" s="4" t="s">
        <v>105</v>
      </c>
      <c r="E85" s="322">
        <v>3.0</v>
      </c>
      <c r="F85" s="139">
        <v>45600.0</v>
      </c>
      <c r="G85" s="139">
        <f t="shared" si="15"/>
        <v>45621</v>
      </c>
      <c r="H85" s="139">
        <f t="shared" si="16"/>
        <v>45626</v>
      </c>
      <c r="I85" s="136">
        <f t="shared" si="13"/>
        <v>80</v>
      </c>
      <c r="J85" s="157">
        <v>0.44</v>
      </c>
      <c r="K85" s="4" t="s">
        <v>1436</v>
      </c>
      <c r="L85" s="115">
        <f t="shared" si="1"/>
        <v>128.9777704</v>
      </c>
      <c r="M85" s="116">
        <f t="shared" si="2"/>
        <v>0.68</v>
      </c>
      <c r="N85" s="116">
        <f t="shared" si="3"/>
        <v>0.2</v>
      </c>
      <c r="O85" s="117">
        <f t="shared" si="4"/>
        <v>0.004089411765</v>
      </c>
      <c r="P85" s="117">
        <f t="shared" si="5"/>
        <v>11.24</v>
      </c>
      <c r="Q85" s="118">
        <f t="shared" si="6"/>
        <v>2030</v>
      </c>
      <c r="R85" s="117">
        <f t="shared" si="7"/>
        <v>16.98704</v>
      </c>
      <c r="S85" s="117">
        <f t="shared" si="8"/>
        <v>0.05764</v>
      </c>
      <c r="T85" s="117">
        <f t="shared" si="9"/>
        <v>28.28876941</v>
      </c>
      <c r="U85" s="117">
        <f t="shared" si="10"/>
        <v>100.689001</v>
      </c>
      <c r="V85" s="115" t="str">
        <f t="shared" si="14"/>
        <v>#REF!</v>
      </c>
    </row>
    <row r="86">
      <c r="A86" s="70">
        <v>84.0</v>
      </c>
      <c r="C86" s="4" t="s">
        <v>80</v>
      </c>
      <c r="D86" s="4" t="s">
        <v>105</v>
      </c>
      <c r="E86" s="322">
        <v>7.0</v>
      </c>
      <c r="F86" s="139">
        <v>45603.0</v>
      </c>
      <c r="G86" s="139">
        <f t="shared" si="15"/>
        <v>45624</v>
      </c>
      <c r="H86" s="139">
        <f t="shared" si="16"/>
        <v>45629</v>
      </c>
      <c r="I86" s="136">
        <f t="shared" si="13"/>
        <v>80</v>
      </c>
      <c r="J86" s="157">
        <v>0.44</v>
      </c>
      <c r="K86" s="4" t="s">
        <v>1436</v>
      </c>
      <c r="L86" s="115">
        <f t="shared" si="1"/>
        <v>128.9777704</v>
      </c>
      <c r="M86" s="116">
        <f t="shared" si="2"/>
        <v>0.68</v>
      </c>
      <c r="N86" s="116">
        <f t="shared" si="3"/>
        <v>0.2</v>
      </c>
      <c r="O86" s="117">
        <f t="shared" si="4"/>
        <v>0.004089411765</v>
      </c>
      <c r="P86" s="117">
        <f t="shared" si="5"/>
        <v>11.24</v>
      </c>
      <c r="Q86" s="118">
        <f t="shared" si="6"/>
        <v>2030</v>
      </c>
      <c r="R86" s="117">
        <f t="shared" si="7"/>
        <v>16.98704</v>
      </c>
      <c r="S86" s="117">
        <f t="shared" si="8"/>
        <v>0.05764</v>
      </c>
      <c r="T86" s="117">
        <f t="shared" si="9"/>
        <v>28.28876941</v>
      </c>
      <c r="U86" s="117">
        <f t="shared" si="10"/>
        <v>100.689001</v>
      </c>
      <c r="V86" s="115" t="str">
        <f t="shared" si="14"/>
        <v>#REF!</v>
      </c>
    </row>
    <row r="87">
      <c r="A87" s="70">
        <v>75.0</v>
      </c>
      <c r="C87" s="4" t="s">
        <v>80</v>
      </c>
      <c r="D87" s="4" t="s">
        <v>105</v>
      </c>
      <c r="E87" s="322">
        <v>10.0</v>
      </c>
      <c r="F87" s="139">
        <v>45605.0</v>
      </c>
      <c r="G87" s="139">
        <f t="shared" si="15"/>
        <v>45626</v>
      </c>
      <c r="H87" s="139">
        <f t="shared" si="16"/>
        <v>45631</v>
      </c>
      <c r="I87" s="136">
        <f t="shared" si="13"/>
        <v>80</v>
      </c>
      <c r="J87" s="157">
        <v>0.44</v>
      </c>
      <c r="K87" s="4" t="s">
        <v>1436</v>
      </c>
      <c r="L87" s="115">
        <f t="shared" si="1"/>
        <v>128.9777704</v>
      </c>
      <c r="M87" s="116">
        <f t="shared" si="2"/>
        <v>0.68</v>
      </c>
      <c r="N87" s="116">
        <f t="shared" si="3"/>
        <v>0.2</v>
      </c>
      <c r="O87" s="117">
        <f t="shared" si="4"/>
        <v>0.004089411765</v>
      </c>
      <c r="P87" s="117">
        <f t="shared" si="5"/>
        <v>11.24</v>
      </c>
      <c r="Q87" s="118">
        <f t="shared" si="6"/>
        <v>2030</v>
      </c>
      <c r="R87" s="117">
        <f t="shared" si="7"/>
        <v>16.98704</v>
      </c>
      <c r="S87" s="117">
        <f t="shared" si="8"/>
        <v>0.05764</v>
      </c>
      <c r="T87" s="117">
        <f t="shared" si="9"/>
        <v>28.28876941</v>
      </c>
      <c r="U87" s="117">
        <f t="shared" si="10"/>
        <v>100.689001</v>
      </c>
      <c r="V87" s="115" t="str">
        <f t="shared" si="14"/>
        <v>#REF!</v>
      </c>
    </row>
    <row r="88">
      <c r="A88" s="70">
        <v>85.0</v>
      </c>
      <c r="C88" s="4" t="s">
        <v>80</v>
      </c>
      <c r="D88" s="4" t="s">
        <v>105</v>
      </c>
      <c r="E88" s="322">
        <v>8.0</v>
      </c>
      <c r="F88" s="139">
        <v>45606.0</v>
      </c>
      <c r="G88" s="139">
        <f t="shared" si="15"/>
        <v>45627</v>
      </c>
      <c r="H88" s="139">
        <f t="shared" si="16"/>
        <v>45632</v>
      </c>
      <c r="I88" s="136">
        <f t="shared" si="13"/>
        <v>80</v>
      </c>
      <c r="J88" s="157">
        <v>0.44</v>
      </c>
      <c r="K88" s="4" t="s">
        <v>1436</v>
      </c>
      <c r="L88" s="115">
        <f t="shared" si="1"/>
        <v>128.9777704</v>
      </c>
      <c r="M88" s="116">
        <f t="shared" si="2"/>
        <v>0.68</v>
      </c>
      <c r="N88" s="116">
        <f t="shared" si="3"/>
        <v>0.2</v>
      </c>
      <c r="O88" s="117">
        <f t="shared" si="4"/>
        <v>0.004089411765</v>
      </c>
      <c r="P88" s="117">
        <f t="shared" si="5"/>
        <v>11.24</v>
      </c>
      <c r="Q88" s="118">
        <f t="shared" si="6"/>
        <v>2030</v>
      </c>
      <c r="R88" s="117">
        <f t="shared" si="7"/>
        <v>16.98704</v>
      </c>
      <c r="S88" s="117">
        <f t="shared" si="8"/>
        <v>0.05764</v>
      </c>
      <c r="T88" s="117">
        <f t="shared" si="9"/>
        <v>28.28876941</v>
      </c>
      <c r="U88" s="117">
        <f t="shared" si="10"/>
        <v>100.689001</v>
      </c>
      <c r="V88" s="115" t="str">
        <f t="shared" si="14"/>
        <v>#REF!</v>
      </c>
    </row>
    <row r="89">
      <c r="A89" s="70">
        <v>86.0</v>
      </c>
      <c r="C89" s="4" t="s">
        <v>80</v>
      </c>
      <c r="D89" s="4" t="s">
        <v>105</v>
      </c>
      <c r="E89" s="322">
        <v>9.0</v>
      </c>
      <c r="F89" s="139">
        <v>45609.0</v>
      </c>
      <c r="G89" s="139">
        <f t="shared" si="15"/>
        <v>45630</v>
      </c>
      <c r="H89" s="139">
        <f t="shared" si="16"/>
        <v>45635</v>
      </c>
      <c r="I89" s="136">
        <f t="shared" si="13"/>
        <v>80</v>
      </c>
      <c r="J89" s="157">
        <v>0.44</v>
      </c>
      <c r="K89" s="4" t="s">
        <v>1436</v>
      </c>
      <c r="L89" s="115">
        <f t="shared" si="1"/>
        <v>128.9777704</v>
      </c>
      <c r="M89" s="116">
        <f t="shared" si="2"/>
        <v>0.68</v>
      </c>
      <c r="N89" s="116">
        <f t="shared" si="3"/>
        <v>0.2</v>
      </c>
      <c r="O89" s="117">
        <f t="shared" si="4"/>
        <v>0.004089411765</v>
      </c>
      <c r="P89" s="117">
        <f t="shared" si="5"/>
        <v>11.24</v>
      </c>
      <c r="Q89" s="118">
        <f t="shared" si="6"/>
        <v>2030</v>
      </c>
      <c r="R89" s="117">
        <f t="shared" si="7"/>
        <v>16.98704</v>
      </c>
      <c r="S89" s="117">
        <f t="shared" si="8"/>
        <v>0.05764</v>
      </c>
      <c r="T89" s="117">
        <f t="shared" si="9"/>
        <v>28.28876941</v>
      </c>
      <c r="U89" s="117">
        <f t="shared" si="10"/>
        <v>100.689001</v>
      </c>
      <c r="V89" s="115" t="str">
        <f t="shared" si="14"/>
        <v>#REF!</v>
      </c>
    </row>
    <row r="90">
      <c r="A90" s="70">
        <v>90.0</v>
      </c>
      <c r="C90" s="4" t="s">
        <v>80</v>
      </c>
      <c r="D90" s="4" t="s">
        <v>105</v>
      </c>
      <c r="E90" s="322">
        <v>1.0</v>
      </c>
      <c r="F90" s="139">
        <v>45618.0</v>
      </c>
      <c r="G90" s="139">
        <f t="shared" si="15"/>
        <v>45639</v>
      </c>
      <c r="H90" s="139">
        <f t="shared" si="16"/>
        <v>45644</v>
      </c>
      <c r="I90" s="136">
        <f t="shared" si="13"/>
        <v>80</v>
      </c>
      <c r="J90" s="157">
        <v>0.44</v>
      </c>
      <c r="K90" s="4" t="s">
        <v>1436</v>
      </c>
      <c r="L90" s="115">
        <f t="shared" si="1"/>
        <v>128.9777704</v>
      </c>
      <c r="M90" s="116">
        <f t="shared" si="2"/>
        <v>0.68</v>
      </c>
      <c r="N90" s="116">
        <f t="shared" si="3"/>
        <v>0.2</v>
      </c>
      <c r="O90" s="117">
        <f t="shared" si="4"/>
        <v>0.004089411765</v>
      </c>
      <c r="P90" s="117">
        <f t="shared" si="5"/>
        <v>11.24</v>
      </c>
      <c r="Q90" s="118">
        <f t="shared" si="6"/>
        <v>2030</v>
      </c>
      <c r="R90" s="117">
        <f t="shared" si="7"/>
        <v>16.98704</v>
      </c>
      <c r="S90" s="117">
        <f t="shared" si="8"/>
        <v>0.05764</v>
      </c>
      <c r="T90" s="117">
        <f t="shared" si="9"/>
        <v>28.28876941</v>
      </c>
      <c r="U90" s="117">
        <f t="shared" si="10"/>
        <v>100.689001</v>
      </c>
      <c r="V90" s="115" t="str">
        <f t="shared" si="14"/>
        <v>#REF!</v>
      </c>
    </row>
    <row r="91">
      <c r="A91" s="70">
        <v>94.0</v>
      </c>
      <c r="C91" s="4" t="s">
        <v>80</v>
      </c>
      <c r="D91" s="4" t="s">
        <v>105</v>
      </c>
      <c r="E91" s="322">
        <v>5.0</v>
      </c>
      <c r="F91" s="139">
        <v>45618.0</v>
      </c>
      <c r="G91" s="139">
        <f t="shared" si="15"/>
        <v>45639</v>
      </c>
      <c r="H91" s="139">
        <f t="shared" si="16"/>
        <v>45644</v>
      </c>
      <c r="I91" s="136">
        <f t="shared" si="13"/>
        <v>80</v>
      </c>
      <c r="J91" s="157">
        <v>0.44</v>
      </c>
      <c r="K91" s="4" t="s">
        <v>1436</v>
      </c>
      <c r="L91" s="115">
        <f t="shared" si="1"/>
        <v>128.9777704</v>
      </c>
      <c r="M91" s="116">
        <f t="shared" si="2"/>
        <v>0.68</v>
      </c>
      <c r="N91" s="116">
        <f t="shared" si="3"/>
        <v>0.2</v>
      </c>
      <c r="O91" s="117">
        <f t="shared" si="4"/>
        <v>0.004089411765</v>
      </c>
      <c r="P91" s="117">
        <f t="shared" si="5"/>
        <v>11.24</v>
      </c>
      <c r="Q91" s="118">
        <f t="shared" si="6"/>
        <v>2030</v>
      </c>
      <c r="R91" s="117">
        <f t="shared" si="7"/>
        <v>16.98704</v>
      </c>
      <c r="S91" s="117">
        <f t="shared" si="8"/>
        <v>0.05764</v>
      </c>
      <c r="T91" s="117">
        <f t="shared" si="9"/>
        <v>28.28876941</v>
      </c>
      <c r="U91" s="117">
        <f t="shared" si="10"/>
        <v>100.689001</v>
      </c>
      <c r="V91" s="115" t="str">
        <f t="shared" si="14"/>
        <v>#REF!</v>
      </c>
    </row>
    <row r="92">
      <c r="A92" s="70">
        <v>95.0</v>
      </c>
      <c r="C92" s="4" t="s">
        <v>80</v>
      </c>
      <c r="D92" s="4" t="s">
        <v>105</v>
      </c>
      <c r="E92" s="322">
        <v>6.0</v>
      </c>
      <c r="F92" s="139">
        <v>45621.0</v>
      </c>
      <c r="G92" s="139">
        <f t="shared" si="15"/>
        <v>45642</v>
      </c>
      <c r="H92" s="139">
        <f t="shared" si="16"/>
        <v>45647</v>
      </c>
      <c r="I92" s="136">
        <f t="shared" si="13"/>
        <v>80</v>
      </c>
      <c r="J92" s="157">
        <v>0.44</v>
      </c>
      <c r="K92" s="4" t="s">
        <v>1436</v>
      </c>
      <c r="L92" s="115">
        <f t="shared" si="1"/>
        <v>128.9777704</v>
      </c>
      <c r="M92" s="116">
        <f t="shared" si="2"/>
        <v>0.68</v>
      </c>
      <c r="N92" s="116">
        <f t="shared" si="3"/>
        <v>0.2</v>
      </c>
      <c r="O92" s="117">
        <f t="shared" si="4"/>
        <v>0.004089411765</v>
      </c>
      <c r="P92" s="117">
        <f t="shared" si="5"/>
        <v>11.24</v>
      </c>
      <c r="Q92" s="118">
        <f t="shared" si="6"/>
        <v>2030</v>
      </c>
      <c r="R92" s="117">
        <f t="shared" si="7"/>
        <v>16.98704</v>
      </c>
      <c r="S92" s="117">
        <f t="shared" si="8"/>
        <v>0.05764</v>
      </c>
      <c r="T92" s="117">
        <f t="shared" si="9"/>
        <v>28.28876941</v>
      </c>
      <c r="U92" s="117">
        <f t="shared" si="10"/>
        <v>100.689001</v>
      </c>
      <c r="V92" s="115" t="str">
        <f t="shared" si="14"/>
        <v>#REF!</v>
      </c>
    </row>
    <row r="93">
      <c r="A93" s="70">
        <v>91.0</v>
      </c>
      <c r="C93" s="4" t="s">
        <v>80</v>
      </c>
      <c r="D93" s="4" t="s">
        <v>105</v>
      </c>
      <c r="E93" s="322">
        <v>2.0</v>
      </c>
      <c r="F93" s="139">
        <v>45625.0</v>
      </c>
      <c r="G93" s="139">
        <f t="shared" si="15"/>
        <v>45646</v>
      </c>
      <c r="H93" s="139">
        <f t="shared" si="16"/>
        <v>45651</v>
      </c>
      <c r="I93" s="136">
        <f t="shared" si="13"/>
        <v>80</v>
      </c>
      <c r="J93" s="157">
        <v>0.44</v>
      </c>
      <c r="K93" s="4" t="s">
        <v>1436</v>
      </c>
      <c r="L93" s="115">
        <f t="shared" si="1"/>
        <v>128.9777704</v>
      </c>
      <c r="M93" s="116">
        <f t="shared" si="2"/>
        <v>0.68</v>
      </c>
      <c r="N93" s="116">
        <f t="shared" si="3"/>
        <v>0.2</v>
      </c>
      <c r="O93" s="117">
        <f t="shared" si="4"/>
        <v>0.004089411765</v>
      </c>
      <c r="P93" s="117">
        <f t="shared" si="5"/>
        <v>11.24</v>
      </c>
      <c r="Q93" s="118">
        <f t="shared" si="6"/>
        <v>2030</v>
      </c>
      <c r="R93" s="117">
        <f t="shared" si="7"/>
        <v>16.98704</v>
      </c>
      <c r="S93" s="117">
        <f t="shared" si="8"/>
        <v>0.05764</v>
      </c>
      <c r="T93" s="117">
        <f t="shared" si="9"/>
        <v>28.28876941</v>
      </c>
      <c r="U93" s="117">
        <f t="shared" si="10"/>
        <v>100.689001</v>
      </c>
      <c r="V93" s="115" t="str">
        <f t="shared" si="14"/>
        <v>#REF!</v>
      </c>
    </row>
    <row r="94">
      <c r="A94" s="70">
        <v>93.0</v>
      </c>
      <c r="C94" s="4" t="s">
        <v>80</v>
      </c>
      <c r="D94" s="4" t="s">
        <v>105</v>
      </c>
      <c r="E94" s="322">
        <v>4.0</v>
      </c>
      <c r="F94" s="139">
        <v>45631.0</v>
      </c>
      <c r="G94" s="139">
        <f t="shared" si="15"/>
        <v>45652</v>
      </c>
      <c r="H94" s="139">
        <f t="shared" si="16"/>
        <v>45657</v>
      </c>
      <c r="I94" s="136">
        <f t="shared" si="13"/>
        <v>80</v>
      </c>
      <c r="J94" s="157">
        <v>0.44</v>
      </c>
      <c r="K94" s="4" t="s">
        <v>1436</v>
      </c>
      <c r="L94" s="115">
        <f t="shared" si="1"/>
        <v>128.9777704</v>
      </c>
      <c r="M94" s="116">
        <f t="shared" si="2"/>
        <v>0.68</v>
      </c>
      <c r="N94" s="116">
        <f t="shared" si="3"/>
        <v>0.2</v>
      </c>
      <c r="O94" s="117">
        <f t="shared" si="4"/>
        <v>0.004089411765</v>
      </c>
      <c r="P94" s="117">
        <f t="shared" si="5"/>
        <v>11.24</v>
      </c>
      <c r="Q94" s="118">
        <f t="shared" si="6"/>
        <v>2030</v>
      </c>
      <c r="R94" s="117">
        <f t="shared" si="7"/>
        <v>16.98704</v>
      </c>
      <c r="S94" s="117">
        <f t="shared" si="8"/>
        <v>0.05764</v>
      </c>
      <c r="T94" s="117">
        <f t="shared" si="9"/>
        <v>28.28876941</v>
      </c>
      <c r="U94" s="117">
        <f t="shared" si="10"/>
        <v>100.689001</v>
      </c>
      <c r="V94" s="115" t="str">
        <f t="shared" si="14"/>
        <v>#REF!</v>
      </c>
    </row>
    <row r="95">
      <c r="A95" s="70">
        <v>88.0</v>
      </c>
      <c r="C95" s="4" t="s">
        <v>80</v>
      </c>
      <c r="D95" s="4" t="s">
        <v>105</v>
      </c>
      <c r="E95" s="322">
        <v>11.0</v>
      </c>
      <c r="F95" s="139">
        <v>45633.0</v>
      </c>
      <c r="G95" s="139">
        <f t="shared" si="15"/>
        <v>45654</v>
      </c>
      <c r="H95" s="139">
        <f t="shared" si="16"/>
        <v>45659</v>
      </c>
      <c r="I95" s="136">
        <f t="shared" si="13"/>
        <v>80</v>
      </c>
      <c r="J95" s="157">
        <v>0.44</v>
      </c>
      <c r="K95" s="4" t="s">
        <v>1436</v>
      </c>
      <c r="L95" s="115">
        <f t="shared" si="1"/>
        <v>128.9777704</v>
      </c>
      <c r="M95" s="116">
        <f t="shared" si="2"/>
        <v>0.68</v>
      </c>
      <c r="N95" s="116">
        <f t="shared" si="3"/>
        <v>0.2</v>
      </c>
      <c r="O95" s="117">
        <f t="shared" si="4"/>
        <v>0.004089411765</v>
      </c>
      <c r="P95" s="117">
        <f t="shared" si="5"/>
        <v>11.24</v>
      </c>
      <c r="Q95" s="118">
        <f t="shared" si="6"/>
        <v>2030</v>
      </c>
      <c r="R95" s="117">
        <f t="shared" si="7"/>
        <v>16.98704</v>
      </c>
      <c r="S95" s="117">
        <f t="shared" si="8"/>
        <v>0.05764</v>
      </c>
      <c r="T95" s="117">
        <f t="shared" si="9"/>
        <v>28.28876941</v>
      </c>
      <c r="U95" s="117">
        <f t="shared" si="10"/>
        <v>100.689001</v>
      </c>
      <c r="V95" s="115" t="str">
        <f t="shared" si="14"/>
        <v>#REF!</v>
      </c>
    </row>
    <row r="96">
      <c r="A96" s="70">
        <v>89.0</v>
      </c>
      <c r="C96" s="4" t="s">
        <v>80</v>
      </c>
      <c r="D96" s="4" t="s">
        <v>105</v>
      </c>
      <c r="E96" s="322">
        <v>12.0</v>
      </c>
      <c r="F96" s="139">
        <v>45633.0</v>
      </c>
      <c r="G96" s="139">
        <f t="shared" si="15"/>
        <v>45654</v>
      </c>
      <c r="H96" s="139">
        <f t="shared" si="16"/>
        <v>45659</v>
      </c>
      <c r="I96" s="136">
        <f t="shared" si="13"/>
        <v>80</v>
      </c>
      <c r="J96" s="157">
        <v>0.44</v>
      </c>
      <c r="K96" s="4" t="s">
        <v>1436</v>
      </c>
      <c r="L96" s="115">
        <f t="shared" si="1"/>
        <v>128.9777704</v>
      </c>
      <c r="M96" s="116">
        <f t="shared" si="2"/>
        <v>0.68</v>
      </c>
      <c r="N96" s="116">
        <f t="shared" si="3"/>
        <v>0.2</v>
      </c>
      <c r="O96" s="117">
        <f t="shared" si="4"/>
        <v>0.004089411765</v>
      </c>
      <c r="P96" s="117">
        <f t="shared" si="5"/>
        <v>11.24</v>
      </c>
      <c r="Q96" s="118">
        <f t="shared" si="6"/>
        <v>2030</v>
      </c>
      <c r="R96" s="117">
        <f t="shared" si="7"/>
        <v>16.98704</v>
      </c>
      <c r="S96" s="117">
        <f t="shared" si="8"/>
        <v>0.05764</v>
      </c>
      <c r="T96" s="117">
        <f t="shared" si="9"/>
        <v>28.28876941</v>
      </c>
      <c r="U96" s="117">
        <f t="shared" si="10"/>
        <v>100.689001</v>
      </c>
      <c r="V96" s="115" t="str">
        <f t="shared" si="14"/>
        <v>#REF!</v>
      </c>
    </row>
    <row r="97">
      <c r="A97" s="70">
        <v>92.0</v>
      </c>
      <c r="C97" s="4" t="s">
        <v>80</v>
      </c>
      <c r="D97" s="4" t="s">
        <v>105</v>
      </c>
      <c r="E97" s="322">
        <v>3.0</v>
      </c>
      <c r="F97" s="139">
        <v>45635.0</v>
      </c>
      <c r="G97" s="139">
        <f t="shared" si="15"/>
        <v>45656</v>
      </c>
      <c r="H97" s="139">
        <f t="shared" si="16"/>
        <v>45661</v>
      </c>
      <c r="I97" s="136">
        <f t="shared" si="13"/>
        <v>80</v>
      </c>
      <c r="J97" s="157">
        <v>0.44</v>
      </c>
      <c r="K97" s="4" t="s">
        <v>1436</v>
      </c>
      <c r="L97" s="115">
        <f t="shared" si="1"/>
        <v>128.9777704</v>
      </c>
      <c r="M97" s="116">
        <f t="shared" si="2"/>
        <v>0.68</v>
      </c>
      <c r="N97" s="116">
        <f t="shared" si="3"/>
        <v>0.2</v>
      </c>
      <c r="O97" s="117">
        <f t="shared" si="4"/>
        <v>0.004089411765</v>
      </c>
      <c r="P97" s="117">
        <f t="shared" si="5"/>
        <v>11.24</v>
      </c>
      <c r="Q97" s="118">
        <f t="shared" si="6"/>
        <v>2030</v>
      </c>
      <c r="R97" s="117">
        <f t="shared" si="7"/>
        <v>16.98704</v>
      </c>
      <c r="S97" s="117">
        <f t="shared" si="8"/>
        <v>0.05764</v>
      </c>
      <c r="T97" s="117">
        <f t="shared" si="9"/>
        <v>28.28876941</v>
      </c>
      <c r="U97" s="117">
        <f t="shared" si="10"/>
        <v>100.689001</v>
      </c>
      <c r="V97" s="115" t="str">
        <f t="shared" si="14"/>
        <v>#REF!</v>
      </c>
    </row>
    <row r="98">
      <c r="A98" s="70">
        <v>96.0</v>
      </c>
      <c r="C98" s="4" t="s">
        <v>80</v>
      </c>
      <c r="D98" s="4" t="s">
        <v>105</v>
      </c>
      <c r="E98" s="322">
        <v>7.0</v>
      </c>
      <c r="F98" s="139">
        <v>45638.0</v>
      </c>
      <c r="G98" s="139">
        <f t="shared" si="15"/>
        <v>45659</v>
      </c>
      <c r="H98" s="139">
        <f t="shared" si="16"/>
        <v>45664</v>
      </c>
      <c r="I98" s="136">
        <f t="shared" si="13"/>
        <v>80</v>
      </c>
      <c r="J98" s="157">
        <v>0.44</v>
      </c>
      <c r="K98" s="4" t="s">
        <v>1436</v>
      </c>
      <c r="L98" s="115">
        <f t="shared" si="1"/>
        <v>128.9777704</v>
      </c>
      <c r="M98" s="116">
        <f t="shared" si="2"/>
        <v>0.68</v>
      </c>
      <c r="N98" s="116">
        <f t="shared" si="3"/>
        <v>0.2</v>
      </c>
      <c r="O98" s="117">
        <f t="shared" si="4"/>
        <v>0.004089411765</v>
      </c>
      <c r="P98" s="117">
        <f t="shared" si="5"/>
        <v>11.24</v>
      </c>
      <c r="Q98" s="118">
        <f t="shared" si="6"/>
        <v>2030</v>
      </c>
      <c r="R98" s="117">
        <f t="shared" si="7"/>
        <v>16.98704</v>
      </c>
      <c r="S98" s="117">
        <f t="shared" si="8"/>
        <v>0.05764</v>
      </c>
      <c r="T98" s="117">
        <f t="shared" si="9"/>
        <v>28.28876941</v>
      </c>
      <c r="U98" s="117">
        <f t="shared" si="10"/>
        <v>100.689001</v>
      </c>
      <c r="V98" s="115" t="str">
        <f t="shared" si="14"/>
        <v>#REF!</v>
      </c>
    </row>
    <row r="99">
      <c r="A99" s="70">
        <v>87.0</v>
      </c>
      <c r="C99" s="4" t="s">
        <v>80</v>
      </c>
      <c r="D99" s="4" t="s">
        <v>105</v>
      </c>
      <c r="E99" s="322">
        <v>10.0</v>
      </c>
      <c r="F99" s="139">
        <v>45640.0</v>
      </c>
      <c r="G99" s="139">
        <f t="shared" si="15"/>
        <v>45661</v>
      </c>
      <c r="H99" s="139">
        <f t="shared" si="16"/>
        <v>45666</v>
      </c>
      <c r="I99" s="136">
        <f t="shared" si="13"/>
        <v>80</v>
      </c>
      <c r="J99" s="157">
        <v>0.44</v>
      </c>
      <c r="K99" s="4" t="s">
        <v>1436</v>
      </c>
      <c r="L99" s="115">
        <f t="shared" si="1"/>
        <v>128.9777704</v>
      </c>
      <c r="M99" s="116">
        <f t="shared" si="2"/>
        <v>0.68</v>
      </c>
      <c r="N99" s="116">
        <f t="shared" si="3"/>
        <v>0.2</v>
      </c>
      <c r="O99" s="117">
        <f t="shared" si="4"/>
        <v>0.004089411765</v>
      </c>
      <c r="P99" s="117">
        <f t="shared" si="5"/>
        <v>11.24</v>
      </c>
      <c r="Q99" s="118">
        <f t="shared" si="6"/>
        <v>2030</v>
      </c>
      <c r="R99" s="117">
        <f t="shared" si="7"/>
        <v>16.98704</v>
      </c>
      <c r="S99" s="117">
        <f t="shared" si="8"/>
        <v>0.05764</v>
      </c>
      <c r="T99" s="117">
        <f t="shared" si="9"/>
        <v>28.28876941</v>
      </c>
      <c r="U99" s="117">
        <f t="shared" si="10"/>
        <v>100.689001</v>
      </c>
      <c r="V99" s="115" t="str">
        <f t="shared" si="14"/>
        <v>#REF!</v>
      </c>
    </row>
    <row r="100">
      <c r="A100" s="70">
        <v>97.0</v>
      </c>
      <c r="C100" s="4" t="s">
        <v>80</v>
      </c>
      <c r="D100" s="4" t="s">
        <v>105</v>
      </c>
      <c r="E100" s="322">
        <v>8.0</v>
      </c>
      <c r="F100" s="139">
        <v>45641.0</v>
      </c>
      <c r="G100" s="139">
        <f t="shared" si="15"/>
        <v>45662</v>
      </c>
      <c r="H100" s="139">
        <f t="shared" si="16"/>
        <v>45667</v>
      </c>
      <c r="I100" s="136">
        <f t="shared" si="13"/>
        <v>80</v>
      </c>
      <c r="J100" s="157">
        <v>0.44</v>
      </c>
      <c r="K100" s="4" t="s">
        <v>1436</v>
      </c>
      <c r="L100" s="115">
        <f t="shared" si="1"/>
        <v>128.9777704</v>
      </c>
      <c r="M100" s="116">
        <f t="shared" si="2"/>
        <v>0.68</v>
      </c>
      <c r="N100" s="116">
        <f t="shared" si="3"/>
        <v>0.2</v>
      </c>
      <c r="O100" s="117">
        <f t="shared" si="4"/>
        <v>0.004089411765</v>
      </c>
      <c r="P100" s="117">
        <f t="shared" si="5"/>
        <v>11.24</v>
      </c>
      <c r="Q100" s="118">
        <f t="shared" si="6"/>
        <v>2030</v>
      </c>
      <c r="R100" s="117">
        <f t="shared" si="7"/>
        <v>16.98704</v>
      </c>
      <c r="S100" s="117">
        <f t="shared" si="8"/>
        <v>0.05764</v>
      </c>
      <c r="T100" s="117">
        <f t="shared" si="9"/>
        <v>28.28876941</v>
      </c>
      <c r="U100" s="117">
        <f t="shared" si="10"/>
        <v>100.689001</v>
      </c>
      <c r="V100" s="115" t="str">
        <f t="shared" si="14"/>
        <v>#REF!</v>
      </c>
    </row>
    <row r="101">
      <c r="C101" s="172"/>
      <c r="D101" s="172"/>
      <c r="E101" s="173"/>
      <c r="F101" s="137"/>
      <c r="G101" s="137"/>
      <c r="H101" s="137"/>
      <c r="I101" s="129"/>
      <c r="J101" s="323"/>
      <c r="K101" s="90"/>
      <c r="L101" s="118"/>
      <c r="M101" s="116"/>
      <c r="N101" s="116"/>
      <c r="O101" s="117"/>
      <c r="P101" s="117"/>
      <c r="Q101" s="118"/>
      <c r="R101" s="117"/>
      <c r="S101" s="117"/>
      <c r="T101" s="117"/>
      <c r="U101" s="117"/>
      <c r="V101" s="115"/>
    </row>
    <row r="102">
      <c r="C102" s="172"/>
      <c r="D102" s="172"/>
      <c r="E102" s="173"/>
      <c r="F102" s="137"/>
      <c r="G102" s="137"/>
      <c r="H102" s="137"/>
      <c r="I102" s="129"/>
      <c r="J102" s="323"/>
      <c r="K102" s="90"/>
      <c r="L102" s="118"/>
      <c r="M102" s="116"/>
      <c r="N102" s="116"/>
      <c r="O102" s="117"/>
      <c r="P102" s="117"/>
      <c r="Q102" s="118"/>
      <c r="R102" s="117"/>
      <c r="S102" s="117"/>
      <c r="T102" s="117"/>
      <c r="U102" s="117"/>
      <c r="V102" s="115"/>
    </row>
    <row r="103">
      <c r="C103" s="172"/>
      <c r="D103" s="172"/>
      <c r="E103" s="173"/>
      <c r="F103" s="137"/>
      <c r="G103" s="137"/>
      <c r="H103" s="137"/>
      <c r="I103" s="129"/>
      <c r="J103" s="323"/>
      <c r="K103" s="90"/>
      <c r="L103" s="118"/>
      <c r="M103" s="116"/>
      <c r="N103" s="116"/>
      <c r="O103" s="117"/>
      <c r="P103" s="117"/>
      <c r="Q103" s="118"/>
      <c r="R103" s="117"/>
      <c r="S103" s="117"/>
      <c r="T103" s="117"/>
      <c r="U103" s="117"/>
      <c r="V103" s="115"/>
    </row>
    <row r="104">
      <c r="C104" s="172"/>
      <c r="D104" s="172"/>
      <c r="E104" s="173"/>
      <c r="F104" s="137"/>
      <c r="G104" s="137"/>
      <c r="H104" s="137"/>
      <c r="I104" s="129"/>
      <c r="J104" s="323"/>
      <c r="K104" s="90"/>
      <c r="L104" s="118"/>
      <c r="M104" s="116"/>
      <c r="N104" s="116"/>
      <c r="O104" s="117"/>
      <c r="P104" s="117"/>
      <c r="Q104" s="118"/>
      <c r="R104" s="117"/>
      <c r="S104" s="117"/>
      <c r="T104" s="117"/>
      <c r="U104" s="117"/>
      <c r="V104" s="115"/>
    </row>
    <row r="105">
      <c r="C105" s="172"/>
      <c r="D105" s="172"/>
      <c r="E105" s="173"/>
      <c r="F105" s="137"/>
      <c r="G105" s="137"/>
      <c r="H105" s="137"/>
      <c r="I105" s="129"/>
      <c r="J105" s="323"/>
      <c r="K105" s="90"/>
      <c r="L105" s="118"/>
      <c r="M105" s="116"/>
      <c r="N105" s="116"/>
      <c r="O105" s="117"/>
      <c r="P105" s="117"/>
      <c r="Q105" s="118"/>
      <c r="R105" s="117"/>
      <c r="S105" s="117"/>
      <c r="T105" s="117"/>
      <c r="U105" s="117"/>
      <c r="V105" s="115"/>
    </row>
    <row r="106">
      <c r="C106" s="172"/>
      <c r="D106" s="172"/>
      <c r="E106" s="173"/>
      <c r="F106" s="137"/>
      <c r="G106" s="137"/>
      <c r="H106" s="137"/>
      <c r="I106" s="129"/>
      <c r="J106" s="323"/>
      <c r="K106" s="90"/>
      <c r="L106" s="118"/>
      <c r="M106" s="116"/>
      <c r="N106" s="116"/>
      <c r="O106" s="117"/>
      <c r="P106" s="117"/>
      <c r="Q106" s="118"/>
      <c r="R106" s="117"/>
      <c r="S106" s="117"/>
      <c r="T106" s="117"/>
      <c r="U106" s="117"/>
      <c r="V106" s="115"/>
    </row>
    <row r="107">
      <c r="C107" s="172"/>
      <c r="D107" s="172"/>
      <c r="E107" s="173"/>
      <c r="F107" s="137"/>
      <c r="G107" s="137"/>
      <c r="H107" s="137"/>
      <c r="I107" s="129"/>
      <c r="J107" s="323"/>
      <c r="K107" s="90"/>
      <c r="L107" s="118"/>
      <c r="M107" s="116"/>
      <c r="N107" s="116"/>
      <c r="O107" s="117"/>
      <c r="P107" s="117"/>
      <c r="Q107" s="118"/>
      <c r="R107" s="117"/>
      <c r="S107" s="117"/>
      <c r="T107" s="117"/>
      <c r="U107" s="117"/>
      <c r="V107" s="115"/>
    </row>
    <row r="108">
      <c r="C108" s="172"/>
      <c r="D108" s="172"/>
      <c r="E108" s="173"/>
      <c r="F108" s="137"/>
      <c r="G108" s="137"/>
      <c r="H108" s="137"/>
      <c r="I108" s="129"/>
      <c r="J108" s="323"/>
      <c r="K108" s="90"/>
      <c r="L108" s="118"/>
      <c r="M108" s="116"/>
      <c r="N108" s="116"/>
      <c r="O108" s="117"/>
      <c r="P108" s="117"/>
      <c r="Q108" s="118"/>
      <c r="R108" s="117"/>
      <c r="S108" s="117"/>
      <c r="T108" s="117"/>
      <c r="U108" s="117"/>
      <c r="V108" s="115"/>
    </row>
    <row r="109">
      <c r="C109" s="172"/>
      <c r="D109" s="172"/>
      <c r="E109" s="173"/>
      <c r="F109" s="137"/>
      <c r="G109" s="137"/>
      <c r="H109" s="137"/>
      <c r="I109" s="129"/>
      <c r="J109" s="323"/>
      <c r="K109" s="90"/>
      <c r="L109" s="118"/>
      <c r="M109" s="116"/>
      <c r="N109" s="116"/>
      <c r="O109" s="117"/>
      <c r="P109" s="117"/>
      <c r="Q109" s="118"/>
      <c r="R109" s="117"/>
      <c r="S109" s="117"/>
      <c r="T109" s="117"/>
      <c r="U109" s="117"/>
      <c r="V109" s="115"/>
    </row>
    <row r="110">
      <c r="C110" s="172"/>
      <c r="D110" s="172"/>
      <c r="E110" s="173"/>
      <c r="F110" s="137"/>
      <c r="G110" s="137"/>
      <c r="H110" s="137"/>
      <c r="I110" s="129"/>
      <c r="J110" s="323"/>
      <c r="K110" s="90"/>
      <c r="L110" s="118"/>
      <c r="M110" s="116"/>
      <c r="N110" s="116"/>
      <c r="O110" s="117"/>
      <c r="P110" s="117"/>
      <c r="Q110" s="118"/>
      <c r="R110" s="117"/>
      <c r="S110" s="117"/>
      <c r="T110" s="117"/>
      <c r="U110" s="117"/>
      <c r="V110" s="115"/>
    </row>
    <row r="111">
      <c r="C111" s="172"/>
      <c r="D111" s="172"/>
      <c r="E111" s="173"/>
      <c r="F111" s="137"/>
      <c r="G111" s="137"/>
      <c r="H111" s="137"/>
      <c r="I111" s="129"/>
      <c r="J111" s="323"/>
      <c r="K111" s="90"/>
      <c r="L111" s="118"/>
      <c r="M111" s="116"/>
      <c r="N111" s="116"/>
      <c r="O111" s="117"/>
      <c r="P111" s="117"/>
      <c r="Q111" s="118"/>
      <c r="R111" s="117"/>
      <c r="S111" s="117"/>
      <c r="T111" s="117"/>
      <c r="U111" s="117"/>
      <c r="V111" s="115"/>
    </row>
    <row r="112">
      <c r="C112" s="172"/>
      <c r="D112" s="172"/>
      <c r="E112" s="173"/>
      <c r="F112" s="137"/>
      <c r="G112" s="137"/>
      <c r="H112" s="137"/>
      <c r="I112" s="129"/>
      <c r="J112" s="323"/>
      <c r="K112" s="90"/>
      <c r="L112" s="118"/>
      <c r="M112" s="116"/>
      <c r="N112" s="116"/>
      <c r="O112" s="117"/>
      <c r="P112" s="117"/>
      <c r="Q112" s="118"/>
      <c r="R112" s="117"/>
      <c r="S112" s="117"/>
      <c r="T112" s="117"/>
      <c r="U112" s="117"/>
      <c r="V112" s="115"/>
    </row>
    <row r="113">
      <c r="C113" s="172"/>
      <c r="D113" s="172"/>
      <c r="E113" s="173"/>
      <c r="F113" s="137"/>
      <c r="G113" s="137"/>
      <c r="H113" s="137"/>
      <c r="I113" s="129"/>
      <c r="J113" s="323"/>
      <c r="K113" s="90"/>
      <c r="L113" s="118"/>
      <c r="M113" s="116"/>
      <c r="N113" s="116"/>
      <c r="O113" s="117"/>
      <c r="P113" s="117"/>
      <c r="Q113" s="118"/>
      <c r="R113" s="117"/>
      <c r="S113" s="117"/>
      <c r="T113" s="117"/>
      <c r="U113" s="117"/>
      <c r="V113" s="115"/>
    </row>
    <row r="114">
      <c r="C114" s="172"/>
      <c r="D114" s="172"/>
      <c r="E114" s="173"/>
      <c r="F114" s="137"/>
      <c r="G114" s="137"/>
      <c r="H114" s="137"/>
      <c r="I114" s="129"/>
      <c r="J114" s="323"/>
      <c r="K114" s="90"/>
      <c r="L114" s="118"/>
      <c r="M114" s="116"/>
      <c r="N114" s="116"/>
      <c r="O114" s="117"/>
      <c r="P114" s="117"/>
      <c r="Q114" s="118"/>
      <c r="R114" s="117"/>
      <c r="S114" s="117"/>
      <c r="T114" s="117"/>
      <c r="U114" s="117"/>
      <c r="V114" s="115"/>
    </row>
    <row r="115">
      <c r="C115" s="172"/>
      <c r="D115" s="172"/>
      <c r="E115" s="173"/>
      <c r="F115" s="137"/>
      <c r="G115" s="137"/>
      <c r="H115" s="137"/>
      <c r="I115" s="129"/>
      <c r="J115" s="323"/>
      <c r="K115" s="90"/>
      <c r="L115" s="118"/>
      <c r="M115" s="116"/>
      <c r="N115" s="116"/>
      <c r="O115" s="117"/>
      <c r="P115" s="117"/>
      <c r="Q115" s="118"/>
      <c r="R115" s="117"/>
      <c r="S115" s="117"/>
      <c r="T115" s="117"/>
      <c r="U115" s="117"/>
      <c r="V115" s="115"/>
    </row>
    <row r="116">
      <c r="C116" s="172"/>
      <c r="D116" s="172"/>
      <c r="E116" s="173"/>
      <c r="F116" s="137"/>
      <c r="G116" s="137"/>
      <c r="H116" s="137"/>
      <c r="I116" s="129"/>
      <c r="J116" s="323"/>
      <c r="K116" s="90"/>
      <c r="L116" s="118"/>
      <c r="M116" s="116"/>
      <c r="N116" s="116"/>
      <c r="O116" s="117"/>
      <c r="P116" s="117"/>
      <c r="Q116" s="118"/>
      <c r="R116" s="117"/>
      <c r="S116" s="117"/>
      <c r="T116" s="117"/>
      <c r="U116" s="117"/>
      <c r="V116" s="115"/>
    </row>
    <row r="117">
      <c r="C117" s="172"/>
      <c r="D117" s="172"/>
      <c r="E117" s="173"/>
      <c r="F117" s="137"/>
      <c r="G117" s="137"/>
      <c r="H117" s="137"/>
      <c r="I117" s="129"/>
      <c r="J117" s="323"/>
      <c r="K117" s="90"/>
      <c r="L117" s="118"/>
      <c r="M117" s="116"/>
      <c r="N117" s="116"/>
      <c r="O117" s="117"/>
      <c r="P117" s="117"/>
      <c r="Q117" s="118"/>
      <c r="R117" s="117"/>
      <c r="S117" s="117"/>
      <c r="T117" s="117"/>
      <c r="U117" s="117"/>
      <c r="V117" s="115"/>
    </row>
    <row r="118">
      <c r="C118" s="172"/>
      <c r="D118" s="172"/>
      <c r="E118" s="173"/>
      <c r="F118" s="137"/>
      <c r="G118" s="137"/>
      <c r="H118" s="137"/>
      <c r="I118" s="129"/>
      <c r="J118" s="323"/>
      <c r="K118" s="90"/>
      <c r="L118" s="118"/>
      <c r="M118" s="116"/>
      <c r="N118" s="116"/>
      <c r="O118" s="117"/>
      <c r="P118" s="117"/>
      <c r="Q118" s="118"/>
      <c r="R118" s="117"/>
      <c r="S118" s="117"/>
      <c r="T118" s="117"/>
      <c r="U118" s="117"/>
      <c r="V118" s="115"/>
    </row>
    <row r="119">
      <c r="C119" s="172"/>
      <c r="D119" s="172"/>
      <c r="E119" s="173"/>
      <c r="F119" s="137"/>
      <c r="G119" s="137"/>
      <c r="H119" s="137"/>
      <c r="I119" s="129"/>
      <c r="J119" s="323"/>
      <c r="K119" s="90"/>
      <c r="L119" s="118"/>
      <c r="M119" s="116"/>
      <c r="N119" s="116"/>
      <c r="O119" s="117"/>
      <c r="P119" s="117"/>
      <c r="Q119" s="118"/>
      <c r="R119" s="117"/>
      <c r="S119" s="117"/>
      <c r="T119" s="117"/>
      <c r="U119" s="117"/>
      <c r="V119" s="115"/>
    </row>
    <row r="120">
      <c r="C120" s="172"/>
      <c r="D120" s="172"/>
      <c r="E120" s="173"/>
      <c r="F120" s="137"/>
      <c r="G120" s="137"/>
      <c r="H120" s="137"/>
      <c r="I120" s="129"/>
      <c r="J120" s="323"/>
      <c r="K120" s="90"/>
      <c r="L120" s="118"/>
      <c r="M120" s="116"/>
      <c r="N120" s="116"/>
      <c r="O120" s="117"/>
      <c r="P120" s="117"/>
      <c r="Q120" s="118"/>
      <c r="R120" s="117"/>
      <c r="S120" s="117"/>
      <c r="T120" s="117"/>
      <c r="U120" s="117"/>
      <c r="V120" s="115"/>
    </row>
    <row r="121">
      <c r="C121" s="172"/>
      <c r="D121" s="172"/>
      <c r="E121" s="173"/>
      <c r="F121" s="137"/>
      <c r="G121" s="137"/>
      <c r="H121" s="137"/>
      <c r="I121" s="129"/>
      <c r="J121" s="323"/>
      <c r="K121" s="90"/>
      <c r="L121" s="118"/>
      <c r="M121" s="116"/>
      <c r="N121" s="116"/>
      <c r="O121" s="117"/>
      <c r="P121" s="117"/>
      <c r="Q121" s="118"/>
      <c r="R121" s="117"/>
      <c r="S121" s="117"/>
      <c r="T121" s="117"/>
      <c r="U121" s="117"/>
      <c r="V121" s="115"/>
    </row>
    <row r="122">
      <c r="C122" s="172"/>
      <c r="D122" s="172"/>
      <c r="E122" s="173"/>
      <c r="F122" s="137"/>
      <c r="G122" s="137"/>
      <c r="H122" s="137"/>
      <c r="I122" s="129"/>
      <c r="J122" s="323"/>
      <c r="K122" s="90"/>
      <c r="L122" s="118"/>
      <c r="M122" s="116"/>
      <c r="N122" s="116"/>
      <c r="O122" s="117"/>
      <c r="P122" s="117"/>
      <c r="Q122" s="118"/>
      <c r="R122" s="117"/>
      <c r="S122" s="117"/>
      <c r="T122" s="117"/>
      <c r="U122" s="117"/>
      <c r="V122" s="115"/>
    </row>
    <row r="123">
      <c r="C123" s="172"/>
      <c r="D123" s="172"/>
      <c r="E123" s="173"/>
      <c r="F123" s="137"/>
      <c r="G123" s="137"/>
      <c r="H123" s="137"/>
      <c r="I123" s="129"/>
      <c r="J123" s="323"/>
      <c r="K123" s="90"/>
      <c r="L123" s="118"/>
      <c r="M123" s="116"/>
      <c r="N123" s="116"/>
      <c r="O123" s="117"/>
      <c r="P123" s="117"/>
      <c r="Q123" s="118"/>
      <c r="R123" s="117"/>
      <c r="S123" s="117"/>
      <c r="T123" s="117"/>
      <c r="U123" s="117"/>
      <c r="V123" s="115"/>
    </row>
    <row r="124">
      <c r="C124" s="172"/>
      <c r="D124" s="172"/>
      <c r="E124" s="173"/>
      <c r="F124" s="137"/>
      <c r="G124" s="137"/>
      <c r="H124" s="137"/>
      <c r="I124" s="129"/>
      <c r="J124" s="323"/>
      <c r="K124" s="90"/>
      <c r="L124" s="118"/>
      <c r="M124" s="116"/>
      <c r="N124" s="116"/>
      <c r="O124" s="117"/>
      <c r="P124" s="117"/>
      <c r="Q124" s="118"/>
      <c r="R124" s="117"/>
      <c r="S124" s="117"/>
      <c r="T124" s="117"/>
      <c r="U124" s="117"/>
      <c r="V124" s="115"/>
    </row>
    <row r="125">
      <c r="C125" s="172"/>
      <c r="D125" s="172"/>
      <c r="E125" s="173"/>
      <c r="F125" s="137"/>
      <c r="G125" s="137"/>
      <c r="H125" s="137"/>
      <c r="I125" s="129"/>
      <c r="J125" s="323"/>
      <c r="K125" s="90"/>
      <c r="L125" s="118"/>
      <c r="M125" s="116"/>
      <c r="N125" s="116"/>
      <c r="O125" s="117"/>
      <c r="P125" s="117"/>
      <c r="Q125" s="118"/>
      <c r="R125" s="117"/>
      <c r="S125" s="117"/>
      <c r="T125" s="117"/>
      <c r="U125" s="117"/>
      <c r="V125" s="115"/>
    </row>
    <row r="126">
      <c r="C126" s="172"/>
      <c r="D126" s="172"/>
      <c r="E126" s="173"/>
      <c r="F126" s="137"/>
      <c r="G126" s="137"/>
      <c r="H126" s="137"/>
      <c r="I126" s="129"/>
      <c r="J126" s="323"/>
      <c r="K126" s="90"/>
      <c r="L126" s="118"/>
      <c r="M126" s="116"/>
      <c r="N126" s="116"/>
      <c r="O126" s="117"/>
      <c r="P126" s="117"/>
      <c r="Q126" s="118"/>
      <c r="R126" s="117"/>
      <c r="S126" s="117"/>
      <c r="T126" s="117"/>
      <c r="U126" s="117"/>
      <c r="V126" s="115"/>
    </row>
    <row r="127">
      <c r="C127" s="172"/>
      <c r="D127" s="172"/>
      <c r="E127" s="173"/>
      <c r="F127" s="137"/>
      <c r="G127" s="137"/>
      <c r="H127" s="137"/>
      <c r="I127" s="129"/>
      <c r="J127" s="323"/>
      <c r="K127" s="90"/>
      <c r="L127" s="118"/>
      <c r="M127" s="116"/>
      <c r="N127" s="116"/>
      <c r="O127" s="117"/>
      <c r="P127" s="117"/>
      <c r="Q127" s="118"/>
      <c r="R127" s="117"/>
      <c r="S127" s="117"/>
      <c r="T127" s="117"/>
      <c r="U127" s="117"/>
      <c r="V127" s="115"/>
    </row>
    <row r="128">
      <c r="C128" s="172"/>
      <c r="D128" s="172"/>
      <c r="E128" s="173"/>
      <c r="F128" s="137"/>
      <c r="G128" s="137"/>
      <c r="H128" s="137"/>
      <c r="I128" s="129"/>
      <c r="J128" s="323"/>
      <c r="K128" s="90"/>
      <c r="L128" s="118"/>
      <c r="M128" s="116"/>
      <c r="N128" s="116"/>
      <c r="O128" s="117"/>
      <c r="P128" s="117"/>
      <c r="Q128" s="118"/>
      <c r="R128" s="117"/>
      <c r="S128" s="117"/>
      <c r="T128" s="117"/>
      <c r="U128" s="117"/>
      <c r="V128" s="115"/>
    </row>
    <row r="129">
      <c r="C129" s="172"/>
      <c r="D129" s="172"/>
      <c r="E129" s="173"/>
      <c r="F129" s="137"/>
      <c r="G129" s="137"/>
      <c r="H129" s="137"/>
      <c r="I129" s="129"/>
      <c r="J129" s="323"/>
      <c r="K129" s="90"/>
      <c r="L129" s="118"/>
      <c r="M129" s="116"/>
      <c r="N129" s="116"/>
      <c r="O129" s="117"/>
      <c r="P129" s="117"/>
      <c r="Q129" s="118"/>
      <c r="R129" s="117"/>
      <c r="S129" s="117"/>
      <c r="T129" s="117"/>
      <c r="U129" s="117"/>
      <c r="V129" s="115"/>
    </row>
    <row r="130">
      <c r="C130" s="172"/>
      <c r="D130" s="172"/>
      <c r="E130" s="173"/>
      <c r="F130" s="137"/>
      <c r="G130" s="137"/>
      <c r="H130" s="137"/>
      <c r="I130" s="129"/>
      <c r="J130" s="323"/>
      <c r="K130" s="90"/>
      <c r="L130" s="118"/>
      <c r="M130" s="116"/>
      <c r="N130" s="116"/>
      <c r="O130" s="117"/>
      <c r="P130" s="117"/>
      <c r="Q130" s="118"/>
      <c r="R130" s="117"/>
      <c r="S130" s="117"/>
      <c r="T130" s="117"/>
      <c r="U130" s="117"/>
      <c r="V130" s="115"/>
    </row>
    <row r="131">
      <c r="C131" s="172"/>
      <c r="D131" s="172"/>
      <c r="E131" s="173"/>
      <c r="F131" s="137"/>
      <c r="G131" s="137"/>
      <c r="H131" s="137"/>
      <c r="I131" s="129"/>
      <c r="J131" s="323"/>
      <c r="K131" s="90"/>
      <c r="L131" s="118"/>
      <c r="M131" s="116"/>
      <c r="N131" s="116"/>
      <c r="O131" s="117"/>
      <c r="P131" s="117"/>
      <c r="Q131" s="118"/>
      <c r="R131" s="117"/>
      <c r="S131" s="117"/>
      <c r="T131" s="117"/>
      <c r="U131" s="117"/>
      <c r="V131" s="115"/>
    </row>
    <row r="132">
      <c r="C132" s="172"/>
      <c r="D132" s="172"/>
      <c r="E132" s="173"/>
      <c r="F132" s="137"/>
      <c r="G132" s="137"/>
      <c r="H132" s="137"/>
      <c r="I132" s="129"/>
      <c r="J132" s="323"/>
      <c r="K132" s="90"/>
      <c r="L132" s="118"/>
      <c r="M132" s="116"/>
      <c r="N132" s="116"/>
      <c r="O132" s="117"/>
      <c r="P132" s="117"/>
      <c r="Q132" s="118"/>
      <c r="R132" s="117"/>
      <c r="S132" s="117"/>
      <c r="T132" s="117"/>
      <c r="U132" s="117"/>
      <c r="V132" s="115"/>
    </row>
    <row r="133">
      <c r="C133" s="172"/>
      <c r="D133" s="172"/>
      <c r="E133" s="173"/>
      <c r="F133" s="137"/>
      <c r="G133" s="137"/>
      <c r="H133" s="137"/>
      <c r="I133" s="129"/>
      <c r="J133" s="323"/>
      <c r="K133" s="90"/>
      <c r="L133" s="118"/>
      <c r="M133" s="116"/>
      <c r="N133" s="116"/>
      <c r="O133" s="117"/>
      <c r="P133" s="117"/>
      <c r="Q133" s="118"/>
      <c r="R133" s="117"/>
      <c r="S133" s="117"/>
      <c r="T133" s="117"/>
      <c r="U133" s="117"/>
      <c r="V133" s="115"/>
    </row>
    <row r="134">
      <c r="C134" s="172"/>
      <c r="D134" s="172"/>
      <c r="E134" s="173"/>
      <c r="F134" s="137"/>
      <c r="G134" s="137"/>
      <c r="H134" s="137"/>
      <c r="I134" s="129"/>
      <c r="J134" s="323"/>
      <c r="K134" s="90"/>
      <c r="L134" s="118"/>
      <c r="M134" s="116"/>
      <c r="N134" s="116"/>
      <c r="O134" s="117"/>
      <c r="P134" s="117"/>
      <c r="Q134" s="118"/>
      <c r="R134" s="117"/>
      <c r="S134" s="117"/>
      <c r="T134" s="117"/>
      <c r="U134" s="117"/>
      <c r="V134" s="115"/>
    </row>
    <row r="135">
      <c r="C135" s="172"/>
      <c r="D135" s="172"/>
      <c r="E135" s="173"/>
      <c r="F135" s="137"/>
      <c r="G135" s="137"/>
      <c r="H135" s="137"/>
      <c r="I135" s="129"/>
      <c r="J135" s="323"/>
      <c r="K135" s="90"/>
      <c r="L135" s="118"/>
      <c r="M135" s="116"/>
      <c r="N135" s="116"/>
      <c r="O135" s="117"/>
      <c r="P135" s="117"/>
      <c r="Q135" s="118"/>
      <c r="R135" s="117"/>
      <c r="S135" s="117"/>
      <c r="T135" s="117"/>
      <c r="U135" s="117"/>
      <c r="V135" s="115"/>
    </row>
    <row r="136">
      <c r="C136" s="172"/>
      <c r="D136" s="172"/>
      <c r="E136" s="173"/>
      <c r="F136" s="137"/>
      <c r="G136" s="137"/>
      <c r="H136" s="137"/>
      <c r="I136" s="129"/>
      <c r="J136" s="323"/>
      <c r="K136" s="90"/>
      <c r="L136" s="118"/>
      <c r="M136" s="116"/>
      <c r="N136" s="116"/>
      <c r="O136" s="117"/>
      <c r="P136" s="117"/>
      <c r="Q136" s="118"/>
      <c r="R136" s="117"/>
      <c r="S136" s="117"/>
      <c r="T136" s="117"/>
      <c r="U136" s="117"/>
      <c r="V136" s="115"/>
    </row>
    <row r="137">
      <c r="C137" s="172"/>
      <c r="D137" s="172"/>
      <c r="E137" s="173"/>
      <c r="F137" s="137"/>
      <c r="G137" s="137"/>
      <c r="H137" s="137"/>
      <c r="I137" s="129"/>
      <c r="J137" s="323"/>
      <c r="K137" s="90"/>
      <c r="L137" s="118"/>
      <c r="M137" s="116"/>
      <c r="N137" s="116"/>
      <c r="O137" s="117"/>
      <c r="P137" s="117"/>
      <c r="Q137" s="118"/>
      <c r="R137" s="117"/>
      <c r="S137" s="117"/>
      <c r="T137" s="117"/>
      <c r="U137" s="117"/>
      <c r="V137" s="115"/>
    </row>
    <row r="138">
      <c r="C138" s="172"/>
      <c r="D138" s="172"/>
      <c r="E138" s="173"/>
      <c r="F138" s="137"/>
      <c r="G138" s="137"/>
      <c r="H138" s="137"/>
      <c r="I138" s="129"/>
      <c r="J138" s="323"/>
      <c r="K138" s="90"/>
      <c r="L138" s="118"/>
      <c r="M138" s="116"/>
      <c r="N138" s="116"/>
      <c r="O138" s="117"/>
      <c r="P138" s="117"/>
      <c r="Q138" s="118"/>
      <c r="R138" s="117"/>
      <c r="S138" s="117"/>
      <c r="T138" s="117"/>
      <c r="U138" s="117"/>
      <c r="V138" s="115"/>
    </row>
    <row r="139">
      <c r="C139" s="172"/>
      <c r="D139" s="172"/>
      <c r="E139" s="173"/>
      <c r="F139" s="137"/>
      <c r="G139" s="137"/>
      <c r="H139" s="137"/>
      <c r="I139" s="129"/>
      <c r="J139" s="323"/>
      <c r="K139" s="90"/>
      <c r="L139" s="118"/>
      <c r="M139" s="116"/>
      <c r="N139" s="116"/>
      <c r="O139" s="117"/>
      <c r="P139" s="117"/>
      <c r="Q139" s="118"/>
      <c r="R139" s="117"/>
      <c r="S139" s="117"/>
      <c r="T139" s="117"/>
      <c r="U139" s="117"/>
      <c r="V139" s="115"/>
    </row>
    <row r="140">
      <c r="C140" s="172"/>
      <c r="D140" s="172"/>
      <c r="E140" s="173"/>
      <c r="F140" s="137"/>
      <c r="G140" s="137"/>
      <c r="H140" s="137"/>
      <c r="I140" s="129"/>
      <c r="J140" s="323"/>
      <c r="K140" s="90"/>
      <c r="L140" s="118"/>
      <c r="M140" s="116"/>
      <c r="N140" s="116"/>
      <c r="O140" s="117"/>
      <c r="P140" s="117"/>
      <c r="Q140" s="118"/>
      <c r="R140" s="117"/>
      <c r="S140" s="117"/>
      <c r="T140" s="117"/>
      <c r="U140" s="117"/>
      <c r="V140" s="115"/>
    </row>
    <row r="141">
      <c r="C141" s="172"/>
      <c r="D141" s="172"/>
      <c r="E141" s="173"/>
      <c r="F141" s="137"/>
      <c r="G141" s="137"/>
      <c r="H141" s="137"/>
      <c r="I141" s="129"/>
      <c r="J141" s="323"/>
      <c r="K141" s="90"/>
      <c r="L141" s="118"/>
      <c r="M141" s="116"/>
      <c r="N141" s="116"/>
      <c r="O141" s="117"/>
      <c r="P141" s="117"/>
      <c r="Q141" s="118"/>
      <c r="R141" s="117"/>
      <c r="S141" s="117"/>
      <c r="T141" s="117"/>
      <c r="U141" s="117"/>
      <c r="V141" s="115"/>
    </row>
    <row r="142">
      <c r="C142" s="172"/>
      <c r="D142" s="172"/>
      <c r="E142" s="173"/>
      <c r="F142" s="137"/>
      <c r="G142" s="137"/>
      <c r="H142" s="137"/>
      <c r="I142" s="129"/>
      <c r="J142" s="323"/>
      <c r="K142" s="90"/>
      <c r="L142" s="118"/>
      <c r="M142" s="116"/>
      <c r="N142" s="116"/>
      <c r="O142" s="117"/>
      <c r="P142" s="117"/>
      <c r="Q142" s="118"/>
      <c r="R142" s="117"/>
      <c r="S142" s="117"/>
      <c r="T142" s="117"/>
      <c r="U142" s="117"/>
      <c r="V142" s="115"/>
    </row>
    <row r="143">
      <c r="C143" s="172"/>
      <c r="D143" s="172"/>
      <c r="E143" s="173"/>
      <c r="F143" s="137"/>
      <c r="G143" s="137"/>
      <c r="H143" s="137"/>
      <c r="I143" s="129"/>
      <c r="J143" s="323"/>
      <c r="K143" s="90"/>
      <c r="L143" s="118"/>
      <c r="M143" s="116"/>
      <c r="N143" s="116"/>
      <c r="O143" s="117"/>
      <c r="P143" s="117"/>
      <c r="Q143" s="118"/>
      <c r="R143" s="117"/>
      <c r="S143" s="117"/>
      <c r="T143" s="117"/>
      <c r="U143" s="117"/>
      <c r="V143" s="115"/>
    </row>
    <row r="144">
      <c r="C144" s="172"/>
      <c r="D144" s="172"/>
      <c r="E144" s="173"/>
      <c r="F144" s="137"/>
      <c r="G144" s="137"/>
      <c r="H144" s="137"/>
      <c r="I144" s="129"/>
      <c r="J144" s="323"/>
      <c r="K144" s="90"/>
      <c r="L144" s="118"/>
      <c r="M144" s="116"/>
      <c r="N144" s="116"/>
      <c r="O144" s="117"/>
      <c r="P144" s="117"/>
      <c r="Q144" s="118"/>
      <c r="R144" s="117"/>
      <c r="S144" s="117"/>
      <c r="T144" s="117"/>
      <c r="U144" s="117"/>
      <c r="V144" s="115"/>
    </row>
    <row r="145">
      <c r="C145" s="172"/>
      <c r="D145" s="172"/>
      <c r="E145" s="173"/>
      <c r="F145" s="137"/>
      <c r="G145" s="137"/>
      <c r="H145" s="137"/>
      <c r="I145" s="129"/>
      <c r="J145" s="323"/>
      <c r="K145" s="90"/>
      <c r="L145" s="118"/>
      <c r="M145" s="116"/>
      <c r="N145" s="116"/>
      <c r="O145" s="117"/>
      <c r="P145" s="117"/>
      <c r="Q145" s="118"/>
      <c r="R145" s="117"/>
      <c r="S145" s="117"/>
      <c r="T145" s="117"/>
      <c r="U145" s="117"/>
      <c r="V145" s="115"/>
    </row>
    <row r="146">
      <c r="C146" s="172"/>
      <c r="D146" s="172"/>
      <c r="E146" s="173"/>
      <c r="F146" s="137"/>
      <c r="G146" s="137"/>
      <c r="H146" s="137"/>
      <c r="I146" s="129"/>
      <c r="J146" s="323"/>
      <c r="K146" s="90"/>
      <c r="L146" s="118"/>
      <c r="M146" s="116"/>
      <c r="N146" s="116"/>
      <c r="O146" s="117"/>
      <c r="P146" s="117"/>
      <c r="Q146" s="118"/>
      <c r="R146" s="117"/>
      <c r="S146" s="117"/>
      <c r="T146" s="117"/>
      <c r="U146" s="117"/>
      <c r="V146" s="115"/>
    </row>
    <row r="147">
      <c r="C147" s="172"/>
      <c r="D147" s="172"/>
      <c r="E147" s="173"/>
      <c r="F147" s="137"/>
      <c r="G147" s="137"/>
      <c r="H147" s="137"/>
      <c r="I147" s="129"/>
      <c r="J147" s="323"/>
      <c r="K147" s="90"/>
      <c r="L147" s="118"/>
      <c r="M147" s="116"/>
      <c r="N147" s="116"/>
      <c r="O147" s="117"/>
      <c r="P147" s="117"/>
      <c r="Q147" s="118"/>
      <c r="R147" s="117"/>
      <c r="S147" s="117"/>
      <c r="T147" s="117"/>
      <c r="U147" s="117"/>
      <c r="V147" s="115"/>
    </row>
    <row r="148">
      <c r="C148" s="172"/>
      <c r="D148" s="172"/>
      <c r="E148" s="173"/>
      <c r="F148" s="137"/>
      <c r="G148" s="137"/>
      <c r="H148" s="137"/>
      <c r="I148" s="129"/>
      <c r="J148" s="323"/>
      <c r="K148" s="90"/>
      <c r="L148" s="118"/>
      <c r="M148" s="116"/>
      <c r="N148" s="116"/>
      <c r="O148" s="117"/>
      <c r="P148" s="117"/>
      <c r="Q148" s="118"/>
      <c r="R148" s="117"/>
      <c r="S148" s="117"/>
      <c r="T148" s="117"/>
      <c r="U148" s="117"/>
      <c r="V148" s="115"/>
    </row>
    <row r="149">
      <c r="C149" s="172"/>
      <c r="D149" s="172"/>
      <c r="E149" s="173"/>
      <c r="F149" s="137"/>
      <c r="G149" s="137"/>
      <c r="H149" s="137"/>
      <c r="I149" s="129"/>
      <c r="J149" s="323"/>
      <c r="K149" s="90"/>
      <c r="L149" s="118"/>
      <c r="M149" s="116"/>
      <c r="N149" s="116"/>
      <c r="O149" s="117"/>
      <c r="P149" s="117"/>
      <c r="Q149" s="118"/>
      <c r="R149" s="117"/>
      <c r="S149" s="117"/>
      <c r="T149" s="117"/>
      <c r="U149" s="117"/>
      <c r="V149" s="115"/>
    </row>
    <row r="150">
      <c r="C150" s="172"/>
      <c r="D150" s="172"/>
      <c r="E150" s="173"/>
      <c r="F150" s="137"/>
      <c r="G150" s="137"/>
      <c r="H150" s="137"/>
      <c r="I150" s="129"/>
      <c r="J150" s="323"/>
      <c r="K150" s="90"/>
      <c r="L150" s="118"/>
      <c r="M150" s="116"/>
      <c r="N150" s="116"/>
      <c r="O150" s="117"/>
      <c r="P150" s="117"/>
      <c r="Q150" s="118"/>
      <c r="R150" s="117"/>
      <c r="S150" s="117"/>
      <c r="T150" s="117"/>
      <c r="U150" s="117"/>
      <c r="V150" s="115"/>
    </row>
    <row r="151">
      <c r="C151" s="172"/>
      <c r="D151" s="172"/>
      <c r="E151" s="173"/>
      <c r="F151" s="137"/>
      <c r="G151" s="137"/>
      <c r="H151" s="137"/>
      <c r="I151" s="129"/>
      <c r="J151" s="323"/>
      <c r="K151" s="90"/>
      <c r="L151" s="118"/>
      <c r="M151" s="116"/>
      <c r="N151" s="116"/>
      <c r="O151" s="117"/>
      <c r="P151" s="117"/>
      <c r="Q151" s="118"/>
      <c r="R151" s="117"/>
      <c r="S151" s="117"/>
      <c r="T151" s="117"/>
      <c r="U151" s="117"/>
      <c r="V151" s="115"/>
    </row>
    <row r="152">
      <c r="C152" s="172"/>
      <c r="D152" s="172"/>
      <c r="E152" s="173"/>
      <c r="F152" s="137"/>
      <c r="G152" s="137"/>
      <c r="H152" s="137"/>
      <c r="I152" s="129"/>
      <c r="J152" s="323"/>
      <c r="K152" s="90"/>
      <c r="L152" s="118"/>
      <c r="M152" s="116"/>
      <c r="N152" s="116"/>
      <c r="O152" s="117"/>
      <c r="P152" s="117"/>
      <c r="Q152" s="118"/>
      <c r="R152" s="117"/>
      <c r="S152" s="117"/>
      <c r="T152" s="117"/>
      <c r="U152" s="117"/>
      <c r="V152" s="115"/>
    </row>
    <row r="153">
      <c r="C153" s="172"/>
      <c r="D153" s="172"/>
      <c r="E153" s="173"/>
      <c r="F153" s="137"/>
      <c r="G153" s="137"/>
      <c r="H153" s="137"/>
      <c r="I153" s="129"/>
      <c r="J153" s="323"/>
      <c r="K153" s="90"/>
      <c r="L153" s="118"/>
      <c r="M153" s="116"/>
      <c r="N153" s="116"/>
      <c r="O153" s="117"/>
      <c r="P153" s="117"/>
      <c r="Q153" s="118"/>
      <c r="R153" s="117"/>
      <c r="S153" s="117"/>
      <c r="T153" s="117"/>
      <c r="U153" s="117"/>
      <c r="V153" s="115"/>
    </row>
    <row r="154">
      <c r="C154" s="172"/>
      <c r="D154" s="172"/>
      <c r="E154" s="173"/>
      <c r="F154" s="137"/>
      <c r="G154" s="137"/>
      <c r="H154" s="137"/>
      <c r="I154" s="129"/>
      <c r="J154" s="323"/>
      <c r="K154" s="90"/>
      <c r="L154" s="118"/>
      <c r="M154" s="116"/>
      <c r="N154" s="116"/>
      <c r="O154" s="117"/>
      <c r="P154" s="117"/>
      <c r="Q154" s="118"/>
      <c r="R154" s="117"/>
      <c r="S154" s="117"/>
      <c r="T154" s="117"/>
      <c r="U154" s="117"/>
      <c r="V154" s="115"/>
    </row>
    <row r="155">
      <c r="C155" s="172"/>
      <c r="D155" s="172"/>
      <c r="E155" s="173"/>
      <c r="F155" s="137"/>
      <c r="G155" s="137"/>
      <c r="H155" s="137"/>
      <c r="I155" s="129"/>
      <c r="J155" s="323"/>
      <c r="K155" s="90"/>
      <c r="L155" s="118"/>
      <c r="M155" s="116"/>
      <c r="N155" s="116"/>
      <c r="O155" s="117"/>
      <c r="P155" s="117"/>
      <c r="Q155" s="118"/>
      <c r="R155" s="117"/>
      <c r="S155" s="117"/>
      <c r="T155" s="117"/>
      <c r="U155" s="117"/>
      <c r="V155" s="115"/>
    </row>
    <row r="156">
      <c r="C156" s="172"/>
      <c r="D156" s="172"/>
      <c r="E156" s="173"/>
      <c r="F156" s="137"/>
      <c r="G156" s="137"/>
      <c r="H156" s="137"/>
      <c r="I156" s="129"/>
      <c r="J156" s="323"/>
      <c r="K156" s="90"/>
      <c r="L156" s="118"/>
      <c r="M156" s="116"/>
      <c r="N156" s="116"/>
      <c r="O156" s="117"/>
      <c r="P156" s="117"/>
      <c r="Q156" s="118"/>
      <c r="R156" s="117"/>
      <c r="S156" s="117"/>
      <c r="T156" s="117"/>
      <c r="U156" s="117"/>
      <c r="V156" s="115"/>
    </row>
    <row r="157">
      <c r="C157" s="172"/>
      <c r="D157" s="172"/>
      <c r="E157" s="173"/>
      <c r="F157" s="137"/>
      <c r="G157" s="137"/>
      <c r="H157" s="137"/>
      <c r="I157" s="129"/>
      <c r="J157" s="323"/>
      <c r="K157" s="90"/>
      <c r="L157" s="118"/>
      <c r="M157" s="116"/>
      <c r="N157" s="116"/>
      <c r="O157" s="117"/>
      <c r="P157" s="117"/>
      <c r="Q157" s="118"/>
      <c r="R157" s="117"/>
      <c r="S157" s="117"/>
      <c r="T157" s="117"/>
      <c r="U157" s="117"/>
      <c r="V157" s="115"/>
    </row>
    <row r="158">
      <c r="C158" s="172"/>
      <c r="D158" s="172"/>
      <c r="E158" s="173"/>
      <c r="F158" s="137"/>
      <c r="G158" s="137"/>
      <c r="H158" s="137"/>
      <c r="I158" s="129"/>
      <c r="J158" s="323"/>
      <c r="K158" s="90"/>
      <c r="L158" s="118"/>
      <c r="M158" s="116"/>
      <c r="N158" s="116"/>
      <c r="O158" s="117"/>
      <c r="P158" s="117"/>
      <c r="Q158" s="118"/>
      <c r="R158" s="117"/>
      <c r="S158" s="117"/>
      <c r="T158" s="117"/>
      <c r="U158" s="117"/>
      <c r="V158" s="115"/>
    </row>
    <row r="159">
      <c r="C159" s="172"/>
      <c r="D159" s="172"/>
      <c r="E159" s="173"/>
      <c r="F159" s="137"/>
      <c r="G159" s="137"/>
      <c r="H159" s="137"/>
      <c r="I159" s="129"/>
      <c r="J159" s="323"/>
      <c r="K159" s="90"/>
      <c r="L159" s="118"/>
      <c r="M159" s="116"/>
      <c r="N159" s="116"/>
      <c r="O159" s="117"/>
      <c r="P159" s="117"/>
      <c r="Q159" s="118"/>
      <c r="R159" s="117"/>
      <c r="S159" s="117"/>
      <c r="T159" s="117"/>
      <c r="U159" s="117"/>
      <c r="V159" s="115"/>
    </row>
    <row r="160">
      <c r="C160" s="172"/>
      <c r="D160" s="172"/>
      <c r="E160" s="173"/>
      <c r="F160" s="137"/>
      <c r="G160" s="137"/>
      <c r="H160" s="137"/>
      <c r="I160" s="129"/>
      <c r="J160" s="323"/>
      <c r="K160" s="90"/>
      <c r="L160" s="118"/>
      <c r="M160" s="116"/>
      <c r="N160" s="116"/>
      <c r="O160" s="117"/>
      <c r="P160" s="117"/>
      <c r="Q160" s="118"/>
      <c r="R160" s="117"/>
      <c r="S160" s="117"/>
      <c r="T160" s="117"/>
      <c r="U160" s="117"/>
      <c r="V160" s="115"/>
    </row>
    <row r="161">
      <c r="C161" s="172"/>
      <c r="D161" s="172"/>
      <c r="E161" s="173"/>
      <c r="F161" s="137"/>
      <c r="G161" s="137"/>
      <c r="H161" s="137"/>
      <c r="I161" s="129"/>
      <c r="J161" s="323"/>
      <c r="K161" s="90"/>
      <c r="L161" s="118"/>
      <c r="M161" s="116"/>
      <c r="N161" s="116"/>
      <c r="O161" s="117"/>
      <c r="P161" s="117"/>
      <c r="Q161" s="118"/>
      <c r="R161" s="117"/>
      <c r="S161" s="117"/>
      <c r="T161" s="117"/>
      <c r="U161" s="117"/>
      <c r="V161" s="115"/>
    </row>
    <row r="162">
      <c r="C162" s="172"/>
      <c r="D162" s="172"/>
      <c r="E162" s="173"/>
      <c r="F162" s="137"/>
      <c r="G162" s="137"/>
      <c r="H162" s="137"/>
      <c r="I162" s="129"/>
      <c r="J162" s="323"/>
      <c r="K162" s="90"/>
      <c r="L162" s="118"/>
      <c r="M162" s="116"/>
      <c r="N162" s="116"/>
      <c r="O162" s="117"/>
      <c r="P162" s="117"/>
      <c r="Q162" s="118"/>
      <c r="R162" s="117"/>
      <c r="S162" s="117"/>
      <c r="T162" s="117"/>
      <c r="U162" s="117"/>
      <c r="V162" s="115"/>
    </row>
    <row r="163">
      <c r="C163" s="172"/>
      <c r="D163" s="172"/>
      <c r="E163" s="173"/>
      <c r="F163" s="137"/>
      <c r="G163" s="137"/>
      <c r="H163" s="137"/>
      <c r="I163" s="129"/>
      <c r="J163" s="323"/>
      <c r="K163" s="90"/>
      <c r="L163" s="118"/>
      <c r="M163" s="116"/>
      <c r="N163" s="116"/>
      <c r="O163" s="117"/>
      <c r="P163" s="117"/>
      <c r="Q163" s="118"/>
      <c r="R163" s="117"/>
      <c r="S163" s="117"/>
      <c r="T163" s="117"/>
      <c r="U163" s="117"/>
      <c r="V163" s="115"/>
    </row>
    <row r="164">
      <c r="C164" s="172"/>
      <c r="D164" s="172"/>
      <c r="E164" s="173"/>
      <c r="F164" s="137"/>
      <c r="G164" s="137"/>
      <c r="H164" s="137"/>
      <c r="I164" s="129"/>
      <c r="J164" s="323"/>
      <c r="K164" s="90"/>
      <c r="L164" s="118"/>
      <c r="M164" s="116"/>
      <c r="N164" s="116"/>
      <c r="O164" s="117"/>
      <c r="P164" s="117"/>
      <c r="Q164" s="118"/>
      <c r="R164" s="117"/>
      <c r="S164" s="117"/>
      <c r="T164" s="117"/>
      <c r="U164" s="117"/>
      <c r="V164" s="115"/>
    </row>
    <row r="165">
      <c r="C165" s="172"/>
      <c r="D165" s="172"/>
      <c r="E165" s="173"/>
      <c r="F165" s="137"/>
      <c r="G165" s="137"/>
      <c r="H165" s="137"/>
      <c r="I165" s="129"/>
      <c r="J165" s="323"/>
      <c r="K165" s="90"/>
      <c r="L165" s="118"/>
      <c r="M165" s="116"/>
      <c r="N165" s="116"/>
      <c r="O165" s="117"/>
      <c r="P165" s="117"/>
      <c r="Q165" s="118"/>
      <c r="R165" s="117"/>
      <c r="S165" s="117"/>
      <c r="T165" s="117"/>
      <c r="U165" s="117"/>
      <c r="V165" s="115"/>
    </row>
    <row r="166">
      <c r="C166" s="172"/>
      <c r="D166" s="172"/>
      <c r="E166" s="173"/>
      <c r="F166" s="137"/>
      <c r="G166" s="137"/>
      <c r="H166" s="137"/>
      <c r="I166" s="129"/>
      <c r="J166" s="323"/>
      <c r="K166" s="90"/>
      <c r="L166" s="118"/>
      <c r="M166" s="116"/>
      <c r="N166" s="116"/>
      <c r="O166" s="117"/>
      <c r="P166" s="117"/>
      <c r="Q166" s="118"/>
      <c r="R166" s="117"/>
      <c r="S166" s="117"/>
      <c r="T166" s="117"/>
      <c r="U166" s="117"/>
      <c r="V166" s="115"/>
    </row>
    <row r="167">
      <c r="C167" s="172"/>
      <c r="D167" s="172"/>
      <c r="E167" s="173"/>
      <c r="F167" s="137"/>
      <c r="G167" s="137"/>
      <c r="H167" s="137"/>
      <c r="I167" s="129"/>
      <c r="J167" s="323"/>
      <c r="K167" s="90"/>
      <c r="L167" s="118"/>
      <c r="M167" s="116"/>
      <c r="N167" s="116"/>
      <c r="O167" s="117"/>
      <c r="P167" s="117"/>
      <c r="Q167" s="118"/>
      <c r="R167" s="117"/>
      <c r="S167" s="117"/>
      <c r="T167" s="117"/>
      <c r="U167" s="117"/>
      <c r="V167" s="115"/>
    </row>
    <row r="168">
      <c r="C168" s="172"/>
      <c r="D168" s="172"/>
      <c r="E168" s="173"/>
      <c r="F168" s="137"/>
      <c r="G168" s="137"/>
      <c r="H168" s="137"/>
      <c r="I168" s="129"/>
      <c r="J168" s="323"/>
      <c r="K168" s="90"/>
      <c r="L168" s="118"/>
      <c r="M168" s="116"/>
      <c r="N168" s="116"/>
      <c r="O168" s="117"/>
      <c r="P168" s="117"/>
      <c r="Q168" s="118"/>
      <c r="R168" s="117"/>
      <c r="S168" s="117"/>
      <c r="T168" s="117"/>
      <c r="U168" s="117"/>
      <c r="V168" s="115"/>
    </row>
    <row r="169">
      <c r="C169" s="172"/>
      <c r="D169" s="172"/>
      <c r="E169" s="173"/>
      <c r="F169" s="137"/>
      <c r="G169" s="137"/>
      <c r="H169" s="137"/>
      <c r="I169" s="129"/>
      <c r="J169" s="323"/>
      <c r="K169" s="90"/>
      <c r="L169" s="118"/>
      <c r="M169" s="116"/>
      <c r="N169" s="116"/>
      <c r="O169" s="117"/>
      <c r="P169" s="117"/>
      <c r="Q169" s="118"/>
      <c r="R169" s="117"/>
      <c r="S169" s="117"/>
      <c r="T169" s="117"/>
      <c r="U169" s="117"/>
      <c r="V169" s="115"/>
    </row>
    <row r="170">
      <c r="C170" s="172"/>
      <c r="D170" s="172"/>
      <c r="E170" s="173"/>
      <c r="F170" s="137"/>
      <c r="G170" s="137"/>
      <c r="H170" s="137"/>
      <c r="I170" s="129"/>
      <c r="J170" s="323"/>
      <c r="K170" s="90"/>
      <c r="L170" s="118"/>
      <c r="M170" s="116"/>
      <c r="N170" s="116"/>
      <c r="O170" s="117"/>
      <c r="P170" s="117"/>
      <c r="Q170" s="118"/>
      <c r="R170" s="117"/>
      <c r="S170" s="117"/>
      <c r="T170" s="117"/>
      <c r="U170" s="117"/>
      <c r="V170" s="115"/>
    </row>
    <row r="171">
      <c r="C171" s="172"/>
      <c r="D171" s="172"/>
      <c r="E171" s="173"/>
      <c r="F171" s="137"/>
      <c r="G171" s="137"/>
      <c r="H171" s="137"/>
      <c r="I171" s="129"/>
      <c r="J171" s="323"/>
      <c r="K171" s="90"/>
      <c r="L171" s="118"/>
      <c r="M171" s="116"/>
      <c r="N171" s="116"/>
      <c r="O171" s="117"/>
      <c r="P171" s="117"/>
      <c r="Q171" s="118"/>
      <c r="R171" s="117"/>
      <c r="S171" s="117"/>
      <c r="T171" s="117"/>
      <c r="U171" s="117"/>
      <c r="V171" s="115"/>
    </row>
    <row r="172">
      <c r="C172" s="172"/>
      <c r="D172" s="172"/>
      <c r="E172" s="173"/>
      <c r="F172" s="137"/>
      <c r="G172" s="137"/>
      <c r="H172" s="137"/>
      <c r="I172" s="129"/>
      <c r="J172" s="323"/>
      <c r="K172" s="90"/>
      <c r="L172" s="118"/>
      <c r="M172" s="116"/>
      <c r="N172" s="116"/>
      <c r="O172" s="117"/>
      <c r="P172" s="117"/>
      <c r="Q172" s="118"/>
      <c r="R172" s="117"/>
      <c r="S172" s="117"/>
      <c r="T172" s="117"/>
      <c r="U172" s="117"/>
      <c r="V172" s="115"/>
    </row>
    <row r="173">
      <c r="C173" s="172"/>
      <c r="D173" s="172"/>
      <c r="E173" s="173"/>
      <c r="F173" s="137"/>
      <c r="G173" s="137"/>
      <c r="H173" s="137"/>
      <c r="I173" s="129"/>
      <c r="J173" s="323"/>
      <c r="K173" s="90"/>
      <c r="L173" s="118"/>
      <c r="M173" s="116"/>
      <c r="N173" s="116"/>
      <c r="O173" s="117"/>
      <c r="P173" s="117"/>
      <c r="Q173" s="118"/>
      <c r="R173" s="117"/>
      <c r="S173" s="117"/>
      <c r="T173" s="117"/>
      <c r="U173" s="117"/>
      <c r="V173" s="115"/>
    </row>
    <row r="174">
      <c r="C174" s="172"/>
      <c r="D174" s="172"/>
      <c r="E174" s="173"/>
      <c r="F174" s="137"/>
      <c r="G174" s="137"/>
      <c r="H174" s="137"/>
      <c r="I174" s="129"/>
      <c r="J174" s="323"/>
      <c r="K174" s="90"/>
      <c r="L174" s="118"/>
      <c r="M174" s="116"/>
      <c r="N174" s="116"/>
      <c r="O174" s="117"/>
      <c r="P174" s="117"/>
      <c r="Q174" s="118"/>
      <c r="R174" s="117"/>
      <c r="S174" s="117"/>
      <c r="T174" s="117"/>
      <c r="U174" s="117"/>
      <c r="V174" s="115"/>
    </row>
    <row r="175">
      <c r="C175" s="172"/>
      <c r="D175" s="172"/>
      <c r="E175" s="173"/>
      <c r="F175" s="137"/>
      <c r="G175" s="137"/>
      <c r="H175" s="137"/>
      <c r="I175" s="129"/>
      <c r="J175" s="323"/>
      <c r="K175" s="90"/>
      <c r="L175" s="118"/>
      <c r="M175" s="116"/>
      <c r="N175" s="116"/>
      <c r="O175" s="117"/>
      <c r="P175" s="117"/>
      <c r="Q175" s="118"/>
      <c r="R175" s="117"/>
      <c r="S175" s="117"/>
      <c r="T175" s="117"/>
      <c r="U175" s="117"/>
      <c r="V175" s="115"/>
    </row>
    <row r="176">
      <c r="C176" s="172"/>
      <c r="D176" s="172"/>
      <c r="E176" s="173"/>
      <c r="F176" s="137"/>
      <c r="G176" s="137"/>
      <c r="H176" s="137"/>
      <c r="I176" s="129"/>
      <c r="J176" s="323"/>
      <c r="K176" s="90"/>
      <c r="L176" s="118"/>
      <c r="M176" s="116"/>
      <c r="N176" s="116"/>
      <c r="O176" s="117"/>
      <c r="P176" s="117"/>
      <c r="Q176" s="118"/>
      <c r="R176" s="117"/>
      <c r="S176" s="117"/>
      <c r="T176" s="117"/>
      <c r="U176" s="117"/>
      <c r="V176" s="115"/>
    </row>
    <row r="177">
      <c r="C177" s="172"/>
      <c r="D177" s="172"/>
      <c r="E177" s="173"/>
      <c r="F177" s="137"/>
      <c r="G177" s="137"/>
      <c r="H177" s="137"/>
      <c r="I177" s="129"/>
      <c r="J177" s="323"/>
      <c r="K177" s="90"/>
      <c r="L177" s="118"/>
      <c r="M177" s="116"/>
      <c r="N177" s="116"/>
      <c r="O177" s="117"/>
      <c r="P177" s="117"/>
      <c r="Q177" s="118"/>
      <c r="R177" s="117"/>
      <c r="S177" s="117"/>
      <c r="T177" s="117"/>
      <c r="U177" s="117"/>
      <c r="V177" s="115"/>
    </row>
    <row r="178">
      <c r="C178" s="172"/>
      <c r="D178" s="172"/>
      <c r="E178" s="173"/>
      <c r="F178" s="137"/>
      <c r="G178" s="137"/>
      <c r="H178" s="137"/>
      <c r="I178" s="129"/>
      <c r="J178" s="323"/>
      <c r="K178" s="90"/>
      <c r="L178" s="118"/>
      <c r="M178" s="116"/>
      <c r="N178" s="116"/>
      <c r="O178" s="117"/>
      <c r="P178" s="117"/>
      <c r="Q178" s="118"/>
      <c r="R178" s="117"/>
      <c r="S178" s="117"/>
      <c r="T178" s="117"/>
      <c r="U178" s="117"/>
      <c r="V178" s="115"/>
    </row>
    <row r="179">
      <c r="C179" s="172"/>
      <c r="D179" s="172"/>
      <c r="E179" s="173"/>
      <c r="F179" s="137"/>
      <c r="G179" s="137"/>
      <c r="H179" s="137"/>
      <c r="I179" s="129"/>
      <c r="J179" s="323"/>
      <c r="K179" s="90"/>
      <c r="L179" s="118"/>
      <c r="M179" s="116"/>
      <c r="N179" s="116"/>
      <c r="O179" s="117"/>
      <c r="P179" s="117"/>
      <c r="Q179" s="118"/>
      <c r="R179" s="117"/>
      <c r="S179" s="117"/>
      <c r="T179" s="117"/>
      <c r="U179" s="117"/>
      <c r="V179" s="115"/>
    </row>
    <row r="180">
      <c r="C180" s="172"/>
      <c r="D180" s="172"/>
      <c r="E180" s="173"/>
      <c r="F180" s="137"/>
      <c r="G180" s="137"/>
      <c r="H180" s="137"/>
      <c r="I180" s="129"/>
      <c r="J180" s="323"/>
      <c r="K180" s="90"/>
      <c r="L180" s="118"/>
      <c r="M180" s="116"/>
      <c r="N180" s="116"/>
      <c r="O180" s="117"/>
      <c r="P180" s="117"/>
      <c r="Q180" s="118"/>
      <c r="R180" s="117"/>
      <c r="S180" s="117"/>
      <c r="T180" s="117"/>
      <c r="U180" s="117"/>
      <c r="V180" s="115"/>
    </row>
    <row r="181">
      <c r="C181" s="172"/>
      <c r="D181" s="172"/>
      <c r="E181" s="173"/>
      <c r="F181" s="137"/>
      <c r="G181" s="137"/>
      <c r="H181" s="137"/>
      <c r="I181" s="129"/>
      <c r="J181" s="323"/>
      <c r="K181" s="90"/>
      <c r="L181" s="118"/>
      <c r="M181" s="116"/>
      <c r="N181" s="116"/>
      <c r="O181" s="117"/>
      <c r="P181" s="117"/>
      <c r="Q181" s="118"/>
      <c r="R181" s="117"/>
      <c r="S181" s="117"/>
      <c r="T181" s="117"/>
      <c r="U181" s="117"/>
      <c r="V181" s="115"/>
    </row>
    <row r="182">
      <c r="C182" s="172"/>
      <c r="D182" s="172"/>
      <c r="E182" s="173"/>
      <c r="F182" s="137"/>
      <c r="G182" s="137"/>
      <c r="H182" s="137"/>
      <c r="I182" s="129"/>
      <c r="J182" s="323"/>
      <c r="K182" s="90"/>
      <c r="L182" s="118"/>
      <c r="M182" s="116"/>
      <c r="N182" s="116"/>
      <c r="O182" s="117"/>
      <c r="P182" s="117"/>
      <c r="Q182" s="118"/>
      <c r="R182" s="117"/>
      <c r="S182" s="117"/>
      <c r="T182" s="117"/>
      <c r="U182" s="117"/>
      <c r="V182" s="115"/>
    </row>
    <row r="183">
      <c r="C183" s="172"/>
      <c r="D183" s="172"/>
      <c r="E183" s="173"/>
      <c r="F183" s="137"/>
      <c r="G183" s="137"/>
      <c r="H183" s="137"/>
      <c r="I183" s="129"/>
      <c r="J183" s="323"/>
      <c r="K183" s="90"/>
      <c r="L183" s="118"/>
      <c r="M183" s="116"/>
      <c r="N183" s="116"/>
      <c r="O183" s="117"/>
      <c r="P183" s="117"/>
      <c r="Q183" s="118"/>
      <c r="R183" s="117"/>
      <c r="S183" s="117"/>
      <c r="T183" s="117"/>
      <c r="U183" s="117"/>
      <c r="V183" s="115"/>
    </row>
    <row r="184">
      <c r="C184" s="172"/>
      <c r="D184" s="172"/>
      <c r="E184" s="173"/>
      <c r="F184" s="137"/>
      <c r="G184" s="137"/>
      <c r="H184" s="137"/>
      <c r="I184" s="129"/>
      <c r="J184" s="323"/>
      <c r="K184" s="90"/>
      <c r="L184" s="118"/>
      <c r="M184" s="116"/>
      <c r="N184" s="116"/>
      <c r="O184" s="117"/>
      <c r="P184" s="117"/>
      <c r="Q184" s="118"/>
      <c r="R184" s="117"/>
      <c r="S184" s="117"/>
      <c r="T184" s="117"/>
      <c r="U184" s="117"/>
      <c r="V184" s="115"/>
    </row>
    <row r="185">
      <c r="C185" s="172"/>
      <c r="D185" s="172"/>
      <c r="E185" s="173"/>
      <c r="F185" s="137"/>
      <c r="G185" s="137"/>
      <c r="H185" s="137"/>
      <c r="I185" s="129"/>
      <c r="J185" s="323"/>
      <c r="K185" s="90"/>
      <c r="L185" s="118"/>
      <c r="M185" s="116"/>
      <c r="N185" s="116"/>
      <c r="O185" s="117"/>
      <c r="P185" s="117"/>
      <c r="Q185" s="118"/>
      <c r="R185" s="117"/>
      <c r="S185" s="117"/>
      <c r="T185" s="117"/>
      <c r="U185" s="117"/>
      <c r="V185" s="115"/>
    </row>
    <row r="186">
      <c r="C186" s="172"/>
      <c r="D186" s="172"/>
      <c r="E186" s="173"/>
      <c r="F186" s="137"/>
      <c r="G186" s="137"/>
      <c r="H186" s="137"/>
      <c r="I186" s="129"/>
      <c r="J186" s="323"/>
      <c r="K186" s="90"/>
      <c r="L186" s="118"/>
      <c r="M186" s="116"/>
      <c r="N186" s="116"/>
      <c r="O186" s="117"/>
      <c r="P186" s="117"/>
      <c r="Q186" s="118"/>
      <c r="R186" s="117"/>
      <c r="S186" s="117"/>
      <c r="T186" s="117"/>
      <c r="U186" s="117"/>
      <c r="V186" s="115"/>
    </row>
    <row r="187">
      <c r="C187" s="172"/>
      <c r="D187" s="172"/>
      <c r="E187" s="173"/>
      <c r="F187" s="137"/>
      <c r="G187" s="137"/>
      <c r="H187" s="137"/>
      <c r="I187" s="129"/>
      <c r="J187" s="323"/>
      <c r="K187" s="90"/>
      <c r="L187" s="118"/>
      <c r="M187" s="116"/>
      <c r="N187" s="116"/>
      <c r="O187" s="117"/>
      <c r="P187" s="117"/>
      <c r="Q187" s="118"/>
      <c r="R187" s="117"/>
      <c r="S187" s="117"/>
      <c r="T187" s="117"/>
      <c r="U187" s="117"/>
      <c r="V187" s="115"/>
    </row>
    <row r="188">
      <c r="C188" s="172"/>
      <c r="D188" s="172"/>
      <c r="E188" s="173"/>
      <c r="F188" s="137"/>
      <c r="G188" s="137"/>
      <c r="H188" s="137"/>
      <c r="I188" s="129"/>
      <c r="J188" s="323"/>
      <c r="K188" s="90"/>
      <c r="L188" s="118"/>
      <c r="M188" s="116"/>
      <c r="N188" s="116"/>
      <c r="O188" s="117"/>
      <c r="P188" s="117"/>
      <c r="Q188" s="118"/>
      <c r="R188" s="117"/>
      <c r="S188" s="117"/>
      <c r="T188" s="117"/>
      <c r="U188" s="117"/>
      <c r="V188" s="115"/>
    </row>
    <row r="189">
      <c r="C189" s="172"/>
      <c r="D189" s="172"/>
      <c r="E189" s="173"/>
      <c r="F189" s="137"/>
      <c r="G189" s="137"/>
      <c r="H189" s="137"/>
      <c r="I189" s="129"/>
      <c r="J189" s="323"/>
      <c r="K189" s="90"/>
      <c r="L189" s="118"/>
      <c r="M189" s="116"/>
      <c r="N189" s="116"/>
      <c r="O189" s="117"/>
      <c r="P189" s="117"/>
      <c r="Q189" s="118"/>
      <c r="R189" s="117"/>
      <c r="S189" s="117"/>
      <c r="T189" s="117"/>
      <c r="U189" s="117"/>
      <c r="V189" s="115"/>
    </row>
    <row r="190">
      <c r="C190" s="172"/>
      <c r="D190" s="172"/>
      <c r="E190" s="173"/>
      <c r="F190" s="137"/>
      <c r="G190" s="137"/>
      <c r="H190" s="137"/>
      <c r="I190" s="129"/>
      <c r="J190" s="323"/>
      <c r="K190" s="90"/>
      <c r="L190" s="118"/>
      <c r="M190" s="116"/>
      <c r="N190" s="116"/>
      <c r="O190" s="117"/>
      <c r="P190" s="117"/>
      <c r="Q190" s="118"/>
      <c r="R190" s="117"/>
      <c r="S190" s="117"/>
      <c r="T190" s="117"/>
      <c r="U190" s="117"/>
      <c r="V190" s="115"/>
    </row>
    <row r="191">
      <c r="C191" s="172"/>
      <c r="D191" s="172"/>
      <c r="E191" s="173"/>
      <c r="F191" s="137"/>
      <c r="G191" s="137"/>
      <c r="H191" s="137"/>
      <c r="I191" s="129"/>
      <c r="J191" s="323"/>
      <c r="K191" s="90"/>
      <c r="L191" s="118"/>
      <c r="M191" s="116"/>
      <c r="N191" s="116"/>
      <c r="O191" s="117"/>
      <c r="P191" s="117"/>
      <c r="Q191" s="118"/>
      <c r="R191" s="117"/>
      <c r="S191" s="117"/>
      <c r="T191" s="117"/>
      <c r="U191" s="117"/>
      <c r="V191" s="115"/>
    </row>
    <row r="192">
      <c r="C192" s="172"/>
      <c r="D192" s="172"/>
      <c r="E192" s="173"/>
      <c r="F192" s="137"/>
      <c r="G192" s="137"/>
      <c r="H192" s="137"/>
      <c r="I192" s="129"/>
      <c r="J192" s="323"/>
      <c r="K192" s="90"/>
      <c r="L192" s="118"/>
      <c r="M192" s="116"/>
      <c r="N192" s="116"/>
      <c r="O192" s="117"/>
      <c r="P192" s="117"/>
      <c r="Q192" s="118"/>
      <c r="R192" s="117"/>
      <c r="S192" s="117"/>
      <c r="T192" s="117"/>
      <c r="U192" s="117"/>
      <c r="V192" s="115"/>
    </row>
    <row r="193">
      <c r="C193" s="172"/>
      <c r="D193" s="172"/>
      <c r="E193" s="173"/>
      <c r="F193" s="137"/>
      <c r="G193" s="137"/>
      <c r="H193" s="137"/>
      <c r="I193" s="129"/>
      <c r="J193" s="323"/>
      <c r="K193" s="90"/>
      <c r="L193" s="118"/>
      <c r="M193" s="116"/>
      <c r="N193" s="116"/>
      <c r="O193" s="117"/>
      <c r="P193" s="117"/>
      <c r="Q193" s="118"/>
      <c r="R193" s="117"/>
      <c r="S193" s="117"/>
      <c r="T193" s="117"/>
      <c r="U193" s="117"/>
      <c r="V193" s="115"/>
    </row>
    <row r="194">
      <c r="C194" s="172"/>
      <c r="D194" s="172"/>
      <c r="E194" s="173"/>
      <c r="F194" s="137"/>
      <c r="G194" s="137"/>
      <c r="H194" s="137"/>
      <c r="I194" s="129"/>
      <c r="J194" s="323"/>
      <c r="K194" s="90"/>
      <c r="L194" s="118"/>
      <c r="M194" s="116"/>
      <c r="N194" s="116"/>
      <c r="O194" s="117"/>
      <c r="P194" s="117"/>
      <c r="Q194" s="118"/>
      <c r="R194" s="117"/>
      <c r="S194" s="117"/>
      <c r="T194" s="117"/>
      <c r="U194" s="117"/>
      <c r="V194" s="115"/>
    </row>
    <row r="195">
      <c r="C195" s="172"/>
      <c r="D195" s="172"/>
      <c r="E195" s="173"/>
      <c r="F195" s="137"/>
      <c r="G195" s="137"/>
      <c r="H195" s="137"/>
      <c r="I195" s="129"/>
      <c r="J195" s="323"/>
      <c r="K195" s="90"/>
      <c r="L195" s="118"/>
      <c r="M195" s="116"/>
      <c r="N195" s="116"/>
      <c r="O195" s="117"/>
      <c r="P195" s="117"/>
      <c r="Q195" s="118"/>
      <c r="R195" s="117"/>
      <c r="S195" s="117"/>
      <c r="T195" s="117"/>
      <c r="U195" s="117"/>
      <c r="V195" s="115"/>
    </row>
    <row r="196">
      <c r="C196" s="172"/>
      <c r="D196" s="172"/>
      <c r="E196" s="173"/>
      <c r="F196" s="137"/>
      <c r="G196" s="137"/>
      <c r="H196" s="137"/>
      <c r="I196" s="129"/>
      <c r="J196" s="323"/>
      <c r="K196" s="90"/>
      <c r="L196" s="118"/>
      <c r="M196" s="116"/>
      <c r="N196" s="116"/>
      <c r="O196" s="117"/>
      <c r="P196" s="117"/>
      <c r="Q196" s="118"/>
      <c r="R196" s="117"/>
      <c r="S196" s="117"/>
      <c r="T196" s="117"/>
      <c r="U196" s="117"/>
      <c r="V196" s="115"/>
    </row>
    <row r="197">
      <c r="C197" s="172"/>
      <c r="D197" s="172"/>
      <c r="E197" s="173"/>
      <c r="F197" s="137"/>
      <c r="G197" s="137"/>
      <c r="H197" s="137"/>
      <c r="I197" s="129"/>
      <c r="J197" s="323"/>
      <c r="K197" s="90"/>
      <c r="L197" s="118"/>
      <c r="M197" s="116"/>
      <c r="N197" s="116"/>
      <c r="O197" s="117"/>
      <c r="P197" s="117"/>
      <c r="Q197" s="118"/>
      <c r="R197" s="117"/>
      <c r="S197" s="117"/>
      <c r="T197" s="117"/>
      <c r="U197" s="117"/>
      <c r="V197" s="115"/>
    </row>
    <row r="198">
      <c r="C198" s="172"/>
      <c r="D198" s="172"/>
      <c r="E198" s="173"/>
      <c r="F198" s="137"/>
      <c r="G198" s="137"/>
      <c r="H198" s="137"/>
      <c r="I198" s="129"/>
      <c r="J198" s="323"/>
      <c r="K198" s="90"/>
      <c r="L198" s="118"/>
      <c r="M198" s="116"/>
      <c r="N198" s="116"/>
      <c r="O198" s="117"/>
      <c r="P198" s="117"/>
      <c r="Q198" s="118"/>
      <c r="R198" s="117"/>
      <c r="S198" s="117"/>
      <c r="T198" s="117"/>
      <c r="U198" s="117"/>
      <c r="V198" s="115"/>
    </row>
    <row r="199">
      <c r="C199" s="172"/>
      <c r="D199" s="172"/>
      <c r="E199" s="173"/>
      <c r="F199" s="137"/>
      <c r="G199" s="137"/>
      <c r="H199" s="137"/>
      <c r="I199" s="129"/>
      <c r="J199" s="323"/>
      <c r="K199" s="90"/>
      <c r="L199" s="118"/>
      <c r="M199" s="116"/>
      <c r="N199" s="116"/>
      <c r="O199" s="117"/>
      <c r="P199" s="117"/>
      <c r="Q199" s="118"/>
      <c r="R199" s="117"/>
      <c r="S199" s="117"/>
      <c r="T199" s="117"/>
      <c r="U199" s="117"/>
      <c r="V199" s="115"/>
    </row>
    <row r="200">
      <c r="C200" s="172"/>
      <c r="D200" s="172"/>
      <c r="E200" s="173"/>
      <c r="F200" s="137"/>
      <c r="G200" s="137"/>
      <c r="H200" s="137"/>
      <c r="I200" s="129"/>
      <c r="J200" s="323"/>
      <c r="K200" s="90"/>
      <c r="L200" s="118"/>
      <c r="M200" s="116"/>
      <c r="N200" s="116"/>
      <c r="O200" s="117"/>
      <c r="P200" s="117"/>
      <c r="Q200" s="118"/>
      <c r="R200" s="117"/>
      <c r="S200" s="117"/>
      <c r="T200" s="117"/>
      <c r="U200" s="117"/>
      <c r="V200" s="115"/>
    </row>
    <row r="201">
      <c r="C201" s="172"/>
      <c r="D201" s="172"/>
      <c r="E201" s="173"/>
      <c r="F201" s="137"/>
      <c r="G201" s="137"/>
      <c r="H201" s="137"/>
      <c r="I201" s="129"/>
      <c r="J201" s="323"/>
      <c r="K201" s="90"/>
      <c r="L201" s="118"/>
      <c r="M201" s="116"/>
      <c r="N201" s="116"/>
      <c r="O201" s="117"/>
      <c r="P201" s="117"/>
      <c r="Q201" s="118"/>
      <c r="R201" s="117"/>
      <c r="S201" s="117"/>
      <c r="T201" s="117"/>
      <c r="U201" s="117"/>
      <c r="V201" s="115"/>
    </row>
    <row r="202">
      <c r="C202" s="172"/>
      <c r="D202" s="172"/>
      <c r="E202" s="173"/>
      <c r="F202" s="137"/>
      <c r="G202" s="137"/>
      <c r="H202" s="137"/>
      <c r="I202" s="129"/>
      <c r="J202" s="323"/>
      <c r="K202" s="90"/>
      <c r="L202" s="118"/>
      <c r="M202" s="116"/>
      <c r="N202" s="116"/>
      <c r="O202" s="117"/>
      <c r="P202" s="117"/>
      <c r="Q202" s="118"/>
      <c r="R202" s="117"/>
      <c r="S202" s="117"/>
      <c r="T202" s="117"/>
      <c r="U202" s="117"/>
      <c r="V202" s="115"/>
    </row>
    <row r="203">
      <c r="C203" s="172"/>
      <c r="D203" s="172"/>
      <c r="E203" s="173"/>
      <c r="F203" s="137"/>
      <c r="G203" s="137"/>
      <c r="H203" s="137"/>
      <c r="I203" s="129"/>
      <c r="J203" s="323"/>
      <c r="K203" s="90"/>
      <c r="L203" s="118"/>
      <c r="M203" s="116"/>
      <c r="N203" s="116"/>
      <c r="O203" s="117"/>
      <c r="P203" s="117"/>
      <c r="Q203" s="118"/>
      <c r="R203" s="117"/>
      <c r="S203" s="117"/>
      <c r="T203" s="117"/>
      <c r="U203" s="117"/>
      <c r="V203" s="115"/>
    </row>
    <row r="204">
      <c r="C204" s="172"/>
      <c r="D204" s="172"/>
      <c r="E204" s="173"/>
      <c r="F204" s="137"/>
      <c r="G204" s="137"/>
      <c r="H204" s="137"/>
      <c r="I204" s="129"/>
      <c r="J204" s="323"/>
      <c r="K204" s="90"/>
      <c r="L204" s="118"/>
      <c r="M204" s="116"/>
      <c r="N204" s="116"/>
      <c r="O204" s="117"/>
      <c r="P204" s="117"/>
      <c r="Q204" s="118"/>
      <c r="R204" s="117"/>
      <c r="S204" s="117"/>
      <c r="T204" s="117"/>
      <c r="U204" s="117"/>
      <c r="V204" s="115"/>
    </row>
    <row r="205">
      <c r="C205" s="172"/>
      <c r="D205" s="172"/>
      <c r="E205" s="173"/>
      <c r="F205" s="137"/>
      <c r="G205" s="137"/>
      <c r="H205" s="137"/>
      <c r="I205" s="129"/>
      <c r="J205" s="323"/>
      <c r="K205" s="90"/>
      <c r="L205" s="118"/>
      <c r="M205" s="116"/>
      <c r="N205" s="116"/>
      <c r="O205" s="117"/>
      <c r="P205" s="117"/>
      <c r="Q205" s="118"/>
      <c r="R205" s="117"/>
      <c r="S205" s="117"/>
      <c r="T205" s="117"/>
      <c r="U205" s="117"/>
      <c r="V205" s="115"/>
    </row>
    <row r="206">
      <c r="C206" s="172"/>
      <c r="D206" s="172"/>
      <c r="E206" s="173"/>
      <c r="F206" s="137"/>
      <c r="G206" s="137"/>
      <c r="H206" s="137"/>
      <c r="I206" s="129"/>
      <c r="J206" s="323"/>
      <c r="K206" s="90"/>
      <c r="L206" s="118"/>
      <c r="M206" s="116"/>
      <c r="N206" s="116"/>
      <c r="O206" s="117"/>
      <c r="P206" s="117"/>
      <c r="Q206" s="118"/>
      <c r="R206" s="117"/>
      <c r="S206" s="117"/>
      <c r="T206" s="117"/>
      <c r="U206" s="117"/>
      <c r="V206" s="115"/>
    </row>
    <row r="207">
      <c r="C207" s="172"/>
      <c r="D207" s="172"/>
      <c r="E207" s="173"/>
      <c r="F207" s="137"/>
      <c r="G207" s="137"/>
      <c r="H207" s="137"/>
      <c r="I207" s="129"/>
      <c r="J207" s="323"/>
      <c r="K207" s="90"/>
      <c r="L207" s="118"/>
      <c r="M207" s="116"/>
      <c r="N207" s="116"/>
      <c r="O207" s="117"/>
      <c r="P207" s="117"/>
      <c r="Q207" s="118"/>
      <c r="R207" s="117"/>
      <c r="S207" s="117"/>
      <c r="T207" s="117"/>
      <c r="U207" s="117"/>
      <c r="V207" s="115"/>
    </row>
    <row r="208">
      <c r="C208" s="172"/>
      <c r="D208" s="172"/>
      <c r="E208" s="173"/>
      <c r="F208" s="137"/>
      <c r="G208" s="137"/>
      <c r="H208" s="137"/>
      <c r="I208" s="129"/>
      <c r="J208" s="323"/>
      <c r="K208" s="90"/>
      <c r="L208" s="118"/>
      <c r="M208" s="116"/>
      <c r="N208" s="116"/>
      <c r="O208" s="117"/>
      <c r="P208" s="117"/>
      <c r="Q208" s="118"/>
      <c r="R208" s="117"/>
      <c r="S208" s="117"/>
      <c r="T208" s="117"/>
      <c r="U208" s="117"/>
      <c r="V208" s="115"/>
    </row>
    <row r="209">
      <c r="C209" s="172"/>
      <c r="D209" s="172"/>
      <c r="E209" s="173"/>
      <c r="F209" s="137"/>
      <c r="G209" s="137"/>
      <c r="H209" s="137"/>
      <c r="I209" s="129"/>
      <c r="J209" s="323"/>
      <c r="K209" s="90"/>
      <c r="L209" s="118"/>
      <c r="M209" s="116"/>
      <c r="N209" s="116"/>
      <c r="O209" s="117"/>
      <c r="P209" s="117"/>
      <c r="Q209" s="118"/>
      <c r="R209" s="117"/>
      <c r="S209" s="117"/>
      <c r="T209" s="117"/>
      <c r="U209" s="117"/>
      <c r="V209" s="115"/>
    </row>
    <row r="210">
      <c r="C210" s="172"/>
      <c r="D210" s="172"/>
      <c r="E210" s="173"/>
      <c r="F210" s="137"/>
      <c r="G210" s="137"/>
      <c r="H210" s="137"/>
      <c r="I210" s="129"/>
      <c r="J210" s="323"/>
      <c r="K210" s="90"/>
      <c r="L210" s="118"/>
      <c r="M210" s="116"/>
      <c r="N210" s="116"/>
      <c r="O210" s="117"/>
      <c r="P210" s="117"/>
      <c r="Q210" s="118"/>
      <c r="R210" s="117"/>
      <c r="S210" s="117"/>
      <c r="T210" s="117"/>
      <c r="U210" s="117"/>
      <c r="V210" s="115"/>
    </row>
    <row r="211">
      <c r="C211" s="172"/>
      <c r="D211" s="172"/>
      <c r="E211" s="173"/>
      <c r="F211" s="137"/>
      <c r="G211" s="137"/>
      <c r="H211" s="137"/>
      <c r="I211" s="129"/>
      <c r="J211" s="323"/>
      <c r="K211" s="90"/>
      <c r="L211" s="118"/>
      <c r="M211" s="116"/>
      <c r="N211" s="116"/>
      <c r="O211" s="117"/>
      <c r="P211" s="117"/>
      <c r="Q211" s="118"/>
      <c r="R211" s="117"/>
      <c r="S211" s="117"/>
      <c r="T211" s="117"/>
      <c r="U211" s="117"/>
      <c r="V211" s="115"/>
    </row>
    <row r="212">
      <c r="C212" s="172"/>
      <c r="D212" s="172"/>
      <c r="E212" s="173"/>
      <c r="F212" s="137"/>
      <c r="G212" s="137"/>
      <c r="H212" s="137"/>
      <c r="I212" s="129"/>
      <c r="J212" s="323"/>
      <c r="K212" s="90"/>
      <c r="L212" s="118"/>
      <c r="M212" s="116"/>
      <c r="N212" s="116"/>
      <c r="O212" s="117"/>
      <c r="P212" s="117"/>
      <c r="Q212" s="118"/>
      <c r="R212" s="117"/>
      <c r="S212" s="117"/>
      <c r="T212" s="117"/>
      <c r="U212" s="117"/>
      <c r="V212" s="115"/>
    </row>
    <row r="213">
      <c r="C213" s="172"/>
      <c r="D213" s="172"/>
      <c r="E213" s="173"/>
      <c r="F213" s="137"/>
      <c r="G213" s="137"/>
      <c r="H213" s="137"/>
      <c r="I213" s="129"/>
      <c r="J213" s="323"/>
      <c r="K213" s="90"/>
      <c r="L213" s="118"/>
      <c r="M213" s="116"/>
      <c r="N213" s="116"/>
      <c r="O213" s="117"/>
      <c r="P213" s="117"/>
      <c r="Q213" s="118"/>
      <c r="R213" s="117"/>
      <c r="S213" s="117"/>
      <c r="T213" s="117"/>
      <c r="U213" s="117"/>
      <c r="V213" s="115"/>
    </row>
    <row r="214">
      <c r="C214" s="172"/>
      <c r="D214" s="172"/>
      <c r="E214" s="173"/>
      <c r="F214" s="137"/>
      <c r="G214" s="137"/>
      <c r="H214" s="137"/>
      <c r="I214" s="129"/>
      <c r="J214" s="323"/>
      <c r="K214" s="90"/>
      <c r="L214" s="118"/>
      <c r="M214" s="116"/>
      <c r="N214" s="116"/>
      <c r="O214" s="117"/>
      <c r="P214" s="117"/>
      <c r="Q214" s="118"/>
      <c r="R214" s="117"/>
      <c r="S214" s="117"/>
      <c r="T214" s="117"/>
      <c r="U214" s="117"/>
      <c r="V214" s="115"/>
    </row>
    <row r="215">
      <c r="C215" s="172"/>
      <c r="D215" s="172"/>
      <c r="E215" s="173"/>
      <c r="F215" s="137"/>
      <c r="G215" s="137"/>
      <c r="H215" s="137"/>
      <c r="I215" s="129"/>
      <c r="J215" s="323"/>
      <c r="K215" s="90"/>
      <c r="L215" s="118"/>
      <c r="M215" s="116"/>
      <c r="N215" s="116"/>
      <c r="O215" s="117"/>
      <c r="P215" s="117"/>
      <c r="Q215" s="118"/>
      <c r="R215" s="117"/>
      <c r="S215" s="117"/>
      <c r="T215" s="117"/>
      <c r="U215" s="117"/>
      <c r="V215" s="115"/>
    </row>
    <row r="216">
      <c r="C216" s="172"/>
      <c r="D216" s="172"/>
      <c r="E216" s="173"/>
      <c r="F216" s="137"/>
      <c r="G216" s="137"/>
      <c r="H216" s="137"/>
      <c r="I216" s="129"/>
      <c r="J216" s="323"/>
      <c r="K216" s="90"/>
      <c r="L216" s="118"/>
      <c r="M216" s="116"/>
      <c r="N216" s="116"/>
      <c r="O216" s="117"/>
      <c r="P216" s="117"/>
      <c r="Q216" s="118"/>
      <c r="R216" s="117"/>
      <c r="S216" s="117"/>
      <c r="T216" s="117"/>
      <c r="U216" s="117"/>
      <c r="V216" s="115"/>
    </row>
    <row r="217">
      <c r="C217" s="172"/>
      <c r="D217" s="172"/>
      <c r="E217" s="173"/>
      <c r="F217" s="137"/>
      <c r="G217" s="137"/>
      <c r="H217" s="137"/>
      <c r="I217" s="129"/>
      <c r="J217" s="323"/>
      <c r="K217" s="90"/>
      <c r="L217" s="118"/>
      <c r="M217" s="116"/>
      <c r="N217" s="116"/>
      <c r="O217" s="117"/>
      <c r="P217" s="117"/>
      <c r="Q217" s="118"/>
      <c r="R217" s="117"/>
      <c r="S217" s="117"/>
      <c r="T217" s="117"/>
      <c r="U217" s="117"/>
      <c r="V217" s="115"/>
    </row>
    <row r="218">
      <c r="C218" s="172"/>
      <c r="D218" s="172"/>
      <c r="E218" s="173"/>
      <c r="F218" s="137"/>
      <c r="G218" s="137"/>
      <c r="H218" s="137"/>
      <c r="I218" s="129"/>
      <c r="J218" s="323"/>
      <c r="K218" s="90"/>
      <c r="L218" s="118"/>
      <c r="M218" s="116"/>
      <c r="N218" s="116"/>
      <c r="O218" s="117"/>
      <c r="P218" s="117"/>
      <c r="Q218" s="118"/>
      <c r="R218" s="117"/>
      <c r="S218" s="117"/>
      <c r="T218" s="117"/>
      <c r="U218" s="117"/>
      <c r="V218" s="115"/>
    </row>
    <row r="219">
      <c r="C219" s="172"/>
      <c r="D219" s="172"/>
      <c r="E219" s="173"/>
      <c r="F219" s="137"/>
      <c r="G219" s="137"/>
      <c r="H219" s="137"/>
      <c r="I219" s="129"/>
      <c r="J219" s="323"/>
      <c r="K219" s="90"/>
      <c r="L219" s="118"/>
      <c r="M219" s="116"/>
      <c r="N219" s="116"/>
      <c r="O219" s="117"/>
      <c r="P219" s="117"/>
      <c r="Q219" s="118"/>
      <c r="R219" s="117"/>
      <c r="S219" s="117"/>
      <c r="T219" s="117"/>
      <c r="U219" s="117"/>
      <c r="V219" s="115"/>
    </row>
    <row r="220">
      <c r="C220" s="172"/>
      <c r="D220" s="172"/>
      <c r="E220" s="173"/>
      <c r="F220" s="137"/>
      <c r="G220" s="137"/>
      <c r="H220" s="137"/>
      <c r="I220" s="129"/>
      <c r="J220" s="323"/>
      <c r="K220" s="90"/>
      <c r="L220" s="118"/>
      <c r="M220" s="116"/>
      <c r="N220" s="116"/>
      <c r="O220" s="117"/>
      <c r="P220" s="117"/>
      <c r="Q220" s="118"/>
      <c r="R220" s="117"/>
      <c r="S220" s="117"/>
      <c r="T220" s="117"/>
      <c r="U220" s="117"/>
      <c r="V220" s="115"/>
    </row>
    <row r="221">
      <c r="C221" s="172"/>
      <c r="D221" s="172"/>
      <c r="E221" s="173"/>
      <c r="F221" s="137"/>
      <c r="G221" s="137"/>
      <c r="H221" s="137"/>
      <c r="I221" s="129"/>
      <c r="J221" s="323"/>
      <c r="K221" s="90"/>
      <c r="L221" s="118"/>
      <c r="M221" s="116"/>
      <c r="N221" s="116"/>
      <c r="O221" s="117"/>
      <c r="P221" s="117"/>
      <c r="Q221" s="118"/>
      <c r="R221" s="117"/>
      <c r="S221" s="117"/>
      <c r="T221" s="117"/>
      <c r="U221" s="117"/>
      <c r="V221" s="115"/>
    </row>
    <row r="222">
      <c r="C222" s="172"/>
      <c r="D222" s="172"/>
      <c r="E222" s="173"/>
      <c r="F222" s="137"/>
      <c r="G222" s="137"/>
      <c r="H222" s="137"/>
      <c r="I222" s="129"/>
      <c r="J222" s="323"/>
      <c r="K222" s="90"/>
      <c r="L222" s="118"/>
      <c r="M222" s="116"/>
      <c r="N222" s="116"/>
      <c r="O222" s="117"/>
      <c r="P222" s="117"/>
      <c r="Q222" s="118"/>
      <c r="R222" s="117"/>
      <c r="S222" s="117"/>
      <c r="T222" s="117"/>
      <c r="U222" s="117"/>
      <c r="V222" s="115"/>
    </row>
    <row r="223">
      <c r="C223" s="172"/>
      <c r="D223" s="172"/>
      <c r="E223" s="173"/>
      <c r="F223" s="137"/>
      <c r="G223" s="137"/>
      <c r="H223" s="137"/>
      <c r="I223" s="129"/>
      <c r="J223" s="323"/>
      <c r="K223" s="90"/>
      <c r="L223" s="118"/>
      <c r="M223" s="116"/>
      <c r="N223" s="116"/>
      <c r="O223" s="117"/>
      <c r="P223" s="117"/>
      <c r="Q223" s="118"/>
      <c r="R223" s="117"/>
      <c r="S223" s="117"/>
      <c r="T223" s="117"/>
      <c r="U223" s="117"/>
      <c r="V223" s="115"/>
    </row>
    <row r="224">
      <c r="C224" s="172"/>
      <c r="D224" s="172"/>
      <c r="E224" s="173"/>
      <c r="F224" s="137"/>
      <c r="G224" s="137"/>
      <c r="H224" s="137"/>
      <c r="I224" s="129"/>
      <c r="J224" s="323"/>
      <c r="K224" s="90"/>
      <c r="L224" s="118"/>
      <c r="M224" s="116"/>
      <c r="N224" s="116"/>
      <c r="O224" s="117"/>
      <c r="P224" s="117"/>
      <c r="Q224" s="118"/>
      <c r="R224" s="117"/>
      <c r="S224" s="117"/>
      <c r="T224" s="117"/>
      <c r="U224" s="117"/>
      <c r="V224" s="115"/>
    </row>
    <row r="225">
      <c r="C225" s="172"/>
      <c r="D225" s="172"/>
      <c r="E225" s="173"/>
      <c r="F225" s="137"/>
      <c r="G225" s="137"/>
      <c r="H225" s="137"/>
      <c r="I225" s="129"/>
      <c r="J225" s="323"/>
      <c r="K225" s="90"/>
      <c r="L225" s="118"/>
      <c r="M225" s="116"/>
      <c r="N225" s="116"/>
      <c r="O225" s="117"/>
      <c r="P225" s="117"/>
      <c r="Q225" s="118"/>
      <c r="R225" s="117"/>
      <c r="S225" s="117"/>
      <c r="T225" s="117"/>
      <c r="U225" s="117"/>
      <c r="V225" s="115"/>
    </row>
    <row r="226">
      <c r="C226" s="172"/>
      <c r="D226" s="172"/>
      <c r="E226" s="173"/>
      <c r="F226" s="137"/>
      <c r="G226" s="137"/>
      <c r="H226" s="137"/>
      <c r="I226" s="129"/>
      <c r="J226" s="323"/>
      <c r="K226" s="90"/>
      <c r="L226" s="118"/>
      <c r="M226" s="116"/>
      <c r="N226" s="116"/>
      <c r="O226" s="117"/>
      <c r="P226" s="117"/>
      <c r="Q226" s="118"/>
      <c r="R226" s="117"/>
      <c r="S226" s="117"/>
      <c r="T226" s="117"/>
      <c r="U226" s="117"/>
      <c r="V226" s="115"/>
    </row>
    <row r="227">
      <c r="C227" s="172"/>
      <c r="D227" s="172"/>
      <c r="E227" s="173"/>
      <c r="F227" s="137"/>
      <c r="G227" s="137"/>
      <c r="H227" s="137"/>
      <c r="I227" s="129"/>
      <c r="J227" s="323"/>
      <c r="K227" s="90"/>
      <c r="L227" s="118"/>
      <c r="M227" s="116"/>
      <c r="N227" s="116"/>
      <c r="O227" s="117"/>
      <c r="P227" s="117"/>
      <c r="Q227" s="118"/>
      <c r="R227" s="117"/>
      <c r="S227" s="117"/>
      <c r="T227" s="117"/>
      <c r="U227" s="117"/>
      <c r="V227" s="115"/>
    </row>
    <row r="228">
      <c r="C228" s="172"/>
      <c r="D228" s="172"/>
      <c r="E228" s="173"/>
      <c r="F228" s="137"/>
      <c r="G228" s="137"/>
      <c r="H228" s="137"/>
      <c r="I228" s="129"/>
      <c r="J228" s="323"/>
      <c r="K228" s="90"/>
      <c r="L228" s="118"/>
      <c r="M228" s="116"/>
      <c r="N228" s="116"/>
      <c r="O228" s="117"/>
      <c r="P228" s="117"/>
      <c r="Q228" s="118"/>
      <c r="R228" s="117"/>
      <c r="S228" s="117"/>
      <c r="T228" s="117"/>
      <c r="U228" s="117"/>
      <c r="V228" s="115"/>
    </row>
    <row r="229">
      <c r="C229" s="172"/>
      <c r="D229" s="172"/>
      <c r="E229" s="173"/>
      <c r="F229" s="137"/>
      <c r="G229" s="137"/>
      <c r="H229" s="137"/>
      <c r="I229" s="129"/>
      <c r="J229" s="323"/>
      <c r="K229" s="90"/>
      <c r="L229" s="118"/>
      <c r="M229" s="116"/>
      <c r="N229" s="116"/>
      <c r="O229" s="117"/>
      <c r="P229" s="117"/>
      <c r="Q229" s="118"/>
      <c r="R229" s="117"/>
      <c r="S229" s="117"/>
      <c r="T229" s="117"/>
      <c r="U229" s="117"/>
      <c r="V229" s="115"/>
    </row>
    <row r="230">
      <c r="C230" s="172"/>
      <c r="D230" s="172"/>
      <c r="E230" s="173"/>
      <c r="F230" s="137"/>
      <c r="G230" s="137"/>
      <c r="H230" s="137"/>
      <c r="I230" s="129"/>
      <c r="J230" s="323"/>
      <c r="K230" s="90"/>
      <c r="L230" s="118"/>
      <c r="M230" s="116"/>
      <c r="N230" s="116"/>
      <c r="O230" s="117"/>
      <c r="P230" s="117"/>
      <c r="Q230" s="118"/>
      <c r="R230" s="117"/>
      <c r="S230" s="117"/>
      <c r="T230" s="117"/>
      <c r="U230" s="117"/>
      <c r="V230" s="115"/>
    </row>
    <row r="231">
      <c r="C231" s="172"/>
      <c r="D231" s="172"/>
      <c r="E231" s="173"/>
      <c r="F231" s="137"/>
      <c r="G231" s="137"/>
      <c r="H231" s="137"/>
      <c r="I231" s="129"/>
      <c r="J231" s="323"/>
      <c r="K231" s="90"/>
      <c r="L231" s="118"/>
      <c r="M231" s="116"/>
      <c r="N231" s="116"/>
      <c r="O231" s="117"/>
      <c r="P231" s="117"/>
      <c r="Q231" s="118"/>
      <c r="R231" s="117"/>
      <c r="S231" s="117"/>
      <c r="T231" s="117"/>
      <c r="U231" s="117"/>
      <c r="V231" s="115"/>
    </row>
    <row r="232">
      <c r="C232" s="172"/>
      <c r="D232" s="172"/>
      <c r="E232" s="173"/>
      <c r="F232" s="137"/>
      <c r="G232" s="137"/>
      <c r="H232" s="137"/>
      <c r="I232" s="129"/>
      <c r="J232" s="323"/>
      <c r="K232" s="90"/>
      <c r="L232" s="118"/>
      <c r="M232" s="116"/>
      <c r="N232" s="116"/>
      <c r="O232" s="117"/>
      <c r="P232" s="117"/>
      <c r="Q232" s="118"/>
      <c r="R232" s="117"/>
      <c r="S232" s="117"/>
      <c r="T232" s="117"/>
      <c r="U232" s="117"/>
      <c r="V232" s="115"/>
    </row>
    <row r="233">
      <c r="C233" s="172"/>
      <c r="D233" s="172"/>
      <c r="E233" s="173"/>
      <c r="F233" s="137"/>
      <c r="G233" s="137"/>
      <c r="H233" s="137"/>
      <c r="I233" s="129"/>
      <c r="J233" s="323"/>
      <c r="K233" s="90"/>
      <c r="L233" s="118"/>
      <c r="M233" s="116"/>
      <c r="N233" s="116"/>
      <c r="O233" s="117"/>
      <c r="P233" s="117"/>
      <c r="Q233" s="118"/>
      <c r="R233" s="117"/>
      <c r="S233" s="117"/>
      <c r="T233" s="117"/>
      <c r="U233" s="117"/>
      <c r="V233" s="115"/>
    </row>
    <row r="234">
      <c r="C234" s="172"/>
      <c r="D234" s="172"/>
      <c r="E234" s="173"/>
      <c r="F234" s="137"/>
      <c r="G234" s="137"/>
      <c r="H234" s="137"/>
      <c r="I234" s="129"/>
      <c r="J234" s="323"/>
      <c r="K234" s="90"/>
      <c r="L234" s="118"/>
      <c r="M234" s="116"/>
      <c r="N234" s="116"/>
      <c r="O234" s="117"/>
      <c r="P234" s="117"/>
      <c r="Q234" s="118"/>
      <c r="R234" s="117"/>
      <c r="S234" s="117"/>
      <c r="T234" s="117"/>
      <c r="U234" s="117"/>
      <c r="V234" s="115"/>
    </row>
    <row r="235">
      <c r="C235" s="172"/>
      <c r="D235" s="172"/>
      <c r="E235" s="173"/>
      <c r="F235" s="137"/>
      <c r="G235" s="137"/>
      <c r="H235" s="137"/>
      <c r="I235" s="129"/>
      <c r="J235" s="323"/>
      <c r="K235" s="90"/>
      <c r="L235" s="118"/>
      <c r="M235" s="116"/>
      <c r="N235" s="116"/>
      <c r="O235" s="117"/>
      <c r="P235" s="117"/>
      <c r="Q235" s="118"/>
      <c r="R235" s="117"/>
      <c r="S235" s="117"/>
      <c r="T235" s="117"/>
      <c r="U235" s="117"/>
      <c r="V235" s="115"/>
    </row>
    <row r="236">
      <c r="C236" s="172"/>
      <c r="D236" s="172"/>
      <c r="E236" s="173"/>
      <c r="F236" s="137"/>
      <c r="G236" s="137"/>
      <c r="H236" s="137"/>
      <c r="I236" s="129"/>
      <c r="J236" s="323"/>
      <c r="K236" s="90"/>
      <c r="L236" s="118"/>
      <c r="M236" s="116"/>
      <c r="N236" s="116"/>
      <c r="O236" s="117"/>
      <c r="P236" s="117"/>
      <c r="Q236" s="118"/>
      <c r="R236" s="117"/>
      <c r="S236" s="117"/>
      <c r="T236" s="117"/>
      <c r="U236" s="117"/>
      <c r="V236" s="115"/>
    </row>
    <row r="237">
      <c r="C237" s="172"/>
      <c r="D237" s="172"/>
      <c r="E237" s="173"/>
      <c r="F237" s="137"/>
      <c r="G237" s="137"/>
      <c r="H237" s="137"/>
      <c r="I237" s="129"/>
      <c r="J237" s="323"/>
      <c r="K237" s="90"/>
      <c r="L237" s="118"/>
      <c r="M237" s="116"/>
      <c r="N237" s="116"/>
      <c r="O237" s="117"/>
      <c r="P237" s="117"/>
      <c r="Q237" s="118"/>
      <c r="R237" s="117"/>
      <c r="S237" s="117"/>
      <c r="T237" s="117"/>
      <c r="U237" s="117"/>
      <c r="V237" s="115"/>
    </row>
    <row r="238">
      <c r="C238" s="172"/>
      <c r="D238" s="172"/>
      <c r="E238" s="173"/>
      <c r="F238" s="137"/>
      <c r="G238" s="137"/>
      <c r="H238" s="137"/>
      <c r="I238" s="129"/>
      <c r="J238" s="323"/>
      <c r="K238" s="90"/>
      <c r="L238" s="118"/>
      <c r="M238" s="116"/>
      <c r="N238" s="116"/>
      <c r="O238" s="117"/>
      <c r="P238" s="117"/>
      <c r="Q238" s="118"/>
      <c r="R238" s="117"/>
      <c r="S238" s="117"/>
      <c r="T238" s="117"/>
      <c r="U238" s="117"/>
      <c r="V238" s="115"/>
    </row>
    <row r="239">
      <c r="C239" s="172"/>
      <c r="D239" s="172"/>
      <c r="E239" s="173"/>
      <c r="F239" s="137"/>
      <c r="G239" s="137"/>
      <c r="H239" s="137"/>
      <c r="I239" s="129"/>
      <c r="J239" s="323"/>
      <c r="K239" s="90"/>
      <c r="L239" s="118"/>
      <c r="M239" s="116"/>
      <c r="N239" s="116"/>
      <c r="O239" s="117"/>
      <c r="P239" s="117"/>
      <c r="Q239" s="118"/>
      <c r="R239" s="117"/>
      <c r="S239" s="117"/>
      <c r="T239" s="117"/>
      <c r="U239" s="117"/>
      <c r="V239" s="115"/>
    </row>
    <row r="240">
      <c r="C240" s="172"/>
      <c r="D240" s="172"/>
      <c r="E240" s="173"/>
      <c r="F240" s="137"/>
      <c r="G240" s="137"/>
      <c r="H240" s="137"/>
      <c r="I240" s="129"/>
      <c r="J240" s="323"/>
      <c r="K240" s="90"/>
      <c r="L240" s="118"/>
      <c r="M240" s="116"/>
      <c r="N240" s="116"/>
      <c r="O240" s="117"/>
      <c r="P240" s="117"/>
      <c r="Q240" s="118"/>
      <c r="R240" s="117"/>
      <c r="S240" s="117"/>
      <c r="T240" s="117"/>
      <c r="U240" s="117"/>
      <c r="V240" s="115"/>
    </row>
    <row r="241">
      <c r="C241" s="172"/>
      <c r="D241" s="172"/>
      <c r="E241" s="173"/>
      <c r="F241" s="137"/>
      <c r="G241" s="137"/>
      <c r="H241" s="137"/>
      <c r="I241" s="129"/>
      <c r="J241" s="323"/>
      <c r="K241" s="90"/>
      <c r="L241" s="118"/>
      <c r="M241" s="116"/>
      <c r="N241" s="116"/>
      <c r="O241" s="117"/>
      <c r="P241" s="117"/>
      <c r="Q241" s="118"/>
      <c r="R241" s="117"/>
      <c r="S241" s="117"/>
      <c r="T241" s="117"/>
      <c r="U241" s="117"/>
      <c r="V241" s="115"/>
    </row>
    <row r="242">
      <c r="C242" s="172"/>
      <c r="D242" s="172"/>
      <c r="E242" s="173"/>
      <c r="F242" s="137"/>
      <c r="G242" s="137"/>
      <c r="H242" s="137"/>
      <c r="I242" s="129"/>
      <c r="J242" s="323"/>
      <c r="K242" s="90"/>
      <c r="L242" s="118"/>
      <c r="M242" s="116"/>
      <c r="N242" s="116"/>
      <c r="O242" s="117"/>
      <c r="P242" s="117"/>
      <c r="Q242" s="118"/>
      <c r="R242" s="117"/>
      <c r="S242" s="117"/>
      <c r="T242" s="117"/>
      <c r="U242" s="117"/>
      <c r="V242" s="115"/>
    </row>
    <row r="243">
      <c r="C243" s="172"/>
      <c r="D243" s="172"/>
      <c r="E243" s="173"/>
      <c r="F243" s="137"/>
      <c r="G243" s="137"/>
      <c r="H243" s="137"/>
      <c r="I243" s="129"/>
      <c r="J243" s="323"/>
      <c r="K243" s="90"/>
      <c r="L243" s="118"/>
      <c r="M243" s="116"/>
      <c r="N243" s="116"/>
      <c r="O243" s="117"/>
      <c r="P243" s="117"/>
      <c r="Q243" s="118"/>
      <c r="R243" s="117"/>
      <c r="S243" s="117"/>
      <c r="T243" s="117"/>
      <c r="U243" s="117"/>
      <c r="V243" s="115"/>
    </row>
    <row r="244">
      <c r="C244" s="172"/>
      <c r="D244" s="172"/>
      <c r="E244" s="173"/>
      <c r="F244" s="137"/>
      <c r="G244" s="137"/>
      <c r="H244" s="137"/>
      <c r="I244" s="129"/>
      <c r="J244" s="323"/>
      <c r="K244" s="90"/>
      <c r="L244" s="118"/>
      <c r="M244" s="116"/>
      <c r="N244" s="116"/>
      <c r="O244" s="117"/>
      <c r="P244" s="117"/>
      <c r="Q244" s="118"/>
      <c r="R244" s="117"/>
      <c r="S244" s="117"/>
      <c r="T244" s="117"/>
      <c r="U244" s="117"/>
      <c r="V244" s="115"/>
    </row>
    <row r="245">
      <c r="C245" s="172"/>
      <c r="D245" s="172"/>
      <c r="E245" s="173"/>
      <c r="F245" s="137"/>
      <c r="G245" s="137"/>
      <c r="H245" s="137"/>
      <c r="I245" s="129"/>
      <c r="J245" s="323"/>
      <c r="K245" s="90"/>
      <c r="L245" s="118"/>
      <c r="M245" s="116"/>
      <c r="N245" s="116"/>
      <c r="O245" s="117"/>
      <c r="P245" s="117"/>
      <c r="Q245" s="118"/>
      <c r="R245" s="117"/>
      <c r="S245" s="117"/>
      <c r="T245" s="117"/>
      <c r="U245" s="117"/>
      <c r="V245" s="115"/>
    </row>
    <row r="246">
      <c r="C246" s="172"/>
      <c r="D246" s="172"/>
      <c r="E246" s="173"/>
      <c r="F246" s="137"/>
      <c r="G246" s="137"/>
      <c r="H246" s="137"/>
      <c r="I246" s="129"/>
      <c r="J246" s="323"/>
      <c r="K246" s="90"/>
      <c r="L246" s="118"/>
      <c r="M246" s="116"/>
      <c r="N246" s="116"/>
      <c r="O246" s="117"/>
      <c r="P246" s="117"/>
      <c r="Q246" s="118"/>
      <c r="R246" s="117"/>
      <c r="S246" s="117"/>
      <c r="T246" s="117"/>
      <c r="U246" s="117"/>
      <c r="V246" s="115"/>
    </row>
    <row r="247">
      <c r="C247" s="172"/>
      <c r="D247" s="172"/>
      <c r="E247" s="173"/>
      <c r="F247" s="137"/>
      <c r="G247" s="137"/>
      <c r="H247" s="137"/>
      <c r="I247" s="129"/>
      <c r="J247" s="323"/>
      <c r="K247" s="90"/>
      <c r="L247" s="118"/>
      <c r="M247" s="116"/>
      <c r="N247" s="116"/>
      <c r="O247" s="117"/>
      <c r="P247" s="117"/>
      <c r="Q247" s="118"/>
      <c r="R247" s="117"/>
      <c r="S247" s="117"/>
      <c r="T247" s="117"/>
      <c r="U247" s="117"/>
      <c r="V247" s="115"/>
    </row>
    <row r="248">
      <c r="C248" s="172"/>
      <c r="D248" s="172"/>
      <c r="E248" s="173"/>
      <c r="F248" s="137"/>
      <c r="G248" s="137"/>
      <c r="H248" s="137"/>
      <c r="I248" s="129"/>
      <c r="J248" s="323"/>
      <c r="K248" s="90"/>
      <c r="L248" s="118"/>
      <c r="M248" s="116"/>
      <c r="N248" s="116"/>
      <c r="O248" s="117"/>
      <c r="P248" s="117"/>
      <c r="Q248" s="118"/>
      <c r="R248" s="117"/>
      <c r="S248" s="117"/>
      <c r="T248" s="117"/>
      <c r="U248" s="117"/>
      <c r="V248" s="115"/>
    </row>
    <row r="249">
      <c r="C249" s="172"/>
      <c r="D249" s="172"/>
      <c r="E249" s="173"/>
      <c r="F249" s="137"/>
      <c r="G249" s="137"/>
      <c r="H249" s="137"/>
      <c r="I249" s="129"/>
      <c r="J249" s="323"/>
      <c r="K249" s="90"/>
      <c r="L249" s="118"/>
      <c r="M249" s="116"/>
      <c r="N249" s="116"/>
      <c r="O249" s="117"/>
      <c r="P249" s="117"/>
      <c r="Q249" s="118"/>
      <c r="R249" s="117"/>
      <c r="S249" s="117"/>
      <c r="T249" s="117"/>
      <c r="U249" s="117"/>
      <c r="V249" s="115"/>
    </row>
    <row r="250">
      <c r="C250" s="172"/>
      <c r="D250" s="172"/>
      <c r="E250" s="173"/>
      <c r="F250" s="137"/>
      <c r="G250" s="137"/>
      <c r="H250" s="137"/>
      <c r="I250" s="129"/>
      <c r="J250" s="323"/>
      <c r="K250" s="90"/>
      <c r="L250" s="118"/>
      <c r="M250" s="116"/>
      <c r="N250" s="116"/>
      <c r="O250" s="117"/>
      <c r="P250" s="117"/>
      <c r="Q250" s="118"/>
      <c r="R250" s="117"/>
      <c r="S250" s="117"/>
      <c r="T250" s="117"/>
      <c r="U250" s="117"/>
      <c r="V250" s="115"/>
    </row>
    <row r="251">
      <c r="C251" s="172"/>
      <c r="D251" s="172"/>
      <c r="E251" s="173"/>
      <c r="F251" s="137"/>
      <c r="G251" s="137"/>
      <c r="H251" s="137"/>
      <c r="I251" s="129"/>
      <c r="J251" s="323"/>
      <c r="K251" s="90"/>
      <c r="L251" s="118"/>
      <c r="M251" s="116"/>
      <c r="N251" s="116"/>
      <c r="O251" s="117"/>
      <c r="P251" s="117"/>
      <c r="Q251" s="118"/>
      <c r="R251" s="117"/>
      <c r="S251" s="117"/>
      <c r="T251" s="117"/>
      <c r="U251" s="117"/>
      <c r="V251" s="115"/>
    </row>
    <row r="252">
      <c r="C252" s="172"/>
      <c r="D252" s="172"/>
      <c r="E252" s="173"/>
      <c r="F252" s="137"/>
      <c r="G252" s="137"/>
      <c r="H252" s="137"/>
      <c r="I252" s="129"/>
      <c r="J252" s="323"/>
      <c r="K252" s="90"/>
      <c r="L252" s="118"/>
      <c r="M252" s="116"/>
      <c r="N252" s="116"/>
      <c r="O252" s="117"/>
      <c r="P252" s="117"/>
      <c r="Q252" s="118"/>
      <c r="R252" s="117"/>
      <c r="S252" s="117"/>
      <c r="T252" s="117"/>
      <c r="U252" s="117"/>
      <c r="V252" s="115"/>
    </row>
    <row r="253">
      <c r="C253" s="172"/>
      <c r="D253" s="172"/>
      <c r="E253" s="173"/>
      <c r="F253" s="137"/>
      <c r="G253" s="137"/>
      <c r="H253" s="137"/>
      <c r="I253" s="129"/>
      <c r="J253" s="323"/>
      <c r="K253" s="90"/>
      <c r="L253" s="118"/>
      <c r="M253" s="116"/>
      <c r="N253" s="116"/>
      <c r="O253" s="117"/>
      <c r="P253" s="117"/>
      <c r="Q253" s="118"/>
      <c r="R253" s="117"/>
      <c r="S253" s="117"/>
      <c r="T253" s="117"/>
      <c r="U253" s="117"/>
      <c r="V253" s="115"/>
    </row>
    <row r="254">
      <c r="C254" s="172"/>
      <c r="D254" s="172"/>
      <c r="E254" s="173"/>
      <c r="F254" s="137"/>
      <c r="G254" s="137"/>
      <c r="H254" s="137"/>
      <c r="I254" s="129"/>
      <c r="J254" s="323"/>
      <c r="K254" s="90"/>
      <c r="L254" s="118"/>
      <c r="M254" s="116"/>
      <c r="N254" s="116"/>
      <c r="O254" s="117"/>
      <c r="P254" s="117"/>
      <c r="Q254" s="118"/>
      <c r="R254" s="117"/>
      <c r="S254" s="117"/>
      <c r="T254" s="117"/>
      <c r="U254" s="117"/>
      <c r="V254" s="115"/>
    </row>
    <row r="255">
      <c r="C255" s="172"/>
      <c r="D255" s="172"/>
      <c r="E255" s="173"/>
      <c r="F255" s="137"/>
      <c r="G255" s="137"/>
      <c r="H255" s="137"/>
      <c r="I255" s="129"/>
      <c r="J255" s="323"/>
      <c r="K255" s="90"/>
      <c r="L255" s="118"/>
      <c r="M255" s="116"/>
      <c r="N255" s="116"/>
      <c r="O255" s="117"/>
      <c r="P255" s="117"/>
      <c r="Q255" s="118"/>
      <c r="R255" s="117"/>
      <c r="S255" s="117"/>
      <c r="T255" s="117"/>
      <c r="U255" s="117"/>
      <c r="V255" s="115"/>
    </row>
    <row r="256">
      <c r="C256" s="172"/>
      <c r="D256" s="172"/>
      <c r="E256" s="173"/>
      <c r="F256" s="137"/>
      <c r="G256" s="137"/>
      <c r="H256" s="137"/>
      <c r="I256" s="129"/>
      <c r="J256" s="323"/>
      <c r="K256" s="90"/>
      <c r="L256" s="118"/>
      <c r="M256" s="116"/>
      <c r="N256" s="116"/>
      <c r="O256" s="117"/>
      <c r="P256" s="117"/>
      <c r="Q256" s="118"/>
      <c r="R256" s="117"/>
      <c r="S256" s="117"/>
      <c r="T256" s="117"/>
      <c r="U256" s="117"/>
      <c r="V256" s="115"/>
    </row>
    <row r="257">
      <c r="C257" s="172"/>
      <c r="D257" s="172"/>
      <c r="E257" s="173"/>
      <c r="F257" s="137"/>
      <c r="G257" s="137"/>
      <c r="H257" s="137"/>
      <c r="I257" s="129"/>
      <c r="J257" s="323"/>
      <c r="K257" s="90"/>
      <c r="L257" s="118"/>
      <c r="M257" s="116"/>
      <c r="N257" s="116"/>
      <c r="O257" s="117"/>
      <c r="P257" s="117"/>
      <c r="Q257" s="118"/>
      <c r="R257" s="117"/>
      <c r="S257" s="117"/>
      <c r="T257" s="117"/>
      <c r="U257" s="117"/>
      <c r="V257" s="115"/>
    </row>
    <row r="258">
      <c r="C258" s="172"/>
      <c r="D258" s="172"/>
      <c r="E258" s="173"/>
      <c r="F258" s="137"/>
      <c r="G258" s="137"/>
      <c r="H258" s="137"/>
      <c r="I258" s="129"/>
      <c r="J258" s="323"/>
      <c r="K258" s="90"/>
      <c r="L258" s="118"/>
      <c r="M258" s="116"/>
      <c r="N258" s="116"/>
      <c r="O258" s="117"/>
      <c r="P258" s="117"/>
      <c r="Q258" s="118"/>
      <c r="R258" s="117"/>
      <c r="S258" s="117"/>
      <c r="T258" s="117"/>
      <c r="U258" s="117"/>
      <c r="V258" s="115"/>
    </row>
    <row r="259">
      <c r="C259" s="172"/>
      <c r="D259" s="172"/>
      <c r="E259" s="173"/>
      <c r="F259" s="137"/>
      <c r="G259" s="137"/>
      <c r="H259" s="137"/>
      <c r="I259" s="129"/>
      <c r="J259" s="323"/>
      <c r="K259" s="90"/>
      <c r="L259" s="118"/>
      <c r="M259" s="116"/>
      <c r="N259" s="116"/>
      <c r="O259" s="117"/>
      <c r="P259" s="117"/>
      <c r="Q259" s="118"/>
      <c r="R259" s="117"/>
      <c r="S259" s="117"/>
      <c r="T259" s="117"/>
      <c r="U259" s="117"/>
      <c r="V259" s="115"/>
    </row>
    <row r="260">
      <c r="C260" s="172"/>
      <c r="D260" s="172"/>
      <c r="E260" s="173"/>
      <c r="F260" s="137"/>
      <c r="G260" s="137"/>
      <c r="H260" s="137"/>
      <c r="I260" s="129"/>
      <c r="J260" s="323"/>
      <c r="K260" s="90"/>
      <c r="L260" s="118"/>
      <c r="M260" s="116"/>
      <c r="N260" s="116"/>
      <c r="O260" s="117"/>
      <c r="P260" s="117"/>
      <c r="Q260" s="118"/>
      <c r="R260" s="117"/>
      <c r="S260" s="117"/>
      <c r="T260" s="117"/>
      <c r="U260" s="117"/>
      <c r="V260" s="115"/>
    </row>
    <row r="261">
      <c r="C261" s="172"/>
      <c r="D261" s="172"/>
      <c r="E261" s="173"/>
      <c r="F261" s="137"/>
      <c r="G261" s="137"/>
      <c r="H261" s="137"/>
      <c r="I261" s="129"/>
      <c r="J261" s="323"/>
      <c r="K261" s="90"/>
      <c r="L261" s="118"/>
      <c r="M261" s="116"/>
      <c r="N261" s="116"/>
      <c r="O261" s="117"/>
      <c r="P261" s="117"/>
      <c r="Q261" s="118"/>
      <c r="R261" s="117"/>
      <c r="S261" s="117"/>
      <c r="T261" s="117"/>
      <c r="U261" s="117"/>
      <c r="V261" s="115"/>
    </row>
    <row r="262">
      <c r="C262" s="172"/>
      <c r="D262" s="172"/>
      <c r="E262" s="173"/>
      <c r="F262" s="137"/>
      <c r="G262" s="137"/>
      <c r="H262" s="137"/>
      <c r="I262" s="129"/>
      <c r="J262" s="323"/>
      <c r="K262" s="90"/>
      <c r="L262" s="118"/>
      <c r="M262" s="116"/>
      <c r="N262" s="116"/>
      <c r="O262" s="117"/>
      <c r="P262" s="117"/>
      <c r="Q262" s="118"/>
      <c r="R262" s="117"/>
      <c r="S262" s="117"/>
      <c r="T262" s="117"/>
      <c r="U262" s="117"/>
      <c r="V262" s="115"/>
    </row>
    <row r="263">
      <c r="C263" s="172"/>
      <c r="D263" s="172"/>
      <c r="E263" s="173"/>
      <c r="F263" s="137"/>
      <c r="G263" s="137"/>
      <c r="H263" s="137"/>
      <c r="I263" s="129"/>
      <c r="J263" s="323"/>
      <c r="K263" s="90"/>
      <c r="L263" s="118"/>
      <c r="M263" s="116"/>
      <c r="N263" s="116"/>
      <c r="O263" s="117"/>
      <c r="P263" s="117"/>
      <c r="Q263" s="118"/>
      <c r="R263" s="117"/>
      <c r="S263" s="117"/>
      <c r="T263" s="117"/>
      <c r="U263" s="117"/>
      <c r="V263" s="115"/>
    </row>
    <row r="264">
      <c r="C264" s="172"/>
      <c r="D264" s="172"/>
      <c r="E264" s="173"/>
      <c r="F264" s="137"/>
      <c r="G264" s="137"/>
      <c r="H264" s="137"/>
      <c r="I264" s="129"/>
      <c r="J264" s="323"/>
      <c r="K264" s="90"/>
      <c r="L264" s="118"/>
      <c r="M264" s="116"/>
      <c r="N264" s="116"/>
      <c r="O264" s="117"/>
      <c r="P264" s="117"/>
      <c r="Q264" s="118"/>
      <c r="R264" s="117"/>
      <c r="S264" s="117"/>
      <c r="T264" s="117"/>
      <c r="U264" s="117"/>
      <c r="V264" s="115"/>
    </row>
    <row r="265">
      <c r="C265" s="172"/>
      <c r="D265" s="172"/>
      <c r="E265" s="173"/>
      <c r="F265" s="137"/>
      <c r="G265" s="137"/>
      <c r="H265" s="137"/>
      <c r="I265" s="129"/>
      <c r="J265" s="323"/>
      <c r="K265" s="90"/>
      <c r="L265" s="118"/>
      <c r="M265" s="116"/>
      <c r="N265" s="116"/>
      <c r="O265" s="117"/>
      <c r="P265" s="117"/>
      <c r="Q265" s="118"/>
      <c r="R265" s="117"/>
      <c r="S265" s="117"/>
      <c r="T265" s="117"/>
      <c r="U265" s="117"/>
      <c r="V265" s="115"/>
    </row>
    <row r="266">
      <c r="C266" s="172"/>
      <c r="D266" s="172"/>
      <c r="E266" s="173"/>
      <c r="F266" s="137"/>
      <c r="G266" s="137"/>
      <c r="H266" s="137"/>
      <c r="I266" s="129"/>
      <c r="J266" s="323"/>
      <c r="K266" s="90"/>
      <c r="L266" s="118"/>
      <c r="M266" s="116"/>
      <c r="N266" s="116"/>
      <c r="O266" s="117"/>
      <c r="P266" s="117"/>
      <c r="Q266" s="118"/>
      <c r="R266" s="117"/>
      <c r="S266" s="117"/>
      <c r="T266" s="117"/>
      <c r="U266" s="117"/>
      <c r="V266" s="115"/>
    </row>
    <row r="267">
      <c r="C267" s="172"/>
      <c r="D267" s="172"/>
      <c r="E267" s="173"/>
      <c r="F267" s="137"/>
      <c r="G267" s="137"/>
      <c r="H267" s="137"/>
      <c r="I267" s="129"/>
      <c r="J267" s="323"/>
      <c r="K267" s="90"/>
      <c r="L267" s="118"/>
      <c r="M267" s="116"/>
      <c r="N267" s="116"/>
      <c r="O267" s="117"/>
      <c r="P267" s="117"/>
      <c r="Q267" s="118"/>
      <c r="R267" s="117"/>
      <c r="S267" s="117"/>
      <c r="T267" s="117"/>
      <c r="U267" s="117"/>
      <c r="V267" s="115"/>
    </row>
    <row r="268">
      <c r="C268" s="172"/>
      <c r="D268" s="172"/>
      <c r="E268" s="173"/>
      <c r="F268" s="137"/>
      <c r="G268" s="137"/>
      <c r="H268" s="137"/>
      <c r="I268" s="129"/>
      <c r="J268" s="323"/>
      <c r="K268" s="90"/>
      <c r="L268" s="118"/>
      <c r="M268" s="116"/>
      <c r="N268" s="116"/>
      <c r="O268" s="117"/>
      <c r="P268" s="117"/>
      <c r="Q268" s="118"/>
      <c r="R268" s="117"/>
      <c r="S268" s="117"/>
      <c r="T268" s="117"/>
      <c r="U268" s="117"/>
      <c r="V268" s="115"/>
    </row>
    <row r="269">
      <c r="C269" s="172"/>
      <c r="D269" s="172"/>
      <c r="E269" s="173"/>
      <c r="F269" s="137"/>
      <c r="G269" s="137"/>
      <c r="H269" s="137"/>
      <c r="I269" s="129"/>
      <c r="J269" s="323"/>
      <c r="K269" s="90"/>
      <c r="L269" s="118"/>
      <c r="M269" s="116"/>
      <c r="N269" s="116"/>
      <c r="O269" s="117"/>
      <c r="P269" s="117"/>
      <c r="Q269" s="118"/>
      <c r="R269" s="117"/>
      <c r="S269" s="117"/>
      <c r="T269" s="117"/>
      <c r="U269" s="117"/>
      <c r="V269" s="115"/>
    </row>
    <row r="270">
      <c r="C270" s="172"/>
      <c r="D270" s="172"/>
      <c r="E270" s="173"/>
      <c r="F270" s="137"/>
      <c r="G270" s="137"/>
      <c r="H270" s="137"/>
      <c r="I270" s="129"/>
      <c r="J270" s="323"/>
      <c r="K270" s="90"/>
      <c r="L270" s="118"/>
      <c r="M270" s="116"/>
      <c r="N270" s="116"/>
      <c r="O270" s="117"/>
      <c r="P270" s="117"/>
      <c r="Q270" s="118"/>
      <c r="R270" s="117"/>
      <c r="S270" s="117"/>
      <c r="T270" s="117"/>
      <c r="U270" s="117"/>
      <c r="V270" s="115"/>
    </row>
    <row r="271">
      <c r="C271" s="172"/>
      <c r="D271" s="172"/>
      <c r="E271" s="173"/>
      <c r="F271" s="137"/>
      <c r="G271" s="137"/>
      <c r="H271" s="137"/>
      <c r="I271" s="129"/>
      <c r="J271" s="323"/>
      <c r="K271" s="90"/>
      <c r="L271" s="118"/>
      <c r="M271" s="116"/>
      <c r="N271" s="116"/>
      <c r="O271" s="117"/>
      <c r="P271" s="117"/>
      <c r="Q271" s="118"/>
      <c r="R271" s="117"/>
      <c r="S271" s="117"/>
      <c r="T271" s="117"/>
      <c r="U271" s="117"/>
      <c r="V271" s="115"/>
    </row>
    <row r="272">
      <c r="C272" s="172"/>
      <c r="D272" s="172"/>
      <c r="E272" s="173"/>
      <c r="F272" s="137"/>
      <c r="G272" s="137"/>
      <c r="H272" s="137"/>
      <c r="I272" s="129"/>
      <c r="J272" s="323"/>
      <c r="K272" s="90"/>
      <c r="L272" s="118"/>
      <c r="M272" s="116"/>
      <c r="N272" s="116"/>
      <c r="O272" s="117"/>
      <c r="P272" s="117"/>
      <c r="Q272" s="118"/>
      <c r="R272" s="117"/>
      <c r="S272" s="117"/>
      <c r="T272" s="117"/>
      <c r="U272" s="117"/>
      <c r="V272" s="115"/>
    </row>
    <row r="273">
      <c r="C273" s="172"/>
      <c r="D273" s="172"/>
      <c r="E273" s="173"/>
      <c r="F273" s="137"/>
      <c r="G273" s="137"/>
      <c r="H273" s="137"/>
      <c r="I273" s="129"/>
      <c r="J273" s="323"/>
      <c r="K273" s="90"/>
      <c r="L273" s="118"/>
      <c r="M273" s="116"/>
      <c r="N273" s="116"/>
      <c r="O273" s="117"/>
      <c r="P273" s="117"/>
      <c r="Q273" s="118"/>
      <c r="R273" s="117"/>
      <c r="S273" s="117"/>
      <c r="T273" s="117"/>
      <c r="U273" s="117"/>
      <c r="V273" s="115"/>
    </row>
    <row r="274">
      <c r="C274" s="172"/>
      <c r="D274" s="172"/>
      <c r="E274" s="173"/>
      <c r="F274" s="137"/>
      <c r="G274" s="137"/>
      <c r="H274" s="137"/>
      <c r="I274" s="129"/>
      <c r="J274" s="323"/>
      <c r="K274" s="90"/>
      <c r="L274" s="118"/>
      <c r="M274" s="116"/>
      <c r="N274" s="116"/>
      <c r="O274" s="117"/>
      <c r="P274" s="117"/>
      <c r="Q274" s="118"/>
      <c r="R274" s="117"/>
      <c r="S274" s="117"/>
      <c r="T274" s="117"/>
      <c r="U274" s="117"/>
      <c r="V274" s="115"/>
    </row>
    <row r="275">
      <c r="C275" s="172"/>
      <c r="D275" s="172"/>
      <c r="E275" s="173"/>
      <c r="F275" s="137"/>
      <c r="G275" s="137"/>
      <c r="H275" s="137"/>
      <c r="I275" s="129"/>
      <c r="J275" s="323"/>
      <c r="K275" s="90"/>
      <c r="L275" s="118"/>
      <c r="M275" s="116"/>
      <c r="N275" s="116"/>
      <c r="O275" s="117"/>
      <c r="P275" s="117"/>
      <c r="Q275" s="118"/>
      <c r="R275" s="117"/>
      <c r="S275" s="117"/>
      <c r="T275" s="117"/>
      <c r="U275" s="117"/>
      <c r="V275" s="115"/>
    </row>
    <row r="276">
      <c r="C276" s="172"/>
      <c r="D276" s="172"/>
      <c r="E276" s="173"/>
      <c r="F276" s="137"/>
      <c r="G276" s="137"/>
      <c r="H276" s="137"/>
      <c r="I276" s="129"/>
      <c r="J276" s="323"/>
      <c r="K276" s="90"/>
      <c r="L276" s="118"/>
      <c r="M276" s="116"/>
      <c r="N276" s="116"/>
      <c r="O276" s="117"/>
      <c r="P276" s="117"/>
      <c r="Q276" s="118"/>
      <c r="R276" s="117"/>
      <c r="S276" s="117"/>
      <c r="T276" s="117"/>
      <c r="U276" s="117"/>
      <c r="V276" s="115"/>
    </row>
    <row r="277">
      <c r="C277" s="172"/>
      <c r="D277" s="172"/>
      <c r="E277" s="173"/>
      <c r="F277" s="137"/>
      <c r="G277" s="137"/>
      <c r="H277" s="137"/>
      <c r="I277" s="129"/>
      <c r="J277" s="323"/>
      <c r="K277" s="90"/>
      <c r="L277" s="118"/>
      <c r="M277" s="116"/>
      <c r="N277" s="116"/>
      <c r="O277" s="117"/>
      <c r="P277" s="117"/>
      <c r="Q277" s="118"/>
      <c r="R277" s="117"/>
      <c r="S277" s="117"/>
      <c r="T277" s="117"/>
      <c r="U277" s="117"/>
      <c r="V277" s="115"/>
    </row>
    <row r="278">
      <c r="C278" s="172"/>
      <c r="D278" s="172"/>
      <c r="E278" s="173"/>
      <c r="F278" s="137"/>
      <c r="G278" s="137"/>
      <c r="H278" s="137"/>
      <c r="I278" s="129"/>
      <c r="J278" s="323"/>
      <c r="K278" s="90"/>
      <c r="L278" s="118"/>
      <c r="M278" s="116"/>
      <c r="N278" s="116"/>
      <c r="O278" s="117"/>
      <c r="P278" s="117"/>
      <c r="Q278" s="118"/>
      <c r="R278" s="117"/>
      <c r="S278" s="117"/>
      <c r="T278" s="117"/>
      <c r="U278" s="117"/>
      <c r="V278" s="115"/>
    </row>
    <row r="279">
      <c r="C279" s="172"/>
      <c r="D279" s="172"/>
      <c r="E279" s="173"/>
      <c r="F279" s="137"/>
      <c r="G279" s="137"/>
      <c r="H279" s="137"/>
      <c r="I279" s="129"/>
      <c r="J279" s="323"/>
      <c r="K279" s="90"/>
      <c r="L279" s="118"/>
      <c r="M279" s="116"/>
      <c r="N279" s="116"/>
      <c r="O279" s="117"/>
      <c r="P279" s="117"/>
      <c r="Q279" s="118"/>
      <c r="R279" s="117"/>
      <c r="S279" s="117"/>
      <c r="T279" s="117"/>
      <c r="U279" s="117"/>
      <c r="V279" s="115"/>
    </row>
    <row r="280">
      <c r="C280" s="172"/>
      <c r="D280" s="172"/>
      <c r="E280" s="173"/>
      <c r="F280" s="137"/>
      <c r="G280" s="137"/>
      <c r="H280" s="137"/>
      <c r="I280" s="129"/>
      <c r="J280" s="323"/>
      <c r="K280" s="90"/>
      <c r="L280" s="118"/>
      <c r="M280" s="116"/>
      <c r="N280" s="116"/>
      <c r="O280" s="117"/>
      <c r="P280" s="117"/>
      <c r="Q280" s="118"/>
      <c r="R280" s="117"/>
      <c r="S280" s="117"/>
      <c r="T280" s="117"/>
      <c r="U280" s="117"/>
      <c r="V280" s="115"/>
    </row>
    <row r="281">
      <c r="C281" s="172"/>
      <c r="D281" s="172"/>
      <c r="E281" s="173"/>
      <c r="F281" s="137"/>
      <c r="G281" s="137"/>
      <c r="H281" s="137"/>
      <c r="I281" s="129"/>
      <c r="J281" s="323"/>
      <c r="K281" s="90"/>
      <c r="L281" s="118"/>
      <c r="M281" s="116"/>
      <c r="N281" s="116"/>
      <c r="O281" s="117"/>
      <c r="P281" s="117"/>
      <c r="Q281" s="118"/>
      <c r="R281" s="117"/>
      <c r="S281" s="117"/>
      <c r="T281" s="117"/>
      <c r="U281" s="117"/>
      <c r="V281" s="115"/>
    </row>
    <row r="282">
      <c r="C282" s="172"/>
      <c r="D282" s="172"/>
      <c r="E282" s="173"/>
      <c r="F282" s="137"/>
      <c r="G282" s="137"/>
      <c r="H282" s="137"/>
      <c r="I282" s="129"/>
      <c r="J282" s="323"/>
      <c r="K282" s="90"/>
      <c r="L282" s="118"/>
      <c r="M282" s="116"/>
      <c r="N282" s="116"/>
      <c r="O282" s="117"/>
      <c r="P282" s="117"/>
      <c r="Q282" s="118"/>
      <c r="R282" s="117"/>
      <c r="S282" s="117"/>
      <c r="T282" s="117"/>
      <c r="U282" s="117"/>
      <c r="V282" s="115"/>
    </row>
    <row r="283">
      <c r="C283" s="172"/>
      <c r="D283" s="172"/>
      <c r="E283" s="173"/>
      <c r="F283" s="137"/>
      <c r="G283" s="137"/>
      <c r="H283" s="137"/>
      <c r="I283" s="129"/>
      <c r="J283" s="323"/>
      <c r="K283" s="90"/>
      <c r="L283" s="118"/>
      <c r="M283" s="116"/>
      <c r="N283" s="116"/>
      <c r="O283" s="117"/>
      <c r="P283" s="117"/>
      <c r="Q283" s="118"/>
      <c r="R283" s="117"/>
      <c r="S283" s="117"/>
      <c r="T283" s="117"/>
      <c r="U283" s="117"/>
      <c r="V283" s="115"/>
    </row>
    <row r="284">
      <c r="C284" s="172"/>
      <c r="D284" s="172"/>
      <c r="E284" s="173"/>
      <c r="F284" s="137"/>
      <c r="G284" s="137"/>
      <c r="H284" s="137"/>
      <c r="I284" s="129"/>
      <c r="J284" s="323"/>
      <c r="K284" s="90"/>
      <c r="L284" s="118"/>
      <c r="M284" s="116"/>
      <c r="N284" s="116"/>
      <c r="O284" s="117"/>
      <c r="P284" s="117"/>
      <c r="Q284" s="118"/>
      <c r="R284" s="117"/>
      <c r="S284" s="117"/>
      <c r="T284" s="117"/>
      <c r="U284" s="117"/>
      <c r="V284" s="115"/>
    </row>
    <row r="285">
      <c r="C285" s="172"/>
      <c r="D285" s="172"/>
      <c r="E285" s="173"/>
      <c r="F285" s="137"/>
      <c r="G285" s="137"/>
      <c r="H285" s="137"/>
      <c r="I285" s="129"/>
      <c r="J285" s="323"/>
      <c r="K285" s="90"/>
      <c r="L285" s="118"/>
      <c r="M285" s="116"/>
      <c r="N285" s="116"/>
      <c r="O285" s="117"/>
      <c r="P285" s="117"/>
      <c r="Q285" s="118"/>
      <c r="R285" s="117"/>
      <c r="S285" s="117"/>
      <c r="T285" s="117"/>
      <c r="U285" s="117"/>
      <c r="V285" s="115"/>
    </row>
    <row r="286">
      <c r="C286" s="172"/>
      <c r="D286" s="172"/>
      <c r="E286" s="173"/>
      <c r="F286" s="137"/>
      <c r="G286" s="137"/>
      <c r="H286" s="137"/>
      <c r="I286" s="129"/>
      <c r="J286" s="323"/>
      <c r="K286" s="90"/>
      <c r="L286" s="118"/>
      <c r="M286" s="116"/>
      <c r="N286" s="116"/>
      <c r="O286" s="117"/>
      <c r="P286" s="117"/>
      <c r="Q286" s="118"/>
      <c r="R286" s="117"/>
      <c r="S286" s="117"/>
      <c r="T286" s="117"/>
      <c r="U286" s="117"/>
      <c r="V286" s="115"/>
    </row>
    <row r="287">
      <c r="C287" s="172"/>
      <c r="D287" s="172"/>
      <c r="E287" s="173"/>
      <c r="F287" s="137"/>
      <c r="G287" s="137"/>
      <c r="H287" s="137"/>
      <c r="I287" s="129"/>
      <c r="J287" s="323"/>
      <c r="K287" s="90"/>
      <c r="L287" s="118"/>
      <c r="M287" s="116"/>
      <c r="N287" s="116"/>
      <c r="O287" s="117"/>
      <c r="P287" s="117"/>
      <c r="Q287" s="118"/>
      <c r="R287" s="117"/>
      <c r="S287" s="117"/>
      <c r="T287" s="117"/>
      <c r="U287" s="117"/>
      <c r="V287" s="115"/>
    </row>
    <row r="288">
      <c r="C288" s="172"/>
      <c r="D288" s="172"/>
      <c r="E288" s="173"/>
      <c r="F288" s="137"/>
      <c r="G288" s="137"/>
      <c r="H288" s="137"/>
      <c r="I288" s="129"/>
      <c r="J288" s="323"/>
      <c r="K288" s="90"/>
      <c r="L288" s="118"/>
      <c r="M288" s="116"/>
      <c r="N288" s="116"/>
      <c r="O288" s="117"/>
      <c r="P288" s="117"/>
      <c r="Q288" s="118"/>
      <c r="R288" s="117"/>
      <c r="S288" s="117"/>
      <c r="T288" s="117"/>
      <c r="U288" s="117"/>
      <c r="V288" s="115"/>
    </row>
    <row r="289">
      <c r="C289" s="172"/>
      <c r="D289" s="172"/>
      <c r="E289" s="173"/>
      <c r="F289" s="137"/>
      <c r="G289" s="137"/>
      <c r="H289" s="137"/>
      <c r="I289" s="129"/>
      <c r="J289" s="323"/>
      <c r="K289" s="90"/>
      <c r="L289" s="118"/>
      <c r="M289" s="116"/>
      <c r="N289" s="116"/>
      <c r="O289" s="117"/>
      <c r="P289" s="117"/>
      <c r="Q289" s="118"/>
      <c r="R289" s="117"/>
      <c r="S289" s="117"/>
      <c r="T289" s="117"/>
      <c r="U289" s="117"/>
      <c r="V289" s="115"/>
    </row>
    <row r="290">
      <c r="C290" s="172"/>
      <c r="D290" s="172"/>
      <c r="E290" s="173"/>
      <c r="F290" s="137"/>
      <c r="G290" s="137"/>
      <c r="H290" s="137"/>
      <c r="I290" s="129"/>
      <c r="J290" s="323"/>
      <c r="K290" s="90"/>
      <c r="L290" s="118"/>
      <c r="M290" s="116"/>
      <c r="N290" s="116"/>
      <c r="O290" s="117"/>
      <c r="P290" s="117"/>
      <c r="Q290" s="118"/>
      <c r="R290" s="117"/>
      <c r="S290" s="117"/>
      <c r="T290" s="117"/>
      <c r="U290" s="117"/>
      <c r="V290" s="115"/>
    </row>
    <row r="291">
      <c r="C291" s="172"/>
      <c r="D291" s="172"/>
      <c r="E291" s="173"/>
      <c r="F291" s="137"/>
      <c r="G291" s="137"/>
      <c r="H291" s="137"/>
      <c r="I291" s="129"/>
      <c r="J291" s="323"/>
      <c r="K291" s="90"/>
      <c r="L291" s="118"/>
      <c r="M291" s="116"/>
      <c r="N291" s="116"/>
      <c r="O291" s="117"/>
      <c r="P291" s="117"/>
      <c r="Q291" s="118"/>
      <c r="R291" s="117"/>
      <c r="S291" s="117"/>
      <c r="T291" s="117"/>
      <c r="U291" s="117"/>
      <c r="V291" s="115"/>
    </row>
    <row r="292">
      <c r="C292" s="172"/>
      <c r="D292" s="172"/>
      <c r="E292" s="173"/>
      <c r="F292" s="137"/>
      <c r="G292" s="137"/>
      <c r="H292" s="137"/>
      <c r="I292" s="129"/>
      <c r="J292" s="323"/>
      <c r="K292" s="90"/>
      <c r="L292" s="118"/>
      <c r="M292" s="116"/>
      <c r="N292" s="116"/>
      <c r="O292" s="117"/>
      <c r="P292" s="117"/>
      <c r="Q292" s="118"/>
      <c r="R292" s="117"/>
      <c r="S292" s="117"/>
      <c r="T292" s="117"/>
      <c r="U292" s="117"/>
      <c r="V292" s="115"/>
    </row>
    <row r="293">
      <c r="C293" s="172"/>
      <c r="D293" s="172"/>
      <c r="E293" s="173"/>
      <c r="F293" s="137"/>
      <c r="G293" s="137"/>
      <c r="H293" s="137"/>
      <c r="I293" s="129"/>
      <c r="J293" s="323"/>
      <c r="K293" s="90"/>
      <c r="L293" s="118"/>
      <c r="M293" s="116"/>
      <c r="N293" s="116"/>
      <c r="O293" s="117"/>
      <c r="P293" s="117"/>
      <c r="Q293" s="118"/>
      <c r="R293" s="117"/>
      <c r="S293" s="117"/>
      <c r="T293" s="117"/>
      <c r="U293" s="117"/>
      <c r="V293" s="115"/>
    </row>
    <row r="294">
      <c r="C294" s="172"/>
      <c r="D294" s="172"/>
      <c r="E294" s="173"/>
      <c r="F294" s="137"/>
      <c r="G294" s="137"/>
      <c r="H294" s="137"/>
      <c r="I294" s="129"/>
      <c r="J294" s="323"/>
      <c r="K294" s="90"/>
      <c r="L294" s="118"/>
      <c r="M294" s="116"/>
      <c r="N294" s="116"/>
      <c r="O294" s="117"/>
      <c r="P294" s="117"/>
      <c r="Q294" s="118"/>
      <c r="R294" s="117"/>
      <c r="S294" s="117"/>
      <c r="T294" s="117"/>
      <c r="U294" s="117"/>
      <c r="V294" s="115"/>
    </row>
    <row r="295">
      <c r="C295" s="172"/>
      <c r="D295" s="172"/>
      <c r="E295" s="173"/>
      <c r="F295" s="137"/>
      <c r="G295" s="137"/>
      <c r="H295" s="137"/>
      <c r="I295" s="129"/>
      <c r="J295" s="323"/>
      <c r="K295" s="90"/>
      <c r="L295" s="118"/>
      <c r="M295" s="116"/>
      <c r="N295" s="116"/>
      <c r="O295" s="117"/>
      <c r="P295" s="117"/>
      <c r="Q295" s="118"/>
      <c r="R295" s="117"/>
      <c r="S295" s="117"/>
      <c r="T295" s="117"/>
      <c r="U295" s="117"/>
      <c r="V295" s="115"/>
    </row>
    <row r="296">
      <c r="C296" s="172"/>
      <c r="D296" s="172"/>
      <c r="E296" s="173"/>
      <c r="F296" s="137"/>
      <c r="G296" s="137"/>
      <c r="H296" s="137"/>
      <c r="I296" s="129"/>
      <c r="J296" s="323"/>
      <c r="K296" s="90"/>
      <c r="L296" s="118"/>
      <c r="M296" s="116"/>
      <c r="N296" s="116"/>
      <c r="O296" s="117"/>
      <c r="P296" s="117"/>
      <c r="Q296" s="118"/>
      <c r="R296" s="117"/>
      <c r="S296" s="117"/>
      <c r="T296" s="117"/>
      <c r="U296" s="117"/>
      <c r="V296" s="115"/>
    </row>
    <row r="297">
      <c r="C297" s="172"/>
      <c r="D297" s="172"/>
      <c r="E297" s="173"/>
      <c r="F297" s="137"/>
      <c r="G297" s="137"/>
      <c r="H297" s="137"/>
      <c r="I297" s="129"/>
      <c r="J297" s="323"/>
      <c r="K297" s="90"/>
      <c r="L297" s="118"/>
      <c r="M297" s="116"/>
      <c r="N297" s="116"/>
      <c r="O297" s="117"/>
      <c r="P297" s="117"/>
      <c r="Q297" s="118"/>
      <c r="R297" s="117"/>
      <c r="S297" s="117"/>
      <c r="T297" s="117"/>
      <c r="U297" s="117"/>
      <c r="V297" s="115"/>
    </row>
    <row r="298">
      <c r="C298" s="172"/>
      <c r="D298" s="172"/>
      <c r="E298" s="173"/>
      <c r="F298" s="137"/>
      <c r="G298" s="137"/>
      <c r="H298" s="137"/>
      <c r="I298" s="129"/>
      <c r="J298" s="323"/>
      <c r="K298" s="90"/>
      <c r="L298" s="118"/>
      <c r="M298" s="116"/>
      <c r="N298" s="116"/>
      <c r="O298" s="117"/>
      <c r="P298" s="117"/>
      <c r="Q298" s="118"/>
      <c r="R298" s="117"/>
      <c r="S298" s="117"/>
      <c r="T298" s="117"/>
      <c r="U298" s="117"/>
      <c r="V298" s="115"/>
    </row>
    <row r="299">
      <c r="C299" s="172"/>
      <c r="D299" s="172"/>
      <c r="E299" s="173"/>
      <c r="F299" s="137"/>
      <c r="G299" s="137"/>
      <c r="H299" s="137"/>
      <c r="I299" s="129"/>
      <c r="J299" s="323"/>
      <c r="K299" s="90"/>
      <c r="L299" s="118"/>
      <c r="M299" s="116"/>
      <c r="N299" s="116"/>
      <c r="O299" s="117"/>
      <c r="P299" s="117"/>
      <c r="Q299" s="118"/>
      <c r="R299" s="117"/>
      <c r="S299" s="117"/>
      <c r="T299" s="117"/>
      <c r="U299" s="117"/>
      <c r="V299" s="115"/>
    </row>
    <row r="300">
      <c r="C300" s="172"/>
      <c r="D300" s="172"/>
      <c r="E300" s="173"/>
      <c r="F300" s="137"/>
      <c r="G300" s="137"/>
      <c r="H300" s="137"/>
      <c r="I300" s="129"/>
      <c r="J300" s="323"/>
      <c r="K300" s="90"/>
      <c r="L300" s="118"/>
      <c r="M300" s="116"/>
      <c r="N300" s="116"/>
      <c r="O300" s="117"/>
      <c r="P300" s="117"/>
      <c r="Q300" s="118"/>
      <c r="R300" s="117"/>
      <c r="S300" s="117"/>
      <c r="T300" s="117"/>
      <c r="U300" s="117"/>
      <c r="V300" s="115"/>
    </row>
    <row r="301">
      <c r="C301" s="172"/>
      <c r="D301" s="172"/>
      <c r="E301" s="173"/>
      <c r="F301" s="137"/>
      <c r="G301" s="137"/>
      <c r="H301" s="137"/>
      <c r="I301" s="129"/>
      <c r="J301" s="323"/>
      <c r="K301" s="90"/>
      <c r="L301" s="118"/>
      <c r="M301" s="116"/>
      <c r="N301" s="116"/>
      <c r="O301" s="117"/>
      <c r="P301" s="117"/>
      <c r="Q301" s="118"/>
      <c r="R301" s="117"/>
      <c r="S301" s="117"/>
      <c r="T301" s="117"/>
      <c r="U301" s="117"/>
      <c r="V301" s="115"/>
    </row>
    <row r="302">
      <c r="C302" s="172"/>
      <c r="D302" s="172"/>
      <c r="E302" s="173"/>
      <c r="F302" s="137"/>
      <c r="G302" s="137"/>
      <c r="H302" s="137"/>
      <c r="I302" s="129"/>
      <c r="J302" s="323"/>
      <c r="K302" s="90"/>
      <c r="L302" s="118"/>
      <c r="M302" s="116"/>
      <c r="N302" s="116"/>
      <c r="O302" s="117"/>
      <c r="P302" s="117"/>
      <c r="Q302" s="118"/>
      <c r="R302" s="117"/>
      <c r="S302" s="117"/>
      <c r="T302" s="117"/>
      <c r="U302" s="117"/>
      <c r="V302" s="115"/>
    </row>
    <row r="303">
      <c r="C303" s="172"/>
      <c r="D303" s="172"/>
      <c r="E303" s="173"/>
      <c r="F303" s="137"/>
      <c r="G303" s="137"/>
      <c r="H303" s="137"/>
      <c r="I303" s="129"/>
      <c r="J303" s="323"/>
      <c r="K303" s="90"/>
      <c r="L303" s="118"/>
      <c r="M303" s="116"/>
      <c r="N303" s="116"/>
      <c r="O303" s="117"/>
      <c r="P303" s="117"/>
      <c r="Q303" s="118"/>
      <c r="R303" s="117"/>
      <c r="S303" s="117"/>
      <c r="T303" s="117"/>
      <c r="U303" s="117"/>
      <c r="V303" s="115"/>
    </row>
    <row r="304">
      <c r="C304" s="172"/>
      <c r="D304" s="172"/>
      <c r="E304" s="173"/>
      <c r="F304" s="137"/>
      <c r="G304" s="137"/>
      <c r="H304" s="137"/>
      <c r="I304" s="129"/>
      <c r="J304" s="323"/>
      <c r="K304" s="90"/>
      <c r="L304" s="118"/>
      <c r="M304" s="116"/>
      <c r="N304" s="116"/>
      <c r="O304" s="117"/>
      <c r="P304" s="117"/>
      <c r="Q304" s="118"/>
      <c r="R304" s="117"/>
      <c r="S304" s="117"/>
      <c r="T304" s="117"/>
      <c r="U304" s="117"/>
      <c r="V304" s="115"/>
    </row>
    <row r="305">
      <c r="C305" s="172"/>
      <c r="D305" s="172"/>
      <c r="E305" s="173"/>
      <c r="F305" s="137"/>
      <c r="G305" s="137"/>
      <c r="H305" s="137"/>
      <c r="I305" s="129"/>
      <c r="J305" s="323"/>
      <c r="K305" s="90"/>
      <c r="L305" s="118"/>
      <c r="M305" s="116"/>
      <c r="N305" s="116"/>
      <c r="O305" s="117"/>
      <c r="P305" s="117"/>
      <c r="Q305" s="118"/>
      <c r="R305" s="117"/>
      <c r="S305" s="117"/>
      <c r="T305" s="117"/>
      <c r="U305" s="117"/>
      <c r="V305" s="115"/>
    </row>
    <row r="306">
      <c r="C306" s="172"/>
      <c r="D306" s="172"/>
      <c r="E306" s="173"/>
      <c r="F306" s="137"/>
      <c r="G306" s="137"/>
      <c r="H306" s="137"/>
      <c r="I306" s="129"/>
      <c r="J306" s="323"/>
      <c r="K306" s="90"/>
      <c r="L306" s="118"/>
      <c r="M306" s="116"/>
      <c r="N306" s="116"/>
      <c r="O306" s="117"/>
      <c r="P306" s="117"/>
      <c r="Q306" s="118"/>
      <c r="R306" s="117"/>
      <c r="S306" s="117"/>
      <c r="T306" s="117"/>
      <c r="U306" s="117"/>
      <c r="V306" s="115"/>
    </row>
    <row r="307">
      <c r="C307" s="172"/>
      <c r="D307" s="172"/>
      <c r="E307" s="173"/>
      <c r="F307" s="137"/>
      <c r="G307" s="137"/>
      <c r="H307" s="137"/>
      <c r="I307" s="129"/>
      <c r="J307" s="323"/>
      <c r="K307" s="90"/>
      <c r="L307" s="118"/>
      <c r="M307" s="116"/>
      <c r="N307" s="116"/>
      <c r="O307" s="117"/>
      <c r="P307" s="117"/>
      <c r="Q307" s="118"/>
      <c r="R307" s="117"/>
      <c r="S307" s="117"/>
      <c r="T307" s="117"/>
      <c r="U307" s="117"/>
      <c r="V307" s="115"/>
    </row>
    <row r="308">
      <c r="C308" s="172"/>
      <c r="D308" s="172"/>
      <c r="E308" s="173"/>
      <c r="F308" s="137"/>
      <c r="G308" s="137"/>
      <c r="H308" s="137"/>
      <c r="I308" s="129"/>
      <c r="J308" s="323"/>
      <c r="K308" s="90"/>
      <c r="L308" s="118"/>
      <c r="M308" s="116"/>
      <c r="N308" s="116"/>
      <c r="O308" s="117"/>
      <c r="P308" s="117"/>
      <c r="Q308" s="118"/>
      <c r="R308" s="117"/>
      <c r="S308" s="117"/>
      <c r="T308" s="117"/>
      <c r="U308" s="117"/>
      <c r="V308" s="115"/>
    </row>
    <row r="309">
      <c r="C309" s="172"/>
      <c r="D309" s="172"/>
      <c r="E309" s="173"/>
      <c r="F309" s="137"/>
      <c r="G309" s="137"/>
      <c r="H309" s="137"/>
      <c r="I309" s="129"/>
      <c r="J309" s="323"/>
      <c r="K309" s="90"/>
      <c r="L309" s="118"/>
      <c r="M309" s="116"/>
      <c r="N309" s="116"/>
      <c r="O309" s="117"/>
      <c r="P309" s="117"/>
      <c r="Q309" s="118"/>
      <c r="R309" s="117"/>
      <c r="S309" s="117"/>
      <c r="T309" s="117"/>
      <c r="U309" s="117"/>
      <c r="V309" s="115"/>
    </row>
    <row r="310">
      <c r="C310" s="172"/>
      <c r="D310" s="172"/>
      <c r="E310" s="173"/>
      <c r="F310" s="137"/>
      <c r="G310" s="137"/>
      <c r="H310" s="137"/>
      <c r="I310" s="129"/>
      <c r="J310" s="323"/>
      <c r="K310" s="90"/>
      <c r="L310" s="118"/>
      <c r="M310" s="116"/>
      <c r="N310" s="116"/>
      <c r="O310" s="117"/>
      <c r="P310" s="117"/>
      <c r="Q310" s="118"/>
      <c r="R310" s="117"/>
      <c r="S310" s="117"/>
      <c r="T310" s="117"/>
      <c r="U310" s="117"/>
      <c r="V310" s="115"/>
    </row>
    <row r="311">
      <c r="C311" s="172"/>
      <c r="D311" s="172"/>
      <c r="E311" s="173"/>
      <c r="F311" s="137"/>
      <c r="G311" s="137"/>
      <c r="H311" s="137"/>
      <c r="I311" s="129"/>
      <c r="J311" s="323"/>
      <c r="K311" s="90"/>
      <c r="L311" s="118"/>
      <c r="M311" s="116"/>
      <c r="N311" s="116"/>
      <c r="O311" s="117"/>
      <c r="P311" s="117"/>
      <c r="Q311" s="118"/>
      <c r="R311" s="117"/>
      <c r="S311" s="117"/>
      <c r="T311" s="117"/>
      <c r="U311" s="117"/>
      <c r="V311" s="115"/>
    </row>
    <row r="312">
      <c r="C312" s="172"/>
      <c r="D312" s="172"/>
      <c r="E312" s="173"/>
      <c r="F312" s="137"/>
      <c r="G312" s="137"/>
      <c r="H312" s="137"/>
      <c r="I312" s="129"/>
      <c r="J312" s="323"/>
      <c r="K312" s="90"/>
      <c r="L312" s="118"/>
      <c r="M312" s="116"/>
      <c r="N312" s="116"/>
      <c r="O312" s="117"/>
      <c r="P312" s="117"/>
      <c r="Q312" s="118"/>
      <c r="R312" s="117"/>
      <c r="S312" s="117"/>
      <c r="T312" s="117"/>
      <c r="U312" s="117"/>
      <c r="V312" s="115"/>
    </row>
    <row r="313">
      <c r="C313" s="172"/>
      <c r="D313" s="172"/>
      <c r="E313" s="173"/>
      <c r="F313" s="137"/>
      <c r="G313" s="137"/>
      <c r="H313" s="137"/>
      <c r="I313" s="129"/>
      <c r="J313" s="323"/>
      <c r="K313" s="90"/>
      <c r="L313" s="118"/>
      <c r="M313" s="116"/>
      <c r="N313" s="116"/>
      <c r="O313" s="117"/>
      <c r="P313" s="117"/>
      <c r="Q313" s="118"/>
      <c r="R313" s="117"/>
      <c r="S313" s="117"/>
      <c r="T313" s="117"/>
      <c r="U313" s="117"/>
      <c r="V313" s="115"/>
    </row>
    <row r="314">
      <c r="C314" s="172"/>
      <c r="D314" s="172"/>
      <c r="E314" s="173"/>
      <c r="F314" s="137"/>
      <c r="G314" s="137"/>
      <c r="H314" s="137"/>
      <c r="I314" s="129"/>
      <c r="J314" s="323"/>
      <c r="K314" s="90"/>
      <c r="L314" s="118"/>
      <c r="M314" s="116"/>
      <c r="N314" s="116"/>
      <c r="O314" s="117"/>
      <c r="P314" s="117"/>
      <c r="Q314" s="118"/>
      <c r="R314" s="117"/>
      <c r="S314" s="117"/>
      <c r="T314" s="117"/>
      <c r="U314" s="117"/>
      <c r="V314" s="115"/>
    </row>
    <row r="315">
      <c r="C315" s="172"/>
      <c r="D315" s="172"/>
      <c r="E315" s="173"/>
      <c r="F315" s="137"/>
      <c r="G315" s="137"/>
      <c r="H315" s="137"/>
      <c r="I315" s="129"/>
      <c r="J315" s="323"/>
      <c r="K315" s="90"/>
      <c r="L315" s="118"/>
      <c r="M315" s="116"/>
      <c r="N315" s="116"/>
      <c r="O315" s="117"/>
      <c r="P315" s="117"/>
      <c r="Q315" s="118"/>
      <c r="R315" s="117"/>
      <c r="S315" s="117"/>
      <c r="T315" s="117"/>
      <c r="U315" s="117"/>
      <c r="V315" s="115"/>
    </row>
    <row r="316">
      <c r="C316" s="172"/>
      <c r="D316" s="172"/>
      <c r="E316" s="173"/>
      <c r="F316" s="137"/>
      <c r="G316" s="137"/>
      <c r="H316" s="137"/>
      <c r="I316" s="129"/>
      <c r="J316" s="323"/>
      <c r="K316" s="90"/>
      <c r="L316" s="118"/>
      <c r="M316" s="116"/>
      <c r="N316" s="116"/>
      <c r="O316" s="117"/>
      <c r="P316" s="117"/>
      <c r="Q316" s="118"/>
      <c r="R316" s="117"/>
      <c r="S316" s="117"/>
      <c r="T316" s="117"/>
      <c r="U316" s="117"/>
      <c r="V316" s="115"/>
    </row>
    <row r="317">
      <c r="C317" s="172"/>
      <c r="D317" s="172"/>
      <c r="E317" s="173"/>
      <c r="F317" s="137"/>
      <c r="G317" s="137"/>
      <c r="H317" s="137"/>
      <c r="I317" s="129"/>
      <c r="J317" s="323"/>
      <c r="K317" s="90"/>
      <c r="L317" s="118"/>
      <c r="M317" s="116"/>
      <c r="N317" s="116"/>
      <c r="O317" s="117"/>
      <c r="P317" s="117"/>
      <c r="Q317" s="118"/>
      <c r="R317" s="117"/>
      <c r="S317" s="117"/>
      <c r="T317" s="117"/>
      <c r="U317" s="117"/>
      <c r="V317" s="115"/>
    </row>
    <row r="318">
      <c r="C318" s="172"/>
      <c r="D318" s="172"/>
      <c r="E318" s="173"/>
      <c r="F318" s="137"/>
      <c r="G318" s="137"/>
      <c r="H318" s="137"/>
      <c r="I318" s="129"/>
      <c r="J318" s="323"/>
      <c r="K318" s="90"/>
      <c r="L318" s="118"/>
      <c r="M318" s="116"/>
      <c r="N318" s="116"/>
      <c r="O318" s="117"/>
      <c r="P318" s="117"/>
      <c r="Q318" s="118"/>
      <c r="R318" s="117"/>
      <c r="S318" s="117"/>
      <c r="T318" s="117"/>
      <c r="U318" s="117"/>
      <c r="V318" s="115"/>
    </row>
    <row r="319">
      <c r="C319" s="172"/>
      <c r="D319" s="172"/>
      <c r="E319" s="173"/>
      <c r="F319" s="137"/>
      <c r="G319" s="137"/>
      <c r="H319" s="137"/>
      <c r="I319" s="129"/>
      <c r="J319" s="323"/>
      <c r="K319" s="90"/>
      <c r="L319" s="118"/>
      <c r="M319" s="116"/>
      <c r="N319" s="116"/>
      <c r="O319" s="117"/>
      <c r="P319" s="117"/>
      <c r="Q319" s="118"/>
      <c r="R319" s="117"/>
      <c r="S319" s="117"/>
      <c r="T319" s="117"/>
      <c r="U319" s="117"/>
      <c r="V319" s="115"/>
    </row>
    <row r="320">
      <c r="C320" s="172"/>
      <c r="D320" s="172"/>
      <c r="E320" s="173"/>
      <c r="F320" s="137"/>
      <c r="G320" s="137"/>
      <c r="H320" s="137"/>
      <c r="I320" s="129"/>
      <c r="J320" s="323"/>
      <c r="K320" s="90"/>
      <c r="L320" s="118"/>
      <c r="M320" s="116"/>
      <c r="N320" s="116"/>
      <c r="O320" s="117"/>
      <c r="P320" s="117"/>
      <c r="Q320" s="118"/>
      <c r="R320" s="117"/>
      <c r="S320" s="117"/>
      <c r="T320" s="117"/>
      <c r="U320" s="117"/>
      <c r="V320" s="115"/>
    </row>
    <row r="321">
      <c r="C321" s="172"/>
      <c r="D321" s="172"/>
      <c r="E321" s="173"/>
      <c r="F321" s="137"/>
      <c r="G321" s="137"/>
      <c r="H321" s="137"/>
      <c r="I321" s="129"/>
      <c r="J321" s="323"/>
      <c r="K321" s="90"/>
      <c r="L321" s="118"/>
      <c r="M321" s="116"/>
      <c r="N321" s="116"/>
      <c r="O321" s="117"/>
      <c r="P321" s="117"/>
      <c r="Q321" s="118"/>
      <c r="R321" s="117"/>
      <c r="S321" s="117"/>
      <c r="T321" s="117"/>
      <c r="U321" s="117"/>
      <c r="V321" s="115"/>
    </row>
    <row r="322">
      <c r="C322" s="172"/>
      <c r="D322" s="172"/>
      <c r="E322" s="173"/>
      <c r="F322" s="137"/>
      <c r="G322" s="137"/>
      <c r="H322" s="137"/>
      <c r="I322" s="129"/>
      <c r="J322" s="323"/>
      <c r="K322" s="90"/>
      <c r="L322" s="118"/>
      <c r="M322" s="116"/>
      <c r="N322" s="116"/>
      <c r="O322" s="117"/>
      <c r="P322" s="117"/>
      <c r="Q322" s="118"/>
      <c r="R322" s="117"/>
      <c r="S322" s="117"/>
      <c r="T322" s="117"/>
      <c r="U322" s="117"/>
      <c r="V322" s="115"/>
    </row>
    <row r="323">
      <c r="C323" s="172"/>
      <c r="D323" s="172"/>
      <c r="E323" s="173"/>
      <c r="F323" s="137"/>
      <c r="G323" s="137"/>
      <c r="H323" s="137"/>
      <c r="I323" s="129"/>
      <c r="J323" s="323"/>
      <c r="K323" s="90"/>
      <c r="L323" s="118"/>
      <c r="M323" s="116"/>
      <c r="N323" s="116"/>
      <c r="O323" s="117"/>
      <c r="P323" s="117"/>
      <c r="Q323" s="118"/>
      <c r="R323" s="117"/>
      <c r="S323" s="117"/>
      <c r="T323" s="117"/>
      <c r="U323" s="117"/>
      <c r="V323" s="115"/>
    </row>
    <row r="324">
      <c r="C324" s="172"/>
      <c r="D324" s="172"/>
      <c r="E324" s="173"/>
      <c r="F324" s="137"/>
      <c r="G324" s="137"/>
      <c r="H324" s="137"/>
      <c r="I324" s="129"/>
      <c r="J324" s="323"/>
      <c r="K324" s="90"/>
      <c r="L324" s="118"/>
      <c r="M324" s="116"/>
      <c r="N324" s="116"/>
      <c r="O324" s="117"/>
      <c r="P324" s="117"/>
      <c r="Q324" s="118"/>
      <c r="R324" s="117"/>
      <c r="S324" s="117"/>
      <c r="T324" s="117"/>
      <c r="U324" s="117"/>
      <c r="V324" s="115"/>
    </row>
    <row r="325">
      <c r="C325" s="172"/>
      <c r="D325" s="172"/>
      <c r="E325" s="173"/>
      <c r="F325" s="137"/>
      <c r="G325" s="137"/>
      <c r="H325" s="137"/>
      <c r="I325" s="129"/>
      <c r="J325" s="323"/>
      <c r="K325" s="90"/>
      <c r="L325" s="118"/>
      <c r="M325" s="116"/>
      <c r="N325" s="116"/>
      <c r="O325" s="117"/>
      <c r="P325" s="117"/>
      <c r="Q325" s="118"/>
      <c r="R325" s="117"/>
      <c r="S325" s="117"/>
      <c r="T325" s="117"/>
      <c r="U325" s="117"/>
      <c r="V325" s="115"/>
    </row>
    <row r="326">
      <c r="C326" s="172"/>
      <c r="D326" s="172"/>
      <c r="E326" s="173"/>
      <c r="F326" s="137"/>
      <c r="G326" s="137"/>
      <c r="H326" s="137"/>
      <c r="I326" s="129"/>
      <c r="J326" s="323"/>
      <c r="K326" s="90"/>
      <c r="L326" s="118"/>
      <c r="M326" s="116"/>
      <c r="N326" s="116"/>
      <c r="O326" s="117"/>
      <c r="P326" s="117"/>
      <c r="Q326" s="118"/>
      <c r="R326" s="117"/>
      <c r="S326" s="117"/>
      <c r="T326" s="117"/>
      <c r="U326" s="117"/>
      <c r="V326" s="115"/>
    </row>
    <row r="327">
      <c r="C327" s="172"/>
      <c r="D327" s="172"/>
      <c r="E327" s="173"/>
      <c r="F327" s="137"/>
      <c r="G327" s="137"/>
      <c r="H327" s="137"/>
      <c r="I327" s="129"/>
      <c r="J327" s="323"/>
      <c r="K327" s="90"/>
      <c r="L327" s="118"/>
      <c r="M327" s="116"/>
      <c r="N327" s="116"/>
      <c r="O327" s="117"/>
      <c r="P327" s="117"/>
      <c r="Q327" s="118"/>
      <c r="R327" s="117"/>
      <c r="S327" s="117"/>
      <c r="T327" s="117"/>
      <c r="U327" s="117"/>
      <c r="V327" s="115"/>
    </row>
    <row r="328">
      <c r="C328" s="172"/>
      <c r="D328" s="172"/>
      <c r="E328" s="173"/>
      <c r="F328" s="137"/>
      <c r="G328" s="137"/>
      <c r="H328" s="137"/>
      <c r="I328" s="129"/>
      <c r="J328" s="323"/>
      <c r="K328" s="90"/>
      <c r="L328" s="118"/>
      <c r="M328" s="116"/>
      <c r="N328" s="116"/>
      <c r="O328" s="117"/>
      <c r="P328" s="117"/>
      <c r="Q328" s="118"/>
      <c r="R328" s="117"/>
      <c r="S328" s="117"/>
      <c r="T328" s="117"/>
      <c r="U328" s="117"/>
      <c r="V328" s="115"/>
    </row>
    <row r="329">
      <c r="C329" s="172"/>
      <c r="D329" s="172"/>
      <c r="E329" s="173"/>
      <c r="F329" s="137"/>
      <c r="G329" s="137"/>
      <c r="H329" s="137"/>
      <c r="I329" s="129"/>
      <c r="J329" s="323"/>
      <c r="K329" s="90"/>
      <c r="L329" s="118"/>
      <c r="M329" s="116"/>
      <c r="N329" s="116"/>
      <c r="O329" s="117"/>
      <c r="P329" s="117"/>
      <c r="Q329" s="118"/>
      <c r="R329" s="117"/>
      <c r="S329" s="117"/>
      <c r="T329" s="117"/>
      <c r="U329" s="117"/>
      <c r="V329" s="115"/>
    </row>
    <row r="330">
      <c r="C330" s="172"/>
      <c r="D330" s="172"/>
      <c r="E330" s="173"/>
      <c r="F330" s="137"/>
      <c r="G330" s="137"/>
      <c r="H330" s="137"/>
      <c r="I330" s="129"/>
      <c r="J330" s="323"/>
      <c r="K330" s="90"/>
      <c r="L330" s="118"/>
      <c r="M330" s="116"/>
      <c r="N330" s="116"/>
      <c r="O330" s="117"/>
      <c r="P330" s="117"/>
      <c r="Q330" s="118"/>
      <c r="R330" s="117"/>
      <c r="S330" s="117"/>
      <c r="T330" s="117"/>
      <c r="U330" s="117"/>
      <c r="V330" s="115"/>
    </row>
    <row r="331">
      <c r="C331" s="172"/>
      <c r="D331" s="172"/>
      <c r="E331" s="173"/>
      <c r="F331" s="137"/>
      <c r="G331" s="137"/>
      <c r="H331" s="137"/>
      <c r="I331" s="129"/>
      <c r="J331" s="323"/>
      <c r="K331" s="90"/>
      <c r="L331" s="118"/>
      <c r="M331" s="116"/>
      <c r="N331" s="116"/>
      <c r="O331" s="117"/>
      <c r="P331" s="117"/>
      <c r="Q331" s="118"/>
      <c r="R331" s="117"/>
      <c r="S331" s="117"/>
      <c r="T331" s="117"/>
      <c r="U331" s="117"/>
      <c r="V331" s="115"/>
    </row>
    <row r="332">
      <c r="C332" s="172"/>
      <c r="D332" s="172"/>
      <c r="E332" s="173"/>
      <c r="F332" s="137"/>
      <c r="G332" s="137"/>
      <c r="H332" s="137"/>
      <c r="I332" s="129"/>
      <c r="J332" s="323"/>
      <c r="K332" s="90"/>
      <c r="L332" s="118"/>
      <c r="M332" s="116"/>
      <c r="N332" s="116"/>
      <c r="O332" s="117"/>
      <c r="P332" s="117"/>
      <c r="Q332" s="118"/>
      <c r="R332" s="117"/>
      <c r="S332" s="117"/>
      <c r="T332" s="117"/>
      <c r="U332" s="117"/>
      <c r="V332" s="115"/>
    </row>
    <row r="333">
      <c r="C333" s="172"/>
      <c r="D333" s="172"/>
      <c r="E333" s="173"/>
      <c r="F333" s="137"/>
      <c r="G333" s="137"/>
      <c r="H333" s="137"/>
      <c r="I333" s="129"/>
      <c r="J333" s="323"/>
      <c r="K333" s="90"/>
      <c r="L333" s="118"/>
      <c r="M333" s="116"/>
      <c r="N333" s="116"/>
      <c r="O333" s="117"/>
      <c r="P333" s="117"/>
      <c r="Q333" s="118"/>
      <c r="R333" s="117"/>
      <c r="S333" s="117"/>
      <c r="T333" s="117"/>
      <c r="U333" s="117"/>
      <c r="V333" s="115"/>
    </row>
    <row r="334">
      <c r="C334" s="172"/>
      <c r="D334" s="172"/>
      <c r="E334" s="173"/>
      <c r="F334" s="137"/>
      <c r="G334" s="137"/>
      <c r="H334" s="137"/>
      <c r="I334" s="129"/>
      <c r="J334" s="323"/>
      <c r="K334" s="90"/>
      <c r="L334" s="118"/>
      <c r="M334" s="116"/>
      <c r="N334" s="116"/>
      <c r="O334" s="117"/>
      <c r="P334" s="117"/>
      <c r="Q334" s="118"/>
      <c r="R334" s="117"/>
      <c r="S334" s="117"/>
      <c r="T334" s="117"/>
      <c r="U334" s="117"/>
      <c r="V334" s="115"/>
    </row>
    <row r="335">
      <c r="C335" s="172"/>
      <c r="D335" s="172"/>
      <c r="E335" s="173"/>
      <c r="F335" s="137"/>
      <c r="G335" s="137"/>
      <c r="H335" s="137"/>
      <c r="I335" s="129"/>
      <c r="J335" s="323"/>
      <c r="K335" s="90"/>
      <c r="L335" s="118"/>
      <c r="M335" s="116"/>
      <c r="N335" s="116"/>
      <c r="O335" s="117"/>
      <c r="P335" s="117"/>
      <c r="Q335" s="118"/>
      <c r="R335" s="117"/>
      <c r="S335" s="117"/>
      <c r="T335" s="117"/>
      <c r="U335" s="117"/>
      <c r="V335" s="115"/>
    </row>
    <row r="336">
      <c r="C336" s="172"/>
      <c r="D336" s="172"/>
      <c r="E336" s="173"/>
      <c r="F336" s="137"/>
      <c r="G336" s="137"/>
      <c r="H336" s="137"/>
      <c r="I336" s="129"/>
      <c r="J336" s="323"/>
      <c r="K336" s="90"/>
      <c r="L336" s="118"/>
      <c r="M336" s="116"/>
      <c r="N336" s="116"/>
      <c r="O336" s="117"/>
      <c r="P336" s="117"/>
      <c r="Q336" s="118"/>
      <c r="R336" s="117"/>
      <c r="S336" s="117"/>
      <c r="T336" s="117"/>
      <c r="U336" s="117"/>
      <c r="V336" s="115"/>
    </row>
    <row r="337">
      <c r="C337" s="172"/>
      <c r="D337" s="172"/>
      <c r="E337" s="173"/>
      <c r="F337" s="137"/>
      <c r="G337" s="137"/>
      <c r="H337" s="137"/>
      <c r="I337" s="129"/>
      <c r="J337" s="323"/>
      <c r="K337" s="90"/>
      <c r="L337" s="118"/>
      <c r="M337" s="116"/>
      <c r="N337" s="116"/>
      <c r="O337" s="117"/>
      <c r="P337" s="117"/>
      <c r="Q337" s="118"/>
      <c r="R337" s="117"/>
      <c r="S337" s="117"/>
      <c r="T337" s="117"/>
      <c r="U337" s="117"/>
      <c r="V337" s="115"/>
    </row>
    <row r="338">
      <c r="C338" s="172"/>
      <c r="D338" s="172"/>
      <c r="E338" s="173"/>
      <c r="F338" s="137"/>
      <c r="G338" s="137"/>
      <c r="H338" s="137"/>
      <c r="I338" s="129"/>
      <c r="J338" s="323"/>
      <c r="K338" s="90"/>
      <c r="L338" s="118"/>
      <c r="M338" s="116"/>
      <c r="N338" s="116"/>
      <c r="O338" s="117"/>
      <c r="P338" s="117"/>
      <c r="Q338" s="118"/>
      <c r="R338" s="117"/>
      <c r="S338" s="117"/>
      <c r="T338" s="117"/>
      <c r="U338" s="117"/>
      <c r="V338" s="115"/>
    </row>
    <row r="339">
      <c r="C339" s="172"/>
      <c r="D339" s="172"/>
      <c r="E339" s="173"/>
      <c r="F339" s="137"/>
      <c r="G339" s="137"/>
      <c r="H339" s="137"/>
      <c r="I339" s="129"/>
      <c r="J339" s="323"/>
      <c r="K339" s="90"/>
      <c r="L339" s="118"/>
      <c r="M339" s="116"/>
      <c r="N339" s="116"/>
      <c r="O339" s="117"/>
      <c r="P339" s="117"/>
      <c r="Q339" s="118"/>
      <c r="R339" s="117"/>
      <c r="S339" s="117"/>
      <c r="T339" s="117"/>
      <c r="U339" s="117"/>
      <c r="V339" s="115"/>
    </row>
    <row r="340">
      <c r="C340" s="172"/>
      <c r="D340" s="172"/>
      <c r="E340" s="173"/>
      <c r="F340" s="137"/>
      <c r="G340" s="137"/>
      <c r="H340" s="137"/>
      <c r="I340" s="129"/>
      <c r="J340" s="323"/>
      <c r="K340" s="90"/>
      <c r="L340" s="118"/>
      <c r="M340" s="116"/>
      <c r="N340" s="116"/>
      <c r="O340" s="117"/>
      <c r="P340" s="117"/>
      <c r="Q340" s="118"/>
      <c r="R340" s="117"/>
      <c r="S340" s="117"/>
      <c r="T340" s="117"/>
      <c r="U340" s="117"/>
      <c r="V340" s="115"/>
    </row>
    <row r="341">
      <c r="C341" s="172"/>
      <c r="D341" s="172"/>
      <c r="E341" s="173"/>
      <c r="F341" s="137"/>
      <c r="G341" s="137"/>
      <c r="H341" s="137"/>
      <c r="I341" s="129"/>
      <c r="J341" s="323"/>
      <c r="K341" s="90"/>
      <c r="L341" s="118"/>
      <c r="M341" s="116"/>
      <c r="N341" s="116"/>
      <c r="O341" s="117"/>
      <c r="P341" s="117"/>
      <c r="Q341" s="118"/>
      <c r="R341" s="117"/>
      <c r="S341" s="117"/>
      <c r="T341" s="117"/>
      <c r="U341" s="117"/>
      <c r="V341" s="115"/>
    </row>
    <row r="342">
      <c r="C342" s="172"/>
      <c r="D342" s="172"/>
      <c r="E342" s="173"/>
      <c r="F342" s="137"/>
      <c r="G342" s="137"/>
      <c r="H342" s="137"/>
      <c r="I342" s="129"/>
      <c r="J342" s="323"/>
      <c r="K342" s="90"/>
      <c r="L342" s="118"/>
      <c r="M342" s="116"/>
      <c r="N342" s="116"/>
      <c r="O342" s="117"/>
      <c r="P342" s="117"/>
      <c r="Q342" s="118"/>
      <c r="R342" s="117"/>
      <c r="S342" s="117"/>
      <c r="T342" s="117"/>
      <c r="U342" s="117"/>
      <c r="V342" s="115"/>
    </row>
    <row r="343">
      <c r="C343" s="172"/>
      <c r="D343" s="172"/>
      <c r="E343" s="173"/>
      <c r="F343" s="137"/>
      <c r="G343" s="137"/>
      <c r="H343" s="137"/>
      <c r="I343" s="129"/>
      <c r="J343" s="323"/>
      <c r="K343" s="90"/>
      <c r="L343" s="118"/>
      <c r="M343" s="116"/>
      <c r="N343" s="116"/>
      <c r="O343" s="117"/>
      <c r="P343" s="117"/>
      <c r="Q343" s="118"/>
      <c r="R343" s="117"/>
      <c r="S343" s="117"/>
      <c r="T343" s="117"/>
      <c r="U343" s="117"/>
      <c r="V343" s="115"/>
    </row>
    <row r="344">
      <c r="C344" s="172"/>
      <c r="D344" s="172"/>
      <c r="E344" s="173"/>
      <c r="F344" s="137"/>
      <c r="G344" s="137"/>
      <c r="H344" s="137"/>
      <c r="I344" s="129"/>
      <c r="J344" s="323"/>
      <c r="K344" s="90"/>
      <c r="L344" s="118"/>
      <c r="M344" s="116"/>
      <c r="N344" s="116"/>
      <c r="O344" s="117"/>
      <c r="P344" s="117"/>
      <c r="Q344" s="118"/>
      <c r="R344" s="117"/>
      <c r="S344" s="117"/>
      <c r="T344" s="117"/>
      <c r="U344" s="117"/>
      <c r="V344" s="115"/>
    </row>
    <row r="345">
      <c r="C345" s="172"/>
      <c r="D345" s="172"/>
      <c r="E345" s="173"/>
      <c r="F345" s="137"/>
      <c r="G345" s="137"/>
      <c r="H345" s="137"/>
      <c r="I345" s="129"/>
      <c r="J345" s="323"/>
      <c r="K345" s="90"/>
      <c r="L345" s="118"/>
      <c r="M345" s="116"/>
      <c r="N345" s="116"/>
      <c r="O345" s="117"/>
      <c r="P345" s="117"/>
      <c r="Q345" s="118"/>
      <c r="R345" s="117"/>
      <c r="S345" s="117"/>
      <c r="T345" s="117"/>
      <c r="U345" s="117"/>
      <c r="V345" s="115"/>
    </row>
    <row r="346">
      <c r="C346" s="172"/>
      <c r="D346" s="172"/>
      <c r="E346" s="173"/>
      <c r="F346" s="137"/>
      <c r="G346" s="137"/>
      <c r="H346" s="137"/>
      <c r="I346" s="129"/>
      <c r="J346" s="323"/>
      <c r="K346" s="90"/>
      <c r="L346" s="118"/>
      <c r="M346" s="116"/>
      <c r="N346" s="116"/>
      <c r="O346" s="117"/>
      <c r="P346" s="117"/>
      <c r="Q346" s="118"/>
      <c r="R346" s="117"/>
      <c r="S346" s="117"/>
      <c r="T346" s="117"/>
      <c r="U346" s="117"/>
      <c r="V346" s="115"/>
    </row>
    <row r="347">
      <c r="C347" s="172"/>
      <c r="D347" s="172"/>
      <c r="E347" s="173"/>
      <c r="F347" s="137"/>
      <c r="G347" s="137"/>
      <c r="H347" s="137"/>
      <c r="I347" s="129"/>
      <c r="J347" s="323"/>
      <c r="K347" s="90"/>
      <c r="L347" s="118"/>
      <c r="M347" s="116"/>
      <c r="N347" s="116"/>
      <c r="O347" s="117"/>
      <c r="P347" s="117"/>
      <c r="Q347" s="118"/>
      <c r="R347" s="117"/>
      <c r="S347" s="117"/>
      <c r="T347" s="117"/>
      <c r="U347" s="117"/>
      <c r="V347" s="115"/>
    </row>
    <row r="348">
      <c r="C348" s="172"/>
      <c r="D348" s="172"/>
      <c r="E348" s="173"/>
      <c r="F348" s="137"/>
      <c r="G348" s="137"/>
      <c r="H348" s="137"/>
      <c r="I348" s="129"/>
      <c r="J348" s="323"/>
      <c r="K348" s="90"/>
      <c r="L348" s="118"/>
      <c r="M348" s="116"/>
      <c r="N348" s="116"/>
      <c r="O348" s="117"/>
      <c r="P348" s="117"/>
      <c r="Q348" s="118"/>
      <c r="R348" s="117"/>
      <c r="S348" s="117"/>
      <c r="T348" s="117"/>
      <c r="U348" s="117"/>
      <c r="V348" s="115"/>
    </row>
    <row r="349">
      <c r="C349" s="172"/>
      <c r="D349" s="172"/>
      <c r="E349" s="173"/>
      <c r="F349" s="137"/>
      <c r="G349" s="137"/>
      <c r="H349" s="137"/>
      <c r="I349" s="129"/>
      <c r="J349" s="323"/>
      <c r="K349" s="90"/>
      <c r="L349" s="118"/>
      <c r="M349" s="116"/>
      <c r="N349" s="116"/>
      <c r="O349" s="117"/>
      <c r="P349" s="117"/>
      <c r="Q349" s="118"/>
      <c r="R349" s="117"/>
      <c r="S349" s="117"/>
      <c r="T349" s="117"/>
      <c r="U349" s="117"/>
      <c r="V349" s="115"/>
    </row>
    <row r="350">
      <c r="C350" s="172"/>
      <c r="D350" s="172"/>
      <c r="E350" s="173"/>
      <c r="F350" s="137"/>
      <c r="G350" s="137"/>
      <c r="H350" s="137"/>
      <c r="I350" s="129"/>
      <c r="J350" s="323"/>
      <c r="K350" s="90"/>
      <c r="L350" s="118"/>
      <c r="M350" s="116"/>
      <c r="N350" s="116"/>
      <c r="O350" s="117"/>
      <c r="P350" s="117"/>
      <c r="Q350" s="118"/>
      <c r="R350" s="117"/>
      <c r="S350" s="117"/>
      <c r="T350" s="117"/>
      <c r="U350" s="117"/>
      <c r="V350" s="115"/>
    </row>
    <row r="351">
      <c r="C351" s="172"/>
      <c r="D351" s="172"/>
      <c r="E351" s="173"/>
      <c r="F351" s="137"/>
      <c r="G351" s="137"/>
      <c r="H351" s="137"/>
      <c r="I351" s="129"/>
      <c r="J351" s="323"/>
      <c r="K351" s="90"/>
      <c r="L351" s="118"/>
      <c r="M351" s="116"/>
      <c r="N351" s="116"/>
      <c r="O351" s="117"/>
      <c r="P351" s="117"/>
      <c r="Q351" s="118"/>
      <c r="R351" s="117"/>
      <c r="S351" s="117"/>
      <c r="T351" s="117"/>
      <c r="U351" s="117"/>
      <c r="V351" s="115"/>
    </row>
    <row r="352">
      <c r="C352" s="172"/>
      <c r="D352" s="172"/>
      <c r="E352" s="173"/>
      <c r="F352" s="137"/>
      <c r="G352" s="137"/>
      <c r="H352" s="137"/>
      <c r="I352" s="129"/>
      <c r="J352" s="323"/>
      <c r="K352" s="90"/>
      <c r="L352" s="118"/>
      <c r="M352" s="116"/>
      <c r="N352" s="116"/>
      <c r="O352" s="117"/>
      <c r="P352" s="117"/>
      <c r="Q352" s="118"/>
      <c r="R352" s="117"/>
      <c r="S352" s="117"/>
      <c r="T352" s="117"/>
      <c r="U352" s="117"/>
      <c r="V352" s="115"/>
    </row>
    <row r="353">
      <c r="C353" s="172"/>
      <c r="D353" s="172"/>
      <c r="E353" s="173"/>
      <c r="F353" s="137"/>
      <c r="G353" s="137"/>
      <c r="H353" s="137"/>
      <c r="I353" s="129"/>
      <c r="J353" s="323"/>
      <c r="K353" s="90"/>
      <c r="L353" s="118"/>
      <c r="M353" s="116"/>
      <c r="N353" s="116"/>
      <c r="O353" s="117"/>
      <c r="P353" s="117"/>
      <c r="Q353" s="118"/>
      <c r="R353" s="117"/>
      <c r="S353" s="117"/>
      <c r="T353" s="117"/>
      <c r="U353" s="117"/>
      <c r="V353" s="115"/>
    </row>
    <row r="354">
      <c r="C354" s="172"/>
      <c r="D354" s="172"/>
      <c r="E354" s="173"/>
      <c r="F354" s="137"/>
      <c r="G354" s="137"/>
      <c r="H354" s="137"/>
      <c r="I354" s="129"/>
      <c r="J354" s="323"/>
      <c r="K354" s="90"/>
      <c r="L354" s="118"/>
      <c r="M354" s="116"/>
      <c r="N354" s="116"/>
      <c r="O354" s="117"/>
      <c r="P354" s="117"/>
      <c r="Q354" s="118"/>
      <c r="R354" s="117"/>
      <c r="S354" s="117"/>
      <c r="T354" s="117"/>
      <c r="U354" s="117"/>
      <c r="V354" s="115"/>
    </row>
    <row r="355">
      <c r="C355" s="172"/>
      <c r="D355" s="172"/>
      <c r="E355" s="173"/>
      <c r="F355" s="137"/>
      <c r="G355" s="137"/>
      <c r="H355" s="137"/>
      <c r="I355" s="129"/>
      <c r="J355" s="323"/>
      <c r="K355" s="90"/>
      <c r="L355" s="118"/>
      <c r="M355" s="116"/>
      <c r="N355" s="116"/>
      <c r="O355" s="117"/>
      <c r="P355" s="117"/>
      <c r="Q355" s="118"/>
      <c r="R355" s="117"/>
      <c r="S355" s="117"/>
      <c r="T355" s="117"/>
      <c r="U355" s="117"/>
      <c r="V355" s="115"/>
    </row>
    <row r="356">
      <c r="C356" s="172"/>
      <c r="D356" s="172"/>
      <c r="E356" s="173"/>
      <c r="F356" s="137"/>
      <c r="G356" s="137"/>
      <c r="H356" s="137"/>
      <c r="I356" s="129"/>
      <c r="J356" s="323"/>
      <c r="K356" s="90"/>
      <c r="L356" s="118"/>
      <c r="M356" s="116"/>
      <c r="N356" s="116"/>
      <c r="O356" s="117"/>
      <c r="P356" s="117"/>
      <c r="Q356" s="118"/>
      <c r="R356" s="117"/>
      <c r="S356" s="117"/>
      <c r="T356" s="117"/>
      <c r="U356" s="117"/>
      <c r="V356" s="115"/>
    </row>
    <row r="357">
      <c r="C357" s="172"/>
      <c r="D357" s="172"/>
      <c r="E357" s="173"/>
      <c r="F357" s="137"/>
      <c r="G357" s="137"/>
      <c r="H357" s="137"/>
      <c r="I357" s="129"/>
      <c r="J357" s="323"/>
      <c r="K357" s="90"/>
      <c r="L357" s="118"/>
      <c r="M357" s="116"/>
      <c r="N357" s="116"/>
      <c r="O357" s="117"/>
      <c r="P357" s="117"/>
      <c r="Q357" s="118"/>
      <c r="R357" s="117"/>
      <c r="S357" s="117"/>
      <c r="T357" s="117"/>
      <c r="U357" s="117"/>
      <c r="V357" s="115"/>
    </row>
    <row r="358">
      <c r="C358" s="172"/>
      <c r="D358" s="172"/>
      <c r="E358" s="173"/>
      <c r="F358" s="137"/>
      <c r="G358" s="137"/>
      <c r="H358" s="137"/>
      <c r="I358" s="129"/>
      <c r="J358" s="323"/>
      <c r="K358" s="90"/>
      <c r="L358" s="118"/>
      <c r="M358" s="116"/>
      <c r="N358" s="116"/>
      <c r="O358" s="117"/>
      <c r="P358" s="117"/>
      <c r="Q358" s="118"/>
      <c r="R358" s="117"/>
      <c r="S358" s="117"/>
      <c r="T358" s="117"/>
      <c r="U358" s="117"/>
      <c r="V358" s="115"/>
    </row>
    <row r="359">
      <c r="C359" s="172"/>
      <c r="D359" s="172"/>
      <c r="E359" s="173"/>
      <c r="F359" s="137"/>
      <c r="G359" s="137"/>
      <c r="H359" s="137"/>
      <c r="I359" s="129"/>
      <c r="J359" s="323"/>
      <c r="K359" s="90"/>
      <c r="L359" s="118"/>
      <c r="M359" s="116"/>
      <c r="N359" s="116"/>
      <c r="O359" s="117"/>
      <c r="P359" s="117"/>
      <c r="Q359" s="118"/>
      <c r="R359" s="117"/>
      <c r="S359" s="117"/>
      <c r="T359" s="117"/>
      <c r="U359" s="117"/>
      <c r="V359" s="115"/>
    </row>
    <row r="360">
      <c r="C360" s="172"/>
      <c r="D360" s="172"/>
      <c r="E360" s="173"/>
      <c r="F360" s="137"/>
      <c r="G360" s="137"/>
      <c r="H360" s="137"/>
      <c r="I360" s="129"/>
      <c r="J360" s="323"/>
      <c r="K360" s="90"/>
      <c r="L360" s="118"/>
      <c r="M360" s="116"/>
      <c r="N360" s="116"/>
      <c r="O360" s="117"/>
      <c r="P360" s="117"/>
      <c r="Q360" s="118"/>
      <c r="R360" s="117"/>
      <c r="S360" s="117"/>
      <c r="T360" s="117"/>
      <c r="U360" s="117"/>
      <c r="V360" s="115"/>
    </row>
    <row r="361">
      <c r="C361" s="172"/>
      <c r="D361" s="172"/>
      <c r="E361" s="173"/>
      <c r="F361" s="137"/>
      <c r="G361" s="137"/>
      <c r="H361" s="137"/>
      <c r="I361" s="129"/>
      <c r="J361" s="323"/>
      <c r="K361" s="90"/>
      <c r="L361" s="118"/>
      <c r="M361" s="116"/>
      <c r="N361" s="116"/>
      <c r="O361" s="117"/>
      <c r="P361" s="117"/>
      <c r="Q361" s="118"/>
      <c r="R361" s="117"/>
      <c r="S361" s="117"/>
      <c r="T361" s="117"/>
      <c r="U361" s="117"/>
      <c r="V361" s="115"/>
    </row>
    <row r="362">
      <c r="C362" s="172"/>
      <c r="D362" s="172"/>
      <c r="E362" s="173"/>
      <c r="F362" s="137"/>
      <c r="G362" s="137"/>
      <c r="H362" s="137"/>
      <c r="I362" s="129"/>
      <c r="J362" s="323"/>
      <c r="K362" s="90"/>
      <c r="L362" s="118"/>
      <c r="M362" s="116"/>
      <c r="N362" s="116"/>
      <c r="O362" s="117"/>
      <c r="P362" s="117"/>
      <c r="Q362" s="118"/>
      <c r="R362" s="117"/>
      <c r="S362" s="117"/>
      <c r="T362" s="117"/>
      <c r="U362" s="117"/>
      <c r="V362" s="115"/>
    </row>
    <row r="363">
      <c r="C363" s="172"/>
      <c r="D363" s="172"/>
      <c r="E363" s="173"/>
      <c r="F363" s="137"/>
      <c r="G363" s="137"/>
      <c r="H363" s="137"/>
      <c r="I363" s="129"/>
      <c r="J363" s="323"/>
      <c r="K363" s="90"/>
      <c r="L363" s="118"/>
      <c r="M363" s="116"/>
      <c r="N363" s="116"/>
      <c r="O363" s="117"/>
      <c r="P363" s="117"/>
      <c r="Q363" s="118"/>
      <c r="R363" s="117"/>
      <c r="S363" s="117"/>
      <c r="T363" s="117"/>
      <c r="U363" s="117"/>
      <c r="V363" s="115"/>
    </row>
    <row r="364">
      <c r="C364" s="172"/>
      <c r="D364" s="172"/>
      <c r="E364" s="173"/>
      <c r="F364" s="137"/>
      <c r="G364" s="137"/>
      <c r="H364" s="137"/>
      <c r="I364" s="129"/>
      <c r="J364" s="323"/>
      <c r="K364" s="90"/>
      <c r="L364" s="118"/>
      <c r="M364" s="116"/>
      <c r="N364" s="116"/>
      <c r="O364" s="117"/>
      <c r="P364" s="117"/>
      <c r="Q364" s="118"/>
      <c r="R364" s="117"/>
      <c r="S364" s="117"/>
      <c r="T364" s="117"/>
      <c r="U364" s="117"/>
      <c r="V364" s="115"/>
    </row>
    <row r="365">
      <c r="C365" s="172"/>
      <c r="D365" s="172"/>
      <c r="E365" s="173"/>
      <c r="F365" s="137"/>
      <c r="G365" s="137"/>
      <c r="H365" s="137"/>
      <c r="I365" s="129"/>
      <c r="J365" s="323"/>
      <c r="K365" s="90"/>
      <c r="L365" s="118"/>
      <c r="M365" s="116"/>
      <c r="N365" s="116"/>
      <c r="O365" s="117"/>
      <c r="P365" s="117"/>
      <c r="Q365" s="118"/>
      <c r="R365" s="117"/>
      <c r="S365" s="117"/>
      <c r="T365" s="117"/>
      <c r="U365" s="117"/>
      <c r="V365" s="115"/>
    </row>
    <row r="366">
      <c r="C366" s="172"/>
      <c r="D366" s="172"/>
      <c r="E366" s="173"/>
      <c r="F366" s="137"/>
      <c r="G366" s="137"/>
      <c r="H366" s="137"/>
      <c r="I366" s="129"/>
      <c r="J366" s="323"/>
      <c r="K366" s="90"/>
      <c r="L366" s="118"/>
      <c r="M366" s="116"/>
      <c r="N366" s="116"/>
      <c r="O366" s="117"/>
      <c r="P366" s="117"/>
      <c r="Q366" s="118"/>
      <c r="R366" s="117"/>
      <c r="S366" s="117"/>
      <c r="T366" s="117"/>
      <c r="U366" s="117"/>
      <c r="V366" s="115"/>
    </row>
    <row r="367">
      <c r="C367" s="172"/>
      <c r="D367" s="172"/>
      <c r="E367" s="173"/>
      <c r="F367" s="137"/>
      <c r="G367" s="137"/>
      <c r="H367" s="137"/>
      <c r="I367" s="129"/>
      <c r="J367" s="323"/>
      <c r="K367" s="90"/>
      <c r="L367" s="118"/>
      <c r="M367" s="116"/>
      <c r="N367" s="116"/>
      <c r="O367" s="117"/>
      <c r="P367" s="117"/>
      <c r="Q367" s="118"/>
      <c r="R367" s="117"/>
      <c r="S367" s="117"/>
      <c r="T367" s="117"/>
      <c r="U367" s="117"/>
      <c r="V367" s="115"/>
    </row>
    <row r="368">
      <c r="C368" s="172"/>
      <c r="D368" s="172"/>
      <c r="E368" s="173"/>
      <c r="F368" s="137"/>
      <c r="G368" s="137"/>
      <c r="H368" s="137"/>
      <c r="I368" s="129"/>
      <c r="J368" s="323"/>
      <c r="K368" s="90"/>
      <c r="L368" s="118"/>
      <c r="M368" s="116"/>
      <c r="N368" s="116"/>
      <c r="O368" s="117"/>
      <c r="P368" s="117"/>
      <c r="Q368" s="118"/>
      <c r="R368" s="117"/>
      <c r="S368" s="117"/>
      <c r="T368" s="117"/>
      <c r="U368" s="117"/>
      <c r="V368" s="115"/>
    </row>
    <row r="369">
      <c r="C369" s="172"/>
      <c r="D369" s="172"/>
      <c r="E369" s="173"/>
      <c r="F369" s="137"/>
      <c r="G369" s="137"/>
      <c r="H369" s="137"/>
      <c r="I369" s="129"/>
      <c r="J369" s="323"/>
      <c r="K369" s="90"/>
      <c r="L369" s="118"/>
      <c r="M369" s="116"/>
      <c r="N369" s="116"/>
      <c r="O369" s="117"/>
      <c r="P369" s="117"/>
      <c r="Q369" s="118"/>
      <c r="R369" s="117"/>
      <c r="S369" s="117"/>
      <c r="T369" s="117"/>
      <c r="U369" s="117"/>
      <c r="V369" s="115"/>
    </row>
    <row r="370">
      <c r="C370" s="172"/>
      <c r="D370" s="172"/>
      <c r="E370" s="173"/>
      <c r="F370" s="137"/>
      <c r="G370" s="137"/>
      <c r="H370" s="137"/>
      <c r="I370" s="129"/>
      <c r="J370" s="323"/>
      <c r="K370" s="90"/>
      <c r="L370" s="118"/>
      <c r="M370" s="116"/>
      <c r="N370" s="116"/>
      <c r="O370" s="117"/>
      <c r="P370" s="117"/>
      <c r="Q370" s="118"/>
      <c r="R370" s="117"/>
      <c r="S370" s="117"/>
      <c r="T370" s="117"/>
      <c r="U370" s="117"/>
      <c r="V370" s="115"/>
    </row>
    <row r="371">
      <c r="C371" s="172"/>
      <c r="D371" s="172"/>
      <c r="E371" s="173"/>
      <c r="F371" s="137"/>
      <c r="G371" s="137"/>
      <c r="H371" s="137"/>
      <c r="I371" s="129"/>
      <c r="J371" s="323"/>
      <c r="K371" s="90"/>
      <c r="L371" s="118"/>
      <c r="M371" s="116"/>
      <c r="N371" s="116"/>
      <c r="O371" s="117"/>
      <c r="P371" s="117"/>
      <c r="Q371" s="118"/>
      <c r="R371" s="117"/>
      <c r="S371" s="117"/>
      <c r="T371" s="117"/>
      <c r="U371" s="117"/>
      <c r="V371" s="115"/>
    </row>
    <row r="372">
      <c r="C372" s="172"/>
      <c r="D372" s="172"/>
      <c r="E372" s="173"/>
      <c r="F372" s="137"/>
      <c r="G372" s="137"/>
      <c r="H372" s="137"/>
      <c r="I372" s="129"/>
      <c r="J372" s="323"/>
      <c r="K372" s="90"/>
      <c r="L372" s="118"/>
      <c r="M372" s="116"/>
      <c r="N372" s="116"/>
      <c r="O372" s="117"/>
      <c r="P372" s="117"/>
      <c r="Q372" s="118"/>
      <c r="R372" s="117"/>
      <c r="S372" s="117"/>
      <c r="T372" s="117"/>
      <c r="U372" s="117"/>
      <c r="V372" s="115"/>
    </row>
    <row r="373">
      <c r="C373" s="172"/>
      <c r="D373" s="172"/>
      <c r="E373" s="173"/>
      <c r="F373" s="137"/>
      <c r="G373" s="137"/>
      <c r="H373" s="137"/>
      <c r="I373" s="129"/>
      <c r="J373" s="323"/>
      <c r="K373" s="90"/>
      <c r="L373" s="118"/>
      <c r="M373" s="116"/>
      <c r="N373" s="116"/>
      <c r="O373" s="117"/>
      <c r="P373" s="117"/>
      <c r="Q373" s="118"/>
      <c r="R373" s="117"/>
      <c r="S373" s="117"/>
      <c r="T373" s="117"/>
      <c r="U373" s="117"/>
      <c r="V373" s="115"/>
    </row>
    <row r="374">
      <c r="C374" s="172"/>
      <c r="D374" s="172"/>
      <c r="E374" s="173"/>
      <c r="F374" s="137"/>
      <c r="G374" s="137"/>
      <c r="H374" s="137"/>
      <c r="I374" s="129"/>
      <c r="J374" s="323"/>
      <c r="K374" s="90"/>
      <c r="L374" s="118"/>
      <c r="M374" s="116"/>
      <c r="N374" s="116"/>
      <c r="O374" s="117"/>
      <c r="P374" s="117"/>
      <c r="Q374" s="118"/>
      <c r="R374" s="117"/>
      <c r="S374" s="117"/>
      <c r="T374" s="117"/>
      <c r="U374" s="117"/>
      <c r="V374" s="115"/>
    </row>
    <row r="375">
      <c r="C375" s="172"/>
      <c r="D375" s="172"/>
      <c r="E375" s="173"/>
      <c r="F375" s="137"/>
      <c r="G375" s="137"/>
      <c r="H375" s="137"/>
      <c r="I375" s="129"/>
      <c r="J375" s="323"/>
      <c r="K375" s="90"/>
      <c r="L375" s="118"/>
      <c r="M375" s="116"/>
      <c r="N375" s="116"/>
      <c r="O375" s="117"/>
      <c r="P375" s="117"/>
      <c r="Q375" s="118"/>
      <c r="R375" s="117"/>
      <c r="S375" s="117"/>
      <c r="T375" s="117"/>
      <c r="U375" s="117"/>
      <c r="V375" s="115"/>
    </row>
    <row r="376">
      <c r="C376" s="172"/>
      <c r="D376" s="172"/>
      <c r="E376" s="173"/>
      <c r="F376" s="137"/>
      <c r="G376" s="137"/>
      <c r="H376" s="137"/>
      <c r="I376" s="129"/>
      <c r="J376" s="323"/>
      <c r="K376" s="90"/>
      <c r="L376" s="118"/>
      <c r="M376" s="116"/>
      <c r="N376" s="116"/>
      <c r="O376" s="117"/>
      <c r="P376" s="117"/>
      <c r="Q376" s="118"/>
      <c r="R376" s="117"/>
      <c r="S376" s="117"/>
      <c r="T376" s="117"/>
      <c r="U376" s="117"/>
      <c r="V376" s="115"/>
    </row>
    <row r="377">
      <c r="C377" s="172"/>
      <c r="D377" s="172"/>
      <c r="E377" s="173"/>
      <c r="F377" s="137"/>
      <c r="G377" s="137"/>
      <c r="H377" s="137"/>
      <c r="I377" s="129"/>
      <c r="J377" s="323"/>
      <c r="K377" s="90"/>
      <c r="L377" s="118"/>
      <c r="M377" s="116"/>
      <c r="N377" s="116"/>
      <c r="O377" s="117"/>
      <c r="P377" s="117"/>
      <c r="Q377" s="118"/>
      <c r="R377" s="117"/>
      <c r="S377" s="117"/>
      <c r="T377" s="117"/>
      <c r="U377" s="117"/>
      <c r="V377" s="115"/>
    </row>
    <row r="378">
      <c r="C378" s="172"/>
      <c r="D378" s="172"/>
      <c r="E378" s="173"/>
      <c r="F378" s="137"/>
      <c r="G378" s="137"/>
      <c r="H378" s="137"/>
      <c r="I378" s="129"/>
      <c r="J378" s="323"/>
      <c r="K378" s="90"/>
      <c r="L378" s="118"/>
      <c r="M378" s="116"/>
      <c r="N378" s="116"/>
      <c r="O378" s="117"/>
      <c r="P378" s="117"/>
      <c r="Q378" s="118"/>
      <c r="R378" s="117"/>
      <c r="S378" s="117"/>
      <c r="T378" s="117"/>
      <c r="U378" s="117"/>
      <c r="V378" s="115"/>
    </row>
    <row r="379">
      <c r="C379" s="172"/>
      <c r="D379" s="172"/>
      <c r="E379" s="173"/>
      <c r="F379" s="137"/>
      <c r="G379" s="137"/>
      <c r="H379" s="137"/>
      <c r="I379" s="129"/>
      <c r="J379" s="323"/>
      <c r="K379" s="90"/>
      <c r="L379" s="118"/>
      <c r="M379" s="116"/>
      <c r="N379" s="116"/>
      <c r="O379" s="117"/>
      <c r="P379" s="117"/>
      <c r="Q379" s="118"/>
      <c r="R379" s="117"/>
      <c r="S379" s="117"/>
      <c r="T379" s="117"/>
      <c r="U379" s="117"/>
      <c r="V379" s="115"/>
    </row>
    <row r="380">
      <c r="C380" s="172"/>
      <c r="D380" s="172"/>
      <c r="E380" s="173"/>
      <c r="F380" s="137"/>
      <c r="G380" s="137"/>
      <c r="H380" s="137"/>
      <c r="I380" s="129"/>
      <c r="J380" s="323"/>
      <c r="K380" s="90"/>
      <c r="L380" s="118"/>
      <c r="M380" s="116"/>
      <c r="N380" s="116"/>
      <c r="O380" s="117"/>
      <c r="P380" s="117"/>
      <c r="Q380" s="118"/>
      <c r="R380" s="117"/>
      <c r="S380" s="117"/>
      <c r="T380" s="117"/>
      <c r="U380" s="117"/>
      <c r="V380" s="115"/>
    </row>
    <row r="381">
      <c r="C381" s="172"/>
      <c r="D381" s="172"/>
      <c r="E381" s="173"/>
      <c r="F381" s="137"/>
      <c r="G381" s="137"/>
      <c r="H381" s="137"/>
      <c r="I381" s="129"/>
      <c r="J381" s="323"/>
      <c r="K381" s="90"/>
      <c r="L381" s="118"/>
      <c r="M381" s="116"/>
      <c r="N381" s="116"/>
      <c r="O381" s="117"/>
      <c r="P381" s="117"/>
      <c r="Q381" s="118"/>
      <c r="R381" s="117"/>
      <c r="S381" s="117"/>
      <c r="T381" s="117"/>
      <c r="U381" s="117"/>
      <c r="V381" s="115"/>
    </row>
    <row r="382">
      <c r="C382" s="172"/>
      <c r="D382" s="172"/>
      <c r="E382" s="173"/>
      <c r="F382" s="137"/>
      <c r="G382" s="137"/>
      <c r="H382" s="137"/>
      <c r="I382" s="129"/>
      <c r="J382" s="323"/>
      <c r="K382" s="90"/>
      <c r="L382" s="118"/>
      <c r="M382" s="116"/>
      <c r="N382" s="116"/>
      <c r="O382" s="117"/>
      <c r="P382" s="117"/>
      <c r="Q382" s="118"/>
      <c r="R382" s="117"/>
      <c r="S382" s="117"/>
      <c r="T382" s="117"/>
      <c r="U382" s="117"/>
      <c r="V382" s="115"/>
    </row>
    <row r="383">
      <c r="C383" s="172"/>
      <c r="D383" s="172"/>
      <c r="E383" s="173"/>
      <c r="F383" s="137"/>
      <c r="G383" s="137"/>
      <c r="H383" s="137"/>
      <c r="I383" s="129"/>
      <c r="J383" s="323"/>
      <c r="K383" s="90"/>
      <c r="L383" s="118"/>
      <c r="M383" s="116"/>
      <c r="N383" s="116"/>
      <c r="O383" s="117"/>
      <c r="P383" s="117"/>
      <c r="Q383" s="118"/>
      <c r="R383" s="117"/>
      <c r="S383" s="117"/>
      <c r="T383" s="117"/>
      <c r="U383" s="117"/>
      <c r="V383" s="115"/>
    </row>
    <row r="384">
      <c r="C384" s="172"/>
      <c r="D384" s="172"/>
      <c r="E384" s="173"/>
      <c r="F384" s="137"/>
      <c r="G384" s="137"/>
      <c r="H384" s="137"/>
      <c r="I384" s="129"/>
      <c r="J384" s="323"/>
      <c r="K384" s="90"/>
      <c r="L384" s="118"/>
      <c r="M384" s="116"/>
      <c r="N384" s="116"/>
      <c r="O384" s="117"/>
      <c r="P384" s="117"/>
      <c r="Q384" s="118"/>
      <c r="R384" s="117"/>
      <c r="S384" s="117"/>
      <c r="T384" s="117"/>
      <c r="U384" s="117"/>
      <c r="V384" s="115"/>
    </row>
    <row r="385">
      <c r="C385" s="172"/>
      <c r="D385" s="172"/>
      <c r="E385" s="173"/>
      <c r="F385" s="137"/>
      <c r="G385" s="137"/>
      <c r="H385" s="137"/>
      <c r="I385" s="129"/>
      <c r="J385" s="323"/>
      <c r="K385" s="90"/>
      <c r="L385" s="118"/>
      <c r="M385" s="116"/>
      <c r="N385" s="116"/>
      <c r="O385" s="117"/>
      <c r="P385" s="117"/>
      <c r="Q385" s="118"/>
      <c r="R385" s="117"/>
      <c r="S385" s="117"/>
      <c r="T385" s="117"/>
      <c r="U385" s="117"/>
      <c r="V385" s="115"/>
    </row>
    <row r="386">
      <c r="C386" s="172"/>
      <c r="D386" s="172"/>
      <c r="E386" s="173"/>
      <c r="F386" s="137"/>
      <c r="G386" s="137"/>
      <c r="H386" s="137"/>
      <c r="I386" s="129"/>
      <c r="J386" s="323"/>
      <c r="K386" s="90"/>
      <c r="L386" s="118"/>
      <c r="M386" s="116"/>
      <c r="N386" s="116"/>
      <c r="O386" s="117"/>
      <c r="P386" s="117"/>
      <c r="Q386" s="118"/>
      <c r="R386" s="117"/>
      <c r="S386" s="117"/>
      <c r="T386" s="117"/>
      <c r="U386" s="117"/>
      <c r="V386" s="115"/>
    </row>
    <row r="387">
      <c r="C387" s="172"/>
      <c r="D387" s="172"/>
      <c r="E387" s="173"/>
      <c r="F387" s="137"/>
      <c r="G387" s="137"/>
      <c r="H387" s="137"/>
      <c r="I387" s="129"/>
      <c r="J387" s="323"/>
      <c r="K387" s="90"/>
      <c r="L387" s="118"/>
      <c r="M387" s="116"/>
      <c r="N387" s="116"/>
      <c r="O387" s="117"/>
      <c r="P387" s="117"/>
      <c r="Q387" s="118"/>
      <c r="R387" s="117"/>
      <c r="S387" s="117"/>
      <c r="T387" s="117"/>
      <c r="U387" s="117"/>
      <c r="V387" s="115"/>
    </row>
    <row r="388">
      <c r="C388" s="172"/>
      <c r="D388" s="172"/>
      <c r="E388" s="173"/>
      <c r="F388" s="137"/>
      <c r="G388" s="137"/>
      <c r="H388" s="137"/>
      <c r="I388" s="129"/>
      <c r="J388" s="323"/>
      <c r="K388" s="90"/>
      <c r="L388" s="118"/>
      <c r="M388" s="116"/>
      <c r="N388" s="116"/>
      <c r="O388" s="117"/>
      <c r="P388" s="117"/>
      <c r="Q388" s="118"/>
      <c r="R388" s="117"/>
      <c r="S388" s="117"/>
      <c r="T388" s="117"/>
      <c r="U388" s="117"/>
      <c r="V388" s="115"/>
    </row>
    <row r="389">
      <c r="C389" s="172"/>
      <c r="D389" s="172"/>
      <c r="E389" s="173"/>
      <c r="F389" s="137"/>
      <c r="G389" s="137"/>
      <c r="H389" s="137"/>
      <c r="I389" s="129"/>
      <c r="J389" s="323"/>
      <c r="K389" s="90"/>
      <c r="L389" s="118"/>
      <c r="M389" s="116"/>
      <c r="N389" s="116"/>
      <c r="O389" s="117"/>
      <c r="P389" s="117"/>
      <c r="Q389" s="118"/>
      <c r="R389" s="117"/>
      <c r="S389" s="117"/>
      <c r="T389" s="117"/>
      <c r="U389" s="117"/>
      <c r="V389" s="115"/>
    </row>
    <row r="390">
      <c r="C390" s="172"/>
      <c r="D390" s="172"/>
      <c r="E390" s="173"/>
      <c r="F390" s="137"/>
      <c r="G390" s="137"/>
      <c r="H390" s="137"/>
      <c r="I390" s="129"/>
      <c r="J390" s="323"/>
      <c r="K390" s="90"/>
      <c r="L390" s="118"/>
      <c r="M390" s="116"/>
      <c r="N390" s="116"/>
      <c r="O390" s="117"/>
      <c r="P390" s="117"/>
      <c r="Q390" s="118"/>
      <c r="R390" s="117"/>
      <c r="S390" s="117"/>
      <c r="T390" s="117"/>
      <c r="U390" s="117"/>
      <c r="V390" s="115"/>
    </row>
    <row r="391">
      <c r="C391" s="172"/>
      <c r="D391" s="172"/>
      <c r="E391" s="173"/>
      <c r="F391" s="137"/>
      <c r="G391" s="137"/>
      <c r="H391" s="137"/>
      <c r="I391" s="129"/>
      <c r="J391" s="323"/>
      <c r="K391" s="90"/>
      <c r="L391" s="118"/>
      <c r="M391" s="116"/>
      <c r="N391" s="116"/>
      <c r="O391" s="117"/>
      <c r="P391" s="117"/>
      <c r="Q391" s="118"/>
      <c r="R391" s="117"/>
      <c r="S391" s="117"/>
      <c r="T391" s="117"/>
      <c r="U391" s="117"/>
      <c r="V391" s="115"/>
    </row>
    <row r="392">
      <c r="C392" s="172"/>
      <c r="D392" s="172"/>
      <c r="E392" s="173"/>
      <c r="F392" s="137"/>
      <c r="G392" s="137"/>
      <c r="H392" s="137"/>
      <c r="I392" s="129"/>
      <c r="J392" s="323"/>
      <c r="K392" s="90"/>
      <c r="L392" s="118"/>
      <c r="M392" s="116"/>
      <c r="N392" s="116"/>
      <c r="O392" s="117"/>
      <c r="P392" s="117"/>
      <c r="Q392" s="118"/>
      <c r="R392" s="117"/>
      <c r="S392" s="117"/>
      <c r="T392" s="117"/>
      <c r="U392" s="117"/>
      <c r="V392" s="115"/>
    </row>
    <row r="393">
      <c r="C393" s="172"/>
      <c r="D393" s="172"/>
      <c r="E393" s="173"/>
      <c r="F393" s="137"/>
      <c r="G393" s="137"/>
      <c r="H393" s="137"/>
      <c r="I393" s="129"/>
      <c r="J393" s="323"/>
      <c r="K393" s="90"/>
      <c r="L393" s="118"/>
      <c r="M393" s="116"/>
      <c r="N393" s="116"/>
      <c r="O393" s="117"/>
      <c r="P393" s="117"/>
      <c r="Q393" s="118"/>
      <c r="R393" s="117"/>
      <c r="S393" s="117"/>
      <c r="T393" s="117"/>
      <c r="U393" s="117"/>
      <c r="V393" s="115"/>
    </row>
    <row r="394">
      <c r="C394" s="172"/>
      <c r="D394" s="172"/>
      <c r="E394" s="173"/>
      <c r="F394" s="137"/>
      <c r="G394" s="137"/>
      <c r="H394" s="137"/>
      <c r="I394" s="129"/>
      <c r="J394" s="323"/>
      <c r="K394" s="90"/>
      <c r="L394" s="118"/>
      <c r="M394" s="116"/>
      <c r="N394" s="116"/>
      <c r="O394" s="117"/>
      <c r="P394" s="117"/>
      <c r="Q394" s="118"/>
      <c r="R394" s="117"/>
      <c r="S394" s="117"/>
      <c r="T394" s="117"/>
      <c r="U394" s="117"/>
      <c r="V394" s="115"/>
    </row>
    <row r="395">
      <c r="C395" s="172"/>
      <c r="D395" s="172"/>
      <c r="E395" s="173"/>
      <c r="F395" s="137"/>
      <c r="G395" s="137"/>
      <c r="H395" s="137"/>
      <c r="I395" s="129"/>
      <c r="J395" s="323"/>
      <c r="K395" s="90"/>
      <c r="L395" s="118"/>
      <c r="M395" s="116"/>
      <c r="N395" s="116"/>
      <c r="O395" s="117"/>
      <c r="P395" s="117"/>
      <c r="Q395" s="118"/>
      <c r="R395" s="117"/>
      <c r="S395" s="117"/>
      <c r="T395" s="117"/>
      <c r="U395" s="117"/>
      <c r="V395" s="115"/>
    </row>
    <row r="396">
      <c r="C396" s="172"/>
      <c r="D396" s="172"/>
      <c r="E396" s="173"/>
      <c r="F396" s="137"/>
      <c r="G396" s="137"/>
      <c r="H396" s="137"/>
      <c r="I396" s="129"/>
      <c r="J396" s="323"/>
      <c r="K396" s="90"/>
      <c r="L396" s="118"/>
      <c r="M396" s="116"/>
      <c r="N396" s="116"/>
      <c r="O396" s="117"/>
      <c r="P396" s="117"/>
      <c r="Q396" s="118"/>
      <c r="R396" s="117"/>
      <c r="S396" s="117"/>
      <c r="T396" s="117"/>
      <c r="U396" s="117"/>
      <c r="V396" s="115"/>
    </row>
    <row r="397">
      <c r="C397" s="172"/>
      <c r="D397" s="172"/>
      <c r="E397" s="173"/>
      <c r="F397" s="137"/>
      <c r="G397" s="137"/>
      <c r="H397" s="137"/>
      <c r="I397" s="129"/>
      <c r="J397" s="323"/>
      <c r="K397" s="90"/>
      <c r="L397" s="118"/>
      <c r="M397" s="116"/>
      <c r="N397" s="116"/>
      <c r="O397" s="117"/>
      <c r="P397" s="117"/>
      <c r="Q397" s="118"/>
      <c r="R397" s="117"/>
      <c r="S397" s="117"/>
      <c r="T397" s="117"/>
      <c r="U397" s="117"/>
      <c r="V397" s="115"/>
    </row>
    <row r="398">
      <c r="C398" s="172"/>
      <c r="D398" s="172"/>
      <c r="E398" s="173"/>
      <c r="F398" s="137"/>
      <c r="G398" s="137"/>
      <c r="H398" s="137"/>
      <c r="I398" s="129"/>
      <c r="J398" s="323"/>
      <c r="K398" s="90"/>
      <c r="L398" s="118"/>
      <c r="M398" s="116"/>
      <c r="N398" s="116"/>
      <c r="O398" s="117"/>
      <c r="P398" s="117"/>
      <c r="Q398" s="118"/>
      <c r="R398" s="117"/>
      <c r="S398" s="117"/>
      <c r="T398" s="117"/>
      <c r="U398" s="117"/>
      <c r="V398" s="115"/>
    </row>
    <row r="399">
      <c r="C399" s="172"/>
      <c r="D399" s="172"/>
      <c r="E399" s="173"/>
      <c r="F399" s="137"/>
      <c r="G399" s="137"/>
      <c r="H399" s="137"/>
      <c r="I399" s="129"/>
      <c r="J399" s="323"/>
      <c r="K399" s="90"/>
      <c r="L399" s="176"/>
      <c r="M399" s="176"/>
      <c r="N399" s="176"/>
      <c r="O399" s="176"/>
      <c r="P399" s="176"/>
      <c r="Q399" s="177"/>
      <c r="R399" s="176"/>
      <c r="S399" s="176"/>
      <c r="T399" s="176"/>
      <c r="U399" s="178"/>
      <c r="V399" s="115"/>
    </row>
    <row r="400">
      <c r="C400" s="172"/>
      <c r="D400" s="172"/>
      <c r="E400" s="173"/>
      <c r="F400" s="137"/>
      <c r="G400" s="137"/>
      <c r="H400" s="137"/>
      <c r="I400" s="129"/>
      <c r="J400" s="323"/>
      <c r="K400" s="90"/>
      <c r="L400" s="176"/>
      <c r="M400" s="176"/>
      <c r="N400" s="176"/>
      <c r="O400" s="176"/>
      <c r="P400" s="176"/>
      <c r="Q400" s="177"/>
      <c r="R400" s="176"/>
      <c r="S400" s="176"/>
      <c r="T400" s="176"/>
      <c r="U400" s="178"/>
      <c r="V400" s="115"/>
    </row>
    <row r="401">
      <c r="C401" s="172"/>
      <c r="D401" s="172"/>
      <c r="E401" s="173"/>
      <c r="F401" s="137"/>
      <c r="G401" s="137"/>
      <c r="H401" s="137"/>
      <c r="I401" s="129"/>
      <c r="J401" s="323"/>
      <c r="K401" s="90"/>
      <c r="L401" s="176"/>
      <c r="M401" s="176"/>
      <c r="N401" s="176"/>
      <c r="O401" s="176"/>
      <c r="P401" s="176"/>
      <c r="Q401" s="177"/>
      <c r="R401" s="176"/>
      <c r="S401" s="176"/>
      <c r="T401" s="176"/>
      <c r="U401" s="178"/>
      <c r="V401" s="179"/>
    </row>
    <row r="402">
      <c r="C402" s="172"/>
      <c r="D402" s="172"/>
      <c r="E402" s="173"/>
      <c r="F402" s="137"/>
      <c r="G402" s="137"/>
      <c r="H402" s="137"/>
      <c r="I402" s="129"/>
      <c r="J402" s="323"/>
      <c r="K402" s="90"/>
      <c r="L402" s="176"/>
      <c r="M402" s="176"/>
      <c r="N402" s="176"/>
      <c r="O402" s="176"/>
      <c r="P402" s="176"/>
      <c r="Q402" s="177"/>
      <c r="R402" s="176"/>
      <c r="S402" s="176"/>
      <c r="T402" s="176"/>
      <c r="U402" s="178"/>
      <c r="V402" s="179"/>
    </row>
    <row r="403">
      <c r="C403" s="172"/>
      <c r="D403" s="172"/>
      <c r="E403" s="173"/>
      <c r="F403" s="137"/>
      <c r="G403" s="137"/>
      <c r="H403" s="137"/>
      <c r="I403" s="129"/>
      <c r="J403" s="323"/>
      <c r="K403" s="90"/>
      <c r="L403" s="176"/>
      <c r="M403" s="176"/>
      <c r="N403" s="176"/>
      <c r="O403" s="176"/>
      <c r="P403" s="176"/>
      <c r="Q403" s="177"/>
      <c r="R403" s="176"/>
      <c r="S403" s="176"/>
      <c r="T403" s="176"/>
      <c r="U403" s="178"/>
      <c r="V403" s="179"/>
    </row>
    <row r="404">
      <c r="C404" s="172"/>
      <c r="D404" s="172"/>
      <c r="E404" s="173"/>
      <c r="F404" s="137"/>
      <c r="G404" s="137"/>
      <c r="H404" s="137"/>
      <c r="I404" s="129"/>
      <c r="J404" s="323"/>
      <c r="K404" s="90"/>
      <c r="L404" s="176"/>
      <c r="M404" s="176"/>
      <c r="N404" s="176"/>
      <c r="O404" s="176"/>
      <c r="P404" s="176"/>
      <c r="Q404" s="177"/>
      <c r="R404" s="176"/>
      <c r="S404" s="176"/>
      <c r="T404" s="176"/>
      <c r="U404" s="178"/>
      <c r="V404" s="179"/>
    </row>
    <row r="405">
      <c r="C405" s="172"/>
      <c r="D405" s="172"/>
      <c r="E405" s="173"/>
      <c r="F405" s="137"/>
      <c r="G405" s="137"/>
      <c r="H405" s="137"/>
      <c r="I405" s="129"/>
      <c r="J405" s="323"/>
      <c r="K405" s="90"/>
      <c r="L405" s="176"/>
      <c r="M405" s="176"/>
      <c r="N405" s="176"/>
      <c r="O405" s="176"/>
      <c r="P405" s="176"/>
      <c r="Q405" s="177"/>
      <c r="R405" s="176"/>
      <c r="S405" s="176"/>
      <c r="T405" s="176"/>
      <c r="U405" s="178"/>
      <c r="V405" s="179"/>
    </row>
    <row r="406">
      <c r="C406" s="172"/>
      <c r="D406" s="172"/>
      <c r="E406" s="173"/>
      <c r="F406" s="137"/>
      <c r="G406" s="137"/>
      <c r="H406" s="137"/>
      <c r="I406" s="129"/>
      <c r="J406" s="323"/>
      <c r="K406" s="90"/>
      <c r="L406" s="176"/>
      <c r="M406" s="176"/>
      <c r="N406" s="176"/>
      <c r="O406" s="176"/>
      <c r="P406" s="176"/>
      <c r="Q406" s="177"/>
      <c r="R406" s="176"/>
      <c r="S406" s="176"/>
      <c r="T406" s="176"/>
      <c r="U406" s="178"/>
      <c r="V406" s="179"/>
    </row>
    <row r="407">
      <c r="C407" s="172"/>
      <c r="D407" s="172"/>
      <c r="E407" s="173"/>
      <c r="F407" s="137"/>
      <c r="G407" s="137"/>
      <c r="H407" s="137"/>
      <c r="I407" s="129"/>
      <c r="J407" s="323"/>
      <c r="K407" s="90"/>
      <c r="L407" s="176"/>
      <c r="M407" s="176"/>
      <c r="N407" s="176"/>
      <c r="O407" s="176"/>
      <c r="P407" s="176"/>
      <c r="Q407" s="177"/>
      <c r="R407" s="176"/>
      <c r="S407" s="176"/>
      <c r="T407" s="176"/>
      <c r="U407" s="178"/>
      <c r="V407" s="179"/>
    </row>
    <row r="408">
      <c r="C408" s="172"/>
      <c r="D408" s="172"/>
      <c r="E408" s="173"/>
      <c r="F408" s="137"/>
      <c r="G408" s="137"/>
      <c r="H408" s="137"/>
      <c r="I408" s="129"/>
      <c r="J408" s="323"/>
      <c r="K408" s="90"/>
      <c r="L408" s="176"/>
      <c r="M408" s="176"/>
      <c r="N408" s="176"/>
      <c r="O408" s="176"/>
      <c r="P408" s="176"/>
      <c r="Q408" s="177"/>
      <c r="R408" s="176"/>
      <c r="S408" s="176"/>
      <c r="T408" s="176"/>
      <c r="U408" s="178"/>
      <c r="V408" s="179"/>
    </row>
    <row r="409">
      <c r="C409" s="172"/>
      <c r="D409" s="172"/>
      <c r="E409" s="173"/>
      <c r="F409" s="137"/>
      <c r="G409" s="137"/>
      <c r="H409" s="137"/>
      <c r="I409" s="129"/>
      <c r="J409" s="323"/>
      <c r="K409" s="90"/>
      <c r="L409" s="176"/>
      <c r="M409" s="176"/>
      <c r="N409" s="176"/>
      <c r="O409" s="176"/>
      <c r="P409" s="176"/>
      <c r="Q409" s="177"/>
      <c r="R409" s="176"/>
      <c r="S409" s="176"/>
      <c r="T409" s="176"/>
      <c r="U409" s="178"/>
      <c r="V409" s="179"/>
    </row>
    <row r="410">
      <c r="C410" s="172"/>
      <c r="D410" s="172"/>
      <c r="E410" s="173"/>
      <c r="F410" s="137"/>
      <c r="G410" s="137"/>
      <c r="H410" s="137"/>
      <c r="I410" s="129"/>
      <c r="J410" s="323"/>
      <c r="K410" s="90"/>
      <c r="L410" s="176"/>
      <c r="M410" s="176"/>
      <c r="N410" s="176"/>
      <c r="O410" s="176"/>
      <c r="P410" s="176"/>
      <c r="Q410" s="177"/>
      <c r="R410" s="176"/>
      <c r="S410" s="176"/>
      <c r="T410" s="176"/>
      <c r="U410" s="178"/>
      <c r="V410" s="179"/>
    </row>
    <row r="411">
      <c r="C411" s="172"/>
      <c r="D411" s="172"/>
      <c r="E411" s="173"/>
      <c r="F411" s="137"/>
      <c r="G411" s="137"/>
      <c r="H411" s="137"/>
      <c r="I411" s="129"/>
      <c r="J411" s="323"/>
      <c r="K411" s="90"/>
      <c r="L411" s="176"/>
      <c r="M411" s="176"/>
      <c r="N411" s="176"/>
      <c r="O411" s="176"/>
      <c r="P411" s="176"/>
      <c r="Q411" s="177"/>
      <c r="R411" s="176"/>
      <c r="S411" s="176"/>
      <c r="T411" s="176"/>
      <c r="U411" s="178"/>
      <c r="V411" s="179"/>
    </row>
    <row r="412">
      <c r="C412" s="172"/>
      <c r="D412" s="172"/>
      <c r="E412" s="173"/>
      <c r="F412" s="137"/>
      <c r="G412" s="137"/>
      <c r="H412" s="137"/>
      <c r="I412" s="129"/>
      <c r="J412" s="323"/>
      <c r="K412" s="90"/>
      <c r="L412" s="176"/>
      <c r="M412" s="176"/>
      <c r="N412" s="176"/>
      <c r="O412" s="176"/>
      <c r="P412" s="176"/>
      <c r="Q412" s="177"/>
      <c r="R412" s="176"/>
      <c r="S412" s="176"/>
      <c r="T412" s="176"/>
      <c r="U412" s="178"/>
      <c r="V412" s="179"/>
    </row>
    <row r="413">
      <c r="C413" s="172"/>
      <c r="D413" s="172"/>
      <c r="E413" s="173"/>
      <c r="F413" s="137"/>
      <c r="G413" s="137"/>
      <c r="H413" s="137"/>
      <c r="I413" s="129"/>
      <c r="J413" s="323"/>
      <c r="K413" s="90"/>
      <c r="L413" s="176"/>
      <c r="M413" s="176"/>
      <c r="N413" s="176"/>
      <c r="O413" s="176"/>
      <c r="P413" s="176"/>
      <c r="Q413" s="177"/>
      <c r="R413" s="176"/>
      <c r="S413" s="176"/>
      <c r="T413" s="176"/>
      <c r="U413" s="178"/>
      <c r="V413" s="179"/>
    </row>
    <row r="414">
      <c r="C414" s="172"/>
      <c r="D414" s="172"/>
      <c r="E414" s="173"/>
      <c r="F414" s="137"/>
      <c r="G414" s="137"/>
      <c r="H414" s="137"/>
      <c r="I414" s="129"/>
      <c r="J414" s="323"/>
      <c r="K414" s="90"/>
      <c r="L414" s="176"/>
      <c r="M414" s="176"/>
      <c r="N414" s="176"/>
      <c r="O414" s="176"/>
      <c r="P414" s="176"/>
      <c r="Q414" s="177"/>
      <c r="R414" s="176"/>
      <c r="S414" s="176"/>
      <c r="T414" s="176"/>
      <c r="U414" s="178"/>
      <c r="V414" s="179"/>
    </row>
    <row r="415">
      <c r="C415" s="172"/>
      <c r="D415" s="172"/>
      <c r="E415" s="173"/>
      <c r="F415" s="137"/>
      <c r="G415" s="137"/>
      <c r="H415" s="137"/>
      <c r="I415" s="129"/>
      <c r="J415" s="323"/>
      <c r="K415" s="90"/>
      <c r="L415" s="176"/>
      <c r="M415" s="176"/>
      <c r="N415" s="176"/>
      <c r="O415" s="176"/>
      <c r="P415" s="176"/>
      <c r="Q415" s="177"/>
      <c r="R415" s="176"/>
      <c r="S415" s="176"/>
      <c r="T415" s="176"/>
      <c r="U415" s="178"/>
      <c r="V415" s="179"/>
    </row>
    <row r="416">
      <c r="C416" s="172"/>
      <c r="D416" s="172"/>
      <c r="E416" s="173"/>
      <c r="F416" s="137"/>
      <c r="G416" s="137"/>
      <c r="H416" s="137"/>
      <c r="I416" s="129"/>
      <c r="J416" s="323"/>
      <c r="K416" s="90"/>
      <c r="L416" s="176"/>
      <c r="M416" s="176"/>
      <c r="N416" s="176"/>
      <c r="O416" s="176"/>
      <c r="P416" s="176"/>
      <c r="Q416" s="177"/>
      <c r="R416" s="176"/>
      <c r="S416" s="176"/>
      <c r="T416" s="176"/>
      <c r="U416" s="178"/>
      <c r="V416" s="179"/>
    </row>
    <row r="417">
      <c r="C417" s="172"/>
      <c r="D417" s="172"/>
      <c r="E417" s="173"/>
      <c r="F417" s="137"/>
      <c r="G417" s="137"/>
      <c r="H417" s="137"/>
      <c r="I417" s="129"/>
      <c r="J417" s="323"/>
      <c r="K417" s="90"/>
      <c r="L417" s="176"/>
      <c r="M417" s="176"/>
      <c r="N417" s="176"/>
      <c r="O417" s="176"/>
      <c r="P417" s="176"/>
      <c r="Q417" s="177"/>
      <c r="R417" s="176"/>
      <c r="S417" s="176"/>
      <c r="T417" s="176"/>
      <c r="U417" s="178"/>
      <c r="V417" s="179"/>
    </row>
    <row r="418">
      <c r="C418" s="172"/>
      <c r="D418" s="172"/>
      <c r="E418" s="173"/>
      <c r="F418" s="137"/>
      <c r="G418" s="137"/>
      <c r="H418" s="137"/>
      <c r="I418" s="129"/>
      <c r="J418" s="323"/>
      <c r="K418" s="90"/>
      <c r="L418" s="176"/>
      <c r="M418" s="176"/>
      <c r="N418" s="176"/>
      <c r="O418" s="176"/>
      <c r="P418" s="176"/>
      <c r="Q418" s="177"/>
      <c r="R418" s="176"/>
      <c r="S418" s="176"/>
      <c r="T418" s="176"/>
      <c r="U418" s="178"/>
      <c r="V418" s="179"/>
    </row>
    <row r="419">
      <c r="C419" s="172"/>
      <c r="D419" s="172"/>
      <c r="E419" s="173"/>
      <c r="F419" s="137"/>
      <c r="G419" s="137"/>
      <c r="H419" s="137"/>
      <c r="I419" s="129"/>
      <c r="J419" s="323"/>
      <c r="K419" s="90"/>
      <c r="L419" s="176"/>
      <c r="M419" s="176"/>
      <c r="N419" s="176"/>
      <c r="O419" s="176"/>
      <c r="P419" s="176"/>
      <c r="Q419" s="177"/>
      <c r="R419" s="176"/>
      <c r="S419" s="176"/>
      <c r="T419" s="176"/>
      <c r="U419" s="178"/>
      <c r="V419" s="179"/>
    </row>
    <row r="420">
      <c r="C420" s="172"/>
      <c r="D420" s="172"/>
      <c r="E420" s="173"/>
      <c r="F420" s="137"/>
      <c r="G420" s="137"/>
      <c r="H420" s="137"/>
      <c r="I420" s="129"/>
      <c r="J420" s="323"/>
      <c r="K420" s="90"/>
      <c r="L420" s="176"/>
      <c r="M420" s="176"/>
      <c r="N420" s="176"/>
      <c r="O420" s="176"/>
      <c r="P420" s="176"/>
      <c r="Q420" s="177"/>
      <c r="R420" s="176"/>
      <c r="S420" s="176"/>
      <c r="T420" s="176"/>
      <c r="U420" s="178"/>
      <c r="V420" s="179"/>
    </row>
    <row r="421">
      <c r="C421" s="172"/>
      <c r="D421" s="172"/>
      <c r="E421" s="173"/>
      <c r="F421" s="137"/>
      <c r="G421" s="137"/>
      <c r="H421" s="137"/>
      <c r="I421" s="129"/>
      <c r="J421" s="323"/>
      <c r="K421" s="90"/>
      <c r="L421" s="176"/>
      <c r="M421" s="176"/>
      <c r="N421" s="176"/>
      <c r="O421" s="176"/>
      <c r="P421" s="176"/>
      <c r="Q421" s="177"/>
      <c r="R421" s="176"/>
      <c r="S421" s="176"/>
      <c r="T421" s="176"/>
      <c r="U421" s="178"/>
      <c r="V421" s="179"/>
    </row>
    <row r="422">
      <c r="C422" s="172"/>
      <c r="D422" s="172"/>
      <c r="E422" s="173"/>
      <c r="F422" s="137"/>
      <c r="G422" s="137"/>
      <c r="H422" s="137"/>
      <c r="I422" s="129"/>
      <c r="J422" s="323"/>
      <c r="K422" s="90"/>
      <c r="L422" s="176"/>
      <c r="M422" s="176"/>
      <c r="N422" s="176"/>
      <c r="O422" s="176"/>
      <c r="P422" s="176"/>
      <c r="Q422" s="177"/>
      <c r="R422" s="176"/>
      <c r="S422" s="176"/>
      <c r="T422" s="176"/>
      <c r="U422" s="178"/>
      <c r="V422" s="179"/>
    </row>
    <row r="423">
      <c r="C423" s="172"/>
      <c r="D423" s="172"/>
      <c r="E423" s="173"/>
      <c r="F423" s="137"/>
      <c r="G423" s="137"/>
      <c r="H423" s="137"/>
      <c r="I423" s="129"/>
      <c r="J423" s="323"/>
      <c r="K423" s="90"/>
      <c r="L423" s="176"/>
      <c r="M423" s="176"/>
      <c r="N423" s="176"/>
      <c r="O423" s="176"/>
      <c r="P423" s="176"/>
      <c r="Q423" s="177"/>
      <c r="R423" s="176"/>
      <c r="S423" s="176"/>
      <c r="T423" s="176"/>
      <c r="U423" s="178"/>
      <c r="V423" s="179"/>
    </row>
    <row r="424">
      <c r="C424" s="172"/>
      <c r="D424" s="172"/>
      <c r="E424" s="173"/>
      <c r="F424" s="137"/>
      <c r="G424" s="137"/>
      <c r="H424" s="137"/>
      <c r="I424" s="129"/>
      <c r="J424" s="323"/>
      <c r="K424" s="90"/>
      <c r="L424" s="176"/>
      <c r="M424" s="176"/>
      <c r="N424" s="176"/>
      <c r="O424" s="176"/>
      <c r="P424" s="176"/>
      <c r="Q424" s="177"/>
      <c r="R424" s="176"/>
      <c r="S424" s="176"/>
      <c r="T424" s="176"/>
      <c r="U424" s="178"/>
      <c r="V424" s="179"/>
    </row>
    <row r="425">
      <c r="C425" s="172"/>
      <c r="D425" s="172"/>
      <c r="E425" s="173"/>
      <c r="F425" s="137"/>
      <c r="G425" s="137"/>
      <c r="H425" s="137"/>
      <c r="I425" s="129"/>
      <c r="J425" s="323"/>
      <c r="K425" s="90"/>
      <c r="L425" s="176"/>
      <c r="M425" s="176"/>
      <c r="N425" s="176"/>
      <c r="O425" s="176"/>
      <c r="P425" s="176"/>
      <c r="Q425" s="177"/>
      <c r="R425" s="176"/>
      <c r="S425" s="176"/>
      <c r="T425" s="176"/>
      <c r="U425" s="178"/>
      <c r="V425" s="179"/>
    </row>
    <row r="426">
      <c r="C426" s="172"/>
      <c r="D426" s="172"/>
      <c r="E426" s="173"/>
      <c r="F426" s="137"/>
      <c r="G426" s="137"/>
      <c r="H426" s="137"/>
      <c r="I426" s="129"/>
      <c r="J426" s="323"/>
      <c r="K426" s="90"/>
      <c r="L426" s="176"/>
      <c r="M426" s="176"/>
      <c r="N426" s="176"/>
      <c r="O426" s="176"/>
      <c r="P426" s="176"/>
      <c r="Q426" s="177"/>
      <c r="R426" s="176"/>
      <c r="S426" s="176"/>
      <c r="T426" s="176"/>
      <c r="U426" s="178"/>
      <c r="V426" s="179"/>
    </row>
    <row r="427">
      <c r="C427" s="172"/>
      <c r="D427" s="172"/>
      <c r="E427" s="173"/>
      <c r="F427" s="137"/>
      <c r="G427" s="137"/>
      <c r="H427" s="137"/>
      <c r="I427" s="129"/>
      <c r="J427" s="323"/>
      <c r="K427" s="90"/>
      <c r="L427" s="176"/>
      <c r="M427" s="176"/>
      <c r="N427" s="176"/>
      <c r="O427" s="176"/>
      <c r="P427" s="176"/>
      <c r="Q427" s="177"/>
      <c r="R427" s="176"/>
      <c r="S427" s="176"/>
      <c r="T427" s="176"/>
      <c r="U427" s="178"/>
      <c r="V427" s="179"/>
    </row>
    <row r="428">
      <c r="C428" s="172"/>
      <c r="D428" s="172"/>
      <c r="E428" s="173"/>
      <c r="F428" s="137"/>
      <c r="G428" s="137"/>
      <c r="H428" s="137"/>
      <c r="I428" s="129"/>
      <c r="J428" s="323"/>
      <c r="K428" s="90"/>
      <c r="L428" s="176"/>
      <c r="M428" s="176"/>
      <c r="N428" s="176"/>
      <c r="O428" s="176"/>
      <c r="P428" s="176"/>
      <c r="Q428" s="177"/>
      <c r="R428" s="176"/>
      <c r="S428" s="176"/>
      <c r="T428" s="176"/>
      <c r="U428" s="178"/>
      <c r="V428" s="179"/>
    </row>
    <row r="429">
      <c r="C429" s="172"/>
      <c r="D429" s="172"/>
      <c r="E429" s="173"/>
      <c r="F429" s="137"/>
      <c r="G429" s="137"/>
      <c r="H429" s="137"/>
      <c r="I429" s="129"/>
      <c r="J429" s="323"/>
      <c r="K429" s="90"/>
      <c r="L429" s="176"/>
      <c r="M429" s="176"/>
      <c r="N429" s="176"/>
      <c r="O429" s="176"/>
      <c r="P429" s="176"/>
      <c r="Q429" s="177"/>
      <c r="R429" s="176"/>
      <c r="S429" s="176"/>
      <c r="T429" s="176"/>
      <c r="U429" s="178"/>
      <c r="V429" s="179"/>
    </row>
    <row r="430">
      <c r="C430" s="172"/>
      <c r="D430" s="172"/>
      <c r="E430" s="173"/>
      <c r="F430" s="137"/>
      <c r="G430" s="137"/>
      <c r="H430" s="137"/>
      <c r="I430" s="129"/>
      <c r="J430" s="323"/>
      <c r="K430" s="90"/>
      <c r="L430" s="176"/>
      <c r="M430" s="176"/>
      <c r="N430" s="176"/>
      <c r="O430" s="176"/>
      <c r="P430" s="176"/>
      <c r="Q430" s="177"/>
      <c r="R430" s="176"/>
      <c r="S430" s="176"/>
      <c r="T430" s="176"/>
      <c r="U430" s="178"/>
      <c r="V430" s="179"/>
    </row>
    <row r="431">
      <c r="C431" s="172"/>
      <c r="D431" s="172"/>
      <c r="E431" s="173"/>
      <c r="F431" s="137"/>
      <c r="G431" s="137"/>
      <c r="H431" s="137"/>
      <c r="I431" s="129"/>
      <c r="J431" s="323"/>
      <c r="K431" s="90"/>
      <c r="L431" s="176"/>
      <c r="M431" s="176"/>
      <c r="N431" s="176"/>
      <c r="O431" s="176"/>
      <c r="P431" s="176"/>
      <c r="Q431" s="177"/>
      <c r="R431" s="176"/>
      <c r="S431" s="176"/>
      <c r="T431" s="176"/>
      <c r="U431" s="178"/>
      <c r="V431" s="179"/>
    </row>
    <row r="432">
      <c r="C432" s="172"/>
      <c r="D432" s="172"/>
      <c r="E432" s="173"/>
      <c r="F432" s="137"/>
      <c r="G432" s="137"/>
      <c r="H432" s="137"/>
      <c r="I432" s="129"/>
      <c r="J432" s="323"/>
      <c r="K432" s="90"/>
      <c r="L432" s="176"/>
      <c r="M432" s="176"/>
      <c r="N432" s="176"/>
      <c r="O432" s="176"/>
      <c r="P432" s="176"/>
      <c r="Q432" s="177"/>
      <c r="R432" s="176"/>
      <c r="S432" s="176"/>
      <c r="T432" s="176"/>
      <c r="U432" s="178"/>
      <c r="V432" s="179"/>
    </row>
    <row r="433">
      <c r="C433" s="172"/>
      <c r="D433" s="172"/>
      <c r="E433" s="173"/>
      <c r="F433" s="137"/>
      <c r="G433" s="137"/>
      <c r="H433" s="137"/>
      <c r="I433" s="129"/>
      <c r="J433" s="323"/>
      <c r="K433" s="90"/>
      <c r="L433" s="176"/>
      <c r="M433" s="176"/>
      <c r="N433" s="176"/>
      <c r="O433" s="176"/>
      <c r="P433" s="176"/>
      <c r="Q433" s="177"/>
      <c r="R433" s="176"/>
      <c r="S433" s="176"/>
      <c r="T433" s="176"/>
      <c r="U433" s="178"/>
      <c r="V433" s="179"/>
    </row>
    <row r="434">
      <c r="C434" s="172"/>
      <c r="D434" s="172"/>
      <c r="E434" s="173"/>
      <c r="F434" s="137"/>
      <c r="G434" s="137"/>
      <c r="H434" s="137"/>
      <c r="I434" s="129"/>
      <c r="J434" s="323"/>
      <c r="K434" s="90"/>
      <c r="L434" s="176"/>
      <c r="M434" s="176"/>
      <c r="N434" s="176"/>
      <c r="O434" s="176"/>
      <c r="P434" s="176"/>
      <c r="Q434" s="177"/>
      <c r="R434" s="176"/>
      <c r="S434" s="176"/>
      <c r="T434" s="176"/>
      <c r="U434" s="178"/>
      <c r="V434" s="179"/>
    </row>
    <row r="435">
      <c r="C435" s="172"/>
      <c r="D435" s="172"/>
      <c r="E435" s="173"/>
      <c r="F435" s="137"/>
      <c r="G435" s="137"/>
      <c r="H435" s="137"/>
      <c r="I435" s="129"/>
      <c r="J435" s="323"/>
      <c r="K435" s="90"/>
      <c r="L435" s="176"/>
      <c r="M435" s="176"/>
      <c r="N435" s="176"/>
      <c r="O435" s="176"/>
      <c r="P435" s="176"/>
      <c r="Q435" s="177"/>
      <c r="R435" s="176"/>
      <c r="S435" s="176"/>
      <c r="T435" s="176"/>
      <c r="U435" s="178"/>
      <c r="V435" s="179"/>
    </row>
    <row r="436">
      <c r="C436" s="172"/>
      <c r="D436" s="172"/>
      <c r="E436" s="173"/>
      <c r="F436" s="137"/>
      <c r="G436" s="137"/>
      <c r="H436" s="137"/>
      <c r="I436" s="129"/>
      <c r="J436" s="323"/>
      <c r="K436" s="90"/>
      <c r="L436" s="176"/>
      <c r="M436" s="176"/>
      <c r="N436" s="176"/>
      <c r="O436" s="176"/>
      <c r="P436" s="176"/>
      <c r="Q436" s="177"/>
      <c r="R436" s="176"/>
      <c r="S436" s="176"/>
      <c r="T436" s="176"/>
      <c r="U436" s="178"/>
      <c r="V436" s="179"/>
    </row>
    <row r="437">
      <c r="C437" s="172"/>
      <c r="D437" s="172"/>
      <c r="E437" s="173"/>
      <c r="F437" s="137"/>
      <c r="G437" s="137"/>
      <c r="H437" s="137"/>
      <c r="I437" s="129"/>
      <c r="J437" s="323"/>
      <c r="K437" s="90"/>
      <c r="L437" s="176"/>
      <c r="M437" s="176"/>
      <c r="N437" s="176"/>
      <c r="O437" s="176"/>
      <c r="P437" s="176"/>
      <c r="Q437" s="177"/>
      <c r="R437" s="176"/>
      <c r="S437" s="176"/>
      <c r="T437" s="176"/>
      <c r="U437" s="178"/>
      <c r="V437" s="179"/>
    </row>
    <row r="438">
      <c r="C438" s="172"/>
      <c r="D438" s="172"/>
      <c r="E438" s="173"/>
      <c r="F438" s="137"/>
      <c r="G438" s="137"/>
      <c r="H438" s="137"/>
      <c r="I438" s="129"/>
      <c r="J438" s="323"/>
      <c r="K438" s="90"/>
      <c r="L438" s="176"/>
      <c r="M438" s="176"/>
      <c r="N438" s="176"/>
      <c r="O438" s="176"/>
      <c r="P438" s="176"/>
      <c r="Q438" s="177"/>
      <c r="R438" s="176"/>
      <c r="S438" s="176"/>
      <c r="T438" s="176"/>
      <c r="U438" s="178"/>
      <c r="V438" s="179"/>
    </row>
    <row r="439">
      <c r="C439" s="172"/>
      <c r="D439" s="172"/>
      <c r="E439" s="173"/>
      <c r="F439" s="137"/>
      <c r="G439" s="137"/>
      <c r="H439" s="137"/>
      <c r="I439" s="129"/>
      <c r="J439" s="323"/>
      <c r="K439" s="90"/>
      <c r="L439" s="176"/>
      <c r="M439" s="176"/>
      <c r="N439" s="176"/>
      <c r="O439" s="176"/>
      <c r="P439" s="176"/>
      <c r="Q439" s="177"/>
      <c r="R439" s="176"/>
      <c r="S439" s="176"/>
      <c r="T439" s="176"/>
      <c r="U439" s="178"/>
      <c r="V439" s="179"/>
    </row>
    <row r="440">
      <c r="C440" s="172"/>
      <c r="D440" s="172"/>
      <c r="E440" s="173"/>
      <c r="F440" s="137"/>
      <c r="G440" s="137"/>
      <c r="H440" s="137"/>
      <c r="I440" s="129"/>
      <c r="J440" s="323"/>
      <c r="K440" s="90"/>
      <c r="L440" s="176"/>
      <c r="M440" s="176"/>
      <c r="N440" s="176"/>
      <c r="O440" s="176"/>
      <c r="P440" s="176"/>
      <c r="Q440" s="177"/>
      <c r="R440" s="176"/>
      <c r="S440" s="176"/>
      <c r="T440" s="176"/>
      <c r="U440" s="178"/>
      <c r="V440" s="179"/>
    </row>
    <row r="441">
      <c r="C441" s="172"/>
      <c r="D441" s="172"/>
      <c r="E441" s="173"/>
      <c r="F441" s="137"/>
      <c r="G441" s="137"/>
      <c r="H441" s="137"/>
      <c r="I441" s="129"/>
      <c r="J441" s="323"/>
      <c r="K441" s="90"/>
      <c r="L441" s="176"/>
      <c r="M441" s="176"/>
      <c r="N441" s="176"/>
      <c r="O441" s="176"/>
      <c r="P441" s="176"/>
      <c r="Q441" s="177"/>
      <c r="R441" s="176"/>
      <c r="S441" s="176"/>
      <c r="T441" s="176"/>
      <c r="U441" s="178"/>
      <c r="V441" s="179"/>
    </row>
    <row r="442">
      <c r="C442" s="172"/>
      <c r="D442" s="172"/>
      <c r="E442" s="173"/>
      <c r="F442" s="137"/>
      <c r="G442" s="137"/>
      <c r="H442" s="137"/>
      <c r="I442" s="129"/>
      <c r="J442" s="323"/>
      <c r="K442" s="90"/>
      <c r="L442" s="176"/>
      <c r="M442" s="176"/>
      <c r="N442" s="176"/>
      <c r="O442" s="176"/>
      <c r="P442" s="176"/>
      <c r="Q442" s="177"/>
      <c r="R442" s="176"/>
      <c r="S442" s="176"/>
      <c r="T442" s="176"/>
      <c r="U442" s="178"/>
      <c r="V442" s="179"/>
    </row>
    <row r="443">
      <c r="C443" s="172"/>
      <c r="D443" s="172"/>
      <c r="E443" s="173"/>
      <c r="F443" s="137"/>
      <c r="G443" s="137"/>
      <c r="H443" s="137"/>
      <c r="I443" s="129"/>
      <c r="J443" s="323"/>
      <c r="K443" s="90"/>
      <c r="L443" s="176"/>
      <c r="M443" s="176"/>
      <c r="N443" s="176"/>
      <c r="O443" s="176"/>
      <c r="P443" s="176"/>
      <c r="Q443" s="177"/>
      <c r="R443" s="176"/>
      <c r="S443" s="176"/>
      <c r="T443" s="176"/>
      <c r="U443" s="178"/>
      <c r="V443" s="179"/>
    </row>
    <row r="444">
      <c r="C444" s="172"/>
      <c r="D444" s="172"/>
      <c r="E444" s="173"/>
      <c r="F444" s="137"/>
      <c r="G444" s="137"/>
      <c r="H444" s="137"/>
      <c r="I444" s="129"/>
      <c r="J444" s="323"/>
      <c r="K444" s="90"/>
      <c r="L444" s="176"/>
      <c r="M444" s="176"/>
      <c r="N444" s="176"/>
      <c r="O444" s="176"/>
      <c r="P444" s="176"/>
      <c r="Q444" s="177"/>
      <c r="R444" s="176"/>
      <c r="S444" s="176"/>
      <c r="T444" s="176"/>
      <c r="U444" s="178"/>
      <c r="V444" s="179"/>
    </row>
    <row r="445">
      <c r="C445" s="172"/>
      <c r="D445" s="172"/>
      <c r="E445" s="173"/>
      <c r="F445" s="137"/>
      <c r="G445" s="137"/>
      <c r="H445" s="137"/>
      <c r="I445" s="129"/>
      <c r="J445" s="323"/>
      <c r="K445" s="90"/>
      <c r="L445" s="176"/>
      <c r="M445" s="176"/>
      <c r="N445" s="176"/>
      <c r="O445" s="176"/>
      <c r="P445" s="176"/>
      <c r="Q445" s="177"/>
      <c r="R445" s="176"/>
      <c r="S445" s="176"/>
      <c r="T445" s="176"/>
      <c r="U445" s="178"/>
      <c r="V445" s="179"/>
    </row>
    <row r="446">
      <c r="C446" s="172"/>
      <c r="D446" s="172"/>
      <c r="E446" s="173"/>
      <c r="F446" s="137"/>
      <c r="G446" s="137"/>
      <c r="H446" s="137"/>
      <c r="I446" s="129"/>
      <c r="J446" s="323"/>
      <c r="K446" s="90"/>
      <c r="L446" s="176"/>
      <c r="M446" s="176"/>
      <c r="N446" s="176"/>
      <c r="O446" s="176"/>
      <c r="P446" s="176"/>
      <c r="Q446" s="177"/>
      <c r="R446" s="176"/>
      <c r="S446" s="176"/>
      <c r="T446" s="176"/>
      <c r="U446" s="178"/>
      <c r="V446" s="179"/>
    </row>
    <row r="447">
      <c r="C447" s="172"/>
      <c r="D447" s="172"/>
      <c r="E447" s="173"/>
      <c r="F447" s="137"/>
      <c r="G447" s="137"/>
      <c r="H447" s="137"/>
      <c r="I447" s="129"/>
      <c r="J447" s="323"/>
      <c r="K447" s="90"/>
      <c r="L447" s="176"/>
      <c r="M447" s="176"/>
      <c r="N447" s="176"/>
      <c r="O447" s="176"/>
      <c r="P447" s="176"/>
      <c r="Q447" s="177"/>
      <c r="R447" s="176"/>
      <c r="S447" s="176"/>
      <c r="T447" s="176"/>
      <c r="U447" s="178"/>
      <c r="V447" s="179"/>
    </row>
    <row r="448">
      <c r="C448" s="172"/>
      <c r="D448" s="172"/>
      <c r="E448" s="173"/>
      <c r="F448" s="137"/>
      <c r="G448" s="137"/>
      <c r="H448" s="137"/>
      <c r="I448" s="129"/>
      <c r="J448" s="323"/>
      <c r="K448" s="90"/>
      <c r="L448" s="176"/>
      <c r="M448" s="176"/>
      <c r="N448" s="176"/>
      <c r="O448" s="176"/>
      <c r="P448" s="176"/>
      <c r="Q448" s="177"/>
      <c r="R448" s="176"/>
      <c r="S448" s="176"/>
      <c r="T448" s="176"/>
      <c r="U448" s="178"/>
      <c r="V448" s="179"/>
    </row>
    <row r="449">
      <c r="C449" s="172"/>
      <c r="D449" s="172"/>
      <c r="E449" s="173"/>
      <c r="F449" s="137"/>
      <c r="G449" s="137"/>
      <c r="H449" s="137"/>
      <c r="I449" s="129"/>
      <c r="J449" s="323"/>
      <c r="K449" s="90"/>
      <c r="L449" s="176"/>
      <c r="M449" s="176"/>
      <c r="N449" s="176"/>
      <c r="O449" s="176"/>
      <c r="P449" s="176"/>
      <c r="Q449" s="177"/>
      <c r="R449" s="176"/>
      <c r="S449" s="176"/>
      <c r="T449" s="176"/>
      <c r="U449" s="178"/>
      <c r="V449" s="179"/>
    </row>
    <row r="450">
      <c r="C450" s="172"/>
      <c r="D450" s="172"/>
      <c r="E450" s="173"/>
      <c r="F450" s="137"/>
      <c r="G450" s="137"/>
      <c r="H450" s="137"/>
      <c r="I450" s="129"/>
      <c r="J450" s="323"/>
      <c r="K450" s="90"/>
      <c r="L450" s="176"/>
      <c r="M450" s="176"/>
      <c r="N450" s="176"/>
      <c r="O450" s="176"/>
      <c r="P450" s="176"/>
      <c r="Q450" s="177"/>
      <c r="R450" s="176"/>
      <c r="S450" s="176"/>
      <c r="T450" s="176"/>
      <c r="U450" s="178"/>
      <c r="V450" s="179"/>
    </row>
    <row r="451">
      <c r="C451" s="172"/>
      <c r="D451" s="172"/>
      <c r="E451" s="173"/>
      <c r="F451" s="137"/>
      <c r="G451" s="137"/>
      <c r="H451" s="137"/>
      <c r="I451" s="129"/>
      <c r="J451" s="323"/>
      <c r="K451" s="90"/>
      <c r="L451" s="176"/>
      <c r="M451" s="176"/>
      <c r="N451" s="176"/>
      <c r="O451" s="176"/>
      <c r="P451" s="176"/>
      <c r="Q451" s="177"/>
      <c r="R451" s="176"/>
      <c r="S451" s="176"/>
      <c r="T451" s="176"/>
      <c r="U451" s="178"/>
      <c r="V451" s="179"/>
    </row>
    <row r="452">
      <c r="C452" s="172"/>
      <c r="D452" s="172"/>
      <c r="E452" s="173"/>
      <c r="F452" s="137"/>
      <c r="G452" s="137"/>
      <c r="H452" s="137"/>
      <c r="I452" s="129"/>
      <c r="J452" s="323"/>
      <c r="K452" s="90"/>
      <c r="L452" s="176"/>
      <c r="M452" s="176"/>
      <c r="N452" s="176"/>
      <c r="O452" s="176"/>
      <c r="P452" s="176"/>
      <c r="Q452" s="177"/>
      <c r="R452" s="176"/>
      <c r="S452" s="176"/>
      <c r="T452" s="176"/>
      <c r="U452" s="178"/>
      <c r="V452" s="179"/>
    </row>
    <row r="453">
      <c r="C453" s="172"/>
      <c r="D453" s="172"/>
      <c r="E453" s="173"/>
      <c r="F453" s="137"/>
      <c r="G453" s="137"/>
      <c r="H453" s="137"/>
      <c r="I453" s="129"/>
      <c r="J453" s="323"/>
      <c r="K453" s="90"/>
      <c r="L453" s="176"/>
      <c r="M453" s="176"/>
      <c r="N453" s="176"/>
      <c r="O453" s="176"/>
      <c r="P453" s="176"/>
      <c r="Q453" s="177"/>
      <c r="R453" s="176"/>
      <c r="S453" s="176"/>
      <c r="T453" s="176"/>
      <c r="U453" s="178"/>
      <c r="V453" s="179"/>
    </row>
    <row r="454">
      <c r="C454" s="172"/>
      <c r="D454" s="172"/>
      <c r="E454" s="173"/>
      <c r="F454" s="137"/>
      <c r="G454" s="137"/>
      <c r="H454" s="137"/>
      <c r="I454" s="129"/>
      <c r="J454" s="323"/>
      <c r="K454" s="90"/>
      <c r="L454" s="176"/>
      <c r="M454" s="176"/>
      <c r="N454" s="176"/>
      <c r="O454" s="176"/>
      <c r="P454" s="176"/>
      <c r="Q454" s="177"/>
      <c r="R454" s="176"/>
      <c r="S454" s="176"/>
      <c r="T454" s="176"/>
      <c r="U454" s="178"/>
      <c r="V454" s="179"/>
    </row>
    <row r="455">
      <c r="C455" s="172"/>
      <c r="D455" s="172"/>
      <c r="E455" s="173"/>
      <c r="F455" s="137"/>
      <c r="G455" s="137"/>
      <c r="H455" s="137"/>
      <c r="I455" s="129"/>
      <c r="J455" s="323"/>
      <c r="K455" s="90"/>
      <c r="L455" s="176"/>
      <c r="M455" s="176"/>
      <c r="N455" s="176"/>
      <c r="O455" s="176"/>
      <c r="P455" s="176"/>
      <c r="Q455" s="177"/>
      <c r="R455" s="176"/>
      <c r="S455" s="176"/>
      <c r="T455" s="176"/>
      <c r="U455" s="178"/>
      <c r="V455" s="179"/>
    </row>
    <row r="456">
      <c r="C456" s="172"/>
      <c r="D456" s="172"/>
      <c r="E456" s="173"/>
      <c r="F456" s="137"/>
      <c r="G456" s="137"/>
      <c r="H456" s="137"/>
      <c r="I456" s="129"/>
      <c r="J456" s="323"/>
      <c r="K456" s="90"/>
      <c r="L456" s="176"/>
      <c r="M456" s="176"/>
      <c r="N456" s="176"/>
      <c r="O456" s="176"/>
      <c r="P456" s="176"/>
      <c r="Q456" s="177"/>
      <c r="R456" s="176"/>
      <c r="S456" s="176"/>
      <c r="T456" s="176"/>
      <c r="U456" s="178"/>
      <c r="V456" s="179"/>
    </row>
    <row r="457">
      <c r="C457" s="172"/>
      <c r="D457" s="172"/>
      <c r="E457" s="173"/>
      <c r="F457" s="137"/>
      <c r="G457" s="137"/>
      <c r="H457" s="137"/>
      <c r="I457" s="129"/>
      <c r="J457" s="323"/>
      <c r="K457" s="90"/>
      <c r="L457" s="176"/>
      <c r="M457" s="176"/>
      <c r="N457" s="176"/>
      <c r="O457" s="176"/>
      <c r="P457" s="176"/>
      <c r="Q457" s="177"/>
      <c r="R457" s="176"/>
      <c r="S457" s="176"/>
      <c r="T457" s="176"/>
      <c r="U457" s="178"/>
      <c r="V457" s="179"/>
    </row>
    <row r="458">
      <c r="C458" s="172"/>
      <c r="D458" s="172"/>
      <c r="E458" s="173"/>
      <c r="F458" s="137"/>
      <c r="G458" s="137"/>
      <c r="H458" s="137"/>
      <c r="I458" s="129"/>
      <c r="J458" s="323"/>
      <c r="K458" s="90"/>
      <c r="L458" s="176"/>
      <c r="M458" s="176"/>
      <c r="N458" s="176"/>
      <c r="O458" s="176"/>
      <c r="P458" s="176"/>
      <c r="Q458" s="177"/>
      <c r="R458" s="176"/>
      <c r="S458" s="176"/>
      <c r="T458" s="176"/>
      <c r="U458" s="178"/>
      <c r="V458" s="179"/>
    </row>
    <row r="459">
      <c r="C459" s="172"/>
      <c r="D459" s="172"/>
      <c r="E459" s="173"/>
      <c r="F459" s="137"/>
      <c r="G459" s="137"/>
      <c r="H459" s="137"/>
      <c r="I459" s="129"/>
      <c r="J459" s="323"/>
      <c r="K459" s="90"/>
      <c r="L459" s="176"/>
      <c r="M459" s="176"/>
      <c r="N459" s="176"/>
      <c r="O459" s="176"/>
      <c r="P459" s="176"/>
      <c r="Q459" s="177"/>
      <c r="R459" s="176"/>
      <c r="S459" s="176"/>
      <c r="T459" s="176"/>
      <c r="U459" s="178"/>
      <c r="V459" s="179"/>
    </row>
    <row r="460">
      <c r="C460" s="172"/>
      <c r="D460" s="172"/>
      <c r="E460" s="173"/>
      <c r="F460" s="137"/>
      <c r="G460" s="137"/>
      <c r="H460" s="137"/>
      <c r="I460" s="129"/>
      <c r="J460" s="323"/>
      <c r="K460" s="90"/>
      <c r="L460" s="176"/>
      <c r="M460" s="176"/>
      <c r="N460" s="176"/>
      <c r="O460" s="176"/>
      <c r="P460" s="176"/>
      <c r="Q460" s="177"/>
      <c r="R460" s="176"/>
      <c r="S460" s="176"/>
      <c r="T460" s="176"/>
      <c r="U460" s="178"/>
      <c r="V460" s="179"/>
    </row>
    <row r="461">
      <c r="C461" s="172"/>
      <c r="D461" s="172"/>
      <c r="E461" s="173"/>
      <c r="F461" s="137"/>
      <c r="G461" s="137"/>
      <c r="H461" s="137"/>
      <c r="I461" s="129"/>
      <c r="J461" s="323"/>
      <c r="K461" s="90"/>
      <c r="L461" s="176"/>
      <c r="M461" s="176"/>
      <c r="N461" s="176"/>
      <c r="O461" s="176"/>
      <c r="P461" s="176"/>
      <c r="Q461" s="177"/>
      <c r="R461" s="176"/>
      <c r="S461" s="176"/>
      <c r="T461" s="176"/>
      <c r="U461" s="178"/>
      <c r="V461" s="179"/>
    </row>
    <row r="462">
      <c r="C462" s="172"/>
      <c r="D462" s="172"/>
      <c r="E462" s="173"/>
      <c r="F462" s="137"/>
      <c r="G462" s="137"/>
      <c r="H462" s="137"/>
      <c r="I462" s="129"/>
      <c r="J462" s="323"/>
      <c r="K462" s="90"/>
      <c r="L462" s="176"/>
      <c r="M462" s="176"/>
      <c r="N462" s="176"/>
      <c r="O462" s="176"/>
      <c r="P462" s="176"/>
      <c r="Q462" s="177"/>
      <c r="R462" s="176"/>
      <c r="S462" s="176"/>
      <c r="T462" s="176"/>
      <c r="U462" s="178"/>
      <c r="V462" s="179"/>
    </row>
    <row r="463">
      <c r="C463" s="172"/>
      <c r="D463" s="172"/>
      <c r="E463" s="173"/>
      <c r="F463" s="137"/>
      <c r="G463" s="137"/>
      <c r="H463" s="137"/>
      <c r="I463" s="129"/>
      <c r="J463" s="323"/>
      <c r="K463" s="90"/>
      <c r="L463" s="176"/>
      <c r="M463" s="176"/>
      <c r="N463" s="176"/>
      <c r="O463" s="176"/>
      <c r="P463" s="176"/>
      <c r="Q463" s="177"/>
      <c r="R463" s="176"/>
      <c r="S463" s="176"/>
      <c r="T463" s="176"/>
      <c r="U463" s="178"/>
      <c r="V463" s="179"/>
    </row>
    <row r="464">
      <c r="C464" s="172"/>
      <c r="D464" s="172"/>
      <c r="E464" s="173"/>
      <c r="F464" s="137"/>
      <c r="G464" s="137"/>
      <c r="H464" s="137"/>
      <c r="I464" s="129"/>
      <c r="J464" s="323"/>
      <c r="K464" s="90"/>
      <c r="L464" s="176"/>
      <c r="M464" s="176"/>
      <c r="N464" s="176"/>
      <c r="O464" s="176"/>
      <c r="P464" s="176"/>
      <c r="Q464" s="177"/>
      <c r="R464" s="176"/>
      <c r="S464" s="176"/>
      <c r="T464" s="176"/>
      <c r="U464" s="178"/>
      <c r="V464" s="179"/>
    </row>
    <row r="465">
      <c r="C465" s="172"/>
      <c r="D465" s="172"/>
      <c r="E465" s="173"/>
      <c r="F465" s="137"/>
      <c r="G465" s="137"/>
      <c r="H465" s="137"/>
      <c r="I465" s="129"/>
      <c r="J465" s="323"/>
      <c r="K465" s="90"/>
      <c r="L465" s="176"/>
      <c r="M465" s="176"/>
      <c r="N465" s="176"/>
      <c r="O465" s="176"/>
      <c r="P465" s="176"/>
      <c r="Q465" s="177"/>
      <c r="R465" s="176"/>
      <c r="S465" s="176"/>
      <c r="T465" s="176"/>
      <c r="U465" s="178"/>
      <c r="V465" s="179"/>
    </row>
    <row r="466">
      <c r="C466" s="172"/>
      <c r="D466" s="172"/>
      <c r="E466" s="173"/>
      <c r="F466" s="137"/>
      <c r="G466" s="137"/>
      <c r="H466" s="137"/>
      <c r="I466" s="129"/>
      <c r="J466" s="323"/>
      <c r="K466" s="90"/>
      <c r="L466" s="176"/>
      <c r="M466" s="176"/>
      <c r="N466" s="176"/>
      <c r="O466" s="176"/>
      <c r="P466" s="176"/>
      <c r="Q466" s="177"/>
      <c r="R466" s="176"/>
      <c r="S466" s="176"/>
      <c r="T466" s="176"/>
      <c r="U466" s="178"/>
      <c r="V466" s="179"/>
    </row>
    <row r="467">
      <c r="C467" s="172"/>
      <c r="D467" s="172"/>
      <c r="E467" s="173"/>
      <c r="F467" s="137"/>
      <c r="G467" s="137"/>
      <c r="H467" s="137"/>
      <c r="I467" s="129"/>
      <c r="J467" s="323"/>
      <c r="K467" s="90"/>
      <c r="L467" s="176"/>
      <c r="M467" s="176"/>
      <c r="N467" s="176"/>
      <c r="O467" s="176"/>
      <c r="P467" s="176"/>
      <c r="Q467" s="177"/>
      <c r="R467" s="176"/>
      <c r="S467" s="176"/>
      <c r="T467" s="176"/>
      <c r="U467" s="178"/>
      <c r="V467" s="179"/>
    </row>
    <row r="468">
      <c r="C468" s="172"/>
      <c r="D468" s="172"/>
      <c r="E468" s="173"/>
      <c r="F468" s="137"/>
      <c r="G468" s="137"/>
      <c r="H468" s="137"/>
      <c r="I468" s="129"/>
      <c r="J468" s="323"/>
      <c r="K468" s="90"/>
      <c r="L468" s="176"/>
      <c r="M468" s="176"/>
      <c r="N468" s="176"/>
      <c r="O468" s="176"/>
      <c r="P468" s="176"/>
      <c r="Q468" s="177"/>
      <c r="R468" s="176"/>
      <c r="S468" s="176"/>
      <c r="T468" s="176"/>
      <c r="U468" s="178"/>
      <c r="V468" s="179"/>
    </row>
    <row r="469">
      <c r="C469" s="172"/>
      <c r="D469" s="172"/>
      <c r="E469" s="173"/>
      <c r="F469" s="137"/>
      <c r="G469" s="137"/>
      <c r="H469" s="137"/>
      <c r="I469" s="129"/>
      <c r="J469" s="323"/>
      <c r="K469" s="90"/>
      <c r="L469" s="176"/>
      <c r="M469" s="176"/>
      <c r="N469" s="176"/>
      <c r="O469" s="176"/>
      <c r="P469" s="176"/>
      <c r="Q469" s="177"/>
      <c r="R469" s="176"/>
      <c r="S469" s="176"/>
      <c r="T469" s="176"/>
      <c r="U469" s="178"/>
      <c r="V469" s="179"/>
    </row>
    <row r="470">
      <c r="C470" s="172"/>
      <c r="D470" s="172"/>
      <c r="E470" s="173"/>
      <c r="F470" s="137"/>
      <c r="G470" s="137"/>
      <c r="H470" s="137"/>
      <c r="I470" s="129"/>
      <c r="J470" s="323"/>
      <c r="K470" s="90"/>
      <c r="L470" s="176"/>
      <c r="M470" s="176"/>
      <c r="N470" s="176"/>
      <c r="O470" s="176"/>
      <c r="P470" s="176"/>
      <c r="Q470" s="177"/>
      <c r="R470" s="176"/>
      <c r="S470" s="176"/>
      <c r="T470" s="176"/>
      <c r="U470" s="178"/>
      <c r="V470" s="179"/>
    </row>
    <row r="471">
      <c r="C471" s="172"/>
      <c r="D471" s="172"/>
      <c r="E471" s="173"/>
      <c r="F471" s="137"/>
      <c r="G471" s="137"/>
      <c r="H471" s="137"/>
      <c r="I471" s="129"/>
      <c r="J471" s="323"/>
      <c r="K471" s="90"/>
      <c r="L471" s="176"/>
      <c r="M471" s="176"/>
      <c r="N471" s="176"/>
      <c r="O471" s="176"/>
      <c r="P471" s="176"/>
      <c r="Q471" s="177"/>
      <c r="R471" s="176"/>
      <c r="S471" s="176"/>
      <c r="T471" s="176"/>
      <c r="U471" s="178"/>
      <c r="V471" s="179"/>
    </row>
    <row r="472">
      <c r="C472" s="172"/>
      <c r="D472" s="172"/>
      <c r="E472" s="173"/>
      <c r="F472" s="137"/>
      <c r="G472" s="137"/>
      <c r="H472" s="137"/>
      <c r="I472" s="129"/>
      <c r="J472" s="323"/>
      <c r="K472" s="90"/>
      <c r="L472" s="176"/>
      <c r="M472" s="176"/>
      <c r="N472" s="176"/>
      <c r="O472" s="176"/>
      <c r="P472" s="176"/>
      <c r="Q472" s="177"/>
      <c r="R472" s="176"/>
      <c r="S472" s="176"/>
      <c r="T472" s="176"/>
      <c r="U472" s="178"/>
      <c r="V472" s="179"/>
    </row>
    <row r="473">
      <c r="C473" s="172"/>
      <c r="D473" s="172"/>
      <c r="E473" s="173"/>
      <c r="F473" s="137"/>
      <c r="G473" s="137"/>
      <c r="H473" s="137"/>
      <c r="I473" s="129"/>
      <c r="J473" s="323"/>
      <c r="K473" s="90"/>
      <c r="L473" s="176"/>
      <c r="M473" s="176"/>
      <c r="N473" s="176"/>
      <c r="O473" s="176"/>
      <c r="P473" s="176"/>
      <c r="Q473" s="177"/>
      <c r="R473" s="176"/>
      <c r="S473" s="176"/>
      <c r="T473" s="176"/>
      <c r="U473" s="178"/>
      <c r="V473" s="179"/>
    </row>
    <row r="474">
      <c r="C474" s="172"/>
      <c r="D474" s="172"/>
      <c r="E474" s="173"/>
      <c r="F474" s="137"/>
      <c r="G474" s="137"/>
      <c r="H474" s="137"/>
      <c r="I474" s="129"/>
      <c r="J474" s="323"/>
      <c r="K474" s="90"/>
      <c r="L474" s="176"/>
      <c r="M474" s="176"/>
      <c r="N474" s="176"/>
      <c r="O474" s="176"/>
      <c r="P474" s="176"/>
      <c r="Q474" s="177"/>
      <c r="R474" s="176"/>
      <c r="S474" s="176"/>
      <c r="T474" s="176"/>
      <c r="U474" s="178"/>
      <c r="V474" s="179"/>
    </row>
    <row r="475">
      <c r="C475" s="172"/>
      <c r="D475" s="172"/>
      <c r="E475" s="173"/>
      <c r="F475" s="137"/>
      <c r="G475" s="137"/>
      <c r="H475" s="137"/>
      <c r="I475" s="129"/>
      <c r="J475" s="323"/>
      <c r="K475" s="90"/>
      <c r="L475" s="176"/>
      <c r="M475" s="176"/>
      <c r="N475" s="176"/>
      <c r="O475" s="176"/>
      <c r="P475" s="176"/>
      <c r="Q475" s="177"/>
      <c r="R475" s="176"/>
      <c r="S475" s="176"/>
      <c r="T475" s="176"/>
      <c r="U475" s="178"/>
      <c r="V475" s="179"/>
    </row>
    <row r="476">
      <c r="C476" s="172"/>
      <c r="D476" s="172"/>
      <c r="E476" s="173"/>
      <c r="F476" s="137"/>
      <c r="G476" s="137"/>
      <c r="H476" s="137"/>
      <c r="I476" s="129"/>
      <c r="J476" s="323"/>
      <c r="K476" s="90"/>
      <c r="L476" s="176"/>
      <c r="M476" s="176"/>
      <c r="N476" s="176"/>
      <c r="O476" s="176"/>
      <c r="P476" s="176"/>
      <c r="Q476" s="177"/>
      <c r="R476" s="176"/>
      <c r="S476" s="176"/>
      <c r="T476" s="176"/>
      <c r="U476" s="178"/>
      <c r="V476" s="179"/>
    </row>
    <row r="477">
      <c r="C477" s="172"/>
      <c r="D477" s="172"/>
      <c r="E477" s="173"/>
      <c r="F477" s="137"/>
      <c r="G477" s="137"/>
      <c r="H477" s="137"/>
      <c r="I477" s="129"/>
      <c r="J477" s="323"/>
      <c r="K477" s="90"/>
      <c r="L477" s="176"/>
      <c r="M477" s="176"/>
      <c r="N477" s="176"/>
      <c r="O477" s="176"/>
      <c r="P477" s="176"/>
      <c r="Q477" s="177"/>
      <c r="R477" s="176"/>
      <c r="S477" s="176"/>
      <c r="T477" s="176"/>
      <c r="U477" s="178"/>
      <c r="V477" s="179"/>
    </row>
    <row r="478">
      <c r="C478" s="172"/>
      <c r="D478" s="172"/>
      <c r="E478" s="173"/>
      <c r="F478" s="137"/>
      <c r="G478" s="137"/>
      <c r="H478" s="137"/>
      <c r="I478" s="129"/>
      <c r="J478" s="323"/>
      <c r="K478" s="90"/>
      <c r="L478" s="176"/>
      <c r="M478" s="176"/>
      <c r="N478" s="176"/>
      <c r="O478" s="176"/>
      <c r="P478" s="176"/>
      <c r="Q478" s="177"/>
      <c r="R478" s="176"/>
      <c r="S478" s="176"/>
      <c r="T478" s="176"/>
      <c r="U478" s="178"/>
      <c r="V478" s="179"/>
    </row>
    <row r="479">
      <c r="C479" s="172"/>
      <c r="D479" s="172"/>
      <c r="E479" s="173"/>
      <c r="F479" s="137"/>
      <c r="G479" s="137"/>
      <c r="H479" s="137"/>
      <c r="I479" s="129"/>
      <c r="J479" s="323"/>
      <c r="K479" s="90"/>
      <c r="L479" s="176"/>
      <c r="M479" s="176"/>
      <c r="N479" s="176"/>
      <c r="O479" s="176"/>
      <c r="P479" s="176"/>
      <c r="Q479" s="177"/>
      <c r="R479" s="176"/>
      <c r="S479" s="176"/>
      <c r="T479" s="176"/>
      <c r="U479" s="178"/>
      <c r="V479" s="179"/>
    </row>
    <row r="480">
      <c r="C480" s="172"/>
      <c r="D480" s="172"/>
      <c r="E480" s="173"/>
      <c r="F480" s="137"/>
      <c r="G480" s="137"/>
      <c r="H480" s="137"/>
      <c r="I480" s="129"/>
      <c r="J480" s="323"/>
      <c r="K480" s="90"/>
      <c r="L480" s="176"/>
      <c r="M480" s="176"/>
      <c r="N480" s="176"/>
      <c r="O480" s="176"/>
      <c r="P480" s="176"/>
      <c r="Q480" s="177"/>
      <c r="R480" s="176"/>
      <c r="S480" s="176"/>
      <c r="T480" s="176"/>
      <c r="U480" s="178"/>
      <c r="V480" s="179"/>
    </row>
    <row r="481">
      <c r="C481" s="172"/>
      <c r="D481" s="172"/>
      <c r="E481" s="173"/>
      <c r="F481" s="137"/>
      <c r="G481" s="137"/>
      <c r="H481" s="137"/>
      <c r="I481" s="129"/>
      <c r="J481" s="323"/>
      <c r="K481" s="90"/>
      <c r="L481" s="176"/>
      <c r="M481" s="176"/>
      <c r="N481" s="176"/>
      <c r="O481" s="176"/>
      <c r="P481" s="176"/>
      <c r="Q481" s="177"/>
      <c r="R481" s="176"/>
      <c r="S481" s="176"/>
      <c r="T481" s="176"/>
      <c r="U481" s="178"/>
      <c r="V481" s="179"/>
    </row>
    <row r="482">
      <c r="C482" s="172"/>
      <c r="D482" s="172"/>
      <c r="E482" s="173"/>
      <c r="F482" s="137"/>
      <c r="G482" s="137"/>
      <c r="H482" s="137"/>
      <c r="I482" s="129"/>
      <c r="J482" s="323"/>
      <c r="K482" s="90"/>
      <c r="L482" s="176"/>
      <c r="M482" s="176"/>
      <c r="N482" s="176"/>
      <c r="O482" s="176"/>
      <c r="P482" s="176"/>
      <c r="Q482" s="177"/>
      <c r="R482" s="176"/>
      <c r="S482" s="176"/>
      <c r="T482" s="176"/>
      <c r="U482" s="178"/>
      <c r="V482" s="179"/>
    </row>
    <row r="483">
      <c r="C483" s="172"/>
      <c r="D483" s="172"/>
      <c r="E483" s="173"/>
      <c r="F483" s="137"/>
      <c r="G483" s="137"/>
      <c r="H483" s="137"/>
      <c r="I483" s="129"/>
      <c r="J483" s="323"/>
      <c r="K483" s="90"/>
      <c r="L483" s="176"/>
      <c r="M483" s="176"/>
      <c r="N483" s="176"/>
      <c r="O483" s="176"/>
      <c r="P483" s="176"/>
      <c r="Q483" s="177"/>
      <c r="R483" s="176"/>
      <c r="S483" s="176"/>
      <c r="T483" s="176"/>
      <c r="U483" s="178"/>
      <c r="V483" s="179"/>
    </row>
    <row r="484">
      <c r="C484" s="172"/>
      <c r="D484" s="172"/>
      <c r="E484" s="173"/>
      <c r="F484" s="137"/>
      <c r="G484" s="137"/>
      <c r="H484" s="137"/>
      <c r="I484" s="129"/>
      <c r="J484" s="323"/>
      <c r="K484" s="90"/>
      <c r="L484" s="176"/>
      <c r="M484" s="176"/>
      <c r="N484" s="176"/>
      <c r="O484" s="176"/>
      <c r="P484" s="176"/>
      <c r="Q484" s="177"/>
      <c r="R484" s="176"/>
      <c r="S484" s="176"/>
      <c r="T484" s="176"/>
      <c r="U484" s="178"/>
      <c r="V484" s="179"/>
    </row>
    <row r="485">
      <c r="C485" s="172"/>
      <c r="D485" s="172"/>
      <c r="E485" s="173"/>
      <c r="F485" s="137"/>
      <c r="G485" s="137"/>
      <c r="H485" s="137"/>
      <c r="I485" s="129"/>
      <c r="J485" s="323"/>
      <c r="K485" s="90"/>
      <c r="L485" s="176"/>
      <c r="M485" s="176"/>
      <c r="N485" s="176"/>
      <c r="O485" s="176"/>
      <c r="P485" s="176"/>
      <c r="Q485" s="177"/>
      <c r="R485" s="176"/>
      <c r="S485" s="176"/>
      <c r="T485" s="176"/>
      <c r="U485" s="178"/>
      <c r="V485" s="179"/>
    </row>
    <row r="486">
      <c r="C486" s="172"/>
      <c r="D486" s="172"/>
      <c r="E486" s="173"/>
      <c r="F486" s="137"/>
      <c r="G486" s="137"/>
      <c r="H486" s="137"/>
      <c r="I486" s="129"/>
      <c r="J486" s="323"/>
      <c r="K486" s="90"/>
      <c r="L486" s="176"/>
      <c r="M486" s="176"/>
      <c r="N486" s="176"/>
      <c r="O486" s="176"/>
      <c r="P486" s="176"/>
      <c r="Q486" s="177"/>
      <c r="R486" s="176"/>
      <c r="S486" s="176"/>
      <c r="T486" s="176"/>
      <c r="U486" s="178"/>
      <c r="V486" s="179"/>
    </row>
    <row r="487">
      <c r="C487" s="172"/>
      <c r="D487" s="172"/>
      <c r="E487" s="173"/>
      <c r="F487" s="137"/>
      <c r="G487" s="137"/>
      <c r="H487" s="137"/>
      <c r="I487" s="129"/>
      <c r="J487" s="323"/>
      <c r="K487" s="90"/>
      <c r="L487" s="176"/>
      <c r="M487" s="176"/>
      <c r="N487" s="176"/>
      <c r="O487" s="176"/>
      <c r="P487" s="176"/>
      <c r="Q487" s="177"/>
      <c r="R487" s="176"/>
      <c r="S487" s="176"/>
      <c r="T487" s="176"/>
      <c r="U487" s="178"/>
      <c r="V487" s="179"/>
    </row>
    <row r="488">
      <c r="C488" s="172"/>
      <c r="D488" s="172"/>
      <c r="E488" s="173"/>
      <c r="F488" s="137"/>
      <c r="G488" s="137"/>
      <c r="H488" s="137"/>
      <c r="I488" s="129"/>
      <c r="J488" s="323"/>
      <c r="K488" s="90"/>
      <c r="L488" s="176"/>
      <c r="M488" s="176"/>
      <c r="N488" s="176"/>
      <c r="O488" s="176"/>
      <c r="P488" s="176"/>
      <c r="Q488" s="177"/>
      <c r="R488" s="176"/>
      <c r="S488" s="176"/>
      <c r="T488" s="176"/>
      <c r="U488" s="178"/>
      <c r="V488" s="179"/>
    </row>
    <row r="489">
      <c r="C489" s="172"/>
      <c r="D489" s="172"/>
      <c r="E489" s="173"/>
      <c r="F489" s="137"/>
      <c r="G489" s="137"/>
      <c r="H489" s="137"/>
      <c r="I489" s="129"/>
      <c r="J489" s="323"/>
      <c r="K489" s="90"/>
      <c r="L489" s="176"/>
      <c r="M489" s="176"/>
      <c r="N489" s="176"/>
      <c r="O489" s="176"/>
      <c r="P489" s="176"/>
      <c r="Q489" s="177"/>
      <c r="R489" s="176"/>
      <c r="S489" s="176"/>
      <c r="T489" s="176"/>
      <c r="U489" s="178"/>
      <c r="V489" s="179"/>
    </row>
    <row r="490">
      <c r="C490" s="172"/>
      <c r="D490" s="172"/>
      <c r="E490" s="173"/>
      <c r="F490" s="137"/>
      <c r="G490" s="137"/>
      <c r="H490" s="137"/>
      <c r="I490" s="129"/>
      <c r="J490" s="323"/>
      <c r="K490" s="90"/>
      <c r="L490" s="176"/>
      <c r="M490" s="176"/>
      <c r="N490" s="176"/>
      <c r="O490" s="176"/>
      <c r="P490" s="176"/>
      <c r="Q490" s="177"/>
      <c r="R490" s="176"/>
      <c r="S490" s="176"/>
      <c r="T490" s="176"/>
      <c r="U490" s="178"/>
      <c r="V490" s="179"/>
    </row>
    <row r="491">
      <c r="C491" s="172"/>
      <c r="D491" s="172"/>
      <c r="E491" s="173"/>
      <c r="F491" s="137"/>
      <c r="G491" s="137"/>
      <c r="H491" s="137"/>
      <c r="I491" s="129"/>
      <c r="J491" s="323"/>
      <c r="K491" s="90"/>
      <c r="L491" s="176"/>
      <c r="M491" s="176"/>
      <c r="N491" s="176"/>
      <c r="O491" s="176"/>
      <c r="P491" s="176"/>
      <c r="Q491" s="177"/>
      <c r="R491" s="176"/>
      <c r="S491" s="176"/>
      <c r="T491" s="176"/>
      <c r="U491" s="178"/>
      <c r="V491" s="179"/>
    </row>
    <row r="492">
      <c r="C492" s="172"/>
      <c r="D492" s="172"/>
      <c r="E492" s="173"/>
      <c r="F492" s="137"/>
      <c r="G492" s="137"/>
      <c r="H492" s="137"/>
      <c r="I492" s="129"/>
      <c r="J492" s="323"/>
      <c r="K492" s="90"/>
      <c r="L492" s="176"/>
      <c r="M492" s="176"/>
      <c r="N492" s="176"/>
      <c r="O492" s="176"/>
      <c r="P492" s="176"/>
      <c r="Q492" s="177"/>
      <c r="R492" s="176"/>
      <c r="S492" s="176"/>
      <c r="T492" s="176"/>
      <c r="U492" s="178"/>
      <c r="V492" s="179"/>
    </row>
    <row r="493">
      <c r="C493" s="172"/>
      <c r="D493" s="172"/>
      <c r="E493" s="173"/>
      <c r="F493" s="137"/>
      <c r="G493" s="137"/>
      <c r="H493" s="137"/>
      <c r="I493" s="129"/>
      <c r="J493" s="323"/>
      <c r="K493" s="90"/>
      <c r="L493" s="176"/>
      <c r="M493" s="176"/>
      <c r="N493" s="176"/>
      <c r="O493" s="176"/>
      <c r="P493" s="176"/>
      <c r="Q493" s="177"/>
      <c r="R493" s="176"/>
      <c r="S493" s="176"/>
      <c r="T493" s="176"/>
      <c r="U493" s="178"/>
      <c r="V493" s="179"/>
    </row>
    <row r="494">
      <c r="C494" s="172"/>
      <c r="D494" s="172"/>
      <c r="E494" s="173"/>
      <c r="F494" s="137"/>
      <c r="G494" s="137"/>
      <c r="H494" s="137"/>
      <c r="I494" s="129"/>
      <c r="J494" s="323"/>
      <c r="K494" s="90"/>
      <c r="L494" s="176"/>
      <c r="M494" s="176"/>
      <c r="N494" s="176"/>
      <c r="O494" s="176"/>
      <c r="P494" s="176"/>
      <c r="Q494" s="177"/>
      <c r="R494" s="176"/>
      <c r="S494" s="176"/>
      <c r="T494" s="176"/>
      <c r="U494" s="178"/>
      <c r="V494" s="179"/>
    </row>
    <row r="495">
      <c r="C495" s="172"/>
      <c r="D495" s="172"/>
      <c r="E495" s="173"/>
      <c r="F495" s="137"/>
      <c r="G495" s="137"/>
      <c r="H495" s="137"/>
      <c r="I495" s="129"/>
      <c r="J495" s="323"/>
      <c r="K495" s="90"/>
      <c r="L495" s="176"/>
      <c r="M495" s="176"/>
      <c r="N495" s="176"/>
      <c r="O495" s="176"/>
      <c r="P495" s="176"/>
      <c r="Q495" s="177"/>
      <c r="R495" s="176"/>
      <c r="S495" s="176"/>
      <c r="T495" s="176"/>
      <c r="U495" s="178"/>
      <c r="V495" s="179"/>
    </row>
    <row r="496">
      <c r="C496" s="172"/>
      <c r="D496" s="172"/>
      <c r="E496" s="173"/>
      <c r="F496" s="137"/>
      <c r="G496" s="137"/>
      <c r="H496" s="137"/>
      <c r="I496" s="129"/>
      <c r="J496" s="323"/>
      <c r="K496" s="90"/>
      <c r="L496" s="176"/>
      <c r="M496" s="176"/>
      <c r="N496" s="176"/>
      <c r="O496" s="176"/>
      <c r="P496" s="176"/>
      <c r="Q496" s="177"/>
      <c r="R496" s="176"/>
      <c r="S496" s="176"/>
      <c r="T496" s="176"/>
      <c r="U496" s="178"/>
      <c r="V496" s="179"/>
    </row>
    <row r="497">
      <c r="C497" s="172"/>
      <c r="D497" s="172"/>
      <c r="E497" s="173"/>
      <c r="F497" s="137"/>
      <c r="G497" s="137"/>
      <c r="H497" s="137"/>
      <c r="I497" s="129"/>
      <c r="J497" s="323"/>
      <c r="K497" s="90"/>
      <c r="L497" s="176"/>
      <c r="M497" s="176"/>
      <c r="N497" s="176"/>
      <c r="O497" s="176"/>
      <c r="P497" s="176"/>
      <c r="Q497" s="177"/>
      <c r="R497" s="176"/>
      <c r="S497" s="176"/>
      <c r="T497" s="176"/>
      <c r="U497" s="178"/>
      <c r="V497" s="179"/>
    </row>
    <row r="498">
      <c r="C498" s="172"/>
      <c r="D498" s="172"/>
      <c r="E498" s="173"/>
      <c r="F498" s="137"/>
      <c r="G498" s="137"/>
      <c r="H498" s="137"/>
      <c r="I498" s="129"/>
      <c r="J498" s="323"/>
      <c r="K498" s="90"/>
      <c r="L498" s="176"/>
      <c r="M498" s="176"/>
      <c r="N498" s="176"/>
      <c r="O498" s="176"/>
      <c r="P498" s="176"/>
      <c r="Q498" s="177"/>
      <c r="R498" s="176"/>
      <c r="S498" s="176"/>
      <c r="T498" s="176"/>
      <c r="U498" s="178"/>
      <c r="V498" s="179"/>
    </row>
    <row r="499">
      <c r="C499" s="172"/>
      <c r="D499" s="172"/>
      <c r="E499" s="173"/>
      <c r="F499" s="137"/>
      <c r="G499" s="137"/>
      <c r="H499" s="137"/>
      <c r="I499" s="129"/>
      <c r="J499" s="323"/>
      <c r="K499" s="90"/>
      <c r="L499" s="176"/>
      <c r="M499" s="176"/>
      <c r="N499" s="176"/>
      <c r="O499" s="176"/>
      <c r="P499" s="176"/>
      <c r="Q499" s="177"/>
      <c r="R499" s="176"/>
      <c r="S499" s="176"/>
      <c r="T499" s="176"/>
      <c r="U499" s="178"/>
      <c r="V499" s="179"/>
    </row>
    <row r="500">
      <c r="C500" s="172"/>
      <c r="D500" s="172"/>
      <c r="E500" s="173"/>
      <c r="F500" s="137"/>
      <c r="G500" s="137"/>
      <c r="H500" s="137"/>
      <c r="I500" s="129"/>
      <c r="J500" s="323"/>
      <c r="K500" s="90"/>
      <c r="L500" s="176"/>
      <c r="M500" s="176"/>
      <c r="N500" s="176"/>
      <c r="O500" s="176"/>
      <c r="P500" s="176"/>
      <c r="Q500" s="177"/>
      <c r="R500" s="176"/>
      <c r="S500" s="176"/>
      <c r="T500" s="176"/>
      <c r="U500" s="178"/>
      <c r="V500" s="179"/>
    </row>
    <row r="501">
      <c r="C501" s="172"/>
      <c r="D501" s="172"/>
      <c r="E501" s="173"/>
      <c r="F501" s="137"/>
      <c r="G501" s="137"/>
      <c r="H501" s="137"/>
      <c r="I501" s="129"/>
      <c r="J501" s="323"/>
      <c r="K501" s="90"/>
      <c r="L501" s="176"/>
      <c r="M501" s="176"/>
      <c r="N501" s="176"/>
      <c r="O501" s="176"/>
      <c r="P501" s="176"/>
      <c r="Q501" s="177"/>
      <c r="R501" s="176"/>
      <c r="S501" s="176"/>
      <c r="T501" s="176"/>
      <c r="U501" s="178"/>
      <c r="V501" s="179"/>
    </row>
    <row r="502">
      <c r="C502" s="172"/>
      <c r="D502" s="172"/>
      <c r="E502" s="173"/>
      <c r="F502" s="137"/>
      <c r="G502" s="137"/>
      <c r="H502" s="137"/>
      <c r="I502" s="129"/>
      <c r="J502" s="323"/>
      <c r="K502" s="90"/>
      <c r="L502" s="176"/>
      <c r="M502" s="176"/>
      <c r="N502" s="176"/>
      <c r="O502" s="176"/>
      <c r="P502" s="176"/>
      <c r="Q502" s="177"/>
      <c r="R502" s="176"/>
      <c r="S502" s="176"/>
      <c r="T502" s="176"/>
      <c r="U502" s="178"/>
      <c r="V502" s="179"/>
    </row>
    <row r="503">
      <c r="C503" s="172"/>
      <c r="D503" s="172"/>
      <c r="E503" s="173"/>
      <c r="F503" s="137"/>
      <c r="G503" s="137"/>
      <c r="H503" s="137"/>
      <c r="I503" s="129"/>
      <c r="J503" s="323"/>
      <c r="K503" s="90"/>
      <c r="L503" s="176"/>
      <c r="M503" s="176"/>
      <c r="N503" s="176"/>
      <c r="O503" s="176"/>
      <c r="P503" s="176"/>
      <c r="Q503" s="177"/>
      <c r="R503" s="176"/>
      <c r="S503" s="176"/>
      <c r="T503" s="176"/>
      <c r="U503" s="178"/>
      <c r="V503" s="179"/>
    </row>
    <row r="504">
      <c r="C504" s="172"/>
      <c r="D504" s="172"/>
      <c r="E504" s="173"/>
      <c r="F504" s="137"/>
      <c r="G504" s="137"/>
      <c r="H504" s="137"/>
      <c r="I504" s="129"/>
      <c r="J504" s="323"/>
      <c r="K504" s="90"/>
      <c r="L504" s="176"/>
      <c r="M504" s="176"/>
      <c r="N504" s="176"/>
      <c r="O504" s="176"/>
      <c r="P504" s="176"/>
      <c r="Q504" s="177"/>
      <c r="R504" s="176"/>
      <c r="S504" s="176"/>
      <c r="T504" s="176"/>
      <c r="U504" s="178"/>
      <c r="V504" s="179"/>
    </row>
    <row r="505">
      <c r="C505" s="172"/>
      <c r="D505" s="172"/>
      <c r="E505" s="173"/>
      <c r="F505" s="137"/>
      <c r="G505" s="137"/>
      <c r="H505" s="137"/>
      <c r="I505" s="129"/>
      <c r="J505" s="323"/>
      <c r="K505" s="90"/>
      <c r="L505" s="176"/>
      <c r="M505" s="176"/>
      <c r="N505" s="176"/>
      <c r="O505" s="176"/>
      <c r="P505" s="176"/>
      <c r="Q505" s="177"/>
      <c r="R505" s="176"/>
      <c r="S505" s="176"/>
      <c r="T505" s="176"/>
      <c r="U505" s="178"/>
      <c r="V505" s="179"/>
    </row>
    <row r="506">
      <c r="C506" s="172"/>
      <c r="D506" s="172"/>
      <c r="E506" s="173"/>
      <c r="F506" s="137"/>
      <c r="G506" s="137"/>
      <c r="H506" s="137"/>
      <c r="I506" s="129"/>
      <c r="J506" s="323"/>
      <c r="K506" s="90"/>
      <c r="L506" s="176"/>
      <c r="M506" s="176"/>
      <c r="N506" s="176"/>
      <c r="O506" s="176"/>
      <c r="P506" s="176"/>
      <c r="Q506" s="177"/>
      <c r="R506" s="176"/>
      <c r="S506" s="176"/>
      <c r="T506" s="176"/>
      <c r="U506" s="178"/>
      <c r="V506" s="179"/>
    </row>
    <row r="507">
      <c r="C507" s="172"/>
      <c r="D507" s="172"/>
      <c r="E507" s="173"/>
      <c r="F507" s="137"/>
      <c r="G507" s="137"/>
      <c r="H507" s="137"/>
      <c r="I507" s="129"/>
      <c r="J507" s="323"/>
      <c r="K507" s="90"/>
      <c r="L507" s="176"/>
      <c r="M507" s="176"/>
      <c r="N507" s="176"/>
      <c r="O507" s="176"/>
      <c r="P507" s="176"/>
      <c r="Q507" s="177"/>
      <c r="R507" s="176"/>
      <c r="S507" s="176"/>
      <c r="T507" s="176"/>
      <c r="U507" s="178"/>
      <c r="V507" s="179"/>
    </row>
    <row r="508">
      <c r="C508" s="172"/>
      <c r="D508" s="172"/>
      <c r="E508" s="173"/>
      <c r="F508" s="137"/>
      <c r="G508" s="137"/>
      <c r="H508" s="137"/>
      <c r="I508" s="129"/>
      <c r="J508" s="323"/>
      <c r="K508" s="90"/>
      <c r="L508" s="176"/>
      <c r="M508" s="176"/>
      <c r="N508" s="176"/>
      <c r="O508" s="176"/>
      <c r="P508" s="176"/>
      <c r="Q508" s="177"/>
      <c r="R508" s="176"/>
      <c r="S508" s="176"/>
      <c r="T508" s="176"/>
      <c r="U508" s="178"/>
      <c r="V508" s="179"/>
    </row>
    <row r="509">
      <c r="C509" s="172"/>
      <c r="D509" s="172"/>
      <c r="E509" s="173"/>
      <c r="F509" s="137"/>
      <c r="G509" s="137"/>
      <c r="H509" s="137"/>
      <c r="I509" s="129"/>
      <c r="J509" s="323"/>
      <c r="K509" s="90"/>
      <c r="L509" s="176"/>
      <c r="M509" s="176"/>
      <c r="N509" s="176"/>
      <c r="O509" s="176"/>
      <c r="P509" s="176"/>
      <c r="Q509" s="177"/>
      <c r="R509" s="176"/>
      <c r="S509" s="176"/>
      <c r="T509" s="176"/>
      <c r="U509" s="178"/>
      <c r="V509" s="179"/>
    </row>
    <row r="510">
      <c r="C510" s="172"/>
      <c r="D510" s="172"/>
      <c r="E510" s="173"/>
      <c r="F510" s="137"/>
      <c r="G510" s="137"/>
      <c r="H510" s="137"/>
      <c r="I510" s="129"/>
      <c r="J510" s="323"/>
      <c r="K510" s="90"/>
      <c r="L510" s="176"/>
      <c r="M510" s="176"/>
      <c r="N510" s="176"/>
      <c r="O510" s="176"/>
      <c r="P510" s="176"/>
      <c r="Q510" s="177"/>
      <c r="R510" s="176"/>
      <c r="S510" s="176"/>
      <c r="T510" s="176"/>
      <c r="U510" s="178"/>
      <c r="V510" s="179"/>
    </row>
    <row r="511">
      <c r="C511" s="172"/>
      <c r="D511" s="172"/>
      <c r="E511" s="173"/>
      <c r="F511" s="137"/>
      <c r="G511" s="137"/>
      <c r="H511" s="137"/>
      <c r="I511" s="129"/>
      <c r="J511" s="323"/>
      <c r="K511" s="90"/>
      <c r="L511" s="176"/>
      <c r="M511" s="176"/>
      <c r="N511" s="176"/>
      <c r="O511" s="176"/>
      <c r="P511" s="176"/>
      <c r="Q511" s="177"/>
      <c r="R511" s="176"/>
      <c r="S511" s="176"/>
      <c r="T511" s="176"/>
      <c r="U511" s="178"/>
      <c r="V511" s="179"/>
    </row>
    <row r="512">
      <c r="C512" s="172"/>
      <c r="D512" s="172"/>
      <c r="E512" s="173"/>
      <c r="F512" s="137"/>
      <c r="G512" s="137"/>
      <c r="H512" s="137"/>
      <c r="I512" s="129"/>
      <c r="J512" s="323"/>
      <c r="K512" s="90"/>
      <c r="L512" s="176"/>
      <c r="M512" s="176"/>
      <c r="N512" s="176"/>
      <c r="O512" s="176"/>
      <c r="P512" s="176"/>
      <c r="Q512" s="177"/>
      <c r="R512" s="176"/>
      <c r="S512" s="176"/>
      <c r="T512" s="176"/>
      <c r="U512" s="178"/>
      <c r="V512" s="179"/>
    </row>
    <row r="513">
      <c r="C513" s="172"/>
      <c r="D513" s="172"/>
      <c r="E513" s="173"/>
      <c r="F513" s="137"/>
      <c r="G513" s="137"/>
      <c r="H513" s="137"/>
      <c r="I513" s="129"/>
      <c r="J513" s="323"/>
      <c r="K513" s="90"/>
      <c r="L513" s="176"/>
      <c r="M513" s="176"/>
      <c r="N513" s="176"/>
      <c r="O513" s="176"/>
      <c r="P513" s="176"/>
      <c r="Q513" s="177"/>
      <c r="R513" s="176"/>
      <c r="S513" s="176"/>
      <c r="T513" s="176"/>
      <c r="U513" s="178"/>
      <c r="V513" s="179"/>
    </row>
    <row r="514">
      <c r="C514" s="172"/>
      <c r="D514" s="172"/>
      <c r="E514" s="173"/>
      <c r="F514" s="137"/>
      <c r="G514" s="137"/>
      <c r="H514" s="137"/>
      <c r="I514" s="129"/>
      <c r="J514" s="323"/>
      <c r="K514" s="90"/>
      <c r="L514" s="176"/>
      <c r="M514" s="176"/>
      <c r="N514" s="176"/>
      <c r="O514" s="176"/>
      <c r="P514" s="176"/>
      <c r="Q514" s="177"/>
      <c r="R514" s="176"/>
      <c r="S514" s="176"/>
      <c r="T514" s="176"/>
      <c r="U514" s="178"/>
      <c r="V514" s="179"/>
    </row>
    <row r="515">
      <c r="C515" s="172"/>
      <c r="D515" s="172"/>
      <c r="E515" s="173"/>
      <c r="F515" s="137"/>
      <c r="G515" s="137"/>
      <c r="H515" s="137"/>
      <c r="I515" s="129"/>
      <c r="J515" s="323"/>
      <c r="K515" s="90"/>
      <c r="L515" s="176"/>
      <c r="M515" s="176"/>
      <c r="N515" s="176"/>
      <c r="O515" s="176"/>
      <c r="P515" s="176"/>
      <c r="Q515" s="177"/>
      <c r="R515" s="176"/>
      <c r="S515" s="176"/>
      <c r="T515" s="176"/>
      <c r="U515" s="178"/>
      <c r="V515" s="179"/>
    </row>
    <row r="516">
      <c r="C516" s="172"/>
      <c r="D516" s="172"/>
      <c r="E516" s="173"/>
      <c r="F516" s="137"/>
      <c r="G516" s="137"/>
      <c r="H516" s="137"/>
      <c r="I516" s="129"/>
      <c r="J516" s="323"/>
      <c r="K516" s="90"/>
      <c r="L516" s="176"/>
      <c r="M516" s="176"/>
      <c r="N516" s="176"/>
      <c r="O516" s="176"/>
      <c r="P516" s="176"/>
      <c r="Q516" s="177"/>
      <c r="R516" s="176"/>
      <c r="S516" s="176"/>
      <c r="T516" s="176"/>
      <c r="U516" s="178"/>
      <c r="V516" s="179"/>
    </row>
    <row r="517">
      <c r="C517" s="172"/>
      <c r="D517" s="172"/>
      <c r="E517" s="173"/>
      <c r="F517" s="137"/>
      <c r="G517" s="137"/>
      <c r="H517" s="137"/>
      <c r="I517" s="129"/>
      <c r="J517" s="323"/>
      <c r="K517" s="90"/>
      <c r="L517" s="176"/>
      <c r="M517" s="176"/>
      <c r="N517" s="176"/>
      <c r="O517" s="176"/>
      <c r="P517" s="176"/>
      <c r="Q517" s="177"/>
      <c r="R517" s="176"/>
      <c r="S517" s="176"/>
      <c r="T517" s="176"/>
      <c r="U517" s="178"/>
      <c r="V517" s="179"/>
    </row>
    <row r="518">
      <c r="C518" s="172"/>
      <c r="D518" s="172"/>
      <c r="E518" s="173"/>
      <c r="F518" s="137"/>
      <c r="G518" s="137"/>
      <c r="H518" s="137"/>
      <c r="I518" s="129"/>
      <c r="J518" s="323"/>
      <c r="K518" s="90"/>
      <c r="L518" s="176"/>
      <c r="M518" s="176"/>
      <c r="N518" s="176"/>
      <c r="O518" s="176"/>
      <c r="P518" s="176"/>
      <c r="Q518" s="177"/>
      <c r="R518" s="176"/>
      <c r="S518" s="176"/>
      <c r="T518" s="176"/>
      <c r="U518" s="178"/>
      <c r="V518" s="179"/>
    </row>
    <row r="519">
      <c r="C519" s="172"/>
      <c r="D519" s="172"/>
      <c r="E519" s="173"/>
      <c r="F519" s="137"/>
      <c r="G519" s="137"/>
      <c r="H519" s="137"/>
      <c r="I519" s="129"/>
      <c r="J519" s="323"/>
      <c r="K519" s="90"/>
      <c r="L519" s="176"/>
      <c r="M519" s="176"/>
      <c r="N519" s="176"/>
      <c r="O519" s="176"/>
      <c r="P519" s="176"/>
      <c r="Q519" s="177"/>
      <c r="R519" s="176"/>
      <c r="S519" s="176"/>
      <c r="T519" s="176"/>
      <c r="U519" s="178"/>
      <c r="V519" s="179"/>
    </row>
    <row r="520">
      <c r="C520" s="172"/>
      <c r="D520" s="172"/>
      <c r="E520" s="173"/>
      <c r="F520" s="137"/>
      <c r="G520" s="137"/>
      <c r="H520" s="137"/>
      <c r="I520" s="129"/>
      <c r="J520" s="323"/>
      <c r="K520" s="90"/>
      <c r="L520" s="176"/>
      <c r="M520" s="176"/>
      <c r="N520" s="176"/>
      <c r="O520" s="176"/>
      <c r="P520" s="176"/>
      <c r="Q520" s="177"/>
      <c r="R520" s="176"/>
      <c r="S520" s="176"/>
      <c r="T520" s="176"/>
      <c r="U520" s="178"/>
      <c r="V520" s="179"/>
    </row>
    <row r="521">
      <c r="C521" s="172"/>
      <c r="D521" s="172"/>
      <c r="E521" s="173"/>
      <c r="F521" s="137"/>
      <c r="G521" s="137"/>
      <c r="H521" s="137"/>
      <c r="I521" s="129"/>
      <c r="J521" s="323"/>
      <c r="K521" s="90"/>
      <c r="L521" s="176"/>
      <c r="M521" s="176"/>
      <c r="N521" s="176"/>
      <c r="O521" s="176"/>
      <c r="P521" s="176"/>
      <c r="Q521" s="177"/>
      <c r="R521" s="176"/>
      <c r="S521" s="176"/>
      <c r="T521" s="176"/>
      <c r="U521" s="178"/>
      <c r="V521" s="179"/>
    </row>
    <row r="522">
      <c r="C522" s="172"/>
      <c r="D522" s="172"/>
      <c r="E522" s="173"/>
      <c r="F522" s="137"/>
      <c r="G522" s="137"/>
      <c r="H522" s="137"/>
      <c r="I522" s="129"/>
      <c r="J522" s="323"/>
      <c r="K522" s="90"/>
      <c r="L522" s="176"/>
      <c r="M522" s="176"/>
      <c r="N522" s="176"/>
      <c r="O522" s="176"/>
      <c r="P522" s="176"/>
      <c r="Q522" s="177"/>
      <c r="R522" s="176"/>
      <c r="S522" s="176"/>
      <c r="T522" s="176"/>
      <c r="U522" s="178"/>
      <c r="V522" s="179"/>
    </row>
    <row r="523">
      <c r="C523" s="172"/>
      <c r="D523" s="172"/>
      <c r="E523" s="173"/>
      <c r="F523" s="137"/>
      <c r="G523" s="137"/>
      <c r="H523" s="137"/>
      <c r="I523" s="129"/>
      <c r="J523" s="323"/>
      <c r="K523" s="90"/>
      <c r="L523" s="176"/>
      <c r="M523" s="176"/>
      <c r="N523" s="176"/>
      <c r="O523" s="176"/>
      <c r="P523" s="176"/>
      <c r="Q523" s="177"/>
      <c r="R523" s="176"/>
      <c r="S523" s="176"/>
      <c r="T523" s="176"/>
      <c r="U523" s="178"/>
      <c r="V523" s="179"/>
    </row>
    <row r="524">
      <c r="C524" s="172"/>
      <c r="D524" s="172"/>
      <c r="E524" s="173"/>
      <c r="F524" s="137"/>
      <c r="G524" s="137"/>
      <c r="H524" s="137"/>
      <c r="I524" s="129"/>
      <c r="J524" s="323"/>
      <c r="K524" s="90"/>
      <c r="L524" s="176"/>
      <c r="M524" s="176"/>
      <c r="N524" s="176"/>
      <c r="O524" s="176"/>
      <c r="P524" s="176"/>
      <c r="Q524" s="177"/>
      <c r="R524" s="176"/>
      <c r="S524" s="176"/>
      <c r="T524" s="176"/>
      <c r="U524" s="178"/>
      <c r="V524" s="179"/>
    </row>
    <row r="525">
      <c r="C525" s="172"/>
      <c r="D525" s="172"/>
      <c r="E525" s="173"/>
      <c r="F525" s="137"/>
      <c r="G525" s="137"/>
      <c r="H525" s="137"/>
      <c r="I525" s="129"/>
      <c r="J525" s="323"/>
      <c r="K525" s="90"/>
      <c r="L525" s="176"/>
      <c r="M525" s="176"/>
      <c r="N525" s="176"/>
      <c r="O525" s="176"/>
      <c r="P525" s="176"/>
      <c r="Q525" s="177"/>
      <c r="R525" s="176"/>
      <c r="S525" s="176"/>
      <c r="T525" s="176"/>
      <c r="U525" s="178"/>
      <c r="V525" s="179"/>
    </row>
    <row r="526">
      <c r="C526" s="172"/>
      <c r="D526" s="172"/>
      <c r="E526" s="173"/>
      <c r="F526" s="137"/>
      <c r="G526" s="137"/>
      <c r="H526" s="137"/>
      <c r="I526" s="129"/>
      <c r="J526" s="323"/>
      <c r="K526" s="90"/>
      <c r="L526" s="176"/>
      <c r="M526" s="176"/>
      <c r="N526" s="176"/>
      <c r="O526" s="176"/>
      <c r="P526" s="176"/>
      <c r="Q526" s="177"/>
      <c r="R526" s="176"/>
      <c r="S526" s="176"/>
      <c r="T526" s="176"/>
      <c r="U526" s="178"/>
      <c r="V526" s="179"/>
    </row>
    <row r="527">
      <c r="C527" s="172"/>
      <c r="D527" s="172"/>
      <c r="E527" s="173"/>
      <c r="F527" s="137"/>
      <c r="G527" s="137"/>
      <c r="H527" s="137"/>
      <c r="I527" s="129"/>
      <c r="J527" s="323"/>
      <c r="K527" s="90"/>
      <c r="L527" s="176"/>
      <c r="M527" s="176"/>
      <c r="N527" s="176"/>
      <c r="O527" s="176"/>
      <c r="P527" s="176"/>
      <c r="Q527" s="177"/>
      <c r="R527" s="176"/>
      <c r="S527" s="176"/>
      <c r="T527" s="176"/>
      <c r="U527" s="178"/>
      <c r="V527" s="179"/>
    </row>
    <row r="528">
      <c r="C528" s="172"/>
      <c r="D528" s="172"/>
      <c r="E528" s="173"/>
      <c r="F528" s="137"/>
      <c r="G528" s="137"/>
      <c r="H528" s="137"/>
      <c r="I528" s="129"/>
      <c r="J528" s="323"/>
      <c r="K528" s="90"/>
      <c r="L528" s="176"/>
      <c r="M528" s="176"/>
      <c r="N528" s="176"/>
      <c r="O528" s="176"/>
      <c r="P528" s="176"/>
      <c r="Q528" s="177"/>
      <c r="R528" s="176"/>
      <c r="S528" s="176"/>
      <c r="T528" s="176"/>
      <c r="U528" s="178"/>
      <c r="V528" s="179"/>
    </row>
    <row r="529">
      <c r="C529" s="172"/>
      <c r="D529" s="172"/>
      <c r="E529" s="173"/>
      <c r="F529" s="137"/>
      <c r="G529" s="137"/>
      <c r="H529" s="137"/>
      <c r="I529" s="129"/>
      <c r="J529" s="323"/>
      <c r="K529" s="90"/>
      <c r="L529" s="176"/>
      <c r="M529" s="176"/>
      <c r="N529" s="176"/>
      <c r="O529" s="176"/>
      <c r="P529" s="176"/>
      <c r="Q529" s="177"/>
      <c r="R529" s="176"/>
      <c r="S529" s="176"/>
      <c r="T529" s="176"/>
      <c r="U529" s="178"/>
      <c r="V529" s="179"/>
    </row>
    <row r="530">
      <c r="C530" s="172"/>
      <c r="D530" s="172"/>
      <c r="E530" s="173"/>
      <c r="F530" s="137"/>
      <c r="G530" s="137"/>
      <c r="H530" s="137"/>
      <c r="I530" s="129"/>
      <c r="J530" s="323"/>
      <c r="K530" s="90"/>
      <c r="L530" s="176"/>
      <c r="M530" s="176"/>
      <c r="N530" s="176"/>
      <c r="O530" s="176"/>
      <c r="P530" s="176"/>
      <c r="Q530" s="177"/>
      <c r="R530" s="176"/>
      <c r="S530" s="176"/>
      <c r="T530" s="176"/>
      <c r="U530" s="178"/>
      <c r="V530" s="179"/>
    </row>
    <row r="531">
      <c r="C531" s="172"/>
      <c r="D531" s="172"/>
      <c r="E531" s="173"/>
      <c r="F531" s="137"/>
      <c r="G531" s="137"/>
      <c r="H531" s="137"/>
      <c r="I531" s="129"/>
      <c r="J531" s="323"/>
      <c r="K531" s="90"/>
      <c r="L531" s="176"/>
      <c r="M531" s="176"/>
      <c r="N531" s="176"/>
      <c r="O531" s="176"/>
      <c r="P531" s="176"/>
      <c r="Q531" s="177"/>
      <c r="R531" s="176"/>
      <c r="S531" s="176"/>
      <c r="T531" s="176"/>
      <c r="U531" s="178"/>
      <c r="V531" s="179"/>
    </row>
    <row r="532">
      <c r="C532" s="172"/>
      <c r="D532" s="172"/>
      <c r="E532" s="173"/>
      <c r="F532" s="137"/>
      <c r="G532" s="137"/>
      <c r="H532" s="137"/>
      <c r="I532" s="129"/>
      <c r="J532" s="323"/>
      <c r="K532" s="90"/>
      <c r="L532" s="176"/>
      <c r="M532" s="176"/>
      <c r="N532" s="176"/>
      <c r="O532" s="176"/>
      <c r="P532" s="176"/>
      <c r="Q532" s="177"/>
      <c r="R532" s="176"/>
      <c r="S532" s="176"/>
      <c r="T532" s="176"/>
      <c r="U532" s="178"/>
      <c r="V532" s="179"/>
    </row>
    <row r="533">
      <c r="C533" s="172"/>
      <c r="D533" s="172"/>
      <c r="E533" s="173"/>
      <c r="F533" s="137"/>
      <c r="G533" s="137"/>
      <c r="H533" s="137"/>
      <c r="I533" s="129"/>
      <c r="J533" s="323"/>
      <c r="K533" s="90"/>
      <c r="L533" s="176"/>
      <c r="M533" s="176"/>
      <c r="N533" s="176"/>
      <c r="O533" s="176"/>
      <c r="P533" s="176"/>
      <c r="Q533" s="177"/>
      <c r="R533" s="176"/>
      <c r="S533" s="176"/>
      <c r="T533" s="176"/>
      <c r="U533" s="178"/>
      <c r="V533" s="179"/>
    </row>
    <row r="534">
      <c r="C534" s="172"/>
      <c r="D534" s="172"/>
      <c r="E534" s="173"/>
      <c r="F534" s="137"/>
      <c r="G534" s="137"/>
      <c r="H534" s="137"/>
      <c r="I534" s="129"/>
      <c r="J534" s="323"/>
      <c r="K534" s="90"/>
      <c r="L534" s="176"/>
      <c r="M534" s="176"/>
      <c r="N534" s="176"/>
      <c r="O534" s="176"/>
      <c r="P534" s="176"/>
      <c r="Q534" s="177"/>
      <c r="R534" s="176"/>
      <c r="S534" s="176"/>
      <c r="T534" s="176"/>
      <c r="U534" s="178"/>
      <c r="V534" s="179"/>
    </row>
    <row r="535">
      <c r="C535" s="172"/>
      <c r="D535" s="172"/>
      <c r="E535" s="173"/>
      <c r="F535" s="137"/>
      <c r="G535" s="137"/>
      <c r="H535" s="137"/>
      <c r="I535" s="129"/>
      <c r="J535" s="323"/>
      <c r="K535" s="90"/>
      <c r="L535" s="176"/>
      <c r="M535" s="176"/>
      <c r="N535" s="176"/>
      <c r="O535" s="176"/>
      <c r="P535" s="176"/>
      <c r="Q535" s="177"/>
      <c r="R535" s="176"/>
      <c r="S535" s="176"/>
      <c r="T535" s="176"/>
      <c r="U535" s="178"/>
      <c r="V535" s="179"/>
    </row>
    <row r="536">
      <c r="C536" s="172"/>
      <c r="D536" s="172"/>
      <c r="E536" s="173"/>
      <c r="F536" s="137"/>
      <c r="G536" s="137"/>
      <c r="H536" s="137"/>
      <c r="I536" s="129"/>
      <c r="J536" s="323"/>
      <c r="K536" s="90"/>
      <c r="L536" s="176"/>
      <c r="M536" s="176"/>
      <c r="N536" s="176"/>
      <c r="O536" s="176"/>
      <c r="P536" s="176"/>
      <c r="Q536" s="177"/>
      <c r="R536" s="176"/>
      <c r="S536" s="176"/>
      <c r="T536" s="176"/>
      <c r="U536" s="178"/>
      <c r="V536" s="179"/>
    </row>
    <row r="537">
      <c r="C537" s="172"/>
      <c r="D537" s="172"/>
      <c r="E537" s="173"/>
      <c r="F537" s="137"/>
      <c r="G537" s="137"/>
      <c r="H537" s="137"/>
      <c r="I537" s="129"/>
      <c r="J537" s="323"/>
      <c r="K537" s="90"/>
      <c r="L537" s="176"/>
      <c r="M537" s="176"/>
      <c r="N537" s="176"/>
      <c r="O537" s="176"/>
      <c r="P537" s="176"/>
      <c r="Q537" s="177"/>
      <c r="R537" s="176"/>
      <c r="S537" s="176"/>
      <c r="T537" s="176"/>
      <c r="U537" s="178"/>
      <c r="V537" s="179"/>
    </row>
    <row r="538">
      <c r="C538" s="172"/>
      <c r="D538" s="172"/>
      <c r="E538" s="173"/>
      <c r="F538" s="137"/>
      <c r="G538" s="137"/>
      <c r="H538" s="137"/>
      <c r="I538" s="129"/>
      <c r="J538" s="323"/>
      <c r="K538" s="90"/>
      <c r="L538" s="176"/>
      <c r="M538" s="176"/>
      <c r="N538" s="176"/>
      <c r="O538" s="176"/>
      <c r="P538" s="176"/>
      <c r="Q538" s="177"/>
      <c r="R538" s="176"/>
      <c r="S538" s="176"/>
      <c r="T538" s="176"/>
      <c r="U538" s="178"/>
      <c r="V538" s="179"/>
    </row>
    <row r="539">
      <c r="C539" s="172"/>
      <c r="D539" s="172"/>
      <c r="E539" s="173"/>
      <c r="F539" s="137"/>
      <c r="G539" s="137"/>
      <c r="H539" s="137"/>
      <c r="I539" s="129"/>
      <c r="J539" s="323"/>
      <c r="K539" s="90"/>
      <c r="L539" s="176"/>
      <c r="M539" s="176"/>
      <c r="N539" s="176"/>
      <c r="O539" s="176"/>
      <c r="P539" s="176"/>
      <c r="Q539" s="177"/>
      <c r="R539" s="176"/>
      <c r="S539" s="176"/>
      <c r="T539" s="176"/>
      <c r="U539" s="178"/>
      <c r="V539" s="179"/>
    </row>
    <row r="540">
      <c r="C540" s="172"/>
      <c r="D540" s="172"/>
      <c r="E540" s="173"/>
      <c r="F540" s="137"/>
      <c r="G540" s="137"/>
      <c r="H540" s="137"/>
      <c r="I540" s="129"/>
      <c r="J540" s="323"/>
      <c r="K540" s="90"/>
      <c r="L540" s="176"/>
      <c r="M540" s="176"/>
      <c r="N540" s="176"/>
      <c r="O540" s="176"/>
      <c r="P540" s="176"/>
      <c r="Q540" s="177"/>
      <c r="R540" s="176"/>
      <c r="S540" s="176"/>
      <c r="T540" s="176"/>
      <c r="U540" s="178"/>
      <c r="V540" s="179"/>
    </row>
    <row r="541">
      <c r="C541" s="172"/>
      <c r="D541" s="172"/>
      <c r="E541" s="173"/>
      <c r="F541" s="137"/>
      <c r="G541" s="137"/>
      <c r="H541" s="137"/>
      <c r="I541" s="129"/>
      <c r="J541" s="323"/>
      <c r="K541" s="90"/>
      <c r="L541" s="176"/>
      <c r="M541" s="176"/>
      <c r="N541" s="176"/>
      <c r="O541" s="176"/>
      <c r="P541" s="176"/>
      <c r="Q541" s="177"/>
      <c r="R541" s="176"/>
      <c r="S541" s="176"/>
      <c r="T541" s="176"/>
      <c r="U541" s="178"/>
      <c r="V541" s="179"/>
    </row>
    <row r="542">
      <c r="C542" s="172"/>
      <c r="D542" s="172"/>
      <c r="E542" s="173"/>
      <c r="F542" s="137"/>
      <c r="G542" s="137"/>
      <c r="H542" s="137"/>
      <c r="I542" s="129"/>
      <c r="J542" s="323"/>
      <c r="K542" s="90"/>
      <c r="L542" s="176"/>
      <c r="M542" s="176"/>
      <c r="N542" s="176"/>
      <c r="O542" s="176"/>
      <c r="P542" s="176"/>
      <c r="Q542" s="177"/>
      <c r="R542" s="176"/>
      <c r="S542" s="176"/>
      <c r="T542" s="176"/>
      <c r="U542" s="178"/>
      <c r="V542" s="179"/>
    </row>
    <row r="543">
      <c r="C543" s="172"/>
      <c r="D543" s="172"/>
      <c r="E543" s="173"/>
      <c r="F543" s="137"/>
      <c r="G543" s="137"/>
      <c r="H543" s="137"/>
      <c r="I543" s="129"/>
      <c r="J543" s="323"/>
      <c r="K543" s="90"/>
      <c r="L543" s="176"/>
      <c r="M543" s="176"/>
      <c r="N543" s="176"/>
      <c r="O543" s="176"/>
      <c r="P543" s="176"/>
      <c r="Q543" s="177"/>
      <c r="R543" s="176"/>
      <c r="S543" s="176"/>
      <c r="T543" s="176"/>
      <c r="U543" s="178"/>
      <c r="V543" s="179"/>
    </row>
    <row r="544">
      <c r="C544" s="172"/>
      <c r="D544" s="172"/>
      <c r="E544" s="173"/>
      <c r="F544" s="137"/>
      <c r="G544" s="137"/>
      <c r="H544" s="137"/>
      <c r="I544" s="129"/>
      <c r="J544" s="323"/>
      <c r="K544" s="90"/>
      <c r="L544" s="176"/>
      <c r="M544" s="176"/>
      <c r="N544" s="176"/>
      <c r="O544" s="176"/>
      <c r="P544" s="176"/>
      <c r="Q544" s="177"/>
      <c r="R544" s="176"/>
      <c r="S544" s="176"/>
      <c r="T544" s="176"/>
      <c r="U544" s="178"/>
      <c r="V544" s="179"/>
    </row>
    <row r="545">
      <c r="C545" s="172"/>
      <c r="D545" s="172"/>
      <c r="E545" s="173"/>
      <c r="F545" s="137"/>
      <c r="G545" s="137"/>
      <c r="H545" s="137"/>
      <c r="I545" s="129"/>
      <c r="J545" s="323"/>
      <c r="K545" s="90"/>
      <c r="L545" s="176"/>
      <c r="M545" s="176"/>
      <c r="N545" s="176"/>
      <c r="O545" s="176"/>
      <c r="P545" s="176"/>
      <c r="Q545" s="177"/>
      <c r="R545" s="176"/>
      <c r="S545" s="176"/>
      <c r="T545" s="176"/>
      <c r="U545" s="178"/>
      <c r="V545" s="179"/>
    </row>
    <row r="546">
      <c r="C546" s="172"/>
      <c r="D546" s="172"/>
      <c r="E546" s="173"/>
      <c r="F546" s="137"/>
      <c r="G546" s="137"/>
      <c r="H546" s="137"/>
      <c r="I546" s="129"/>
      <c r="J546" s="323"/>
      <c r="K546" s="90"/>
      <c r="L546" s="176"/>
      <c r="M546" s="176"/>
      <c r="N546" s="176"/>
      <c r="O546" s="176"/>
      <c r="P546" s="176"/>
      <c r="Q546" s="177"/>
      <c r="R546" s="176"/>
      <c r="S546" s="176"/>
      <c r="T546" s="176"/>
      <c r="U546" s="178"/>
      <c r="V546" s="179"/>
    </row>
    <row r="547">
      <c r="C547" s="172"/>
      <c r="D547" s="172"/>
      <c r="E547" s="173"/>
      <c r="F547" s="137"/>
      <c r="G547" s="137"/>
      <c r="H547" s="137"/>
      <c r="I547" s="129"/>
      <c r="J547" s="323"/>
      <c r="K547" s="90"/>
      <c r="L547" s="176"/>
      <c r="M547" s="176"/>
      <c r="N547" s="176"/>
      <c r="O547" s="176"/>
      <c r="P547" s="176"/>
      <c r="Q547" s="177"/>
      <c r="R547" s="176"/>
      <c r="S547" s="176"/>
      <c r="T547" s="176"/>
      <c r="U547" s="178"/>
      <c r="V547" s="179"/>
    </row>
    <row r="548">
      <c r="C548" s="172"/>
      <c r="D548" s="172"/>
      <c r="E548" s="173"/>
      <c r="F548" s="137"/>
      <c r="G548" s="137"/>
      <c r="H548" s="137"/>
      <c r="I548" s="129"/>
      <c r="J548" s="323"/>
      <c r="K548" s="90"/>
      <c r="L548" s="176"/>
      <c r="M548" s="176"/>
      <c r="N548" s="176"/>
      <c r="O548" s="176"/>
      <c r="P548" s="176"/>
      <c r="Q548" s="177"/>
      <c r="R548" s="176"/>
      <c r="S548" s="176"/>
      <c r="T548" s="176"/>
      <c r="U548" s="178"/>
      <c r="V548" s="179"/>
    </row>
    <row r="549">
      <c r="C549" s="172"/>
      <c r="D549" s="172"/>
      <c r="E549" s="173"/>
      <c r="F549" s="137"/>
      <c r="G549" s="137"/>
      <c r="H549" s="137"/>
      <c r="I549" s="129"/>
      <c r="J549" s="323"/>
      <c r="K549" s="90"/>
      <c r="L549" s="176"/>
      <c r="M549" s="176"/>
      <c r="N549" s="176"/>
      <c r="O549" s="176"/>
      <c r="P549" s="176"/>
      <c r="Q549" s="177"/>
      <c r="R549" s="176"/>
      <c r="S549" s="176"/>
      <c r="T549" s="176"/>
      <c r="U549" s="178"/>
      <c r="V549" s="179"/>
    </row>
    <row r="550">
      <c r="C550" s="172"/>
      <c r="D550" s="172"/>
      <c r="E550" s="173"/>
      <c r="F550" s="137"/>
      <c r="G550" s="137"/>
      <c r="H550" s="137"/>
      <c r="I550" s="129"/>
      <c r="J550" s="323"/>
      <c r="K550" s="90"/>
      <c r="L550" s="176"/>
      <c r="M550" s="176"/>
      <c r="N550" s="176"/>
      <c r="O550" s="176"/>
      <c r="P550" s="176"/>
      <c r="Q550" s="177"/>
      <c r="R550" s="176"/>
      <c r="S550" s="176"/>
      <c r="T550" s="176"/>
      <c r="U550" s="178"/>
      <c r="V550" s="179"/>
    </row>
    <row r="551">
      <c r="C551" s="172"/>
      <c r="D551" s="172"/>
      <c r="E551" s="173"/>
      <c r="F551" s="137"/>
      <c r="G551" s="137"/>
      <c r="H551" s="137"/>
      <c r="I551" s="129"/>
      <c r="J551" s="323"/>
      <c r="K551" s="90"/>
      <c r="L551" s="176"/>
      <c r="M551" s="176"/>
      <c r="N551" s="176"/>
      <c r="O551" s="176"/>
      <c r="P551" s="176"/>
      <c r="Q551" s="177"/>
      <c r="R551" s="176"/>
      <c r="S551" s="176"/>
      <c r="T551" s="176"/>
      <c r="U551" s="178"/>
      <c r="V551" s="179"/>
    </row>
    <row r="552">
      <c r="C552" s="172"/>
      <c r="D552" s="172"/>
      <c r="E552" s="173"/>
      <c r="F552" s="137"/>
      <c r="G552" s="137"/>
      <c r="H552" s="137"/>
      <c r="I552" s="129"/>
      <c r="J552" s="323"/>
      <c r="K552" s="90"/>
      <c r="L552" s="176"/>
      <c r="M552" s="176"/>
      <c r="N552" s="176"/>
      <c r="O552" s="176"/>
      <c r="P552" s="176"/>
      <c r="Q552" s="177"/>
      <c r="R552" s="176"/>
      <c r="S552" s="176"/>
      <c r="T552" s="176"/>
      <c r="U552" s="178"/>
      <c r="V552" s="179"/>
    </row>
    <row r="553">
      <c r="C553" s="172"/>
      <c r="D553" s="172"/>
      <c r="E553" s="173"/>
      <c r="F553" s="137"/>
      <c r="G553" s="137"/>
      <c r="H553" s="137"/>
      <c r="I553" s="129"/>
      <c r="J553" s="323"/>
      <c r="K553" s="90"/>
      <c r="L553" s="176"/>
      <c r="M553" s="176"/>
      <c r="N553" s="176"/>
      <c r="O553" s="176"/>
      <c r="P553" s="176"/>
      <c r="Q553" s="177"/>
      <c r="R553" s="176"/>
      <c r="S553" s="176"/>
      <c r="T553" s="176"/>
      <c r="U553" s="178"/>
      <c r="V553" s="179"/>
    </row>
    <row r="554">
      <c r="C554" s="172"/>
      <c r="D554" s="172"/>
      <c r="E554" s="173"/>
      <c r="F554" s="137"/>
      <c r="G554" s="137"/>
      <c r="H554" s="137"/>
      <c r="I554" s="129"/>
      <c r="J554" s="323"/>
      <c r="K554" s="90"/>
      <c r="L554" s="176"/>
      <c r="M554" s="176"/>
      <c r="N554" s="176"/>
      <c r="O554" s="176"/>
      <c r="P554" s="176"/>
      <c r="Q554" s="177"/>
      <c r="R554" s="176"/>
      <c r="S554" s="176"/>
      <c r="T554" s="176"/>
      <c r="U554" s="178"/>
      <c r="V554" s="179"/>
    </row>
    <row r="555">
      <c r="C555" s="172"/>
      <c r="D555" s="172"/>
      <c r="E555" s="173"/>
      <c r="F555" s="137"/>
      <c r="G555" s="137"/>
      <c r="H555" s="137"/>
      <c r="I555" s="129"/>
      <c r="J555" s="323"/>
      <c r="K555" s="90"/>
      <c r="L555" s="176"/>
      <c r="M555" s="176"/>
      <c r="N555" s="176"/>
      <c r="O555" s="176"/>
      <c r="P555" s="176"/>
      <c r="Q555" s="177"/>
      <c r="R555" s="176"/>
      <c r="S555" s="176"/>
      <c r="T555" s="176"/>
      <c r="U555" s="178"/>
      <c r="V555" s="179"/>
    </row>
    <row r="556">
      <c r="C556" s="172"/>
      <c r="D556" s="172"/>
      <c r="E556" s="173"/>
      <c r="F556" s="137"/>
      <c r="G556" s="137"/>
      <c r="H556" s="137"/>
      <c r="I556" s="129"/>
      <c r="J556" s="323"/>
      <c r="K556" s="90"/>
      <c r="L556" s="176"/>
      <c r="M556" s="176"/>
      <c r="N556" s="176"/>
      <c r="O556" s="176"/>
      <c r="P556" s="176"/>
      <c r="Q556" s="177"/>
      <c r="R556" s="176"/>
      <c r="S556" s="176"/>
      <c r="T556" s="176"/>
      <c r="U556" s="178"/>
      <c r="V556" s="179"/>
    </row>
    <row r="557">
      <c r="C557" s="172"/>
      <c r="D557" s="172"/>
      <c r="E557" s="173"/>
      <c r="F557" s="137"/>
      <c r="G557" s="137"/>
      <c r="H557" s="137"/>
      <c r="I557" s="129"/>
      <c r="J557" s="323"/>
      <c r="K557" s="90"/>
      <c r="L557" s="176"/>
      <c r="M557" s="176"/>
      <c r="N557" s="176"/>
      <c r="O557" s="176"/>
      <c r="P557" s="176"/>
      <c r="Q557" s="177"/>
      <c r="R557" s="176"/>
      <c r="S557" s="176"/>
      <c r="T557" s="176"/>
      <c r="U557" s="178"/>
      <c r="V557" s="179"/>
    </row>
    <row r="558">
      <c r="C558" s="172"/>
      <c r="D558" s="172"/>
      <c r="E558" s="173"/>
      <c r="F558" s="137"/>
      <c r="G558" s="137"/>
      <c r="H558" s="137"/>
      <c r="I558" s="129"/>
      <c r="J558" s="323"/>
      <c r="K558" s="90"/>
      <c r="L558" s="176"/>
      <c r="M558" s="176"/>
      <c r="N558" s="176"/>
      <c r="O558" s="176"/>
      <c r="P558" s="176"/>
      <c r="Q558" s="177"/>
      <c r="R558" s="176"/>
      <c r="S558" s="176"/>
      <c r="T558" s="176"/>
      <c r="U558" s="178"/>
      <c r="V558" s="179"/>
    </row>
    <row r="559">
      <c r="C559" s="172"/>
      <c r="D559" s="172"/>
      <c r="E559" s="173"/>
      <c r="F559" s="137"/>
      <c r="G559" s="137"/>
      <c r="H559" s="137"/>
      <c r="I559" s="129"/>
      <c r="J559" s="323"/>
      <c r="K559" s="90"/>
      <c r="L559" s="176"/>
      <c r="M559" s="176"/>
      <c r="N559" s="176"/>
      <c r="O559" s="176"/>
      <c r="P559" s="176"/>
      <c r="Q559" s="177"/>
      <c r="R559" s="176"/>
      <c r="S559" s="176"/>
      <c r="T559" s="176"/>
      <c r="U559" s="178"/>
      <c r="V559" s="179"/>
    </row>
    <row r="560">
      <c r="C560" s="172"/>
      <c r="D560" s="172"/>
      <c r="E560" s="173"/>
      <c r="F560" s="137"/>
      <c r="G560" s="137"/>
      <c r="H560" s="137"/>
      <c r="I560" s="129"/>
      <c r="J560" s="323"/>
      <c r="K560" s="90"/>
      <c r="L560" s="176"/>
      <c r="M560" s="176"/>
      <c r="N560" s="176"/>
      <c r="O560" s="176"/>
      <c r="P560" s="176"/>
      <c r="Q560" s="177"/>
      <c r="R560" s="176"/>
      <c r="S560" s="176"/>
      <c r="T560" s="176"/>
      <c r="U560" s="178"/>
      <c r="V560" s="179"/>
    </row>
    <row r="561">
      <c r="C561" s="172"/>
      <c r="D561" s="172"/>
      <c r="E561" s="173"/>
      <c r="F561" s="137"/>
      <c r="G561" s="137"/>
      <c r="H561" s="137"/>
      <c r="I561" s="129"/>
      <c r="J561" s="323"/>
      <c r="K561" s="90"/>
      <c r="L561" s="176"/>
      <c r="M561" s="176"/>
      <c r="N561" s="176"/>
      <c r="O561" s="176"/>
      <c r="P561" s="176"/>
      <c r="Q561" s="177"/>
      <c r="R561" s="176"/>
      <c r="S561" s="176"/>
      <c r="T561" s="176"/>
      <c r="U561" s="178"/>
      <c r="V561" s="179"/>
    </row>
    <row r="562">
      <c r="C562" s="172"/>
      <c r="D562" s="172"/>
      <c r="E562" s="173"/>
      <c r="F562" s="137"/>
      <c r="G562" s="137"/>
      <c r="H562" s="137"/>
      <c r="I562" s="129"/>
      <c r="J562" s="323"/>
      <c r="K562" s="90"/>
      <c r="L562" s="176"/>
      <c r="M562" s="176"/>
      <c r="N562" s="176"/>
      <c r="O562" s="176"/>
      <c r="P562" s="176"/>
      <c r="Q562" s="177"/>
      <c r="R562" s="176"/>
      <c r="S562" s="176"/>
      <c r="T562" s="176"/>
      <c r="U562" s="178"/>
      <c r="V562" s="179"/>
    </row>
    <row r="563">
      <c r="C563" s="172"/>
      <c r="D563" s="172"/>
      <c r="E563" s="173"/>
      <c r="F563" s="137"/>
      <c r="G563" s="137"/>
      <c r="H563" s="137"/>
      <c r="I563" s="129"/>
      <c r="J563" s="323"/>
      <c r="K563" s="90"/>
      <c r="L563" s="176"/>
      <c r="M563" s="176"/>
      <c r="N563" s="176"/>
      <c r="O563" s="176"/>
      <c r="P563" s="176"/>
      <c r="Q563" s="177"/>
      <c r="R563" s="176"/>
      <c r="S563" s="176"/>
      <c r="T563" s="176"/>
      <c r="U563" s="178"/>
      <c r="V563" s="179"/>
    </row>
    <row r="564">
      <c r="C564" s="172"/>
      <c r="D564" s="172"/>
      <c r="E564" s="173"/>
      <c r="F564" s="137"/>
      <c r="G564" s="137"/>
      <c r="H564" s="137"/>
      <c r="I564" s="129"/>
      <c r="J564" s="323"/>
      <c r="K564" s="90"/>
      <c r="L564" s="176"/>
      <c r="M564" s="176"/>
      <c r="N564" s="176"/>
      <c r="O564" s="176"/>
      <c r="P564" s="176"/>
      <c r="Q564" s="177"/>
      <c r="R564" s="176"/>
      <c r="S564" s="176"/>
      <c r="T564" s="176"/>
      <c r="U564" s="178"/>
      <c r="V564" s="179"/>
    </row>
    <row r="565">
      <c r="C565" s="172"/>
      <c r="D565" s="172"/>
      <c r="E565" s="173"/>
      <c r="F565" s="137"/>
      <c r="G565" s="137"/>
      <c r="H565" s="137"/>
      <c r="I565" s="129"/>
      <c r="J565" s="323"/>
      <c r="K565" s="90"/>
      <c r="L565" s="176"/>
      <c r="M565" s="176"/>
      <c r="N565" s="176"/>
      <c r="O565" s="176"/>
      <c r="P565" s="176"/>
      <c r="Q565" s="177"/>
      <c r="R565" s="176"/>
      <c r="S565" s="176"/>
      <c r="T565" s="176"/>
      <c r="U565" s="178"/>
      <c r="V565" s="179"/>
    </row>
    <row r="566">
      <c r="C566" s="172"/>
      <c r="D566" s="172"/>
      <c r="E566" s="173"/>
      <c r="F566" s="137"/>
      <c r="G566" s="137"/>
      <c r="H566" s="137"/>
      <c r="I566" s="129"/>
      <c r="J566" s="323"/>
      <c r="K566" s="90"/>
      <c r="L566" s="176"/>
      <c r="M566" s="176"/>
      <c r="N566" s="176"/>
      <c r="O566" s="176"/>
      <c r="P566" s="176"/>
      <c r="Q566" s="177"/>
      <c r="R566" s="176"/>
      <c r="S566" s="176"/>
      <c r="T566" s="176"/>
      <c r="U566" s="178"/>
      <c r="V566" s="179"/>
    </row>
    <row r="567">
      <c r="C567" s="172"/>
      <c r="D567" s="172"/>
      <c r="E567" s="173"/>
      <c r="F567" s="137"/>
      <c r="G567" s="137"/>
      <c r="H567" s="137"/>
      <c r="I567" s="129"/>
      <c r="J567" s="323"/>
      <c r="K567" s="90"/>
      <c r="L567" s="176"/>
      <c r="M567" s="176"/>
      <c r="N567" s="176"/>
      <c r="O567" s="176"/>
      <c r="P567" s="176"/>
      <c r="Q567" s="177"/>
      <c r="R567" s="176"/>
      <c r="S567" s="176"/>
      <c r="T567" s="176"/>
      <c r="U567" s="178"/>
      <c r="V567" s="179"/>
    </row>
    <row r="568">
      <c r="C568" s="172"/>
      <c r="D568" s="172"/>
      <c r="E568" s="173"/>
      <c r="F568" s="137"/>
      <c r="G568" s="137"/>
      <c r="H568" s="137"/>
      <c r="I568" s="129"/>
      <c r="J568" s="323"/>
      <c r="K568" s="90"/>
      <c r="L568" s="176"/>
      <c r="M568" s="176"/>
      <c r="N568" s="176"/>
      <c r="O568" s="176"/>
      <c r="P568" s="176"/>
      <c r="Q568" s="177"/>
      <c r="R568" s="176"/>
      <c r="S568" s="176"/>
      <c r="T568" s="176"/>
      <c r="U568" s="178"/>
      <c r="V568" s="179"/>
    </row>
    <row r="569">
      <c r="C569" s="172"/>
      <c r="D569" s="172"/>
      <c r="E569" s="173"/>
      <c r="F569" s="137"/>
      <c r="G569" s="137"/>
      <c r="H569" s="137"/>
      <c r="I569" s="129"/>
      <c r="J569" s="323"/>
      <c r="K569" s="90"/>
      <c r="L569" s="176"/>
      <c r="M569" s="176"/>
      <c r="N569" s="176"/>
      <c r="O569" s="176"/>
      <c r="P569" s="176"/>
      <c r="Q569" s="177"/>
      <c r="R569" s="176"/>
      <c r="S569" s="176"/>
      <c r="T569" s="176"/>
      <c r="U569" s="178"/>
      <c r="V569" s="179"/>
    </row>
    <row r="570">
      <c r="C570" s="172"/>
      <c r="D570" s="172"/>
      <c r="E570" s="173"/>
      <c r="F570" s="137"/>
      <c r="G570" s="137"/>
      <c r="H570" s="137"/>
      <c r="I570" s="129"/>
      <c r="J570" s="323"/>
      <c r="K570" s="90"/>
      <c r="L570" s="176"/>
      <c r="M570" s="176"/>
      <c r="N570" s="176"/>
      <c r="O570" s="176"/>
      <c r="P570" s="176"/>
      <c r="Q570" s="177"/>
      <c r="R570" s="176"/>
      <c r="S570" s="176"/>
      <c r="T570" s="176"/>
      <c r="U570" s="178"/>
      <c r="V570" s="179"/>
    </row>
    <row r="571">
      <c r="C571" s="172"/>
      <c r="D571" s="172"/>
      <c r="E571" s="173"/>
      <c r="F571" s="137"/>
      <c r="G571" s="137"/>
      <c r="H571" s="137"/>
      <c r="I571" s="129"/>
      <c r="J571" s="323"/>
      <c r="K571" s="90"/>
      <c r="L571" s="176"/>
      <c r="M571" s="176"/>
      <c r="N571" s="176"/>
      <c r="O571" s="176"/>
      <c r="P571" s="176"/>
      <c r="Q571" s="177"/>
      <c r="R571" s="176"/>
      <c r="S571" s="176"/>
      <c r="T571" s="176"/>
      <c r="U571" s="178"/>
      <c r="V571" s="179"/>
    </row>
    <row r="572">
      <c r="C572" s="172"/>
      <c r="D572" s="172"/>
      <c r="E572" s="173"/>
      <c r="F572" s="137"/>
      <c r="G572" s="137"/>
      <c r="H572" s="137"/>
      <c r="I572" s="129"/>
      <c r="J572" s="323"/>
      <c r="K572" s="90"/>
      <c r="L572" s="176"/>
      <c r="M572" s="176"/>
      <c r="N572" s="176"/>
      <c r="O572" s="176"/>
      <c r="P572" s="176"/>
      <c r="Q572" s="177"/>
      <c r="R572" s="176"/>
      <c r="S572" s="176"/>
      <c r="T572" s="176"/>
      <c r="U572" s="178"/>
      <c r="V572" s="179"/>
    </row>
    <row r="573">
      <c r="C573" s="172"/>
      <c r="D573" s="172"/>
      <c r="E573" s="173"/>
      <c r="F573" s="137"/>
      <c r="G573" s="137"/>
      <c r="H573" s="137"/>
      <c r="I573" s="129"/>
      <c r="J573" s="323"/>
      <c r="K573" s="90"/>
      <c r="L573" s="176"/>
      <c r="M573" s="176"/>
      <c r="N573" s="176"/>
      <c r="O573" s="176"/>
      <c r="P573" s="176"/>
      <c r="Q573" s="177"/>
      <c r="R573" s="176"/>
      <c r="S573" s="176"/>
      <c r="T573" s="176"/>
      <c r="U573" s="178"/>
      <c r="V573" s="179"/>
    </row>
    <row r="574">
      <c r="C574" s="172"/>
      <c r="D574" s="172"/>
      <c r="E574" s="173"/>
      <c r="F574" s="137"/>
      <c r="G574" s="137"/>
      <c r="H574" s="137"/>
      <c r="I574" s="129"/>
      <c r="J574" s="323"/>
      <c r="K574" s="90"/>
      <c r="L574" s="176"/>
      <c r="M574" s="176"/>
      <c r="N574" s="176"/>
      <c r="O574" s="176"/>
      <c r="P574" s="176"/>
      <c r="Q574" s="177"/>
      <c r="R574" s="176"/>
      <c r="S574" s="176"/>
      <c r="T574" s="176"/>
      <c r="U574" s="178"/>
      <c r="V574" s="179"/>
    </row>
    <row r="575">
      <c r="C575" s="172"/>
      <c r="D575" s="172"/>
      <c r="E575" s="173"/>
      <c r="F575" s="137"/>
      <c r="G575" s="137"/>
      <c r="H575" s="137"/>
      <c r="I575" s="129"/>
      <c r="J575" s="323"/>
      <c r="K575" s="90"/>
      <c r="L575" s="176"/>
      <c r="M575" s="176"/>
      <c r="N575" s="176"/>
      <c r="O575" s="176"/>
      <c r="P575" s="176"/>
      <c r="Q575" s="177"/>
      <c r="R575" s="176"/>
      <c r="S575" s="176"/>
      <c r="T575" s="176"/>
      <c r="U575" s="178"/>
      <c r="V575" s="179"/>
    </row>
    <row r="576">
      <c r="C576" s="172"/>
      <c r="D576" s="172"/>
      <c r="E576" s="173"/>
      <c r="F576" s="137"/>
      <c r="G576" s="137"/>
      <c r="H576" s="137"/>
      <c r="I576" s="129"/>
      <c r="J576" s="323"/>
      <c r="K576" s="90"/>
      <c r="L576" s="176"/>
      <c r="M576" s="176"/>
      <c r="N576" s="176"/>
      <c r="O576" s="176"/>
      <c r="P576" s="176"/>
      <c r="Q576" s="177"/>
      <c r="R576" s="176"/>
      <c r="S576" s="176"/>
      <c r="T576" s="176"/>
      <c r="U576" s="178"/>
      <c r="V576" s="179"/>
    </row>
    <row r="577">
      <c r="C577" s="172"/>
      <c r="D577" s="172"/>
      <c r="E577" s="173"/>
      <c r="F577" s="137"/>
      <c r="G577" s="137"/>
      <c r="H577" s="137"/>
      <c r="I577" s="129"/>
      <c r="J577" s="323"/>
      <c r="K577" s="90"/>
      <c r="L577" s="176"/>
      <c r="M577" s="176"/>
      <c r="N577" s="176"/>
      <c r="O577" s="176"/>
      <c r="P577" s="176"/>
      <c r="Q577" s="177"/>
      <c r="R577" s="176"/>
      <c r="S577" s="176"/>
      <c r="T577" s="176"/>
      <c r="U577" s="178"/>
      <c r="V577" s="179"/>
    </row>
    <row r="578">
      <c r="C578" s="172"/>
      <c r="D578" s="172"/>
      <c r="E578" s="173"/>
      <c r="F578" s="137"/>
      <c r="G578" s="137"/>
      <c r="H578" s="137"/>
      <c r="I578" s="129"/>
      <c r="J578" s="323"/>
      <c r="K578" s="90"/>
      <c r="L578" s="176"/>
      <c r="M578" s="176"/>
      <c r="N578" s="176"/>
      <c r="O578" s="176"/>
      <c r="P578" s="176"/>
      <c r="Q578" s="177"/>
      <c r="R578" s="176"/>
      <c r="S578" s="176"/>
      <c r="T578" s="176"/>
      <c r="U578" s="178"/>
      <c r="V578" s="179"/>
    </row>
    <row r="579">
      <c r="C579" s="172"/>
      <c r="D579" s="172"/>
      <c r="E579" s="173"/>
      <c r="F579" s="137"/>
      <c r="G579" s="137"/>
      <c r="H579" s="137"/>
      <c r="I579" s="129"/>
      <c r="J579" s="323"/>
      <c r="K579" s="90"/>
      <c r="L579" s="176"/>
      <c r="M579" s="176"/>
      <c r="N579" s="176"/>
      <c r="O579" s="176"/>
      <c r="P579" s="176"/>
      <c r="Q579" s="177"/>
      <c r="R579" s="176"/>
      <c r="S579" s="176"/>
      <c r="T579" s="176"/>
      <c r="U579" s="178"/>
      <c r="V579" s="179"/>
    </row>
    <row r="580">
      <c r="C580" s="172"/>
      <c r="D580" s="172"/>
      <c r="E580" s="173"/>
      <c r="F580" s="137"/>
      <c r="G580" s="137"/>
      <c r="H580" s="137"/>
      <c r="I580" s="129"/>
      <c r="J580" s="323"/>
      <c r="K580" s="90"/>
      <c r="L580" s="176"/>
      <c r="M580" s="176"/>
      <c r="N580" s="176"/>
      <c r="O580" s="176"/>
      <c r="P580" s="176"/>
      <c r="Q580" s="177"/>
      <c r="R580" s="176"/>
      <c r="S580" s="176"/>
      <c r="T580" s="176"/>
      <c r="U580" s="178"/>
      <c r="V580" s="179"/>
    </row>
    <row r="581">
      <c r="C581" s="172"/>
      <c r="D581" s="172"/>
      <c r="E581" s="173"/>
      <c r="F581" s="137"/>
      <c r="G581" s="137"/>
      <c r="H581" s="137"/>
      <c r="I581" s="129"/>
      <c r="J581" s="323"/>
      <c r="K581" s="90"/>
      <c r="L581" s="176"/>
      <c r="M581" s="176"/>
      <c r="N581" s="176"/>
      <c r="O581" s="176"/>
      <c r="P581" s="176"/>
      <c r="Q581" s="177"/>
      <c r="R581" s="176"/>
      <c r="S581" s="176"/>
      <c r="T581" s="176"/>
      <c r="U581" s="178"/>
      <c r="V581" s="179"/>
    </row>
    <row r="582">
      <c r="C582" s="172"/>
      <c r="D582" s="172"/>
      <c r="E582" s="173"/>
      <c r="F582" s="137"/>
      <c r="G582" s="137"/>
      <c r="H582" s="137"/>
      <c r="I582" s="129"/>
      <c r="J582" s="323"/>
      <c r="K582" s="90"/>
      <c r="L582" s="176"/>
      <c r="M582" s="176"/>
      <c r="N582" s="176"/>
      <c r="O582" s="176"/>
      <c r="P582" s="176"/>
      <c r="Q582" s="177"/>
      <c r="R582" s="176"/>
      <c r="S582" s="176"/>
      <c r="T582" s="176"/>
      <c r="U582" s="178"/>
      <c r="V582" s="179"/>
    </row>
    <row r="583">
      <c r="C583" s="172"/>
      <c r="D583" s="172"/>
      <c r="E583" s="173"/>
      <c r="F583" s="137"/>
      <c r="G583" s="137"/>
      <c r="H583" s="137"/>
      <c r="I583" s="129"/>
      <c r="J583" s="323"/>
      <c r="K583" s="90"/>
      <c r="L583" s="176"/>
      <c r="M583" s="176"/>
      <c r="N583" s="176"/>
      <c r="O583" s="176"/>
      <c r="P583" s="176"/>
      <c r="Q583" s="177"/>
      <c r="R583" s="176"/>
      <c r="S583" s="176"/>
      <c r="T583" s="176"/>
      <c r="U583" s="178"/>
      <c r="V583" s="179"/>
    </row>
    <row r="584">
      <c r="C584" s="172"/>
      <c r="D584" s="172"/>
      <c r="E584" s="173"/>
      <c r="F584" s="137"/>
      <c r="G584" s="137"/>
      <c r="H584" s="137"/>
      <c r="I584" s="129"/>
      <c r="J584" s="323"/>
      <c r="K584" s="90"/>
      <c r="L584" s="176"/>
      <c r="M584" s="176"/>
      <c r="N584" s="176"/>
      <c r="O584" s="176"/>
      <c r="P584" s="176"/>
      <c r="Q584" s="177"/>
      <c r="R584" s="176"/>
      <c r="S584" s="176"/>
      <c r="T584" s="176"/>
      <c r="U584" s="178"/>
      <c r="V584" s="179"/>
    </row>
    <row r="585">
      <c r="C585" s="172"/>
      <c r="D585" s="172"/>
      <c r="E585" s="173"/>
      <c r="F585" s="137"/>
      <c r="G585" s="137"/>
      <c r="H585" s="137"/>
      <c r="I585" s="129"/>
      <c r="J585" s="323"/>
      <c r="K585" s="90"/>
      <c r="L585" s="176"/>
      <c r="M585" s="176"/>
      <c r="N585" s="176"/>
      <c r="O585" s="176"/>
      <c r="P585" s="176"/>
      <c r="Q585" s="177"/>
      <c r="R585" s="176"/>
      <c r="S585" s="176"/>
      <c r="T585" s="176"/>
      <c r="U585" s="178"/>
      <c r="V585" s="179"/>
    </row>
    <row r="586">
      <c r="C586" s="172"/>
      <c r="D586" s="172"/>
      <c r="E586" s="173"/>
      <c r="F586" s="137"/>
      <c r="G586" s="137"/>
      <c r="H586" s="137"/>
      <c r="I586" s="129"/>
      <c r="J586" s="323"/>
      <c r="K586" s="90"/>
      <c r="L586" s="176"/>
      <c r="M586" s="176"/>
      <c r="N586" s="176"/>
      <c r="O586" s="176"/>
      <c r="P586" s="176"/>
      <c r="Q586" s="177"/>
      <c r="R586" s="176"/>
      <c r="S586" s="176"/>
      <c r="T586" s="176"/>
      <c r="U586" s="178"/>
      <c r="V586" s="179"/>
    </row>
    <row r="587">
      <c r="C587" s="172"/>
      <c r="D587" s="172"/>
      <c r="E587" s="173"/>
      <c r="F587" s="137"/>
      <c r="G587" s="137"/>
      <c r="H587" s="137"/>
      <c r="I587" s="129"/>
      <c r="J587" s="323"/>
      <c r="K587" s="90"/>
      <c r="L587" s="176"/>
      <c r="M587" s="176"/>
      <c r="N587" s="176"/>
      <c r="O587" s="176"/>
      <c r="P587" s="176"/>
      <c r="Q587" s="177"/>
      <c r="R587" s="176"/>
      <c r="S587" s="176"/>
      <c r="T587" s="176"/>
      <c r="U587" s="178"/>
      <c r="V587" s="179"/>
    </row>
    <row r="588">
      <c r="C588" s="172"/>
      <c r="D588" s="172"/>
      <c r="E588" s="173"/>
      <c r="F588" s="137"/>
      <c r="G588" s="137"/>
      <c r="H588" s="137"/>
      <c r="I588" s="129"/>
      <c r="J588" s="323"/>
      <c r="K588" s="90"/>
      <c r="L588" s="176"/>
      <c r="M588" s="176"/>
      <c r="N588" s="176"/>
      <c r="O588" s="176"/>
      <c r="P588" s="176"/>
      <c r="Q588" s="177"/>
      <c r="R588" s="176"/>
      <c r="S588" s="176"/>
      <c r="T588" s="176"/>
      <c r="U588" s="178"/>
      <c r="V588" s="179"/>
    </row>
    <row r="589">
      <c r="C589" s="172"/>
      <c r="D589" s="172"/>
      <c r="E589" s="173"/>
      <c r="F589" s="137"/>
      <c r="G589" s="137"/>
      <c r="H589" s="137"/>
      <c r="I589" s="129"/>
      <c r="J589" s="323"/>
      <c r="K589" s="90"/>
      <c r="L589" s="176"/>
      <c r="M589" s="176"/>
      <c r="N589" s="176"/>
      <c r="O589" s="176"/>
      <c r="P589" s="176"/>
      <c r="Q589" s="177"/>
      <c r="R589" s="176"/>
      <c r="S589" s="176"/>
      <c r="T589" s="176"/>
      <c r="U589" s="178"/>
      <c r="V589" s="179"/>
    </row>
    <row r="590">
      <c r="C590" s="172"/>
      <c r="D590" s="172"/>
      <c r="E590" s="173"/>
      <c r="F590" s="137"/>
      <c r="G590" s="137"/>
      <c r="H590" s="137"/>
      <c r="I590" s="129"/>
      <c r="J590" s="323"/>
      <c r="K590" s="90"/>
      <c r="L590" s="176"/>
      <c r="M590" s="176"/>
      <c r="N590" s="176"/>
      <c r="O590" s="176"/>
      <c r="P590" s="176"/>
      <c r="Q590" s="177"/>
      <c r="R590" s="176"/>
      <c r="S590" s="176"/>
      <c r="T590" s="176"/>
      <c r="U590" s="178"/>
      <c r="V590" s="179"/>
    </row>
    <row r="591">
      <c r="C591" s="172"/>
      <c r="D591" s="172"/>
      <c r="E591" s="173"/>
      <c r="F591" s="137"/>
      <c r="G591" s="137"/>
      <c r="H591" s="137"/>
      <c r="I591" s="129"/>
      <c r="J591" s="323"/>
      <c r="K591" s="90"/>
      <c r="L591" s="176"/>
      <c r="M591" s="176"/>
      <c r="N591" s="176"/>
      <c r="O591" s="176"/>
      <c r="P591" s="176"/>
      <c r="Q591" s="177"/>
      <c r="R591" s="176"/>
      <c r="S591" s="176"/>
      <c r="T591" s="176"/>
      <c r="U591" s="178"/>
      <c r="V591" s="179"/>
    </row>
    <row r="592">
      <c r="C592" s="172"/>
      <c r="D592" s="172"/>
      <c r="E592" s="173"/>
      <c r="F592" s="137"/>
      <c r="G592" s="137"/>
      <c r="H592" s="137"/>
      <c r="I592" s="129"/>
      <c r="J592" s="323"/>
      <c r="K592" s="90"/>
      <c r="L592" s="176"/>
      <c r="M592" s="176"/>
      <c r="N592" s="176"/>
      <c r="O592" s="176"/>
      <c r="P592" s="176"/>
      <c r="Q592" s="177"/>
      <c r="R592" s="176"/>
      <c r="S592" s="176"/>
      <c r="T592" s="176"/>
      <c r="U592" s="178"/>
      <c r="V592" s="179"/>
    </row>
    <row r="593">
      <c r="C593" s="172"/>
      <c r="D593" s="172"/>
      <c r="E593" s="173"/>
      <c r="F593" s="137"/>
      <c r="G593" s="137"/>
      <c r="H593" s="137"/>
      <c r="I593" s="129"/>
      <c r="J593" s="323"/>
      <c r="K593" s="90"/>
      <c r="L593" s="176"/>
      <c r="M593" s="176"/>
      <c r="N593" s="176"/>
      <c r="O593" s="176"/>
      <c r="P593" s="176"/>
      <c r="Q593" s="177"/>
      <c r="R593" s="176"/>
      <c r="S593" s="176"/>
      <c r="T593" s="176"/>
      <c r="U593" s="178"/>
      <c r="V593" s="179"/>
    </row>
    <row r="594">
      <c r="C594" s="172"/>
      <c r="D594" s="172"/>
      <c r="E594" s="173"/>
      <c r="F594" s="137"/>
      <c r="G594" s="137"/>
      <c r="H594" s="137"/>
      <c r="I594" s="129"/>
      <c r="J594" s="323"/>
      <c r="K594" s="90"/>
      <c r="L594" s="176"/>
      <c r="M594" s="176"/>
      <c r="N594" s="176"/>
      <c r="O594" s="176"/>
      <c r="P594" s="176"/>
      <c r="Q594" s="177"/>
      <c r="R594" s="176"/>
      <c r="S594" s="176"/>
      <c r="T594" s="176"/>
      <c r="U594" s="178"/>
      <c r="V594" s="179"/>
    </row>
    <row r="595">
      <c r="C595" s="172"/>
      <c r="D595" s="172"/>
      <c r="E595" s="173"/>
      <c r="F595" s="137"/>
      <c r="G595" s="137"/>
      <c r="H595" s="137"/>
      <c r="I595" s="129"/>
      <c r="J595" s="323"/>
      <c r="K595" s="90"/>
      <c r="L595" s="176"/>
      <c r="M595" s="176"/>
      <c r="N595" s="176"/>
      <c r="O595" s="176"/>
      <c r="P595" s="176"/>
      <c r="Q595" s="177"/>
      <c r="R595" s="176"/>
      <c r="S595" s="176"/>
      <c r="T595" s="176"/>
      <c r="U595" s="178"/>
      <c r="V595" s="179"/>
    </row>
    <row r="596">
      <c r="C596" s="172"/>
      <c r="D596" s="172"/>
      <c r="E596" s="173"/>
      <c r="F596" s="137"/>
      <c r="G596" s="137"/>
      <c r="H596" s="137"/>
      <c r="I596" s="129"/>
      <c r="J596" s="323"/>
      <c r="K596" s="90"/>
      <c r="L596" s="176"/>
      <c r="M596" s="176"/>
      <c r="N596" s="176"/>
      <c r="O596" s="176"/>
      <c r="P596" s="176"/>
      <c r="Q596" s="177"/>
      <c r="R596" s="176"/>
      <c r="S596" s="176"/>
      <c r="T596" s="176"/>
      <c r="U596" s="178"/>
      <c r="V596" s="179"/>
    </row>
    <row r="597">
      <c r="C597" s="172"/>
      <c r="D597" s="172"/>
      <c r="E597" s="173"/>
      <c r="F597" s="137"/>
      <c r="G597" s="137"/>
      <c r="H597" s="137"/>
      <c r="I597" s="129"/>
      <c r="J597" s="323"/>
      <c r="K597" s="90"/>
      <c r="L597" s="176"/>
      <c r="M597" s="176"/>
      <c r="N597" s="176"/>
      <c r="O597" s="176"/>
      <c r="P597" s="176"/>
      <c r="Q597" s="177"/>
      <c r="R597" s="176"/>
      <c r="S597" s="176"/>
      <c r="T597" s="176"/>
      <c r="U597" s="178"/>
      <c r="V597" s="179"/>
    </row>
    <row r="598">
      <c r="C598" s="172"/>
      <c r="D598" s="172"/>
      <c r="E598" s="173"/>
      <c r="F598" s="137"/>
      <c r="G598" s="137"/>
      <c r="H598" s="137"/>
      <c r="I598" s="129"/>
      <c r="J598" s="323"/>
      <c r="K598" s="90"/>
      <c r="L598" s="176"/>
      <c r="M598" s="176"/>
      <c r="N598" s="176"/>
      <c r="O598" s="176"/>
      <c r="P598" s="176"/>
      <c r="Q598" s="177"/>
      <c r="R598" s="176"/>
      <c r="S598" s="176"/>
      <c r="T598" s="176"/>
      <c r="U598" s="178"/>
      <c r="V598" s="179"/>
    </row>
    <row r="599">
      <c r="C599" s="172"/>
      <c r="D599" s="172"/>
      <c r="E599" s="173"/>
      <c r="F599" s="137"/>
      <c r="G599" s="137"/>
      <c r="H599" s="137"/>
      <c r="I599" s="129"/>
      <c r="J599" s="323"/>
      <c r="K599" s="90"/>
      <c r="L599" s="176"/>
      <c r="M599" s="176"/>
      <c r="N599" s="176"/>
      <c r="O599" s="176"/>
      <c r="P599" s="176"/>
      <c r="Q599" s="177"/>
      <c r="R599" s="176"/>
      <c r="S599" s="176"/>
      <c r="T599" s="176"/>
      <c r="U599" s="178"/>
      <c r="V599" s="179"/>
    </row>
    <row r="600">
      <c r="C600" s="172"/>
      <c r="D600" s="172"/>
      <c r="E600" s="173"/>
      <c r="F600" s="137"/>
      <c r="G600" s="137"/>
      <c r="H600" s="137"/>
      <c r="I600" s="129"/>
      <c r="J600" s="323"/>
      <c r="K600" s="90"/>
      <c r="L600" s="176"/>
      <c r="M600" s="176"/>
      <c r="N600" s="176"/>
      <c r="O600" s="176"/>
      <c r="P600" s="176"/>
      <c r="Q600" s="177"/>
      <c r="R600" s="176"/>
      <c r="S600" s="176"/>
      <c r="T600" s="176"/>
      <c r="U600" s="178"/>
      <c r="V600" s="179"/>
    </row>
    <row r="601">
      <c r="C601" s="172"/>
      <c r="D601" s="172"/>
      <c r="E601" s="173"/>
      <c r="F601" s="137"/>
      <c r="G601" s="137"/>
      <c r="H601" s="137"/>
      <c r="I601" s="129"/>
      <c r="J601" s="323"/>
      <c r="K601" s="90"/>
      <c r="L601" s="176"/>
      <c r="M601" s="176"/>
      <c r="N601" s="176"/>
      <c r="O601" s="176"/>
      <c r="P601" s="176"/>
      <c r="Q601" s="177"/>
      <c r="R601" s="176"/>
      <c r="S601" s="176"/>
      <c r="T601" s="176"/>
      <c r="U601" s="178"/>
      <c r="V601" s="179"/>
    </row>
    <row r="602">
      <c r="C602" s="172"/>
      <c r="D602" s="172"/>
      <c r="E602" s="173"/>
      <c r="F602" s="137"/>
      <c r="G602" s="137"/>
      <c r="H602" s="137"/>
      <c r="I602" s="129"/>
      <c r="J602" s="323"/>
      <c r="K602" s="90"/>
      <c r="L602" s="176"/>
      <c r="M602" s="176"/>
      <c r="N602" s="176"/>
      <c r="O602" s="176"/>
      <c r="P602" s="176"/>
      <c r="Q602" s="177"/>
      <c r="R602" s="176"/>
      <c r="S602" s="176"/>
      <c r="T602" s="176"/>
      <c r="U602" s="178"/>
      <c r="V602" s="179"/>
    </row>
    <row r="603">
      <c r="C603" s="172"/>
      <c r="D603" s="172"/>
      <c r="E603" s="173"/>
      <c r="F603" s="137"/>
      <c r="G603" s="137"/>
      <c r="H603" s="137"/>
      <c r="I603" s="129"/>
      <c r="J603" s="323"/>
      <c r="K603" s="90"/>
      <c r="L603" s="176"/>
      <c r="M603" s="176"/>
      <c r="N603" s="176"/>
      <c r="O603" s="176"/>
      <c r="P603" s="176"/>
      <c r="Q603" s="177"/>
      <c r="R603" s="176"/>
      <c r="S603" s="176"/>
      <c r="T603" s="176"/>
      <c r="U603" s="178"/>
      <c r="V603" s="179"/>
    </row>
    <row r="604">
      <c r="C604" s="172"/>
      <c r="D604" s="172"/>
      <c r="E604" s="173"/>
      <c r="F604" s="137"/>
      <c r="G604" s="137"/>
      <c r="H604" s="137"/>
      <c r="I604" s="129"/>
      <c r="J604" s="323"/>
      <c r="K604" s="90"/>
      <c r="L604" s="176"/>
      <c r="M604" s="176"/>
      <c r="N604" s="176"/>
      <c r="O604" s="176"/>
      <c r="P604" s="176"/>
      <c r="Q604" s="177"/>
      <c r="R604" s="176"/>
      <c r="S604" s="176"/>
      <c r="T604" s="176"/>
      <c r="U604" s="178"/>
      <c r="V604" s="179"/>
    </row>
    <row r="605">
      <c r="C605" s="172"/>
      <c r="D605" s="172"/>
      <c r="E605" s="173"/>
      <c r="F605" s="137"/>
      <c r="G605" s="137"/>
      <c r="H605" s="137"/>
      <c r="I605" s="129"/>
      <c r="J605" s="323"/>
      <c r="K605" s="90"/>
      <c r="L605" s="176"/>
      <c r="M605" s="176"/>
      <c r="N605" s="176"/>
      <c r="O605" s="176"/>
      <c r="P605" s="176"/>
      <c r="Q605" s="177"/>
      <c r="R605" s="176"/>
      <c r="S605" s="176"/>
      <c r="T605" s="176"/>
      <c r="U605" s="178"/>
      <c r="V605" s="179"/>
    </row>
    <row r="606">
      <c r="C606" s="172"/>
      <c r="D606" s="172"/>
      <c r="E606" s="173"/>
      <c r="F606" s="137"/>
      <c r="G606" s="137"/>
      <c r="H606" s="137"/>
      <c r="I606" s="129"/>
      <c r="J606" s="323"/>
      <c r="K606" s="90"/>
      <c r="L606" s="176"/>
      <c r="M606" s="176"/>
      <c r="N606" s="176"/>
      <c r="O606" s="176"/>
      <c r="P606" s="176"/>
      <c r="Q606" s="177"/>
      <c r="R606" s="176"/>
      <c r="S606" s="176"/>
      <c r="T606" s="176"/>
      <c r="U606" s="178"/>
      <c r="V606" s="179"/>
    </row>
    <row r="607">
      <c r="C607" s="172"/>
      <c r="D607" s="172"/>
      <c r="E607" s="173"/>
      <c r="F607" s="137"/>
      <c r="G607" s="137"/>
      <c r="H607" s="137"/>
      <c r="I607" s="129"/>
      <c r="J607" s="323"/>
      <c r="K607" s="90"/>
      <c r="L607" s="176"/>
      <c r="M607" s="176"/>
      <c r="N607" s="176"/>
      <c r="O607" s="176"/>
      <c r="P607" s="176"/>
      <c r="Q607" s="177"/>
      <c r="R607" s="176"/>
      <c r="S607" s="176"/>
      <c r="T607" s="176"/>
      <c r="U607" s="178"/>
      <c r="V607" s="179"/>
    </row>
    <row r="608">
      <c r="C608" s="172"/>
      <c r="D608" s="172"/>
      <c r="E608" s="173"/>
      <c r="F608" s="137"/>
      <c r="G608" s="137"/>
      <c r="H608" s="137"/>
      <c r="I608" s="129"/>
      <c r="J608" s="323"/>
      <c r="K608" s="90"/>
      <c r="L608" s="176"/>
      <c r="M608" s="176"/>
      <c r="N608" s="176"/>
      <c r="O608" s="176"/>
      <c r="P608" s="176"/>
      <c r="Q608" s="177"/>
      <c r="R608" s="176"/>
      <c r="S608" s="176"/>
      <c r="T608" s="176"/>
      <c r="U608" s="178"/>
      <c r="V608" s="179"/>
    </row>
    <row r="609">
      <c r="C609" s="172"/>
      <c r="D609" s="172"/>
      <c r="E609" s="173"/>
      <c r="F609" s="137"/>
      <c r="G609" s="137"/>
      <c r="H609" s="137"/>
      <c r="I609" s="129"/>
      <c r="J609" s="323"/>
      <c r="K609" s="90"/>
      <c r="L609" s="176"/>
      <c r="M609" s="176"/>
      <c r="N609" s="176"/>
      <c r="O609" s="176"/>
      <c r="P609" s="176"/>
      <c r="Q609" s="177"/>
      <c r="R609" s="176"/>
      <c r="S609" s="176"/>
      <c r="T609" s="176"/>
      <c r="U609" s="178"/>
      <c r="V609" s="179"/>
    </row>
    <row r="610">
      <c r="C610" s="172"/>
      <c r="D610" s="172"/>
      <c r="E610" s="173"/>
      <c r="F610" s="137"/>
      <c r="G610" s="137"/>
      <c r="H610" s="137"/>
      <c r="I610" s="129"/>
      <c r="J610" s="323"/>
      <c r="K610" s="90"/>
      <c r="L610" s="176"/>
      <c r="M610" s="176"/>
      <c r="N610" s="176"/>
      <c r="O610" s="176"/>
      <c r="P610" s="176"/>
      <c r="Q610" s="177"/>
      <c r="R610" s="176"/>
      <c r="S610" s="176"/>
      <c r="T610" s="176"/>
      <c r="U610" s="178"/>
      <c r="V610" s="179"/>
    </row>
    <row r="611">
      <c r="C611" s="172"/>
      <c r="D611" s="172"/>
      <c r="E611" s="173"/>
      <c r="F611" s="137"/>
      <c r="G611" s="137"/>
      <c r="H611" s="137"/>
      <c r="I611" s="129"/>
      <c r="J611" s="323"/>
      <c r="K611" s="90"/>
      <c r="L611" s="176"/>
      <c r="M611" s="176"/>
      <c r="N611" s="176"/>
      <c r="O611" s="176"/>
      <c r="P611" s="176"/>
      <c r="Q611" s="177"/>
      <c r="R611" s="176"/>
      <c r="S611" s="176"/>
      <c r="T611" s="176"/>
      <c r="U611" s="178"/>
      <c r="V611" s="179"/>
    </row>
    <row r="612">
      <c r="C612" s="172"/>
      <c r="D612" s="172"/>
      <c r="E612" s="173"/>
      <c r="F612" s="137"/>
      <c r="G612" s="137"/>
      <c r="H612" s="137"/>
      <c r="I612" s="129"/>
      <c r="J612" s="323"/>
      <c r="K612" s="90"/>
      <c r="L612" s="176"/>
      <c r="M612" s="176"/>
      <c r="N612" s="176"/>
      <c r="O612" s="176"/>
      <c r="P612" s="176"/>
      <c r="Q612" s="177"/>
      <c r="R612" s="176"/>
      <c r="S612" s="176"/>
      <c r="T612" s="176"/>
      <c r="U612" s="178"/>
      <c r="V612" s="179"/>
    </row>
    <row r="613">
      <c r="C613" s="172"/>
      <c r="D613" s="172"/>
      <c r="E613" s="173"/>
      <c r="F613" s="137"/>
      <c r="G613" s="137"/>
      <c r="H613" s="137"/>
      <c r="I613" s="129"/>
      <c r="J613" s="323"/>
      <c r="K613" s="90"/>
      <c r="L613" s="176"/>
      <c r="M613" s="176"/>
      <c r="N613" s="176"/>
      <c r="O613" s="176"/>
      <c r="P613" s="176"/>
      <c r="Q613" s="177"/>
      <c r="R613" s="176"/>
      <c r="S613" s="176"/>
      <c r="T613" s="176"/>
      <c r="U613" s="178"/>
      <c r="V613" s="179"/>
    </row>
    <row r="614">
      <c r="C614" s="172"/>
      <c r="D614" s="172"/>
      <c r="E614" s="173"/>
      <c r="F614" s="137"/>
      <c r="G614" s="137"/>
      <c r="H614" s="137"/>
      <c r="I614" s="129"/>
      <c r="J614" s="323"/>
      <c r="K614" s="90"/>
      <c r="L614" s="176"/>
      <c r="M614" s="176"/>
      <c r="N614" s="176"/>
      <c r="O614" s="176"/>
      <c r="P614" s="176"/>
      <c r="Q614" s="177"/>
      <c r="R614" s="176"/>
      <c r="S614" s="176"/>
      <c r="T614" s="176"/>
      <c r="U614" s="178"/>
      <c r="V614" s="179"/>
    </row>
    <row r="615">
      <c r="C615" s="172"/>
      <c r="D615" s="172"/>
      <c r="E615" s="173"/>
      <c r="F615" s="137"/>
      <c r="G615" s="137"/>
      <c r="H615" s="137"/>
      <c r="I615" s="129"/>
      <c r="J615" s="323"/>
      <c r="K615" s="90"/>
      <c r="L615" s="176"/>
      <c r="M615" s="176"/>
      <c r="N615" s="176"/>
      <c r="O615" s="176"/>
      <c r="P615" s="176"/>
      <c r="Q615" s="177"/>
      <c r="R615" s="176"/>
      <c r="S615" s="176"/>
      <c r="T615" s="176"/>
      <c r="U615" s="178"/>
      <c r="V615" s="179"/>
    </row>
    <row r="616">
      <c r="C616" s="172"/>
      <c r="D616" s="172"/>
      <c r="E616" s="173"/>
      <c r="F616" s="137"/>
      <c r="G616" s="137"/>
      <c r="H616" s="137"/>
      <c r="I616" s="129"/>
      <c r="J616" s="323"/>
      <c r="K616" s="90"/>
      <c r="L616" s="176"/>
      <c r="M616" s="176"/>
      <c r="N616" s="176"/>
      <c r="O616" s="176"/>
      <c r="P616" s="176"/>
      <c r="Q616" s="177"/>
      <c r="R616" s="176"/>
      <c r="S616" s="176"/>
      <c r="T616" s="176"/>
      <c r="U616" s="178"/>
      <c r="V616" s="179"/>
    </row>
    <row r="617">
      <c r="C617" s="172"/>
      <c r="D617" s="172"/>
      <c r="E617" s="173"/>
      <c r="F617" s="137"/>
      <c r="G617" s="137"/>
      <c r="H617" s="137"/>
      <c r="I617" s="129"/>
      <c r="J617" s="323"/>
      <c r="K617" s="90"/>
      <c r="L617" s="176"/>
      <c r="M617" s="176"/>
      <c r="N617" s="176"/>
      <c r="O617" s="176"/>
      <c r="P617" s="176"/>
      <c r="Q617" s="177"/>
      <c r="R617" s="176"/>
      <c r="S617" s="176"/>
      <c r="T617" s="176"/>
      <c r="U617" s="178"/>
      <c r="V617" s="179"/>
    </row>
    <row r="618">
      <c r="C618" s="172"/>
      <c r="D618" s="172"/>
      <c r="E618" s="173"/>
      <c r="F618" s="137"/>
      <c r="G618" s="137"/>
      <c r="H618" s="137"/>
      <c r="I618" s="129"/>
      <c r="J618" s="323"/>
      <c r="K618" s="90"/>
      <c r="L618" s="176"/>
      <c r="M618" s="176"/>
      <c r="N618" s="176"/>
      <c r="O618" s="176"/>
      <c r="P618" s="176"/>
      <c r="Q618" s="177"/>
      <c r="R618" s="176"/>
      <c r="S618" s="176"/>
      <c r="T618" s="176"/>
      <c r="U618" s="178"/>
      <c r="V618" s="179"/>
    </row>
    <row r="619">
      <c r="C619" s="172"/>
      <c r="D619" s="172"/>
      <c r="E619" s="173"/>
      <c r="F619" s="137"/>
      <c r="G619" s="137"/>
      <c r="H619" s="137"/>
      <c r="I619" s="129"/>
      <c r="J619" s="323"/>
      <c r="K619" s="90"/>
      <c r="L619" s="176"/>
      <c r="M619" s="176"/>
      <c r="N619" s="176"/>
      <c r="O619" s="176"/>
      <c r="P619" s="176"/>
      <c r="Q619" s="177"/>
      <c r="R619" s="176"/>
      <c r="S619" s="176"/>
      <c r="T619" s="176"/>
      <c r="U619" s="178"/>
      <c r="V619" s="179"/>
    </row>
    <row r="620">
      <c r="C620" s="172"/>
      <c r="D620" s="172"/>
      <c r="E620" s="173"/>
      <c r="F620" s="137"/>
      <c r="G620" s="137"/>
      <c r="H620" s="137"/>
      <c r="I620" s="129"/>
      <c r="J620" s="323"/>
      <c r="K620" s="90"/>
      <c r="L620" s="176"/>
      <c r="M620" s="176"/>
      <c r="N620" s="176"/>
      <c r="O620" s="176"/>
      <c r="P620" s="176"/>
      <c r="Q620" s="177"/>
      <c r="R620" s="176"/>
      <c r="S620" s="176"/>
      <c r="T620" s="176"/>
      <c r="U620" s="178"/>
      <c r="V620" s="179"/>
    </row>
    <row r="621">
      <c r="C621" s="172"/>
      <c r="D621" s="172"/>
      <c r="E621" s="173"/>
      <c r="F621" s="137"/>
      <c r="G621" s="137"/>
      <c r="H621" s="137"/>
      <c r="I621" s="129"/>
      <c r="J621" s="323"/>
      <c r="K621" s="90"/>
      <c r="L621" s="176"/>
      <c r="M621" s="176"/>
      <c r="N621" s="176"/>
      <c r="O621" s="176"/>
      <c r="P621" s="176"/>
      <c r="Q621" s="177"/>
      <c r="R621" s="176"/>
      <c r="S621" s="176"/>
      <c r="T621" s="176"/>
      <c r="U621" s="178"/>
      <c r="V621" s="179"/>
    </row>
    <row r="622">
      <c r="C622" s="172"/>
      <c r="D622" s="172"/>
      <c r="E622" s="173"/>
      <c r="F622" s="137"/>
      <c r="G622" s="137"/>
      <c r="H622" s="137"/>
      <c r="I622" s="129"/>
      <c r="J622" s="323"/>
      <c r="K622" s="90"/>
      <c r="L622" s="176"/>
      <c r="M622" s="176"/>
      <c r="N622" s="176"/>
      <c r="O622" s="176"/>
      <c r="P622" s="176"/>
      <c r="Q622" s="177"/>
      <c r="R622" s="176"/>
      <c r="S622" s="176"/>
      <c r="T622" s="176"/>
      <c r="U622" s="178"/>
      <c r="V622" s="179"/>
    </row>
    <row r="623">
      <c r="C623" s="172"/>
      <c r="D623" s="172"/>
      <c r="E623" s="173"/>
      <c r="F623" s="137"/>
      <c r="G623" s="137"/>
      <c r="H623" s="137"/>
      <c r="I623" s="129"/>
      <c r="J623" s="323"/>
      <c r="K623" s="90"/>
      <c r="L623" s="176"/>
      <c r="M623" s="176"/>
      <c r="N623" s="176"/>
      <c r="O623" s="176"/>
      <c r="P623" s="176"/>
      <c r="Q623" s="177"/>
      <c r="R623" s="176"/>
      <c r="S623" s="176"/>
      <c r="T623" s="176"/>
      <c r="U623" s="178"/>
      <c r="V623" s="179"/>
    </row>
    <row r="624">
      <c r="C624" s="172"/>
      <c r="D624" s="172"/>
      <c r="E624" s="173"/>
      <c r="F624" s="137"/>
      <c r="G624" s="137"/>
      <c r="H624" s="137"/>
      <c r="I624" s="129"/>
      <c r="J624" s="323"/>
      <c r="K624" s="90"/>
      <c r="L624" s="176"/>
      <c r="M624" s="176"/>
      <c r="N624" s="176"/>
      <c r="O624" s="176"/>
      <c r="P624" s="176"/>
      <c r="Q624" s="177"/>
      <c r="R624" s="176"/>
      <c r="S624" s="176"/>
      <c r="T624" s="176"/>
      <c r="U624" s="178"/>
      <c r="V624" s="179"/>
    </row>
    <row r="625">
      <c r="C625" s="172"/>
      <c r="D625" s="172"/>
      <c r="E625" s="173"/>
      <c r="F625" s="137"/>
      <c r="G625" s="137"/>
      <c r="H625" s="137"/>
      <c r="I625" s="129"/>
      <c r="J625" s="323"/>
      <c r="K625" s="90"/>
      <c r="L625" s="176"/>
      <c r="M625" s="176"/>
      <c r="N625" s="176"/>
      <c r="O625" s="176"/>
      <c r="P625" s="176"/>
      <c r="Q625" s="177"/>
      <c r="R625" s="176"/>
      <c r="S625" s="176"/>
      <c r="T625" s="176"/>
      <c r="U625" s="178"/>
      <c r="V625" s="179"/>
    </row>
    <row r="626">
      <c r="C626" s="172"/>
      <c r="D626" s="172"/>
      <c r="E626" s="173"/>
      <c r="F626" s="137"/>
      <c r="G626" s="137"/>
      <c r="H626" s="137"/>
      <c r="I626" s="129"/>
      <c r="J626" s="323"/>
      <c r="K626" s="90"/>
      <c r="L626" s="176"/>
      <c r="M626" s="176"/>
      <c r="N626" s="176"/>
      <c r="O626" s="176"/>
      <c r="P626" s="176"/>
      <c r="Q626" s="177"/>
      <c r="R626" s="176"/>
      <c r="S626" s="176"/>
      <c r="T626" s="176"/>
      <c r="U626" s="178"/>
      <c r="V626" s="179"/>
    </row>
    <row r="627">
      <c r="C627" s="172"/>
      <c r="D627" s="172"/>
      <c r="E627" s="173"/>
      <c r="F627" s="137"/>
      <c r="G627" s="137"/>
      <c r="H627" s="137"/>
      <c r="I627" s="129"/>
      <c r="J627" s="323"/>
      <c r="K627" s="90"/>
      <c r="L627" s="176"/>
      <c r="M627" s="176"/>
      <c r="N627" s="176"/>
      <c r="O627" s="176"/>
      <c r="P627" s="176"/>
      <c r="Q627" s="177"/>
      <c r="R627" s="176"/>
      <c r="S627" s="176"/>
      <c r="T627" s="176"/>
      <c r="U627" s="178"/>
      <c r="V627" s="179"/>
    </row>
    <row r="628">
      <c r="C628" s="172"/>
      <c r="D628" s="172"/>
      <c r="E628" s="173"/>
      <c r="F628" s="137"/>
      <c r="G628" s="137"/>
      <c r="H628" s="137"/>
      <c r="I628" s="129"/>
      <c r="J628" s="323"/>
      <c r="K628" s="90"/>
      <c r="L628" s="176"/>
      <c r="M628" s="176"/>
      <c r="N628" s="176"/>
      <c r="O628" s="176"/>
      <c r="P628" s="176"/>
      <c r="Q628" s="177"/>
      <c r="R628" s="176"/>
      <c r="S628" s="176"/>
      <c r="T628" s="176"/>
      <c r="U628" s="178"/>
      <c r="V628" s="179"/>
    </row>
    <row r="629">
      <c r="C629" s="172"/>
      <c r="D629" s="172"/>
      <c r="E629" s="173"/>
      <c r="F629" s="137"/>
      <c r="G629" s="137"/>
      <c r="H629" s="137"/>
      <c r="I629" s="129"/>
      <c r="J629" s="323"/>
      <c r="K629" s="90"/>
      <c r="L629" s="176"/>
      <c r="M629" s="176"/>
      <c r="N629" s="176"/>
      <c r="O629" s="176"/>
      <c r="P629" s="176"/>
      <c r="Q629" s="177"/>
      <c r="R629" s="176"/>
      <c r="S629" s="176"/>
      <c r="T629" s="176"/>
      <c r="U629" s="178"/>
      <c r="V629" s="179"/>
    </row>
    <row r="630">
      <c r="C630" s="172"/>
      <c r="D630" s="172"/>
      <c r="E630" s="173"/>
      <c r="F630" s="137"/>
      <c r="G630" s="137"/>
      <c r="H630" s="137"/>
      <c r="I630" s="129"/>
      <c r="J630" s="323"/>
      <c r="K630" s="90"/>
      <c r="L630" s="176"/>
      <c r="M630" s="176"/>
      <c r="N630" s="176"/>
      <c r="O630" s="176"/>
      <c r="P630" s="176"/>
      <c r="Q630" s="177"/>
      <c r="R630" s="176"/>
      <c r="S630" s="176"/>
      <c r="T630" s="176"/>
      <c r="U630" s="178"/>
      <c r="V630" s="179"/>
    </row>
    <row r="631">
      <c r="C631" s="172"/>
      <c r="D631" s="172"/>
      <c r="E631" s="173"/>
      <c r="F631" s="137"/>
      <c r="G631" s="137"/>
      <c r="H631" s="137"/>
      <c r="I631" s="129"/>
      <c r="J631" s="323"/>
      <c r="K631" s="90"/>
      <c r="L631" s="176"/>
      <c r="M631" s="176"/>
      <c r="N631" s="176"/>
      <c r="O631" s="176"/>
      <c r="P631" s="176"/>
      <c r="Q631" s="177"/>
      <c r="R631" s="176"/>
      <c r="S631" s="176"/>
      <c r="T631" s="176"/>
      <c r="U631" s="178"/>
      <c r="V631" s="179"/>
    </row>
    <row r="632">
      <c r="C632" s="172"/>
      <c r="D632" s="172"/>
      <c r="E632" s="173"/>
      <c r="F632" s="137"/>
      <c r="G632" s="137"/>
      <c r="H632" s="137"/>
      <c r="I632" s="129"/>
      <c r="J632" s="323"/>
      <c r="K632" s="90"/>
      <c r="L632" s="176"/>
      <c r="M632" s="176"/>
      <c r="N632" s="176"/>
      <c r="O632" s="176"/>
      <c r="P632" s="176"/>
      <c r="Q632" s="177"/>
      <c r="R632" s="176"/>
      <c r="S632" s="176"/>
      <c r="T632" s="176"/>
      <c r="U632" s="178"/>
      <c r="V632" s="179"/>
    </row>
    <row r="633">
      <c r="C633" s="172"/>
      <c r="D633" s="172"/>
      <c r="E633" s="173"/>
      <c r="F633" s="137"/>
      <c r="G633" s="137"/>
      <c r="H633" s="137"/>
      <c r="I633" s="129"/>
      <c r="J633" s="323"/>
      <c r="K633" s="90"/>
      <c r="L633" s="176"/>
      <c r="M633" s="176"/>
      <c r="N633" s="176"/>
      <c r="O633" s="176"/>
      <c r="P633" s="176"/>
      <c r="Q633" s="177"/>
      <c r="R633" s="176"/>
      <c r="S633" s="176"/>
      <c r="T633" s="176"/>
      <c r="U633" s="178"/>
      <c r="V633" s="179"/>
    </row>
    <row r="634">
      <c r="C634" s="172"/>
      <c r="D634" s="172"/>
      <c r="E634" s="173"/>
      <c r="F634" s="137"/>
      <c r="G634" s="137"/>
      <c r="H634" s="137"/>
      <c r="I634" s="129"/>
      <c r="J634" s="323"/>
      <c r="K634" s="90"/>
      <c r="L634" s="176"/>
      <c r="M634" s="176"/>
      <c r="N634" s="176"/>
      <c r="O634" s="176"/>
      <c r="P634" s="176"/>
      <c r="Q634" s="177"/>
      <c r="R634" s="176"/>
      <c r="S634" s="176"/>
      <c r="T634" s="176"/>
      <c r="U634" s="178"/>
      <c r="V634" s="179"/>
    </row>
    <row r="635">
      <c r="C635" s="172"/>
      <c r="D635" s="172"/>
      <c r="E635" s="173"/>
      <c r="F635" s="137"/>
      <c r="G635" s="137"/>
      <c r="H635" s="137"/>
      <c r="I635" s="129"/>
      <c r="J635" s="323"/>
      <c r="K635" s="90"/>
      <c r="L635" s="176"/>
      <c r="M635" s="176"/>
      <c r="N635" s="176"/>
      <c r="O635" s="176"/>
      <c r="P635" s="176"/>
      <c r="Q635" s="177"/>
      <c r="R635" s="176"/>
      <c r="S635" s="176"/>
      <c r="T635" s="176"/>
      <c r="U635" s="178"/>
      <c r="V635" s="179"/>
    </row>
    <row r="636">
      <c r="C636" s="172"/>
      <c r="D636" s="172"/>
      <c r="E636" s="173"/>
      <c r="F636" s="137"/>
      <c r="G636" s="137"/>
      <c r="H636" s="137"/>
      <c r="I636" s="129"/>
      <c r="J636" s="323"/>
      <c r="K636" s="90"/>
      <c r="L636" s="176"/>
      <c r="M636" s="176"/>
      <c r="N636" s="176"/>
      <c r="O636" s="176"/>
      <c r="P636" s="176"/>
      <c r="Q636" s="177"/>
      <c r="R636" s="176"/>
      <c r="S636" s="176"/>
      <c r="T636" s="176"/>
      <c r="U636" s="178"/>
      <c r="V636" s="179"/>
    </row>
    <row r="637">
      <c r="C637" s="172"/>
      <c r="D637" s="172"/>
      <c r="E637" s="173"/>
      <c r="F637" s="137"/>
      <c r="G637" s="137"/>
      <c r="H637" s="137"/>
      <c r="I637" s="129"/>
      <c r="J637" s="323"/>
      <c r="K637" s="90"/>
      <c r="L637" s="176"/>
      <c r="M637" s="176"/>
      <c r="N637" s="176"/>
      <c r="O637" s="176"/>
      <c r="P637" s="176"/>
      <c r="Q637" s="177"/>
      <c r="R637" s="176"/>
      <c r="S637" s="176"/>
      <c r="T637" s="176"/>
      <c r="U637" s="178"/>
      <c r="V637" s="179"/>
    </row>
    <row r="638">
      <c r="C638" s="172"/>
      <c r="D638" s="172"/>
      <c r="E638" s="173"/>
      <c r="F638" s="137"/>
      <c r="G638" s="137"/>
      <c r="H638" s="137"/>
      <c r="I638" s="129"/>
      <c r="J638" s="323"/>
      <c r="K638" s="90"/>
      <c r="L638" s="176"/>
      <c r="M638" s="176"/>
      <c r="N638" s="176"/>
      <c r="O638" s="176"/>
      <c r="P638" s="176"/>
      <c r="Q638" s="177"/>
      <c r="R638" s="176"/>
      <c r="S638" s="176"/>
      <c r="T638" s="176"/>
      <c r="U638" s="178"/>
      <c r="V638" s="179"/>
    </row>
    <row r="639">
      <c r="C639" s="172"/>
      <c r="D639" s="172"/>
      <c r="E639" s="173"/>
      <c r="F639" s="137"/>
      <c r="G639" s="137"/>
      <c r="H639" s="137"/>
      <c r="I639" s="129"/>
      <c r="J639" s="323"/>
      <c r="K639" s="90"/>
      <c r="L639" s="176"/>
      <c r="M639" s="176"/>
      <c r="N639" s="176"/>
      <c r="O639" s="176"/>
      <c r="P639" s="176"/>
      <c r="Q639" s="177"/>
      <c r="R639" s="176"/>
      <c r="S639" s="176"/>
      <c r="T639" s="176"/>
      <c r="U639" s="178"/>
      <c r="V639" s="179"/>
    </row>
    <row r="640">
      <c r="C640" s="172"/>
      <c r="D640" s="172"/>
      <c r="E640" s="173"/>
      <c r="F640" s="137"/>
      <c r="G640" s="137"/>
      <c r="H640" s="137"/>
      <c r="I640" s="129"/>
      <c r="J640" s="323"/>
      <c r="K640" s="90"/>
      <c r="L640" s="176"/>
      <c r="M640" s="176"/>
      <c r="N640" s="176"/>
      <c r="O640" s="176"/>
      <c r="P640" s="176"/>
      <c r="Q640" s="177"/>
      <c r="R640" s="176"/>
      <c r="S640" s="176"/>
      <c r="T640" s="176"/>
      <c r="U640" s="178"/>
      <c r="V640" s="179"/>
    </row>
    <row r="641">
      <c r="C641" s="172"/>
      <c r="D641" s="172"/>
      <c r="E641" s="173"/>
      <c r="F641" s="137"/>
      <c r="G641" s="137"/>
      <c r="H641" s="137"/>
      <c r="I641" s="129"/>
      <c r="J641" s="323"/>
      <c r="K641" s="90"/>
      <c r="L641" s="176"/>
      <c r="M641" s="176"/>
      <c r="N641" s="176"/>
      <c r="O641" s="176"/>
      <c r="P641" s="176"/>
      <c r="Q641" s="177"/>
      <c r="R641" s="176"/>
      <c r="S641" s="176"/>
      <c r="T641" s="176"/>
      <c r="U641" s="178"/>
      <c r="V641" s="179"/>
    </row>
    <row r="642">
      <c r="C642" s="172"/>
      <c r="D642" s="172"/>
      <c r="E642" s="173"/>
      <c r="F642" s="137"/>
      <c r="G642" s="137"/>
      <c r="H642" s="137"/>
      <c r="I642" s="129"/>
      <c r="J642" s="323"/>
      <c r="K642" s="90"/>
      <c r="L642" s="176"/>
      <c r="M642" s="176"/>
      <c r="N642" s="176"/>
      <c r="O642" s="176"/>
      <c r="P642" s="176"/>
      <c r="Q642" s="177"/>
      <c r="R642" s="176"/>
      <c r="S642" s="176"/>
      <c r="T642" s="176"/>
      <c r="U642" s="178"/>
      <c r="V642" s="179"/>
    </row>
    <row r="643">
      <c r="C643" s="172"/>
      <c r="D643" s="172"/>
      <c r="E643" s="173"/>
      <c r="F643" s="137"/>
      <c r="G643" s="137"/>
      <c r="H643" s="137"/>
      <c r="I643" s="129"/>
      <c r="J643" s="323"/>
      <c r="K643" s="90"/>
      <c r="L643" s="176"/>
      <c r="M643" s="176"/>
      <c r="N643" s="176"/>
      <c r="O643" s="176"/>
      <c r="P643" s="176"/>
      <c r="Q643" s="177"/>
      <c r="R643" s="176"/>
      <c r="S643" s="176"/>
      <c r="T643" s="176"/>
      <c r="U643" s="178"/>
      <c r="V643" s="179"/>
    </row>
    <row r="644">
      <c r="C644" s="172"/>
      <c r="D644" s="172"/>
      <c r="E644" s="173"/>
      <c r="F644" s="137"/>
      <c r="G644" s="137"/>
      <c r="H644" s="137"/>
      <c r="I644" s="129"/>
      <c r="J644" s="323"/>
      <c r="K644" s="90"/>
      <c r="L644" s="176"/>
      <c r="M644" s="176"/>
      <c r="N644" s="176"/>
      <c r="O644" s="176"/>
      <c r="P644" s="176"/>
      <c r="Q644" s="177"/>
      <c r="R644" s="176"/>
      <c r="S644" s="176"/>
      <c r="T644" s="176"/>
      <c r="U644" s="178"/>
      <c r="V644" s="179"/>
    </row>
    <row r="645">
      <c r="C645" s="172"/>
      <c r="D645" s="172"/>
      <c r="E645" s="173"/>
      <c r="F645" s="137"/>
      <c r="G645" s="137"/>
      <c r="H645" s="137"/>
      <c r="I645" s="129"/>
      <c r="J645" s="323"/>
      <c r="K645" s="90"/>
      <c r="L645" s="176"/>
      <c r="M645" s="176"/>
      <c r="N645" s="176"/>
      <c r="O645" s="176"/>
      <c r="P645" s="176"/>
      <c r="Q645" s="177"/>
      <c r="R645" s="176"/>
      <c r="S645" s="176"/>
      <c r="T645" s="176"/>
      <c r="U645" s="178"/>
      <c r="V645" s="179"/>
    </row>
    <row r="646">
      <c r="C646" s="172"/>
      <c r="D646" s="172"/>
      <c r="E646" s="173"/>
      <c r="F646" s="137"/>
      <c r="G646" s="137"/>
      <c r="H646" s="137"/>
      <c r="I646" s="129"/>
      <c r="J646" s="323"/>
      <c r="K646" s="90"/>
      <c r="L646" s="176"/>
      <c r="M646" s="176"/>
      <c r="N646" s="176"/>
      <c r="O646" s="176"/>
      <c r="P646" s="176"/>
      <c r="Q646" s="177"/>
      <c r="R646" s="176"/>
      <c r="S646" s="176"/>
      <c r="T646" s="176"/>
      <c r="U646" s="178"/>
      <c r="V646" s="179"/>
    </row>
    <row r="647">
      <c r="C647" s="172"/>
      <c r="D647" s="172"/>
      <c r="E647" s="173"/>
      <c r="F647" s="137"/>
      <c r="G647" s="137"/>
      <c r="H647" s="137"/>
      <c r="I647" s="129"/>
      <c r="J647" s="323"/>
      <c r="K647" s="90"/>
      <c r="L647" s="176"/>
      <c r="M647" s="176"/>
      <c r="N647" s="176"/>
      <c r="O647" s="176"/>
      <c r="P647" s="176"/>
      <c r="Q647" s="177"/>
      <c r="R647" s="176"/>
      <c r="S647" s="176"/>
      <c r="T647" s="176"/>
      <c r="U647" s="178"/>
      <c r="V647" s="179"/>
    </row>
    <row r="648">
      <c r="C648" s="172"/>
      <c r="D648" s="172"/>
      <c r="E648" s="173"/>
      <c r="F648" s="137"/>
      <c r="G648" s="137"/>
      <c r="H648" s="137"/>
      <c r="I648" s="129"/>
      <c r="J648" s="323"/>
      <c r="K648" s="90"/>
      <c r="L648" s="176"/>
      <c r="M648" s="176"/>
      <c r="N648" s="176"/>
      <c r="O648" s="176"/>
      <c r="P648" s="176"/>
      <c r="Q648" s="177"/>
      <c r="R648" s="176"/>
      <c r="S648" s="176"/>
      <c r="T648" s="176"/>
      <c r="U648" s="178"/>
      <c r="V648" s="179"/>
    </row>
    <row r="649">
      <c r="C649" s="172"/>
      <c r="D649" s="172"/>
      <c r="E649" s="173"/>
      <c r="F649" s="137"/>
      <c r="G649" s="137"/>
      <c r="H649" s="137"/>
      <c r="I649" s="129"/>
      <c r="J649" s="323"/>
      <c r="K649" s="90"/>
      <c r="L649" s="176"/>
      <c r="M649" s="176"/>
      <c r="N649" s="176"/>
      <c r="O649" s="176"/>
      <c r="P649" s="176"/>
      <c r="Q649" s="177"/>
      <c r="R649" s="176"/>
      <c r="S649" s="176"/>
      <c r="T649" s="176"/>
      <c r="U649" s="178"/>
      <c r="V649" s="179"/>
    </row>
    <row r="650">
      <c r="C650" s="172"/>
      <c r="D650" s="172"/>
      <c r="E650" s="173"/>
      <c r="F650" s="137"/>
      <c r="G650" s="137"/>
      <c r="H650" s="137"/>
      <c r="I650" s="129"/>
      <c r="J650" s="323"/>
      <c r="K650" s="90"/>
      <c r="L650" s="176"/>
      <c r="M650" s="176"/>
      <c r="N650" s="176"/>
      <c r="O650" s="176"/>
      <c r="P650" s="176"/>
      <c r="Q650" s="177"/>
      <c r="R650" s="176"/>
      <c r="S650" s="176"/>
      <c r="T650" s="176"/>
      <c r="U650" s="178"/>
      <c r="V650" s="179"/>
    </row>
    <row r="651">
      <c r="C651" s="172"/>
      <c r="D651" s="172"/>
      <c r="E651" s="173"/>
      <c r="F651" s="137"/>
      <c r="G651" s="137"/>
      <c r="H651" s="137"/>
      <c r="I651" s="129"/>
      <c r="J651" s="323"/>
      <c r="K651" s="90"/>
      <c r="L651" s="176"/>
      <c r="M651" s="176"/>
      <c r="N651" s="176"/>
      <c r="O651" s="176"/>
      <c r="P651" s="176"/>
      <c r="Q651" s="177"/>
      <c r="R651" s="176"/>
      <c r="S651" s="176"/>
      <c r="T651" s="176"/>
      <c r="U651" s="178"/>
      <c r="V651" s="179"/>
    </row>
    <row r="652">
      <c r="C652" s="172"/>
      <c r="D652" s="172"/>
      <c r="E652" s="173"/>
      <c r="F652" s="137"/>
      <c r="G652" s="137"/>
      <c r="H652" s="137"/>
      <c r="I652" s="129"/>
      <c r="J652" s="323"/>
      <c r="K652" s="90"/>
      <c r="L652" s="176"/>
      <c r="M652" s="176"/>
      <c r="N652" s="176"/>
      <c r="O652" s="176"/>
      <c r="P652" s="176"/>
      <c r="Q652" s="177"/>
      <c r="R652" s="176"/>
      <c r="S652" s="176"/>
      <c r="T652" s="176"/>
      <c r="U652" s="178"/>
      <c r="V652" s="179"/>
    </row>
    <row r="653">
      <c r="C653" s="172"/>
      <c r="D653" s="172"/>
      <c r="E653" s="173"/>
      <c r="F653" s="137"/>
      <c r="G653" s="137"/>
      <c r="H653" s="137"/>
      <c r="I653" s="129"/>
      <c r="J653" s="323"/>
      <c r="K653" s="90"/>
      <c r="L653" s="176"/>
      <c r="M653" s="176"/>
      <c r="N653" s="176"/>
      <c r="O653" s="176"/>
      <c r="P653" s="176"/>
      <c r="Q653" s="177"/>
      <c r="R653" s="176"/>
      <c r="S653" s="176"/>
      <c r="T653" s="176"/>
      <c r="U653" s="178"/>
      <c r="V653" s="179"/>
    </row>
    <row r="654">
      <c r="C654" s="172"/>
      <c r="D654" s="172"/>
      <c r="E654" s="173"/>
      <c r="F654" s="137"/>
      <c r="G654" s="137"/>
      <c r="H654" s="137"/>
      <c r="I654" s="129"/>
      <c r="J654" s="323"/>
      <c r="K654" s="90"/>
      <c r="L654" s="176"/>
      <c r="M654" s="176"/>
      <c r="N654" s="176"/>
      <c r="O654" s="176"/>
      <c r="P654" s="176"/>
      <c r="Q654" s="177"/>
      <c r="R654" s="176"/>
      <c r="S654" s="176"/>
      <c r="T654" s="176"/>
      <c r="U654" s="178"/>
      <c r="V654" s="179"/>
    </row>
    <row r="655">
      <c r="C655" s="172"/>
      <c r="D655" s="172"/>
      <c r="E655" s="173"/>
      <c r="F655" s="137"/>
      <c r="G655" s="137"/>
      <c r="H655" s="137"/>
      <c r="I655" s="129"/>
      <c r="J655" s="323"/>
      <c r="K655" s="90"/>
      <c r="L655" s="176"/>
      <c r="M655" s="176"/>
      <c r="N655" s="176"/>
      <c r="O655" s="176"/>
      <c r="P655" s="176"/>
      <c r="Q655" s="177"/>
      <c r="R655" s="176"/>
      <c r="S655" s="176"/>
      <c r="T655" s="176"/>
      <c r="U655" s="178"/>
      <c r="V655" s="179"/>
    </row>
    <row r="656">
      <c r="C656" s="172"/>
      <c r="D656" s="172"/>
      <c r="E656" s="173"/>
      <c r="F656" s="137"/>
      <c r="G656" s="137"/>
      <c r="H656" s="137"/>
      <c r="I656" s="129"/>
      <c r="J656" s="323"/>
      <c r="K656" s="90"/>
      <c r="L656" s="176"/>
      <c r="M656" s="176"/>
      <c r="N656" s="176"/>
      <c r="O656" s="176"/>
      <c r="P656" s="176"/>
      <c r="Q656" s="177"/>
      <c r="R656" s="176"/>
      <c r="S656" s="176"/>
      <c r="T656" s="176"/>
      <c r="U656" s="178"/>
      <c r="V656" s="179"/>
    </row>
    <row r="657">
      <c r="C657" s="172"/>
      <c r="D657" s="172"/>
      <c r="E657" s="173"/>
      <c r="F657" s="137"/>
      <c r="G657" s="137"/>
      <c r="H657" s="137"/>
      <c r="I657" s="129"/>
      <c r="J657" s="323"/>
      <c r="K657" s="90"/>
      <c r="L657" s="176"/>
      <c r="M657" s="176"/>
      <c r="N657" s="176"/>
      <c r="O657" s="176"/>
      <c r="P657" s="176"/>
      <c r="Q657" s="177"/>
      <c r="R657" s="176"/>
      <c r="S657" s="176"/>
      <c r="T657" s="176"/>
      <c r="U657" s="178"/>
      <c r="V657" s="179"/>
    </row>
    <row r="658">
      <c r="C658" s="172"/>
      <c r="D658" s="172"/>
      <c r="E658" s="173"/>
      <c r="F658" s="137"/>
      <c r="G658" s="137"/>
      <c r="H658" s="137"/>
      <c r="I658" s="129"/>
      <c r="J658" s="323"/>
      <c r="K658" s="90"/>
      <c r="L658" s="176"/>
      <c r="M658" s="176"/>
      <c r="N658" s="176"/>
      <c r="O658" s="176"/>
      <c r="P658" s="176"/>
      <c r="Q658" s="177"/>
      <c r="R658" s="176"/>
      <c r="S658" s="176"/>
      <c r="T658" s="176"/>
      <c r="U658" s="178"/>
      <c r="V658" s="179"/>
    </row>
    <row r="659">
      <c r="C659" s="172"/>
      <c r="D659" s="172"/>
      <c r="E659" s="173"/>
      <c r="F659" s="137"/>
      <c r="G659" s="137"/>
      <c r="H659" s="137"/>
      <c r="I659" s="129"/>
      <c r="J659" s="323"/>
      <c r="K659" s="90"/>
      <c r="L659" s="176"/>
      <c r="M659" s="176"/>
      <c r="N659" s="176"/>
      <c r="O659" s="176"/>
      <c r="P659" s="176"/>
      <c r="Q659" s="177"/>
      <c r="R659" s="176"/>
      <c r="S659" s="176"/>
      <c r="T659" s="176"/>
      <c r="U659" s="178"/>
      <c r="V659" s="179"/>
    </row>
    <row r="660">
      <c r="C660" s="172"/>
      <c r="D660" s="172"/>
      <c r="E660" s="173"/>
      <c r="F660" s="137"/>
      <c r="G660" s="137"/>
      <c r="H660" s="137"/>
      <c r="I660" s="129"/>
      <c r="J660" s="323"/>
      <c r="K660" s="90"/>
      <c r="L660" s="176"/>
      <c r="M660" s="176"/>
      <c r="N660" s="176"/>
      <c r="O660" s="176"/>
      <c r="P660" s="176"/>
      <c r="Q660" s="177"/>
      <c r="R660" s="176"/>
      <c r="S660" s="176"/>
      <c r="T660" s="176"/>
      <c r="U660" s="178"/>
      <c r="V660" s="179"/>
    </row>
    <row r="661">
      <c r="C661" s="172"/>
      <c r="D661" s="172"/>
      <c r="E661" s="173"/>
      <c r="F661" s="137"/>
      <c r="G661" s="137"/>
      <c r="H661" s="137"/>
      <c r="I661" s="129"/>
      <c r="J661" s="323"/>
      <c r="K661" s="90"/>
      <c r="L661" s="176"/>
      <c r="M661" s="176"/>
      <c r="N661" s="176"/>
      <c r="O661" s="176"/>
      <c r="P661" s="176"/>
      <c r="Q661" s="177"/>
      <c r="R661" s="176"/>
      <c r="S661" s="176"/>
      <c r="T661" s="176"/>
      <c r="U661" s="178"/>
      <c r="V661" s="179"/>
    </row>
    <row r="662">
      <c r="C662" s="172"/>
      <c r="D662" s="172"/>
      <c r="E662" s="173"/>
      <c r="F662" s="137"/>
      <c r="G662" s="137"/>
      <c r="H662" s="137"/>
      <c r="I662" s="129"/>
      <c r="J662" s="323"/>
      <c r="K662" s="90"/>
      <c r="L662" s="176"/>
      <c r="M662" s="176"/>
      <c r="N662" s="176"/>
      <c r="O662" s="176"/>
      <c r="P662" s="176"/>
      <c r="Q662" s="177"/>
      <c r="R662" s="176"/>
      <c r="S662" s="176"/>
      <c r="T662" s="176"/>
      <c r="U662" s="178"/>
      <c r="V662" s="179"/>
    </row>
    <row r="663">
      <c r="C663" s="172"/>
      <c r="D663" s="172"/>
      <c r="E663" s="173"/>
      <c r="F663" s="137"/>
      <c r="G663" s="137"/>
      <c r="H663" s="137"/>
      <c r="I663" s="129"/>
      <c r="J663" s="323"/>
      <c r="K663" s="90"/>
      <c r="L663" s="176"/>
      <c r="M663" s="176"/>
      <c r="N663" s="176"/>
      <c r="O663" s="176"/>
      <c r="P663" s="176"/>
      <c r="Q663" s="177"/>
      <c r="R663" s="176"/>
      <c r="S663" s="176"/>
      <c r="T663" s="176"/>
      <c r="U663" s="178"/>
      <c r="V663" s="179"/>
    </row>
    <row r="664">
      <c r="C664" s="172"/>
      <c r="D664" s="172"/>
      <c r="E664" s="173"/>
      <c r="F664" s="137"/>
      <c r="G664" s="137"/>
      <c r="H664" s="137"/>
      <c r="I664" s="129"/>
      <c r="J664" s="323"/>
      <c r="K664" s="90"/>
      <c r="L664" s="176"/>
      <c r="M664" s="176"/>
      <c r="N664" s="176"/>
      <c r="O664" s="176"/>
      <c r="P664" s="176"/>
      <c r="Q664" s="177"/>
      <c r="R664" s="176"/>
      <c r="S664" s="176"/>
      <c r="T664" s="176"/>
      <c r="U664" s="178"/>
      <c r="V664" s="179"/>
    </row>
    <row r="665">
      <c r="C665" s="172"/>
      <c r="D665" s="172"/>
      <c r="E665" s="173"/>
      <c r="F665" s="137"/>
      <c r="G665" s="137"/>
      <c r="H665" s="137"/>
      <c r="I665" s="129"/>
      <c r="J665" s="323"/>
      <c r="K665" s="90"/>
      <c r="L665" s="176"/>
      <c r="M665" s="176"/>
      <c r="N665" s="176"/>
      <c r="O665" s="176"/>
      <c r="P665" s="176"/>
      <c r="Q665" s="177"/>
      <c r="R665" s="176"/>
      <c r="S665" s="176"/>
      <c r="T665" s="176"/>
      <c r="U665" s="178"/>
      <c r="V665" s="179"/>
    </row>
    <row r="666">
      <c r="C666" s="172"/>
      <c r="D666" s="172"/>
      <c r="E666" s="173"/>
      <c r="F666" s="137"/>
      <c r="G666" s="137"/>
      <c r="H666" s="137"/>
      <c r="I666" s="129"/>
      <c r="J666" s="323"/>
      <c r="K666" s="90"/>
      <c r="L666" s="176"/>
      <c r="M666" s="176"/>
      <c r="N666" s="176"/>
      <c r="O666" s="176"/>
      <c r="P666" s="176"/>
      <c r="Q666" s="177"/>
      <c r="R666" s="176"/>
      <c r="S666" s="176"/>
      <c r="T666" s="176"/>
      <c r="U666" s="178"/>
      <c r="V666" s="179"/>
    </row>
    <row r="667">
      <c r="C667" s="172"/>
      <c r="D667" s="172"/>
      <c r="E667" s="173"/>
      <c r="F667" s="137"/>
      <c r="G667" s="137"/>
      <c r="H667" s="137"/>
      <c r="I667" s="129"/>
      <c r="J667" s="323"/>
      <c r="K667" s="90"/>
      <c r="L667" s="176"/>
      <c r="M667" s="176"/>
      <c r="N667" s="176"/>
      <c r="O667" s="176"/>
      <c r="P667" s="176"/>
      <c r="Q667" s="177"/>
      <c r="R667" s="176"/>
      <c r="S667" s="176"/>
      <c r="T667" s="176"/>
      <c r="U667" s="178"/>
      <c r="V667" s="179"/>
    </row>
    <row r="668">
      <c r="C668" s="172"/>
      <c r="D668" s="172"/>
      <c r="E668" s="173"/>
      <c r="F668" s="137"/>
      <c r="G668" s="137"/>
      <c r="H668" s="137"/>
      <c r="I668" s="129"/>
      <c r="J668" s="323"/>
      <c r="K668" s="90"/>
      <c r="L668" s="176"/>
      <c r="M668" s="176"/>
      <c r="N668" s="176"/>
      <c r="O668" s="176"/>
      <c r="P668" s="176"/>
      <c r="Q668" s="177"/>
      <c r="R668" s="176"/>
      <c r="S668" s="176"/>
      <c r="T668" s="176"/>
      <c r="U668" s="178"/>
      <c r="V668" s="179"/>
    </row>
    <row r="669">
      <c r="C669" s="172"/>
      <c r="D669" s="172"/>
      <c r="E669" s="173"/>
      <c r="F669" s="137"/>
      <c r="G669" s="137"/>
      <c r="H669" s="137"/>
      <c r="I669" s="129"/>
      <c r="J669" s="323"/>
      <c r="K669" s="90"/>
      <c r="L669" s="176"/>
      <c r="M669" s="176"/>
      <c r="N669" s="176"/>
      <c r="O669" s="176"/>
      <c r="P669" s="176"/>
      <c r="Q669" s="177"/>
      <c r="R669" s="176"/>
      <c r="S669" s="176"/>
      <c r="T669" s="176"/>
      <c r="U669" s="178"/>
      <c r="V669" s="179"/>
    </row>
    <row r="670">
      <c r="C670" s="172"/>
      <c r="D670" s="172"/>
      <c r="E670" s="173"/>
      <c r="F670" s="137"/>
      <c r="G670" s="137"/>
      <c r="H670" s="137"/>
      <c r="I670" s="129"/>
      <c r="J670" s="323"/>
      <c r="K670" s="90"/>
      <c r="L670" s="176"/>
      <c r="M670" s="176"/>
      <c r="N670" s="176"/>
      <c r="O670" s="176"/>
      <c r="P670" s="176"/>
      <c r="Q670" s="177"/>
      <c r="R670" s="176"/>
      <c r="S670" s="176"/>
      <c r="T670" s="176"/>
      <c r="U670" s="178"/>
      <c r="V670" s="179"/>
    </row>
    <row r="671">
      <c r="C671" s="172"/>
      <c r="D671" s="172"/>
      <c r="E671" s="173"/>
      <c r="F671" s="137"/>
      <c r="G671" s="137"/>
      <c r="H671" s="137"/>
      <c r="I671" s="129"/>
      <c r="J671" s="323"/>
      <c r="K671" s="90"/>
      <c r="L671" s="176"/>
      <c r="M671" s="176"/>
      <c r="N671" s="176"/>
      <c r="O671" s="176"/>
      <c r="P671" s="176"/>
      <c r="Q671" s="177"/>
      <c r="R671" s="176"/>
      <c r="S671" s="176"/>
      <c r="T671" s="176"/>
      <c r="U671" s="178"/>
      <c r="V671" s="179"/>
    </row>
    <row r="672">
      <c r="C672" s="172"/>
      <c r="D672" s="172"/>
      <c r="E672" s="173"/>
      <c r="F672" s="137"/>
      <c r="G672" s="137"/>
      <c r="H672" s="137"/>
      <c r="I672" s="129"/>
      <c r="J672" s="323"/>
      <c r="K672" s="90"/>
      <c r="L672" s="176"/>
      <c r="M672" s="176"/>
      <c r="N672" s="176"/>
      <c r="O672" s="176"/>
      <c r="P672" s="176"/>
      <c r="Q672" s="177"/>
      <c r="R672" s="176"/>
      <c r="S672" s="176"/>
      <c r="T672" s="176"/>
      <c r="U672" s="178"/>
      <c r="V672" s="179"/>
    </row>
    <row r="673">
      <c r="C673" s="172"/>
      <c r="D673" s="172"/>
      <c r="E673" s="173"/>
      <c r="F673" s="137"/>
      <c r="G673" s="137"/>
      <c r="H673" s="137"/>
      <c r="I673" s="129"/>
      <c r="J673" s="323"/>
      <c r="K673" s="90"/>
      <c r="L673" s="176"/>
      <c r="M673" s="176"/>
      <c r="N673" s="176"/>
      <c r="O673" s="176"/>
      <c r="P673" s="176"/>
      <c r="Q673" s="177"/>
      <c r="R673" s="176"/>
      <c r="S673" s="176"/>
      <c r="T673" s="176"/>
      <c r="U673" s="178"/>
      <c r="V673" s="179"/>
    </row>
    <row r="674">
      <c r="C674" s="172"/>
      <c r="D674" s="172"/>
      <c r="E674" s="173"/>
      <c r="F674" s="137"/>
      <c r="G674" s="137"/>
      <c r="H674" s="137"/>
      <c r="I674" s="129"/>
      <c r="J674" s="323"/>
      <c r="K674" s="90"/>
      <c r="L674" s="176"/>
      <c r="M674" s="176"/>
      <c r="N674" s="176"/>
      <c r="O674" s="176"/>
      <c r="P674" s="176"/>
      <c r="Q674" s="177"/>
      <c r="R674" s="176"/>
      <c r="S674" s="176"/>
      <c r="T674" s="176"/>
      <c r="U674" s="178"/>
      <c r="V674" s="179"/>
    </row>
    <row r="675">
      <c r="C675" s="172"/>
      <c r="D675" s="172"/>
      <c r="E675" s="173"/>
      <c r="F675" s="137"/>
      <c r="G675" s="137"/>
      <c r="H675" s="137"/>
      <c r="I675" s="129"/>
      <c r="J675" s="323"/>
      <c r="K675" s="90"/>
      <c r="L675" s="176"/>
      <c r="M675" s="176"/>
      <c r="N675" s="176"/>
      <c r="O675" s="176"/>
      <c r="P675" s="176"/>
      <c r="Q675" s="177"/>
      <c r="R675" s="176"/>
      <c r="S675" s="176"/>
      <c r="T675" s="176"/>
      <c r="U675" s="178"/>
      <c r="V675" s="179"/>
    </row>
    <row r="676">
      <c r="C676" s="172"/>
      <c r="D676" s="172"/>
      <c r="E676" s="173"/>
      <c r="F676" s="137"/>
      <c r="G676" s="137"/>
      <c r="H676" s="137"/>
      <c r="I676" s="129"/>
      <c r="J676" s="323"/>
      <c r="K676" s="90"/>
      <c r="L676" s="176"/>
      <c r="M676" s="176"/>
      <c r="N676" s="176"/>
      <c r="O676" s="176"/>
      <c r="P676" s="176"/>
      <c r="Q676" s="177"/>
      <c r="R676" s="176"/>
      <c r="S676" s="176"/>
      <c r="T676" s="176"/>
      <c r="U676" s="178"/>
      <c r="V676" s="179"/>
    </row>
    <row r="677">
      <c r="C677" s="172"/>
      <c r="D677" s="172"/>
      <c r="E677" s="173"/>
      <c r="F677" s="137"/>
      <c r="G677" s="137"/>
      <c r="H677" s="137"/>
      <c r="I677" s="129"/>
      <c r="J677" s="323"/>
      <c r="K677" s="90"/>
      <c r="L677" s="176"/>
      <c r="M677" s="176"/>
      <c r="N677" s="176"/>
      <c r="O677" s="176"/>
      <c r="P677" s="176"/>
      <c r="Q677" s="177"/>
      <c r="R677" s="176"/>
      <c r="S677" s="176"/>
      <c r="T677" s="176"/>
      <c r="U677" s="178"/>
      <c r="V677" s="179"/>
    </row>
    <row r="678">
      <c r="C678" s="172"/>
      <c r="D678" s="172"/>
      <c r="E678" s="173"/>
      <c r="F678" s="137"/>
      <c r="G678" s="137"/>
      <c r="H678" s="137"/>
      <c r="I678" s="129"/>
      <c r="J678" s="323"/>
      <c r="K678" s="90"/>
      <c r="L678" s="176"/>
      <c r="M678" s="176"/>
      <c r="N678" s="176"/>
      <c r="O678" s="176"/>
      <c r="P678" s="176"/>
      <c r="Q678" s="177"/>
      <c r="R678" s="176"/>
      <c r="S678" s="176"/>
      <c r="T678" s="176"/>
      <c r="U678" s="178"/>
      <c r="V678" s="179"/>
    </row>
    <row r="679">
      <c r="C679" s="172"/>
      <c r="D679" s="172"/>
      <c r="E679" s="173"/>
      <c r="F679" s="137"/>
      <c r="G679" s="137"/>
      <c r="H679" s="137"/>
      <c r="I679" s="129"/>
      <c r="J679" s="323"/>
      <c r="K679" s="90"/>
      <c r="L679" s="176"/>
      <c r="M679" s="176"/>
      <c r="N679" s="176"/>
      <c r="O679" s="176"/>
      <c r="P679" s="176"/>
      <c r="Q679" s="177"/>
      <c r="R679" s="176"/>
      <c r="S679" s="176"/>
      <c r="T679" s="176"/>
      <c r="U679" s="178"/>
      <c r="V679" s="179"/>
    </row>
    <row r="680">
      <c r="C680" s="172"/>
      <c r="D680" s="172"/>
      <c r="E680" s="173"/>
      <c r="F680" s="137"/>
      <c r="G680" s="137"/>
      <c r="H680" s="137"/>
      <c r="I680" s="129"/>
      <c r="J680" s="323"/>
      <c r="K680" s="90"/>
      <c r="L680" s="176"/>
      <c r="M680" s="176"/>
      <c r="N680" s="176"/>
      <c r="O680" s="176"/>
      <c r="P680" s="176"/>
      <c r="Q680" s="177"/>
      <c r="R680" s="176"/>
      <c r="S680" s="176"/>
      <c r="T680" s="176"/>
      <c r="U680" s="178"/>
      <c r="V680" s="179"/>
    </row>
    <row r="681">
      <c r="C681" s="172"/>
      <c r="D681" s="172"/>
      <c r="E681" s="173"/>
      <c r="F681" s="137"/>
      <c r="G681" s="137"/>
      <c r="H681" s="137"/>
      <c r="I681" s="129"/>
      <c r="J681" s="323"/>
      <c r="K681" s="90"/>
      <c r="L681" s="176"/>
      <c r="M681" s="176"/>
      <c r="N681" s="176"/>
      <c r="O681" s="176"/>
      <c r="P681" s="176"/>
      <c r="Q681" s="177"/>
      <c r="R681" s="176"/>
      <c r="S681" s="176"/>
      <c r="T681" s="176"/>
      <c r="U681" s="178"/>
      <c r="V681" s="179"/>
    </row>
    <row r="682">
      <c r="C682" s="172"/>
      <c r="D682" s="172"/>
      <c r="E682" s="173"/>
      <c r="F682" s="137"/>
      <c r="G682" s="137"/>
      <c r="H682" s="137"/>
      <c r="I682" s="129"/>
      <c r="J682" s="323"/>
      <c r="K682" s="90"/>
      <c r="L682" s="176"/>
      <c r="M682" s="176"/>
      <c r="N682" s="176"/>
      <c r="O682" s="176"/>
      <c r="P682" s="176"/>
      <c r="Q682" s="177"/>
      <c r="R682" s="176"/>
      <c r="S682" s="176"/>
      <c r="T682" s="176"/>
      <c r="U682" s="178"/>
      <c r="V682" s="179"/>
    </row>
    <row r="683">
      <c r="C683" s="172"/>
      <c r="D683" s="172"/>
      <c r="E683" s="173"/>
      <c r="F683" s="137"/>
      <c r="G683" s="137"/>
      <c r="H683" s="137"/>
      <c r="I683" s="129"/>
      <c r="J683" s="323"/>
      <c r="K683" s="90"/>
      <c r="L683" s="176"/>
      <c r="M683" s="176"/>
      <c r="N683" s="176"/>
      <c r="O683" s="176"/>
      <c r="P683" s="176"/>
      <c r="Q683" s="177"/>
      <c r="R683" s="176"/>
      <c r="S683" s="176"/>
      <c r="T683" s="176"/>
      <c r="U683" s="178"/>
      <c r="V683" s="179"/>
    </row>
    <row r="684">
      <c r="C684" s="172"/>
      <c r="D684" s="172"/>
      <c r="E684" s="173"/>
      <c r="F684" s="137"/>
      <c r="G684" s="137"/>
      <c r="H684" s="137"/>
      <c r="I684" s="129"/>
      <c r="J684" s="323"/>
      <c r="K684" s="90"/>
      <c r="L684" s="176"/>
      <c r="M684" s="176"/>
      <c r="N684" s="176"/>
      <c r="O684" s="176"/>
      <c r="P684" s="176"/>
      <c r="Q684" s="177"/>
      <c r="R684" s="176"/>
      <c r="S684" s="176"/>
      <c r="T684" s="176"/>
      <c r="U684" s="178"/>
      <c r="V684" s="179"/>
    </row>
    <row r="685">
      <c r="C685" s="172"/>
      <c r="D685" s="172"/>
      <c r="E685" s="173"/>
      <c r="F685" s="137"/>
      <c r="G685" s="137"/>
      <c r="H685" s="137"/>
      <c r="I685" s="129"/>
      <c r="J685" s="323"/>
      <c r="K685" s="90"/>
      <c r="L685" s="176"/>
      <c r="M685" s="176"/>
      <c r="N685" s="176"/>
      <c r="O685" s="176"/>
      <c r="P685" s="176"/>
      <c r="Q685" s="177"/>
      <c r="R685" s="176"/>
      <c r="S685" s="176"/>
      <c r="T685" s="176"/>
      <c r="U685" s="178"/>
      <c r="V685" s="179"/>
    </row>
    <row r="686">
      <c r="C686" s="172"/>
      <c r="D686" s="172"/>
      <c r="E686" s="173"/>
      <c r="F686" s="137"/>
      <c r="G686" s="137"/>
      <c r="H686" s="137"/>
      <c r="I686" s="129"/>
      <c r="J686" s="323"/>
      <c r="K686" s="90"/>
      <c r="L686" s="176"/>
      <c r="M686" s="176"/>
      <c r="N686" s="176"/>
      <c r="O686" s="176"/>
      <c r="P686" s="176"/>
      <c r="Q686" s="177"/>
      <c r="R686" s="176"/>
      <c r="S686" s="176"/>
      <c r="T686" s="176"/>
      <c r="U686" s="178"/>
      <c r="V686" s="179"/>
    </row>
    <row r="687">
      <c r="C687" s="172"/>
      <c r="D687" s="172"/>
      <c r="E687" s="173"/>
      <c r="F687" s="137"/>
      <c r="G687" s="137"/>
      <c r="H687" s="137"/>
      <c r="I687" s="129"/>
      <c r="J687" s="323"/>
      <c r="K687" s="90"/>
      <c r="L687" s="176"/>
      <c r="M687" s="176"/>
      <c r="N687" s="176"/>
      <c r="O687" s="176"/>
      <c r="P687" s="176"/>
      <c r="Q687" s="177"/>
      <c r="R687" s="176"/>
      <c r="S687" s="176"/>
      <c r="T687" s="176"/>
      <c r="U687" s="178"/>
      <c r="V687" s="179"/>
    </row>
    <row r="688">
      <c r="C688" s="172"/>
      <c r="D688" s="172"/>
      <c r="E688" s="173"/>
      <c r="F688" s="137"/>
      <c r="G688" s="137"/>
      <c r="H688" s="137"/>
      <c r="I688" s="129"/>
      <c r="J688" s="323"/>
      <c r="K688" s="90"/>
      <c r="L688" s="176"/>
      <c r="M688" s="176"/>
      <c r="N688" s="176"/>
      <c r="O688" s="176"/>
      <c r="P688" s="176"/>
      <c r="Q688" s="177"/>
      <c r="R688" s="176"/>
      <c r="S688" s="176"/>
      <c r="T688" s="176"/>
      <c r="U688" s="178"/>
      <c r="V688" s="179"/>
    </row>
    <row r="689">
      <c r="C689" s="172"/>
      <c r="D689" s="172"/>
      <c r="E689" s="173"/>
      <c r="F689" s="137"/>
      <c r="G689" s="137"/>
      <c r="H689" s="137"/>
      <c r="I689" s="129"/>
      <c r="J689" s="323"/>
      <c r="K689" s="90"/>
      <c r="L689" s="176"/>
      <c r="M689" s="176"/>
      <c r="N689" s="176"/>
      <c r="O689" s="176"/>
      <c r="P689" s="176"/>
      <c r="Q689" s="177"/>
      <c r="R689" s="176"/>
      <c r="S689" s="176"/>
      <c r="T689" s="176"/>
      <c r="U689" s="178"/>
      <c r="V689" s="179"/>
    </row>
    <row r="690">
      <c r="C690" s="172"/>
      <c r="D690" s="172"/>
      <c r="E690" s="173"/>
      <c r="F690" s="137"/>
      <c r="G690" s="137"/>
      <c r="H690" s="137"/>
      <c r="I690" s="129"/>
      <c r="J690" s="323"/>
      <c r="K690" s="90"/>
      <c r="L690" s="176"/>
      <c r="M690" s="176"/>
      <c r="N690" s="176"/>
      <c r="O690" s="176"/>
      <c r="P690" s="176"/>
      <c r="Q690" s="177"/>
      <c r="R690" s="176"/>
      <c r="S690" s="176"/>
      <c r="T690" s="176"/>
      <c r="U690" s="178"/>
      <c r="V690" s="179"/>
    </row>
    <row r="691">
      <c r="C691" s="172"/>
      <c r="D691" s="172"/>
      <c r="E691" s="173"/>
      <c r="F691" s="137"/>
      <c r="G691" s="137"/>
      <c r="H691" s="137"/>
      <c r="I691" s="129"/>
      <c r="J691" s="323"/>
      <c r="K691" s="90"/>
      <c r="L691" s="176"/>
      <c r="M691" s="176"/>
      <c r="N691" s="176"/>
      <c r="O691" s="176"/>
      <c r="P691" s="176"/>
      <c r="Q691" s="177"/>
      <c r="R691" s="176"/>
      <c r="S691" s="176"/>
      <c r="T691" s="176"/>
      <c r="U691" s="178"/>
      <c r="V691" s="179"/>
    </row>
    <row r="692">
      <c r="C692" s="172"/>
      <c r="D692" s="172"/>
      <c r="E692" s="173"/>
      <c r="F692" s="137"/>
      <c r="G692" s="137"/>
      <c r="H692" s="137"/>
      <c r="I692" s="129"/>
      <c r="J692" s="323"/>
      <c r="K692" s="90"/>
      <c r="L692" s="176"/>
      <c r="M692" s="176"/>
      <c r="N692" s="176"/>
      <c r="O692" s="176"/>
      <c r="P692" s="176"/>
      <c r="Q692" s="177"/>
      <c r="R692" s="176"/>
      <c r="S692" s="176"/>
      <c r="T692" s="176"/>
      <c r="U692" s="178"/>
      <c r="V692" s="179"/>
    </row>
    <row r="693">
      <c r="C693" s="172"/>
      <c r="D693" s="172"/>
      <c r="E693" s="173"/>
      <c r="F693" s="137"/>
      <c r="G693" s="137"/>
      <c r="H693" s="137"/>
      <c r="I693" s="129"/>
      <c r="J693" s="323"/>
      <c r="K693" s="90"/>
      <c r="L693" s="176"/>
      <c r="M693" s="176"/>
      <c r="N693" s="176"/>
      <c r="O693" s="176"/>
      <c r="P693" s="176"/>
      <c r="Q693" s="177"/>
      <c r="R693" s="176"/>
      <c r="S693" s="176"/>
      <c r="T693" s="176"/>
      <c r="U693" s="178"/>
      <c r="V693" s="179"/>
    </row>
    <row r="694">
      <c r="C694" s="172"/>
      <c r="D694" s="172"/>
      <c r="E694" s="173"/>
      <c r="F694" s="137"/>
      <c r="G694" s="137"/>
      <c r="H694" s="137"/>
      <c r="I694" s="129"/>
      <c r="J694" s="323"/>
      <c r="K694" s="90"/>
      <c r="L694" s="176"/>
      <c r="M694" s="176"/>
      <c r="N694" s="176"/>
      <c r="O694" s="176"/>
      <c r="P694" s="176"/>
      <c r="Q694" s="177"/>
      <c r="R694" s="176"/>
      <c r="S694" s="176"/>
      <c r="T694" s="176"/>
      <c r="U694" s="178"/>
      <c r="V694" s="179"/>
    </row>
    <row r="695">
      <c r="C695" s="172"/>
      <c r="D695" s="172"/>
      <c r="E695" s="173"/>
      <c r="F695" s="137"/>
      <c r="G695" s="137"/>
      <c r="H695" s="137"/>
      <c r="I695" s="129"/>
      <c r="J695" s="323"/>
      <c r="K695" s="90"/>
      <c r="L695" s="176"/>
      <c r="M695" s="176"/>
      <c r="N695" s="176"/>
      <c r="O695" s="176"/>
      <c r="P695" s="176"/>
      <c r="Q695" s="177"/>
      <c r="R695" s="176"/>
      <c r="S695" s="176"/>
      <c r="T695" s="176"/>
      <c r="U695" s="178"/>
      <c r="V695" s="179"/>
    </row>
    <row r="696">
      <c r="C696" s="172"/>
      <c r="D696" s="172"/>
      <c r="E696" s="173"/>
      <c r="F696" s="137"/>
      <c r="G696" s="137"/>
      <c r="H696" s="137"/>
      <c r="I696" s="129"/>
      <c r="J696" s="323"/>
      <c r="K696" s="90"/>
      <c r="L696" s="176"/>
      <c r="M696" s="176"/>
      <c r="N696" s="176"/>
      <c r="O696" s="176"/>
      <c r="P696" s="176"/>
      <c r="Q696" s="177"/>
      <c r="R696" s="176"/>
      <c r="S696" s="176"/>
      <c r="T696" s="176"/>
      <c r="U696" s="178"/>
      <c r="V696" s="179"/>
    </row>
    <row r="697">
      <c r="C697" s="172"/>
      <c r="D697" s="172"/>
      <c r="E697" s="173"/>
      <c r="F697" s="137"/>
      <c r="G697" s="137"/>
      <c r="H697" s="137"/>
      <c r="I697" s="129"/>
      <c r="J697" s="323"/>
      <c r="K697" s="90"/>
      <c r="L697" s="176"/>
      <c r="M697" s="176"/>
      <c r="N697" s="176"/>
      <c r="O697" s="176"/>
      <c r="P697" s="176"/>
      <c r="Q697" s="177"/>
      <c r="R697" s="176"/>
      <c r="S697" s="176"/>
      <c r="T697" s="176"/>
      <c r="U697" s="178"/>
      <c r="V697" s="179"/>
    </row>
    <row r="698">
      <c r="C698" s="172"/>
      <c r="D698" s="172"/>
      <c r="E698" s="173"/>
      <c r="F698" s="137"/>
      <c r="G698" s="137"/>
      <c r="H698" s="137"/>
      <c r="I698" s="129"/>
      <c r="J698" s="323"/>
      <c r="K698" s="90"/>
      <c r="L698" s="176"/>
      <c r="M698" s="176"/>
      <c r="N698" s="176"/>
      <c r="O698" s="176"/>
      <c r="P698" s="176"/>
      <c r="Q698" s="177"/>
      <c r="R698" s="176"/>
      <c r="S698" s="176"/>
      <c r="T698" s="176"/>
      <c r="U698" s="178"/>
      <c r="V698" s="179"/>
    </row>
    <row r="699">
      <c r="C699" s="172"/>
      <c r="D699" s="172"/>
      <c r="E699" s="173"/>
      <c r="F699" s="137"/>
      <c r="G699" s="137"/>
      <c r="H699" s="137"/>
      <c r="I699" s="129"/>
      <c r="J699" s="323"/>
      <c r="K699" s="90"/>
      <c r="L699" s="176"/>
      <c r="M699" s="176"/>
      <c r="N699" s="176"/>
      <c r="O699" s="176"/>
      <c r="P699" s="176"/>
      <c r="Q699" s="177"/>
      <c r="R699" s="176"/>
      <c r="S699" s="176"/>
      <c r="T699" s="176"/>
      <c r="U699" s="178"/>
      <c r="V699" s="179"/>
    </row>
    <row r="700">
      <c r="C700" s="172"/>
      <c r="D700" s="172"/>
      <c r="E700" s="173"/>
      <c r="F700" s="137"/>
      <c r="G700" s="137"/>
      <c r="H700" s="137"/>
      <c r="I700" s="129"/>
      <c r="J700" s="323"/>
      <c r="K700" s="90"/>
      <c r="L700" s="176"/>
      <c r="M700" s="176"/>
      <c r="N700" s="176"/>
      <c r="O700" s="176"/>
      <c r="P700" s="176"/>
      <c r="Q700" s="177"/>
      <c r="R700" s="176"/>
      <c r="S700" s="176"/>
      <c r="T700" s="176"/>
      <c r="U700" s="178"/>
      <c r="V700" s="179"/>
    </row>
    <row r="701">
      <c r="C701" s="172"/>
      <c r="D701" s="172"/>
      <c r="E701" s="173"/>
      <c r="F701" s="137"/>
      <c r="G701" s="137"/>
      <c r="H701" s="137"/>
      <c r="I701" s="129"/>
      <c r="J701" s="323"/>
      <c r="K701" s="90"/>
      <c r="L701" s="176"/>
      <c r="M701" s="176"/>
      <c r="N701" s="176"/>
      <c r="O701" s="176"/>
      <c r="P701" s="176"/>
      <c r="Q701" s="177"/>
      <c r="R701" s="176"/>
      <c r="S701" s="176"/>
      <c r="T701" s="176"/>
      <c r="U701" s="178"/>
      <c r="V701" s="179"/>
    </row>
    <row r="702">
      <c r="C702" s="172"/>
      <c r="D702" s="172"/>
      <c r="E702" s="173"/>
      <c r="F702" s="137"/>
      <c r="G702" s="137"/>
      <c r="H702" s="137"/>
      <c r="I702" s="129"/>
      <c r="J702" s="323"/>
      <c r="K702" s="90"/>
      <c r="L702" s="176"/>
      <c r="M702" s="176"/>
      <c r="N702" s="176"/>
      <c r="O702" s="176"/>
      <c r="P702" s="176"/>
      <c r="Q702" s="177"/>
      <c r="R702" s="176"/>
      <c r="S702" s="176"/>
      <c r="T702" s="176"/>
      <c r="U702" s="178"/>
      <c r="V702" s="179"/>
    </row>
    <row r="703">
      <c r="C703" s="172"/>
      <c r="D703" s="172"/>
      <c r="E703" s="173"/>
      <c r="F703" s="137"/>
      <c r="G703" s="137"/>
      <c r="H703" s="137"/>
      <c r="I703" s="129"/>
      <c r="J703" s="323"/>
      <c r="K703" s="90"/>
      <c r="L703" s="176"/>
      <c r="M703" s="176"/>
      <c r="N703" s="176"/>
      <c r="O703" s="176"/>
      <c r="P703" s="176"/>
      <c r="Q703" s="177"/>
      <c r="R703" s="176"/>
      <c r="S703" s="176"/>
      <c r="T703" s="176"/>
      <c r="U703" s="178"/>
      <c r="V703" s="179"/>
    </row>
    <row r="704">
      <c r="C704" s="172"/>
      <c r="D704" s="172"/>
      <c r="E704" s="173"/>
      <c r="F704" s="137"/>
      <c r="G704" s="137"/>
      <c r="H704" s="137"/>
      <c r="I704" s="129"/>
      <c r="J704" s="323"/>
      <c r="K704" s="90"/>
      <c r="L704" s="176"/>
      <c r="M704" s="176"/>
      <c r="N704" s="176"/>
      <c r="O704" s="176"/>
      <c r="P704" s="176"/>
      <c r="Q704" s="177"/>
      <c r="R704" s="176"/>
      <c r="S704" s="176"/>
      <c r="T704" s="176"/>
      <c r="U704" s="178"/>
      <c r="V704" s="179"/>
    </row>
    <row r="705">
      <c r="C705" s="172"/>
      <c r="D705" s="172"/>
      <c r="E705" s="173"/>
      <c r="F705" s="137"/>
      <c r="G705" s="137"/>
      <c r="H705" s="137"/>
      <c r="I705" s="129"/>
      <c r="J705" s="323"/>
      <c r="K705" s="90"/>
      <c r="L705" s="176"/>
      <c r="M705" s="176"/>
      <c r="N705" s="176"/>
      <c r="O705" s="176"/>
      <c r="P705" s="176"/>
      <c r="Q705" s="177"/>
      <c r="R705" s="176"/>
      <c r="S705" s="176"/>
      <c r="T705" s="176"/>
      <c r="U705" s="178"/>
      <c r="V705" s="179"/>
    </row>
    <row r="706">
      <c r="C706" s="172"/>
      <c r="D706" s="172"/>
      <c r="E706" s="173"/>
      <c r="F706" s="137"/>
      <c r="G706" s="137"/>
      <c r="H706" s="137"/>
      <c r="I706" s="129"/>
      <c r="J706" s="323"/>
      <c r="K706" s="90"/>
      <c r="L706" s="176"/>
      <c r="M706" s="176"/>
      <c r="N706" s="176"/>
      <c r="O706" s="176"/>
      <c r="P706" s="176"/>
      <c r="Q706" s="177"/>
      <c r="R706" s="176"/>
      <c r="S706" s="176"/>
      <c r="T706" s="176"/>
      <c r="U706" s="178"/>
      <c r="V706" s="179"/>
    </row>
    <row r="707">
      <c r="C707" s="172"/>
      <c r="D707" s="172"/>
      <c r="E707" s="173"/>
      <c r="F707" s="137"/>
      <c r="G707" s="137"/>
      <c r="H707" s="137"/>
      <c r="I707" s="129"/>
      <c r="J707" s="323"/>
      <c r="K707" s="90"/>
      <c r="L707" s="176"/>
      <c r="M707" s="176"/>
      <c r="N707" s="176"/>
      <c r="O707" s="176"/>
      <c r="P707" s="176"/>
      <c r="Q707" s="177"/>
      <c r="R707" s="176"/>
      <c r="S707" s="176"/>
      <c r="T707" s="176"/>
      <c r="U707" s="178"/>
      <c r="V707" s="179"/>
    </row>
    <row r="708">
      <c r="C708" s="172"/>
      <c r="D708" s="172"/>
      <c r="E708" s="173"/>
      <c r="F708" s="137"/>
      <c r="G708" s="137"/>
      <c r="H708" s="137"/>
      <c r="I708" s="129"/>
      <c r="J708" s="323"/>
      <c r="K708" s="90"/>
      <c r="L708" s="176"/>
      <c r="M708" s="176"/>
      <c r="N708" s="176"/>
      <c r="O708" s="176"/>
      <c r="P708" s="176"/>
      <c r="Q708" s="177"/>
      <c r="R708" s="176"/>
      <c r="S708" s="176"/>
      <c r="T708" s="176"/>
      <c r="U708" s="178"/>
      <c r="V708" s="179"/>
    </row>
    <row r="709">
      <c r="C709" s="172"/>
      <c r="D709" s="172"/>
      <c r="E709" s="173"/>
      <c r="F709" s="137"/>
      <c r="G709" s="137"/>
      <c r="H709" s="137"/>
      <c r="I709" s="129"/>
      <c r="J709" s="323"/>
      <c r="K709" s="90"/>
      <c r="L709" s="176"/>
      <c r="M709" s="176"/>
      <c r="N709" s="176"/>
      <c r="O709" s="176"/>
      <c r="P709" s="176"/>
      <c r="Q709" s="177"/>
      <c r="R709" s="176"/>
      <c r="S709" s="176"/>
      <c r="T709" s="176"/>
      <c r="U709" s="178"/>
      <c r="V709" s="179"/>
    </row>
    <row r="710">
      <c r="C710" s="172"/>
      <c r="D710" s="172"/>
      <c r="E710" s="173"/>
      <c r="F710" s="137"/>
      <c r="G710" s="137"/>
      <c r="H710" s="137"/>
      <c r="I710" s="129"/>
      <c r="J710" s="323"/>
      <c r="K710" s="90"/>
      <c r="L710" s="176"/>
      <c r="M710" s="176"/>
      <c r="N710" s="176"/>
      <c r="O710" s="176"/>
      <c r="P710" s="176"/>
      <c r="Q710" s="177"/>
      <c r="R710" s="176"/>
      <c r="S710" s="176"/>
      <c r="T710" s="176"/>
      <c r="U710" s="178"/>
      <c r="V710" s="179"/>
    </row>
    <row r="711">
      <c r="C711" s="172"/>
      <c r="D711" s="172"/>
      <c r="E711" s="173"/>
      <c r="F711" s="137"/>
      <c r="G711" s="137"/>
      <c r="H711" s="137"/>
      <c r="I711" s="129"/>
      <c r="J711" s="323"/>
      <c r="K711" s="90"/>
      <c r="L711" s="176"/>
      <c r="M711" s="176"/>
      <c r="N711" s="176"/>
      <c r="O711" s="176"/>
      <c r="P711" s="176"/>
      <c r="Q711" s="177"/>
      <c r="R711" s="176"/>
      <c r="S711" s="176"/>
      <c r="T711" s="176"/>
      <c r="U711" s="178"/>
      <c r="V711" s="179"/>
    </row>
    <row r="712">
      <c r="C712" s="172"/>
      <c r="D712" s="172"/>
      <c r="E712" s="173"/>
      <c r="F712" s="137"/>
      <c r="G712" s="137"/>
      <c r="H712" s="137"/>
      <c r="I712" s="129"/>
      <c r="J712" s="323"/>
      <c r="K712" s="90"/>
      <c r="L712" s="176"/>
      <c r="M712" s="176"/>
      <c r="N712" s="176"/>
      <c r="O712" s="176"/>
      <c r="P712" s="176"/>
      <c r="Q712" s="177"/>
      <c r="R712" s="176"/>
      <c r="S712" s="176"/>
      <c r="T712" s="176"/>
      <c r="U712" s="178"/>
      <c r="V712" s="179"/>
    </row>
    <row r="713">
      <c r="C713" s="172"/>
      <c r="D713" s="172"/>
      <c r="E713" s="173"/>
      <c r="F713" s="137"/>
      <c r="G713" s="137"/>
      <c r="H713" s="137"/>
      <c r="I713" s="129"/>
      <c r="J713" s="323"/>
      <c r="K713" s="90"/>
      <c r="L713" s="176"/>
      <c r="M713" s="176"/>
      <c r="N713" s="176"/>
      <c r="O713" s="176"/>
      <c r="P713" s="176"/>
      <c r="Q713" s="177"/>
      <c r="R713" s="176"/>
      <c r="S713" s="176"/>
      <c r="T713" s="176"/>
      <c r="U713" s="178"/>
      <c r="V713" s="179"/>
    </row>
    <row r="714">
      <c r="C714" s="172"/>
      <c r="D714" s="172"/>
      <c r="E714" s="173"/>
      <c r="F714" s="137"/>
      <c r="G714" s="137"/>
      <c r="H714" s="137"/>
      <c r="I714" s="129"/>
      <c r="J714" s="323"/>
      <c r="K714" s="90"/>
      <c r="L714" s="176"/>
      <c r="M714" s="176"/>
      <c r="N714" s="176"/>
      <c r="O714" s="176"/>
      <c r="P714" s="176"/>
      <c r="Q714" s="177"/>
      <c r="R714" s="176"/>
      <c r="S714" s="176"/>
      <c r="T714" s="176"/>
      <c r="U714" s="178"/>
      <c r="V714" s="179"/>
    </row>
    <row r="715">
      <c r="C715" s="172"/>
      <c r="D715" s="172"/>
      <c r="E715" s="173"/>
      <c r="F715" s="137"/>
      <c r="G715" s="137"/>
      <c r="H715" s="137"/>
      <c r="I715" s="129"/>
      <c r="J715" s="323"/>
      <c r="K715" s="90"/>
      <c r="L715" s="176"/>
      <c r="M715" s="176"/>
      <c r="N715" s="176"/>
      <c r="O715" s="176"/>
      <c r="P715" s="176"/>
      <c r="Q715" s="177"/>
      <c r="R715" s="176"/>
      <c r="S715" s="176"/>
      <c r="T715" s="176"/>
      <c r="U715" s="178"/>
      <c r="V715" s="179"/>
    </row>
    <row r="716">
      <c r="C716" s="172"/>
      <c r="D716" s="172"/>
      <c r="E716" s="173"/>
      <c r="F716" s="137"/>
      <c r="G716" s="137"/>
      <c r="H716" s="137"/>
      <c r="I716" s="129"/>
      <c r="J716" s="323"/>
      <c r="K716" s="90"/>
      <c r="L716" s="176"/>
      <c r="M716" s="176"/>
      <c r="N716" s="176"/>
      <c r="O716" s="176"/>
      <c r="P716" s="176"/>
      <c r="Q716" s="177"/>
      <c r="R716" s="176"/>
      <c r="S716" s="176"/>
      <c r="T716" s="176"/>
      <c r="U716" s="178"/>
      <c r="V716" s="179"/>
    </row>
    <row r="717">
      <c r="C717" s="172"/>
      <c r="D717" s="172"/>
      <c r="E717" s="173"/>
      <c r="F717" s="137"/>
      <c r="G717" s="137"/>
      <c r="H717" s="137"/>
      <c r="I717" s="129"/>
      <c r="J717" s="323"/>
      <c r="K717" s="90"/>
      <c r="L717" s="176"/>
      <c r="M717" s="176"/>
      <c r="N717" s="176"/>
      <c r="O717" s="176"/>
      <c r="P717" s="176"/>
      <c r="Q717" s="177"/>
      <c r="R717" s="176"/>
      <c r="S717" s="176"/>
      <c r="T717" s="176"/>
      <c r="U717" s="178"/>
      <c r="V717" s="179"/>
    </row>
    <row r="718">
      <c r="C718" s="172"/>
      <c r="D718" s="172"/>
      <c r="E718" s="173"/>
      <c r="F718" s="137"/>
      <c r="G718" s="137"/>
      <c r="H718" s="137"/>
      <c r="I718" s="129"/>
      <c r="J718" s="323"/>
      <c r="K718" s="90"/>
      <c r="L718" s="176"/>
      <c r="M718" s="176"/>
      <c r="N718" s="176"/>
      <c r="O718" s="176"/>
      <c r="P718" s="176"/>
      <c r="Q718" s="177"/>
      <c r="R718" s="176"/>
      <c r="S718" s="176"/>
      <c r="T718" s="176"/>
      <c r="U718" s="178"/>
      <c r="V718" s="179"/>
    </row>
    <row r="719">
      <c r="C719" s="172"/>
      <c r="D719" s="172"/>
      <c r="E719" s="173"/>
      <c r="F719" s="137"/>
      <c r="G719" s="137"/>
      <c r="H719" s="137"/>
      <c r="I719" s="129"/>
      <c r="J719" s="323"/>
      <c r="K719" s="90"/>
      <c r="L719" s="176"/>
      <c r="M719" s="176"/>
      <c r="N719" s="176"/>
      <c r="O719" s="176"/>
      <c r="P719" s="176"/>
      <c r="Q719" s="177"/>
      <c r="R719" s="176"/>
      <c r="S719" s="176"/>
      <c r="T719" s="176"/>
      <c r="U719" s="178"/>
      <c r="V719" s="179"/>
    </row>
    <row r="720">
      <c r="C720" s="172"/>
      <c r="D720" s="172"/>
      <c r="E720" s="173"/>
      <c r="F720" s="137"/>
      <c r="G720" s="137"/>
      <c r="H720" s="137"/>
      <c r="I720" s="129"/>
      <c r="J720" s="323"/>
      <c r="K720" s="90"/>
      <c r="L720" s="176"/>
      <c r="M720" s="176"/>
      <c r="N720" s="176"/>
      <c r="O720" s="176"/>
      <c r="P720" s="176"/>
      <c r="Q720" s="177"/>
      <c r="R720" s="176"/>
      <c r="S720" s="176"/>
      <c r="T720" s="176"/>
      <c r="U720" s="178"/>
      <c r="V720" s="179"/>
    </row>
    <row r="721">
      <c r="C721" s="172"/>
      <c r="D721" s="172"/>
      <c r="E721" s="173"/>
      <c r="F721" s="137"/>
      <c r="G721" s="137"/>
      <c r="H721" s="137"/>
      <c r="I721" s="129"/>
      <c r="J721" s="323"/>
      <c r="K721" s="90"/>
      <c r="L721" s="176"/>
      <c r="M721" s="176"/>
      <c r="N721" s="176"/>
      <c r="O721" s="176"/>
      <c r="P721" s="176"/>
      <c r="Q721" s="177"/>
      <c r="R721" s="176"/>
      <c r="S721" s="176"/>
      <c r="T721" s="176"/>
      <c r="U721" s="178"/>
      <c r="V721" s="179"/>
    </row>
    <row r="722">
      <c r="C722" s="172"/>
      <c r="D722" s="172"/>
      <c r="E722" s="173"/>
      <c r="F722" s="137"/>
      <c r="G722" s="137"/>
      <c r="H722" s="137"/>
      <c r="I722" s="129"/>
      <c r="J722" s="323"/>
      <c r="K722" s="90"/>
      <c r="L722" s="176"/>
      <c r="M722" s="176"/>
      <c r="N722" s="176"/>
      <c r="O722" s="176"/>
      <c r="P722" s="176"/>
      <c r="Q722" s="177"/>
      <c r="R722" s="176"/>
      <c r="S722" s="176"/>
      <c r="T722" s="176"/>
      <c r="U722" s="178"/>
      <c r="V722" s="179"/>
    </row>
    <row r="723">
      <c r="C723" s="172"/>
      <c r="D723" s="172"/>
      <c r="E723" s="173"/>
      <c r="F723" s="137"/>
      <c r="G723" s="137"/>
      <c r="H723" s="137"/>
      <c r="I723" s="129"/>
      <c r="J723" s="323"/>
      <c r="K723" s="90"/>
      <c r="L723" s="176"/>
      <c r="M723" s="176"/>
      <c r="N723" s="176"/>
      <c r="O723" s="176"/>
      <c r="P723" s="176"/>
      <c r="Q723" s="177"/>
      <c r="R723" s="176"/>
      <c r="S723" s="176"/>
      <c r="T723" s="176"/>
      <c r="U723" s="178"/>
      <c r="V723" s="179"/>
    </row>
    <row r="724">
      <c r="C724" s="172"/>
      <c r="D724" s="172"/>
      <c r="E724" s="173"/>
      <c r="F724" s="137"/>
      <c r="G724" s="137"/>
      <c r="H724" s="137"/>
      <c r="I724" s="129"/>
      <c r="J724" s="323"/>
      <c r="K724" s="90"/>
      <c r="L724" s="176"/>
      <c r="M724" s="176"/>
      <c r="N724" s="176"/>
      <c r="O724" s="176"/>
      <c r="P724" s="176"/>
      <c r="Q724" s="177"/>
      <c r="R724" s="176"/>
      <c r="S724" s="176"/>
      <c r="T724" s="176"/>
      <c r="U724" s="178"/>
      <c r="V724" s="179"/>
    </row>
    <row r="725">
      <c r="C725" s="172"/>
      <c r="D725" s="172"/>
      <c r="E725" s="173"/>
      <c r="F725" s="137"/>
      <c r="G725" s="137"/>
      <c r="H725" s="137"/>
      <c r="I725" s="129"/>
      <c r="J725" s="323"/>
      <c r="K725" s="90"/>
      <c r="L725" s="176"/>
      <c r="M725" s="176"/>
      <c r="N725" s="176"/>
      <c r="O725" s="176"/>
      <c r="P725" s="176"/>
      <c r="Q725" s="177"/>
      <c r="R725" s="176"/>
      <c r="S725" s="176"/>
      <c r="T725" s="176"/>
      <c r="U725" s="178"/>
      <c r="V725" s="179"/>
    </row>
    <row r="726">
      <c r="C726" s="172"/>
      <c r="D726" s="172"/>
      <c r="E726" s="173"/>
      <c r="F726" s="137"/>
      <c r="G726" s="137"/>
      <c r="H726" s="137"/>
      <c r="I726" s="129"/>
      <c r="J726" s="323"/>
      <c r="K726" s="90"/>
      <c r="L726" s="176"/>
      <c r="M726" s="176"/>
      <c r="N726" s="176"/>
      <c r="O726" s="176"/>
      <c r="P726" s="176"/>
      <c r="Q726" s="177"/>
      <c r="R726" s="176"/>
      <c r="S726" s="176"/>
      <c r="T726" s="176"/>
      <c r="U726" s="178"/>
      <c r="V726" s="179"/>
    </row>
    <row r="727">
      <c r="C727" s="172"/>
      <c r="D727" s="172"/>
      <c r="E727" s="173"/>
      <c r="F727" s="137"/>
      <c r="G727" s="137"/>
      <c r="H727" s="137"/>
      <c r="I727" s="129"/>
      <c r="J727" s="323"/>
      <c r="K727" s="90"/>
      <c r="L727" s="176"/>
      <c r="M727" s="176"/>
      <c r="N727" s="176"/>
      <c r="O727" s="176"/>
      <c r="P727" s="176"/>
      <c r="Q727" s="177"/>
      <c r="R727" s="176"/>
      <c r="S727" s="176"/>
      <c r="T727" s="176"/>
      <c r="U727" s="178"/>
      <c r="V727" s="179"/>
    </row>
    <row r="728">
      <c r="C728" s="172"/>
      <c r="D728" s="172"/>
      <c r="E728" s="173"/>
      <c r="F728" s="137"/>
      <c r="G728" s="137"/>
      <c r="H728" s="137"/>
      <c r="I728" s="129"/>
      <c r="J728" s="323"/>
      <c r="K728" s="90"/>
      <c r="L728" s="176"/>
      <c r="M728" s="176"/>
      <c r="N728" s="176"/>
      <c r="O728" s="176"/>
      <c r="P728" s="176"/>
      <c r="Q728" s="177"/>
      <c r="R728" s="176"/>
      <c r="S728" s="176"/>
      <c r="T728" s="176"/>
      <c r="U728" s="178"/>
      <c r="V728" s="179"/>
    </row>
    <row r="729">
      <c r="C729" s="172"/>
      <c r="D729" s="172"/>
      <c r="E729" s="173"/>
      <c r="F729" s="137"/>
      <c r="G729" s="137"/>
      <c r="H729" s="137"/>
      <c r="I729" s="129"/>
      <c r="J729" s="323"/>
      <c r="K729" s="90"/>
      <c r="L729" s="176"/>
      <c r="M729" s="176"/>
      <c r="N729" s="176"/>
      <c r="O729" s="176"/>
      <c r="P729" s="176"/>
      <c r="Q729" s="177"/>
      <c r="R729" s="176"/>
      <c r="S729" s="176"/>
      <c r="T729" s="176"/>
      <c r="U729" s="178"/>
      <c r="V729" s="179"/>
    </row>
    <row r="730">
      <c r="C730" s="172"/>
      <c r="D730" s="172"/>
      <c r="E730" s="173"/>
      <c r="F730" s="137"/>
      <c r="G730" s="137"/>
      <c r="H730" s="137"/>
      <c r="I730" s="129"/>
      <c r="J730" s="323"/>
      <c r="K730" s="90"/>
      <c r="L730" s="176"/>
      <c r="M730" s="176"/>
      <c r="N730" s="176"/>
      <c r="O730" s="176"/>
      <c r="P730" s="176"/>
      <c r="Q730" s="177"/>
      <c r="R730" s="176"/>
      <c r="S730" s="176"/>
      <c r="T730" s="176"/>
      <c r="U730" s="178"/>
      <c r="V730" s="179"/>
    </row>
    <row r="731">
      <c r="C731" s="172"/>
      <c r="D731" s="172"/>
      <c r="E731" s="173"/>
      <c r="F731" s="137"/>
      <c r="G731" s="137"/>
      <c r="H731" s="137"/>
      <c r="I731" s="129"/>
      <c r="J731" s="323"/>
      <c r="K731" s="90"/>
      <c r="L731" s="176"/>
      <c r="M731" s="176"/>
      <c r="N731" s="176"/>
      <c r="O731" s="176"/>
      <c r="P731" s="176"/>
      <c r="Q731" s="177"/>
      <c r="R731" s="176"/>
      <c r="S731" s="176"/>
      <c r="T731" s="176"/>
      <c r="U731" s="178"/>
      <c r="V731" s="179"/>
    </row>
    <row r="732">
      <c r="C732" s="172"/>
      <c r="D732" s="172"/>
      <c r="E732" s="173"/>
      <c r="F732" s="137"/>
      <c r="G732" s="137"/>
      <c r="H732" s="137"/>
      <c r="I732" s="129"/>
      <c r="J732" s="323"/>
      <c r="K732" s="90"/>
      <c r="L732" s="176"/>
      <c r="M732" s="176"/>
      <c r="N732" s="176"/>
      <c r="O732" s="176"/>
      <c r="P732" s="176"/>
      <c r="Q732" s="177"/>
      <c r="R732" s="176"/>
      <c r="S732" s="176"/>
      <c r="T732" s="176"/>
      <c r="U732" s="178"/>
      <c r="V732" s="179"/>
    </row>
    <row r="733">
      <c r="C733" s="172"/>
      <c r="D733" s="172"/>
      <c r="E733" s="173"/>
      <c r="F733" s="137"/>
      <c r="G733" s="137"/>
      <c r="H733" s="137"/>
      <c r="I733" s="129"/>
      <c r="J733" s="323"/>
      <c r="K733" s="90"/>
      <c r="L733" s="176"/>
      <c r="M733" s="176"/>
      <c r="N733" s="176"/>
      <c r="O733" s="176"/>
      <c r="P733" s="176"/>
      <c r="Q733" s="177"/>
      <c r="R733" s="176"/>
      <c r="S733" s="176"/>
      <c r="T733" s="176"/>
      <c r="U733" s="178"/>
      <c r="V733" s="179"/>
    </row>
    <row r="734">
      <c r="C734" s="172"/>
      <c r="D734" s="172"/>
      <c r="E734" s="173"/>
      <c r="F734" s="137"/>
      <c r="G734" s="137"/>
      <c r="H734" s="137"/>
      <c r="I734" s="129"/>
      <c r="J734" s="323"/>
      <c r="K734" s="90"/>
      <c r="L734" s="176"/>
      <c r="M734" s="176"/>
      <c r="N734" s="176"/>
      <c r="O734" s="176"/>
      <c r="P734" s="176"/>
      <c r="Q734" s="177"/>
      <c r="R734" s="176"/>
      <c r="S734" s="176"/>
      <c r="T734" s="176"/>
      <c r="U734" s="178"/>
      <c r="V734" s="179"/>
    </row>
    <row r="735">
      <c r="C735" s="172"/>
      <c r="D735" s="172"/>
      <c r="E735" s="173"/>
      <c r="F735" s="137"/>
      <c r="G735" s="137"/>
      <c r="H735" s="137"/>
      <c r="I735" s="129"/>
      <c r="J735" s="323"/>
      <c r="K735" s="90"/>
      <c r="L735" s="176"/>
      <c r="M735" s="176"/>
      <c r="N735" s="176"/>
      <c r="O735" s="176"/>
      <c r="P735" s="176"/>
      <c r="Q735" s="177"/>
      <c r="R735" s="176"/>
      <c r="S735" s="176"/>
      <c r="T735" s="176"/>
      <c r="U735" s="178"/>
      <c r="V735" s="179"/>
    </row>
    <row r="736">
      <c r="C736" s="172"/>
      <c r="D736" s="172"/>
      <c r="E736" s="173"/>
      <c r="F736" s="137"/>
      <c r="G736" s="137"/>
      <c r="H736" s="137"/>
      <c r="I736" s="129"/>
      <c r="J736" s="323"/>
      <c r="K736" s="90"/>
      <c r="L736" s="176"/>
      <c r="M736" s="176"/>
      <c r="N736" s="176"/>
      <c r="O736" s="176"/>
      <c r="P736" s="176"/>
      <c r="Q736" s="177"/>
      <c r="R736" s="176"/>
      <c r="S736" s="176"/>
      <c r="T736" s="176"/>
      <c r="U736" s="178"/>
      <c r="V736" s="179"/>
    </row>
    <row r="737">
      <c r="C737" s="172"/>
      <c r="D737" s="172"/>
      <c r="E737" s="173"/>
      <c r="F737" s="137"/>
      <c r="G737" s="137"/>
      <c r="H737" s="137"/>
      <c r="I737" s="129"/>
      <c r="J737" s="323"/>
      <c r="K737" s="90"/>
      <c r="L737" s="176"/>
      <c r="M737" s="176"/>
      <c r="N737" s="176"/>
      <c r="O737" s="176"/>
      <c r="P737" s="176"/>
      <c r="Q737" s="177"/>
      <c r="R737" s="176"/>
      <c r="S737" s="176"/>
      <c r="T737" s="176"/>
      <c r="U737" s="178"/>
      <c r="V737" s="179"/>
    </row>
    <row r="738">
      <c r="C738" s="172"/>
      <c r="D738" s="172"/>
      <c r="E738" s="173"/>
      <c r="F738" s="137"/>
      <c r="G738" s="137"/>
      <c r="H738" s="137"/>
      <c r="I738" s="129"/>
      <c r="J738" s="323"/>
      <c r="K738" s="90"/>
      <c r="L738" s="176"/>
      <c r="M738" s="176"/>
      <c r="N738" s="176"/>
      <c r="O738" s="176"/>
      <c r="P738" s="176"/>
      <c r="Q738" s="177"/>
      <c r="R738" s="176"/>
      <c r="S738" s="176"/>
      <c r="T738" s="176"/>
      <c r="U738" s="178"/>
      <c r="V738" s="179"/>
    </row>
    <row r="739">
      <c r="C739" s="172"/>
      <c r="D739" s="172"/>
      <c r="E739" s="173"/>
      <c r="F739" s="137"/>
      <c r="G739" s="137"/>
      <c r="H739" s="137"/>
      <c r="I739" s="129"/>
      <c r="J739" s="323"/>
      <c r="K739" s="90"/>
      <c r="L739" s="176"/>
      <c r="M739" s="176"/>
      <c r="N739" s="176"/>
      <c r="O739" s="176"/>
      <c r="P739" s="176"/>
      <c r="Q739" s="177"/>
      <c r="R739" s="176"/>
      <c r="S739" s="176"/>
      <c r="T739" s="176"/>
      <c r="U739" s="178"/>
      <c r="V739" s="179"/>
    </row>
    <row r="740">
      <c r="C740" s="172"/>
      <c r="D740" s="172"/>
      <c r="E740" s="173"/>
      <c r="F740" s="137"/>
      <c r="G740" s="137"/>
      <c r="H740" s="137"/>
      <c r="I740" s="129"/>
      <c r="J740" s="323"/>
      <c r="K740" s="90"/>
      <c r="L740" s="176"/>
      <c r="M740" s="176"/>
      <c r="N740" s="176"/>
      <c r="O740" s="176"/>
      <c r="P740" s="176"/>
      <c r="Q740" s="177"/>
      <c r="R740" s="176"/>
      <c r="S740" s="176"/>
      <c r="T740" s="176"/>
      <c r="U740" s="178"/>
      <c r="V740" s="179"/>
    </row>
    <row r="741">
      <c r="C741" s="172"/>
      <c r="D741" s="172"/>
      <c r="E741" s="173"/>
      <c r="F741" s="137"/>
      <c r="G741" s="137"/>
      <c r="H741" s="137"/>
      <c r="I741" s="129"/>
      <c r="J741" s="323"/>
      <c r="K741" s="90"/>
      <c r="L741" s="176"/>
      <c r="M741" s="176"/>
      <c r="N741" s="176"/>
      <c r="O741" s="176"/>
      <c r="P741" s="176"/>
      <c r="Q741" s="177"/>
      <c r="R741" s="176"/>
      <c r="S741" s="176"/>
      <c r="T741" s="176"/>
      <c r="U741" s="178"/>
      <c r="V741" s="179"/>
    </row>
    <row r="742">
      <c r="C742" s="172"/>
      <c r="D742" s="172"/>
      <c r="E742" s="173"/>
      <c r="F742" s="137"/>
      <c r="G742" s="137"/>
      <c r="H742" s="137"/>
      <c r="I742" s="129"/>
      <c r="J742" s="323"/>
      <c r="K742" s="90"/>
      <c r="L742" s="176"/>
      <c r="M742" s="176"/>
      <c r="N742" s="176"/>
      <c r="O742" s="176"/>
      <c r="P742" s="176"/>
      <c r="Q742" s="177"/>
      <c r="R742" s="176"/>
      <c r="S742" s="176"/>
      <c r="T742" s="176"/>
      <c r="U742" s="178"/>
      <c r="V742" s="179"/>
    </row>
    <row r="743">
      <c r="C743" s="172"/>
      <c r="D743" s="172"/>
      <c r="E743" s="173"/>
      <c r="F743" s="137"/>
      <c r="G743" s="137"/>
      <c r="H743" s="137"/>
      <c r="I743" s="129"/>
      <c r="J743" s="323"/>
      <c r="K743" s="90"/>
      <c r="L743" s="176"/>
      <c r="M743" s="176"/>
      <c r="N743" s="176"/>
      <c r="O743" s="176"/>
      <c r="P743" s="176"/>
      <c r="Q743" s="177"/>
      <c r="R743" s="176"/>
      <c r="S743" s="176"/>
      <c r="T743" s="176"/>
      <c r="U743" s="178"/>
      <c r="V743" s="179"/>
    </row>
    <row r="744">
      <c r="C744" s="172"/>
      <c r="D744" s="172"/>
      <c r="E744" s="173"/>
      <c r="F744" s="137"/>
      <c r="G744" s="137"/>
      <c r="H744" s="137"/>
      <c r="I744" s="129"/>
      <c r="J744" s="323"/>
      <c r="K744" s="90"/>
      <c r="L744" s="176"/>
      <c r="M744" s="176"/>
      <c r="N744" s="176"/>
      <c r="O744" s="176"/>
      <c r="P744" s="176"/>
      <c r="Q744" s="177"/>
      <c r="R744" s="176"/>
      <c r="S744" s="176"/>
      <c r="T744" s="176"/>
      <c r="U744" s="178"/>
      <c r="V744" s="179"/>
    </row>
    <row r="745">
      <c r="C745" s="172"/>
      <c r="D745" s="172"/>
      <c r="E745" s="173"/>
      <c r="F745" s="137"/>
      <c r="G745" s="137"/>
      <c r="H745" s="137"/>
      <c r="I745" s="129"/>
      <c r="J745" s="323"/>
      <c r="K745" s="90"/>
      <c r="L745" s="176"/>
      <c r="M745" s="176"/>
      <c r="N745" s="176"/>
      <c r="O745" s="176"/>
      <c r="P745" s="176"/>
      <c r="Q745" s="177"/>
      <c r="R745" s="176"/>
      <c r="S745" s="176"/>
      <c r="T745" s="176"/>
      <c r="U745" s="178"/>
      <c r="V745" s="179"/>
    </row>
    <row r="746">
      <c r="C746" s="172"/>
      <c r="D746" s="172"/>
      <c r="E746" s="173"/>
      <c r="F746" s="137"/>
      <c r="G746" s="137"/>
      <c r="H746" s="137"/>
      <c r="I746" s="129"/>
      <c r="J746" s="323"/>
      <c r="K746" s="90"/>
      <c r="L746" s="176"/>
      <c r="M746" s="176"/>
      <c r="N746" s="176"/>
      <c r="O746" s="176"/>
      <c r="P746" s="176"/>
      <c r="Q746" s="177"/>
      <c r="R746" s="176"/>
      <c r="S746" s="176"/>
      <c r="T746" s="176"/>
      <c r="U746" s="178"/>
      <c r="V746" s="179"/>
    </row>
    <row r="747">
      <c r="C747" s="172"/>
      <c r="D747" s="172"/>
      <c r="E747" s="173"/>
      <c r="F747" s="137"/>
      <c r="G747" s="137"/>
      <c r="H747" s="137"/>
      <c r="I747" s="129"/>
      <c r="J747" s="323"/>
      <c r="K747" s="90"/>
      <c r="L747" s="176"/>
      <c r="M747" s="176"/>
      <c r="N747" s="176"/>
      <c r="O747" s="176"/>
      <c r="P747" s="176"/>
      <c r="Q747" s="177"/>
      <c r="R747" s="176"/>
      <c r="S747" s="176"/>
      <c r="T747" s="176"/>
      <c r="U747" s="178"/>
      <c r="V747" s="179"/>
    </row>
    <row r="748">
      <c r="C748" s="172"/>
      <c r="D748" s="172"/>
      <c r="E748" s="173"/>
      <c r="F748" s="137"/>
      <c r="G748" s="137"/>
      <c r="H748" s="137"/>
      <c r="I748" s="129"/>
      <c r="J748" s="323"/>
      <c r="K748" s="90"/>
      <c r="L748" s="176"/>
      <c r="M748" s="176"/>
      <c r="N748" s="176"/>
      <c r="O748" s="176"/>
      <c r="P748" s="176"/>
      <c r="Q748" s="177"/>
      <c r="R748" s="176"/>
      <c r="S748" s="176"/>
      <c r="T748" s="176"/>
      <c r="U748" s="178"/>
      <c r="V748" s="179"/>
    </row>
    <row r="749">
      <c r="C749" s="172"/>
      <c r="D749" s="172"/>
      <c r="E749" s="173"/>
      <c r="F749" s="137"/>
      <c r="G749" s="137"/>
      <c r="H749" s="137"/>
      <c r="I749" s="129"/>
      <c r="J749" s="323"/>
      <c r="K749" s="90"/>
      <c r="L749" s="176"/>
      <c r="M749" s="176"/>
      <c r="N749" s="176"/>
      <c r="O749" s="176"/>
      <c r="P749" s="176"/>
      <c r="Q749" s="177"/>
      <c r="R749" s="176"/>
      <c r="S749" s="176"/>
      <c r="T749" s="176"/>
      <c r="U749" s="178"/>
      <c r="V749" s="179"/>
    </row>
    <row r="750">
      <c r="C750" s="172"/>
      <c r="D750" s="172"/>
      <c r="E750" s="173"/>
      <c r="F750" s="137"/>
      <c r="G750" s="137"/>
      <c r="H750" s="137"/>
      <c r="I750" s="129"/>
      <c r="J750" s="323"/>
      <c r="K750" s="90"/>
      <c r="L750" s="176"/>
      <c r="M750" s="176"/>
      <c r="N750" s="176"/>
      <c r="O750" s="176"/>
      <c r="P750" s="176"/>
      <c r="Q750" s="177"/>
      <c r="R750" s="176"/>
      <c r="S750" s="176"/>
      <c r="T750" s="176"/>
      <c r="U750" s="178"/>
      <c r="V750" s="179"/>
    </row>
    <row r="751">
      <c r="C751" s="172"/>
      <c r="D751" s="172"/>
      <c r="E751" s="173"/>
      <c r="F751" s="137"/>
      <c r="G751" s="137"/>
      <c r="H751" s="137"/>
      <c r="I751" s="129"/>
      <c r="J751" s="323"/>
      <c r="K751" s="90"/>
      <c r="L751" s="176"/>
      <c r="M751" s="176"/>
      <c r="N751" s="176"/>
      <c r="O751" s="176"/>
      <c r="P751" s="176"/>
      <c r="Q751" s="177"/>
      <c r="R751" s="176"/>
      <c r="S751" s="176"/>
      <c r="T751" s="176"/>
      <c r="U751" s="178"/>
      <c r="V751" s="179"/>
    </row>
    <row r="752">
      <c r="C752" s="172"/>
      <c r="D752" s="172"/>
      <c r="E752" s="173"/>
      <c r="F752" s="137"/>
      <c r="G752" s="137"/>
      <c r="H752" s="137"/>
      <c r="I752" s="129"/>
      <c r="J752" s="323"/>
      <c r="K752" s="90"/>
      <c r="L752" s="176"/>
      <c r="M752" s="176"/>
      <c r="N752" s="176"/>
      <c r="O752" s="176"/>
      <c r="P752" s="176"/>
      <c r="Q752" s="177"/>
      <c r="R752" s="176"/>
      <c r="S752" s="176"/>
      <c r="T752" s="176"/>
      <c r="U752" s="178"/>
      <c r="V752" s="179"/>
    </row>
    <row r="753">
      <c r="C753" s="172"/>
      <c r="D753" s="172"/>
      <c r="E753" s="173"/>
      <c r="F753" s="137"/>
      <c r="G753" s="137"/>
      <c r="H753" s="137"/>
      <c r="I753" s="129"/>
      <c r="J753" s="323"/>
      <c r="K753" s="90"/>
      <c r="L753" s="176"/>
      <c r="M753" s="176"/>
      <c r="N753" s="176"/>
      <c r="O753" s="176"/>
      <c r="P753" s="176"/>
      <c r="Q753" s="177"/>
      <c r="R753" s="176"/>
      <c r="S753" s="176"/>
      <c r="T753" s="176"/>
      <c r="U753" s="178"/>
      <c r="V753" s="179"/>
    </row>
    <row r="754">
      <c r="C754" s="172"/>
      <c r="D754" s="172"/>
      <c r="E754" s="173"/>
      <c r="F754" s="137"/>
      <c r="G754" s="137"/>
      <c r="H754" s="137"/>
      <c r="I754" s="129"/>
      <c r="J754" s="323"/>
      <c r="K754" s="90"/>
      <c r="L754" s="176"/>
      <c r="M754" s="176"/>
      <c r="N754" s="176"/>
      <c r="O754" s="176"/>
      <c r="P754" s="176"/>
      <c r="Q754" s="177"/>
      <c r="R754" s="176"/>
      <c r="S754" s="176"/>
      <c r="T754" s="176"/>
      <c r="U754" s="178"/>
      <c r="V754" s="179"/>
    </row>
    <row r="755">
      <c r="C755" s="172"/>
      <c r="D755" s="172"/>
      <c r="E755" s="173"/>
      <c r="F755" s="137"/>
      <c r="G755" s="137"/>
      <c r="H755" s="137"/>
      <c r="I755" s="129"/>
      <c r="J755" s="323"/>
      <c r="K755" s="90"/>
      <c r="L755" s="176"/>
      <c r="M755" s="176"/>
      <c r="N755" s="176"/>
      <c r="O755" s="176"/>
      <c r="P755" s="176"/>
      <c r="Q755" s="177"/>
      <c r="R755" s="176"/>
      <c r="S755" s="176"/>
      <c r="T755" s="176"/>
      <c r="U755" s="178"/>
      <c r="V755" s="179"/>
    </row>
    <row r="756">
      <c r="C756" s="172"/>
      <c r="D756" s="172"/>
      <c r="E756" s="173"/>
      <c r="F756" s="137"/>
      <c r="G756" s="137"/>
      <c r="H756" s="137"/>
      <c r="I756" s="129"/>
      <c r="J756" s="323"/>
      <c r="K756" s="90"/>
      <c r="L756" s="176"/>
      <c r="M756" s="176"/>
      <c r="N756" s="176"/>
      <c r="O756" s="176"/>
      <c r="P756" s="176"/>
      <c r="Q756" s="177"/>
      <c r="R756" s="176"/>
      <c r="S756" s="176"/>
      <c r="T756" s="176"/>
      <c r="U756" s="178"/>
      <c r="V756" s="179"/>
    </row>
    <row r="757">
      <c r="C757" s="172"/>
      <c r="D757" s="172"/>
      <c r="E757" s="173"/>
      <c r="F757" s="137"/>
      <c r="G757" s="137"/>
      <c r="H757" s="137"/>
      <c r="I757" s="129"/>
      <c r="J757" s="323"/>
      <c r="K757" s="90"/>
      <c r="L757" s="176"/>
      <c r="M757" s="176"/>
      <c r="N757" s="176"/>
      <c r="O757" s="176"/>
      <c r="P757" s="176"/>
      <c r="Q757" s="177"/>
      <c r="R757" s="176"/>
      <c r="S757" s="176"/>
      <c r="T757" s="176"/>
      <c r="U757" s="178"/>
      <c r="V757" s="179"/>
    </row>
    <row r="758">
      <c r="C758" s="172"/>
      <c r="D758" s="172"/>
      <c r="E758" s="173"/>
      <c r="F758" s="137"/>
      <c r="G758" s="137"/>
      <c r="H758" s="137"/>
      <c r="I758" s="129"/>
      <c r="J758" s="323"/>
      <c r="K758" s="90"/>
      <c r="L758" s="176"/>
      <c r="M758" s="176"/>
      <c r="N758" s="176"/>
      <c r="O758" s="176"/>
      <c r="P758" s="176"/>
      <c r="Q758" s="177"/>
      <c r="R758" s="176"/>
      <c r="S758" s="176"/>
      <c r="T758" s="176"/>
      <c r="U758" s="178"/>
      <c r="V758" s="179"/>
    </row>
    <row r="759">
      <c r="C759" s="172"/>
      <c r="D759" s="172"/>
      <c r="E759" s="173"/>
      <c r="F759" s="137"/>
      <c r="G759" s="137"/>
      <c r="H759" s="137"/>
      <c r="I759" s="129"/>
      <c r="J759" s="323"/>
      <c r="K759" s="90"/>
      <c r="L759" s="176"/>
      <c r="M759" s="176"/>
      <c r="N759" s="176"/>
      <c r="O759" s="176"/>
      <c r="P759" s="176"/>
      <c r="Q759" s="177"/>
      <c r="R759" s="176"/>
      <c r="S759" s="176"/>
      <c r="T759" s="176"/>
      <c r="U759" s="178"/>
      <c r="V759" s="179"/>
    </row>
    <row r="760">
      <c r="C760" s="172"/>
      <c r="D760" s="172"/>
      <c r="E760" s="173"/>
      <c r="F760" s="137"/>
      <c r="G760" s="137"/>
      <c r="H760" s="137"/>
      <c r="I760" s="129"/>
      <c r="J760" s="323"/>
      <c r="K760" s="90"/>
      <c r="L760" s="176"/>
      <c r="M760" s="176"/>
      <c r="N760" s="176"/>
      <c r="O760" s="176"/>
      <c r="P760" s="176"/>
      <c r="Q760" s="177"/>
      <c r="R760" s="176"/>
      <c r="S760" s="176"/>
      <c r="T760" s="176"/>
      <c r="U760" s="178"/>
      <c r="V760" s="179"/>
    </row>
    <row r="761">
      <c r="C761" s="172"/>
      <c r="D761" s="172"/>
      <c r="E761" s="173"/>
      <c r="F761" s="137"/>
      <c r="G761" s="137"/>
      <c r="H761" s="137"/>
      <c r="I761" s="129"/>
      <c r="J761" s="323"/>
      <c r="K761" s="90"/>
      <c r="L761" s="176"/>
      <c r="M761" s="176"/>
      <c r="N761" s="176"/>
      <c r="O761" s="176"/>
      <c r="P761" s="176"/>
      <c r="Q761" s="177"/>
      <c r="R761" s="176"/>
      <c r="S761" s="176"/>
      <c r="T761" s="176"/>
      <c r="U761" s="178"/>
      <c r="V761" s="179"/>
    </row>
    <row r="762">
      <c r="C762" s="172"/>
      <c r="D762" s="172"/>
      <c r="E762" s="173"/>
      <c r="F762" s="137"/>
      <c r="G762" s="137"/>
      <c r="H762" s="137"/>
      <c r="I762" s="129"/>
      <c r="J762" s="323"/>
      <c r="K762" s="90"/>
      <c r="L762" s="176"/>
      <c r="M762" s="176"/>
      <c r="N762" s="176"/>
      <c r="O762" s="176"/>
      <c r="P762" s="176"/>
      <c r="Q762" s="177"/>
      <c r="R762" s="176"/>
      <c r="S762" s="176"/>
      <c r="T762" s="176"/>
      <c r="U762" s="178"/>
      <c r="V762" s="179"/>
    </row>
    <row r="763">
      <c r="C763" s="172"/>
      <c r="D763" s="172"/>
      <c r="E763" s="173"/>
      <c r="F763" s="137"/>
      <c r="G763" s="137"/>
      <c r="H763" s="137"/>
      <c r="I763" s="129"/>
      <c r="J763" s="323"/>
      <c r="K763" s="90"/>
      <c r="L763" s="176"/>
      <c r="M763" s="176"/>
      <c r="N763" s="176"/>
      <c r="O763" s="176"/>
      <c r="P763" s="176"/>
      <c r="Q763" s="177"/>
      <c r="R763" s="176"/>
      <c r="S763" s="176"/>
      <c r="T763" s="176"/>
      <c r="U763" s="178"/>
      <c r="V763" s="179"/>
    </row>
    <row r="764">
      <c r="C764" s="172"/>
      <c r="D764" s="172"/>
      <c r="E764" s="173"/>
      <c r="F764" s="137"/>
      <c r="G764" s="137"/>
      <c r="H764" s="137"/>
      <c r="I764" s="129"/>
      <c r="J764" s="323"/>
      <c r="K764" s="90"/>
      <c r="L764" s="176"/>
      <c r="M764" s="176"/>
      <c r="N764" s="176"/>
      <c r="O764" s="176"/>
      <c r="P764" s="176"/>
      <c r="Q764" s="177"/>
      <c r="R764" s="176"/>
      <c r="S764" s="176"/>
      <c r="T764" s="176"/>
      <c r="U764" s="178"/>
      <c r="V764" s="179"/>
    </row>
    <row r="765">
      <c r="C765" s="172"/>
      <c r="D765" s="172"/>
      <c r="E765" s="173"/>
      <c r="F765" s="137"/>
      <c r="G765" s="137"/>
      <c r="H765" s="137"/>
      <c r="I765" s="129"/>
      <c r="J765" s="323"/>
      <c r="K765" s="90"/>
      <c r="L765" s="176"/>
      <c r="M765" s="176"/>
      <c r="N765" s="176"/>
      <c r="O765" s="176"/>
      <c r="P765" s="176"/>
      <c r="Q765" s="177"/>
      <c r="R765" s="176"/>
      <c r="S765" s="176"/>
      <c r="T765" s="176"/>
      <c r="U765" s="178"/>
      <c r="V765" s="179"/>
    </row>
    <row r="766">
      <c r="C766" s="172"/>
      <c r="D766" s="172"/>
      <c r="E766" s="173"/>
      <c r="F766" s="137"/>
      <c r="G766" s="137"/>
      <c r="H766" s="137"/>
      <c r="I766" s="129"/>
      <c r="J766" s="323"/>
      <c r="K766" s="90"/>
      <c r="L766" s="176"/>
      <c r="M766" s="176"/>
      <c r="N766" s="176"/>
      <c r="O766" s="176"/>
      <c r="P766" s="176"/>
      <c r="Q766" s="177"/>
      <c r="R766" s="176"/>
      <c r="S766" s="176"/>
      <c r="T766" s="176"/>
      <c r="U766" s="178"/>
      <c r="V766" s="179"/>
    </row>
    <row r="767">
      <c r="C767" s="172"/>
      <c r="D767" s="172"/>
      <c r="E767" s="173"/>
      <c r="F767" s="137"/>
      <c r="G767" s="137"/>
      <c r="H767" s="137"/>
      <c r="I767" s="129"/>
      <c r="J767" s="323"/>
      <c r="K767" s="90"/>
      <c r="L767" s="176"/>
      <c r="M767" s="176"/>
      <c r="N767" s="176"/>
      <c r="O767" s="176"/>
      <c r="P767" s="176"/>
      <c r="Q767" s="177"/>
      <c r="R767" s="176"/>
      <c r="S767" s="176"/>
      <c r="T767" s="176"/>
      <c r="U767" s="178"/>
      <c r="V767" s="179"/>
    </row>
    <row r="768">
      <c r="C768" s="172"/>
      <c r="D768" s="172"/>
      <c r="E768" s="173"/>
      <c r="F768" s="137"/>
      <c r="G768" s="137"/>
      <c r="H768" s="137"/>
      <c r="I768" s="129"/>
      <c r="J768" s="323"/>
      <c r="K768" s="90"/>
      <c r="L768" s="176"/>
      <c r="M768" s="176"/>
      <c r="N768" s="176"/>
      <c r="O768" s="176"/>
      <c r="P768" s="176"/>
      <c r="Q768" s="177"/>
      <c r="R768" s="176"/>
      <c r="S768" s="176"/>
      <c r="T768" s="176"/>
      <c r="U768" s="178"/>
      <c r="V768" s="179"/>
    </row>
    <row r="769">
      <c r="C769" s="172"/>
      <c r="D769" s="172"/>
      <c r="E769" s="173"/>
      <c r="F769" s="137"/>
      <c r="G769" s="137"/>
      <c r="H769" s="137"/>
      <c r="I769" s="129"/>
      <c r="J769" s="323"/>
      <c r="K769" s="90"/>
      <c r="L769" s="176"/>
      <c r="M769" s="176"/>
      <c r="N769" s="176"/>
      <c r="O769" s="176"/>
      <c r="P769" s="176"/>
      <c r="Q769" s="177"/>
      <c r="R769" s="176"/>
      <c r="S769" s="176"/>
      <c r="T769" s="176"/>
      <c r="U769" s="178"/>
      <c r="V769" s="179"/>
    </row>
    <row r="770">
      <c r="C770" s="172"/>
      <c r="D770" s="172"/>
      <c r="E770" s="173"/>
      <c r="F770" s="137"/>
      <c r="G770" s="137"/>
      <c r="H770" s="137"/>
      <c r="I770" s="129"/>
      <c r="J770" s="323"/>
      <c r="K770" s="90"/>
      <c r="L770" s="176"/>
      <c r="M770" s="176"/>
      <c r="N770" s="176"/>
      <c r="O770" s="176"/>
      <c r="P770" s="176"/>
      <c r="Q770" s="177"/>
      <c r="R770" s="176"/>
      <c r="S770" s="176"/>
      <c r="T770" s="176"/>
      <c r="U770" s="178"/>
      <c r="V770" s="179"/>
    </row>
    <row r="771">
      <c r="C771" s="172"/>
      <c r="D771" s="172"/>
      <c r="E771" s="173"/>
      <c r="F771" s="137"/>
      <c r="G771" s="137"/>
      <c r="H771" s="137"/>
      <c r="I771" s="129"/>
      <c r="J771" s="323"/>
      <c r="K771" s="90"/>
      <c r="L771" s="176"/>
      <c r="M771" s="176"/>
      <c r="N771" s="176"/>
      <c r="O771" s="176"/>
      <c r="P771" s="176"/>
      <c r="Q771" s="177"/>
      <c r="R771" s="176"/>
      <c r="S771" s="176"/>
      <c r="T771" s="176"/>
      <c r="U771" s="178"/>
      <c r="V771" s="179"/>
    </row>
    <row r="772">
      <c r="C772" s="172"/>
      <c r="D772" s="172"/>
      <c r="E772" s="173"/>
      <c r="F772" s="137"/>
      <c r="G772" s="137"/>
      <c r="H772" s="137"/>
      <c r="I772" s="129"/>
      <c r="J772" s="323"/>
      <c r="K772" s="90"/>
      <c r="L772" s="176"/>
      <c r="M772" s="176"/>
      <c r="N772" s="176"/>
      <c r="O772" s="176"/>
      <c r="P772" s="176"/>
      <c r="Q772" s="177"/>
      <c r="R772" s="176"/>
      <c r="S772" s="176"/>
      <c r="T772" s="176"/>
      <c r="U772" s="178"/>
      <c r="V772" s="179"/>
    </row>
    <row r="773">
      <c r="C773" s="172"/>
      <c r="D773" s="172"/>
      <c r="E773" s="173"/>
      <c r="F773" s="137"/>
      <c r="G773" s="137"/>
      <c r="H773" s="137"/>
      <c r="I773" s="129"/>
      <c r="J773" s="323"/>
      <c r="K773" s="90"/>
      <c r="L773" s="176"/>
      <c r="M773" s="176"/>
      <c r="N773" s="176"/>
      <c r="O773" s="176"/>
      <c r="P773" s="176"/>
      <c r="Q773" s="177"/>
      <c r="R773" s="176"/>
      <c r="S773" s="176"/>
      <c r="T773" s="176"/>
      <c r="U773" s="178"/>
      <c r="V773" s="179"/>
    </row>
    <row r="774">
      <c r="C774" s="172"/>
      <c r="D774" s="172"/>
      <c r="E774" s="173"/>
      <c r="F774" s="137"/>
      <c r="G774" s="137"/>
      <c r="H774" s="137"/>
      <c r="I774" s="129"/>
      <c r="J774" s="323"/>
      <c r="K774" s="90"/>
      <c r="L774" s="176"/>
      <c r="M774" s="176"/>
      <c r="N774" s="176"/>
      <c r="O774" s="176"/>
      <c r="P774" s="176"/>
      <c r="Q774" s="177"/>
      <c r="R774" s="176"/>
      <c r="S774" s="176"/>
      <c r="T774" s="176"/>
      <c r="U774" s="178"/>
      <c r="V774" s="179"/>
    </row>
    <row r="775">
      <c r="C775" s="172"/>
      <c r="D775" s="172"/>
      <c r="E775" s="173"/>
      <c r="F775" s="137"/>
      <c r="G775" s="137"/>
      <c r="H775" s="137"/>
      <c r="I775" s="129"/>
      <c r="J775" s="323"/>
      <c r="K775" s="90"/>
      <c r="L775" s="176"/>
      <c r="M775" s="176"/>
      <c r="N775" s="176"/>
      <c r="O775" s="176"/>
      <c r="P775" s="176"/>
      <c r="Q775" s="177"/>
      <c r="R775" s="176"/>
      <c r="S775" s="176"/>
      <c r="T775" s="176"/>
      <c r="U775" s="178"/>
      <c r="V775" s="179"/>
    </row>
    <row r="776">
      <c r="C776" s="172"/>
      <c r="D776" s="172"/>
      <c r="E776" s="173"/>
      <c r="F776" s="137"/>
      <c r="G776" s="137"/>
      <c r="H776" s="137"/>
      <c r="I776" s="129"/>
      <c r="J776" s="323"/>
      <c r="K776" s="90"/>
      <c r="L776" s="176"/>
      <c r="M776" s="176"/>
      <c r="N776" s="176"/>
      <c r="O776" s="176"/>
      <c r="P776" s="176"/>
      <c r="Q776" s="177"/>
      <c r="R776" s="176"/>
      <c r="S776" s="176"/>
      <c r="T776" s="176"/>
      <c r="U776" s="178"/>
      <c r="V776" s="179"/>
    </row>
    <row r="777">
      <c r="C777" s="172"/>
      <c r="D777" s="172"/>
      <c r="E777" s="173"/>
      <c r="F777" s="137"/>
      <c r="G777" s="137"/>
      <c r="H777" s="137"/>
      <c r="I777" s="129"/>
      <c r="J777" s="323"/>
      <c r="K777" s="90"/>
      <c r="L777" s="176"/>
      <c r="M777" s="176"/>
      <c r="N777" s="176"/>
      <c r="O777" s="176"/>
      <c r="P777" s="176"/>
      <c r="Q777" s="177"/>
      <c r="R777" s="176"/>
      <c r="S777" s="176"/>
      <c r="T777" s="176"/>
      <c r="U777" s="178"/>
      <c r="V777" s="179"/>
    </row>
    <row r="778">
      <c r="C778" s="172"/>
      <c r="D778" s="172"/>
      <c r="E778" s="173"/>
      <c r="F778" s="137"/>
      <c r="G778" s="137"/>
      <c r="H778" s="137"/>
      <c r="I778" s="129"/>
      <c r="J778" s="323"/>
      <c r="K778" s="90"/>
      <c r="L778" s="176"/>
      <c r="M778" s="176"/>
      <c r="N778" s="176"/>
      <c r="O778" s="176"/>
      <c r="P778" s="176"/>
      <c r="Q778" s="177"/>
      <c r="R778" s="176"/>
      <c r="S778" s="176"/>
      <c r="T778" s="176"/>
      <c r="U778" s="178"/>
      <c r="V778" s="179"/>
    </row>
    <row r="779">
      <c r="C779" s="172"/>
      <c r="D779" s="172"/>
      <c r="E779" s="173"/>
      <c r="F779" s="137"/>
      <c r="G779" s="137"/>
      <c r="H779" s="137"/>
      <c r="I779" s="129"/>
      <c r="J779" s="323"/>
      <c r="K779" s="90"/>
      <c r="L779" s="176"/>
      <c r="M779" s="176"/>
      <c r="N779" s="176"/>
      <c r="O779" s="176"/>
      <c r="P779" s="176"/>
      <c r="Q779" s="177"/>
      <c r="R779" s="176"/>
      <c r="S779" s="176"/>
      <c r="T779" s="176"/>
      <c r="U779" s="178"/>
      <c r="V779" s="179"/>
    </row>
    <row r="780">
      <c r="C780" s="172"/>
      <c r="D780" s="172"/>
      <c r="E780" s="173"/>
      <c r="F780" s="137"/>
      <c r="G780" s="137"/>
      <c r="H780" s="137"/>
      <c r="I780" s="129"/>
      <c r="J780" s="323"/>
      <c r="K780" s="90"/>
      <c r="L780" s="176"/>
      <c r="M780" s="176"/>
      <c r="N780" s="176"/>
      <c r="O780" s="176"/>
      <c r="P780" s="176"/>
      <c r="Q780" s="177"/>
      <c r="R780" s="176"/>
      <c r="S780" s="176"/>
      <c r="T780" s="176"/>
      <c r="U780" s="178"/>
      <c r="V780" s="179"/>
    </row>
    <row r="781">
      <c r="C781" s="172"/>
      <c r="D781" s="172"/>
      <c r="E781" s="173"/>
      <c r="F781" s="137"/>
      <c r="G781" s="137"/>
      <c r="H781" s="137"/>
      <c r="I781" s="129"/>
      <c r="J781" s="323"/>
      <c r="K781" s="90"/>
      <c r="L781" s="176"/>
      <c r="M781" s="176"/>
      <c r="N781" s="176"/>
      <c r="O781" s="176"/>
      <c r="P781" s="176"/>
      <c r="Q781" s="177"/>
      <c r="R781" s="176"/>
      <c r="S781" s="176"/>
      <c r="T781" s="176"/>
      <c r="U781" s="178"/>
      <c r="V781" s="179"/>
    </row>
    <row r="782">
      <c r="C782" s="172"/>
      <c r="D782" s="172"/>
      <c r="E782" s="173"/>
      <c r="F782" s="137"/>
      <c r="G782" s="137"/>
      <c r="H782" s="137"/>
      <c r="I782" s="129"/>
      <c r="J782" s="323"/>
      <c r="K782" s="90"/>
      <c r="L782" s="176"/>
      <c r="M782" s="176"/>
      <c r="N782" s="176"/>
      <c r="O782" s="176"/>
      <c r="P782" s="176"/>
      <c r="Q782" s="177"/>
      <c r="R782" s="176"/>
      <c r="S782" s="176"/>
      <c r="T782" s="176"/>
      <c r="U782" s="178"/>
      <c r="V782" s="179"/>
    </row>
    <row r="783">
      <c r="C783" s="172"/>
      <c r="D783" s="172"/>
      <c r="E783" s="173"/>
      <c r="F783" s="137"/>
      <c r="G783" s="137"/>
      <c r="H783" s="137"/>
      <c r="I783" s="129"/>
      <c r="J783" s="323"/>
      <c r="K783" s="90"/>
      <c r="L783" s="176"/>
      <c r="M783" s="176"/>
      <c r="N783" s="176"/>
      <c r="O783" s="176"/>
      <c r="P783" s="176"/>
      <c r="Q783" s="177"/>
      <c r="R783" s="176"/>
      <c r="S783" s="176"/>
      <c r="T783" s="176"/>
      <c r="U783" s="178"/>
      <c r="V783" s="179"/>
    </row>
    <row r="784">
      <c r="C784" s="172"/>
      <c r="D784" s="172"/>
      <c r="E784" s="173"/>
      <c r="F784" s="137"/>
      <c r="G784" s="137"/>
      <c r="H784" s="137"/>
      <c r="I784" s="129"/>
      <c r="J784" s="323"/>
      <c r="K784" s="90"/>
      <c r="L784" s="176"/>
      <c r="M784" s="176"/>
      <c r="N784" s="176"/>
      <c r="O784" s="176"/>
      <c r="P784" s="176"/>
      <c r="Q784" s="177"/>
      <c r="R784" s="176"/>
      <c r="S784" s="176"/>
      <c r="T784" s="176"/>
      <c r="U784" s="178"/>
      <c r="V784" s="179"/>
    </row>
    <row r="785">
      <c r="C785" s="172"/>
      <c r="D785" s="172"/>
      <c r="E785" s="173"/>
      <c r="F785" s="137"/>
      <c r="G785" s="137"/>
      <c r="H785" s="137"/>
      <c r="I785" s="129"/>
      <c r="J785" s="323"/>
      <c r="K785" s="90"/>
      <c r="L785" s="176"/>
      <c r="M785" s="176"/>
      <c r="N785" s="176"/>
      <c r="O785" s="176"/>
      <c r="P785" s="176"/>
      <c r="Q785" s="177"/>
      <c r="R785" s="176"/>
      <c r="S785" s="176"/>
      <c r="T785" s="176"/>
      <c r="U785" s="178"/>
      <c r="V785" s="179"/>
    </row>
    <row r="786">
      <c r="C786" s="172"/>
      <c r="D786" s="172"/>
      <c r="E786" s="173"/>
      <c r="F786" s="137"/>
      <c r="G786" s="137"/>
      <c r="H786" s="137"/>
      <c r="I786" s="129"/>
      <c r="J786" s="323"/>
      <c r="K786" s="90"/>
      <c r="L786" s="176"/>
      <c r="M786" s="176"/>
      <c r="N786" s="176"/>
      <c r="O786" s="176"/>
      <c r="P786" s="176"/>
      <c r="Q786" s="177"/>
      <c r="R786" s="176"/>
      <c r="S786" s="176"/>
      <c r="T786" s="176"/>
      <c r="U786" s="178"/>
      <c r="V786" s="179"/>
    </row>
    <row r="787">
      <c r="C787" s="172"/>
      <c r="D787" s="172"/>
      <c r="E787" s="173"/>
      <c r="F787" s="137"/>
      <c r="G787" s="137"/>
      <c r="H787" s="137"/>
      <c r="I787" s="129"/>
      <c r="J787" s="323"/>
      <c r="K787" s="90"/>
      <c r="L787" s="176"/>
      <c r="M787" s="176"/>
      <c r="N787" s="176"/>
      <c r="O787" s="176"/>
      <c r="P787" s="176"/>
      <c r="Q787" s="177"/>
      <c r="R787" s="176"/>
      <c r="S787" s="176"/>
      <c r="T787" s="176"/>
      <c r="U787" s="178"/>
      <c r="V787" s="179"/>
    </row>
    <row r="788">
      <c r="C788" s="172"/>
      <c r="D788" s="172"/>
      <c r="E788" s="173"/>
      <c r="F788" s="137"/>
      <c r="G788" s="137"/>
      <c r="H788" s="137"/>
      <c r="I788" s="129"/>
      <c r="J788" s="323"/>
      <c r="K788" s="90"/>
      <c r="L788" s="176"/>
      <c r="M788" s="176"/>
      <c r="N788" s="176"/>
      <c r="O788" s="176"/>
      <c r="P788" s="176"/>
      <c r="Q788" s="177"/>
      <c r="R788" s="176"/>
      <c r="S788" s="176"/>
      <c r="T788" s="176"/>
      <c r="U788" s="178"/>
      <c r="V788" s="179"/>
    </row>
    <row r="789">
      <c r="C789" s="172"/>
      <c r="D789" s="172"/>
      <c r="E789" s="173"/>
      <c r="F789" s="137"/>
      <c r="G789" s="137"/>
      <c r="H789" s="137"/>
      <c r="I789" s="129"/>
      <c r="J789" s="323"/>
      <c r="K789" s="90"/>
      <c r="L789" s="176"/>
      <c r="M789" s="176"/>
      <c r="N789" s="176"/>
      <c r="O789" s="176"/>
      <c r="P789" s="176"/>
      <c r="Q789" s="177"/>
      <c r="R789" s="176"/>
      <c r="S789" s="176"/>
      <c r="T789" s="176"/>
      <c r="U789" s="178"/>
      <c r="V789" s="179"/>
    </row>
    <row r="790">
      <c r="C790" s="172"/>
      <c r="D790" s="172"/>
      <c r="E790" s="173"/>
      <c r="F790" s="137"/>
      <c r="G790" s="137"/>
      <c r="H790" s="137"/>
      <c r="I790" s="129"/>
      <c r="J790" s="323"/>
      <c r="K790" s="90"/>
      <c r="L790" s="176"/>
      <c r="M790" s="176"/>
      <c r="N790" s="176"/>
      <c r="O790" s="176"/>
      <c r="P790" s="176"/>
      <c r="Q790" s="177"/>
      <c r="R790" s="176"/>
      <c r="S790" s="176"/>
      <c r="T790" s="176"/>
      <c r="U790" s="178"/>
      <c r="V790" s="179"/>
    </row>
    <row r="791">
      <c r="C791" s="172"/>
      <c r="D791" s="172"/>
      <c r="E791" s="173"/>
      <c r="F791" s="137"/>
      <c r="G791" s="137"/>
      <c r="H791" s="137"/>
      <c r="I791" s="129"/>
      <c r="J791" s="323"/>
      <c r="K791" s="90"/>
      <c r="L791" s="176"/>
      <c r="M791" s="176"/>
      <c r="N791" s="176"/>
      <c r="O791" s="176"/>
      <c r="P791" s="176"/>
      <c r="Q791" s="177"/>
      <c r="R791" s="176"/>
      <c r="S791" s="176"/>
      <c r="T791" s="176"/>
      <c r="U791" s="178"/>
      <c r="V791" s="179"/>
    </row>
    <row r="792">
      <c r="C792" s="172"/>
      <c r="D792" s="172"/>
      <c r="E792" s="173"/>
      <c r="F792" s="137"/>
      <c r="G792" s="137"/>
      <c r="H792" s="137"/>
      <c r="I792" s="129"/>
      <c r="J792" s="323"/>
      <c r="K792" s="90"/>
      <c r="L792" s="176"/>
      <c r="M792" s="176"/>
      <c r="N792" s="176"/>
      <c r="O792" s="176"/>
      <c r="P792" s="176"/>
      <c r="Q792" s="177"/>
      <c r="R792" s="176"/>
      <c r="S792" s="176"/>
      <c r="T792" s="176"/>
      <c r="U792" s="178"/>
      <c r="V792" s="179"/>
    </row>
    <row r="793">
      <c r="C793" s="172"/>
      <c r="D793" s="172"/>
      <c r="E793" s="173"/>
      <c r="F793" s="137"/>
      <c r="G793" s="137"/>
      <c r="H793" s="137"/>
      <c r="I793" s="129"/>
      <c r="J793" s="323"/>
      <c r="K793" s="90"/>
      <c r="L793" s="176"/>
      <c r="M793" s="176"/>
      <c r="N793" s="176"/>
      <c r="O793" s="176"/>
      <c r="P793" s="176"/>
      <c r="Q793" s="177"/>
      <c r="R793" s="176"/>
      <c r="S793" s="176"/>
      <c r="T793" s="176"/>
      <c r="U793" s="178"/>
      <c r="V793" s="179"/>
    </row>
    <row r="794">
      <c r="C794" s="172"/>
      <c r="D794" s="172"/>
      <c r="E794" s="173"/>
      <c r="F794" s="137"/>
      <c r="G794" s="137"/>
      <c r="H794" s="137"/>
      <c r="I794" s="129"/>
      <c r="J794" s="323"/>
      <c r="K794" s="90"/>
      <c r="L794" s="176"/>
      <c r="M794" s="176"/>
      <c r="N794" s="176"/>
      <c r="O794" s="176"/>
      <c r="P794" s="176"/>
      <c r="Q794" s="177"/>
      <c r="R794" s="176"/>
      <c r="S794" s="176"/>
      <c r="T794" s="176"/>
      <c r="U794" s="178"/>
      <c r="V794" s="179"/>
    </row>
    <row r="795">
      <c r="C795" s="172"/>
      <c r="D795" s="172"/>
      <c r="E795" s="173"/>
      <c r="F795" s="137"/>
      <c r="G795" s="137"/>
      <c r="H795" s="137"/>
      <c r="I795" s="129"/>
      <c r="J795" s="323"/>
      <c r="K795" s="90"/>
      <c r="L795" s="176"/>
      <c r="M795" s="176"/>
      <c r="N795" s="176"/>
      <c r="O795" s="176"/>
      <c r="P795" s="176"/>
      <c r="Q795" s="177"/>
      <c r="R795" s="176"/>
      <c r="S795" s="176"/>
      <c r="T795" s="176"/>
      <c r="U795" s="178"/>
      <c r="V795" s="179"/>
    </row>
    <row r="796">
      <c r="C796" s="172"/>
      <c r="D796" s="172"/>
      <c r="E796" s="173"/>
      <c r="F796" s="137"/>
      <c r="G796" s="137"/>
      <c r="H796" s="137"/>
      <c r="I796" s="129"/>
      <c r="J796" s="323"/>
      <c r="K796" s="90"/>
      <c r="L796" s="176"/>
      <c r="M796" s="176"/>
      <c r="N796" s="176"/>
      <c r="O796" s="176"/>
      <c r="P796" s="176"/>
      <c r="Q796" s="177"/>
      <c r="R796" s="176"/>
      <c r="S796" s="176"/>
      <c r="T796" s="176"/>
      <c r="U796" s="178"/>
      <c r="V796" s="179"/>
    </row>
    <row r="797">
      <c r="C797" s="172"/>
      <c r="D797" s="172"/>
      <c r="E797" s="173"/>
      <c r="F797" s="137"/>
      <c r="G797" s="137"/>
      <c r="H797" s="137"/>
      <c r="I797" s="129"/>
      <c r="J797" s="323"/>
      <c r="K797" s="90"/>
      <c r="L797" s="176"/>
      <c r="M797" s="176"/>
      <c r="N797" s="176"/>
      <c r="O797" s="176"/>
      <c r="P797" s="176"/>
      <c r="Q797" s="177"/>
      <c r="R797" s="176"/>
      <c r="S797" s="176"/>
      <c r="T797" s="176"/>
      <c r="U797" s="178"/>
      <c r="V797" s="179"/>
    </row>
    <row r="798">
      <c r="C798" s="172"/>
      <c r="D798" s="172"/>
      <c r="E798" s="173"/>
      <c r="F798" s="137"/>
      <c r="G798" s="137"/>
      <c r="H798" s="137"/>
      <c r="I798" s="129"/>
      <c r="J798" s="323"/>
      <c r="K798" s="90"/>
      <c r="L798" s="176"/>
      <c r="M798" s="176"/>
      <c r="N798" s="176"/>
      <c r="O798" s="176"/>
      <c r="P798" s="176"/>
      <c r="Q798" s="177"/>
      <c r="R798" s="176"/>
      <c r="S798" s="176"/>
      <c r="T798" s="176"/>
      <c r="U798" s="178"/>
      <c r="V798" s="179"/>
    </row>
    <row r="799">
      <c r="C799" s="172"/>
      <c r="D799" s="172"/>
      <c r="E799" s="173"/>
      <c r="F799" s="137"/>
      <c r="G799" s="137"/>
      <c r="H799" s="137"/>
      <c r="I799" s="129"/>
      <c r="J799" s="323"/>
      <c r="K799" s="90"/>
      <c r="L799" s="176"/>
      <c r="M799" s="176"/>
      <c r="N799" s="176"/>
      <c r="O799" s="176"/>
      <c r="P799" s="176"/>
      <c r="Q799" s="177"/>
      <c r="R799" s="176"/>
      <c r="S799" s="176"/>
      <c r="T799" s="176"/>
      <c r="U799" s="178"/>
      <c r="V799" s="179"/>
    </row>
    <row r="800">
      <c r="C800" s="172"/>
      <c r="D800" s="172"/>
      <c r="E800" s="173"/>
      <c r="F800" s="137"/>
      <c r="G800" s="137"/>
      <c r="H800" s="137"/>
      <c r="I800" s="129"/>
      <c r="J800" s="323"/>
      <c r="K800" s="90"/>
      <c r="L800" s="176"/>
      <c r="M800" s="176"/>
      <c r="N800" s="176"/>
      <c r="O800" s="176"/>
      <c r="P800" s="176"/>
      <c r="Q800" s="177"/>
      <c r="R800" s="176"/>
      <c r="S800" s="176"/>
      <c r="T800" s="176"/>
      <c r="U800" s="178"/>
      <c r="V800" s="179"/>
    </row>
    <row r="801">
      <c r="C801" s="172"/>
      <c r="D801" s="172"/>
      <c r="E801" s="173"/>
      <c r="F801" s="137"/>
      <c r="G801" s="137"/>
      <c r="H801" s="137"/>
      <c r="I801" s="129"/>
      <c r="J801" s="323"/>
      <c r="K801" s="90"/>
      <c r="L801" s="176"/>
      <c r="M801" s="176"/>
      <c r="N801" s="176"/>
      <c r="O801" s="176"/>
      <c r="P801" s="176"/>
      <c r="Q801" s="177"/>
      <c r="R801" s="176"/>
      <c r="S801" s="176"/>
      <c r="T801" s="176"/>
      <c r="U801" s="178"/>
      <c r="V801" s="179"/>
    </row>
    <row r="802">
      <c r="C802" s="172"/>
      <c r="D802" s="172"/>
      <c r="E802" s="173"/>
      <c r="F802" s="137"/>
      <c r="G802" s="137"/>
      <c r="H802" s="137"/>
      <c r="I802" s="129"/>
      <c r="J802" s="323"/>
      <c r="K802" s="90"/>
      <c r="L802" s="176"/>
      <c r="M802" s="176"/>
      <c r="N802" s="176"/>
      <c r="O802" s="176"/>
      <c r="P802" s="176"/>
      <c r="Q802" s="177"/>
      <c r="R802" s="176"/>
      <c r="S802" s="176"/>
      <c r="T802" s="176"/>
      <c r="U802" s="178"/>
      <c r="V802" s="179"/>
    </row>
    <row r="803">
      <c r="C803" s="172"/>
      <c r="D803" s="172"/>
      <c r="E803" s="173"/>
      <c r="F803" s="137"/>
      <c r="G803" s="137"/>
      <c r="H803" s="137"/>
      <c r="I803" s="129"/>
      <c r="J803" s="323"/>
      <c r="K803" s="90"/>
      <c r="L803" s="176"/>
      <c r="M803" s="176"/>
      <c r="N803" s="176"/>
      <c r="O803" s="176"/>
      <c r="P803" s="176"/>
      <c r="Q803" s="177"/>
      <c r="R803" s="176"/>
      <c r="S803" s="176"/>
      <c r="T803" s="176"/>
      <c r="U803" s="178"/>
      <c r="V803" s="179"/>
    </row>
    <row r="804">
      <c r="C804" s="172"/>
      <c r="D804" s="172"/>
      <c r="E804" s="173"/>
      <c r="F804" s="137"/>
      <c r="G804" s="137"/>
      <c r="H804" s="137"/>
      <c r="I804" s="129"/>
      <c r="J804" s="323"/>
      <c r="K804" s="90"/>
      <c r="L804" s="176"/>
      <c r="M804" s="176"/>
      <c r="N804" s="176"/>
      <c r="O804" s="176"/>
      <c r="P804" s="176"/>
      <c r="Q804" s="177"/>
      <c r="R804" s="176"/>
      <c r="S804" s="176"/>
      <c r="T804" s="176"/>
      <c r="U804" s="178"/>
      <c r="V804" s="179"/>
    </row>
    <row r="805">
      <c r="C805" s="172"/>
      <c r="D805" s="172"/>
      <c r="E805" s="173"/>
      <c r="F805" s="137"/>
      <c r="G805" s="137"/>
      <c r="H805" s="137"/>
      <c r="I805" s="129"/>
      <c r="J805" s="323"/>
      <c r="K805" s="90"/>
      <c r="L805" s="176"/>
      <c r="M805" s="176"/>
      <c r="N805" s="176"/>
      <c r="O805" s="176"/>
      <c r="P805" s="176"/>
      <c r="Q805" s="177"/>
      <c r="R805" s="176"/>
      <c r="S805" s="176"/>
      <c r="T805" s="176"/>
      <c r="U805" s="178"/>
      <c r="V805" s="179"/>
    </row>
    <row r="806">
      <c r="C806" s="172"/>
      <c r="D806" s="172"/>
      <c r="E806" s="173"/>
      <c r="F806" s="137"/>
      <c r="G806" s="137"/>
      <c r="H806" s="137"/>
      <c r="I806" s="129"/>
      <c r="J806" s="323"/>
      <c r="K806" s="90"/>
      <c r="L806" s="176"/>
      <c r="M806" s="176"/>
      <c r="N806" s="176"/>
      <c r="O806" s="176"/>
      <c r="P806" s="176"/>
      <c r="Q806" s="177"/>
      <c r="R806" s="176"/>
      <c r="S806" s="176"/>
      <c r="T806" s="176"/>
      <c r="U806" s="178"/>
      <c r="V806" s="179"/>
    </row>
    <row r="807">
      <c r="C807" s="172"/>
      <c r="D807" s="172"/>
      <c r="E807" s="173"/>
      <c r="F807" s="137"/>
      <c r="G807" s="137"/>
      <c r="H807" s="137"/>
      <c r="I807" s="129"/>
      <c r="J807" s="323"/>
      <c r="K807" s="90"/>
      <c r="L807" s="176"/>
      <c r="M807" s="176"/>
      <c r="N807" s="176"/>
      <c r="O807" s="176"/>
      <c r="P807" s="176"/>
      <c r="Q807" s="177"/>
      <c r="R807" s="176"/>
      <c r="S807" s="176"/>
      <c r="T807" s="176"/>
      <c r="U807" s="178"/>
      <c r="V807" s="179"/>
    </row>
    <row r="808">
      <c r="C808" s="172"/>
      <c r="D808" s="172"/>
      <c r="E808" s="173"/>
      <c r="F808" s="137"/>
      <c r="G808" s="137"/>
      <c r="H808" s="137"/>
      <c r="I808" s="129"/>
      <c r="J808" s="323"/>
      <c r="K808" s="90"/>
      <c r="L808" s="176"/>
      <c r="M808" s="176"/>
      <c r="N808" s="176"/>
      <c r="O808" s="176"/>
      <c r="P808" s="176"/>
      <c r="Q808" s="177"/>
      <c r="R808" s="176"/>
      <c r="S808" s="176"/>
      <c r="T808" s="176"/>
      <c r="U808" s="178"/>
      <c r="V808" s="179"/>
    </row>
    <row r="809">
      <c r="C809" s="172"/>
      <c r="D809" s="172"/>
      <c r="E809" s="173"/>
      <c r="F809" s="137"/>
      <c r="G809" s="137"/>
      <c r="H809" s="137"/>
      <c r="I809" s="129"/>
      <c r="J809" s="323"/>
      <c r="K809" s="90"/>
      <c r="L809" s="176"/>
      <c r="M809" s="176"/>
      <c r="N809" s="176"/>
      <c r="O809" s="176"/>
      <c r="P809" s="176"/>
      <c r="Q809" s="177"/>
      <c r="R809" s="176"/>
      <c r="S809" s="176"/>
      <c r="T809" s="176"/>
      <c r="U809" s="178"/>
      <c r="V809" s="179"/>
    </row>
    <row r="810">
      <c r="C810" s="172"/>
      <c r="D810" s="172"/>
      <c r="E810" s="173"/>
      <c r="F810" s="137"/>
      <c r="G810" s="137"/>
      <c r="H810" s="137"/>
      <c r="I810" s="129"/>
      <c r="J810" s="323"/>
      <c r="K810" s="90"/>
      <c r="L810" s="176"/>
      <c r="M810" s="176"/>
      <c r="N810" s="176"/>
      <c r="O810" s="176"/>
      <c r="P810" s="176"/>
      <c r="Q810" s="177"/>
      <c r="R810" s="176"/>
      <c r="S810" s="176"/>
      <c r="T810" s="176"/>
      <c r="U810" s="178"/>
      <c r="V810" s="179"/>
    </row>
    <row r="811">
      <c r="C811" s="172"/>
      <c r="D811" s="172"/>
      <c r="E811" s="173"/>
      <c r="F811" s="137"/>
      <c r="G811" s="137"/>
      <c r="H811" s="137"/>
      <c r="I811" s="129"/>
      <c r="J811" s="323"/>
      <c r="K811" s="90"/>
      <c r="L811" s="176"/>
      <c r="M811" s="176"/>
      <c r="N811" s="176"/>
      <c r="O811" s="176"/>
      <c r="P811" s="176"/>
      <c r="Q811" s="177"/>
      <c r="R811" s="176"/>
      <c r="S811" s="176"/>
      <c r="T811" s="176"/>
      <c r="U811" s="178"/>
      <c r="V811" s="179"/>
    </row>
    <row r="812">
      <c r="C812" s="172"/>
      <c r="D812" s="172"/>
      <c r="E812" s="173"/>
      <c r="F812" s="137"/>
      <c r="G812" s="137"/>
      <c r="H812" s="137"/>
      <c r="I812" s="129"/>
      <c r="J812" s="323"/>
      <c r="K812" s="90"/>
      <c r="L812" s="176"/>
      <c r="M812" s="176"/>
      <c r="N812" s="176"/>
      <c r="O812" s="176"/>
      <c r="P812" s="176"/>
      <c r="Q812" s="177"/>
      <c r="R812" s="176"/>
      <c r="S812" s="176"/>
      <c r="T812" s="176"/>
      <c r="U812" s="178"/>
      <c r="V812" s="179"/>
    </row>
    <row r="813">
      <c r="C813" s="172"/>
      <c r="D813" s="172"/>
      <c r="E813" s="173"/>
      <c r="F813" s="137"/>
      <c r="G813" s="137"/>
      <c r="H813" s="137"/>
      <c r="I813" s="129"/>
      <c r="J813" s="323"/>
      <c r="K813" s="90"/>
      <c r="L813" s="176"/>
      <c r="M813" s="176"/>
      <c r="N813" s="176"/>
      <c r="O813" s="176"/>
      <c r="P813" s="176"/>
      <c r="Q813" s="177"/>
      <c r="R813" s="176"/>
      <c r="S813" s="176"/>
      <c r="T813" s="176"/>
      <c r="U813" s="178"/>
      <c r="V813" s="179"/>
    </row>
    <row r="814">
      <c r="C814" s="172"/>
      <c r="D814" s="172"/>
      <c r="E814" s="173"/>
      <c r="F814" s="137"/>
      <c r="G814" s="137"/>
      <c r="H814" s="137"/>
      <c r="I814" s="129"/>
      <c r="J814" s="323"/>
      <c r="K814" s="90"/>
      <c r="L814" s="176"/>
      <c r="M814" s="176"/>
      <c r="N814" s="176"/>
      <c r="O814" s="176"/>
      <c r="P814" s="176"/>
      <c r="Q814" s="177"/>
      <c r="R814" s="176"/>
      <c r="S814" s="176"/>
      <c r="T814" s="176"/>
      <c r="U814" s="178"/>
      <c r="V814" s="179"/>
    </row>
    <row r="815">
      <c r="C815" s="172"/>
      <c r="D815" s="172"/>
      <c r="E815" s="173"/>
      <c r="F815" s="137"/>
      <c r="G815" s="137"/>
      <c r="H815" s="137"/>
      <c r="I815" s="129"/>
      <c r="J815" s="323"/>
      <c r="K815" s="90"/>
      <c r="L815" s="176"/>
      <c r="M815" s="176"/>
      <c r="N815" s="176"/>
      <c r="O815" s="176"/>
      <c r="P815" s="176"/>
      <c r="Q815" s="177"/>
      <c r="R815" s="176"/>
      <c r="S815" s="176"/>
      <c r="T815" s="176"/>
      <c r="U815" s="178"/>
      <c r="V815" s="179"/>
    </row>
    <row r="816">
      <c r="C816" s="172"/>
      <c r="D816" s="172"/>
      <c r="E816" s="173"/>
      <c r="F816" s="137"/>
      <c r="G816" s="137"/>
      <c r="H816" s="137"/>
      <c r="I816" s="129"/>
      <c r="J816" s="323"/>
      <c r="K816" s="90"/>
      <c r="L816" s="176"/>
      <c r="M816" s="176"/>
      <c r="N816" s="176"/>
      <c r="O816" s="176"/>
      <c r="P816" s="176"/>
      <c r="Q816" s="177"/>
      <c r="R816" s="176"/>
      <c r="S816" s="176"/>
      <c r="T816" s="176"/>
      <c r="U816" s="178"/>
      <c r="V816" s="179"/>
    </row>
    <row r="817">
      <c r="C817" s="172"/>
      <c r="D817" s="172"/>
      <c r="E817" s="173"/>
      <c r="F817" s="137"/>
      <c r="G817" s="137"/>
      <c r="H817" s="137"/>
      <c r="I817" s="129"/>
      <c r="J817" s="323"/>
      <c r="K817" s="90"/>
      <c r="L817" s="176"/>
      <c r="M817" s="176"/>
      <c r="N817" s="176"/>
      <c r="O817" s="176"/>
      <c r="P817" s="176"/>
      <c r="Q817" s="177"/>
      <c r="R817" s="176"/>
      <c r="S817" s="176"/>
      <c r="T817" s="176"/>
      <c r="U817" s="178"/>
      <c r="V817" s="179"/>
    </row>
    <row r="818">
      <c r="C818" s="172"/>
      <c r="D818" s="172"/>
      <c r="E818" s="173"/>
      <c r="F818" s="137"/>
      <c r="G818" s="137"/>
      <c r="H818" s="137"/>
      <c r="I818" s="129"/>
      <c r="J818" s="323"/>
      <c r="K818" s="90"/>
      <c r="L818" s="176"/>
      <c r="M818" s="176"/>
      <c r="N818" s="176"/>
      <c r="O818" s="176"/>
      <c r="P818" s="176"/>
      <c r="Q818" s="177"/>
      <c r="R818" s="176"/>
      <c r="S818" s="176"/>
      <c r="T818" s="176"/>
      <c r="U818" s="178"/>
      <c r="V818" s="179"/>
    </row>
    <row r="819">
      <c r="C819" s="172"/>
      <c r="D819" s="172"/>
      <c r="E819" s="173"/>
      <c r="F819" s="137"/>
      <c r="G819" s="137"/>
      <c r="H819" s="137"/>
      <c r="I819" s="129"/>
      <c r="J819" s="323"/>
      <c r="K819" s="90"/>
      <c r="L819" s="176"/>
      <c r="M819" s="176"/>
      <c r="N819" s="176"/>
      <c r="O819" s="176"/>
      <c r="P819" s="176"/>
      <c r="Q819" s="177"/>
      <c r="R819" s="176"/>
      <c r="S819" s="176"/>
      <c r="T819" s="176"/>
      <c r="U819" s="178"/>
      <c r="V819" s="179"/>
    </row>
    <row r="820">
      <c r="C820" s="172"/>
      <c r="D820" s="172"/>
      <c r="E820" s="173"/>
      <c r="F820" s="137"/>
      <c r="G820" s="137"/>
      <c r="H820" s="137"/>
      <c r="I820" s="129"/>
      <c r="J820" s="323"/>
      <c r="K820" s="90"/>
      <c r="L820" s="176"/>
      <c r="M820" s="176"/>
      <c r="N820" s="176"/>
      <c r="O820" s="176"/>
      <c r="P820" s="176"/>
      <c r="Q820" s="177"/>
      <c r="R820" s="176"/>
      <c r="S820" s="176"/>
      <c r="T820" s="176"/>
      <c r="U820" s="178"/>
      <c r="V820" s="179"/>
    </row>
    <row r="821">
      <c r="C821" s="172"/>
      <c r="D821" s="172"/>
      <c r="E821" s="173"/>
      <c r="F821" s="137"/>
      <c r="G821" s="137"/>
      <c r="H821" s="137"/>
      <c r="I821" s="129"/>
      <c r="J821" s="323"/>
      <c r="K821" s="90"/>
      <c r="L821" s="176"/>
      <c r="M821" s="176"/>
      <c r="N821" s="176"/>
      <c r="O821" s="176"/>
      <c r="P821" s="176"/>
      <c r="Q821" s="177"/>
      <c r="R821" s="176"/>
      <c r="S821" s="176"/>
      <c r="T821" s="176"/>
      <c r="U821" s="178"/>
      <c r="V821" s="179"/>
    </row>
    <row r="822">
      <c r="C822" s="172"/>
      <c r="D822" s="172"/>
      <c r="E822" s="173"/>
      <c r="F822" s="137"/>
      <c r="G822" s="137"/>
      <c r="H822" s="137"/>
      <c r="I822" s="129"/>
      <c r="J822" s="323"/>
      <c r="K822" s="90"/>
      <c r="L822" s="176"/>
      <c r="M822" s="176"/>
      <c r="N822" s="176"/>
      <c r="O822" s="176"/>
      <c r="P822" s="176"/>
      <c r="Q822" s="177"/>
      <c r="R822" s="176"/>
      <c r="S822" s="176"/>
      <c r="T822" s="176"/>
      <c r="U822" s="178"/>
      <c r="V822" s="179"/>
    </row>
    <row r="823">
      <c r="C823" s="172"/>
      <c r="D823" s="172"/>
      <c r="E823" s="173"/>
      <c r="F823" s="137"/>
      <c r="G823" s="137"/>
      <c r="H823" s="137"/>
      <c r="I823" s="129"/>
      <c r="J823" s="323"/>
      <c r="K823" s="90"/>
      <c r="L823" s="176"/>
      <c r="M823" s="176"/>
      <c r="N823" s="176"/>
      <c r="O823" s="176"/>
      <c r="P823" s="176"/>
      <c r="Q823" s="177"/>
      <c r="R823" s="176"/>
      <c r="S823" s="176"/>
      <c r="T823" s="176"/>
      <c r="U823" s="178"/>
      <c r="V823" s="179"/>
    </row>
    <row r="824">
      <c r="C824" s="172"/>
      <c r="D824" s="172"/>
      <c r="E824" s="173"/>
      <c r="F824" s="137"/>
      <c r="G824" s="137"/>
      <c r="H824" s="137"/>
      <c r="I824" s="129"/>
      <c r="J824" s="323"/>
      <c r="K824" s="90"/>
      <c r="L824" s="176"/>
      <c r="M824" s="176"/>
      <c r="N824" s="176"/>
      <c r="O824" s="176"/>
      <c r="P824" s="176"/>
      <c r="Q824" s="177"/>
      <c r="R824" s="176"/>
      <c r="S824" s="176"/>
      <c r="T824" s="176"/>
      <c r="U824" s="178"/>
      <c r="V824" s="179"/>
    </row>
    <row r="825">
      <c r="C825" s="172"/>
      <c r="D825" s="172"/>
      <c r="E825" s="173"/>
      <c r="F825" s="137"/>
      <c r="G825" s="137"/>
      <c r="H825" s="137"/>
      <c r="I825" s="129"/>
      <c r="J825" s="323"/>
      <c r="K825" s="90"/>
      <c r="L825" s="176"/>
      <c r="M825" s="176"/>
      <c r="N825" s="176"/>
      <c r="O825" s="176"/>
      <c r="P825" s="176"/>
      <c r="Q825" s="177"/>
      <c r="R825" s="176"/>
      <c r="S825" s="176"/>
      <c r="T825" s="176"/>
      <c r="U825" s="178"/>
      <c r="V825" s="179"/>
    </row>
    <row r="826">
      <c r="C826" s="172"/>
      <c r="D826" s="172"/>
      <c r="E826" s="173"/>
      <c r="F826" s="137"/>
      <c r="G826" s="137"/>
      <c r="H826" s="137"/>
      <c r="I826" s="129"/>
      <c r="J826" s="323"/>
      <c r="K826" s="90"/>
      <c r="L826" s="176"/>
      <c r="M826" s="176"/>
      <c r="N826" s="176"/>
      <c r="O826" s="176"/>
      <c r="P826" s="176"/>
      <c r="Q826" s="177"/>
      <c r="R826" s="176"/>
      <c r="S826" s="176"/>
      <c r="T826" s="176"/>
      <c r="U826" s="178"/>
      <c r="V826" s="179"/>
    </row>
    <row r="827">
      <c r="C827" s="172"/>
      <c r="D827" s="172"/>
      <c r="E827" s="173"/>
      <c r="F827" s="137"/>
      <c r="G827" s="137"/>
      <c r="H827" s="137"/>
      <c r="I827" s="129"/>
      <c r="J827" s="323"/>
      <c r="K827" s="90"/>
      <c r="L827" s="176"/>
      <c r="M827" s="176"/>
      <c r="N827" s="176"/>
      <c r="O827" s="176"/>
      <c r="P827" s="176"/>
      <c r="Q827" s="177"/>
      <c r="R827" s="176"/>
      <c r="S827" s="176"/>
      <c r="T827" s="176"/>
      <c r="U827" s="178"/>
      <c r="V827" s="179"/>
    </row>
    <row r="828">
      <c r="C828" s="172"/>
      <c r="D828" s="172"/>
      <c r="E828" s="173"/>
      <c r="F828" s="137"/>
      <c r="G828" s="137"/>
      <c r="H828" s="137"/>
      <c r="I828" s="129"/>
      <c r="J828" s="323"/>
      <c r="K828" s="90"/>
      <c r="L828" s="176"/>
      <c r="M828" s="176"/>
      <c r="N828" s="176"/>
      <c r="O828" s="176"/>
      <c r="P828" s="176"/>
      <c r="Q828" s="177"/>
      <c r="R828" s="176"/>
      <c r="S828" s="176"/>
      <c r="T828" s="176"/>
      <c r="U828" s="178"/>
      <c r="V828" s="179"/>
    </row>
    <row r="829">
      <c r="C829" s="172"/>
      <c r="D829" s="172"/>
      <c r="E829" s="173"/>
      <c r="F829" s="137"/>
      <c r="G829" s="137"/>
      <c r="H829" s="137"/>
      <c r="I829" s="129"/>
      <c r="J829" s="323"/>
      <c r="K829" s="90"/>
      <c r="L829" s="176"/>
      <c r="M829" s="176"/>
      <c r="N829" s="176"/>
      <c r="O829" s="176"/>
      <c r="P829" s="176"/>
      <c r="Q829" s="177"/>
      <c r="R829" s="176"/>
      <c r="S829" s="176"/>
      <c r="T829" s="176"/>
      <c r="U829" s="178"/>
      <c r="V829" s="179"/>
    </row>
    <row r="830">
      <c r="C830" s="172"/>
      <c r="D830" s="172"/>
      <c r="E830" s="173"/>
      <c r="F830" s="137"/>
      <c r="G830" s="137"/>
      <c r="H830" s="137"/>
      <c r="I830" s="129"/>
      <c r="J830" s="323"/>
      <c r="K830" s="90"/>
      <c r="L830" s="176"/>
      <c r="M830" s="176"/>
      <c r="N830" s="176"/>
      <c r="O830" s="176"/>
      <c r="P830" s="176"/>
      <c r="Q830" s="177"/>
      <c r="R830" s="176"/>
      <c r="S830" s="176"/>
      <c r="T830" s="176"/>
      <c r="U830" s="178"/>
      <c r="V830" s="179"/>
    </row>
    <row r="831">
      <c r="C831" s="172"/>
      <c r="D831" s="172"/>
      <c r="E831" s="173"/>
      <c r="F831" s="137"/>
      <c r="G831" s="137"/>
      <c r="H831" s="137"/>
      <c r="I831" s="129"/>
      <c r="J831" s="323"/>
      <c r="K831" s="90"/>
      <c r="L831" s="176"/>
      <c r="M831" s="176"/>
      <c r="N831" s="176"/>
      <c r="O831" s="176"/>
      <c r="P831" s="176"/>
      <c r="Q831" s="177"/>
      <c r="R831" s="176"/>
      <c r="S831" s="176"/>
      <c r="T831" s="176"/>
      <c r="U831" s="178"/>
      <c r="V831" s="179"/>
    </row>
    <row r="832">
      <c r="C832" s="172"/>
      <c r="D832" s="172"/>
      <c r="E832" s="173"/>
      <c r="F832" s="137"/>
      <c r="G832" s="137"/>
      <c r="H832" s="137"/>
      <c r="I832" s="129"/>
      <c r="J832" s="323"/>
      <c r="K832" s="90"/>
      <c r="L832" s="176"/>
      <c r="M832" s="176"/>
      <c r="N832" s="176"/>
      <c r="O832" s="176"/>
      <c r="P832" s="176"/>
      <c r="Q832" s="177"/>
      <c r="R832" s="176"/>
      <c r="S832" s="176"/>
      <c r="T832" s="176"/>
      <c r="U832" s="178"/>
      <c r="V832" s="179"/>
    </row>
    <row r="833">
      <c r="C833" s="172"/>
      <c r="D833" s="172"/>
      <c r="E833" s="173"/>
      <c r="F833" s="137"/>
      <c r="G833" s="137"/>
      <c r="H833" s="137"/>
      <c r="I833" s="129"/>
      <c r="J833" s="323"/>
      <c r="K833" s="90"/>
      <c r="L833" s="176"/>
      <c r="M833" s="176"/>
      <c r="N833" s="176"/>
      <c r="O833" s="176"/>
      <c r="P833" s="176"/>
      <c r="Q833" s="177"/>
      <c r="R833" s="176"/>
      <c r="S833" s="176"/>
      <c r="T833" s="176"/>
      <c r="U833" s="178"/>
      <c r="V833" s="179"/>
    </row>
    <row r="834">
      <c r="C834" s="172"/>
      <c r="D834" s="172"/>
      <c r="E834" s="173"/>
      <c r="F834" s="137"/>
      <c r="G834" s="137"/>
      <c r="H834" s="137"/>
      <c r="I834" s="129"/>
      <c r="J834" s="323"/>
      <c r="K834" s="90"/>
      <c r="L834" s="176"/>
      <c r="M834" s="176"/>
      <c r="N834" s="176"/>
      <c r="O834" s="176"/>
      <c r="P834" s="176"/>
      <c r="Q834" s="177"/>
      <c r="R834" s="176"/>
      <c r="S834" s="176"/>
      <c r="T834" s="176"/>
      <c r="U834" s="178"/>
      <c r="V834" s="179"/>
    </row>
    <row r="835">
      <c r="C835" s="172"/>
      <c r="D835" s="172"/>
      <c r="E835" s="173"/>
      <c r="F835" s="137"/>
      <c r="G835" s="137"/>
      <c r="H835" s="137"/>
      <c r="I835" s="129"/>
      <c r="J835" s="323"/>
      <c r="K835" s="90"/>
      <c r="L835" s="176"/>
      <c r="M835" s="176"/>
      <c r="N835" s="176"/>
      <c r="O835" s="176"/>
      <c r="P835" s="176"/>
      <c r="Q835" s="177"/>
      <c r="R835" s="176"/>
      <c r="S835" s="176"/>
      <c r="T835" s="176"/>
      <c r="U835" s="178"/>
      <c r="V835" s="179"/>
    </row>
    <row r="836">
      <c r="C836" s="172"/>
      <c r="D836" s="172"/>
      <c r="E836" s="173"/>
      <c r="F836" s="137"/>
      <c r="G836" s="137"/>
      <c r="H836" s="137"/>
      <c r="I836" s="129"/>
      <c r="J836" s="323"/>
      <c r="K836" s="90"/>
      <c r="L836" s="176"/>
      <c r="M836" s="176"/>
      <c r="N836" s="176"/>
      <c r="O836" s="176"/>
      <c r="P836" s="176"/>
      <c r="Q836" s="177"/>
      <c r="R836" s="176"/>
      <c r="S836" s="176"/>
      <c r="T836" s="176"/>
      <c r="U836" s="178"/>
      <c r="V836" s="179"/>
    </row>
    <row r="837">
      <c r="C837" s="172"/>
      <c r="D837" s="172"/>
      <c r="E837" s="173"/>
      <c r="F837" s="137"/>
      <c r="G837" s="137"/>
      <c r="H837" s="137"/>
      <c r="I837" s="129"/>
      <c r="J837" s="323"/>
      <c r="K837" s="90"/>
      <c r="L837" s="176"/>
      <c r="M837" s="176"/>
      <c r="N837" s="176"/>
      <c r="O837" s="176"/>
      <c r="P837" s="176"/>
      <c r="Q837" s="177"/>
      <c r="R837" s="176"/>
      <c r="S837" s="176"/>
      <c r="T837" s="176"/>
      <c r="U837" s="178"/>
      <c r="V837" s="179"/>
    </row>
    <row r="838">
      <c r="C838" s="172"/>
      <c r="D838" s="172"/>
      <c r="E838" s="173"/>
      <c r="F838" s="137"/>
      <c r="G838" s="137"/>
      <c r="H838" s="137"/>
      <c r="I838" s="129"/>
      <c r="J838" s="323"/>
      <c r="K838" s="90"/>
      <c r="L838" s="176"/>
      <c r="M838" s="176"/>
      <c r="N838" s="176"/>
      <c r="O838" s="176"/>
      <c r="P838" s="176"/>
      <c r="Q838" s="177"/>
      <c r="R838" s="176"/>
      <c r="S838" s="176"/>
      <c r="T838" s="176"/>
      <c r="U838" s="178"/>
      <c r="V838" s="179"/>
    </row>
    <row r="839">
      <c r="C839" s="172"/>
      <c r="D839" s="172"/>
      <c r="E839" s="173"/>
      <c r="F839" s="137"/>
      <c r="G839" s="137"/>
      <c r="H839" s="137"/>
      <c r="I839" s="129"/>
      <c r="J839" s="323"/>
      <c r="K839" s="90"/>
      <c r="L839" s="176"/>
      <c r="M839" s="176"/>
      <c r="N839" s="176"/>
      <c r="O839" s="176"/>
      <c r="P839" s="176"/>
      <c r="Q839" s="177"/>
      <c r="R839" s="176"/>
      <c r="S839" s="176"/>
      <c r="T839" s="176"/>
      <c r="U839" s="178"/>
      <c r="V839" s="179"/>
    </row>
    <row r="840">
      <c r="C840" s="172"/>
      <c r="D840" s="172"/>
      <c r="E840" s="173"/>
      <c r="F840" s="137"/>
      <c r="G840" s="137"/>
      <c r="H840" s="137"/>
      <c r="I840" s="129"/>
      <c r="J840" s="323"/>
      <c r="K840" s="90"/>
      <c r="L840" s="176"/>
      <c r="M840" s="176"/>
      <c r="N840" s="176"/>
      <c r="O840" s="176"/>
      <c r="P840" s="176"/>
      <c r="Q840" s="177"/>
      <c r="R840" s="176"/>
      <c r="S840" s="176"/>
      <c r="T840" s="176"/>
      <c r="U840" s="178"/>
      <c r="V840" s="179"/>
    </row>
    <row r="841">
      <c r="C841" s="172"/>
      <c r="D841" s="172"/>
      <c r="E841" s="173"/>
      <c r="F841" s="137"/>
      <c r="G841" s="137"/>
      <c r="H841" s="137"/>
      <c r="I841" s="129"/>
      <c r="J841" s="323"/>
      <c r="K841" s="90"/>
      <c r="L841" s="176"/>
      <c r="M841" s="176"/>
      <c r="N841" s="176"/>
      <c r="O841" s="176"/>
      <c r="P841" s="176"/>
      <c r="Q841" s="177"/>
      <c r="R841" s="176"/>
      <c r="S841" s="176"/>
      <c r="T841" s="176"/>
      <c r="U841" s="178"/>
      <c r="V841" s="179"/>
    </row>
    <row r="842">
      <c r="C842" s="172"/>
      <c r="D842" s="172"/>
      <c r="E842" s="173"/>
      <c r="F842" s="137"/>
      <c r="G842" s="137"/>
      <c r="H842" s="137"/>
      <c r="I842" s="129"/>
      <c r="J842" s="323"/>
      <c r="K842" s="90"/>
      <c r="L842" s="176"/>
      <c r="M842" s="176"/>
      <c r="N842" s="176"/>
      <c r="O842" s="176"/>
      <c r="P842" s="176"/>
      <c r="Q842" s="177"/>
      <c r="R842" s="176"/>
      <c r="S842" s="176"/>
      <c r="T842" s="176"/>
      <c r="U842" s="178"/>
      <c r="V842" s="179"/>
    </row>
    <row r="843">
      <c r="C843" s="172"/>
      <c r="D843" s="172"/>
      <c r="E843" s="173"/>
      <c r="F843" s="137"/>
      <c r="G843" s="137"/>
      <c r="H843" s="137"/>
      <c r="I843" s="129"/>
      <c r="J843" s="323"/>
      <c r="K843" s="90"/>
      <c r="L843" s="176"/>
      <c r="M843" s="176"/>
      <c r="N843" s="176"/>
      <c r="O843" s="176"/>
      <c r="P843" s="176"/>
      <c r="Q843" s="177"/>
      <c r="R843" s="176"/>
      <c r="S843" s="176"/>
      <c r="T843" s="176"/>
      <c r="U843" s="178"/>
      <c r="V843" s="179"/>
    </row>
    <row r="844">
      <c r="C844" s="172"/>
      <c r="D844" s="172"/>
      <c r="E844" s="173"/>
      <c r="F844" s="137"/>
      <c r="G844" s="137"/>
      <c r="H844" s="137"/>
      <c r="I844" s="129"/>
      <c r="J844" s="323"/>
      <c r="K844" s="90"/>
      <c r="L844" s="176"/>
      <c r="M844" s="176"/>
      <c r="N844" s="176"/>
      <c r="O844" s="176"/>
      <c r="P844" s="176"/>
      <c r="Q844" s="177"/>
      <c r="R844" s="176"/>
      <c r="S844" s="176"/>
      <c r="T844" s="176"/>
      <c r="U844" s="178"/>
      <c r="V844" s="179"/>
    </row>
    <row r="845">
      <c r="C845" s="172"/>
      <c r="D845" s="172"/>
      <c r="E845" s="173"/>
      <c r="F845" s="137"/>
      <c r="G845" s="137"/>
      <c r="H845" s="137"/>
      <c r="I845" s="129"/>
      <c r="J845" s="323"/>
      <c r="K845" s="90"/>
      <c r="L845" s="176"/>
      <c r="M845" s="176"/>
      <c r="N845" s="176"/>
      <c r="O845" s="176"/>
      <c r="P845" s="176"/>
      <c r="Q845" s="177"/>
      <c r="R845" s="176"/>
      <c r="S845" s="176"/>
      <c r="T845" s="176"/>
      <c r="U845" s="178"/>
      <c r="V845" s="179"/>
    </row>
    <row r="846">
      <c r="C846" s="172"/>
      <c r="D846" s="172"/>
      <c r="E846" s="173"/>
      <c r="F846" s="137"/>
      <c r="G846" s="137"/>
      <c r="H846" s="137"/>
      <c r="I846" s="129"/>
      <c r="J846" s="323"/>
      <c r="K846" s="90"/>
      <c r="L846" s="176"/>
      <c r="M846" s="176"/>
      <c r="N846" s="176"/>
      <c r="O846" s="176"/>
      <c r="P846" s="176"/>
      <c r="Q846" s="177"/>
      <c r="R846" s="176"/>
      <c r="S846" s="176"/>
      <c r="T846" s="176"/>
      <c r="U846" s="178"/>
      <c r="V846" s="179"/>
    </row>
    <row r="847">
      <c r="C847" s="172"/>
      <c r="D847" s="172"/>
      <c r="E847" s="173"/>
      <c r="F847" s="137"/>
      <c r="G847" s="137"/>
      <c r="H847" s="137"/>
      <c r="I847" s="129"/>
      <c r="J847" s="323"/>
      <c r="K847" s="90"/>
      <c r="L847" s="176"/>
      <c r="M847" s="176"/>
      <c r="N847" s="176"/>
      <c r="O847" s="176"/>
      <c r="P847" s="176"/>
      <c r="Q847" s="177"/>
      <c r="R847" s="176"/>
      <c r="S847" s="176"/>
      <c r="T847" s="176"/>
      <c r="U847" s="178"/>
      <c r="V847" s="179"/>
    </row>
    <row r="848">
      <c r="C848" s="172"/>
      <c r="D848" s="172"/>
      <c r="E848" s="173"/>
      <c r="F848" s="137"/>
      <c r="G848" s="137"/>
      <c r="H848" s="137"/>
      <c r="I848" s="129"/>
      <c r="J848" s="323"/>
      <c r="K848" s="90"/>
      <c r="L848" s="176"/>
      <c r="M848" s="176"/>
      <c r="N848" s="176"/>
      <c r="O848" s="176"/>
      <c r="P848" s="176"/>
      <c r="Q848" s="177"/>
      <c r="R848" s="176"/>
      <c r="S848" s="176"/>
      <c r="T848" s="176"/>
      <c r="U848" s="178"/>
      <c r="V848" s="179"/>
    </row>
    <row r="849">
      <c r="C849" s="172"/>
      <c r="D849" s="172"/>
      <c r="E849" s="173"/>
      <c r="F849" s="137"/>
      <c r="G849" s="137"/>
      <c r="H849" s="137"/>
      <c r="I849" s="129"/>
      <c r="J849" s="323"/>
      <c r="K849" s="90"/>
      <c r="L849" s="176"/>
      <c r="M849" s="176"/>
      <c r="N849" s="176"/>
      <c r="O849" s="176"/>
      <c r="P849" s="176"/>
      <c r="Q849" s="177"/>
      <c r="R849" s="176"/>
      <c r="S849" s="176"/>
      <c r="T849" s="176"/>
      <c r="U849" s="178"/>
      <c r="V849" s="179"/>
    </row>
    <row r="850">
      <c r="C850" s="172"/>
      <c r="D850" s="172"/>
      <c r="E850" s="173"/>
      <c r="F850" s="137"/>
      <c r="G850" s="137"/>
      <c r="H850" s="137"/>
      <c r="I850" s="129"/>
      <c r="J850" s="323"/>
      <c r="K850" s="90"/>
      <c r="L850" s="176"/>
      <c r="M850" s="176"/>
      <c r="N850" s="176"/>
      <c r="O850" s="176"/>
      <c r="P850" s="176"/>
      <c r="Q850" s="177"/>
      <c r="R850" s="176"/>
      <c r="S850" s="176"/>
      <c r="T850" s="176"/>
      <c r="U850" s="178"/>
      <c r="V850" s="179"/>
    </row>
    <row r="851">
      <c r="C851" s="172"/>
      <c r="D851" s="172"/>
      <c r="E851" s="173"/>
      <c r="F851" s="137"/>
      <c r="G851" s="137"/>
      <c r="H851" s="137"/>
      <c r="I851" s="129"/>
      <c r="J851" s="323"/>
      <c r="K851" s="90"/>
      <c r="L851" s="176"/>
      <c r="M851" s="176"/>
      <c r="N851" s="176"/>
      <c r="O851" s="176"/>
      <c r="P851" s="176"/>
      <c r="Q851" s="177"/>
      <c r="R851" s="176"/>
      <c r="S851" s="176"/>
      <c r="T851" s="176"/>
      <c r="U851" s="178"/>
      <c r="V851" s="179"/>
    </row>
    <row r="852">
      <c r="C852" s="172"/>
      <c r="D852" s="172"/>
      <c r="E852" s="173"/>
      <c r="F852" s="137"/>
      <c r="G852" s="137"/>
      <c r="H852" s="137"/>
      <c r="I852" s="129"/>
      <c r="J852" s="323"/>
      <c r="K852" s="90"/>
      <c r="L852" s="176"/>
      <c r="M852" s="176"/>
      <c r="N852" s="176"/>
      <c r="O852" s="176"/>
      <c r="P852" s="176"/>
      <c r="Q852" s="177"/>
      <c r="R852" s="176"/>
      <c r="S852" s="176"/>
      <c r="T852" s="176"/>
      <c r="U852" s="178"/>
      <c r="V852" s="179"/>
    </row>
    <row r="853">
      <c r="C853" s="172"/>
      <c r="D853" s="172"/>
      <c r="E853" s="173"/>
      <c r="F853" s="137"/>
      <c r="G853" s="137"/>
      <c r="H853" s="137"/>
      <c r="I853" s="129"/>
      <c r="J853" s="323"/>
      <c r="K853" s="90"/>
      <c r="L853" s="176"/>
      <c r="M853" s="176"/>
      <c r="N853" s="176"/>
      <c r="O853" s="176"/>
      <c r="P853" s="176"/>
      <c r="Q853" s="177"/>
      <c r="R853" s="176"/>
      <c r="S853" s="176"/>
      <c r="T853" s="176"/>
      <c r="U853" s="178"/>
      <c r="V853" s="179"/>
    </row>
    <row r="854">
      <c r="C854" s="172"/>
      <c r="D854" s="172"/>
      <c r="E854" s="173"/>
      <c r="F854" s="137"/>
      <c r="G854" s="137"/>
      <c r="H854" s="137"/>
      <c r="I854" s="129"/>
      <c r="J854" s="323"/>
      <c r="K854" s="90"/>
      <c r="L854" s="176"/>
      <c r="M854" s="176"/>
      <c r="N854" s="176"/>
      <c r="O854" s="176"/>
      <c r="P854" s="176"/>
      <c r="Q854" s="177"/>
      <c r="R854" s="176"/>
      <c r="S854" s="176"/>
      <c r="T854" s="176"/>
      <c r="U854" s="178"/>
      <c r="V854" s="179"/>
    </row>
    <row r="855">
      <c r="C855" s="172"/>
      <c r="D855" s="172"/>
      <c r="E855" s="173"/>
      <c r="F855" s="137"/>
      <c r="G855" s="137"/>
      <c r="H855" s="137"/>
      <c r="I855" s="129"/>
      <c r="J855" s="323"/>
      <c r="K855" s="90"/>
      <c r="L855" s="176"/>
      <c r="M855" s="176"/>
      <c r="N855" s="176"/>
      <c r="O855" s="176"/>
      <c r="P855" s="176"/>
      <c r="Q855" s="177"/>
      <c r="R855" s="176"/>
      <c r="S855" s="176"/>
      <c r="T855" s="176"/>
      <c r="U855" s="178"/>
      <c r="V855" s="179"/>
    </row>
    <row r="856">
      <c r="C856" s="172"/>
      <c r="D856" s="172"/>
      <c r="E856" s="173"/>
      <c r="F856" s="137"/>
      <c r="G856" s="137"/>
      <c r="H856" s="137"/>
      <c r="I856" s="129"/>
      <c r="J856" s="323"/>
      <c r="K856" s="90"/>
      <c r="L856" s="176"/>
      <c r="M856" s="176"/>
      <c r="N856" s="176"/>
      <c r="O856" s="176"/>
      <c r="P856" s="176"/>
      <c r="Q856" s="177"/>
      <c r="R856" s="176"/>
      <c r="S856" s="176"/>
      <c r="T856" s="176"/>
      <c r="U856" s="178"/>
      <c r="V856" s="179"/>
    </row>
    <row r="857">
      <c r="C857" s="172"/>
      <c r="D857" s="172"/>
      <c r="E857" s="173"/>
      <c r="F857" s="137"/>
      <c r="G857" s="137"/>
      <c r="H857" s="137"/>
      <c r="I857" s="129"/>
      <c r="J857" s="323"/>
      <c r="K857" s="90"/>
      <c r="L857" s="176"/>
      <c r="M857" s="176"/>
      <c r="N857" s="176"/>
      <c r="O857" s="176"/>
      <c r="P857" s="176"/>
      <c r="Q857" s="177"/>
      <c r="R857" s="176"/>
      <c r="S857" s="176"/>
      <c r="T857" s="176"/>
      <c r="U857" s="178"/>
      <c r="V857" s="179"/>
    </row>
    <row r="858">
      <c r="C858" s="172"/>
      <c r="D858" s="172"/>
      <c r="E858" s="173"/>
      <c r="F858" s="137"/>
      <c r="G858" s="137"/>
      <c r="H858" s="137"/>
      <c r="I858" s="129"/>
      <c r="J858" s="323"/>
      <c r="K858" s="90"/>
      <c r="L858" s="176"/>
      <c r="M858" s="176"/>
      <c r="N858" s="176"/>
      <c r="O858" s="176"/>
      <c r="P858" s="176"/>
      <c r="Q858" s="177"/>
      <c r="R858" s="176"/>
      <c r="S858" s="176"/>
      <c r="T858" s="176"/>
      <c r="U858" s="178"/>
      <c r="V858" s="179"/>
    </row>
    <row r="859">
      <c r="C859" s="172"/>
      <c r="D859" s="172"/>
      <c r="E859" s="173"/>
      <c r="F859" s="137"/>
      <c r="G859" s="137"/>
      <c r="H859" s="137"/>
      <c r="I859" s="129"/>
      <c r="J859" s="323"/>
      <c r="K859" s="90"/>
      <c r="L859" s="176"/>
      <c r="M859" s="176"/>
      <c r="N859" s="176"/>
      <c r="O859" s="176"/>
      <c r="P859" s="176"/>
      <c r="Q859" s="177"/>
      <c r="R859" s="176"/>
      <c r="S859" s="176"/>
      <c r="T859" s="176"/>
      <c r="U859" s="178"/>
      <c r="V859" s="179"/>
    </row>
    <row r="860">
      <c r="C860" s="172"/>
      <c r="D860" s="172"/>
      <c r="E860" s="173"/>
      <c r="F860" s="137"/>
      <c r="G860" s="137"/>
      <c r="H860" s="137"/>
      <c r="I860" s="129"/>
      <c r="J860" s="323"/>
      <c r="K860" s="90"/>
      <c r="L860" s="176"/>
      <c r="M860" s="176"/>
      <c r="N860" s="176"/>
      <c r="O860" s="176"/>
      <c r="P860" s="176"/>
      <c r="Q860" s="177"/>
      <c r="R860" s="176"/>
      <c r="S860" s="176"/>
      <c r="T860" s="176"/>
      <c r="U860" s="178"/>
      <c r="V860" s="179"/>
    </row>
    <row r="861">
      <c r="C861" s="172"/>
      <c r="D861" s="172"/>
      <c r="E861" s="173"/>
      <c r="F861" s="137"/>
      <c r="G861" s="137"/>
      <c r="H861" s="137"/>
      <c r="I861" s="129"/>
      <c r="J861" s="323"/>
      <c r="K861" s="90"/>
      <c r="L861" s="176"/>
      <c r="M861" s="176"/>
      <c r="N861" s="176"/>
      <c r="O861" s="176"/>
      <c r="P861" s="176"/>
      <c r="Q861" s="177"/>
      <c r="R861" s="176"/>
      <c r="S861" s="176"/>
      <c r="T861" s="176"/>
      <c r="U861" s="178"/>
      <c r="V861" s="179"/>
    </row>
    <row r="862">
      <c r="C862" s="172"/>
      <c r="D862" s="172"/>
      <c r="E862" s="173"/>
      <c r="F862" s="137"/>
      <c r="G862" s="137"/>
      <c r="H862" s="137"/>
      <c r="I862" s="129"/>
      <c r="J862" s="323"/>
      <c r="K862" s="90"/>
      <c r="L862" s="176"/>
      <c r="M862" s="176"/>
      <c r="N862" s="176"/>
      <c r="O862" s="176"/>
      <c r="P862" s="176"/>
      <c r="Q862" s="177"/>
      <c r="R862" s="176"/>
      <c r="S862" s="176"/>
      <c r="T862" s="176"/>
      <c r="U862" s="178"/>
      <c r="V862" s="179"/>
    </row>
    <row r="863">
      <c r="C863" s="172"/>
      <c r="D863" s="172"/>
      <c r="E863" s="173"/>
      <c r="F863" s="137"/>
      <c r="G863" s="137"/>
      <c r="H863" s="137"/>
      <c r="I863" s="129"/>
      <c r="J863" s="323"/>
      <c r="K863" s="90"/>
      <c r="L863" s="176"/>
      <c r="M863" s="176"/>
      <c r="N863" s="176"/>
      <c r="O863" s="176"/>
      <c r="P863" s="176"/>
      <c r="Q863" s="177"/>
      <c r="R863" s="176"/>
      <c r="S863" s="176"/>
      <c r="T863" s="176"/>
      <c r="U863" s="178"/>
      <c r="V863" s="179"/>
    </row>
    <row r="864">
      <c r="C864" s="172"/>
      <c r="D864" s="172"/>
      <c r="E864" s="173"/>
      <c r="F864" s="137"/>
      <c r="G864" s="137"/>
      <c r="H864" s="137"/>
      <c r="I864" s="129"/>
      <c r="J864" s="323"/>
      <c r="K864" s="90"/>
      <c r="L864" s="176"/>
      <c r="M864" s="176"/>
      <c r="N864" s="176"/>
      <c r="O864" s="176"/>
      <c r="P864" s="176"/>
      <c r="Q864" s="177"/>
      <c r="R864" s="176"/>
      <c r="S864" s="176"/>
      <c r="T864" s="176"/>
      <c r="U864" s="178"/>
      <c r="V864" s="179"/>
    </row>
    <row r="865">
      <c r="C865" s="172"/>
      <c r="D865" s="172"/>
      <c r="E865" s="173"/>
      <c r="F865" s="137"/>
      <c r="G865" s="137"/>
      <c r="H865" s="137"/>
      <c r="I865" s="129"/>
      <c r="J865" s="323"/>
      <c r="K865" s="90"/>
      <c r="L865" s="176"/>
      <c r="M865" s="176"/>
      <c r="N865" s="176"/>
      <c r="O865" s="176"/>
      <c r="P865" s="176"/>
      <c r="Q865" s="177"/>
      <c r="R865" s="176"/>
      <c r="S865" s="176"/>
      <c r="T865" s="176"/>
      <c r="U865" s="178"/>
      <c r="V865" s="179"/>
    </row>
    <row r="866">
      <c r="C866" s="172"/>
      <c r="D866" s="172"/>
      <c r="E866" s="173"/>
      <c r="F866" s="137"/>
      <c r="G866" s="137"/>
      <c r="H866" s="137"/>
      <c r="I866" s="129"/>
      <c r="J866" s="323"/>
      <c r="K866" s="90"/>
      <c r="L866" s="176"/>
      <c r="M866" s="176"/>
      <c r="N866" s="176"/>
      <c r="O866" s="176"/>
      <c r="P866" s="176"/>
      <c r="Q866" s="177"/>
      <c r="R866" s="176"/>
      <c r="S866" s="176"/>
      <c r="T866" s="176"/>
      <c r="U866" s="178"/>
      <c r="V866" s="179"/>
    </row>
    <row r="867">
      <c r="C867" s="172"/>
      <c r="D867" s="172"/>
      <c r="E867" s="173"/>
      <c r="F867" s="137"/>
      <c r="G867" s="137"/>
      <c r="H867" s="137"/>
      <c r="I867" s="129"/>
      <c r="J867" s="323"/>
      <c r="K867" s="90"/>
      <c r="L867" s="176"/>
      <c r="M867" s="176"/>
      <c r="N867" s="176"/>
      <c r="O867" s="176"/>
      <c r="P867" s="176"/>
      <c r="Q867" s="177"/>
      <c r="R867" s="176"/>
      <c r="S867" s="176"/>
      <c r="T867" s="176"/>
      <c r="U867" s="178"/>
      <c r="V867" s="179"/>
    </row>
    <row r="868">
      <c r="C868" s="172"/>
      <c r="D868" s="172"/>
      <c r="E868" s="173"/>
      <c r="F868" s="137"/>
      <c r="G868" s="137"/>
      <c r="H868" s="137"/>
      <c r="I868" s="129"/>
      <c r="J868" s="323"/>
      <c r="K868" s="90"/>
      <c r="L868" s="176"/>
      <c r="M868" s="176"/>
      <c r="N868" s="176"/>
      <c r="O868" s="176"/>
      <c r="P868" s="176"/>
      <c r="Q868" s="177"/>
      <c r="R868" s="176"/>
      <c r="S868" s="176"/>
      <c r="T868" s="176"/>
      <c r="U868" s="178"/>
      <c r="V868" s="179"/>
    </row>
    <row r="869">
      <c r="C869" s="172"/>
      <c r="D869" s="172"/>
      <c r="E869" s="173"/>
      <c r="F869" s="137"/>
      <c r="G869" s="137"/>
      <c r="H869" s="137"/>
      <c r="I869" s="129"/>
      <c r="J869" s="323"/>
      <c r="K869" s="90"/>
      <c r="L869" s="176"/>
      <c r="M869" s="176"/>
      <c r="N869" s="176"/>
      <c r="O869" s="176"/>
      <c r="P869" s="176"/>
      <c r="Q869" s="177"/>
      <c r="R869" s="176"/>
      <c r="S869" s="176"/>
      <c r="T869" s="176"/>
      <c r="U869" s="178"/>
      <c r="V869" s="179"/>
    </row>
    <row r="870">
      <c r="C870" s="172"/>
      <c r="D870" s="172"/>
      <c r="E870" s="173"/>
      <c r="F870" s="137"/>
      <c r="G870" s="137"/>
      <c r="H870" s="137"/>
      <c r="I870" s="129"/>
      <c r="J870" s="323"/>
      <c r="K870" s="90"/>
      <c r="L870" s="176"/>
      <c r="M870" s="176"/>
      <c r="N870" s="176"/>
      <c r="O870" s="176"/>
      <c r="P870" s="176"/>
      <c r="Q870" s="177"/>
      <c r="R870" s="176"/>
      <c r="S870" s="176"/>
      <c r="T870" s="176"/>
      <c r="U870" s="178"/>
      <c r="V870" s="179"/>
    </row>
    <row r="871">
      <c r="C871" s="172"/>
      <c r="D871" s="172"/>
      <c r="E871" s="173"/>
      <c r="F871" s="137"/>
      <c r="G871" s="137"/>
      <c r="H871" s="137"/>
      <c r="I871" s="129"/>
      <c r="J871" s="323"/>
      <c r="K871" s="90"/>
      <c r="L871" s="176"/>
      <c r="M871" s="176"/>
      <c r="N871" s="176"/>
      <c r="O871" s="176"/>
      <c r="P871" s="176"/>
      <c r="Q871" s="177"/>
      <c r="R871" s="176"/>
      <c r="S871" s="176"/>
      <c r="T871" s="176"/>
      <c r="U871" s="178"/>
      <c r="V871" s="179"/>
    </row>
    <row r="872">
      <c r="C872" s="172"/>
      <c r="D872" s="172"/>
      <c r="E872" s="173"/>
      <c r="F872" s="137"/>
      <c r="G872" s="137"/>
      <c r="H872" s="137"/>
      <c r="I872" s="129"/>
      <c r="J872" s="323"/>
      <c r="K872" s="90"/>
      <c r="L872" s="176"/>
      <c r="M872" s="176"/>
      <c r="N872" s="176"/>
      <c r="O872" s="176"/>
      <c r="P872" s="176"/>
      <c r="Q872" s="177"/>
      <c r="R872" s="176"/>
      <c r="S872" s="176"/>
      <c r="T872" s="176"/>
      <c r="U872" s="178"/>
      <c r="V872" s="179"/>
    </row>
    <row r="873">
      <c r="C873" s="172"/>
      <c r="D873" s="172"/>
      <c r="E873" s="173"/>
      <c r="F873" s="137"/>
      <c r="G873" s="137"/>
      <c r="H873" s="137"/>
      <c r="I873" s="129"/>
      <c r="J873" s="323"/>
      <c r="K873" s="90"/>
      <c r="L873" s="176"/>
      <c r="M873" s="176"/>
      <c r="N873" s="176"/>
      <c r="O873" s="176"/>
      <c r="P873" s="176"/>
      <c r="Q873" s="177"/>
      <c r="R873" s="176"/>
      <c r="S873" s="176"/>
      <c r="T873" s="176"/>
      <c r="U873" s="178"/>
      <c r="V873" s="179"/>
    </row>
    <row r="874">
      <c r="C874" s="172"/>
      <c r="D874" s="172"/>
      <c r="E874" s="173"/>
      <c r="F874" s="137"/>
      <c r="G874" s="137"/>
      <c r="H874" s="137"/>
      <c r="I874" s="129"/>
      <c r="J874" s="323"/>
      <c r="K874" s="90"/>
      <c r="L874" s="176"/>
      <c r="M874" s="176"/>
      <c r="N874" s="176"/>
      <c r="O874" s="176"/>
      <c r="P874" s="176"/>
      <c r="Q874" s="177"/>
      <c r="R874" s="176"/>
      <c r="S874" s="176"/>
      <c r="T874" s="176"/>
      <c r="U874" s="178"/>
      <c r="V874" s="179"/>
    </row>
    <row r="875">
      <c r="C875" s="172"/>
      <c r="D875" s="172"/>
      <c r="E875" s="173"/>
      <c r="F875" s="137"/>
      <c r="G875" s="137"/>
      <c r="H875" s="137"/>
      <c r="I875" s="129"/>
      <c r="J875" s="323"/>
      <c r="K875" s="90"/>
      <c r="L875" s="176"/>
      <c r="M875" s="176"/>
      <c r="N875" s="176"/>
      <c r="O875" s="176"/>
      <c r="P875" s="176"/>
      <c r="Q875" s="177"/>
      <c r="R875" s="176"/>
      <c r="S875" s="176"/>
      <c r="T875" s="176"/>
      <c r="U875" s="178"/>
      <c r="V875" s="179"/>
    </row>
    <row r="876">
      <c r="C876" s="172"/>
      <c r="D876" s="172"/>
      <c r="E876" s="173"/>
      <c r="F876" s="137"/>
      <c r="G876" s="137"/>
      <c r="H876" s="137"/>
      <c r="I876" s="129"/>
      <c r="J876" s="323"/>
      <c r="K876" s="90"/>
      <c r="L876" s="176"/>
      <c r="M876" s="176"/>
      <c r="N876" s="176"/>
      <c r="O876" s="176"/>
      <c r="P876" s="176"/>
      <c r="Q876" s="177"/>
      <c r="R876" s="176"/>
      <c r="S876" s="176"/>
      <c r="T876" s="176"/>
      <c r="U876" s="178"/>
      <c r="V876" s="179"/>
    </row>
    <row r="877">
      <c r="C877" s="172"/>
      <c r="D877" s="172"/>
      <c r="E877" s="173"/>
      <c r="F877" s="137"/>
      <c r="G877" s="137"/>
      <c r="H877" s="137"/>
      <c r="I877" s="129"/>
      <c r="J877" s="323"/>
      <c r="K877" s="90"/>
      <c r="L877" s="176"/>
      <c r="M877" s="176"/>
      <c r="N877" s="176"/>
      <c r="O877" s="176"/>
      <c r="P877" s="176"/>
      <c r="Q877" s="177"/>
      <c r="R877" s="176"/>
      <c r="S877" s="176"/>
      <c r="T877" s="176"/>
      <c r="U877" s="178"/>
      <c r="V877" s="179"/>
    </row>
    <row r="878">
      <c r="C878" s="172"/>
      <c r="D878" s="172"/>
      <c r="E878" s="173"/>
      <c r="F878" s="137"/>
      <c r="G878" s="137"/>
      <c r="H878" s="137"/>
      <c r="I878" s="129"/>
      <c r="J878" s="323"/>
      <c r="K878" s="90"/>
      <c r="L878" s="176"/>
      <c r="M878" s="176"/>
      <c r="N878" s="176"/>
      <c r="O878" s="176"/>
      <c r="P878" s="176"/>
      <c r="Q878" s="177"/>
      <c r="R878" s="176"/>
      <c r="S878" s="176"/>
      <c r="T878" s="176"/>
      <c r="U878" s="178"/>
      <c r="V878" s="179"/>
    </row>
    <row r="879">
      <c r="C879" s="172"/>
      <c r="D879" s="172"/>
      <c r="E879" s="173"/>
      <c r="F879" s="137"/>
      <c r="G879" s="137"/>
      <c r="H879" s="137"/>
      <c r="I879" s="129"/>
      <c r="J879" s="323"/>
      <c r="K879" s="90"/>
      <c r="L879" s="176"/>
      <c r="M879" s="176"/>
      <c r="N879" s="176"/>
      <c r="O879" s="176"/>
      <c r="P879" s="176"/>
      <c r="Q879" s="177"/>
      <c r="R879" s="176"/>
      <c r="S879" s="176"/>
      <c r="T879" s="176"/>
      <c r="U879" s="178"/>
      <c r="V879" s="179"/>
    </row>
    <row r="880">
      <c r="C880" s="172"/>
      <c r="D880" s="172"/>
      <c r="E880" s="173"/>
      <c r="F880" s="137"/>
      <c r="G880" s="137"/>
      <c r="H880" s="137"/>
      <c r="I880" s="129"/>
      <c r="J880" s="323"/>
      <c r="K880" s="90"/>
      <c r="L880" s="176"/>
      <c r="M880" s="176"/>
      <c r="N880" s="176"/>
      <c r="O880" s="176"/>
      <c r="P880" s="176"/>
      <c r="Q880" s="177"/>
      <c r="R880" s="176"/>
      <c r="S880" s="176"/>
      <c r="T880" s="176"/>
      <c r="U880" s="178"/>
      <c r="V880" s="179"/>
    </row>
    <row r="881">
      <c r="C881" s="172"/>
      <c r="D881" s="172"/>
      <c r="E881" s="173"/>
      <c r="F881" s="137"/>
      <c r="G881" s="137"/>
      <c r="H881" s="137"/>
      <c r="I881" s="129"/>
      <c r="J881" s="323"/>
      <c r="K881" s="90"/>
      <c r="L881" s="176"/>
      <c r="M881" s="176"/>
      <c r="N881" s="176"/>
      <c r="O881" s="176"/>
      <c r="P881" s="176"/>
      <c r="Q881" s="177"/>
      <c r="R881" s="176"/>
      <c r="S881" s="176"/>
      <c r="T881" s="176"/>
      <c r="U881" s="178"/>
      <c r="V881" s="179"/>
    </row>
    <row r="882">
      <c r="C882" s="172"/>
      <c r="D882" s="172"/>
      <c r="E882" s="173"/>
      <c r="F882" s="137"/>
      <c r="G882" s="137"/>
      <c r="H882" s="137"/>
      <c r="I882" s="129"/>
      <c r="J882" s="323"/>
      <c r="K882" s="90"/>
      <c r="L882" s="176"/>
      <c r="M882" s="176"/>
      <c r="N882" s="176"/>
      <c r="O882" s="176"/>
      <c r="P882" s="176"/>
      <c r="Q882" s="177"/>
      <c r="R882" s="176"/>
      <c r="S882" s="176"/>
      <c r="T882" s="176"/>
      <c r="U882" s="178"/>
      <c r="V882" s="179"/>
    </row>
    <row r="883">
      <c r="C883" s="172"/>
      <c r="D883" s="172"/>
      <c r="E883" s="173"/>
      <c r="F883" s="137"/>
      <c r="G883" s="137"/>
      <c r="H883" s="137"/>
      <c r="I883" s="129"/>
      <c r="J883" s="323"/>
      <c r="K883" s="90"/>
      <c r="L883" s="176"/>
      <c r="M883" s="176"/>
      <c r="N883" s="176"/>
      <c r="O883" s="176"/>
      <c r="P883" s="176"/>
      <c r="Q883" s="177"/>
      <c r="R883" s="176"/>
      <c r="S883" s="176"/>
      <c r="T883" s="176"/>
      <c r="U883" s="178"/>
      <c r="V883" s="179"/>
    </row>
    <row r="884">
      <c r="C884" s="172"/>
      <c r="D884" s="172"/>
      <c r="E884" s="173"/>
      <c r="F884" s="137"/>
      <c r="G884" s="137"/>
      <c r="H884" s="137"/>
      <c r="I884" s="129"/>
      <c r="J884" s="323"/>
      <c r="K884" s="90"/>
      <c r="L884" s="176"/>
      <c r="M884" s="176"/>
      <c r="N884" s="176"/>
      <c r="O884" s="176"/>
      <c r="P884" s="176"/>
      <c r="Q884" s="177"/>
      <c r="R884" s="176"/>
      <c r="S884" s="176"/>
      <c r="T884" s="176"/>
      <c r="U884" s="178"/>
      <c r="V884" s="179"/>
    </row>
    <row r="885">
      <c r="C885" s="172"/>
      <c r="D885" s="172"/>
      <c r="E885" s="173"/>
      <c r="F885" s="137"/>
      <c r="G885" s="137"/>
      <c r="H885" s="137"/>
      <c r="I885" s="129"/>
      <c r="J885" s="323"/>
      <c r="K885" s="90"/>
      <c r="L885" s="176"/>
      <c r="M885" s="176"/>
      <c r="N885" s="176"/>
      <c r="O885" s="176"/>
      <c r="P885" s="176"/>
      <c r="Q885" s="177"/>
      <c r="R885" s="176"/>
      <c r="S885" s="176"/>
      <c r="T885" s="176"/>
      <c r="U885" s="178"/>
      <c r="V885" s="179"/>
    </row>
    <row r="886">
      <c r="C886" s="172"/>
      <c r="D886" s="172"/>
      <c r="E886" s="173"/>
      <c r="F886" s="137"/>
      <c r="G886" s="137"/>
      <c r="H886" s="137"/>
      <c r="I886" s="129"/>
      <c r="J886" s="323"/>
      <c r="K886" s="90"/>
      <c r="L886" s="176"/>
      <c r="M886" s="176"/>
      <c r="N886" s="176"/>
      <c r="O886" s="176"/>
      <c r="P886" s="176"/>
      <c r="Q886" s="177"/>
      <c r="R886" s="176"/>
      <c r="S886" s="176"/>
      <c r="T886" s="176"/>
      <c r="U886" s="178"/>
      <c r="V886" s="179"/>
    </row>
    <row r="887">
      <c r="C887" s="172"/>
      <c r="D887" s="172"/>
      <c r="E887" s="173"/>
      <c r="F887" s="137"/>
      <c r="G887" s="137"/>
      <c r="H887" s="137"/>
      <c r="I887" s="129"/>
      <c r="J887" s="323"/>
      <c r="K887" s="90"/>
      <c r="L887" s="176"/>
      <c r="M887" s="176"/>
      <c r="N887" s="176"/>
      <c r="O887" s="176"/>
      <c r="P887" s="176"/>
      <c r="Q887" s="177"/>
      <c r="R887" s="176"/>
      <c r="S887" s="176"/>
      <c r="T887" s="176"/>
      <c r="U887" s="178"/>
      <c r="V887" s="179"/>
    </row>
    <row r="888">
      <c r="C888" s="172"/>
      <c r="D888" s="172"/>
      <c r="E888" s="173"/>
      <c r="F888" s="137"/>
      <c r="G888" s="137"/>
      <c r="H888" s="137"/>
      <c r="I888" s="129"/>
      <c r="J888" s="323"/>
      <c r="K888" s="90"/>
      <c r="L888" s="176"/>
      <c r="M888" s="176"/>
      <c r="N888" s="176"/>
      <c r="O888" s="176"/>
      <c r="P888" s="176"/>
      <c r="Q888" s="177"/>
      <c r="R888" s="176"/>
      <c r="S888" s="176"/>
      <c r="T888" s="176"/>
      <c r="U888" s="178"/>
      <c r="V888" s="179"/>
    </row>
    <row r="889">
      <c r="C889" s="172"/>
      <c r="D889" s="172"/>
      <c r="E889" s="173"/>
      <c r="F889" s="137"/>
      <c r="G889" s="137"/>
      <c r="H889" s="137"/>
      <c r="I889" s="129"/>
      <c r="J889" s="323"/>
      <c r="K889" s="90"/>
      <c r="L889" s="176"/>
      <c r="M889" s="176"/>
      <c r="N889" s="176"/>
      <c r="O889" s="176"/>
      <c r="P889" s="176"/>
      <c r="Q889" s="177"/>
      <c r="R889" s="176"/>
      <c r="S889" s="176"/>
      <c r="T889" s="176"/>
      <c r="U889" s="178"/>
      <c r="V889" s="179"/>
    </row>
    <row r="890">
      <c r="C890" s="172"/>
      <c r="D890" s="172"/>
      <c r="E890" s="173"/>
      <c r="F890" s="137"/>
      <c r="G890" s="137"/>
      <c r="H890" s="137"/>
      <c r="I890" s="129"/>
      <c r="J890" s="323"/>
      <c r="K890" s="90"/>
      <c r="L890" s="176"/>
      <c r="M890" s="176"/>
      <c r="N890" s="176"/>
      <c r="O890" s="176"/>
      <c r="P890" s="176"/>
      <c r="Q890" s="177"/>
      <c r="R890" s="176"/>
      <c r="S890" s="176"/>
      <c r="T890" s="176"/>
      <c r="U890" s="178"/>
      <c r="V890" s="179"/>
    </row>
    <row r="891">
      <c r="C891" s="172"/>
      <c r="D891" s="172"/>
      <c r="E891" s="173"/>
      <c r="F891" s="137"/>
      <c r="G891" s="137"/>
      <c r="H891" s="137"/>
      <c r="I891" s="129"/>
      <c r="J891" s="323"/>
      <c r="K891" s="90"/>
      <c r="L891" s="176"/>
      <c r="M891" s="176"/>
      <c r="N891" s="176"/>
      <c r="O891" s="176"/>
      <c r="P891" s="176"/>
      <c r="Q891" s="177"/>
      <c r="R891" s="176"/>
      <c r="S891" s="176"/>
      <c r="T891" s="176"/>
      <c r="U891" s="178"/>
      <c r="V891" s="179"/>
    </row>
    <row r="892">
      <c r="C892" s="172"/>
      <c r="D892" s="172"/>
      <c r="E892" s="173"/>
      <c r="F892" s="137"/>
      <c r="G892" s="137"/>
      <c r="H892" s="137"/>
      <c r="I892" s="129"/>
      <c r="J892" s="323"/>
      <c r="K892" s="90"/>
      <c r="L892" s="176"/>
      <c r="M892" s="176"/>
      <c r="N892" s="176"/>
      <c r="O892" s="176"/>
      <c r="P892" s="176"/>
      <c r="Q892" s="177"/>
      <c r="R892" s="176"/>
      <c r="S892" s="176"/>
      <c r="T892" s="176"/>
      <c r="U892" s="178"/>
      <c r="V892" s="179"/>
    </row>
    <row r="893">
      <c r="C893" s="172"/>
      <c r="D893" s="172"/>
      <c r="E893" s="173"/>
      <c r="F893" s="137"/>
      <c r="G893" s="137"/>
      <c r="H893" s="137"/>
      <c r="I893" s="129"/>
      <c r="J893" s="323"/>
      <c r="K893" s="90"/>
      <c r="L893" s="176"/>
      <c r="M893" s="176"/>
      <c r="N893" s="176"/>
      <c r="O893" s="176"/>
      <c r="P893" s="176"/>
      <c r="Q893" s="177"/>
      <c r="R893" s="176"/>
      <c r="S893" s="176"/>
      <c r="T893" s="176"/>
      <c r="U893" s="178"/>
      <c r="V893" s="179"/>
    </row>
    <row r="894">
      <c r="C894" s="172"/>
      <c r="D894" s="172"/>
      <c r="E894" s="173"/>
      <c r="F894" s="137"/>
      <c r="G894" s="137"/>
      <c r="H894" s="137"/>
      <c r="I894" s="129"/>
      <c r="J894" s="323"/>
      <c r="K894" s="90"/>
      <c r="L894" s="176"/>
      <c r="M894" s="176"/>
      <c r="N894" s="176"/>
      <c r="O894" s="176"/>
      <c r="P894" s="176"/>
      <c r="Q894" s="177"/>
      <c r="R894" s="176"/>
      <c r="S894" s="176"/>
      <c r="T894" s="176"/>
      <c r="U894" s="178"/>
      <c r="V894" s="179"/>
    </row>
    <row r="895">
      <c r="C895" s="172"/>
      <c r="D895" s="172"/>
      <c r="E895" s="173"/>
      <c r="F895" s="137"/>
      <c r="G895" s="137"/>
      <c r="H895" s="137"/>
      <c r="I895" s="129"/>
      <c r="J895" s="323"/>
      <c r="K895" s="90"/>
      <c r="L895" s="176"/>
      <c r="M895" s="176"/>
      <c r="N895" s="176"/>
      <c r="O895" s="176"/>
      <c r="P895" s="176"/>
      <c r="Q895" s="177"/>
      <c r="R895" s="176"/>
      <c r="S895" s="176"/>
      <c r="T895" s="176"/>
      <c r="U895" s="178"/>
      <c r="V895" s="179"/>
    </row>
    <row r="896">
      <c r="C896" s="172"/>
      <c r="D896" s="172"/>
      <c r="E896" s="173"/>
      <c r="F896" s="137"/>
      <c r="G896" s="137"/>
      <c r="H896" s="137"/>
      <c r="I896" s="129"/>
      <c r="J896" s="323"/>
      <c r="K896" s="90"/>
      <c r="L896" s="176"/>
      <c r="M896" s="176"/>
      <c r="N896" s="176"/>
      <c r="O896" s="176"/>
      <c r="P896" s="176"/>
      <c r="Q896" s="177"/>
      <c r="R896" s="176"/>
      <c r="S896" s="176"/>
      <c r="T896" s="176"/>
      <c r="U896" s="178"/>
      <c r="V896" s="179"/>
    </row>
    <row r="897">
      <c r="C897" s="172"/>
      <c r="D897" s="172"/>
      <c r="E897" s="173"/>
      <c r="F897" s="137"/>
      <c r="G897" s="137"/>
      <c r="H897" s="137"/>
      <c r="I897" s="129"/>
      <c r="J897" s="323"/>
      <c r="K897" s="90"/>
      <c r="L897" s="176"/>
      <c r="M897" s="176"/>
      <c r="N897" s="176"/>
      <c r="O897" s="176"/>
      <c r="P897" s="176"/>
      <c r="Q897" s="177"/>
      <c r="R897" s="176"/>
      <c r="S897" s="176"/>
      <c r="T897" s="176"/>
      <c r="U897" s="178"/>
      <c r="V897" s="179"/>
    </row>
    <row r="898">
      <c r="C898" s="172"/>
      <c r="D898" s="172"/>
      <c r="E898" s="173"/>
      <c r="F898" s="137"/>
      <c r="G898" s="137"/>
      <c r="H898" s="137"/>
      <c r="I898" s="129"/>
      <c r="J898" s="323"/>
      <c r="K898" s="90"/>
      <c r="L898" s="176"/>
      <c r="M898" s="176"/>
      <c r="N898" s="176"/>
      <c r="O898" s="176"/>
      <c r="P898" s="176"/>
      <c r="Q898" s="177"/>
      <c r="R898" s="176"/>
      <c r="S898" s="176"/>
      <c r="T898" s="176"/>
      <c r="U898" s="178"/>
      <c r="V898" s="179"/>
    </row>
    <row r="899">
      <c r="C899" s="172"/>
      <c r="D899" s="172"/>
      <c r="E899" s="173"/>
      <c r="F899" s="137"/>
      <c r="G899" s="137"/>
      <c r="H899" s="137"/>
      <c r="I899" s="129"/>
      <c r="J899" s="323"/>
      <c r="K899" s="90"/>
      <c r="L899" s="176"/>
      <c r="M899" s="176"/>
      <c r="N899" s="176"/>
      <c r="O899" s="176"/>
      <c r="P899" s="176"/>
      <c r="Q899" s="177"/>
      <c r="R899" s="176"/>
      <c r="S899" s="176"/>
      <c r="T899" s="176"/>
      <c r="U899" s="178"/>
      <c r="V899" s="179"/>
    </row>
    <row r="900">
      <c r="C900" s="172"/>
      <c r="D900" s="172"/>
      <c r="E900" s="173"/>
      <c r="F900" s="137"/>
      <c r="G900" s="137"/>
      <c r="H900" s="137"/>
      <c r="I900" s="129"/>
      <c r="J900" s="323"/>
      <c r="K900" s="90"/>
      <c r="L900" s="176"/>
      <c r="M900" s="176"/>
      <c r="N900" s="176"/>
      <c r="O900" s="176"/>
      <c r="P900" s="176"/>
      <c r="Q900" s="177"/>
      <c r="R900" s="176"/>
      <c r="S900" s="176"/>
      <c r="T900" s="176"/>
      <c r="U900" s="178"/>
      <c r="V900" s="179"/>
    </row>
    <row r="901">
      <c r="C901" s="172"/>
      <c r="D901" s="172"/>
      <c r="E901" s="173"/>
      <c r="F901" s="137"/>
      <c r="G901" s="137"/>
      <c r="H901" s="137"/>
      <c r="I901" s="129"/>
      <c r="J901" s="323"/>
      <c r="K901" s="90"/>
      <c r="L901" s="176"/>
      <c r="M901" s="176"/>
      <c r="N901" s="176"/>
      <c r="O901" s="176"/>
      <c r="P901" s="176"/>
      <c r="Q901" s="177"/>
      <c r="R901" s="176"/>
      <c r="S901" s="176"/>
      <c r="T901" s="176"/>
      <c r="U901" s="178"/>
      <c r="V901" s="179"/>
    </row>
    <row r="902">
      <c r="C902" s="172"/>
      <c r="D902" s="172"/>
      <c r="E902" s="173"/>
      <c r="F902" s="137"/>
      <c r="G902" s="137"/>
      <c r="H902" s="137"/>
      <c r="I902" s="129"/>
      <c r="J902" s="323"/>
      <c r="K902" s="90"/>
      <c r="L902" s="176"/>
      <c r="M902" s="176"/>
      <c r="N902" s="176"/>
      <c r="O902" s="176"/>
      <c r="P902" s="176"/>
      <c r="Q902" s="177"/>
      <c r="R902" s="176"/>
      <c r="S902" s="176"/>
      <c r="T902" s="176"/>
      <c r="U902" s="178"/>
      <c r="V902" s="179"/>
    </row>
    <row r="903">
      <c r="C903" s="172"/>
      <c r="D903" s="172"/>
      <c r="E903" s="173"/>
      <c r="F903" s="137"/>
      <c r="G903" s="137"/>
      <c r="H903" s="137"/>
      <c r="I903" s="129"/>
      <c r="J903" s="323"/>
      <c r="K903" s="90"/>
      <c r="L903" s="176"/>
      <c r="M903" s="176"/>
      <c r="N903" s="176"/>
      <c r="O903" s="176"/>
      <c r="P903" s="176"/>
      <c r="Q903" s="177"/>
      <c r="R903" s="176"/>
      <c r="S903" s="176"/>
      <c r="T903" s="176"/>
      <c r="U903" s="178"/>
      <c r="V903" s="179"/>
    </row>
    <row r="904">
      <c r="C904" s="172"/>
      <c r="D904" s="172"/>
      <c r="E904" s="173"/>
      <c r="F904" s="137"/>
      <c r="G904" s="137"/>
      <c r="H904" s="137"/>
      <c r="I904" s="129"/>
      <c r="J904" s="323"/>
      <c r="K904" s="90"/>
      <c r="L904" s="176"/>
      <c r="M904" s="176"/>
      <c r="N904" s="176"/>
      <c r="O904" s="176"/>
      <c r="P904" s="176"/>
      <c r="Q904" s="177"/>
      <c r="R904" s="176"/>
      <c r="S904" s="176"/>
      <c r="T904" s="176"/>
      <c r="U904" s="178"/>
      <c r="V904" s="179"/>
    </row>
    <row r="905">
      <c r="C905" s="172"/>
      <c r="D905" s="172"/>
      <c r="E905" s="173"/>
      <c r="F905" s="137"/>
      <c r="G905" s="137"/>
      <c r="H905" s="137"/>
      <c r="I905" s="129"/>
      <c r="J905" s="323"/>
      <c r="K905" s="90"/>
      <c r="L905" s="176"/>
      <c r="M905" s="176"/>
      <c r="N905" s="176"/>
      <c r="O905" s="176"/>
      <c r="P905" s="176"/>
      <c r="Q905" s="177"/>
      <c r="R905" s="176"/>
      <c r="S905" s="176"/>
      <c r="T905" s="176"/>
      <c r="U905" s="178"/>
      <c r="V905" s="179"/>
    </row>
    <row r="906">
      <c r="C906" s="172"/>
      <c r="D906" s="172"/>
      <c r="E906" s="173"/>
      <c r="F906" s="137"/>
      <c r="G906" s="137"/>
      <c r="H906" s="137"/>
      <c r="I906" s="129"/>
      <c r="J906" s="323"/>
      <c r="K906" s="90"/>
      <c r="L906" s="176"/>
      <c r="M906" s="176"/>
      <c r="N906" s="176"/>
      <c r="O906" s="176"/>
      <c r="P906" s="176"/>
      <c r="Q906" s="177"/>
      <c r="R906" s="176"/>
      <c r="S906" s="176"/>
      <c r="T906" s="176"/>
      <c r="U906" s="178"/>
      <c r="V906" s="179"/>
    </row>
    <row r="907">
      <c r="C907" s="172"/>
      <c r="D907" s="172"/>
      <c r="E907" s="173"/>
      <c r="F907" s="137"/>
      <c r="G907" s="137"/>
      <c r="H907" s="137"/>
      <c r="I907" s="129"/>
      <c r="J907" s="323"/>
      <c r="K907" s="90"/>
      <c r="L907" s="176"/>
      <c r="M907" s="176"/>
      <c r="N907" s="176"/>
      <c r="O907" s="176"/>
      <c r="P907" s="176"/>
      <c r="Q907" s="177"/>
      <c r="R907" s="176"/>
      <c r="S907" s="176"/>
      <c r="T907" s="176"/>
      <c r="U907" s="178"/>
      <c r="V907" s="179"/>
    </row>
    <row r="908">
      <c r="C908" s="172"/>
      <c r="D908" s="172"/>
      <c r="E908" s="173"/>
      <c r="F908" s="137"/>
      <c r="G908" s="137"/>
      <c r="H908" s="137"/>
      <c r="I908" s="129"/>
      <c r="J908" s="323"/>
      <c r="K908" s="90"/>
      <c r="L908" s="176"/>
      <c r="M908" s="176"/>
      <c r="N908" s="176"/>
      <c r="O908" s="176"/>
      <c r="P908" s="176"/>
      <c r="Q908" s="177"/>
      <c r="R908" s="176"/>
      <c r="S908" s="176"/>
      <c r="T908" s="176"/>
      <c r="U908" s="178"/>
      <c r="V908" s="179"/>
    </row>
    <row r="909">
      <c r="C909" s="172"/>
      <c r="D909" s="172"/>
      <c r="E909" s="173"/>
      <c r="F909" s="137"/>
      <c r="G909" s="137"/>
      <c r="H909" s="137"/>
      <c r="I909" s="129"/>
      <c r="J909" s="323"/>
      <c r="K909" s="90"/>
      <c r="L909" s="176"/>
      <c r="M909" s="176"/>
      <c r="N909" s="176"/>
      <c r="O909" s="176"/>
      <c r="P909" s="176"/>
      <c r="Q909" s="177"/>
      <c r="R909" s="176"/>
      <c r="S909" s="176"/>
      <c r="T909" s="176"/>
      <c r="U909" s="178"/>
      <c r="V909" s="179"/>
    </row>
    <row r="910">
      <c r="C910" s="172"/>
      <c r="D910" s="172"/>
      <c r="E910" s="173"/>
      <c r="F910" s="137"/>
      <c r="G910" s="137"/>
      <c r="H910" s="137"/>
      <c r="I910" s="129"/>
      <c r="J910" s="323"/>
      <c r="K910" s="90"/>
      <c r="L910" s="176"/>
      <c r="M910" s="176"/>
      <c r="N910" s="176"/>
      <c r="O910" s="176"/>
      <c r="P910" s="176"/>
      <c r="Q910" s="177"/>
      <c r="R910" s="176"/>
      <c r="S910" s="176"/>
      <c r="T910" s="176"/>
      <c r="U910" s="178"/>
      <c r="V910" s="179"/>
    </row>
    <row r="911">
      <c r="C911" s="172"/>
      <c r="D911" s="172"/>
      <c r="E911" s="173"/>
      <c r="F911" s="137"/>
      <c r="G911" s="137"/>
      <c r="H911" s="137"/>
      <c r="I911" s="129"/>
      <c r="J911" s="323"/>
      <c r="K911" s="90"/>
      <c r="L911" s="176"/>
      <c r="M911" s="176"/>
      <c r="N911" s="176"/>
      <c r="O911" s="176"/>
      <c r="P911" s="176"/>
      <c r="Q911" s="177"/>
      <c r="R911" s="176"/>
      <c r="S911" s="176"/>
      <c r="T911" s="176"/>
      <c r="U911" s="178"/>
      <c r="V911" s="179"/>
    </row>
    <row r="912">
      <c r="C912" s="172"/>
      <c r="D912" s="172"/>
      <c r="E912" s="173"/>
      <c r="F912" s="137"/>
      <c r="G912" s="137"/>
      <c r="H912" s="137"/>
      <c r="I912" s="129"/>
      <c r="J912" s="323"/>
      <c r="K912" s="90"/>
      <c r="L912" s="176"/>
      <c r="M912" s="176"/>
      <c r="N912" s="176"/>
      <c r="O912" s="176"/>
      <c r="P912" s="176"/>
      <c r="Q912" s="177"/>
      <c r="R912" s="176"/>
      <c r="S912" s="176"/>
      <c r="T912" s="176"/>
      <c r="U912" s="178"/>
      <c r="V912" s="179"/>
    </row>
    <row r="913">
      <c r="C913" s="172"/>
      <c r="D913" s="172"/>
      <c r="E913" s="173"/>
      <c r="F913" s="137"/>
      <c r="G913" s="137"/>
      <c r="H913" s="137"/>
      <c r="I913" s="129"/>
      <c r="J913" s="323"/>
      <c r="K913" s="90"/>
      <c r="L913" s="176"/>
      <c r="M913" s="176"/>
      <c r="N913" s="176"/>
      <c r="O913" s="176"/>
      <c r="P913" s="176"/>
      <c r="Q913" s="177"/>
      <c r="R913" s="176"/>
      <c r="S913" s="176"/>
      <c r="T913" s="176"/>
      <c r="U913" s="178"/>
      <c r="V913" s="179"/>
    </row>
    <row r="914">
      <c r="C914" s="172"/>
      <c r="D914" s="172"/>
      <c r="E914" s="173"/>
      <c r="F914" s="137"/>
      <c r="G914" s="137"/>
      <c r="H914" s="137"/>
      <c r="I914" s="129"/>
      <c r="J914" s="323"/>
      <c r="K914" s="90"/>
      <c r="L914" s="176"/>
      <c r="M914" s="176"/>
      <c r="N914" s="176"/>
      <c r="O914" s="176"/>
      <c r="P914" s="176"/>
      <c r="Q914" s="177"/>
      <c r="R914" s="176"/>
      <c r="S914" s="176"/>
      <c r="T914" s="176"/>
      <c r="U914" s="178"/>
      <c r="V914" s="179"/>
    </row>
    <row r="915">
      <c r="C915" s="172"/>
      <c r="D915" s="172"/>
      <c r="E915" s="173"/>
      <c r="F915" s="137"/>
      <c r="G915" s="137"/>
      <c r="H915" s="137"/>
      <c r="I915" s="129"/>
      <c r="J915" s="323"/>
      <c r="K915" s="90"/>
      <c r="L915" s="176"/>
      <c r="M915" s="176"/>
      <c r="N915" s="176"/>
      <c r="O915" s="176"/>
      <c r="P915" s="176"/>
      <c r="Q915" s="177"/>
      <c r="R915" s="176"/>
      <c r="S915" s="176"/>
      <c r="T915" s="176"/>
      <c r="U915" s="178"/>
      <c r="V915" s="179"/>
    </row>
    <row r="916">
      <c r="C916" s="172"/>
      <c r="D916" s="172"/>
      <c r="E916" s="173"/>
      <c r="F916" s="137"/>
      <c r="G916" s="137"/>
      <c r="H916" s="137"/>
      <c r="I916" s="129"/>
      <c r="J916" s="323"/>
      <c r="K916" s="90"/>
      <c r="L916" s="176"/>
      <c r="M916" s="176"/>
      <c r="N916" s="176"/>
      <c r="O916" s="176"/>
      <c r="P916" s="176"/>
      <c r="Q916" s="177"/>
      <c r="R916" s="176"/>
      <c r="S916" s="176"/>
      <c r="T916" s="176"/>
      <c r="U916" s="178"/>
      <c r="V916" s="179"/>
    </row>
    <row r="917">
      <c r="C917" s="172"/>
      <c r="D917" s="172"/>
      <c r="E917" s="173"/>
      <c r="F917" s="137"/>
      <c r="G917" s="137"/>
      <c r="H917" s="137"/>
      <c r="I917" s="129"/>
      <c r="J917" s="323"/>
      <c r="K917" s="90"/>
      <c r="L917" s="176"/>
      <c r="M917" s="176"/>
      <c r="N917" s="176"/>
      <c r="O917" s="176"/>
      <c r="P917" s="176"/>
      <c r="Q917" s="177"/>
      <c r="R917" s="176"/>
      <c r="S917" s="176"/>
      <c r="T917" s="176"/>
      <c r="U917" s="178"/>
      <c r="V917" s="179"/>
    </row>
    <row r="918">
      <c r="C918" s="172"/>
      <c r="D918" s="172"/>
      <c r="E918" s="173"/>
      <c r="F918" s="137"/>
      <c r="G918" s="137"/>
      <c r="H918" s="137"/>
      <c r="I918" s="129"/>
      <c r="J918" s="323"/>
      <c r="K918" s="90"/>
      <c r="L918" s="176"/>
      <c r="M918" s="176"/>
      <c r="N918" s="176"/>
      <c r="O918" s="176"/>
      <c r="P918" s="176"/>
      <c r="Q918" s="177"/>
      <c r="R918" s="176"/>
      <c r="S918" s="176"/>
      <c r="T918" s="176"/>
      <c r="U918" s="178"/>
      <c r="V918" s="179"/>
    </row>
    <row r="919">
      <c r="C919" s="172"/>
      <c r="D919" s="172"/>
      <c r="E919" s="173"/>
      <c r="F919" s="137"/>
      <c r="G919" s="137"/>
      <c r="H919" s="137"/>
      <c r="I919" s="129"/>
      <c r="J919" s="323"/>
      <c r="K919" s="90"/>
      <c r="L919" s="176"/>
      <c r="M919" s="176"/>
      <c r="N919" s="176"/>
      <c r="O919" s="176"/>
      <c r="P919" s="176"/>
      <c r="Q919" s="177"/>
      <c r="R919" s="176"/>
      <c r="S919" s="176"/>
      <c r="T919" s="176"/>
      <c r="U919" s="178"/>
      <c r="V919" s="179"/>
    </row>
    <row r="920">
      <c r="C920" s="172"/>
      <c r="D920" s="172"/>
      <c r="E920" s="173"/>
      <c r="F920" s="137"/>
      <c r="G920" s="137"/>
      <c r="H920" s="137"/>
      <c r="I920" s="129"/>
      <c r="J920" s="323"/>
      <c r="K920" s="90"/>
      <c r="L920" s="176"/>
      <c r="M920" s="176"/>
      <c r="N920" s="176"/>
      <c r="O920" s="176"/>
      <c r="P920" s="176"/>
      <c r="Q920" s="177"/>
      <c r="R920" s="176"/>
      <c r="S920" s="176"/>
      <c r="T920" s="176"/>
      <c r="U920" s="178"/>
      <c r="V920" s="179"/>
    </row>
    <row r="921">
      <c r="C921" s="172"/>
      <c r="D921" s="172"/>
      <c r="E921" s="173"/>
      <c r="F921" s="137"/>
      <c r="G921" s="137"/>
      <c r="H921" s="137"/>
      <c r="I921" s="129"/>
      <c r="J921" s="323"/>
      <c r="K921" s="90"/>
      <c r="L921" s="176"/>
      <c r="M921" s="176"/>
      <c r="N921" s="176"/>
      <c r="O921" s="176"/>
      <c r="P921" s="176"/>
      <c r="Q921" s="177"/>
      <c r="R921" s="176"/>
      <c r="S921" s="176"/>
      <c r="T921" s="176"/>
      <c r="U921" s="178"/>
      <c r="V921" s="179"/>
    </row>
    <row r="922">
      <c r="C922" s="172"/>
      <c r="D922" s="172"/>
      <c r="E922" s="173"/>
      <c r="F922" s="137"/>
      <c r="G922" s="137"/>
      <c r="H922" s="137"/>
      <c r="I922" s="129"/>
      <c r="J922" s="323"/>
      <c r="K922" s="90"/>
      <c r="L922" s="176"/>
      <c r="M922" s="176"/>
      <c r="N922" s="176"/>
      <c r="O922" s="176"/>
      <c r="P922" s="176"/>
      <c r="Q922" s="177"/>
      <c r="R922" s="176"/>
      <c r="S922" s="176"/>
      <c r="T922" s="176"/>
      <c r="U922" s="178"/>
      <c r="V922" s="179"/>
    </row>
    <row r="923">
      <c r="C923" s="172"/>
      <c r="D923" s="172"/>
      <c r="E923" s="173"/>
      <c r="F923" s="137"/>
      <c r="G923" s="137"/>
      <c r="H923" s="137"/>
      <c r="I923" s="129"/>
      <c r="J923" s="323"/>
      <c r="K923" s="90"/>
      <c r="L923" s="176"/>
      <c r="M923" s="176"/>
      <c r="N923" s="176"/>
      <c r="O923" s="176"/>
      <c r="P923" s="176"/>
      <c r="Q923" s="177"/>
      <c r="R923" s="176"/>
      <c r="S923" s="176"/>
      <c r="T923" s="176"/>
      <c r="U923" s="178"/>
      <c r="V923" s="179"/>
    </row>
    <row r="924">
      <c r="C924" s="172"/>
      <c r="D924" s="172"/>
      <c r="E924" s="173"/>
      <c r="F924" s="137"/>
      <c r="G924" s="137"/>
      <c r="H924" s="137"/>
      <c r="I924" s="129"/>
      <c r="J924" s="323"/>
      <c r="K924" s="90"/>
      <c r="L924" s="176"/>
      <c r="M924" s="176"/>
      <c r="N924" s="176"/>
      <c r="O924" s="176"/>
      <c r="P924" s="176"/>
      <c r="Q924" s="177"/>
      <c r="R924" s="176"/>
      <c r="S924" s="176"/>
      <c r="T924" s="176"/>
      <c r="U924" s="178"/>
      <c r="V924" s="179"/>
    </row>
    <row r="925">
      <c r="C925" s="172"/>
      <c r="D925" s="172"/>
      <c r="E925" s="173"/>
      <c r="F925" s="137"/>
      <c r="G925" s="137"/>
      <c r="H925" s="137"/>
      <c r="I925" s="129"/>
      <c r="J925" s="323"/>
      <c r="K925" s="90"/>
      <c r="L925" s="176"/>
      <c r="M925" s="176"/>
      <c r="N925" s="176"/>
      <c r="O925" s="176"/>
      <c r="P925" s="176"/>
      <c r="Q925" s="177"/>
      <c r="R925" s="176"/>
      <c r="S925" s="176"/>
      <c r="T925" s="176"/>
      <c r="U925" s="178"/>
      <c r="V925" s="179"/>
    </row>
    <row r="926">
      <c r="C926" s="172"/>
      <c r="D926" s="172"/>
      <c r="E926" s="173"/>
      <c r="F926" s="137"/>
      <c r="G926" s="137"/>
      <c r="H926" s="137"/>
      <c r="I926" s="129"/>
      <c r="J926" s="323"/>
      <c r="K926" s="90"/>
      <c r="L926" s="176"/>
      <c r="M926" s="176"/>
      <c r="N926" s="176"/>
      <c r="O926" s="176"/>
      <c r="P926" s="176"/>
      <c r="Q926" s="177"/>
      <c r="R926" s="176"/>
      <c r="S926" s="176"/>
      <c r="T926" s="176"/>
      <c r="U926" s="178"/>
      <c r="V926" s="179"/>
    </row>
    <row r="927">
      <c r="C927" s="172"/>
      <c r="D927" s="172"/>
      <c r="E927" s="173"/>
      <c r="F927" s="137"/>
      <c r="G927" s="137"/>
      <c r="H927" s="137"/>
      <c r="I927" s="129"/>
      <c r="J927" s="323"/>
      <c r="K927" s="90"/>
      <c r="L927" s="176"/>
      <c r="M927" s="176"/>
      <c r="N927" s="176"/>
      <c r="O927" s="176"/>
      <c r="P927" s="176"/>
      <c r="Q927" s="177"/>
      <c r="R927" s="176"/>
      <c r="S927" s="176"/>
      <c r="T927" s="176"/>
      <c r="U927" s="178"/>
      <c r="V927" s="179"/>
    </row>
    <row r="928">
      <c r="C928" s="172"/>
      <c r="D928" s="172"/>
      <c r="E928" s="173"/>
      <c r="F928" s="137"/>
      <c r="G928" s="137"/>
      <c r="H928" s="137"/>
      <c r="I928" s="129"/>
      <c r="J928" s="323"/>
      <c r="K928" s="90"/>
      <c r="L928" s="176"/>
      <c r="M928" s="176"/>
      <c r="N928" s="176"/>
      <c r="O928" s="176"/>
      <c r="P928" s="176"/>
      <c r="Q928" s="177"/>
      <c r="R928" s="176"/>
      <c r="S928" s="176"/>
      <c r="T928" s="176"/>
      <c r="U928" s="178"/>
      <c r="V928" s="179"/>
    </row>
    <row r="929">
      <c r="C929" s="172"/>
      <c r="D929" s="172"/>
      <c r="E929" s="173"/>
      <c r="F929" s="137"/>
      <c r="G929" s="137"/>
      <c r="H929" s="137"/>
      <c r="I929" s="129"/>
      <c r="J929" s="323"/>
      <c r="K929" s="90"/>
      <c r="L929" s="176"/>
      <c r="M929" s="176"/>
      <c r="N929" s="176"/>
      <c r="O929" s="176"/>
      <c r="P929" s="176"/>
      <c r="Q929" s="177"/>
      <c r="R929" s="176"/>
      <c r="S929" s="176"/>
      <c r="T929" s="176"/>
      <c r="U929" s="178"/>
      <c r="V929" s="179"/>
    </row>
    <row r="930">
      <c r="C930" s="172"/>
      <c r="D930" s="172"/>
      <c r="E930" s="173"/>
      <c r="F930" s="137"/>
      <c r="G930" s="137"/>
      <c r="H930" s="137"/>
      <c r="I930" s="129"/>
      <c r="J930" s="323"/>
      <c r="K930" s="90"/>
      <c r="L930" s="176"/>
      <c r="M930" s="176"/>
      <c r="N930" s="176"/>
      <c r="O930" s="176"/>
      <c r="P930" s="176"/>
      <c r="Q930" s="177"/>
      <c r="R930" s="176"/>
      <c r="S930" s="176"/>
      <c r="T930" s="176"/>
      <c r="U930" s="178"/>
      <c r="V930" s="179"/>
    </row>
    <row r="931">
      <c r="C931" s="172"/>
      <c r="D931" s="172"/>
      <c r="E931" s="173"/>
      <c r="F931" s="137"/>
      <c r="G931" s="137"/>
      <c r="H931" s="137"/>
      <c r="I931" s="129"/>
      <c r="J931" s="323"/>
      <c r="K931" s="90"/>
      <c r="L931" s="176"/>
      <c r="M931" s="176"/>
      <c r="N931" s="176"/>
      <c r="O931" s="176"/>
      <c r="P931" s="176"/>
      <c r="Q931" s="177"/>
      <c r="R931" s="176"/>
      <c r="S931" s="176"/>
      <c r="T931" s="176"/>
      <c r="U931" s="178"/>
      <c r="V931" s="179"/>
    </row>
    <row r="932">
      <c r="C932" s="172"/>
      <c r="D932" s="172"/>
      <c r="E932" s="173"/>
      <c r="F932" s="137"/>
      <c r="G932" s="137"/>
      <c r="H932" s="137"/>
      <c r="I932" s="129"/>
      <c r="J932" s="323"/>
      <c r="K932" s="90"/>
      <c r="L932" s="176"/>
      <c r="M932" s="176"/>
      <c r="N932" s="176"/>
      <c r="O932" s="176"/>
      <c r="P932" s="176"/>
      <c r="Q932" s="177"/>
      <c r="R932" s="176"/>
      <c r="S932" s="176"/>
      <c r="T932" s="176"/>
      <c r="U932" s="178"/>
      <c r="V932" s="179"/>
    </row>
    <row r="933">
      <c r="C933" s="172"/>
      <c r="D933" s="172"/>
      <c r="E933" s="173"/>
      <c r="F933" s="137"/>
      <c r="G933" s="137"/>
      <c r="H933" s="137"/>
      <c r="I933" s="129"/>
      <c r="J933" s="323"/>
      <c r="K933" s="90"/>
      <c r="L933" s="176"/>
      <c r="M933" s="176"/>
      <c r="N933" s="176"/>
      <c r="O933" s="176"/>
      <c r="P933" s="176"/>
      <c r="Q933" s="177"/>
      <c r="R933" s="176"/>
      <c r="S933" s="176"/>
      <c r="T933" s="176"/>
      <c r="U933" s="178"/>
      <c r="V933" s="179"/>
    </row>
    <row r="934">
      <c r="C934" s="172"/>
      <c r="D934" s="172"/>
      <c r="E934" s="173"/>
      <c r="F934" s="137"/>
      <c r="G934" s="137"/>
      <c r="H934" s="137"/>
      <c r="I934" s="129"/>
      <c r="J934" s="323"/>
      <c r="K934" s="90"/>
      <c r="L934" s="176"/>
      <c r="M934" s="176"/>
      <c r="N934" s="176"/>
      <c r="O934" s="176"/>
      <c r="P934" s="176"/>
      <c r="Q934" s="177"/>
      <c r="R934" s="176"/>
      <c r="S934" s="176"/>
      <c r="T934" s="176"/>
      <c r="U934" s="178"/>
      <c r="V934" s="179"/>
    </row>
    <row r="935">
      <c r="C935" s="172"/>
      <c r="D935" s="172"/>
      <c r="E935" s="173"/>
      <c r="F935" s="137"/>
      <c r="G935" s="137"/>
      <c r="H935" s="137"/>
      <c r="I935" s="129"/>
      <c r="J935" s="323"/>
      <c r="K935" s="90"/>
      <c r="L935" s="176"/>
      <c r="M935" s="176"/>
      <c r="N935" s="176"/>
      <c r="O935" s="176"/>
      <c r="P935" s="176"/>
      <c r="Q935" s="177"/>
      <c r="R935" s="176"/>
      <c r="S935" s="176"/>
      <c r="T935" s="176"/>
      <c r="U935" s="178"/>
      <c r="V935" s="179"/>
    </row>
    <row r="936">
      <c r="C936" s="172"/>
      <c r="D936" s="172"/>
      <c r="E936" s="173"/>
      <c r="F936" s="137"/>
      <c r="G936" s="137"/>
      <c r="H936" s="137"/>
      <c r="I936" s="129"/>
      <c r="J936" s="323"/>
      <c r="K936" s="90"/>
      <c r="L936" s="176"/>
      <c r="M936" s="176"/>
      <c r="N936" s="176"/>
      <c r="O936" s="176"/>
      <c r="P936" s="176"/>
      <c r="Q936" s="177"/>
      <c r="R936" s="176"/>
      <c r="S936" s="176"/>
      <c r="T936" s="176"/>
      <c r="U936" s="178"/>
      <c r="V936" s="179"/>
    </row>
    <row r="937">
      <c r="C937" s="172"/>
      <c r="D937" s="172"/>
      <c r="E937" s="173"/>
      <c r="F937" s="137"/>
      <c r="G937" s="137"/>
      <c r="H937" s="137"/>
      <c r="I937" s="129"/>
      <c r="J937" s="323"/>
      <c r="K937" s="90"/>
      <c r="L937" s="176"/>
      <c r="M937" s="176"/>
      <c r="N937" s="176"/>
      <c r="O937" s="176"/>
      <c r="P937" s="176"/>
      <c r="Q937" s="177"/>
      <c r="R937" s="176"/>
      <c r="S937" s="176"/>
      <c r="T937" s="176"/>
      <c r="U937" s="178"/>
      <c r="V937" s="179"/>
    </row>
    <row r="938">
      <c r="C938" s="172"/>
      <c r="D938" s="172"/>
      <c r="E938" s="173"/>
      <c r="F938" s="137"/>
      <c r="G938" s="137"/>
      <c r="H938" s="137"/>
      <c r="I938" s="129"/>
      <c r="J938" s="323"/>
      <c r="K938" s="90"/>
      <c r="L938" s="176"/>
      <c r="M938" s="176"/>
      <c r="N938" s="176"/>
      <c r="O938" s="176"/>
      <c r="P938" s="176"/>
      <c r="Q938" s="177"/>
      <c r="R938" s="176"/>
      <c r="S938" s="176"/>
      <c r="T938" s="176"/>
      <c r="U938" s="178"/>
      <c r="V938" s="179"/>
    </row>
    <row r="939">
      <c r="C939" s="172"/>
      <c r="D939" s="172"/>
      <c r="E939" s="173"/>
      <c r="F939" s="137"/>
      <c r="G939" s="137"/>
      <c r="H939" s="137"/>
      <c r="I939" s="129"/>
      <c r="J939" s="323"/>
      <c r="K939" s="90"/>
      <c r="L939" s="176"/>
      <c r="M939" s="176"/>
      <c r="N939" s="176"/>
      <c r="O939" s="176"/>
      <c r="P939" s="176"/>
      <c r="Q939" s="177"/>
      <c r="R939" s="176"/>
      <c r="S939" s="176"/>
      <c r="T939" s="176"/>
      <c r="U939" s="178"/>
      <c r="V939" s="179"/>
    </row>
    <row r="940">
      <c r="C940" s="172"/>
      <c r="D940" s="172"/>
      <c r="E940" s="173"/>
      <c r="F940" s="137"/>
      <c r="G940" s="137"/>
      <c r="H940" s="137"/>
      <c r="I940" s="129"/>
      <c r="J940" s="323"/>
      <c r="K940" s="90"/>
      <c r="L940" s="176"/>
      <c r="M940" s="176"/>
      <c r="N940" s="176"/>
      <c r="O940" s="176"/>
      <c r="P940" s="176"/>
      <c r="Q940" s="177"/>
      <c r="R940" s="176"/>
      <c r="S940" s="176"/>
      <c r="T940" s="176"/>
      <c r="U940" s="178"/>
      <c r="V940" s="179"/>
    </row>
    <row r="941">
      <c r="C941" s="172"/>
      <c r="D941" s="172"/>
      <c r="E941" s="173"/>
      <c r="F941" s="137"/>
      <c r="G941" s="137"/>
      <c r="H941" s="137"/>
      <c r="I941" s="129"/>
      <c r="J941" s="323"/>
      <c r="K941" s="90"/>
      <c r="L941" s="176"/>
      <c r="M941" s="176"/>
      <c r="N941" s="176"/>
      <c r="O941" s="176"/>
      <c r="P941" s="176"/>
      <c r="Q941" s="177"/>
      <c r="R941" s="176"/>
      <c r="S941" s="176"/>
      <c r="T941" s="176"/>
      <c r="U941" s="178"/>
      <c r="V941" s="179"/>
    </row>
    <row r="942">
      <c r="C942" s="172"/>
      <c r="D942" s="172"/>
      <c r="E942" s="173"/>
      <c r="F942" s="137"/>
      <c r="G942" s="137"/>
      <c r="H942" s="137"/>
      <c r="I942" s="129"/>
      <c r="J942" s="323"/>
      <c r="K942" s="90"/>
      <c r="L942" s="176"/>
      <c r="M942" s="176"/>
      <c r="N942" s="176"/>
      <c r="O942" s="176"/>
      <c r="P942" s="176"/>
      <c r="Q942" s="177"/>
      <c r="R942" s="176"/>
      <c r="S942" s="176"/>
      <c r="T942" s="176"/>
      <c r="U942" s="178"/>
      <c r="V942" s="179"/>
    </row>
    <row r="943">
      <c r="C943" s="172"/>
      <c r="D943" s="172"/>
      <c r="E943" s="173"/>
      <c r="F943" s="137"/>
      <c r="G943" s="137"/>
      <c r="H943" s="137"/>
      <c r="I943" s="129"/>
      <c r="J943" s="323"/>
      <c r="K943" s="90"/>
      <c r="L943" s="176"/>
      <c r="M943" s="176"/>
      <c r="N943" s="176"/>
      <c r="O943" s="176"/>
      <c r="P943" s="176"/>
      <c r="Q943" s="177"/>
      <c r="R943" s="176"/>
      <c r="S943" s="176"/>
      <c r="T943" s="176"/>
      <c r="U943" s="178"/>
      <c r="V943" s="179"/>
    </row>
    <row r="944">
      <c r="C944" s="172"/>
      <c r="D944" s="172"/>
      <c r="E944" s="173"/>
      <c r="F944" s="137"/>
      <c r="G944" s="137"/>
      <c r="H944" s="137"/>
      <c r="I944" s="129"/>
      <c r="J944" s="323"/>
      <c r="K944" s="90"/>
      <c r="L944" s="176"/>
      <c r="M944" s="176"/>
      <c r="N944" s="176"/>
      <c r="O944" s="176"/>
      <c r="P944" s="176"/>
      <c r="Q944" s="177"/>
      <c r="R944" s="176"/>
      <c r="S944" s="176"/>
      <c r="T944" s="176"/>
      <c r="U944" s="178"/>
      <c r="V944" s="179"/>
    </row>
    <row r="945">
      <c r="C945" s="172"/>
      <c r="D945" s="172"/>
      <c r="E945" s="173"/>
      <c r="F945" s="137"/>
      <c r="G945" s="137"/>
      <c r="H945" s="137"/>
      <c r="I945" s="129"/>
      <c r="J945" s="323"/>
      <c r="K945" s="90"/>
      <c r="L945" s="176"/>
      <c r="M945" s="176"/>
      <c r="N945" s="176"/>
      <c r="O945" s="176"/>
      <c r="P945" s="176"/>
      <c r="Q945" s="177"/>
      <c r="R945" s="176"/>
      <c r="S945" s="176"/>
      <c r="T945" s="176"/>
      <c r="U945" s="178"/>
      <c r="V945" s="179"/>
    </row>
    <row r="946">
      <c r="C946" s="172"/>
      <c r="D946" s="172"/>
      <c r="E946" s="173"/>
      <c r="F946" s="137"/>
      <c r="G946" s="137"/>
      <c r="H946" s="137"/>
      <c r="I946" s="129"/>
      <c r="J946" s="323"/>
      <c r="K946" s="90"/>
      <c r="L946" s="176"/>
      <c r="M946" s="176"/>
      <c r="N946" s="176"/>
      <c r="O946" s="176"/>
      <c r="P946" s="176"/>
      <c r="Q946" s="177"/>
      <c r="R946" s="176"/>
      <c r="S946" s="176"/>
      <c r="T946" s="176"/>
      <c r="U946" s="178"/>
      <c r="V946" s="179"/>
    </row>
    <row r="947">
      <c r="C947" s="172"/>
      <c r="D947" s="172"/>
      <c r="E947" s="173"/>
      <c r="F947" s="137"/>
      <c r="G947" s="137"/>
      <c r="H947" s="137"/>
      <c r="I947" s="129"/>
      <c r="J947" s="323"/>
      <c r="K947" s="90"/>
      <c r="L947" s="176"/>
      <c r="M947" s="176"/>
      <c r="N947" s="176"/>
      <c r="O947" s="176"/>
      <c r="P947" s="176"/>
      <c r="Q947" s="177"/>
      <c r="R947" s="176"/>
      <c r="S947" s="176"/>
      <c r="T947" s="176"/>
      <c r="U947" s="178"/>
      <c r="V947" s="179"/>
    </row>
    <row r="948">
      <c r="C948" s="172"/>
      <c r="D948" s="172"/>
      <c r="E948" s="173"/>
      <c r="F948" s="137"/>
      <c r="G948" s="137"/>
      <c r="H948" s="137"/>
      <c r="I948" s="129"/>
      <c r="J948" s="323"/>
      <c r="K948" s="90"/>
      <c r="L948" s="176"/>
      <c r="M948" s="176"/>
      <c r="N948" s="176"/>
      <c r="O948" s="176"/>
      <c r="P948" s="176"/>
      <c r="Q948" s="177"/>
      <c r="R948" s="176"/>
      <c r="S948" s="176"/>
      <c r="T948" s="176"/>
      <c r="U948" s="178"/>
      <c r="V948" s="179"/>
    </row>
    <row r="949">
      <c r="C949" s="172"/>
      <c r="D949" s="172"/>
      <c r="E949" s="173"/>
      <c r="F949" s="137"/>
      <c r="G949" s="137"/>
      <c r="H949" s="137"/>
      <c r="I949" s="129"/>
      <c r="J949" s="323"/>
      <c r="K949" s="90"/>
      <c r="L949" s="176"/>
      <c r="M949" s="176"/>
      <c r="N949" s="176"/>
      <c r="O949" s="176"/>
      <c r="P949" s="176"/>
      <c r="Q949" s="177"/>
      <c r="R949" s="176"/>
      <c r="S949" s="176"/>
      <c r="T949" s="176"/>
      <c r="U949" s="178"/>
      <c r="V949" s="179"/>
    </row>
    <row r="950">
      <c r="C950" s="172"/>
      <c r="D950" s="172"/>
      <c r="E950" s="173"/>
      <c r="F950" s="137"/>
      <c r="G950" s="137"/>
      <c r="H950" s="137"/>
      <c r="I950" s="129"/>
      <c r="J950" s="323"/>
      <c r="K950" s="90"/>
      <c r="L950" s="176"/>
      <c r="M950" s="176"/>
      <c r="N950" s="176"/>
      <c r="O950" s="176"/>
      <c r="P950" s="176"/>
      <c r="Q950" s="177"/>
      <c r="R950" s="176"/>
      <c r="S950" s="176"/>
      <c r="T950" s="176"/>
      <c r="U950" s="178"/>
      <c r="V950" s="179"/>
    </row>
    <row r="951">
      <c r="C951" s="172"/>
      <c r="D951" s="172"/>
      <c r="E951" s="173"/>
      <c r="F951" s="137"/>
      <c r="G951" s="137"/>
      <c r="H951" s="137"/>
      <c r="I951" s="129"/>
      <c r="J951" s="323"/>
      <c r="K951" s="90"/>
      <c r="L951" s="176"/>
      <c r="M951" s="176"/>
      <c r="N951" s="176"/>
      <c r="O951" s="176"/>
      <c r="P951" s="176"/>
      <c r="Q951" s="177"/>
      <c r="R951" s="176"/>
      <c r="S951" s="176"/>
      <c r="T951" s="176"/>
      <c r="U951" s="178"/>
      <c r="V951" s="179"/>
    </row>
    <row r="952">
      <c r="C952" s="172"/>
      <c r="D952" s="172"/>
      <c r="E952" s="173"/>
      <c r="F952" s="137"/>
      <c r="G952" s="137"/>
      <c r="H952" s="137"/>
      <c r="I952" s="129"/>
      <c r="J952" s="323"/>
      <c r="K952" s="90"/>
      <c r="L952" s="176"/>
      <c r="M952" s="176"/>
      <c r="N952" s="176"/>
      <c r="O952" s="176"/>
      <c r="P952" s="176"/>
      <c r="Q952" s="177"/>
      <c r="R952" s="176"/>
      <c r="S952" s="176"/>
      <c r="T952" s="176"/>
      <c r="U952" s="178"/>
      <c r="V952" s="179"/>
    </row>
    <row r="953">
      <c r="C953" s="172"/>
      <c r="D953" s="172"/>
      <c r="E953" s="173"/>
      <c r="F953" s="137"/>
      <c r="G953" s="137"/>
      <c r="H953" s="137"/>
      <c r="I953" s="129"/>
      <c r="J953" s="323"/>
      <c r="K953" s="90"/>
      <c r="L953" s="176"/>
      <c r="M953" s="176"/>
      <c r="N953" s="176"/>
      <c r="O953" s="176"/>
      <c r="P953" s="176"/>
      <c r="Q953" s="177"/>
      <c r="R953" s="176"/>
      <c r="S953" s="176"/>
      <c r="T953" s="176"/>
      <c r="U953" s="178"/>
      <c r="V953" s="179"/>
    </row>
    <row r="954">
      <c r="C954" s="172"/>
      <c r="D954" s="172"/>
      <c r="E954" s="173"/>
      <c r="F954" s="137"/>
      <c r="G954" s="137"/>
      <c r="H954" s="137"/>
      <c r="I954" s="129"/>
      <c r="J954" s="323"/>
      <c r="K954" s="90"/>
      <c r="L954" s="176"/>
      <c r="M954" s="176"/>
      <c r="N954" s="176"/>
      <c r="O954" s="176"/>
      <c r="P954" s="176"/>
      <c r="Q954" s="177"/>
      <c r="R954" s="176"/>
      <c r="S954" s="176"/>
      <c r="T954" s="176"/>
      <c r="U954" s="178"/>
      <c r="V954" s="179"/>
    </row>
    <row r="955">
      <c r="C955" s="172"/>
      <c r="D955" s="172"/>
      <c r="E955" s="173"/>
      <c r="F955" s="137"/>
      <c r="G955" s="137"/>
      <c r="H955" s="137"/>
      <c r="I955" s="129"/>
      <c r="J955" s="323"/>
      <c r="K955" s="90"/>
      <c r="L955" s="176"/>
      <c r="M955" s="176"/>
      <c r="N955" s="176"/>
      <c r="O955" s="176"/>
      <c r="P955" s="176"/>
      <c r="Q955" s="177"/>
      <c r="R955" s="176"/>
      <c r="S955" s="176"/>
      <c r="T955" s="176"/>
      <c r="U955" s="178"/>
      <c r="V955" s="179"/>
    </row>
    <row r="956">
      <c r="C956" s="172"/>
      <c r="D956" s="172"/>
      <c r="E956" s="173"/>
      <c r="F956" s="137"/>
      <c r="G956" s="137"/>
      <c r="H956" s="137"/>
      <c r="I956" s="129"/>
      <c r="J956" s="323"/>
      <c r="K956" s="90"/>
      <c r="L956" s="176"/>
      <c r="M956" s="176"/>
      <c r="N956" s="176"/>
      <c r="O956" s="176"/>
      <c r="P956" s="176"/>
      <c r="Q956" s="177"/>
      <c r="R956" s="176"/>
      <c r="S956" s="176"/>
      <c r="T956" s="176"/>
      <c r="U956" s="178"/>
      <c r="V956" s="179"/>
    </row>
    <row r="957">
      <c r="C957" s="172"/>
      <c r="D957" s="172"/>
      <c r="E957" s="173"/>
      <c r="F957" s="137"/>
      <c r="G957" s="137"/>
      <c r="H957" s="137"/>
      <c r="I957" s="129"/>
      <c r="J957" s="323"/>
      <c r="K957" s="90"/>
      <c r="L957" s="176"/>
      <c r="M957" s="176"/>
      <c r="N957" s="176"/>
      <c r="O957" s="176"/>
      <c r="P957" s="176"/>
      <c r="Q957" s="177"/>
      <c r="R957" s="176"/>
      <c r="S957" s="176"/>
      <c r="T957" s="176"/>
      <c r="U957" s="178"/>
      <c r="V957" s="179"/>
    </row>
    <row r="958">
      <c r="C958" s="172"/>
      <c r="D958" s="172"/>
      <c r="E958" s="173"/>
      <c r="F958" s="137"/>
      <c r="G958" s="137"/>
      <c r="H958" s="137"/>
      <c r="I958" s="129"/>
      <c r="J958" s="323"/>
      <c r="K958" s="90"/>
      <c r="L958" s="176"/>
      <c r="M958" s="176"/>
      <c r="N958" s="176"/>
      <c r="O958" s="176"/>
      <c r="P958" s="176"/>
      <c r="Q958" s="177"/>
      <c r="R958" s="176"/>
      <c r="S958" s="176"/>
      <c r="T958" s="176"/>
      <c r="U958" s="178"/>
      <c r="V958" s="179"/>
    </row>
    <row r="959">
      <c r="C959" s="172"/>
      <c r="D959" s="172"/>
      <c r="E959" s="173"/>
      <c r="F959" s="137"/>
      <c r="G959" s="137"/>
      <c r="H959" s="137"/>
      <c r="I959" s="129"/>
      <c r="J959" s="323"/>
      <c r="K959" s="90"/>
      <c r="L959" s="176"/>
      <c r="M959" s="176"/>
      <c r="N959" s="176"/>
      <c r="O959" s="176"/>
      <c r="P959" s="176"/>
      <c r="Q959" s="177"/>
      <c r="R959" s="176"/>
      <c r="S959" s="176"/>
      <c r="T959" s="176"/>
      <c r="U959" s="178"/>
      <c r="V959" s="179"/>
    </row>
    <row r="960">
      <c r="C960" s="172"/>
      <c r="D960" s="172"/>
      <c r="E960" s="173"/>
      <c r="F960" s="137"/>
      <c r="G960" s="137"/>
      <c r="H960" s="137"/>
      <c r="I960" s="129"/>
      <c r="J960" s="323"/>
      <c r="K960" s="90"/>
      <c r="L960" s="176"/>
      <c r="M960" s="176"/>
      <c r="N960" s="176"/>
      <c r="O960" s="176"/>
      <c r="P960" s="176"/>
      <c r="Q960" s="177"/>
      <c r="R960" s="176"/>
      <c r="S960" s="176"/>
      <c r="T960" s="176"/>
      <c r="U960" s="178"/>
      <c r="V960" s="179"/>
    </row>
    <row r="961">
      <c r="C961" s="172"/>
      <c r="D961" s="172"/>
      <c r="E961" s="173"/>
      <c r="F961" s="137"/>
      <c r="G961" s="137"/>
      <c r="H961" s="137"/>
      <c r="I961" s="129"/>
      <c r="J961" s="323"/>
      <c r="K961" s="90"/>
      <c r="L961" s="176"/>
      <c r="M961" s="176"/>
      <c r="N961" s="176"/>
      <c r="O961" s="176"/>
      <c r="P961" s="176"/>
      <c r="Q961" s="177"/>
      <c r="R961" s="176"/>
      <c r="S961" s="176"/>
      <c r="T961" s="176"/>
      <c r="U961" s="178"/>
      <c r="V961" s="179"/>
    </row>
    <row r="962">
      <c r="C962" s="172"/>
      <c r="D962" s="172"/>
      <c r="E962" s="173"/>
      <c r="F962" s="137"/>
      <c r="G962" s="137"/>
      <c r="H962" s="137"/>
      <c r="I962" s="129"/>
      <c r="J962" s="323"/>
      <c r="K962" s="90"/>
      <c r="L962" s="176"/>
      <c r="M962" s="176"/>
      <c r="N962" s="176"/>
      <c r="O962" s="176"/>
      <c r="P962" s="176"/>
      <c r="Q962" s="177"/>
      <c r="R962" s="176"/>
      <c r="S962" s="176"/>
      <c r="T962" s="176"/>
      <c r="U962" s="178"/>
      <c r="V962" s="179"/>
    </row>
    <row r="963">
      <c r="C963" s="172"/>
      <c r="D963" s="172"/>
      <c r="E963" s="173"/>
      <c r="F963" s="137"/>
      <c r="G963" s="137"/>
      <c r="H963" s="137"/>
      <c r="I963" s="129"/>
      <c r="J963" s="323"/>
      <c r="K963" s="90"/>
      <c r="L963" s="176"/>
      <c r="M963" s="176"/>
      <c r="N963" s="176"/>
      <c r="O963" s="176"/>
      <c r="P963" s="176"/>
      <c r="Q963" s="177"/>
      <c r="R963" s="176"/>
      <c r="S963" s="176"/>
      <c r="T963" s="176"/>
      <c r="U963" s="178"/>
      <c r="V963" s="179"/>
    </row>
    <row r="964">
      <c r="C964" s="172"/>
      <c r="D964" s="172"/>
      <c r="E964" s="173"/>
      <c r="F964" s="137"/>
      <c r="G964" s="137"/>
      <c r="H964" s="137"/>
      <c r="I964" s="129"/>
      <c r="J964" s="323"/>
      <c r="K964" s="90"/>
      <c r="L964" s="176"/>
      <c r="M964" s="176"/>
      <c r="N964" s="176"/>
      <c r="O964" s="176"/>
      <c r="P964" s="176"/>
      <c r="Q964" s="177"/>
      <c r="R964" s="176"/>
      <c r="S964" s="176"/>
      <c r="T964" s="176"/>
      <c r="U964" s="178"/>
      <c r="V964" s="179"/>
    </row>
    <row r="965">
      <c r="C965" s="172"/>
      <c r="D965" s="172"/>
      <c r="E965" s="173"/>
      <c r="F965" s="137"/>
      <c r="G965" s="137"/>
      <c r="H965" s="137"/>
      <c r="I965" s="129"/>
      <c r="J965" s="323"/>
      <c r="K965" s="90"/>
      <c r="L965" s="176"/>
      <c r="M965" s="176"/>
      <c r="N965" s="176"/>
      <c r="O965" s="176"/>
      <c r="P965" s="176"/>
      <c r="Q965" s="177"/>
      <c r="R965" s="176"/>
      <c r="S965" s="176"/>
      <c r="T965" s="176"/>
      <c r="U965" s="178"/>
      <c r="V965" s="179"/>
    </row>
    <row r="966">
      <c r="C966" s="172"/>
      <c r="D966" s="172"/>
      <c r="E966" s="173"/>
      <c r="F966" s="137"/>
      <c r="G966" s="137"/>
      <c r="H966" s="137"/>
      <c r="I966" s="129"/>
      <c r="J966" s="323"/>
      <c r="K966" s="90"/>
      <c r="L966" s="176"/>
      <c r="M966" s="176"/>
      <c r="N966" s="176"/>
      <c r="O966" s="176"/>
      <c r="P966" s="176"/>
      <c r="Q966" s="177"/>
      <c r="R966" s="176"/>
      <c r="S966" s="176"/>
      <c r="T966" s="176"/>
      <c r="U966" s="178"/>
      <c r="V966" s="179"/>
    </row>
    <row r="967">
      <c r="C967" s="172"/>
      <c r="D967" s="172"/>
      <c r="E967" s="173"/>
      <c r="F967" s="137"/>
      <c r="G967" s="137"/>
      <c r="H967" s="137"/>
      <c r="I967" s="129"/>
      <c r="J967" s="323"/>
      <c r="K967" s="90"/>
      <c r="L967" s="176"/>
      <c r="M967" s="176"/>
      <c r="N967" s="176"/>
      <c r="O967" s="176"/>
      <c r="P967" s="176"/>
      <c r="Q967" s="177"/>
      <c r="R967" s="176"/>
      <c r="S967" s="176"/>
      <c r="T967" s="176"/>
      <c r="U967" s="178"/>
      <c r="V967" s="179"/>
    </row>
    <row r="968">
      <c r="C968" s="172"/>
      <c r="D968" s="172"/>
      <c r="E968" s="173"/>
      <c r="F968" s="137"/>
      <c r="G968" s="137"/>
      <c r="H968" s="137"/>
      <c r="I968" s="129"/>
      <c r="J968" s="323"/>
      <c r="K968" s="90"/>
      <c r="L968" s="176"/>
      <c r="M968" s="176"/>
      <c r="N968" s="176"/>
      <c r="O968" s="176"/>
      <c r="P968" s="176"/>
      <c r="Q968" s="177"/>
      <c r="R968" s="176"/>
      <c r="S968" s="176"/>
      <c r="T968" s="176"/>
      <c r="U968" s="178"/>
      <c r="V968" s="179"/>
    </row>
    <row r="969">
      <c r="C969" s="172"/>
      <c r="D969" s="172"/>
      <c r="E969" s="173"/>
      <c r="F969" s="137"/>
      <c r="G969" s="137"/>
      <c r="H969" s="137"/>
      <c r="I969" s="129"/>
      <c r="J969" s="323"/>
      <c r="K969" s="90"/>
      <c r="L969" s="176"/>
      <c r="M969" s="176"/>
      <c r="N969" s="176"/>
      <c r="O969" s="176"/>
      <c r="P969" s="176"/>
      <c r="Q969" s="177"/>
      <c r="R969" s="176"/>
      <c r="S969" s="176"/>
      <c r="T969" s="176"/>
      <c r="U969" s="178"/>
      <c r="V969" s="179"/>
    </row>
    <row r="970">
      <c r="C970" s="172"/>
      <c r="D970" s="172"/>
      <c r="E970" s="173"/>
      <c r="F970" s="137"/>
      <c r="G970" s="137"/>
      <c r="H970" s="137"/>
      <c r="I970" s="129"/>
      <c r="J970" s="323"/>
      <c r="K970" s="90"/>
      <c r="L970" s="176"/>
      <c r="M970" s="176"/>
      <c r="N970" s="176"/>
      <c r="O970" s="176"/>
      <c r="P970" s="176"/>
      <c r="Q970" s="177"/>
      <c r="R970" s="176"/>
      <c r="S970" s="176"/>
      <c r="T970" s="176"/>
      <c r="U970" s="178"/>
      <c r="V970" s="179"/>
    </row>
    <row r="971">
      <c r="C971" s="172"/>
      <c r="D971" s="172"/>
      <c r="E971" s="173"/>
      <c r="F971" s="137"/>
      <c r="G971" s="137"/>
      <c r="H971" s="137"/>
      <c r="I971" s="129"/>
      <c r="J971" s="323"/>
      <c r="K971" s="90"/>
      <c r="L971" s="176"/>
      <c r="M971" s="176"/>
      <c r="N971" s="176"/>
      <c r="O971" s="176"/>
      <c r="P971" s="176"/>
      <c r="Q971" s="177"/>
      <c r="R971" s="176"/>
      <c r="S971" s="176"/>
      <c r="T971" s="176"/>
      <c r="U971" s="178"/>
      <c r="V971" s="179"/>
    </row>
    <row r="972">
      <c r="C972" s="172"/>
      <c r="D972" s="172"/>
      <c r="E972" s="173"/>
      <c r="F972" s="137"/>
      <c r="G972" s="137"/>
      <c r="H972" s="137"/>
      <c r="I972" s="129"/>
      <c r="J972" s="323"/>
      <c r="K972" s="90"/>
      <c r="L972" s="176"/>
      <c r="M972" s="176"/>
      <c r="N972" s="176"/>
      <c r="O972" s="176"/>
      <c r="P972" s="176"/>
      <c r="Q972" s="177"/>
      <c r="R972" s="176"/>
      <c r="S972" s="176"/>
      <c r="T972" s="176"/>
      <c r="U972" s="178"/>
      <c r="V972" s="179"/>
    </row>
    <row r="973">
      <c r="C973" s="172"/>
      <c r="D973" s="172"/>
      <c r="E973" s="173"/>
      <c r="F973" s="137"/>
      <c r="G973" s="137"/>
      <c r="H973" s="137"/>
      <c r="I973" s="129"/>
      <c r="J973" s="323"/>
      <c r="K973" s="90"/>
      <c r="L973" s="176"/>
      <c r="M973" s="176"/>
      <c r="N973" s="176"/>
      <c r="O973" s="176"/>
      <c r="P973" s="176"/>
      <c r="Q973" s="177"/>
      <c r="R973" s="176"/>
      <c r="S973" s="176"/>
      <c r="T973" s="176"/>
      <c r="U973" s="178"/>
      <c r="V973" s="179"/>
    </row>
    <row r="974">
      <c r="C974" s="172"/>
      <c r="D974" s="172"/>
      <c r="E974" s="173"/>
      <c r="F974" s="137"/>
      <c r="G974" s="137"/>
      <c r="H974" s="137"/>
      <c r="I974" s="129"/>
      <c r="J974" s="323"/>
      <c r="K974" s="90"/>
      <c r="L974" s="176"/>
      <c r="M974" s="176"/>
      <c r="N974" s="176"/>
      <c r="O974" s="176"/>
      <c r="P974" s="176"/>
      <c r="Q974" s="177"/>
      <c r="R974" s="176"/>
      <c r="S974" s="176"/>
      <c r="T974" s="176"/>
      <c r="U974" s="178"/>
      <c r="V974" s="179"/>
    </row>
    <row r="975">
      <c r="C975" s="172"/>
      <c r="D975" s="172"/>
      <c r="E975" s="173"/>
      <c r="F975" s="137"/>
      <c r="G975" s="137"/>
      <c r="H975" s="137"/>
      <c r="I975" s="129"/>
      <c r="J975" s="323"/>
      <c r="K975" s="90"/>
      <c r="L975" s="176"/>
      <c r="M975" s="176"/>
      <c r="N975" s="176"/>
      <c r="O975" s="176"/>
      <c r="P975" s="176"/>
      <c r="Q975" s="177"/>
      <c r="R975" s="176"/>
      <c r="S975" s="176"/>
      <c r="T975" s="176"/>
      <c r="U975" s="178"/>
      <c r="V975" s="179"/>
    </row>
    <row r="976">
      <c r="C976" s="172"/>
      <c r="D976" s="172"/>
      <c r="E976" s="173"/>
      <c r="F976" s="137"/>
      <c r="G976" s="137"/>
      <c r="H976" s="137"/>
      <c r="I976" s="129"/>
      <c r="J976" s="323"/>
      <c r="K976" s="90"/>
      <c r="L976" s="176"/>
      <c r="M976" s="176"/>
      <c r="N976" s="176"/>
      <c r="O976" s="176"/>
      <c r="P976" s="176"/>
      <c r="Q976" s="177"/>
      <c r="R976" s="176"/>
      <c r="S976" s="176"/>
      <c r="T976" s="176"/>
      <c r="U976" s="178"/>
      <c r="V976" s="179"/>
    </row>
    <row r="977">
      <c r="C977" s="172"/>
      <c r="D977" s="172"/>
      <c r="E977" s="173"/>
      <c r="F977" s="137"/>
      <c r="G977" s="137"/>
      <c r="H977" s="137"/>
      <c r="I977" s="129"/>
      <c r="J977" s="323"/>
      <c r="K977" s="90"/>
      <c r="L977" s="176"/>
      <c r="M977" s="176"/>
      <c r="N977" s="176"/>
      <c r="O977" s="176"/>
      <c r="P977" s="176"/>
      <c r="Q977" s="177"/>
      <c r="R977" s="176"/>
      <c r="S977" s="176"/>
      <c r="T977" s="176"/>
      <c r="U977" s="178"/>
      <c r="V977" s="179"/>
    </row>
    <row r="978">
      <c r="C978" s="172"/>
      <c r="D978" s="172"/>
      <c r="E978" s="173"/>
      <c r="F978" s="137"/>
      <c r="G978" s="137"/>
      <c r="H978" s="137"/>
      <c r="I978" s="129"/>
      <c r="J978" s="323"/>
      <c r="K978" s="90"/>
      <c r="L978" s="176"/>
      <c r="M978" s="176"/>
      <c r="N978" s="176"/>
      <c r="O978" s="176"/>
      <c r="P978" s="176"/>
      <c r="Q978" s="177"/>
      <c r="R978" s="176"/>
      <c r="S978" s="176"/>
      <c r="T978" s="176"/>
      <c r="U978" s="178"/>
      <c r="V978" s="179"/>
    </row>
    <row r="979">
      <c r="C979" s="172"/>
      <c r="D979" s="172"/>
      <c r="E979" s="173"/>
      <c r="F979" s="137"/>
      <c r="G979" s="137"/>
      <c r="H979" s="137"/>
      <c r="I979" s="129"/>
      <c r="J979" s="323"/>
      <c r="K979" s="90"/>
      <c r="L979" s="176"/>
      <c r="M979" s="176"/>
      <c r="N979" s="176"/>
      <c r="O979" s="176"/>
      <c r="P979" s="176"/>
      <c r="Q979" s="177"/>
      <c r="R979" s="176"/>
      <c r="S979" s="176"/>
      <c r="T979" s="176"/>
      <c r="U979" s="178"/>
      <c r="V979" s="179"/>
    </row>
    <row r="980">
      <c r="C980" s="172"/>
      <c r="D980" s="172"/>
      <c r="E980" s="173"/>
      <c r="F980" s="137"/>
      <c r="G980" s="137"/>
      <c r="H980" s="137"/>
      <c r="I980" s="129"/>
      <c r="J980" s="323"/>
      <c r="K980" s="90"/>
      <c r="L980" s="176"/>
      <c r="M980" s="176"/>
      <c r="N980" s="176"/>
      <c r="O980" s="176"/>
      <c r="P980" s="176"/>
      <c r="Q980" s="177"/>
      <c r="R980" s="176"/>
      <c r="S980" s="176"/>
      <c r="T980" s="176"/>
      <c r="U980" s="178"/>
      <c r="V980" s="179"/>
    </row>
    <row r="981">
      <c r="C981" s="172"/>
      <c r="D981" s="172"/>
      <c r="E981" s="173"/>
      <c r="F981" s="137"/>
      <c r="G981" s="137"/>
      <c r="H981" s="137"/>
      <c r="I981" s="129"/>
      <c r="J981" s="323"/>
      <c r="K981" s="90"/>
      <c r="L981" s="176"/>
      <c r="M981" s="176"/>
      <c r="N981" s="176"/>
      <c r="O981" s="176"/>
      <c r="P981" s="176"/>
      <c r="Q981" s="177"/>
      <c r="R981" s="176"/>
      <c r="S981" s="176"/>
      <c r="T981" s="176"/>
      <c r="U981" s="178"/>
      <c r="V981" s="179"/>
    </row>
    <row r="982">
      <c r="C982" s="172"/>
      <c r="D982" s="172"/>
      <c r="E982" s="173"/>
      <c r="F982" s="137"/>
      <c r="G982" s="137"/>
      <c r="H982" s="137"/>
      <c r="I982" s="129"/>
      <c r="J982" s="323"/>
      <c r="K982" s="90"/>
      <c r="L982" s="176"/>
      <c r="M982" s="176"/>
      <c r="N982" s="176"/>
      <c r="O982" s="176"/>
      <c r="P982" s="176"/>
      <c r="Q982" s="177"/>
      <c r="R982" s="176"/>
      <c r="S982" s="176"/>
      <c r="T982" s="176"/>
      <c r="U982" s="178"/>
      <c r="V982" s="179"/>
    </row>
    <row r="983">
      <c r="C983" s="172"/>
      <c r="D983" s="172"/>
      <c r="E983" s="173"/>
      <c r="F983" s="137"/>
      <c r="G983" s="137"/>
      <c r="H983" s="137"/>
      <c r="I983" s="129"/>
      <c r="J983" s="323"/>
      <c r="K983" s="90"/>
      <c r="L983" s="176"/>
      <c r="M983" s="176"/>
      <c r="N983" s="176"/>
      <c r="O983" s="176"/>
      <c r="P983" s="176"/>
      <c r="Q983" s="177"/>
      <c r="R983" s="176"/>
      <c r="S983" s="176"/>
      <c r="T983" s="176"/>
      <c r="U983" s="178"/>
      <c r="V983" s="179"/>
    </row>
    <row r="984">
      <c r="C984" s="172"/>
      <c r="D984" s="172"/>
      <c r="E984" s="173"/>
      <c r="F984" s="137"/>
      <c r="G984" s="137"/>
      <c r="H984" s="137"/>
      <c r="I984" s="129"/>
      <c r="J984" s="323"/>
      <c r="K984" s="90"/>
      <c r="L984" s="176"/>
      <c r="M984" s="176"/>
      <c r="N984" s="176"/>
      <c r="O984" s="176"/>
      <c r="P984" s="176"/>
      <c r="Q984" s="177"/>
      <c r="R984" s="176"/>
      <c r="S984" s="176"/>
      <c r="T984" s="176"/>
      <c r="U984" s="178"/>
      <c r="V984" s="179"/>
    </row>
    <row r="985">
      <c r="C985" s="172"/>
      <c r="D985" s="172"/>
      <c r="E985" s="173"/>
      <c r="F985" s="137"/>
      <c r="G985" s="137"/>
      <c r="H985" s="137"/>
      <c r="I985" s="129"/>
      <c r="J985" s="323"/>
      <c r="K985" s="90"/>
      <c r="L985" s="176"/>
      <c r="M985" s="176"/>
      <c r="N985" s="176"/>
      <c r="O985" s="176"/>
      <c r="P985" s="176"/>
      <c r="Q985" s="177"/>
      <c r="R985" s="176"/>
      <c r="S985" s="176"/>
      <c r="T985" s="176"/>
      <c r="U985" s="178"/>
      <c r="V985" s="179"/>
    </row>
    <row r="986">
      <c r="C986" s="172"/>
      <c r="D986" s="172"/>
      <c r="E986" s="173"/>
      <c r="F986" s="137"/>
      <c r="G986" s="137"/>
      <c r="H986" s="137"/>
      <c r="I986" s="129"/>
      <c r="J986" s="323"/>
      <c r="K986" s="90"/>
      <c r="L986" s="176"/>
      <c r="M986" s="176"/>
      <c r="N986" s="176"/>
      <c r="O986" s="176"/>
      <c r="P986" s="176"/>
      <c r="Q986" s="177"/>
      <c r="R986" s="176"/>
      <c r="S986" s="176"/>
      <c r="T986" s="176"/>
      <c r="U986" s="178"/>
      <c r="V986" s="179"/>
    </row>
    <row r="987">
      <c r="C987" s="172"/>
      <c r="D987" s="172"/>
      <c r="E987" s="173"/>
      <c r="F987" s="137"/>
      <c r="G987" s="137"/>
      <c r="H987" s="137"/>
      <c r="I987" s="129"/>
      <c r="J987" s="323"/>
      <c r="K987" s="90"/>
      <c r="L987" s="176"/>
      <c r="M987" s="176"/>
      <c r="N987" s="176"/>
      <c r="O987" s="176"/>
      <c r="P987" s="176"/>
      <c r="Q987" s="177"/>
      <c r="R987" s="176"/>
      <c r="S987" s="176"/>
      <c r="T987" s="176"/>
      <c r="U987" s="178"/>
      <c r="V987" s="179"/>
    </row>
    <row r="988">
      <c r="C988" s="172"/>
      <c r="D988" s="172"/>
      <c r="E988" s="173"/>
      <c r="F988" s="137"/>
      <c r="G988" s="137"/>
      <c r="H988" s="137"/>
      <c r="I988" s="129"/>
      <c r="J988" s="323"/>
      <c r="K988" s="90"/>
      <c r="L988" s="176"/>
      <c r="M988" s="176"/>
      <c r="N988" s="176"/>
      <c r="O988" s="176"/>
      <c r="P988" s="176"/>
      <c r="Q988" s="177"/>
      <c r="R988" s="176"/>
      <c r="S988" s="176"/>
      <c r="T988" s="176"/>
      <c r="U988" s="178"/>
      <c r="V988" s="179"/>
    </row>
  </sheetData>
  <customSheetViews>
    <customSheetView guid="{FE912595-CAC9-4715-968D-BE526036883B}" filter="1" showAutoFilter="1">
      <autoFilter ref="$A$1:$V$988">
        <filterColumn colId="3">
          <filters blank="1">
            <filter val="train"/>
          </filters>
        </filterColumn>
      </autoFilter>
    </customSheetView>
    <customSheetView guid="{1455BF22-F75D-45A9-953B-3DEA8E135465}"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1.38"/>
    <col customWidth="1" min="3" max="3" width="11.0"/>
    <col customWidth="1" min="5" max="6" width="13.63"/>
  </cols>
  <sheetData>
    <row r="1">
      <c r="B1" s="94" t="s">
        <v>1332</v>
      </c>
      <c r="C1" s="94" t="s">
        <v>1892</v>
      </c>
      <c r="D1" s="95" t="s">
        <v>47</v>
      </c>
      <c r="E1" s="324" t="s">
        <v>48</v>
      </c>
      <c r="F1" s="95" t="s">
        <v>1334</v>
      </c>
      <c r="H1" s="94" t="s">
        <v>1332</v>
      </c>
      <c r="I1" s="94" t="s">
        <v>1892</v>
      </c>
      <c r="J1" s="95" t="s">
        <v>47</v>
      </c>
      <c r="K1" s="95" t="s">
        <v>48</v>
      </c>
      <c r="L1" s="324" t="s">
        <v>1334</v>
      </c>
    </row>
    <row r="2">
      <c r="B2" s="325" t="str">
        <f t="array" ref="B2:H2">SORT(Loads!I:O,4,TRUE)</f>
        <v>#REF!</v>
      </c>
      <c r="C2" s="142"/>
      <c r="D2" s="142"/>
      <c r="E2" s="139"/>
      <c r="F2" s="142"/>
      <c r="G2" s="90"/>
      <c r="H2" s="325" t="str">
        <f t="array" ref="H2:M9">SORT(Loads!I:O,5,TRUE)</f>
        <v>#REF!</v>
      </c>
      <c r="I2" s="172"/>
      <c r="J2" s="172"/>
      <c r="K2" s="172"/>
      <c r="L2" s="172"/>
      <c r="M2" s="90"/>
      <c r="N2" s="90"/>
    </row>
    <row r="3">
      <c r="B3" s="4"/>
      <c r="C3" s="142"/>
      <c r="D3" s="142"/>
      <c r="E3" s="139"/>
      <c r="F3" s="108"/>
      <c r="H3" s="172"/>
      <c r="I3" s="172"/>
      <c r="J3" s="172"/>
      <c r="K3" s="172"/>
      <c r="L3" s="172"/>
      <c r="M3" s="90"/>
      <c r="N3" s="90"/>
    </row>
    <row r="4">
      <c r="B4" s="4"/>
      <c r="C4" s="142"/>
      <c r="D4" s="142"/>
      <c r="E4" s="139"/>
      <c r="F4" s="108"/>
      <c r="H4" s="172"/>
      <c r="I4" s="172"/>
      <c r="J4" s="172"/>
      <c r="K4" s="172"/>
      <c r="L4" s="172"/>
      <c r="M4" s="90"/>
      <c r="N4" s="90"/>
    </row>
    <row r="5">
      <c r="B5" s="4"/>
      <c r="C5" s="142"/>
      <c r="D5" s="142"/>
      <c r="E5" s="139"/>
      <c r="F5" s="108"/>
      <c r="H5" s="172"/>
      <c r="I5" s="172"/>
      <c r="J5" s="172"/>
      <c r="K5" s="172"/>
      <c r="L5" s="172"/>
      <c r="M5" s="90"/>
      <c r="N5" s="90"/>
    </row>
    <row r="6">
      <c r="B6" s="4"/>
      <c r="C6" s="322"/>
      <c r="D6" s="139"/>
      <c r="E6" s="139"/>
      <c r="F6" s="108"/>
      <c r="H6" s="172"/>
      <c r="I6" s="172"/>
      <c r="J6" s="172"/>
      <c r="K6" s="172"/>
      <c r="L6" s="172"/>
      <c r="M6" s="90"/>
      <c r="N6" s="90"/>
    </row>
    <row r="7">
      <c r="B7" s="4"/>
      <c r="C7" s="159"/>
      <c r="D7" s="142"/>
      <c r="E7" s="139"/>
      <c r="F7" s="108"/>
      <c r="H7" s="172"/>
      <c r="I7" s="172"/>
      <c r="J7" s="172"/>
      <c r="K7" s="172"/>
      <c r="L7" s="172"/>
      <c r="M7" s="90"/>
      <c r="N7" s="90"/>
    </row>
    <row r="8">
      <c r="B8" s="4"/>
      <c r="C8" s="322"/>
      <c r="D8" s="139"/>
      <c r="E8" s="139"/>
      <c r="F8" s="108"/>
      <c r="H8" s="172"/>
      <c r="I8" s="172"/>
      <c r="J8" s="172"/>
      <c r="K8" s="172"/>
      <c r="L8" s="172"/>
      <c r="M8" s="90"/>
      <c r="N8" s="90"/>
    </row>
    <row r="9">
      <c r="B9" s="4"/>
      <c r="C9" s="159"/>
      <c r="D9" s="142"/>
      <c r="E9" s="139"/>
      <c r="F9" s="108"/>
      <c r="H9" s="172"/>
      <c r="I9" s="172"/>
      <c r="J9" s="172"/>
      <c r="K9" s="172"/>
      <c r="L9" s="172"/>
      <c r="M9" s="1" t="s">
        <v>1902</v>
      </c>
      <c r="N9" s="1" t="s">
        <v>1903</v>
      </c>
    </row>
    <row r="10">
      <c r="B10" s="4"/>
      <c r="C10" s="142"/>
      <c r="D10" s="142"/>
      <c r="E10" s="139"/>
      <c r="F10" s="108"/>
      <c r="H10" s="172"/>
      <c r="I10" s="172"/>
      <c r="J10" s="172"/>
      <c r="K10" s="172"/>
      <c r="L10" s="172"/>
      <c r="M10" s="1" t="s">
        <v>1592</v>
      </c>
    </row>
    <row r="11">
      <c r="B11" s="4"/>
      <c r="C11" s="142"/>
      <c r="D11" s="142"/>
      <c r="E11" s="139"/>
      <c r="F11" s="108"/>
      <c r="H11" s="172"/>
      <c r="I11" s="172"/>
      <c r="J11" s="172"/>
      <c r="K11" s="172"/>
      <c r="L11" s="172"/>
      <c r="M11" s="1" t="s">
        <v>1592</v>
      </c>
    </row>
    <row r="12">
      <c r="B12" s="4"/>
      <c r="C12" s="142"/>
      <c r="D12" s="142"/>
      <c r="E12" s="139"/>
      <c r="F12" s="108"/>
      <c r="H12" s="172"/>
      <c r="I12" s="172"/>
      <c r="J12" s="172"/>
      <c r="K12" s="172"/>
      <c r="L12" s="172"/>
      <c r="M12" s="90">
        <f t="shared" ref="M12:M14" si="1">J12+9</f>
        <v>9</v>
      </c>
      <c r="N12" s="90">
        <f t="shared" ref="N12:N14" si="2">M12+6</f>
        <v>15</v>
      </c>
    </row>
    <row r="13">
      <c r="B13" s="4"/>
      <c r="C13" s="142"/>
      <c r="D13" s="142"/>
      <c r="E13" s="139"/>
      <c r="F13" s="108"/>
      <c r="H13" s="172"/>
      <c r="I13" s="172"/>
      <c r="J13" s="172"/>
      <c r="K13" s="172"/>
      <c r="L13" s="172"/>
      <c r="M13" s="90">
        <f t="shared" si="1"/>
        <v>9</v>
      </c>
      <c r="N13" s="90">
        <f t="shared" si="2"/>
        <v>15</v>
      </c>
    </row>
    <row r="14">
      <c r="B14" s="4"/>
      <c r="C14" s="142"/>
      <c r="D14" s="142"/>
      <c r="E14" s="139"/>
      <c r="F14" s="108"/>
      <c r="H14" s="172"/>
      <c r="I14" s="172"/>
      <c r="J14" s="172"/>
      <c r="K14" s="172"/>
      <c r="L14" s="172"/>
      <c r="M14" s="90">
        <f t="shared" si="1"/>
        <v>9</v>
      </c>
      <c r="N14" s="90">
        <f t="shared" si="2"/>
        <v>15</v>
      </c>
    </row>
    <row r="15">
      <c r="B15" s="4"/>
      <c r="C15" s="159"/>
      <c r="D15" s="142"/>
      <c r="E15" s="139"/>
      <c r="F15" s="108"/>
      <c r="H15" s="172"/>
      <c r="I15" s="172"/>
      <c r="J15" s="172"/>
      <c r="K15" s="172"/>
      <c r="L15" s="172"/>
    </row>
    <row r="16">
      <c r="B16" s="4"/>
      <c r="C16" s="159"/>
      <c r="D16" s="142"/>
      <c r="E16" s="139"/>
      <c r="F16" s="108"/>
      <c r="H16" s="172"/>
      <c r="I16" s="172"/>
      <c r="J16" s="172"/>
      <c r="K16" s="172"/>
      <c r="L16" s="172"/>
    </row>
    <row r="17">
      <c r="B17" s="4"/>
      <c r="C17" s="322"/>
      <c r="D17" s="139"/>
      <c r="E17" s="139"/>
      <c r="F17" s="108"/>
      <c r="H17" s="172"/>
      <c r="I17" s="172"/>
      <c r="J17" s="172"/>
      <c r="K17" s="172"/>
      <c r="L17" s="172"/>
    </row>
    <row r="18">
      <c r="B18" s="4"/>
      <c r="C18" s="159"/>
      <c r="D18" s="142"/>
      <c r="E18" s="139"/>
      <c r="F18" s="108"/>
      <c r="H18" s="172"/>
      <c r="I18" s="172"/>
      <c r="J18" s="172"/>
      <c r="K18" s="172"/>
      <c r="L18" s="172"/>
    </row>
    <row r="19">
      <c r="B19" s="4"/>
      <c r="C19" s="159"/>
      <c r="D19" s="142"/>
      <c r="E19" s="139"/>
      <c r="F19" s="108"/>
      <c r="H19" s="172"/>
      <c r="I19" s="172"/>
      <c r="J19" s="172"/>
      <c r="K19" s="172"/>
      <c r="L19" s="172"/>
    </row>
    <row r="20">
      <c r="B20" s="4"/>
      <c r="C20" s="322"/>
      <c r="D20" s="142"/>
      <c r="E20" s="139"/>
      <c r="F20" s="108"/>
      <c r="H20" s="172"/>
      <c r="I20" s="172"/>
      <c r="J20" s="172"/>
      <c r="K20" s="172"/>
      <c r="L20" s="172"/>
    </row>
    <row r="21">
      <c r="B21" s="4"/>
      <c r="C21" s="159"/>
      <c r="D21" s="142"/>
      <c r="E21" s="139"/>
      <c r="F21" s="108"/>
      <c r="H21" s="172"/>
      <c r="I21" s="172"/>
      <c r="J21" s="172"/>
      <c r="K21" s="172"/>
      <c r="L21" s="172"/>
    </row>
    <row r="22">
      <c r="B22" s="4"/>
      <c r="C22" s="159"/>
      <c r="D22" s="142"/>
      <c r="E22" s="139"/>
      <c r="F22" s="108"/>
      <c r="H22" s="172"/>
      <c r="I22" s="172"/>
      <c r="J22" s="172"/>
      <c r="K22" s="172"/>
      <c r="L22" s="172"/>
    </row>
    <row r="23">
      <c r="B23" s="4"/>
      <c r="C23" s="322"/>
      <c r="D23" s="142"/>
      <c r="E23" s="139"/>
      <c r="F23" s="108"/>
      <c r="H23" s="172"/>
      <c r="I23" s="172"/>
      <c r="J23" s="172"/>
      <c r="K23" s="172"/>
      <c r="L23" s="172"/>
    </row>
    <row r="24">
      <c r="B24" s="4"/>
      <c r="C24" s="322"/>
      <c r="D24" s="139"/>
      <c r="E24" s="139"/>
      <c r="F24" s="108"/>
      <c r="H24" s="172"/>
      <c r="I24" s="172"/>
      <c r="J24" s="172"/>
      <c r="K24" s="172"/>
      <c r="L24" s="172"/>
    </row>
    <row r="25">
      <c r="B25" s="4"/>
      <c r="C25" s="322"/>
      <c r="D25" s="139"/>
      <c r="E25" s="139"/>
      <c r="F25" s="108"/>
      <c r="H25" s="172"/>
      <c r="I25" s="172"/>
      <c r="J25" s="172"/>
      <c r="K25" s="172"/>
      <c r="L25" s="172"/>
    </row>
    <row r="26">
      <c r="B26" s="4"/>
      <c r="C26" s="322"/>
      <c r="D26" s="139"/>
      <c r="E26" s="139"/>
      <c r="F26" s="108"/>
      <c r="H26" s="172"/>
      <c r="I26" s="172"/>
      <c r="J26" s="172"/>
      <c r="K26" s="172"/>
      <c r="L26" s="172"/>
    </row>
    <row r="27">
      <c r="B27" s="4"/>
      <c r="C27" s="322"/>
      <c r="D27" s="139"/>
      <c r="E27" s="139"/>
      <c r="F27" s="108"/>
      <c r="H27" s="172"/>
      <c r="I27" s="172"/>
      <c r="J27" s="172"/>
      <c r="K27" s="172"/>
      <c r="L27" s="172"/>
    </row>
    <row r="28">
      <c r="B28" s="4"/>
      <c r="C28" s="322"/>
      <c r="D28" s="139"/>
      <c r="E28" s="139"/>
      <c r="F28" s="108"/>
      <c r="H28" s="172"/>
      <c r="I28" s="172"/>
      <c r="J28" s="172"/>
      <c r="K28" s="172"/>
      <c r="L28" s="172"/>
    </row>
    <row r="29">
      <c r="B29" s="4"/>
      <c r="C29" s="322"/>
      <c r="D29" s="139"/>
      <c r="E29" s="139"/>
      <c r="F29" s="108"/>
      <c r="H29" s="172"/>
      <c r="I29" s="172"/>
      <c r="J29" s="172"/>
      <c r="K29" s="172"/>
      <c r="L29" s="172"/>
    </row>
    <row r="30">
      <c r="B30" s="4"/>
      <c r="C30" s="322"/>
      <c r="D30" s="139"/>
      <c r="E30" s="139"/>
      <c r="F30" s="108"/>
      <c r="H30" s="172"/>
      <c r="I30" s="172"/>
      <c r="J30" s="172"/>
      <c r="K30" s="172"/>
      <c r="L30" s="172"/>
    </row>
    <row r="31">
      <c r="B31" s="4"/>
      <c r="C31" s="322"/>
      <c r="D31" s="139"/>
      <c r="E31" s="139"/>
      <c r="F31" s="108"/>
      <c r="H31" s="172"/>
      <c r="I31" s="172"/>
      <c r="J31" s="172"/>
      <c r="K31" s="172"/>
      <c r="L31" s="172"/>
    </row>
    <row r="32">
      <c r="B32" s="4"/>
      <c r="C32" s="322"/>
      <c r="D32" s="139"/>
      <c r="E32" s="139"/>
      <c r="F32" s="108"/>
      <c r="H32" s="172"/>
      <c r="I32" s="172"/>
      <c r="J32" s="172"/>
      <c r="K32" s="172"/>
      <c r="L32" s="172"/>
    </row>
    <row r="33">
      <c r="B33" s="4"/>
      <c r="C33" s="322"/>
      <c r="D33" s="139"/>
      <c r="E33" s="139"/>
      <c r="F33" s="108"/>
      <c r="H33" s="172"/>
      <c r="I33" s="172"/>
      <c r="J33" s="172"/>
      <c r="K33" s="172"/>
      <c r="L33" s="172"/>
    </row>
    <row r="34">
      <c r="B34" s="4"/>
      <c r="C34" s="322"/>
      <c r="D34" s="139"/>
      <c r="E34" s="139"/>
      <c r="F34" s="108"/>
      <c r="H34" s="172"/>
      <c r="I34" s="172"/>
      <c r="J34" s="172"/>
      <c r="K34" s="172"/>
      <c r="L34" s="172"/>
    </row>
    <row r="35">
      <c r="B35" s="4"/>
      <c r="C35" s="322"/>
      <c r="D35" s="139"/>
      <c r="E35" s="139"/>
      <c r="F35" s="108"/>
      <c r="H35" s="172"/>
      <c r="I35" s="172"/>
      <c r="J35" s="172"/>
      <c r="K35" s="172"/>
      <c r="L35" s="172"/>
    </row>
    <row r="36">
      <c r="B36" s="4"/>
      <c r="C36" s="322"/>
      <c r="D36" s="139"/>
      <c r="E36" s="139"/>
      <c r="F36" s="108"/>
      <c r="H36" s="172"/>
      <c r="I36" s="172"/>
      <c r="J36" s="172"/>
      <c r="K36" s="172"/>
      <c r="L36" s="172"/>
    </row>
    <row r="37">
      <c r="B37" s="4"/>
      <c r="C37" s="322"/>
      <c r="D37" s="139"/>
      <c r="E37" s="139"/>
      <c r="F37" s="108"/>
      <c r="H37" s="172"/>
      <c r="I37" s="172"/>
      <c r="J37" s="172"/>
      <c r="K37" s="172"/>
      <c r="L37" s="172"/>
    </row>
    <row r="38">
      <c r="B38" s="4"/>
      <c r="C38" s="322"/>
      <c r="D38" s="139"/>
      <c r="E38" s="139"/>
      <c r="F38" s="108"/>
      <c r="H38" s="172"/>
      <c r="I38" s="172"/>
      <c r="J38" s="172"/>
      <c r="K38" s="172"/>
      <c r="L38" s="172"/>
    </row>
    <row r="39">
      <c r="B39" s="4"/>
      <c r="C39" s="322"/>
      <c r="D39" s="139"/>
      <c r="E39" s="139"/>
      <c r="F39" s="108"/>
      <c r="H39" s="172"/>
      <c r="I39" s="172"/>
      <c r="J39" s="172"/>
      <c r="K39" s="172"/>
      <c r="L39" s="172"/>
    </row>
    <row r="40">
      <c r="B40" s="4"/>
      <c r="C40" s="322"/>
      <c r="D40" s="139"/>
      <c r="E40" s="139"/>
      <c r="F40" s="108"/>
      <c r="H40" s="172"/>
      <c r="I40" s="172"/>
      <c r="J40" s="172"/>
      <c r="K40" s="172"/>
      <c r="L40" s="172"/>
    </row>
    <row r="41">
      <c r="B41" s="4"/>
      <c r="C41" s="322"/>
      <c r="D41" s="139"/>
      <c r="E41" s="326"/>
      <c r="F41" s="108"/>
      <c r="H41" s="172"/>
      <c r="I41" s="172"/>
      <c r="J41" s="172"/>
      <c r="K41" s="172"/>
      <c r="L41" s="172"/>
    </row>
    <row r="42">
      <c r="B42" s="4"/>
      <c r="C42" s="322"/>
      <c r="D42" s="139"/>
      <c r="E42" s="326"/>
      <c r="F42" s="108"/>
      <c r="H42" s="172"/>
      <c r="I42" s="172"/>
      <c r="J42" s="172"/>
      <c r="K42" s="172"/>
      <c r="L42" s="172"/>
    </row>
    <row r="43">
      <c r="B43" s="4"/>
      <c r="C43" s="322"/>
      <c r="D43" s="139"/>
      <c r="E43" s="326"/>
      <c r="F43" s="108"/>
      <c r="H43" s="172"/>
      <c r="I43" s="172"/>
      <c r="J43" s="172"/>
      <c r="K43" s="172"/>
      <c r="L43" s="172"/>
    </row>
    <row r="44">
      <c r="B44" s="4"/>
      <c r="C44" s="322"/>
      <c r="D44" s="139"/>
      <c r="E44" s="326"/>
      <c r="F44" s="108"/>
      <c r="H44" s="172"/>
      <c r="I44" s="172"/>
      <c r="J44" s="172"/>
      <c r="K44" s="172"/>
      <c r="L44" s="172"/>
    </row>
    <row r="45">
      <c r="B45" s="4"/>
      <c r="C45" s="322"/>
      <c r="D45" s="139"/>
      <c r="E45" s="326"/>
      <c r="F45" s="108"/>
      <c r="H45" s="172"/>
      <c r="I45" s="172"/>
      <c r="J45" s="172"/>
      <c r="K45" s="172"/>
      <c r="L45" s="172"/>
    </row>
    <row r="46">
      <c r="B46" s="4"/>
      <c r="C46" s="322"/>
      <c r="D46" s="139"/>
      <c r="E46" s="326"/>
      <c r="F46" s="108"/>
      <c r="H46" s="172"/>
      <c r="I46" s="172"/>
      <c r="J46" s="172"/>
      <c r="K46" s="172"/>
      <c r="L46" s="172"/>
    </row>
    <row r="47">
      <c r="B47" s="4"/>
      <c r="C47" s="322"/>
      <c r="D47" s="139"/>
      <c r="E47" s="326"/>
      <c r="F47" s="108"/>
      <c r="H47" s="172"/>
      <c r="I47" s="172"/>
      <c r="J47" s="172"/>
      <c r="K47" s="172"/>
      <c r="L47" s="172"/>
    </row>
    <row r="48">
      <c r="B48" s="4"/>
      <c r="C48" s="322"/>
      <c r="D48" s="139"/>
      <c r="E48" s="326"/>
      <c r="F48" s="108"/>
      <c r="H48" s="172"/>
      <c r="I48" s="172"/>
      <c r="J48" s="172"/>
      <c r="K48" s="172"/>
      <c r="L48" s="172"/>
    </row>
    <row r="49">
      <c r="B49" s="4"/>
      <c r="C49" s="322"/>
      <c r="D49" s="139"/>
      <c r="E49" s="139"/>
      <c r="F49" s="108"/>
      <c r="H49" s="172"/>
      <c r="I49" s="172"/>
      <c r="J49" s="172"/>
      <c r="K49" s="172"/>
      <c r="L49" s="172"/>
    </row>
    <row r="50">
      <c r="B50" s="4"/>
      <c r="C50" s="322"/>
      <c r="D50" s="139"/>
      <c r="E50" s="139"/>
      <c r="F50" s="108"/>
      <c r="H50" s="172"/>
      <c r="I50" s="172"/>
      <c r="J50" s="172"/>
      <c r="K50" s="172"/>
      <c r="L50" s="172"/>
    </row>
    <row r="51">
      <c r="B51" s="4"/>
      <c r="C51" s="322"/>
      <c r="D51" s="139"/>
      <c r="E51" s="139"/>
      <c r="F51" s="108"/>
      <c r="H51" s="172"/>
      <c r="I51" s="172"/>
      <c r="J51" s="172"/>
      <c r="K51" s="172"/>
      <c r="L51" s="172"/>
    </row>
    <row r="52">
      <c r="B52" s="4"/>
      <c r="C52" s="322"/>
      <c r="D52" s="139"/>
      <c r="E52" s="139"/>
      <c r="F52" s="108"/>
      <c r="H52" s="172"/>
      <c r="I52" s="172"/>
      <c r="J52" s="172"/>
      <c r="K52" s="172"/>
      <c r="L52" s="172"/>
    </row>
    <row r="53">
      <c r="B53" s="4"/>
      <c r="C53" s="322"/>
      <c r="D53" s="139"/>
      <c r="E53" s="139"/>
      <c r="F53" s="108"/>
      <c r="H53" s="172"/>
      <c r="I53" s="172"/>
      <c r="J53" s="172"/>
      <c r="K53" s="172"/>
      <c r="L53" s="172"/>
    </row>
    <row r="54">
      <c r="B54" s="4"/>
      <c r="C54" s="322"/>
      <c r="D54" s="139"/>
      <c r="E54" s="139"/>
      <c r="F54" s="108"/>
      <c r="H54" s="172"/>
      <c r="I54" s="172"/>
      <c r="J54" s="172"/>
      <c r="K54" s="172"/>
      <c r="L54" s="172"/>
    </row>
    <row r="55">
      <c r="B55" s="4"/>
      <c r="C55" s="322"/>
      <c r="D55" s="139"/>
      <c r="E55" s="139"/>
      <c r="F55" s="108"/>
      <c r="H55" s="172"/>
      <c r="I55" s="172"/>
      <c r="J55" s="172"/>
      <c r="K55" s="172"/>
      <c r="L55" s="172"/>
    </row>
    <row r="56">
      <c r="B56" s="4"/>
      <c r="C56" s="322"/>
      <c r="D56" s="139"/>
      <c r="E56" s="139"/>
      <c r="F56" s="108"/>
      <c r="H56" s="172"/>
      <c r="I56" s="172"/>
      <c r="J56" s="172"/>
      <c r="K56" s="172"/>
      <c r="L56" s="172"/>
    </row>
    <row r="57">
      <c r="B57" s="4"/>
      <c r="C57" s="322"/>
      <c r="D57" s="139"/>
      <c r="E57" s="139"/>
      <c r="F57" s="108"/>
      <c r="H57" s="172"/>
      <c r="I57" s="172"/>
      <c r="J57" s="172"/>
      <c r="K57" s="172"/>
      <c r="L57" s="172"/>
    </row>
    <row r="58">
      <c r="B58" s="4"/>
      <c r="C58" s="322"/>
      <c r="D58" s="139"/>
      <c r="E58" s="139"/>
      <c r="F58" s="108"/>
      <c r="H58" s="172"/>
      <c r="I58" s="172"/>
      <c r="J58" s="172"/>
      <c r="K58" s="172"/>
      <c r="L58" s="172"/>
    </row>
    <row r="59">
      <c r="B59" s="4"/>
      <c r="C59" s="322"/>
      <c r="D59" s="139"/>
      <c r="E59" s="139"/>
      <c r="F59" s="108"/>
      <c r="H59" s="172"/>
      <c r="I59" s="172"/>
      <c r="J59" s="172"/>
      <c r="K59" s="172"/>
      <c r="L59" s="172"/>
    </row>
    <row r="60">
      <c r="B60" s="4"/>
      <c r="C60" s="322"/>
      <c r="D60" s="139"/>
      <c r="E60" s="139"/>
      <c r="F60" s="108"/>
      <c r="H60" s="172"/>
      <c r="I60" s="172"/>
      <c r="J60" s="172"/>
      <c r="K60" s="172"/>
      <c r="L60" s="172"/>
    </row>
    <row r="61">
      <c r="B61" s="4"/>
      <c r="C61" s="322"/>
      <c r="D61" s="139"/>
      <c r="E61" s="139"/>
      <c r="F61" s="108"/>
      <c r="H61" s="172"/>
      <c r="I61" s="172"/>
      <c r="J61" s="172"/>
      <c r="K61" s="172"/>
      <c r="L61" s="172"/>
    </row>
    <row r="62">
      <c r="B62" s="4"/>
      <c r="C62" s="322"/>
      <c r="D62" s="139"/>
      <c r="E62" s="139"/>
      <c r="F62" s="108"/>
      <c r="H62" s="172"/>
      <c r="I62" s="172"/>
      <c r="J62" s="172"/>
      <c r="K62" s="172"/>
      <c r="L62" s="172"/>
    </row>
    <row r="63">
      <c r="B63" s="4"/>
      <c r="C63" s="322"/>
      <c r="D63" s="139"/>
      <c r="E63" s="139"/>
      <c r="F63" s="108"/>
      <c r="H63" s="172"/>
      <c r="I63" s="172"/>
      <c r="J63" s="172"/>
      <c r="K63" s="172"/>
      <c r="L63" s="172"/>
    </row>
    <row r="64">
      <c r="B64" s="4"/>
      <c r="C64" s="322"/>
      <c r="D64" s="139"/>
      <c r="E64" s="139"/>
      <c r="F64" s="108"/>
      <c r="H64" s="172"/>
      <c r="I64" s="172"/>
      <c r="J64" s="172"/>
      <c r="K64" s="172"/>
      <c r="L64" s="172"/>
    </row>
    <row r="65">
      <c r="B65" s="4"/>
      <c r="C65" s="322"/>
      <c r="D65" s="139"/>
      <c r="E65" s="139"/>
      <c r="F65" s="108"/>
      <c r="H65" s="172"/>
      <c r="I65" s="172"/>
      <c r="J65" s="172"/>
      <c r="K65" s="172"/>
      <c r="L65" s="172"/>
    </row>
    <row r="66">
      <c r="B66" s="4"/>
      <c r="C66" s="322"/>
      <c r="D66" s="139"/>
      <c r="E66" s="139"/>
      <c r="F66" s="108"/>
      <c r="H66" s="172"/>
      <c r="I66" s="172"/>
      <c r="J66" s="172"/>
      <c r="K66" s="172"/>
      <c r="L66" s="172"/>
    </row>
    <row r="67">
      <c r="B67" s="4"/>
      <c r="C67" s="322"/>
      <c r="D67" s="139"/>
      <c r="E67" s="139"/>
      <c r="F67" s="108"/>
      <c r="H67" s="172"/>
      <c r="I67" s="172"/>
      <c r="J67" s="172"/>
      <c r="K67" s="172"/>
      <c r="L67" s="172"/>
    </row>
    <row r="68">
      <c r="B68" s="4"/>
      <c r="C68" s="322"/>
      <c r="D68" s="139"/>
      <c r="E68" s="139"/>
      <c r="F68" s="108"/>
      <c r="H68" s="172"/>
      <c r="I68" s="172"/>
      <c r="J68" s="172"/>
      <c r="K68" s="172"/>
      <c r="L68" s="172"/>
    </row>
    <row r="69">
      <c r="B69" s="4"/>
      <c r="C69" s="322"/>
      <c r="D69" s="139"/>
      <c r="E69" s="139"/>
      <c r="F69" s="108"/>
      <c r="H69" s="172"/>
      <c r="I69" s="172"/>
      <c r="J69" s="172"/>
      <c r="K69" s="172"/>
      <c r="L69" s="172"/>
    </row>
    <row r="70">
      <c r="B70" s="4"/>
      <c r="C70" s="322"/>
      <c r="D70" s="139"/>
      <c r="E70" s="139"/>
      <c r="F70" s="108"/>
      <c r="H70" s="172"/>
      <c r="I70" s="172"/>
      <c r="J70" s="172"/>
      <c r="K70" s="172"/>
      <c r="L70" s="172"/>
    </row>
    <row r="71">
      <c r="B71" s="4"/>
      <c r="C71" s="322"/>
      <c r="D71" s="139"/>
      <c r="E71" s="139"/>
      <c r="F71" s="108"/>
      <c r="H71" s="172"/>
      <c r="I71" s="172"/>
      <c r="J71" s="172"/>
      <c r="K71" s="172"/>
      <c r="L71" s="172"/>
    </row>
    <row r="72">
      <c r="B72" s="4"/>
      <c r="C72" s="322"/>
      <c r="D72" s="139"/>
      <c r="E72" s="139"/>
      <c r="F72" s="108"/>
      <c r="H72" s="172"/>
      <c r="I72" s="172"/>
      <c r="J72" s="172"/>
      <c r="K72" s="172"/>
      <c r="L72" s="172"/>
    </row>
    <row r="73">
      <c r="B73" s="4"/>
      <c r="C73" s="322"/>
      <c r="D73" s="139"/>
      <c r="E73" s="139"/>
      <c r="F73" s="108"/>
      <c r="H73" s="172"/>
      <c r="I73" s="172"/>
      <c r="J73" s="172"/>
      <c r="K73" s="172"/>
      <c r="L73" s="172"/>
    </row>
    <row r="74">
      <c r="B74" s="172"/>
      <c r="C74" s="8"/>
      <c r="D74" s="137"/>
      <c r="E74" s="137"/>
      <c r="F74" s="137"/>
      <c r="H74" s="172"/>
      <c r="I74" s="172"/>
      <c r="J74" s="172"/>
      <c r="K74" s="172"/>
      <c r="L74" s="172"/>
    </row>
    <row r="75">
      <c r="B75" s="172"/>
      <c r="C75" s="8"/>
      <c r="D75" s="137"/>
      <c r="E75" s="137"/>
      <c r="F75" s="137"/>
      <c r="H75" s="172"/>
      <c r="I75" s="172"/>
      <c r="J75" s="172"/>
      <c r="K75" s="172"/>
      <c r="L75" s="172"/>
    </row>
    <row r="76">
      <c r="B76" s="172"/>
      <c r="C76" s="8"/>
      <c r="D76" s="137"/>
      <c r="E76" s="137"/>
      <c r="F76" s="137"/>
      <c r="H76" s="172"/>
      <c r="I76" s="172"/>
      <c r="J76" s="172"/>
      <c r="K76" s="172"/>
      <c r="L76" s="172"/>
    </row>
    <row r="77">
      <c r="B77" s="172"/>
      <c r="C77" s="8"/>
      <c r="D77" s="137"/>
      <c r="E77" s="137"/>
      <c r="F77" s="137"/>
      <c r="H77" s="172"/>
      <c r="I77" s="172"/>
      <c r="J77" s="172"/>
      <c r="K77" s="172"/>
      <c r="L77" s="172"/>
    </row>
    <row r="78">
      <c r="B78" s="172"/>
      <c r="C78" s="8"/>
      <c r="D78" s="137"/>
      <c r="E78" s="137"/>
      <c r="F78" s="137"/>
      <c r="H78" s="172"/>
      <c r="I78" s="172"/>
      <c r="J78" s="172"/>
      <c r="K78" s="172"/>
      <c r="L78" s="172"/>
    </row>
    <row r="79">
      <c r="B79" s="172"/>
      <c r="C79" s="8"/>
      <c r="D79" s="137"/>
      <c r="E79" s="137"/>
      <c r="F79" s="137"/>
      <c r="H79" s="172"/>
      <c r="I79" s="172"/>
      <c r="J79" s="172"/>
      <c r="K79" s="172"/>
      <c r="L79" s="172"/>
    </row>
    <row r="80">
      <c r="B80" s="172"/>
      <c r="C80" s="8"/>
      <c r="D80" s="137"/>
      <c r="E80" s="137"/>
      <c r="F80" s="137"/>
      <c r="H80" s="172"/>
      <c r="I80" s="172"/>
      <c r="J80" s="172"/>
      <c r="K80" s="172"/>
      <c r="L80" s="172"/>
    </row>
    <row r="81">
      <c r="B81" s="172"/>
      <c r="C81" s="8"/>
      <c r="D81" s="137"/>
      <c r="E81" s="137"/>
      <c r="F81" s="137"/>
      <c r="H81" s="172"/>
      <c r="I81" s="172"/>
      <c r="J81" s="172"/>
      <c r="K81" s="172"/>
      <c r="L81" s="172"/>
    </row>
    <row r="82">
      <c r="B82" s="172"/>
      <c r="C82" s="8"/>
      <c r="D82" s="137"/>
      <c r="E82" s="137"/>
      <c r="F82" s="137"/>
      <c r="H82" s="172"/>
      <c r="I82" s="172"/>
      <c r="J82" s="172"/>
      <c r="K82" s="172"/>
      <c r="L82" s="172"/>
    </row>
    <row r="83">
      <c r="B83" s="172"/>
      <c r="C83" s="8"/>
      <c r="D83" s="137"/>
      <c r="E83" s="137"/>
      <c r="F83" s="137"/>
      <c r="H83" s="172"/>
      <c r="I83" s="172"/>
      <c r="J83" s="172"/>
      <c r="K83" s="172"/>
      <c r="L83" s="172"/>
    </row>
    <row r="84">
      <c r="B84" s="172"/>
      <c r="C84" s="8"/>
      <c r="D84" s="137"/>
      <c r="E84" s="137"/>
      <c r="F84" s="137"/>
      <c r="H84" s="172"/>
      <c r="I84" s="172"/>
      <c r="J84" s="172"/>
      <c r="K84" s="172"/>
      <c r="L84" s="172"/>
    </row>
    <row r="85">
      <c r="B85" s="172"/>
      <c r="C85" s="8"/>
      <c r="D85" s="137"/>
      <c r="E85" s="137"/>
      <c r="F85" s="137"/>
      <c r="H85" s="172"/>
      <c r="I85" s="172"/>
      <c r="J85" s="172"/>
      <c r="K85" s="172"/>
      <c r="L85" s="172"/>
    </row>
    <row r="86">
      <c r="B86" s="172"/>
      <c r="C86" s="8"/>
      <c r="D86" s="137"/>
      <c r="E86" s="137"/>
      <c r="F86" s="137"/>
      <c r="H86" s="172"/>
      <c r="I86" s="172"/>
      <c r="J86" s="172"/>
      <c r="K86" s="172"/>
      <c r="L86" s="172"/>
    </row>
    <row r="87">
      <c r="B87" s="172"/>
      <c r="C87" s="8"/>
      <c r="D87" s="137"/>
      <c r="E87" s="137"/>
      <c r="F87" s="137"/>
      <c r="H87" s="172"/>
      <c r="I87" s="172"/>
      <c r="J87" s="172"/>
      <c r="K87" s="172"/>
      <c r="L87" s="172"/>
    </row>
    <row r="88">
      <c r="B88" s="172"/>
      <c r="C88" s="8"/>
      <c r="D88" s="137"/>
      <c r="E88" s="137"/>
      <c r="F88" s="137"/>
      <c r="H88" s="172"/>
      <c r="I88" s="172"/>
      <c r="J88" s="172"/>
      <c r="K88" s="172"/>
      <c r="L88" s="172"/>
    </row>
    <row r="89">
      <c r="B89" s="172"/>
      <c r="C89" s="8"/>
      <c r="D89" s="137"/>
      <c r="E89" s="137"/>
      <c r="F89" s="137"/>
      <c r="H89" s="172"/>
      <c r="I89" s="172"/>
      <c r="J89" s="172"/>
      <c r="K89" s="172"/>
      <c r="L89" s="172"/>
    </row>
    <row r="90">
      <c r="B90" s="172"/>
      <c r="C90" s="8"/>
      <c r="D90" s="137"/>
      <c r="E90" s="137"/>
      <c r="F90" s="137"/>
      <c r="H90" s="172"/>
      <c r="I90" s="172"/>
      <c r="J90" s="172"/>
      <c r="K90" s="172"/>
      <c r="L90" s="172"/>
    </row>
    <row r="91">
      <c r="B91" s="172"/>
      <c r="C91" s="8"/>
      <c r="D91" s="137"/>
      <c r="E91" s="137"/>
      <c r="F91" s="137"/>
      <c r="H91" s="172"/>
      <c r="I91" s="172"/>
      <c r="J91" s="172"/>
      <c r="K91" s="172"/>
      <c r="L91" s="172"/>
    </row>
    <row r="92">
      <c r="B92" s="172"/>
      <c r="C92" s="8"/>
      <c r="D92" s="137"/>
      <c r="E92" s="137"/>
      <c r="F92" s="137"/>
      <c r="H92" s="172"/>
      <c r="I92" s="172"/>
      <c r="J92" s="172"/>
      <c r="K92" s="172"/>
      <c r="L92" s="172"/>
    </row>
    <row r="93">
      <c r="B93" s="172"/>
      <c r="C93" s="8"/>
      <c r="D93" s="137"/>
      <c r="E93" s="137"/>
      <c r="F93" s="137"/>
      <c r="H93" s="172"/>
      <c r="I93" s="172"/>
      <c r="J93" s="172"/>
      <c r="K93" s="172"/>
      <c r="L93" s="172"/>
    </row>
    <row r="94">
      <c r="B94" s="172"/>
      <c r="C94" s="8"/>
      <c r="D94" s="137"/>
      <c r="E94" s="137"/>
      <c r="F94" s="137"/>
      <c r="H94" s="172"/>
      <c r="I94" s="172"/>
      <c r="J94" s="172"/>
      <c r="K94" s="172"/>
      <c r="L94" s="172"/>
    </row>
    <row r="95">
      <c r="B95" s="172"/>
      <c r="C95" s="8"/>
      <c r="D95" s="137"/>
      <c r="E95" s="137"/>
      <c r="F95" s="137"/>
      <c r="H95" s="172"/>
      <c r="I95" s="172"/>
      <c r="J95" s="172"/>
      <c r="K95" s="172"/>
      <c r="L95" s="172"/>
    </row>
    <row r="96">
      <c r="B96" s="172"/>
      <c r="C96" s="8"/>
      <c r="D96" s="137"/>
      <c r="E96" s="137"/>
      <c r="F96" s="137"/>
      <c r="H96" s="172"/>
      <c r="I96" s="172"/>
      <c r="J96" s="172"/>
      <c r="K96" s="172"/>
      <c r="L96" s="172"/>
    </row>
    <row r="97">
      <c r="B97" s="172"/>
      <c r="C97" s="8"/>
      <c r="D97" s="137"/>
      <c r="E97" s="137"/>
      <c r="F97" s="137"/>
      <c r="H97" s="172"/>
      <c r="I97" s="172"/>
      <c r="J97" s="172"/>
      <c r="K97" s="172"/>
      <c r="L97" s="172"/>
    </row>
    <row r="98">
      <c r="B98" s="172"/>
      <c r="C98" s="8"/>
      <c r="D98" s="137"/>
      <c r="E98" s="137"/>
      <c r="F98" s="137"/>
      <c r="H98" s="172"/>
      <c r="I98" s="172"/>
      <c r="J98" s="172"/>
      <c r="K98" s="172"/>
      <c r="L98" s="172"/>
    </row>
    <row r="99">
      <c r="B99" s="172"/>
      <c r="C99" s="8"/>
      <c r="D99" s="137"/>
      <c r="E99" s="137"/>
      <c r="F99" s="137"/>
      <c r="H99" s="172"/>
      <c r="I99" s="172"/>
      <c r="J99" s="172"/>
      <c r="K99" s="172"/>
      <c r="L99" s="172"/>
    </row>
    <row r="100">
      <c r="B100" s="172"/>
      <c r="C100" s="8"/>
      <c r="D100" s="137"/>
      <c r="E100" s="137"/>
      <c r="F100" s="137"/>
      <c r="H100" s="172"/>
      <c r="I100" s="172"/>
      <c r="J100" s="172"/>
      <c r="K100" s="172"/>
      <c r="L100" s="172"/>
    </row>
    <row r="101">
      <c r="B101" s="172"/>
      <c r="C101" s="8"/>
      <c r="D101" s="137"/>
      <c r="E101" s="137"/>
      <c r="F101" s="137"/>
      <c r="H101" s="172"/>
      <c r="I101" s="172"/>
      <c r="J101" s="172"/>
      <c r="K101" s="172"/>
      <c r="L101" s="172"/>
    </row>
    <row r="102">
      <c r="B102" s="172"/>
      <c r="C102" s="8"/>
      <c r="D102" s="137"/>
      <c r="E102" s="137"/>
      <c r="F102" s="137"/>
      <c r="H102" s="172"/>
      <c r="I102" s="172"/>
      <c r="J102" s="172"/>
      <c r="K102" s="172"/>
      <c r="L102" s="172"/>
    </row>
    <row r="103">
      <c r="B103" s="172"/>
      <c r="C103" s="8"/>
      <c r="D103" s="137"/>
      <c r="E103" s="137"/>
      <c r="F103" s="137"/>
      <c r="H103" s="172"/>
      <c r="I103" s="172"/>
      <c r="J103" s="172"/>
      <c r="K103" s="172"/>
      <c r="L103" s="172"/>
    </row>
    <row r="104">
      <c r="B104" s="172"/>
      <c r="C104" s="173"/>
      <c r="D104" s="137"/>
      <c r="E104" s="137"/>
      <c r="F104" s="137"/>
      <c r="H104" s="172"/>
      <c r="I104" s="172"/>
      <c r="J104" s="172"/>
      <c r="K104" s="172"/>
      <c r="L104" s="172"/>
    </row>
    <row r="105">
      <c r="B105" s="172"/>
      <c r="C105" s="173"/>
      <c r="D105" s="137"/>
      <c r="E105" s="137"/>
      <c r="F105" s="137"/>
      <c r="H105" s="172"/>
      <c r="I105" s="172"/>
      <c r="J105" s="172"/>
      <c r="K105" s="172"/>
      <c r="L105" s="172"/>
    </row>
    <row r="106">
      <c r="B106" s="172"/>
      <c r="C106" s="173"/>
      <c r="D106" s="137"/>
      <c r="E106" s="137"/>
      <c r="F106" s="137"/>
      <c r="H106" s="172"/>
      <c r="I106" s="172"/>
      <c r="J106" s="172"/>
      <c r="K106" s="172"/>
      <c r="L106" s="172"/>
    </row>
    <row r="107">
      <c r="B107" s="172"/>
      <c r="C107" s="173"/>
      <c r="D107" s="137"/>
      <c r="E107" s="137"/>
      <c r="F107" s="137"/>
      <c r="H107" s="172"/>
      <c r="I107" s="172"/>
      <c r="J107" s="172"/>
      <c r="K107" s="172"/>
      <c r="L107" s="172"/>
    </row>
    <row r="108">
      <c r="B108" s="172"/>
      <c r="C108" s="173"/>
      <c r="D108" s="137"/>
      <c r="E108" s="137"/>
      <c r="F108" s="137"/>
      <c r="H108" s="172"/>
      <c r="I108" s="172"/>
      <c r="J108" s="172"/>
      <c r="K108" s="172"/>
      <c r="L108" s="172"/>
    </row>
    <row r="109">
      <c r="B109" s="172"/>
      <c r="C109" s="173"/>
      <c r="D109" s="137"/>
      <c r="E109" s="137"/>
      <c r="F109" s="137"/>
      <c r="H109" s="172"/>
      <c r="I109" s="172"/>
      <c r="J109" s="172"/>
      <c r="K109" s="172"/>
      <c r="L109" s="172"/>
    </row>
    <row r="110">
      <c r="B110" s="172"/>
      <c r="C110" s="173"/>
      <c r="D110" s="137"/>
      <c r="E110" s="137"/>
      <c r="F110" s="137"/>
      <c r="H110" s="172"/>
      <c r="I110" s="172"/>
      <c r="J110" s="172"/>
      <c r="K110" s="172"/>
      <c r="L110" s="172"/>
    </row>
    <row r="111">
      <c r="B111" s="172"/>
      <c r="C111" s="173"/>
      <c r="D111" s="137"/>
      <c r="E111" s="137"/>
      <c r="F111" s="137"/>
      <c r="H111" s="172"/>
      <c r="I111" s="172"/>
      <c r="J111" s="172"/>
      <c r="K111" s="172"/>
      <c r="L111" s="172"/>
    </row>
    <row r="112">
      <c r="B112" s="172"/>
      <c r="C112" s="173"/>
      <c r="D112" s="137"/>
      <c r="E112" s="137"/>
      <c r="F112" s="137"/>
      <c r="H112" s="172"/>
      <c r="I112" s="172"/>
      <c r="J112" s="172"/>
      <c r="K112" s="172"/>
      <c r="L112" s="172"/>
    </row>
    <row r="113">
      <c r="B113" s="172"/>
      <c r="C113" s="173"/>
      <c r="D113" s="137"/>
      <c r="E113" s="137"/>
      <c r="F113" s="137"/>
      <c r="H113" s="172"/>
      <c r="I113" s="172"/>
      <c r="J113" s="172"/>
      <c r="K113" s="172"/>
      <c r="L113" s="172"/>
    </row>
    <row r="114">
      <c r="B114" s="172"/>
      <c r="C114" s="173"/>
      <c r="D114" s="137"/>
      <c r="E114" s="137"/>
      <c r="F114" s="137"/>
      <c r="H114" s="172"/>
      <c r="I114" s="172"/>
      <c r="J114" s="172"/>
      <c r="K114" s="172"/>
      <c r="L114" s="172"/>
    </row>
    <row r="115">
      <c r="B115" s="172"/>
      <c r="C115" s="173"/>
      <c r="D115" s="137"/>
      <c r="E115" s="137"/>
      <c r="F115" s="137"/>
      <c r="H115" s="172"/>
      <c r="I115" s="172"/>
      <c r="J115" s="172"/>
      <c r="K115" s="172"/>
      <c r="L115" s="172"/>
    </row>
    <row r="116">
      <c r="B116" s="172"/>
      <c r="C116" s="173"/>
      <c r="D116" s="137"/>
      <c r="E116" s="137"/>
      <c r="F116" s="137"/>
      <c r="H116" s="172"/>
      <c r="I116" s="172"/>
      <c r="J116" s="172"/>
      <c r="K116" s="172"/>
      <c r="L116" s="172"/>
    </row>
    <row r="117">
      <c r="B117" s="172"/>
      <c r="C117" s="173"/>
      <c r="D117" s="137"/>
      <c r="E117" s="137"/>
      <c r="F117" s="137"/>
      <c r="H117" s="172"/>
      <c r="I117" s="172"/>
      <c r="J117" s="172"/>
      <c r="K117" s="172"/>
      <c r="L117" s="172"/>
    </row>
    <row r="118">
      <c r="B118" s="172"/>
      <c r="C118" s="173"/>
      <c r="D118" s="137"/>
      <c r="E118" s="137"/>
      <c r="F118" s="137"/>
      <c r="H118" s="172"/>
      <c r="I118" s="172"/>
      <c r="J118" s="172"/>
      <c r="K118" s="172"/>
      <c r="L118" s="172"/>
    </row>
    <row r="119">
      <c r="B119" s="172"/>
      <c r="C119" s="173"/>
      <c r="D119" s="137"/>
      <c r="E119" s="137"/>
      <c r="F119" s="137"/>
      <c r="H119" s="172"/>
      <c r="I119" s="172"/>
      <c r="J119" s="172"/>
      <c r="K119" s="172"/>
      <c r="L119" s="172"/>
    </row>
    <row r="120">
      <c r="B120" s="172"/>
      <c r="C120" s="173"/>
      <c r="D120" s="137"/>
      <c r="E120" s="137"/>
      <c r="F120" s="137"/>
      <c r="H120" s="172"/>
      <c r="I120" s="172"/>
      <c r="J120" s="172"/>
      <c r="K120" s="172"/>
      <c r="L120" s="172"/>
    </row>
    <row r="121">
      <c r="B121" s="172"/>
      <c r="C121" s="173"/>
      <c r="D121" s="137"/>
      <c r="E121" s="137"/>
      <c r="F121" s="137"/>
      <c r="H121" s="172"/>
      <c r="I121" s="172"/>
      <c r="J121" s="172"/>
      <c r="K121" s="172"/>
      <c r="L121" s="172"/>
    </row>
    <row r="122">
      <c r="B122" s="172"/>
      <c r="C122" s="173"/>
      <c r="D122" s="137"/>
      <c r="E122" s="137"/>
      <c r="F122" s="137"/>
      <c r="H122" s="172"/>
      <c r="I122" s="172"/>
      <c r="J122" s="172"/>
      <c r="K122" s="172"/>
      <c r="L122" s="172"/>
    </row>
    <row r="123">
      <c r="B123" s="172"/>
      <c r="C123" s="173"/>
      <c r="D123" s="137"/>
      <c r="E123" s="137"/>
      <c r="F123" s="137"/>
      <c r="H123" s="172"/>
      <c r="I123" s="172"/>
      <c r="J123" s="172"/>
      <c r="K123" s="172"/>
      <c r="L123" s="172"/>
    </row>
    <row r="124">
      <c r="B124" s="172"/>
      <c r="C124" s="173"/>
      <c r="D124" s="137"/>
      <c r="E124" s="137"/>
      <c r="F124" s="137"/>
      <c r="H124" s="172"/>
      <c r="I124" s="172"/>
      <c r="J124" s="172"/>
      <c r="K124" s="172"/>
      <c r="L124" s="172"/>
    </row>
    <row r="125">
      <c r="B125" s="172"/>
      <c r="C125" s="173"/>
      <c r="D125" s="137"/>
      <c r="E125" s="137"/>
      <c r="F125" s="137"/>
      <c r="H125" s="172"/>
      <c r="I125" s="172"/>
      <c r="J125" s="172"/>
      <c r="K125" s="172"/>
      <c r="L125" s="172"/>
    </row>
    <row r="126">
      <c r="B126" s="172"/>
      <c r="C126" s="173"/>
      <c r="D126" s="137"/>
      <c r="E126" s="137"/>
      <c r="F126" s="137"/>
      <c r="H126" s="172"/>
      <c r="I126" s="172"/>
      <c r="J126" s="172"/>
      <c r="K126" s="172"/>
      <c r="L126" s="172"/>
    </row>
    <row r="127">
      <c r="B127" s="172"/>
      <c r="C127" s="173"/>
      <c r="D127" s="137"/>
      <c r="E127" s="137"/>
      <c r="F127" s="137"/>
      <c r="H127" s="172"/>
      <c r="I127" s="172"/>
      <c r="J127" s="172"/>
      <c r="K127" s="172"/>
      <c r="L127" s="172"/>
    </row>
    <row r="128">
      <c r="B128" s="172"/>
      <c r="C128" s="173"/>
      <c r="D128" s="137"/>
      <c r="E128" s="137"/>
      <c r="F128" s="137"/>
      <c r="H128" s="172"/>
      <c r="I128" s="172"/>
      <c r="J128" s="172"/>
      <c r="K128" s="172"/>
      <c r="L128" s="172"/>
    </row>
    <row r="129">
      <c r="B129" s="172"/>
      <c r="C129" s="173"/>
      <c r="D129" s="137"/>
      <c r="E129" s="137"/>
      <c r="F129" s="137"/>
      <c r="H129" s="172"/>
      <c r="I129" s="172"/>
      <c r="J129" s="172"/>
      <c r="K129" s="172"/>
      <c r="L129" s="172"/>
    </row>
    <row r="130">
      <c r="B130" s="172"/>
      <c r="C130" s="173"/>
      <c r="D130" s="137"/>
      <c r="E130" s="137"/>
      <c r="F130" s="137"/>
      <c r="H130" s="172"/>
      <c r="I130" s="172"/>
      <c r="J130" s="172"/>
      <c r="K130" s="172"/>
      <c r="L130" s="172"/>
    </row>
    <row r="131">
      <c r="B131" s="172"/>
      <c r="C131" s="173"/>
      <c r="D131" s="137"/>
      <c r="E131" s="137"/>
      <c r="F131" s="137"/>
      <c r="H131" s="172"/>
      <c r="I131" s="172"/>
      <c r="J131" s="172"/>
      <c r="K131" s="172"/>
      <c r="L131" s="172"/>
    </row>
    <row r="132">
      <c r="B132" s="172"/>
      <c r="C132" s="173"/>
      <c r="D132" s="137"/>
      <c r="E132" s="137"/>
      <c r="F132" s="137"/>
      <c r="H132" s="172"/>
      <c r="I132" s="172"/>
      <c r="J132" s="172"/>
      <c r="K132" s="172"/>
      <c r="L132" s="172"/>
    </row>
    <row r="133">
      <c r="B133" s="172"/>
      <c r="C133" s="173"/>
      <c r="D133" s="137"/>
      <c r="E133" s="137"/>
      <c r="F133" s="137"/>
      <c r="H133" s="172"/>
      <c r="I133" s="172"/>
      <c r="J133" s="172"/>
      <c r="K133" s="172"/>
      <c r="L133" s="172"/>
    </row>
    <row r="134">
      <c r="B134" s="172"/>
      <c r="C134" s="173"/>
      <c r="D134" s="137"/>
      <c r="E134" s="137"/>
      <c r="F134" s="137"/>
      <c r="H134" s="172"/>
      <c r="I134" s="172"/>
      <c r="J134" s="172"/>
      <c r="K134" s="172"/>
      <c r="L134" s="172"/>
    </row>
    <row r="135">
      <c r="B135" s="172"/>
      <c r="C135" s="173"/>
      <c r="D135" s="137"/>
      <c r="E135" s="137"/>
      <c r="F135" s="137"/>
      <c r="H135" s="172"/>
      <c r="I135" s="172"/>
      <c r="J135" s="172"/>
      <c r="K135" s="172"/>
      <c r="L135" s="172"/>
    </row>
    <row r="136">
      <c r="B136" s="172"/>
      <c r="C136" s="173"/>
      <c r="D136" s="137"/>
      <c r="E136" s="137"/>
      <c r="F136" s="137"/>
      <c r="H136" s="172"/>
      <c r="I136" s="172"/>
      <c r="J136" s="172"/>
      <c r="K136" s="172"/>
      <c r="L136" s="172"/>
    </row>
    <row r="137">
      <c r="B137" s="172"/>
      <c r="C137" s="173"/>
      <c r="D137" s="137"/>
      <c r="E137" s="137"/>
      <c r="F137" s="137"/>
      <c r="H137" s="172"/>
      <c r="I137" s="172"/>
      <c r="J137" s="172"/>
      <c r="K137" s="172"/>
      <c r="L137" s="172"/>
    </row>
    <row r="138">
      <c r="B138" s="172"/>
      <c r="C138" s="173"/>
      <c r="D138" s="137"/>
      <c r="E138" s="137"/>
      <c r="F138" s="137"/>
      <c r="H138" s="172"/>
      <c r="I138" s="172"/>
      <c r="J138" s="172"/>
      <c r="K138" s="172"/>
      <c r="L138" s="172"/>
    </row>
    <row r="139">
      <c r="B139" s="172"/>
      <c r="C139" s="173"/>
      <c r="D139" s="137"/>
      <c r="E139" s="137"/>
      <c r="F139" s="137"/>
      <c r="H139" s="172"/>
      <c r="I139" s="172"/>
      <c r="J139" s="172"/>
      <c r="K139" s="172"/>
      <c r="L139" s="172"/>
    </row>
    <row r="140">
      <c r="B140" s="172"/>
      <c r="C140" s="173"/>
      <c r="D140" s="137"/>
      <c r="E140" s="137"/>
      <c r="F140" s="137"/>
      <c r="H140" s="172"/>
      <c r="I140" s="172"/>
      <c r="J140" s="172"/>
      <c r="K140" s="172"/>
      <c r="L140" s="172"/>
    </row>
    <row r="141">
      <c r="B141" s="172"/>
      <c r="C141" s="173"/>
      <c r="D141" s="137"/>
      <c r="E141" s="137"/>
      <c r="F141" s="137"/>
      <c r="H141" s="172"/>
      <c r="I141" s="172"/>
      <c r="J141" s="172"/>
      <c r="K141" s="172"/>
      <c r="L141" s="172"/>
    </row>
    <row r="142">
      <c r="B142" s="172"/>
      <c r="C142" s="173"/>
      <c r="D142" s="137"/>
      <c r="E142" s="137"/>
      <c r="F142" s="137"/>
      <c r="H142" s="172"/>
      <c r="I142" s="172"/>
      <c r="J142" s="172"/>
      <c r="K142" s="172"/>
      <c r="L142" s="172"/>
    </row>
    <row r="143">
      <c r="B143" s="172"/>
      <c r="C143" s="173"/>
      <c r="D143" s="137"/>
      <c r="E143" s="137"/>
      <c r="F143" s="137"/>
      <c r="H143" s="172"/>
      <c r="I143" s="172"/>
      <c r="J143" s="172"/>
      <c r="K143" s="172"/>
      <c r="L143" s="172"/>
    </row>
    <row r="144">
      <c r="B144" s="172"/>
      <c r="C144" s="173"/>
      <c r="D144" s="137"/>
      <c r="E144" s="137"/>
      <c r="F144" s="137"/>
      <c r="H144" s="172"/>
      <c r="I144" s="172"/>
      <c r="J144" s="172"/>
      <c r="K144" s="172"/>
      <c r="L144" s="172"/>
    </row>
    <row r="145">
      <c r="B145" s="172"/>
      <c r="C145" s="173"/>
      <c r="D145" s="137"/>
      <c r="E145" s="137"/>
      <c r="F145" s="137"/>
      <c r="H145" s="172"/>
      <c r="I145" s="172"/>
      <c r="J145" s="172"/>
      <c r="K145" s="172"/>
      <c r="L145" s="172"/>
    </row>
    <row r="146">
      <c r="B146" s="172"/>
      <c r="C146" s="173"/>
      <c r="D146" s="137"/>
      <c r="E146" s="137"/>
      <c r="F146" s="137"/>
      <c r="H146" s="172"/>
      <c r="I146" s="172"/>
      <c r="J146" s="172"/>
      <c r="K146" s="172"/>
      <c r="L146" s="172"/>
    </row>
    <row r="147">
      <c r="B147" s="172"/>
      <c r="C147" s="173"/>
      <c r="D147" s="137"/>
      <c r="E147" s="137"/>
      <c r="F147" s="137"/>
      <c r="H147" s="172"/>
      <c r="I147" s="172"/>
      <c r="J147" s="172"/>
      <c r="K147" s="172"/>
      <c r="L147" s="172"/>
    </row>
    <row r="148">
      <c r="B148" s="172"/>
      <c r="C148" s="173"/>
      <c r="D148" s="137"/>
      <c r="E148" s="137"/>
      <c r="F148" s="137"/>
      <c r="H148" s="172"/>
      <c r="I148" s="172"/>
      <c r="J148" s="172"/>
      <c r="K148" s="172"/>
      <c r="L148" s="172"/>
    </row>
    <row r="149">
      <c r="B149" s="172"/>
      <c r="C149" s="173"/>
      <c r="D149" s="137"/>
      <c r="E149" s="137"/>
      <c r="F149" s="137"/>
      <c r="H149" s="172"/>
      <c r="I149" s="172"/>
      <c r="J149" s="172"/>
      <c r="K149" s="172"/>
      <c r="L149" s="172"/>
    </row>
    <row r="150">
      <c r="B150" s="172"/>
      <c r="C150" s="173"/>
      <c r="D150" s="137"/>
      <c r="E150" s="137"/>
      <c r="F150" s="137"/>
      <c r="H150" s="172"/>
      <c r="I150" s="172"/>
      <c r="J150" s="172"/>
      <c r="K150" s="172"/>
      <c r="L150" s="172"/>
    </row>
    <row r="151">
      <c r="B151" s="172"/>
      <c r="C151" s="173"/>
      <c r="D151" s="137"/>
      <c r="E151" s="137"/>
      <c r="F151" s="137"/>
      <c r="H151" s="172"/>
      <c r="I151" s="172"/>
      <c r="J151" s="172"/>
      <c r="K151" s="172"/>
      <c r="L151" s="172"/>
    </row>
    <row r="152">
      <c r="B152" s="172"/>
      <c r="C152" s="173"/>
      <c r="D152" s="137"/>
      <c r="E152" s="137"/>
      <c r="F152" s="137"/>
      <c r="H152" s="172"/>
      <c r="I152" s="172"/>
      <c r="J152" s="172"/>
      <c r="K152" s="172"/>
      <c r="L152" s="172"/>
    </row>
    <row r="153">
      <c r="B153" s="172"/>
      <c r="C153" s="173"/>
      <c r="D153" s="137"/>
      <c r="E153" s="137"/>
      <c r="F153" s="137"/>
      <c r="H153" s="172"/>
      <c r="I153" s="172"/>
      <c r="J153" s="172"/>
      <c r="K153" s="172"/>
      <c r="L153" s="172"/>
    </row>
    <row r="154">
      <c r="B154" s="172"/>
      <c r="C154" s="173"/>
      <c r="D154" s="137"/>
      <c r="E154" s="137"/>
      <c r="F154" s="137"/>
      <c r="H154" s="172"/>
      <c r="I154" s="172"/>
      <c r="J154" s="172"/>
      <c r="K154" s="172"/>
      <c r="L154" s="172"/>
    </row>
    <row r="155">
      <c r="B155" s="172"/>
      <c r="C155" s="173"/>
      <c r="D155" s="137"/>
      <c r="E155" s="137"/>
      <c r="F155" s="137"/>
      <c r="H155" s="172"/>
      <c r="I155" s="172"/>
      <c r="J155" s="172"/>
      <c r="K155" s="172"/>
      <c r="L155" s="172"/>
    </row>
    <row r="156">
      <c r="B156" s="172"/>
      <c r="C156" s="173"/>
      <c r="D156" s="137"/>
      <c r="E156" s="137"/>
      <c r="F156" s="137"/>
      <c r="H156" s="172"/>
      <c r="I156" s="172"/>
      <c r="J156" s="172"/>
      <c r="K156" s="172"/>
      <c r="L156" s="172"/>
    </row>
    <row r="157">
      <c r="B157" s="172"/>
      <c r="C157" s="173"/>
      <c r="D157" s="137"/>
      <c r="E157" s="137"/>
      <c r="F157" s="137"/>
      <c r="H157" s="172"/>
      <c r="I157" s="172"/>
      <c r="J157" s="172"/>
      <c r="K157" s="172"/>
      <c r="L157" s="172"/>
    </row>
    <row r="158">
      <c r="B158" s="172"/>
      <c r="C158" s="173"/>
      <c r="D158" s="137"/>
      <c r="E158" s="137"/>
      <c r="F158" s="137"/>
      <c r="H158" s="172"/>
      <c r="I158" s="172"/>
      <c r="J158" s="172"/>
      <c r="K158" s="172"/>
      <c r="L158" s="172"/>
    </row>
    <row r="159">
      <c r="B159" s="172"/>
      <c r="C159" s="173"/>
      <c r="D159" s="137"/>
      <c r="E159" s="137"/>
      <c r="F159" s="137"/>
      <c r="H159" s="172"/>
      <c r="I159" s="172"/>
      <c r="J159" s="172"/>
      <c r="K159" s="172"/>
      <c r="L159" s="172"/>
    </row>
    <row r="160">
      <c r="B160" s="172"/>
      <c r="C160" s="173"/>
      <c r="D160" s="137"/>
      <c r="E160" s="137"/>
      <c r="F160" s="137"/>
      <c r="H160" s="172"/>
      <c r="I160" s="172"/>
      <c r="J160" s="172"/>
      <c r="K160" s="172"/>
      <c r="L160" s="172"/>
    </row>
    <row r="161">
      <c r="B161" s="172"/>
      <c r="C161" s="173"/>
      <c r="D161" s="137"/>
      <c r="E161" s="137"/>
      <c r="F161" s="137"/>
      <c r="H161" s="172"/>
      <c r="I161" s="172"/>
      <c r="J161" s="172"/>
      <c r="K161" s="172"/>
      <c r="L161" s="172"/>
    </row>
    <row r="162">
      <c r="B162" s="172"/>
      <c r="C162" s="173"/>
      <c r="D162" s="137"/>
      <c r="E162" s="137"/>
      <c r="F162" s="137"/>
      <c r="H162" s="172"/>
      <c r="I162" s="172"/>
      <c r="J162" s="172"/>
      <c r="K162" s="172"/>
      <c r="L162" s="172"/>
    </row>
    <row r="163">
      <c r="B163" s="172"/>
      <c r="C163" s="173"/>
      <c r="D163" s="137"/>
      <c r="E163" s="137"/>
      <c r="F163" s="137"/>
      <c r="H163" s="172"/>
      <c r="I163" s="172"/>
      <c r="J163" s="172"/>
      <c r="K163" s="172"/>
      <c r="L163" s="172"/>
    </row>
    <row r="164">
      <c r="B164" s="172"/>
      <c r="C164" s="173"/>
      <c r="D164" s="137"/>
      <c r="E164" s="137"/>
      <c r="F164" s="137"/>
      <c r="H164" s="172"/>
      <c r="I164" s="172"/>
      <c r="J164" s="172"/>
      <c r="K164" s="172"/>
      <c r="L164" s="172"/>
    </row>
    <row r="165">
      <c r="B165" s="172"/>
      <c r="C165" s="173"/>
      <c r="D165" s="137"/>
      <c r="E165" s="137"/>
      <c r="F165" s="137"/>
      <c r="H165" s="172"/>
      <c r="I165" s="172"/>
      <c r="J165" s="172"/>
      <c r="K165" s="172"/>
      <c r="L165" s="172"/>
    </row>
    <row r="166">
      <c r="B166" s="172"/>
      <c r="C166" s="173"/>
      <c r="D166" s="137"/>
      <c r="E166" s="137"/>
      <c r="F166" s="137"/>
      <c r="H166" s="172"/>
      <c r="I166" s="172"/>
      <c r="J166" s="172"/>
      <c r="K166" s="172"/>
      <c r="L166" s="172"/>
    </row>
    <row r="167">
      <c r="B167" s="172"/>
      <c r="C167" s="173"/>
      <c r="D167" s="137"/>
      <c r="E167" s="137"/>
      <c r="F167" s="137"/>
      <c r="H167" s="172"/>
      <c r="I167" s="172"/>
      <c r="J167" s="172"/>
      <c r="K167" s="172"/>
      <c r="L167" s="172"/>
    </row>
    <row r="168">
      <c r="B168" s="172"/>
      <c r="C168" s="173"/>
      <c r="D168" s="137"/>
      <c r="E168" s="137"/>
      <c r="F168" s="137"/>
      <c r="H168" s="172"/>
      <c r="I168" s="172"/>
      <c r="J168" s="172"/>
      <c r="K168" s="172"/>
      <c r="L168" s="172"/>
    </row>
    <row r="169">
      <c r="B169" s="172"/>
      <c r="C169" s="173"/>
      <c r="D169" s="137"/>
      <c r="E169" s="137"/>
      <c r="F169" s="137"/>
      <c r="H169" s="172"/>
      <c r="I169" s="172"/>
      <c r="J169" s="172"/>
      <c r="K169" s="172"/>
      <c r="L169" s="172"/>
    </row>
    <row r="170">
      <c r="B170" s="172"/>
      <c r="C170" s="173"/>
      <c r="D170" s="137"/>
      <c r="E170" s="137"/>
      <c r="F170" s="137"/>
      <c r="H170" s="172"/>
      <c r="I170" s="172"/>
      <c r="J170" s="172"/>
      <c r="K170" s="172"/>
      <c r="L170" s="172"/>
    </row>
    <row r="171">
      <c r="B171" s="172"/>
      <c r="C171" s="173"/>
      <c r="D171" s="137"/>
      <c r="E171" s="137"/>
      <c r="F171" s="137"/>
      <c r="H171" s="172"/>
      <c r="I171" s="172"/>
      <c r="J171" s="172"/>
      <c r="K171" s="172"/>
      <c r="L171" s="172"/>
    </row>
    <row r="172">
      <c r="B172" s="172"/>
      <c r="C172" s="173"/>
      <c r="D172" s="137"/>
      <c r="E172" s="137"/>
      <c r="F172" s="137"/>
      <c r="H172" s="172"/>
      <c r="I172" s="172"/>
      <c r="J172" s="172"/>
      <c r="K172" s="172"/>
      <c r="L172" s="172"/>
    </row>
    <row r="173">
      <c r="B173" s="172"/>
      <c r="C173" s="173"/>
      <c r="D173" s="137"/>
      <c r="E173" s="137"/>
      <c r="F173" s="137"/>
      <c r="H173" s="172"/>
      <c r="I173" s="172"/>
      <c r="J173" s="172"/>
      <c r="K173" s="172"/>
      <c r="L173" s="172"/>
    </row>
    <row r="174">
      <c r="B174" s="172"/>
      <c r="C174" s="173"/>
      <c r="D174" s="137"/>
      <c r="E174" s="137"/>
      <c r="F174" s="137"/>
      <c r="H174" s="172"/>
      <c r="I174" s="172"/>
      <c r="J174" s="172"/>
      <c r="K174" s="172"/>
      <c r="L174" s="172"/>
    </row>
    <row r="175">
      <c r="B175" s="172"/>
      <c r="C175" s="173"/>
      <c r="D175" s="137"/>
      <c r="E175" s="137"/>
      <c r="F175" s="137"/>
      <c r="H175" s="172"/>
      <c r="I175" s="172"/>
      <c r="J175" s="172"/>
      <c r="K175" s="172"/>
      <c r="L175" s="172"/>
    </row>
    <row r="176">
      <c r="B176" s="172"/>
      <c r="C176" s="173"/>
      <c r="D176" s="137"/>
      <c r="E176" s="137"/>
      <c r="F176" s="137"/>
      <c r="H176" s="172"/>
      <c r="I176" s="172"/>
      <c r="J176" s="172"/>
      <c r="K176" s="172"/>
      <c r="L176" s="172"/>
    </row>
    <row r="177">
      <c r="B177" s="172"/>
      <c r="C177" s="173"/>
      <c r="D177" s="137"/>
      <c r="E177" s="137"/>
      <c r="F177" s="137"/>
      <c r="H177" s="172"/>
      <c r="I177" s="172"/>
      <c r="J177" s="172"/>
      <c r="K177" s="172"/>
      <c r="L177" s="172"/>
    </row>
    <row r="178">
      <c r="B178" s="172"/>
      <c r="C178" s="173"/>
      <c r="D178" s="137"/>
      <c r="E178" s="137"/>
      <c r="F178" s="137"/>
      <c r="H178" s="172"/>
      <c r="I178" s="172"/>
      <c r="J178" s="172"/>
      <c r="K178" s="172"/>
      <c r="L178" s="172"/>
    </row>
    <row r="179">
      <c r="B179" s="172"/>
      <c r="C179" s="173"/>
      <c r="D179" s="137"/>
      <c r="E179" s="137"/>
      <c r="F179" s="137"/>
      <c r="H179" s="172"/>
      <c r="I179" s="172"/>
      <c r="J179" s="172"/>
      <c r="K179" s="172"/>
      <c r="L179" s="172"/>
    </row>
    <row r="180">
      <c r="B180" s="172"/>
      <c r="C180" s="173"/>
      <c r="D180" s="137"/>
      <c r="E180" s="137"/>
      <c r="F180" s="137"/>
      <c r="H180" s="172"/>
      <c r="I180" s="172"/>
      <c r="J180" s="172"/>
      <c r="K180" s="172"/>
      <c r="L180" s="172"/>
    </row>
    <row r="181">
      <c r="B181" s="172"/>
      <c r="C181" s="173"/>
      <c r="D181" s="137"/>
      <c r="E181" s="137"/>
      <c r="F181" s="137"/>
      <c r="H181" s="172"/>
      <c r="I181" s="172"/>
      <c r="J181" s="172"/>
      <c r="K181" s="172"/>
      <c r="L181" s="172"/>
    </row>
    <row r="182">
      <c r="B182" s="172"/>
      <c r="C182" s="173"/>
      <c r="D182" s="137"/>
      <c r="E182" s="137"/>
      <c r="F182" s="137"/>
      <c r="H182" s="172"/>
      <c r="I182" s="172"/>
      <c r="J182" s="172"/>
      <c r="K182" s="172"/>
      <c r="L182" s="172"/>
    </row>
    <row r="183">
      <c r="B183" s="172"/>
      <c r="C183" s="173"/>
      <c r="D183" s="137"/>
      <c r="E183" s="137"/>
      <c r="F183" s="137"/>
      <c r="H183" s="172"/>
      <c r="I183" s="172"/>
      <c r="J183" s="172"/>
      <c r="K183" s="172"/>
      <c r="L183" s="172"/>
    </row>
    <row r="184">
      <c r="B184" s="172"/>
      <c r="C184" s="173"/>
      <c r="D184" s="137"/>
      <c r="E184" s="137"/>
      <c r="F184" s="137"/>
      <c r="H184" s="172"/>
      <c r="I184" s="172"/>
      <c r="J184" s="172"/>
      <c r="K184" s="172"/>
      <c r="L184" s="172"/>
    </row>
    <row r="185">
      <c r="B185" s="172"/>
      <c r="C185" s="173"/>
      <c r="D185" s="137"/>
      <c r="E185" s="137"/>
      <c r="F185" s="137"/>
      <c r="H185" s="172"/>
      <c r="I185" s="172"/>
      <c r="J185" s="172"/>
      <c r="K185" s="172"/>
      <c r="L185" s="172"/>
    </row>
    <row r="186">
      <c r="B186" s="172"/>
      <c r="C186" s="173"/>
      <c r="D186" s="137"/>
      <c r="E186" s="137"/>
      <c r="F186" s="137"/>
      <c r="H186" s="172"/>
      <c r="I186" s="172"/>
      <c r="J186" s="172"/>
      <c r="K186" s="172"/>
      <c r="L186" s="172"/>
    </row>
    <row r="187">
      <c r="B187" s="172"/>
      <c r="C187" s="173"/>
      <c r="D187" s="137"/>
      <c r="E187" s="137"/>
      <c r="F187" s="137"/>
      <c r="H187" s="172"/>
      <c r="I187" s="172"/>
      <c r="J187" s="172"/>
      <c r="K187" s="172"/>
      <c r="L187" s="172"/>
    </row>
    <row r="188">
      <c r="B188" s="172"/>
      <c r="C188" s="173"/>
      <c r="D188" s="137"/>
      <c r="E188" s="137"/>
      <c r="F188" s="137"/>
      <c r="H188" s="172"/>
      <c r="I188" s="172"/>
      <c r="J188" s="172"/>
      <c r="K188" s="172"/>
      <c r="L188" s="172"/>
    </row>
    <row r="189">
      <c r="B189" s="172"/>
      <c r="C189" s="173"/>
      <c r="D189" s="137"/>
      <c r="E189" s="137"/>
      <c r="F189" s="137"/>
      <c r="H189" s="172"/>
      <c r="I189" s="172"/>
      <c r="J189" s="172"/>
      <c r="K189" s="172"/>
      <c r="L189" s="172"/>
    </row>
    <row r="190">
      <c r="B190" s="172"/>
      <c r="C190" s="173"/>
      <c r="D190" s="137"/>
      <c r="E190" s="137"/>
      <c r="F190" s="137"/>
      <c r="H190" s="172"/>
      <c r="I190" s="172"/>
      <c r="J190" s="172"/>
      <c r="K190" s="172"/>
      <c r="L190" s="172"/>
    </row>
    <row r="191">
      <c r="B191" s="172"/>
      <c r="C191" s="173"/>
      <c r="D191" s="137"/>
      <c r="E191" s="137"/>
      <c r="F191" s="137"/>
      <c r="H191" s="172"/>
      <c r="I191" s="172"/>
      <c r="J191" s="172"/>
      <c r="K191" s="172"/>
      <c r="L191" s="172"/>
    </row>
    <row r="192">
      <c r="B192" s="172"/>
      <c r="C192" s="173"/>
      <c r="D192" s="137"/>
      <c r="E192" s="137"/>
      <c r="F192" s="137"/>
      <c r="H192" s="172"/>
      <c r="I192" s="172"/>
      <c r="J192" s="172"/>
      <c r="K192" s="172"/>
      <c r="L192" s="172"/>
    </row>
    <row r="193">
      <c r="B193" s="172"/>
      <c r="C193" s="173"/>
      <c r="D193" s="137"/>
      <c r="E193" s="137"/>
      <c r="F193" s="137"/>
      <c r="H193" s="172"/>
      <c r="I193" s="172"/>
      <c r="J193" s="172"/>
      <c r="K193" s="172"/>
      <c r="L193" s="172"/>
    </row>
    <row r="194">
      <c r="B194" s="172"/>
      <c r="C194" s="173"/>
      <c r="D194" s="137"/>
      <c r="E194" s="137"/>
      <c r="F194" s="137"/>
      <c r="H194" s="172"/>
      <c r="I194" s="172"/>
      <c r="J194" s="172"/>
      <c r="K194" s="172"/>
      <c r="L194" s="172"/>
    </row>
    <row r="195">
      <c r="B195" s="172"/>
      <c r="C195" s="173"/>
      <c r="D195" s="137"/>
      <c r="E195" s="137"/>
      <c r="F195" s="137"/>
      <c r="H195" s="172"/>
      <c r="I195" s="172"/>
      <c r="J195" s="172"/>
      <c r="K195" s="172"/>
      <c r="L195" s="172"/>
    </row>
    <row r="196">
      <c r="B196" s="172"/>
      <c r="C196" s="173"/>
      <c r="D196" s="137"/>
      <c r="E196" s="137"/>
      <c r="F196" s="137"/>
      <c r="H196" s="172"/>
      <c r="I196" s="172"/>
      <c r="J196" s="172"/>
      <c r="K196" s="172"/>
      <c r="L196" s="172"/>
    </row>
    <row r="197">
      <c r="B197" s="172"/>
      <c r="C197" s="173"/>
      <c r="D197" s="137"/>
      <c r="E197" s="137"/>
      <c r="F197" s="137"/>
      <c r="H197" s="172"/>
      <c r="I197" s="172"/>
      <c r="J197" s="172"/>
      <c r="K197" s="172"/>
      <c r="L197" s="172"/>
    </row>
    <row r="198">
      <c r="B198" s="172"/>
      <c r="C198" s="173"/>
      <c r="D198" s="137"/>
      <c r="E198" s="137"/>
      <c r="F198" s="137"/>
      <c r="H198" s="172"/>
      <c r="I198" s="172"/>
      <c r="J198" s="172"/>
      <c r="K198" s="172"/>
      <c r="L198" s="172"/>
    </row>
    <row r="199">
      <c r="B199" s="172"/>
      <c r="C199" s="173"/>
      <c r="D199" s="137"/>
      <c r="E199" s="137"/>
      <c r="F199" s="137"/>
      <c r="H199" s="172"/>
      <c r="I199" s="172"/>
      <c r="J199" s="172"/>
      <c r="K199" s="172"/>
      <c r="L199" s="172"/>
    </row>
    <row r="200">
      <c r="B200" s="172"/>
      <c r="C200" s="173"/>
      <c r="D200" s="137"/>
      <c r="E200" s="137"/>
      <c r="F200" s="137"/>
      <c r="H200" s="172"/>
      <c r="I200" s="172"/>
      <c r="J200" s="172"/>
      <c r="K200" s="172"/>
      <c r="L200" s="172"/>
    </row>
    <row r="201">
      <c r="B201" s="172"/>
      <c r="C201" s="173"/>
      <c r="D201" s="137"/>
      <c r="E201" s="137"/>
      <c r="F201" s="137"/>
      <c r="H201" s="172"/>
      <c r="I201" s="172"/>
      <c r="J201" s="172"/>
      <c r="K201" s="172"/>
      <c r="L201" s="172"/>
    </row>
    <row r="202">
      <c r="B202" s="172"/>
      <c r="C202" s="173"/>
      <c r="D202" s="137"/>
      <c r="E202" s="137"/>
      <c r="F202" s="137"/>
      <c r="H202" s="172"/>
      <c r="I202" s="172"/>
      <c r="J202" s="172"/>
      <c r="K202" s="172"/>
      <c r="L202" s="172"/>
    </row>
    <row r="203">
      <c r="B203" s="172"/>
      <c r="C203" s="173"/>
      <c r="D203" s="137"/>
      <c r="E203" s="137"/>
      <c r="F203" s="137"/>
      <c r="H203" s="172"/>
      <c r="I203" s="172"/>
      <c r="J203" s="172"/>
      <c r="K203" s="172"/>
      <c r="L203" s="172"/>
    </row>
    <row r="204">
      <c r="B204" s="172"/>
      <c r="C204" s="173"/>
      <c r="D204" s="137"/>
      <c r="E204" s="137"/>
      <c r="F204" s="137"/>
      <c r="H204" s="172"/>
      <c r="I204" s="172"/>
      <c r="J204" s="172"/>
      <c r="K204" s="172"/>
      <c r="L204" s="172"/>
    </row>
    <row r="205">
      <c r="B205" s="172"/>
      <c r="C205" s="173"/>
      <c r="D205" s="137"/>
      <c r="E205" s="137"/>
      <c r="F205" s="137"/>
      <c r="H205" s="172"/>
      <c r="I205" s="172"/>
      <c r="J205" s="172"/>
      <c r="K205" s="172"/>
      <c r="L205" s="172"/>
    </row>
    <row r="206">
      <c r="B206" s="172"/>
      <c r="C206" s="173"/>
      <c r="D206" s="137"/>
      <c r="E206" s="137"/>
      <c r="F206" s="137"/>
      <c r="H206" s="172"/>
      <c r="I206" s="172"/>
      <c r="J206" s="172"/>
      <c r="K206" s="172"/>
      <c r="L206" s="172"/>
    </row>
    <row r="207">
      <c r="B207" s="172"/>
      <c r="C207" s="173"/>
      <c r="D207" s="137"/>
      <c r="E207" s="137"/>
      <c r="F207" s="137"/>
      <c r="H207" s="172"/>
      <c r="I207" s="172"/>
      <c r="J207" s="172"/>
      <c r="K207" s="172"/>
      <c r="L207" s="172"/>
    </row>
    <row r="208">
      <c r="B208" s="172"/>
      <c r="C208" s="173"/>
      <c r="D208" s="137"/>
      <c r="E208" s="137"/>
      <c r="F208" s="137"/>
      <c r="H208" s="172"/>
      <c r="I208" s="172"/>
      <c r="J208" s="172"/>
      <c r="K208" s="172"/>
      <c r="L208" s="172"/>
    </row>
    <row r="209">
      <c r="B209" s="172"/>
      <c r="C209" s="173"/>
      <c r="D209" s="137"/>
      <c r="E209" s="137"/>
      <c r="F209" s="137"/>
      <c r="H209" s="172"/>
      <c r="I209" s="172"/>
      <c r="J209" s="172"/>
      <c r="K209" s="172"/>
      <c r="L209" s="172"/>
    </row>
    <row r="210">
      <c r="B210" s="172"/>
      <c r="C210" s="173"/>
      <c r="D210" s="137"/>
      <c r="E210" s="137"/>
      <c r="F210" s="137"/>
      <c r="H210" s="172"/>
      <c r="I210" s="172"/>
      <c r="J210" s="172"/>
      <c r="K210" s="172"/>
      <c r="L210" s="172"/>
    </row>
    <row r="211">
      <c r="B211" s="172"/>
      <c r="C211" s="173"/>
      <c r="D211" s="137"/>
      <c r="E211" s="137"/>
      <c r="F211" s="137"/>
      <c r="H211" s="172"/>
      <c r="I211" s="172"/>
      <c r="J211" s="172"/>
      <c r="K211" s="172"/>
      <c r="L211" s="172"/>
    </row>
    <row r="212">
      <c r="B212" s="172"/>
      <c r="C212" s="173"/>
      <c r="D212" s="137"/>
      <c r="E212" s="137"/>
      <c r="F212" s="137"/>
      <c r="H212" s="172"/>
      <c r="I212" s="172"/>
      <c r="J212" s="172"/>
      <c r="K212" s="172"/>
      <c r="L212" s="172"/>
    </row>
    <row r="213">
      <c r="B213" s="172"/>
      <c r="C213" s="173"/>
      <c r="D213" s="137"/>
      <c r="E213" s="137"/>
      <c r="F213" s="137"/>
      <c r="H213" s="172"/>
      <c r="I213" s="172"/>
      <c r="J213" s="172"/>
      <c r="K213" s="172"/>
      <c r="L213" s="172"/>
    </row>
    <row r="214">
      <c r="B214" s="172"/>
      <c r="C214" s="173"/>
      <c r="D214" s="137"/>
      <c r="E214" s="137"/>
      <c r="F214" s="137"/>
      <c r="H214" s="172"/>
      <c r="I214" s="172"/>
      <c r="J214" s="172"/>
      <c r="K214" s="172"/>
      <c r="L214" s="172"/>
    </row>
    <row r="215">
      <c r="B215" s="172"/>
      <c r="C215" s="173"/>
      <c r="D215" s="137"/>
      <c r="E215" s="137"/>
      <c r="F215" s="137"/>
      <c r="H215" s="172"/>
      <c r="I215" s="172"/>
      <c r="J215" s="172"/>
      <c r="K215" s="172"/>
      <c r="L215" s="172"/>
    </row>
    <row r="216">
      <c r="B216" s="172"/>
      <c r="C216" s="173"/>
      <c r="D216" s="137"/>
      <c r="E216" s="137"/>
      <c r="F216" s="137"/>
      <c r="H216" s="172"/>
      <c r="I216" s="172"/>
      <c r="J216" s="172"/>
      <c r="K216" s="172"/>
      <c r="L216" s="172"/>
    </row>
    <row r="217">
      <c r="B217" s="172"/>
      <c r="C217" s="173"/>
      <c r="D217" s="137"/>
      <c r="E217" s="137"/>
      <c r="F217" s="137"/>
      <c r="H217" s="172"/>
      <c r="I217" s="172"/>
      <c r="J217" s="172"/>
      <c r="K217" s="172"/>
      <c r="L217" s="172"/>
    </row>
    <row r="218">
      <c r="B218" s="172"/>
      <c r="C218" s="173"/>
      <c r="D218" s="137"/>
      <c r="E218" s="137"/>
      <c r="F218" s="137"/>
      <c r="H218" s="172"/>
      <c r="I218" s="172"/>
      <c r="J218" s="172"/>
      <c r="K218" s="172"/>
      <c r="L218" s="172"/>
    </row>
    <row r="219">
      <c r="B219" s="172"/>
      <c r="C219" s="173"/>
      <c r="D219" s="137"/>
      <c r="E219" s="137"/>
      <c r="F219" s="137"/>
      <c r="H219" s="172"/>
      <c r="I219" s="172"/>
      <c r="J219" s="172"/>
      <c r="K219" s="172"/>
      <c r="L219" s="172"/>
    </row>
    <row r="220">
      <c r="B220" s="172"/>
      <c r="C220" s="173"/>
      <c r="D220" s="137"/>
      <c r="E220" s="137"/>
      <c r="F220" s="137"/>
      <c r="H220" s="172"/>
      <c r="I220" s="172"/>
      <c r="J220" s="172"/>
      <c r="K220" s="172"/>
      <c r="L220" s="172"/>
    </row>
    <row r="221">
      <c r="B221" s="172"/>
      <c r="C221" s="173"/>
      <c r="D221" s="137"/>
      <c r="E221" s="137"/>
      <c r="F221" s="137"/>
      <c r="H221" s="172"/>
      <c r="I221" s="172"/>
      <c r="J221" s="172"/>
      <c r="K221" s="172"/>
      <c r="L221" s="172"/>
    </row>
    <row r="222">
      <c r="B222" s="172"/>
      <c r="C222" s="173"/>
      <c r="D222" s="137"/>
      <c r="E222" s="137"/>
      <c r="F222" s="137"/>
      <c r="H222" s="172"/>
      <c r="I222" s="172"/>
      <c r="J222" s="172"/>
      <c r="K222" s="172"/>
      <c r="L222" s="172"/>
    </row>
    <row r="223">
      <c r="B223" s="172"/>
      <c r="C223" s="173"/>
      <c r="D223" s="137"/>
      <c r="E223" s="137"/>
      <c r="F223" s="137"/>
      <c r="H223" s="172"/>
      <c r="I223" s="172"/>
      <c r="J223" s="172"/>
      <c r="K223" s="172"/>
      <c r="L223" s="172"/>
    </row>
    <row r="224">
      <c r="B224" s="172"/>
      <c r="C224" s="173"/>
      <c r="D224" s="137"/>
      <c r="E224" s="137"/>
      <c r="F224" s="137"/>
      <c r="H224" s="172"/>
      <c r="I224" s="172"/>
      <c r="J224" s="172"/>
      <c r="K224" s="172"/>
      <c r="L224" s="172"/>
    </row>
    <row r="225">
      <c r="B225" s="172"/>
      <c r="C225" s="173"/>
      <c r="D225" s="137"/>
      <c r="E225" s="137"/>
      <c r="F225" s="137"/>
      <c r="H225" s="172"/>
      <c r="I225" s="172"/>
      <c r="J225" s="172"/>
      <c r="K225" s="172"/>
      <c r="L225" s="172"/>
    </row>
    <row r="226">
      <c r="B226" s="172"/>
      <c r="C226" s="173"/>
      <c r="D226" s="137"/>
      <c r="E226" s="137"/>
      <c r="F226" s="137"/>
      <c r="H226" s="172"/>
      <c r="I226" s="172"/>
      <c r="J226" s="172"/>
      <c r="K226" s="172"/>
      <c r="L226" s="172"/>
    </row>
    <row r="227">
      <c r="B227" s="172"/>
      <c r="C227" s="173"/>
      <c r="D227" s="137"/>
      <c r="E227" s="137"/>
      <c r="F227" s="137"/>
      <c r="H227" s="172"/>
      <c r="I227" s="172"/>
      <c r="J227" s="172"/>
      <c r="K227" s="172"/>
      <c r="L227" s="172"/>
    </row>
    <row r="228">
      <c r="B228" s="172"/>
      <c r="C228" s="173"/>
      <c r="D228" s="137"/>
      <c r="E228" s="137"/>
      <c r="F228" s="137"/>
      <c r="H228" s="172"/>
      <c r="I228" s="172"/>
      <c r="J228" s="172"/>
      <c r="K228" s="172"/>
      <c r="L228" s="172"/>
    </row>
    <row r="229">
      <c r="B229" s="172"/>
      <c r="C229" s="173"/>
      <c r="D229" s="137"/>
      <c r="E229" s="137"/>
      <c r="F229" s="137"/>
      <c r="H229" s="172"/>
      <c r="I229" s="172"/>
      <c r="J229" s="172"/>
      <c r="K229" s="172"/>
      <c r="L229" s="172"/>
    </row>
    <row r="230">
      <c r="B230" s="172"/>
      <c r="C230" s="173"/>
      <c r="D230" s="137"/>
      <c r="E230" s="137"/>
      <c r="F230" s="137"/>
      <c r="H230" s="172"/>
      <c r="I230" s="172"/>
      <c r="J230" s="172"/>
      <c r="K230" s="172"/>
      <c r="L230" s="172"/>
    </row>
    <row r="231">
      <c r="B231" s="172"/>
      <c r="C231" s="173"/>
      <c r="D231" s="137"/>
      <c r="E231" s="137"/>
      <c r="F231" s="137"/>
      <c r="H231" s="172"/>
      <c r="I231" s="172"/>
      <c r="J231" s="172"/>
      <c r="K231" s="172"/>
      <c r="L231" s="172"/>
    </row>
    <row r="232">
      <c r="B232" s="172"/>
      <c r="C232" s="173"/>
      <c r="D232" s="137"/>
      <c r="E232" s="137"/>
      <c r="F232" s="137"/>
      <c r="H232" s="172"/>
      <c r="I232" s="172"/>
      <c r="J232" s="172"/>
      <c r="K232" s="172"/>
      <c r="L232" s="172"/>
    </row>
    <row r="233">
      <c r="B233" s="172"/>
      <c r="C233" s="173"/>
      <c r="D233" s="137"/>
      <c r="E233" s="137"/>
      <c r="F233" s="137"/>
      <c r="H233" s="172"/>
      <c r="I233" s="172"/>
      <c r="J233" s="172"/>
      <c r="K233" s="172"/>
      <c r="L233" s="172"/>
    </row>
    <row r="234">
      <c r="B234" s="172"/>
      <c r="C234" s="173"/>
      <c r="D234" s="137"/>
      <c r="E234" s="137"/>
      <c r="F234" s="137"/>
      <c r="H234" s="172"/>
      <c r="I234" s="172"/>
      <c r="J234" s="172"/>
      <c r="K234" s="172"/>
      <c r="L234" s="172"/>
    </row>
    <row r="235">
      <c r="B235" s="172"/>
      <c r="C235" s="173"/>
      <c r="D235" s="137"/>
      <c r="E235" s="137"/>
      <c r="F235" s="137"/>
      <c r="H235" s="172"/>
      <c r="I235" s="172"/>
      <c r="J235" s="172"/>
      <c r="K235" s="172"/>
      <c r="L235" s="172"/>
    </row>
    <row r="236">
      <c r="B236" s="172"/>
      <c r="C236" s="173"/>
      <c r="D236" s="137"/>
      <c r="E236" s="137"/>
      <c r="F236" s="137"/>
      <c r="H236" s="172"/>
      <c r="I236" s="172"/>
      <c r="J236" s="172"/>
      <c r="K236" s="172"/>
      <c r="L236" s="172"/>
    </row>
    <row r="237">
      <c r="B237" s="172"/>
      <c r="C237" s="173"/>
      <c r="D237" s="137"/>
      <c r="E237" s="137"/>
      <c r="F237" s="137"/>
      <c r="H237" s="172"/>
      <c r="I237" s="172"/>
      <c r="J237" s="172"/>
      <c r="K237" s="172"/>
      <c r="L237" s="172"/>
    </row>
    <row r="238">
      <c r="B238" s="172"/>
      <c r="C238" s="173"/>
      <c r="D238" s="137"/>
      <c r="E238" s="137"/>
      <c r="F238" s="137"/>
      <c r="H238" s="172"/>
      <c r="I238" s="172"/>
      <c r="J238" s="172"/>
      <c r="K238" s="172"/>
      <c r="L238" s="172"/>
    </row>
    <row r="239">
      <c r="B239" s="172"/>
      <c r="C239" s="173"/>
      <c r="D239" s="137"/>
      <c r="E239" s="137"/>
      <c r="F239" s="137"/>
      <c r="H239" s="172"/>
      <c r="I239" s="172"/>
      <c r="J239" s="172"/>
      <c r="K239" s="172"/>
      <c r="L239" s="172"/>
    </row>
    <row r="240">
      <c r="B240" s="172"/>
      <c r="C240" s="173"/>
      <c r="D240" s="137"/>
      <c r="E240" s="137"/>
      <c r="F240" s="137"/>
      <c r="H240" s="172"/>
      <c r="I240" s="172"/>
      <c r="J240" s="172"/>
      <c r="K240" s="172"/>
      <c r="L240" s="172"/>
    </row>
    <row r="241">
      <c r="B241" s="172"/>
      <c r="C241" s="173"/>
      <c r="D241" s="137"/>
      <c r="E241" s="137"/>
      <c r="F241" s="137"/>
      <c r="H241" s="172"/>
      <c r="I241" s="172"/>
      <c r="J241" s="172"/>
      <c r="K241" s="172"/>
      <c r="L241" s="172"/>
    </row>
    <row r="242">
      <c r="B242" s="172"/>
      <c r="C242" s="173"/>
      <c r="D242" s="137"/>
      <c r="E242" s="137"/>
      <c r="F242" s="137"/>
      <c r="H242" s="172"/>
      <c r="I242" s="172"/>
      <c r="J242" s="172"/>
      <c r="K242" s="172"/>
      <c r="L242" s="172"/>
    </row>
    <row r="243">
      <c r="B243" s="172"/>
      <c r="C243" s="173"/>
      <c r="D243" s="137"/>
      <c r="E243" s="137"/>
      <c r="F243" s="137"/>
      <c r="H243" s="172"/>
      <c r="I243" s="172"/>
      <c r="J243" s="172"/>
      <c r="K243" s="172"/>
      <c r="L243" s="172"/>
    </row>
    <row r="244">
      <c r="B244" s="172"/>
      <c r="C244" s="173"/>
      <c r="D244" s="137"/>
      <c r="E244" s="137"/>
      <c r="F244" s="137"/>
      <c r="H244" s="172"/>
      <c r="I244" s="172"/>
      <c r="J244" s="172"/>
      <c r="K244" s="172"/>
      <c r="L244" s="172"/>
    </row>
    <row r="245">
      <c r="B245" s="172"/>
      <c r="C245" s="173"/>
      <c r="D245" s="137"/>
      <c r="E245" s="137"/>
      <c r="F245" s="137"/>
      <c r="H245" s="172"/>
      <c r="I245" s="172"/>
      <c r="J245" s="172"/>
      <c r="K245" s="172"/>
      <c r="L245" s="172"/>
    </row>
    <row r="246">
      <c r="B246" s="172"/>
      <c r="C246" s="173"/>
      <c r="D246" s="137"/>
      <c r="E246" s="137"/>
      <c r="F246" s="137"/>
      <c r="H246" s="172"/>
      <c r="I246" s="172"/>
      <c r="J246" s="172"/>
      <c r="K246" s="172"/>
      <c r="L246" s="172"/>
    </row>
    <row r="247">
      <c r="B247" s="172"/>
      <c r="C247" s="173"/>
      <c r="D247" s="137"/>
      <c r="E247" s="137"/>
      <c r="F247" s="137"/>
      <c r="H247" s="172"/>
      <c r="I247" s="172"/>
      <c r="J247" s="172"/>
      <c r="K247" s="172"/>
      <c r="L247" s="172"/>
    </row>
    <row r="248">
      <c r="B248" s="172"/>
      <c r="C248" s="173"/>
      <c r="D248" s="137"/>
      <c r="E248" s="137"/>
      <c r="F248" s="137"/>
      <c r="H248" s="172"/>
      <c r="I248" s="172"/>
      <c r="J248" s="172"/>
      <c r="K248" s="172"/>
      <c r="L248" s="172"/>
    </row>
    <row r="249">
      <c r="B249" s="172"/>
      <c r="C249" s="173"/>
      <c r="D249" s="137"/>
      <c r="E249" s="137"/>
      <c r="F249" s="137"/>
      <c r="H249" s="172"/>
      <c r="I249" s="172"/>
      <c r="J249" s="172"/>
      <c r="K249" s="172"/>
      <c r="L249" s="172"/>
    </row>
    <row r="250">
      <c r="B250" s="172"/>
      <c r="C250" s="173"/>
      <c r="D250" s="137"/>
      <c r="E250" s="137"/>
      <c r="F250" s="137"/>
      <c r="H250" s="172"/>
      <c r="I250" s="172"/>
      <c r="J250" s="172"/>
      <c r="K250" s="172"/>
      <c r="L250" s="172"/>
    </row>
    <row r="251">
      <c r="B251" s="172"/>
      <c r="C251" s="173"/>
      <c r="D251" s="137"/>
      <c r="E251" s="137"/>
      <c r="F251" s="137"/>
      <c r="H251" s="172"/>
      <c r="I251" s="172"/>
      <c r="J251" s="172"/>
      <c r="K251" s="172"/>
      <c r="L251" s="172"/>
    </row>
    <row r="252">
      <c r="B252" s="172"/>
      <c r="C252" s="173"/>
      <c r="D252" s="137"/>
      <c r="E252" s="137"/>
      <c r="F252" s="137"/>
      <c r="H252" s="172"/>
      <c r="I252" s="172"/>
      <c r="J252" s="172"/>
      <c r="K252" s="172"/>
      <c r="L252" s="172"/>
    </row>
    <row r="253">
      <c r="B253" s="172"/>
      <c r="C253" s="173"/>
      <c r="D253" s="137"/>
      <c r="E253" s="137"/>
      <c r="F253" s="137"/>
      <c r="H253" s="172"/>
      <c r="I253" s="172"/>
      <c r="J253" s="172"/>
      <c r="K253" s="172"/>
      <c r="L253" s="172"/>
    </row>
    <row r="254">
      <c r="B254" s="172"/>
      <c r="C254" s="173"/>
      <c r="D254" s="137"/>
      <c r="E254" s="137"/>
      <c r="F254" s="137"/>
      <c r="H254" s="172"/>
      <c r="I254" s="172"/>
      <c r="J254" s="172"/>
      <c r="K254" s="172"/>
      <c r="L254" s="172"/>
    </row>
    <row r="255">
      <c r="B255" s="172"/>
      <c r="C255" s="173"/>
      <c r="D255" s="137"/>
      <c r="E255" s="137"/>
      <c r="F255" s="137"/>
      <c r="H255" s="172"/>
      <c r="I255" s="172"/>
      <c r="J255" s="172"/>
      <c r="K255" s="172"/>
      <c r="L255" s="172"/>
    </row>
    <row r="256">
      <c r="B256" s="172"/>
      <c r="C256" s="173"/>
      <c r="D256" s="137"/>
      <c r="E256" s="137"/>
      <c r="F256" s="137"/>
      <c r="H256" s="172"/>
      <c r="I256" s="172"/>
      <c r="J256" s="172"/>
      <c r="K256" s="172"/>
      <c r="L256" s="172"/>
    </row>
    <row r="257">
      <c r="B257" s="172"/>
      <c r="C257" s="173"/>
      <c r="D257" s="137"/>
      <c r="E257" s="137"/>
      <c r="F257" s="137"/>
      <c r="H257" s="172"/>
      <c r="I257" s="172"/>
      <c r="J257" s="172"/>
      <c r="K257" s="172"/>
      <c r="L257" s="172"/>
    </row>
    <row r="258">
      <c r="B258" s="172"/>
      <c r="C258" s="173"/>
      <c r="D258" s="137"/>
      <c r="E258" s="137"/>
      <c r="F258" s="137"/>
      <c r="H258" s="172"/>
      <c r="I258" s="172"/>
      <c r="J258" s="172"/>
      <c r="K258" s="172"/>
      <c r="L258" s="172"/>
    </row>
    <row r="259">
      <c r="B259" s="172"/>
      <c r="C259" s="173"/>
      <c r="D259" s="137"/>
      <c r="E259" s="137"/>
      <c r="F259" s="137"/>
      <c r="H259" s="172"/>
      <c r="I259" s="172"/>
      <c r="J259" s="172"/>
      <c r="K259" s="172"/>
      <c r="L259" s="172"/>
    </row>
    <row r="260">
      <c r="B260" s="172"/>
      <c r="C260" s="173"/>
      <c r="D260" s="137"/>
      <c r="E260" s="137"/>
      <c r="F260" s="137"/>
      <c r="H260" s="172"/>
      <c r="I260" s="172"/>
      <c r="J260" s="172"/>
      <c r="K260" s="172"/>
      <c r="L260" s="172"/>
    </row>
    <row r="261">
      <c r="B261" s="172"/>
      <c r="C261" s="173"/>
      <c r="D261" s="137"/>
      <c r="E261" s="137"/>
      <c r="F261" s="137"/>
      <c r="H261" s="172"/>
      <c r="I261" s="172"/>
      <c r="J261" s="172"/>
      <c r="K261" s="172"/>
      <c r="L261" s="172"/>
    </row>
    <row r="262">
      <c r="B262" s="172"/>
      <c r="C262" s="173"/>
      <c r="D262" s="137"/>
      <c r="E262" s="137"/>
      <c r="F262" s="137"/>
      <c r="H262" s="172"/>
      <c r="I262" s="172"/>
      <c r="J262" s="172"/>
      <c r="K262" s="172"/>
      <c r="L262" s="172"/>
    </row>
    <row r="263">
      <c r="B263" s="172"/>
      <c r="C263" s="173"/>
      <c r="D263" s="137"/>
      <c r="E263" s="137"/>
      <c r="F263" s="137"/>
      <c r="H263" s="172"/>
      <c r="I263" s="172"/>
      <c r="J263" s="172"/>
      <c r="K263" s="172"/>
      <c r="L263" s="172"/>
    </row>
    <row r="264">
      <c r="B264" s="172"/>
      <c r="C264" s="173"/>
      <c r="D264" s="137"/>
      <c r="E264" s="137"/>
      <c r="F264" s="137"/>
      <c r="H264" s="172"/>
      <c r="I264" s="172"/>
      <c r="J264" s="172"/>
      <c r="K264" s="172"/>
      <c r="L264" s="172"/>
    </row>
    <row r="265">
      <c r="B265" s="172"/>
      <c r="C265" s="173"/>
      <c r="D265" s="137"/>
      <c r="E265" s="137"/>
      <c r="F265" s="137"/>
      <c r="H265" s="172"/>
      <c r="I265" s="172"/>
      <c r="J265" s="172"/>
      <c r="K265" s="172"/>
      <c r="L265" s="172"/>
    </row>
    <row r="266">
      <c r="B266" s="172"/>
      <c r="C266" s="173"/>
      <c r="D266" s="137"/>
      <c r="E266" s="137"/>
      <c r="F266" s="137"/>
      <c r="H266" s="172"/>
      <c r="I266" s="172"/>
      <c r="J266" s="172"/>
      <c r="K266" s="172"/>
      <c r="L266" s="172"/>
    </row>
    <row r="267">
      <c r="B267" s="172"/>
      <c r="C267" s="173"/>
      <c r="D267" s="137"/>
      <c r="E267" s="137"/>
      <c r="F267" s="137"/>
      <c r="H267" s="172"/>
      <c r="I267" s="172"/>
      <c r="J267" s="172"/>
      <c r="K267" s="172"/>
      <c r="L267" s="172"/>
    </row>
    <row r="268">
      <c r="B268" s="172"/>
      <c r="C268" s="173"/>
      <c r="D268" s="137"/>
      <c r="E268" s="137"/>
      <c r="F268" s="137"/>
      <c r="H268" s="172"/>
      <c r="I268" s="172"/>
      <c r="J268" s="172"/>
      <c r="K268" s="172"/>
      <c r="L268" s="172"/>
    </row>
    <row r="269">
      <c r="B269" s="172"/>
      <c r="C269" s="173"/>
      <c r="D269" s="137"/>
      <c r="E269" s="137"/>
      <c r="F269" s="137"/>
      <c r="H269" s="172"/>
      <c r="I269" s="172"/>
      <c r="J269" s="172"/>
      <c r="K269" s="172"/>
      <c r="L269" s="172"/>
    </row>
    <row r="270">
      <c r="B270" s="172"/>
      <c r="C270" s="173"/>
      <c r="D270" s="137"/>
      <c r="E270" s="137"/>
      <c r="F270" s="137"/>
      <c r="H270" s="172"/>
      <c r="I270" s="172"/>
      <c r="J270" s="172"/>
      <c r="K270" s="172"/>
      <c r="L270" s="172"/>
    </row>
    <row r="271">
      <c r="B271" s="172"/>
      <c r="C271" s="173"/>
      <c r="D271" s="137"/>
      <c r="E271" s="137"/>
      <c r="F271" s="137"/>
      <c r="H271" s="172"/>
      <c r="I271" s="172"/>
      <c r="J271" s="172"/>
      <c r="K271" s="172"/>
      <c r="L271" s="172"/>
    </row>
    <row r="272">
      <c r="B272" s="172"/>
      <c r="C272" s="173"/>
      <c r="D272" s="137"/>
      <c r="E272" s="137"/>
      <c r="F272" s="137"/>
      <c r="H272" s="172"/>
      <c r="I272" s="172"/>
      <c r="J272" s="172"/>
      <c r="K272" s="172"/>
      <c r="L272" s="172"/>
    </row>
    <row r="273">
      <c r="B273" s="172"/>
      <c r="C273" s="173"/>
      <c r="D273" s="137"/>
      <c r="E273" s="137"/>
      <c r="F273" s="137"/>
      <c r="H273" s="172"/>
      <c r="I273" s="172"/>
      <c r="J273" s="172"/>
      <c r="K273" s="172"/>
      <c r="L273" s="172"/>
    </row>
    <row r="274">
      <c r="B274" s="172"/>
      <c r="C274" s="173"/>
      <c r="D274" s="137"/>
      <c r="E274" s="137"/>
      <c r="F274" s="137"/>
      <c r="H274" s="172"/>
      <c r="I274" s="172"/>
      <c r="J274" s="172"/>
      <c r="K274" s="172"/>
      <c r="L274" s="172"/>
    </row>
    <row r="275">
      <c r="B275" s="172"/>
      <c r="C275" s="173"/>
      <c r="D275" s="137"/>
      <c r="E275" s="137"/>
      <c r="F275" s="137"/>
      <c r="H275" s="172"/>
      <c r="I275" s="172"/>
      <c r="J275" s="172"/>
      <c r="K275" s="172"/>
      <c r="L275" s="172"/>
    </row>
    <row r="276">
      <c r="B276" s="172"/>
      <c r="C276" s="173"/>
      <c r="D276" s="137"/>
      <c r="E276" s="137"/>
      <c r="F276" s="137"/>
      <c r="H276" s="172"/>
      <c r="I276" s="172"/>
      <c r="J276" s="172"/>
      <c r="K276" s="172"/>
      <c r="L276" s="172"/>
    </row>
    <row r="277">
      <c r="B277" s="172"/>
      <c r="C277" s="173"/>
      <c r="D277" s="137"/>
      <c r="E277" s="137"/>
      <c r="F277" s="137"/>
      <c r="H277" s="172"/>
      <c r="I277" s="172"/>
      <c r="J277" s="172"/>
      <c r="K277" s="172"/>
      <c r="L277" s="172"/>
    </row>
    <row r="278">
      <c r="B278" s="172"/>
      <c r="C278" s="173"/>
      <c r="D278" s="137"/>
      <c r="E278" s="137"/>
      <c r="F278" s="137"/>
      <c r="H278" s="172"/>
      <c r="I278" s="172"/>
      <c r="J278" s="172"/>
      <c r="K278" s="172"/>
      <c r="L278" s="172"/>
    </row>
    <row r="279">
      <c r="B279" s="172"/>
      <c r="C279" s="173"/>
      <c r="D279" s="137"/>
      <c r="E279" s="137"/>
      <c r="F279" s="137"/>
      <c r="H279" s="172"/>
      <c r="I279" s="172"/>
      <c r="J279" s="172"/>
      <c r="K279" s="172"/>
      <c r="L279" s="172"/>
    </row>
    <row r="280">
      <c r="B280" s="172"/>
      <c r="C280" s="173"/>
      <c r="D280" s="137"/>
      <c r="E280" s="137"/>
      <c r="F280" s="137"/>
      <c r="H280" s="172"/>
      <c r="I280" s="172"/>
      <c r="J280" s="172"/>
      <c r="K280" s="172"/>
      <c r="L280" s="172"/>
    </row>
    <row r="281">
      <c r="B281" s="172"/>
      <c r="C281" s="173"/>
      <c r="D281" s="137"/>
      <c r="E281" s="137"/>
      <c r="F281" s="137"/>
      <c r="H281" s="172"/>
      <c r="I281" s="172"/>
      <c r="J281" s="172"/>
      <c r="K281" s="172"/>
      <c r="L281" s="172"/>
    </row>
    <row r="282">
      <c r="B282" s="172"/>
      <c r="C282" s="173"/>
      <c r="D282" s="137"/>
      <c r="E282" s="137"/>
      <c r="F282" s="137"/>
      <c r="H282" s="172"/>
      <c r="I282" s="172"/>
      <c r="J282" s="172"/>
      <c r="K282" s="172"/>
      <c r="L282" s="172"/>
    </row>
    <row r="283">
      <c r="B283" s="172"/>
      <c r="C283" s="173"/>
      <c r="D283" s="137"/>
      <c r="E283" s="137"/>
      <c r="F283" s="137"/>
      <c r="H283" s="172"/>
      <c r="I283" s="172"/>
      <c r="J283" s="172"/>
      <c r="K283" s="172"/>
      <c r="L283" s="172"/>
    </row>
    <row r="284">
      <c r="B284" s="172"/>
      <c r="C284" s="173"/>
      <c r="D284" s="137"/>
      <c r="E284" s="137"/>
      <c r="F284" s="137"/>
      <c r="H284" s="172"/>
      <c r="I284" s="172"/>
      <c r="J284" s="172"/>
      <c r="K284" s="172"/>
      <c r="L284" s="172"/>
    </row>
    <row r="285">
      <c r="B285" s="172"/>
      <c r="C285" s="173"/>
      <c r="D285" s="137"/>
      <c r="E285" s="137"/>
      <c r="F285" s="137"/>
      <c r="H285" s="172"/>
      <c r="I285" s="172"/>
      <c r="J285" s="172"/>
      <c r="K285" s="172"/>
      <c r="L285" s="172"/>
    </row>
    <row r="286">
      <c r="B286" s="172"/>
      <c r="C286" s="173"/>
      <c r="D286" s="137"/>
      <c r="E286" s="137"/>
      <c r="F286" s="137"/>
      <c r="H286" s="172"/>
      <c r="I286" s="172"/>
      <c r="J286" s="172"/>
      <c r="K286" s="172"/>
      <c r="L286" s="172"/>
    </row>
    <row r="287">
      <c r="B287" s="172"/>
      <c r="C287" s="173"/>
      <c r="D287" s="137"/>
      <c r="E287" s="137"/>
      <c r="F287" s="137"/>
      <c r="H287" s="172"/>
      <c r="I287" s="172"/>
      <c r="J287" s="172"/>
      <c r="K287" s="172"/>
      <c r="L287" s="172"/>
    </row>
    <row r="288">
      <c r="B288" s="172"/>
      <c r="C288" s="173"/>
      <c r="D288" s="137"/>
      <c r="E288" s="137"/>
      <c r="F288" s="137"/>
      <c r="H288" s="172"/>
      <c r="I288" s="172"/>
      <c r="J288" s="172"/>
      <c r="K288" s="172"/>
      <c r="L288" s="172"/>
    </row>
    <row r="289">
      <c r="B289" s="172"/>
      <c r="C289" s="173"/>
      <c r="D289" s="137"/>
      <c r="E289" s="137"/>
      <c r="F289" s="137"/>
      <c r="H289" s="172"/>
      <c r="I289" s="172"/>
      <c r="J289" s="172"/>
      <c r="K289" s="172"/>
      <c r="L289" s="172"/>
    </row>
    <row r="290">
      <c r="B290" s="172"/>
      <c r="C290" s="173"/>
      <c r="D290" s="137"/>
      <c r="E290" s="137"/>
      <c r="F290" s="137"/>
      <c r="H290" s="172"/>
      <c r="I290" s="172"/>
      <c r="J290" s="172"/>
      <c r="K290" s="172"/>
      <c r="L290" s="172"/>
    </row>
    <row r="291">
      <c r="B291" s="172"/>
      <c r="C291" s="173"/>
      <c r="D291" s="137"/>
      <c r="E291" s="137"/>
      <c r="F291" s="137"/>
      <c r="H291" s="172"/>
      <c r="I291" s="172"/>
      <c r="J291" s="172"/>
      <c r="K291" s="172"/>
      <c r="L291" s="172"/>
    </row>
    <row r="292">
      <c r="B292" s="172"/>
      <c r="C292" s="173"/>
      <c r="D292" s="137"/>
      <c r="E292" s="137"/>
      <c r="F292" s="137"/>
      <c r="H292" s="172"/>
      <c r="I292" s="172"/>
      <c r="J292" s="172"/>
      <c r="K292" s="172"/>
      <c r="L292" s="172"/>
    </row>
    <row r="293">
      <c r="B293" s="172"/>
      <c r="C293" s="173"/>
      <c r="D293" s="137"/>
      <c r="E293" s="137"/>
      <c r="F293" s="137"/>
      <c r="H293" s="172"/>
      <c r="I293" s="172"/>
      <c r="J293" s="172"/>
      <c r="K293" s="172"/>
      <c r="L293" s="172"/>
    </row>
    <row r="294">
      <c r="B294" s="172"/>
      <c r="C294" s="173"/>
      <c r="D294" s="137"/>
      <c r="E294" s="137"/>
      <c r="F294" s="137"/>
      <c r="H294" s="172"/>
      <c r="I294" s="172"/>
      <c r="J294" s="172"/>
      <c r="K294" s="172"/>
      <c r="L294" s="172"/>
    </row>
    <row r="295">
      <c r="B295" s="172"/>
      <c r="C295" s="173"/>
      <c r="D295" s="137"/>
      <c r="E295" s="137"/>
      <c r="F295" s="137"/>
      <c r="H295" s="172"/>
      <c r="I295" s="172"/>
      <c r="J295" s="172"/>
      <c r="K295" s="172"/>
      <c r="L295" s="172"/>
    </row>
    <row r="296">
      <c r="B296" s="172"/>
      <c r="C296" s="173"/>
      <c r="D296" s="137"/>
      <c r="E296" s="137"/>
      <c r="F296" s="137"/>
      <c r="H296" s="172"/>
      <c r="I296" s="172"/>
      <c r="J296" s="172"/>
      <c r="K296" s="172"/>
      <c r="L296" s="172"/>
    </row>
    <row r="297">
      <c r="B297" s="172"/>
      <c r="C297" s="173"/>
      <c r="D297" s="137"/>
      <c r="E297" s="137"/>
      <c r="F297" s="137"/>
      <c r="H297" s="172"/>
      <c r="I297" s="172"/>
      <c r="J297" s="172"/>
      <c r="K297" s="172"/>
      <c r="L297" s="172"/>
    </row>
    <row r="298">
      <c r="B298" s="172"/>
      <c r="C298" s="173"/>
      <c r="D298" s="137"/>
      <c r="E298" s="137"/>
      <c r="F298" s="137"/>
      <c r="H298" s="172"/>
      <c r="I298" s="172"/>
      <c r="J298" s="172"/>
      <c r="K298" s="172"/>
      <c r="L298" s="172"/>
    </row>
    <row r="299">
      <c r="B299" s="172"/>
      <c r="C299" s="173"/>
      <c r="D299" s="137"/>
      <c r="E299" s="137"/>
      <c r="F299" s="137"/>
      <c r="H299" s="172"/>
      <c r="I299" s="172"/>
      <c r="J299" s="172"/>
      <c r="K299" s="172"/>
      <c r="L299" s="172"/>
    </row>
    <row r="300">
      <c r="B300" s="172"/>
      <c r="C300" s="173"/>
      <c r="D300" s="137"/>
      <c r="E300" s="137"/>
      <c r="F300" s="137"/>
      <c r="H300" s="172"/>
      <c r="I300" s="172"/>
      <c r="J300" s="172"/>
      <c r="K300" s="172"/>
      <c r="L300" s="172"/>
    </row>
    <row r="301">
      <c r="B301" s="172"/>
      <c r="C301" s="173"/>
      <c r="D301" s="137"/>
      <c r="E301" s="137"/>
      <c r="F301" s="137"/>
      <c r="H301" s="172"/>
      <c r="I301" s="172"/>
      <c r="J301" s="172"/>
      <c r="K301" s="172"/>
      <c r="L301" s="172"/>
    </row>
    <row r="302">
      <c r="B302" s="172"/>
      <c r="C302" s="173"/>
      <c r="D302" s="137"/>
      <c r="E302" s="137"/>
      <c r="F302" s="137"/>
      <c r="H302" s="172"/>
      <c r="I302" s="172"/>
      <c r="J302" s="172"/>
      <c r="K302" s="172"/>
      <c r="L302" s="172"/>
    </row>
    <row r="303">
      <c r="B303" s="172"/>
      <c r="C303" s="173"/>
      <c r="D303" s="137"/>
      <c r="E303" s="137"/>
      <c r="F303" s="137"/>
      <c r="H303" s="172"/>
      <c r="I303" s="172"/>
      <c r="J303" s="172"/>
      <c r="K303" s="172"/>
      <c r="L303" s="172"/>
    </row>
    <row r="304">
      <c r="B304" s="172"/>
      <c r="C304" s="173"/>
      <c r="D304" s="137"/>
      <c r="E304" s="137"/>
      <c r="F304" s="137"/>
      <c r="H304" s="172"/>
      <c r="I304" s="172"/>
      <c r="J304" s="172"/>
      <c r="K304" s="172"/>
      <c r="L304" s="172"/>
    </row>
    <row r="305">
      <c r="B305" s="172"/>
      <c r="C305" s="173"/>
      <c r="D305" s="137"/>
      <c r="E305" s="137"/>
      <c r="F305" s="137"/>
      <c r="H305" s="172"/>
      <c r="I305" s="172"/>
      <c r="J305" s="172"/>
      <c r="K305" s="172"/>
      <c r="L305" s="172"/>
    </row>
    <row r="306">
      <c r="B306" s="172"/>
      <c r="C306" s="173"/>
      <c r="D306" s="137"/>
      <c r="E306" s="137"/>
      <c r="F306" s="137"/>
      <c r="H306" s="172"/>
      <c r="I306" s="172"/>
      <c r="J306" s="172"/>
      <c r="K306" s="172"/>
      <c r="L306" s="172"/>
    </row>
    <row r="307">
      <c r="B307" s="172"/>
      <c r="C307" s="173"/>
      <c r="D307" s="137"/>
      <c r="E307" s="137"/>
      <c r="F307" s="137"/>
      <c r="H307" s="172"/>
      <c r="I307" s="172"/>
      <c r="J307" s="172"/>
      <c r="K307" s="172"/>
      <c r="L307" s="172"/>
    </row>
    <row r="308">
      <c r="B308" s="172"/>
      <c r="C308" s="173"/>
      <c r="D308" s="137"/>
      <c r="E308" s="137"/>
      <c r="F308" s="137"/>
      <c r="H308" s="172"/>
      <c r="I308" s="172"/>
      <c r="J308" s="172"/>
      <c r="K308" s="172"/>
      <c r="L308" s="172"/>
    </row>
    <row r="309">
      <c r="B309" s="172"/>
      <c r="C309" s="173"/>
      <c r="D309" s="137"/>
      <c r="E309" s="137"/>
      <c r="F309" s="137"/>
      <c r="H309" s="172"/>
      <c r="I309" s="172"/>
      <c r="J309" s="172"/>
      <c r="K309" s="172"/>
      <c r="L309" s="172"/>
    </row>
    <row r="310">
      <c r="B310" s="172"/>
      <c r="C310" s="173"/>
      <c r="D310" s="137"/>
      <c r="E310" s="137"/>
      <c r="F310" s="137"/>
      <c r="H310" s="172"/>
      <c r="I310" s="172"/>
      <c r="J310" s="172"/>
      <c r="K310" s="172"/>
      <c r="L310" s="172"/>
    </row>
    <row r="311">
      <c r="B311" s="172"/>
      <c r="C311" s="173"/>
      <c r="D311" s="137"/>
      <c r="E311" s="137"/>
      <c r="F311" s="137"/>
      <c r="H311" s="172"/>
      <c r="I311" s="172"/>
      <c r="J311" s="172"/>
      <c r="K311" s="172"/>
      <c r="L311" s="172"/>
    </row>
    <row r="312">
      <c r="B312" s="172"/>
      <c r="C312" s="173"/>
      <c r="D312" s="137"/>
      <c r="E312" s="137"/>
      <c r="F312" s="137"/>
      <c r="H312" s="172"/>
      <c r="I312" s="172"/>
      <c r="J312" s="172"/>
      <c r="K312" s="172"/>
      <c r="L312" s="172"/>
    </row>
    <row r="313">
      <c r="B313" s="172"/>
      <c r="C313" s="173"/>
      <c r="D313" s="137"/>
      <c r="E313" s="137"/>
      <c r="F313" s="137"/>
      <c r="H313" s="172"/>
      <c r="I313" s="172"/>
      <c r="J313" s="172"/>
      <c r="K313" s="172"/>
      <c r="L313" s="172"/>
    </row>
    <row r="314">
      <c r="B314" s="172"/>
      <c r="C314" s="173"/>
      <c r="D314" s="137"/>
      <c r="E314" s="137"/>
      <c r="F314" s="137"/>
      <c r="H314" s="172"/>
      <c r="I314" s="172"/>
      <c r="J314" s="172"/>
      <c r="K314" s="172"/>
      <c r="L314" s="172"/>
    </row>
    <row r="315">
      <c r="B315" s="172"/>
      <c r="C315" s="173"/>
      <c r="D315" s="137"/>
      <c r="E315" s="137"/>
      <c r="F315" s="137"/>
      <c r="H315" s="172"/>
      <c r="I315" s="172"/>
      <c r="J315" s="172"/>
      <c r="K315" s="172"/>
      <c r="L315" s="172"/>
    </row>
    <row r="316">
      <c r="B316" s="172"/>
      <c r="C316" s="173"/>
      <c r="D316" s="137"/>
      <c r="E316" s="137"/>
      <c r="F316" s="137"/>
      <c r="H316" s="172"/>
      <c r="I316" s="172"/>
      <c r="J316" s="172"/>
      <c r="K316" s="172"/>
      <c r="L316" s="172"/>
    </row>
    <row r="317">
      <c r="B317" s="172"/>
      <c r="C317" s="173"/>
      <c r="D317" s="137"/>
      <c r="E317" s="137"/>
      <c r="F317" s="137"/>
      <c r="H317" s="172"/>
      <c r="I317" s="172"/>
      <c r="J317" s="172"/>
      <c r="K317" s="172"/>
      <c r="L317" s="172"/>
    </row>
    <row r="318">
      <c r="B318" s="172"/>
      <c r="C318" s="173"/>
      <c r="D318" s="137"/>
      <c r="E318" s="137"/>
      <c r="F318" s="137"/>
      <c r="H318" s="172"/>
      <c r="I318" s="172"/>
      <c r="J318" s="172"/>
      <c r="K318" s="172"/>
      <c r="L318" s="172"/>
    </row>
    <row r="319">
      <c r="B319" s="172"/>
      <c r="C319" s="173"/>
      <c r="D319" s="137"/>
      <c r="E319" s="137"/>
      <c r="F319" s="137"/>
      <c r="H319" s="172"/>
      <c r="I319" s="172"/>
      <c r="J319" s="172"/>
      <c r="K319" s="172"/>
      <c r="L319" s="172"/>
    </row>
    <row r="320">
      <c r="B320" s="172"/>
      <c r="C320" s="173"/>
      <c r="D320" s="137"/>
      <c r="E320" s="137"/>
      <c r="F320" s="137"/>
      <c r="H320" s="172"/>
      <c r="I320" s="172"/>
      <c r="J320" s="172"/>
      <c r="K320" s="172"/>
      <c r="L320" s="172"/>
    </row>
    <row r="321">
      <c r="B321" s="172"/>
      <c r="C321" s="173"/>
      <c r="D321" s="137"/>
      <c r="E321" s="137"/>
      <c r="F321" s="137"/>
      <c r="H321" s="172"/>
      <c r="I321" s="172"/>
      <c r="J321" s="172"/>
      <c r="K321" s="172"/>
      <c r="L321" s="172"/>
    </row>
    <row r="322">
      <c r="B322" s="172"/>
      <c r="C322" s="173"/>
      <c r="D322" s="137"/>
      <c r="E322" s="137"/>
      <c r="F322" s="137"/>
      <c r="H322" s="172"/>
      <c r="I322" s="172"/>
      <c r="J322" s="172"/>
      <c r="K322" s="172"/>
      <c r="L322" s="172"/>
    </row>
    <row r="323">
      <c r="B323" s="172"/>
      <c r="C323" s="173"/>
      <c r="D323" s="137"/>
      <c r="E323" s="137"/>
      <c r="F323" s="137"/>
      <c r="H323" s="172"/>
      <c r="I323" s="172"/>
      <c r="J323" s="172"/>
      <c r="K323" s="172"/>
      <c r="L323" s="172"/>
    </row>
    <row r="324">
      <c r="B324" s="172"/>
      <c r="C324" s="173"/>
      <c r="D324" s="137"/>
      <c r="E324" s="137"/>
      <c r="F324" s="137"/>
      <c r="H324" s="172"/>
      <c r="I324" s="172"/>
      <c r="J324" s="172"/>
      <c r="K324" s="172"/>
      <c r="L324" s="172"/>
    </row>
    <row r="325">
      <c r="B325" s="172"/>
      <c r="C325" s="173"/>
      <c r="D325" s="137"/>
      <c r="E325" s="137"/>
      <c r="F325" s="137"/>
      <c r="H325" s="172"/>
      <c r="I325" s="172"/>
      <c r="J325" s="172"/>
      <c r="K325" s="172"/>
      <c r="L325" s="172"/>
    </row>
    <row r="326">
      <c r="B326" s="172"/>
      <c r="C326" s="173"/>
      <c r="D326" s="137"/>
      <c r="E326" s="137"/>
      <c r="F326" s="137"/>
      <c r="H326" s="172"/>
      <c r="I326" s="172"/>
      <c r="J326" s="172"/>
      <c r="K326" s="172"/>
      <c r="L326" s="172"/>
    </row>
    <row r="327">
      <c r="B327" s="172"/>
      <c r="C327" s="173"/>
      <c r="D327" s="137"/>
      <c r="E327" s="137"/>
      <c r="F327" s="137"/>
      <c r="H327" s="172"/>
      <c r="I327" s="172"/>
      <c r="J327" s="172"/>
      <c r="K327" s="172"/>
      <c r="L327" s="172"/>
    </row>
    <row r="328">
      <c r="B328" s="172"/>
      <c r="C328" s="173"/>
      <c r="D328" s="137"/>
      <c r="E328" s="137"/>
      <c r="F328" s="137"/>
      <c r="H328" s="172"/>
      <c r="I328" s="172"/>
      <c r="J328" s="172"/>
      <c r="K328" s="172"/>
      <c r="L328" s="172"/>
    </row>
    <row r="329">
      <c r="B329" s="172"/>
      <c r="C329" s="173"/>
      <c r="D329" s="137"/>
      <c r="E329" s="137"/>
      <c r="F329" s="137"/>
      <c r="H329" s="172"/>
      <c r="I329" s="172"/>
      <c r="J329" s="172"/>
      <c r="K329" s="172"/>
      <c r="L329" s="172"/>
    </row>
    <row r="330">
      <c r="B330" s="172"/>
      <c r="C330" s="173"/>
      <c r="D330" s="137"/>
      <c r="E330" s="137"/>
      <c r="F330" s="137"/>
      <c r="H330" s="172"/>
      <c r="I330" s="172"/>
      <c r="J330" s="172"/>
      <c r="K330" s="172"/>
      <c r="L330" s="172"/>
    </row>
    <row r="331">
      <c r="B331" s="172"/>
      <c r="C331" s="173"/>
      <c r="D331" s="137"/>
      <c r="E331" s="137"/>
      <c r="F331" s="137"/>
      <c r="H331" s="172"/>
      <c r="I331" s="172"/>
      <c r="J331" s="172"/>
      <c r="K331" s="172"/>
      <c r="L331" s="172"/>
    </row>
    <row r="332">
      <c r="B332" s="172"/>
      <c r="C332" s="173"/>
      <c r="D332" s="137"/>
      <c r="E332" s="137"/>
      <c r="F332" s="137"/>
      <c r="H332" s="172"/>
      <c r="I332" s="172"/>
      <c r="J332" s="172"/>
      <c r="K332" s="172"/>
      <c r="L332" s="172"/>
    </row>
    <row r="333">
      <c r="B333" s="172"/>
      <c r="C333" s="173"/>
      <c r="D333" s="137"/>
      <c r="E333" s="137"/>
      <c r="F333" s="137"/>
      <c r="H333" s="172"/>
      <c r="I333" s="172"/>
      <c r="J333" s="172"/>
      <c r="K333" s="172"/>
      <c r="L333" s="172"/>
    </row>
    <row r="334">
      <c r="B334" s="172"/>
      <c r="C334" s="173"/>
      <c r="D334" s="137"/>
      <c r="E334" s="137"/>
      <c r="F334" s="137"/>
      <c r="H334" s="172"/>
      <c r="I334" s="172"/>
      <c r="J334" s="172"/>
      <c r="K334" s="172"/>
      <c r="L334" s="172"/>
    </row>
    <row r="335">
      <c r="B335" s="172"/>
      <c r="C335" s="173"/>
      <c r="D335" s="137"/>
      <c r="E335" s="137"/>
      <c r="F335" s="137"/>
      <c r="H335" s="172"/>
      <c r="I335" s="172"/>
      <c r="J335" s="172"/>
      <c r="K335" s="172"/>
      <c r="L335" s="172"/>
    </row>
    <row r="336">
      <c r="B336" s="172"/>
      <c r="C336" s="173"/>
      <c r="D336" s="137"/>
      <c r="E336" s="137"/>
      <c r="F336" s="137"/>
      <c r="H336" s="172"/>
      <c r="I336" s="172"/>
      <c r="J336" s="172"/>
      <c r="K336" s="172"/>
      <c r="L336" s="172"/>
    </row>
    <row r="337">
      <c r="B337" s="172"/>
      <c r="C337" s="173"/>
      <c r="D337" s="137"/>
      <c r="E337" s="137"/>
      <c r="F337" s="137"/>
      <c r="H337" s="172"/>
      <c r="I337" s="172"/>
      <c r="J337" s="172"/>
      <c r="K337" s="172"/>
      <c r="L337" s="172"/>
    </row>
    <row r="338">
      <c r="B338" s="172"/>
      <c r="C338" s="173"/>
      <c r="D338" s="137"/>
      <c r="E338" s="137"/>
      <c r="F338" s="137"/>
      <c r="H338" s="172"/>
      <c r="I338" s="172"/>
      <c r="J338" s="172"/>
      <c r="K338" s="172"/>
      <c r="L338" s="172"/>
    </row>
    <row r="339">
      <c r="B339" s="172"/>
      <c r="C339" s="173"/>
      <c r="D339" s="137"/>
      <c r="E339" s="137"/>
      <c r="F339" s="137"/>
      <c r="H339" s="172"/>
      <c r="I339" s="172"/>
      <c r="J339" s="172"/>
      <c r="K339" s="172"/>
      <c r="L339" s="172"/>
    </row>
    <row r="340">
      <c r="B340" s="172"/>
      <c r="C340" s="173"/>
      <c r="D340" s="137"/>
      <c r="E340" s="137"/>
      <c r="F340" s="137"/>
      <c r="H340" s="172"/>
      <c r="I340" s="172"/>
      <c r="J340" s="172"/>
      <c r="K340" s="172"/>
      <c r="L340" s="172"/>
    </row>
    <row r="341">
      <c r="B341" s="172"/>
      <c r="C341" s="173"/>
      <c r="D341" s="137"/>
      <c r="E341" s="137"/>
      <c r="F341" s="137"/>
      <c r="H341" s="172"/>
      <c r="I341" s="172"/>
      <c r="J341" s="172"/>
      <c r="K341" s="172"/>
      <c r="L341" s="172"/>
    </row>
    <row r="342">
      <c r="B342" s="172"/>
      <c r="C342" s="173"/>
      <c r="D342" s="137"/>
      <c r="E342" s="137"/>
      <c r="F342" s="137"/>
      <c r="H342" s="172"/>
      <c r="I342" s="172"/>
      <c r="J342" s="172"/>
      <c r="K342" s="172"/>
      <c r="L342" s="172"/>
    </row>
    <row r="343">
      <c r="B343" s="172"/>
      <c r="C343" s="173"/>
      <c r="D343" s="137"/>
      <c r="E343" s="137"/>
      <c r="F343" s="137"/>
      <c r="H343" s="172"/>
      <c r="I343" s="172"/>
      <c r="J343" s="172"/>
      <c r="K343" s="172"/>
      <c r="L343" s="172"/>
    </row>
    <row r="344">
      <c r="B344" s="172"/>
      <c r="C344" s="173"/>
      <c r="D344" s="137"/>
      <c r="E344" s="137"/>
      <c r="F344" s="137"/>
      <c r="H344" s="172"/>
      <c r="I344" s="172"/>
      <c r="J344" s="172"/>
      <c r="K344" s="172"/>
      <c r="L344" s="172"/>
    </row>
    <row r="345">
      <c r="B345" s="172"/>
      <c r="C345" s="173"/>
      <c r="D345" s="137"/>
      <c r="E345" s="137"/>
      <c r="F345" s="137"/>
      <c r="H345" s="172"/>
      <c r="I345" s="172"/>
      <c r="J345" s="172"/>
      <c r="K345" s="172"/>
      <c r="L345" s="172"/>
    </row>
    <row r="346">
      <c r="B346" s="172"/>
      <c r="C346" s="173"/>
      <c r="D346" s="137"/>
      <c r="E346" s="137"/>
      <c r="F346" s="137"/>
      <c r="H346" s="172"/>
      <c r="I346" s="172"/>
      <c r="J346" s="172"/>
      <c r="K346" s="172"/>
      <c r="L346" s="172"/>
    </row>
    <row r="347">
      <c r="B347" s="172"/>
      <c r="C347" s="173"/>
      <c r="D347" s="137"/>
      <c r="E347" s="137"/>
      <c r="F347" s="137"/>
      <c r="H347" s="172"/>
      <c r="I347" s="172"/>
      <c r="J347" s="172"/>
      <c r="K347" s="172"/>
      <c r="L347" s="172"/>
    </row>
    <row r="348">
      <c r="B348" s="172"/>
      <c r="C348" s="173"/>
      <c r="D348" s="137"/>
      <c r="E348" s="137"/>
      <c r="F348" s="137"/>
      <c r="H348" s="172"/>
      <c r="I348" s="172"/>
      <c r="J348" s="172"/>
      <c r="K348" s="172"/>
      <c r="L348" s="172"/>
    </row>
    <row r="349">
      <c r="B349" s="172"/>
      <c r="C349" s="173"/>
      <c r="D349" s="137"/>
      <c r="E349" s="137"/>
      <c r="F349" s="137"/>
      <c r="H349" s="172"/>
      <c r="I349" s="172"/>
      <c r="J349" s="172"/>
      <c r="K349" s="172"/>
      <c r="L349" s="172"/>
    </row>
    <row r="350">
      <c r="B350" s="172"/>
      <c r="C350" s="173"/>
      <c r="D350" s="137"/>
      <c r="E350" s="137"/>
      <c r="F350" s="137"/>
      <c r="H350" s="172"/>
      <c r="I350" s="172"/>
      <c r="J350" s="172"/>
      <c r="K350" s="172"/>
      <c r="L350" s="172"/>
    </row>
    <row r="351">
      <c r="B351" s="172"/>
      <c r="C351" s="173"/>
      <c r="D351" s="137"/>
      <c r="E351" s="137"/>
      <c r="F351" s="137"/>
      <c r="H351" s="172"/>
      <c r="I351" s="172"/>
      <c r="J351" s="172"/>
      <c r="K351" s="172"/>
      <c r="L351" s="172"/>
    </row>
    <row r="352">
      <c r="B352" s="172"/>
      <c r="C352" s="173"/>
      <c r="D352" s="137"/>
      <c r="E352" s="137"/>
      <c r="F352" s="137"/>
      <c r="H352" s="172"/>
      <c r="I352" s="172"/>
      <c r="J352" s="172"/>
      <c r="K352" s="172"/>
      <c r="L352" s="172"/>
    </row>
    <row r="353">
      <c r="B353" s="172"/>
      <c r="C353" s="173"/>
      <c r="D353" s="137"/>
      <c r="E353" s="137"/>
      <c r="F353" s="137"/>
      <c r="H353" s="172"/>
      <c r="I353" s="172"/>
      <c r="J353" s="172"/>
      <c r="K353" s="172"/>
      <c r="L353" s="172"/>
    </row>
    <row r="354">
      <c r="B354" s="172"/>
      <c r="C354" s="173"/>
      <c r="D354" s="137"/>
      <c r="E354" s="137"/>
      <c r="F354" s="137"/>
      <c r="H354" s="172"/>
      <c r="I354" s="172"/>
      <c r="J354" s="172"/>
      <c r="K354" s="172"/>
      <c r="L354" s="172"/>
    </row>
    <row r="355">
      <c r="B355" s="172"/>
      <c r="C355" s="173"/>
      <c r="D355" s="137"/>
      <c r="E355" s="137"/>
      <c r="F355" s="137"/>
      <c r="H355" s="172"/>
      <c r="I355" s="172"/>
      <c r="J355" s="172"/>
      <c r="K355" s="172"/>
      <c r="L355" s="172"/>
    </row>
    <row r="356">
      <c r="B356" s="172"/>
      <c r="C356" s="173"/>
      <c r="D356" s="137"/>
      <c r="E356" s="137"/>
      <c r="F356" s="137"/>
      <c r="H356" s="172"/>
      <c r="I356" s="172"/>
      <c r="J356" s="172"/>
      <c r="K356" s="172"/>
      <c r="L356" s="172"/>
    </row>
    <row r="357">
      <c r="B357" s="172"/>
      <c r="C357" s="173"/>
      <c r="D357" s="137"/>
      <c r="E357" s="137"/>
      <c r="F357" s="137"/>
      <c r="H357" s="172"/>
      <c r="I357" s="172"/>
      <c r="J357" s="172"/>
      <c r="K357" s="172"/>
      <c r="L357" s="172"/>
    </row>
    <row r="358">
      <c r="B358" s="172"/>
      <c r="C358" s="173"/>
      <c r="D358" s="137"/>
      <c r="E358" s="137"/>
      <c r="F358" s="137"/>
      <c r="H358" s="172"/>
      <c r="I358" s="172"/>
      <c r="J358" s="172"/>
      <c r="K358" s="172"/>
      <c r="L358" s="172"/>
    </row>
    <row r="359">
      <c r="B359" s="172"/>
      <c r="C359" s="173"/>
      <c r="D359" s="137"/>
      <c r="E359" s="137"/>
      <c r="F359" s="137"/>
      <c r="H359" s="172"/>
      <c r="I359" s="172"/>
      <c r="J359" s="172"/>
      <c r="K359" s="172"/>
      <c r="L359" s="172"/>
    </row>
    <row r="360">
      <c r="B360" s="172"/>
      <c r="C360" s="173"/>
      <c r="D360" s="137"/>
      <c r="E360" s="137"/>
      <c r="F360" s="137"/>
      <c r="H360" s="172"/>
      <c r="I360" s="172"/>
      <c r="J360" s="172"/>
      <c r="K360" s="172"/>
      <c r="L360" s="172"/>
    </row>
    <row r="361">
      <c r="B361" s="172"/>
      <c r="C361" s="173"/>
      <c r="D361" s="137"/>
      <c r="E361" s="137"/>
      <c r="F361" s="137"/>
      <c r="H361" s="172"/>
      <c r="I361" s="172"/>
      <c r="J361" s="172"/>
      <c r="K361" s="172"/>
      <c r="L361" s="172"/>
    </row>
    <row r="362">
      <c r="B362" s="172"/>
      <c r="C362" s="173"/>
      <c r="D362" s="137"/>
      <c r="E362" s="137"/>
      <c r="F362" s="137"/>
      <c r="H362" s="172"/>
      <c r="I362" s="172"/>
      <c r="J362" s="172"/>
      <c r="K362" s="172"/>
      <c r="L362" s="172"/>
    </row>
    <row r="363">
      <c r="B363" s="172"/>
      <c r="C363" s="173"/>
      <c r="D363" s="137"/>
      <c r="E363" s="137"/>
      <c r="F363" s="137"/>
      <c r="H363" s="172"/>
      <c r="I363" s="172"/>
      <c r="J363" s="172"/>
      <c r="K363" s="172"/>
      <c r="L363" s="172"/>
    </row>
    <row r="364">
      <c r="B364" s="172"/>
      <c r="C364" s="173"/>
      <c r="D364" s="137"/>
      <c r="E364" s="137"/>
      <c r="F364" s="137"/>
      <c r="H364" s="172"/>
      <c r="I364" s="172"/>
      <c r="J364" s="172"/>
      <c r="K364" s="172"/>
      <c r="L364" s="172"/>
    </row>
    <row r="365">
      <c r="B365" s="172"/>
      <c r="C365" s="173"/>
      <c r="D365" s="137"/>
      <c r="E365" s="137"/>
      <c r="F365" s="137"/>
      <c r="H365" s="172"/>
      <c r="I365" s="172"/>
      <c r="J365" s="172"/>
      <c r="K365" s="172"/>
      <c r="L365" s="172"/>
    </row>
    <row r="366">
      <c r="B366" s="172"/>
      <c r="C366" s="173"/>
      <c r="D366" s="137"/>
      <c r="E366" s="137"/>
      <c r="F366" s="137"/>
      <c r="H366" s="172"/>
      <c r="I366" s="172"/>
      <c r="J366" s="172"/>
      <c r="K366" s="172"/>
      <c r="L366" s="172"/>
    </row>
    <row r="367">
      <c r="B367" s="172"/>
      <c r="C367" s="173"/>
      <c r="D367" s="137"/>
      <c r="E367" s="137"/>
      <c r="F367" s="137"/>
      <c r="H367" s="172"/>
      <c r="I367" s="172"/>
      <c r="J367" s="172"/>
      <c r="K367" s="172"/>
      <c r="L367" s="172"/>
    </row>
    <row r="368">
      <c r="B368" s="172"/>
      <c r="C368" s="173"/>
      <c r="D368" s="137"/>
      <c r="E368" s="137"/>
      <c r="F368" s="137"/>
      <c r="H368" s="172"/>
      <c r="I368" s="172"/>
      <c r="J368" s="172"/>
      <c r="K368" s="172"/>
      <c r="L368" s="172"/>
    </row>
    <row r="369">
      <c r="B369" s="172"/>
      <c r="C369" s="173"/>
      <c r="D369" s="137"/>
      <c r="E369" s="137"/>
      <c r="F369" s="137"/>
      <c r="H369" s="172"/>
      <c r="I369" s="172"/>
      <c r="J369" s="172"/>
      <c r="K369" s="172"/>
      <c r="L369" s="172"/>
    </row>
    <row r="370">
      <c r="B370" s="172"/>
      <c r="C370" s="173"/>
      <c r="D370" s="137"/>
      <c r="E370" s="137"/>
      <c r="F370" s="137"/>
      <c r="H370" s="172"/>
      <c r="I370" s="172"/>
      <c r="J370" s="172"/>
      <c r="K370" s="172"/>
      <c r="L370" s="172"/>
    </row>
    <row r="371">
      <c r="B371" s="172"/>
      <c r="C371" s="173"/>
      <c r="D371" s="137"/>
      <c r="E371" s="137"/>
      <c r="F371" s="137"/>
      <c r="H371" s="172"/>
      <c r="I371" s="172"/>
      <c r="J371" s="172"/>
      <c r="K371" s="172"/>
      <c r="L371" s="172"/>
    </row>
    <row r="372">
      <c r="B372" s="172"/>
      <c r="C372" s="173"/>
      <c r="D372" s="137"/>
      <c r="E372" s="137"/>
      <c r="F372" s="137"/>
      <c r="H372" s="172"/>
      <c r="I372" s="172"/>
      <c r="J372" s="172"/>
      <c r="K372" s="172"/>
      <c r="L372" s="172"/>
    </row>
    <row r="373">
      <c r="B373" s="172"/>
      <c r="C373" s="173"/>
      <c r="D373" s="137"/>
      <c r="E373" s="137"/>
      <c r="F373" s="137"/>
      <c r="H373" s="172"/>
      <c r="I373" s="172"/>
      <c r="J373" s="172"/>
      <c r="K373" s="172"/>
      <c r="L373" s="172"/>
    </row>
    <row r="374">
      <c r="B374" s="172"/>
      <c r="C374" s="173"/>
      <c r="D374" s="137"/>
      <c r="E374" s="137"/>
      <c r="F374" s="137"/>
      <c r="H374" s="172"/>
      <c r="I374" s="172"/>
      <c r="J374" s="172"/>
      <c r="K374" s="172"/>
      <c r="L374" s="172"/>
    </row>
    <row r="375">
      <c r="B375" s="172"/>
      <c r="C375" s="173"/>
      <c r="D375" s="137"/>
      <c r="E375" s="137"/>
      <c r="F375" s="137"/>
      <c r="H375" s="172"/>
      <c r="I375" s="172"/>
      <c r="J375" s="172"/>
      <c r="K375" s="172"/>
      <c r="L375" s="172"/>
    </row>
    <row r="376">
      <c r="B376" s="172"/>
      <c r="C376" s="173"/>
      <c r="D376" s="137"/>
      <c r="E376" s="137"/>
      <c r="F376" s="137"/>
      <c r="H376" s="172"/>
      <c r="I376" s="172"/>
      <c r="J376" s="172"/>
      <c r="K376" s="172"/>
      <c r="L376" s="172"/>
    </row>
    <row r="377">
      <c r="B377" s="172"/>
      <c r="C377" s="173"/>
      <c r="D377" s="137"/>
      <c r="E377" s="137"/>
      <c r="F377" s="137"/>
      <c r="H377" s="172"/>
      <c r="I377" s="172"/>
      <c r="J377" s="172"/>
      <c r="K377" s="172"/>
      <c r="L377" s="172"/>
    </row>
    <row r="378">
      <c r="B378" s="172"/>
      <c r="C378" s="173"/>
      <c r="D378" s="137"/>
      <c r="E378" s="137"/>
      <c r="F378" s="137"/>
      <c r="H378" s="172"/>
      <c r="I378" s="172"/>
      <c r="J378" s="172"/>
      <c r="K378" s="172"/>
      <c r="L378" s="172"/>
    </row>
    <row r="379">
      <c r="B379" s="172"/>
      <c r="C379" s="173"/>
      <c r="D379" s="137"/>
      <c r="E379" s="137"/>
      <c r="F379" s="137"/>
      <c r="H379" s="172"/>
      <c r="I379" s="172"/>
      <c r="J379" s="172"/>
      <c r="K379" s="172"/>
      <c r="L379" s="172"/>
    </row>
    <row r="380">
      <c r="B380" s="172"/>
      <c r="C380" s="173"/>
      <c r="D380" s="137"/>
      <c r="E380" s="137"/>
      <c r="F380" s="137"/>
      <c r="H380" s="172"/>
      <c r="I380" s="172"/>
      <c r="J380" s="172"/>
      <c r="K380" s="172"/>
      <c r="L380" s="172"/>
    </row>
    <row r="381">
      <c r="B381" s="172"/>
      <c r="C381" s="173"/>
      <c r="D381" s="137"/>
      <c r="E381" s="137"/>
      <c r="F381" s="137"/>
      <c r="H381" s="172"/>
      <c r="I381" s="172"/>
      <c r="J381" s="172"/>
      <c r="K381" s="172"/>
      <c r="L381" s="172"/>
    </row>
    <row r="382">
      <c r="B382" s="172"/>
      <c r="C382" s="173"/>
      <c r="D382" s="137"/>
      <c r="E382" s="137"/>
      <c r="F382" s="137"/>
      <c r="H382" s="172"/>
      <c r="I382" s="172"/>
      <c r="J382" s="172"/>
      <c r="K382" s="172"/>
      <c r="L382" s="172"/>
    </row>
    <row r="383">
      <c r="B383" s="172"/>
      <c r="C383" s="173"/>
      <c r="D383" s="137"/>
      <c r="E383" s="137"/>
      <c r="F383" s="137"/>
      <c r="H383" s="172"/>
      <c r="I383" s="172"/>
      <c r="J383" s="172"/>
      <c r="K383" s="172"/>
      <c r="L383" s="172"/>
    </row>
    <row r="384">
      <c r="B384" s="172"/>
      <c r="C384" s="173"/>
      <c r="D384" s="137"/>
      <c r="E384" s="137"/>
      <c r="F384" s="137"/>
      <c r="H384" s="172"/>
      <c r="I384" s="172"/>
      <c r="J384" s="172"/>
      <c r="K384" s="172"/>
      <c r="L384" s="172"/>
    </row>
    <row r="385">
      <c r="B385" s="172"/>
      <c r="C385" s="173"/>
      <c r="D385" s="137"/>
      <c r="E385" s="137"/>
      <c r="F385" s="137"/>
      <c r="H385" s="172"/>
      <c r="I385" s="172"/>
      <c r="J385" s="172"/>
      <c r="K385" s="172"/>
      <c r="L385" s="172"/>
    </row>
    <row r="386">
      <c r="B386" s="172"/>
      <c r="C386" s="173"/>
      <c r="D386" s="137"/>
      <c r="E386" s="137"/>
      <c r="F386" s="137"/>
      <c r="H386" s="172"/>
      <c r="I386" s="172"/>
      <c r="J386" s="172"/>
      <c r="K386" s="172"/>
      <c r="L386" s="172"/>
    </row>
    <row r="387">
      <c r="B387" s="172"/>
      <c r="C387" s="173"/>
      <c r="D387" s="137"/>
      <c r="E387" s="137"/>
      <c r="F387" s="137"/>
      <c r="H387" s="172"/>
      <c r="I387" s="172"/>
      <c r="J387" s="172"/>
      <c r="K387" s="172"/>
      <c r="L387" s="172"/>
    </row>
    <row r="388">
      <c r="B388" s="172"/>
      <c r="C388" s="173"/>
      <c r="D388" s="137"/>
      <c r="E388" s="137"/>
      <c r="F388" s="137"/>
      <c r="H388" s="172"/>
      <c r="I388" s="172"/>
      <c r="J388" s="172"/>
      <c r="K388" s="172"/>
      <c r="L388" s="172"/>
    </row>
    <row r="389">
      <c r="B389" s="172"/>
      <c r="C389" s="173"/>
      <c r="D389" s="137"/>
      <c r="E389" s="137"/>
      <c r="F389" s="137"/>
      <c r="H389" s="172"/>
      <c r="I389" s="172"/>
      <c r="J389" s="172"/>
      <c r="K389" s="172"/>
      <c r="L389" s="172"/>
    </row>
    <row r="390">
      <c r="B390" s="172"/>
      <c r="C390" s="173"/>
      <c r="D390" s="137"/>
      <c r="E390" s="137"/>
      <c r="F390" s="137"/>
      <c r="H390" s="172"/>
      <c r="I390" s="172"/>
      <c r="J390" s="172"/>
      <c r="K390" s="172"/>
      <c r="L390" s="172"/>
    </row>
    <row r="391">
      <c r="B391" s="172"/>
      <c r="C391" s="173"/>
      <c r="D391" s="137"/>
      <c r="E391" s="137"/>
      <c r="F391" s="137"/>
      <c r="H391" s="172"/>
      <c r="I391" s="172"/>
      <c r="J391" s="172"/>
      <c r="K391" s="172"/>
      <c r="L391" s="172"/>
    </row>
    <row r="392">
      <c r="B392" s="172"/>
      <c r="C392" s="173"/>
      <c r="D392" s="137"/>
      <c r="E392" s="137"/>
      <c r="F392" s="137"/>
      <c r="H392" s="172"/>
      <c r="I392" s="172"/>
      <c r="J392" s="172"/>
      <c r="K392" s="172"/>
      <c r="L392" s="172"/>
    </row>
    <row r="393">
      <c r="B393" s="172"/>
      <c r="C393" s="173"/>
      <c r="D393" s="137"/>
      <c r="E393" s="137"/>
      <c r="F393" s="137"/>
      <c r="H393" s="172"/>
      <c r="I393" s="172"/>
      <c r="J393" s="172"/>
      <c r="K393" s="172"/>
      <c r="L393" s="172"/>
    </row>
    <row r="394">
      <c r="B394" s="172"/>
      <c r="C394" s="173"/>
      <c r="D394" s="137"/>
      <c r="E394" s="137"/>
      <c r="F394" s="137"/>
      <c r="H394" s="172"/>
      <c r="I394" s="172"/>
      <c r="J394" s="172"/>
      <c r="K394" s="172"/>
      <c r="L394" s="172"/>
    </row>
    <row r="395">
      <c r="B395" s="172"/>
      <c r="C395" s="173"/>
      <c r="D395" s="137"/>
      <c r="E395" s="137"/>
      <c r="F395" s="137"/>
      <c r="H395" s="172"/>
      <c r="I395" s="172"/>
      <c r="J395" s="172"/>
      <c r="K395" s="172"/>
      <c r="L395" s="172"/>
    </row>
    <row r="396">
      <c r="B396" s="172"/>
      <c r="C396" s="173"/>
      <c r="D396" s="137"/>
      <c r="E396" s="137"/>
      <c r="F396" s="137"/>
      <c r="H396" s="172"/>
      <c r="I396" s="172"/>
      <c r="J396" s="172"/>
      <c r="K396" s="172"/>
      <c r="L396" s="172"/>
    </row>
    <row r="397">
      <c r="B397" s="172"/>
      <c r="C397" s="173"/>
      <c r="D397" s="137"/>
      <c r="E397" s="137"/>
      <c r="F397" s="137"/>
      <c r="H397" s="172"/>
      <c r="I397" s="172"/>
      <c r="J397" s="172"/>
      <c r="K397" s="172"/>
      <c r="L397" s="172"/>
    </row>
    <row r="398">
      <c r="B398" s="172"/>
      <c r="C398" s="173"/>
      <c r="D398" s="137"/>
      <c r="E398" s="137"/>
      <c r="F398" s="137"/>
      <c r="H398" s="172"/>
      <c r="I398" s="172"/>
      <c r="J398" s="172"/>
      <c r="K398" s="172"/>
      <c r="L398" s="172"/>
    </row>
    <row r="399">
      <c r="B399" s="172"/>
      <c r="C399" s="173"/>
      <c r="D399" s="137"/>
      <c r="E399" s="137"/>
      <c r="F399" s="137"/>
      <c r="H399" s="172"/>
      <c r="I399" s="172"/>
      <c r="J399" s="172"/>
      <c r="K399" s="172"/>
      <c r="L399" s="172"/>
    </row>
    <row r="400">
      <c r="B400" s="172"/>
      <c r="C400" s="173"/>
      <c r="D400" s="137"/>
      <c r="E400" s="137"/>
      <c r="F400" s="137"/>
      <c r="H400" s="172"/>
      <c r="I400" s="172"/>
      <c r="J400" s="172"/>
      <c r="K400" s="172"/>
      <c r="L400" s="172"/>
    </row>
    <row r="401">
      <c r="B401" s="172"/>
      <c r="C401" s="173"/>
      <c r="D401" s="137"/>
      <c r="E401" s="137"/>
      <c r="F401" s="137"/>
      <c r="H401" s="172"/>
      <c r="I401" s="172"/>
      <c r="J401" s="172"/>
      <c r="K401" s="172"/>
      <c r="L401" s="172"/>
    </row>
    <row r="402">
      <c r="B402" s="172"/>
      <c r="C402" s="173"/>
      <c r="D402" s="137"/>
      <c r="E402" s="137"/>
      <c r="F402" s="137"/>
      <c r="H402" s="172"/>
      <c r="I402" s="172"/>
      <c r="J402" s="172"/>
      <c r="K402" s="172"/>
      <c r="L402" s="172"/>
    </row>
    <row r="403">
      <c r="B403" s="172"/>
      <c r="C403" s="173"/>
      <c r="D403" s="137"/>
      <c r="E403" s="137"/>
      <c r="F403" s="137"/>
      <c r="H403" s="172"/>
      <c r="I403" s="172"/>
      <c r="J403" s="172"/>
      <c r="K403" s="172"/>
      <c r="L403" s="172"/>
    </row>
    <row r="404">
      <c r="B404" s="172"/>
      <c r="C404" s="173"/>
      <c r="D404" s="137"/>
      <c r="E404" s="137"/>
      <c r="F404" s="137"/>
      <c r="H404" s="172"/>
      <c r="I404" s="172"/>
      <c r="J404" s="172"/>
      <c r="K404" s="172"/>
      <c r="L404" s="172"/>
    </row>
    <row r="405">
      <c r="B405" s="172"/>
      <c r="C405" s="173"/>
      <c r="D405" s="137"/>
      <c r="E405" s="137"/>
      <c r="F405" s="137"/>
      <c r="H405" s="172"/>
      <c r="I405" s="172"/>
      <c r="J405" s="172"/>
      <c r="K405" s="172"/>
      <c r="L405" s="172"/>
    </row>
    <row r="406">
      <c r="B406" s="172"/>
      <c r="C406" s="173"/>
      <c r="D406" s="137"/>
      <c r="E406" s="137"/>
      <c r="F406" s="137"/>
      <c r="H406" s="172"/>
      <c r="I406" s="172"/>
      <c r="J406" s="172"/>
      <c r="K406" s="172"/>
      <c r="L406" s="172"/>
    </row>
    <row r="407">
      <c r="B407" s="172"/>
      <c r="C407" s="173"/>
      <c r="D407" s="137"/>
      <c r="E407" s="137"/>
      <c r="F407" s="137"/>
      <c r="H407" s="172"/>
      <c r="I407" s="172"/>
      <c r="J407" s="172"/>
      <c r="K407" s="172"/>
      <c r="L407" s="172"/>
    </row>
    <row r="408">
      <c r="B408" s="172"/>
      <c r="C408" s="173"/>
      <c r="D408" s="137"/>
      <c r="E408" s="137"/>
      <c r="F408" s="137"/>
      <c r="H408" s="172"/>
      <c r="I408" s="172"/>
      <c r="J408" s="172"/>
      <c r="K408" s="172"/>
      <c r="L408" s="172"/>
    </row>
    <row r="409">
      <c r="B409" s="172"/>
      <c r="C409" s="173"/>
      <c r="D409" s="137"/>
      <c r="E409" s="137"/>
      <c r="F409" s="137"/>
      <c r="H409" s="172"/>
      <c r="I409" s="172"/>
      <c r="J409" s="172"/>
      <c r="K409" s="172"/>
      <c r="L409" s="172"/>
    </row>
    <row r="410">
      <c r="B410" s="172"/>
      <c r="C410" s="173"/>
      <c r="D410" s="137"/>
      <c r="E410" s="137"/>
      <c r="F410" s="137"/>
      <c r="H410" s="172"/>
      <c r="I410" s="172"/>
      <c r="J410" s="172"/>
      <c r="K410" s="172"/>
      <c r="L410" s="172"/>
    </row>
    <row r="411">
      <c r="B411" s="172"/>
      <c r="C411" s="173"/>
      <c r="D411" s="137"/>
      <c r="E411" s="137"/>
      <c r="F411" s="137"/>
      <c r="H411" s="172"/>
      <c r="I411" s="172"/>
      <c r="J411" s="172"/>
      <c r="K411" s="172"/>
      <c r="L411" s="172"/>
    </row>
    <row r="412">
      <c r="B412" s="172"/>
      <c r="C412" s="173"/>
      <c r="D412" s="137"/>
      <c r="E412" s="137"/>
      <c r="F412" s="137"/>
      <c r="H412" s="172"/>
      <c r="I412" s="172"/>
      <c r="J412" s="172"/>
      <c r="K412" s="172"/>
      <c r="L412" s="172"/>
    </row>
    <row r="413">
      <c r="B413" s="172"/>
      <c r="C413" s="173"/>
      <c r="D413" s="137"/>
      <c r="E413" s="137"/>
      <c r="F413" s="137"/>
      <c r="H413" s="172"/>
      <c r="I413" s="172"/>
      <c r="J413" s="172"/>
      <c r="K413" s="172"/>
      <c r="L413" s="172"/>
    </row>
    <row r="414">
      <c r="B414" s="172"/>
      <c r="C414" s="173"/>
      <c r="D414" s="137"/>
      <c r="E414" s="137"/>
      <c r="F414" s="137"/>
      <c r="H414" s="172"/>
      <c r="I414" s="172"/>
      <c r="J414" s="172"/>
      <c r="K414" s="172"/>
      <c r="L414" s="172"/>
    </row>
    <row r="415">
      <c r="B415" s="172"/>
      <c r="C415" s="173"/>
      <c r="D415" s="137"/>
      <c r="E415" s="137"/>
      <c r="F415" s="137"/>
      <c r="H415" s="172"/>
      <c r="I415" s="172"/>
      <c r="J415" s="172"/>
      <c r="K415" s="172"/>
      <c r="L415" s="172"/>
    </row>
    <row r="416">
      <c r="B416" s="172"/>
      <c r="C416" s="173"/>
      <c r="D416" s="137"/>
      <c r="E416" s="137"/>
      <c r="F416" s="137"/>
      <c r="H416" s="172"/>
      <c r="I416" s="172"/>
      <c r="J416" s="172"/>
      <c r="K416" s="172"/>
      <c r="L416" s="172"/>
    </row>
    <row r="417">
      <c r="B417" s="172"/>
      <c r="C417" s="173"/>
      <c r="D417" s="137"/>
      <c r="E417" s="137"/>
      <c r="F417" s="137"/>
      <c r="H417" s="172"/>
      <c r="I417" s="172"/>
      <c r="J417" s="172"/>
      <c r="K417" s="172"/>
      <c r="L417" s="172"/>
    </row>
    <row r="418">
      <c r="B418" s="172"/>
      <c r="C418" s="173"/>
      <c r="D418" s="137"/>
      <c r="E418" s="137"/>
      <c r="F418" s="137"/>
      <c r="H418" s="172"/>
      <c r="I418" s="172"/>
      <c r="J418" s="172"/>
      <c r="K418" s="172"/>
      <c r="L418" s="172"/>
    </row>
    <row r="419">
      <c r="B419" s="172"/>
      <c r="C419" s="173"/>
      <c r="D419" s="137"/>
      <c r="E419" s="137"/>
      <c r="F419" s="137"/>
      <c r="H419" s="172"/>
      <c r="I419" s="172"/>
      <c r="J419" s="172"/>
      <c r="K419" s="172"/>
      <c r="L419" s="172"/>
    </row>
    <row r="420">
      <c r="B420" s="172"/>
      <c r="C420" s="173"/>
      <c r="D420" s="137"/>
      <c r="E420" s="137"/>
      <c r="F420" s="137"/>
      <c r="H420" s="172"/>
      <c r="I420" s="172"/>
      <c r="J420" s="172"/>
      <c r="K420" s="172"/>
      <c r="L420" s="172"/>
    </row>
    <row r="421">
      <c r="B421" s="172"/>
      <c r="C421" s="173"/>
      <c r="D421" s="137"/>
      <c r="E421" s="137"/>
      <c r="F421" s="137"/>
      <c r="H421" s="172"/>
      <c r="I421" s="172"/>
      <c r="J421" s="172"/>
      <c r="K421" s="172"/>
      <c r="L421" s="172"/>
    </row>
    <row r="422">
      <c r="B422" s="172"/>
      <c r="C422" s="173"/>
      <c r="D422" s="137"/>
      <c r="E422" s="137"/>
      <c r="F422" s="137"/>
      <c r="H422" s="172"/>
      <c r="I422" s="172"/>
      <c r="J422" s="172"/>
      <c r="K422" s="172"/>
      <c r="L422" s="172"/>
    </row>
    <row r="423">
      <c r="B423" s="172"/>
      <c r="C423" s="173"/>
      <c r="D423" s="137"/>
      <c r="E423" s="137"/>
      <c r="F423" s="137"/>
      <c r="H423" s="172"/>
      <c r="I423" s="172"/>
      <c r="J423" s="172"/>
      <c r="K423" s="172"/>
      <c r="L423" s="172"/>
    </row>
    <row r="424">
      <c r="B424" s="172"/>
      <c r="C424" s="173"/>
      <c r="D424" s="137"/>
      <c r="E424" s="137"/>
      <c r="F424" s="137"/>
      <c r="H424" s="172"/>
      <c r="I424" s="172"/>
      <c r="J424" s="172"/>
      <c r="K424" s="172"/>
      <c r="L424" s="172"/>
    </row>
    <row r="425">
      <c r="B425" s="172"/>
      <c r="C425" s="173"/>
      <c r="D425" s="137"/>
      <c r="E425" s="137"/>
      <c r="F425" s="137"/>
      <c r="H425" s="172"/>
      <c r="I425" s="172"/>
      <c r="J425" s="172"/>
      <c r="K425" s="172"/>
      <c r="L425" s="172"/>
    </row>
    <row r="426">
      <c r="B426" s="172"/>
      <c r="C426" s="173"/>
      <c r="D426" s="137"/>
      <c r="E426" s="137"/>
      <c r="F426" s="137"/>
      <c r="H426" s="172"/>
      <c r="I426" s="172"/>
      <c r="J426" s="172"/>
      <c r="K426" s="172"/>
      <c r="L426" s="172"/>
    </row>
    <row r="427">
      <c r="B427" s="172"/>
      <c r="C427" s="173"/>
      <c r="D427" s="137"/>
      <c r="E427" s="137"/>
      <c r="F427" s="137"/>
      <c r="H427" s="172"/>
      <c r="I427" s="172"/>
      <c r="J427" s="172"/>
      <c r="K427" s="172"/>
      <c r="L427" s="172"/>
    </row>
    <row r="428">
      <c r="B428" s="172"/>
      <c r="C428" s="173"/>
      <c r="D428" s="137"/>
      <c r="E428" s="137"/>
      <c r="F428" s="137"/>
      <c r="H428" s="172"/>
      <c r="I428" s="172"/>
      <c r="J428" s="172"/>
      <c r="K428" s="172"/>
      <c r="L428" s="172"/>
    </row>
    <row r="429">
      <c r="B429" s="172"/>
      <c r="C429" s="173"/>
      <c r="D429" s="137"/>
      <c r="E429" s="137"/>
      <c r="F429" s="137"/>
      <c r="H429" s="172"/>
      <c r="I429" s="172"/>
      <c r="J429" s="172"/>
      <c r="K429" s="172"/>
      <c r="L429" s="172"/>
    </row>
    <row r="430">
      <c r="B430" s="172"/>
      <c r="C430" s="173"/>
      <c r="D430" s="137"/>
      <c r="E430" s="137"/>
      <c r="F430" s="137"/>
      <c r="H430" s="172"/>
      <c r="I430" s="172"/>
      <c r="J430" s="172"/>
      <c r="K430" s="172"/>
      <c r="L430" s="172"/>
    </row>
    <row r="431">
      <c r="B431" s="172"/>
      <c r="C431" s="173"/>
      <c r="D431" s="137"/>
      <c r="E431" s="137"/>
      <c r="F431" s="137"/>
      <c r="H431" s="172"/>
      <c r="I431" s="172"/>
      <c r="J431" s="172"/>
      <c r="K431" s="172"/>
      <c r="L431" s="172"/>
    </row>
    <row r="432">
      <c r="B432" s="172"/>
      <c r="C432" s="173"/>
      <c r="D432" s="137"/>
      <c r="E432" s="137"/>
      <c r="F432" s="137"/>
      <c r="H432" s="172"/>
      <c r="I432" s="172"/>
      <c r="J432" s="172"/>
      <c r="K432" s="172"/>
      <c r="L432" s="172"/>
    </row>
    <row r="433">
      <c r="B433" s="172"/>
      <c r="C433" s="173"/>
      <c r="D433" s="137"/>
      <c r="E433" s="137"/>
      <c r="F433" s="137"/>
      <c r="H433" s="172"/>
      <c r="I433" s="172"/>
      <c r="J433" s="172"/>
      <c r="K433" s="172"/>
      <c r="L433" s="172"/>
    </row>
    <row r="434">
      <c r="B434" s="172"/>
      <c r="C434" s="173"/>
      <c r="D434" s="137"/>
      <c r="E434" s="137"/>
      <c r="F434" s="137"/>
      <c r="H434" s="172"/>
      <c r="I434" s="172"/>
      <c r="J434" s="172"/>
      <c r="K434" s="172"/>
      <c r="L434" s="172"/>
    </row>
    <row r="435">
      <c r="B435" s="172"/>
      <c r="C435" s="173"/>
      <c r="D435" s="137"/>
      <c r="E435" s="137"/>
      <c r="F435" s="137"/>
      <c r="H435" s="172"/>
      <c r="I435" s="172"/>
      <c r="J435" s="172"/>
      <c r="K435" s="172"/>
      <c r="L435" s="172"/>
    </row>
    <row r="436">
      <c r="B436" s="172"/>
      <c r="C436" s="173"/>
      <c r="D436" s="137"/>
      <c r="E436" s="137"/>
      <c r="F436" s="137"/>
      <c r="H436" s="172"/>
      <c r="I436" s="172"/>
      <c r="J436" s="172"/>
      <c r="K436" s="172"/>
      <c r="L436" s="172"/>
    </row>
    <row r="437">
      <c r="B437" s="172"/>
      <c r="C437" s="173"/>
      <c r="D437" s="137"/>
      <c r="E437" s="137"/>
      <c r="F437" s="137"/>
      <c r="H437" s="172"/>
      <c r="I437" s="172"/>
      <c r="J437" s="172"/>
      <c r="K437" s="172"/>
      <c r="L437" s="172"/>
    </row>
    <row r="438">
      <c r="B438" s="172"/>
      <c r="C438" s="173"/>
      <c r="D438" s="137"/>
      <c r="E438" s="137"/>
      <c r="F438" s="137"/>
      <c r="H438" s="172"/>
      <c r="I438" s="172"/>
      <c r="J438" s="172"/>
      <c r="K438" s="172"/>
      <c r="L438" s="172"/>
    </row>
    <row r="439">
      <c r="B439" s="172"/>
      <c r="C439" s="173"/>
      <c r="D439" s="137"/>
      <c r="E439" s="137"/>
      <c r="F439" s="137"/>
      <c r="H439" s="172"/>
      <c r="I439" s="172"/>
      <c r="J439" s="172"/>
      <c r="K439" s="172"/>
      <c r="L439" s="172"/>
    </row>
    <row r="440">
      <c r="B440" s="172"/>
      <c r="C440" s="173"/>
      <c r="D440" s="137"/>
      <c r="E440" s="137"/>
      <c r="F440" s="137"/>
      <c r="H440" s="172"/>
      <c r="I440" s="172"/>
      <c r="J440" s="172"/>
      <c r="K440" s="172"/>
      <c r="L440" s="172"/>
    </row>
    <row r="441">
      <c r="B441" s="172"/>
      <c r="C441" s="173"/>
      <c r="D441" s="137"/>
      <c r="E441" s="137"/>
      <c r="F441" s="137"/>
      <c r="H441" s="172"/>
      <c r="I441" s="172"/>
      <c r="J441" s="172"/>
      <c r="K441" s="172"/>
      <c r="L441" s="172"/>
    </row>
    <row r="442">
      <c r="B442" s="172"/>
      <c r="C442" s="173"/>
      <c r="D442" s="137"/>
      <c r="E442" s="137"/>
      <c r="F442" s="137"/>
      <c r="H442" s="172"/>
      <c r="I442" s="172"/>
      <c r="J442" s="172"/>
      <c r="K442" s="172"/>
      <c r="L442" s="172"/>
    </row>
    <row r="443">
      <c r="B443" s="172"/>
      <c r="C443" s="173"/>
      <c r="D443" s="137"/>
      <c r="E443" s="137"/>
      <c r="F443" s="137"/>
      <c r="H443" s="172"/>
      <c r="I443" s="172"/>
      <c r="J443" s="172"/>
      <c r="K443" s="172"/>
      <c r="L443" s="172"/>
    </row>
    <row r="444">
      <c r="B444" s="172"/>
      <c r="C444" s="173"/>
      <c r="D444" s="137"/>
      <c r="E444" s="137"/>
      <c r="F444" s="137"/>
      <c r="H444" s="172"/>
      <c r="I444" s="172"/>
      <c r="J444" s="172"/>
      <c r="K444" s="172"/>
      <c r="L444" s="172"/>
    </row>
    <row r="445">
      <c r="B445" s="172"/>
      <c r="C445" s="173"/>
      <c r="D445" s="137"/>
      <c r="E445" s="137"/>
      <c r="F445" s="137"/>
      <c r="H445" s="172"/>
      <c r="I445" s="172"/>
      <c r="J445" s="172"/>
      <c r="K445" s="172"/>
      <c r="L445" s="172"/>
    </row>
    <row r="446">
      <c r="B446" s="172"/>
      <c r="C446" s="173"/>
      <c r="D446" s="137"/>
      <c r="E446" s="137"/>
      <c r="F446" s="137"/>
      <c r="H446" s="172"/>
      <c r="I446" s="172"/>
      <c r="J446" s="172"/>
      <c r="K446" s="172"/>
      <c r="L446" s="172"/>
    </row>
    <row r="447">
      <c r="B447" s="172"/>
      <c r="C447" s="173"/>
      <c r="D447" s="137"/>
      <c r="E447" s="137"/>
      <c r="F447" s="137"/>
      <c r="H447" s="172"/>
      <c r="I447" s="172"/>
      <c r="J447" s="172"/>
      <c r="K447" s="172"/>
      <c r="L447" s="172"/>
    </row>
    <row r="448">
      <c r="B448" s="172"/>
      <c r="C448" s="173"/>
      <c r="D448" s="137"/>
      <c r="E448" s="137"/>
      <c r="F448" s="137"/>
      <c r="H448" s="172"/>
      <c r="I448" s="172"/>
      <c r="J448" s="172"/>
      <c r="K448" s="172"/>
      <c r="L448" s="172"/>
    </row>
    <row r="449">
      <c r="B449" s="172"/>
      <c r="C449" s="173"/>
      <c r="D449" s="137"/>
      <c r="E449" s="137"/>
      <c r="F449" s="137"/>
      <c r="H449" s="172"/>
      <c r="I449" s="172"/>
      <c r="J449" s="172"/>
      <c r="K449" s="172"/>
      <c r="L449" s="172"/>
    </row>
    <row r="450">
      <c r="B450" s="172"/>
      <c r="C450" s="173"/>
      <c r="D450" s="137"/>
      <c r="E450" s="137"/>
      <c r="F450" s="137"/>
      <c r="H450" s="172"/>
      <c r="I450" s="172"/>
      <c r="J450" s="172"/>
      <c r="K450" s="172"/>
      <c r="L450" s="172"/>
    </row>
    <row r="451">
      <c r="B451" s="172"/>
      <c r="C451" s="173"/>
      <c r="D451" s="137"/>
      <c r="E451" s="137"/>
      <c r="F451" s="137"/>
      <c r="H451" s="172"/>
      <c r="I451" s="172"/>
      <c r="J451" s="172"/>
      <c r="K451" s="172"/>
      <c r="L451" s="172"/>
    </row>
    <row r="452">
      <c r="B452" s="172"/>
      <c r="C452" s="173"/>
      <c r="D452" s="137"/>
      <c r="E452" s="137"/>
      <c r="F452" s="137"/>
      <c r="H452" s="172"/>
      <c r="I452" s="172"/>
      <c r="J452" s="172"/>
      <c r="K452" s="172"/>
      <c r="L452" s="172"/>
    </row>
    <row r="453">
      <c r="B453" s="172"/>
      <c r="C453" s="173"/>
      <c r="D453" s="137"/>
      <c r="E453" s="137"/>
      <c r="F453" s="137"/>
      <c r="H453" s="172"/>
      <c r="I453" s="172"/>
      <c r="J453" s="172"/>
      <c r="K453" s="172"/>
      <c r="L453" s="172"/>
    </row>
    <row r="454">
      <c r="B454" s="172"/>
      <c r="C454" s="173"/>
      <c r="D454" s="137"/>
      <c r="E454" s="137"/>
      <c r="F454" s="137"/>
      <c r="H454" s="172"/>
      <c r="I454" s="172"/>
      <c r="J454" s="172"/>
      <c r="K454" s="172"/>
      <c r="L454" s="172"/>
    </row>
    <row r="455">
      <c r="B455" s="172"/>
      <c r="C455" s="173"/>
      <c r="D455" s="137"/>
      <c r="E455" s="137"/>
      <c r="F455" s="137"/>
      <c r="H455" s="172"/>
      <c r="I455" s="172"/>
      <c r="J455" s="172"/>
      <c r="K455" s="172"/>
      <c r="L455" s="172"/>
    </row>
    <row r="456">
      <c r="B456" s="172"/>
      <c r="C456" s="173"/>
      <c r="D456" s="137"/>
      <c r="E456" s="137"/>
      <c r="F456" s="137"/>
      <c r="H456" s="172"/>
      <c r="I456" s="172"/>
      <c r="J456" s="172"/>
      <c r="K456" s="172"/>
      <c r="L456" s="172"/>
    </row>
    <row r="457">
      <c r="B457" s="172"/>
      <c r="C457" s="173"/>
      <c r="D457" s="137"/>
      <c r="E457" s="137"/>
      <c r="F457" s="137"/>
      <c r="H457" s="172"/>
      <c r="I457" s="172"/>
      <c r="J457" s="172"/>
      <c r="K457" s="172"/>
      <c r="L457" s="172"/>
    </row>
    <row r="458">
      <c r="B458" s="172"/>
      <c r="C458" s="173"/>
      <c r="D458" s="137"/>
      <c r="E458" s="137"/>
      <c r="F458" s="137"/>
      <c r="H458" s="172"/>
      <c r="I458" s="172"/>
      <c r="J458" s="172"/>
      <c r="K458" s="172"/>
      <c r="L458" s="172"/>
    </row>
    <row r="459">
      <c r="B459" s="172"/>
      <c r="C459" s="173"/>
      <c r="D459" s="137"/>
      <c r="E459" s="137"/>
      <c r="F459" s="137"/>
      <c r="H459" s="172"/>
      <c r="I459" s="172"/>
      <c r="J459" s="172"/>
      <c r="K459" s="172"/>
      <c r="L459" s="172"/>
    </row>
    <row r="460">
      <c r="B460" s="172"/>
      <c r="C460" s="173"/>
      <c r="D460" s="137"/>
      <c r="E460" s="137"/>
      <c r="F460" s="137"/>
      <c r="H460" s="172"/>
      <c r="I460" s="172"/>
      <c r="J460" s="172"/>
      <c r="K460" s="172"/>
      <c r="L460" s="172"/>
    </row>
    <row r="461">
      <c r="B461" s="172"/>
      <c r="C461" s="173"/>
      <c r="D461" s="137"/>
      <c r="E461" s="137"/>
      <c r="F461" s="137"/>
      <c r="H461" s="172"/>
      <c r="I461" s="172"/>
      <c r="J461" s="172"/>
      <c r="K461" s="172"/>
      <c r="L461" s="172"/>
    </row>
    <row r="462">
      <c r="B462" s="172"/>
      <c r="C462" s="173"/>
      <c r="D462" s="137"/>
      <c r="E462" s="137"/>
      <c r="F462" s="137"/>
      <c r="H462" s="172"/>
      <c r="I462" s="172"/>
      <c r="J462" s="172"/>
      <c r="K462" s="172"/>
      <c r="L462" s="172"/>
    </row>
    <row r="463">
      <c r="B463" s="172"/>
      <c r="C463" s="173"/>
      <c r="D463" s="137"/>
      <c r="E463" s="137"/>
      <c r="F463" s="137"/>
      <c r="H463" s="172"/>
      <c r="I463" s="172"/>
      <c r="J463" s="172"/>
      <c r="K463" s="172"/>
      <c r="L463" s="172"/>
    </row>
    <row r="464">
      <c r="B464" s="172"/>
      <c r="C464" s="173"/>
      <c r="D464" s="137"/>
      <c r="E464" s="137"/>
      <c r="F464" s="137"/>
      <c r="H464" s="172"/>
      <c r="I464" s="172"/>
      <c r="J464" s="172"/>
      <c r="K464" s="172"/>
      <c r="L464" s="172"/>
    </row>
    <row r="465">
      <c r="B465" s="172"/>
      <c r="C465" s="173"/>
      <c r="D465" s="137"/>
      <c r="E465" s="137"/>
      <c r="F465" s="137"/>
      <c r="H465" s="172"/>
      <c r="I465" s="172"/>
      <c r="J465" s="172"/>
      <c r="K465" s="172"/>
      <c r="L465" s="172"/>
    </row>
    <row r="466">
      <c r="B466" s="172"/>
      <c r="C466" s="173"/>
      <c r="D466" s="137"/>
      <c r="E466" s="137"/>
      <c r="F466" s="137"/>
      <c r="H466" s="172"/>
      <c r="I466" s="172"/>
      <c r="J466" s="172"/>
      <c r="K466" s="172"/>
      <c r="L466" s="172"/>
    </row>
    <row r="467">
      <c r="B467" s="172"/>
      <c r="C467" s="173"/>
      <c r="D467" s="137"/>
      <c r="E467" s="137"/>
      <c r="F467" s="137"/>
      <c r="H467" s="172"/>
      <c r="I467" s="172"/>
      <c r="J467" s="172"/>
      <c r="K467" s="172"/>
      <c r="L467" s="172"/>
    </row>
    <row r="468">
      <c r="B468" s="172"/>
      <c r="C468" s="173"/>
      <c r="D468" s="137"/>
      <c r="E468" s="137"/>
      <c r="F468" s="137"/>
      <c r="H468" s="172"/>
      <c r="I468" s="172"/>
      <c r="J468" s="172"/>
      <c r="K468" s="172"/>
      <c r="L468" s="172"/>
    </row>
    <row r="469">
      <c r="B469" s="172"/>
      <c r="C469" s="173"/>
      <c r="D469" s="137"/>
      <c r="E469" s="137"/>
      <c r="F469" s="137"/>
      <c r="H469" s="172"/>
      <c r="I469" s="172"/>
      <c r="J469" s="172"/>
      <c r="K469" s="172"/>
      <c r="L469" s="172"/>
    </row>
    <row r="470">
      <c r="B470" s="172"/>
      <c r="C470" s="173"/>
      <c r="D470" s="137"/>
      <c r="E470" s="137"/>
      <c r="F470" s="137"/>
      <c r="H470" s="172"/>
      <c r="I470" s="172"/>
      <c r="J470" s="172"/>
      <c r="K470" s="172"/>
      <c r="L470" s="172"/>
    </row>
    <row r="471">
      <c r="B471" s="172"/>
      <c r="C471" s="173"/>
      <c r="D471" s="137"/>
      <c r="E471" s="137"/>
      <c r="F471" s="137"/>
      <c r="H471" s="172"/>
      <c r="I471" s="172"/>
      <c r="J471" s="172"/>
      <c r="K471" s="172"/>
      <c r="L471" s="172"/>
    </row>
    <row r="472">
      <c r="B472" s="172"/>
      <c r="C472" s="173"/>
      <c r="D472" s="137"/>
      <c r="E472" s="137"/>
      <c r="F472" s="137"/>
      <c r="H472" s="172"/>
      <c r="I472" s="172"/>
      <c r="J472" s="172"/>
      <c r="K472" s="172"/>
      <c r="L472" s="172"/>
    </row>
    <row r="473">
      <c r="B473" s="172"/>
      <c r="C473" s="173"/>
      <c r="D473" s="137"/>
      <c r="E473" s="137"/>
      <c r="F473" s="137"/>
      <c r="H473" s="172"/>
      <c r="I473" s="172"/>
      <c r="J473" s="172"/>
      <c r="K473" s="172"/>
      <c r="L473" s="172"/>
    </row>
    <row r="474">
      <c r="B474" s="172"/>
      <c r="C474" s="173"/>
      <c r="D474" s="137"/>
      <c r="E474" s="137"/>
      <c r="F474" s="137"/>
      <c r="H474" s="172"/>
      <c r="I474" s="172"/>
      <c r="J474" s="172"/>
      <c r="K474" s="172"/>
      <c r="L474" s="172"/>
    </row>
    <row r="475">
      <c r="B475" s="172"/>
      <c r="C475" s="173"/>
      <c r="D475" s="137"/>
      <c r="E475" s="137"/>
      <c r="F475" s="137"/>
      <c r="H475" s="172"/>
      <c r="I475" s="172"/>
      <c r="J475" s="172"/>
      <c r="K475" s="172"/>
      <c r="L475" s="172"/>
    </row>
    <row r="476">
      <c r="B476" s="172"/>
      <c r="C476" s="173"/>
      <c r="D476" s="137"/>
      <c r="E476" s="137"/>
      <c r="F476" s="137"/>
      <c r="H476" s="172"/>
      <c r="I476" s="172"/>
      <c r="J476" s="172"/>
      <c r="K476" s="172"/>
      <c r="L476" s="172"/>
    </row>
    <row r="477">
      <c r="B477" s="172"/>
      <c r="C477" s="173"/>
      <c r="D477" s="137"/>
      <c r="E477" s="137"/>
      <c r="F477" s="137"/>
      <c r="H477" s="172"/>
      <c r="I477" s="172"/>
      <c r="J477" s="172"/>
      <c r="K477" s="172"/>
      <c r="L477" s="172"/>
    </row>
    <row r="478">
      <c r="B478" s="172"/>
      <c r="C478" s="173"/>
      <c r="D478" s="137"/>
      <c r="E478" s="137"/>
      <c r="F478" s="137"/>
      <c r="H478" s="172"/>
      <c r="I478" s="172"/>
      <c r="J478" s="172"/>
      <c r="K478" s="172"/>
      <c r="L478" s="172"/>
    </row>
    <row r="479">
      <c r="B479" s="172"/>
      <c r="C479" s="173"/>
      <c r="D479" s="137"/>
      <c r="E479" s="137"/>
      <c r="F479" s="137"/>
      <c r="H479" s="172"/>
      <c r="I479" s="172"/>
      <c r="J479" s="172"/>
      <c r="K479" s="172"/>
      <c r="L479" s="172"/>
    </row>
    <row r="480">
      <c r="B480" s="172"/>
      <c r="C480" s="173"/>
      <c r="D480" s="137"/>
      <c r="E480" s="137"/>
      <c r="F480" s="137"/>
      <c r="H480" s="172"/>
      <c r="I480" s="172"/>
      <c r="J480" s="172"/>
      <c r="K480" s="172"/>
      <c r="L480" s="172"/>
    </row>
    <row r="481">
      <c r="B481" s="172"/>
      <c r="C481" s="173"/>
      <c r="D481" s="137"/>
      <c r="E481" s="137"/>
      <c r="F481" s="137"/>
      <c r="H481" s="172"/>
      <c r="I481" s="172"/>
      <c r="J481" s="172"/>
      <c r="K481" s="172"/>
      <c r="L481" s="172"/>
    </row>
    <row r="482">
      <c r="B482" s="172"/>
      <c r="C482" s="173"/>
      <c r="D482" s="137"/>
      <c r="E482" s="137"/>
      <c r="F482" s="137"/>
      <c r="H482" s="172"/>
      <c r="I482" s="172"/>
      <c r="J482" s="172"/>
      <c r="K482" s="172"/>
      <c r="L482" s="172"/>
    </row>
    <row r="483">
      <c r="B483" s="172"/>
      <c r="C483" s="173"/>
      <c r="D483" s="137"/>
      <c r="E483" s="137"/>
      <c r="F483" s="137"/>
      <c r="H483" s="172"/>
      <c r="I483" s="172"/>
      <c r="J483" s="172"/>
      <c r="K483" s="172"/>
      <c r="L483" s="172"/>
    </row>
    <row r="484">
      <c r="B484" s="172"/>
      <c r="C484" s="173"/>
      <c r="D484" s="137"/>
      <c r="E484" s="137"/>
      <c r="F484" s="137"/>
      <c r="H484" s="172"/>
      <c r="I484" s="172"/>
      <c r="J484" s="172"/>
      <c r="K484" s="172"/>
      <c r="L484" s="172"/>
    </row>
    <row r="485">
      <c r="B485" s="172"/>
      <c r="C485" s="173"/>
      <c r="D485" s="137"/>
      <c r="E485" s="137"/>
      <c r="F485" s="137"/>
      <c r="H485" s="172"/>
      <c r="I485" s="172"/>
      <c r="J485" s="172"/>
      <c r="K485" s="172"/>
      <c r="L485" s="172"/>
    </row>
    <row r="486">
      <c r="B486" s="172"/>
      <c r="C486" s="173"/>
      <c r="D486" s="137"/>
      <c r="E486" s="137"/>
      <c r="F486" s="137"/>
      <c r="H486" s="172"/>
      <c r="I486" s="172"/>
      <c r="J486" s="172"/>
      <c r="K486" s="172"/>
      <c r="L486" s="172"/>
    </row>
    <row r="487">
      <c r="B487" s="172"/>
      <c r="C487" s="173"/>
      <c r="D487" s="137"/>
      <c r="E487" s="137"/>
      <c r="F487" s="137"/>
      <c r="H487" s="172"/>
      <c r="I487" s="172"/>
      <c r="J487" s="172"/>
      <c r="K487" s="172"/>
      <c r="L487" s="172"/>
    </row>
    <row r="488">
      <c r="B488" s="172"/>
      <c r="C488" s="173"/>
      <c r="D488" s="137"/>
      <c r="E488" s="137"/>
      <c r="F488" s="137"/>
      <c r="H488" s="172"/>
      <c r="I488" s="172"/>
      <c r="J488" s="172"/>
      <c r="K488" s="172"/>
      <c r="L488" s="172"/>
    </row>
    <row r="489">
      <c r="B489" s="172"/>
      <c r="C489" s="173"/>
      <c r="D489" s="137"/>
      <c r="E489" s="137"/>
      <c r="F489" s="137"/>
      <c r="H489" s="172"/>
      <c r="I489" s="172"/>
      <c r="J489" s="172"/>
      <c r="K489" s="172"/>
      <c r="L489" s="172"/>
    </row>
    <row r="490">
      <c r="B490" s="172"/>
      <c r="C490" s="173"/>
      <c r="D490" s="137"/>
      <c r="E490" s="137"/>
      <c r="F490" s="137"/>
      <c r="H490" s="172"/>
      <c r="I490" s="172"/>
      <c r="J490" s="172"/>
      <c r="K490" s="172"/>
      <c r="L490" s="172"/>
    </row>
    <row r="491">
      <c r="B491" s="172"/>
      <c r="C491" s="173"/>
      <c r="D491" s="137"/>
      <c r="E491" s="137"/>
      <c r="F491" s="137"/>
      <c r="H491" s="172"/>
      <c r="I491" s="172"/>
      <c r="J491" s="172"/>
      <c r="K491" s="172"/>
      <c r="L491" s="172"/>
    </row>
    <row r="492">
      <c r="B492" s="172"/>
      <c r="C492" s="173"/>
      <c r="D492" s="137"/>
      <c r="E492" s="137"/>
      <c r="F492" s="137"/>
      <c r="H492" s="172"/>
      <c r="I492" s="172"/>
      <c r="J492" s="172"/>
      <c r="K492" s="172"/>
      <c r="L492" s="172"/>
    </row>
    <row r="493">
      <c r="B493" s="172"/>
      <c r="C493" s="173"/>
      <c r="D493" s="137"/>
      <c r="E493" s="137"/>
      <c r="F493" s="137"/>
      <c r="H493" s="172"/>
      <c r="I493" s="172"/>
      <c r="J493" s="172"/>
      <c r="K493" s="172"/>
      <c r="L493" s="172"/>
    </row>
    <row r="494">
      <c r="B494" s="172"/>
      <c r="C494" s="173"/>
      <c r="D494" s="137"/>
      <c r="E494" s="137"/>
      <c r="F494" s="137"/>
      <c r="H494" s="172"/>
      <c r="I494" s="172"/>
      <c r="J494" s="172"/>
      <c r="K494" s="172"/>
      <c r="L494" s="172"/>
    </row>
    <row r="495">
      <c r="B495" s="172"/>
      <c r="C495" s="173"/>
      <c r="D495" s="137"/>
      <c r="E495" s="137"/>
      <c r="F495" s="137"/>
      <c r="H495" s="172"/>
      <c r="I495" s="172"/>
      <c r="J495" s="172"/>
      <c r="K495" s="172"/>
      <c r="L495" s="172"/>
    </row>
    <row r="496">
      <c r="B496" s="172"/>
      <c r="C496" s="173"/>
      <c r="D496" s="137"/>
      <c r="E496" s="137"/>
      <c r="F496" s="137"/>
      <c r="H496" s="172"/>
      <c r="I496" s="172"/>
      <c r="J496" s="172"/>
      <c r="K496" s="172"/>
      <c r="L496" s="172"/>
    </row>
    <row r="497">
      <c r="B497" s="172"/>
      <c r="C497" s="173"/>
      <c r="D497" s="137"/>
      <c r="E497" s="137"/>
      <c r="F497" s="137"/>
      <c r="H497" s="172"/>
      <c r="I497" s="172"/>
      <c r="J497" s="172"/>
      <c r="K497" s="172"/>
      <c r="L497" s="172"/>
    </row>
    <row r="498">
      <c r="B498" s="172"/>
      <c r="C498" s="173"/>
      <c r="D498" s="137"/>
      <c r="E498" s="137"/>
      <c r="F498" s="137"/>
      <c r="H498" s="172"/>
      <c r="I498" s="172"/>
      <c r="J498" s="172"/>
      <c r="K498" s="172"/>
      <c r="L498" s="172"/>
    </row>
    <row r="499">
      <c r="B499" s="172"/>
      <c r="C499" s="173"/>
      <c r="D499" s="137"/>
      <c r="E499" s="137"/>
      <c r="F499" s="137"/>
      <c r="H499" s="172"/>
      <c r="I499" s="172"/>
      <c r="J499" s="172"/>
      <c r="K499" s="172"/>
      <c r="L499" s="172"/>
    </row>
    <row r="500">
      <c r="B500" s="172"/>
      <c r="C500" s="173"/>
      <c r="D500" s="137"/>
      <c r="E500" s="137"/>
      <c r="F500" s="137"/>
      <c r="H500" s="172"/>
      <c r="I500" s="172"/>
      <c r="J500" s="172"/>
      <c r="K500" s="172"/>
      <c r="L500" s="172"/>
    </row>
    <row r="501">
      <c r="B501" s="172"/>
      <c r="C501" s="173"/>
      <c r="D501" s="137"/>
      <c r="E501" s="137"/>
      <c r="F501" s="137"/>
      <c r="H501" s="172"/>
      <c r="I501" s="172"/>
      <c r="J501" s="172"/>
      <c r="K501" s="172"/>
      <c r="L501" s="172"/>
    </row>
    <row r="502">
      <c r="B502" s="172"/>
      <c r="C502" s="173"/>
      <c r="D502" s="137"/>
      <c r="E502" s="137"/>
      <c r="F502" s="137"/>
      <c r="H502" s="172"/>
      <c r="I502" s="172"/>
      <c r="J502" s="172"/>
      <c r="K502" s="172"/>
      <c r="L502" s="172"/>
    </row>
    <row r="503">
      <c r="B503" s="172"/>
      <c r="C503" s="173"/>
      <c r="D503" s="137"/>
      <c r="E503" s="137"/>
      <c r="F503" s="137"/>
      <c r="H503" s="172"/>
      <c r="I503" s="172"/>
      <c r="J503" s="172"/>
      <c r="K503" s="172"/>
      <c r="L503" s="172"/>
    </row>
    <row r="504">
      <c r="B504" s="172"/>
      <c r="C504" s="173"/>
      <c r="D504" s="137"/>
      <c r="E504" s="137"/>
      <c r="F504" s="137"/>
      <c r="H504" s="172"/>
      <c r="I504" s="172"/>
      <c r="J504" s="172"/>
      <c r="K504" s="172"/>
      <c r="L504" s="172"/>
    </row>
    <row r="505">
      <c r="B505" s="172"/>
      <c r="C505" s="173"/>
      <c r="D505" s="137"/>
      <c r="E505" s="137"/>
      <c r="F505" s="137"/>
      <c r="H505" s="172"/>
      <c r="I505" s="172"/>
      <c r="J505" s="172"/>
      <c r="K505" s="172"/>
      <c r="L505" s="172"/>
    </row>
    <row r="506">
      <c r="B506" s="172"/>
      <c r="C506" s="173"/>
      <c r="D506" s="137"/>
      <c r="E506" s="137"/>
      <c r="F506" s="137"/>
      <c r="H506" s="172"/>
      <c r="I506" s="172"/>
      <c r="J506" s="172"/>
      <c r="K506" s="172"/>
      <c r="L506" s="172"/>
    </row>
    <row r="507">
      <c r="B507" s="172"/>
      <c r="C507" s="173"/>
      <c r="D507" s="137"/>
      <c r="E507" s="137"/>
      <c r="F507" s="137"/>
      <c r="H507" s="172"/>
      <c r="I507" s="172"/>
      <c r="J507" s="172"/>
      <c r="K507" s="172"/>
      <c r="L507" s="172"/>
    </row>
    <row r="508">
      <c r="B508" s="172"/>
      <c r="C508" s="173"/>
      <c r="D508" s="137"/>
      <c r="E508" s="137"/>
      <c r="F508" s="137"/>
      <c r="H508" s="172"/>
      <c r="I508" s="172"/>
      <c r="J508" s="172"/>
      <c r="K508" s="172"/>
      <c r="L508" s="172"/>
    </row>
    <row r="509">
      <c r="B509" s="172"/>
      <c r="C509" s="173"/>
      <c r="D509" s="137"/>
      <c r="E509" s="137"/>
      <c r="F509" s="137"/>
      <c r="H509" s="172"/>
      <c r="I509" s="172"/>
      <c r="J509" s="172"/>
      <c r="K509" s="172"/>
      <c r="L509" s="172"/>
    </row>
    <row r="510">
      <c r="B510" s="172"/>
      <c r="C510" s="173"/>
      <c r="D510" s="137"/>
      <c r="E510" s="137"/>
      <c r="F510" s="137"/>
      <c r="H510" s="172"/>
      <c r="I510" s="172"/>
      <c r="J510" s="172"/>
      <c r="K510" s="172"/>
      <c r="L510" s="172"/>
    </row>
    <row r="511">
      <c r="B511" s="172"/>
      <c r="C511" s="173"/>
      <c r="D511" s="137"/>
      <c r="E511" s="137"/>
      <c r="F511" s="137"/>
      <c r="H511" s="172"/>
      <c r="I511" s="172"/>
      <c r="J511" s="172"/>
      <c r="K511" s="172"/>
      <c r="L511" s="172"/>
    </row>
    <row r="512">
      <c r="B512" s="172"/>
      <c r="C512" s="173"/>
      <c r="D512" s="137"/>
      <c r="E512" s="137"/>
      <c r="F512" s="137"/>
      <c r="H512" s="172"/>
      <c r="I512" s="172"/>
      <c r="J512" s="172"/>
      <c r="K512" s="172"/>
      <c r="L512" s="172"/>
    </row>
    <row r="513">
      <c r="B513" s="172"/>
      <c r="C513" s="173"/>
      <c r="D513" s="137"/>
      <c r="E513" s="137"/>
      <c r="F513" s="137"/>
      <c r="H513" s="172"/>
      <c r="I513" s="172"/>
      <c r="J513" s="172"/>
      <c r="K513" s="172"/>
      <c r="L513" s="172"/>
    </row>
    <row r="514">
      <c r="B514" s="172"/>
      <c r="C514" s="173"/>
      <c r="D514" s="137"/>
      <c r="E514" s="137"/>
      <c r="F514" s="137"/>
      <c r="H514" s="172"/>
      <c r="I514" s="172"/>
      <c r="J514" s="172"/>
      <c r="K514" s="172"/>
      <c r="L514" s="172"/>
    </row>
    <row r="515">
      <c r="B515" s="172"/>
      <c r="C515" s="173"/>
      <c r="D515" s="137"/>
      <c r="E515" s="137"/>
      <c r="F515" s="137"/>
      <c r="H515" s="172"/>
      <c r="I515" s="172"/>
      <c r="J515" s="172"/>
      <c r="K515" s="172"/>
      <c r="L515" s="172"/>
    </row>
    <row r="516">
      <c r="B516" s="172"/>
      <c r="C516" s="173"/>
      <c r="D516" s="137"/>
      <c r="E516" s="137"/>
      <c r="F516" s="137"/>
      <c r="H516" s="172"/>
      <c r="I516" s="172"/>
      <c r="J516" s="172"/>
      <c r="K516" s="172"/>
      <c r="L516" s="172"/>
    </row>
    <row r="517">
      <c r="B517" s="172"/>
      <c r="C517" s="173"/>
      <c r="D517" s="137"/>
      <c r="E517" s="137"/>
      <c r="F517" s="137"/>
      <c r="H517" s="172"/>
      <c r="I517" s="172"/>
      <c r="J517" s="172"/>
      <c r="K517" s="172"/>
      <c r="L517" s="172"/>
    </row>
    <row r="518">
      <c r="B518" s="172"/>
      <c r="C518" s="173"/>
      <c r="D518" s="137"/>
      <c r="E518" s="137"/>
      <c r="F518" s="137"/>
      <c r="H518" s="172"/>
      <c r="I518" s="172"/>
      <c r="J518" s="172"/>
      <c r="K518" s="172"/>
      <c r="L518" s="172"/>
    </row>
    <row r="519">
      <c r="B519" s="172"/>
      <c r="C519" s="173"/>
      <c r="D519" s="137"/>
      <c r="E519" s="137"/>
      <c r="F519" s="137"/>
      <c r="H519" s="172"/>
      <c r="I519" s="172"/>
      <c r="J519" s="172"/>
      <c r="K519" s="172"/>
      <c r="L519" s="172"/>
    </row>
    <row r="520">
      <c r="B520" s="172"/>
      <c r="C520" s="173"/>
      <c r="D520" s="137"/>
      <c r="E520" s="137"/>
      <c r="F520" s="137"/>
      <c r="H520" s="172"/>
      <c r="I520" s="172"/>
      <c r="J520" s="172"/>
      <c r="K520" s="172"/>
      <c r="L520" s="172"/>
    </row>
    <row r="521">
      <c r="B521" s="172"/>
      <c r="C521" s="173"/>
      <c r="D521" s="137"/>
      <c r="E521" s="137"/>
      <c r="F521" s="137"/>
      <c r="H521" s="172"/>
      <c r="I521" s="172"/>
      <c r="J521" s="172"/>
      <c r="K521" s="172"/>
      <c r="L521" s="172"/>
    </row>
    <row r="522">
      <c r="B522" s="172"/>
      <c r="C522" s="173"/>
      <c r="D522" s="137"/>
      <c r="E522" s="137"/>
      <c r="F522" s="137"/>
      <c r="H522" s="172"/>
      <c r="I522" s="172"/>
      <c r="J522" s="172"/>
      <c r="K522" s="172"/>
      <c r="L522" s="172"/>
    </row>
    <row r="523">
      <c r="B523" s="172"/>
      <c r="C523" s="173"/>
      <c r="D523" s="137"/>
      <c r="E523" s="137"/>
      <c r="F523" s="137"/>
      <c r="H523" s="172"/>
      <c r="I523" s="172"/>
      <c r="J523" s="172"/>
      <c r="K523" s="172"/>
      <c r="L523" s="172"/>
    </row>
    <row r="524">
      <c r="B524" s="172"/>
      <c r="C524" s="173"/>
      <c r="D524" s="137"/>
      <c r="E524" s="137"/>
      <c r="F524" s="137"/>
      <c r="H524" s="172"/>
      <c r="I524" s="172"/>
      <c r="J524" s="172"/>
      <c r="K524" s="172"/>
      <c r="L524" s="172"/>
    </row>
    <row r="525">
      <c r="B525" s="172"/>
      <c r="C525" s="173"/>
      <c r="D525" s="137"/>
      <c r="E525" s="137"/>
      <c r="F525" s="137"/>
      <c r="H525" s="172"/>
      <c r="I525" s="172"/>
      <c r="J525" s="172"/>
      <c r="K525" s="172"/>
      <c r="L525" s="172"/>
    </row>
    <row r="526">
      <c r="B526" s="172"/>
      <c r="C526" s="173"/>
      <c r="D526" s="137"/>
      <c r="E526" s="137"/>
      <c r="F526" s="137"/>
      <c r="H526" s="172"/>
      <c r="I526" s="172"/>
      <c r="J526" s="172"/>
      <c r="K526" s="172"/>
      <c r="L526" s="172"/>
    </row>
    <row r="527">
      <c r="B527" s="172"/>
      <c r="C527" s="173"/>
      <c r="D527" s="137"/>
      <c r="E527" s="137"/>
      <c r="F527" s="137"/>
      <c r="H527" s="172"/>
      <c r="I527" s="172"/>
      <c r="J527" s="172"/>
      <c r="K527" s="172"/>
      <c r="L527" s="172"/>
    </row>
    <row r="528">
      <c r="B528" s="172"/>
      <c r="C528" s="173"/>
      <c r="D528" s="137"/>
      <c r="E528" s="137"/>
      <c r="F528" s="137"/>
      <c r="H528" s="172"/>
      <c r="I528" s="172"/>
      <c r="J528" s="172"/>
      <c r="K528" s="172"/>
      <c r="L528" s="172"/>
    </row>
    <row r="529">
      <c r="B529" s="172"/>
      <c r="C529" s="173"/>
      <c r="D529" s="137"/>
      <c r="E529" s="137"/>
      <c r="F529" s="137"/>
      <c r="H529" s="172"/>
      <c r="I529" s="172"/>
      <c r="J529" s="172"/>
      <c r="K529" s="172"/>
      <c r="L529" s="172"/>
    </row>
    <row r="530">
      <c r="B530" s="172"/>
      <c r="C530" s="173"/>
      <c r="D530" s="137"/>
      <c r="E530" s="137"/>
      <c r="F530" s="137"/>
      <c r="H530" s="172"/>
      <c r="I530" s="172"/>
      <c r="J530" s="172"/>
      <c r="K530" s="172"/>
      <c r="L530" s="172"/>
    </row>
    <row r="531">
      <c r="B531" s="172"/>
      <c r="C531" s="173"/>
      <c r="D531" s="137"/>
      <c r="E531" s="137"/>
      <c r="F531" s="137"/>
      <c r="H531" s="172"/>
      <c r="I531" s="172"/>
      <c r="J531" s="172"/>
      <c r="K531" s="172"/>
      <c r="L531" s="172"/>
    </row>
    <row r="532">
      <c r="B532" s="172"/>
      <c r="C532" s="173"/>
      <c r="D532" s="137"/>
      <c r="E532" s="137"/>
      <c r="F532" s="137"/>
      <c r="H532" s="172"/>
      <c r="I532" s="172"/>
      <c r="J532" s="172"/>
      <c r="K532" s="172"/>
      <c r="L532" s="172"/>
    </row>
    <row r="533">
      <c r="B533" s="172"/>
      <c r="C533" s="173"/>
      <c r="D533" s="137"/>
      <c r="E533" s="137"/>
      <c r="F533" s="137"/>
      <c r="H533" s="172"/>
      <c r="I533" s="172"/>
      <c r="J533" s="172"/>
      <c r="K533" s="172"/>
      <c r="L533" s="172"/>
    </row>
    <row r="534">
      <c r="B534" s="172"/>
      <c r="C534" s="173"/>
      <c r="D534" s="137"/>
      <c r="E534" s="137"/>
      <c r="F534" s="137"/>
      <c r="H534" s="172"/>
      <c r="I534" s="172"/>
      <c r="J534" s="172"/>
      <c r="K534" s="172"/>
      <c r="L534" s="172"/>
    </row>
    <row r="535">
      <c r="B535" s="172"/>
      <c r="C535" s="173"/>
      <c r="D535" s="137"/>
      <c r="E535" s="137"/>
      <c r="F535" s="137"/>
      <c r="H535" s="172"/>
      <c r="I535" s="172"/>
      <c r="J535" s="172"/>
      <c r="K535" s="172"/>
      <c r="L535" s="172"/>
    </row>
    <row r="536">
      <c r="B536" s="172"/>
      <c r="C536" s="173"/>
      <c r="D536" s="137"/>
      <c r="E536" s="137"/>
      <c r="F536" s="137"/>
      <c r="H536" s="172"/>
      <c r="I536" s="172"/>
      <c r="J536" s="172"/>
      <c r="K536" s="172"/>
      <c r="L536" s="172"/>
    </row>
    <row r="537">
      <c r="B537" s="172"/>
      <c r="C537" s="173"/>
      <c r="D537" s="137"/>
      <c r="E537" s="137"/>
      <c r="F537" s="137"/>
      <c r="H537" s="172"/>
      <c r="I537" s="172"/>
      <c r="J537" s="172"/>
      <c r="K537" s="172"/>
      <c r="L537" s="172"/>
    </row>
    <row r="538">
      <c r="B538" s="172"/>
      <c r="C538" s="173"/>
      <c r="D538" s="137"/>
      <c r="E538" s="137"/>
      <c r="F538" s="137"/>
      <c r="H538" s="172"/>
      <c r="I538" s="172"/>
      <c r="J538" s="172"/>
      <c r="K538" s="172"/>
      <c r="L538" s="172"/>
    </row>
    <row r="539">
      <c r="B539" s="172"/>
      <c r="C539" s="173"/>
      <c r="D539" s="137"/>
      <c r="E539" s="137"/>
      <c r="F539" s="137"/>
      <c r="H539" s="172"/>
      <c r="I539" s="172"/>
      <c r="J539" s="172"/>
      <c r="K539" s="172"/>
      <c r="L539" s="172"/>
    </row>
    <row r="540">
      <c r="B540" s="172"/>
      <c r="C540" s="173"/>
      <c r="D540" s="137"/>
      <c r="E540" s="137"/>
      <c r="F540" s="137"/>
      <c r="H540" s="172"/>
      <c r="I540" s="172"/>
      <c r="J540" s="172"/>
      <c r="K540" s="172"/>
      <c r="L540" s="172"/>
    </row>
    <row r="541">
      <c r="B541" s="172"/>
      <c r="C541" s="173"/>
      <c r="D541" s="137"/>
      <c r="E541" s="137"/>
      <c r="F541" s="137"/>
      <c r="H541" s="172"/>
      <c r="I541" s="172"/>
      <c r="J541" s="172"/>
      <c r="K541" s="172"/>
      <c r="L541" s="172"/>
    </row>
    <row r="542">
      <c r="B542" s="172"/>
      <c r="C542" s="173"/>
      <c r="D542" s="137"/>
      <c r="E542" s="137"/>
      <c r="F542" s="137"/>
      <c r="H542" s="172"/>
      <c r="I542" s="172"/>
      <c r="J542" s="172"/>
      <c r="K542" s="172"/>
      <c r="L542" s="172"/>
    </row>
    <row r="543">
      <c r="B543" s="172"/>
      <c r="C543" s="173"/>
      <c r="D543" s="137"/>
      <c r="E543" s="137"/>
      <c r="F543" s="137"/>
      <c r="H543" s="172"/>
      <c r="I543" s="172"/>
      <c r="J543" s="172"/>
      <c r="K543" s="172"/>
      <c r="L543" s="172"/>
    </row>
    <row r="544">
      <c r="B544" s="172"/>
      <c r="C544" s="173"/>
      <c r="D544" s="137"/>
      <c r="E544" s="137"/>
      <c r="F544" s="137"/>
      <c r="H544" s="172"/>
      <c r="I544" s="172"/>
      <c r="J544" s="172"/>
      <c r="K544" s="172"/>
      <c r="L544" s="172"/>
    </row>
    <row r="545">
      <c r="B545" s="172"/>
      <c r="C545" s="173"/>
      <c r="D545" s="137"/>
      <c r="E545" s="137"/>
      <c r="F545" s="137"/>
      <c r="H545" s="172"/>
      <c r="I545" s="172"/>
      <c r="J545" s="172"/>
      <c r="K545" s="172"/>
      <c r="L545" s="172"/>
    </row>
    <row r="546">
      <c r="B546" s="172"/>
      <c r="C546" s="173"/>
      <c r="D546" s="137"/>
      <c r="E546" s="137"/>
      <c r="F546" s="137"/>
      <c r="H546" s="172"/>
      <c r="I546" s="172"/>
      <c r="J546" s="172"/>
      <c r="K546" s="172"/>
      <c r="L546" s="172"/>
    </row>
    <row r="547">
      <c r="B547" s="172"/>
      <c r="C547" s="173"/>
      <c r="D547" s="137"/>
      <c r="E547" s="137"/>
      <c r="F547" s="137"/>
      <c r="H547" s="172"/>
      <c r="I547" s="172"/>
      <c r="J547" s="172"/>
      <c r="K547" s="172"/>
      <c r="L547" s="172"/>
    </row>
    <row r="548">
      <c r="B548" s="172"/>
      <c r="C548" s="173"/>
      <c r="D548" s="137"/>
      <c r="E548" s="137"/>
      <c r="F548" s="137"/>
      <c r="H548" s="172"/>
      <c r="I548" s="172"/>
      <c r="J548" s="172"/>
      <c r="K548" s="172"/>
      <c r="L548" s="172"/>
    </row>
    <row r="549">
      <c r="B549" s="172"/>
      <c r="C549" s="173"/>
      <c r="D549" s="137"/>
      <c r="E549" s="137"/>
      <c r="F549" s="137"/>
      <c r="H549" s="172"/>
      <c r="I549" s="172"/>
      <c r="J549" s="172"/>
      <c r="K549" s="172"/>
      <c r="L549" s="172"/>
    </row>
    <row r="550">
      <c r="B550" s="172"/>
      <c r="C550" s="173"/>
      <c r="D550" s="137"/>
      <c r="E550" s="137"/>
      <c r="F550" s="137"/>
      <c r="H550" s="172"/>
      <c r="I550" s="172"/>
      <c r="J550" s="172"/>
      <c r="K550" s="172"/>
      <c r="L550" s="172"/>
    </row>
    <row r="551">
      <c r="B551" s="172"/>
      <c r="C551" s="173"/>
      <c r="D551" s="137"/>
      <c r="E551" s="137"/>
      <c r="F551" s="137"/>
      <c r="H551" s="172"/>
      <c r="I551" s="172"/>
      <c r="J551" s="172"/>
      <c r="K551" s="172"/>
      <c r="L551" s="172"/>
    </row>
    <row r="552">
      <c r="B552" s="172"/>
      <c r="C552" s="173"/>
      <c r="D552" s="137"/>
      <c r="E552" s="137"/>
      <c r="F552" s="137"/>
      <c r="H552" s="172"/>
      <c r="I552" s="172"/>
      <c r="J552" s="172"/>
      <c r="K552" s="172"/>
      <c r="L552" s="172"/>
    </row>
    <row r="553">
      <c r="B553" s="172"/>
      <c r="C553" s="173"/>
      <c r="D553" s="137"/>
      <c r="E553" s="137"/>
      <c r="F553" s="137"/>
      <c r="H553" s="172"/>
      <c r="I553" s="172"/>
      <c r="J553" s="172"/>
      <c r="K553" s="172"/>
      <c r="L553" s="172"/>
    </row>
    <row r="554">
      <c r="B554" s="172"/>
      <c r="C554" s="173"/>
      <c r="D554" s="137"/>
      <c r="E554" s="137"/>
      <c r="F554" s="137"/>
      <c r="H554" s="172"/>
      <c r="I554" s="172"/>
      <c r="J554" s="172"/>
      <c r="K554" s="172"/>
      <c r="L554" s="172"/>
    </row>
    <row r="555">
      <c r="B555" s="172"/>
      <c r="C555" s="173"/>
      <c r="D555" s="137"/>
      <c r="E555" s="137"/>
      <c r="F555" s="137"/>
      <c r="H555" s="172"/>
      <c r="I555" s="172"/>
      <c r="J555" s="172"/>
      <c r="K555" s="172"/>
      <c r="L555" s="172"/>
    </row>
    <row r="556">
      <c r="B556" s="172"/>
      <c r="C556" s="173"/>
      <c r="D556" s="137"/>
      <c r="E556" s="137"/>
      <c r="F556" s="137"/>
      <c r="H556" s="172"/>
      <c r="I556" s="172"/>
      <c r="J556" s="172"/>
      <c r="K556" s="172"/>
      <c r="L556" s="172"/>
    </row>
    <row r="557">
      <c r="B557" s="172"/>
      <c r="C557" s="173"/>
      <c r="D557" s="137"/>
      <c r="E557" s="137"/>
      <c r="F557" s="137"/>
      <c r="H557" s="172"/>
      <c r="I557" s="172"/>
      <c r="J557" s="172"/>
      <c r="K557" s="172"/>
      <c r="L557" s="172"/>
    </row>
    <row r="558">
      <c r="B558" s="172"/>
      <c r="C558" s="173"/>
      <c r="D558" s="137"/>
      <c r="E558" s="137"/>
      <c r="F558" s="137"/>
      <c r="H558" s="172"/>
      <c r="I558" s="172"/>
      <c r="J558" s="172"/>
      <c r="K558" s="172"/>
      <c r="L558" s="172"/>
    </row>
    <row r="559">
      <c r="B559" s="172"/>
      <c r="C559" s="173"/>
      <c r="D559" s="137"/>
      <c r="E559" s="137"/>
      <c r="F559" s="137"/>
      <c r="H559" s="172"/>
      <c r="I559" s="172"/>
      <c r="J559" s="172"/>
      <c r="K559" s="172"/>
      <c r="L559" s="172"/>
    </row>
    <row r="560">
      <c r="B560" s="172"/>
      <c r="C560" s="173"/>
      <c r="D560" s="137"/>
      <c r="E560" s="137"/>
      <c r="F560" s="137"/>
      <c r="H560" s="172"/>
      <c r="I560" s="172"/>
      <c r="J560" s="172"/>
      <c r="K560" s="172"/>
      <c r="L560" s="172"/>
    </row>
    <row r="561">
      <c r="B561" s="172"/>
      <c r="C561" s="173"/>
      <c r="D561" s="137"/>
      <c r="E561" s="137"/>
      <c r="F561" s="137"/>
      <c r="H561" s="172"/>
      <c r="I561" s="172"/>
      <c r="J561" s="172"/>
      <c r="K561" s="172"/>
      <c r="L561" s="172"/>
    </row>
    <row r="562">
      <c r="B562" s="172"/>
      <c r="C562" s="173"/>
      <c r="D562" s="137"/>
      <c r="E562" s="137"/>
      <c r="F562" s="137"/>
      <c r="H562" s="172"/>
      <c r="I562" s="172"/>
      <c r="J562" s="172"/>
      <c r="K562" s="172"/>
      <c r="L562" s="172"/>
    </row>
    <row r="563">
      <c r="B563" s="172"/>
      <c r="C563" s="173"/>
      <c r="D563" s="137"/>
      <c r="E563" s="137"/>
      <c r="F563" s="137"/>
      <c r="H563" s="172"/>
      <c r="I563" s="172"/>
      <c r="J563" s="172"/>
      <c r="K563" s="172"/>
      <c r="L563" s="172"/>
    </row>
    <row r="564">
      <c r="B564" s="172"/>
      <c r="C564" s="173"/>
      <c r="D564" s="137"/>
      <c r="E564" s="137"/>
      <c r="F564" s="137"/>
      <c r="H564" s="172"/>
      <c r="I564" s="172"/>
      <c r="J564" s="172"/>
      <c r="K564" s="172"/>
      <c r="L564" s="172"/>
    </row>
    <row r="565">
      <c r="B565" s="172"/>
      <c r="C565" s="173"/>
      <c r="D565" s="137"/>
      <c r="E565" s="137"/>
      <c r="F565" s="137"/>
      <c r="H565" s="172"/>
      <c r="I565" s="172"/>
      <c r="J565" s="172"/>
      <c r="K565" s="172"/>
      <c r="L565" s="172"/>
    </row>
    <row r="566">
      <c r="B566" s="172"/>
      <c r="C566" s="173"/>
      <c r="D566" s="137"/>
      <c r="E566" s="137"/>
      <c r="F566" s="137"/>
      <c r="H566" s="172"/>
      <c r="I566" s="172"/>
      <c r="J566" s="172"/>
      <c r="K566" s="172"/>
      <c r="L566" s="172"/>
    </row>
    <row r="567">
      <c r="B567" s="172"/>
      <c r="C567" s="173"/>
      <c r="D567" s="137"/>
      <c r="E567" s="137"/>
      <c r="F567" s="137"/>
      <c r="H567" s="172"/>
      <c r="I567" s="172"/>
      <c r="J567" s="172"/>
      <c r="K567" s="172"/>
      <c r="L567" s="172"/>
    </row>
    <row r="568">
      <c r="B568" s="172"/>
      <c r="C568" s="173"/>
      <c r="D568" s="137"/>
      <c r="E568" s="137"/>
      <c r="F568" s="137"/>
      <c r="H568" s="172"/>
      <c r="I568" s="172"/>
      <c r="J568" s="172"/>
      <c r="K568" s="172"/>
      <c r="L568" s="172"/>
    </row>
    <row r="569">
      <c r="B569" s="172"/>
      <c r="C569" s="173"/>
      <c r="D569" s="137"/>
      <c r="E569" s="137"/>
      <c r="F569" s="137"/>
      <c r="H569" s="172"/>
      <c r="I569" s="172"/>
      <c r="J569" s="172"/>
      <c r="K569" s="172"/>
      <c r="L569" s="172"/>
    </row>
    <row r="570">
      <c r="B570" s="172"/>
      <c r="C570" s="173"/>
      <c r="D570" s="137"/>
      <c r="E570" s="137"/>
      <c r="F570" s="137"/>
      <c r="H570" s="172"/>
      <c r="I570" s="172"/>
      <c r="J570" s="172"/>
      <c r="K570" s="172"/>
      <c r="L570" s="172"/>
    </row>
    <row r="571">
      <c r="B571" s="172"/>
      <c r="C571" s="173"/>
      <c r="D571" s="137"/>
      <c r="E571" s="137"/>
      <c r="F571" s="137"/>
      <c r="H571" s="172"/>
      <c r="I571" s="172"/>
      <c r="J571" s="172"/>
      <c r="K571" s="172"/>
      <c r="L571" s="172"/>
    </row>
    <row r="572">
      <c r="B572" s="172"/>
      <c r="C572" s="173"/>
      <c r="D572" s="137"/>
      <c r="E572" s="137"/>
      <c r="F572" s="137"/>
      <c r="H572" s="172"/>
      <c r="I572" s="172"/>
      <c r="J572" s="172"/>
      <c r="K572" s="172"/>
      <c r="L572" s="172"/>
    </row>
    <row r="573">
      <c r="B573" s="172"/>
      <c r="C573" s="173"/>
      <c r="D573" s="137"/>
      <c r="E573" s="137"/>
      <c r="F573" s="137"/>
      <c r="H573" s="172"/>
      <c r="I573" s="172"/>
      <c r="J573" s="172"/>
      <c r="K573" s="172"/>
      <c r="L573" s="172"/>
    </row>
    <row r="574">
      <c r="B574" s="172"/>
      <c r="C574" s="173"/>
      <c r="D574" s="137"/>
      <c r="E574" s="137"/>
      <c r="F574" s="137"/>
      <c r="H574" s="172"/>
      <c r="I574" s="172"/>
      <c r="J574" s="172"/>
      <c r="K574" s="172"/>
      <c r="L574" s="172"/>
    </row>
    <row r="575">
      <c r="B575" s="172"/>
      <c r="C575" s="173"/>
      <c r="D575" s="137"/>
      <c r="E575" s="137"/>
      <c r="F575" s="137"/>
      <c r="H575" s="172"/>
      <c r="I575" s="172"/>
      <c r="J575" s="172"/>
      <c r="K575" s="172"/>
      <c r="L575" s="172"/>
    </row>
    <row r="576">
      <c r="B576" s="172"/>
      <c r="C576" s="173"/>
      <c r="D576" s="137"/>
      <c r="E576" s="137"/>
      <c r="F576" s="137"/>
      <c r="H576" s="172"/>
      <c r="I576" s="172"/>
      <c r="J576" s="172"/>
      <c r="K576" s="172"/>
      <c r="L576" s="172"/>
    </row>
    <row r="577">
      <c r="B577" s="172"/>
      <c r="C577" s="173"/>
      <c r="D577" s="137"/>
      <c r="E577" s="137"/>
      <c r="F577" s="137"/>
      <c r="H577" s="172"/>
      <c r="I577" s="172"/>
      <c r="J577" s="172"/>
      <c r="K577" s="172"/>
      <c r="L577" s="172"/>
    </row>
    <row r="578">
      <c r="B578" s="172"/>
      <c r="C578" s="173"/>
      <c r="D578" s="137"/>
      <c r="E578" s="137"/>
      <c r="F578" s="137"/>
      <c r="H578" s="172"/>
      <c r="I578" s="172"/>
      <c r="J578" s="172"/>
      <c r="K578" s="172"/>
      <c r="L578" s="172"/>
    </row>
    <row r="579">
      <c r="B579" s="172"/>
      <c r="C579" s="173"/>
      <c r="D579" s="137"/>
      <c r="E579" s="137"/>
      <c r="F579" s="137"/>
      <c r="H579" s="172"/>
      <c r="I579" s="172"/>
      <c r="J579" s="172"/>
      <c r="K579" s="172"/>
      <c r="L579" s="172"/>
    </row>
    <row r="580">
      <c r="B580" s="172"/>
      <c r="C580" s="173"/>
      <c r="D580" s="137"/>
      <c r="E580" s="137"/>
      <c r="F580" s="137"/>
      <c r="H580" s="172"/>
      <c r="I580" s="172"/>
      <c r="J580" s="172"/>
      <c r="K580" s="172"/>
      <c r="L580" s="172"/>
    </row>
    <row r="581">
      <c r="B581" s="172"/>
      <c r="C581" s="173"/>
      <c r="D581" s="137"/>
      <c r="E581" s="137"/>
      <c r="F581" s="137"/>
      <c r="H581" s="172"/>
      <c r="I581" s="172"/>
      <c r="J581" s="172"/>
      <c r="K581" s="172"/>
      <c r="L581" s="172"/>
    </row>
    <row r="582">
      <c r="B582" s="172"/>
      <c r="C582" s="173"/>
      <c r="D582" s="137"/>
      <c r="E582" s="137"/>
      <c r="F582" s="137"/>
      <c r="H582" s="172"/>
      <c r="I582" s="172"/>
      <c r="J582" s="172"/>
      <c r="K582" s="172"/>
      <c r="L582" s="172"/>
    </row>
    <row r="583">
      <c r="B583" s="172"/>
      <c r="C583" s="173"/>
      <c r="D583" s="137"/>
      <c r="E583" s="137"/>
      <c r="F583" s="137"/>
      <c r="H583" s="172"/>
      <c r="I583" s="172"/>
      <c r="J583" s="172"/>
      <c r="K583" s="172"/>
      <c r="L583" s="172"/>
    </row>
    <row r="584">
      <c r="B584" s="172"/>
      <c r="C584" s="173"/>
      <c r="D584" s="137"/>
      <c r="E584" s="137"/>
      <c r="F584" s="137"/>
      <c r="H584" s="172"/>
      <c r="I584" s="172"/>
      <c r="J584" s="172"/>
      <c r="K584" s="172"/>
      <c r="L584" s="172"/>
    </row>
    <row r="585">
      <c r="B585" s="172"/>
      <c r="C585" s="173"/>
      <c r="D585" s="137"/>
      <c r="E585" s="137"/>
      <c r="F585" s="137"/>
      <c r="H585" s="172"/>
      <c r="I585" s="172"/>
      <c r="J585" s="172"/>
      <c r="K585" s="172"/>
      <c r="L585" s="172"/>
    </row>
    <row r="586">
      <c r="B586" s="172"/>
      <c r="C586" s="173"/>
      <c r="D586" s="137"/>
      <c r="E586" s="137"/>
      <c r="F586" s="137"/>
      <c r="H586" s="172"/>
      <c r="I586" s="172"/>
      <c r="J586" s="172"/>
      <c r="K586" s="172"/>
      <c r="L586" s="172"/>
    </row>
    <row r="587">
      <c r="B587" s="172"/>
      <c r="C587" s="173"/>
      <c r="D587" s="137"/>
      <c r="E587" s="137"/>
      <c r="F587" s="137"/>
      <c r="H587" s="172"/>
      <c r="I587" s="172"/>
      <c r="J587" s="172"/>
      <c r="K587" s="172"/>
      <c r="L587" s="172"/>
    </row>
    <row r="588">
      <c r="B588" s="172"/>
      <c r="C588" s="173"/>
      <c r="D588" s="137"/>
      <c r="E588" s="137"/>
      <c r="F588" s="137"/>
      <c r="H588" s="172"/>
      <c r="I588" s="172"/>
      <c r="J588" s="172"/>
      <c r="K588" s="172"/>
      <c r="L588" s="172"/>
    </row>
    <row r="589">
      <c r="B589" s="172"/>
      <c r="C589" s="173"/>
      <c r="D589" s="137"/>
      <c r="E589" s="137"/>
      <c r="F589" s="137"/>
      <c r="H589" s="172"/>
      <c r="I589" s="172"/>
      <c r="J589" s="172"/>
      <c r="K589" s="172"/>
      <c r="L589" s="172"/>
    </row>
    <row r="590">
      <c r="B590" s="172"/>
      <c r="C590" s="173"/>
      <c r="D590" s="137"/>
      <c r="E590" s="137"/>
      <c r="F590" s="137"/>
      <c r="H590" s="172"/>
      <c r="I590" s="172"/>
      <c r="J590" s="172"/>
      <c r="K590" s="172"/>
      <c r="L590" s="172"/>
    </row>
    <row r="591">
      <c r="B591" s="172"/>
      <c r="C591" s="173"/>
      <c r="D591" s="137"/>
      <c r="E591" s="137"/>
      <c r="F591" s="137"/>
      <c r="H591" s="172"/>
      <c r="I591" s="172"/>
      <c r="J591" s="172"/>
      <c r="K591" s="172"/>
      <c r="L591" s="172"/>
    </row>
    <row r="592">
      <c r="B592" s="172"/>
      <c r="C592" s="173"/>
      <c r="D592" s="137"/>
      <c r="E592" s="137"/>
      <c r="F592" s="137"/>
      <c r="H592" s="172"/>
      <c r="I592" s="172"/>
      <c r="J592" s="172"/>
      <c r="K592" s="172"/>
      <c r="L592" s="172"/>
    </row>
    <row r="593">
      <c r="B593" s="172"/>
      <c r="C593" s="173"/>
      <c r="D593" s="137"/>
      <c r="E593" s="137"/>
      <c r="F593" s="137"/>
      <c r="H593" s="172"/>
      <c r="I593" s="172"/>
      <c r="J593" s="172"/>
      <c r="K593" s="172"/>
      <c r="L593" s="172"/>
    </row>
    <row r="594">
      <c r="B594" s="172"/>
      <c r="C594" s="173"/>
      <c r="D594" s="137"/>
      <c r="E594" s="137"/>
      <c r="F594" s="137"/>
      <c r="H594" s="172"/>
      <c r="I594" s="172"/>
      <c r="J594" s="172"/>
      <c r="K594" s="172"/>
      <c r="L594" s="172"/>
    </row>
    <row r="595">
      <c r="B595" s="172"/>
      <c r="C595" s="173"/>
      <c r="D595" s="137"/>
      <c r="E595" s="137"/>
      <c r="F595" s="137"/>
      <c r="H595" s="172"/>
      <c r="I595" s="172"/>
      <c r="J595" s="172"/>
      <c r="K595" s="172"/>
      <c r="L595" s="172"/>
    </row>
    <row r="596">
      <c r="B596" s="172"/>
      <c r="C596" s="173"/>
      <c r="D596" s="137"/>
      <c r="E596" s="137"/>
      <c r="F596" s="137"/>
      <c r="H596" s="172"/>
      <c r="I596" s="172"/>
      <c r="J596" s="172"/>
      <c r="K596" s="172"/>
      <c r="L596" s="172"/>
    </row>
    <row r="597">
      <c r="B597" s="172"/>
      <c r="C597" s="173"/>
      <c r="D597" s="137"/>
      <c r="E597" s="137"/>
      <c r="F597" s="137"/>
      <c r="H597" s="172"/>
      <c r="I597" s="172"/>
      <c r="J597" s="172"/>
      <c r="K597" s="172"/>
      <c r="L597" s="172"/>
    </row>
    <row r="598">
      <c r="B598" s="172"/>
      <c r="C598" s="173"/>
      <c r="D598" s="137"/>
      <c r="E598" s="137"/>
      <c r="F598" s="137"/>
      <c r="H598" s="172"/>
      <c r="I598" s="172"/>
      <c r="J598" s="172"/>
      <c r="K598" s="172"/>
      <c r="L598" s="172"/>
    </row>
    <row r="599">
      <c r="B599" s="172"/>
      <c r="C599" s="173"/>
      <c r="D599" s="137"/>
      <c r="E599" s="137"/>
      <c r="F599" s="137"/>
      <c r="H599" s="172"/>
      <c r="I599" s="172"/>
      <c r="J599" s="172"/>
      <c r="K599" s="172"/>
      <c r="L599" s="172"/>
    </row>
    <row r="600">
      <c r="B600" s="172"/>
      <c r="C600" s="173"/>
      <c r="D600" s="137"/>
      <c r="E600" s="137"/>
      <c r="F600" s="137"/>
      <c r="H600" s="172"/>
      <c r="I600" s="172"/>
      <c r="J600" s="172"/>
      <c r="K600" s="172"/>
      <c r="L600" s="172"/>
    </row>
    <row r="601">
      <c r="B601" s="172"/>
      <c r="C601" s="173"/>
      <c r="D601" s="137"/>
      <c r="E601" s="137"/>
      <c r="F601" s="137"/>
      <c r="H601" s="172"/>
      <c r="I601" s="172"/>
      <c r="J601" s="172"/>
      <c r="K601" s="172"/>
      <c r="L601" s="172"/>
    </row>
    <row r="602">
      <c r="B602" s="172"/>
      <c r="C602" s="173"/>
      <c r="D602" s="137"/>
      <c r="E602" s="137"/>
      <c r="F602" s="137"/>
      <c r="H602" s="172"/>
      <c r="I602" s="172"/>
      <c r="J602" s="172"/>
      <c r="K602" s="172"/>
      <c r="L602" s="172"/>
    </row>
    <row r="603">
      <c r="B603" s="172"/>
      <c r="C603" s="173"/>
      <c r="D603" s="137"/>
      <c r="E603" s="137"/>
      <c r="F603" s="137"/>
      <c r="H603" s="172"/>
      <c r="I603" s="172"/>
      <c r="J603" s="172"/>
      <c r="K603" s="172"/>
      <c r="L603" s="172"/>
    </row>
    <row r="604">
      <c r="B604" s="172"/>
      <c r="C604" s="173"/>
      <c r="D604" s="137"/>
      <c r="E604" s="137"/>
      <c r="F604" s="137"/>
      <c r="H604" s="172"/>
      <c r="I604" s="172"/>
      <c r="J604" s="172"/>
      <c r="K604" s="172"/>
      <c r="L604" s="172"/>
    </row>
    <row r="605">
      <c r="B605" s="172"/>
      <c r="C605" s="173"/>
      <c r="D605" s="137"/>
      <c r="E605" s="137"/>
      <c r="F605" s="137"/>
      <c r="H605" s="172"/>
      <c r="I605" s="172"/>
      <c r="J605" s="172"/>
      <c r="K605" s="172"/>
      <c r="L605" s="172"/>
    </row>
    <row r="606">
      <c r="B606" s="172"/>
      <c r="C606" s="173"/>
      <c r="D606" s="137"/>
      <c r="E606" s="137"/>
      <c r="F606" s="137"/>
      <c r="H606" s="172"/>
      <c r="I606" s="172"/>
      <c r="J606" s="172"/>
      <c r="K606" s="172"/>
      <c r="L606" s="172"/>
    </row>
    <row r="607">
      <c r="B607" s="172"/>
      <c r="C607" s="173"/>
      <c r="D607" s="137"/>
      <c r="E607" s="137"/>
      <c r="F607" s="137"/>
      <c r="H607" s="172"/>
      <c r="I607" s="172"/>
      <c r="J607" s="172"/>
      <c r="K607" s="172"/>
      <c r="L607" s="172"/>
    </row>
    <row r="608">
      <c r="B608" s="172"/>
      <c r="C608" s="173"/>
      <c r="D608" s="137"/>
      <c r="E608" s="137"/>
      <c r="F608" s="137"/>
      <c r="H608" s="172"/>
      <c r="I608" s="172"/>
      <c r="J608" s="172"/>
      <c r="K608" s="172"/>
      <c r="L608" s="172"/>
    </row>
    <row r="609">
      <c r="B609" s="172"/>
      <c r="C609" s="173"/>
      <c r="D609" s="137"/>
      <c r="E609" s="137"/>
      <c r="F609" s="137"/>
      <c r="H609" s="172"/>
      <c r="I609" s="172"/>
      <c r="J609" s="172"/>
      <c r="K609" s="172"/>
      <c r="L609" s="172"/>
    </row>
    <row r="610">
      <c r="B610" s="172"/>
      <c r="C610" s="173"/>
      <c r="D610" s="137"/>
      <c r="E610" s="137"/>
      <c r="F610" s="137"/>
      <c r="H610" s="172"/>
      <c r="I610" s="172"/>
      <c r="J610" s="172"/>
      <c r="K610" s="172"/>
      <c r="L610" s="172"/>
    </row>
    <row r="611">
      <c r="B611" s="172"/>
      <c r="C611" s="173"/>
      <c r="D611" s="137"/>
      <c r="E611" s="137"/>
      <c r="F611" s="137"/>
      <c r="H611" s="172"/>
      <c r="I611" s="172"/>
      <c r="J611" s="172"/>
      <c r="K611" s="172"/>
      <c r="L611" s="172"/>
    </row>
    <row r="612">
      <c r="B612" s="172"/>
      <c r="C612" s="173"/>
      <c r="D612" s="137"/>
      <c r="E612" s="137"/>
      <c r="F612" s="137"/>
      <c r="H612" s="172"/>
      <c r="I612" s="172"/>
      <c r="J612" s="172"/>
      <c r="K612" s="172"/>
      <c r="L612" s="172"/>
    </row>
    <row r="613">
      <c r="B613" s="172"/>
      <c r="C613" s="173"/>
      <c r="D613" s="137"/>
      <c r="E613" s="137"/>
      <c r="F613" s="137"/>
      <c r="H613" s="172"/>
      <c r="I613" s="172"/>
      <c r="J613" s="172"/>
      <c r="K613" s="172"/>
      <c r="L613" s="172"/>
    </row>
    <row r="614">
      <c r="B614" s="172"/>
      <c r="C614" s="173"/>
      <c r="D614" s="137"/>
      <c r="E614" s="137"/>
      <c r="F614" s="137"/>
      <c r="H614" s="172"/>
      <c r="I614" s="172"/>
      <c r="J614" s="172"/>
      <c r="K614" s="172"/>
      <c r="L614" s="172"/>
    </row>
    <row r="615">
      <c r="B615" s="172"/>
      <c r="C615" s="173"/>
      <c r="D615" s="137"/>
      <c r="E615" s="137"/>
      <c r="F615" s="137"/>
      <c r="H615" s="172"/>
      <c r="I615" s="172"/>
      <c r="J615" s="172"/>
      <c r="K615" s="172"/>
      <c r="L615" s="172"/>
    </row>
    <row r="616">
      <c r="B616" s="172"/>
      <c r="C616" s="173"/>
      <c r="D616" s="137"/>
      <c r="E616" s="137"/>
      <c r="F616" s="137"/>
      <c r="H616" s="172"/>
      <c r="I616" s="172"/>
      <c r="J616" s="172"/>
      <c r="K616" s="172"/>
      <c r="L616" s="172"/>
    </row>
    <row r="617">
      <c r="B617" s="172"/>
      <c r="C617" s="173"/>
      <c r="D617" s="137"/>
      <c r="E617" s="137"/>
      <c r="F617" s="137"/>
      <c r="H617" s="172"/>
      <c r="I617" s="172"/>
      <c r="J617" s="172"/>
      <c r="K617" s="172"/>
      <c r="L617" s="172"/>
    </row>
    <row r="618">
      <c r="B618" s="172"/>
      <c r="C618" s="173"/>
      <c r="D618" s="137"/>
      <c r="E618" s="137"/>
      <c r="F618" s="137"/>
      <c r="H618" s="172"/>
      <c r="I618" s="172"/>
      <c r="J618" s="172"/>
      <c r="K618" s="172"/>
      <c r="L618" s="172"/>
    </row>
    <row r="619">
      <c r="B619" s="172"/>
      <c r="C619" s="173"/>
      <c r="D619" s="137"/>
      <c r="E619" s="137"/>
      <c r="F619" s="137"/>
      <c r="H619" s="172"/>
      <c r="I619" s="172"/>
      <c r="J619" s="172"/>
      <c r="K619" s="172"/>
      <c r="L619" s="172"/>
    </row>
    <row r="620">
      <c r="B620" s="172"/>
      <c r="C620" s="173"/>
      <c r="D620" s="137"/>
      <c r="E620" s="137"/>
      <c r="F620" s="137"/>
      <c r="H620" s="172"/>
      <c r="I620" s="172"/>
      <c r="J620" s="172"/>
      <c r="K620" s="172"/>
      <c r="L620" s="172"/>
    </row>
    <row r="621">
      <c r="B621" s="172"/>
      <c r="C621" s="173"/>
      <c r="D621" s="137"/>
      <c r="E621" s="137"/>
      <c r="F621" s="137"/>
      <c r="H621" s="172"/>
      <c r="I621" s="172"/>
      <c r="J621" s="172"/>
      <c r="K621" s="172"/>
      <c r="L621" s="172"/>
    </row>
    <row r="622">
      <c r="B622" s="172"/>
      <c r="C622" s="173"/>
      <c r="D622" s="137"/>
      <c r="E622" s="137"/>
      <c r="F622" s="137"/>
      <c r="H622" s="172"/>
      <c r="I622" s="172"/>
      <c r="J622" s="172"/>
      <c r="K622" s="172"/>
      <c r="L622" s="172"/>
    </row>
    <row r="623">
      <c r="B623" s="172"/>
      <c r="C623" s="173"/>
      <c r="D623" s="137"/>
      <c r="E623" s="137"/>
      <c r="F623" s="137"/>
      <c r="H623" s="172"/>
      <c r="I623" s="172"/>
      <c r="J623" s="172"/>
      <c r="K623" s="172"/>
      <c r="L623" s="172"/>
    </row>
    <row r="624">
      <c r="B624" s="172"/>
      <c r="C624" s="173"/>
      <c r="D624" s="137"/>
      <c r="E624" s="137"/>
      <c r="F624" s="137"/>
      <c r="H624" s="172"/>
      <c r="I624" s="172"/>
      <c r="J624" s="172"/>
      <c r="K624" s="172"/>
      <c r="L624" s="172"/>
    </row>
    <row r="625">
      <c r="B625" s="172"/>
      <c r="C625" s="173"/>
      <c r="D625" s="137"/>
      <c r="E625" s="137"/>
      <c r="F625" s="137"/>
      <c r="H625" s="172"/>
      <c r="I625" s="172"/>
      <c r="J625" s="172"/>
      <c r="K625" s="172"/>
      <c r="L625" s="172"/>
    </row>
    <row r="626">
      <c r="B626" s="172"/>
      <c r="C626" s="173"/>
      <c r="D626" s="137"/>
      <c r="E626" s="137"/>
      <c r="F626" s="137"/>
      <c r="H626" s="172"/>
      <c r="I626" s="172"/>
      <c r="J626" s="172"/>
      <c r="K626" s="172"/>
      <c r="L626" s="172"/>
    </row>
    <row r="627">
      <c r="B627" s="172"/>
      <c r="C627" s="173"/>
      <c r="D627" s="137"/>
      <c r="E627" s="137"/>
      <c r="F627" s="137"/>
      <c r="H627" s="172"/>
      <c r="I627" s="172"/>
      <c r="J627" s="172"/>
      <c r="K627" s="172"/>
      <c r="L627" s="172"/>
    </row>
    <row r="628">
      <c r="B628" s="172"/>
      <c r="C628" s="173"/>
      <c r="D628" s="137"/>
      <c r="E628" s="137"/>
      <c r="F628" s="137"/>
      <c r="H628" s="172"/>
      <c r="I628" s="172"/>
      <c r="J628" s="172"/>
      <c r="K628" s="172"/>
      <c r="L628" s="172"/>
    </row>
    <row r="629">
      <c r="B629" s="172"/>
      <c r="C629" s="173"/>
      <c r="D629" s="137"/>
      <c r="E629" s="137"/>
      <c r="F629" s="137"/>
      <c r="H629" s="172"/>
      <c r="I629" s="172"/>
      <c r="J629" s="172"/>
      <c r="K629" s="172"/>
      <c r="L629" s="172"/>
    </row>
    <row r="630">
      <c r="B630" s="172"/>
      <c r="C630" s="173"/>
      <c r="D630" s="137"/>
      <c r="E630" s="137"/>
      <c r="F630" s="137"/>
      <c r="H630" s="172"/>
      <c r="I630" s="172"/>
      <c r="J630" s="172"/>
      <c r="K630" s="172"/>
      <c r="L630" s="172"/>
    </row>
    <row r="631">
      <c r="B631" s="172"/>
      <c r="C631" s="173"/>
      <c r="D631" s="137"/>
      <c r="E631" s="137"/>
      <c r="F631" s="137"/>
      <c r="H631" s="172"/>
      <c r="I631" s="172"/>
      <c r="J631" s="172"/>
      <c r="K631" s="172"/>
      <c r="L631" s="172"/>
    </row>
    <row r="632">
      <c r="B632" s="172"/>
      <c r="C632" s="173"/>
      <c r="D632" s="137"/>
      <c r="E632" s="137"/>
      <c r="F632" s="137"/>
      <c r="H632" s="172"/>
      <c r="I632" s="172"/>
      <c r="J632" s="172"/>
      <c r="K632" s="172"/>
      <c r="L632" s="172"/>
    </row>
    <row r="633">
      <c r="B633" s="172"/>
      <c r="C633" s="173"/>
      <c r="D633" s="137"/>
      <c r="E633" s="137"/>
      <c r="F633" s="137"/>
      <c r="H633" s="172"/>
      <c r="I633" s="172"/>
      <c r="J633" s="172"/>
      <c r="K633" s="172"/>
      <c r="L633" s="172"/>
    </row>
    <row r="634">
      <c r="B634" s="172"/>
      <c r="C634" s="173"/>
      <c r="D634" s="137"/>
      <c r="E634" s="137"/>
      <c r="F634" s="137"/>
      <c r="H634" s="172"/>
      <c r="I634" s="172"/>
      <c r="J634" s="172"/>
      <c r="K634" s="172"/>
      <c r="L634" s="172"/>
    </row>
    <row r="635">
      <c r="B635" s="172"/>
      <c r="C635" s="173"/>
      <c r="D635" s="137"/>
      <c r="E635" s="137"/>
      <c r="F635" s="137"/>
      <c r="H635" s="172"/>
      <c r="I635" s="172"/>
      <c r="J635" s="172"/>
      <c r="K635" s="172"/>
      <c r="L635" s="172"/>
    </row>
    <row r="636">
      <c r="B636" s="172"/>
      <c r="C636" s="173"/>
      <c r="D636" s="137"/>
      <c r="E636" s="137"/>
      <c r="F636" s="137"/>
      <c r="H636" s="172"/>
      <c r="I636" s="172"/>
      <c r="J636" s="172"/>
      <c r="K636" s="172"/>
      <c r="L636" s="172"/>
    </row>
    <row r="637">
      <c r="B637" s="172"/>
      <c r="C637" s="173"/>
      <c r="D637" s="137"/>
      <c r="E637" s="137"/>
      <c r="F637" s="137"/>
      <c r="H637" s="172"/>
      <c r="I637" s="172"/>
      <c r="J637" s="172"/>
      <c r="K637" s="172"/>
      <c r="L637" s="172"/>
    </row>
    <row r="638">
      <c r="B638" s="172"/>
      <c r="C638" s="173"/>
      <c r="D638" s="137"/>
      <c r="E638" s="137"/>
      <c r="F638" s="137"/>
      <c r="H638" s="172"/>
      <c r="I638" s="172"/>
      <c r="J638" s="172"/>
      <c r="K638" s="172"/>
      <c r="L638" s="172"/>
    </row>
    <row r="639">
      <c r="B639" s="172"/>
      <c r="C639" s="173"/>
      <c r="D639" s="137"/>
      <c r="E639" s="137"/>
      <c r="F639" s="137"/>
      <c r="H639" s="172"/>
      <c r="I639" s="172"/>
      <c r="J639" s="172"/>
      <c r="K639" s="172"/>
      <c r="L639" s="172"/>
    </row>
    <row r="640">
      <c r="B640" s="172"/>
      <c r="C640" s="173"/>
      <c r="D640" s="137"/>
      <c r="E640" s="137"/>
      <c r="F640" s="137"/>
      <c r="H640" s="172"/>
      <c r="I640" s="172"/>
      <c r="J640" s="172"/>
      <c r="K640" s="172"/>
      <c r="L640" s="172"/>
    </row>
    <row r="641">
      <c r="B641" s="172"/>
      <c r="C641" s="173"/>
      <c r="D641" s="137"/>
      <c r="E641" s="137"/>
      <c r="F641" s="137"/>
      <c r="H641" s="172"/>
      <c r="I641" s="172"/>
      <c r="J641" s="172"/>
      <c r="K641" s="172"/>
      <c r="L641" s="172"/>
    </row>
    <row r="642">
      <c r="B642" s="172"/>
      <c r="C642" s="173"/>
      <c r="D642" s="137"/>
      <c r="E642" s="137"/>
      <c r="F642" s="137"/>
      <c r="H642" s="172"/>
      <c r="I642" s="172"/>
      <c r="J642" s="172"/>
      <c r="K642" s="172"/>
      <c r="L642" s="172"/>
    </row>
    <row r="643">
      <c r="B643" s="172"/>
      <c r="C643" s="173"/>
      <c r="D643" s="137"/>
      <c r="E643" s="137"/>
      <c r="F643" s="137"/>
      <c r="H643" s="172"/>
      <c r="I643" s="172"/>
      <c r="J643" s="172"/>
      <c r="K643" s="172"/>
      <c r="L643" s="172"/>
    </row>
    <row r="644">
      <c r="B644" s="172"/>
      <c r="C644" s="173"/>
      <c r="D644" s="137"/>
      <c r="E644" s="137"/>
      <c r="F644" s="137"/>
      <c r="H644" s="172"/>
      <c r="I644" s="172"/>
      <c r="J644" s="172"/>
      <c r="K644" s="172"/>
      <c r="L644" s="172"/>
    </row>
    <row r="645">
      <c r="B645" s="172"/>
      <c r="C645" s="173"/>
      <c r="D645" s="137"/>
      <c r="E645" s="137"/>
      <c r="F645" s="137"/>
      <c r="H645" s="172"/>
      <c r="I645" s="172"/>
      <c r="J645" s="172"/>
      <c r="K645" s="172"/>
      <c r="L645" s="172"/>
    </row>
    <row r="646">
      <c r="B646" s="172"/>
      <c r="C646" s="173"/>
      <c r="D646" s="137"/>
      <c r="E646" s="137"/>
      <c r="F646" s="137"/>
      <c r="H646" s="172"/>
      <c r="I646" s="172"/>
      <c r="J646" s="172"/>
      <c r="K646" s="172"/>
      <c r="L646" s="172"/>
    </row>
    <row r="647">
      <c r="B647" s="172"/>
      <c r="C647" s="173"/>
      <c r="D647" s="137"/>
      <c r="E647" s="137"/>
      <c r="F647" s="137"/>
      <c r="H647" s="172"/>
      <c r="I647" s="172"/>
      <c r="J647" s="172"/>
      <c r="K647" s="172"/>
      <c r="L647" s="172"/>
    </row>
    <row r="648">
      <c r="B648" s="172"/>
      <c r="C648" s="173"/>
      <c r="D648" s="137"/>
      <c r="E648" s="137"/>
      <c r="F648" s="137"/>
      <c r="H648" s="172"/>
      <c r="I648" s="172"/>
      <c r="J648" s="172"/>
      <c r="K648" s="172"/>
      <c r="L648" s="172"/>
    </row>
    <row r="649">
      <c r="B649" s="172"/>
      <c r="C649" s="173"/>
      <c r="D649" s="137"/>
      <c r="E649" s="137"/>
      <c r="F649" s="137"/>
      <c r="H649" s="172"/>
      <c r="I649" s="172"/>
      <c r="J649" s="172"/>
      <c r="K649" s="172"/>
      <c r="L649" s="172"/>
    </row>
    <row r="650">
      <c r="B650" s="172"/>
      <c r="C650" s="173"/>
      <c r="D650" s="137"/>
      <c r="E650" s="137"/>
      <c r="F650" s="137"/>
      <c r="H650" s="172"/>
      <c r="I650" s="172"/>
      <c r="J650" s="172"/>
      <c r="K650" s="172"/>
      <c r="L650" s="172"/>
    </row>
    <row r="651">
      <c r="B651" s="172"/>
      <c r="C651" s="173"/>
      <c r="D651" s="137"/>
      <c r="E651" s="137"/>
      <c r="F651" s="137"/>
      <c r="H651" s="172"/>
      <c r="I651" s="172"/>
      <c r="J651" s="172"/>
      <c r="K651" s="172"/>
      <c r="L651" s="172"/>
    </row>
    <row r="652">
      <c r="B652" s="172"/>
      <c r="C652" s="173"/>
      <c r="D652" s="137"/>
      <c r="E652" s="137"/>
      <c r="F652" s="137"/>
      <c r="H652" s="172"/>
      <c r="I652" s="172"/>
      <c r="J652" s="172"/>
      <c r="K652" s="172"/>
      <c r="L652" s="172"/>
    </row>
    <row r="653">
      <c r="B653" s="172"/>
      <c r="C653" s="173"/>
      <c r="D653" s="137"/>
      <c r="E653" s="137"/>
      <c r="F653" s="137"/>
      <c r="H653" s="172"/>
      <c r="I653" s="172"/>
      <c r="J653" s="172"/>
      <c r="K653" s="172"/>
      <c r="L653" s="172"/>
    </row>
    <row r="654">
      <c r="B654" s="172"/>
      <c r="C654" s="173"/>
      <c r="D654" s="137"/>
      <c r="E654" s="137"/>
      <c r="F654" s="137"/>
      <c r="H654" s="172"/>
      <c r="I654" s="172"/>
      <c r="J654" s="172"/>
      <c r="K654" s="172"/>
      <c r="L654" s="172"/>
    </row>
    <row r="655">
      <c r="B655" s="172"/>
      <c r="C655" s="173"/>
      <c r="D655" s="137"/>
      <c r="E655" s="137"/>
      <c r="F655" s="137"/>
      <c r="H655" s="172"/>
      <c r="I655" s="172"/>
      <c r="J655" s="172"/>
      <c r="K655" s="172"/>
      <c r="L655" s="172"/>
    </row>
    <row r="656">
      <c r="B656" s="172"/>
      <c r="C656" s="173"/>
      <c r="D656" s="137"/>
      <c r="E656" s="137"/>
      <c r="F656" s="137"/>
      <c r="H656" s="172"/>
      <c r="I656" s="172"/>
      <c r="J656" s="172"/>
      <c r="K656" s="172"/>
      <c r="L656" s="172"/>
    </row>
    <row r="657">
      <c r="B657" s="172"/>
      <c r="C657" s="173"/>
      <c r="D657" s="137"/>
      <c r="E657" s="137"/>
      <c r="F657" s="137"/>
      <c r="H657" s="172"/>
      <c r="I657" s="172"/>
      <c r="J657" s="172"/>
      <c r="K657" s="172"/>
      <c r="L657" s="172"/>
    </row>
    <row r="658">
      <c r="B658" s="172"/>
      <c r="C658" s="173"/>
      <c r="D658" s="137"/>
      <c r="E658" s="137"/>
      <c r="F658" s="137"/>
      <c r="H658" s="172"/>
      <c r="I658" s="172"/>
      <c r="J658" s="172"/>
      <c r="K658" s="172"/>
      <c r="L658" s="172"/>
    </row>
    <row r="659">
      <c r="B659" s="172"/>
      <c r="C659" s="173"/>
      <c r="D659" s="137"/>
      <c r="E659" s="137"/>
      <c r="F659" s="137"/>
      <c r="H659" s="172"/>
      <c r="I659" s="172"/>
      <c r="J659" s="172"/>
      <c r="K659" s="172"/>
      <c r="L659" s="172"/>
    </row>
    <row r="660">
      <c r="B660" s="172"/>
      <c r="C660" s="173"/>
      <c r="D660" s="137"/>
      <c r="E660" s="137"/>
      <c r="F660" s="137"/>
      <c r="H660" s="172"/>
      <c r="I660" s="172"/>
      <c r="J660" s="172"/>
      <c r="K660" s="172"/>
      <c r="L660" s="172"/>
    </row>
    <row r="661">
      <c r="B661" s="172"/>
      <c r="C661" s="173"/>
      <c r="D661" s="137"/>
      <c r="E661" s="137"/>
      <c r="F661" s="137"/>
      <c r="H661" s="172"/>
      <c r="I661" s="172"/>
      <c r="J661" s="172"/>
      <c r="K661" s="172"/>
      <c r="L661" s="172"/>
    </row>
    <row r="662">
      <c r="B662" s="172"/>
      <c r="C662" s="173"/>
      <c r="D662" s="137"/>
      <c r="E662" s="137"/>
      <c r="F662" s="137"/>
      <c r="H662" s="172"/>
      <c r="I662" s="172"/>
      <c r="J662" s="172"/>
      <c r="K662" s="172"/>
      <c r="L662" s="172"/>
    </row>
    <row r="663">
      <c r="B663" s="172"/>
      <c r="C663" s="173"/>
      <c r="D663" s="137"/>
      <c r="E663" s="137"/>
      <c r="F663" s="137"/>
      <c r="H663" s="172"/>
      <c r="I663" s="172"/>
      <c r="J663" s="172"/>
      <c r="K663" s="172"/>
      <c r="L663" s="172"/>
    </row>
    <row r="664">
      <c r="B664" s="172"/>
      <c r="C664" s="173"/>
      <c r="D664" s="137"/>
      <c r="E664" s="137"/>
      <c r="F664" s="137"/>
      <c r="H664" s="172"/>
      <c r="I664" s="172"/>
      <c r="J664" s="172"/>
      <c r="K664" s="172"/>
      <c r="L664" s="172"/>
    </row>
    <row r="665">
      <c r="B665" s="172"/>
      <c r="C665" s="173"/>
      <c r="D665" s="137"/>
      <c r="E665" s="137"/>
      <c r="F665" s="137"/>
      <c r="H665" s="172"/>
      <c r="I665" s="172"/>
      <c r="J665" s="172"/>
      <c r="K665" s="172"/>
      <c r="L665" s="172"/>
    </row>
    <row r="666">
      <c r="B666" s="172"/>
      <c r="C666" s="173"/>
      <c r="D666" s="137"/>
      <c r="E666" s="137"/>
      <c r="F666" s="137"/>
      <c r="H666" s="172"/>
      <c r="I666" s="172"/>
      <c r="J666" s="172"/>
      <c r="K666" s="172"/>
      <c r="L666" s="172"/>
    </row>
    <row r="667">
      <c r="B667" s="172"/>
      <c r="C667" s="173"/>
      <c r="D667" s="137"/>
      <c r="E667" s="137"/>
      <c r="F667" s="137"/>
      <c r="H667" s="172"/>
      <c r="I667" s="172"/>
      <c r="J667" s="172"/>
      <c r="K667" s="172"/>
      <c r="L667" s="172"/>
    </row>
    <row r="668">
      <c r="B668" s="172"/>
      <c r="C668" s="173"/>
      <c r="D668" s="137"/>
      <c r="E668" s="137"/>
      <c r="F668" s="137"/>
      <c r="H668" s="172"/>
      <c r="I668" s="172"/>
      <c r="J668" s="172"/>
      <c r="K668" s="172"/>
      <c r="L668" s="172"/>
    </row>
    <row r="669">
      <c r="B669" s="172"/>
      <c r="C669" s="173"/>
      <c r="D669" s="137"/>
      <c r="E669" s="137"/>
      <c r="F669" s="137"/>
      <c r="H669" s="172"/>
      <c r="I669" s="172"/>
      <c r="J669" s="172"/>
      <c r="K669" s="172"/>
      <c r="L669" s="172"/>
    </row>
    <row r="670">
      <c r="B670" s="172"/>
      <c r="C670" s="173"/>
      <c r="D670" s="137"/>
      <c r="E670" s="137"/>
      <c r="F670" s="137"/>
      <c r="H670" s="172"/>
      <c r="I670" s="172"/>
      <c r="J670" s="172"/>
      <c r="K670" s="172"/>
      <c r="L670" s="172"/>
    </row>
    <row r="671">
      <c r="B671" s="172"/>
      <c r="C671" s="173"/>
      <c r="D671" s="137"/>
      <c r="E671" s="137"/>
      <c r="F671" s="137"/>
      <c r="H671" s="172"/>
      <c r="I671" s="172"/>
      <c r="J671" s="172"/>
      <c r="K671" s="172"/>
      <c r="L671" s="172"/>
    </row>
    <row r="672">
      <c r="B672" s="172"/>
      <c r="C672" s="173"/>
      <c r="D672" s="137"/>
      <c r="E672" s="137"/>
      <c r="F672" s="137"/>
      <c r="H672" s="172"/>
      <c r="I672" s="172"/>
      <c r="J672" s="172"/>
      <c r="K672" s="172"/>
      <c r="L672" s="172"/>
    </row>
    <row r="673">
      <c r="B673" s="172"/>
      <c r="C673" s="173"/>
      <c r="D673" s="137"/>
      <c r="E673" s="137"/>
      <c r="F673" s="137"/>
      <c r="H673" s="172"/>
      <c r="I673" s="172"/>
      <c r="J673" s="172"/>
      <c r="K673" s="172"/>
      <c r="L673" s="172"/>
    </row>
    <row r="674">
      <c r="B674" s="172"/>
      <c r="C674" s="173"/>
      <c r="D674" s="137"/>
      <c r="E674" s="137"/>
      <c r="F674" s="137"/>
      <c r="H674" s="172"/>
      <c r="I674" s="172"/>
      <c r="J674" s="172"/>
      <c r="K674" s="172"/>
      <c r="L674" s="172"/>
    </row>
    <row r="675">
      <c r="B675" s="172"/>
      <c r="C675" s="173"/>
      <c r="D675" s="137"/>
      <c r="E675" s="137"/>
      <c r="F675" s="137"/>
      <c r="H675" s="172"/>
      <c r="I675" s="172"/>
      <c r="J675" s="172"/>
      <c r="K675" s="172"/>
      <c r="L675" s="172"/>
    </row>
    <row r="676">
      <c r="B676" s="172"/>
      <c r="C676" s="173"/>
      <c r="D676" s="137"/>
      <c r="E676" s="137"/>
      <c r="F676" s="137"/>
      <c r="H676" s="172"/>
      <c r="I676" s="172"/>
      <c r="J676" s="172"/>
      <c r="K676" s="172"/>
      <c r="L676" s="172"/>
    </row>
    <row r="677">
      <c r="B677" s="172"/>
      <c r="C677" s="173"/>
      <c r="D677" s="137"/>
      <c r="E677" s="137"/>
      <c r="F677" s="137"/>
      <c r="H677" s="172"/>
      <c r="I677" s="172"/>
      <c r="J677" s="172"/>
      <c r="K677" s="172"/>
      <c r="L677" s="172"/>
    </row>
    <row r="678">
      <c r="B678" s="172"/>
      <c r="C678" s="173"/>
      <c r="D678" s="137"/>
      <c r="E678" s="137"/>
      <c r="F678" s="137"/>
      <c r="H678" s="172"/>
      <c r="I678" s="172"/>
      <c r="J678" s="172"/>
      <c r="K678" s="172"/>
      <c r="L678" s="172"/>
    </row>
    <row r="679">
      <c r="B679" s="172"/>
      <c r="C679" s="173"/>
      <c r="D679" s="137"/>
      <c r="E679" s="137"/>
      <c r="F679" s="137"/>
      <c r="H679" s="172"/>
      <c r="I679" s="172"/>
      <c r="J679" s="172"/>
      <c r="K679" s="172"/>
      <c r="L679" s="172"/>
    </row>
    <row r="680">
      <c r="B680" s="172"/>
      <c r="C680" s="173"/>
      <c r="D680" s="137"/>
      <c r="E680" s="137"/>
      <c r="F680" s="137"/>
      <c r="H680" s="172"/>
      <c r="I680" s="172"/>
      <c r="J680" s="172"/>
      <c r="K680" s="172"/>
      <c r="L680" s="172"/>
    </row>
    <row r="681">
      <c r="B681" s="172"/>
      <c r="C681" s="173"/>
      <c r="D681" s="137"/>
      <c r="E681" s="137"/>
      <c r="F681" s="137"/>
      <c r="H681" s="172"/>
      <c r="I681" s="172"/>
      <c r="J681" s="172"/>
      <c r="K681" s="172"/>
      <c r="L681" s="172"/>
    </row>
    <row r="682">
      <c r="B682" s="172"/>
      <c r="C682" s="173"/>
      <c r="D682" s="137"/>
      <c r="E682" s="137"/>
      <c r="F682" s="137"/>
      <c r="H682" s="172"/>
      <c r="I682" s="172"/>
      <c r="J682" s="172"/>
      <c r="K682" s="172"/>
      <c r="L682" s="172"/>
    </row>
    <row r="683">
      <c r="B683" s="172"/>
      <c r="C683" s="173"/>
      <c r="D683" s="137"/>
      <c r="E683" s="137"/>
      <c r="F683" s="137"/>
      <c r="H683" s="172"/>
      <c r="I683" s="172"/>
      <c r="J683" s="172"/>
      <c r="K683" s="172"/>
      <c r="L683" s="172"/>
    </row>
    <row r="684">
      <c r="B684" s="172"/>
      <c r="C684" s="173"/>
      <c r="D684" s="137"/>
      <c r="E684" s="137"/>
      <c r="F684" s="137"/>
      <c r="H684" s="172"/>
      <c r="I684" s="172"/>
      <c r="J684" s="172"/>
      <c r="K684" s="172"/>
      <c r="L684" s="172"/>
    </row>
    <row r="685">
      <c r="B685" s="172"/>
      <c r="C685" s="173"/>
      <c r="D685" s="137"/>
      <c r="E685" s="137"/>
      <c r="F685" s="137"/>
      <c r="H685" s="172"/>
      <c r="I685" s="172"/>
      <c r="J685" s="172"/>
      <c r="K685" s="172"/>
      <c r="L685" s="172"/>
    </row>
    <row r="686">
      <c r="B686" s="172"/>
      <c r="C686" s="173"/>
      <c r="D686" s="137"/>
      <c r="E686" s="137"/>
      <c r="F686" s="137"/>
      <c r="H686" s="172"/>
      <c r="I686" s="172"/>
      <c r="J686" s="172"/>
      <c r="K686" s="172"/>
      <c r="L686" s="172"/>
    </row>
    <row r="687">
      <c r="B687" s="172"/>
      <c r="C687" s="173"/>
      <c r="D687" s="137"/>
      <c r="E687" s="137"/>
      <c r="F687" s="137"/>
      <c r="H687" s="172"/>
      <c r="I687" s="172"/>
      <c r="J687" s="172"/>
      <c r="K687" s="172"/>
      <c r="L687" s="172"/>
    </row>
    <row r="688">
      <c r="B688" s="172"/>
      <c r="C688" s="173"/>
      <c r="D688" s="137"/>
      <c r="E688" s="137"/>
      <c r="F688" s="137"/>
      <c r="H688" s="172"/>
      <c r="I688" s="172"/>
      <c r="J688" s="172"/>
      <c r="K688" s="172"/>
      <c r="L688" s="172"/>
    </row>
    <row r="689">
      <c r="B689" s="172"/>
      <c r="C689" s="173"/>
      <c r="D689" s="137"/>
      <c r="E689" s="137"/>
      <c r="F689" s="137"/>
      <c r="H689" s="172"/>
      <c r="I689" s="172"/>
      <c r="J689" s="172"/>
      <c r="K689" s="172"/>
      <c r="L689" s="172"/>
    </row>
    <row r="690">
      <c r="B690" s="172"/>
      <c r="C690" s="173"/>
      <c r="D690" s="137"/>
      <c r="E690" s="137"/>
      <c r="F690" s="137"/>
      <c r="H690" s="172"/>
      <c r="I690" s="172"/>
      <c r="J690" s="172"/>
      <c r="K690" s="172"/>
      <c r="L690" s="172"/>
    </row>
    <row r="691">
      <c r="B691" s="172"/>
      <c r="C691" s="173"/>
      <c r="D691" s="137"/>
      <c r="E691" s="137"/>
      <c r="F691" s="137"/>
      <c r="H691" s="172"/>
      <c r="I691" s="172"/>
      <c r="J691" s="172"/>
      <c r="K691" s="172"/>
      <c r="L691" s="172"/>
    </row>
    <row r="692">
      <c r="B692" s="172"/>
      <c r="C692" s="173"/>
      <c r="D692" s="137"/>
      <c r="E692" s="137"/>
      <c r="F692" s="137"/>
      <c r="H692" s="172"/>
      <c r="I692" s="172"/>
      <c r="J692" s="172"/>
      <c r="K692" s="172"/>
      <c r="L692" s="172"/>
    </row>
    <row r="693">
      <c r="B693" s="172"/>
      <c r="C693" s="173"/>
      <c r="D693" s="137"/>
      <c r="E693" s="137"/>
      <c r="F693" s="137"/>
      <c r="H693" s="172"/>
      <c r="I693" s="172"/>
      <c r="J693" s="172"/>
      <c r="K693" s="172"/>
      <c r="L693" s="172"/>
    </row>
    <row r="694">
      <c r="B694" s="172"/>
      <c r="C694" s="173"/>
      <c r="D694" s="137"/>
      <c r="E694" s="137"/>
      <c r="F694" s="137"/>
      <c r="H694" s="172"/>
      <c r="I694" s="172"/>
      <c r="J694" s="172"/>
      <c r="K694" s="172"/>
      <c r="L694" s="172"/>
    </row>
    <row r="695">
      <c r="B695" s="172"/>
      <c r="C695" s="173"/>
      <c r="D695" s="137"/>
      <c r="E695" s="137"/>
      <c r="F695" s="137"/>
      <c r="H695" s="172"/>
      <c r="I695" s="172"/>
      <c r="J695" s="172"/>
      <c r="K695" s="172"/>
      <c r="L695" s="172"/>
    </row>
    <row r="696">
      <c r="B696" s="172"/>
      <c r="C696" s="173"/>
      <c r="D696" s="137"/>
      <c r="E696" s="137"/>
      <c r="F696" s="137"/>
      <c r="H696" s="172"/>
      <c r="I696" s="172"/>
      <c r="J696" s="172"/>
      <c r="K696" s="172"/>
      <c r="L696" s="172"/>
    </row>
    <row r="697">
      <c r="B697" s="172"/>
      <c r="C697" s="173"/>
      <c r="D697" s="137"/>
      <c r="E697" s="137"/>
      <c r="F697" s="137"/>
      <c r="H697" s="172"/>
      <c r="I697" s="172"/>
      <c r="J697" s="172"/>
      <c r="K697" s="172"/>
      <c r="L697" s="172"/>
    </row>
    <row r="698">
      <c r="B698" s="172"/>
      <c r="C698" s="173"/>
      <c r="D698" s="137"/>
      <c r="E698" s="137"/>
      <c r="F698" s="137"/>
      <c r="H698" s="172"/>
      <c r="I698" s="172"/>
      <c r="J698" s="172"/>
      <c r="K698" s="172"/>
      <c r="L698" s="172"/>
    </row>
    <row r="699">
      <c r="B699" s="172"/>
      <c r="C699" s="173"/>
      <c r="D699" s="137"/>
      <c r="E699" s="137"/>
      <c r="F699" s="137"/>
      <c r="H699" s="172"/>
      <c r="I699" s="172"/>
      <c r="J699" s="172"/>
      <c r="K699" s="172"/>
      <c r="L699" s="172"/>
    </row>
    <row r="700">
      <c r="B700" s="172"/>
      <c r="C700" s="173"/>
      <c r="D700" s="137"/>
      <c r="E700" s="137"/>
      <c r="F700" s="137"/>
      <c r="H700" s="172"/>
      <c r="I700" s="172"/>
      <c r="J700" s="172"/>
      <c r="K700" s="172"/>
      <c r="L700" s="172"/>
    </row>
    <row r="701">
      <c r="B701" s="172"/>
      <c r="C701" s="173"/>
      <c r="D701" s="137"/>
      <c r="E701" s="137"/>
      <c r="F701" s="137"/>
      <c r="H701" s="172"/>
      <c r="I701" s="172"/>
      <c r="J701" s="172"/>
      <c r="K701" s="172"/>
      <c r="L701" s="172"/>
    </row>
    <row r="702">
      <c r="B702" s="172"/>
      <c r="C702" s="173"/>
      <c r="D702" s="137"/>
      <c r="E702" s="137"/>
      <c r="F702" s="137"/>
      <c r="H702" s="172"/>
      <c r="I702" s="172"/>
      <c r="J702" s="172"/>
      <c r="K702" s="172"/>
      <c r="L702" s="172"/>
    </row>
    <row r="703">
      <c r="B703" s="172"/>
      <c r="C703" s="173"/>
      <c r="D703" s="137"/>
      <c r="E703" s="137"/>
      <c r="F703" s="137"/>
      <c r="H703" s="172"/>
      <c r="I703" s="172"/>
      <c r="J703" s="172"/>
      <c r="K703" s="172"/>
      <c r="L703" s="172"/>
    </row>
    <row r="704">
      <c r="B704" s="172"/>
      <c r="C704" s="173"/>
      <c r="D704" s="137"/>
      <c r="E704" s="137"/>
      <c r="F704" s="137"/>
      <c r="H704" s="172"/>
      <c r="I704" s="172"/>
      <c r="J704" s="172"/>
      <c r="K704" s="172"/>
      <c r="L704" s="172"/>
    </row>
    <row r="705">
      <c r="B705" s="172"/>
      <c r="C705" s="173"/>
      <c r="D705" s="137"/>
      <c r="E705" s="137"/>
      <c r="F705" s="137"/>
      <c r="H705" s="172"/>
      <c r="I705" s="172"/>
      <c r="J705" s="172"/>
      <c r="K705" s="172"/>
      <c r="L705" s="172"/>
    </row>
    <row r="706">
      <c r="B706" s="172"/>
      <c r="C706" s="173"/>
      <c r="D706" s="137"/>
      <c r="E706" s="137"/>
      <c r="F706" s="137"/>
      <c r="H706" s="172"/>
      <c r="I706" s="172"/>
      <c r="J706" s="172"/>
      <c r="K706" s="172"/>
      <c r="L706" s="172"/>
    </row>
    <row r="707">
      <c r="B707" s="172"/>
      <c r="C707" s="173"/>
      <c r="D707" s="137"/>
      <c r="E707" s="137"/>
      <c r="F707" s="137"/>
      <c r="H707" s="172"/>
      <c r="I707" s="172"/>
      <c r="J707" s="172"/>
      <c r="K707" s="172"/>
      <c r="L707" s="172"/>
    </row>
    <row r="708">
      <c r="B708" s="172"/>
      <c r="C708" s="173"/>
      <c r="D708" s="137"/>
      <c r="E708" s="137"/>
      <c r="F708" s="137"/>
      <c r="H708" s="172"/>
      <c r="I708" s="172"/>
      <c r="J708" s="172"/>
      <c r="K708" s="172"/>
      <c r="L708" s="172"/>
    </row>
    <row r="709">
      <c r="B709" s="172"/>
      <c r="C709" s="173"/>
      <c r="D709" s="137"/>
      <c r="E709" s="137"/>
      <c r="F709" s="137"/>
      <c r="H709" s="172"/>
      <c r="I709" s="172"/>
      <c r="J709" s="172"/>
      <c r="K709" s="172"/>
      <c r="L709" s="172"/>
    </row>
    <row r="710">
      <c r="B710" s="172"/>
      <c r="C710" s="173"/>
      <c r="D710" s="137"/>
      <c r="E710" s="137"/>
      <c r="F710" s="137"/>
      <c r="H710" s="172"/>
      <c r="I710" s="172"/>
      <c r="J710" s="172"/>
      <c r="K710" s="172"/>
      <c r="L710" s="172"/>
    </row>
    <row r="711">
      <c r="B711" s="172"/>
      <c r="C711" s="173"/>
      <c r="D711" s="137"/>
      <c r="E711" s="137"/>
      <c r="F711" s="137"/>
      <c r="H711" s="172"/>
      <c r="I711" s="172"/>
      <c r="J711" s="172"/>
      <c r="K711" s="172"/>
      <c r="L711" s="172"/>
    </row>
    <row r="712">
      <c r="B712" s="172"/>
      <c r="C712" s="173"/>
      <c r="D712" s="137"/>
      <c r="E712" s="137"/>
      <c r="F712" s="137"/>
      <c r="H712" s="172"/>
      <c r="I712" s="172"/>
      <c r="J712" s="172"/>
      <c r="K712" s="172"/>
      <c r="L712" s="172"/>
    </row>
    <row r="713">
      <c r="B713" s="172"/>
      <c r="C713" s="173"/>
      <c r="D713" s="137"/>
      <c r="E713" s="137"/>
      <c r="F713" s="137"/>
      <c r="H713" s="172"/>
      <c r="I713" s="172"/>
      <c r="J713" s="172"/>
      <c r="K713" s="172"/>
      <c r="L713" s="172"/>
    </row>
    <row r="714">
      <c r="B714" s="172"/>
      <c r="C714" s="173"/>
      <c r="D714" s="137"/>
      <c r="E714" s="137"/>
      <c r="F714" s="137"/>
      <c r="H714" s="172"/>
      <c r="I714" s="172"/>
      <c r="J714" s="172"/>
      <c r="K714" s="172"/>
      <c r="L714" s="172"/>
    </row>
    <row r="715">
      <c r="B715" s="172"/>
      <c r="C715" s="173"/>
      <c r="D715" s="137"/>
      <c r="E715" s="137"/>
      <c r="F715" s="137"/>
      <c r="H715" s="172"/>
      <c r="I715" s="172"/>
      <c r="J715" s="172"/>
      <c r="K715" s="172"/>
      <c r="L715" s="172"/>
    </row>
    <row r="716">
      <c r="B716" s="172"/>
      <c r="C716" s="173"/>
      <c r="D716" s="137"/>
      <c r="E716" s="137"/>
      <c r="F716" s="137"/>
      <c r="H716" s="172"/>
      <c r="I716" s="172"/>
      <c r="J716" s="172"/>
      <c r="K716" s="172"/>
      <c r="L716" s="172"/>
    </row>
    <row r="717">
      <c r="B717" s="172"/>
      <c r="C717" s="173"/>
      <c r="D717" s="137"/>
      <c r="E717" s="137"/>
      <c r="F717" s="137"/>
      <c r="H717" s="172"/>
      <c r="I717" s="172"/>
      <c r="J717" s="172"/>
      <c r="K717" s="172"/>
      <c r="L717" s="172"/>
    </row>
    <row r="718">
      <c r="B718" s="172"/>
      <c r="C718" s="173"/>
      <c r="D718" s="137"/>
      <c r="E718" s="137"/>
      <c r="F718" s="137"/>
      <c r="H718" s="172"/>
      <c r="I718" s="172"/>
      <c r="J718" s="172"/>
      <c r="K718" s="172"/>
      <c r="L718" s="172"/>
    </row>
    <row r="719">
      <c r="B719" s="172"/>
      <c r="C719" s="173"/>
      <c r="D719" s="137"/>
      <c r="E719" s="137"/>
      <c r="F719" s="137"/>
      <c r="H719" s="172"/>
      <c r="I719" s="172"/>
      <c r="J719" s="172"/>
      <c r="K719" s="172"/>
      <c r="L719" s="172"/>
    </row>
    <row r="720">
      <c r="B720" s="172"/>
      <c r="C720" s="173"/>
      <c r="D720" s="137"/>
      <c r="E720" s="137"/>
      <c r="F720" s="137"/>
      <c r="H720" s="172"/>
      <c r="I720" s="172"/>
      <c r="J720" s="172"/>
      <c r="K720" s="172"/>
      <c r="L720" s="172"/>
    </row>
    <row r="721">
      <c r="B721" s="172"/>
      <c r="C721" s="173"/>
      <c r="D721" s="137"/>
      <c r="E721" s="137"/>
      <c r="F721" s="137"/>
      <c r="H721" s="172"/>
      <c r="I721" s="172"/>
      <c r="J721" s="172"/>
      <c r="K721" s="172"/>
      <c r="L721" s="172"/>
    </row>
    <row r="722">
      <c r="B722" s="172"/>
      <c r="C722" s="173"/>
      <c r="D722" s="137"/>
      <c r="E722" s="137"/>
      <c r="F722" s="137"/>
      <c r="H722" s="172"/>
      <c r="I722" s="172"/>
      <c r="J722" s="172"/>
      <c r="K722" s="172"/>
      <c r="L722" s="172"/>
    </row>
    <row r="723">
      <c r="B723" s="172"/>
      <c r="C723" s="173"/>
      <c r="D723" s="137"/>
      <c r="E723" s="137"/>
      <c r="F723" s="137"/>
      <c r="H723" s="172"/>
      <c r="I723" s="172"/>
      <c r="J723" s="172"/>
      <c r="K723" s="172"/>
      <c r="L723" s="172"/>
    </row>
    <row r="724">
      <c r="B724" s="172"/>
      <c r="C724" s="173"/>
      <c r="D724" s="137"/>
      <c r="E724" s="137"/>
      <c r="F724" s="137"/>
      <c r="H724" s="172"/>
      <c r="I724" s="172"/>
      <c r="J724" s="172"/>
      <c r="K724" s="172"/>
      <c r="L724" s="172"/>
    </row>
    <row r="725">
      <c r="B725" s="172"/>
      <c r="C725" s="173"/>
      <c r="D725" s="137"/>
      <c r="E725" s="137"/>
      <c r="F725" s="137"/>
      <c r="H725" s="172"/>
      <c r="I725" s="172"/>
      <c r="J725" s="172"/>
      <c r="K725" s="172"/>
      <c r="L725" s="172"/>
    </row>
    <row r="726">
      <c r="B726" s="172"/>
      <c r="C726" s="173"/>
      <c r="D726" s="137"/>
      <c r="E726" s="137"/>
      <c r="F726" s="137"/>
      <c r="H726" s="172"/>
      <c r="I726" s="172"/>
      <c r="J726" s="172"/>
      <c r="K726" s="172"/>
      <c r="L726" s="172"/>
    </row>
    <row r="727">
      <c r="B727" s="172"/>
      <c r="C727" s="173"/>
      <c r="D727" s="137"/>
      <c r="E727" s="137"/>
      <c r="F727" s="137"/>
      <c r="H727" s="172"/>
      <c r="I727" s="172"/>
      <c r="J727" s="172"/>
      <c r="K727" s="172"/>
      <c r="L727" s="172"/>
    </row>
    <row r="728">
      <c r="B728" s="172"/>
      <c r="C728" s="173"/>
      <c r="D728" s="137"/>
      <c r="E728" s="137"/>
      <c r="F728" s="137"/>
      <c r="H728" s="172"/>
      <c r="I728" s="172"/>
      <c r="J728" s="172"/>
      <c r="K728" s="172"/>
      <c r="L728" s="172"/>
    </row>
    <row r="729">
      <c r="B729" s="172"/>
      <c r="C729" s="173"/>
      <c r="D729" s="137"/>
      <c r="E729" s="137"/>
      <c r="F729" s="137"/>
      <c r="H729" s="172"/>
      <c r="I729" s="172"/>
      <c r="J729" s="172"/>
      <c r="K729" s="172"/>
      <c r="L729" s="172"/>
    </row>
    <row r="730">
      <c r="B730" s="172"/>
      <c r="C730" s="173"/>
      <c r="D730" s="137"/>
      <c r="E730" s="137"/>
      <c r="F730" s="137"/>
      <c r="H730" s="172"/>
      <c r="I730" s="172"/>
      <c r="J730" s="172"/>
      <c r="K730" s="172"/>
      <c r="L730" s="172"/>
    </row>
    <row r="731">
      <c r="B731" s="172"/>
      <c r="C731" s="173"/>
      <c r="D731" s="137"/>
      <c r="E731" s="137"/>
      <c r="F731" s="137"/>
      <c r="H731" s="172"/>
      <c r="I731" s="172"/>
      <c r="J731" s="172"/>
      <c r="K731" s="172"/>
      <c r="L731" s="172"/>
    </row>
    <row r="732">
      <c r="B732" s="172"/>
      <c r="C732" s="173"/>
      <c r="D732" s="137"/>
      <c r="E732" s="137"/>
      <c r="F732" s="137"/>
      <c r="H732" s="172"/>
      <c r="I732" s="172"/>
      <c r="J732" s="172"/>
      <c r="K732" s="172"/>
      <c r="L732" s="172"/>
    </row>
    <row r="733">
      <c r="B733" s="172"/>
      <c r="C733" s="173"/>
      <c r="D733" s="137"/>
      <c r="E733" s="137"/>
      <c r="F733" s="137"/>
      <c r="H733" s="172"/>
      <c r="I733" s="172"/>
      <c r="J733" s="172"/>
      <c r="K733" s="172"/>
      <c r="L733" s="172"/>
    </row>
    <row r="734">
      <c r="B734" s="172"/>
      <c r="C734" s="173"/>
      <c r="D734" s="137"/>
      <c r="E734" s="137"/>
      <c r="F734" s="137"/>
      <c r="H734" s="172"/>
      <c r="I734" s="172"/>
      <c r="J734" s="172"/>
      <c r="K734" s="172"/>
      <c r="L734" s="172"/>
    </row>
    <row r="735">
      <c r="B735" s="172"/>
      <c r="C735" s="173"/>
      <c r="D735" s="137"/>
      <c r="E735" s="137"/>
      <c r="F735" s="137"/>
      <c r="H735" s="172"/>
      <c r="I735" s="172"/>
      <c r="J735" s="172"/>
      <c r="K735" s="172"/>
      <c r="L735" s="172"/>
    </row>
    <row r="736">
      <c r="B736" s="172"/>
      <c r="C736" s="173"/>
      <c r="D736" s="137"/>
      <c r="E736" s="137"/>
      <c r="F736" s="137"/>
      <c r="H736" s="172"/>
      <c r="I736" s="172"/>
      <c r="J736" s="172"/>
      <c r="K736" s="172"/>
      <c r="L736" s="172"/>
    </row>
    <row r="737">
      <c r="B737" s="172"/>
      <c r="C737" s="173"/>
      <c r="D737" s="137"/>
      <c r="E737" s="137"/>
      <c r="F737" s="137"/>
      <c r="H737" s="172"/>
      <c r="I737" s="172"/>
      <c r="J737" s="172"/>
      <c r="K737" s="172"/>
      <c r="L737" s="172"/>
    </row>
    <row r="738">
      <c r="B738" s="172"/>
      <c r="C738" s="173"/>
      <c r="D738" s="137"/>
      <c r="E738" s="137"/>
      <c r="F738" s="137"/>
      <c r="H738" s="172"/>
      <c r="I738" s="172"/>
      <c r="J738" s="172"/>
      <c r="K738" s="172"/>
      <c r="L738" s="172"/>
    </row>
    <row r="739">
      <c r="B739" s="172"/>
      <c r="C739" s="173"/>
      <c r="D739" s="137"/>
      <c r="E739" s="137"/>
      <c r="F739" s="137"/>
      <c r="H739" s="172"/>
      <c r="I739" s="172"/>
      <c r="J739" s="172"/>
      <c r="K739" s="172"/>
      <c r="L739" s="172"/>
    </row>
    <row r="740">
      <c r="B740" s="172"/>
      <c r="C740" s="173"/>
      <c r="D740" s="137"/>
      <c r="E740" s="137"/>
      <c r="F740" s="137"/>
      <c r="H740" s="172"/>
      <c r="I740" s="172"/>
      <c r="J740" s="172"/>
      <c r="K740" s="172"/>
      <c r="L740" s="172"/>
    </row>
    <row r="741">
      <c r="B741" s="172"/>
      <c r="C741" s="173"/>
      <c r="D741" s="137"/>
      <c r="E741" s="137"/>
      <c r="F741" s="137"/>
      <c r="H741" s="172"/>
      <c r="I741" s="172"/>
      <c r="J741" s="172"/>
      <c r="K741" s="172"/>
      <c r="L741" s="172"/>
    </row>
    <row r="742">
      <c r="B742" s="172"/>
      <c r="C742" s="173"/>
      <c r="D742" s="137"/>
      <c r="E742" s="137"/>
      <c r="F742" s="137"/>
      <c r="H742" s="172"/>
      <c r="I742" s="172"/>
      <c r="J742" s="172"/>
      <c r="K742" s="172"/>
      <c r="L742" s="172"/>
    </row>
    <row r="743">
      <c r="B743" s="172"/>
      <c r="C743" s="173"/>
      <c r="D743" s="137"/>
      <c r="E743" s="137"/>
      <c r="F743" s="137"/>
      <c r="H743" s="172"/>
      <c r="I743" s="172"/>
      <c r="J743" s="172"/>
      <c r="K743" s="172"/>
      <c r="L743" s="172"/>
    </row>
    <row r="744">
      <c r="B744" s="172"/>
      <c r="C744" s="173"/>
      <c r="D744" s="137"/>
      <c r="E744" s="137"/>
      <c r="F744" s="137"/>
      <c r="H744" s="172"/>
      <c r="I744" s="172"/>
      <c r="J744" s="172"/>
      <c r="K744" s="172"/>
      <c r="L744" s="172"/>
    </row>
    <row r="745">
      <c r="B745" s="172"/>
      <c r="C745" s="173"/>
      <c r="D745" s="137"/>
      <c r="E745" s="137"/>
      <c r="F745" s="137"/>
      <c r="H745" s="172"/>
      <c r="I745" s="172"/>
      <c r="J745" s="172"/>
      <c r="K745" s="172"/>
      <c r="L745" s="172"/>
    </row>
    <row r="746">
      <c r="B746" s="172"/>
      <c r="C746" s="173"/>
      <c r="D746" s="137"/>
      <c r="E746" s="137"/>
      <c r="F746" s="137"/>
      <c r="H746" s="172"/>
      <c r="I746" s="172"/>
      <c r="J746" s="172"/>
      <c r="K746" s="172"/>
      <c r="L746" s="172"/>
    </row>
    <row r="747">
      <c r="B747" s="172"/>
      <c r="C747" s="173"/>
      <c r="D747" s="137"/>
      <c r="E747" s="137"/>
      <c r="F747" s="137"/>
      <c r="H747" s="172"/>
      <c r="I747" s="172"/>
      <c r="J747" s="172"/>
      <c r="K747" s="172"/>
      <c r="L747" s="172"/>
    </row>
    <row r="748">
      <c r="B748" s="172"/>
      <c r="C748" s="173"/>
      <c r="D748" s="137"/>
      <c r="E748" s="137"/>
      <c r="F748" s="137"/>
      <c r="H748" s="172"/>
      <c r="I748" s="172"/>
      <c r="J748" s="172"/>
      <c r="K748" s="172"/>
      <c r="L748" s="172"/>
    </row>
    <row r="749">
      <c r="B749" s="172"/>
      <c r="C749" s="173"/>
      <c r="D749" s="137"/>
      <c r="E749" s="137"/>
      <c r="F749" s="137"/>
      <c r="H749" s="172"/>
      <c r="I749" s="172"/>
      <c r="J749" s="172"/>
      <c r="K749" s="172"/>
      <c r="L749" s="172"/>
    </row>
    <row r="750">
      <c r="B750" s="172"/>
      <c r="C750" s="173"/>
      <c r="D750" s="137"/>
      <c r="E750" s="137"/>
      <c r="F750" s="137"/>
      <c r="H750" s="172"/>
      <c r="I750" s="172"/>
      <c r="J750" s="172"/>
      <c r="K750" s="172"/>
      <c r="L750" s="172"/>
    </row>
    <row r="751">
      <c r="B751" s="172"/>
      <c r="C751" s="173"/>
      <c r="D751" s="137"/>
      <c r="E751" s="137"/>
      <c r="F751" s="137"/>
      <c r="H751" s="172"/>
      <c r="I751" s="172"/>
      <c r="J751" s="172"/>
      <c r="K751" s="172"/>
      <c r="L751" s="172"/>
    </row>
    <row r="752">
      <c r="B752" s="172"/>
      <c r="C752" s="173"/>
      <c r="D752" s="137"/>
      <c r="E752" s="137"/>
      <c r="F752" s="137"/>
      <c r="H752" s="172"/>
      <c r="I752" s="172"/>
      <c r="J752" s="172"/>
      <c r="K752" s="172"/>
      <c r="L752" s="172"/>
    </row>
    <row r="753">
      <c r="B753" s="172"/>
      <c r="C753" s="173"/>
      <c r="D753" s="137"/>
      <c r="E753" s="137"/>
      <c r="F753" s="137"/>
      <c r="H753" s="172"/>
      <c r="I753" s="172"/>
      <c r="J753" s="172"/>
      <c r="K753" s="172"/>
      <c r="L753" s="172"/>
    </row>
    <row r="754">
      <c r="B754" s="172"/>
      <c r="C754" s="173"/>
      <c r="D754" s="137"/>
      <c r="E754" s="137"/>
      <c r="F754" s="137"/>
      <c r="H754" s="172"/>
      <c r="I754" s="172"/>
      <c r="J754" s="172"/>
      <c r="K754" s="172"/>
      <c r="L754" s="172"/>
    </row>
    <row r="755">
      <c r="B755" s="172"/>
      <c r="C755" s="173"/>
      <c r="D755" s="137"/>
      <c r="E755" s="137"/>
      <c r="F755" s="137"/>
      <c r="H755" s="172"/>
      <c r="I755" s="172"/>
      <c r="J755" s="172"/>
      <c r="K755" s="172"/>
      <c r="L755" s="172"/>
    </row>
    <row r="756">
      <c r="B756" s="172"/>
      <c r="C756" s="173"/>
      <c r="D756" s="137"/>
      <c r="E756" s="137"/>
      <c r="F756" s="137"/>
      <c r="H756" s="172"/>
      <c r="I756" s="172"/>
      <c r="J756" s="172"/>
      <c r="K756" s="172"/>
      <c r="L756" s="172"/>
    </row>
    <row r="757">
      <c r="B757" s="172"/>
      <c r="C757" s="173"/>
      <c r="D757" s="137"/>
      <c r="E757" s="137"/>
      <c r="F757" s="137"/>
      <c r="H757" s="172"/>
      <c r="I757" s="172"/>
      <c r="J757" s="172"/>
      <c r="K757" s="172"/>
      <c r="L757" s="172"/>
    </row>
    <row r="758">
      <c r="B758" s="172"/>
      <c r="C758" s="173"/>
      <c r="D758" s="137"/>
      <c r="E758" s="137"/>
      <c r="F758" s="137"/>
      <c r="H758" s="172"/>
      <c r="I758" s="172"/>
      <c r="J758" s="172"/>
      <c r="K758" s="172"/>
      <c r="L758" s="172"/>
    </row>
    <row r="759">
      <c r="B759" s="172"/>
      <c r="C759" s="173"/>
      <c r="D759" s="137"/>
      <c r="E759" s="137"/>
      <c r="F759" s="137"/>
      <c r="H759" s="172"/>
      <c r="I759" s="172"/>
      <c r="J759" s="172"/>
      <c r="K759" s="172"/>
      <c r="L759" s="172"/>
    </row>
    <row r="760">
      <c r="B760" s="172"/>
      <c r="C760" s="173"/>
      <c r="D760" s="137"/>
      <c r="E760" s="137"/>
      <c r="F760" s="137"/>
      <c r="H760" s="172"/>
      <c r="I760" s="172"/>
      <c r="J760" s="172"/>
      <c r="K760" s="172"/>
      <c r="L760" s="172"/>
    </row>
    <row r="761">
      <c r="B761" s="172"/>
      <c r="C761" s="173"/>
      <c r="D761" s="137"/>
      <c r="E761" s="137"/>
      <c r="F761" s="137"/>
      <c r="H761" s="172"/>
      <c r="I761" s="172"/>
      <c r="J761" s="172"/>
      <c r="K761" s="172"/>
      <c r="L761" s="172"/>
    </row>
    <row r="762">
      <c r="B762" s="172"/>
      <c r="C762" s="173"/>
      <c r="D762" s="137"/>
      <c r="E762" s="137"/>
      <c r="F762" s="137"/>
      <c r="H762" s="172"/>
      <c r="I762" s="172"/>
      <c r="J762" s="172"/>
      <c r="K762" s="172"/>
      <c r="L762" s="172"/>
    </row>
    <row r="763">
      <c r="B763" s="172"/>
      <c r="C763" s="173"/>
      <c r="D763" s="137"/>
      <c r="E763" s="137"/>
      <c r="F763" s="137"/>
      <c r="H763" s="172"/>
      <c r="I763" s="172"/>
      <c r="J763" s="172"/>
      <c r="K763" s="172"/>
      <c r="L763" s="172"/>
    </row>
    <row r="764">
      <c r="B764" s="172"/>
      <c r="C764" s="173"/>
      <c r="D764" s="137"/>
      <c r="E764" s="137"/>
      <c r="F764" s="137"/>
      <c r="H764" s="172"/>
      <c r="I764" s="172"/>
      <c r="J764" s="172"/>
      <c r="K764" s="172"/>
      <c r="L764" s="172"/>
    </row>
    <row r="765">
      <c r="B765" s="172"/>
      <c r="C765" s="173"/>
      <c r="D765" s="137"/>
      <c r="E765" s="137"/>
      <c r="F765" s="137"/>
      <c r="H765" s="172"/>
      <c r="I765" s="172"/>
      <c r="J765" s="172"/>
      <c r="K765" s="172"/>
      <c r="L765" s="172"/>
    </row>
    <row r="766">
      <c r="B766" s="172"/>
      <c r="C766" s="173"/>
      <c r="D766" s="137"/>
      <c r="E766" s="137"/>
      <c r="F766" s="137"/>
      <c r="H766" s="172"/>
      <c r="I766" s="172"/>
      <c r="J766" s="172"/>
      <c r="K766" s="172"/>
      <c r="L766" s="172"/>
    </row>
    <row r="767">
      <c r="B767" s="172"/>
      <c r="C767" s="173"/>
      <c r="D767" s="137"/>
      <c r="E767" s="137"/>
      <c r="F767" s="137"/>
      <c r="H767" s="172"/>
      <c r="I767" s="172"/>
      <c r="J767" s="172"/>
      <c r="K767" s="172"/>
      <c r="L767" s="172"/>
    </row>
    <row r="768">
      <c r="B768" s="172"/>
      <c r="C768" s="173"/>
      <c r="D768" s="137"/>
      <c r="E768" s="137"/>
      <c r="F768" s="137"/>
      <c r="H768" s="172"/>
      <c r="I768" s="172"/>
      <c r="J768" s="172"/>
      <c r="K768" s="172"/>
      <c r="L768" s="172"/>
    </row>
    <row r="769">
      <c r="B769" s="172"/>
      <c r="C769" s="173"/>
      <c r="D769" s="137"/>
      <c r="E769" s="137"/>
      <c r="F769" s="137"/>
      <c r="H769" s="172"/>
      <c r="I769" s="172"/>
      <c r="J769" s="172"/>
      <c r="K769" s="172"/>
      <c r="L769" s="172"/>
    </row>
    <row r="770">
      <c r="B770" s="172"/>
      <c r="C770" s="173"/>
      <c r="D770" s="137"/>
      <c r="E770" s="137"/>
      <c r="F770" s="137"/>
      <c r="H770" s="172"/>
      <c r="I770" s="172"/>
      <c r="J770" s="172"/>
      <c r="K770" s="172"/>
      <c r="L770" s="172"/>
    </row>
    <row r="771">
      <c r="B771" s="172"/>
      <c r="C771" s="173"/>
      <c r="D771" s="137"/>
      <c r="E771" s="137"/>
      <c r="F771" s="137"/>
      <c r="H771" s="172"/>
      <c r="I771" s="172"/>
      <c r="J771" s="172"/>
      <c r="K771" s="172"/>
      <c r="L771" s="172"/>
    </row>
    <row r="772">
      <c r="B772" s="172"/>
      <c r="C772" s="173"/>
      <c r="D772" s="137"/>
      <c r="E772" s="137"/>
      <c r="F772" s="137"/>
      <c r="H772" s="172"/>
      <c r="I772" s="172"/>
      <c r="J772" s="172"/>
      <c r="K772" s="172"/>
      <c r="L772" s="172"/>
    </row>
    <row r="773">
      <c r="B773" s="172"/>
      <c r="C773" s="173"/>
      <c r="D773" s="137"/>
      <c r="E773" s="137"/>
      <c r="F773" s="137"/>
      <c r="H773" s="172"/>
      <c r="I773" s="172"/>
      <c r="J773" s="172"/>
      <c r="K773" s="172"/>
      <c r="L773" s="172"/>
    </row>
    <row r="774">
      <c r="B774" s="172"/>
      <c r="C774" s="173"/>
      <c r="D774" s="137"/>
      <c r="E774" s="137"/>
      <c r="F774" s="137"/>
      <c r="H774" s="172"/>
      <c r="I774" s="172"/>
      <c r="J774" s="172"/>
      <c r="K774" s="172"/>
      <c r="L774" s="172"/>
    </row>
    <row r="775">
      <c r="B775" s="172"/>
      <c r="C775" s="173"/>
      <c r="D775" s="137"/>
      <c r="E775" s="137"/>
      <c r="F775" s="137"/>
      <c r="H775" s="172"/>
      <c r="I775" s="172"/>
      <c r="J775" s="172"/>
      <c r="K775" s="172"/>
      <c r="L775" s="172"/>
    </row>
    <row r="776">
      <c r="B776" s="172"/>
      <c r="C776" s="173"/>
      <c r="D776" s="137"/>
      <c r="E776" s="137"/>
      <c r="F776" s="137"/>
      <c r="H776" s="172"/>
      <c r="I776" s="172"/>
      <c r="J776" s="172"/>
      <c r="K776" s="172"/>
      <c r="L776" s="172"/>
    </row>
    <row r="777">
      <c r="B777" s="172"/>
      <c r="C777" s="173"/>
      <c r="D777" s="137"/>
      <c r="E777" s="137"/>
      <c r="F777" s="137"/>
      <c r="H777" s="172"/>
      <c r="I777" s="172"/>
      <c r="J777" s="172"/>
      <c r="K777" s="172"/>
      <c r="L777" s="172"/>
    </row>
    <row r="778">
      <c r="B778" s="172"/>
      <c r="C778" s="173"/>
      <c r="D778" s="137"/>
      <c r="E778" s="137"/>
      <c r="F778" s="137"/>
      <c r="H778" s="172"/>
      <c r="I778" s="172"/>
      <c r="J778" s="172"/>
      <c r="K778" s="172"/>
      <c r="L778" s="172"/>
    </row>
    <row r="779">
      <c r="B779" s="172"/>
      <c r="C779" s="173"/>
      <c r="D779" s="137"/>
      <c r="E779" s="137"/>
      <c r="F779" s="137"/>
      <c r="H779" s="172"/>
      <c r="I779" s="172"/>
      <c r="J779" s="172"/>
      <c r="K779" s="172"/>
      <c r="L779" s="172"/>
    </row>
    <row r="780">
      <c r="B780" s="172"/>
      <c r="C780" s="173"/>
      <c r="D780" s="137"/>
      <c r="E780" s="137"/>
      <c r="F780" s="137"/>
      <c r="H780" s="172"/>
      <c r="I780" s="172"/>
      <c r="J780" s="172"/>
      <c r="K780" s="172"/>
      <c r="L780" s="172"/>
    </row>
    <row r="781">
      <c r="B781" s="172"/>
      <c r="C781" s="173"/>
      <c r="D781" s="137"/>
      <c r="E781" s="137"/>
      <c r="F781" s="137"/>
      <c r="H781" s="172"/>
      <c r="I781" s="172"/>
      <c r="J781" s="172"/>
      <c r="K781" s="172"/>
      <c r="L781" s="172"/>
    </row>
    <row r="782">
      <c r="B782" s="172"/>
      <c r="C782" s="173"/>
      <c r="D782" s="137"/>
      <c r="E782" s="137"/>
      <c r="F782" s="137"/>
      <c r="H782" s="172"/>
      <c r="I782" s="172"/>
      <c r="J782" s="172"/>
      <c r="K782" s="172"/>
      <c r="L782" s="172"/>
    </row>
    <row r="783">
      <c r="B783" s="172"/>
      <c r="C783" s="173"/>
      <c r="D783" s="137"/>
      <c r="E783" s="137"/>
      <c r="F783" s="137"/>
      <c r="H783" s="172"/>
      <c r="I783" s="172"/>
      <c r="J783" s="172"/>
      <c r="K783" s="172"/>
      <c r="L783" s="172"/>
    </row>
    <row r="784">
      <c r="B784" s="172"/>
      <c r="C784" s="173"/>
      <c r="D784" s="137"/>
      <c r="E784" s="137"/>
      <c r="F784" s="137"/>
      <c r="H784" s="172"/>
      <c r="I784" s="172"/>
      <c r="J784" s="172"/>
      <c r="K784" s="172"/>
      <c r="L784" s="172"/>
    </row>
    <row r="785">
      <c r="B785" s="172"/>
      <c r="C785" s="173"/>
      <c r="D785" s="137"/>
      <c r="E785" s="137"/>
      <c r="F785" s="137"/>
      <c r="H785" s="172"/>
      <c r="I785" s="172"/>
      <c r="J785" s="172"/>
      <c r="K785" s="172"/>
      <c r="L785" s="172"/>
    </row>
    <row r="786">
      <c r="B786" s="172"/>
      <c r="C786" s="173"/>
      <c r="D786" s="137"/>
      <c r="E786" s="137"/>
      <c r="F786" s="137"/>
      <c r="H786" s="172"/>
      <c r="I786" s="172"/>
      <c r="J786" s="172"/>
      <c r="K786" s="172"/>
      <c r="L786" s="172"/>
    </row>
    <row r="787">
      <c r="B787" s="172"/>
      <c r="C787" s="173"/>
      <c r="D787" s="137"/>
      <c r="E787" s="137"/>
      <c r="F787" s="137"/>
      <c r="H787" s="172"/>
      <c r="I787" s="172"/>
      <c r="J787" s="172"/>
      <c r="K787" s="172"/>
      <c r="L787" s="172"/>
    </row>
    <row r="788">
      <c r="B788" s="172"/>
      <c r="C788" s="173"/>
      <c r="D788" s="137"/>
      <c r="E788" s="137"/>
      <c r="F788" s="137"/>
      <c r="H788" s="172"/>
      <c r="I788" s="172"/>
      <c r="J788" s="172"/>
      <c r="K788" s="172"/>
      <c r="L788" s="172"/>
    </row>
    <row r="789">
      <c r="B789" s="172"/>
      <c r="C789" s="173"/>
      <c r="D789" s="137"/>
      <c r="E789" s="137"/>
      <c r="F789" s="137"/>
      <c r="H789" s="172"/>
      <c r="I789" s="172"/>
      <c r="J789" s="172"/>
      <c r="K789" s="172"/>
      <c r="L789" s="172"/>
    </row>
    <row r="790">
      <c r="B790" s="172"/>
      <c r="C790" s="173"/>
      <c r="D790" s="137"/>
      <c r="E790" s="137"/>
      <c r="F790" s="137"/>
      <c r="H790" s="172"/>
      <c r="I790" s="172"/>
      <c r="J790" s="172"/>
      <c r="K790" s="172"/>
      <c r="L790" s="172"/>
    </row>
    <row r="791">
      <c r="B791" s="172"/>
      <c r="C791" s="173"/>
      <c r="D791" s="137"/>
      <c r="E791" s="137"/>
      <c r="F791" s="137"/>
      <c r="H791" s="172"/>
      <c r="I791" s="172"/>
      <c r="J791" s="172"/>
      <c r="K791" s="172"/>
      <c r="L791" s="172"/>
    </row>
    <row r="792">
      <c r="B792" s="172"/>
      <c r="C792" s="173"/>
      <c r="D792" s="137"/>
      <c r="E792" s="137"/>
      <c r="F792" s="137"/>
      <c r="H792" s="172"/>
      <c r="I792" s="172"/>
      <c r="J792" s="172"/>
      <c r="K792" s="172"/>
      <c r="L792" s="172"/>
    </row>
    <row r="793">
      <c r="B793" s="172"/>
      <c r="C793" s="173"/>
      <c r="D793" s="137"/>
      <c r="E793" s="137"/>
      <c r="F793" s="137"/>
      <c r="H793" s="172"/>
      <c r="I793" s="172"/>
      <c r="J793" s="172"/>
      <c r="K793" s="172"/>
      <c r="L793" s="172"/>
    </row>
    <row r="794">
      <c r="B794" s="172"/>
      <c r="C794" s="173"/>
      <c r="D794" s="137"/>
      <c r="E794" s="137"/>
      <c r="F794" s="137"/>
      <c r="H794" s="172"/>
      <c r="I794" s="172"/>
      <c r="J794" s="172"/>
      <c r="K794" s="172"/>
      <c r="L794" s="172"/>
    </row>
    <row r="795">
      <c r="B795" s="172"/>
      <c r="C795" s="173"/>
      <c r="D795" s="137"/>
      <c r="E795" s="137"/>
      <c r="F795" s="137"/>
      <c r="H795" s="172"/>
      <c r="I795" s="172"/>
      <c r="J795" s="172"/>
      <c r="K795" s="172"/>
      <c r="L795" s="172"/>
    </row>
    <row r="796">
      <c r="B796" s="172"/>
      <c r="C796" s="173"/>
      <c r="D796" s="137"/>
      <c r="E796" s="137"/>
      <c r="F796" s="137"/>
      <c r="H796" s="172"/>
      <c r="I796" s="172"/>
      <c r="J796" s="172"/>
      <c r="K796" s="172"/>
      <c r="L796" s="172"/>
    </row>
    <row r="797">
      <c r="B797" s="172"/>
      <c r="C797" s="173"/>
      <c r="D797" s="137"/>
      <c r="E797" s="137"/>
      <c r="F797" s="137"/>
      <c r="H797" s="172"/>
      <c r="I797" s="172"/>
      <c r="J797" s="172"/>
      <c r="K797" s="172"/>
      <c r="L797" s="172"/>
    </row>
    <row r="798">
      <c r="B798" s="172"/>
      <c r="C798" s="173"/>
      <c r="D798" s="137"/>
      <c r="E798" s="137"/>
      <c r="F798" s="137"/>
      <c r="H798" s="172"/>
      <c r="I798" s="172"/>
      <c r="J798" s="172"/>
      <c r="K798" s="172"/>
      <c r="L798" s="172"/>
    </row>
    <row r="799">
      <c r="B799" s="172"/>
      <c r="C799" s="173"/>
      <c r="D799" s="137"/>
      <c r="E799" s="137"/>
      <c r="F799" s="137"/>
      <c r="H799" s="172"/>
      <c r="I799" s="172"/>
      <c r="J799" s="172"/>
      <c r="K799" s="172"/>
      <c r="L799" s="172"/>
    </row>
    <row r="800">
      <c r="B800" s="172"/>
      <c r="C800" s="173"/>
      <c r="D800" s="137"/>
      <c r="E800" s="137"/>
      <c r="F800" s="137"/>
      <c r="H800" s="172"/>
      <c r="I800" s="172"/>
      <c r="J800" s="172"/>
      <c r="K800" s="172"/>
      <c r="L800" s="172"/>
    </row>
    <row r="801">
      <c r="B801" s="172"/>
      <c r="C801" s="173"/>
      <c r="D801" s="137"/>
      <c r="E801" s="137"/>
      <c r="F801" s="137"/>
      <c r="H801" s="172"/>
      <c r="I801" s="172"/>
      <c r="J801" s="172"/>
      <c r="K801" s="172"/>
      <c r="L801" s="172"/>
    </row>
    <row r="802">
      <c r="B802" s="172"/>
      <c r="C802" s="173"/>
      <c r="D802" s="137"/>
      <c r="E802" s="137"/>
      <c r="F802" s="137"/>
      <c r="H802" s="172"/>
      <c r="I802" s="172"/>
      <c r="J802" s="172"/>
      <c r="K802" s="172"/>
      <c r="L802" s="172"/>
    </row>
    <row r="803">
      <c r="B803" s="172"/>
      <c r="C803" s="173"/>
      <c r="D803" s="137"/>
      <c r="E803" s="137"/>
      <c r="F803" s="137"/>
      <c r="H803" s="172"/>
      <c r="I803" s="172"/>
      <c r="J803" s="172"/>
      <c r="K803" s="172"/>
      <c r="L803" s="172"/>
    </row>
    <row r="804">
      <c r="B804" s="172"/>
      <c r="C804" s="173"/>
      <c r="D804" s="137"/>
      <c r="E804" s="137"/>
      <c r="F804" s="137"/>
      <c r="H804" s="172"/>
      <c r="I804" s="172"/>
      <c r="J804" s="172"/>
      <c r="K804" s="172"/>
      <c r="L804" s="172"/>
    </row>
    <row r="805">
      <c r="B805" s="172"/>
      <c r="C805" s="173"/>
      <c r="D805" s="137"/>
      <c r="E805" s="137"/>
      <c r="F805" s="137"/>
      <c r="H805" s="172"/>
      <c r="I805" s="172"/>
      <c r="J805" s="172"/>
      <c r="K805" s="172"/>
      <c r="L805" s="172"/>
    </row>
    <row r="806">
      <c r="B806" s="172"/>
      <c r="C806" s="173"/>
      <c r="D806" s="137"/>
      <c r="E806" s="137"/>
      <c r="F806" s="137"/>
      <c r="H806" s="172"/>
      <c r="I806" s="172"/>
      <c r="J806" s="172"/>
      <c r="K806" s="172"/>
      <c r="L806" s="172"/>
    </row>
    <row r="807">
      <c r="B807" s="172"/>
      <c r="C807" s="173"/>
      <c r="D807" s="137"/>
      <c r="E807" s="137"/>
      <c r="F807" s="137"/>
      <c r="H807" s="172"/>
      <c r="I807" s="172"/>
      <c r="J807" s="172"/>
      <c r="K807" s="172"/>
      <c r="L807" s="172"/>
    </row>
    <row r="808">
      <c r="B808" s="172"/>
      <c r="C808" s="173"/>
      <c r="D808" s="137"/>
      <c r="E808" s="137"/>
      <c r="F808" s="137"/>
      <c r="H808" s="172"/>
      <c r="I808" s="172"/>
      <c r="J808" s="172"/>
      <c r="K808" s="172"/>
      <c r="L808" s="172"/>
    </row>
    <row r="809">
      <c r="B809" s="172"/>
      <c r="C809" s="173"/>
      <c r="D809" s="137"/>
      <c r="E809" s="137"/>
      <c r="F809" s="137"/>
      <c r="H809" s="172"/>
      <c r="I809" s="172"/>
      <c r="J809" s="172"/>
      <c r="K809" s="172"/>
      <c r="L809" s="172"/>
    </row>
    <row r="810">
      <c r="B810" s="172"/>
      <c r="C810" s="173"/>
      <c r="D810" s="137"/>
      <c r="E810" s="137"/>
      <c r="F810" s="137"/>
      <c r="H810" s="172"/>
      <c r="I810" s="172"/>
      <c r="J810" s="172"/>
      <c r="K810" s="172"/>
      <c r="L810" s="172"/>
    </row>
    <row r="811">
      <c r="B811" s="172"/>
      <c r="C811" s="173"/>
      <c r="D811" s="137"/>
      <c r="E811" s="137"/>
      <c r="F811" s="137"/>
      <c r="H811" s="172"/>
      <c r="I811" s="172"/>
      <c r="J811" s="172"/>
      <c r="K811" s="172"/>
      <c r="L811" s="172"/>
    </row>
    <row r="812">
      <c r="B812" s="172"/>
      <c r="C812" s="173"/>
      <c r="D812" s="137"/>
      <c r="E812" s="137"/>
      <c r="F812" s="137"/>
      <c r="H812" s="172"/>
      <c r="I812" s="172"/>
      <c r="J812" s="172"/>
      <c r="K812" s="172"/>
      <c r="L812" s="172"/>
    </row>
    <row r="813">
      <c r="B813" s="172"/>
      <c r="C813" s="173"/>
      <c r="D813" s="137"/>
      <c r="E813" s="137"/>
      <c r="F813" s="137"/>
      <c r="H813" s="172"/>
      <c r="I813" s="172"/>
      <c r="J813" s="172"/>
      <c r="K813" s="172"/>
      <c r="L813" s="172"/>
    </row>
    <row r="814">
      <c r="B814" s="172"/>
      <c r="C814" s="173"/>
      <c r="D814" s="137"/>
      <c r="E814" s="137"/>
      <c r="F814" s="137"/>
      <c r="H814" s="172"/>
      <c r="I814" s="172"/>
      <c r="J814" s="172"/>
      <c r="K814" s="172"/>
      <c r="L814" s="172"/>
    </row>
    <row r="815">
      <c r="B815" s="172"/>
      <c r="C815" s="173"/>
      <c r="D815" s="137"/>
      <c r="E815" s="137"/>
      <c r="F815" s="137"/>
      <c r="H815" s="172"/>
      <c r="I815" s="172"/>
      <c r="J815" s="172"/>
      <c r="K815" s="172"/>
      <c r="L815" s="172"/>
    </row>
    <row r="816">
      <c r="B816" s="172"/>
      <c r="C816" s="173"/>
      <c r="D816" s="137"/>
      <c r="E816" s="137"/>
      <c r="F816" s="137"/>
      <c r="H816" s="172"/>
      <c r="I816" s="172"/>
      <c r="J816" s="172"/>
      <c r="K816" s="172"/>
      <c r="L816" s="172"/>
    </row>
    <row r="817">
      <c r="B817" s="172"/>
      <c r="C817" s="173"/>
      <c r="D817" s="137"/>
      <c r="E817" s="137"/>
      <c r="F817" s="137"/>
      <c r="H817" s="172"/>
      <c r="I817" s="172"/>
      <c r="J817" s="172"/>
      <c r="K817" s="172"/>
      <c r="L817" s="172"/>
    </row>
    <row r="818">
      <c r="B818" s="172"/>
      <c r="C818" s="173"/>
      <c r="D818" s="137"/>
      <c r="E818" s="137"/>
      <c r="F818" s="137"/>
      <c r="H818" s="172"/>
      <c r="I818" s="172"/>
      <c r="J818" s="172"/>
      <c r="K818" s="172"/>
      <c r="L818" s="172"/>
    </row>
    <row r="819">
      <c r="B819" s="172"/>
      <c r="C819" s="173"/>
      <c r="D819" s="137"/>
      <c r="E819" s="137"/>
      <c r="F819" s="137"/>
      <c r="H819" s="172"/>
      <c r="I819" s="172"/>
      <c r="J819" s="172"/>
      <c r="K819" s="172"/>
      <c r="L819" s="172"/>
    </row>
    <row r="820">
      <c r="B820" s="172"/>
      <c r="C820" s="173"/>
      <c r="D820" s="137"/>
      <c r="E820" s="137"/>
      <c r="F820" s="137"/>
      <c r="H820" s="172"/>
      <c r="I820" s="172"/>
      <c r="J820" s="172"/>
      <c r="K820" s="172"/>
      <c r="L820" s="172"/>
    </row>
    <row r="821">
      <c r="B821" s="172"/>
      <c r="C821" s="173"/>
      <c r="D821" s="137"/>
      <c r="E821" s="137"/>
      <c r="F821" s="137"/>
      <c r="H821" s="172"/>
      <c r="I821" s="172"/>
      <c r="J821" s="172"/>
      <c r="K821" s="172"/>
      <c r="L821" s="172"/>
    </row>
    <row r="822">
      <c r="B822" s="172"/>
      <c r="C822" s="173"/>
      <c r="D822" s="137"/>
      <c r="E822" s="137"/>
      <c r="F822" s="137"/>
      <c r="H822" s="172"/>
      <c r="I822" s="172"/>
      <c r="J822" s="172"/>
      <c r="K822" s="172"/>
      <c r="L822" s="172"/>
    </row>
    <row r="823">
      <c r="B823" s="172"/>
      <c r="C823" s="173"/>
      <c r="D823" s="137"/>
      <c r="E823" s="137"/>
      <c r="F823" s="137"/>
      <c r="H823" s="172"/>
      <c r="I823" s="172"/>
      <c r="J823" s="172"/>
      <c r="K823" s="172"/>
      <c r="L823" s="172"/>
    </row>
    <row r="824">
      <c r="B824" s="172"/>
      <c r="C824" s="173"/>
      <c r="D824" s="137"/>
      <c r="E824" s="137"/>
      <c r="F824" s="137"/>
      <c r="H824" s="172"/>
      <c r="I824" s="172"/>
      <c r="J824" s="172"/>
      <c r="K824" s="172"/>
      <c r="L824" s="172"/>
    </row>
    <row r="825">
      <c r="B825" s="172"/>
      <c r="C825" s="173"/>
      <c r="D825" s="137"/>
      <c r="E825" s="137"/>
      <c r="F825" s="137"/>
      <c r="H825" s="172"/>
      <c r="I825" s="172"/>
      <c r="J825" s="172"/>
      <c r="K825" s="172"/>
      <c r="L825" s="172"/>
    </row>
    <row r="826">
      <c r="B826" s="172"/>
      <c r="C826" s="173"/>
      <c r="D826" s="137"/>
      <c r="E826" s="137"/>
      <c r="F826" s="137"/>
      <c r="H826" s="172"/>
      <c r="I826" s="172"/>
      <c r="J826" s="172"/>
      <c r="K826" s="172"/>
      <c r="L826" s="172"/>
    </row>
    <row r="827">
      <c r="B827" s="172"/>
      <c r="C827" s="173"/>
      <c r="D827" s="137"/>
      <c r="E827" s="137"/>
      <c r="F827" s="137"/>
      <c r="H827" s="172"/>
      <c r="I827" s="172"/>
      <c r="J827" s="172"/>
      <c r="K827" s="172"/>
      <c r="L827" s="172"/>
    </row>
    <row r="828">
      <c r="B828" s="172"/>
      <c r="C828" s="173"/>
      <c r="D828" s="137"/>
      <c r="E828" s="137"/>
      <c r="F828" s="137"/>
      <c r="H828" s="172"/>
      <c r="I828" s="172"/>
      <c r="J828" s="172"/>
      <c r="K828" s="172"/>
      <c r="L828" s="172"/>
    </row>
    <row r="829">
      <c r="B829" s="172"/>
      <c r="C829" s="173"/>
      <c r="D829" s="137"/>
      <c r="E829" s="137"/>
      <c r="F829" s="137"/>
      <c r="H829" s="172"/>
      <c r="I829" s="172"/>
      <c r="J829" s="172"/>
      <c r="K829" s="172"/>
      <c r="L829" s="172"/>
    </row>
    <row r="830">
      <c r="B830" s="172"/>
      <c r="C830" s="173"/>
      <c r="D830" s="137"/>
      <c r="E830" s="137"/>
      <c r="F830" s="137"/>
      <c r="H830" s="172"/>
      <c r="I830" s="172"/>
      <c r="J830" s="172"/>
      <c r="K830" s="172"/>
      <c r="L830" s="172"/>
    </row>
    <row r="831">
      <c r="B831" s="172"/>
      <c r="C831" s="173"/>
      <c r="D831" s="137"/>
      <c r="E831" s="137"/>
      <c r="F831" s="137"/>
      <c r="H831" s="172"/>
      <c r="I831" s="172"/>
      <c r="J831" s="172"/>
      <c r="K831" s="172"/>
      <c r="L831" s="172"/>
    </row>
    <row r="832">
      <c r="B832" s="172"/>
      <c r="C832" s="173"/>
      <c r="D832" s="137"/>
      <c r="E832" s="137"/>
      <c r="F832" s="137"/>
      <c r="H832" s="172"/>
      <c r="I832" s="172"/>
      <c r="J832" s="172"/>
      <c r="K832" s="172"/>
      <c r="L832" s="172"/>
    </row>
    <row r="833">
      <c r="B833" s="172"/>
      <c r="C833" s="173"/>
      <c r="D833" s="137"/>
      <c r="E833" s="137"/>
      <c r="F833" s="137"/>
      <c r="H833" s="172"/>
      <c r="I833" s="172"/>
      <c r="J833" s="172"/>
      <c r="K833" s="172"/>
      <c r="L833" s="172"/>
    </row>
    <row r="834">
      <c r="B834" s="172"/>
      <c r="C834" s="173"/>
      <c r="D834" s="137"/>
      <c r="E834" s="137"/>
      <c r="F834" s="137"/>
      <c r="H834" s="172"/>
      <c r="I834" s="172"/>
      <c r="J834" s="172"/>
      <c r="K834" s="172"/>
      <c r="L834" s="172"/>
    </row>
    <row r="835">
      <c r="B835" s="172"/>
      <c r="C835" s="173"/>
      <c r="D835" s="137"/>
      <c r="E835" s="137"/>
      <c r="F835" s="137"/>
      <c r="H835" s="172"/>
      <c r="I835" s="172"/>
      <c r="J835" s="172"/>
      <c r="K835" s="172"/>
      <c r="L835" s="172"/>
    </row>
    <row r="836">
      <c r="B836" s="172"/>
      <c r="C836" s="173"/>
      <c r="D836" s="137"/>
      <c r="E836" s="137"/>
      <c r="F836" s="137"/>
      <c r="H836" s="172"/>
      <c r="I836" s="172"/>
      <c r="J836" s="172"/>
      <c r="K836" s="172"/>
      <c r="L836" s="172"/>
    </row>
    <row r="837">
      <c r="B837" s="172"/>
      <c r="C837" s="173"/>
      <c r="D837" s="137"/>
      <c r="E837" s="137"/>
      <c r="F837" s="137"/>
      <c r="H837" s="172"/>
      <c r="I837" s="172"/>
      <c r="J837" s="172"/>
      <c r="K837" s="172"/>
      <c r="L837" s="172"/>
    </row>
    <row r="838">
      <c r="B838" s="172"/>
      <c r="C838" s="173"/>
      <c r="D838" s="137"/>
      <c r="E838" s="137"/>
      <c r="F838" s="137"/>
      <c r="H838" s="172"/>
      <c r="I838" s="172"/>
      <c r="J838" s="172"/>
      <c r="K838" s="172"/>
      <c r="L838" s="172"/>
    </row>
    <row r="839">
      <c r="B839" s="172"/>
      <c r="C839" s="173"/>
      <c r="D839" s="137"/>
      <c r="E839" s="137"/>
      <c r="F839" s="137"/>
      <c r="H839" s="172"/>
      <c r="I839" s="172"/>
      <c r="J839" s="172"/>
      <c r="K839" s="172"/>
      <c r="L839" s="172"/>
    </row>
    <row r="840">
      <c r="B840" s="172"/>
      <c r="C840" s="173"/>
      <c r="D840" s="137"/>
      <c r="E840" s="137"/>
      <c r="F840" s="137"/>
      <c r="H840" s="172"/>
      <c r="I840" s="172"/>
      <c r="J840" s="172"/>
      <c r="K840" s="172"/>
      <c r="L840" s="172"/>
    </row>
    <row r="841">
      <c r="B841" s="172"/>
      <c r="C841" s="173"/>
      <c r="D841" s="137"/>
      <c r="E841" s="137"/>
      <c r="F841" s="137"/>
      <c r="H841" s="172"/>
      <c r="I841" s="172"/>
      <c r="J841" s="172"/>
      <c r="K841" s="172"/>
      <c r="L841" s="172"/>
    </row>
    <row r="842">
      <c r="B842" s="172"/>
      <c r="C842" s="173"/>
      <c r="D842" s="137"/>
      <c r="E842" s="137"/>
      <c r="F842" s="137"/>
      <c r="H842" s="172"/>
      <c r="I842" s="172"/>
      <c r="J842" s="172"/>
      <c r="K842" s="172"/>
      <c r="L842" s="172"/>
    </row>
    <row r="843">
      <c r="B843" s="172"/>
      <c r="C843" s="173"/>
      <c r="D843" s="137"/>
      <c r="E843" s="137"/>
      <c r="F843" s="137"/>
      <c r="H843" s="172"/>
      <c r="I843" s="172"/>
      <c r="J843" s="172"/>
      <c r="K843" s="172"/>
      <c r="L843" s="172"/>
    </row>
    <row r="844">
      <c r="B844" s="172"/>
      <c r="C844" s="173"/>
      <c r="D844" s="137"/>
      <c r="E844" s="137"/>
      <c r="F844" s="137"/>
      <c r="H844" s="172"/>
      <c r="I844" s="172"/>
      <c r="J844" s="172"/>
      <c r="K844" s="172"/>
      <c r="L844" s="172"/>
    </row>
    <row r="845">
      <c r="B845" s="172"/>
      <c r="C845" s="173"/>
      <c r="D845" s="137"/>
      <c r="E845" s="137"/>
      <c r="F845" s="137"/>
      <c r="H845" s="172"/>
      <c r="I845" s="172"/>
      <c r="J845" s="172"/>
      <c r="K845" s="172"/>
      <c r="L845" s="172"/>
    </row>
    <row r="846">
      <c r="B846" s="172"/>
      <c r="C846" s="173"/>
      <c r="D846" s="137"/>
      <c r="E846" s="137"/>
      <c r="F846" s="137"/>
      <c r="H846" s="172"/>
      <c r="I846" s="172"/>
      <c r="J846" s="172"/>
      <c r="K846" s="172"/>
      <c r="L846" s="172"/>
    </row>
    <row r="847">
      <c r="B847" s="172"/>
      <c r="C847" s="173"/>
      <c r="D847" s="137"/>
      <c r="E847" s="137"/>
      <c r="F847" s="137"/>
      <c r="H847" s="172"/>
      <c r="I847" s="172"/>
      <c r="J847" s="172"/>
      <c r="K847" s="172"/>
      <c r="L847" s="172"/>
    </row>
    <row r="848">
      <c r="B848" s="172"/>
      <c r="C848" s="173"/>
      <c r="D848" s="137"/>
      <c r="E848" s="137"/>
      <c r="F848" s="137"/>
      <c r="H848" s="172"/>
      <c r="I848" s="172"/>
      <c r="J848" s="172"/>
      <c r="K848" s="172"/>
      <c r="L848" s="172"/>
    </row>
    <row r="849">
      <c r="B849" s="172"/>
      <c r="C849" s="173"/>
      <c r="D849" s="137"/>
      <c r="E849" s="137"/>
      <c r="F849" s="137"/>
      <c r="H849" s="172"/>
      <c r="I849" s="172"/>
      <c r="J849" s="172"/>
      <c r="K849" s="172"/>
      <c r="L849" s="172"/>
    </row>
    <row r="850">
      <c r="B850" s="172"/>
      <c r="C850" s="173"/>
      <c r="D850" s="137"/>
      <c r="E850" s="137"/>
      <c r="F850" s="137"/>
      <c r="H850" s="172"/>
      <c r="I850" s="172"/>
      <c r="J850" s="172"/>
      <c r="K850" s="172"/>
      <c r="L850" s="172"/>
    </row>
    <row r="851">
      <c r="B851" s="172"/>
      <c r="C851" s="173"/>
      <c r="D851" s="137"/>
      <c r="E851" s="137"/>
      <c r="F851" s="137"/>
      <c r="H851" s="172"/>
      <c r="I851" s="172"/>
      <c r="J851" s="172"/>
      <c r="K851" s="172"/>
      <c r="L851" s="172"/>
    </row>
    <row r="852">
      <c r="B852" s="172"/>
      <c r="C852" s="173"/>
      <c r="D852" s="137"/>
      <c r="E852" s="137"/>
      <c r="F852" s="137"/>
      <c r="H852" s="172"/>
      <c r="I852" s="172"/>
      <c r="J852" s="172"/>
      <c r="K852" s="172"/>
      <c r="L852" s="172"/>
    </row>
    <row r="853">
      <c r="B853" s="172"/>
      <c r="C853" s="173"/>
      <c r="D853" s="137"/>
      <c r="E853" s="137"/>
      <c r="F853" s="137"/>
      <c r="H853" s="172"/>
      <c r="I853" s="172"/>
      <c r="J853" s="172"/>
      <c r="K853" s="172"/>
      <c r="L853" s="172"/>
    </row>
    <row r="854">
      <c r="B854" s="172"/>
      <c r="C854" s="173"/>
      <c r="D854" s="137"/>
      <c r="E854" s="137"/>
      <c r="F854" s="137"/>
      <c r="H854" s="172"/>
      <c r="I854" s="172"/>
      <c r="J854" s="172"/>
      <c r="K854" s="172"/>
      <c r="L854" s="172"/>
    </row>
    <row r="855">
      <c r="B855" s="172"/>
      <c r="C855" s="173"/>
      <c r="D855" s="137"/>
      <c r="E855" s="137"/>
      <c r="F855" s="137"/>
      <c r="H855" s="172"/>
      <c r="I855" s="172"/>
      <c r="J855" s="172"/>
      <c r="K855" s="172"/>
      <c r="L855" s="172"/>
    </row>
    <row r="856">
      <c r="B856" s="172"/>
      <c r="C856" s="173"/>
      <c r="D856" s="137"/>
      <c r="E856" s="137"/>
      <c r="F856" s="137"/>
      <c r="H856" s="172"/>
      <c r="I856" s="172"/>
      <c r="J856" s="172"/>
      <c r="K856" s="172"/>
      <c r="L856" s="172"/>
    </row>
    <row r="857">
      <c r="B857" s="172"/>
      <c r="C857" s="173"/>
      <c r="D857" s="137"/>
      <c r="E857" s="137"/>
      <c r="F857" s="137"/>
      <c r="H857" s="172"/>
      <c r="I857" s="172"/>
      <c r="J857" s="172"/>
      <c r="K857" s="172"/>
      <c r="L857" s="172"/>
    </row>
    <row r="858">
      <c r="B858" s="172"/>
      <c r="C858" s="173"/>
      <c r="D858" s="137"/>
      <c r="E858" s="137"/>
      <c r="F858" s="137"/>
      <c r="H858" s="172"/>
      <c r="I858" s="172"/>
      <c r="J858" s="172"/>
      <c r="K858" s="172"/>
      <c r="L858" s="172"/>
    </row>
    <row r="859">
      <c r="B859" s="172"/>
      <c r="C859" s="173"/>
      <c r="D859" s="137"/>
      <c r="E859" s="137"/>
      <c r="F859" s="137"/>
      <c r="H859" s="172"/>
      <c r="I859" s="172"/>
      <c r="J859" s="172"/>
      <c r="K859" s="172"/>
      <c r="L859" s="172"/>
    </row>
    <row r="860">
      <c r="B860" s="172"/>
      <c r="C860" s="173"/>
      <c r="D860" s="137"/>
      <c r="E860" s="137"/>
      <c r="F860" s="137"/>
      <c r="H860" s="172"/>
      <c r="I860" s="172"/>
      <c r="J860" s="172"/>
      <c r="K860" s="172"/>
      <c r="L860" s="172"/>
    </row>
    <row r="861">
      <c r="B861" s="172"/>
      <c r="C861" s="173"/>
      <c r="D861" s="137"/>
      <c r="E861" s="137"/>
      <c r="F861" s="137"/>
      <c r="H861" s="172"/>
      <c r="I861" s="172"/>
      <c r="J861" s="172"/>
      <c r="K861" s="172"/>
      <c r="L861" s="172"/>
    </row>
    <row r="862">
      <c r="B862" s="172"/>
      <c r="C862" s="173"/>
      <c r="D862" s="137"/>
      <c r="E862" s="137"/>
      <c r="F862" s="137"/>
      <c r="H862" s="172"/>
      <c r="I862" s="172"/>
      <c r="J862" s="172"/>
      <c r="K862" s="172"/>
      <c r="L862" s="172"/>
    </row>
    <row r="863">
      <c r="B863" s="172"/>
      <c r="C863" s="173"/>
      <c r="D863" s="137"/>
      <c r="E863" s="137"/>
      <c r="F863" s="137"/>
      <c r="H863" s="172"/>
      <c r="I863" s="172"/>
      <c r="J863" s="172"/>
      <c r="K863" s="172"/>
      <c r="L863" s="172"/>
    </row>
    <row r="864">
      <c r="B864" s="172"/>
      <c r="C864" s="173"/>
      <c r="D864" s="137"/>
      <c r="E864" s="137"/>
      <c r="F864" s="137"/>
      <c r="H864" s="172"/>
      <c r="I864" s="172"/>
      <c r="J864" s="172"/>
      <c r="K864" s="172"/>
      <c r="L864" s="172"/>
    </row>
    <row r="865">
      <c r="B865" s="172"/>
      <c r="C865" s="173"/>
      <c r="D865" s="137"/>
      <c r="E865" s="137"/>
      <c r="F865" s="137"/>
      <c r="H865" s="172"/>
      <c r="I865" s="172"/>
      <c r="J865" s="172"/>
      <c r="K865" s="172"/>
      <c r="L865" s="172"/>
    </row>
    <row r="866">
      <c r="B866" s="172"/>
      <c r="C866" s="173"/>
      <c r="D866" s="137"/>
      <c r="E866" s="137"/>
      <c r="F866" s="137"/>
      <c r="H866" s="172"/>
      <c r="I866" s="172"/>
      <c r="J866" s="172"/>
      <c r="K866" s="172"/>
      <c r="L866" s="172"/>
    </row>
    <row r="867">
      <c r="B867" s="172"/>
      <c r="C867" s="173"/>
      <c r="D867" s="137"/>
      <c r="E867" s="137"/>
      <c r="F867" s="137"/>
      <c r="H867" s="172"/>
      <c r="I867" s="172"/>
      <c r="J867" s="172"/>
      <c r="K867" s="172"/>
      <c r="L867" s="172"/>
    </row>
    <row r="868">
      <c r="B868" s="172"/>
      <c r="C868" s="173"/>
      <c r="D868" s="137"/>
      <c r="E868" s="137"/>
      <c r="F868" s="137"/>
      <c r="H868" s="172"/>
      <c r="I868" s="172"/>
      <c r="J868" s="172"/>
      <c r="K868" s="172"/>
      <c r="L868" s="172"/>
    </row>
    <row r="869">
      <c r="B869" s="172"/>
      <c r="C869" s="173"/>
      <c r="D869" s="137"/>
      <c r="E869" s="137"/>
      <c r="F869" s="137"/>
      <c r="H869" s="172"/>
      <c r="I869" s="172"/>
      <c r="J869" s="172"/>
      <c r="K869" s="172"/>
      <c r="L869" s="172"/>
    </row>
    <row r="870">
      <c r="B870" s="172"/>
      <c r="C870" s="173"/>
      <c r="D870" s="137"/>
      <c r="E870" s="137"/>
      <c r="F870" s="137"/>
      <c r="H870" s="172"/>
      <c r="I870" s="172"/>
      <c r="J870" s="172"/>
      <c r="K870" s="172"/>
      <c r="L870" s="172"/>
    </row>
    <row r="871">
      <c r="B871" s="172"/>
      <c r="C871" s="173"/>
      <c r="D871" s="137"/>
      <c r="E871" s="137"/>
      <c r="F871" s="137"/>
      <c r="H871" s="172"/>
      <c r="I871" s="172"/>
      <c r="J871" s="172"/>
      <c r="K871" s="172"/>
      <c r="L871" s="172"/>
    </row>
    <row r="872">
      <c r="B872" s="172"/>
      <c r="C872" s="173"/>
      <c r="D872" s="137"/>
      <c r="E872" s="137"/>
      <c r="F872" s="137"/>
      <c r="H872" s="172"/>
      <c r="I872" s="172"/>
      <c r="J872" s="172"/>
      <c r="K872" s="172"/>
      <c r="L872" s="172"/>
    </row>
    <row r="873">
      <c r="B873" s="172"/>
      <c r="C873" s="173"/>
      <c r="D873" s="137"/>
      <c r="E873" s="137"/>
      <c r="F873" s="137"/>
      <c r="H873" s="172"/>
      <c r="I873" s="172"/>
      <c r="J873" s="172"/>
      <c r="K873" s="172"/>
      <c r="L873" s="172"/>
    </row>
    <row r="874">
      <c r="B874" s="172"/>
      <c r="C874" s="173"/>
      <c r="D874" s="137"/>
      <c r="E874" s="137"/>
      <c r="F874" s="137"/>
      <c r="H874" s="172"/>
      <c r="I874" s="172"/>
      <c r="J874" s="172"/>
      <c r="K874" s="172"/>
      <c r="L874" s="172"/>
    </row>
    <row r="875">
      <c r="B875" s="172"/>
      <c r="C875" s="173"/>
      <c r="D875" s="137"/>
      <c r="E875" s="137"/>
      <c r="F875" s="137"/>
      <c r="H875" s="172"/>
      <c r="I875" s="172"/>
      <c r="J875" s="172"/>
      <c r="K875" s="172"/>
      <c r="L875" s="172"/>
    </row>
    <row r="876">
      <c r="B876" s="172"/>
      <c r="C876" s="173"/>
      <c r="D876" s="137"/>
      <c r="E876" s="137"/>
      <c r="F876" s="137"/>
      <c r="H876" s="172"/>
      <c r="I876" s="172"/>
      <c r="J876" s="172"/>
      <c r="K876" s="172"/>
      <c r="L876" s="172"/>
    </row>
    <row r="877">
      <c r="B877" s="172"/>
      <c r="C877" s="173"/>
      <c r="D877" s="137"/>
      <c r="E877" s="137"/>
      <c r="F877" s="137"/>
      <c r="H877" s="172"/>
      <c r="I877" s="172"/>
      <c r="J877" s="172"/>
      <c r="K877" s="172"/>
      <c r="L877" s="172"/>
    </row>
    <row r="878">
      <c r="B878" s="172"/>
      <c r="C878" s="173"/>
      <c r="D878" s="137"/>
      <c r="E878" s="137"/>
      <c r="F878" s="137"/>
      <c r="H878" s="172"/>
      <c r="I878" s="172"/>
      <c r="J878" s="172"/>
      <c r="K878" s="172"/>
      <c r="L878" s="172"/>
    </row>
    <row r="879">
      <c r="B879" s="172"/>
      <c r="C879" s="173"/>
      <c r="D879" s="137"/>
      <c r="E879" s="137"/>
      <c r="F879" s="137"/>
      <c r="H879" s="172"/>
      <c r="I879" s="172"/>
      <c r="J879" s="172"/>
      <c r="K879" s="172"/>
      <c r="L879" s="172"/>
    </row>
    <row r="880">
      <c r="B880" s="172"/>
      <c r="C880" s="173"/>
      <c r="D880" s="137"/>
      <c r="E880" s="137"/>
      <c r="F880" s="137"/>
      <c r="H880" s="172"/>
      <c r="I880" s="172"/>
      <c r="J880" s="172"/>
      <c r="K880" s="172"/>
      <c r="L880" s="172"/>
    </row>
    <row r="881">
      <c r="B881" s="172"/>
      <c r="C881" s="173"/>
      <c r="D881" s="137"/>
      <c r="E881" s="137"/>
      <c r="F881" s="137"/>
      <c r="H881" s="172"/>
      <c r="I881" s="172"/>
      <c r="J881" s="172"/>
      <c r="K881" s="172"/>
      <c r="L881" s="172"/>
    </row>
    <row r="882">
      <c r="B882" s="172"/>
      <c r="C882" s="173"/>
      <c r="D882" s="137"/>
      <c r="E882" s="137"/>
      <c r="F882" s="137"/>
      <c r="H882" s="172"/>
      <c r="I882" s="172"/>
      <c r="J882" s="172"/>
      <c r="K882" s="172"/>
      <c r="L882" s="172"/>
    </row>
    <row r="883">
      <c r="B883" s="172"/>
      <c r="C883" s="173"/>
      <c r="D883" s="137"/>
      <c r="E883" s="137"/>
      <c r="F883" s="137"/>
      <c r="H883" s="172"/>
      <c r="I883" s="172"/>
      <c r="J883" s="172"/>
      <c r="K883" s="172"/>
      <c r="L883" s="172"/>
    </row>
    <row r="884">
      <c r="B884" s="172"/>
      <c r="C884" s="173"/>
      <c r="D884" s="137"/>
      <c r="E884" s="137"/>
      <c r="F884" s="137"/>
      <c r="H884" s="172"/>
      <c r="I884" s="172"/>
      <c r="J884" s="172"/>
      <c r="K884" s="172"/>
      <c r="L884" s="172"/>
    </row>
    <row r="885">
      <c r="B885" s="172"/>
      <c r="C885" s="173"/>
      <c r="D885" s="137"/>
      <c r="E885" s="137"/>
      <c r="F885" s="137"/>
      <c r="H885" s="172"/>
      <c r="I885" s="172"/>
      <c r="J885" s="172"/>
      <c r="K885" s="172"/>
      <c r="L885" s="172"/>
    </row>
    <row r="886">
      <c r="B886" s="172"/>
      <c r="C886" s="173"/>
      <c r="D886" s="137"/>
      <c r="E886" s="137"/>
      <c r="F886" s="137"/>
      <c r="H886" s="172"/>
      <c r="I886" s="172"/>
      <c r="J886" s="172"/>
      <c r="K886" s="172"/>
      <c r="L886" s="172"/>
    </row>
    <row r="887">
      <c r="B887" s="172"/>
      <c r="C887" s="173"/>
      <c r="D887" s="137"/>
      <c r="E887" s="137"/>
      <c r="F887" s="137"/>
      <c r="H887" s="172"/>
      <c r="I887" s="172"/>
      <c r="J887" s="172"/>
      <c r="K887" s="172"/>
      <c r="L887" s="172"/>
    </row>
    <row r="888">
      <c r="B888" s="172"/>
      <c r="C888" s="173"/>
      <c r="D888" s="137"/>
      <c r="E888" s="137"/>
      <c r="F888" s="137"/>
      <c r="H888" s="172"/>
      <c r="I888" s="172"/>
      <c r="J888" s="172"/>
      <c r="K888" s="172"/>
      <c r="L888" s="172"/>
    </row>
    <row r="889">
      <c r="B889" s="172"/>
      <c r="C889" s="173"/>
      <c r="D889" s="137"/>
      <c r="E889" s="137"/>
      <c r="F889" s="137"/>
      <c r="H889" s="172"/>
      <c r="I889" s="172"/>
      <c r="J889" s="172"/>
      <c r="K889" s="172"/>
      <c r="L889" s="172"/>
    </row>
    <row r="890">
      <c r="B890" s="172"/>
      <c r="C890" s="173"/>
      <c r="D890" s="137"/>
      <c r="E890" s="137"/>
      <c r="F890" s="137"/>
      <c r="H890" s="172"/>
      <c r="I890" s="172"/>
      <c r="J890" s="172"/>
      <c r="K890" s="172"/>
      <c r="L890" s="172"/>
    </row>
    <row r="891">
      <c r="B891" s="172"/>
      <c r="C891" s="173"/>
      <c r="D891" s="137"/>
      <c r="E891" s="137"/>
      <c r="F891" s="137"/>
      <c r="H891" s="172"/>
      <c r="I891" s="172"/>
      <c r="J891" s="172"/>
      <c r="K891" s="172"/>
      <c r="L891" s="172"/>
    </row>
    <row r="892">
      <c r="B892" s="172"/>
      <c r="C892" s="173"/>
      <c r="D892" s="137"/>
      <c r="E892" s="137"/>
      <c r="F892" s="137"/>
      <c r="H892" s="172"/>
      <c r="I892" s="172"/>
      <c r="J892" s="172"/>
      <c r="K892" s="172"/>
      <c r="L892" s="172"/>
    </row>
    <row r="893">
      <c r="B893" s="172"/>
      <c r="C893" s="173"/>
      <c r="D893" s="137"/>
      <c r="E893" s="137"/>
      <c r="F893" s="137"/>
      <c r="H893" s="172"/>
      <c r="I893" s="172"/>
      <c r="J893" s="172"/>
      <c r="K893" s="172"/>
      <c r="L893" s="172"/>
    </row>
    <row r="894">
      <c r="B894" s="172"/>
      <c r="C894" s="173"/>
      <c r="D894" s="137"/>
      <c r="E894" s="137"/>
      <c r="F894" s="137"/>
      <c r="H894" s="172"/>
      <c r="I894" s="172"/>
      <c r="J894" s="172"/>
      <c r="K894" s="172"/>
      <c r="L894" s="172"/>
    </row>
    <row r="895">
      <c r="B895" s="172"/>
      <c r="C895" s="173"/>
      <c r="D895" s="137"/>
      <c r="E895" s="137"/>
      <c r="F895" s="137"/>
      <c r="H895" s="172"/>
      <c r="I895" s="172"/>
      <c r="J895" s="172"/>
      <c r="K895" s="172"/>
      <c r="L895" s="172"/>
    </row>
    <row r="896">
      <c r="B896" s="172"/>
      <c r="C896" s="173"/>
      <c r="D896" s="137"/>
      <c r="E896" s="137"/>
      <c r="F896" s="137"/>
      <c r="H896" s="172"/>
      <c r="I896" s="172"/>
      <c r="J896" s="172"/>
      <c r="K896" s="172"/>
      <c r="L896" s="172"/>
    </row>
    <row r="897">
      <c r="B897" s="172"/>
      <c r="C897" s="173"/>
      <c r="D897" s="137"/>
      <c r="E897" s="137"/>
      <c r="F897" s="137"/>
      <c r="H897" s="172"/>
      <c r="I897" s="172"/>
      <c r="J897" s="172"/>
      <c r="K897" s="172"/>
      <c r="L897" s="172"/>
    </row>
    <row r="898">
      <c r="B898" s="172"/>
      <c r="C898" s="173"/>
      <c r="D898" s="137"/>
      <c r="E898" s="137"/>
      <c r="F898" s="137"/>
      <c r="H898" s="172"/>
      <c r="I898" s="172"/>
      <c r="J898" s="172"/>
      <c r="K898" s="172"/>
      <c r="L898" s="172"/>
    </row>
    <row r="899">
      <c r="B899" s="172"/>
      <c r="C899" s="173"/>
      <c r="D899" s="137"/>
      <c r="E899" s="137"/>
      <c r="F899" s="137"/>
      <c r="H899" s="172"/>
      <c r="I899" s="172"/>
      <c r="J899" s="172"/>
      <c r="K899" s="172"/>
      <c r="L899" s="172"/>
    </row>
    <row r="900">
      <c r="B900" s="172"/>
      <c r="C900" s="173"/>
      <c r="D900" s="137"/>
      <c r="E900" s="137"/>
      <c r="F900" s="137"/>
      <c r="H900" s="172"/>
      <c r="I900" s="172"/>
      <c r="J900" s="172"/>
      <c r="K900" s="172"/>
      <c r="L900" s="172"/>
    </row>
    <row r="901">
      <c r="B901" s="172"/>
      <c r="C901" s="173"/>
      <c r="D901" s="137"/>
      <c r="E901" s="137"/>
      <c r="F901" s="137"/>
      <c r="H901" s="172"/>
      <c r="I901" s="172"/>
      <c r="J901" s="172"/>
      <c r="K901" s="172"/>
      <c r="L901" s="172"/>
    </row>
    <row r="902">
      <c r="B902" s="172"/>
      <c r="C902" s="173"/>
      <c r="D902" s="137"/>
      <c r="E902" s="137"/>
      <c r="F902" s="137"/>
      <c r="H902" s="172"/>
      <c r="I902" s="172"/>
      <c r="J902" s="172"/>
      <c r="K902" s="172"/>
      <c r="L902" s="172"/>
    </row>
    <row r="903">
      <c r="B903" s="172"/>
      <c r="C903" s="173"/>
      <c r="D903" s="137"/>
      <c r="E903" s="137"/>
      <c r="F903" s="137"/>
      <c r="H903" s="172"/>
      <c r="I903" s="172"/>
      <c r="J903" s="172"/>
      <c r="K903" s="172"/>
      <c r="L903" s="172"/>
    </row>
    <row r="904">
      <c r="B904" s="172"/>
      <c r="C904" s="173"/>
      <c r="D904" s="137"/>
      <c r="E904" s="137"/>
      <c r="F904" s="137"/>
      <c r="H904" s="172"/>
      <c r="I904" s="172"/>
      <c r="J904" s="172"/>
      <c r="K904" s="172"/>
      <c r="L904" s="172"/>
    </row>
    <row r="905">
      <c r="B905" s="172"/>
      <c r="C905" s="173"/>
      <c r="D905" s="137"/>
      <c r="E905" s="137"/>
      <c r="F905" s="137"/>
      <c r="H905" s="172"/>
      <c r="I905" s="172"/>
      <c r="J905" s="172"/>
      <c r="K905" s="172"/>
      <c r="L905" s="172"/>
    </row>
    <row r="906">
      <c r="B906" s="172"/>
      <c r="C906" s="173"/>
      <c r="D906" s="137"/>
      <c r="E906" s="137"/>
      <c r="F906" s="137"/>
      <c r="H906" s="172"/>
      <c r="I906" s="172"/>
      <c r="J906" s="172"/>
      <c r="K906" s="172"/>
      <c r="L906" s="172"/>
    </row>
    <row r="907">
      <c r="B907" s="172"/>
      <c r="C907" s="173"/>
      <c r="D907" s="137"/>
      <c r="E907" s="137"/>
      <c r="F907" s="137"/>
      <c r="H907" s="172"/>
      <c r="I907" s="172"/>
      <c r="J907" s="172"/>
      <c r="K907" s="172"/>
      <c r="L907" s="172"/>
    </row>
    <row r="908">
      <c r="B908" s="172"/>
      <c r="C908" s="173"/>
      <c r="D908" s="137"/>
      <c r="E908" s="137"/>
      <c r="F908" s="137"/>
      <c r="H908" s="172"/>
      <c r="I908" s="172"/>
      <c r="J908" s="172"/>
      <c r="K908" s="172"/>
      <c r="L908" s="172"/>
    </row>
    <row r="909">
      <c r="B909" s="172"/>
      <c r="C909" s="173"/>
      <c r="D909" s="137"/>
      <c r="E909" s="137"/>
      <c r="F909" s="137"/>
      <c r="H909" s="172"/>
      <c r="I909" s="172"/>
      <c r="J909" s="172"/>
      <c r="K909" s="172"/>
      <c r="L909" s="172"/>
    </row>
    <row r="910">
      <c r="B910" s="172"/>
      <c r="C910" s="173"/>
      <c r="D910" s="137"/>
      <c r="E910" s="137"/>
      <c r="F910" s="137"/>
      <c r="H910" s="172"/>
      <c r="I910" s="172"/>
      <c r="J910" s="172"/>
      <c r="K910" s="172"/>
      <c r="L910" s="172"/>
    </row>
    <row r="911">
      <c r="B911" s="172"/>
      <c r="C911" s="173"/>
      <c r="D911" s="137"/>
      <c r="E911" s="137"/>
      <c r="F911" s="137"/>
      <c r="H911" s="172"/>
      <c r="I911" s="172"/>
      <c r="J911" s="172"/>
      <c r="K911" s="172"/>
      <c r="L911" s="172"/>
    </row>
    <row r="912">
      <c r="B912" s="172"/>
      <c r="C912" s="173"/>
      <c r="D912" s="137"/>
      <c r="E912" s="137"/>
      <c r="F912" s="137"/>
      <c r="H912" s="172"/>
      <c r="I912" s="172"/>
      <c r="J912" s="172"/>
      <c r="K912" s="172"/>
      <c r="L912" s="172"/>
    </row>
    <row r="913">
      <c r="B913" s="172"/>
      <c r="C913" s="173"/>
      <c r="D913" s="137"/>
      <c r="E913" s="137"/>
      <c r="F913" s="137"/>
      <c r="H913" s="172"/>
      <c r="I913" s="172"/>
      <c r="J913" s="172"/>
      <c r="K913" s="172"/>
      <c r="L913" s="172"/>
    </row>
    <row r="914">
      <c r="B914" s="172"/>
      <c r="C914" s="173"/>
      <c r="D914" s="137"/>
      <c r="E914" s="137"/>
      <c r="F914" s="137"/>
      <c r="H914" s="172"/>
      <c r="I914" s="172"/>
      <c r="J914" s="172"/>
      <c r="K914" s="172"/>
      <c r="L914" s="172"/>
    </row>
    <row r="915">
      <c r="B915" s="172"/>
      <c r="C915" s="173"/>
      <c r="D915" s="137"/>
      <c r="E915" s="137"/>
      <c r="F915" s="137"/>
      <c r="H915" s="172"/>
      <c r="I915" s="172"/>
      <c r="J915" s="172"/>
      <c r="K915" s="172"/>
      <c r="L915" s="172"/>
    </row>
    <row r="916">
      <c r="B916" s="172"/>
      <c r="C916" s="173"/>
      <c r="D916" s="137"/>
      <c r="E916" s="137"/>
      <c r="F916" s="137"/>
      <c r="H916" s="172"/>
      <c r="I916" s="172"/>
      <c r="J916" s="172"/>
      <c r="K916" s="172"/>
      <c r="L916" s="172"/>
    </row>
    <row r="917">
      <c r="B917" s="172"/>
      <c r="C917" s="173"/>
      <c r="D917" s="137"/>
      <c r="E917" s="137"/>
      <c r="F917" s="137"/>
      <c r="H917" s="172"/>
      <c r="I917" s="172"/>
      <c r="J917" s="172"/>
      <c r="K917" s="172"/>
      <c r="L917" s="172"/>
    </row>
    <row r="918">
      <c r="B918" s="172"/>
      <c r="C918" s="173"/>
      <c r="D918" s="137"/>
      <c r="E918" s="137"/>
      <c r="F918" s="137"/>
      <c r="H918" s="172"/>
      <c r="I918" s="172"/>
      <c r="J918" s="172"/>
      <c r="K918" s="172"/>
      <c r="L918" s="172"/>
    </row>
    <row r="919">
      <c r="B919" s="172"/>
      <c r="C919" s="173"/>
      <c r="D919" s="137"/>
      <c r="E919" s="137"/>
      <c r="F919" s="137"/>
      <c r="H919" s="172"/>
      <c r="I919" s="172"/>
      <c r="J919" s="172"/>
      <c r="K919" s="172"/>
      <c r="L919" s="172"/>
    </row>
    <row r="920">
      <c r="B920" s="172"/>
      <c r="C920" s="173"/>
      <c r="D920" s="137"/>
      <c r="E920" s="137"/>
      <c r="F920" s="137"/>
      <c r="H920" s="172"/>
      <c r="I920" s="172"/>
      <c r="J920" s="172"/>
      <c r="K920" s="172"/>
      <c r="L920" s="172"/>
    </row>
    <row r="921">
      <c r="B921" s="172"/>
      <c r="C921" s="173"/>
      <c r="D921" s="137"/>
      <c r="E921" s="137"/>
      <c r="F921" s="137"/>
      <c r="H921" s="172"/>
      <c r="I921" s="172"/>
      <c r="J921" s="172"/>
      <c r="K921" s="172"/>
      <c r="L921" s="172"/>
    </row>
    <row r="922">
      <c r="B922" s="172"/>
      <c r="C922" s="173"/>
      <c r="D922" s="137"/>
      <c r="E922" s="137"/>
      <c r="F922" s="137"/>
      <c r="H922" s="172"/>
      <c r="I922" s="172"/>
      <c r="J922" s="172"/>
      <c r="K922" s="172"/>
      <c r="L922" s="172"/>
    </row>
    <row r="923">
      <c r="B923" s="172"/>
      <c r="C923" s="173"/>
      <c r="D923" s="137"/>
      <c r="E923" s="137"/>
      <c r="F923" s="137"/>
      <c r="H923" s="172"/>
      <c r="I923" s="172"/>
      <c r="J923" s="172"/>
      <c r="K923" s="172"/>
      <c r="L923" s="172"/>
    </row>
    <row r="924">
      <c r="B924" s="172"/>
      <c r="C924" s="173"/>
      <c r="D924" s="137"/>
      <c r="E924" s="137"/>
      <c r="F924" s="137"/>
      <c r="H924" s="172"/>
      <c r="I924" s="172"/>
      <c r="J924" s="172"/>
      <c r="K924" s="172"/>
      <c r="L924" s="172"/>
    </row>
    <row r="925">
      <c r="B925" s="172"/>
      <c r="C925" s="173"/>
      <c r="D925" s="137"/>
      <c r="E925" s="137"/>
      <c r="F925" s="137"/>
      <c r="H925" s="172"/>
      <c r="I925" s="172"/>
      <c r="J925" s="172"/>
      <c r="K925" s="172"/>
      <c r="L925" s="172"/>
    </row>
    <row r="926">
      <c r="B926" s="172"/>
      <c r="C926" s="173"/>
      <c r="D926" s="137"/>
      <c r="E926" s="137"/>
      <c r="F926" s="137"/>
      <c r="H926" s="172"/>
      <c r="I926" s="172"/>
      <c r="J926" s="172"/>
      <c r="K926" s="172"/>
      <c r="L926" s="172"/>
    </row>
    <row r="927">
      <c r="B927" s="172"/>
      <c r="C927" s="173"/>
      <c r="D927" s="137"/>
      <c r="E927" s="137"/>
      <c r="F927" s="137"/>
      <c r="H927" s="172"/>
      <c r="I927" s="172"/>
      <c r="J927" s="172"/>
      <c r="K927" s="172"/>
      <c r="L927" s="172"/>
    </row>
    <row r="928">
      <c r="B928" s="172"/>
      <c r="C928" s="173"/>
      <c r="D928" s="137"/>
      <c r="E928" s="137"/>
      <c r="F928" s="137"/>
      <c r="H928" s="172"/>
      <c r="I928" s="172"/>
      <c r="J928" s="172"/>
      <c r="K928" s="172"/>
      <c r="L928" s="172"/>
    </row>
    <row r="929">
      <c r="B929" s="172"/>
      <c r="C929" s="173"/>
      <c r="D929" s="137"/>
      <c r="E929" s="137"/>
      <c r="F929" s="137"/>
      <c r="H929" s="172"/>
      <c r="I929" s="172"/>
      <c r="J929" s="172"/>
      <c r="K929" s="172"/>
      <c r="L929" s="172"/>
    </row>
    <row r="930">
      <c r="B930" s="172"/>
      <c r="C930" s="173"/>
      <c r="D930" s="137"/>
      <c r="E930" s="137"/>
      <c r="F930" s="137"/>
      <c r="H930" s="172"/>
      <c r="I930" s="172"/>
      <c r="J930" s="172"/>
      <c r="K930" s="172"/>
      <c r="L930" s="172"/>
    </row>
    <row r="931">
      <c r="B931" s="172"/>
      <c r="C931" s="173"/>
      <c r="D931" s="137"/>
      <c r="E931" s="137"/>
      <c r="F931" s="137"/>
      <c r="H931" s="172"/>
      <c r="I931" s="172"/>
      <c r="J931" s="172"/>
      <c r="K931" s="172"/>
      <c r="L931" s="172"/>
    </row>
    <row r="932">
      <c r="B932" s="172"/>
      <c r="C932" s="173"/>
      <c r="D932" s="137"/>
      <c r="E932" s="137"/>
      <c r="F932" s="137"/>
      <c r="H932" s="172"/>
      <c r="I932" s="172"/>
      <c r="J932" s="172"/>
      <c r="K932" s="172"/>
      <c r="L932" s="172"/>
    </row>
    <row r="933">
      <c r="B933" s="172"/>
      <c r="C933" s="173"/>
      <c r="D933" s="137"/>
      <c r="E933" s="137"/>
      <c r="F933" s="137"/>
      <c r="H933" s="172"/>
      <c r="I933" s="172"/>
      <c r="J933" s="172"/>
      <c r="K933" s="172"/>
      <c r="L933" s="172"/>
    </row>
    <row r="934">
      <c r="B934" s="172"/>
      <c r="C934" s="173"/>
      <c r="D934" s="137"/>
      <c r="E934" s="137"/>
      <c r="F934" s="137"/>
      <c r="H934" s="172"/>
      <c r="I934" s="172"/>
      <c r="J934" s="172"/>
      <c r="K934" s="172"/>
      <c r="L934" s="172"/>
    </row>
    <row r="935">
      <c r="B935" s="172"/>
      <c r="C935" s="173"/>
      <c r="D935" s="137"/>
      <c r="E935" s="137"/>
      <c r="F935" s="137"/>
      <c r="H935" s="172"/>
      <c r="I935" s="172"/>
      <c r="J935" s="172"/>
      <c r="K935" s="172"/>
      <c r="L935" s="172"/>
    </row>
    <row r="936">
      <c r="B936" s="172"/>
      <c r="C936" s="173"/>
      <c r="D936" s="137"/>
      <c r="E936" s="137"/>
      <c r="F936" s="137"/>
      <c r="H936" s="172"/>
      <c r="I936" s="172"/>
      <c r="J936" s="172"/>
      <c r="K936" s="172"/>
      <c r="L936" s="172"/>
    </row>
    <row r="937">
      <c r="B937" s="172"/>
      <c r="C937" s="173"/>
      <c r="D937" s="137"/>
      <c r="E937" s="137"/>
      <c r="F937" s="137"/>
      <c r="H937" s="172"/>
      <c r="I937" s="172"/>
      <c r="J937" s="172"/>
      <c r="K937" s="172"/>
      <c r="L937" s="172"/>
    </row>
    <row r="938">
      <c r="B938" s="172"/>
      <c r="C938" s="173"/>
      <c r="D938" s="137"/>
      <c r="E938" s="137"/>
      <c r="F938" s="137"/>
      <c r="H938" s="172"/>
      <c r="I938" s="172"/>
      <c r="J938" s="172"/>
      <c r="K938" s="172"/>
      <c r="L938" s="172"/>
    </row>
    <row r="939">
      <c r="B939" s="172"/>
      <c r="C939" s="173"/>
      <c r="D939" s="137"/>
      <c r="E939" s="137"/>
      <c r="F939" s="137"/>
      <c r="H939" s="172"/>
      <c r="I939" s="172"/>
      <c r="J939" s="172"/>
      <c r="K939" s="172"/>
      <c r="L939" s="172"/>
    </row>
    <row r="940">
      <c r="B940" s="172"/>
      <c r="C940" s="173"/>
      <c r="D940" s="137"/>
      <c r="E940" s="137"/>
      <c r="F940" s="137"/>
      <c r="H940" s="172"/>
      <c r="I940" s="172"/>
      <c r="J940" s="172"/>
      <c r="K940" s="172"/>
      <c r="L940" s="172"/>
    </row>
    <row r="941">
      <c r="B941" s="172"/>
      <c r="C941" s="173"/>
      <c r="D941" s="137"/>
      <c r="E941" s="137"/>
      <c r="F941" s="137"/>
      <c r="H941" s="172"/>
      <c r="I941" s="172"/>
      <c r="J941" s="172"/>
      <c r="K941" s="172"/>
      <c r="L941" s="172"/>
    </row>
    <row r="942">
      <c r="B942" s="172"/>
      <c r="C942" s="173"/>
      <c r="D942" s="137"/>
      <c r="E942" s="137"/>
      <c r="F942" s="137"/>
      <c r="H942" s="172"/>
      <c r="I942" s="172"/>
      <c r="J942" s="172"/>
      <c r="K942" s="172"/>
      <c r="L942" s="172"/>
    </row>
    <row r="943">
      <c r="B943" s="172"/>
      <c r="C943" s="173"/>
      <c r="D943" s="137"/>
      <c r="E943" s="137"/>
      <c r="F943" s="137"/>
      <c r="H943" s="172"/>
      <c r="I943" s="172"/>
      <c r="J943" s="172"/>
      <c r="K943" s="172"/>
      <c r="L943" s="172"/>
    </row>
    <row r="944">
      <c r="B944" s="172"/>
      <c r="C944" s="173"/>
      <c r="D944" s="137"/>
      <c r="E944" s="137"/>
      <c r="F944" s="137"/>
      <c r="H944" s="172"/>
      <c r="I944" s="172"/>
      <c r="J944" s="172"/>
      <c r="K944" s="172"/>
      <c r="L944" s="172"/>
    </row>
    <row r="945">
      <c r="B945" s="172"/>
      <c r="C945" s="173"/>
      <c r="D945" s="137"/>
      <c r="E945" s="137"/>
      <c r="F945" s="137"/>
      <c r="H945" s="172"/>
      <c r="I945" s="172"/>
      <c r="J945" s="172"/>
      <c r="K945" s="172"/>
      <c r="L945" s="172"/>
    </row>
    <row r="946">
      <c r="B946" s="172"/>
      <c r="C946" s="173"/>
      <c r="D946" s="137"/>
      <c r="E946" s="137"/>
      <c r="F946" s="137"/>
      <c r="H946" s="172"/>
      <c r="I946" s="172"/>
      <c r="J946" s="172"/>
      <c r="K946" s="172"/>
      <c r="L946" s="172"/>
    </row>
    <row r="947">
      <c r="B947" s="172"/>
      <c r="C947" s="173"/>
      <c r="D947" s="137"/>
      <c r="E947" s="137"/>
      <c r="F947" s="137"/>
      <c r="H947" s="172"/>
      <c r="I947" s="172"/>
      <c r="J947" s="172"/>
      <c r="K947" s="172"/>
      <c r="L947" s="172"/>
    </row>
    <row r="948">
      <c r="B948" s="172"/>
      <c r="C948" s="173"/>
      <c r="D948" s="137"/>
      <c r="E948" s="137"/>
      <c r="F948" s="137"/>
      <c r="H948" s="172"/>
      <c r="I948" s="172"/>
      <c r="J948" s="172"/>
      <c r="K948" s="172"/>
      <c r="L948" s="172"/>
    </row>
    <row r="949">
      <c r="B949" s="172"/>
      <c r="C949" s="173"/>
      <c r="D949" s="137"/>
      <c r="E949" s="137"/>
      <c r="F949" s="137"/>
      <c r="H949" s="172"/>
      <c r="I949" s="172"/>
      <c r="J949" s="172"/>
      <c r="K949" s="172"/>
      <c r="L949" s="172"/>
    </row>
    <row r="950">
      <c r="B950" s="172"/>
      <c r="C950" s="173"/>
      <c r="D950" s="137"/>
      <c r="E950" s="137"/>
      <c r="F950" s="137"/>
      <c r="H950" s="172"/>
      <c r="I950" s="172"/>
      <c r="J950" s="172"/>
      <c r="K950" s="172"/>
      <c r="L950" s="172"/>
    </row>
    <row r="951">
      <c r="B951" s="172"/>
      <c r="C951" s="173"/>
      <c r="D951" s="137"/>
      <c r="E951" s="137"/>
      <c r="F951" s="137"/>
      <c r="H951" s="172"/>
      <c r="I951" s="172"/>
      <c r="J951" s="172"/>
      <c r="K951" s="172"/>
      <c r="L951" s="172"/>
    </row>
    <row r="952">
      <c r="B952" s="172"/>
      <c r="C952" s="173"/>
      <c r="D952" s="137"/>
      <c r="E952" s="137"/>
      <c r="F952" s="137"/>
      <c r="H952" s="172"/>
      <c r="I952" s="172"/>
      <c r="J952" s="172"/>
      <c r="K952" s="172"/>
      <c r="L952" s="172"/>
    </row>
    <row r="953">
      <c r="B953" s="172"/>
      <c r="C953" s="173"/>
      <c r="D953" s="137"/>
      <c r="E953" s="137"/>
      <c r="F953" s="137"/>
      <c r="H953" s="172"/>
      <c r="I953" s="172"/>
      <c r="J953" s="172"/>
      <c r="K953" s="172"/>
      <c r="L953" s="172"/>
    </row>
    <row r="954">
      <c r="B954" s="172"/>
      <c r="C954" s="173"/>
      <c r="D954" s="137"/>
      <c r="E954" s="137"/>
      <c r="F954" s="137"/>
      <c r="H954" s="172"/>
      <c r="I954" s="172"/>
      <c r="J954" s="172"/>
      <c r="K954" s="172"/>
      <c r="L954" s="172"/>
    </row>
    <row r="955">
      <c r="B955" s="172"/>
      <c r="C955" s="173"/>
      <c r="D955" s="137"/>
      <c r="E955" s="137"/>
      <c r="F955" s="137"/>
      <c r="H955" s="172"/>
      <c r="I955" s="172"/>
      <c r="J955" s="172"/>
      <c r="K955" s="172"/>
      <c r="L955" s="172"/>
    </row>
    <row r="956">
      <c r="B956" s="172"/>
      <c r="C956" s="173"/>
      <c r="D956" s="137"/>
      <c r="E956" s="137"/>
      <c r="F956" s="137"/>
      <c r="H956" s="172"/>
      <c r="I956" s="172"/>
      <c r="J956" s="172"/>
      <c r="K956" s="172"/>
      <c r="L956" s="172"/>
    </row>
    <row r="957">
      <c r="B957" s="172"/>
      <c r="C957" s="173"/>
      <c r="D957" s="137"/>
      <c r="E957" s="137"/>
      <c r="F957" s="137"/>
      <c r="H957" s="172"/>
      <c r="I957" s="172"/>
      <c r="J957" s="172"/>
      <c r="K957" s="172"/>
      <c r="L957" s="172"/>
    </row>
    <row r="958">
      <c r="B958" s="172"/>
      <c r="C958" s="173"/>
      <c r="D958" s="137"/>
      <c r="E958" s="137"/>
      <c r="F958" s="137"/>
      <c r="H958" s="172"/>
      <c r="I958" s="172"/>
      <c r="J958" s="172"/>
      <c r="K958" s="172"/>
      <c r="L958" s="172"/>
    </row>
    <row r="959">
      <c r="B959" s="172"/>
      <c r="C959" s="173"/>
      <c r="D959" s="137"/>
      <c r="E959" s="137"/>
      <c r="F959" s="137"/>
      <c r="H959" s="172"/>
      <c r="I959" s="172"/>
      <c r="J959" s="172"/>
      <c r="K959" s="172"/>
      <c r="L959" s="172"/>
    </row>
    <row r="960">
      <c r="B960" s="172"/>
      <c r="C960" s="173"/>
      <c r="D960" s="137"/>
      <c r="E960" s="137"/>
      <c r="F960" s="137"/>
      <c r="H960" s="172"/>
      <c r="I960" s="172"/>
      <c r="J960" s="172"/>
      <c r="K960" s="172"/>
      <c r="L960" s="172"/>
    </row>
    <row r="961">
      <c r="B961" s="172"/>
      <c r="C961" s="173"/>
      <c r="D961" s="137"/>
      <c r="E961" s="137"/>
      <c r="F961" s="137"/>
      <c r="H961" s="172"/>
      <c r="I961" s="172"/>
      <c r="J961" s="172"/>
      <c r="K961" s="172"/>
      <c r="L961" s="172"/>
    </row>
    <row r="962">
      <c r="B962" s="172"/>
      <c r="C962" s="173"/>
      <c r="D962" s="137"/>
      <c r="E962" s="137"/>
      <c r="F962" s="137"/>
      <c r="H962" s="172"/>
      <c r="I962" s="172"/>
      <c r="J962" s="172"/>
      <c r="K962" s="172"/>
      <c r="L962" s="172"/>
    </row>
    <row r="963">
      <c r="B963" s="172"/>
      <c r="C963" s="173"/>
      <c r="D963" s="137"/>
      <c r="E963" s="137"/>
      <c r="F963" s="137"/>
      <c r="H963" s="172"/>
      <c r="I963" s="172"/>
      <c r="J963" s="172"/>
      <c r="K963" s="172"/>
      <c r="L963" s="172"/>
    </row>
    <row r="964">
      <c r="B964" s="172"/>
      <c r="C964" s="173"/>
      <c r="D964" s="137"/>
      <c r="E964" s="137"/>
      <c r="F964" s="137"/>
      <c r="H964" s="172"/>
      <c r="I964" s="172"/>
      <c r="J964" s="172"/>
      <c r="K964" s="172"/>
      <c r="L964" s="172"/>
    </row>
    <row r="965">
      <c r="B965" s="172"/>
      <c r="C965" s="173"/>
      <c r="D965" s="137"/>
      <c r="E965" s="137"/>
      <c r="F965" s="137"/>
      <c r="H965" s="172"/>
      <c r="I965" s="172"/>
      <c r="J965" s="172"/>
      <c r="K965" s="172"/>
      <c r="L965" s="172"/>
    </row>
    <row r="966">
      <c r="B966" s="172"/>
      <c r="C966" s="173"/>
      <c r="D966" s="137"/>
      <c r="E966" s="137"/>
      <c r="F966" s="137"/>
      <c r="H966" s="172"/>
      <c r="I966" s="172"/>
      <c r="J966" s="172"/>
      <c r="K966" s="172"/>
      <c r="L966" s="172"/>
    </row>
    <row r="967">
      <c r="B967" s="172"/>
      <c r="C967" s="173"/>
      <c r="D967" s="137"/>
      <c r="E967" s="137"/>
      <c r="F967" s="137"/>
      <c r="H967" s="172"/>
      <c r="I967" s="172"/>
      <c r="J967" s="172"/>
      <c r="K967" s="172"/>
      <c r="L967" s="172"/>
    </row>
    <row r="968">
      <c r="B968" s="172"/>
      <c r="C968" s="173"/>
      <c r="D968" s="137"/>
      <c r="E968" s="137"/>
      <c r="F968" s="137"/>
      <c r="H968" s="172"/>
      <c r="I968" s="172"/>
      <c r="J968" s="172"/>
      <c r="K968" s="172"/>
      <c r="L968" s="172"/>
    </row>
    <row r="969">
      <c r="B969" s="172"/>
      <c r="C969" s="173"/>
      <c r="D969" s="137"/>
      <c r="E969" s="137"/>
      <c r="F969" s="137"/>
      <c r="H969" s="172"/>
      <c r="I969" s="172"/>
      <c r="J969" s="172"/>
      <c r="K969" s="172"/>
      <c r="L969" s="172"/>
    </row>
    <row r="970">
      <c r="B970" s="172"/>
      <c r="C970" s="173"/>
      <c r="D970" s="137"/>
      <c r="E970" s="137"/>
      <c r="F970" s="137"/>
      <c r="H970" s="172"/>
      <c r="I970" s="172"/>
      <c r="J970" s="172"/>
      <c r="K970" s="172"/>
      <c r="L970" s="172"/>
    </row>
    <row r="971">
      <c r="B971" s="172"/>
      <c r="C971" s="173"/>
      <c r="D971" s="137"/>
      <c r="E971" s="137"/>
      <c r="F971" s="137"/>
      <c r="H971" s="172"/>
      <c r="I971" s="172"/>
      <c r="J971" s="172"/>
      <c r="K971" s="172"/>
      <c r="L971" s="172"/>
    </row>
    <row r="972">
      <c r="B972" s="172"/>
      <c r="C972" s="173"/>
      <c r="D972" s="137"/>
      <c r="E972" s="137"/>
      <c r="F972" s="137"/>
      <c r="H972" s="172"/>
      <c r="I972" s="172"/>
      <c r="J972" s="172"/>
      <c r="K972" s="172"/>
      <c r="L972" s="172"/>
    </row>
    <row r="973">
      <c r="B973" s="172"/>
      <c r="C973" s="173"/>
      <c r="D973" s="137"/>
      <c r="E973" s="137"/>
      <c r="F973" s="137"/>
      <c r="H973" s="172"/>
      <c r="I973" s="172"/>
      <c r="J973" s="172"/>
      <c r="K973" s="172"/>
      <c r="L973" s="172"/>
    </row>
    <row r="974">
      <c r="B974" s="172"/>
      <c r="C974" s="173"/>
      <c r="D974" s="137"/>
      <c r="E974" s="137"/>
      <c r="F974" s="137"/>
      <c r="H974" s="172"/>
      <c r="I974" s="172"/>
      <c r="J974" s="172"/>
      <c r="K974" s="172"/>
      <c r="L974" s="172"/>
    </row>
    <row r="975">
      <c r="B975" s="172"/>
      <c r="C975" s="173"/>
      <c r="D975" s="137"/>
      <c r="E975" s="137"/>
      <c r="F975" s="137"/>
      <c r="H975" s="172"/>
      <c r="I975" s="172"/>
      <c r="J975" s="172"/>
      <c r="K975" s="172"/>
      <c r="L975" s="172"/>
    </row>
    <row r="976">
      <c r="B976" s="172"/>
      <c r="C976" s="173"/>
      <c r="D976" s="137"/>
      <c r="E976" s="137"/>
      <c r="F976" s="137"/>
      <c r="H976" s="172"/>
      <c r="I976" s="172"/>
      <c r="J976" s="172"/>
      <c r="K976" s="172"/>
      <c r="L976" s="172"/>
    </row>
    <row r="977">
      <c r="B977" s="172"/>
      <c r="C977" s="173"/>
      <c r="D977" s="137"/>
      <c r="E977" s="137"/>
      <c r="F977" s="137"/>
      <c r="H977" s="172"/>
      <c r="I977" s="172"/>
      <c r="J977" s="172"/>
      <c r="K977" s="172"/>
      <c r="L977" s="172"/>
    </row>
    <row r="978">
      <c r="H978" s="172"/>
      <c r="I978" s="172"/>
      <c r="J978" s="172"/>
      <c r="K978" s="172"/>
      <c r="L978" s="172"/>
    </row>
    <row r="979">
      <c r="H979" s="172"/>
      <c r="I979" s="172"/>
      <c r="J979" s="172"/>
      <c r="K979" s="172"/>
      <c r="L979" s="172"/>
    </row>
    <row r="980">
      <c r="H980" s="172"/>
      <c r="I980" s="172"/>
      <c r="J980" s="172"/>
      <c r="K980" s="172"/>
      <c r="L980" s="172"/>
    </row>
    <row r="981">
      <c r="H981" s="172"/>
      <c r="I981" s="172"/>
      <c r="J981" s="172"/>
      <c r="K981" s="172"/>
      <c r="L981" s="172"/>
    </row>
    <row r="982">
      <c r="H982" s="172"/>
      <c r="I982" s="172"/>
      <c r="J982" s="172"/>
      <c r="K982" s="172"/>
      <c r="L982" s="172"/>
    </row>
    <row r="983">
      <c r="H983" s="172"/>
      <c r="I983" s="172"/>
      <c r="J983" s="172"/>
      <c r="K983" s="172"/>
      <c r="L983" s="172"/>
    </row>
    <row r="984">
      <c r="H984" s="172"/>
      <c r="I984" s="172"/>
      <c r="J984" s="172"/>
      <c r="K984" s="172"/>
      <c r="L984" s="172"/>
    </row>
    <row r="985">
      <c r="H985" s="172"/>
      <c r="I985" s="172"/>
      <c r="J985" s="172"/>
      <c r="K985" s="172"/>
      <c r="L985" s="172"/>
    </row>
    <row r="986">
      <c r="H986" s="172"/>
      <c r="I986" s="172"/>
      <c r="J986" s="172"/>
      <c r="K986" s="172"/>
      <c r="L986" s="172"/>
    </row>
    <row r="987">
      <c r="H987" s="172"/>
      <c r="I987" s="172"/>
      <c r="J987" s="172"/>
      <c r="K987" s="172"/>
      <c r="L987" s="172"/>
    </row>
    <row r="988">
      <c r="H988" s="172"/>
      <c r="I988" s="172"/>
      <c r="J988" s="172"/>
      <c r="K988" s="172"/>
      <c r="L988" s="172"/>
    </row>
    <row r="989">
      <c r="H989" s="172"/>
      <c r="I989" s="172"/>
      <c r="J989" s="172"/>
      <c r="K989" s="172"/>
      <c r="L989" s="172"/>
    </row>
    <row r="990">
      <c r="H990" s="172"/>
      <c r="I990" s="172"/>
      <c r="J990" s="172"/>
      <c r="K990" s="172"/>
      <c r="L990" s="172"/>
    </row>
    <row r="991">
      <c r="H991" s="172"/>
      <c r="I991" s="172"/>
      <c r="J991" s="172"/>
      <c r="K991" s="172"/>
      <c r="L991" s="172"/>
    </row>
    <row r="992">
      <c r="H992" s="172"/>
      <c r="I992" s="172"/>
      <c r="J992" s="172"/>
      <c r="K992" s="172"/>
      <c r="L992" s="172"/>
    </row>
    <row r="993">
      <c r="H993" s="172"/>
      <c r="I993" s="172"/>
      <c r="J993" s="172"/>
      <c r="K993" s="172"/>
      <c r="L993" s="172"/>
    </row>
    <row r="994">
      <c r="H994" s="172"/>
      <c r="I994" s="172"/>
      <c r="J994" s="172"/>
      <c r="K994" s="172"/>
      <c r="L994" s="172"/>
    </row>
    <row r="995">
      <c r="H995" s="172"/>
      <c r="I995" s="172"/>
      <c r="J995" s="172"/>
      <c r="K995" s="172"/>
      <c r="L995" s="172"/>
    </row>
    <row r="996">
      <c r="H996" s="172"/>
      <c r="I996" s="172"/>
      <c r="J996" s="172"/>
      <c r="K996" s="172"/>
      <c r="L996" s="172"/>
    </row>
    <row r="997">
      <c r="H997" s="172"/>
      <c r="I997" s="172"/>
      <c r="J997" s="172"/>
      <c r="K997" s="172"/>
      <c r="L997" s="172"/>
    </row>
    <row r="998">
      <c r="H998" s="172"/>
      <c r="I998" s="172"/>
      <c r="J998" s="172"/>
      <c r="K998" s="172"/>
      <c r="L998" s="172"/>
    </row>
    <row r="999">
      <c r="H999" s="172"/>
      <c r="I999" s="172"/>
      <c r="J999" s="172"/>
      <c r="K999" s="172"/>
      <c r="L999" s="172"/>
    </row>
    <row r="1000">
      <c r="H1000" s="172"/>
      <c r="I1000" s="172"/>
      <c r="J1000" s="172"/>
      <c r="K1000" s="172"/>
      <c r="L1000" s="172"/>
    </row>
    <row r="1001">
      <c r="H1001" s="172"/>
      <c r="I1001" s="172"/>
      <c r="J1001" s="172"/>
      <c r="K1001" s="172"/>
      <c r="L1001" s="17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hidden="1" min="2" max="5" width="12.63"/>
    <col customWidth="1" hidden="1" min="6" max="6" width="28.5"/>
    <col hidden="1" min="7" max="8" width="12.63"/>
  </cols>
  <sheetData>
    <row r="1">
      <c r="A1" s="327"/>
      <c r="B1" s="328"/>
      <c r="C1" s="329" t="s">
        <v>1904</v>
      </c>
      <c r="H1" s="327"/>
      <c r="I1" s="327"/>
      <c r="J1" s="329" t="s">
        <v>1905</v>
      </c>
    </row>
    <row r="2">
      <c r="A2" s="327"/>
      <c r="B2" s="328"/>
      <c r="C2" s="328" t="s">
        <v>1906</v>
      </c>
      <c r="H2" s="327"/>
      <c r="I2" s="327"/>
      <c r="J2" s="328"/>
      <c r="M2" s="328"/>
    </row>
    <row r="3">
      <c r="A3" s="330"/>
      <c r="B3" s="331" t="s">
        <v>1907</v>
      </c>
      <c r="C3" s="331" t="s">
        <v>1436</v>
      </c>
      <c r="D3" s="331" t="s">
        <v>1431</v>
      </c>
      <c r="E3" s="331" t="s">
        <v>1365</v>
      </c>
      <c r="F3" s="331" t="s">
        <v>1908</v>
      </c>
      <c r="G3" s="332" t="s">
        <v>1909</v>
      </c>
      <c r="H3" s="330"/>
      <c r="I3" s="331" t="s">
        <v>1910</v>
      </c>
      <c r="J3" s="333" t="s">
        <v>1911</v>
      </c>
      <c r="K3" s="333" t="s">
        <v>1912</v>
      </c>
      <c r="L3" s="333" t="s">
        <v>1913</v>
      </c>
      <c r="M3" s="333" t="s">
        <v>1914</v>
      </c>
      <c r="N3" s="333" t="s">
        <v>1915</v>
      </c>
      <c r="O3" s="333" t="s">
        <v>1916</v>
      </c>
    </row>
    <row r="4" hidden="1">
      <c r="A4" s="334">
        <v>-16.0</v>
      </c>
      <c r="B4" s="335">
        <f t="shared" ref="B4:B18" si="1">$B$19+(7*A4)</f>
        <v>46034</v>
      </c>
      <c r="C4" s="8">
        <f>SUMIFS('DEPRECATED 2023 PO  Injection T'!AD:AD, 'DEPRECATED 2023 PO  Injection T'!T:T, "="&amp;C$3, 'DEPRECATED 2023 PO  Injection T'!I:I, "&lt;"&amp;$B5, 'DEPRECATED 2023 PO  Injection T'!I:I, "&gt;="&amp;B4)</f>
        <v>0</v>
      </c>
      <c r="D4" s="8">
        <f>SUMIFS('DEPRECATED 2023 PO  Injection T'!AD:AD, 'DEPRECATED 2023 PO  Injection T'!T:T, "="&amp;D$3, 'DEPRECATED 2023 PO  Injection T'!I:I, "&lt;"&amp;$B5,'DEPRECATED 2023 PO  Injection T'!I:I, "&gt;="&amp;B4)</f>
        <v>0</v>
      </c>
      <c r="E4" s="8">
        <f>SUMIFS('DEPRECATED 2023 PO  Injection T'!AD:AD, 'DEPRECATED 2023 PO  Injection T'!T:T, "="&amp;E$3, 'DEPRECATED 2023 PO  Injection T'!I:I, "&lt;"&amp;$B5, 'DEPRECATED 2023 PO  Injection T'!I:I, "&gt;="&amp;B4)</f>
        <v>0</v>
      </c>
      <c r="F4" s="8">
        <f t="shared" ref="F4:F48" si="2">SUM(C4:E4)</f>
        <v>0</v>
      </c>
      <c r="G4" s="8" t="str">
        <f>F4+#REF!</f>
        <v>#REF!</v>
      </c>
    </row>
    <row r="5" hidden="1">
      <c r="A5" s="334">
        <v>-15.0</v>
      </c>
      <c r="B5" s="335">
        <f t="shared" si="1"/>
        <v>46041</v>
      </c>
      <c r="C5" s="8">
        <f>SUMIFS('DEPRECATED 2023 PO  Injection T'!AD:AD, 'DEPRECATED 2023 PO  Injection T'!T:T, "="&amp;C$3, 'DEPRECATED 2023 PO  Injection T'!I:I, "&lt;"&amp;$B6, 'DEPRECATED 2023 PO  Injection T'!I:I, "&gt;="&amp;B5)</f>
        <v>0</v>
      </c>
      <c r="D5" s="8">
        <f>SUMIFS('DEPRECATED 2023 PO  Injection T'!AD:AD, 'DEPRECATED 2023 PO  Injection T'!T:T, "="&amp;D$3, 'DEPRECATED 2023 PO  Injection T'!I:I, "&lt;"&amp;$B6,'DEPRECATED 2023 PO  Injection T'!I:I, "&gt;="&amp;B5)</f>
        <v>0</v>
      </c>
      <c r="E5" s="8">
        <f>SUMIFS('DEPRECATED 2023 PO  Injection T'!AD:AD, 'DEPRECATED 2023 PO  Injection T'!T:T, "="&amp;E$3, 'DEPRECATED 2023 PO  Injection T'!I:I, "&lt;"&amp;$B6, 'DEPRECATED 2023 PO  Injection T'!I:I, "&gt;="&amp;B5)</f>
        <v>0</v>
      </c>
      <c r="F5" s="8">
        <f t="shared" si="2"/>
        <v>0</v>
      </c>
      <c r="G5" s="8" t="str">
        <f t="shared" ref="G5:G15" si="3">F5+G4</f>
        <v>#REF!</v>
      </c>
    </row>
    <row r="6" hidden="1">
      <c r="A6" s="334">
        <v>-14.0</v>
      </c>
      <c r="B6" s="335">
        <f t="shared" si="1"/>
        <v>46048</v>
      </c>
      <c r="C6" s="8">
        <f>SUMIFS('DEPRECATED 2023 PO  Injection T'!AD:AD, 'DEPRECATED 2023 PO  Injection T'!T:T, "="&amp;C$3, 'DEPRECATED 2023 PO  Injection T'!I:I, "&lt;"&amp;$B7, 'DEPRECATED 2023 PO  Injection T'!I:I, "&gt;="&amp;B6)</f>
        <v>0</v>
      </c>
      <c r="D6" s="8">
        <f>SUMIFS('DEPRECATED 2023 PO  Injection T'!AD:AD, 'DEPRECATED 2023 PO  Injection T'!T:T, "="&amp;D$3, 'DEPRECATED 2023 PO  Injection T'!I:I, "&lt;"&amp;$B7,'DEPRECATED 2023 PO  Injection T'!I:I, "&gt;="&amp;B6)</f>
        <v>0</v>
      </c>
      <c r="E6" s="8">
        <f>SUMIFS('DEPRECATED 2023 PO  Injection T'!AD:AD, 'DEPRECATED 2023 PO  Injection T'!T:T, "="&amp;E$3, 'DEPRECATED 2023 PO  Injection T'!I:I, "&lt;"&amp;$B7, 'DEPRECATED 2023 PO  Injection T'!I:I, "&gt;="&amp;B6)</f>
        <v>0</v>
      </c>
      <c r="F6" s="8">
        <f t="shared" si="2"/>
        <v>0</v>
      </c>
      <c r="G6" s="8" t="str">
        <f t="shared" si="3"/>
        <v>#REF!</v>
      </c>
    </row>
    <row r="7" hidden="1">
      <c r="A7" s="334">
        <v>-13.0</v>
      </c>
      <c r="B7" s="335">
        <f t="shared" si="1"/>
        <v>46055</v>
      </c>
      <c r="C7" s="8">
        <f>SUMIFS('DEPRECATED 2023 PO  Injection T'!AD:AD, 'DEPRECATED 2023 PO  Injection T'!T:T, "="&amp;C$3, 'DEPRECATED 2023 PO  Injection T'!I:I, "&lt;"&amp;$B8, 'DEPRECATED 2023 PO  Injection T'!I:I, "&gt;="&amp;B7)</f>
        <v>0</v>
      </c>
      <c r="D7" s="8">
        <f>SUMIFS('DEPRECATED 2023 PO  Injection T'!AD:AD, 'DEPRECATED 2023 PO  Injection T'!T:T, "="&amp;D$3, 'DEPRECATED 2023 PO  Injection T'!I:I, "&lt;"&amp;$B8,'DEPRECATED 2023 PO  Injection T'!I:I, "&gt;="&amp;B7)</f>
        <v>0</v>
      </c>
      <c r="E7" s="8">
        <f>SUMIFS('DEPRECATED 2023 PO  Injection T'!AD:AD, 'DEPRECATED 2023 PO  Injection T'!T:T, "="&amp;E$3, 'DEPRECATED 2023 PO  Injection T'!I:I, "&lt;"&amp;$B8, 'DEPRECATED 2023 PO  Injection T'!I:I, "&gt;="&amp;B7)</f>
        <v>0</v>
      </c>
      <c r="F7" s="8">
        <f t="shared" si="2"/>
        <v>0</v>
      </c>
      <c r="G7" s="8" t="str">
        <f t="shared" si="3"/>
        <v>#REF!</v>
      </c>
    </row>
    <row r="8" hidden="1">
      <c r="A8" s="334">
        <v>-12.0</v>
      </c>
      <c r="B8" s="335">
        <f t="shared" si="1"/>
        <v>46062</v>
      </c>
      <c r="C8" s="8">
        <f>SUMIFS('DEPRECATED 2023 PO  Injection T'!AD:AD, 'DEPRECATED 2023 PO  Injection T'!T:T, "="&amp;C$3, 'DEPRECATED 2023 PO  Injection T'!I:I, "&lt;"&amp;$B9, 'DEPRECATED 2023 PO  Injection T'!I:I, "&gt;="&amp;B8)</f>
        <v>0</v>
      </c>
      <c r="D8" s="8">
        <f>SUMIFS('DEPRECATED 2023 PO  Injection T'!AD:AD, 'DEPRECATED 2023 PO  Injection T'!T:T, "="&amp;D$3, 'DEPRECATED 2023 PO  Injection T'!I:I, "&lt;"&amp;$B9,'DEPRECATED 2023 PO  Injection T'!I:I, "&gt;="&amp;B8)</f>
        <v>0</v>
      </c>
      <c r="E8" s="8">
        <f>SUMIFS('DEPRECATED 2023 PO  Injection T'!AD:AD, 'DEPRECATED 2023 PO  Injection T'!T:T, "="&amp;E$3, 'DEPRECATED 2023 PO  Injection T'!I:I, "&lt;"&amp;$B9, 'DEPRECATED 2023 PO  Injection T'!I:I, "&gt;="&amp;B8)</f>
        <v>0</v>
      </c>
      <c r="F8" s="8">
        <f t="shared" si="2"/>
        <v>0</v>
      </c>
      <c r="G8" s="8" t="str">
        <f t="shared" si="3"/>
        <v>#REF!</v>
      </c>
    </row>
    <row r="9" hidden="1">
      <c r="A9" s="334">
        <v>-11.0</v>
      </c>
      <c r="B9" s="335">
        <f t="shared" si="1"/>
        <v>46069</v>
      </c>
      <c r="C9" s="8">
        <f>SUMIFS('DEPRECATED 2023 PO  Injection T'!AD:AD, 'DEPRECATED 2023 PO  Injection T'!T:T, "="&amp;C$3, 'DEPRECATED 2023 PO  Injection T'!I:I, "&lt;"&amp;$B10, 'DEPRECATED 2023 PO  Injection T'!I:I, "&gt;="&amp;B9)</f>
        <v>0</v>
      </c>
      <c r="D9" s="8">
        <f>SUMIFS('DEPRECATED 2023 PO  Injection T'!AD:AD, 'DEPRECATED 2023 PO  Injection T'!T:T, "="&amp;D$3, 'DEPRECATED 2023 PO  Injection T'!I:I, "&lt;"&amp;$B10,'DEPRECATED 2023 PO  Injection T'!I:I, "&gt;="&amp;B9)</f>
        <v>0</v>
      </c>
      <c r="E9" s="8">
        <f>SUMIFS('DEPRECATED 2023 PO  Injection T'!AD:AD, 'DEPRECATED 2023 PO  Injection T'!T:T, "="&amp;E$3, 'DEPRECATED 2023 PO  Injection T'!I:I, "&lt;"&amp;$B10, 'DEPRECATED 2023 PO  Injection T'!I:I, "&gt;="&amp;B9)</f>
        <v>0</v>
      </c>
      <c r="F9" s="8">
        <f t="shared" si="2"/>
        <v>0</v>
      </c>
      <c r="G9" s="8" t="str">
        <f t="shared" si="3"/>
        <v>#REF!</v>
      </c>
    </row>
    <row r="10" hidden="1">
      <c r="A10" s="334">
        <v>-10.0</v>
      </c>
      <c r="B10" s="335">
        <f t="shared" si="1"/>
        <v>46076</v>
      </c>
      <c r="C10" s="8">
        <f>SUMIFS('DEPRECATED 2023 PO  Injection T'!AD:AD, 'DEPRECATED 2023 PO  Injection T'!T:T, "="&amp;C$3, 'DEPRECATED 2023 PO  Injection T'!I:I, "&lt;"&amp;$B11, 'DEPRECATED 2023 PO  Injection T'!I:I, "&gt;="&amp;B10)</f>
        <v>0</v>
      </c>
      <c r="D10" s="8">
        <f>SUMIFS('DEPRECATED 2023 PO  Injection T'!AD:AD, 'DEPRECATED 2023 PO  Injection T'!T:T, "="&amp;D$3, 'DEPRECATED 2023 PO  Injection T'!I:I, "&lt;"&amp;$B11,'DEPRECATED 2023 PO  Injection T'!I:I, "&gt;="&amp;B10)</f>
        <v>0</v>
      </c>
      <c r="E10" s="8">
        <f>SUMIFS('DEPRECATED 2023 PO  Injection T'!AD:AD, 'DEPRECATED 2023 PO  Injection T'!T:T, "="&amp;E$3, 'DEPRECATED 2023 PO  Injection T'!I:I, "&lt;"&amp;$B11, 'DEPRECATED 2023 PO  Injection T'!I:I, "&gt;="&amp;B10)</f>
        <v>0</v>
      </c>
      <c r="F10" s="8">
        <f t="shared" si="2"/>
        <v>0</v>
      </c>
      <c r="G10" s="8" t="str">
        <f t="shared" si="3"/>
        <v>#REF!</v>
      </c>
    </row>
    <row r="11" hidden="1">
      <c r="A11" s="334">
        <v>-9.0</v>
      </c>
      <c r="B11" s="335">
        <f t="shared" si="1"/>
        <v>46083</v>
      </c>
      <c r="C11" s="8">
        <f>SUMIFS('DEPRECATED 2023 PO  Injection T'!AD:AD, 'DEPRECATED 2023 PO  Injection T'!T:T, "="&amp;C$3, 'DEPRECATED 2023 PO  Injection T'!I:I, "&lt;"&amp;$B12, 'DEPRECATED 2023 PO  Injection T'!I:I, "&gt;="&amp;B11)</f>
        <v>0</v>
      </c>
      <c r="D11" s="8">
        <f>SUMIFS('DEPRECATED 2023 PO  Injection T'!AD:AD, 'DEPRECATED 2023 PO  Injection T'!T:T, "="&amp;D$3, 'DEPRECATED 2023 PO  Injection T'!I:I, "&lt;"&amp;$B12,'DEPRECATED 2023 PO  Injection T'!I:I, "&gt;="&amp;B11)</f>
        <v>0</v>
      </c>
      <c r="E11" s="8">
        <f>SUMIFS('DEPRECATED 2023 PO  Injection T'!AD:AD, 'DEPRECATED 2023 PO  Injection T'!T:T, "="&amp;E$3, 'DEPRECATED 2023 PO  Injection T'!I:I, "&lt;"&amp;$B12, 'DEPRECATED 2023 PO  Injection T'!I:I, "&gt;="&amp;B11)</f>
        <v>0</v>
      </c>
      <c r="F11" s="8">
        <f t="shared" si="2"/>
        <v>0</v>
      </c>
      <c r="G11" s="8" t="str">
        <f t="shared" si="3"/>
        <v>#REF!</v>
      </c>
    </row>
    <row r="12" hidden="1">
      <c r="A12" s="334">
        <v>-8.0</v>
      </c>
      <c r="B12" s="335">
        <f t="shared" si="1"/>
        <v>46090</v>
      </c>
      <c r="C12" s="8">
        <f>SUMIFS('DEPRECATED 2023 PO  Injection T'!AD:AD, 'DEPRECATED 2023 PO  Injection T'!T:T, "="&amp;C$3, 'DEPRECATED 2023 PO  Injection T'!I:I, "&lt;"&amp;$B13, 'DEPRECATED 2023 PO  Injection T'!I:I, "&gt;="&amp;B12)</f>
        <v>0</v>
      </c>
      <c r="D12" s="8">
        <f>SUMIFS('DEPRECATED 2023 PO  Injection T'!AD:AD, 'DEPRECATED 2023 PO  Injection T'!T:T, "="&amp;D$3, 'DEPRECATED 2023 PO  Injection T'!I:I, "&lt;"&amp;$B13,'DEPRECATED 2023 PO  Injection T'!I:I, "&gt;="&amp;B12)</f>
        <v>0</v>
      </c>
      <c r="E12" s="8">
        <f>SUMIFS('DEPRECATED 2023 PO  Injection T'!AD:AD, 'DEPRECATED 2023 PO  Injection T'!T:T, "="&amp;E$3, 'DEPRECATED 2023 PO  Injection T'!I:I, "&lt;"&amp;$B13, 'DEPRECATED 2023 PO  Injection T'!I:I, "&gt;="&amp;B12)</f>
        <v>0</v>
      </c>
      <c r="F12" s="8">
        <f t="shared" si="2"/>
        <v>0</v>
      </c>
      <c r="G12" s="8" t="str">
        <f t="shared" si="3"/>
        <v>#REF!</v>
      </c>
    </row>
    <row r="13" hidden="1">
      <c r="A13" s="334">
        <v>-7.0</v>
      </c>
      <c r="B13" s="335">
        <f t="shared" si="1"/>
        <v>46097</v>
      </c>
      <c r="C13" s="8">
        <f>SUMIFS('DEPRECATED 2023 PO  Injection T'!AD:AD, 'DEPRECATED 2023 PO  Injection T'!T:T, "="&amp;C$3, 'DEPRECATED 2023 PO  Injection T'!I:I, "&lt;"&amp;$B14, 'DEPRECATED 2023 PO  Injection T'!I:I, "&gt;="&amp;B13)</f>
        <v>0</v>
      </c>
      <c r="D13" s="8">
        <f>SUMIFS('DEPRECATED 2023 PO  Injection T'!AD:AD, 'DEPRECATED 2023 PO  Injection T'!T:T, "="&amp;D$3, 'DEPRECATED 2023 PO  Injection T'!I:I, "&lt;"&amp;$B14,'DEPRECATED 2023 PO  Injection T'!I:I, "&gt;="&amp;B13)</f>
        <v>0</v>
      </c>
      <c r="E13" s="8">
        <f>SUMIFS('DEPRECATED 2023 PO  Injection T'!AD:AD, 'DEPRECATED 2023 PO  Injection T'!T:T, "="&amp;E$3, 'DEPRECATED 2023 PO  Injection T'!I:I, "&lt;"&amp;$B14, 'DEPRECATED 2023 PO  Injection T'!I:I, "&gt;="&amp;B13)</f>
        <v>0</v>
      </c>
      <c r="F13" s="8">
        <f t="shared" si="2"/>
        <v>0</v>
      </c>
      <c r="G13" s="8" t="str">
        <f t="shared" si="3"/>
        <v>#REF!</v>
      </c>
    </row>
    <row r="14" hidden="1">
      <c r="A14" s="334">
        <v>-6.0</v>
      </c>
      <c r="B14" s="335">
        <f t="shared" si="1"/>
        <v>46104</v>
      </c>
      <c r="C14" s="8">
        <f>SUMIFS('DEPRECATED 2023 PO  Injection T'!AD:AD, 'DEPRECATED 2023 PO  Injection T'!T:T, "="&amp;C$3, 'DEPRECATED 2023 PO  Injection T'!I:I, "&lt;"&amp;$B15, 'DEPRECATED 2023 PO  Injection T'!I:I, "&gt;="&amp;B14)</f>
        <v>0</v>
      </c>
      <c r="D14" s="8">
        <f>SUMIFS('DEPRECATED 2023 PO  Injection T'!AD:AD, 'DEPRECATED 2023 PO  Injection T'!T:T, "="&amp;D$3, 'DEPRECATED 2023 PO  Injection T'!I:I, "&lt;"&amp;$B15,'DEPRECATED 2023 PO  Injection T'!I:I, "&gt;="&amp;B14)</f>
        <v>0</v>
      </c>
      <c r="E14" s="8">
        <f>SUMIFS('DEPRECATED 2023 PO  Injection T'!AD:AD, 'DEPRECATED 2023 PO  Injection T'!T:T, "="&amp;E$3, 'DEPRECATED 2023 PO  Injection T'!I:I, "&lt;"&amp;$B15, 'DEPRECATED 2023 PO  Injection T'!I:I, "&gt;="&amp;B14)</f>
        <v>0</v>
      </c>
      <c r="F14" s="8">
        <f t="shared" si="2"/>
        <v>0</v>
      </c>
      <c r="G14" s="8" t="str">
        <f t="shared" si="3"/>
        <v>#REF!</v>
      </c>
    </row>
    <row r="15" hidden="1">
      <c r="A15" s="334">
        <v>-5.0</v>
      </c>
      <c r="B15" s="335">
        <f t="shared" si="1"/>
        <v>46111</v>
      </c>
      <c r="C15" s="8">
        <f>SUMIFS('DEPRECATED 2023 PO  Injection T'!AD:AD, 'DEPRECATED 2023 PO  Injection T'!T:T, "="&amp;C$3, 'DEPRECATED 2023 PO  Injection T'!I:I, "&lt;"&amp;#REF!, 'DEPRECATED 2023 PO  Injection T'!I:I, "&gt;="&amp;B15)</f>
        <v>0</v>
      </c>
      <c r="D15" s="8">
        <f>SUMIFS('DEPRECATED 2023 PO  Injection T'!AD:AD, 'DEPRECATED 2023 PO  Injection T'!T:T, "="&amp;D$3, 'DEPRECATED 2023 PO  Injection T'!I:I, "&lt;"&amp;#REF!,'DEPRECATED 2023 PO  Injection T'!I:I, "&gt;="&amp;B15)</f>
        <v>0</v>
      </c>
      <c r="E15" s="8">
        <f>SUMIFS('DEPRECATED 2023 PO  Injection T'!AD:AD, 'DEPRECATED 2023 PO  Injection T'!T:T, "="&amp;E$3, 'DEPRECATED 2023 PO  Injection T'!I:I, "&lt;"&amp;#REF!, 'DEPRECATED 2023 PO  Injection T'!I:I, "&gt;="&amp;B15)</f>
        <v>0</v>
      </c>
      <c r="F15" s="8">
        <f t="shared" si="2"/>
        <v>0</v>
      </c>
      <c r="G15" s="8" t="str">
        <f t="shared" si="3"/>
        <v>#REF!</v>
      </c>
    </row>
    <row r="16">
      <c r="A16" s="334">
        <v>-3.0</v>
      </c>
      <c r="B16" s="335">
        <f t="shared" si="1"/>
        <v>46125</v>
      </c>
      <c r="C16" s="8">
        <f>SUMIFS('DEPRECATED 2023 PO  Injection T'!AD:AD, 'DEPRECATED 2023 PO  Injection T'!T:T, "="&amp;C$3, 'DEPRECATED 2023 PO  Injection T'!I:I, "&lt;"&amp;$B17, 'DEPRECATED 2023 PO  Injection T'!I:I, "&gt;="&amp;B16)</f>
        <v>0</v>
      </c>
      <c r="D16" s="8">
        <f>SUMIFS('DEPRECATED 2023 PO  Injection T'!AD:AD, 'DEPRECATED 2023 PO  Injection T'!T:T, "="&amp;D$3, 'DEPRECATED 2023 PO  Injection T'!I:I, "&lt;"&amp;$B17,'DEPRECATED 2023 PO  Injection T'!I:I, "&gt;="&amp;B16)</f>
        <v>0</v>
      </c>
      <c r="E16" s="8">
        <f>SUMIFS('DEPRECATED 2023 PO  Injection T'!AD:AD, 'DEPRECATED 2023 PO  Injection T'!T:T, "="&amp;E$3, 'DEPRECATED 2023 PO  Injection T'!I:I, "&lt;"&amp;$B17, 'DEPRECATED 2023 PO  Injection T'!I:I, "&gt;="&amp;B16)</f>
        <v>0</v>
      </c>
      <c r="F16" s="8">
        <f t="shared" si="2"/>
        <v>0</v>
      </c>
      <c r="G16" s="8" t="str">
        <f>F16+#REF!</f>
        <v>#REF!</v>
      </c>
      <c r="I16" s="336">
        <v>45322.0</v>
      </c>
      <c r="J16" s="8"/>
      <c r="K16" s="8"/>
      <c r="L16" s="8"/>
      <c r="M16" s="1">
        <v>120.0</v>
      </c>
      <c r="N16" s="337"/>
      <c r="O16" s="337">
        <v>100.0</v>
      </c>
    </row>
    <row r="17">
      <c r="A17" s="334">
        <v>-2.0</v>
      </c>
      <c r="B17" s="335">
        <f t="shared" si="1"/>
        <v>46132</v>
      </c>
      <c r="C17" s="8">
        <f>SUMIFS('DEPRECATED 2023 PO  Injection T'!AD:AD, 'DEPRECATED 2023 PO  Injection T'!T:T, "="&amp;C$3, 'DEPRECATED 2023 PO  Injection T'!I:I, "&lt;"&amp;$B18, 'DEPRECATED 2023 PO  Injection T'!I:I, "&gt;="&amp;B17)</f>
        <v>0</v>
      </c>
      <c r="D17" s="8">
        <f>SUMIFS('DEPRECATED 2023 PO  Injection T'!AD:AD, 'DEPRECATED 2023 PO  Injection T'!T:T, "="&amp;D$3, 'DEPRECATED 2023 PO  Injection T'!I:I, "&lt;"&amp;$B18,'DEPRECATED 2023 PO  Injection T'!I:I, "&gt;="&amp;B17)</f>
        <v>0</v>
      </c>
      <c r="E17" s="8">
        <f>SUMIFS('DEPRECATED 2023 PO  Injection T'!AD:AD, 'DEPRECATED 2023 PO  Injection T'!T:T, "="&amp;E$3, 'DEPRECATED 2023 PO  Injection T'!I:I, "&lt;"&amp;$B18, 'DEPRECATED 2023 PO  Injection T'!I:I, "&gt;="&amp;B17)</f>
        <v>0</v>
      </c>
      <c r="F17" s="8">
        <f t="shared" si="2"/>
        <v>0</v>
      </c>
      <c r="G17" s="8" t="str">
        <f t="shared" ref="G17:G48" si="4">F17+G16</f>
        <v>#REF!</v>
      </c>
      <c r="I17" s="336">
        <v>45351.0</v>
      </c>
      <c r="J17" s="8">
        <f>COUNTIFS(Loads!$I:$I,"="&amp;"truck",Loads!$N:$N,"&gt;"&amp;$I16,Loads!$N:$N,"&lt;="&amp;$I17)</f>
        <v>0</v>
      </c>
      <c r="K17" s="8">
        <f>COUNTIFS(Loads!$I:$I,"="&amp;"train",Loads!$N:$N,"&gt;"&amp;$I16,Loads!$N:$N,"&lt;="&amp;$I17)</f>
        <v>0</v>
      </c>
      <c r="L17" s="8">
        <f>SUMIFS(Loads!$Q:$Q,Loads!$N:$N,"&gt;"&amp;$I16,Loads!$N:$N,"&lt;="&amp;$I17)</f>
        <v>0</v>
      </c>
      <c r="M17" s="1">
        <v>170.0</v>
      </c>
      <c r="N17" s="8">
        <f t="shared" ref="N17:N27" si="5">L17-M17</f>
        <v>-170</v>
      </c>
      <c r="O17" s="172"/>
    </row>
    <row r="18">
      <c r="A18" s="334">
        <v>-1.0</v>
      </c>
      <c r="B18" s="335">
        <f t="shared" si="1"/>
        <v>46139</v>
      </c>
      <c r="C18" s="8">
        <f>SUMIFS('DEPRECATED 2023 PO  Injection T'!AD:AD, 'DEPRECATED 2023 PO  Injection T'!T:T, "="&amp;C$3, 'DEPRECATED 2023 PO  Injection T'!I:I, "&lt;"&amp;$B19, 'DEPRECATED 2023 PO  Injection T'!I:I, "&gt;="&amp;B18)</f>
        <v>0</v>
      </c>
      <c r="D18" s="8">
        <f>SUMIFS('DEPRECATED 2023 PO  Injection T'!AD:AD, 'DEPRECATED 2023 PO  Injection T'!T:T, "="&amp;D$3, 'DEPRECATED 2023 PO  Injection T'!I:I, "&lt;"&amp;$B19,'DEPRECATED 2023 PO  Injection T'!I:I, "&gt;="&amp;B18)</f>
        <v>0</v>
      </c>
      <c r="E18" s="8">
        <f>SUMIFS('DEPRECATED 2023 PO  Injection T'!AD:AD, 'DEPRECATED 2023 PO  Injection T'!T:T, "="&amp;E$3, 'DEPRECATED 2023 PO  Injection T'!I:I, "&lt;"&amp;$B19, 'DEPRECATED 2023 PO  Injection T'!I:I, "&gt;="&amp;B18)</f>
        <v>0</v>
      </c>
      <c r="F18" s="8">
        <f t="shared" si="2"/>
        <v>0</v>
      </c>
      <c r="G18" s="8" t="str">
        <f t="shared" si="4"/>
        <v>#REF!</v>
      </c>
      <c r="I18" s="336">
        <v>45382.0</v>
      </c>
      <c r="J18" s="8">
        <f>COUNTIFS(Loads!$I:$I,"="&amp;"truck",Loads!$N:$N,"&gt;"&amp;$I17,Loads!$N:$N,"&lt;="&amp;$I18)</f>
        <v>4</v>
      </c>
      <c r="K18" s="8">
        <f>COUNTIFS(Loads!$I:$I,"="&amp;"train",Loads!$N:$N,"&gt;"&amp;$I17,Loads!$N:$N,"&lt;="&amp;$I18)</f>
        <v>0</v>
      </c>
      <c r="L18" s="8">
        <f>SUMIFS(Loads!$Q:$Q,Loads!$N:$N,"&gt;"&amp;$I17,Loads!$N:$N,"&lt;="&amp;$I18)</f>
        <v>80.77</v>
      </c>
      <c r="M18" s="1">
        <v>300.0</v>
      </c>
      <c r="N18" s="8">
        <f t="shared" si="5"/>
        <v>-219.23</v>
      </c>
      <c r="O18" s="172"/>
    </row>
    <row r="19">
      <c r="A19" s="334">
        <v>0.0</v>
      </c>
      <c r="B19" s="338">
        <f>TODAY()</f>
        <v>46146</v>
      </c>
      <c r="C19" s="8">
        <f>SUMIFS('DEPRECATED 2023 PO  Injection T'!AD:AD, 'DEPRECATED 2023 PO  Injection T'!T:T, "="&amp;C$3, 'DEPRECATED 2023 PO  Injection T'!I:I, "&lt;"&amp;$B20, 'DEPRECATED 2023 PO  Injection T'!I:I, "&gt;="&amp;B19)</f>
        <v>0</v>
      </c>
      <c r="D19" s="8">
        <f>SUMIFS('DEPRECATED 2023 PO  Injection T'!AD:AD, 'DEPRECATED 2023 PO  Injection T'!T:T, "="&amp;D$3, 'DEPRECATED 2023 PO  Injection T'!I:I, "&lt;"&amp;$B20,'DEPRECATED 2023 PO  Injection T'!I:I, "&gt;="&amp;B19)</f>
        <v>0</v>
      </c>
      <c r="E19" s="8">
        <f>SUMIFS('DEPRECATED 2023 PO  Injection T'!AD:AD, 'DEPRECATED 2023 PO  Injection T'!T:T, "="&amp;E$3, 'DEPRECATED 2023 PO  Injection T'!I:I, "&lt;"&amp;$B20, 'DEPRECATED 2023 PO  Injection T'!I:I, "&gt;="&amp;B19)</f>
        <v>0</v>
      </c>
      <c r="F19" s="8">
        <f t="shared" si="2"/>
        <v>0</v>
      </c>
      <c r="G19" s="8" t="str">
        <f t="shared" si="4"/>
        <v>#REF!</v>
      </c>
      <c r="I19" s="336">
        <v>45412.0</v>
      </c>
      <c r="J19" s="8">
        <f>COUNTIFS(Loads!$I:$I,"="&amp;"truck",Loads!$N:$N,"&gt;"&amp;$I18,Loads!$N:$N,"&lt;="&amp;$I19)</f>
        <v>3</v>
      </c>
      <c r="K19" s="8">
        <f>COUNTIFS(Loads!$I:$I,"="&amp;"train",Loads!$N:$N,"&gt;"&amp;$I18,Loads!$N:$N,"&lt;="&amp;$I19)</f>
        <v>1</v>
      </c>
      <c r="L19" s="8">
        <f>SUMIFS(Loads!$Q:$Q,Loads!$N:$N,"&gt;"&amp;$I18,Loads!$N:$N,"&lt;="&amp;$I19)</f>
        <v>139.68</v>
      </c>
      <c r="M19" s="1">
        <v>440.0</v>
      </c>
      <c r="N19" s="8">
        <f t="shared" si="5"/>
        <v>-300.32</v>
      </c>
    </row>
    <row r="20">
      <c r="A20" s="334">
        <v>1.0</v>
      </c>
      <c r="B20" s="335">
        <f t="shared" ref="B20:B48" si="6">$B$19+(7*A20)</f>
        <v>46153</v>
      </c>
      <c r="C20" s="8">
        <f>SUMIFS('DEPRECATED 2023 PO  Injection T'!AD:AD, 'DEPRECATED 2023 PO  Injection T'!T:T, "="&amp;C$3, 'DEPRECATED 2023 PO  Injection T'!I:I, "&lt;"&amp;$B21, 'DEPRECATED 2023 PO  Injection T'!I:I, "&gt;="&amp;B20)</f>
        <v>0</v>
      </c>
      <c r="D20" s="8">
        <f>SUMIFS('DEPRECATED 2023 PO  Injection T'!AD:AD, 'DEPRECATED 2023 PO  Injection T'!T:T, "="&amp;D$3, 'DEPRECATED 2023 PO  Injection T'!I:I, "&lt;"&amp;$B21,'DEPRECATED 2023 PO  Injection T'!I:I, "&gt;="&amp;B20)</f>
        <v>0</v>
      </c>
      <c r="E20" s="8">
        <f>SUMIFS('DEPRECATED 2023 PO  Injection T'!AD:AD, 'DEPRECATED 2023 PO  Injection T'!T:T, "="&amp;E$3, 'DEPRECATED 2023 PO  Injection T'!I:I, "&lt;"&amp;$B21, 'DEPRECATED 2023 PO  Injection T'!I:I, "&gt;="&amp;B20)</f>
        <v>0</v>
      </c>
      <c r="F20" s="8">
        <f t="shared" si="2"/>
        <v>0</v>
      </c>
      <c r="G20" s="8" t="str">
        <f t="shared" si="4"/>
        <v>#REF!</v>
      </c>
      <c r="I20" s="336">
        <v>45443.0</v>
      </c>
      <c r="J20" s="8">
        <f>COUNTIFS(Loads!$I:$I,"="&amp;"truck",Loads!$N:$N,"&gt;"&amp;$I19,Loads!$N:$N,"&lt;="&amp;$I20)</f>
        <v>13</v>
      </c>
      <c r="K20" s="8">
        <f>COUNTIFS(Loads!$I:$I,"="&amp;"train",Loads!$N:$N,"&gt;"&amp;$I19,Loads!$N:$N,"&lt;="&amp;$I20)</f>
        <v>3</v>
      </c>
      <c r="L20" s="8">
        <f>SUMIFS(Loads!$Q:$Q,Loads!$N:$N,"&gt;"&amp;$I19,Loads!$N:$N,"&lt;="&amp;$I20)</f>
        <v>501.38</v>
      </c>
      <c r="M20" s="1">
        <v>760.0</v>
      </c>
      <c r="N20" s="8">
        <f t="shared" si="5"/>
        <v>-258.62</v>
      </c>
    </row>
    <row r="21">
      <c r="A21" s="334">
        <v>2.0</v>
      </c>
      <c r="B21" s="335">
        <f t="shared" si="6"/>
        <v>46160</v>
      </c>
      <c r="C21" s="8">
        <f>SUMIFS('DEPRECATED 2023 PO  Injection T'!AD:AD, 'DEPRECATED 2023 PO  Injection T'!T:T, "="&amp;C$3, 'DEPRECATED 2023 PO  Injection T'!I:I, "&lt;"&amp;$B22, 'DEPRECATED 2023 PO  Injection T'!I:I, "&gt;="&amp;B21)</f>
        <v>0</v>
      </c>
      <c r="D21" s="8">
        <f>SUMIFS('DEPRECATED 2023 PO  Injection T'!AD:AD, 'DEPRECATED 2023 PO  Injection T'!T:T, "="&amp;D$3, 'DEPRECATED 2023 PO  Injection T'!I:I, "&lt;"&amp;$B22,'DEPRECATED 2023 PO  Injection T'!I:I, "&gt;="&amp;B21)</f>
        <v>0</v>
      </c>
      <c r="E21" s="8">
        <f>SUMIFS('DEPRECATED 2023 PO  Injection T'!AD:AD, 'DEPRECATED 2023 PO  Injection T'!T:T, "="&amp;E$3, 'DEPRECATED 2023 PO  Injection T'!I:I, "&lt;"&amp;$B22, 'DEPRECATED 2023 PO  Injection T'!I:I, "&gt;="&amp;B21)</f>
        <v>0</v>
      </c>
      <c r="F21" s="8">
        <f t="shared" si="2"/>
        <v>0</v>
      </c>
      <c r="G21" s="8" t="str">
        <f t="shared" si="4"/>
        <v>#REF!</v>
      </c>
      <c r="I21" s="336">
        <v>45473.0</v>
      </c>
      <c r="J21" s="8">
        <f>COUNTIFS(Loads!$I:$I,"="&amp;"truck",Loads!$N:$N,"&gt;"&amp;$I20,Loads!$N:$N,"&lt;="&amp;$I21)</f>
        <v>8</v>
      </c>
      <c r="K21" s="8">
        <f>COUNTIFS(Loads!$I:$I,"="&amp;"train",Loads!$N:$N,"&gt;"&amp;$I20,Loads!$N:$N,"&lt;="&amp;$I21)</f>
        <v>1</v>
      </c>
      <c r="L21" s="8">
        <f>SUMIFS(Loads!$Q:$Q,Loads!$N:$N,"&gt;"&amp;$I20,Loads!$N:$N,"&lt;="&amp;$I21)</f>
        <v>248.54</v>
      </c>
      <c r="M21" s="1">
        <v>920.0</v>
      </c>
      <c r="N21" s="8">
        <f t="shared" si="5"/>
        <v>-671.46</v>
      </c>
      <c r="O21" s="180"/>
    </row>
    <row r="22">
      <c r="A22" s="334">
        <v>3.0</v>
      </c>
      <c r="B22" s="335">
        <f t="shared" si="6"/>
        <v>46167</v>
      </c>
      <c r="C22" s="8">
        <f>SUMIFS('DEPRECATED 2023 PO  Injection T'!AD:AD, 'DEPRECATED 2023 PO  Injection T'!T:T, "="&amp;C$3, 'DEPRECATED 2023 PO  Injection T'!I:I, "&lt;"&amp;$B23, 'DEPRECATED 2023 PO  Injection T'!I:I, "&gt;="&amp;B22)</f>
        <v>0</v>
      </c>
      <c r="D22" s="8">
        <f>SUMIFS('DEPRECATED 2023 PO  Injection T'!AD:AD, 'DEPRECATED 2023 PO  Injection T'!T:T, "="&amp;D$3, 'DEPRECATED 2023 PO  Injection T'!I:I, "&lt;"&amp;$B23,'DEPRECATED 2023 PO  Injection T'!I:I, "&gt;="&amp;B22)</f>
        <v>0</v>
      </c>
      <c r="E22" s="8">
        <f>SUMIFS('DEPRECATED 2023 PO  Injection T'!AD:AD, 'DEPRECATED 2023 PO  Injection T'!T:T, "="&amp;E$3, 'DEPRECATED 2023 PO  Injection T'!I:I, "&lt;"&amp;$B23, 'DEPRECATED 2023 PO  Injection T'!I:I, "&gt;="&amp;B22)</f>
        <v>0</v>
      </c>
      <c r="F22" s="8">
        <f t="shared" si="2"/>
        <v>0</v>
      </c>
      <c r="G22" s="8" t="str">
        <f t="shared" si="4"/>
        <v>#REF!</v>
      </c>
      <c r="I22" s="336">
        <v>45504.0</v>
      </c>
      <c r="J22" s="8">
        <f>COUNTIFS(Loads!$I:$I,"="&amp;"truck",Loads!$N:$N,"&gt;"&amp;$I21,Loads!$N:$N,"&lt;="&amp;$I22)</f>
        <v>0</v>
      </c>
      <c r="K22" s="8">
        <f>COUNTIFS(Loads!$I:$I,"="&amp;"train",Loads!$N:$N,"&gt;"&amp;$I21,Loads!$N:$N,"&lt;="&amp;$I22)</f>
        <v>4</v>
      </c>
      <c r="L22" s="8">
        <f>SUMIFS(Loads!$Q:$Q,Loads!$N:$N,"&gt;"&amp;$I21,Loads!$N:$N,"&lt;="&amp;$I22)</f>
        <v>322.58</v>
      </c>
      <c r="M22" s="1">
        <v>840.0</v>
      </c>
      <c r="N22" s="8">
        <f t="shared" si="5"/>
        <v>-517.42</v>
      </c>
    </row>
    <row r="23">
      <c r="A23" s="334">
        <v>4.0</v>
      </c>
      <c r="B23" s="335">
        <f t="shared" si="6"/>
        <v>46174</v>
      </c>
      <c r="C23" s="8">
        <f>SUMIFS('DEPRECATED 2023 PO  Injection T'!AD:AD, 'DEPRECATED 2023 PO  Injection T'!T:T, "="&amp;C$3, 'DEPRECATED 2023 PO  Injection T'!I:I, "&lt;"&amp;$B24, 'DEPRECATED 2023 PO  Injection T'!I:I, "&gt;="&amp;B23)</f>
        <v>0</v>
      </c>
      <c r="D23" s="8">
        <f>SUMIFS('DEPRECATED 2023 PO  Injection T'!AD:AD, 'DEPRECATED 2023 PO  Injection T'!T:T, "="&amp;D$3, 'DEPRECATED 2023 PO  Injection T'!I:I, "&lt;"&amp;$B24,'DEPRECATED 2023 PO  Injection T'!I:I, "&gt;="&amp;B23)</f>
        <v>0</v>
      </c>
      <c r="E23" s="8">
        <f>SUMIFS('DEPRECATED 2023 PO  Injection T'!AD:AD, 'DEPRECATED 2023 PO  Injection T'!T:T, "="&amp;E$3, 'DEPRECATED 2023 PO  Injection T'!I:I, "&lt;"&amp;$B24, 'DEPRECATED 2023 PO  Injection T'!I:I, "&gt;="&amp;B23)</f>
        <v>0</v>
      </c>
      <c r="F23" s="8">
        <f t="shared" si="2"/>
        <v>0</v>
      </c>
      <c r="G23" s="8" t="str">
        <f t="shared" si="4"/>
        <v>#REF!</v>
      </c>
      <c r="I23" s="336">
        <v>45535.0</v>
      </c>
      <c r="J23" s="8">
        <f>COUNTIFS(Loads!$I:$I,"="&amp;"truck",Loads!$N:$N,"&gt;"&amp;$I22,Loads!$N:$N,"&lt;="&amp;$I23)</f>
        <v>0</v>
      </c>
      <c r="K23" s="8">
        <f>COUNTIFS(Loads!$I:$I,"="&amp;"train",Loads!$N:$N,"&gt;"&amp;$I22,Loads!$N:$N,"&lt;="&amp;$I23)</f>
        <v>1</v>
      </c>
      <c r="L23" s="8">
        <f>SUMIFS(Loads!$Q:$Q,Loads!$N:$N,"&gt;"&amp;$I22,Loads!$N:$N,"&lt;="&amp;$I23)</f>
        <v>80.01</v>
      </c>
      <c r="M23" s="1">
        <v>560.0</v>
      </c>
      <c r="N23" s="8">
        <f t="shared" si="5"/>
        <v>-479.99</v>
      </c>
    </row>
    <row r="24">
      <c r="A24" s="334">
        <v>5.0</v>
      </c>
      <c r="B24" s="335">
        <f t="shared" si="6"/>
        <v>46181</v>
      </c>
      <c r="C24" s="8">
        <f>SUMIFS('DEPRECATED 2023 PO  Injection T'!AD:AD, 'DEPRECATED 2023 PO  Injection T'!T:T, "="&amp;C$3, 'DEPRECATED 2023 PO  Injection T'!I:I, "&lt;"&amp;$B25, 'DEPRECATED 2023 PO  Injection T'!I:I, "&gt;="&amp;B24)</f>
        <v>0</v>
      </c>
      <c r="D24" s="8">
        <f>SUMIFS('DEPRECATED 2023 PO  Injection T'!AD:AD, 'DEPRECATED 2023 PO  Injection T'!T:T, "="&amp;D$3, 'DEPRECATED 2023 PO  Injection T'!I:I, "&lt;"&amp;$B25,'DEPRECATED 2023 PO  Injection T'!I:I, "&gt;="&amp;B24)</f>
        <v>0</v>
      </c>
      <c r="E24" s="8">
        <f>SUMIFS('DEPRECATED 2023 PO  Injection T'!AD:AD, 'DEPRECATED 2023 PO  Injection T'!T:T, "="&amp;E$3, 'DEPRECATED 2023 PO  Injection T'!I:I, "&lt;"&amp;$B25, 'DEPRECATED 2023 PO  Injection T'!I:I, "&gt;="&amp;B24)</f>
        <v>0</v>
      </c>
      <c r="F24" s="8">
        <f t="shared" si="2"/>
        <v>0</v>
      </c>
      <c r="G24" s="8" t="str">
        <f t="shared" si="4"/>
        <v>#REF!</v>
      </c>
      <c r="I24" s="336">
        <v>45565.0</v>
      </c>
      <c r="J24" s="8">
        <f>COUNTIFS(Loads!$I:$I,"="&amp;"truck",Loads!$N:$N,"&gt;"&amp;$I23,Loads!$N:$N,"&lt;="&amp;$I24)</f>
        <v>0</v>
      </c>
      <c r="K24" s="8">
        <f>COUNTIFS(Loads!$I:$I,"="&amp;"train",Loads!$N:$N,"&gt;"&amp;$I23,Loads!$N:$N,"&lt;="&amp;$I24)</f>
        <v>3</v>
      </c>
      <c r="L24" s="8">
        <f>SUMIFS(Loads!$Q:$Q,Loads!$N:$N,"&gt;"&amp;$I23,Loads!$N:$N,"&lt;="&amp;$I24)</f>
        <v>239.6</v>
      </c>
      <c r="M24" s="1">
        <v>720.0</v>
      </c>
      <c r="N24" s="8">
        <f t="shared" si="5"/>
        <v>-480.4</v>
      </c>
    </row>
    <row r="25">
      <c r="A25" s="334">
        <v>6.0</v>
      </c>
      <c r="B25" s="335">
        <f t="shared" si="6"/>
        <v>46188</v>
      </c>
      <c r="C25" s="8">
        <f>SUMIFS('DEPRECATED 2023 PO  Injection T'!AD:AD, 'DEPRECATED 2023 PO  Injection T'!T:T, "="&amp;C$3, 'DEPRECATED 2023 PO  Injection T'!I:I, "&lt;"&amp;$B26, 'DEPRECATED 2023 PO  Injection T'!I:I, "&gt;="&amp;B25)</f>
        <v>0</v>
      </c>
      <c r="D25" s="8">
        <f>SUMIFS('DEPRECATED 2023 PO  Injection T'!AD:AD, 'DEPRECATED 2023 PO  Injection T'!T:T, "="&amp;D$3, 'DEPRECATED 2023 PO  Injection T'!I:I, "&lt;"&amp;$B26,'DEPRECATED 2023 PO  Injection T'!I:I, "&gt;="&amp;B25)</f>
        <v>0</v>
      </c>
      <c r="E25" s="8">
        <f>SUMIFS('DEPRECATED 2023 PO  Injection T'!AD:AD, 'DEPRECATED 2023 PO  Injection T'!T:T, "="&amp;E$3, 'DEPRECATED 2023 PO  Injection T'!I:I, "&lt;"&amp;$B26, 'DEPRECATED 2023 PO  Injection T'!I:I, "&gt;="&amp;B25)</f>
        <v>0</v>
      </c>
      <c r="F25" s="8">
        <f t="shared" si="2"/>
        <v>0</v>
      </c>
      <c r="G25" s="8" t="str">
        <f t="shared" si="4"/>
        <v>#REF!</v>
      </c>
      <c r="I25" s="336">
        <v>45596.0</v>
      </c>
      <c r="J25" s="8">
        <f>COUNTIFS(Loads!$I:$I,"="&amp;"truck",Loads!$N:$N,"&gt;"&amp;$I24,Loads!$N:$N,"&lt;="&amp;$I25)</f>
        <v>1</v>
      </c>
      <c r="K25" s="8">
        <f>COUNTIFS(Loads!$I:$I,"="&amp;"train",Loads!$N:$N,"&gt;"&amp;$I24,Loads!$N:$N,"&lt;="&amp;$I25)</f>
        <v>3</v>
      </c>
      <c r="L25" s="8">
        <f>SUMIFS(Loads!$Q:$Q,Loads!$N:$N,"&gt;"&amp;$I24,Loads!$N:$N,"&lt;="&amp;$I25)</f>
        <v>259.56</v>
      </c>
      <c r="M25" s="1">
        <v>960.0</v>
      </c>
      <c r="N25" s="8">
        <f t="shared" si="5"/>
        <v>-700.44</v>
      </c>
    </row>
    <row r="26">
      <c r="A26" s="334">
        <v>7.0</v>
      </c>
      <c r="B26" s="335">
        <f t="shared" si="6"/>
        <v>46195</v>
      </c>
      <c r="C26" s="8">
        <f>SUMIFS('DEPRECATED 2023 PO  Injection T'!AD:AD, 'DEPRECATED 2023 PO  Injection T'!T:T, "="&amp;C$3, 'DEPRECATED 2023 PO  Injection T'!I:I, "&lt;"&amp;$B27, 'DEPRECATED 2023 PO  Injection T'!I:I, "&gt;="&amp;B26)</f>
        <v>0</v>
      </c>
      <c r="D26" s="8">
        <f>SUMIFS('DEPRECATED 2023 PO  Injection T'!AD:AD, 'DEPRECATED 2023 PO  Injection T'!T:T, "="&amp;D$3, 'DEPRECATED 2023 PO  Injection T'!I:I, "&lt;"&amp;$B27,'DEPRECATED 2023 PO  Injection T'!I:I, "&gt;="&amp;B26)</f>
        <v>0</v>
      </c>
      <c r="E26" s="8">
        <f>SUMIFS('DEPRECATED 2023 PO  Injection T'!AD:AD, 'DEPRECATED 2023 PO  Injection T'!T:T, "="&amp;E$3, 'DEPRECATED 2023 PO  Injection T'!I:I, "&lt;"&amp;$B27, 'DEPRECATED 2023 PO  Injection T'!I:I, "&gt;="&amp;B26)</f>
        <v>0</v>
      </c>
      <c r="F26" s="8">
        <f t="shared" si="2"/>
        <v>0</v>
      </c>
      <c r="G26" s="8" t="str">
        <f t="shared" si="4"/>
        <v>#REF!</v>
      </c>
      <c r="I26" s="336">
        <v>45626.0</v>
      </c>
      <c r="J26" s="8">
        <f>COUNTIFS(Loads!$I:$I,"="&amp;"truck",Loads!$N:$N,"&gt;"&amp;$I25,Loads!$N:$N,"&lt;="&amp;$I26)</f>
        <v>17</v>
      </c>
      <c r="K26" s="8">
        <f>COUNTIFS(Loads!$I:$I,"="&amp;"train",Loads!$N:$N,"&gt;"&amp;$I25,Loads!$N:$N,"&lt;="&amp;$I26)</f>
        <v>2</v>
      </c>
      <c r="L26" s="8">
        <f>SUMIFS(Loads!$Q:$Q,Loads!$N:$N,"&gt;"&amp;$I25,Loads!$N:$N,"&lt;="&amp;$I26)</f>
        <v>507.61</v>
      </c>
      <c r="M26" s="1">
        <v>240.0</v>
      </c>
      <c r="N26" s="8">
        <f t="shared" si="5"/>
        <v>267.61</v>
      </c>
    </row>
    <row r="27">
      <c r="A27" s="334">
        <v>8.0</v>
      </c>
      <c r="B27" s="335">
        <f t="shared" si="6"/>
        <v>46202</v>
      </c>
      <c r="C27" s="8">
        <f>SUMIFS('DEPRECATED 2023 PO  Injection T'!AD:AD, 'DEPRECATED 2023 PO  Injection T'!T:T, "="&amp;C$3, 'DEPRECATED 2023 PO  Injection T'!I:I, "&lt;"&amp;$B28, 'DEPRECATED 2023 PO  Injection T'!I:I, "&gt;="&amp;B27)</f>
        <v>0</v>
      </c>
      <c r="D27" s="8">
        <f>SUMIFS('DEPRECATED 2023 PO  Injection T'!AD:AD, 'DEPRECATED 2023 PO  Injection T'!T:T, "="&amp;D$3, 'DEPRECATED 2023 PO  Injection T'!I:I, "&lt;"&amp;$B28,'DEPRECATED 2023 PO  Injection T'!I:I, "&gt;="&amp;B27)</f>
        <v>0</v>
      </c>
      <c r="E27" s="8">
        <f>SUMIFS('DEPRECATED 2023 PO  Injection T'!AD:AD, 'DEPRECATED 2023 PO  Injection T'!T:T, "="&amp;E$3, 'DEPRECATED 2023 PO  Injection T'!I:I, "&lt;"&amp;$B28, 'DEPRECATED 2023 PO  Injection T'!I:I, "&gt;="&amp;B27)</f>
        <v>0</v>
      </c>
      <c r="F27" s="8">
        <f t="shared" si="2"/>
        <v>0</v>
      </c>
      <c r="G27" s="8" t="str">
        <f t="shared" si="4"/>
        <v>#REF!</v>
      </c>
      <c r="I27" s="336">
        <v>45657.0</v>
      </c>
      <c r="J27" s="8">
        <f>COUNTIFS(Loads!$I:$I,"="&amp;"truck",Loads!$N:$N,"&gt;"&amp;$I26,Loads!$N:$N,"&lt;="&amp;$I27)</f>
        <v>17</v>
      </c>
      <c r="K27" s="8">
        <f>COUNTIFS(Loads!$I:$I,"="&amp;"train",Loads!$N:$N,"&gt;"&amp;$I26,Loads!$N:$N,"&lt;="&amp;$I27)</f>
        <v>0</v>
      </c>
      <c r="L27" s="8">
        <f>SUMIFS(Loads!$Q:$Q,Loads!$N:$N,"&gt;"&amp;$I26,Loads!$N:$N,"&lt;="&amp;$I27)</f>
        <v>341.59</v>
      </c>
      <c r="M27" s="1">
        <v>960.0</v>
      </c>
      <c r="N27" s="8">
        <f t="shared" si="5"/>
        <v>-618.41</v>
      </c>
    </row>
    <row r="28" hidden="1">
      <c r="A28" s="334">
        <v>9.0</v>
      </c>
      <c r="B28" s="335">
        <f t="shared" si="6"/>
        <v>46209</v>
      </c>
      <c r="C28" s="8">
        <f>SUMIFS('DEPRECATED 2023 PO  Injection T'!AD:AD, 'DEPRECATED 2023 PO  Injection T'!T:T, "="&amp;C$3, 'DEPRECATED 2023 PO  Injection T'!I:I, "&lt;"&amp;$B29, 'DEPRECATED 2023 PO  Injection T'!I:I, "&gt;="&amp;B28)</f>
        <v>0</v>
      </c>
      <c r="D28" s="8">
        <f>SUMIFS('DEPRECATED 2023 PO  Injection T'!AD:AD, 'DEPRECATED 2023 PO  Injection T'!T:T, "="&amp;D$3, 'DEPRECATED 2023 PO  Injection T'!I:I, "&lt;"&amp;$B29,'DEPRECATED 2023 PO  Injection T'!I:I, "&gt;="&amp;B28)</f>
        <v>0</v>
      </c>
      <c r="E28" s="8">
        <f>SUMIFS('DEPRECATED 2023 PO  Injection T'!AD:AD, 'DEPRECATED 2023 PO  Injection T'!T:T, "="&amp;E$3, 'DEPRECATED 2023 PO  Injection T'!I:I, "&lt;"&amp;$B29, 'DEPRECATED 2023 PO  Injection T'!I:I, "&gt;="&amp;B28)</f>
        <v>0</v>
      </c>
      <c r="F28" s="8">
        <f t="shared" si="2"/>
        <v>0</v>
      </c>
      <c r="G28" s="8" t="str">
        <f t="shared" si="4"/>
        <v>#REF!</v>
      </c>
      <c r="I28" s="336">
        <v>45322.0</v>
      </c>
      <c r="J28" s="8">
        <f>SUMIFS('DEPRECATED 2023 PO  Injection T'!AD:AD, 'DEPRECATED 2023 PO  Injection T'!T:T, "="&amp;J$3, 'DEPRECATED 2023 PO  Injection T'!I:I, "&lt;="&amp;$I28, 'DEPRECATED 2023 PO  Injection T'!I:I, "&gt;"&amp;I27)</f>
        <v>0</v>
      </c>
      <c r="K28" s="8">
        <f>SUMIFS('DEPRECATED 2023 PO  Injection T'!U:U, 'DEPRECATED 2023 PO  Injection T'!T:T, "="&amp;K$3, 'DEPRECATED 2023 PO  Injection T'!I:I, "&lt;="&amp;$I28, 'DEPRECATED 2023 PO  Injection T'!I:I, "&gt;"&amp;I27)</f>
        <v>0</v>
      </c>
      <c r="L28" s="8">
        <f>SUMIFS('DEPRECATED 2023 PO  Injection T'!AD:AD, 'DEPRECATED 2023 PO  Injection T'!T:T, "="&amp;L$3, 'DEPRECATED 2023 PO  Injection T'!I:I, "&lt;="&amp;$I28, 'DEPRECATED 2023 PO  Injection T'!I:I, "&gt;"&amp;I27)</f>
        <v>0</v>
      </c>
      <c r="M28" s="90" t="str">
        <f>10000-#REF!</f>
        <v>#REF!</v>
      </c>
      <c r="N28" s="180" t="str">
        <f>M28*840</f>
        <v>#REF!</v>
      </c>
    </row>
    <row r="29" hidden="1">
      <c r="A29" s="334">
        <v>10.0</v>
      </c>
      <c r="B29" s="335">
        <f t="shared" si="6"/>
        <v>46216</v>
      </c>
      <c r="C29" s="8">
        <f>SUMIFS('DEPRECATED 2023 PO  Injection T'!AD:AD, 'DEPRECATED 2023 PO  Injection T'!T:T, "="&amp;C$3, 'DEPRECATED 2023 PO  Injection T'!I:I, "&lt;"&amp;$B30, 'DEPRECATED 2023 PO  Injection T'!I:I, "&gt;="&amp;B29)</f>
        <v>0</v>
      </c>
      <c r="D29" s="8">
        <f>SUMIFS('DEPRECATED 2023 PO  Injection T'!AD:AD, 'DEPRECATED 2023 PO  Injection T'!T:T, "="&amp;D$3, 'DEPRECATED 2023 PO  Injection T'!I:I, "&lt;"&amp;$B30,'DEPRECATED 2023 PO  Injection T'!I:I, "&gt;="&amp;B29)</f>
        <v>0</v>
      </c>
      <c r="E29" s="8">
        <f>SUMIFS('DEPRECATED 2023 PO  Injection T'!AD:AD, 'DEPRECATED 2023 PO  Injection T'!T:T, "="&amp;E$3, 'DEPRECATED 2023 PO  Injection T'!I:I, "&lt;"&amp;$B30, 'DEPRECATED 2023 PO  Injection T'!I:I, "&gt;="&amp;B29)</f>
        <v>0</v>
      </c>
      <c r="F29" s="8">
        <f t="shared" si="2"/>
        <v>0</v>
      </c>
      <c r="G29" s="8" t="str">
        <f t="shared" si="4"/>
        <v>#REF!</v>
      </c>
    </row>
    <row r="30" hidden="1">
      <c r="A30" s="334">
        <v>11.0</v>
      </c>
      <c r="B30" s="335">
        <f t="shared" si="6"/>
        <v>46223</v>
      </c>
      <c r="C30" s="8">
        <f>SUMIFS('DEPRECATED 2023 PO  Injection T'!AD:AD, 'DEPRECATED 2023 PO  Injection T'!T:T, "="&amp;C$3, 'DEPRECATED 2023 PO  Injection T'!I:I, "&lt;"&amp;$B31, 'DEPRECATED 2023 PO  Injection T'!I:I, "&gt;="&amp;B30)</f>
        <v>0</v>
      </c>
      <c r="D30" s="8">
        <f>SUMIFS('DEPRECATED 2023 PO  Injection T'!AD:AD, 'DEPRECATED 2023 PO  Injection T'!T:T, "="&amp;D$3, 'DEPRECATED 2023 PO  Injection T'!I:I, "&lt;"&amp;$B31,'DEPRECATED 2023 PO  Injection T'!I:I, "&gt;="&amp;B30)</f>
        <v>0</v>
      </c>
      <c r="E30" s="8">
        <f>SUMIFS('DEPRECATED 2023 PO  Injection T'!AD:AD, 'DEPRECATED 2023 PO  Injection T'!T:T, "="&amp;E$3, 'DEPRECATED 2023 PO  Injection T'!I:I, "&lt;"&amp;$B31, 'DEPRECATED 2023 PO  Injection T'!I:I, "&gt;="&amp;B30)</f>
        <v>0</v>
      </c>
      <c r="F30" s="8">
        <f t="shared" si="2"/>
        <v>0</v>
      </c>
      <c r="G30" s="8" t="str">
        <f t="shared" si="4"/>
        <v>#REF!</v>
      </c>
    </row>
    <row r="31" hidden="1">
      <c r="A31" s="334">
        <v>12.0</v>
      </c>
      <c r="B31" s="335">
        <f t="shared" si="6"/>
        <v>46230</v>
      </c>
      <c r="C31" s="8">
        <f>SUMIFS('DEPRECATED 2023 PO  Injection T'!AD:AD, 'DEPRECATED 2023 PO  Injection T'!T:T, "="&amp;C$3, 'DEPRECATED 2023 PO  Injection T'!I:I, "&lt;"&amp;$B32, 'DEPRECATED 2023 PO  Injection T'!I:I, "&gt;="&amp;B31)</f>
        <v>0</v>
      </c>
      <c r="D31" s="8">
        <f>SUMIFS('DEPRECATED 2023 PO  Injection T'!AD:AD, 'DEPRECATED 2023 PO  Injection T'!T:T, "="&amp;D$3, 'DEPRECATED 2023 PO  Injection T'!I:I, "&lt;"&amp;$B32,'DEPRECATED 2023 PO  Injection T'!I:I, "&gt;="&amp;B31)</f>
        <v>0</v>
      </c>
      <c r="E31" s="8">
        <f>SUMIFS('DEPRECATED 2023 PO  Injection T'!AD:AD, 'DEPRECATED 2023 PO  Injection T'!T:T, "="&amp;E$3, 'DEPRECATED 2023 PO  Injection T'!I:I, "&lt;"&amp;$B32, 'DEPRECATED 2023 PO  Injection T'!I:I, "&gt;="&amp;B31)</f>
        <v>0</v>
      </c>
      <c r="F31" s="8">
        <f t="shared" si="2"/>
        <v>0</v>
      </c>
      <c r="G31" s="8" t="str">
        <f t="shared" si="4"/>
        <v>#REF!</v>
      </c>
    </row>
    <row r="32" hidden="1">
      <c r="A32" s="334">
        <v>13.0</v>
      </c>
      <c r="B32" s="335">
        <f t="shared" si="6"/>
        <v>46237</v>
      </c>
      <c r="C32" s="8">
        <f>SUMIFS('DEPRECATED 2023 PO  Injection T'!AD:AD, 'DEPRECATED 2023 PO  Injection T'!T:T, "="&amp;C$3, 'DEPRECATED 2023 PO  Injection T'!I:I, "&lt;"&amp;$B33, 'DEPRECATED 2023 PO  Injection T'!I:I, "&gt;="&amp;B32)</f>
        <v>0</v>
      </c>
      <c r="D32" s="8">
        <f>SUMIFS('DEPRECATED 2023 PO  Injection T'!AD:AD, 'DEPRECATED 2023 PO  Injection T'!T:T, "="&amp;D$3, 'DEPRECATED 2023 PO  Injection T'!I:I, "&lt;"&amp;$B33,'DEPRECATED 2023 PO  Injection T'!I:I, "&gt;="&amp;B32)</f>
        <v>0</v>
      </c>
      <c r="E32" s="8">
        <f>SUMIFS('DEPRECATED 2023 PO  Injection T'!AD:AD, 'DEPRECATED 2023 PO  Injection T'!T:T, "="&amp;E$3, 'DEPRECATED 2023 PO  Injection T'!I:I, "&lt;"&amp;$B33, 'DEPRECATED 2023 PO  Injection T'!I:I, "&gt;="&amp;B32)</f>
        <v>0</v>
      </c>
      <c r="F32" s="8">
        <f t="shared" si="2"/>
        <v>0</v>
      </c>
      <c r="G32" s="8" t="str">
        <f t="shared" si="4"/>
        <v>#REF!</v>
      </c>
    </row>
    <row r="33" hidden="1">
      <c r="A33" s="334">
        <v>14.0</v>
      </c>
      <c r="B33" s="335">
        <f t="shared" si="6"/>
        <v>46244</v>
      </c>
      <c r="C33" s="8">
        <f>SUMIFS('DEPRECATED 2023 PO  Injection T'!AD:AD, 'DEPRECATED 2023 PO  Injection T'!T:T, "="&amp;C$3, 'DEPRECATED 2023 PO  Injection T'!I:I, "&lt;"&amp;$B34, 'DEPRECATED 2023 PO  Injection T'!I:I, "&gt;="&amp;B33)</f>
        <v>0</v>
      </c>
      <c r="D33" s="8">
        <f>SUMIFS('DEPRECATED 2023 PO  Injection T'!AD:AD, 'DEPRECATED 2023 PO  Injection T'!T:T, "="&amp;D$3, 'DEPRECATED 2023 PO  Injection T'!I:I, "&lt;"&amp;$B34,'DEPRECATED 2023 PO  Injection T'!I:I, "&gt;="&amp;B33)</f>
        <v>0</v>
      </c>
      <c r="E33" s="8">
        <f>SUMIFS('DEPRECATED 2023 PO  Injection T'!AD:AD, 'DEPRECATED 2023 PO  Injection T'!T:T, "="&amp;E$3, 'DEPRECATED 2023 PO  Injection T'!I:I, "&lt;"&amp;$B34, 'DEPRECATED 2023 PO  Injection T'!I:I, "&gt;="&amp;B33)</f>
        <v>0</v>
      </c>
      <c r="F33" s="8">
        <f t="shared" si="2"/>
        <v>0</v>
      </c>
      <c r="G33" s="8" t="str">
        <f t="shared" si="4"/>
        <v>#REF!</v>
      </c>
    </row>
    <row r="34" hidden="1">
      <c r="A34" s="334">
        <v>15.0</v>
      </c>
      <c r="B34" s="335">
        <f t="shared" si="6"/>
        <v>46251</v>
      </c>
      <c r="C34" s="8">
        <f>SUMIFS('DEPRECATED 2023 PO  Injection T'!AD:AD, 'DEPRECATED 2023 PO  Injection T'!T:T, "="&amp;C$3, 'DEPRECATED 2023 PO  Injection T'!I:I, "&lt;"&amp;$B35, 'DEPRECATED 2023 PO  Injection T'!I:I, "&gt;="&amp;B34)</f>
        <v>0</v>
      </c>
      <c r="D34" s="8">
        <f>SUMIFS('DEPRECATED 2023 PO  Injection T'!AD:AD, 'DEPRECATED 2023 PO  Injection T'!T:T, "="&amp;D$3, 'DEPRECATED 2023 PO  Injection T'!I:I, "&lt;"&amp;$B35,'DEPRECATED 2023 PO  Injection T'!I:I, "&gt;="&amp;B34)</f>
        <v>0</v>
      </c>
      <c r="E34" s="8">
        <f>SUMIFS('DEPRECATED 2023 PO  Injection T'!AD:AD, 'DEPRECATED 2023 PO  Injection T'!T:T, "="&amp;E$3, 'DEPRECATED 2023 PO  Injection T'!I:I, "&lt;"&amp;$B35, 'DEPRECATED 2023 PO  Injection T'!I:I, "&gt;="&amp;B34)</f>
        <v>0</v>
      </c>
      <c r="F34" s="8">
        <f t="shared" si="2"/>
        <v>0</v>
      </c>
      <c r="G34" s="8" t="str">
        <f t="shared" si="4"/>
        <v>#REF!</v>
      </c>
    </row>
    <row r="35" hidden="1">
      <c r="A35" s="334">
        <v>16.0</v>
      </c>
      <c r="B35" s="335">
        <f t="shared" si="6"/>
        <v>46258</v>
      </c>
      <c r="C35" s="8">
        <f>SUMIFS('DEPRECATED 2023 PO  Injection T'!AD:AD, 'DEPRECATED 2023 PO  Injection T'!T:T, "="&amp;C$3, 'DEPRECATED 2023 PO  Injection T'!I:I, "&lt;"&amp;$B36, 'DEPRECATED 2023 PO  Injection T'!I:I, "&gt;="&amp;B35)</f>
        <v>0</v>
      </c>
      <c r="D35" s="8">
        <f>SUMIFS('DEPRECATED 2023 PO  Injection T'!AD:AD, 'DEPRECATED 2023 PO  Injection T'!T:T, "="&amp;D$3, 'DEPRECATED 2023 PO  Injection T'!I:I, "&lt;"&amp;$B36,'DEPRECATED 2023 PO  Injection T'!I:I, "&gt;="&amp;B35)</f>
        <v>0</v>
      </c>
      <c r="E35" s="8">
        <f>SUMIFS('DEPRECATED 2023 PO  Injection T'!AD:AD, 'DEPRECATED 2023 PO  Injection T'!T:T, "="&amp;E$3, 'DEPRECATED 2023 PO  Injection T'!I:I, "&lt;"&amp;$B36, 'DEPRECATED 2023 PO  Injection T'!I:I, "&gt;="&amp;B35)</f>
        <v>0</v>
      </c>
      <c r="F35" s="8">
        <f t="shared" si="2"/>
        <v>0</v>
      </c>
      <c r="G35" s="8" t="str">
        <f t="shared" si="4"/>
        <v>#REF!</v>
      </c>
    </row>
    <row r="36" hidden="1">
      <c r="A36" s="334">
        <v>17.0</v>
      </c>
      <c r="B36" s="335">
        <f t="shared" si="6"/>
        <v>46265</v>
      </c>
      <c r="C36" s="8">
        <f>SUMIFS('DEPRECATED 2023 PO  Injection T'!AD:AD, 'DEPRECATED 2023 PO  Injection T'!T:T, "="&amp;C$3, 'DEPRECATED 2023 PO  Injection T'!I:I, "&lt;"&amp;$B37, 'DEPRECATED 2023 PO  Injection T'!I:I, "&gt;="&amp;B36)</f>
        <v>0</v>
      </c>
      <c r="D36" s="8">
        <f>SUMIFS('DEPRECATED 2023 PO  Injection T'!AD:AD, 'DEPRECATED 2023 PO  Injection T'!T:T, "="&amp;D$3, 'DEPRECATED 2023 PO  Injection T'!I:I, "&lt;"&amp;$B37,'DEPRECATED 2023 PO  Injection T'!I:I, "&gt;="&amp;B36)</f>
        <v>0</v>
      </c>
      <c r="E36" s="8">
        <f>SUMIFS('DEPRECATED 2023 PO  Injection T'!AD:AD, 'DEPRECATED 2023 PO  Injection T'!T:T, "="&amp;E$3, 'DEPRECATED 2023 PO  Injection T'!I:I, "&lt;"&amp;$B37, 'DEPRECATED 2023 PO  Injection T'!I:I, "&gt;="&amp;B36)</f>
        <v>0</v>
      </c>
      <c r="F36" s="8">
        <f t="shared" si="2"/>
        <v>0</v>
      </c>
      <c r="G36" s="8" t="str">
        <f t="shared" si="4"/>
        <v>#REF!</v>
      </c>
    </row>
    <row r="37" hidden="1">
      <c r="A37" s="334">
        <v>18.0</v>
      </c>
      <c r="B37" s="335">
        <f t="shared" si="6"/>
        <v>46272</v>
      </c>
      <c r="C37" s="8">
        <f>SUMIFS('DEPRECATED 2023 PO  Injection T'!AD:AD, 'DEPRECATED 2023 PO  Injection T'!T:T, "="&amp;C$3, 'DEPRECATED 2023 PO  Injection T'!I:I, "&lt;"&amp;$B38, 'DEPRECATED 2023 PO  Injection T'!I:I, "&gt;="&amp;B37)</f>
        <v>0</v>
      </c>
      <c r="D37" s="8">
        <f>SUMIFS('DEPRECATED 2023 PO  Injection T'!AD:AD, 'DEPRECATED 2023 PO  Injection T'!T:T, "="&amp;D$3, 'DEPRECATED 2023 PO  Injection T'!I:I, "&lt;"&amp;$B38,'DEPRECATED 2023 PO  Injection T'!I:I, "&gt;="&amp;B37)</f>
        <v>0</v>
      </c>
      <c r="E37" s="8">
        <f>SUMIFS('DEPRECATED 2023 PO  Injection T'!AD:AD, 'DEPRECATED 2023 PO  Injection T'!T:T, "="&amp;E$3, 'DEPRECATED 2023 PO  Injection T'!I:I, "&lt;"&amp;$B38, 'DEPRECATED 2023 PO  Injection T'!I:I, "&gt;="&amp;B37)</f>
        <v>0</v>
      </c>
      <c r="F37" s="8">
        <f t="shared" si="2"/>
        <v>0</v>
      </c>
      <c r="G37" s="8" t="str">
        <f t="shared" si="4"/>
        <v>#REF!</v>
      </c>
    </row>
    <row r="38" hidden="1">
      <c r="A38" s="334">
        <v>19.0</v>
      </c>
      <c r="B38" s="335">
        <f t="shared" si="6"/>
        <v>46279</v>
      </c>
      <c r="C38" s="8">
        <f>SUMIFS('DEPRECATED 2023 PO  Injection T'!AD:AD, 'DEPRECATED 2023 PO  Injection T'!T:T, "="&amp;C$3, 'DEPRECATED 2023 PO  Injection T'!I:I, "&lt;"&amp;$B39, 'DEPRECATED 2023 PO  Injection T'!I:I, "&gt;="&amp;B38)</f>
        <v>0</v>
      </c>
      <c r="D38" s="8">
        <f>SUMIFS('DEPRECATED 2023 PO  Injection T'!AD:AD, 'DEPRECATED 2023 PO  Injection T'!T:T, "="&amp;D$3, 'DEPRECATED 2023 PO  Injection T'!I:I, "&lt;"&amp;$B39,'DEPRECATED 2023 PO  Injection T'!I:I, "&gt;="&amp;B38)</f>
        <v>0</v>
      </c>
      <c r="E38" s="8">
        <f>SUMIFS('DEPRECATED 2023 PO  Injection T'!AD:AD, 'DEPRECATED 2023 PO  Injection T'!T:T, "="&amp;E$3, 'DEPRECATED 2023 PO  Injection T'!I:I, "&lt;"&amp;$B39, 'DEPRECATED 2023 PO  Injection T'!I:I, "&gt;="&amp;B38)</f>
        <v>0</v>
      </c>
      <c r="F38" s="8">
        <f t="shared" si="2"/>
        <v>0</v>
      </c>
      <c r="G38" s="8" t="str">
        <f t="shared" si="4"/>
        <v>#REF!</v>
      </c>
    </row>
    <row r="39" hidden="1">
      <c r="A39" s="334">
        <v>20.0</v>
      </c>
      <c r="B39" s="335">
        <f t="shared" si="6"/>
        <v>46286</v>
      </c>
      <c r="C39" s="8">
        <f>SUMIFS('DEPRECATED 2023 PO  Injection T'!AD:AD, 'DEPRECATED 2023 PO  Injection T'!T:T, "="&amp;C$3, 'DEPRECATED 2023 PO  Injection T'!I:I, "&lt;"&amp;$B40, 'DEPRECATED 2023 PO  Injection T'!I:I, "&gt;="&amp;B39)</f>
        <v>0</v>
      </c>
      <c r="D39" s="8">
        <f>SUMIFS('DEPRECATED 2023 PO  Injection T'!AD:AD, 'DEPRECATED 2023 PO  Injection T'!T:T, "="&amp;D$3, 'DEPRECATED 2023 PO  Injection T'!I:I, "&lt;"&amp;$B40,'DEPRECATED 2023 PO  Injection T'!I:I, "&gt;="&amp;B39)</f>
        <v>0</v>
      </c>
      <c r="E39" s="8">
        <f>SUMIFS('DEPRECATED 2023 PO  Injection T'!AD:AD, 'DEPRECATED 2023 PO  Injection T'!T:T, "="&amp;E$3, 'DEPRECATED 2023 PO  Injection T'!I:I, "&lt;"&amp;$B40, 'DEPRECATED 2023 PO  Injection T'!I:I, "&gt;="&amp;B39)</f>
        <v>0</v>
      </c>
      <c r="F39" s="8">
        <f t="shared" si="2"/>
        <v>0</v>
      </c>
      <c r="G39" s="8" t="str">
        <f t="shared" si="4"/>
        <v>#REF!</v>
      </c>
    </row>
    <row r="40" hidden="1">
      <c r="A40" s="334">
        <v>21.0</v>
      </c>
      <c r="B40" s="335">
        <f t="shared" si="6"/>
        <v>46293</v>
      </c>
      <c r="C40" s="8">
        <f>SUMIFS('DEPRECATED 2023 PO  Injection T'!AD:AD, 'DEPRECATED 2023 PO  Injection T'!T:T, "="&amp;C$3, 'DEPRECATED 2023 PO  Injection T'!I:I, "&lt;"&amp;$B41, 'DEPRECATED 2023 PO  Injection T'!I:I, "&gt;="&amp;B40)</f>
        <v>0</v>
      </c>
      <c r="D40" s="8">
        <f>SUMIFS('DEPRECATED 2023 PO  Injection T'!AD:AD, 'DEPRECATED 2023 PO  Injection T'!T:T, "="&amp;D$3, 'DEPRECATED 2023 PO  Injection T'!I:I, "&lt;"&amp;$B41,'DEPRECATED 2023 PO  Injection T'!I:I, "&gt;="&amp;B40)</f>
        <v>0</v>
      </c>
      <c r="E40" s="8">
        <f>SUMIFS('DEPRECATED 2023 PO  Injection T'!AD:AD, 'DEPRECATED 2023 PO  Injection T'!T:T, "="&amp;E$3, 'DEPRECATED 2023 PO  Injection T'!I:I, "&lt;"&amp;$B41, 'DEPRECATED 2023 PO  Injection T'!I:I, "&gt;="&amp;B40)</f>
        <v>0</v>
      </c>
      <c r="F40" s="8">
        <f t="shared" si="2"/>
        <v>0</v>
      </c>
      <c r="G40" s="8" t="str">
        <f t="shared" si="4"/>
        <v>#REF!</v>
      </c>
    </row>
    <row r="41" hidden="1">
      <c r="A41" s="334">
        <v>22.0</v>
      </c>
      <c r="B41" s="335">
        <f t="shared" si="6"/>
        <v>46300</v>
      </c>
      <c r="C41" s="8">
        <f>SUMIFS('DEPRECATED 2023 PO  Injection T'!AD:AD, 'DEPRECATED 2023 PO  Injection T'!T:T, "="&amp;C$3, 'DEPRECATED 2023 PO  Injection T'!I:I, "&lt;"&amp;$B42, 'DEPRECATED 2023 PO  Injection T'!I:I, "&gt;="&amp;B41)</f>
        <v>0</v>
      </c>
      <c r="D41" s="8">
        <f>SUMIFS('DEPRECATED 2023 PO  Injection T'!AD:AD, 'DEPRECATED 2023 PO  Injection T'!T:T, "="&amp;D$3, 'DEPRECATED 2023 PO  Injection T'!I:I, "&lt;"&amp;$B42,'DEPRECATED 2023 PO  Injection T'!I:I, "&gt;="&amp;B41)</f>
        <v>0</v>
      </c>
      <c r="E41" s="8">
        <f>SUMIFS('DEPRECATED 2023 PO  Injection T'!AD:AD, 'DEPRECATED 2023 PO  Injection T'!T:T, "="&amp;E$3, 'DEPRECATED 2023 PO  Injection T'!I:I, "&lt;"&amp;$B42, 'DEPRECATED 2023 PO  Injection T'!I:I, "&gt;="&amp;B41)</f>
        <v>0</v>
      </c>
      <c r="F41" s="8">
        <f t="shared" si="2"/>
        <v>0</v>
      </c>
      <c r="G41" s="8" t="str">
        <f t="shared" si="4"/>
        <v>#REF!</v>
      </c>
    </row>
    <row r="42" hidden="1">
      <c r="A42" s="334">
        <v>23.0</v>
      </c>
      <c r="B42" s="335">
        <f t="shared" si="6"/>
        <v>46307</v>
      </c>
      <c r="C42" s="8">
        <f>SUMIFS('DEPRECATED 2023 PO  Injection T'!AD:AD, 'DEPRECATED 2023 PO  Injection T'!T:T, "="&amp;C$3, 'DEPRECATED 2023 PO  Injection T'!I:I, "&lt;"&amp;$B43, 'DEPRECATED 2023 PO  Injection T'!I:I, "&gt;="&amp;B42)</f>
        <v>0</v>
      </c>
      <c r="D42" s="8">
        <f>SUMIFS('DEPRECATED 2023 PO  Injection T'!AD:AD, 'DEPRECATED 2023 PO  Injection T'!T:T, "="&amp;D$3, 'DEPRECATED 2023 PO  Injection T'!I:I, "&lt;"&amp;$B43,'DEPRECATED 2023 PO  Injection T'!I:I, "&gt;="&amp;B42)</f>
        <v>0</v>
      </c>
      <c r="E42" s="8">
        <f>SUMIFS('DEPRECATED 2023 PO  Injection T'!AD:AD, 'DEPRECATED 2023 PO  Injection T'!T:T, "="&amp;E$3, 'DEPRECATED 2023 PO  Injection T'!I:I, "&lt;"&amp;$B43, 'DEPRECATED 2023 PO  Injection T'!I:I, "&gt;="&amp;B42)</f>
        <v>0</v>
      </c>
      <c r="F42" s="8">
        <f t="shared" si="2"/>
        <v>0</v>
      </c>
      <c r="G42" s="8" t="str">
        <f t="shared" si="4"/>
        <v>#REF!</v>
      </c>
    </row>
    <row r="43" hidden="1">
      <c r="A43" s="334">
        <v>24.0</v>
      </c>
      <c r="B43" s="335">
        <f t="shared" si="6"/>
        <v>46314</v>
      </c>
      <c r="C43" s="8">
        <f>SUMIFS('DEPRECATED 2023 PO  Injection T'!AD:AD, 'DEPRECATED 2023 PO  Injection T'!T:T, "="&amp;C$3, 'DEPRECATED 2023 PO  Injection T'!I:I, "&lt;"&amp;$B44, 'DEPRECATED 2023 PO  Injection T'!I:I, "&gt;="&amp;B43)</f>
        <v>0</v>
      </c>
      <c r="D43" s="8">
        <f>SUMIFS('DEPRECATED 2023 PO  Injection T'!AD:AD, 'DEPRECATED 2023 PO  Injection T'!T:T, "="&amp;D$3, 'DEPRECATED 2023 PO  Injection T'!I:I, "&lt;"&amp;$B44,'DEPRECATED 2023 PO  Injection T'!I:I, "&gt;="&amp;B43)</f>
        <v>0</v>
      </c>
      <c r="E43" s="8">
        <f>SUMIFS('DEPRECATED 2023 PO  Injection T'!AD:AD, 'DEPRECATED 2023 PO  Injection T'!T:T, "="&amp;E$3, 'DEPRECATED 2023 PO  Injection T'!I:I, "&lt;"&amp;$B44, 'DEPRECATED 2023 PO  Injection T'!I:I, "&gt;="&amp;B43)</f>
        <v>0</v>
      </c>
      <c r="F43" s="8">
        <f t="shared" si="2"/>
        <v>0</v>
      </c>
      <c r="G43" s="8" t="str">
        <f t="shared" si="4"/>
        <v>#REF!</v>
      </c>
    </row>
    <row r="44" hidden="1">
      <c r="A44" s="334">
        <v>25.0</v>
      </c>
      <c r="B44" s="335">
        <f t="shared" si="6"/>
        <v>46321</v>
      </c>
      <c r="C44" s="8">
        <f>SUMIFS('DEPRECATED 2023 PO  Injection T'!AD:AD, 'DEPRECATED 2023 PO  Injection T'!T:T, "="&amp;C$3, 'DEPRECATED 2023 PO  Injection T'!I:I, "&lt;"&amp;$B45, 'DEPRECATED 2023 PO  Injection T'!I:I, "&gt;="&amp;B44)</f>
        <v>0</v>
      </c>
      <c r="D44" s="8">
        <f>SUMIFS('DEPRECATED 2023 PO  Injection T'!AD:AD, 'DEPRECATED 2023 PO  Injection T'!T:T, "="&amp;D$3, 'DEPRECATED 2023 PO  Injection T'!I:I, "&lt;"&amp;$B45,'DEPRECATED 2023 PO  Injection T'!I:I, "&gt;="&amp;B44)</f>
        <v>0</v>
      </c>
      <c r="E44" s="8">
        <f>SUMIFS('DEPRECATED 2023 PO  Injection T'!AD:AD, 'DEPRECATED 2023 PO  Injection T'!T:T, "="&amp;E$3, 'DEPRECATED 2023 PO  Injection T'!I:I, "&lt;"&amp;$B45, 'DEPRECATED 2023 PO  Injection T'!I:I, "&gt;="&amp;B44)</f>
        <v>0</v>
      </c>
      <c r="F44" s="8">
        <f t="shared" si="2"/>
        <v>0</v>
      </c>
      <c r="G44" s="8" t="str">
        <f t="shared" si="4"/>
        <v>#REF!</v>
      </c>
    </row>
    <row r="45" hidden="1">
      <c r="A45" s="334">
        <v>26.0</v>
      </c>
      <c r="B45" s="335">
        <f t="shared" si="6"/>
        <v>46328</v>
      </c>
      <c r="C45" s="8">
        <f>SUMIFS('DEPRECATED 2023 PO  Injection T'!AD:AD, 'DEPRECATED 2023 PO  Injection T'!T:T, "="&amp;C$3, 'DEPRECATED 2023 PO  Injection T'!I:I, "&lt;"&amp;$B46, 'DEPRECATED 2023 PO  Injection T'!I:I, "&gt;="&amp;B45)</f>
        <v>0</v>
      </c>
      <c r="D45" s="8">
        <f>SUMIFS('DEPRECATED 2023 PO  Injection T'!AD:AD, 'DEPRECATED 2023 PO  Injection T'!T:T, "="&amp;D$3, 'DEPRECATED 2023 PO  Injection T'!I:I, "&lt;"&amp;$B46,'DEPRECATED 2023 PO  Injection T'!I:I, "&gt;="&amp;B45)</f>
        <v>0</v>
      </c>
      <c r="E45" s="8">
        <f>SUMIFS('DEPRECATED 2023 PO  Injection T'!AD:AD, 'DEPRECATED 2023 PO  Injection T'!T:T, "="&amp;E$3, 'DEPRECATED 2023 PO  Injection T'!I:I, "&lt;"&amp;$B46, 'DEPRECATED 2023 PO  Injection T'!I:I, "&gt;="&amp;B45)</f>
        <v>0</v>
      </c>
      <c r="F45" s="8">
        <f t="shared" si="2"/>
        <v>0</v>
      </c>
      <c r="G45" s="8" t="str">
        <f t="shared" si="4"/>
        <v>#REF!</v>
      </c>
    </row>
    <row r="46" hidden="1">
      <c r="A46" s="334">
        <v>27.0</v>
      </c>
      <c r="B46" s="335">
        <f t="shared" si="6"/>
        <v>46335</v>
      </c>
      <c r="C46" s="8">
        <f>SUMIFS('DEPRECATED 2023 PO  Injection T'!AD:AD, 'DEPRECATED 2023 PO  Injection T'!T:T, "="&amp;C$3, 'DEPRECATED 2023 PO  Injection T'!I:I, "&lt;"&amp;$B47, 'DEPRECATED 2023 PO  Injection T'!I:I, "&gt;="&amp;B46)</f>
        <v>0</v>
      </c>
      <c r="D46" s="8">
        <f>SUMIFS('DEPRECATED 2023 PO  Injection T'!AD:AD, 'DEPRECATED 2023 PO  Injection T'!T:T, "="&amp;D$3, 'DEPRECATED 2023 PO  Injection T'!I:I, "&lt;"&amp;$B47,'DEPRECATED 2023 PO  Injection T'!I:I, "&gt;="&amp;B46)</f>
        <v>0</v>
      </c>
      <c r="E46" s="8">
        <f>SUMIFS('DEPRECATED 2023 PO  Injection T'!AD:AD, 'DEPRECATED 2023 PO  Injection T'!T:T, "="&amp;E$3, 'DEPRECATED 2023 PO  Injection T'!I:I, "&lt;"&amp;$B47, 'DEPRECATED 2023 PO  Injection T'!I:I, "&gt;="&amp;B46)</f>
        <v>0</v>
      </c>
      <c r="F46" s="8">
        <f t="shared" si="2"/>
        <v>0</v>
      </c>
      <c r="G46" s="8" t="str">
        <f t="shared" si="4"/>
        <v>#REF!</v>
      </c>
    </row>
    <row r="47" hidden="1">
      <c r="A47" s="334">
        <v>28.0</v>
      </c>
      <c r="B47" s="335">
        <f t="shared" si="6"/>
        <v>46342</v>
      </c>
      <c r="C47" s="8">
        <f>SUMIFS('DEPRECATED 2023 PO  Injection T'!AD:AD, 'DEPRECATED 2023 PO  Injection T'!T:T, "="&amp;C$3, 'DEPRECATED 2023 PO  Injection T'!I:I, "&lt;"&amp;$B48, 'DEPRECATED 2023 PO  Injection T'!I:I, "&gt;="&amp;B47)</f>
        <v>0</v>
      </c>
      <c r="D47" s="8">
        <f>SUMIFS('DEPRECATED 2023 PO  Injection T'!AD:AD, 'DEPRECATED 2023 PO  Injection T'!T:T, "="&amp;D$3, 'DEPRECATED 2023 PO  Injection T'!I:I, "&lt;"&amp;$B48,'DEPRECATED 2023 PO  Injection T'!I:I, "&gt;="&amp;B47)</f>
        <v>0</v>
      </c>
      <c r="E47" s="8">
        <f>SUMIFS('DEPRECATED 2023 PO  Injection T'!AD:AD, 'DEPRECATED 2023 PO  Injection T'!T:T, "="&amp;E$3, 'DEPRECATED 2023 PO  Injection T'!I:I, "&lt;"&amp;$B48, 'DEPRECATED 2023 PO  Injection T'!I:I, "&gt;="&amp;B47)</f>
        <v>0</v>
      </c>
      <c r="F47" s="8">
        <f t="shared" si="2"/>
        <v>0</v>
      </c>
      <c r="G47" s="8" t="str">
        <f t="shared" si="4"/>
        <v>#REF!</v>
      </c>
    </row>
    <row r="48" hidden="1">
      <c r="A48" s="334">
        <v>29.0</v>
      </c>
      <c r="B48" s="335">
        <f t="shared" si="6"/>
        <v>46349</v>
      </c>
      <c r="C48" s="8">
        <f>SUMIFS('DEPRECATED 2023 PO  Injection T'!AD:AD, 'DEPRECATED 2023 PO  Injection T'!T:T, "="&amp;C$3, 'DEPRECATED 2023 PO  Injection T'!I:I, "&lt;"&amp;$B49, 'DEPRECATED 2023 PO  Injection T'!I:I, "&gt;="&amp;B48)</f>
        <v>0</v>
      </c>
      <c r="D48" s="8">
        <f>SUMIFS('DEPRECATED 2023 PO  Injection T'!AD:AD, 'DEPRECATED 2023 PO  Injection T'!T:T, "="&amp;D$3, 'DEPRECATED 2023 PO  Injection T'!I:I, "&lt;"&amp;#REF!,'DEPRECATED 2023 PO  Injection T'!I:I, "&gt;="&amp;B48)</f>
        <v>0</v>
      </c>
      <c r="E48" s="8">
        <f>SUMIFS('DEPRECATED 2023 PO  Injection T'!AD:AD, 'DEPRECATED 2023 PO  Injection T'!T:T, "="&amp;E$3, 'DEPRECATED 2023 PO  Injection T'!I:I, "&lt;"&amp;$B49, 'DEPRECATED 2023 PO  Injection T'!I:I, "&gt;="&amp;B48)</f>
        <v>0</v>
      </c>
      <c r="F48" s="8">
        <f t="shared" si="2"/>
        <v>0</v>
      </c>
      <c r="G48" s="8" t="str">
        <f t="shared" si="4"/>
        <v>#REF!</v>
      </c>
    </row>
    <row r="50">
      <c r="L50" s="1" t="s">
        <v>1453</v>
      </c>
      <c r="M50" s="90">
        <f>SUM(M16:M27)</f>
        <v>6990</v>
      </c>
    </row>
    <row r="51">
      <c r="L51" s="1" t="s">
        <v>1917</v>
      </c>
      <c r="M51" s="1">
        <v>7440.0</v>
      </c>
      <c r="N51" s="1" t="s">
        <v>1918</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39" t="s">
        <v>45</v>
      </c>
      <c r="B1" s="340" t="s">
        <v>1919</v>
      </c>
      <c r="C1" s="340" t="s">
        <v>1920</v>
      </c>
      <c r="D1" s="340" t="s">
        <v>1921</v>
      </c>
      <c r="E1" s="340" t="s">
        <v>1922</v>
      </c>
      <c r="F1" s="340" t="s">
        <v>1923</v>
      </c>
      <c r="G1" s="341" t="s">
        <v>1924</v>
      </c>
      <c r="H1" s="342" t="s">
        <v>1925</v>
      </c>
      <c r="I1" s="342" t="s">
        <v>1926</v>
      </c>
    </row>
    <row r="2">
      <c r="A2" s="343" t="str">
        <f t="shared" ref="A2:A8" si="1">"sto_"&amp;lower(C2)</f>
        <v>sto_transm1092424</v>
      </c>
      <c r="B2" s="343">
        <v>45559.0</v>
      </c>
      <c r="C2" s="113" t="s">
        <v>1927</v>
      </c>
      <c r="D2" s="4" t="s">
        <v>180</v>
      </c>
      <c r="E2" s="1" t="s">
        <v>182</v>
      </c>
      <c r="F2" s="344" t="s">
        <v>1928</v>
      </c>
      <c r="G2" s="345">
        <v>19.3</v>
      </c>
      <c r="H2" s="346" t="s">
        <v>1929</v>
      </c>
      <c r="I2" s="345" t="s">
        <v>1930</v>
      </c>
      <c r="K2" s="82"/>
    </row>
    <row r="3">
      <c r="A3" s="343" t="str">
        <f t="shared" si="1"/>
        <v>sto_transm1092624</v>
      </c>
      <c r="B3" s="343">
        <v>45561.0</v>
      </c>
      <c r="C3" s="113" t="s">
        <v>1931</v>
      </c>
      <c r="D3" s="4" t="s">
        <v>180</v>
      </c>
      <c r="E3" s="1" t="s">
        <v>182</v>
      </c>
      <c r="F3" s="344" t="s">
        <v>1932</v>
      </c>
      <c r="G3" s="345">
        <v>6.32</v>
      </c>
      <c r="H3" s="345" t="s">
        <v>1929</v>
      </c>
      <c r="I3" s="345" t="s">
        <v>1930</v>
      </c>
    </row>
    <row r="4">
      <c r="A4" s="343" t="str">
        <f t="shared" si="1"/>
        <v>sto_transm2092624</v>
      </c>
      <c r="B4" s="343">
        <v>45561.0</v>
      </c>
      <c r="C4" s="113" t="s">
        <v>1933</v>
      </c>
      <c r="D4" s="4" t="s">
        <v>175</v>
      </c>
      <c r="E4" s="207" t="s">
        <v>178</v>
      </c>
      <c r="F4" s="344" t="s">
        <v>1928</v>
      </c>
      <c r="G4" s="345">
        <v>12.41</v>
      </c>
      <c r="H4" s="345" t="s">
        <v>1929</v>
      </c>
      <c r="I4" s="345" t="s">
        <v>1930</v>
      </c>
    </row>
    <row r="5">
      <c r="A5" s="343" t="str">
        <f t="shared" si="1"/>
        <v>sto_transm1092724</v>
      </c>
      <c r="B5" s="343">
        <v>45562.0</v>
      </c>
      <c r="C5" s="113" t="s">
        <v>1934</v>
      </c>
      <c r="D5" s="4" t="s">
        <v>175</v>
      </c>
      <c r="E5" s="207" t="s">
        <v>178</v>
      </c>
      <c r="F5" s="344" t="s">
        <v>1928</v>
      </c>
      <c r="G5" s="345">
        <v>20.02</v>
      </c>
      <c r="H5" s="345" t="s">
        <v>1929</v>
      </c>
      <c r="I5" s="345" t="s">
        <v>1930</v>
      </c>
    </row>
    <row r="6">
      <c r="A6" s="343" t="str">
        <f t="shared" si="1"/>
        <v>sto_transm2092724</v>
      </c>
      <c r="B6" s="343">
        <v>45562.0</v>
      </c>
      <c r="C6" s="113" t="s">
        <v>1935</v>
      </c>
      <c r="D6" s="4" t="s">
        <v>175</v>
      </c>
      <c r="E6" s="207" t="s">
        <v>178</v>
      </c>
      <c r="F6" s="4" t="s">
        <v>1928</v>
      </c>
      <c r="G6" s="345">
        <v>19.96</v>
      </c>
      <c r="H6" s="345" t="s">
        <v>1936</v>
      </c>
      <c r="I6" s="345" t="s">
        <v>1930</v>
      </c>
    </row>
    <row r="7">
      <c r="A7" s="343" t="str">
        <f t="shared" si="1"/>
        <v>sto_transm1100124</v>
      </c>
      <c r="B7" s="343">
        <v>45566.0</v>
      </c>
      <c r="C7" s="113" t="s">
        <v>1937</v>
      </c>
      <c r="D7" s="4" t="s">
        <v>175</v>
      </c>
      <c r="E7" s="207" t="s">
        <v>178</v>
      </c>
      <c r="F7" s="4" t="s">
        <v>1928</v>
      </c>
      <c r="G7" s="345">
        <v>19.82</v>
      </c>
      <c r="H7" s="345" t="s">
        <v>1929</v>
      </c>
      <c r="I7" s="345" t="s">
        <v>1930</v>
      </c>
    </row>
    <row r="8">
      <c r="A8" s="343" t="str">
        <f t="shared" si="1"/>
        <v>sto_transm1100224</v>
      </c>
      <c r="B8" s="343">
        <v>45567.0</v>
      </c>
      <c r="C8" s="113" t="s">
        <v>1938</v>
      </c>
      <c r="D8" s="4" t="s">
        <v>175</v>
      </c>
      <c r="E8" s="207" t="s">
        <v>178</v>
      </c>
      <c r="F8" s="4" t="s">
        <v>1932</v>
      </c>
      <c r="G8" s="345">
        <v>8.85</v>
      </c>
      <c r="H8" s="345" t="s">
        <v>1936</v>
      </c>
      <c r="I8" s="345" t="s">
        <v>1930</v>
      </c>
    </row>
    <row r="9">
      <c r="A9" s="1" t="s">
        <v>1939</v>
      </c>
      <c r="B9" s="1" t="s">
        <v>1940</v>
      </c>
      <c r="C9" s="1" t="s">
        <v>1941</v>
      </c>
      <c r="D9" s="1" t="s">
        <v>200</v>
      </c>
      <c r="E9" s="1" t="s">
        <v>203</v>
      </c>
      <c r="F9" s="4" t="s">
        <v>1941</v>
      </c>
      <c r="G9" s="347"/>
      <c r="H9" s="345" t="s">
        <v>1941</v>
      </c>
      <c r="I9" s="345" t="s">
        <v>1941</v>
      </c>
    </row>
    <row r="10">
      <c r="F10" s="172"/>
      <c r="G10" s="347"/>
      <c r="H10" s="347"/>
      <c r="I10" s="347"/>
    </row>
    <row r="11">
      <c r="F11" s="172"/>
      <c r="G11" s="347"/>
      <c r="H11" s="347"/>
      <c r="I11" s="347"/>
    </row>
    <row r="12">
      <c r="F12" s="172"/>
      <c r="G12" s="347"/>
      <c r="H12" s="347"/>
      <c r="I12" s="347"/>
    </row>
    <row r="13">
      <c r="F13" s="172"/>
      <c r="G13" s="347"/>
      <c r="H13" s="347"/>
      <c r="I13" s="347"/>
    </row>
    <row r="14">
      <c r="F14" s="172"/>
      <c r="G14" s="347"/>
      <c r="H14" s="347"/>
      <c r="I14" s="347"/>
    </row>
    <row r="15">
      <c r="F15" s="172"/>
      <c r="G15" s="347"/>
      <c r="H15" s="347"/>
      <c r="I15" s="347"/>
    </row>
    <row r="16">
      <c r="F16" s="172"/>
      <c r="G16" s="347"/>
      <c r="H16" s="347"/>
      <c r="I16" s="347"/>
    </row>
    <row r="17">
      <c r="F17" s="172"/>
      <c r="G17" s="347"/>
      <c r="H17" s="347"/>
      <c r="I17" s="347"/>
    </row>
    <row r="18">
      <c r="F18" s="172"/>
      <c r="G18" s="347"/>
      <c r="H18" s="347"/>
      <c r="I18" s="347"/>
    </row>
    <row r="19">
      <c r="F19" s="172"/>
      <c r="G19" s="347"/>
      <c r="H19" s="347"/>
      <c r="I19" s="347"/>
    </row>
    <row r="20">
      <c r="F20" s="172"/>
      <c r="G20" s="347"/>
      <c r="H20" s="347"/>
      <c r="I20" s="347"/>
    </row>
    <row r="21">
      <c r="F21" s="172"/>
      <c r="G21" s="347"/>
      <c r="H21" s="347"/>
      <c r="I21" s="347"/>
    </row>
    <row r="22">
      <c r="F22" s="172"/>
      <c r="G22" s="347"/>
      <c r="H22" s="347"/>
      <c r="I22" s="347"/>
    </row>
    <row r="23">
      <c r="F23" s="172"/>
      <c r="G23" s="347"/>
      <c r="H23" s="347"/>
      <c r="I23" s="347"/>
    </row>
    <row r="24">
      <c r="F24" s="172"/>
      <c r="G24" s="347"/>
      <c r="H24" s="347"/>
      <c r="I24" s="347"/>
    </row>
    <row r="25">
      <c r="F25" s="172"/>
      <c r="G25" s="347"/>
      <c r="H25" s="347"/>
      <c r="I25" s="347"/>
    </row>
    <row r="26">
      <c r="F26" s="172"/>
      <c r="G26" s="347"/>
      <c r="H26" s="347"/>
      <c r="I26" s="347"/>
    </row>
    <row r="27">
      <c r="F27" s="172"/>
      <c r="G27" s="347"/>
      <c r="H27" s="347"/>
      <c r="I27" s="347"/>
    </row>
    <row r="28">
      <c r="F28" s="172"/>
      <c r="G28" s="347"/>
      <c r="H28" s="347"/>
      <c r="I28" s="347"/>
    </row>
    <row r="29">
      <c r="F29" s="172"/>
      <c r="G29" s="347"/>
      <c r="H29" s="347"/>
      <c r="I29" s="347"/>
    </row>
    <row r="30">
      <c r="F30" s="172"/>
      <c r="G30" s="347"/>
      <c r="H30" s="347"/>
      <c r="I30" s="347"/>
    </row>
    <row r="31">
      <c r="F31" s="172"/>
      <c r="G31" s="347"/>
      <c r="H31" s="347"/>
      <c r="I31" s="347"/>
    </row>
    <row r="32">
      <c r="F32" s="172"/>
      <c r="G32" s="347"/>
      <c r="H32" s="347"/>
      <c r="I32" s="347"/>
    </row>
    <row r="33">
      <c r="F33" s="172"/>
      <c r="G33" s="347"/>
      <c r="H33" s="347"/>
      <c r="I33" s="347"/>
    </row>
    <row r="34">
      <c r="F34" s="172"/>
      <c r="G34" s="347"/>
      <c r="H34" s="347"/>
      <c r="I34" s="347"/>
    </row>
    <row r="35">
      <c r="F35" s="172"/>
      <c r="G35" s="347"/>
      <c r="H35" s="347"/>
      <c r="I35" s="347"/>
    </row>
    <row r="36">
      <c r="F36" s="172"/>
      <c r="G36" s="347"/>
      <c r="H36" s="347"/>
      <c r="I36" s="347"/>
    </row>
    <row r="37">
      <c r="F37" s="172"/>
      <c r="G37" s="347"/>
      <c r="H37" s="347"/>
      <c r="I37" s="347"/>
    </row>
    <row r="38">
      <c r="F38" s="172"/>
      <c r="G38" s="347"/>
      <c r="H38" s="347"/>
      <c r="I38" s="347"/>
    </row>
    <row r="39">
      <c r="F39" s="172"/>
      <c r="G39" s="347"/>
      <c r="H39" s="347"/>
      <c r="I39" s="347"/>
    </row>
    <row r="40">
      <c r="F40" s="172"/>
      <c r="G40" s="347"/>
      <c r="H40" s="347"/>
      <c r="I40" s="347"/>
    </row>
    <row r="41">
      <c r="F41" s="172"/>
      <c r="G41" s="347"/>
      <c r="H41" s="347"/>
      <c r="I41" s="347"/>
    </row>
    <row r="42">
      <c r="F42" s="172"/>
      <c r="G42" s="347"/>
      <c r="H42" s="347"/>
      <c r="I42" s="347"/>
    </row>
    <row r="43">
      <c r="F43" s="172"/>
      <c r="G43" s="347"/>
      <c r="H43" s="347"/>
      <c r="I43" s="347"/>
    </row>
    <row r="44">
      <c r="F44" s="172"/>
      <c r="G44" s="347"/>
      <c r="H44" s="347"/>
      <c r="I44" s="347"/>
    </row>
    <row r="45">
      <c r="F45" s="172"/>
      <c r="G45" s="347"/>
      <c r="H45" s="347"/>
      <c r="I45" s="347"/>
    </row>
    <row r="46">
      <c r="F46" s="172"/>
      <c r="G46" s="347"/>
      <c r="H46" s="347"/>
      <c r="I46" s="347"/>
    </row>
    <row r="47">
      <c r="F47" s="172"/>
      <c r="G47" s="347"/>
      <c r="H47" s="347"/>
      <c r="I47" s="347"/>
    </row>
    <row r="48">
      <c r="F48" s="172"/>
      <c r="G48" s="347"/>
      <c r="H48" s="347"/>
      <c r="I48" s="347"/>
    </row>
    <row r="49">
      <c r="F49" s="172"/>
      <c r="G49" s="347"/>
      <c r="H49" s="347"/>
      <c r="I49" s="347"/>
    </row>
    <row r="50">
      <c r="F50" s="172"/>
      <c r="G50" s="347"/>
      <c r="H50" s="347"/>
      <c r="I50" s="347"/>
    </row>
    <row r="51">
      <c r="F51" s="172"/>
      <c r="G51" s="347"/>
      <c r="H51" s="347"/>
      <c r="I51" s="347"/>
    </row>
    <row r="52">
      <c r="F52" s="172"/>
      <c r="G52" s="347"/>
      <c r="H52" s="347"/>
      <c r="I52" s="347"/>
    </row>
    <row r="53">
      <c r="F53" s="172"/>
      <c r="G53" s="347"/>
      <c r="H53" s="347"/>
      <c r="I53" s="347"/>
    </row>
    <row r="54">
      <c r="F54" s="172"/>
      <c r="G54" s="347"/>
      <c r="H54" s="347"/>
      <c r="I54" s="347"/>
    </row>
    <row r="55">
      <c r="F55" s="172"/>
      <c r="G55" s="347"/>
      <c r="H55" s="347"/>
      <c r="I55" s="347"/>
    </row>
    <row r="56">
      <c r="F56" s="172"/>
      <c r="G56" s="347"/>
      <c r="H56" s="347"/>
      <c r="I56" s="347"/>
    </row>
    <row r="57">
      <c r="F57" s="172"/>
      <c r="G57" s="347"/>
      <c r="H57" s="347"/>
      <c r="I57" s="347"/>
    </row>
    <row r="58">
      <c r="F58" s="172"/>
      <c r="G58" s="347"/>
      <c r="H58" s="347"/>
      <c r="I58" s="347"/>
    </row>
    <row r="59">
      <c r="F59" s="172"/>
      <c r="G59" s="347"/>
      <c r="H59" s="347"/>
      <c r="I59" s="347"/>
    </row>
    <row r="60">
      <c r="F60" s="172"/>
      <c r="G60" s="347"/>
      <c r="H60" s="347"/>
      <c r="I60" s="347"/>
    </row>
    <row r="61">
      <c r="F61" s="172"/>
      <c r="G61" s="347"/>
      <c r="H61" s="347"/>
      <c r="I61" s="347"/>
    </row>
    <row r="62">
      <c r="F62" s="172"/>
      <c r="G62" s="347"/>
      <c r="H62" s="347"/>
      <c r="I62" s="347"/>
    </row>
    <row r="63">
      <c r="F63" s="172"/>
      <c r="G63" s="347"/>
      <c r="H63" s="347"/>
      <c r="I63" s="347"/>
    </row>
    <row r="64">
      <c r="F64" s="172"/>
      <c r="G64" s="347"/>
      <c r="H64" s="347"/>
      <c r="I64" s="347"/>
    </row>
    <row r="65">
      <c r="F65" s="172"/>
      <c r="G65" s="347"/>
      <c r="H65" s="347"/>
      <c r="I65" s="347"/>
    </row>
    <row r="66">
      <c r="F66" s="172"/>
      <c r="G66" s="347"/>
      <c r="H66" s="347"/>
      <c r="I66" s="347"/>
    </row>
    <row r="67">
      <c r="F67" s="172"/>
      <c r="G67" s="347"/>
      <c r="H67" s="347"/>
      <c r="I67" s="347"/>
    </row>
    <row r="68">
      <c r="F68" s="172"/>
      <c r="G68" s="347"/>
      <c r="H68" s="347"/>
      <c r="I68" s="347"/>
    </row>
    <row r="69">
      <c r="F69" s="172"/>
      <c r="G69" s="347"/>
      <c r="H69" s="347"/>
      <c r="I69" s="347"/>
    </row>
    <row r="70">
      <c r="F70" s="172"/>
      <c r="G70" s="347"/>
      <c r="H70" s="347"/>
      <c r="I70" s="347"/>
    </row>
    <row r="71">
      <c r="F71" s="172"/>
      <c r="G71" s="347"/>
      <c r="H71" s="347"/>
      <c r="I71" s="347"/>
    </row>
    <row r="72">
      <c r="F72" s="172"/>
      <c r="G72" s="347"/>
      <c r="H72" s="347"/>
      <c r="I72" s="347"/>
    </row>
    <row r="73">
      <c r="F73" s="172"/>
      <c r="G73" s="347"/>
      <c r="H73" s="347"/>
      <c r="I73" s="347"/>
    </row>
    <row r="74">
      <c r="F74" s="172"/>
      <c r="G74" s="347"/>
      <c r="H74" s="347"/>
      <c r="I74" s="347"/>
    </row>
    <row r="75">
      <c r="F75" s="172"/>
      <c r="G75" s="347"/>
      <c r="H75" s="347"/>
      <c r="I75" s="347"/>
    </row>
    <row r="76">
      <c r="F76" s="172"/>
      <c r="G76" s="347"/>
      <c r="H76" s="347"/>
      <c r="I76" s="347"/>
    </row>
    <row r="77">
      <c r="F77" s="172"/>
      <c r="G77" s="347"/>
      <c r="H77" s="347"/>
      <c r="I77" s="347"/>
    </row>
    <row r="78">
      <c r="F78" s="172"/>
      <c r="G78" s="347"/>
      <c r="H78" s="347"/>
      <c r="I78" s="347"/>
    </row>
    <row r="79">
      <c r="F79" s="172"/>
      <c r="G79" s="347"/>
      <c r="H79" s="347"/>
      <c r="I79" s="347"/>
    </row>
    <row r="80">
      <c r="F80" s="172"/>
      <c r="G80" s="347"/>
      <c r="H80" s="347"/>
      <c r="I80" s="347"/>
    </row>
    <row r="81">
      <c r="F81" s="172"/>
      <c r="G81" s="347"/>
      <c r="H81" s="347"/>
      <c r="I81" s="347"/>
    </row>
    <row r="82">
      <c r="F82" s="172"/>
      <c r="G82" s="347"/>
      <c r="H82" s="347"/>
      <c r="I82" s="347"/>
    </row>
    <row r="83">
      <c r="F83" s="172"/>
      <c r="G83" s="347"/>
      <c r="H83" s="347"/>
      <c r="I83" s="347"/>
    </row>
    <row r="84">
      <c r="F84" s="172"/>
      <c r="G84" s="347"/>
      <c r="H84" s="347"/>
      <c r="I84" s="347"/>
    </row>
    <row r="85">
      <c r="F85" s="172"/>
      <c r="G85" s="347"/>
      <c r="H85" s="347"/>
      <c r="I85" s="347"/>
    </row>
    <row r="86">
      <c r="F86" s="172"/>
      <c r="G86" s="347"/>
      <c r="H86" s="347"/>
      <c r="I86" s="347"/>
    </row>
    <row r="87">
      <c r="F87" s="172"/>
      <c r="G87" s="347"/>
      <c r="H87" s="347"/>
      <c r="I87" s="347"/>
    </row>
    <row r="88">
      <c r="F88" s="172"/>
      <c r="G88" s="347"/>
      <c r="H88" s="347"/>
      <c r="I88" s="347"/>
    </row>
    <row r="89">
      <c r="F89" s="172"/>
      <c r="G89" s="347"/>
      <c r="H89" s="347"/>
      <c r="I89" s="347"/>
    </row>
    <row r="90">
      <c r="F90" s="172"/>
      <c r="G90" s="347"/>
      <c r="H90" s="347"/>
      <c r="I90" s="347"/>
    </row>
    <row r="91">
      <c r="F91" s="172"/>
      <c r="G91" s="347"/>
      <c r="H91" s="347"/>
      <c r="I91" s="347"/>
    </row>
    <row r="92">
      <c r="F92" s="172"/>
      <c r="G92" s="347"/>
      <c r="H92" s="347"/>
      <c r="I92" s="347"/>
    </row>
    <row r="93">
      <c r="F93" s="172"/>
      <c r="G93" s="347"/>
      <c r="H93" s="347"/>
      <c r="I93" s="347"/>
    </row>
    <row r="94">
      <c r="F94" s="172"/>
      <c r="G94" s="347"/>
      <c r="H94" s="347"/>
      <c r="I94" s="347"/>
    </row>
    <row r="95">
      <c r="F95" s="172"/>
      <c r="G95" s="347"/>
      <c r="H95" s="347"/>
      <c r="I95" s="347"/>
    </row>
    <row r="96">
      <c r="F96" s="172"/>
      <c r="G96" s="347"/>
      <c r="H96" s="347"/>
      <c r="I96" s="347"/>
    </row>
    <row r="97">
      <c r="F97" s="172"/>
      <c r="G97" s="347"/>
      <c r="H97" s="347"/>
      <c r="I97" s="347"/>
    </row>
    <row r="98">
      <c r="F98" s="172"/>
      <c r="G98" s="347"/>
      <c r="H98" s="347"/>
      <c r="I98" s="347"/>
    </row>
    <row r="99">
      <c r="F99" s="172"/>
      <c r="G99" s="347"/>
      <c r="H99" s="347"/>
      <c r="I99" s="347"/>
    </row>
    <row r="100">
      <c r="F100" s="172"/>
      <c r="G100" s="347"/>
      <c r="H100" s="347"/>
      <c r="I100" s="347"/>
    </row>
    <row r="101">
      <c r="F101" s="172"/>
      <c r="G101" s="347"/>
      <c r="H101" s="347"/>
      <c r="I101" s="347"/>
    </row>
    <row r="102">
      <c r="F102" s="172"/>
      <c r="G102" s="347"/>
      <c r="H102" s="347"/>
      <c r="I102" s="347"/>
    </row>
    <row r="103">
      <c r="F103" s="172"/>
      <c r="G103" s="347"/>
      <c r="H103" s="347"/>
      <c r="I103" s="347"/>
    </row>
    <row r="104">
      <c r="F104" s="172"/>
      <c r="G104" s="347"/>
      <c r="H104" s="347"/>
      <c r="I104" s="347"/>
    </row>
    <row r="105">
      <c r="F105" s="172"/>
      <c r="G105" s="347"/>
      <c r="H105" s="347"/>
      <c r="I105" s="347"/>
    </row>
    <row r="106">
      <c r="F106" s="172"/>
      <c r="G106" s="347"/>
      <c r="H106" s="347"/>
      <c r="I106" s="347"/>
    </row>
    <row r="107">
      <c r="F107" s="172"/>
      <c r="G107" s="347"/>
      <c r="H107" s="347"/>
      <c r="I107" s="347"/>
    </row>
    <row r="108">
      <c r="F108" s="172"/>
      <c r="G108" s="347"/>
      <c r="H108" s="347"/>
      <c r="I108" s="347"/>
    </row>
    <row r="109">
      <c r="F109" s="172"/>
      <c r="G109" s="347"/>
      <c r="H109" s="347"/>
      <c r="I109" s="347"/>
    </row>
    <row r="110">
      <c r="F110" s="172"/>
      <c r="G110" s="347"/>
      <c r="H110" s="347"/>
      <c r="I110" s="347"/>
    </row>
    <row r="111">
      <c r="F111" s="172"/>
      <c r="G111" s="347"/>
      <c r="H111" s="347"/>
      <c r="I111" s="347"/>
    </row>
    <row r="112">
      <c r="F112" s="172"/>
      <c r="G112" s="347"/>
      <c r="H112" s="347"/>
      <c r="I112" s="347"/>
    </row>
    <row r="113">
      <c r="F113" s="172"/>
      <c r="G113" s="347"/>
      <c r="H113" s="347"/>
      <c r="I113" s="347"/>
    </row>
    <row r="114">
      <c r="F114" s="172"/>
      <c r="G114" s="347"/>
      <c r="H114" s="347"/>
      <c r="I114" s="347"/>
    </row>
    <row r="115">
      <c r="F115" s="172"/>
      <c r="G115" s="347"/>
      <c r="H115" s="347"/>
      <c r="I115" s="347"/>
    </row>
    <row r="116">
      <c r="F116" s="172"/>
      <c r="G116" s="347"/>
      <c r="H116" s="347"/>
      <c r="I116" s="347"/>
    </row>
    <row r="117">
      <c r="F117" s="172"/>
      <c r="G117" s="347"/>
      <c r="H117" s="347"/>
      <c r="I117" s="347"/>
    </row>
    <row r="118">
      <c r="F118" s="172"/>
      <c r="G118" s="347"/>
      <c r="H118" s="347"/>
      <c r="I118" s="347"/>
    </row>
    <row r="119">
      <c r="F119" s="172"/>
      <c r="G119" s="347"/>
      <c r="H119" s="347"/>
      <c r="I119" s="347"/>
    </row>
    <row r="120">
      <c r="F120" s="172"/>
      <c r="G120" s="347"/>
      <c r="H120" s="347"/>
      <c r="I120" s="347"/>
    </row>
    <row r="121">
      <c r="F121" s="172"/>
      <c r="G121" s="347"/>
      <c r="H121" s="347"/>
      <c r="I121" s="347"/>
    </row>
    <row r="122">
      <c r="F122" s="172"/>
      <c r="G122" s="347"/>
      <c r="H122" s="347"/>
      <c r="I122" s="347"/>
    </row>
    <row r="123">
      <c r="F123" s="172"/>
      <c r="G123" s="347"/>
      <c r="H123" s="347"/>
      <c r="I123" s="347"/>
    </row>
    <row r="124">
      <c r="F124" s="172"/>
      <c r="G124" s="347"/>
      <c r="H124" s="347"/>
      <c r="I124" s="347"/>
    </row>
    <row r="125">
      <c r="F125" s="172"/>
      <c r="G125" s="347"/>
      <c r="H125" s="347"/>
      <c r="I125" s="347"/>
    </row>
    <row r="126">
      <c r="F126" s="172"/>
      <c r="G126" s="347"/>
      <c r="H126" s="347"/>
      <c r="I126" s="347"/>
    </row>
    <row r="127">
      <c r="F127" s="172"/>
      <c r="G127" s="347"/>
      <c r="H127" s="347"/>
      <c r="I127" s="347"/>
    </row>
    <row r="128">
      <c r="F128" s="172"/>
      <c r="G128" s="347"/>
      <c r="H128" s="347"/>
      <c r="I128" s="347"/>
    </row>
    <row r="129">
      <c r="F129" s="172"/>
      <c r="G129" s="347"/>
      <c r="H129" s="347"/>
      <c r="I129" s="347"/>
    </row>
    <row r="130">
      <c r="F130" s="172"/>
      <c r="G130" s="347"/>
      <c r="H130" s="347"/>
      <c r="I130" s="347"/>
    </row>
    <row r="131">
      <c r="F131" s="172"/>
      <c r="G131" s="347"/>
      <c r="H131" s="347"/>
      <c r="I131" s="347"/>
    </row>
    <row r="132">
      <c r="F132" s="172"/>
      <c r="G132" s="347"/>
      <c r="H132" s="347"/>
      <c r="I132" s="347"/>
    </row>
    <row r="133">
      <c r="F133" s="172"/>
      <c r="G133" s="347"/>
      <c r="H133" s="347"/>
      <c r="I133" s="347"/>
    </row>
    <row r="134">
      <c r="F134" s="172"/>
      <c r="G134" s="347"/>
      <c r="H134" s="347"/>
      <c r="I134" s="347"/>
    </row>
    <row r="135">
      <c r="F135" s="172"/>
      <c r="G135" s="347"/>
      <c r="H135" s="347"/>
      <c r="I135" s="347"/>
    </row>
    <row r="136">
      <c r="F136" s="172"/>
      <c r="G136" s="347"/>
      <c r="H136" s="347"/>
      <c r="I136" s="347"/>
    </row>
    <row r="137">
      <c r="F137" s="172"/>
      <c r="G137" s="347"/>
      <c r="H137" s="347"/>
      <c r="I137" s="347"/>
    </row>
    <row r="138">
      <c r="F138" s="172"/>
      <c r="G138" s="347"/>
      <c r="H138" s="347"/>
      <c r="I138" s="347"/>
    </row>
    <row r="139">
      <c r="F139" s="172"/>
      <c r="G139" s="347"/>
      <c r="H139" s="347"/>
      <c r="I139" s="347"/>
    </row>
    <row r="140">
      <c r="F140" s="172"/>
      <c r="G140" s="347"/>
      <c r="H140" s="347"/>
      <c r="I140" s="347"/>
    </row>
    <row r="141">
      <c r="F141" s="172"/>
      <c r="G141" s="347"/>
      <c r="H141" s="347"/>
      <c r="I141" s="347"/>
    </row>
    <row r="142">
      <c r="F142" s="172"/>
      <c r="G142" s="347"/>
      <c r="H142" s="347"/>
      <c r="I142" s="347"/>
    </row>
    <row r="143">
      <c r="F143" s="172"/>
      <c r="G143" s="347"/>
      <c r="H143" s="347"/>
      <c r="I143" s="347"/>
    </row>
    <row r="144">
      <c r="F144" s="172"/>
      <c r="G144" s="347"/>
      <c r="H144" s="347"/>
      <c r="I144" s="347"/>
    </row>
    <row r="145">
      <c r="F145" s="172"/>
      <c r="G145" s="347"/>
      <c r="H145" s="347"/>
      <c r="I145" s="347"/>
    </row>
    <row r="146">
      <c r="F146" s="172"/>
      <c r="G146" s="347"/>
      <c r="H146" s="347"/>
      <c r="I146" s="347"/>
    </row>
    <row r="147">
      <c r="F147" s="172"/>
      <c r="G147" s="347"/>
      <c r="H147" s="347"/>
      <c r="I147" s="347"/>
    </row>
    <row r="148">
      <c r="F148" s="172"/>
      <c r="G148" s="347"/>
      <c r="H148" s="347"/>
      <c r="I148" s="347"/>
    </row>
    <row r="149">
      <c r="F149" s="172"/>
      <c r="G149" s="347"/>
      <c r="H149" s="347"/>
      <c r="I149" s="347"/>
    </row>
    <row r="150">
      <c r="F150" s="172"/>
      <c r="G150" s="347"/>
      <c r="H150" s="347"/>
      <c r="I150" s="347"/>
    </row>
    <row r="151">
      <c r="F151" s="172"/>
      <c r="G151" s="347"/>
      <c r="H151" s="347"/>
      <c r="I151" s="347"/>
    </row>
    <row r="152">
      <c r="F152" s="172"/>
      <c r="G152" s="347"/>
      <c r="H152" s="347"/>
      <c r="I152" s="347"/>
    </row>
    <row r="153">
      <c r="F153" s="172"/>
      <c r="G153" s="347"/>
      <c r="H153" s="347"/>
      <c r="I153" s="347"/>
    </row>
    <row r="154">
      <c r="F154" s="172"/>
      <c r="G154" s="347"/>
      <c r="H154" s="347"/>
      <c r="I154" s="347"/>
    </row>
    <row r="155">
      <c r="F155" s="172"/>
      <c r="G155" s="347"/>
      <c r="H155" s="347"/>
      <c r="I155" s="347"/>
    </row>
    <row r="156">
      <c r="F156" s="172"/>
      <c r="G156" s="347"/>
      <c r="H156" s="347"/>
      <c r="I156" s="347"/>
    </row>
    <row r="157">
      <c r="F157" s="172"/>
      <c r="G157" s="347"/>
      <c r="H157" s="347"/>
      <c r="I157" s="347"/>
    </row>
    <row r="158">
      <c r="F158" s="172"/>
      <c r="G158" s="347"/>
      <c r="H158" s="347"/>
      <c r="I158" s="347"/>
    </row>
    <row r="159">
      <c r="F159" s="172"/>
      <c r="G159" s="347"/>
      <c r="H159" s="347"/>
      <c r="I159" s="347"/>
    </row>
    <row r="160">
      <c r="F160" s="172"/>
      <c r="G160" s="347"/>
      <c r="H160" s="347"/>
      <c r="I160" s="347"/>
    </row>
    <row r="161">
      <c r="F161" s="172"/>
      <c r="G161" s="347"/>
      <c r="H161" s="347"/>
      <c r="I161" s="347"/>
    </row>
    <row r="162">
      <c r="F162" s="172"/>
      <c r="G162" s="347"/>
      <c r="H162" s="347"/>
      <c r="I162" s="347"/>
    </row>
    <row r="163">
      <c r="F163" s="172"/>
      <c r="G163" s="347"/>
      <c r="H163" s="347"/>
      <c r="I163" s="347"/>
    </row>
    <row r="164">
      <c r="F164" s="172"/>
      <c r="G164" s="347"/>
      <c r="H164" s="347"/>
      <c r="I164" s="347"/>
    </row>
    <row r="165">
      <c r="F165" s="172"/>
      <c r="G165" s="347"/>
      <c r="H165" s="347"/>
      <c r="I165" s="347"/>
    </row>
    <row r="166">
      <c r="F166" s="172"/>
      <c r="G166" s="347"/>
      <c r="H166" s="347"/>
      <c r="I166" s="347"/>
    </row>
    <row r="167">
      <c r="F167" s="172"/>
      <c r="G167" s="347"/>
      <c r="H167" s="347"/>
      <c r="I167" s="347"/>
    </row>
    <row r="168">
      <c r="F168" s="172"/>
      <c r="G168" s="347"/>
      <c r="H168" s="347"/>
      <c r="I168" s="347"/>
    </row>
    <row r="169">
      <c r="F169" s="172"/>
      <c r="G169" s="347"/>
      <c r="H169" s="347"/>
      <c r="I169" s="347"/>
    </row>
    <row r="170">
      <c r="F170" s="172"/>
      <c r="G170" s="347"/>
      <c r="H170" s="347"/>
      <c r="I170" s="347"/>
    </row>
    <row r="171">
      <c r="F171" s="172"/>
      <c r="G171" s="347"/>
      <c r="H171" s="347"/>
      <c r="I171" s="347"/>
    </row>
    <row r="172">
      <c r="F172" s="172"/>
      <c r="G172" s="347"/>
      <c r="H172" s="347"/>
      <c r="I172" s="347"/>
    </row>
    <row r="173">
      <c r="F173" s="172"/>
      <c r="G173" s="347"/>
      <c r="H173" s="347"/>
      <c r="I173" s="347"/>
    </row>
    <row r="174">
      <c r="F174" s="172"/>
      <c r="G174" s="347"/>
      <c r="H174" s="347"/>
      <c r="I174" s="347"/>
    </row>
    <row r="175">
      <c r="F175" s="172"/>
      <c r="G175" s="347"/>
      <c r="H175" s="347"/>
      <c r="I175" s="347"/>
    </row>
    <row r="176">
      <c r="F176" s="172"/>
      <c r="G176" s="347"/>
      <c r="H176" s="347"/>
      <c r="I176" s="347"/>
    </row>
    <row r="177">
      <c r="F177" s="172"/>
      <c r="G177" s="347"/>
      <c r="H177" s="347"/>
      <c r="I177" s="347"/>
    </row>
    <row r="178">
      <c r="F178" s="172"/>
      <c r="G178" s="347"/>
      <c r="H178" s="347"/>
      <c r="I178" s="347"/>
    </row>
    <row r="179">
      <c r="F179" s="172"/>
      <c r="G179" s="347"/>
      <c r="H179" s="347"/>
      <c r="I179" s="347"/>
    </row>
    <row r="180">
      <c r="F180" s="172"/>
      <c r="G180" s="347"/>
      <c r="H180" s="347"/>
      <c r="I180" s="347"/>
    </row>
    <row r="181">
      <c r="F181" s="172"/>
      <c r="G181" s="347"/>
      <c r="H181" s="347"/>
      <c r="I181" s="347"/>
    </row>
    <row r="182">
      <c r="F182" s="172"/>
      <c r="G182" s="347"/>
      <c r="H182" s="347"/>
      <c r="I182" s="347"/>
    </row>
    <row r="183">
      <c r="F183" s="172"/>
      <c r="G183" s="347"/>
      <c r="H183" s="347"/>
      <c r="I183" s="347"/>
    </row>
    <row r="184">
      <c r="F184" s="172"/>
      <c r="G184" s="347"/>
      <c r="H184" s="347"/>
      <c r="I184" s="347"/>
    </row>
    <row r="185">
      <c r="F185" s="172"/>
      <c r="G185" s="347"/>
      <c r="H185" s="347"/>
      <c r="I185" s="347"/>
    </row>
    <row r="186">
      <c r="F186" s="172"/>
      <c r="G186" s="347"/>
      <c r="H186" s="347"/>
      <c r="I186" s="347"/>
    </row>
    <row r="187">
      <c r="F187" s="172"/>
      <c r="G187" s="347"/>
      <c r="H187" s="347"/>
      <c r="I187" s="347"/>
    </row>
    <row r="188">
      <c r="F188" s="172"/>
      <c r="G188" s="347"/>
      <c r="H188" s="347"/>
      <c r="I188" s="347"/>
    </row>
    <row r="189">
      <c r="F189" s="172"/>
      <c r="G189" s="347"/>
      <c r="H189" s="347"/>
      <c r="I189" s="347"/>
    </row>
    <row r="190">
      <c r="F190" s="172"/>
      <c r="G190" s="347"/>
      <c r="H190" s="347"/>
      <c r="I190" s="347"/>
    </row>
    <row r="191">
      <c r="F191" s="172"/>
      <c r="G191" s="347"/>
      <c r="H191" s="347"/>
      <c r="I191" s="347"/>
    </row>
    <row r="192">
      <c r="F192" s="172"/>
      <c r="G192" s="347"/>
      <c r="H192" s="347"/>
      <c r="I192" s="347"/>
    </row>
    <row r="193">
      <c r="F193" s="172"/>
      <c r="G193" s="347"/>
      <c r="H193" s="347"/>
      <c r="I193" s="347"/>
    </row>
    <row r="194">
      <c r="F194" s="172"/>
      <c r="G194" s="347"/>
      <c r="H194" s="347"/>
      <c r="I194" s="347"/>
    </row>
    <row r="195">
      <c r="F195" s="172"/>
      <c r="G195" s="347"/>
      <c r="H195" s="347"/>
      <c r="I195" s="347"/>
    </row>
    <row r="196">
      <c r="F196" s="172"/>
      <c r="G196" s="347"/>
      <c r="H196" s="347"/>
      <c r="I196" s="347"/>
    </row>
    <row r="197">
      <c r="F197" s="172"/>
      <c r="G197" s="347"/>
      <c r="H197" s="347"/>
      <c r="I197" s="347"/>
    </row>
    <row r="198">
      <c r="F198" s="172"/>
      <c r="G198" s="347"/>
      <c r="H198" s="347"/>
      <c r="I198" s="347"/>
    </row>
    <row r="199">
      <c r="F199" s="172"/>
      <c r="G199" s="347"/>
      <c r="H199" s="347"/>
      <c r="I199" s="347"/>
    </row>
    <row r="200">
      <c r="F200" s="172"/>
      <c r="G200" s="347"/>
      <c r="H200" s="347"/>
      <c r="I200" s="347"/>
    </row>
    <row r="201">
      <c r="F201" s="172"/>
      <c r="G201" s="347"/>
      <c r="H201" s="347"/>
      <c r="I201" s="347"/>
    </row>
    <row r="202">
      <c r="F202" s="172"/>
      <c r="G202" s="347"/>
      <c r="H202" s="347"/>
      <c r="I202" s="347"/>
    </row>
    <row r="203">
      <c r="F203" s="172"/>
      <c r="G203" s="347"/>
      <c r="H203" s="347"/>
      <c r="I203" s="347"/>
    </row>
    <row r="204">
      <c r="F204" s="172"/>
      <c r="G204" s="347"/>
      <c r="H204" s="347"/>
      <c r="I204" s="347"/>
    </row>
    <row r="205">
      <c r="F205" s="172"/>
      <c r="G205" s="347"/>
      <c r="H205" s="347"/>
      <c r="I205" s="347"/>
    </row>
    <row r="206">
      <c r="F206" s="172"/>
      <c r="G206" s="347"/>
      <c r="H206" s="347"/>
      <c r="I206" s="347"/>
    </row>
    <row r="207">
      <c r="F207" s="172"/>
      <c r="G207" s="347"/>
      <c r="H207" s="347"/>
      <c r="I207" s="347"/>
    </row>
    <row r="208">
      <c r="F208" s="172"/>
      <c r="G208" s="347"/>
      <c r="H208" s="347"/>
      <c r="I208" s="347"/>
    </row>
    <row r="209">
      <c r="F209" s="172"/>
      <c r="G209" s="347"/>
      <c r="H209" s="347"/>
      <c r="I209" s="347"/>
    </row>
    <row r="210">
      <c r="F210" s="172"/>
      <c r="G210" s="347"/>
      <c r="H210" s="347"/>
      <c r="I210" s="347"/>
    </row>
    <row r="211">
      <c r="F211" s="172"/>
      <c r="G211" s="347"/>
      <c r="H211" s="347"/>
      <c r="I211" s="347"/>
    </row>
    <row r="212">
      <c r="F212" s="172"/>
      <c r="G212" s="347"/>
      <c r="H212" s="347"/>
      <c r="I212" s="347"/>
    </row>
    <row r="213">
      <c r="F213" s="172"/>
      <c r="G213" s="347"/>
      <c r="H213" s="347"/>
      <c r="I213" s="347"/>
    </row>
    <row r="214">
      <c r="F214" s="172"/>
      <c r="G214" s="347"/>
      <c r="H214" s="347"/>
      <c r="I214" s="347"/>
    </row>
    <row r="215">
      <c r="F215" s="172"/>
      <c r="G215" s="347"/>
      <c r="H215" s="347"/>
      <c r="I215" s="347"/>
    </row>
    <row r="216">
      <c r="F216" s="172"/>
      <c r="G216" s="347"/>
      <c r="H216" s="347"/>
      <c r="I216" s="347"/>
    </row>
    <row r="217">
      <c r="F217" s="172"/>
      <c r="G217" s="347"/>
      <c r="H217" s="347"/>
      <c r="I217" s="347"/>
    </row>
    <row r="218">
      <c r="F218" s="172"/>
      <c r="G218" s="347"/>
      <c r="H218" s="347"/>
      <c r="I218" s="347"/>
    </row>
    <row r="219">
      <c r="F219" s="172"/>
      <c r="G219" s="347"/>
      <c r="H219" s="347"/>
      <c r="I219" s="347"/>
    </row>
    <row r="220">
      <c r="F220" s="172"/>
      <c r="G220" s="347"/>
      <c r="H220" s="347"/>
      <c r="I220" s="347"/>
    </row>
    <row r="221">
      <c r="F221" s="172"/>
      <c r="G221" s="347"/>
      <c r="H221" s="347"/>
      <c r="I221" s="347"/>
    </row>
    <row r="222">
      <c r="F222" s="172"/>
      <c r="G222" s="347"/>
      <c r="H222" s="347"/>
      <c r="I222" s="347"/>
    </row>
    <row r="223">
      <c r="F223" s="172"/>
      <c r="G223" s="347"/>
      <c r="H223" s="347"/>
      <c r="I223" s="347"/>
    </row>
    <row r="224">
      <c r="F224" s="172"/>
      <c r="G224" s="347"/>
      <c r="H224" s="347"/>
      <c r="I224" s="347"/>
    </row>
    <row r="225">
      <c r="F225" s="172"/>
      <c r="G225" s="347"/>
      <c r="H225" s="347"/>
      <c r="I225" s="347"/>
    </row>
    <row r="226">
      <c r="F226" s="172"/>
      <c r="G226" s="347"/>
      <c r="H226" s="347"/>
      <c r="I226" s="347"/>
    </row>
    <row r="227">
      <c r="F227" s="172"/>
      <c r="G227" s="347"/>
      <c r="H227" s="347"/>
      <c r="I227" s="347"/>
    </row>
    <row r="228">
      <c r="F228" s="172"/>
      <c r="G228" s="347"/>
      <c r="H228" s="347"/>
      <c r="I228" s="347"/>
    </row>
    <row r="229">
      <c r="F229" s="172"/>
      <c r="G229" s="347"/>
      <c r="H229" s="347"/>
      <c r="I229" s="347"/>
    </row>
    <row r="230">
      <c r="F230" s="172"/>
      <c r="G230" s="347"/>
      <c r="H230" s="347"/>
      <c r="I230" s="347"/>
    </row>
    <row r="231">
      <c r="F231" s="172"/>
      <c r="G231" s="347"/>
      <c r="H231" s="347"/>
      <c r="I231" s="347"/>
    </row>
    <row r="232">
      <c r="F232" s="172"/>
      <c r="G232" s="347"/>
      <c r="H232" s="347"/>
      <c r="I232" s="347"/>
    </row>
    <row r="233">
      <c r="F233" s="172"/>
      <c r="G233" s="347"/>
      <c r="H233" s="347"/>
      <c r="I233" s="347"/>
    </row>
    <row r="234">
      <c r="F234" s="172"/>
      <c r="G234" s="347"/>
      <c r="H234" s="347"/>
      <c r="I234" s="347"/>
    </row>
    <row r="235">
      <c r="F235" s="172"/>
      <c r="G235" s="347"/>
      <c r="H235" s="347"/>
      <c r="I235" s="347"/>
    </row>
    <row r="236">
      <c r="F236" s="172"/>
      <c r="G236" s="347"/>
      <c r="H236" s="347"/>
      <c r="I236" s="347"/>
    </row>
    <row r="237">
      <c r="F237" s="172"/>
      <c r="G237" s="347"/>
      <c r="H237" s="347"/>
      <c r="I237" s="347"/>
    </row>
    <row r="238">
      <c r="F238" s="172"/>
      <c r="G238" s="347"/>
      <c r="H238" s="347"/>
      <c r="I238" s="347"/>
    </row>
    <row r="239">
      <c r="F239" s="172"/>
      <c r="G239" s="347"/>
      <c r="H239" s="347"/>
      <c r="I239" s="347"/>
    </row>
    <row r="240">
      <c r="F240" s="172"/>
      <c r="G240" s="347"/>
      <c r="H240" s="347"/>
      <c r="I240" s="347"/>
    </row>
    <row r="241">
      <c r="F241" s="172"/>
      <c r="G241" s="347"/>
      <c r="H241" s="347"/>
      <c r="I241" s="347"/>
    </row>
    <row r="242">
      <c r="F242" s="172"/>
      <c r="G242" s="347"/>
      <c r="H242" s="347"/>
      <c r="I242" s="347"/>
    </row>
    <row r="243">
      <c r="F243" s="172"/>
      <c r="G243" s="347"/>
      <c r="H243" s="347"/>
      <c r="I243" s="347"/>
    </row>
    <row r="244">
      <c r="F244" s="172"/>
      <c r="G244" s="347"/>
      <c r="H244" s="347"/>
      <c r="I244" s="347"/>
    </row>
    <row r="245">
      <c r="F245" s="172"/>
      <c r="G245" s="347"/>
      <c r="H245" s="347"/>
      <c r="I245" s="347"/>
    </row>
    <row r="246">
      <c r="F246" s="172"/>
      <c r="G246" s="347"/>
      <c r="H246" s="347"/>
      <c r="I246" s="347"/>
    </row>
    <row r="247">
      <c r="F247" s="172"/>
      <c r="G247" s="347"/>
      <c r="H247" s="347"/>
      <c r="I247" s="347"/>
    </row>
    <row r="248">
      <c r="F248" s="172"/>
      <c r="G248" s="347"/>
      <c r="H248" s="347"/>
      <c r="I248" s="347"/>
    </row>
    <row r="249">
      <c r="F249" s="172"/>
      <c r="G249" s="347"/>
      <c r="H249" s="347"/>
      <c r="I249" s="347"/>
    </row>
    <row r="250">
      <c r="F250" s="172"/>
      <c r="G250" s="347"/>
      <c r="H250" s="347"/>
      <c r="I250" s="347"/>
    </row>
    <row r="251">
      <c r="F251" s="172"/>
      <c r="G251" s="347"/>
      <c r="H251" s="347"/>
      <c r="I251" s="347"/>
    </row>
    <row r="252">
      <c r="F252" s="172"/>
      <c r="G252" s="347"/>
      <c r="H252" s="347"/>
      <c r="I252" s="347"/>
    </row>
    <row r="253">
      <c r="F253" s="172"/>
      <c r="G253" s="347"/>
      <c r="H253" s="347"/>
      <c r="I253" s="347"/>
    </row>
    <row r="254">
      <c r="F254" s="172"/>
      <c r="G254" s="347"/>
      <c r="H254" s="347"/>
      <c r="I254" s="347"/>
    </row>
    <row r="255">
      <c r="F255" s="172"/>
      <c r="G255" s="347"/>
      <c r="H255" s="347"/>
      <c r="I255" s="347"/>
    </row>
    <row r="256">
      <c r="F256" s="172"/>
      <c r="G256" s="347"/>
      <c r="H256" s="347"/>
      <c r="I256" s="347"/>
    </row>
    <row r="257">
      <c r="F257" s="172"/>
      <c r="G257" s="347"/>
      <c r="H257" s="347"/>
      <c r="I257" s="347"/>
    </row>
    <row r="258">
      <c r="F258" s="172"/>
      <c r="G258" s="347"/>
      <c r="H258" s="347"/>
      <c r="I258" s="347"/>
    </row>
    <row r="259">
      <c r="F259" s="172"/>
      <c r="G259" s="347"/>
      <c r="H259" s="347"/>
      <c r="I259" s="347"/>
    </row>
    <row r="260">
      <c r="F260" s="172"/>
      <c r="G260" s="347"/>
      <c r="H260" s="347"/>
      <c r="I260" s="347"/>
    </row>
    <row r="261">
      <c r="F261" s="172"/>
      <c r="G261" s="347"/>
      <c r="H261" s="347"/>
      <c r="I261" s="347"/>
    </row>
    <row r="262">
      <c r="F262" s="172"/>
      <c r="G262" s="347"/>
      <c r="H262" s="347"/>
      <c r="I262" s="347"/>
    </row>
    <row r="263">
      <c r="F263" s="172"/>
      <c r="G263" s="347"/>
      <c r="H263" s="347"/>
      <c r="I263" s="347"/>
    </row>
    <row r="264">
      <c r="F264" s="172"/>
      <c r="G264" s="347"/>
      <c r="H264" s="347"/>
      <c r="I264" s="347"/>
    </row>
    <row r="265">
      <c r="F265" s="172"/>
      <c r="G265" s="347"/>
      <c r="H265" s="347"/>
      <c r="I265" s="347"/>
    </row>
    <row r="266">
      <c r="F266" s="172"/>
      <c r="G266" s="347"/>
      <c r="H266" s="347"/>
      <c r="I266" s="347"/>
    </row>
    <row r="267">
      <c r="F267" s="172"/>
      <c r="G267" s="347"/>
      <c r="H267" s="347"/>
      <c r="I267" s="347"/>
    </row>
    <row r="268">
      <c r="F268" s="172"/>
      <c r="G268" s="347"/>
      <c r="H268" s="347"/>
      <c r="I268" s="347"/>
    </row>
    <row r="269">
      <c r="F269" s="172"/>
      <c r="G269" s="347"/>
      <c r="H269" s="347"/>
      <c r="I269" s="347"/>
    </row>
    <row r="270">
      <c r="F270" s="172"/>
      <c r="G270" s="347"/>
      <c r="H270" s="347"/>
      <c r="I270" s="347"/>
    </row>
    <row r="271">
      <c r="F271" s="172"/>
      <c r="G271" s="347"/>
      <c r="H271" s="347"/>
      <c r="I271" s="347"/>
    </row>
    <row r="272">
      <c r="F272" s="172"/>
      <c r="G272" s="347"/>
      <c r="H272" s="347"/>
      <c r="I272" s="347"/>
    </row>
    <row r="273">
      <c r="F273" s="172"/>
      <c r="G273" s="347"/>
      <c r="H273" s="347"/>
      <c r="I273" s="347"/>
    </row>
    <row r="274">
      <c r="F274" s="172"/>
      <c r="G274" s="347"/>
      <c r="H274" s="347"/>
      <c r="I274" s="347"/>
    </row>
    <row r="275">
      <c r="F275" s="172"/>
      <c r="G275" s="347"/>
      <c r="H275" s="347"/>
      <c r="I275" s="347"/>
    </row>
    <row r="276">
      <c r="F276" s="172"/>
      <c r="G276" s="347"/>
      <c r="H276" s="347"/>
      <c r="I276" s="347"/>
    </row>
    <row r="277">
      <c r="F277" s="172"/>
      <c r="G277" s="347"/>
      <c r="H277" s="347"/>
      <c r="I277" s="347"/>
    </row>
    <row r="278">
      <c r="F278" s="172"/>
      <c r="G278" s="347"/>
      <c r="H278" s="347"/>
      <c r="I278" s="347"/>
    </row>
    <row r="279">
      <c r="F279" s="172"/>
      <c r="G279" s="347"/>
      <c r="H279" s="347"/>
      <c r="I279" s="347"/>
    </row>
    <row r="280">
      <c r="F280" s="172"/>
      <c r="G280" s="347"/>
      <c r="H280" s="347"/>
      <c r="I280" s="347"/>
    </row>
    <row r="281">
      <c r="F281" s="172"/>
      <c r="G281" s="347"/>
      <c r="H281" s="347"/>
      <c r="I281" s="347"/>
    </row>
    <row r="282">
      <c r="F282" s="172"/>
      <c r="G282" s="347"/>
      <c r="H282" s="347"/>
      <c r="I282" s="347"/>
    </row>
    <row r="283">
      <c r="F283" s="172"/>
      <c r="G283" s="347"/>
      <c r="H283" s="347"/>
      <c r="I283" s="347"/>
    </row>
    <row r="284">
      <c r="F284" s="172"/>
      <c r="G284" s="347"/>
      <c r="H284" s="347"/>
      <c r="I284" s="347"/>
    </row>
    <row r="285">
      <c r="F285" s="172"/>
      <c r="G285" s="347"/>
      <c r="H285" s="347"/>
      <c r="I285" s="347"/>
    </row>
    <row r="286">
      <c r="F286" s="172"/>
      <c r="G286" s="347"/>
      <c r="H286" s="347"/>
      <c r="I286" s="347"/>
    </row>
    <row r="287">
      <c r="F287" s="172"/>
      <c r="G287" s="347"/>
      <c r="H287" s="347"/>
      <c r="I287" s="347"/>
    </row>
    <row r="288">
      <c r="F288" s="172"/>
      <c r="G288" s="347"/>
      <c r="H288" s="347"/>
      <c r="I288" s="347"/>
    </row>
    <row r="289">
      <c r="F289" s="172"/>
      <c r="G289" s="347"/>
      <c r="H289" s="347"/>
      <c r="I289" s="347"/>
    </row>
    <row r="290">
      <c r="F290" s="172"/>
      <c r="G290" s="347"/>
      <c r="H290" s="347"/>
      <c r="I290" s="347"/>
    </row>
    <row r="291">
      <c r="F291" s="172"/>
      <c r="G291" s="347"/>
      <c r="H291" s="347"/>
      <c r="I291" s="347"/>
    </row>
    <row r="292">
      <c r="F292" s="172"/>
      <c r="G292" s="347"/>
      <c r="H292" s="347"/>
      <c r="I292" s="347"/>
    </row>
    <row r="293">
      <c r="F293" s="172"/>
      <c r="G293" s="347"/>
      <c r="H293" s="347"/>
      <c r="I293" s="347"/>
    </row>
    <row r="294">
      <c r="F294" s="172"/>
      <c r="G294" s="347"/>
      <c r="H294" s="347"/>
      <c r="I294" s="347"/>
    </row>
    <row r="295">
      <c r="F295" s="172"/>
      <c r="G295" s="347"/>
      <c r="H295" s="347"/>
      <c r="I295" s="347"/>
    </row>
    <row r="296">
      <c r="F296" s="172"/>
      <c r="G296" s="347"/>
      <c r="H296" s="347"/>
      <c r="I296" s="347"/>
    </row>
    <row r="297">
      <c r="F297" s="172"/>
      <c r="G297" s="347"/>
      <c r="H297" s="347"/>
      <c r="I297" s="347"/>
    </row>
    <row r="298">
      <c r="F298" s="172"/>
      <c r="G298" s="347"/>
      <c r="H298" s="347"/>
      <c r="I298" s="347"/>
    </row>
    <row r="299">
      <c r="F299" s="172"/>
      <c r="G299" s="347"/>
      <c r="H299" s="347"/>
      <c r="I299" s="347"/>
    </row>
    <row r="300">
      <c r="F300" s="172"/>
      <c r="G300" s="347"/>
      <c r="H300" s="347"/>
      <c r="I300" s="347"/>
    </row>
    <row r="301">
      <c r="F301" s="172"/>
      <c r="G301" s="347"/>
      <c r="H301" s="347"/>
      <c r="I301" s="347"/>
    </row>
    <row r="302">
      <c r="F302" s="172"/>
      <c r="G302" s="347"/>
      <c r="H302" s="347"/>
      <c r="I302" s="347"/>
    </row>
    <row r="303">
      <c r="F303" s="172"/>
      <c r="G303" s="347"/>
      <c r="H303" s="347"/>
      <c r="I303" s="347"/>
    </row>
    <row r="304">
      <c r="F304" s="172"/>
      <c r="G304" s="347"/>
      <c r="H304" s="347"/>
      <c r="I304" s="347"/>
    </row>
    <row r="305">
      <c r="F305" s="172"/>
      <c r="G305" s="347"/>
      <c r="H305" s="347"/>
      <c r="I305" s="347"/>
    </row>
    <row r="306">
      <c r="F306" s="172"/>
      <c r="G306" s="347"/>
      <c r="H306" s="347"/>
      <c r="I306" s="347"/>
    </row>
    <row r="307">
      <c r="F307" s="172"/>
      <c r="G307" s="347"/>
      <c r="H307" s="347"/>
      <c r="I307" s="347"/>
    </row>
    <row r="308">
      <c r="F308" s="172"/>
      <c r="G308" s="347"/>
      <c r="H308" s="347"/>
      <c r="I308" s="347"/>
    </row>
    <row r="309">
      <c r="F309" s="172"/>
      <c r="G309" s="347"/>
      <c r="H309" s="347"/>
      <c r="I309" s="347"/>
    </row>
    <row r="310">
      <c r="F310" s="172"/>
      <c r="G310" s="347"/>
      <c r="H310" s="347"/>
      <c r="I310" s="347"/>
    </row>
    <row r="311">
      <c r="F311" s="172"/>
      <c r="G311" s="347"/>
      <c r="H311" s="347"/>
      <c r="I311" s="347"/>
    </row>
    <row r="312">
      <c r="F312" s="172"/>
      <c r="G312" s="347"/>
      <c r="H312" s="347"/>
      <c r="I312" s="347"/>
    </row>
    <row r="313">
      <c r="F313" s="172"/>
      <c r="G313" s="347"/>
      <c r="H313" s="347"/>
      <c r="I313" s="347"/>
    </row>
    <row r="314">
      <c r="F314" s="172"/>
      <c r="G314" s="347"/>
      <c r="H314" s="347"/>
      <c r="I314" s="347"/>
    </row>
    <row r="315">
      <c r="F315" s="172"/>
      <c r="G315" s="347"/>
      <c r="H315" s="347"/>
      <c r="I315" s="347"/>
    </row>
    <row r="316">
      <c r="F316" s="172"/>
      <c r="G316" s="347"/>
      <c r="H316" s="347"/>
      <c r="I316" s="347"/>
    </row>
    <row r="317">
      <c r="F317" s="172"/>
      <c r="G317" s="347"/>
      <c r="H317" s="347"/>
      <c r="I317" s="347"/>
    </row>
    <row r="318">
      <c r="F318" s="172"/>
      <c r="G318" s="347"/>
      <c r="H318" s="347"/>
      <c r="I318" s="347"/>
    </row>
    <row r="319">
      <c r="F319" s="172"/>
      <c r="G319" s="347"/>
      <c r="H319" s="347"/>
      <c r="I319" s="347"/>
    </row>
    <row r="320">
      <c r="F320" s="172"/>
      <c r="G320" s="347"/>
      <c r="H320" s="347"/>
      <c r="I320" s="347"/>
    </row>
    <row r="321">
      <c r="F321" s="172"/>
      <c r="G321" s="347"/>
      <c r="H321" s="347"/>
      <c r="I321" s="347"/>
    </row>
    <row r="322">
      <c r="F322" s="172"/>
      <c r="G322" s="347"/>
      <c r="H322" s="347"/>
      <c r="I322" s="347"/>
    </row>
    <row r="323">
      <c r="F323" s="172"/>
      <c r="G323" s="347"/>
      <c r="H323" s="347"/>
      <c r="I323" s="347"/>
    </row>
    <row r="324">
      <c r="F324" s="172"/>
      <c r="G324" s="347"/>
      <c r="H324" s="347"/>
      <c r="I324" s="347"/>
    </row>
    <row r="325">
      <c r="F325" s="172"/>
      <c r="G325" s="347"/>
      <c r="H325" s="347"/>
      <c r="I325" s="347"/>
    </row>
    <row r="326">
      <c r="F326" s="172"/>
      <c r="G326" s="347"/>
      <c r="H326" s="347"/>
      <c r="I326" s="347"/>
    </row>
    <row r="327">
      <c r="F327" s="172"/>
      <c r="G327" s="347"/>
      <c r="H327" s="347"/>
      <c r="I327" s="347"/>
    </row>
    <row r="328">
      <c r="F328" s="172"/>
      <c r="G328" s="347"/>
      <c r="H328" s="347"/>
      <c r="I328" s="347"/>
    </row>
    <row r="329">
      <c r="F329" s="172"/>
      <c r="G329" s="347"/>
      <c r="H329" s="347"/>
      <c r="I329" s="347"/>
    </row>
    <row r="330">
      <c r="F330" s="172"/>
      <c r="G330" s="347"/>
      <c r="H330" s="347"/>
      <c r="I330" s="347"/>
    </row>
    <row r="331">
      <c r="F331" s="172"/>
      <c r="G331" s="347"/>
      <c r="H331" s="347"/>
      <c r="I331" s="347"/>
    </row>
    <row r="332">
      <c r="F332" s="172"/>
      <c r="G332" s="347"/>
      <c r="H332" s="347"/>
      <c r="I332" s="347"/>
    </row>
    <row r="333">
      <c r="F333" s="172"/>
      <c r="G333" s="347"/>
      <c r="H333" s="347"/>
      <c r="I333" s="347"/>
    </row>
    <row r="334">
      <c r="F334" s="172"/>
      <c r="G334" s="347"/>
      <c r="H334" s="347"/>
      <c r="I334" s="347"/>
    </row>
    <row r="335">
      <c r="F335" s="172"/>
      <c r="G335" s="347"/>
      <c r="H335" s="347"/>
      <c r="I335" s="347"/>
    </row>
    <row r="336">
      <c r="F336" s="172"/>
      <c r="G336" s="347"/>
      <c r="H336" s="347"/>
      <c r="I336" s="347"/>
    </row>
    <row r="337">
      <c r="F337" s="172"/>
      <c r="G337" s="347"/>
      <c r="H337" s="347"/>
      <c r="I337" s="347"/>
    </row>
    <row r="338">
      <c r="F338" s="172"/>
      <c r="G338" s="347"/>
      <c r="H338" s="347"/>
      <c r="I338" s="347"/>
    </row>
    <row r="339">
      <c r="F339" s="172"/>
      <c r="G339" s="347"/>
      <c r="H339" s="347"/>
      <c r="I339" s="347"/>
    </row>
    <row r="340">
      <c r="F340" s="172"/>
      <c r="G340" s="347"/>
      <c r="H340" s="347"/>
      <c r="I340" s="347"/>
    </row>
    <row r="341">
      <c r="F341" s="172"/>
      <c r="G341" s="347"/>
      <c r="H341" s="347"/>
      <c r="I341" s="347"/>
    </row>
    <row r="342">
      <c r="F342" s="172"/>
      <c r="G342" s="347"/>
      <c r="H342" s="347"/>
      <c r="I342" s="347"/>
    </row>
    <row r="343">
      <c r="F343" s="172"/>
      <c r="G343" s="347"/>
      <c r="H343" s="347"/>
      <c r="I343" s="347"/>
    </row>
    <row r="344">
      <c r="F344" s="172"/>
      <c r="G344" s="347"/>
      <c r="H344" s="347"/>
      <c r="I344" s="347"/>
    </row>
    <row r="345">
      <c r="F345" s="172"/>
      <c r="G345" s="347"/>
      <c r="H345" s="347"/>
      <c r="I345" s="347"/>
    </row>
    <row r="346">
      <c r="F346" s="172"/>
      <c r="G346" s="347"/>
      <c r="H346" s="347"/>
      <c r="I346" s="347"/>
    </row>
    <row r="347">
      <c r="F347" s="172"/>
      <c r="G347" s="347"/>
      <c r="H347" s="347"/>
      <c r="I347" s="347"/>
    </row>
    <row r="348">
      <c r="F348" s="172"/>
      <c r="G348" s="347"/>
      <c r="H348" s="347"/>
      <c r="I348" s="347"/>
    </row>
    <row r="349">
      <c r="F349" s="172"/>
      <c r="G349" s="347"/>
      <c r="H349" s="347"/>
      <c r="I349" s="347"/>
    </row>
    <row r="350">
      <c r="F350" s="172"/>
      <c r="G350" s="347"/>
      <c r="H350" s="347"/>
      <c r="I350" s="347"/>
    </row>
    <row r="351">
      <c r="F351" s="172"/>
      <c r="G351" s="347"/>
      <c r="H351" s="347"/>
      <c r="I351" s="347"/>
    </row>
    <row r="352">
      <c r="F352" s="172"/>
      <c r="G352" s="347"/>
      <c r="H352" s="347"/>
      <c r="I352" s="347"/>
    </row>
    <row r="353">
      <c r="F353" s="172"/>
      <c r="G353" s="347"/>
      <c r="H353" s="347"/>
      <c r="I353" s="347"/>
    </row>
    <row r="354">
      <c r="F354" s="172"/>
      <c r="G354" s="347"/>
      <c r="H354" s="347"/>
      <c r="I354" s="347"/>
    </row>
    <row r="355">
      <c r="F355" s="172"/>
      <c r="G355" s="347"/>
      <c r="H355" s="347"/>
      <c r="I355" s="347"/>
    </row>
    <row r="356">
      <c r="F356" s="172"/>
      <c r="G356" s="347"/>
      <c r="H356" s="347"/>
      <c r="I356" s="347"/>
    </row>
    <row r="357">
      <c r="F357" s="172"/>
      <c r="G357" s="347"/>
      <c r="H357" s="347"/>
      <c r="I357" s="347"/>
    </row>
    <row r="358">
      <c r="F358" s="172"/>
      <c r="G358" s="347"/>
      <c r="H358" s="347"/>
      <c r="I358" s="347"/>
    </row>
    <row r="359">
      <c r="F359" s="172"/>
      <c r="G359" s="347"/>
      <c r="H359" s="347"/>
      <c r="I359" s="347"/>
    </row>
    <row r="360">
      <c r="F360" s="172"/>
      <c r="G360" s="347"/>
      <c r="H360" s="347"/>
      <c r="I360" s="347"/>
    </row>
    <row r="361">
      <c r="F361" s="172"/>
      <c r="G361" s="347"/>
      <c r="H361" s="347"/>
      <c r="I361" s="347"/>
    </row>
    <row r="362">
      <c r="F362" s="172"/>
      <c r="G362" s="347"/>
      <c r="H362" s="347"/>
      <c r="I362" s="347"/>
    </row>
    <row r="363">
      <c r="F363" s="172"/>
      <c r="G363" s="347"/>
      <c r="H363" s="347"/>
      <c r="I363" s="347"/>
    </row>
    <row r="364">
      <c r="F364" s="172"/>
      <c r="G364" s="347"/>
      <c r="H364" s="347"/>
      <c r="I364" s="347"/>
    </row>
    <row r="365">
      <c r="F365" s="172"/>
      <c r="G365" s="347"/>
      <c r="H365" s="347"/>
      <c r="I365" s="347"/>
    </row>
    <row r="366">
      <c r="F366" s="172"/>
      <c r="G366" s="347"/>
      <c r="H366" s="347"/>
      <c r="I366" s="347"/>
    </row>
    <row r="367">
      <c r="F367" s="172"/>
      <c r="G367" s="347"/>
      <c r="H367" s="347"/>
      <c r="I367" s="347"/>
    </row>
    <row r="368">
      <c r="F368" s="172"/>
      <c r="G368" s="347"/>
      <c r="H368" s="347"/>
      <c r="I368" s="347"/>
    </row>
    <row r="369">
      <c r="F369" s="172"/>
      <c r="G369" s="347"/>
      <c r="H369" s="347"/>
      <c r="I369" s="347"/>
    </row>
    <row r="370">
      <c r="F370" s="172"/>
      <c r="G370" s="347"/>
      <c r="H370" s="347"/>
      <c r="I370" s="347"/>
    </row>
    <row r="371">
      <c r="F371" s="172"/>
      <c r="G371" s="347"/>
      <c r="H371" s="347"/>
      <c r="I371" s="347"/>
    </row>
    <row r="372">
      <c r="F372" s="172"/>
      <c r="G372" s="347"/>
      <c r="H372" s="347"/>
      <c r="I372" s="347"/>
    </row>
    <row r="373">
      <c r="F373" s="172"/>
      <c r="G373" s="347"/>
      <c r="H373" s="347"/>
      <c r="I373" s="347"/>
    </row>
    <row r="374">
      <c r="F374" s="172"/>
      <c r="G374" s="347"/>
      <c r="H374" s="347"/>
      <c r="I374" s="347"/>
    </row>
    <row r="375">
      <c r="F375" s="172"/>
      <c r="G375" s="347"/>
      <c r="H375" s="347"/>
      <c r="I375" s="347"/>
    </row>
    <row r="376">
      <c r="F376" s="172"/>
      <c r="G376" s="347"/>
      <c r="H376" s="347"/>
      <c r="I376" s="347"/>
    </row>
    <row r="377">
      <c r="F377" s="172"/>
      <c r="G377" s="347"/>
      <c r="H377" s="347"/>
      <c r="I377" s="347"/>
    </row>
    <row r="378">
      <c r="F378" s="172"/>
      <c r="G378" s="347"/>
      <c r="H378" s="347"/>
      <c r="I378" s="347"/>
    </row>
    <row r="379">
      <c r="F379" s="172"/>
      <c r="G379" s="347"/>
      <c r="H379" s="347"/>
      <c r="I379" s="347"/>
    </row>
    <row r="380">
      <c r="F380" s="172"/>
      <c r="G380" s="347"/>
      <c r="H380" s="347"/>
      <c r="I380" s="347"/>
    </row>
    <row r="381">
      <c r="F381" s="172"/>
      <c r="G381" s="347"/>
      <c r="H381" s="347"/>
      <c r="I381" s="347"/>
    </row>
    <row r="382">
      <c r="F382" s="172"/>
      <c r="G382" s="347"/>
      <c r="H382" s="347"/>
      <c r="I382" s="347"/>
    </row>
    <row r="383">
      <c r="F383" s="172"/>
      <c r="G383" s="347"/>
      <c r="H383" s="347"/>
      <c r="I383" s="347"/>
    </row>
    <row r="384">
      <c r="F384" s="172"/>
      <c r="G384" s="347"/>
      <c r="H384" s="347"/>
      <c r="I384" s="347"/>
    </row>
    <row r="385">
      <c r="F385" s="172"/>
      <c r="G385" s="347"/>
      <c r="H385" s="347"/>
      <c r="I385" s="347"/>
    </row>
    <row r="386">
      <c r="F386" s="172"/>
      <c r="G386" s="347"/>
      <c r="H386" s="347"/>
      <c r="I386" s="347"/>
    </row>
    <row r="387">
      <c r="F387" s="172"/>
      <c r="G387" s="347"/>
      <c r="H387" s="347"/>
      <c r="I387" s="347"/>
    </row>
    <row r="388">
      <c r="F388" s="172"/>
      <c r="G388" s="347"/>
      <c r="H388" s="347"/>
      <c r="I388" s="347"/>
    </row>
    <row r="389">
      <c r="F389" s="172"/>
      <c r="G389" s="347"/>
      <c r="H389" s="347"/>
      <c r="I389" s="347"/>
    </row>
    <row r="390">
      <c r="F390" s="172"/>
      <c r="G390" s="347"/>
      <c r="H390" s="347"/>
      <c r="I390" s="347"/>
    </row>
    <row r="391">
      <c r="F391" s="172"/>
      <c r="G391" s="347"/>
      <c r="H391" s="347"/>
      <c r="I391" s="347"/>
    </row>
    <row r="392">
      <c r="F392" s="172"/>
      <c r="G392" s="347"/>
      <c r="H392" s="347"/>
      <c r="I392" s="347"/>
    </row>
    <row r="393">
      <c r="F393" s="172"/>
      <c r="G393" s="347"/>
      <c r="H393" s="347"/>
      <c r="I393" s="347"/>
    </row>
    <row r="394">
      <c r="F394" s="172"/>
      <c r="G394" s="347"/>
      <c r="H394" s="347"/>
      <c r="I394" s="347"/>
    </row>
    <row r="395">
      <c r="F395" s="172"/>
      <c r="G395" s="347"/>
      <c r="H395" s="347"/>
      <c r="I395" s="347"/>
    </row>
    <row r="396">
      <c r="F396" s="172"/>
      <c r="G396" s="347"/>
      <c r="H396" s="347"/>
      <c r="I396" s="347"/>
    </row>
    <row r="397">
      <c r="F397" s="172"/>
      <c r="G397" s="347"/>
      <c r="H397" s="347"/>
      <c r="I397" s="347"/>
    </row>
    <row r="398">
      <c r="F398" s="172"/>
      <c r="G398" s="347"/>
      <c r="H398" s="347"/>
      <c r="I398" s="347"/>
    </row>
    <row r="399">
      <c r="F399" s="172"/>
      <c r="G399" s="347"/>
      <c r="H399" s="347"/>
      <c r="I399" s="347"/>
    </row>
    <row r="400">
      <c r="F400" s="172"/>
      <c r="G400" s="347"/>
      <c r="H400" s="347"/>
      <c r="I400" s="347"/>
    </row>
    <row r="401">
      <c r="F401" s="172"/>
      <c r="G401" s="347"/>
      <c r="H401" s="347"/>
      <c r="I401" s="347"/>
    </row>
    <row r="402">
      <c r="F402" s="172"/>
      <c r="G402" s="347"/>
      <c r="H402" s="347"/>
      <c r="I402" s="347"/>
    </row>
    <row r="403">
      <c r="F403" s="172"/>
      <c r="G403" s="347"/>
      <c r="H403" s="347"/>
      <c r="I403" s="347"/>
    </row>
    <row r="404">
      <c r="F404" s="172"/>
      <c r="G404" s="347"/>
      <c r="H404" s="347"/>
      <c r="I404" s="347"/>
    </row>
    <row r="405">
      <c r="F405" s="172"/>
      <c r="G405" s="347"/>
      <c r="H405" s="347"/>
      <c r="I405" s="347"/>
    </row>
    <row r="406">
      <c r="F406" s="172"/>
      <c r="G406" s="347"/>
      <c r="H406" s="347"/>
      <c r="I406" s="347"/>
    </row>
    <row r="407">
      <c r="F407" s="172"/>
      <c r="G407" s="347"/>
      <c r="H407" s="347"/>
      <c r="I407" s="347"/>
    </row>
    <row r="408">
      <c r="F408" s="172"/>
      <c r="G408" s="347"/>
      <c r="H408" s="347"/>
      <c r="I408" s="347"/>
    </row>
    <row r="409">
      <c r="F409" s="172"/>
      <c r="G409" s="347"/>
      <c r="H409" s="347"/>
      <c r="I409" s="347"/>
    </row>
    <row r="410">
      <c r="F410" s="172"/>
      <c r="G410" s="347"/>
      <c r="H410" s="347"/>
      <c r="I410" s="347"/>
    </row>
    <row r="411">
      <c r="F411" s="172"/>
      <c r="G411" s="347"/>
      <c r="H411" s="347"/>
      <c r="I411" s="347"/>
    </row>
    <row r="412">
      <c r="F412" s="172"/>
      <c r="G412" s="347"/>
      <c r="H412" s="347"/>
      <c r="I412" s="347"/>
    </row>
    <row r="413">
      <c r="F413" s="172"/>
      <c r="G413" s="347"/>
      <c r="H413" s="347"/>
      <c r="I413" s="347"/>
    </row>
    <row r="414">
      <c r="F414" s="172"/>
      <c r="G414" s="347"/>
      <c r="H414" s="347"/>
      <c r="I414" s="347"/>
    </row>
    <row r="415">
      <c r="F415" s="172"/>
      <c r="G415" s="347"/>
      <c r="H415" s="347"/>
      <c r="I415" s="347"/>
    </row>
    <row r="416">
      <c r="F416" s="172"/>
      <c r="G416" s="347"/>
      <c r="H416" s="347"/>
      <c r="I416" s="347"/>
    </row>
    <row r="417">
      <c r="F417" s="172"/>
      <c r="G417" s="347"/>
      <c r="H417" s="347"/>
      <c r="I417" s="347"/>
    </row>
    <row r="418">
      <c r="F418" s="172"/>
      <c r="G418" s="347"/>
      <c r="H418" s="347"/>
      <c r="I418" s="347"/>
    </row>
    <row r="419">
      <c r="F419" s="172"/>
      <c r="G419" s="347"/>
      <c r="H419" s="347"/>
      <c r="I419" s="347"/>
    </row>
    <row r="420">
      <c r="F420" s="172"/>
      <c r="G420" s="347"/>
      <c r="H420" s="347"/>
      <c r="I420" s="347"/>
    </row>
    <row r="421">
      <c r="F421" s="172"/>
      <c r="G421" s="347"/>
      <c r="H421" s="347"/>
      <c r="I421" s="347"/>
    </row>
    <row r="422">
      <c r="F422" s="172"/>
      <c r="G422" s="347"/>
      <c r="H422" s="347"/>
      <c r="I422" s="347"/>
    </row>
    <row r="423">
      <c r="F423" s="172"/>
      <c r="G423" s="347"/>
      <c r="H423" s="347"/>
      <c r="I423" s="347"/>
    </row>
    <row r="424">
      <c r="F424" s="172"/>
      <c r="G424" s="347"/>
      <c r="H424" s="347"/>
      <c r="I424" s="347"/>
    </row>
    <row r="425">
      <c r="F425" s="172"/>
      <c r="G425" s="347"/>
      <c r="H425" s="347"/>
      <c r="I425" s="347"/>
    </row>
    <row r="426">
      <c r="F426" s="172"/>
      <c r="G426" s="347"/>
      <c r="H426" s="347"/>
      <c r="I426" s="347"/>
    </row>
    <row r="427">
      <c r="F427" s="172"/>
      <c r="G427" s="347"/>
      <c r="H427" s="347"/>
      <c r="I427" s="347"/>
    </row>
    <row r="428">
      <c r="F428" s="172"/>
      <c r="G428" s="347"/>
      <c r="H428" s="347"/>
      <c r="I428" s="347"/>
    </row>
    <row r="429">
      <c r="F429" s="172"/>
      <c r="G429" s="347"/>
      <c r="H429" s="347"/>
      <c r="I429" s="347"/>
    </row>
    <row r="430">
      <c r="F430" s="172"/>
      <c r="G430" s="347"/>
      <c r="H430" s="347"/>
      <c r="I430" s="347"/>
    </row>
    <row r="431">
      <c r="F431" s="172"/>
      <c r="G431" s="347"/>
      <c r="H431" s="347"/>
      <c r="I431" s="347"/>
    </row>
    <row r="432">
      <c r="F432" s="172"/>
      <c r="G432" s="347"/>
      <c r="H432" s="347"/>
      <c r="I432" s="347"/>
    </row>
    <row r="433">
      <c r="F433" s="172"/>
      <c r="G433" s="347"/>
      <c r="H433" s="347"/>
      <c r="I433" s="347"/>
    </row>
    <row r="434">
      <c r="F434" s="172"/>
      <c r="G434" s="347"/>
      <c r="H434" s="347"/>
      <c r="I434" s="347"/>
    </row>
    <row r="435">
      <c r="F435" s="172"/>
      <c r="G435" s="347"/>
      <c r="H435" s="347"/>
      <c r="I435" s="347"/>
    </row>
    <row r="436">
      <c r="F436" s="172"/>
      <c r="G436" s="347"/>
      <c r="H436" s="347"/>
      <c r="I436" s="347"/>
    </row>
    <row r="437">
      <c r="F437" s="172"/>
      <c r="G437" s="347"/>
      <c r="H437" s="347"/>
      <c r="I437" s="347"/>
    </row>
    <row r="438">
      <c r="F438" s="172"/>
      <c r="G438" s="347"/>
      <c r="H438" s="347"/>
      <c r="I438" s="347"/>
    </row>
    <row r="439">
      <c r="F439" s="172"/>
      <c r="G439" s="347"/>
      <c r="H439" s="347"/>
      <c r="I439" s="347"/>
    </row>
    <row r="440">
      <c r="F440" s="172"/>
      <c r="G440" s="347"/>
      <c r="H440" s="347"/>
      <c r="I440" s="347"/>
    </row>
    <row r="441">
      <c r="F441" s="172"/>
      <c r="G441" s="347"/>
      <c r="H441" s="347"/>
      <c r="I441" s="347"/>
    </row>
    <row r="442">
      <c r="F442" s="172"/>
      <c r="G442" s="347"/>
      <c r="H442" s="347"/>
      <c r="I442" s="347"/>
    </row>
    <row r="443">
      <c r="F443" s="172"/>
      <c r="G443" s="347"/>
      <c r="H443" s="347"/>
      <c r="I443" s="347"/>
    </row>
    <row r="444">
      <c r="F444" s="172"/>
      <c r="G444" s="347"/>
      <c r="H444" s="347"/>
      <c r="I444" s="347"/>
    </row>
    <row r="445">
      <c r="F445" s="172"/>
      <c r="G445" s="347"/>
      <c r="H445" s="347"/>
      <c r="I445" s="347"/>
    </row>
    <row r="446">
      <c r="F446" s="172"/>
      <c r="G446" s="347"/>
      <c r="H446" s="347"/>
      <c r="I446" s="347"/>
    </row>
    <row r="447">
      <c r="F447" s="172"/>
      <c r="G447" s="347"/>
      <c r="H447" s="347"/>
      <c r="I447" s="347"/>
    </row>
    <row r="448">
      <c r="F448" s="172"/>
      <c r="G448" s="347"/>
      <c r="H448" s="347"/>
      <c r="I448" s="347"/>
    </row>
    <row r="449">
      <c r="F449" s="172"/>
      <c r="G449" s="347"/>
      <c r="H449" s="347"/>
      <c r="I449" s="347"/>
    </row>
    <row r="450">
      <c r="F450" s="172"/>
      <c r="G450" s="347"/>
      <c r="H450" s="347"/>
      <c r="I450" s="347"/>
    </row>
    <row r="451">
      <c r="F451" s="172"/>
      <c r="G451" s="347"/>
      <c r="H451" s="347"/>
      <c r="I451" s="347"/>
    </row>
    <row r="452">
      <c r="F452" s="172"/>
      <c r="G452" s="347"/>
      <c r="H452" s="347"/>
      <c r="I452" s="347"/>
    </row>
    <row r="453">
      <c r="F453" s="172"/>
      <c r="G453" s="347"/>
      <c r="H453" s="347"/>
      <c r="I453" s="347"/>
    </row>
    <row r="454">
      <c r="F454" s="172"/>
      <c r="G454" s="347"/>
      <c r="H454" s="347"/>
      <c r="I454" s="347"/>
    </row>
    <row r="455">
      <c r="F455" s="172"/>
      <c r="G455" s="347"/>
      <c r="H455" s="347"/>
      <c r="I455" s="347"/>
    </row>
    <row r="456">
      <c r="F456" s="172"/>
      <c r="G456" s="347"/>
      <c r="H456" s="347"/>
      <c r="I456" s="347"/>
    </row>
    <row r="457">
      <c r="F457" s="172"/>
      <c r="G457" s="347"/>
      <c r="H457" s="347"/>
      <c r="I457" s="347"/>
    </row>
    <row r="458">
      <c r="F458" s="172"/>
      <c r="G458" s="347"/>
      <c r="H458" s="347"/>
      <c r="I458" s="347"/>
    </row>
    <row r="459">
      <c r="F459" s="172"/>
      <c r="G459" s="347"/>
      <c r="H459" s="347"/>
      <c r="I459" s="347"/>
    </row>
    <row r="460">
      <c r="F460" s="172"/>
      <c r="G460" s="347"/>
      <c r="H460" s="347"/>
      <c r="I460" s="347"/>
    </row>
    <row r="461">
      <c r="F461" s="172"/>
      <c r="G461" s="347"/>
      <c r="H461" s="347"/>
      <c r="I461" s="347"/>
    </row>
    <row r="462">
      <c r="F462" s="172"/>
      <c r="G462" s="347"/>
      <c r="H462" s="347"/>
      <c r="I462" s="347"/>
    </row>
    <row r="463">
      <c r="F463" s="172"/>
      <c r="G463" s="347"/>
      <c r="H463" s="347"/>
      <c r="I463" s="347"/>
    </row>
    <row r="464">
      <c r="F464" s="172"/>
      <c r="G464" s="347"/>
      <c r="H464" s="347"/>
      <c r="I464" s="347"/>
    </row>
    <row r="465">
      <c r="F465" s="172"/>
      <c r="G465" s="347"/>
      <c r="H465" s="347"/>
      <c r="I465" s="347"/>
    </row>
    <row r="466">
      <c r="F466" s="172"/>
      <c r="G466" s="347"/>
      <c r="H466" s="347"/>
      <c r="I466" s="347"/>
    </row>
    <row r="467">
      <c r="F467" s="172"/>
      <c r="G467" s="347"/>
      <c r="H467" s="347"/>
      <c r="I467" s="347"/>
    </row>
    <row r="468">
      <c r="F468" s="172"/>
      <c r="G468" s="347"/>
      <c r="H468" s="347"/>
      <c r="I468" s="347"/>
    </row>
    <row r="469">
      <c r="F469" s="172"/>
      <c r="G469" s="347"/>
      <c r="H469" s="347"/>
      <c r="I469" s="347"/>
    </row>
    <row r="470">
      <c r="F470" s="172"/>
      <c r="G470" s="347"/>
      <c r="H470" s="347"/>
      <c r="I470" s="347"/>
    </row>
    <row r="471">
      <c r="F471" s="172"/>
      <c r="G471" s="347"/>
      <c r="H471" s="347"/>
      <c r="I471" s="347"/>
    </row>
    <row r="472">
      <c r="F472" s="172"/>
      <c r="G472" s="347"/>
      <c r="H472" s="347"/>
      <c r="I472" s="347"/>
    </row>
    <row r="473">
      <c r="F473" s="172"/>
      <c r="G473" s="347"/>
      <c r="H473" s="347"/>
      <c r="I473" s="347"/>
    </row>
    <row r="474">
      <c r="F474" s="172"/>
      <c r="G474" s="347"/>
      <c r="H474" s="347"/>
      <c r="I474" s="347"/>
    </row>
    <row r="475">
      <c r="F475" s="172"/>
      <c r="G475" s="347"/>
      <c r="H475" s="347"/>
      <c r="I475" s="347"/>
    </row>
    <row r="476">
      <c r="F476" s="172"/>
      <c r="G476" s="347"/>
      <c r="H476" s="347"/>
      <c r="I476" s="347"/>
    </row>
    <row r="477">
      <c r="F477" s="172"/>
      <c r="G477" s="347"/>
      <c r="H477" s="347"/>
      <c r="I477" s="347"/>
    </row>
    <row r="478">
      <c r="F478" s="172"/>
      <c r="G478" s="347"/>
      <c r="H478" s="347"/>
      <c r="I478" s="347"/>
    </row>
    <row r="479">
      <c r="F479" s="172"/>
      <c r="G479" s="347"/>
      <c r="H479" s="347"/>
      <c r="I479" s="347"/>
    </row>
    <row r="480">
      <c r="F480" s="172"/>
      <c r="G480" s="347"/>
      <c r="H480" s="347"/>
      <c r="I480" s="347"/>
    </row>
    <row r="481">
      <c r="F481" s="172"/>
      <c r="G481" s="347"/>
      <c r="H481" s="347"/>
      <c r="I481" s="347"/>
    </row>
    <row r="482">
      <c r="F482" s="172"/>
      <c r="G482" s="347"/>
      <c r="H482" s="347"/>
      <c r="I482" s="347"/>
    </row>
    <row r="483">
      <c r="F483" s="172"/>
      <c r="G483" s="347"/>
      <c r="H483" s="347"/>
      <c r="I483" s="347"/>
    </row>
    <row r="484">
      <c r="F484" s="172"/>
      <c r="G484" s="347"/>
      <c r="H484" s="347"/>
      <c r="I484" s="347"/>
    </row>
    <row r="485">
      <c r="F485" s="172"/>
      <c r="G485" s="347"/>
      <c r="H485" s="347"/>
      <c r="I485" s="347"/>
    </row>
    <row r="486">
      <c r="F486" s="172"/>
      <c r="G486" s="347"/>
      <c r="H486" s="347"/>
      <c r="I486" s="347"/>
    </row>
    <row r="487">
      <c r="F487" s="172"/>
      <c r="G487" s="347"/>
      <c r="H487" s="347"/>
      <c r="I487" s="347"/>
    </row>
    <row r="488">
      <c r="F488" s="172"/>
      <c r="G488" s="347"/>
      <c r="H488" s="347"/>
      <c r="I488" s="347"/>
    </row>
    <row r="489">
      <c r="F489" s="172"/>
      <c r="G489" s="347"/>
      <c r="H489" s="347"/>
      <c r="I489" s="347"/>
    </row>
    <row r="490">
      <c r="F490" s="172"/>
      <c r="G490" s="347"/>
      <c r="H490" s="347"/>
      <c r="I490" s="347"/>
    </row>
    <row r="491">
      <c r="F491" s="172"/>
      <c r="G491" s="347"/>
      <c r="H491" s="347"/>
      <c r="I491" s="347"/>
    </row>
    <row r="492">
      <c r="F492" s="172"/>
      <c r="G492" s="347"/>
      <c r="H492" s="347"/>
      <c r="I492" s="347"/>
    </row>
    <row r="493">
      <c r="F493" s="172"/>
      <c r="G493" s="347"/>
      <c r="H493" s="347"/>
      <c r="I493" s="347"/>
    </row>
    <row r="494">
      <c r="F494" s="172"/>
      <c r="G494" s="347"/>
      <c r="H494" s="347"/>
      <c r="I494" s="347"/>
    </row>
    <row r="495">
      <c r="F495" s="172"/>
      <c r="G495" s="347"/>
      <c r="H495" s="347"/>
      <c r="I495" s="347"/>
    </row>
    <row r="496">
      <c r="F496" s="172"/>
      <c r="G496" s="347"/>
      <c r="H496" s="347"/>
      <c r="I496" s="347"/>
    </row>
    <row r="497">
      <c r="F497" s="172"/>
      <c r="G497" s="347"/>
      <c r="H497" s="347"/>
      <c r="I497" s="347"/>
    </row>
    <row r="498">
      <c r="F498" s="172"/>
      <c r="G498" s="347"/>
      <c r="H498" s="347"/>
      <c r="I498" s="347"/>
    </row>
    <row r="499">
      <c r="F499" s="172"/>
      <c r="G499" s="347"/>
      <c r="H499" s="347"/>
      <c r="I499" s="347"/>
    </row>
    <row r="500">
      <c r="F500" s="172"/>
      <c r="G500" s="347"/>
      <c r="H500" s="347"/>
      <c r="I500" s="347"/>
    </row>
    <row r="501">
      <c r="F501" s="172"/>
      <c r="G501" s="347"/>
      <c r="H501" s="347"/>
      <c r="I501" s="347"/>
    </row>
    <row r="502">
      <c r="F502" s="172"/>
      <c r="G502" s="347"/>
      <c r="H502" s="347"/>
      <c r="I502" s="347"/>
    </row>
    <row r="503">
      <c r="F503" s="172"/>
      <c r="G503" s="347"/>
      <c r="H503" s="347"/>
      <c r="I503" s="347"/>
    </row>
    <row r="504">
      <c r="F504" s="172"/>
      <c r="G504" s="347"/>
      <c r="H504" s="347"/>
      <c r="I504" s="347"/>
    </row>
    <row r="505">
      <c r="F505" s="172"/>
      <c r="G505" s="347"/>
      <c r="H505" s="347"/>
      <c r="I505" s="347"/>
    </row>
    <row r="506">
      <c r="F506" s="172"/>
      <c r="G506" s="347"/>
      <c r="H506" s="347"/>
      <c r="I506" s="347"/>
    </row>
    <row r="507">
      <c r="F507" s="172"/>
      <c r="G507" s="347"/>
      <c r="H507" s="347"/>
      <c r="I507" s="347"/>
    </row>
    <row r="508">
      <c r="F508" s="172"/>
      <c r="G508" s="347"/>
      <c r="H508" s="347"/>
      <c r="I508" s="347"/>
    </row>
    <row r="509">
      <c r="F509" s="172"/>
      <c r="G509" s="347"/>
      <c r="H509" s="347"/>
      <c r="I509" s="347"/>
    </row>
    <row r="510">
      <c r="F510" s="172"/>
      <c r="G510" s="347"/>
      <c r="H510" s="347"/>
      <c r="I510" s="347"/>
    </row>
    <row r="511">
      <c r="F511" s="172"/>
      <c r="G511" s="347"/>
      <c r="H511" s="347"/>
      <c r="I511" s="347"/>
    </row>
    <row r="512">
      <c r="F512" s="172"/>
      <c r="G512" s="347"/>
      <c r="H512" s="347"/>
      <c r="I512" s="347"/>
    </row>
    <row r="513">
      <c r="F513" s="172"/>
      <c r="G513" s="347"/>
      <c r="H513" s="347"/>
      <c r="I513" s="347"/>
    </row>
    <row r="514">
      <c r="F514" s="172"/>
      <c r="G514" s="347"/>
      <c r="H514" s="347"/>
      <c r="I514" s="347"/>
    </row>
    <row r="515">
      <c r="F515" s="172"/>
      <c r="G515" s="347"/>
      <c r="H515" s="347"/>
      <c r="I515" s="347"/>
    </row>
    <row r="516">
      <c r="F516" s="172"/>
      <c r="G516" s="347"/>
      <c r="H516" s="347"/>
      <c r="I516" s="347"/>
    </row>
    <row r="517">
      <c r="F517" s="172"/>
      <c r="G517" s="347"/>
      <c r="H517" s="347"/>
      <c r="I517" s="347"/>
    </row>
    <row r="518">
      <c r="F518" s="172"/>
      <c r="G518" s="347"/>
      <c r="H518" s="347"/>
      <c r="I518" s="347"/>
    </row>
    <row r="519">
      <c r="F519" s="172"/>
      <c r="G519" s="347"/>
      <c r="H519" s="347"/>
      <c r="I519" s="347"/>
    </row>
    <row r="520">
      <c r="F520" s="172"/>
      <c r="G520" s="347"/>
      <c r="H520" s="347"/>
      <c r="I520" s="347"/>
    </row>
    <row r="521">
      <c r="F521" s="172"/>
      <c r="G521" s="347"/>
      <c r="H521" s="347"/>
      <c r="I521" s="347"/>
    </row>
    <row r="522">
      <c r="F522" s="172"/>
      <c r="G522" s="347"/>
      <c r="H522" s="347"/>
      <c r="I522" s="347"/>
    </row>
    <row r="523">
      <c r="F523" s="172"/>
      <c r="G523" s="347"/>
      <c r="H523" s="347"/>
      <c r="I523" s="347"/>
    </row>
    <row r="524">
      <c r="F524" s="172"/>
      <c r="G524" s="347"/>
      <c r="H524" s="347"/>
      <c r="I524" s="347"/>
    </row>
    <row r="525">
      <c r="F525" s="172"/>
      <c r="G525" s="347"/>
      <c r="H525" s="347"/>
      <c r="I525" s="347"/>
    </row>
    <row r="526">
      <c r="F526" s="172"/>
      <c r="G526" s="347"/>
      <c r="H526" s="347"/>
      <c r="I526" s="347"/>
    </row>
    <row r="527">
      <c r="F527" s="172"/>
      <c r="G527" s="347"/>
      <c r="H527" s="347"/>
      <c r="I527" s="347"/>
    </row>
    <row r="528">
      <c r="F528" s="172"/>
      <c r="G528" s="347"/>
      <c r="H528" s="347"/>
      <c r="I528" s="347"/>
    </row>
    <row r="529">
      <c r="F529" s="172"/>
      <c r="G529" s="347"/>
      <c r="H529" s="347"/>
      <c r="I529" s="347"/>
    </row>
    <row r="530">
      <c r="F530" s="172"/>
      <c r="G530" s="347"/>
      <c r="H530" s="347"/>
      <c r="I530" s="347"/>
    </row>
    <row r="531">
      <c r="F531" s="172"/>
      <c r="G531" s="347"/>
      <c r="H531" s="347"/>
      <c r="I531" s="347"/>
    </row>
    <row r="532">
      <c r="F532" s="172"/>
      <c r="G532" s="347"/>
      <c r="H532" s="347"/>
      <c r="I532" s="347"/>
    </row>
    <row r="533">
      <c r="F533" s="172"/>
      <c r="G533" s="347"/>
      <c r="H533" s="347"/>
      <c r="I533" s="347"/>
    </row>
    <row r="534">
      <c r="F534" s="172"/>
      <c r="G534" s="347"/>
      <c r="H534" s="347"/>
      <c r="I534" s="347"/>
    </row>
    <row r="535">
      <c r="F535" s="172"/>
      <c r="G535" s="347"/>
      <c r="H535" s="347"/>
      <c r="I535" s="347"/>
    </row>
    <row r="536">
      <c r="F536" s="172"/>
      <c r="G536" s="347"/>
      <c r="H536" s="347"/>
      <c r="I536" s="347"/>
    </row>
    <row r="537">
      <c r="F537" s="172"/>
      <c r="G537" s="347"/>
      <c r="H537" s="347"/>
      <c r="I537" s="347"/>
    </row>
    <row r="538">
      <c r="F538" s="172"/>
      <c r="G538" s="347"/>
      <c r="H538" s="347"/>
      <c r="I538" s="347"/>
    </row>
    <row r="539">
      <c r="F539" s="172"/>
      <c r="G539" s="347"/>
      <c r="H539" s="347"/>
      <c r="I539" s="347"/>
    </row>
    <row r="540">
      <c r="F540" s="172"/>
      <c r="G540" s="347"/>
      <c r="H540" s="347"/>
      <c r="I540" s="347"/>
    </row>
    <row r="541">
      <c r="F541" s="172"/>
      <c r="G541" s="347"/>
      <c r="H541" s="347"/>
      <c r="I541" s="347"/>
    </row>
    <row r="542">
      <c r="F542" s="172"/>
      <c r="G542" s="347"/>
      <c r="H542" s="347"/>
      <c r="I542" s="347"/>
    </row>
    <row r="543">
      <c r="F543" s="172"/>
      <c r="G543" s="347"/>
      <c r="H543" s="347"/>
      <c r="I543" s="347"/>
    </row>
    <row r="544">
      <c r="F544" s="172"/>
      <c r="G544" s="347"/>
      <c r="H544" s="347"/>
      <c r="I544" s="347"/>
    </row>
    <row r="545">
      <c r="F545" s="172"/>
      <c r="G545" s="347"/>
      <c r="H545" s="347"/>
      <c r="I545" s="347"/>
    </row>
    <row r="546">
      <c r="F546" s="172"/>
      <c r="G546" s="347"/>
      <c r="H546" s="347"/>
      <c r="I546" s="347"/>
    </row>
    <row r="547">
      <c r="F547" s="172"/>
      <c r="G547" s="347"/>
      <c r="H547" s="347"/>
      <c r="I547" s="347"/>
    </row>
    <row r="548">
      <c r="F548" s="172"/>
      <c r="G548" s="347"/>
      <c r="H548" s="347"/>
      <c r="I548" s="347"/>
    </row>
    <row r="549">
      <c r="F549" s="172"/>
      <c r="G549" s="347"/>
      <c r="H549" s="347"/>
      <c r="I549" s="347"/>
    </row>
    <row r="550">
      <c r="F550" s="172"/>
      <c r="G550" s="347"/>
      <c r="H550" s="347"/>
      <c r="I550" s="347"/>
    </row>
    <row r="551">
      <c r="F551" s="172"/>
      <c r="G551" s="347"/>
      <c r="H551" s="347"/>
      <c r="I551" s="347"/>
    </row>
    <row r="552">
      <c r="F552" s="172"/>
      <c r="G552" s="347"/>
      <c r="H552" s="347"/>
      <c r="I552" s="347"/>
    </row>
    <row r="553">
      <c r="F553" s="172"/>
      <c r="G553" s="347"/>
      <c r="H553" s="347"/>
      <c r="I553" s="347"/>
    </row>
    <row r="554">
      <c r="F554" s="172"/>
      <c r="G554" s="347"/>
      <c r="H554" s="347"/>
      <c r="I554" s="347"/>
    </row>
    <row r="555">
      <c r="F555" s="172"/>
      <c r="G555" s="347"/>
      <c r="H555" s="347"/>
      <c r="I555" s="347"/>
    </row>
    <row r="556">
      <c r="F556" s="172"/>
      <c r="G556" s="347"/>
      <c r="H556" s="347"/>
      <c r="I556" s="347"/>
    </row>
    <row r="557">
      <c r="F557" s="172"/>
      <c r="G557" s="347"/>
      <c r="H557" s="347"/>
      <c r="I557" s="347"/>
    </row>
    <row r="558">
      <c r="F558" s="172"/>
      <c r="G558" s="347"/>
      <c r="H558" s="347"/>
      <c r="I558" s="347"/>
    </row>
    <row r="559">
      <c r="F559" s="172"/>
      <c r="G559" s="347"/>
      <c r="H559" s="347"/>
      <c r="I559" s="347"/>
    </row>
    <row r="560">
      <c r="F560" s="172"/>
      <c r="G560" s="347"/>
      <c r="H560" s="347"/>
      <c r="I560" s="347"/>
    </row>
    <row r="561">
      <c r="F561" s="172"/>
      <c r="G561" s="347"/>
      <c r="H561" s="347"/>
      <c r="I561" s="347"/>
    </row>
    <row r="562">
      <c r="F562" s="172"/>
      <c r="G562" s="347"/>
      <c r="H562" s="347"/>
      <c r="I562" s="347"/>
    </row>
    <row r="563">
      <c r="F563" s="172"/>
      <c r="G563" s="347"/>
      <c r="H563" s="347"/>
      <c r="I563" s="347"/>
    </row>
    <row r="564">
      <c r="F564" s="172"/>
      <c r="G564" s="347"/>
      <c r="H564" s="347"/>
      <c r="I564" s="347"/>
    </row>
    <row r="565">
      <c r="F565" s="172"/>
      <c r="G565" s="347"/>
      <c r="H565" s="347"/>
      <c r="I565" s="347"/>
    </row>
    <row r="566">
      <c r="F566" s="172"/>
      <c r="G566" s="347"/>
      <c r="H566" s="347"/>
      <c r="I566" s="347"/>
    </row>
    <row r="567">
      <c r="F567" s="172"/>
      <c r="G567" s="347"/>
      <c r="H567" s="347"/>
      <c r="I567" s="347"/>
    </row>
    <row r="568">
      <c r="F568" s="172"/>
      <c r="G568" s="347"/>
      <c r="H568" s="347"/>
      <c r="I568" s="347"/>
    </row>
    <row r="569">
      <c r="F569" s="172"/>
      <c r="G569" s="347"/>
      <c r="H569" s="347"/>
      <c r="I569" s="347"/>
    </row>
    <row r="570">
      <c r="F570" s="172"/>
      <c r="G570" s="347"/>
      <c r="H570" s="347"/>
      <c r="I570" s="347"/>
    </row>
    <row r="571">
      <c r="F571" s="172"/>
      <c r="G571" s="347"/>
      <c r="H571" s="347"/>
      <c r="I571" s="347"/>
    </row>
    <row r="572">
      <c r="F572" s="172"/>
      <c r="G572" s="347"/>
      <c r="H572" s="347"/>
      <c r="I572" s="347"/>
    </row>
    <row r="573">
      <c r="F573" s="172"/>
      <c r="G573" s="347"/>
      <c r="H573" s="347"/>
      <c r="I573" s="347"/>
    </row>
    <row r="574">
      <c r="F574" s="172"/>
      <c r="G574" s="347"/>
      <c r="H574" s="347"/>
      <c r="I574" s="347"/>
    </row>
    <row r="575">
      <c r="F575" s="172"/>
      <c r="G575" s="347"/>
      <c r="H575" s="347"/>
      <c r="I575" s="347"/>
    </row>
    <row r="576">
      <c r="F576" s="172"/>
      <c r="G576" s="347"/>
      <c r="H576" s="347"/>
      <c r="I576" s="347"/>
    </row>
    <row r="577">
      <c r="F577" s="172"/>
      <c r="G577" s="347"/>
      <c r="H577" s="347"/>
      <c r="I577" s="347"/>
    </row>
    <row r="578">
      <c r="F578" s="172"/>
      <c r="G578" s="347"/>
      <c r="H578" s="347"/>
      <c r="I578" s="347"/>
    </row>
    <row r="579">
      <c r="F579" s="172"/>
      <c r="G579" s="347"/>
      <c r="H579" s="347"/>
      <c r="I579" s="347"/>
    </row>
    <row r="580">
      <c r="F580" s="172"/>
      <c r="G580" s="347"/>
      <c r="H580" s="347"/>
      <c r="I580" s="347"/>
    </row>
    <row r="581">
      <c r="F581" s="172"/>
      <c r="G581" s="347"/>
      <c r="H581" s="347"/>
      <c r="I581" s="347"/>
    </row>
    <row r="582">
      <c r="F582" s="172"/>
      <c r="G582" s="347"/>
      <c r="H582" s="347"/>
      <c r="I582" s="347"/>
    </row>
    <row r="583">
      <c r="F583" s="172"/>
      <c r="G583" s="347"/>
      <c r="H583" s="347"/>
      <c r="I583" s="347"/>
    </row>
    <row r="584">
      <c r="F584" s="172"/>
      <c r="G584" s="347"/>
      <c r="H584" s="347"/>
      <c r="I584" s="347"/>
    </row>
    <row r="585">
      <c r="F585" s="172"/>
      <c r="G585" s="347"/>
      <c r="H585" s="347"/>
      <c r="I585" s="347"/>
    </row>
    <row r="586">
      <c r="F586" s="172"/>
      <c r="G586" s="347"/>
      <c r="H586" s="347"/>
      <c r="I586" s="347"/>
    </row>
    <row r="587">
      <c r="F587" s="172"/>
      <c r="G587" s="347"/>
      <c r="H587" s="347"/>
      <c r="I587" s="347"/>
    </row>
    <row r="588">
      <c r="F588" s="172"/>
      <c r="G588" s="347"/>
      <c r="H588" s="347"/>
      <c r="I588" s="347"/>
    </row>
    <row r="589">
      <c r="F589" s="172"/>
      <c r="G589" s="347"/>
      <c r="H589" s="347"/>
      <c r="I589" s="347"/>
    </row>
    <row r="590">
      <c r="F590" s="172"/>
      <c r="G590" s="347"/>
      <c r="H590" s="347"/>
      <c r="I590" s="347"/>
    </row>
    <row r="591">
      <c r="F591" s="172"/>
      <c r="G591" s="347"/>
      <c r="H591" s="347"/>
      <c r="I591" s="347"/>
    </row>
    <row r="592">
      <c r="F592" s="172"/>
      <c r="G592" s="347"/>
      <c r="H592" s="347"/>
      <c r="I592" s="347"/>
    </row>
    <row r="593">
      <c r="F593" s="172"/>
      <c r="G593" s="347"/>
      <c r="H593" s="347"/>
      <c r="I593" s="347"/>
    </row>
    <row r="594">
      <c r="F594" s="172"/>
      <c r="G594" s="347"/>
      <c r="H594" s="347"/>
      <c r="I594" s="347"/>
    </row>
    <row r="595">
      <c r="F595" s="172"/>
      <c r="G595" s="347"/>
      <c r="H595" s="347"/>
      <c r="I595" s="347"/>
    </row>
    <row r="596">
      <c r="F596" s="172"/>
      <c r="G596" s="347"/>
      <c r="H596" s="347"/>
      <c r="I596" s="347"/>
    </row>
    <row r="597">
      <c r="F597" s="172"/>
      <c r="G597" s="347"/>
      <c r="H597" s="347"/>
      <c r="I597" s="347"/>
    </row>
    <row r="598">
      <c r="F598" s="172"/>
      <c r="G598" s="347"/>
      <c r="H598" s="347"/>
      <c r="I598" s="347"/>
    </row>
    <row r="599">
      <c r="F599" s="172"/>
      <c r="G599" s="347"/>
      <c r="H599" s="347"/>
      <c r="I599" s="347"/>
    </row>
    <row r="600">
      <c r="F600" s="172"/>
      <c r="G600" s="347"/>
      <c r="H600" s="347"/>
      <c r="I600" s="347"/>
    </row>
    <row r="601">
      <c r="F601" s="172"/>
      <c r="G601" s="347"/>
      <c r="H601" s="347"/>
      <c r="I601" s="347"/>
    </row>
    <row r="602">
      <c r="F602" s="172"/>
      <c r="G602" s="347"/>
      <c r="H602" s="347"/>
      <c r="I602" s="347"/>
    </row>
    <row r="603">
      <c r="F603" s="172"/>
      <c r="G603" s="347"/>
      <c r="H603" s="347"/>
      <c r="I603" s="347"/>
    </row>
    <row r="604">
      <c r="F604" s="172"/>
      <c r="G604" s="347"/>
      <c r="H604" s="347"/>
      <c r="I604" s="347"/>
    </row>
    <row r="605">
      <c r="F605" s="172"/>
      <c r="G605" s="347"/>
      <c r="H605" s="347"/>
      <c r="I605" s="347"/>
    </row>
    <row r="606">
      <c r="F606" s="172"/>
      <c r="G606" s="347"/>
      <c r="H606" s="347"/>
      <c r="I606" s="347"/>
    </row>
    <row r="607">
      <c r="F607" s="172"/>
      <c r="G607" s="347"/>
      <c r="H607" s="347"/>
      <c r="I607" s="347"/>
    </row>
    <row r="608">
      <c r="F608" s="172"/>
      <c r="G608" s="347"/>
      <c r="H608" s="347"/>
      <c r="I608" s="347"/>
    </row>
    <row r="609">
      <c r="F609" s="172"/>
      <c r="G609" s="347"/>
      <c r="H609" s="347"/>
      <c r="I609" s="347"/>
    </row>
    <row r="610">
      <c r="F610" s="172"/>
      <c r="G610" s="347"/>
      <c r="H610" s="347"/>
      <c r="I610" s="347"/>
    </row>
    <row r="611">
      <c r="F611" s="172"/>
      <c r="G611" s="347"/>
      <c r="H611" s="347"/>
      <c r="I611" s="347"/>
    </row>
    <row r="612">
      <c r="F612" s="172"/>
      <c r="G612" s="347"/>
      <c r="H612" s="347"/>
      <c r="I612" s="347"/>
    </row>
    <row r="613">
      <c r="F613" s="172"/>
      <c r="G613" s="347"/>
      <c r="H613" s="347"/>
      <c r="I613" s="347"/>
    </row>
    <row r="614">
      <c r="F614" s="172"/>
      <c r="G614" s="347"/>
      <c r="H614" s="347"/>
      <c r="I614" s="347"/>
    </row>
    <row r="615">
      <c r="F615" s="172"/>
      <c r="G615" s="347"/>
      <c r="H615" s="347"/>
      <c r="I615" s="347"/>
    </row>
    <row r="616">
      <c r="F616" s="172"/>
      <c r="G616" s="347"/>
      <c r="H616" s="347"/>
      <c r="I616" s="347"/>
    </row>
    <row r="617">
      <c r="F617" s="172"/>
      <c r="G617" s="347"/>
      <c r="H617" s="347"/>
      <c r="I617" s="347"/>
    </row>
    <row r="618">
      <c r="F618" s="172"/>
      <c r="G618" s="347"/>
      <c r="H618" s="347"/>
      <c r="I618" s="347"/>
    </row>
    <row r="619">
      <c r="F619" s="172"/>
      <c r="G619" s="347"/>
      <c r="H619" s="347"/>
      <c r="I619" s="347"/>
    </row>
    <row r="620">
      <c r="F620" s="172"/>
      <c r="G620" s="347"/>
      <c r="H620" s="347"/>
      <c r="I620" s="347"/>
    </row>
    <row r="621">
      <c r="F621" s="172"/>
      <c r="G621" s="347"/>
      <c r="H621" s="347"/>
      <c r="I621" s="347"/>
    </row>
    <row r="622">
      <c r="F622" s="172"/>
      <c r="G622" s="347"/>
      <c r="H622" s="347"/>
      <c r="I622" s="347"/>
    </row>
    <row r="623">
      <c r="F623" s="172"/>
      <c r="G623" s="347"/>
      <c r="H623" s="347"/>
      <c r="I623" s="347"/>
    </row>
    <row r="624">
      <c r="F624" s="172"/>
      <c r="G624" s="347"/>
      <c r="H624" s="347"/>
      <c r="I624" s="347"/>
    </row>
    <row r="625">
      <c r="F625" s="172"/>
      <c r="G625" s="347"/>
      <c r="H625" s="347"/>
      <c r="I625" s="347"/>
    </row>
    <row r="626">
      <c r="F626" s="172"/>
      <c r="G626" s="347"/>
      <c r="H626" s="347"/>
      <c r="I626" s="347"/>
    </row>
    <row r="627">
      <c r="F627" s="172"/>
      <c r="G627" s="347"/>
      <c r="H627" s="347"/>
      <c r="I627" s="347"/>
    </row>
    <row r="628">
      <c r="F628" s="172"/>
      <c r="G628" s="347"/>
      <c r="H628" s="347"/>
      <c r="I628" s="347"/>
    </row>
    <row r="629">
      <c r="F629" s="172"/>
      <c r="G629" s="347"/>
      <c r="H629" s="347"/>
      <c r="I629" s="347"/>
    </row>
    <row r="630">
      <c r="F630" s="172"/>
      <c r="G630" s="347"/>
      <c r="H630" s="347"/>
      <c r="I630" s="347"/>
    </row>
    <row r="631">
      <c r="F631" s="172"/>
      <c r="G631" s="347"/>
      <c r="H631" s="347"/>
      <c r="I631" s="347"/>
    </row>
    <row r="632">
      <c r="F632" s="172"/>
      <c r="G632" s="347"/>
      <c r="H632" s="347"/>
      <c r="I632" s="347"/>
    </row>
    <row r="633">
      <c r="F633" s="172"/>
      <c r="G633" s="347"/>
      <c r="H633" s="347"/>
      <c r="I633" s="347"/>
    </row>
    <row r="634">
      <c r="F634" s="172"/>
      <c r="G634" s="347"/>
      <c r="H634" s="347"/>
      <c r="I634" s="347"/>
    </row>
    <row r="635">
      <c r="F635" s="172"/>
      <c r="G635" s="347"/>
      <c r="H635" s="347"/>
      <c r="I635" s="347"/>
    </row>
    <row r="636">
      <c r="F636" s="172"/>
      <c r="G636" s="347"/>
      <c r="H636" s="347"/>
      <c r="I636" s="347"/>
    </row>
    <row r="637">
      <c r="F637" s="172"/>
      <c r="G637" s="347"/>
      <c r="H637" s="347"/>
      <c r="I637" s="347"/>
    </row>
    <row r="638">
      <c r="F638" s="172"/>
      <c r="G638" s="347"/>
      <c r="H638" s="347"/>
      <c r="I638" s="347"/>
    </row>
    <row r="639">
      <c r="F639" s="172"/>
      <c r="G639" s="347"/>
      <c r="H639" s="347"/>
      <c r="I639" s="347"/>
    </row>
    <row r="640">
      <c r="F640" s="172"/>
      <c r="G640" s="347"/>
      <c r="H640" s="347"/>
      <c r="I640" s="347"/>
    </row>
    <row r="641">
      <c r="F641" s="172"/>
      <c r="G641" s="347"/>
      <c r="H641" s="347"/>
      <c r="I641" s="347"/>
    </row>
    <row r="642">
      <c r="F642" s="172"/>
      <c r="G642" s="347"/>
      <c r="H642" s="347"/>
      <c r="I642" s="347"/>
    </row>
    <row r="643">
      <c r="F643" s="172"/>
      <c r="G643" s="347"/>
      <c r="H643" s="347"/>
      <c r="I643" s="347"/>
    </row>
    <row r="644">
      <c r="F644" s="172"/>
      <c r="G644" s="347"/>
      <c r="H644" s="347"/>
      <c r="I644" s="347"/>
    </row>
    <row r="645">
      <c r="F645" s="172"/>
      <c r="G645" s="347"/>
      <c r="H645" s="347"/>
      <c r="I645" s="347"/>
    </row>
    <row r="646">
      <c r="F646" s="172"/>
      <c r="G646" s="347"/>
      <c r="H646" s="347"/>
      <c r="I646" s="347"/>
    </row>
    <row r="647">
      <c r="F647" s="172"/>
      <c r="G647" s="347"/>
      <c r="H647" s="347"/>
      <c r="I647" s="347"/>
    </row>
    <row r="648">
      <c r="F648" s="172"/>
      <c r="G648" s="347"/>
      <c r="H648" s="347"/>
      <c r="I648" s="347"/>
    </row>
    <row r="649">
      <c r="F649" s="172"/>
      <c r="G649" s="347"/>
      <c r="H649" s="347"/>
      <c r="I649" s="347"/>
    </row>
    <row r="650">
      <c r="F650" s="172"/>
      <c r="G650" s="347"/>
      <c r="H650" s="347"/>
      <c r="I650" s="347"/>
    </row>
    <row r="651">
      <c r="F651" s="172"/>
      <c r="G651" s="347"/>
      <c r="H651" s="347"/>
      <c r="I651" s="347"/>
    </row>
    <row r="652">
      <c r="F652" s="172"/>
      <c r="G652" s="347"/>
      <c r="H652" s="347"/>
      <c r="I652" s="347"/>
    </row>
    <row r="653">
      <c r="F653" s="172"/>
      <c r="G653" s="347"/>
      <c r="H653" s="347"/>
      <c r="I653" s="347"/>
    </row>
    <row r="654">
      <c r="F654" s="172"/>
      <c r="G654" s="347"/>
      <c r="H654" s="347"/>
      <c r="I654" s="347"/>
    </row>
    <row r="655">
      <c r="F655" s="172"/>
      <c r="G655" s="347"/>
      <c r="H655" s="347"/>
      <c r="I655" s="347"/>
    </row>
    <row r="656">
      <c r="F656" s="172"/>
      <c r="G656" s="347"/>
      <c r="H656" s="347"/>
      <c r="I656" s="347"/>
    </row>
    <row r="657">
      <c r="F657" s="172"/>
      <c r="G657" s="347"/>
      <c r="H657" s="347"/>
      <c r="I657" s="347"/>
    </row>
    <row r="658">
      <c r="F658" s="172"/>
      <c r="G658" s="347"/>
      <c r="H658" s="347"/>
      <c r="I658" s="347"/>
    </row>
    <row r="659">
      <c r="F659" s="172"/>
      <c r="G659" s="347"/>
      <c r="H659" s="347"/>
      <c r="I659" s="347"/>
    </row>
    <row r="660">
      <c r="F660" s="172"/>
      <c r="G660" s="347"/>
      <c r="H660" s="347"/>
      <c r="I660" s="347"/>
    </row>
    <row r="661">
      <c r="F661" s="172"/>
      <c r="G661" s="347"/>
      <c r="H661" s="347"/>
      <c r="I661" s="347"/>
    </row>
    <row r="662">
      <c r="F662" s="172"/>
      <c r="G662" s="347"/>
      <c r="H662" s="347"/>
      <c r="I662" s="347"/>
    </row>
    <row r="663">
      <c r="F663" s="172"/>
      <c r="G663" s="347"/>
      <c r="H663" s="347"/>
      <c r="I663" s="347"/>
    </row>
    <row r="664">
      <c r="F664" s="172"/>
      <c r="G664" s="347"/>
      <c r="H664" s="347"/>
      <c r="I664" s="347"/>
    </row>
    <row r="665">
      <c r="F665" s="172"/>
      <c r="G665" s="347"/>
      <c r="H665" s="347"/>
      <c r="I665" s="347"/>
    </row>
    <row r="666">
      <c r="F666" s="172"/>
      <c r="G666" s="347"/>
      <c r="H666" s="347"/>
      <c r="I666" s="347"/>
    </row>
    <row r="667">
      <c r="F667" s="172"/>
      <c r="G667" s="347"/>
      <c r="H667" s="347"/>
      <c r="I667" s="347"/>
    </row>
    <row r="668">
      <c r="F668" s="172"/>
      <c r="G668" s="347"/>
      <c r="H668" s="347"/>
      <c r="I668" s="347"/>
    </row>
    <row r="669">
      <c r="F669" s="172"/>
      <c r="G669" s="347"/>
      <c r="H669" s="347"/>
      <c r="I669" s="347"/>
    </row>
    <row r="670">
      <c r="F670" s="172"/>
      <c r="G670" s="347"/>
      <c r="H670" s="347"/>
      <c r="I670" s="347"/>
    </row>
    <row r="671">
      <c r="F671" s="172"/>
      <c r="G671" s="347"/>
      <c r="H671" s="347"/>
      <c r="I671" s="347"/>
    </row>
    <row r="672">
      <c r="F672" s="172"/>
      <c r="G672" s="347"/>
      <c r="H672" s="347"/>
      <c r="I672" s="347"/>
    </row>
    <row r="673">
      <c r="F673" s="172"/>
      <c r="G673" s="347"/>
      <c r="H673" s="347"/>
      <c r="I673" s="347"/>
    </row>
    <row r="674">
      <c r="F674" s="172"/>
      <c r="G674" s="347"/>
      <c r="H674" s="347"/>
      <c r="I674" s="347"/>
    </row>
    <row r="675">
      <c r="F675" s="172"/>
      <c r="G675" s="347"/>
      <c r="H675" s="347"/>
      <c r="I675" s="347"/>
    </row>
    <row r="676">
      <c r="F676" s="172"/>
      <c r="G676" s="347"/>
      <c r="H676" s="347"/>
      <c r="I676" s="347"/>
    </row>
    <row r="677">
      <c r="F677" s="172"/>
      <c r="G677" s="347"/>
      <c r="H677" s="347"/>
      <c r="I677" s="347"/>
    </row>
    <row r="678">
      <c r="F678" s="172"/>
      <c r="G678" s="347"/>
      <c r="H678" s="347"/>
      <c r="I678" s="347"/>
    </row>
    <row r="679">
      <c r="F679" s="172"/>
      <c r="G679" s="347"/>
      <c r="H679" s="347"/>
      <c r="I679" s="347"/>
    </row>
    <row r="680">
      <c r="F680" s="172"/>
      <c r="G680" s="347"/>
      <c r="H680" s="347"/>
      <c r="I680" s="347"/>
    </row>
    <row r="681">
      <c r="F681" s="172"/>
      <c r="G681" s="347"/>
      <c r="H681" s="347"/>
      <c r="I681" s="347"/>
    </row>
    <row r="682">
      <c r="F682" s="172"/>
      <c r="G682" s="347"/>
      <c r="H682" s="347"/>
      <c r="I682" s="347"/>
    </row>
    <row r="683">
      <c r="F683" s="172"/>
      <c r="G683" s="347"/>
      <c r="H683" s="347"/>
      <c r="I683" s="347"/>
    </row>
    <row r="684">
      <c r="F684" s="172"/>
      <c r="G684" s="347"/>
      <c r="H684" s="347"/>
      <c r="I684" s="347"/>
    </row>
    <row r="685">
      <c r="F685" s="172"/>
      <c r="G685" s="347"/>
      <c r="H685" s="347"/>
      <c r="I685" s="347"/>
    </row>
    <row r="686">
      <c r="F686" s="172"/>
      <c r="G686" s="347"/>
      <c r="H686" s="347"/>
      <c r="I686" s="347"/>
    </row>
    <row r="687">
      <c r="F687" s="172"/>
      <c r="G687" s="347"/>
      <c r="H687" s="347"/>
      <c r="I687" s="347"/>
    </row>
    <row r="688">
      <c r="F688" s="172"/>
      <c r="G688" s="347"/>
      <c r="H688" s="347"/>
      <c r="I688" s="347"/>
    </row>
    <row r="689">
      <c r="F689" s="172"/>
      <c r="G689" s="347"/>
      <c r="H689" s="347"/>
      <c r="I689" s="347"/>
    </row>
    <row r="690">
      <c r="F690" s="172"/>
      <c r="G690" s="347"/>
      <c r="H690" s="347"/>
      <c r="I690" s="347"/>
    </row>
    <row r="691">
      <c r="F691" s="172"/>
      <c r="G691" s="347"/>
      <c r="H691" s="347"/>
      <c r="I691" s="347"/>
    </row>
    <row r="692">
      <c r="F692" s="172"/>
      <c r="G692" s="347"/>
      <c r="H692" s="347"/>
      <c r="I692" s="347"/>
    </row>
    <row r="693">
      <c r="F693" s="172"/>
      <c r="G693" s="347"/>
      <c r="H693" s="347"/>
      <c r="I693" s="347"/>
    </row>
    <row r="694">
      <c r="F694" s="172"/>
      <c r="G694" s="347"/>
      <c r="H694" s="347"/>
      <c r="I694" s="347"/>
    </row>
    <row r="695">
      <c r="F695" s="172"/>
      <c r="G695" s="347"/>
      <c r="H695" s="347"/>
      <c r="I695" s="347"/>
    </row>
    <row r="696">
      <c r="F696" s="172"/>
      <c r="G696" s="347"/>
      <c r="H696" s="347"/>
      <c r="I696" s="347"/>
    </row>
    <row r="697">
      <c r="F697" s="172"/>
      <c r="G697" s="347"/>
      <c r="H697" s="347"/>
      <c r="I697" s="347"/>
    </row>
    <row r="698">
      <c r="F698" s="172"/>
      <c r="G698" s="347"/>
      <c r="H698" s="347"/>
      <c r="I698" s="347"/>
    </row>
    <row r="699">
      <c r="F699" s="172"/>
      <c r="G699" s="347"/>
      <c r="H699" s="347"/>
      <c r="I699" s="347"/>
    </row>
    <row r="700">
      <c r="F700" s="172"/>
      <c r="G700" s="347"/>
      <c r="H700" s="347"/>
      <c r="I700" s="347"/>
    </row>
    <row r="701">
      <c r="F701" s="172"/>
      <c r="G701" s="347"/>
      <c r="H701" s="347"/>
      <c r="I701" s="347"/>
    </row>
    <row r="702">
      <c r="F702" s="172"/>
      <c r="G702" s="347"/>
      <c r="H702" s="347"/>
      <c r="I702" s="347"/>
    </row>
    <row r="703">
      <c r="F703" s="172"/>
      <c r="G703" s="347"/>
      <c r="H703" s="347"/>
      <c r="I703" s="347"/>
    </row>
    <row r="704">
      <c r="F704" s="172"/>
      <c r="G704" s="347"/>
      <c r="H704" s="347"/>
      <c r="I704" s="347"/>
    </row>
    <row r="705">
      <c r="F705" s="172"/>
      <c r="G705" s="347"/>
      <c r="H705" s="347"/>
      <c r="I705" s="347"/>
    </row>
    <row r="706">
      <c r="F706" s="172"/>
      <c r="G706" s="347"/>
      <c r="H706" s="347"/>
      <c r="I706" s="347"/>
    </row>
    <row r="707">
      <c r="F707" s="172"/>
      <c r="G707" s="347"/>
      <c r="H707" s="347"/>
      <c r="I707" s="347"/>
    </row>
    <row r="708">
      <c r="F708" s="172"/>
      <c r="G708" s="347"/>
      <c r="H708" s="347"/>
      <c r="I708" s="347"/>
    </row>
    <row r="709">
      <c r="F709" s="172"/>
      <c r="G709" s="347"/>
      <c r="H709" s="347"/>
      <c r="I709" s="347"/>
    </row>
    <row r="710">
      <c r="F710" s="172"/>
      <c r="G710" s="347"/>
      <c r="H710" s="347"/>
      <c r="I710" s="347"/>
    </row>
    <row r="711">
      <c r="F711" s="172"/>
      <c r="G711" s="347"/>
      <c r="H711" s="347"/>
      <c r="I711" s="347"/>
    </row>
    <row r="712">
      <c r="F712" s="172"/>
      <c r="G712" s="347"/>
      <c r="H712" s="347"/>
      <c r="I712" s="347"/>
    </row>
    <row r="713">
      <c r="F713" s="172"/>
      <c r="G713" s="347"/>
      <c r="H713" s="347"/>
      <c r="I713" s="347"/>
    </row>
    <row r="714">
      <c r="F714" s="172"/>
      <c r="G714" s="347"/>
      <c r="H714" s="347"/>
      <c r="I714" s="347"/>
    </row>
    <row r="715">
      <c r="F715" s="172"/>
      <c r="G715" s="347"/>
      <c r="H715" s="347"/>
      <c r="I715" s="347"/>
    </row>
    <row r="716">
      <c r="F716" s="172"/>
      <c r="G716" s="347"/>
      <c r="H716" s="347"/>
      <c r="I716" s="347"/>
    </row>
    <row r="717">
      <c r="F717" s="172"/>
      <c r="G717" s="347"/>
      <c r="H717" s="347"/>
      <c r="I717" s="347"/>
    </row>
    <row r="718">
      <c r="F718" s="172"/>
      <c r="G718" s="347"/>
      <c r="H718" s="347"/>
      <c r="I718" s="347"/>
    </row>
    <row r="719">
      <c r="F719" s="172"/>
      <c r="G719" s="347"/>
      <c r="H719" s="347"/>
      <c r="I719" s="347"/>
    </row>
    <row r="720">
      <c r="F720" s="172"/>
      <c r="G720" s="347"/>
      <c r="H720" s="347"/>
      <c r="I720" s="347"/>
    </row>
    <row r="721">
      <c r="F721" s="172"/>
      <c r="G721" s="347"/>
      <c r="H721" s="347"/>
      <c r="I721" s="347"/>
    </row>
    <row r="722">
      <c r="F722" s="172"/>
      <c r="G722" s="347"/>
      <c r="H722" s="347"/>
      <c r="I722" s="347"/>
    </row>
    <row r="723">
      <c r="F723" s="172"/>
      <c r="G723" s="347"/>
      <c r="H723" s="347"/>
      <c r="I723" s="347"/>
    </row>
    <row r="724">
      <c r="F724" s="172"/>
      <c r="G724" s="347"/>
      <c r="H724" s="347"/>
      <c r="I724" s="347"/>
    </row>
    <row r="725">
      <c r="F725" s="172"/>
      <c r="G725" s="347"/>
      <c r="H725" s="347"/>
      <c r="I725" s="347"/>
    </row>
    <row r="726">
      <c r="F726" s="172"/>
      <c r="G726" s="347"/>
      <c r="H726" s="347"/>
      <c r="I726" s="347"/>
    </row>
    <row r="727">
      <c r="F727" s="172"/>
      <c r="G727" s="347"/>
      <c r="H727" s="347"/>
      <c r="I727" s="347"/>
    </row>
    <row r="728">
      <c r="F728" s="172"/>
      <c r="G728" s="347"/>
      <c r="H728" s="347"/>
      <c r="I728" s="347"/>
    </row>
    <row r="729">
      <c r="F729" s="172"/>
      <c r="G729" s="347"/>
      <c r="H729" s="347"/>
      <c r="I729" s="347"/>
    </row>
    <row r="730">
      <c r="F730" s="172"/>
      <c r="G730" s="347"/>
      <c r="H730" s="347"/>
      <c r="I730" s="347"/>
    </row>
    <row r="731">
      <c r="F731" s="172"/>
      <c r="G731" s="347"/>
      <c r="H731" s="347"/>
      <c r="I731" s="347"/>
    </row>
    <row r="732">
      <c r="F732" s="172"/>
      <c r="G732" s="347"/>
      <c r="H732" s="347"/>
      <c r="I732" s="347"/>
    </row>
    <row r="733">
      <c r="F733" s="172"/>
      <c r="G733" s="347"/>
      <c r="H733" s="347"/>
      <c r="I733" s="347"/>
    </row>
    <row r="734">
      <c r="F734" s="172"/>
      <c r="G734" s="347"/>
      <c r="H734" s="347"/>
      <c r="I734" s="347"/>
    </row>
    <row r="735">
      <c r="F735" s="172"/>
      <c r="G735" s="347"/>
      <c r="H735" s="347"/>
      <c r="I735" s="347"/>
    </row>
    <row r="736">
      <c r="F736" s="172"/>
      <c r="G736" s="347"/>
      <c r="H736" s="347"/>
      <c r="I736" s="347"/>
    </row>
    <row r="737">
      <c r="F737" s="172"/>
      <c r="G737" s="347"/>
      <c r="H737" s="347"/>
      <c r="I737" s="347"/>
    </row>
    <row r="738">
      <c r="F738" s="172"/>
      <c r="G738" s="347"/>
      <c r="H738" s="347"/>
      <c r="I738" s="347"/>
    </row>
    <row r="739">
      <c r="F739" s="172"/>
      <c r="G739" s="347"/>
      <c r="H739" s="347"/>
      <c r="I739" s="347"/>
    </row>
    <row r="740">
      <c r="F740" s="172"/>
      <c r="G740" s="347"/>
      <c r="H740" s="347"/>
      <c r="I740" s="347"/>
    </row>
    <row r="741">
      <c r="F741" s="172"/>
      <c r="G741" s="347"/>
      <c r="H741" s="347"/>
      <c r="I741" s="347"/>
    </row>
    <row r="742">
      <c r="F742" s="172"/>
      <c r="G742" s="347"/>
      <c r="H742" s="347"/>
      <c r="I742" s="347"/>
    </row>
    <row r="743">
      <c r="F743" s="172"/>
      <c r="G743" s="347"/>
      <c r="H743" s="347"/>
      <c r="I743" s="347"/>
    </row>
    <row r="744">
      <c r="F744" s="172"/>
      <c r="G744" s="347"/>
      <c r="H744" s="347"/>
      <c r="I744" s="347"/>
    </row>
    <row r="745">
      <c r="F745" s="172"/>
      <c r="G745" s="347"/>
      <c r="H745" s="347"/>
      <c r="I745" s="347"/>
    </row>
    <row r="746">
      <c r="F746" s="172"/>
      <c r="G746" s="347"/>
      <c r="H746" s="347"/>
      <c r="I746" s="347"/>
    </row>
    <row r="747">
      <c r="F747" s="172"/>
      <c r="G747" s="347"/>
      <c r="H747" s="347"/>
      <c r="I747" s="347"/>
    </row>
    <row r="748">
      <c r="F748" s="172"/>
      <c r="G748" s="347"/>
      <c r="H748" s="347"/>
      <c r="I748" s="347"/>
    </row>
    <row r="749">
      <c r="F749" s="172"/>
      <c r="G749" s="347"/>
      <c r="H749" s="347"/>
      <c r="I749" s="347"/>
    </row>
    <row r="750">
      <c r="F750" s="172"/>
      <c r="G750" s="347"/>
      <c r="H750" s="347"/>
      <c r="I750" s="347"/>
    </row>
    <row r="751">
      <c r="F751" s="172"/>
      <c r="G751" s="347"/>
      <c r="H751" s="347"/>
      <c r="I751" s="347"/>
    </row>
    <row r="752">
      <c r="F752" s="172"/>
      <c r="G752" s="347"/>
      <c r="H752" s="347"/>
      <c r="I752" s="347"/>
    </row>
    <row r="753">
      <c r="F753" s="172"/>
      <c r="G753" s="347"/>
      <c r="H753" s="347"/>
      <c r="I753" s="347"/>
    </row>
    <row r="754">
      <c r="F754" s="172"/>
      <c r="G754" s="347"/>
      <c r="H754" s="347"/>
      <c r="I754" s="347"/>
    </row>
    <row r="755">
      <c r="F755" s="172"/>
      <c r="G755" s="347"/>
      <c r="H755" s="347"/>
      <c r="I755" s="347"/>
    </row>
    <row r="756">
      <c r="F756" s="172"/>
      <c r="G756" s="347"/>
      <c r="H756" s="347"/>
      <c r="I756" s="347"/>
    </row>
    <row r="757">
      <c r="F757" s="172"/>
      <c r="G757" s="347"/>
      <c r="H757" s="347"/>
      <c r="I757" s="347"/>
    </row>
    <row r="758">
      <c r="F758" s="172"/>
      <c r="G758" s="347"/>
      <c r="H758" s="347"/>
      <c r="I758" s="347"/>
    </row>
    <row r="759">
      <c r="F759" s="172"/>
      <c r="G759" s="347"/>
      <c r="H759" s="347"/>
      <c r="I759" s="347"/>
    </row>
    <row r="760">
      <c r="F760" s="172"/>
      <c r="G760" s="347"/>
      <c r="H760" s="347"/>
      <c r="I760" s="347"/>
    </row>
    <row r="761">
      <c r="F761" s="172"/>
      <c r="G761" s="347"/>
      <c r="H761" s="347"/>
      <c r="I761" s="347"/>
    </row>
    <row r="762">
      <c r="F762" s="172"/>
      <c r="G762" s="347"/>
      <c r="H762" s="347"/>
      <c r="I762" s="347"/>
    </row>
    <row r="763">
      <c r="F763" s="172"/>
      <c r="G763" s="347"/>
      <c r="H763" s="347"/>
      <c r="I763" s="347"/>
    </row>
    <row r="764">
      <c r="F764" s="172"/>
      <c r="G764" s="347"/>
      <c r="H764" s="347"/>
      <c r="I764" s="347"/>
    </row>
    <row r="765">
      <c r="F765" s="172"/>
      <c r="G765" s="347"/>
      <c r="H765" s="347"/>
      <c r="I765" s="347"/>
    </row>
    <row r="766">
      <c r="F766" s="172"/>
      <c r="G766" s="347"/>
      <c r="H766" s="347"/>
      <c r="I766" s="347"/>
    </row>
    <row r="767">
      <c r="F767" s="172"/>
      <c r="G767" s="347"/>
      <c r="H767" s="347"/>
      <c r="I767" s="347"/>
    </row>
    <row r="768">
      <c r="F768" s="172"/>
      <c r="G768" s="347"/>
      <c r="H768" s="347"/>
      <c r="I768" s="347"/>
    </row>
    <row r="769">
      <c r="F769" s="172"/>
      <c r="G769" s="347"/>
      <c r="H769" s="347"/>
      <c r="I769" s="347"/>
    </row>
    <row r="770">
      <c r="F770" s="172"/>
      <c r="G770" s="347"/>
      <c r="H770" s="347"/>
      <c r="I770" s="347"/>
    </row>
    <row r="771">
      <c r="F771" s="172"/>
      <c r="G771" s="347"/>
      <c r="H771" s="347"/>
      <c r="I771" s="347"/>
    </row>
    <row r="772">
      <c r="F772" s="172"/>
      <c r="G772" s="347"/>
      <c r="H772" s="347"/>
      <c r="I772" s="347"/>
    </row>
    <row r="773">
      <c r="F773" s="172"/>
      <c r="G773" s="347"/>
      <c r="H773" s="347"/>
      <c r="I773" s="347"/>
    </row>
    <row r="774">
      <c r="F774" s="172"/>
      <c r="G774" s="347"/>
      <c r="H774" s="347"/>
      <c r="I774" s="347"/>
    </row>
    <row r="775">
      <c r="F775" s="172"/>
      <c r="G775" s="347"/>
      <c r="H775" s="347"/>
      <c r="I775" s="347"/>
    </row>
    <row r="776">
      <c r="F776" s="172"/>
      <c r="G776" s="347"/>
      <c r="H776" s="347"/>
      <c r="I776" s="347"/>
    </row>
    <row r="777">
      <c r="F777" s="172"/>
      <c r="G777" s="347"/>
      <c r="H777" s="347"/>
      <c r="I777" s="347"/>
    </row>
    <row r="778">
      <c r="F778" s="172"/>
      <c r="G778" s="347"/>
      <c r="H778" s="347"/>
      <c r="I778" s="347"/>
    </row>
    <row r="779">
      <c r="F779" s="172"/>
      <c r="G779" s="347"/>
      <c r="H779" s="347"/>
      <c r="I779" s="347"/>
    </row>
    <row r="780">
      <c r="F780" s="172"/>
      <c r="G780" s="347"/>
      <c r="H780" s="347"/>
      <c r="I780" s="347"/>
    </row>
    <row r="781">
      <c r="F781" s="172"/>
      <c r="G781" s="347"/>
      <c r="H781" s="347"/>
      <c r="I781" s="347"/>
    </row>
    <row r="782">
      <c r="F782" s="172"/>
      <c r="G782" s="347"/>
      <c r="H782" s="347"/>
      <c r="I782" s="347"/>
    </row>
    <row r="783">
      <c r="F783" s="172"/>
      <c r="G783" s="347"/>
      <c r="H783" s="347"/>
      <c r="I783" s="347"/>
    </row>
    <row r="784">
      <c r="F784" s="172"/>
      <c r="G784" s="347"/>
      <c r="H784" s="347"/>
      <c r="I784" s="347"/>
    </row>
    <row r="785">
      <c r="F785" s="172"/>
      <c r="G785" s="347"/>
      <c r="H785" s="347"/>
      <c r="I785" s="347"/>
    </row>
    <row r="786">
      <c r="F786" s="172"/>
      <c r="G786" s="347"/>
      <c r="H786" s="347"/>
      <c r="I786" s="347"/>
    </row>
    <row r="787">
      <c r="F787" s="172"/>
      <c r="G787" s="347"/>
      <c r="H787" s="347"/>
      <c r="I787" s="347"/>
    </row>
    <row r="788">
      <c r="F788" s="172"/>
      <c r="G788" s="347"/>
      <c r="H788" s="347"/>
      <c r="I788" s="347"/>
    </row>
    <row r="789">
      <c r="F789" s="172"/>
      <c r="G789" s="347"/>
      <c r="H789" s="347"/>
      <c r="I789" s="347"/>
    </row>
    <row r="790">
      <c r="F790" s="172"/>
      <c r="G790" s="347"/>
      <c r="H790" s="347"/>
      <c r="I790" s="347"/>
    </row>
    <row r="791">
      <c r="F791" s="172"/>
      <c r="G791" s="347"/>
      <c r="H791" s="347"/>
      <c r="I791" s="347"/>
    </row>
    <row r="792">
      <c r="F792" s="172"/>
      <c r="G792" s="347"/>
      <c r="H792" s="347"/>
      <c r="I792" s="347"/>
    </row>
    <row r="793">
      <c r="F793" s="172"/>
      <c r="G793" s="347"/>
      <c r="H793" s="347"/>
      <c r="I793" s="347"/>
    </row>
    <row r="794">
      <c r="F794" s="172"/>
      <c r="G794" s="347"/>
      <c r="H794" s="347"/>
      <c r="I794" s="347"/>
    </row>
    <row r="795">
      <c r="F795" s="172"/>
      <c r="G795" s="347"/>
      <c r="H795" s="347"/>
      <c r="I795" s="347"/>
    </row>
    <row r="796">
      <c r="F796" s="172"/>
      <c r="G796" s="347"/>
      <c r="H796" s="347"/>
      <c r="I796" s="347"/>
    </row>
    <row r="797">
      <c r="F797" s="172"/>
      <c r="G797" s="347"/>
      <c r="H797" s="347"/>
      <c r="I797" s="347"/>
    </row>
    <row r="798">
      <c r="F798" s="172"/>
      <c r="G798" s="347"/>
      <c r="H798" s="347"/>
      <c r="I798" s="347"/>
    </row>
    <row r="799">
      <c r="F799" s="172"/>
      <c r="G799" s="347"/>
      <c r="H799" s="347"/>
      <c r="I799" s="347"/>
    </row>
    <row r="800">
      <c r="F800" s="172"/>
      <c r="G800" s="347"/>
      <c r="H800" s="347"/>
      <c r="I800" s="347"/>
    </row>
    <row r="801">
      <c r="F801" s="172"/>
      <c r="G801" s="347"/>
      <c r="H801" s="347"/>
      <c r="I801" s="347"/>
    </row>
    <row r="802">
      <c r="F802" s="172"/>
      <c r="G802" s="347"/>
      <c r="H802" s="347"/>
      <c r="I802" s="347"/>
    </row>
    <row r="803">
      <c r="F803" s="172"/>
      <c r="G803" s="347"/>
      <c r="H803" s="347"/>
      <c r="I803" s="347"/>
    </row>
    <row r="804">
      <c r="F804" s="172"/>
      <c r="G804" s="347"/>
      <c r="H804" s="347"/>
      <c r="I804" s="347"/>
    </row>
    <row r="805">
      <c r="F805" s="172"/>
      <c r="G805" s="347"/>
      <c r="H805" s="347"/>
      <c r="I805" s="347"/>
    </row>
    <row r="806">
      <c r="F806" s="172"/>
      <c r="G806" s="347"/>
      <c r="H806" s="347"/>
      <c r="I806" s="347"/>
    </row>
    <row r="807">
      <c r="F807" s="172"/>
      <c r="G807" s="347"/>
      <c r="H807" s="347"/>
      <c r="I807" s="347"/>
    </row>
    <row r="808">
      <c r="F808" s="172"/>
      <c r="G808" s="347"/>
      <c r="H808" s="347"/>
      <c r="I808" s="347"/>
    </row>
    <row r="809">
      <c r="F809" s="172"/>
      <c r="G809" s="347"/>
      <c r="H809" s="347"/>
      <c r="I809" s="347"/>
    </row>
    <row r="810">
      <c r="F810" s="172"/>
      <c r="G810" s="347"/>
      <c r="H810" s="347"/>
      <c r="I810" s="347"/>
    </row>
    <row r="811">
      <c r="F811" s="172"/>
      <c r="G811" s="347"/>
      <c r="H811" s="347"/>
      <c r="I811" s="347"/>
    </row>
    <row r="812">
      <c r="F812" s="172"/>
      <c r="G812" s="347"/>
      <c r="H812" s="347"/>
      <c r="I812" s="347"/>
    </row>
    <row r="813">
      <c r="F813" s="172"/>
      <c r="G813" s="347"/>
      <c r="H813" s="347"/>
      <c r="I813" s="347"/>
    </row>
    <row r="814">
      <c r="F814" s="172"/>
      <c r="G814" s="347"/>
      <c r="H814" s="347"/>
      <c r="I814" s="347"/>
    </row>
    <row r="815">
      <c r="F815" s="172"/>
      <c r="G815" s="347"/>
      <c r="H815" s="347"/>
      <c r="I815" s="347"/>
    </row>
    <row r="816">
      <c r="F816" s="172"/>
      <c r="G816" s="347"/>
      <c r="H816" s="347"/>
      <c r="I816" s="347"/>
    </row>
    <row r="817">
      <c r="F817" s="172"/>
      <c r="G817" s="347"/>
      <c r="H817" s="347"/>
      <c r="I817" s="347"/>
    </row>
    <row r="818">
      <c r="F818" s="172"/>
      <c r="G818" s="347"/>
      <c r="H818" s="347"/>
      <c r="I818" s="347"/>
    </row>
    <row r="819">
      <c r="F819" s="172"/>
      <c r="G819" s="347"/>
      <c r="H819" s="347"/>
      <c r="I819" s="347"/>
    </row>
    <row r="820">
      <c r="F820" s="172"/>
      <c r="G820" s="347"/>
      <c r="H820" s="347"/>
      <c r="I820" s="347"/>
    </row>
    <row r="821">
      <c r="F821" s="172"/>
      <c r="G821" s="347"/>
      <c r="H821" s="347"/>
      <c r="I821" s="347"/>
    </row>
    <row r="822">
      <c r="F822" s="172"/>
      <c r="G822" s="347"/>
      <c r="H822" s="347"/>
      <c r="I822" s="347"/>
    </row>
    <row r="823">
      <c r="F823" s="172"/>
      <c r="G823" s="347"/>
      <c r="H823" s="347"/>
      <c r="I823" s="347"/>
    </row>
    <row r="824">
      <c r="F824" s="172"/>
      <c r="G824" s="347"/>
      <c r="H824" s="347"/>
      <c r="I824" s="347"/>
    </row>
    <row r="825">
      <c r="F825" s="172"/>
      <c r="G825" s="347"/>
      <c r="H825" s="347"/>
      <c r="I825" s="347"/>
    </row>
    <row r="826">
      <c r="F826" s="172"/>
      <c r="G826" s="347"/>
      <c r="H826" s="347"/>
      <c r="I826" s="347"/>
    </row>
    <row r="827">
      <c r="F827" s="172"/>
      <c r="G827" s="347"/>
      <c r="H827" s="347"/>
      <c r="I827" s="347"/>
    </row>
    <row r="828">
      <c r="F828" s="172"/>
      <c r="G828" s="347"/>
      <c r="H828" s="347"/>
      <c r="I828" s="347"/>
    </row>
    <row r="829">
      <c r="F829" s="172"/>
      <c r="G829" s="347"/>
      <c r="H829" s="347"/>
      <c r="I829" s="347"/>
    </row>
    <row r="830">
      <c r="F830" s="172"/>
      <c r="G830" s="347"/>
      <c r="H830" s="347"/>
      <c r="I830" s="347"/>
    </row>
    <row r="831">
      <c r="F831" s="172"/>
      <c r="G831" s="347"/>
      <c r="H831" s="347"/>
      <c r="I831" s="347"/>
    </row>
    <row r="832">
      <c r="F832" s="172"/>
      <c r="G832" s="347"/>
      <c r="H832" s="347"/>
      <c r="I832" s="347"/>
    </row>
    <row r="833">
      <c r="F833" s="172"/>
      <c r="G833" s="347"/>
      <c r="H833" s="347"/>
      <c r="I833" s="347"/>
    </row>
    <row r="834">
      <c r="F834" s="172"/>
      <c r="G834" s="347"/>
      <c r="H834" s="347"/>
      <c r="I834" s="347"/>
    </row>
    <row r="835">
      <c r="F835" s="172"/>
      <c r="G835" s="347"/>
      <c r="H835" s="347"/>
      <c r="I835" s="347"/>
    </row>
    <row r="836">
      <c r="F836" s="172"/>
      <c r="G836" s="347"/>
      <c r="H836" s="347"/>
      <c r="I836" s="347"/>
    </row>
    <row r="837">
      <c r="F837" s="172"/>
      <c r="G837" s="347"/>
      <c r="H837" s="347"/>
      <c r="I837" s="347"/>
    </row>
    <row r="838">
      <c r="F838" s="172"/>
      <c r="G838" s="347"/>
      <c r="H838" s="347"/>
      <c r="I838" s="347"/>
    </row>
    <row r="839">
      <c r="F839" s="172"/>
      <c r="G839" s="347"/>
      <c r="H839" s="347"/>
      <c r="I839" s="347"/>
    </row>
    <row r="840">
      <c r="F840" s="172"/>
      <c r="G840" s="347"/>
      <c r="H840" s="347"/>
      <c r="I840" s="347"/>
    </row>
    <row r="841">
      <c r="F841" s="172"/>
      <c r="G841" s="347"/>
      <c r="H841" s="347"/>
      <c r="I841" s="347"/>
    </row>
    <row r="842">
      <c r="F842" s="172"/>
      <c r="G842" s="347"/>
      <c r="H842" s="347"/>
      <c r="I842" s="347"/>
    </row>
    <row r="843">
      <c r="F843" s="172"/>
      <c r="G843" s="347"/>
      <c r="H843" s="347"/>
      <c r="I843" s="347"/>
    </row>
    <row r="844">
      <c r="F844" s="172"/>
      <c r="G844" s="347"/>
      <c r="H844" s="347"/>
      <c r="I844" s="347"/>
    </row>
    <row r="845">
      <c r="F845" s="172"/>
      <c r="G845" s="347"/>
      <c r="H845" s="347"/>
      <c r="I845" s="347"/>
    </row>
    <row r="846">
      <c r="F846" s="172"/>
      <c r="G846" s="347"/>
      <c r="H846" s="347"/>
      <c r="I846" s="347"/>
    </row>
    <row r="847">
      <c r="F847" s="172"/>
      <c r="G847" s="347"/>
      <c r="H847" s="347"/>
      <c r="I847" s="347"/>
    </row>
    <row r="848">
      <c r="F848" s="172"/>
      <c r="G848" s="347"/>
      <c r="H848" s="347"/>
      <c r="I848" s="347"/>
    </row>
    <row r="849">
      <c r="F849" s="172"/>
      <c r="G849" s="347"/>
      <c r="H849" s="347"/>
      <c r="I849" s="347"/>
    </row>
    <row r="850">
      <c r="F850" s="172"/>
      <c r="G850" s="347"/>
      <c r="H850" s="347"/>
      <c r="I850" s="347"/>
    </row>
    <row r="851">
      <c r="F851" s="172"/>
      <c r="G851" s="347"/>
      <c r="H851" s="347"/>
      <c r="I851" s="347"/>
    </row>
    <row r="852">
      <c r="F852" s="172"/>
      <c r="G852" s="347"/>
      <c r="H852" s="347"/>
      <c r="I852" s="347"/>
    </row>
    <row r="853">
      <c r="F853" s="172"/>
      <c r="G853" s="347"/>
      <c r="H853" s="347"/>
      <c r="I853" s="347"/>
    </row>
    <row r="854">
      <c r="F854" s="172"/>
      <c r="G854" s="347"/>
      <c r="H854" s="347"/>
      <c r="I854" s="347"/>
    </row>
    <row r="855">
      <c r="F855" s="172"/>
      <c r="G855" s="347"/>
      <c r="H855" s="347"/>
      <c r="I855" s="347"/>
    </row>
    <row r="856">
      <c r="F856" s="172"/>
      <c r="G856" s="347"/>
      <c r="H856" s="347"/>
      <c r="I856" s="347"/>
    </row>
    <row r="857">
      <c r="F857" s="172"/>
      <c r="G857" s="347"/>
      <c r="H857" s="347"/>
      <c r="I857" s="347"/>
    </row>
    <row r="858">
      <c r="F858" s="172"/>
      <c r="G858" s="347"/>
      <c r="H858" s="347"/>
      <c r="I858" s="347"/>
    </row>
    <row r="859">
      <c r="F859" s="172"/>
      <c r="G859" s="347"/>
      <c r="H859" s="347"/>
      <c r="I859" s="347"/>
    </row>
    <row r="860">
      <c r="F860" s="172"/>
      <c r="G860" s="347"/>
      <c r="H860" s="347"/>
      <c r="I860" s="347"/>
    </row>
    <row r="861">
      <c r="F861" s="172"/>
      <c r="G861" s="347"/>
      <c r="H861" s="347"/>
      <c r="I861" s="347"/>
    </row>
    <row r="862">
      <c r="F862" s="172"/>
      <c r="G862" s="347"/>
      <c r="H862" s="347"/>
      <c r="I862" s="347"/>
    </row>
    <row r="863">
      <c r="F863" s="172"/>
      <c r="G863" s="347"/>
      <c r="H863" s="347"/>
      <c r="I863" s="347"/>
    </row>
    <row r="864">
      <c r="F864" s="172"/>
      <c r="G864" s="347"/>
      <c r="H864" s="347"/>
      <c r="I864" s="347"/>
    </row>
    <row r="865">
      <c r="F865" s="172"/>
      <c r="G865" s="347"/>
      <c r="H865" s="347"/>
      <c r="I865" s="347"/>
    </row>
    <row r="866">
      <c r="F866" s="172"/>
      <c r="G866" s="347"/>
      <c r="H866" s="347"/>
      <c r="I866" s="347"/>
    </row>
    <row r="867">
      <c r="F867" s="172"/>
      <c r="G867" s="347"/>
      <c r="H867" s="347"/>
      <c r="I867" s="347"/>
    </row>
    <row r="868">
      <c r="F868" s="172"/>
      <c r="G868" s="347"/>
      <c r="H868" s="347"/>
      <c r="I868" s="347"/>
    </row>
    <row r="869">
      <c r="F869" s="172"/>
      <c r="G869" s="347"/>
      <c r="H869" s="347"/>
      <c r="I869" s="347"/>
    </row>
    <row r="870">
      <c r="F870" s="172"/>
      <c r="G870" s="347"/>
      <c r="H870" s="347"/>
      <c r="I870" s="347"/>
    </row>
    <row r="871">
      <c r="F871" s="172"/>
      <c r="G871" s="347"/>
      <c r="H871" s="347"/>
      <c r="I871" s="347"/>
    </row>
    <row r="872">
      <c r="F872" s="172"/>
      <c r="G872" s="347"/>
      <c r="H872" s="347"/>
      <c r="I872" s="347"/>
    </row>
    <row r="873">
      <c r="F873" s="172"/>
      <c r="G873" s="347"/>
      <c r="H873" s="347"/>
      <c r="I873" s="347"/>
    </row>
    <row r="874">
      <c r="F874" s="172"/>
      <c r="G874" s="347"/>
      <c r="H874" s="347"/>
      <c r="I874" s="347"/>
    </row>
    <row r="875">
      <c r="F875" s="172"/>
      <c r="G875" s="347"/>
      <c r="H875" s="347"/>
      <c r="I875" s="347"/>
    </row>
    <row r="876">
      <c r="F876" s="172"/>
      <c r="G876" s="347"/>
      <c r="H876" s="347"/>
      <c r="I876" s="347"/>
    </row>
    <row r="877">
      <c r="F877" s="172"/>
      <c r="G877" s="347"/>
      <c r="H877" s="347"/>
      <c r="I877" s="347"/>
    </row>
    <row r="878">
      <c r="F878" s="172"/>
      <c r="G878" s="347"/>
      <c r="H878" s="347"/>
      <c r="I878" s="347"/>
    </row>
    <row r="879">
      <c r="F879" s="172"/>
      <c r="G879" s="347"/>
      <c r="H879" s="347"/>
      <c r="I879" s="347"/>
    </row>
    <row r="880">
      <c r="F880" s="172"/>
      <c r="G880" s="347"/>
      <c r="H880" s="347"/>
      <c r="I880" s="347"/>
    </row>
    <row r="881">
      <c r="F881" s="172"/>
      <c r="G881" s="347"/>
      <c r="H881" s="347"/>
      <c r="I881" s="347"/>
    </row>
    <row r="882">
      <c r="F882" s="172"/>
      <c r="G882" s="347"/>
      <c r="H882" s="347"/>
      <c r="I882" s="347"/>
    </row>
    <row r="883">
      <c r="F883" s="172"/>
      <c r="G883" s="347"/>
      <c r="H883" s="347"/>
      <c r="I883" s="347"/>
    </row>
    <row r="884">
      <c r="F884" s="172"/>
      <c r="G884" s="347"/>
      <c r="H884" s="347"/>
      <c r="I884" s="347"/>
    </row>
    <row r="885">
      <c r="F885" s="172"/>
      <c r="G885" s="347"/>
      <c r="H885" s="347"/>
      <c r="I885" s="347"/>
    </row>
    <row r="886">
      <c r="F886" s="172"/>
      <c r="G886" s="347"/>
      <c r="H886" s="347"/>
      <c r="I886" s="347"/>
    </row>
    <row r="887">
      <c r="F887" s="172"/>
      <c r="G887" s="347"/>
      <c r="H887" s="347"/>
      <c r="I887" s="347"/>
    </row>
    <row r="888">
      <c r="F888" s="172"/>
      <c r="G888" s="347"/>
      <c r="H888" s="347"/>
      <c r="I888" s="347"/>
    </row>
    <row r="889">
      <c r="F889" s="172"/>
      <c r="G889" s="347"/>
      <c r="H889" s="347"/>
      <c r="I889" s="347"/>
    </row>
    <row r="890">
      <c r="F890" s="172"/>
      <c r="G890" s="347"/>
      <c r="H890" s="347"/>
      <c r="I890" s="347"/>
    </row>
    <row r="891">
      <c r="F891" s="172"/>
      <c r="G891" s="347"/>
      <c r="H891" s="347"/>
      <c r="I891" s="347"/>
    </row>
    <row r="892">
      <c r="F892" s="172"/>
      <c r="G892" s="347"/>
      <c r="H892" s="347"/>
      <c r="I892" s="347"/>
    </row>
    <row r="893">
      <c r="F893" s="172"/>
      <c r="G893" s="347"/>
      <c r="H893" s="347"/>
      <c r="I893" s="347"/>
    </row>
    <row r="894">
      <c r="F894" s="172"/>
      <c r="G894" s="347"/>
      <c r="H894" s="347"/>
      <c r="I894" s="347"/>
    </row>
    <row r="895">
      <c r="F895" s="172"/>
      <c r="G895" s="347"/>
      <c r="H895" s="347"/>
      <c r="I895" s="347"/>
    </row>
    <row r="896">
      <c r="F896" s="172"/>
      <c r="G896" s="347"/>
      <c r="H896" s="347"/>
      <c r="I896" s="347"/>
    </row>
    <row r="897">
      <c r="F897" s="172"/>
      <c r="G897" s="347"/>
      <c r="H897" s="347"/>
      <c r="I897" s="347"/>
    </row>
    <row r="898">
      <c r="F898" s="172"/>
      <c r="G898" s="347"/>
      <c r="H898" s="347"/>
      <c r="I898" s="347"/>
    </row>
    <row r="899">
      <c r="F899" s="172"/>
      <c r="G899" s="347"/>
      <c r="H899" s="347"/>
      <c r="I899" s="347"/>
    </row>
    <row r="900">
      <c r="F900" s="172"/>
      <c r="G900" s="347"/>
      <c r="H900" s="347"/>
      <c r="I900" s="347"/>
    </row>
    <row r="901">
      <c r="F901" s="172"/>
      <c r="G901" s="347"/>
      <c r="H901" s="347"/>
      <c r="I901" s="347"/>
    </row>
    <row r="902">
      <c r="F902" s="172"/>
      <c r="G902" s="347"/>
      <c r="H902" s="347"/>
      <c r="I902" s="347"/>
    </row>
    <row r="903">
      <c r="F903" s="172"/>
      <c r="G903" s="347"/>
      <c r="H903" s="347"/>
      <c r="I903" s="347"/>
    </row>
    <row r="904">
      <c r="F904" s="172"/>
      <c r="G904" s="347"/>
      <c r="H904" s="347"/>
      <c r="I904" s="347"/>
    </row>
    <row r="905">
      <c r="F905" s="172"/>
      <c r="G905" s="347"/>
      <c r="H905" s="347"/>
      <c r="I905" s="347"/>
    </row>
    <row r="906">
      <c r="F906" s="172"/>
      <c r="G906" s="347"/>
      <c r="H906" s="347"/>
      <c r="I906" s="347"/>
    </row>
    <row r="907">
      <c r="F907" s="172"/>
      <c r="G907" s="347"/>
      <c r="H907" s="347"/>
      <c r="I907" s="347"/>
    </row>
    <row r="908">
      <c r="F908" s="172"/>
      <c r="G908" s="347"/>
      <c r="H908" s="347"/>
      <c r="I908" s="347"/>
    </row>
    <row r="909">
      <c r="F909" s="172"/>
      <c r="G909" s="347"/>
      <c r="H909" s="347"/>
      <c r="I909" s="347"/>
    </row>
    <row r="910">
      <c r="F910" s="172"/>
      <c r="G910" s="347"/>
      <c r="H910" s="347"/>
      <c r="I910" s="347"/>
    </row>
    <row r="911">
      <c r="F911" s="172"/>
      <c r="G911" s="347"/>
      <c r="H911" s="347"/>
      <c r="I911" s="347"/>
    </row>
    <row r="912">
      <c r="F912" s="172"/>
      <c r="G912" s="347"/>
      <c r="H912" s="347"/>
      <c r="I912" s="347"/>
    </row>
    <row r="913">
      <c r="F913" s="172"/>
      <c r="G913" s="347"/>
      <c r="H913" s="347"/>
      <c r="I913" s="347"/>
    </row>
    <row r="914">
      <c r="F914" s="172"/>
      <c r="G914" s="347"/>
      <c r="H914" s="347"/>
      <c r="I914" s="347"/>
    </row>
    <row r="915">
      <c r="F915" s="172"/>
      <c r="G915" s="347"/>
      <c r="H915" s="347"/>
      <c r="I915" s="347"/>
    </row>
    <row r="916">
      <c r="F916" s="172"/>
      <c r="G916" s="347"/>
      <c r="H916" s="347"/>
      <c r="I916" s="347"/>
    </row>
    <row r="917">
      <c r="F917" s="172"/>
      <c r="G917" s="347"/>
      <c r="H917" s="347"/>
      <c r="I917" s="347"/>
    </row>
    <row r="918">
      <c r="F918" s="172"/>
      <c r="G918" s="347"/>
      <c r="H918" s="347"/>
      <c r="I918" s="347"/>
    </row>
    <row r="919">
      <c r="F919" s="172"/>
      <c r="G919" s="347"/>
      <c r="H919" s="347"/>
      <c r="I919" s="347"/>
    </row>
    <row r="920">
      <c r="F920" s="172"/>
      <c r="G920" s="347"/>
      <c r="H920" s="347"/>
      <c r="I920" s="347"/>
    </row>
    <row r="921">
      <c r="F921" s="172"/>
      <c r="G921" s="347"/>
      <c r="H921" s="347"/>
      <c r="I921" s="347"/>
    </row>
    <row r="922">
      <c r="F922" s="172"/>
      <c r="G922" s="347"/>
      <c r="H922" s="347"/>
      <c r="I922" s="347"/>
    </row>
    <row r="923">
      <c r="F923" s="172"/>
      <c r="G923" s="347"/>
      <c r="H923" s="347"/>
      <c r="I923" s="347"/>
    </row>
    <row r="924">
      <c r="F924" s="172"/>
      <c r="G924" s="347"/>
      <c r="H924" s="347"/>
      <c r="I924" s="347"/>
    </row>
    <row r="925">
      <c r="F925" s="172"/>
      <c r="G925" s="347"/>
      <c r="H925" s="347"/>
      <c r="I925" s="347"/>
    </row>
    <row r="926">
      <c r="F926" s="172"/>
      <c r="G926" s="347"/>
      <c r="H926" s="347"/>
      <c r="I926" s="347"/>
    </row>
    <row r="927">
      <c r="F927" s="172"/>
      <c r="G927" s="347"/>
      <c r="H927" s="347"/>
      <c r="I927" s="347"/>
    </row>
    <row r="928">
      <c r="F928" s="172"/>
      <c r="G928" s="347"/>
      <c r="H928" s="347"/>
      <c r="I928" s="347"/>
    </row>
    <row r="929">
      <c r="F929" s="172"/>
      <c r="G929" s="347"/>
      <c r="H929" s="347"/>
      <c r="I929" s="347"/>
    </row>
    <row r="930">
      <c r="F930" s="172"/>
      <c r="G930" s="347"/>
      <c r="H930" s="347"/>
      <c r="I930" s="347"/>
    </row>
    <row r="931">
      <c r="F931" s="172"/>
      <c r="G931" s="347"/>
      <c r="H931" s="347"/>
      <c r="I931" s="347"/>
    </row>
    <row r="932">
      <c r="F932" s="172"/>
      <c r="G932" s="347"/>
      <c r="H932" s="347"/>
      <c r="I932" s="347"/>
    </row>
    <row r="933">
      <c r="F933" s="172"/>
      <c r="G933" s="347"/>
      <c r="H933" s="347"/>
      <c r="I933" s="347"/>
    </row>
    <row r="934">
      <c r="F934" s="172"/>
      <c r="G934" s="347"/>
      <c r="H934" s="347"/>
      <c r="I934" s="347"/>
    </row>
    <row r="935">
      <c r="F935" s="172"/>
      <c r="G935" s="347"/>
      <c r="H935" s="347"/>
      <c r="I935" s="347"/>
    </row>
    <row r="936">
      <c r="F936" s="172"/>
      <c r="G936" s="347"/>
      <c r="H936" s="347"/>
      <c r="I936" s="347"/>
    </row>
    <row r="937">
      <c r="F937" s="172"/>
      <c r="G937" s="347"/>
      <c r="H937" s="347"/>
      <c r="I937" s="347"/>
    </row>
    <row r="938">
      <c r="F938" s="172"/>
      <c r="G938" s="347"/>
      <c r="H938" s="347"/>
      <c r="I938" s="347"/>
    </row>
    <row r="939">
      <c r="F939" s="172"/>
      <c r="G939" s="347"/>
      <c r="H939" s="347"/>
      <c r="I939" s="347"/>
    </row>
    <row r="940">
      <c r="F940" s="172"/>
      <c r="G940" s="347"/>
      <c r="H940" s="347"/>
      <c r="I940" s="347"/>
    </row>
    <row r="941">
      <c r="F941" s="172"/>
      <c r="G941" s="347"/>
      <c r="H941" s="347"/>
      <c r="I941" s="347"/>
    </row>
    <row r="942">
      <c r="F942" s="172"/>
      <c r="G942" s="347"/>
      <c r="H942" s="347"/>
      <c r="I942" s="347"/>
    </row>
    <row r="943">
      <c r="F943" s="172"/>
      <c r="G943" s="347"/>
      <c r="H943" s="347"/>
      <c r="I943" s="347"/>
    </row>
    <row r="944">
      <c r="F944" s="172"/>
      <c r="G944" s="347"/>
      <c r="H944" s="347"/>
      <c r="I944" s="347"/>
    </row>
    <row r="945">
      <c r="F945" s="172"/>
      <c r="G945" s="347"/>
      <c r="H945" s="347"/>
      <c r="I945" s="347"/>
    </row>
    <row r="946">
      <c r="F946" s="172"/>
      <c r="G946" s="347"/>
      <c r="H946" s="347"/>
      <c r="I946" s="347"/>
    </row>
    <row r="947">
      <c r="F947" s="172"/>
      <c r="G947" s="347"/>
      <c r="H947" s="347"/>
      <c r="I947" s="347"/>
    </row>
    <row r="948">
      <c r="F948" s="172"/>
      <c r="G948" s="347"/>
      <c r="H948" s="347"/>
      <c r="I948" s="347"/>
    </row>
    <row r="949">
      <c r="F949" s="172"/>
      <c r="G949" s="347"/>
      <c r="H949" s="347"/>
      <c r="I949" s="347"/>
    </row>
    <row r="950">
      <c r="F950" s="172"/>
      <c r="G950" s="347"/>
      <c r="H950" s="347"/>
      <c r="I950" s="347"/>
    </row>
    <row r="951">
      <c r="F951" s="172"/>
      <c r="G951" s="347"/>
      <c r="H951" s="347"/>
      <c r="I951" s="347"/>
    </row>
    <row r="952">
      <c r="F952" s="172"/>
      <c r="G952" s="347"/>
      <c r="H952" s="347"/>
      <c r="I952" s="347"/>
    </row>
    <row r="953">
      <c r="F953" s="172"/>
      <c r="G953" s="347"/>
      <c r="H953" s="347"/>
      <c r="I953" s="347"/>
    </row>
    <row r="954">
      <c r="F954" s="172"/>
      <c r="G954" s="347"/>
      <c r="H954" s="347"/>
      <c r="I954" s="347"/>
    </row>
    <row r="955">
      <c r="F955" s="172"/>
      <c r="G955" s="347"/>
      <c r="H955" s="347"/>
      <c r="I955" s="347"/>
    </row>
    <row r="956">
      <c r="F956" s="172"/>
      <c r="G956" s="347"/>
      <c r="H956" s="347"/>
      <c r="I956" s="347"/>
    </row>
    <row r="957">
      <c r="F957" s="172"/>
      <c r="G957" s="347"/>
      <c r="H957" s="347"/>
      <c r="I957" s="347"/>
    </row>
    <row r="958">
      <c r="F958" s="172"/>
      <c r="G958" s="347"/>
      <c r="H958" s="347"/>
      <c r="I958" s="347"/>
    </row>
    <row r="959">
      <c r="F959" s="172"/>
      <c r="G959" s="347"/>
      <c r="H959" s="347"/>
      <c r="I959" s="347"/>
    </row>
    <row r="960">
      <c r="F960" s="172"/>
      <c r="G960" s="347"/>
      <c r="H960" s="347"/>
      <c r="I960" s="347"/>
    </row>
    <row r="961">
      <c r="F961" s="172"/>
      <c r="G961" s="347"/>
      <c r="H961" s="347"/>
      <c r="I961" s="347"/>
    </row>
    <row r="962">
      <c r="F962" s="172"/>
      <c r="G962" s="347"/>
      <c r="H962" s="347"/>
      <c r="I962" s="347"/>
    </row>
    <row r="963">
      <c r="F963" s="172"/>
      <c r="G963" s="347"/>
      <c r="H963" s="347"/>
      <c r="I963" s="347"/>
    </row>
    <row r="964">
      <c r="F964" s="172"/>
      <c r="G964" s="347"/>
      <c r="H964" s="347"/>
      <c r="I964" s="347"/>
    </row>
    <row r="965">
      <c r="F965" s="172"/>
      <c r="G965" s="347"/>
      <c r="H965" s="347"/>
      <c r="I965" s="347"/>
    </row>
    <row r="966">
      <c r="F966" s="172"/>
      <c r="G966" s="347"/>
      <c r="H966" s="347"/>
      <c r="I966" s="347"/>
    </row>
    <row r="967">
      <c r="F967" s="172"/>
      <c r="G967" s="347"/>
      <c r="H967" s="347"/>
      <c r="I967" s="347"/>
    </row>
    <row r="968">
      <c r="F968" s="172"/>
      <c r="G968" s="347"/>
      <c r="H968" s="347"/>
      <c r="I968" s="347"/>
    </row>
    <row r="969">
      <c r="F969" s="172"/>
      <c r="G969" s="347"/>
      <c r="H969" s="347"/>
      <c r="I969" s="347"/>
    </row>
    <row r="970">
      <c r="F970" s="172"/>
      <c r="G970" s="347"/>
      <c r="H970" s="347"/>
      <c r="I970" s="347"/>
    </row>
    <row r="971">
      <c r="F971" s="172"/>
      <c r="G971" s="347"/>
      <c r="H971" s="347"/>
      <c r="I971" s="347"/>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63"/>
    <col customWidth="1" min="3" max="3" width="26.5"/>
    <col customWidth="1" min="4" max="4" width="26.13"/>
    <col customWidth="1" min="5" max="5" width="21.38"/>
  </cols>
  <sheetData>
    <row r="1">
      <c r="A1" s="82" t="s">
        <v>1344</v>
      </c>
      <c r="B1" s="342" t="s">
        <v>1925</v>
      </c>
      <c r="C1" s="82" t="s">
        <v>1942</v>
      </c>
      <c r="D1" s="82" t="s">
        <v>1943</v>
      </c>
      <c r="E1" s="82" t="s">
        <v>1944</v>
      </c>
    </row>
    <row r="2">
      <c r="A2" s="346" t="s">
        <v>1945</v>
      </c>
      <c r="B2" s="348" t="s">
        <v>1946</v>
      </c>
      <c r="C2" s="1">
        <v>45.4</v>
      </c>
      <c r="D2" s="90">
        <f>sumif('Storage Data'!H$2:H$971,B2,'Storage Data'!G$2:G$971)</f>
        <v>0</v>
      </c>
      <c r="E2" s="174">
        <f t="shared" ref="E2:E4" si="1">D2/C2</f>
        <v>0</v>
      </c>
    </row>
    <row r="3">
      <c r="A3" s="346" t="s">
        <v>1947</v>
      </c>
      <c r="B3" s="346" t="s">
        <v>1929</v>
      </c>
      <c r="C3" s="1">
        <v>45.4</v>
      </c>
      <c r="D3" s="90">
        <f>sumif('Storage Data'!H$2:H$971,B3,'Storage Data'!G$2:G$971)</f>
        <v>77.87</v>
      </c>
      <c r="E3" s="174">
        <f t="shared" si="1"/>
        <v>1.715198238</v>
      </c>
    </row>
    <row r="4">
      <c r="A4" s="346" t="s">
        <v>1948</v>
      </c>
      <c r="B4" s="346" t="s">
        <v>1936</v>
      </c>
      <c r="C4" s="1">
        <v>45.4</v>
      </c>
      <c r="D4" s="90">
        <f>sumif('Storage Data'!H$2:H$971,B4,'Storage Data'!G$2:G$971)</f>
        <v>28.81</v>
      </c>
      <c r="E4" s="174">
        <f t="shared" si="1"/>
        <v>0.6345814978</v>
      </c>
    </row>
    <row r="6">
      <c r="B6" s="82" t="s">
        <v>1949</v>
      </c>
      <c r="C6" s="90">
        <f t="shared" ref="C6:D6" si="2">sum(C2:C4)</f>
        <v>136.2</v>
      </c>
      <c r="D6" s="90">
        <f t="shared" si="2"/>
        <v>106.68</v>
      </c>
      <c r="E6" s="174">
        <f>D6/C6</f>
        <v>0.7832599119</v>
      </c>
    </row>
    <row r="8">
      <c r="A8" s="1" t="s">
        <v>1950</v>
      </c>
      <c r="B8" s="1">
        <v>20.5</v>
      </c>
    </row>
    <row r="9">
      <c r="A9" s="82" t="s">
        <v>1951</v>
      </c>
      <c r="B9" s="7">
        <f>C6-D6</f>
        <v>29.52</v>
      </c>
    </row>
    <row r="10">
      <c r="A10" s="82" t="s">
        <v>1952</v>
      </c>
      <c r="B10" s="349">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0"/>
      <c r="B1" s="339"/>
      <c r="C1" s="339"/>
      <c r="D1" s="339"/>
      <c r="E1" s="339"/>
      <c r="F1" s="339"/>
      <c r="G1" s="351" t="s">
        <v>1953</v>
      </c>
      <c r="H1" s="339"/>
      <c r="I1" s="339"/>
      <c r="J1" s="339"/>
      <c r="K1" s="339"/>
      <c r="L1" s="339"/>
      <c r="M1" s="339"/>
      <c r="N1" s="339"/>
      <c r="O1" s="352"/>
      <c r="P1" s="352"/>
      <c r="Q1" s="352"/>
      <c r="R1" s="339"/>
      <c r="S1" s="339"/>
      <c r="T1" s="339"/>
      <c r="U1" s="339"/>
      <c r="V1" s="339"/>
      <c r="W1" s="339"/>
      <c r="X1" s="339"/>
      <c r="Y1" s="339"/>
      <c r="Z1" s="339"/>
      <c r="AB1" s="339"/>
      <c r="AC1" s="339"/>
      <c r="AD1" s="339"/>
      <c r="AE1" s="339"/>
      <c r="AF1" s="339"/>
      <c r="AG1" s="339"/>
      <c r="AH1" s="339"/>
      <c r="AI1" s="339"/>
      <c r="AJ1" s="339"/>
      <c r="AK1" s="339"/>
    </row>
    <row r="2">
      <c r="A2" s="339">
        <v>1.0</v>
      </c>
      <c r="B2" s="339">
        <v>2.0</v>
      </c>
      <c r="C2" s="339">
        <v>3.0</v>
      </c>
      <c r="D2" s="339">
        <v>4.0</v>
      </c>
      <c r="E2" s="339">
        <v>5.0</v>
      </c>
      <c r="F2" s="339">
        <v>6.0</v>
      </c>
      <c r="G2" s="339">
        <v>7.0</v>
      </c>
      <c r="H2" s="339">
        <v>8.0</v>
      </c>
      <c r="I2" s="339">
        <v>9.0</v>
      </c>
      <c r="J2" s="339">
        <v>10.0</v>
      </c>
      <c r="K2" s="339">
        <v>11.0</v>
      </c>
      <c r="L2" s="339"/>
      <c r="M2" s="339">
        <v>12.0</v>
      </c>
      <c r="N2" s="339">
        <v>13.0</v>
      </c>
      <c r="O2" s="352"/>
      <c r="P2" s="352"/>
      <c r="Q2" s="352">
        <v>14.0</v>
      </c>
      <c r="R2" s="339">
        <v>15.0</v>
      </c>
      <c r="S2" s="339">
        <v>16.0</v>
      </c>
      <c r="T2" s="339">
        <v>17.0</v>
      </c>
      <c r="U2" s="339">
        <v>18.0</v>
      </c>
      <c r="V2" s="339">
        <v>19.0</v>
      </c>
      <c r="W2" s="339">
        <v>20.0</v>
      </c>
      <c r="X2" s="339">
        <v>21.0</v>
      </c>
      <c r="Y2" s="339">
        <v>22.0</v>
      </c>
      <c r="Z2" s="339">
        <v>23.0</v>
      </c>
      <c r="AA2" s="339">
        <v>24.0</v>
      </c>
      <c r="AB2" s="339">
        <v>25.0</v>
      </c>
      <c r="AC2" s="339">
        <v>26.0</v>
      </c>
      <c r="AD2" s="339">
        <v>27.0</v>
      </c>
      <c r="AE2" s="339">
        <v>28.0</v>
      </c>
      <c r="AF2" s="339">
        <v>29.0</v>
      </c>
      <c r="AG2" s="339">
        <v>30.0</v>
      </c>
      <c r="AH2" s="339">
        <v>31.0</v>
      </c>
      <c r="AI2" s="339">
        <v>32.0</v>
      </c>
      <c r="AJ2" s="339">
        <v>33.0</v>
      </c>
      <c r="AK2" s="339">
        <v>34.0</v>
      </c>
    </row>
    <row r="3">
      <c r="A3" s="340" t="s">
        <v>1954</v>
      </c>
      <c r="B3" s="340" t="s">
        <v>1955</v>
      </c>
      <c r="C3" s="340" t="s">
        <v>1334</v>
      </c>
      <c r="D3" s="340" t="s">
        <v>1956</v>
      </c>
      <c r="E3" s="340" t="s">
        <v>1926</v>
      </c>
      <c r="F3" s="340" t="s">
        <v>1957</v>
      </c>
      <c r="G3" s="340" t="s">
        <v>1344</v>
      </c>
      <c r="H3" s="340" t="s">
        <v>1958</v>
      </c>
      <c r="I3" s="340" t="s">
        <v>1959</v>
      </c>
      <c r="J3" s="340" t="s">
        <v>1960</v>
      </c>
      <c r="K3" s="340" t="s">
        <v>1961</v>
      </c>
      <c r="L3" s="340"/>
      <c r="M3" s="340" t="s">
        <v>1962</v>
      </c>
      <c r="N3" s="340" t="s">
        <v>1963</v>
      </c>
      <c r="O3" s="353" t="s">
        <v>1964</v>
      </c>
      <c r="P3" s="353" t="s">
        <v>1965</v>
      </c>
      <c r="Q3" s="353" t="s">
        <v>1966</v>
      </c>
      <c r="R3" s="354" t="s">
        <v>1967</v>
      </c>
      <c r="S3" s="354" t="s">
        <v>1968</v>
      </c>
      <c r="T3" s="355" t="s">
        <v>1969</v>
      </c>
      <c r="U3" s="355" t="s">
        <v>1970</v>
      </c>
      <c r="V3" s="355" t="s">
        <v>1971</v>
      </c>
      <c r="W3" s="340" t="s">
        <v>1972</v>
      </c>
      <c r="X3" s="340" t="s">
        <v>1973</v>
      </c>
      <c r="Y3" s="355" t="s">
        <v>1974</v>
      </c>
      <c r="Z3" s="355" t="s">
        <v>1975</v>
      </c>
      <c r="AA3" s="355" t="s">
        <v>1976</v>
      </c>
      <c r="AB3" s="340" t="s">
        <v>1972</v>
      </c>
      <c r="AC3" s="340" t="s">
        <v>1977</v>
      </c>
      <c r="AD3" s="355" t="s">
        <v>1978</v>
      </c>
      <c r="AE3" s="355" t="s">
        <v>1975</v>
      </c>
      <c r="AF3" s="355" t="s">
        <v>1979</v>
      </c>
      <c r="AG3" s="340" t="s">
        <v>1972</v>
      </c>
      <c r="AH3" s="340" t="s">
        <v>1980</v>
      </c>
      <c r="AI3" s="340" t="s">
        <v>1981</v>
      </c>
      <c r="AJ3" s="356" t="s">
        <v>1982</v>
      </c>
      <c r="AK3" s="340" t="s">
        <v>1983</v>
      </c>
    </row>
    <row r="4">
      <c r="A4" s="108"/>
      <c r="B4" s="108"/>
      <c r="C4" s="108">
        <v>45363.0</v>
      </c>
      <c r="D4" s="113">
        <v>200001.0</v>
      </c>
      <c r="E4" s="322" t="s">
        <v>1930</v>
      </c>
      <c r="F4" s="322" t="s">
        <v>1984</v>
      </c>
      <c r="G4" s="322" t="s">
        <v>1985</v>
      </c>
      <c r="H4" s="172"/>
      <c r="I4" s="4">
        <v>28.8</v>
      </c>
      <c r="J4" s="172"/>
      <c r="K4" s="172"/>
      <c r="L4" s="172"/>
      <c r="M4" s="172"/>
      <c r="N4" s="172"/>
      <c r="O4" s="357"/>
      <c r="P4" s="357"/>
      <c r="Q4" s="358">
        <f t="shared" ref="Q4:Q19" si="1">N4+K4+I4</f>
        <v>28.8</v>
      </c>
      <c r="R4" s="359">
        <v>5.04</v>
      </c>
      <c r="S4" s="360">
        <f t="shared" ref="S4:S8" si="2">R4/Q4</f>
        <v>0.175</v>
      </c>
      <c r="T4" s="8"/>
      <c r="U4" s="8"/>
      <c r="V4" s="8"/>
      <c r="W4" s="172"/>
      <c r="X4" s="172"/>
      <c r="Y4" s="8"/>
      <c r="Z4" s="8"/>
      <c r="AA4" s="8"/>
      <c r="AB4" s="172"/>
      <c r="AC4" s="172"/>
      <c r="AD4" s="8"/>
      <c r="AE4" s="8"/>
      <c r="AF4" s="8"/>
      <c r="AG4" s="172"/>
      <c r="AH4" s="172"/>
      <c r="AI4" s="361">
        <f t="shared" ref="AI4:AI15" si="3">((T4-V4)+(Y4-AA4)+(AD4-AF4))/2205</f>
        <v>0</v>
      </c>
      <c r="AJ4" s="362"/>
      <c r="AK4" s="363" t="str">
        <f>IFERROR(__xludf.DUMMYFUNCTION("IFERROR(if(D4&lt;&gt;"""", 
  AVERAGE(
    QUERY(
      IMPORTRANGE(""1-uH1wy6jSm5jYL9je6fN1K5RJ5QMvHntodEHZRtIvTk"", ""All Data!N2:U""),
      ""select Col8 where Col1 = '"" &amp; D4 &amp; ""' and Col8 is not null"",
      0
    )
  )/100,
""""),
  """"
)
"),"")</f>
        <v/>
      </c>
    </row>
    <row r="5">
      <c r="A5" s="108"/>
      <c r="B5" s="108"/>
      <c r="C5" s="108">
        <v>45381.0</v>
      </c>
      <c r="D5" s="113" t="s">
        <v>1986</v>
      </c>
      <c r="E5" s="322" t="s">
        <v>1930</v>
      </c>
      <c r="F5" s="322" t="s">
        <v>1984</v>
      </c>
      <c r="G5" s="322" t="s">
        <v>1985</v>
      </c>
      <c r="H5" s="4" t="s">
        <v>1429</v>
      </c>
      <c r="I5" s="4">
        <v>10.0</v>
      </c>
      <c r="J5" s="4" t="s">
        <v>85</v>
      </c>
      <c r="K5" s="4">
        <v>19.63</v>
      </c>
      <c r="L5" s="172"/>
      <c r="M5" s="172"/>
      <c r="N5" s="172"/>
      <c r="O5" s="357"/>
      <c r="P5" s="357"/>
      <c r="Q5" s="358">
        <f t="shared" si="1"/>
        <v>29.63</v>
      </c>
      <c r="R5" s="359">
        <v>32.83</v>
      </c>
      <c r="S5" s="360">
        <f t="shared" si="2"/>
        <v>1.10799865</v>
      </c>
      <c r="T5" s="337">
        <v>90240.0</v>
      </c>
      <c r="U5" s="4" t="s">
        <v>1987</v>
      </c>
      <c r="V5" s="337">
        <v>31620.0</v>
      </c>
      <c r="W5" s="4" t="s">
        <v>1988</v>
      </c>
      <c r="X5" s="113">
        <v>345438.0</v>
      </c>
      <c r="Y5" s="337">
        <v>52520.0</v>
      </c>
      <c r="Z5" s="4" t="s">
        <v>1989</v>
      </c>
      <c r="AA5" s="337">
        <v>32980.0</v>
      </c>
      <c r="AB5" s="4" t="s">
        <v>1990</v>
      </c>
      <c r="AC5" s="113">
        <v>345439.0</v>
      </c>
      <c r="AD5" s="337"/>
      <c r="AE5" s="4"/>
      <c r="AF5" s="337"/>
      <c r="AG5" s="4"/>
      <c r="AH5" s="112"/>
      <c r="AI5" s="361">
        <f t="shared" si="3"/>
        <v>35.44671202</v>
      </c>
      <c r="AJ5" s="362">
        <f t="shared" ref="AJ5:AJ15" si="4">(AI5-Q5)/Q5</f>
        <v>0.1963115767</v>
      </c>
      <c r="AK5" s="363" t="str">
        <f>IFERROR(__xludf.DUMMYFUNCTION("IFERROR(if(D5&lt;&gt;"""", 
  AVERAGE(
    QUERY(
      IMPORTRANGE(""1-uH1wy6jSm5jYL9je6fN1K5RJ5QMvHntodEHZRtIvTk"", ""All Data!N2:U""),
      ""select Col8 where Col1 = '"" &amp; D5 &amp; ""' and Col8 is not null"",
      0
    )
  )/100,
""""),
  """"
)
"),"")</f>
        <v/>
      </c>
    </row>
    <row r="6">
      <c r="A6" s="108"/>
      <c r="B6" s="108"/>
      <c r="C6" s="108">
        <v>45388.0</v>
      </c>
      <c r="D6" s="113">
        <v>200002.0</v>
      </c>
      <c r="E6" s="322" t="s">
        <v>1930</v>
      </c>
      <c r="F6" s="322" t="s">
        <v>1984</v>
      </c>
      <c r="G6" s="322" t="s">
        <v>1985</v>
      </c>
      <c r="H6" s="4" t="s">
        <v>88</v>
      </c>
      <c r="I6" s="4">
        <v>21.03</v>
      </c>
      <c r="J6" s="4" t="s">
        <v>92</v>
      </c>
      <c r="K6" s="4">
        <v>10.0</v>
      </c>
      <c r="L6" s="172"/>
      <c r="M6" s="172"/>
      <c r="N6" s="172"/>
      <c r="O6" s="357"/>
      <c r="P6" s="357"/>
      <c r="Q6" s="358">
        <f t="shared" si="1"/>
        <v>31.03</v>
      </c>
      <c r="R6" s="359">
        <v>8.69</v>
      </c>
      <c r="S6" s="360">
        <f t="shared" si="2"/>
        <v>0.280051563</v>
      </c>
      <c r="T6" s="337">
        <v>57940.0</v>
      </c>
      <c r="U6" s="4" t="s">
        <v>1991</v>
      </c>
      <c r="V6" s="337">
        <v>31840.0</v>
      </c>
      <c r="W6" s="4" t="s">
        <v>1992</v>
      </c>
      <c r="X6" s="113">
        <v>345485.0</v>
      </c>
      <c r="Y6" s="337">
        <v>80240.0</v>
      </c>
      <c r="Z6" s="4" t="s">
        <v>1993</v>
      </c>
      <c r="AA6" s="337">
        <v>31280.0</v>
      </c>
      <c r="AB6" s="4" t="s">
        <v>1994</v>
      </c>
      <c r="AC6" s="113">
        <v>345484.0</v>
      </c>
      <c r="AD6" s="337"/>
      <c r="AE6" s="4"/>
      <c r="AF6" s="337"/>
      <c r="AG6" s="4"/>
      <c r="AH6" s="112"/>
      <c r="AI6" s="361">
        <f t="shared" si="3"/>
        <v>34.04081633</v>
      </c>
      <c r="AJ6" s="362">
        <f t="shared" si="4"/>
        <v>0.09702920807</v>
      </c>
      <c r="AK6" s="363" t="str">
        <f>IFERROR(__xludf.DUMMYFUNCTION("IFERROR(if(D6&lt;&gt;"""", 
  AVERAGE(
    QUERY(
      IMPORTRANGE(""1-uH1wy6jSm5jYL9je6fN1K5RJ5QMvHntodEHZRtIvTk"", ""All Data!N2:U""),
      ""select Col8 where Col1 = '"" &amp; D6 &amp; ""' and Col8 is not null"",
      0
    )
  )/100,
""""),
  """"
)
"),"")</f>
        <v/>
      </c>
    </row>
    <row r="7">
      <c r="A7" s="108"/>
      <c r="B7" s="108"/>
      <c r="C7" s="108">
        <v>45395.0</v>
      </c>
      <c r="D7" s="113">
        <v>200003.0</v>
      </c>
      <c r="E7" s="322" t="s">
        <v>1930</v>
      </c>
      <c r="F7" s="322" t="s">
        <v>1984</v>
      </c>
      <c r="G7" s="322" t="s">
        <v>1985</v>
      </c>
      <c r="H7" s="4" t="s">
        <v>92</v>
      </c>
      <c r="I7" s="4">
        <v>10.04</v>
      </c>
      <c r="J7" s="4" t="s">
        <v>94</v>
      </c>
      <c r="K7" s="4">
        <v>21.0</v>
      </c>
      <c r="L7" s="172"/>
      <c r="M7" s="172"/>
      <c r="N7" s="172"/>
      <c r="O7" s="357"/>
      <c r="P7" s="357"/>
      <c r="Q7" s="358">
        <f t="shared" si="1"/>
        <v>31.04</v>
      </c>
      <c r="R7" s="359">
        <v>29.3</v>
      </c>
      <c r="S7" s="360">
        <f t="shared" si="2"/>
        <v>0.943943299</v>
      </c>
      <c r="T7" s="337">
        <v>56860.0</v>
      </c>
      <c r="U7" s="4" t="s">
        <v>1995</v>
      </c>
      <c r="V7" s="337">
        <v>31740.0</v>
      </c>
      <c r="W7" s="4" t="s">
        <v>1996</v>
      </c>
      <c r="X7" s="113">
        <v>345509.0</v>
      </c>
      <c r="Y7" s="364">
        <v>79120.0</v>
      </c>
      <c r="Z7" s="4" t="s">
        <v>1997</v>
      </c>
      <c r="AA7" s="364">
        <v>31760.0</v>
      </c>
      <c r="AB7" s="4" t="s">
        <v>1998</v>
      </c>
      <c r="AC7" s="113">
        <v>345508.0</v>
      </c>
      <c r="AD7" s="364"/>
      <c r="AE7" s="4"/>
      <c r="AF7" s="364"/>
      <c r="AG7" s="4"/>
      <c r="AH7" s="112"/>
      <c r="AI7" s="361">
        <f t="shared" si="3"/>
        <v>32.8707483</v>
      </c>
      <c r="AJ7" s="362">
        <f t="shared" si="4"/>
        <v>0.05898029315</v>
      </c>
      <c r="AK7" s="363" t="str">
        <f>IFERROR(__xludf.DUMMYFUNCTION("IFERROR(if(D7&lt;&gt;"""", 
  AVERAGE(
    QUERY(
      IMPORTRANGE(""1-uH1wy6jSm5jYL9je6fN1K5RJ5QMvHntodEHZRtIvTk"", ""All Data!N2:U""),
      ""select Col8 where Col1 = '"" &amp; D7 &amp; ""' and Col8 is not null"",
      0
    )
  )/100,
""""),
  """"
)
"),"")</f>
        <v/>
      </c>
    </row>
    <row r="8">
      <c r="A8" s="108"/>
      <c r="B8" s="108"/>
      <c r="C8" s="108">
        <v>45399.0</v>
      </c>
      <c r="D8" s="113">
        <v>200004.0</v>
      </c>
      <c r="E8" s="322" t="s">
        <v>1930</v>
      </c>
      <c r="F8" s="322" t="s">
        <v>1984</v>
      </c>
      <c r="G8" s="322" t="s">
        <v>1985</v>
      </c>
      <c r="H8" s="4" t="s">
        <v>98</v>
      </c>
      <c r="I8" s="4">
        <v>10.2</v>
      </c>
      <c r="J8" s="4" t="s">
        <v>101</v>
      </c>
      <c r="K8" s="4">
        <v>20.63</v>
      </c>
      <c r="L8" s="172"/>
      <c r="M8" s="172"/>
      <c r="N8" s="172"/>
      <c r="O8" s="357"/>
      <c r="P8" s="357"/>
      <c r="Q8" s="358">
        <f t="shared" si="1"/>
        <v>30.83</v>
      </c>
      <c r="R8" s="359">
        <v>31.35</v>
      </c>
      <c r="S8" s="360">
        <f t="shared" si="2"/>
        <v>1.016866688</v>
      </c>
      <c r="T8" s="337">
        <v>63040.0</v>
      </c>
      <c r="U8" s="4" t="s">
        <v>1999</v>
      </c>
      <c r="V8" s="337">
        <v>30860.0</v>
      </c>
      <c r="W8" s="4" t="s">
        <v>2000</v>
      </c>
      <c r="X8" s="113">
        <v>345525.0</v>
      </c>
      <c r="Y8" s="337">
        <v>77320.0</v>
      </c>
      <c r="Z8" s="4" t="s">
        <v>2001</v>
      </c>
      <c r="AA8" s="337">
        <v>31540.0</v>
      </c>
      <c r="AB8" s="4" t="s">
        <v>2002</v>
      </c>
      <c r="AC8" s="113">
        <v>345524.0</v>
      </c>
      <c r="AD8" s="337"/>
      <c r="AE8" s="4"/>
      <c r="AF8" s="337"/>
      <c r="AG8" s="4"/>
      <c r="AH8" s="112"/>
      <c r="AI8" s="361">
        <f t="shared" si="3"/>
        <v>35.35600907</v>
      </c>
      <c r="AJ8" s="362">
        <f t="shared" si="4"/>
        <v>0.1468053542</v>
      </c>
      <c r="AK8" s="363" t="str">
        <f>IFERROR(__xludf.DUMMYFUNCTION("IFERROR(if(D8&lt;&gt;"""", 
  AVERAGE(
    QUERY(
      IMPORTRANGE(""1-uH1wy6jSm5jYL9je6fN1K5RJ5QMvHntodEHZRtIvTk"", ""All Data!N2:U""),
      ""select Col8 where Col1 = '"" &amp; D8 &amp; ""' and Col8 is not null"",
      0
    )
  )/100,
""""),
  """"
)
"),"")</f>
        <v/>
      </c>
    </row>
    <row r="9">
      <c r="A9" s="108"/>
      <c r="B9" s="108"/>
      <c r="C9" s="365">
        <v>45422.0</v>
      </c>
      <c r="D9" s="113">
        <v>200005.0</v>
      </c>
      <c r="E9" s="322" t="s">
        <v>2003</v>
      </c>
      <c r="F9" s="322" t="s">
        <v>1984</v>
      </c>
      <c r="G9" s="322" t="s">
        <v>1985</v>
      </c>
      <c r="H9" s="4" t="s">
        <v>109</v>
      </c>
      <c r="I9" s="4">
        <v>10.83</v>
      </c>
      <c r="J9" s="4" t="s">
        <v>112</v>
      </c>
      <c r="K9" s="4">
        <v>20.14</v>
      </c>
      <c r="L9" s="172"/>
      <c r="M9" s="172"/>
      <c r="N9" s="172"/>
      <c r="O9" s="357"/>
      <c r="P9" s="357"/>
      <c r="Q9" s="358">
        <f t="shared" si="1"/>
        <v>30.97</v>
      </c>
      <c r="R9" s="366" t="str">
        <f t="shared" ref="R9:R65" si="5">IF($E9="Production",IF(OR($F9="Inject Vaulted",$F9="Inject/Dispose Mix"),IF($G9="Complete",Q9*S9,""),""),"")</f>
        <v/>
      </c>
      <c r="S9" s="359">
        <f t="shared" ref="S9:S78" si="6">AVERAGE($S$4:$S$8)</f>
        <v>0.7047720401</v>
      </c>
      <c r="T9" s="337">
        <v>75320.0</v>
      </c>
      <c r="U9" s="4" t="s">
        <v>2004</v>
      </c>
      <c r="V9" s="337">
        <v>32080.0</v>
      </c>
      <c r="W9" s="4" t="s">
        <v>2005</v>
      </c>
      <c r="X9" s="113">
        <v>345539.0</v>
      </c>
      <c r="Y9" s="337">
        <v>57780.0</v>
      </c>
      <c r="Z9" s="4" t="s">
        <v>2006</v>
      </c>
      <c r="AA9" s="337">
        <v>32080.0</v>
      </c>
      <c r="AB9" s="4" t="s">
        <v>2007</v>
      </c>
      <c r="AC9" s="113">
        <v>345540.0</v>
      </c>
      <c r="AD9" s="337"/>
      <c r="AE9" s="337"/>
      <c r="AF9" s="337"/>
      <c r="AG9" s="112"/>
      <c r="AH9" s="112"/>
      <c r="AI9" s="361">
        <f t="shared" si="3"/>
        <v>31.26530612</v>
      </c>
      <c r="AJ9" s="362">
        <f t="shared" si="4"/>
        <v>0.009535231593</v>
      </c>
      <c r="AK9" s="363" t="str">
        <f>IFERROR(__xludf.DUMMYFUNCTION("IFERROR(if(D9&lt;&gt;"""", 
  AVERAGE(
    QUERY(
      IMPORTRANGE(""1-uH1wy6jSm5jYL9je6fN1K5RJ5QMvHntodEHZRtIvTk"", ""All Data!N2:U""),
      ""select Col8 where Col1 = '"" &amp; D9 &amp; ""' and Col8 is not null"",
      0
    )
  )/100,
""""),
  """"
)
"),"")</f>
        <v/>
      </c>
    </row>
    <row r="10">
      <c r="A10" s="108"/>
      <c r="B10" s="108"/>
      <c r="C10" s="365">
        <v>45423.0</v>
      </c>
      <c r="D10" s="113">
        <v>200006.0</v>
      </c>
      <c r="E10" s="322" t="s">
        <v>2003</v>
      </c>
      <c r="F10" s="322" t="s">
        <v>1984</v>
      </c>
      <c r="G10" s="322" t="s">
        <v>1985</v>
      </c>
      <c r="H10" s="4" t="s">
        <v>109</v>
      </c>
      <c r="I10" s="4">
        <v>10.0</v>
      </c>
      <c r="J10" s="4" t="s">
        <v>98</v>
      </c>
      <c r="K10" s="4">
        <v>10.0</v>
      </c>
      <c r="L10" s="172"/>
      <c r="M10" s="172"/>
      <c r="N10" s="172"/>
      <c r="O10" s="357"/>
      <c r="P10" s="357"/>
      <c r="Q10" s="358">
        <f t="shared" si="1"/>
        <v>20</v>
      </c>
      <c r="R10" s="366" t="str">
        <f t="shared" si="5"/>
        <v/>
      </c>
      <c r="S10" s="359">
        <f t="shared" si="6"/>
        <v>0.7047720401</v>
      </c>
      <c r="T10" s="337">
        <v>85580.0</v>
      </c>
      <c r="U10" s="337" t="s">
        <v>2008</v>
      </c>
      <c r="V10" s="337">
        <v>31120.0</v>
      </c>
      <c r="W10" s="112" t="s">
        <v>2009</v>
      </c>
      <c r="X10" s="113">
        <v>345541.0</v>
      </c>
      <c r="Y10" s="337">
        <v>61000.0</v>
      </c>
      <c r="Z10" s="337" t="s">
        <v>2010</v>
      </c>
      <c r="AA10" s="337">
        <v>31980.0</v>
      </c>
      <c r="AB10" s="4" t="s">
        <v>2011</v>
      </c>
      <c r="AC10" s="113">
        <v>345542.0</v>
      </c>
      <c r="AD10" s="337"/>
      <c r="AE10" s="337"/>
      <c r="AF10" s="337"/>
      <c r="AG10" s="4"/>
      <c r="AH10" s="112"/>
      <c r="AI10" s="361">
        <f t="shared" si="3"/>
        <v>37.85941043</v>
      </c>
      <c r="AJ10" s="362">
        <f t="shared" si="4"/>
        <v>0.8929705215</v>
      </c>
      <c r="AK10" s="363" t="str">
        <f>IFERROR(__xludf.DUMMYFUNCTION("IFERROR(if(D10&lt;&gt;"""", 
  AVERAGE(
    QUERY(
      IMPORTRANGE(""1-uH1wy6jSm5jYL9je6fN1K5RJ5QMvHntodEHZRtIvTk"", ""All Data!N2:U""),
      ""select Col8 where Col1 = '"" &amp; D10 &amp; ""' and Col8 is not null"",
      0
    )
  )/100,
""""),
  """"
)
"),"")</f>
        <v/>
      </c>
    </row>
    <row r="11">
      <c r="A11" s="108"/>
      <c r="B11" s="108"/>
      <c r="C11" s="365">
        <v>45428.0</v>
      </c>
      <c r="D11" s="113">
        <v>200007.0</v>
      </c>
      <c r="E11" s="322" t="s">
        <v>2003</v>
      </c>
      <c r="F11" s="322" t="s">
        <v>1984</v>
      </c>
      <c r="G11" s="322" t="s">
        <v>1985</v>
      </c>
      <c r="H11" s="4" t="s">
        <v>125</v>
      </c>
      <c r="I11" s="4">
        <v>20.15</v>
      </c>
      <c r="J11" s="4" t="s">
        <v>103</v>
      </c>
      <c r="K11" s="4">
        <v>9.69</v>
      </c>
      <c r="L11" s="4"/>
      <c r="M11" s="4" t="s">
        <v>1432</v>
      </c>
      <c r="N11" s="4">
        <v>10.0</v>
      </c>
      <c r="O11" s="357"/>
      <c r="P11" s="357"/>
      <c r="Q11" s="358">
        <f t="shared" si="1"/>
        <v>39.84</v>
      </c>
      <c r="R11" s="366" t="str">
        <f t="shared" si="5"/>
        <v/>
      </c>
      <c r="S11" s="359">
        <f t="shared" si="6"/>
        <v>0.7047720401</v>
      </c>
      <c r="T11" s="337">
        <v>65560.0</v>
      </c>
      <c r="U11" s="4" t="s">
        <v>2012</v>
      </c>
      <c r="V11" s="337">
        <v>32540.0</v>
      </c>
      <c r="W11" s="4" t="s">
        <v>2013</v>
      </c>
      <c r="X11" s="113">
        <v>345551.0</v>
      </c>
      <c r="Y11" s="337">
        <v>52980.0</v>
      </c>
      <c r="Z11" s="4" t="s">
        <v>2014</v>
      </c>
      <c r="AA11" s="337">
        <v>32800.0</v>
      </c>
      <c r="AB11" s="4" t="s">
        <v>2015</v>
      </c>
      <c r="AC11" s="113">
        <v>345553.0</v>
      </c>
      <c r="AD11" s="337">
        <v>80600.0</v>
      </c>
      <c r="AE11" s="4" t="s">
        <v>2016</v>
      </c>
      <c r="AF11" s="337">
        <v>32820.0</v>
      </c>
      <c r="AG11" s="4" t="s">
        <v>2017</v>
      </c>
      <c r="AH11" s="113">
        <v>345558.0</v>
      </c>
      <c r="AI11" s="361">
        <f t="shared" si="3"/>
        <v>45.79591837</v>
      </c>
      <c r="AJ11" s="362">
        <f t="shared" si="4"/>
        <v>0.149495943</v>
      </c>
      <c r="AK11" s="363" t="str">
        <f>IFERROR(__xludf.DUMMYFUNCTION("IFERROR(if(D11&lt;&gt;"""", 
  AVERAGE(
    QUERY(
      IMPORTRANGE(""1-uH1wy6jSm5jYL9je6fN1K5RJ5QMvHntodEHZRtIvTk"", ""All Data!N2:U""),
      ""select Col8 where Col1 = '"" &amp; D11 &amp; ""' and Col8 is not null"",
      0
    )
  )/100,
""""),
  """"
)
"),"")</f>
        <v/>
      </c>
    </row>
    <row r="12">
      <c r="A12" s="108"/>
      <c r="B12" s="108"/>
      <c r="C12" s="365">
        <v>45433.0</v>
      </c>
      <c r="D12" s="113">
        <v>200008.0</v>
      </c>
      <c r="E12" s="322" t="s">
        <v>2003</v>
      </c>
      <c r="F12" s="322" t="s">
        <v>1984</v>
      </c>
      <c r="G12" s="322" t="s">
        <v>1985</v>
      </c>
      <c r="H12" s="4" t="s">
        <v>128</v>
      </c>
      <c r="I12" s="4">
        <v>20.59</v>
      </c>
      <c r="J12" s="4" t="s">
        <v>130</v>
      </c>
      <c r="K12" s="4">
        <v>11.09</v>
      </c>
      <c r="L12" s="172"/>
      <c r="M12" s="172"/>
      <c r="N12" s="172"/>
      <c r="O12" s="357"/>
      <c r="P12" s="357"/>
      <c r="Q12" s="358">
        <f t="shared" si="1"/>
        <v>31.68</v>
      </c>
      <c r="R12" s="366" t="str">
        <f t="shared" si="5"/>
        <v/>
      </c>
      <c r="S12" s="359">
        <f t="shared" si="6"/>
        <v>0.7047720401</v>
      </c>
      <c r="T12" s="337">
        <v>84320.0</v>
      </c>
      <c r="U12" s="4" t="s">
        <v>2018</v>
      </c>
      <c r="V12" s="337">
        <v>32900.0</v>
      </c>
      <c r="W12" s="4" t="s">
        <v>2019</v>
      </c>
      <c r="X12" s="113">
        <v>345573.0</v>
      </c>
      <c r="Y12" s="337">
        <v>68640.0</v>
      </c>
      <c r="Z12" s="4" t="s">
        <v>2020</v>
      </c>
      <c r="AA12" s="337">
        <v>31700.0</v>
      </c>
      <c r="AB12" s="4" t="s">
        <v>2021</v>
      </c>
      <c r="AC12" s="113">
        <v>345575.0</v>
      </c>
      <c r="AD12" s="8"/>
      <c r="AE12" s="108"/>
      <c r="AF12" s="8"/>
      <c r="AG12" s="108"/>
      <c r="AH12" s="172"/>
      <c r="AI12" s="361">
        <f t="shared" si="3"/>
        <v>40.07256236</v>
      </c>
      <c r="AJ12" s="362">
        <f t="shared" si="4"/>
        <v>0.2649167411</v>
      </c>
      <c r="AK12" s="363" t="str">
        <f>IFERROR(__xludf.DUMMYFUNCTION("IFERROR(if(D12&lt;&gt;"""", 
  AVERAGE(
    QUERY(
      IMPORTRANGE(""1-uH1wy6jSm5jYL9je6fN1K5RJ5QMvHntodEHZRtIvTk"", ""All Data!N2:U""),
      ""select Col8 where Col1 = '"" &amp; D12 &amp; ""' and Col8 is not null"",
      0
    )
  )/100,
""""),
  """"
)
"),"")</f>
        <v/>
      </c>
    </row>
    <row r="13">
      <c r="A13" s="108"/>
      <c r="B13" s="108"/>
      <c r="C13" s="365">
        <v>45435.0</v>
      </c>
      <c r="D13" s="113">
        <v>200009.0</v>
      </c>
      <c r="E13" s="322" t="s">
        <v>2003</v>
      </c>
      <c r="F13" s="322" t="s">
        <v>1984</v>
      </c>
      <c r="G13" s="322" t="s">
        <v>1985</v>
      </c>
      <c r="H13" s="4" t="s">
        <v>130</v>
      </c>
      <c r="I13" s="4">
        <v>10.2</v>
      </c>
      <c r="J13" s="4" t="s">
        <v>103</v>
      </c>
      <c r="K13" s="4">
        <v>8.65</v>
      </c>
      <c r="L13" s="172"/>
      <c r="M13" s="172"/>
      <c r="N13" s="172"/>
      <c r="O13" s="357"/>
      <c r="P13" s="357"/>
      <c r="Q13" s="358">
        <f t="shared" si="1"/>
        <v>18.85</v>
      </c>
      <c r="R13" s="366" t="str">
        <f t="shared" si="5"/>
        <v/>
      </c>
      <c r="S13" s="359">
        <f t="shared" si="6"/>
        <v>0.7047720401</v>
      </c>
      <c r="T13" s="337">
        <v>78320.0</v>
      </c>
      <c r="U13" s="4" t="s">
        <v>2022</v>
      </c>
      <c r="V13" s="337">
        <v>31220.0</v>
      </c>
      <c r="W13" s="4" t="s">
        <v>2023</v>
      </c>
      <c r="X13" s="113">
        <v>345592.0</v>
      </c>
      <c r="Y13" s="337">
        <v>63040.0</v>
      </c>
      <c r="Z13" s="4" t="s">
        <v>2024</v>
      </c>
      <c r="AA13" s="337">
        <v>32140.0</v>
      </c>
      <c r="AB13" s="4" t="s">
        <v>2025</v>
      </c>
      <c r="AC13" s="113">
        <v>345595.0</v>
      </c>
      <c r="AD13" s="337"/>
      <c r="AE13" s="4"/>
      <c r="AF13" s="337"/>
      <c r="AG13" s="4"/>
      <c r="AH13" s="112"/>
      <c r="AI13" s="361">
        <f t="shared" si="3"/>
        <v>35.37414966</v>
      </c>
      <c r="AJ13" s="362">
        <f t="shared" si="4"/>
        <v>0.8766127141</v>
      </c>
      <c r="AK13" s="363" t="str">
        <f>IFERROR(__xludf.DUMMYFUNCTION("IFERROR(if(D13&lt;&gt;"""", 
  AVERAGE(
    QUERY(
      IMPORTRANGE(""1-uH1wy6jSm5jYL9je6fN1K5RJ5QMvHntodEHZRtIvTk"", ""All Data!N2:U""),
      ""select Col8 where Col1 = '"" &amp; D13 &amp; ""' and Col8 is not null"",
      0
    )
  )/100,
""""),
  """"
)
"),"")</f>
        <v/>
      </c>
    </row>
    <row r="14">
      <c r="A14" s="108"/>
      <c r="B14" s="108"/>
      <c r="C14" s="365">
        <v>45436.0</v>
      </c>
      <c r="D14" s="113">
        <v>200010.0</v>
      </c>
      <c r="E14" s="322" t="s">
        <v>2003</v>
      </c>
      <c r="F14" s="322" t="s">
        <v>1984</v>
      </c>
      <c r="G14" s="322" t="s">
        <v>1985</v>
      </c>
      <c r="H14" s="4" t="s">
        <v>134</v>
      </c>
      <c r="I14" s="4">
        <v>20.0</v>
      </c>
      <c r="J14" s="4" t="s">
        <v>103</v>
      </c>
      <c r="K14" s="4">
        <v>9.3</v>
      </c>
      <c r="L14" s="172"/>
      <c r="M14" s="172"/>
      <c r="N14" s="172"/>
      <c r="O14" s="357"/>
      <c r="P14" s="357"/>
      <c r="Q14" s="358">
        <f t="shared" si="1"/>
        <v>29.3</v>
      </c>
      <c r="R14" s="366" t="str">
        <f t="shared" si="5"/>
        <v/>
      </c>
      <c r="S14" s="359">
        <f t="shared" si="6"/>
        <v>0.7047720401</v>
      </c>
      <c r="T14" s="337">
        <v>79980.0</v>
      </c>
      <c r="U14" s="4" t="s">
        <v>2026</v>
      </c>
      <c r="V14" s="337">
        <v>32800.0</v>
      </c>
      <c r="W14" s="4" t="s">
        <v>2027</v>
      </c>
      <c r="X14" s="113">
        <v>345602.0</v>
      </c>
      <c r="Y14" s="8"/>
      <c r="Z14" s="108"/>
      <c r="AA14" s="8"/>
      <c r="AB14" s="108"/>
      <c r="AC14" s="172"/>
      <c r="AD14" s="8"/>
      <c r="AE14" s="108"/>
      <c r="AF14" s="8"/>
      <c r="AG14" s="108"/>
      <c r="AH14" s="172"/>
      <c r="AI14" s="361">
        <f t="shared" si="3"/>
        <v>21.3968254</v>
      </c>
      <c r="AJ14" s="362">
        <f t="shared" si="4"/>
        <v>-0.2697329216</v>
      </c>
      <c r="AK14" s="363" t="str">
        <f>IFERROR(__xludf.DUMMYFUNCTION("IFERROR(if(D14&lt;&gt;"""", 
  AVERAGE(
    QUERY(
      IMPORTRANGE(""1-uH1wy6jSm5jYL9je6fN1K5RJ5QMvHntodEHZRtIvTk"", ""All Data!N2:U""),
      ""select Col8 where Col1 = '"" &amp; D14 &amp; ""' and Col8 is not null"",
      0
    )
  )/100,
""""),
  """"
)
"),"")</f>
        <v/>
      </c>
    </row>
    <row r="15">
      <c r="A15" s="108"/>
      <c r="B15" s="108"/>
      <c r="C15" s="365">
        <v>45437.0</v>
      </c>
      <c r="D15" s="113">
        <v>200011.0</v>
      </c>
      <c r="E15" s="322" t="s">
        <v>2003</v>
      </c>
      <c r="F15" s="322" t="s">
        <v>1984</v>
      </c>
      <c r="G15" s="322" t="s">
        <v>1985</v>
      </c>
      <c r="H15" s="4" t="s">
        <v>132</v>
      </c>
      <c r="I15" s="4">
        <v>20.46</v>
      </c>
      <c r="J15" s="4" t="s">
        <v>103</v>
      </c>
      <c r="K15" s="4">
        <v>7.87</v>
      </c>
      <c r="L15" s="4"/>
      <c r="M15" s="4" t="s">
        <v>2028</v>
      </c>
      <c r="N15" s="4">
        <v>1.59</v>
      </c>
      <c r="O15" s="357"/>
      <c r="P15" s="357"/>
      <c r="Q15" s="358">
        <f t="shared" si="1"/>
        <v>29.92</v>
      </c>
      <c r="R15" s="366" t="str">
        <f t="shared" si="5"/>
        <v/>
      </c>
      <c r="S15" s="359">
        <f t="shared" si="6"/>
        <v>0.7047720401</v>
      </c>
      <c r="T15" s="337">
        <v>85380.0</v>
      </c>
      <c r="U15" s="4" t="s">
        <v>2029</v>
      </c>
      <c r="V15" s="337">
        <v>31960.0</v>
      </c>
      <c r="W15" s="4" t="s">
        <v>2030</v>
      </c>
      <c r="X15" s="113">
        <v>345606.0</v>
      </c>
      <c r="Y15" s="337">
        <v>65480.0</v>
      </c>
      <c r="Z15" s="4" t="s">
        <v>2031</v>
      </c>
      <c r="AA15" s="337">
        <v>31340.0</v>
      </c>
      <c r="AB15" s="4" t="s">
        <v>2032</v>
      </c>
      <c r="AC15" s="113">
        <v>345607.0</v>
      </c>
      <c r="AD15" s="8"/>
      <c r="AE15" s="108"/>
      <c r="AF15" s="8"/>
      <c r="AG15" s="108"/>
      <c r="AH15" s="172"/>
      <c r="AI15" s="361">
        <f t="shared" si="3"/>
        <v>39.70975057</v>
      </c>
      <c r="AJ15" s="362">
        <f t="shared" si="4"/>
        <v>0.3271975457</v>
      </c>
      <c r="AK15" s="363" t="str">
        <f>IFERROR(__xludf.DUMMYFUNCTION("IFERROR(if(D15&lt;&gt;"""", 
  AVERAGE(
    QUERY(
      IMPORTRANGE(""1-uH1wy6jSm5jYL9je6fN1K5RJ5QMvHntodEHZRtIvTk"", ""All Data!N2:U""),
      ""select Col8 where Col1 = '"" &amp; D15 &amp; ""' and Col8 is not null"",
      0
    )
  )/100,
""""),
  """"
)
"),"")</f>
        <v/>
      </c>
    </row>
    <row r="16">
      <c r="A16" s="108"/>
      <c r="B16" s="108"/>
      <c r="C16" s="365">
        <v>45440.0</v>
      </c>
      <c r="D16" s="113">
        <v>200012.0</v>
      </c>
      <c r="E16" s="322" t="s">
        <v>2003</v>
      </c>
      <c r="F16" s="322" t="s">
        <v>1984</v>
      </c>
      <c r="G16" s="322" t="s">
        <v>1985</v>
      </c>
      <c r="H16" s="4" t="s">
        <v>138</v>
      </c>
      <c r="I16" s="4">
        <v>20.96</v>
      </c>
      <c r="J16" s="4" t="s">
        <v>103</v>
      </c>
      <c r="K16" s="4">
        <v>7.26</v>
      </c>
      <c r="L16" s="172"/>
      <c r="M16" s="172"/>
      <c r="N16" s="172"/>
      <c r="O16" s="357"/>
      <c r="P16" s="357"/>
      <c r="Q16" s="358">
        <f t="shared" si="1"/>
        <v>28.22</v>
      </c>
      <c r="R16" s="366" t="str">
        <f t="shared" si="5"/>
        <v/>
      </c>
      <c r="S16" s="359">
        <f t="shared" si="6"/>
        <v>0.7047720401</v>
      </c>
      <c r="T16" s="8"/>
      <c r="U16" s="108"/>
      <c r="V16" s="8"/>
      <c r="W16" s="108"/>
      <c r="X16" s="172"/>
      <c r="Y16" s="8"/>
      <c r="Z16" s="108"/>
      <c r="AA16" s="8"/>
      <c r="AB16" s="108"/>
      <c r="AC16" s="172"/>
      <c r="AD16" s="8"/>
      <c r="AE16" s="108"/>
      <c r="AF16" s="8"/>
      <c r="AG16" s="108"/>
      <c r="AH16" s="172"/>
      <c r="AI16" s="361"/>
      <c r="AJ16" s="362"/>
      <c r="AK16" s="363" t="str">
        <f>IFERROR(__xludf.DUMMYFUNCTION("IFERROR(if(D16&lt;&gt;"""", 
  AVERAGE(
    QUERY(
      IMPORTRANGE(""1-uH1wy6jSm5jYL9je6fN1K5RJ5QMvHntodEHZRtIvTk"", ""All Data!N2:U""),
      ""select Col8 where Col1 = '"" &amp; D16 &amp; ""' and Col8 is not null"",
      0
    )
  )/100,
""""),
  """"
)
"),"")</f>
        <v/>
      </c>
    </row>
    <row r="17">
      <c r="A17" s="108"/>
      <c r="B17" s="108"/>
      <c r="C17" s="365">
        <v>45442.0</v>
      </c>
      <c r="D17" s="113">
        <v>200013.0</v>
      </c>
      <c r="E17" s="322" t="s">
        <v>2003</v>
      </c>
      <c r="F17" s="322" t="s">
        <v>1984</v>
      </c>
      <c r="G17" s="322" t="s">
        <v>1985</v>
      </c>
      <c r="H17" s="4" t="s">
        <v>2028</v>
      </c>
      <c r="I17" s="4">
        <v>9.121</v>
      </c>
      <c r="J17" s="4" t="s">
        <v>103</v>
      </c>
      <c r="K17" s="4">
        <v>12.608</v>
      </c>
      <c r="L17" s="172"/>
      <c r="M17" s="172"/>
      <c r="N17" s="172"/>
      <c r="O17" s="357"/>
      <c r="P17" s="357"/>
      <c r="Q17" s="358">
        <f t="shared" si="1"/>
        <v>21.729</v>
      </c>
      <c r="R17" s="366" t="str">
        <f t="shared" si="5"/>
        <v/>
      </c>
      <c r="S17" s="359">
        <f t="shared" si="6"/>
        <v>0.7047720401</v>
      </c>
      <c r="T17" s="8"/>
      <c r="U17" s="8"/>
      <c r="V17" s="8"/>
      <c r="W17" s="172"/>
      <c r="X17" s="172"/>
      <c r="Y17" s="8"/>
      <c r="Z17" s="8"/>
      <c r="AA17" s="8"/>
      <c r="AB17" s="172"/>
      <c r="AC17" s="172"/>
      <c r="AD17" s="8"/>
      <c r="AE17" s="8"/>
      <c r="AF17" s="8"/>
      <c r="AG17" s="172"/>
      <c r="AH17" s="172"/>
      <c r="AI17" s="367"/>
      <c r="AJ17" s="362"/>
      <c r="AK17" s="363" t="str">
        <f>IFERROR(__xludf.DUMMYFUNCTION("IFERROR(if(D17&lt;&gt;"""", 
  AVERAGE(
    QUERY(
      IMPORTRANGE(""1-uH1wy6jSm5jYL9je6fN1K5RJ5QMvHntodEHZRtIvTk"", ""All Data!N2:U""),
      ""select Col8 where Col1 = '"" &amp; D17 &amp; ""' and Col8 is not null"",
      0
    )
  )/100,
""""),
  """"
)
"),"")</f>
        <v/>
      </c>
    </row>
    <row r="18">
      <c r="A18" s="108"/>
      <c r="B18" s="108"/>
      <c r="C18" s="365">
        <v>45443.0</v>
      </c>
      <c r="D18" s="113">
        <v>200014.0</v>
      </c>
      <c r="E18" s="322" t="s">
        <v>2003</v>
      </c>
      <c r="F18" s="322" t="s">
        <v>1984</v>
      </c>
      <c r="G18" s="322" t="s">
        <v>1985</v>
      </c>
      <c r="H18" s="4" t="s">
        <v>144</v>
      </c>
      <c r="I18" s="359">
        <v>10.206</v>
      </c>
      <c r="J18" s="4" t="s">
        <v>141</v>
      </c>
      <c r="K18" s="359">
        <v>20.273</v>
      </c>
      <c r="L18" s="4"/>
      <c r="M18" s="4"/>
      <c r="N18" s="172"/>
      <c r="O18" s="357"/>
      <c r="P18" s="357"/>
      <c r="Q18" s="358">
        <f t="shared" si="1"/>
        <v>30.479</v>
      </c>
      <c r="R18" s="366" t="str">
        <f t="shared" si="5"/>
        <v/>
      </c>
      <c r="S18" s="359">
        <f t="shared" si="6"/>
        <v>0.7047720401</v>
      </c>
      <c r="T18" s="8"/>
      <c r="U18" s="8"/>
      <c r="V18" s="8"/>
      <c r="W18" s="172"/>
      <c r="X18" s="172"/>
      <c r="Y18" s="8"/>
      <c r="Z18" s="8"/>
      <c r="AA18" s="8"/>
      <c r="AB18" s="172"/>
      <c r="AC18" s="172"/>
      <c r="AD18" s="8"/>
      <c r="AE18" s="8"/>
      <c r="AF18" s="8"/>
      <c r="AG18" s="172"/>
      <c r="AH18" s="172"/>
      <c r="AI18" s="367"/>
      <c r="AJ18" s="362"/>
      <c r="AK18" s="363" t="str">
        <f>IFERROR(__xludf.DUMMYFUNCTION("IFERROR(if(D18&lt;&gt;"""", 
  AVERAGE(
    QUERY(
      IMPORTRANGE(""1-uH1wy6jSm5jYL9je6fN1K5RJ5QMvHntodEHZRtIvTk"", ""All Data!N2:U""),
      ""select Col8 where Col1 = '"" &amp; D18 &amp; ""' and Col8 is not null"",
      0
    )
  )/100,
""""),
  """"
)
"),"")</f>
        <v/>
      </c>
    </row>
    <row r="19">
      <c r="A19" s="108"/>
      <c r="B19" s="108"/>
      <c r="C19" s="108"/>
      <c r="D19" s="113">
        <v>200015.0</v>
      </c>
      <c r="E19" s="322" t="s">
        <v>2003</v>
      </c>
      <c r="F19" s="322" t="s">
        <v>2033</v>
      </c>
      <c r="G19" s="322" t="s">
        <v>1985</v>
      </c>
      <c r="H19" s="368" t="s">
        <v>144</v>
      </c>
      <c r="I19" s="4">
        <v>9.07</v>
      </c>
      <c r="J19" s="4" t="s">
        <v>103</v>
      </c>
      <c r="K19" s="4">
        <v>13.16</v>
      </c>
      <c r="L19" s="322"/>
      <c r="M19" s="322" t="s">
        <v>114</v>
      </c>
      <c r="N19" s="4">
        <v>8.79</v>
      </c>
      <c r="O19" s="357"/>
      <c r="P19" s="357"/>
      <c r="Q19" s="358">
        <f t="shared" si="1"/>
        <v>31.02</v>
      </c>
      <c r="R19" s="366" t="str">
        <f t="shared" si="5"/>
        <v/>
      </c>
      <c r="S19" s="359">
        <f t="shared" si="6"/>
        <v>0.7047720401</v>
      </c>
      <c r="T19" s="8"/>
      <c r="U19" s="8"/>
      <c r="V19" s="8"/>
      <c r="W19" s="172"/>
      <c r="X19" s="172"/>
      <c r="Y19" s="8"/>
      <c r="Z19" s="8"/>
      <c r="AA19" s="8"/>
      <c r="AB19" s="172"/>
      <c r="AC19" s="172"/>
      <c r="AD19" s="8"/>
      <c r="AE19" s="8"/>
      <c r="AF19" s="8"/>
      <c r="AG19" s="172"/>
      <c r="AH19" s="172"/>
      <c r="AI19" s="367"/>
      <c r="AJ19" s="362"/>
      <c r="AK19" s="363" t="str">
        <f>IFERROR(__xludf.DUMMYFUNCTION("IFERROR(if(D19&lt;&gt;"""", 
  AVERAGE(
    QUERY(
      IMPORTRANGE(""1-uH1wy6jSm5jYL9je6fN1K5RJ5QMvHntodEHZRtIvTk"", ""All Data!N2:U""),
      ""select Col8 where Col1 = '"" &amp; D19 &amp; ""' and Col8 is not null"",
      0
    )
  )/100,
""""),
  """"
)
"),"")</f>
        <v/>
      </c>
    </row>
    <row r="20">
      <c r="A20" s="108"/>
      <c r="B20" s="108"/>
      <c r="C20" s="108">
        <v>45447.0</v>
      </c>
      <c r="D20" s="113">
        <v>200016.0</v>
      </c>
      <c r="E20" s="322" t="s">
        <v>2003</v>
      </c>
      <c r="F20" s="322" t="s">
        <v>1984</v>
      </c>
      <c r="G20" s="322" t="s">
        <v>1985</v>
      </c>
      <c r="H20" s="4" t="s">
        <v>2034</v>
      </c>
      <c r="I20" s="4">
        <v>23.09</v>
      </c>
      <c r="J20" s="369" t="s">
        <v>2035</v>
      </c>
      <c r="O20" s="370"/>
      <c r="P20" s="370"/>
      <c r="Q20" s="371">
        <f>16*(2000/2205)</f>
        <v>14.51247166</v>
      </c>
      <c r="R20" s="366" t="str">
        <f t="shared" si="5"/>
        <v/>
      </c>
      <c r="S20" s="359">
        <f t="shared" si="6"/>
        <v>0.7047720401</v>
      </c>
      <c r="T20" s="8"/>
      <c r="U20" s="8"/>
      <c r="V20" s="8"/>
      <c r="W20" s="172"/>
      <c r="X20" s="172"/>
      <c r="Y20" s="8"/>
      <c r="Z20" s="8"/>
      <c r="AA20" s="8"/>
      <c r="AB20" s="172"/>
      <c r="AC20" s="172"/>
      <c r="AD20" s="8"/>
      <c r="AE20" s="8"/>
      <c r="AF20" s="8"/>
      <c r="AG20" s="172"/>
      <c r="AH20" s="172"/>
      <c r="AI20" s="367"/>
      <c r="AJ20" s="362"/>
      <c r="AK20" s="363" t="str">
        <f>IFERROR(__xludf.DUMMYFUNCTION("IFERROR(if(D20&lt;&gt;"""", 
  AVERAGE(
    QUERY(
      IMPORTRANGE(""1-uH1wy6jSm5jYL9je6fN1K5RJ5QMvHntodEHZRtIvTk"", ""All Data!N2:U""),
      ""select Col8 where Col1 = '"" &amp; D20 &amp; ""' and Col8 is not null"",
      0
    )
  )/100,
""""),
  """"
)
"),"")</f>
        <v/>
      </c>
    </row>
    <row r="21">
      <c r="A21" s="108"/>
      <c r="B21" s="108"/>
      <c r="C21" s="108">
        <v>45449.0</v>
      </c>
      <c r="D21" s="113">
        <v>200017.0</v>
      </c>
      <c r="E21" s="322" t="s">
        <v>2003</v>
      </c>
      <c r="F21" s="322" t="s">
        <v>1984</v>
      </c>
      <c r="G21" s="322" t="s">
        <v>1985</v>
      </c>
      <c r="H21" s="4" t="s">
        <v>2034</v>
      </c>
      <c r="I21" s="4">
        <v>16.39</v>
      </c>
      <c r="O21" s="370"/>
      <c r="P21" s="370"/>
      <c r="Q21" s="371">
        <f>19*(2000/2205)</f>
        <v>17.23356009</v>
      </c>
      <c r="R21" s="366" t="str">
        <f t="shared" si="5"/>
        <v/>
      </c>
      <c r="S21" s="359">
        <f t="shared" si="6"/>
        <v>0.7047720401</v>
      </c>
      <c r="T21" s="337">
        <v>65960.0</v>
      </c>
      <c r="U21" s="337" t="s">
        <v>2036</v>
      </c>
      <c r="V21" s="337">
        <v>32540.0</v>
      </c>
      <c r="W21" s="4" t="s">
        <v>2037</v>
      </c>
      <c r="X21" s="4">
        <v>345669.0</v>
      </c>
      <c r="Y21" s="337">
        <v>36420.0</v>
      </c>
      <c r="Z21" s="337" t="s">
        <v>2038</v>
      </c>
      <c r="AA21" s="337">
        <v>31680.0</v>
      </c>
      <c r="AB21" s="4" t="s">
        <v>2039</v>
      </c>
      <c r="AC21" s="4">
        <v>345672.0</v>
      </c>
      <c r="AD21" s="8"/>
      <c r="AE21" s="8"/>
      <c r="AF21" s="8"/>
      <c r="AG21" s="172"/>
      <c r="AH21" s="172"/>
      <c r="AI21" s="367"/>
      <c r="AJ21" s="362"/>
      <c r="AK21" s="363" t="str">
        <f>IFERROR(__xludf.DUMMYFUNCTION("IFERROR(if(D21&lt;&gt;"""", 
  AVERAGE(
    QUERY(
      IMPORTRANGE(""1-uH1wy6jSm5jYL9je6fN1K5RJ5QMvHntodEHZRtIvTk"", ""All Data!N2:U""),
      ""select Col8 where Col1 = '"" &amp; D21 &amp; ""' and Col8 is not null"",
      0
    )
  )/100,
""""),
  """"
)
"),"")</f>
        <v/>
      </c>
    </row>
    <row r="22">
      <c r="A22" s="108"/>
      <c r="B22" s="108"/>
      <c r="C22" s="108"/>
      <c r="D22" s="113">
        <v>200018.0</v>
      </c>
      <c r="E22" s="322" t="s">
        <v>2003</v>
      </c>
      <c r="F22" s="322" t="s">
        <v>2033</v>
      </c>
      <c r="G22" s="322" t="s">
        <v>1985</v>
      </c>
      <c r="H22" s="4" t="s">
        <v>147</v>
      </c>
      <c r="I22" s="4">
        <v>20.55</v>
      </c>
      <c r="O22" s="357"/>
      <c r="P22" s="357"/>
      <c r="Q22" s="358">
        <f>N22+K22+I22</f>
        <v>20.55</v>
      </c>
      <c r="R22" s="366" t="str">
        <f t="shared" si="5"/>
        <v/>
      </c>
      <c r="S22" s="359">
        <f t="shared" si="6"/>
        <v>0.7047720401</v>
      </c>
      <c r="T22" s="8"/>
      <c r="U22" s="8"/>
      <c r="V22" s="8"/>
      <c r="W22" s="172"/>
      <c r="X22" s="172"/>
      <c r="Y22" s="8"/>
      <c r="Z22" s="8"/>
      <c r="AA22" s="8"/>
      <c r="AB22" s="172"/>
      <c r="AC22" s="172"/>
      <c r="AD22" s="8"/>
      <c r="AE22" s="8"/>
      <c r="AF22" s="8"/>
      <c r="AG22" s="172"/>
      <c r="AH22" s="172"/>
      <c r="AI22" s="367"/>
      <c r="AJ22" s="362"/>
      <c r="AK22" s="363" t="str">
        <f>IFERROR(__xludf.DUMMYFUNCTION("IFERROR(if(D22&lt;&gt;"""", 
  AVERAGE(
    QUERY(
      IMPORTRANGE(""1-uH1wy6jSm5jYL9je6fN1K5RJ5QMvHntodEHZRtIvTk"", ""All Data!N2:U""),
      ""select Col8 where Col1 = '"" &amp; D22 &amp; ""' and Col8 is not null"",
      0
    )
  )/100,
""""),
  """"
)
"),"")</f>
        <v/>
      </c>
    </row>
    <row r="23">
      <c r="A23" s="108"/>
      <c r="B23" s="108"/>
      <c r="C23" s="108">
        <v>45454.0</v>
      </c>
      <c r="D23" s="113">
        <v>200019.0</v>
      </c>
      <c r="E23" s="322" t="s">
        <v>2003</v>
      </c>
      <c r="F23" s="322" t="s">
        <v>1984</v>
      </c>
      <c r="G23" s="322" t="s">
        <v>1985</v>
      </c>
      <c r="H23" s="172"/>
      <c r="I23" s="172"/>
      <c r="O23" s="370"/>
      <c r="P23" s="370"/>
      <c r="Q23" s="371">
        <v>10.0</v>
      </c>
      <c r="R23" s="366" t="str">
        <f t="shared" si="5"/>
        <v/>
      </c>
      <c r="S23" s="359">
        <f t="shared" si="6"/>
        <v>0.7047720401</v>
      </c>
      <c r="T23" s="8"/>
      <c r="U23" s="8"/>
      <c r="V23" s="8"/>
      <c r="W23" s="172"/>
      <c r="X23" s="172"/>
      <c r="Y23" s="8"/>
      <c r="Z23" s="8"/>
      <c r="AA23" s="8"/>
      <c r="AB23" s="172"/>
      <c r="AC23" s="172"/>
      <c r="AD23" s="8"/>
      <c r="AE23" s="8"/>
      <c r="AF23" s="8"/>
      <c r="AG23" s="172"/>
      <c r="AH23" s="172"/>
      <c r="AI23" s="367"/>
      <c r="AJ23" s="362"/>
      <c r="AK23" s="363" t="str">
        <f>IFERROR(__xludf.DUMMYFUNCTION("IFERROR(if(D23&lt;&gt;"""", 
  AVERAGE(
    QUERY(
      IMPORTRANGE(""1-uH1wy6jSm5jYL9je6fN1K5RJ5QMvHntodEHZRtIvTk"", ""All Data!N2:U""),
      ""select Col8 where Col1 = '"" &amp; D23 &amp; ""' and Col8 is not null"",
      0
    )
  )/100,
""""),
  """"
)
"),"")</f>
        <v/>
      </c>
    </row>
    <row r="24">
      <c r="A24" s="108"/>
      <c r="B24" s="108"/>
      <c r="C24" s="108">
        <v>45457.0</v>
      </c>
      <c r="D24" s="113">
        <v>200020.0</v>
      </c>
      <c r="E24" s="322" t="s">
        <v>2003</v>
      </c>
      <c r="F24" s="322" t="s">
        <v>1984</v>
      </c>
      <c r="G24" s="322" t="s">
        <v>1985</v>
      </c>
      <c r="H24" s="172"/>
      <c r="I24" s="172"/>
      <c r="O24" s="370"/>
      <c r="P24" s="370"/>
      <c r="Q24" s="371">
        <v>15.0</v>
      </c>
      <c r="R24" s="366" t="str">
        <f t="shared" si="5"/>
        <v/>
      </c>
      <c r="S24" s="359">
        <f t="shared" si="6"/>
        <v>0.7047720401</v>
      </c>
      <c r="T24" s="8"/>
      <c r="U24" s="8"/>
      <c r="V24" s="8"/>
      <c r="W24" s="172"/>
      <c r="X24" s="172"/>
      <c r="Y24" s="8"/>
      <c r="Z24" s="8"/>
      <c r="AA24" s="8"/>
      <c r="AB24" s="172"/>
      <c r="AC24" s="172"/>
      <c r="AD24" s="8"/>
      <c r="AE24" s="8"/>
      <c r="AF24" s="8"/>
      <c r="AG24" s="172"/>
      <c r="AH24" s="172"/>
      <c r="AI24" s="367"/>
      <c r="AJ24" s="362"/>
      <c r="AK24" s="363" t="str">
        <f>IFERROR(__xludf.DUMMYFUNCTION("IFERROR(if(D24&lt;&gt;"""", 
  AVERAGE(
    QUERY(
      IMPORTRANGE(""1-uH1wy6jSm5jYL9je6fN1K5RJ5QMvHntodEHZRtIvTk"", ""All Data!N2:U""),
      ""select Col8 where Col1 = '"" &amp; D24 &amp; ""' and Col8 is not null"",
      0
    )
  )/100,
""""),
  """"
)
"),"")</f>
        <v/>
      </c>
    </row>
    <row r="25">
      <c r="A25" s="108"/>
      <c r="B25" s="108"/>
      <c r="C25" s="108"/>
      <c r="D25" s="113">
        <v>200021.0</v>
      </c>
      <c r="E25" s="322" t="s">
        <v>2003</v>
      </c>
      <c r="F25" s="322" t="s">
        <v>1984</v>
      </c>
      <c r="G25" s="322" t="s">
        <v>1985</v>
      </c>
      <c r="H25" s="4" t="s">
        <v>162</v>
      </c>
      <c r="I25" s="4">
        <v>20.58</v>
      </c>
      <c r="J25" s="322" t="s">
        <v>155</v>
      </c>
      <c r="K25" s="372">
        <v>11.29</v>
      </c>
      <c r="L25" s="372"/>
      <c r="M25" s="372"/>
      <c r="N25" s="372"/>
      <c r="O25" s="357"/>
      <c r="P25" s="357"/>
      <c r="Q25" s="358">
        <f t="shared" ref="Q25:Q80" si="7">N25+K25+I25</f>
        <v>31.87</v>
      </c>
      <c r="R25" s="366" t="str">
        <f t="shared" si="5"/>
        <v/>
      </c>
      <c r="S25" s="359">
        <f t="shared" si="6"/>
        <v>0.7047720401</v>
      </c>
      <c r="T25" s="8"/>
      <c r="U25" s="4"/>
      <c r="V25" s="337"/>
      <c r="W25" s="4"/>
      <c r="X25" s="112"/>
      <c r="Y25" s="337"/>
      <c r="Z25" s="337"/>
      <c r="AA25" s="337"/>
      <c r="AB25" s="4"/>
      <c r="AC25" s="112"/>
      <c r="AD25" s="8"/>
      <c r="AE25" s="8"/>
      <c r="AF25" s="8"/>
      <c r="AG25" s="172"/>
      <c r="AH25" s="172"/>
      <c r="AI25" s="361"/>
      <c r="AJ25" s="362"/>
      <c r="AK25" s="363" t="str">
        <f>IFERROR(__xludf.DUMMYFUNCTION("IFERROR(if(D25&lt;&gt;"""", 
  AVERAGE(
    QUERY(
      IMPORTRANGE(""1-uH1wy6jSm5jYL9je6fN1K5RJ5QMvHntodEHZRtIvTk"", ""All Data!N2:U""),
      ""select Col8 where Col1 = '"" &amp; D25 &amp; ""' and Col8 is not null"",
      0
    )
  )/100,
""""),
  """"
)
"),"")</f>
        <v/>
      </c>
    </row>
    <row r="26">
      <c r="A26" s="108"/>
      <c r="B26" s="108"/>
      <c r="C26" s="108">
        <v>45471.0</v>
      </c>
      <c r="D26" s="113">
        <v>200022.0</v>
      </c>
      <c r="E26" s="322" t="s">
        <v>2003</v>
      </c>
      <c r="F26" s="322" t="s">
        <v>1984</v>
      </c>
      <c r="G26" s="322" t="s">
        <v>1985</v>
      </c>
      <c r="H26" s="4" t="s">
        <v>155</v>
      </c>
      <c r="I26" s="4">
        <v>2.485</v>
      </c>
      <c r="J26" s="4" t="s">
        <v>157</v>
      </c>
      <c r="K26" s="4">
        <v>20.787</v>
      </c>
      <c r="L26" s="4"/>
      <c r="M26" s="4" t="s">
        <v>159</v>
      </c>
      <c r="N26" s="4">
        <v>4.221</v>
      </c>
      <c r="O26" s="357"/>
      <c r="P26" s="357"/>
      <c r="Q26" s="358">
        <f t="shared" si="7"/>
        <v>27.493</v>
      </c>
      <c r="R26" s="366" t="str">
        <f t="shared" si="5"/>
        <v/>
      </c>
      <c r="S26" s="359">
        <f t="shared" si="6"/>
        <v>0.7047720401</v>
      </c>
      <c r="T26" s="8">
        <f>38680</f>
        <v>38680</v>
      </c>
      <c r="U26" s="4" t="s">
        <v>2040</v>
      </c>
      <c r="V26" s="337">
        <v>31780.0</v>
      </c>
      <c r="W26" s="4" t="s">
        <v>2041</v>
      </c>
      <c r="X26" s="113">
        <v>345787.0</v>
      </c>
      <c r="Y26" s="337">
        <v>75400.0</v>
      </c>
      <c r="Z26" s="337" t="s">
        <v>2042</v>
      </c>
      <c r="AA26" s="337">
        <v>31700.0</v>
      </c>
      <c r="AB26" s="4" t="s">
        <v>2043</v>
      </c>
      <c r="AC26" s="113">
        <v>345786.0</v>
      </c>
      <c r="AD26" s="8"/>
      <c r="AE26" s="8"/>
      <c r="AF26" s="8"/>
      <c r="AG26" s="172"/>
      <c r="AH26" s="172"/>
      <c r="AI26" s="361">
        <f>((T26-V26)+(Y26-AA26)+(AD26-AF26))/2205</f>
        <v>22.9478458</v>
      </c>
      <c r="AJ26" s="362">
        <f>(AI26-Q26)/Q26</f>
        <v>-0.1653204159</v>
      </c>
      <c r="AK26" s="363" t="str">
        <f>IFERROR(__xludf.DUMMYFUNCTION("IFERROR(if(D26&lt;&gt;"""", 
  AVERAGE(
    QUERY(
      IMPORTRANGE(""1-uH1wy6jSm5jYL9je6fN1K5RJ5QMvHntodEHZRtIvTk"", ""All Data!N2:U""),
      ""select Col8 where Col1 = '"" &amp; D26 &amp; ""' and Col8 is not null"",
      0
    )
  )/100,
""""),
  """"
)
"),"")</f>
        <v/>
      </c>
    </row>
    <row r="27">
      <c r="A27" s="108"/>
      <c r="B27" s="108"/>
      <c r="C27" s="108">
        <v>45483.0</v>
      </c>
      <c r="D27" s="113">
        <v>200023.0</v>
      </c>
      <c r="E27" s="322" t="s">
        <v>2003</v>
      </c>
      <c r="F27" s="322" t="s">
        <v>1984</v>
      </c>
      <c r="G27" s="322" t="s">
        <v>1985</v>
      </c>
      <c r="H27" s="4" t="s">
        <v>159</v>
      </c>
      <c r="I27" s="4">
        <v>17.05</v>
      </c>
      <c r="J27" s="4" t="s">
        <v>165</v>
      </c>
      <c r="K27" s="4">
        <v>10.89</v>
      </c>
      <c r="L27" s="172"/>
      <c r="M27" s="172"/>
      <c r="N27" s="172"/>
      <c r="O27" s="357"/>
      <c r="P27" s="357"/>
      <c r="Q27" s="358">
        <f t="shared" si="7"/>
        <v>27.94</v>
      </c>
      <c r="R27" s="366" t="str">
        <f t="shared" si="5"/>
        <v/>
      </c>
      <c r="S27" s="359">
        <f t="shared" si="6"/>
        <v>0.7047720401</v>
      </c>
      <c r="T27" s="8"/>
      <c r="U27" s="8"/>
      <c r="V27" s="8"/>
      <c r="W27" s="172"/>
      <c r="X27" s="172"/>
      <c r="Y27" s="8"/>
      <c r="Z27" s="8"/>
      <c r="AA27" s="8"/>
      <c r="AB27" s="172"/>
      <c r="AC27" s="172"/>
      <c r="AD27" s="8"/>
      <c r="AE27" s="8"/>
      <c r="AF27" s="8"/>
      <c r="AG27" s="172"/>
      <c r="AH27" s="172"/>
      <c r="AI27" s="367"/>
      <c r="AJ27" s="362"/>
      <c r="AK27" s="363" t="str">
        <f>IFERROR(__xludf.DUMMYFUNCTION("IFERROR(if(D27&lt;&gt;"""", 
  AVERAGE(
    QUERY(
      IMPORTRANGE(""1-uH1wy6jSm5jYL9je6fN1K5RJ5QMvHntodEHZRtIvTk"", ""All Data!N2:U""),
      ""select Col8 where Col1 = '"" &amp; D27 &amp; ""' and Col8 is not null"",
      0
    )
  )/100,
""""),
  """"
)
"),"")</f>
        <v/>
      </c>
    </row>
    <row r="28">
      <c r="A28" s="108"/>
      <c r="B28" s="108"/>
      <c r="C28" s="108">
        <v>45496.0</v>
      </c>
      <c r="D28" s="113">
        <v>200024.0</v>
      </c>
      <c r="E28" s="322" t="s">
        <v>2003</v>
      </c>
      <c r="F28" s="322" t="s">
        <v>2033</v>
      </c>
      <c r="G28" s="322" t="s">
        <v>1985</v>
      </c>
      <c r="H28" s="4" t="s">
        <v>165</v>
      </c>
      <c r="I28" s="4">
        <v>10.74</v>
      </c>
      <c r="J28" s="4" t="s">
        <v>167</v>
      </c>
      <c r="K28" s="4">
        <v>16.74</v>
      </c>
      <c r="L28" s="172"/>
      <c r="M28" s="172"/>
      <c r="N28" s="172"/>
      <c r="O28" s="357"/>
      <c r="P28" s="357"/>
      <c r="Q28" s="358">
        <f t="shared" si="7"/>
        <v>27.48</v>
      </c>
      <c r="R28" s="366" t="str">
        <f t="shared" si="5"/>
        <v/>
      </c>
      <c r="S28" s="359">
        <f t="shared" si="6"/>
        <v>0.7047720401</v>
      </c>
      <c r="T28" s="8"/>
      <c r="U28" s="8"/>
      <c r="V28" s="8"/>
      <c r="W28" s="172"/>
      <c r="X28" s="172"/>
      <c r="Y28" s="8"/>
      <c r="Z28" s="8"/>
      <c r="AA28" s="8"/>
      <c r="AB28" s="172"/>
      <c r="AC28" s="172"/>
      <c r="AD28" s="8"/>
      <c r="AE28" s="8"/>
      <c r="AF28" s="8"/>
      <c r="AG28" s="172"/>
      <c r="AH28" s="172"/>
      <c r="AI28" s="367"/>
      <c r="AJ28" s="362"/>
      <c r="AK28" s="363" t="str">
        <f>IFERROR(__xludf.DUMMYFUNCTION("IFERROR(if(D28&lt;&gt;"""", 
  AVERAGE(
    QUERY(
      IMPORTRANGE(""1-uH1wy6jSm5jYL9je6fN1K5RJ5QMvHntodEHZRtIvTk"", ""All Data!N2:U""),
      ""select Col8 where Col1 = '"" &amp; D28 &amp; ""' and Col8 is not null"",
      0
    )
  )/100,
""""),
  """"
)
"),"")</f>
        <v/>
      </c>
    </row>
    <row r="29">
      <c r="D29" s="113">
        <v>200025.0</v>
      </c>
      <c r="E29" s="322" t="s">
        <v>2003</v>
      </c>
      <c r="F29" s="322" t="s">
        <v>2033</v>
      </c>
      <c r="G29" s="322" t="s">
        <v>1985</v>
      </c>
      <c r="H29" s="4" t="s">
        <v>167</v>
      </c>
      <c r="I29" s="4">
        <v>4.18</v>
      </c>
      <c r="J29" s="4" t="s">
        <v>170</v>
      </c>
      <c r="K29" s="4">
        <v>14.43</v>
      </c>
      <c r="L29" s="172"/>
      <c r="M29" s="172"/>
      <c r="N29" s="172"/>
      <c r="O29" s="357"/>
      <c r="P29" s="357"/>
      <c r="Q29" s="358">
        <f t="shared" si="7"/>
        <v>18.61</v>
      </c>
      <c r="R29" s="366" t="str">
        <f t="shared" si="5"/>
        <v/>
      </c>
      <c r="S29" s="359">
        <f t="shared" si="6"/>
        <v>0.7047720401</v>
      </c>
      <c r="T29" s="8"/>
      <c r="U29" s="8"/>
      <c r="V29" s="8"/>
      <c r="W29" s="172"/>
      <c r="X29" s="172"/>
      <c r="Y29" s="8"/>
      <c r="Z29" s="8"/>
      <c r="AA29" s="8"/>
      <c r="AB29" s="172"/>
      <c r="AC29" s="172"/>
      <c r="AD29" s="8"/>
      <c r="AE29" s="8"/>
      <c r="AF29" s="8"/>
      <c r="AG29" s="172"/>
      <c r="AH29" s="172"/>
      <c r="AI29" s="367"/>
      <c r="AJ29" s="362"/>
      <c r="AK29" s="363" t="str">
        <f>IFERROR(__xludf.DUMMYFUNCTION("IFERROR(if(D29&lt;&gt;"""", 
  AVERAGE(
    QUERY(
      IMPORTRANGE(""1-uH1wy6jSm5jYL9je6fN1K5RJ5QMvHntodEHZRtIvTk"", ""All Data!N2:U""),
      ""select Col8 where Col1 = '"" &amp; D29 &amp; ""' and Col8 is not null"",
      0
    )
  )/100,
""""),
  """"
)
"),"")</f>
        <v/>
      </c>
    </row>
    <row r="30">
      <c r="A30" s="108"/>
      <c r="B30" s="108"/>
      <c r="C30" s="108">
        <v>45510.0</v>
      </c>
      <c r="D30" s="113">
        <v>200026.0</v>
      </c>
      <c r="E30" s="322" t="s">
        <v>2003</v>
      </c>
      <c r="F30" s="322" t="s">
        <v>2044</v>
      </c>
      <c r="G30" s="322" t="s">
        <v>1985</v>
      </c>
      <c r="H30" s="4" t="s">
        <v>170</v>
      </c>
      <c r="I30" s="4">
        <v>6.12</v>
      </c>
      <c r="J30" s="4" t="s">
        <v>114</v>
      </c>
      <c r="K30" s="4">
        <v>9.46</v>
      </c>
      <c r="L30" s="172"/>
      <c r="M30" s="172"/>
      <c r="N30" s="172"/>
      <c r="O30" s="357"/>
      <c r="P30" s="357"/>
      <c r="Q30" s="358">
        <f t="shared" si="7"/>
        <v>15.58</v>
      </c>
      <c r="R30" s="366" t="str">
        <f t="shared" si="5"/>
        <v/>
      </c>
      <c r="S30" s="359">
        <f t="shared" si="6"/>
        <v>0.7047720401</v>
      </c>
      <c r="T30" s="8"/>
      <c r="U30" s="8"/>
      <c r="V30" s="8"/>
      <c r="W30" s="172"/>
      <c r="X30" s="172"/>
      <c r="Y30" s="8"/>
      <c r="Z30" s="8"/>
      <c r="AA30" s="8"/>
      <c r="AB30" s="172"/>
      <c r="AC30" s="172"/>
      <c r="AD30" s="8"/>
      <c r="AE30" s="8"/>
      <c r="AF30" s="8"/>
      <c r="AG30" s="172"/>
      <c r="AH30" s="172"/>
      <c r="AI30" s="367"/>
      <c r="AJ30" s="362"/>
      <c r="AK30" s="363" t="str">
        <f>IFERROR(__xludf.DUMMYFUNCTION("IFERROR(if(D30&lt;&gt;"""", 
  AVERAGE(
    QUERY(
      IMPORTRANGE(""1-uH1wy6jSm5jYL9je6fN1K5RJ5QMvHntodEHZRtIvTk"", ""All Data!N2:U""),
      ""select Col8 where Col1 = '"" &amp; D30 &amp; ""' and Col8 is not null"",
      0
    )
  )/100,
""""),
  """"
)
"),"")</f>
        <v/>
      </c>
    </row>
    <row r="31">
      <c r="A31" s="107"/>
      <c r="B31" s="107"/>
      <c r="C31" s="107">
        <v>45513.0</v>
      </c>
      <c r="D31" s="113">
        <v>200027.0</v>
      </c>
      <c r="E31" s="322" t="s">
        <v>2003</v>
      </c>
      <c r="F31" s="322" t="s">
        <v>2044</v>
      </c>
      <c r="G31" s="322" t="s">
        <v>1985</v>
      </c>
      <c r="H31" s="4" t="s">
        <v>114</v>
      </c>
      <c r="I31" s="4">
        <v>16.82</v>
      </c>
      <c r="J31" s="4" t="s">
        <v>114</v>
      </c>
      <c r="K31" s="4">
        <v>4.06</v>
      </c>
      <c r="L31" s="172"/>
      <c r="M31" s="172"/>
      <c r="N31" s="172"/>
      <c r="O31" s="357"/>
      <c r="P31" s="357"/>
      <c r="Q31" s="358">
        <f t="shared" si="7"/>
        <v>20.88</v>
      </c>
      <c r="R31" s="366" t="str">
        <f t="shared" si="5"/>
        <v/>
      </c>
      <c r="S31" s="359">
        <f t="shared" si="6"/>
        <v>0.7047720401</v>
      </c>
      <c r="T31" s="8"/>
      <c r="U31" s="8"/>
      <c r="V31" s="8"/>
      <c r="W31" s="172"/>
      <c r="X31" s="172"/>
      <c r="Y31" s="8"/>
      <c r="Z31" s="8"/>
      <c r="AA31" s="8"/>
      <c r="AB31" s="172"/>
      <c r="AC31" s="172"/>
      <c r="AD31" s="8"/>
      <c r="AE31" s="8"/>
      <c r="AF31" s="8"/>
      <c r="AG31" s="172"/>
      <c r="AH31" s="172"/>
      <c r="AI31" s="367"/>
      <c r="AJ31" s="362"/>
      <c r="AK31" s="363" t="str">
        <f>IFERROR(__xludf.DUMMYFUNCTION("IFERROR(if(D31&lt;&gt;"""", 
  AVERAGE(
    QUERY(
      IMPORTRANGE(""1-uH1wy6jSm5jYL9je6fN1K5RJ5QMvHntodEHZRtIvTk"", ""All Data!N2:U""),
      ""select Col8 where Col1 = '"" &amp; D31 &amp; ""' and Col8 is not null"",
      0
    )
  )/100,
""""),
  """"
)
"),"")</f>
        <v/>
      </c>
    </row>
    <row r="32">
      <c r="A32" s="107"/>
      <c r="B32" s="107"/>
      <c r="C32" s="107">
        <v>45518.0</v>
      </c>
      <c r="D32" s="113">
        <v>200028.0</v>
      </c>
      <c r="E32" s="322" t="s">
        <v>2003</v>
      </c>
      <c r="F32" s="322" t="s">
        <v>2044</v>
      </c>
      <c r="G32" s="322" t="s">
        <v>1985</v>
      </c>
      <c r="H32" s="4" t="s">
        <v>114</v>
      </c>
      <c r="I32" s="4">
        <v>21.07</v>
      </c>
      <c r="J32" s="172"/>
      <c r="K32" s="172"/>
      <c r="L32" s="172"/>
      <c r="M32" s="172"/>
      <c r="N32" s="172"/>
      <c r="O32" s="357"/>
      <c r="P32" s="357"/>
      <c r="Q32" s="358">
        <f t="shared" si="7"/>
        <v>21.07</v>
      </c>
      <c r="R32" s="366" t="str">
        <f t="shared" si="5"/>
        <v/>
      </c>
      <c r="S32" s="359">
        <f t="shared" si="6"/>
        <v>0.7047720401</v>
      </c>
      <c r="T32" s="8"/>
      <c r="U32" s="8"/>
      <c r="V32" s="8"/>
      <c r="W32" s="172"/>
      <c r="X32" s="172"/>
      <c r="Y32" s="8"/>
      <c r="Z32" s="8"/>
      <c r="AA32" s="8"/>
      <c r="AB32" s="172"/>
      <c r="AC32" s="172"/>
      <c r="AD32" s="8"/>
      <c r="AE32" s="8"/>
      <c r="AF32" s="8"/>
      <c r="AG32" s="172"/>
      <c r="AH32" s="172"/>
      <c r="AI32" s="367"/>
      <c r="AJ32" s="362"/>
      <c r="AK32" s="363" t="str">
        <f>IFERROR(__xludf.DUMMYFUNCTION("IFERROR(if(D32&lt;&gt;"""", 
  AVERAGE(
    QUERY(
      IMPORTRANGE(""1-uH1wy6jSm5jYL9je6fN1K5RJ5QMvHntodEHZRtIvTk"", ""All Data!N2:U""),
      ""select Col8 where Col1 = '"" &amp; D32 &amp; ""' and Col8 is not null"",
      0
    )
  )/100,
""""),
  """"
)
"),"")</f>
        <v/>
      </c>
    </row>
    <row r="33">
      <c r="A33" s="373"/>
      <c r="B33" s="373"/>
      <c r="C33" s="373">
        <v>45520.0</v>
      </c>
      <c r="D33" s="113">
        <v>200029.0</v>
      </c>
      <c r="E33" s="322" t="s">
        <v>2003</v>
      </c>
      <c r="F33" s="322" t="s">
        <v>2033</v>
      </c>
      <c r="G33" s="322" t="s">
        <v>1985</v>
      </c>
      <c r="H33" s="4" t="s">
        <v>114</v>
      </c>
      <c r="I33" s="4">
        <v>12.75</v>
      </c>
      <c r="J33" s="172"/>
      <c r="K33" s="4"/>
      <c r="L33" s="172"/>
      <c r="M33" s="172"/>
      <c r="N33" s="172"/>
      <c r="O33" s="357"/>
      <c r="P33" s="357"/>
      <c r="Q33" s="358">
        <f t="shared" si="7"/>
        <v>12.75</v>
      </c>
      <c r="R33" s="366" t="str">
        <f t="shared" si="5"/>
        <v/>
      </c>
      <c r="S33" s="359">
        <f t="shared" si="6"/>
        <v>0.7047720401</v>
      </c>
      <c r="T33" s="8"/>
      <c r="U33" s="8"/>
      <c r="V33" s="8"/>
      <c r="W33" s="172"/>
      <c r="X33" s="172"/>
      <c r="Y33" s="8"/>
      <c r="Z33" s="8"/>
      <c r="AA33" s="8"/>
      <c r="AB33" s="172"/>
      <c r="AC33" s="172"/>
      <c r="AD33" s="8"/>
      <c r="AE33" s="8"/>
      <c r="AF33" s="8"/>
      <c r="AG33" s="172"/>
      <c r="AH33" s="172"/>
      <c r="AI33" s="367"/>
      <c r="AJ33" s="362"/>
      <c r="AK33" s="363" t="str">
        <f>IFERROR(__xludf.DUMMYFUNCTION("IFERROR(if(D33&lt;&gt;"""", 
  AVERAGE(
    QUERY(
      IMPORTRANGE(""1-uH1wy6jSm5jYL9je6fN1K5RJ5QMvHntodEHZRtIvTk"", ""All Data!N2:U""),
      ""select Col8 where Col1 = '"" &amp; D33 &amp; ""' and Col8 is not null"",
      0
    )
  )/100,
""""),
  """"
)
"),"")</f>
        <v/>
      </c>
    </row>
    <row r="34">
      <c r="A34" s="373">
        <v>45520.0</v>
      </c>
      <c r="B34" s="373">
        <v>45530.0</v>
      </c>
      <c r="C34" s="108">
        <v>45532.0</v>
      </c>
      <c r="D34" s="113">
        <v>200030.0</v>
      </c>
      <c r="E34" s="322" t="s">
        <v>2003</v>
      </c>
      <c r="F34" s="322" t="s">
        <v>2044</v>
      </c>
      <c r="G34" s="322" t="s">
        <v>1985</v>
      </c>
      <c r="H34" s="4" t="s">
        <v>121</v>
      </c>
      <c r="I34" s="359">
        <v>16.63</v>
      </c>
      <c r="J34" s="172"/>
      <c r="K34" s="172"/>
      <c r="L34" s="172"/>
      <c r="M34" s="172"/>
      <c r="N34" s="172"/>
      <c r="O34" s="357"/>
      <c r="P34" s="357"/>
      <c r="Q34" s="358">
        <f t="shared" si="7"/>
        <v>16.63</v>
      </c>
      <c r="R34" s="366" t="str">
        <f t="shared" si="5"/>
        <v/>
      </c>
      <c r="S34" s="359">
        <f t="shared" si="6"/>
        <v>0.7047720401</v>
      </c>
      <c r="T34" s="8"/>
      <c r="U34" s="8"/>
      <c r="V34" s="8"/>
      <c r="W34" s="172"/>
      <c r="X34" s="172"/>
      <c r="Y34" s="8"/>
      <c r="Z34" s="8"/>
      <c r="AA34" s="8"/>
      <c r="AB34" s="172"/>
      <c r="AC34" s="172"/>
      <c r="AD34" s="8"/>
      <c r="AE34" s="8"/>
      <c r="AF34" s="8"/>
      <c r="AG34" s="172"/>
      <c r="AH34" s="172"/>
      <c r="AI34" s="367"/>
      <c r="AJ34" s="362"/>
      <c r="AK34" s="363" t="str">
        <f>IFERROR(__xludf.DUMMYFUNCTION("IFERROR(if(D34&lt;&gt;"""", 
  AVERAGE(
    QUERY(
      IMPORTRANGE(""1-uH1wy6jSm5jYL9je6fN1K5RJ5QMvHntodEHZRtIvTk"", ""All Data!N2:U""),
      ""select Col8 where Col1 = '"" &amp; D34 &amp; ""' and Col8 is not null"",
      0
    )
  )/100,
""""),
  """"
)
"),"")</f>
        <v/>
      </c>
    </row>
    <row r="35">
      <c r="A35" s="373">
        <v>45522.0</v>
      </c>
      <c r="B35" s="373">
        <v>45533.0</v>
      </c>
      <c r="C35" s="373">
        <v>45534.0</v>
      </c>
      <c r="D35" s="113">
        <v>200031.0</v>
      </c>
      <c r="E35" s="322" t="s">
        <v>2003</v>
      </c>
      <c r="F35" s="322" t="s">
        <v>2044</v>
      </c>
      <c r="G35" s="322" t="s">
        <v>1985</v>
      </c>
      <c r="H35" s="4" t="s">
        <v>121</v>
      </c>
      <c r="I35" s="4">
        <v>16.42</v>
      </c>
      <c r="J35" s="172"/>
      <c r="K35" s="172"/>
      <c r="L35" s="172"/>
      <c r="M35" s="172"/>
      <c r="N35" s="172"/>
      <c r="O35" s="357"/>
      <c r="P35" s="357"/>
      <c r="Q35" s="358">
        <f t="shared" si="7"/>
        <v>16.42</v>
      </c>
      <c r="R35" s="366" t="str">
        <f t="shared" si="5"/>
        <v/>
      </c>
      <c r="S35" s="359">
        <f t="shared" si="6"/>
        <v>0.7047720401</v>
      </c>
      <c r="T35" s="8"/>
      <c r="U35" s="8"/>
      <c r="V35" s="8"/>
      <c r="W35" s="172"/>
      <c r="X35" s="172"/>
      <c r="Y35" s="8"/>
      <c r="Z35" s="8"/>
      <c r="AA35" s="8"/>
      <c r="AB35" s="172"/>
      <c r="AC35" s="172"/>
      <c r="AD35" s="8"/>
      <c r="AE35" s="8"/>
      <c r="AF35" s="8"/>
      <c r="AG35" s="172"/>
      <c r="AH35" s="172"/>
      <c r="AI35" s="367"/>
      <c r="AJ35" s="362"/>
      <c r="AK35" s="363" t="str">
        <f>IFERROR(__xludf.DUMMYFUNCTION("IFERROR(if(D35&lt;&gt;"""", 
  AVERAGE(
    QUERY(
      IMPORTRANGE(""1-uH1wy6jSm5jYL9je6fN1K5RJ5QMvHntodEHZRtIvTk"", ""All Data!N2:U""),
      ""select Col8 where Col1 = '"" &amp; D35 &amp; ""' and Col8 is not null"",
      0
    )
  )/100,
""""),
  """"
)
"),"")</f>
        <v/>
      </c>
    </row>
    <row r="36">
      <c r="A36" s="373">
        <v>45534.0</v>
      </c>
      <c r="B36" s="373">
        <v>45537.0</v>
      </c>
      <c r="C36" s="373">
        <v>45538.0</v>
      </c>
      <c r="D36" s="113">
        <v>200032.0</v>
      </c>
      <c r="E36" s="322" t="s">
        <v>2003</v>
      </c>
      <c r="F36" s="322" t="s">
        <v>2044</v>
      </c>
      <c r="G36" s="322" t="s">
        <v>1985</v>
      </c>
      <c r="H36" s="4" t="s">
        <v>121</v>
      </c>
      <c r="I36" s="4">
        <v>16.22</v>
      </c>
      <c r="J36" s="172"/>
      <c r="K36" s="172"/>
      <c r="L36" s="172"/>
      <c r="M36" s="172"/>
      <c r="N36" s="172"/>
      <c r="O36" s="357"/>
      <c r="P36" s="357"/>
      <c r="Q36" s="358">
        <f t="shared" si="7"/>
        <v>16.22</v>
      </c>
      <c r="R36" s="366" t="str">
        <f t="shared" si="5"/>
        <v/>
      </c>
      <c r="S36" s="359">
        <f t="shared" si="6"/>
        <v>0.7047720401</v>
      </c>
      <c r="T36" s="8"/>
      <c r="U36" s="8"/>
      <c r="V36" s="8"/>
      <c r="W36" s="172"/>
      <c r="X36" s="172"/>
      <c r="Y36" s="8"/>
      <c r="Z36" s="8"/>
      <c r="AA36" s="8"/>
      <c r="AB36" s="172"/>
      <c r="AC36" s="172"/>
      <c r="AD36" s="8"/>
      <c r="AE36" s="8"/>
      <c r="AF36" s="8"/>
      <c r="AG36" s="172"/>
      <c r="AH36" s="172"/>
      <c r="AI36" s="367"/>
      <c r="AJ36" s="362"/>
      <c r="AK36" s="363" t="str">
        <f>IFERROR(__xludf.DUMMYFUNCTION("IFERROR(if(D36&lt;&gt;"""", 
  AVERAGE(
    QUERY(
      IMPORTRANGE(""1-uH1wy6jSm5jYL9je6fN1K5RJ5QMvHntodEHZRtIvTk"", ""All Data!N2:U""),
      ""select Col8 where Col1 = '"" &amp; D36 &amp; ""' and Col8 is not null"",
      0
    )
  )/100,
""""),
  """"
)
"),"")</f>
        <v/>
      </c>
    </row>
    <row r="37">
      <c r="A37" s="373">
        <v>45538.0</v>
      </c>
      <c r="B37" s="373">
        <v>45539.0</v>
      </c>
      <c r="C37" s="373">
        <v>45540.0</v>
      </c>
      <c r="D37" s="113">
        <v>200033.0</v>
      </c>
      <c r="E37" s="322" t="s">
        <v>2003</v>
      </c>
      <c r="F37" s="322" t="s">
        <v>1984</v>
      </c>
      <c r="G37" s="322" t="s">
        <v>1985</v>
      </c>
      <c r="H37" s="4" t="s">
        <v>121</v>
      </c>
      <c r="I37" s="4">
        <v>16.23</v>
      </c>
      <c r="J37" s="172"/>
      <c r="K37" s="172"/>
      <c r="L37" s="172"/>
      <c r="M37" s="172"/>
      <c r="N37" s="172"/>
      <c r="O37" s="357"/>
      <c r="P37" s="357"/>
      <c r="Q37" s="358">
        <f t="shared" si="7"/>
        <v>16.23</v>
      </c>
      <c r="R37" s="366" t="str">
        <f t="shared" si="5"/>
        <v/>
      </c>
      <c r="S37" s="359">
        <f t="shared" si="6"/>
        <v>0.7047720401</v>
      </c>
      <c r="T37" s="8"/>
      <c r="U37" s="8"/>
      <c r="V37" s="8"/>
      <c r="W37" s="172"/>
      <c r="X37" s="172"/>
      <c r="Y37" s="8"/>
      <c r="Z37" s="8"/>
      <c r="AA37" s="8"/>
      <c r="AB37" s="172"/>
      <c r="AC37" s="172"/>
      <c r="AD37" s="8"/>
      <c r="AE37" s="8"/>
      <c r="AF37" s="8"/>
      <c r="AG37" s="172"/>
      <c r="AH37" s="172"/>
      <c r="AI37" s="367"/>
      <c r="AJ37" s="362"/>
      <c r="AK37" s="363" t="str">
        <f>IFERROR(__xludf.DUMMYFUNCTION("IFERROR(if(D37&lt;&gt;"""", 
  AVERAGE(
    QUERY(
      IMPORTRANGE(""1-uH1wy6jSm5jYL9je6fN1K5RJ5QMvHntodEHZRtIvTk"", ""All Data!N2:U""),
      ""select Col8 where Col1 = '"" &amp; D37 &amp; ""' and Col8 is not null"",
      0
    )
  )/100,
""""),
  """"
)
"),"")</f>
        <v/>
      </c>
    </row>
    <row r="38">
      <c r="A38" s="108">
        <v>45540.0</v>
      </c>
      <c r="B38" s="108">
        <v>45543.0</v>
      </c>
      <c r="C38" s="108">
        <v>45544.0</v>
      </c>
      <c r="D38" s="113">
        <v>200034.0</v>
      </c>
      <c r="E38" s="322" t="s">
        <v>2003</v>
      </c>
      <c r="F38" s="322" t="s">
        <v>1984</v>
      </c>
      <c r="G38" s="322" t="s">
        <v>1985</v>
      </c>
      <c r="H38" s="4" t="s">
        <v>121</v>
      </c>
      <c r="I38" s="4">
        <v>14.89</v>
      </c>
      <c r="J38" s="172"/>
      <c r="K38" s="172"/>
      <c r="L38" s="172"/>
      <c r="M38" s="172"/>
      <c r="N38" s="172"/>
      <c r="O38" s="357"/>
      <c r="P38" s="357"/>
      <c r="Q38" s="358">
        <f t="shared" si="7"/>
        <v>14.89</v>
      </c>
      <c r="R38" s="366" t="str">
        <f t="shared" si="5"/>
        <v/>
      </c>
      <c r="S38" s="359">
        <f t="shared" si="6"/>
        <v>0.7047720401</v>
      </c>
      <c r="T38" s="8"/>
      <c r="U38" s="8"/>
      <c r="V38" s="8"/>
      <c r="W38" s="172"/>
      <c r="X38" s="172"/>
      <c r="Y38" s="8"/>
      <c r="Z38" s="8"/>
      <c r="AA38" s="8"/>
      <c r="AB38" s="172"/>
      <c r="AC38" s="172"/>
      <c r="AD38" s="8"/>
      <c r="AE38" s="8"/>
      <c r="AF38" s="8"/>
      <c r="AG38" s="172"/>
      <c r="AH38" s="172"/>
      <c r="AI38" s="367"/>
      <c r="AJ38" s="362"/>
      <c r="AK38" s="363" t="str">
        <f>IFERROR(__xludf.DUMMYFUNCTION("IFERROR(if(D38&lt;&gt;"""", 
  AVERAGE(
    QUERY(
      IMPORTRANGE(""1-uH1wy6jSm5jYL9je6fN1K5RJ5QMvHntodEHZRtIvTk"", ""All Data!N2:U""),
      ""select Col8 where Col1 = '"" &amp; D38 &amp; ""' and Col8 is not null"",
      0
    )
  )/100,
""""),
  """"
)
"),"")</f>
        <v/>
      </c>
    </row>
    <row r="39">
      <c r="A39" s="108">
        <v>45544.0</v>
      </c>
      <c r="B39" s="108">
        <v>45545.0</v>
      </c>
      <c r="C39" s="108">
        <v>45546.0</v>
      </c>
      <c r="D39" s="113">
        <v>200035.0</v>
      </c>
      <c r="E39" s="322" t="s">
        <v>2003</v>
      </c>
      <c r="F39" s="322" t="s">
        <v>1984</v>
      </c>
      <c r="G39" s="322" t="s">
        <v>1985</v>
      </c>
      <c r="H39" s="4" t="s">
        <v>118</v>
      </c>
      <c r="I39" s="4">
        <v>16.84</v>
      </c>
      <c r="J39" s="172"/>
      <c r="K39" s="172"/>
      <c r="L39" s="172"/>
      <c r="M39" s="172"/>
      <c r="N39" s="172"/>
      <c r="O39" s="357"/>
      <c r="P39" s="357"/>
      <c r="Q39" s="358">
        <f t="shared" si="7"/>
        <v>16.84</v>
      </c>
      <c r="R39" s="366" t="str">
        <f t="shared" si="5"/>
        <v/>
      </c>
      <c r="S39" s="359">
        <f t="shared" si="6"/>
        <v>0.7047720401</v>
      </c>
      <c r="T39" s="8"/>
      <c r="U39" s="8"/>
      <c r="V39" s="8"/>
      <c r="W39" s="172"/>
      <c r="X39" s="172"/>
      <c r="Y39" s="8"/>
      <c r="Z39" s="8"/>
      <c r="AA39" s="8"/>
      <c r="AB39" s="172"/>
      <c r="AC39" s="172"/>
      <c r="AD39" s="8"/>
      <c r="AE39" s="8"/>
      <c r="AF39" s="8"/>
      <c r="AG39" s="172"/>
      <c r="AH39" s="172"/>
      <c r="AI39" s="367"/>
      <c r="AJ39" s="362"/>
      <c r="AK39" s="363" t="str">
        <f>IFERROR(__xludf.DUMMYFUNCTION("IFERROR(if(D39&lt;&gt;"""", 
  AVERAGE(
    QUERY(
      IMPORTRANGE(""1-uH1wy6jSm5jYL9je6fN1K5RJ5QMvHntodEHZRtIvTk"", ""All Data!N2:U""),
      ""select Col8 where Col1 = '"" &amp; D39 &amp; ""' and Col8 is not null"",
      0
    )
  )/100,
""""),
  """"
)
"),"")</f>
        <v/>
      </c>
    </row>
    <row r="40">
      <c r="A40" s="108">
        <v>45546.0</v>
      </c>
      <c r="B40" s="108">
        <v>45547.0</v>
      </c>
      <c r="C40" s="108">
        <v>45548.0</v>
      </c>
      <c r="D40" s="113">
        <v>200036.0</v>
      </c>
      <c r="E40" s="322" t="s">
        <v>2003</v>
      </c>
      <c r="F40" s="322" t="s">
        <v>2044</v>
      </c>
      <c r="G40" s="322" t="s">
        <v>1985</v>
      </c>
      <c r="H40" s="4" t="s">
        <v>118</v>
      </c>
      <c r="I40" s="4">
        <v>17.32</v>
      </c>
      <c r="J40" s="172"/>
      <c r="K40" s="172"/>
      <c r="L40" s="172"/>
      <c r="M40" s="172"/>
      <c r="N40" s="172"/>
      <c r="O40" s="357"/>
      <c r="P40" s="357"/>
      <c r="Q40" s="358">
        <f t="shared" si="7"/>
        <v>17.32</v>
      </c>
      <c r="R40" s="366" t="str">
        <f t="shared" si="5"/>
        <v/>
      </c>
      <c r="S40" s="359">
        <f t="shared" si="6"/>
        <v>0.7047720401</v>
      </c>
      <c r="T40" s="8"/>
      <c r="U40" s="374"/>
      <c r="V40" s="8"/>
      <c r="W40" s="172"/>
      <c r="X40" s="172"/>
      <c r="Y40" s="8"/>
      <c r="Z40" s="8"/>
      <c r="AA40" s="8"/>
      <c r="AB40" s="172"/>
      <c r="AC40" s="172"/>
      <c r="AD40" s="8"/>
      <c r="AE40" s="8"/>
      <c r="AF40" s="8"/>
      <c r="AG40" s="172"/>
      <c r="AH40" s="172"/>
      <c r="AI40" s="367"/>
      <c r="AJ40" s="362"/>
      <c r="AK40" s="363" t="str">
        <f>IFERROR(__xludf.DUMMYFUNCTION("IFERROR(if(D40&lt;&gt;"""", 
  AVERAGE(
    QUERY(
      IMPORTRANGE(""1-uH1wy6jSm5jYL9je6fN1K5RJ5QMvHntodEHZRtIvTk"", ""All Data!N2:U""),
      ""select Col8 where Col1 = '"" &amp; D40 &amp; ""' and Col8 is not null"",
      0
    )
  )/100,
""""),
  """"
)
"),"")</f>
        <v/>
      </c>
    </row>
    <row r="41">
      <c r="A41" s="108">
        <v>45548.0</v>
      </c>
      <c r="B41" s="108">
        <v>45552.0</v>
      </c>
      <c r="C41" s="108">
        <v>45553.0</v>
      </c>
      <c r="D41" s="113">
        <v>200037.0</v>
      </c>
      <c r="E41" s="322" t="s">
        <v>2003</v>
      </c>
      <c r="F41" s="322" t="s">
        <v>2044</v>
      </c>
      <c r="G41" s="322" t="s">
        <v>1985</v>
      </c>
      <c r="H41" s="4" t="s">
        <v>118</v>
      </c>
      <c r="I41" s="4">
        <v>19.07</v>
      </c>
      <c r="J41" s="172"/>
      <c r="K41" s="172"/>
      <c r="L41" s="172"/>
      <c r="M41" s="172"/>
      <c r="N41" s="172"/>
      <c r="O41" s="357"/>
      <c r="P41" s="357"/>
      <c r="Q41" s="358">
        <f t="shared" si="7"/>
        <v>19.07</v>
      </c>
      <c r="R41" s="366" t="str">
        <f t="shared" si="5"/>
        <v/>
      </c>
      <c r="S41" s="359">
        <f t="shared" si="6"/>
        <v>0.7047720401</v>
      </c>
      <c r="T41" s="8"/>
      <c r="U41" s="8"/>
      <c r="V41" s="8"/>
      <c r="W41" s="172"/>
      <c r="X41" s="172"/>
      <c r="Y41" s="8"/>
      <c r="Z41" s="8"/>
      <c r="AA41" s="8"/>
      <c r="AB41" s="172"/>
      <c r="AC41" s="172"/>
      <c r="AD41" s="8"/>
      <c r="AE41" s="8"/>
      <c r="AF41" s="8"/>
      <c r="AG41" s="172"/>
      <c r="AH41" s="172"/>
      <c r="AI41" s="367"/>
      <c r="AJ41" s="362"/>
      <c r="AK41" s="363" t="str">
        <f>IFERROR(__xludf.DUMMYFUNCTION("IFERROR(if(D41&lt;&gt;"""", 
  AVERAGE(
    QUERY(
      IMPORTRANGE(""1-uH1wy6jSm5jYL9je6fN1K5RJ5QMvHntodEHZRtIvTk"", ""All Data!N2:U""),
      ""select Col8 where Col1 = '"" &amp; D41 &amp; ""' and Col8 is not null"",
      0
    )
  )/100,
""""),
  """"
)
"),"")</f>
        <v/>
      </c>
    </row>
    <row r="42">
      <c r="A42" s="108">
        <v>45553.0</v>
      </c>
      <c r="B42" s="108">
        <v>45554.0</v>
      </c>
      <c r="C42" s="108">
        <v>45555.0</v>
      </c>
      <c r="D42" s="113">
        <v>200038.0</v>
      </c>
      <c r="E42" s="322" t="s">
        <v>2003</v>
      </c>
      <c r="F42" s="322" t="s">
        <v>2044</v>
      </c>
      <c r="G42" s="322" t="s">
        <v>1985</v>
      </c>
      <c r="H42" s="4" t="s">
        <v>180</v>
      </c>
      <c r="I42" s="4">
        <v>19.3</v>
      </c>
      <c r="J42" s="172"/>
      <c r="K42" s="172"/>
      <c r="L42" s="172"/>
      <c r="M42" s="172"/>
      <c r="N42" s="172"/>
      <c r="O42" s="357"/>
      <c r="P42" s="357"/>
      <c r="Q42" s="358">
        <f t="shared" si="7"/>
        <v>19.3</v>
      </c>
      <c r="R42" s="366" t="str">
        <f t="shared" si="5"/>
        <v/>
      </c>
      <c r="S42" s="359">
        <f t="shared" si="6"/>
        <v>0.7047720401</v>
      </c>
      <c r="T42" s="8"/>
      <c r="U42" s="8"/>
      <c r="V42" s="8"/>
      <c r="W42" s="172"/>
      <c r="X42" s="172"/>
      <c r="Y42" s="8"/>
      <c r="Z42" s="8"/>
      <c r="AA42" s="8"/>
      <c r="AB42" s="172"/>
      <c r="AC42" s="172"/>
      <c r="AD42" s="8"/>
      <c r="AE42" s="8"/>
      <c r="AF42" s="8"/>
      <c r="AG42" s="172"/>
      <c r="AH42" s="172"/>
      <c r="AI42" s="367"/>
      <c r="AJ42" s="362"/>
      <c r="AK42" s="363" t="str">
        <f>IFERROR(__xludf.DUMMYFUNCTION("IFERROR(if(D42&lt;&gt;"""", 
  AVERAGE(
    QUERY(
      IMPORTRANGE(""1-uH1wy6jSm5jYL9je6fN1K5RJ5QMvHntodEHZRtIvTk"", ""All Data!N2:U""),
      ""select Col8 where Col1 = '"" &amp; D42 &amp; ""' and Col8 is not null"",
      0
    )
  )/100,
""""),
  """"
)
"),"")</f>
        <v/>
      </c>
    </row>
    <row r="43">
      <c r="A43" s="108">
        <v>45555.0</v>
      </c>
      <c r="B43" s="108">
        <v>45557.0</v>
      </c>
      <c r="C43" s="108">
        <v>45558.0</v>
      </c>
      <c r="D43" s="113">
        <v>200039.0</v>
      </c>
      <c r="E43" s="322" t="s">
        <v>2003</v>
      </c>
      <c r="F43" s="322" t="s">
        <v>2044</v>
      </c>
      <c r="G43" s="322" t="s">
        <v>1985</v>
      </c>
      <c r="H43" s="4" t="s">
        <v>118</v>
      </c>
      <c r="I43" s="4">
        <v>20.5</v>
      </c>
      <c r="K43" s="172"/>
      <c r="L43" s="172"/>
      <c r="M43" s="172"/>
      <c r="N43" s="172"/>
      <c r="O43" s="357"/>
      <c r="P43" s="357"/>
      <c r="Q43" s="358">
        <f t="shared" si="7"/>
        <v>20.5</v>
      </c>
      <c r="R43" s="366" t="str">
        <f t="shared" si="5"/>
        <v/>
      </c>
      <c r="S43" s="359">
        <f t="shared" si="6"/>
        <v>0.7047720401</v>
      </c>
      <c r="T43" s="8"/>
      <c r="U43" s="8"/>
      <c r="V43" s="8"/>
      <c r="W43" s="172"/>
      <c r="X43" s="172"/>
      <c r="Y43" s="8"/>
      <c r="Z43" s="8"/>
      <c r="AA43" s="8"/>
      <c r="AB43" s="172"/>
      <c r="AC43" s="172"/>
      <c r="AD43" s="8"/>
      <c r="AE43" s="8"/>
      <c r="AF43" s="8"/>
      <c r="AG43" s="172"/>
      <c r="AH43" s="172"/>
      <c r="AI43" s="367"/>
      <c r="AJ43" s="375"/>
      <c r="AK43" s="363" t="str">
        <f>IFERROR(__xludf.DUMMYFUNCTION("IFERROR(if(D43&lt;&gt;"""", 
  AVERAGE(
    QUERY(
      IMPORTRANGE(""1-uH1wy6jSm5jYL9je6fN1K5RJ5QMvHntodEHZRtIvTk"", ""All Data!N2:U""),
      ""select Col8 where Col1 = '"" &amp; D43 &amp; ""' and Col8 is not null"",
      0
    )
  )/100,
""""),
  """"
)
"),"")</f>
        <v/>
      </c>
    </row>
    <row r="44">
      <c r="A44" s="108">
        <v>45558.0</v>
      </c>
      <c r="B44" s="108">
        <v>45559.0</v>
      </c>
      <c r="C44" s="108">
        <v>45560.0</v>
      </c>
      <c r="D44" s="113">
        <v>200040.0</v>
      </c>
      <c r="E44" s="322" t="s">
        <v>2003</v>
      </c>
      <c r="F44" s="322" t="s">
        <v>2044</v>
      </c>
      <c r="G44" s="322" t="s">
        <v>1985</v>
      </c>
      <c r="H44" s="4" t="s">
        <v>118</v>
      </c>
      <c r="I44" s="4">
        <v>5.0</v>
      </c>
      <c r="J44" s="4" t="s">
        <v>180</v>
      </c>
      <c r="K44" s="4">
        <v>14.52</v>
      </c>
      <c r="L44" s="172"/>
      <c r="M44" s="172"/>
      <c r="N44" s="172"/>
      <c r="O44" s="357"/>
      <c r="P44" s="357"/>
      <c r="Q44" s="358">
        <f t="shared" si="7"/>
        <v>19.52</v>
      </c>
      <c r="R44" s="366" t="str">
        <f t="shared" si="5"/>
        <v/>
      </c>
      <c r="S44" s="359">
        <f t="shared" si="6"/>
        <v>0.7047720401</v>
      </c>
      <c r="T44" s="8"/>
      <c r="U44" s="8"/>
      <c r="V44" s="8"/>
      <c r="W44" s="172"/>
      <c r="X44" s="172"/>
      <c r="Y44" s="8"/>
      <c r="Z44" s="8"/>
      <c r="AA44" s="8"/>
      <c r="AB44" s="172"/>
      <c r="AC44" s="172"/>
      <c r="AD44" s="8"/>
      <c r="AE44" s="8"/>
      <c r="AF44" s="8"/>
      <c r="AG44" s="172"/>
      <c r="AH44" s="172"/>
      <c r="AI44" s="367"/>
      <c r="AJ44" s="362"/>
      <c r="AK44" s="363" t="str">
        <f>IFERROR(__xludf.DUMMYFUNCTION("IFERROR(if(D44&lt;&gt;"""", 
  AVERAGE(
    QUERY(
      IMPORTRANGE(""1-uH1wy6jSm5jYL9je6fN1K5RJ5QMvHntodEHZRtIvTk"", ""All Data!N2:U""),
      ""select Col8 where Col1 = '"" &amp; D44 &amp; ""' and Col8 is not null"",
      0
    )
  )/100,
""""),
  """"
)
"),"")</f>
        <v/>
      </c>
    </row>
    <row r="45">
      <c r="A45" s="108">
        <v>45559.0</v>
      </c>
      <c r="B45" s="108">
        <v>45560.0</v>
      </c>
      <c r="C45" s="108">
        <v>45561.0</v>
      </c>
      <c r="D45" s="113">
        <v>200041.0</v>
      </c>
      <c r="E45" s="322" t="s">
        <v>2003</v>
      </c>
      <c r="F45" s="322" t="s">
        <v>2044</v>
      </c>
      <c r="G45" s="322" t="s">
        <v>1985</v>
      </c>
      <c r="H45" s="4" t="s">
        <v>180</v>
      </c>
      <c r="I45" s="4">
        <v>20.0</v>
      </c>
      <c r="J45" s="172"/>
      <c r="K45" s="172"/>
      <c r="L45" s="172"/>
      <c r="M45" s="172"/>
      <c r="N45" s="172"/>
      <c r="O45" s="357"/>
      <c r="P45" s="357"/>
      <c r="Q45" s="358">
        <f t="shared" si="7"/>
        <v>20</v>
      </c>
      <c r="R45" s="366" t="str">
        <f t="shared" si="5"/>
        <v/>
      </c>
      <c r="S45" s="359">
        <f t="shared" si="6"/>
        <v>0.7047720401</v>
      </c>
      <c r="T45" s="8"/>
      <c r="U45" s="8"/>
      <c r="V45" s="8"/>
      <c r="W45" s="172"/>
      <c r="X45" s="172"/>
      <c r="Y45" s="8"/>
      <c r="Z45" s="8"/>
      <c r="AA45" s="8"/>
      <c r="AB45" s="172"/>
      <c r="AC45" s="172"/>
      <c r="AD45" s="8"/>
      <c r="AE45" s="8"/>
      <c r="AF45" s="8"/>
      <c r="AG45" s="172"/>
      <c r="AH45" s="172"/>
      <c r="AI45" s="367"/>
      <c r="AJ45" s="362"/>
      <c r="AK45" s="363" t="str">
        <f>IFERROR(__xludf.DUMMYFUNCTION("IFERROR(if(D45&lt;&gt;"""", 
  AVERAGE(
    QUERY(
      IMPORTRANGE(""1-uH1wy6jSm5jYL9je6fN1K5RJ5QMvHntodEHZRtIvTk"", ""All Data!N2:U""),
      ""select Col8 where Col1 = '"" &amp; D45 &amp; ""' and Col8 is not null"",
      0
    )
  )/100,
""""),
  """"
)
"),"")</f>
        <v/>
      </c>
    </row>
    <row r="46">
      <c r="A46" s="108">
        <v>45560.0</v>
      </c>
      <c r="B46" s="108">
        <v>45561.0</v>
      </c>
      <c r="C46" s="108">
        <v>45562.0</v>
      </c>
      <c r="D46" s="113">
        <v>200042.0</v>
      </c>
      <c r="E46" s="322" t="s">
        <v>2003</v>
      </c>
      <c r="F46" s="322" t="s">
        <v>2044</v>
      </c>
      <c r="G46" s="322" t="s">
        <v>1985</v>
      </c>
      <c r="H46" s="4" t="s">
        <v>180</v>
      </c>
      <c r="I46" s="4">
        <v>18.16</v>
      </c>
      <c r="J46" s="172"/>
      <c r="K46" s="172"/>
      <c r="L46" s="172"/>
      <c r="M46" s="172"/>
      <c r="N46" s="172"/>
      <c r="O46" s="357"/>
      <c r="P46" s="357"/>
      <c r="Q46" s="358">
        <f t="shared" si="7"/>
        <v>18.16</v>
      </c>
      <c r="R46" s="366" t="str">
        <f t="shared" si="5"/>
        <v/>
      </c>
      <c r="S46" s="359">
        <f t="shared" si="6"/>
        <v>0.7047720401</v>
      </c>
      <c r="T46" s="8"/>
      <c r="U46" s="8"/>
      <c r="V46" s="8"/>
      <c r="W46" s="172"/>
      <c r="X46" s="172"/>
      <c r="Y46" s="8"/>
      <c r="Z46" s="8"/>
      <c r="AA46" s="8"/>
      <c r="AB46" s="172"/>
      <c r="AC46" s="172"/>
      <c r="AD46" s="8"/>
      <c r="AE46" s="8"/>
      <c r="AF46" s="8"/>
      <c r="AG46" s="172"/>
      <c r="AH46" s="172"/>
      <c r="AI46" s="367"/>
      <c r="AJ46" s="362"/>
      <c r="AK46" s="363" t="str">
        <f>IFERROR(__xludf.DUMMYFUNCTION("IFERROR(if(D46&lt;&gt;"""", 
  AVERAGE(
    QUERY(
      IMPORTRANGE(""1-uH1wy6jSm5jYL9je6fN1K5RJ5QMvHntodEHZRtIvTk"", ""All Data!N2:U""),
      ""select Col8 where Col1 = '"" &amp; D46 &amp; ""' and Col8 is not null"",
      0
    )
  )/100,
""""),
  """"
)
"),"")</f>
        <v/>
      </c>
    </row>
    <row r="47">
      <c r="A47" s="108">
        <v>45564.0</v>
      </c>
      <c r="B47" s="108">
        <v>45565.0</v>
      </c>
      <c r="C47" s="108">
        <v>45566.0</v>
      </c>
      <c r="D47" s="113">
        <v>200043.0</v>
      </c>
      <c r="E47" s="322" t="s">
        <v>2003</v>
      </c>
      <c r="F47" s="322" t="s">
        <v>1984</v>
      </c>
      <c r="G47" s="322" t="s">
        <v>1985</v>
      </c>
      <c r="H47" s="4" t="s">
        <v>180</v>
      </c>
      <c r="I47" s="4">
        <v>18.16</v>
      </c>
      <c r="J47" s="172"/>
      <c r="K47" s="172"/>
      <c r="L47" s="172"/>
      <c r="M47" s="172"/>
      <c r="N47" s="172"/>
      <c r="O47" s="357"/>
      <c r="P47" s="357"/>
      <c r="Q47" s="358">
        <f t="shared" si="7"/>
        <v>18.16</v>
      </c>
      <c r="R47" s="366" t="str">
        <f t="shared" si="5"/>
        <v/>
      </c>
      <c r="S47" s="359">
        <f t="shared" si="6"/>
        <v>0.7047720401</v>
      </c>
      <c r="T47" s="8"/>
      <c r="U47" s="8"/>
      <c r="V47" s="8"/>
      <c r="W47" s="172"/>
      <c r="X47" s="172"/>
      <c r="Y47" s="8"/>
      <c r="Z47" s="8"/>
      <c r="AA47" s="8"/>
      <c r="AB47" s="172"/>
      <c r="AC47" s="172"/>
      <c r="AD47" s="8"/>
      <c r="AE47" s="8"/>
      <c r="AF47" s="8"/>
      <c r="AG47" s="172"/>
      <c r="AH47" s="172"/>
      <c r="AI47" s="367"/>
      <c r="AJ47" s="362"/>
      <c r="AK47" s="363" t="str">
        <f>IFERROR(__xludf.DUMMYFUNCTION("IFERROR(if(D47&lt;&gt;"""", 
  AVERAGE(
    QUERY(
      IMPORTRANGE(""1-uH1wy6jSm5jYL9je6fN1K5RJ5QMvHntodEHZRtIvTk"", ""All Data!N2:U""),
      ""select Col8 where Col1 = '"" &amp; D47 &amp; ""' and Col8 is not null"",
      0
    )
  )/100,
""""),
  """"
)
"),"")</f>
        <v/>
      </c>
    </row>
    <row r="48">
      <c r="A48" s="108">
        <v>45565.0</v>
      </c>
      <c r="B48" s="108">
        <v>45571.0</v>
      </c>
      <c r="C48" s="108">
        <v>45572.0</v>
      </c>
      <c r="D48" s="113">
        <v>200044.0</v>
      </c>
      <c r="E48" s="322" t="s">
        <v>2003</v>
      </c>
      <c r="F48" s="322" t="s">
        <v>2044</v>
      </c>
      <c r="G48" s="322" t="s">
        <v>1985</v>
      </c>
      <c r="H48" s="4" t="s">
        <v>180</v>
      </c>
      <c r="I48" s="4">
        <v>8.56</v>
      </c>
      <c r="J48" s="4" t="s">
        <v>175</v>
      </c>
      <c r="K48" s="4">
        <v>9.6</v>
      </c>
      <c r="L48" s="172"/>
      <c r="M48" s="172"/>
      <c r="N48" s="172"/>
      <c r="O48" s="357"/>
      <c r="P48" s="357"/>
      <c r="Q48" s="358">
        <f t="shared" si="7"/>
        <v>18.16</v>
      </c>
      <c r="R48" s="366" t="str">
        <f t="shared" si="5"/>
        <v/>
      </c>
      <c r="S48" s="359">
        <f t="shared" si="6"/>
        <v>0.7047720401</v>
      </c>
      <c r="T48" s="8"/>
      <c r="U48" s="8"/>
      <c r="V48" s="8"/>
      <c r="W48" s="172"/>
      <c r="X48" s="172"/>
      <c r="Y48" s="8"/>
      <c r="Z48" s="8"/>
      <c r="AA48" s="8"/>
      <c r="AB48" s="172"/>
      <c r="AC48" s="172"/>
      <c r="AD48" s="8"/>
      <c r="AE48" s="8"/>
      <c r="AF48" s="8"/>
      <c r="AG48" s="172"/>
      <c r="AH48" s="172"/>
      <c r="AI48" s="367"/>
      <c r="AJ48" s="362"/>
      <c r="AK48" s="363" t="str">
        <f>IFERROR(__xludf.DUMMYFUNCTION("IFERROR(if(D48&lt;&gt;"""", 
  AVERAGE(
    QUERY(
      IMPORTRANGE(""1-uH1wy6jSm5jYL9je6fN1K5RJ5QMvHntodEHZRtIvTk"", ""All Data!N2:U""),
      ""select Col8 where Col1 = '"" &amp; D48 &amp; ""' and Col8 is not null"",
      0
    )
  )/100,
""""),
  """"
)
"),"")</f>
        <v/>
      </c>
    </row>
    <row r="49">
      <c r="A49" s="108">
        <v>45566.0</v>
      </c>
      <c r="B49" s="108">
        <v>45567.0</v>
      </c>
      <c r="C49" s="108">
        <v>45568.0</v>
      </c>
      <c r="D49" s="113">
        <v>100001.0</v>
      </c>
      <c r="E49" s="322" t="s">
        <v>2003</v>
      </c>
      <c r="F49" s="322" t="s">
        <v>2033</v>
      </c>
      <c r="G49" s="322" t="s">
        <v>1985</v>
      </c>
      <c r="H49" s="4"/>
      <c r="I49" s="4">
        <v>8.31</v>
      </c>
      <c r="J49" s="172"/>
      <c r="K49" s="172"/>
      <c r="L49" s="172"/>
      <c r="M49" s="172"/>
      <c r="N49" s="172"/>
      <c r="O49" s="357"/>
      <c r="P49" s="357"/>
      <c r="Q49" s="358">
        <f t="shared" si="7"/>
        <v>8.31</v>
      </c>
      <c r="R49" s="366" t="str">
        <f t="shared" si="5"/>
        <v/>
      </c>
      <c r="S49" s="359">
        <f t="shared" si="6"/>
        <v>0.7047720401</v>
      </c>
      <c r="T49" s="8"/>
      <c r="U49" s="8"/>
      <c r="V49" s="8"/>
      <c r="W49" s="172"/>
      <c r="X49" s="172"/>
      <c r="Y49" s="8"/>
      <c r="Z49" s="8"/>
      <c r="AA49" s="8"/>
      <c r="AB49" s="172"/>
      <c r="AC49" s="172"/>
      <c r="AD49" s="8"/>
      <c r="AE49" s="8"/>
      <c r="AF49" s="8"/>
      <c r="AG49" s="172"/>
      <c r="AH49" s="172"/>
      <c r="AI49" s="367"/>
      <c r="AJ49" s="362"/>
      <c r="AK49" s="363" t="str">
        <f>IFERROR(__xludf.DUMMYFUNCTION("IFERROR(if(D49&lt;&gt;"""", 
  AVERAGE(
    QUERY(
      IMPORTRANGE(""1-uH1wy6jSm5jYL9je6fN1K5RJ5QMvHntodEHZRtIvTk"", ""All Data!N2:U""),
      ""select Col8 where Col1 = '"" &amp; D49 &amp; ""' and Col8 is not null"",
      0
    )
  )/100,
""""),
  """"
)
"),"")</f>
        <v/>
      </c>
    </row>
    <row r="50">
      <c r="A50" s="108">
        <v>45571.0</v>
      </c>
      <c r="B50" s="108">
        <v>45572.0</v>
      </c>
      <c r="C50" s="108">
        <v>45573.0</v>
      </c>
      <c r="D50" s="113">
        <v>200045.0</v>
      </c>
      <c r="E50" s="322" t="s">
        <v>2003</v>
      </c>
      <c r="F50" s="322" t="s">
        <v>2044</v>
      </c>
      <c r="G50" s="322" t="s">
        <v>1985</v>
      </c>
      <c r="H50" s="4" t="s">
        <v>175</v>
      </c>
      <c r="I50" s="4">
        <v>18.16</v>
      </c>
      <c r="J50" s="172"/>
      <c r="K50" s="172"/>
      <c r="L50" s="172"/>
      <c r="M50" s="172"/>
      <c r="N50" s="172"/>
      <c r="O50" s="357"/>
      <c r="P50" s="357"/>
      <c r="Q50" s="358">
        <f t="shared" si="7"/>
        <v>18.16</v>
      </c>
      <c r="R50" s="366" t="str">
        <f t="shared" si="5"/>
        <v/>
      </c>
      <c r="S50" s="359">
        <f t="shared" si="6"/>
        <v>0.7047720401</v>
      </c>
      <c r="T50" s="8"/>
      <c r="U50" s="8"/>
      <c r="V50" s="8"/>
      <c r="W50" s="172"/>
      <c r="X50" s="172"/>
      <c r="Y50" s="8"/>
      <c r="Z50" s="8"/>
      <c r="AA50" s="8"/>
      <c r="AB50" s="172"/>
      <c r="AC50" s="172"/>
      <c r="AD50" s="8"/>
      <c r="AE50" s="8"/>
      <c r="AF50" s="8"/>
      <c r="AG50" s="172"/>
      <c r="AH50" s="172"/>
      <c r="AI50" s="367"/>
      <c r="AJ50" s="362"/>
      <c r="AK50" s="363" t="str">
        <f>IFERROR(__xludf.DUMMYFUNCTION("IFERROR(if(D50&lt;&gt;"""", 
  AVERAGE(
    QUERY(
      IMPORTRANGE(""1-uH1wy6jSm5jYL9je6fN1K5RJ5QMvHntodEHZRtIvTk"", ""All Data!N2:U""),
      ""select Col8 where Col1 = '"" &amp; D50 &amp; ""' and Col8 is not null"",
      0
    )
  )/100,
""""),
  """"
)
"),"")</f>
        <v/>
      </c>
    </row>
    <row r="51">
      <c r="A51" s="108">
        <v>45572.0</v>
      </c>
      <c r="B51" s="108">
        <v>45573.0</v>
      </c>
      <c r="C51" s="108">
        <v>45574.0</v>
      </c>
      <c r="D51" s="113">
        <v>200046.0</v>
      </c>
      <c r="E51" s="322" t="s">
        <v>2003</v>
      </c>
      <c r="F51" s="322" t="s">
        <v>2044</v>
      </c>
      <c r="G51" s="322" t="s">
        <v>1985</v>
      </c>
      <c r="H51" s="4" t="s">
        <v>175</v>
      </c>
      <c r="I51" s="4">
        <v>18.16</v>
      </c>
      <c r="J51" s="172"/>
      <c r="K51" s="172"/>
      <c r="L51" s="172"/>
      <c r="M51" s="172"/>
      <c r="N51" s="172"/>
      <c r="O51" s="357"/>
      <c r="P51" s="357"/>
      <c r="Q51" s="358">
        <f t="shared" si="7"/>
        <v>18.16</v>
      </c>
      <c r="R51" s="366" t="str">
        <f t="shared" si="5"/>
        <v/>
      </c>
      <c r="S51" s="359">
        <f t="shared" si="6"/>
        <v>0.7047720401</v>
      </c>
      <c r="T51" s="8"/>
      <c r="U51" s="8"/>
      <c r="V51" s="8"/>
      <c r="W51" s="172"/>
      <c r="X51" s="172"/>
      <c r="Y51" s="8"/>
      <c r="Z51" s="8"/>
      <c r="AA51" s="8"/>
      <c r="AB51" s="172"/>
      <c r="AC51" s="172"/>
      <c r="AD51" s="8"/>
      <c r="AE51" s="8"/>
      <c r="AF51" s="8"/>
      <c r="AG51" s="172"/>
      <c r="AH51" s="172"/>
      <c r="AI51" s="367"/>
      <c r="AJ51" s="362"/>
      <c r="AK51" s="363" t="str">
        <f>IFERROR(__xludf.DUMMYFUNCTION("IFERROR(if(D51&lt;&gt;"""", 
  AVERAGE(
    QUERY(
      IMPORTRANGE(""1-uH1wy6jSm5jYL9je6fN1K5RJ5QMvHntodEHZRtIvTk"", ""All Data!N2:U""),
      ""select Col8 where Col1 = '"" &amp; D51 &amp; ""' and Col8 is not null"",
      0
    )
  )/100,
""""),
  """"
)
"),"")</f>
        <v/>
      </c>
    </row>
    <row r="52">
      <c r="A52" s="108">
        <v>45574.0</v>
      </c>
      <c r="B52" s="108">
        <v>45575.0</v>
      </c>
      <c r="C52" s="108">
        <v>45576.0</v>
      </c>
      <c r="D52" s="113">
        <v>200047.0</v>
      </c>
      <c r="E52" s="322" t="s">
        <v>2003</v>
      </c>
      <c r="F52" s="322" t="s">
        <v>2044</v>
      </c>
      <c r="G52" s="322" t="s">
        <v>1985</v>
      </c>
      <c r="H52" s="4" t="s">
        <v>175</v>
      </c>
      <c r="I52" s="4">
        <v>17.25</v>
      </c>
      <c r="J52" s="172"/>
      <c r="K52" s="172"/>
      <c r="L52" s="172"/>
      <c r="M52" s="172"/>
      <c r="N52" s="172"/>
      <c r="O52" s="357"/>
      <c r="P52" s="357"/>
      <c r="Q52" s="358">
        <f t="shared" si="7"/>
        <v>17.25</v>
      </c>
      <c r="R52" s="366" t="str">
        <f t="shared" si="5"/>
        <v/>
      </c>
      <c r="S52" s="359">
        <f t="shared" si="6"/>
        <v>0.7047720401</v>
      </c>
      <c r="T52" s="8"/>
      <c r="U52" s="8"/>
      <c r="V52" s="8"/>
      <c r="W52" s="172"/>
      <c r="X52" s="172"/>
      <c r="Y52" s="8"/>
      <c r="Z52" s="8"/>
      <c r="AA52" s="8"/>
      <c r="AB52" s="172"/>
      <c r="AC52" s="172"/>
      <c r="AD52" s="8"/>
      <c r="AE52" s="8"/>
      <c r="AF52" s="8"/>
      <c r="AG52" s="172"/>
      <c r="AH52" s="172"/>
      <c r="AI52" s="367"/>
      <c r="AJ52" s="362"/>
      <c r="AK52" s="363" t="str">
        <f>IFERROR(__xludf.DUMMYFUNCTION("IFERROR(if(D52&lt;&gt;"""", 
  AVERAGE(
    QUERY(
      IMPORTRANGE(""1-uH1wy6jSm5jYL9je6fN1K5RJ5QMvHntodEHZRtIvTk"", ""All Data!N2:U""),
      ""select Col8 where Col1 = '"" &amp; D52 &amp; ""' and Col8 is not null"",
      0
    )
  )/100,
""""),
  """"
)
"),"")</f>
        <v/>
      </c>
    </row>
    <row r="53">
      <c r="A53" s="108">
        <v>45577.0</v>
      </c>
      <c r="B53" s="108">
        <v>45578.0</v>
      </c>
      <c r="C53" s="108">
        <v>45579.0</v>
      </c>
      <c r="D53" s="113">
        <v>200048.0</v>
      </c>
      <c r="E53" s="322" t="s">
        <v>2003</v>
      </c>
      <c r="F53" s="322" t="s">
        <v>2044</v>
      </c>
      <c r="G53" s="322" t="s">
        <v>1985</v>
      </c>
      <c r="H53" s="4" t="s">
        <v>175</v>
      </c>
      <c r="I53" s="4">
        <v>17.25</v>
      </c>
      <c r="J53" s="172"/>
      <c r="K53" s="172"/>
      <c r="L53" s="172"/>
      <c r="M53" s="172"/>
      <c r="N53" s="172"/>
      <c r="O53" s="357"/>
      <c r="P53" s="357"/>
      <c r="Q53" s="358">
        <f t="shared" si="7"/>
        <v>17.25</v>
      </c>
      <c r="R53" s="366" t="str">
        <f t="shared" si="5"/>
        <v/>
      </c>
      <c r="S53" s="359">
        <f t="shared" si="6"/>
        <v>0.7047720401</v>
      </c>
      <c r="T53" s="8"/>
      <c r="U53" s="8"/>
      <c r="V53" s="8"/>
      <c r="W53" s="172"/>
      <c r="X53" s="172"/>
      <c r="Y53" s="8"/>
      <c r="Z53" s="8"/>
      <c r="AA53" s="8"/>
      <c r="AB53" s="172"/>
      <c r="AC53" s="172"/>
      <c r="AD53" s="8"/>
      <c r="AE53" s="8"/>
      <c r="AF53" s="8"/>
      <c r="AG53" s="172"/>
      <c r="AH53" s="172"/>
      <c r="AI53" s="367"/>
      <c r="AJ53" s="362"/>
      <c r="AK53" s="363" t="str">
        <f>IFERROR(__xludf.DUMMYFUNCTION("IFERROR(if(D53&lt;&gt;"""", 
  AVERAGE(
    QUERY(
      IMPORTRANGE(""1-uH1wy6jSm5jYL9je6fN1K5RJ5QMvHntodEHZRtIvTk"", ""All Data!N2:U""),
      ""select Col8 where Col1 = '"" &amp; D53 &amp; ""' and Col8 is not null"",
      0
    )
  )/100,
""""),
  """"
)
"),"")</f>
        <v/>
      </c>
    </row>
    <row r="54">
      <c r="A54" s="108">
        <v>45578.0</v>
      </c>
      <c r="B54" s="108">
        <v>45579.0</v>
      </c>
      <c r="C54" s="108">
        <v>45580.0</v>
      </c>
      <c r="D54" s="113">
        <v>200049.0</v>
      </c>
      <c r="E54" s="322" t="s">
        <v>2003</v>
      </c>
      <c r="F54" s="322" t="s">
        <v>2044</v>
      </c>
      <c r="G54" s="322" t="s">
        <v>1985</v>
      </c>
      <c r="H54" s="4" t="s">
        <v>175</v>
      </c>
      <c r="I54" s="4">
        <v>0.64</v>
      </c>
      <c r="J54" s="4" t="s">
        <v>184</v>
      </c>
      <c r="K54" s="4">
        <v>17.06</v>
      </c>
      <c r="L54" s="172"/>
      <c r="M54" s="172"/>
      <c r="N54" s="172"/>
      <c r="O54" s="357"/>
      <c r="P54" s="357"/>
      <c r="Q54" s="358">
        <f t="shared" si="7"/>
        <v>17.7</v>
      </c>
      <c r="R54" s="366" t="str">
        <f t="shared" si="5"/>
        <v/>
      </c>
      <c r="S54" s="359">
        <f t="shared" si="6"/>
        <v>0.7047720401</v>
      </c>
      <c r="T54" s="8"/>
      <c r="U54" s="8"/>
      <c r="V54" s="8"/>
      <c r="W54" s="172"/>
      <c r="X54" s="172"/>
      <c r="Y54" s="8"/>
      <c r="Z54" s="8"/>
      <c r="AA54" s="8"/>
      <c r="AB54" s="172"/>
      <c r="AC54" s="172"/>
      <c r="AD54" s="8"/>
      <c r="AE54" s="8"/>
      <c r="AF54" s="8"/>
      <c r="AG54" s="172"/>
      <c r="AH54" s="172"/>
      <c r="AI54" s="367"/>
      <c r="AJ54" s="362"/>
      <c r="AK54" s="363" t="str">
        <f>IFERROR(__xludf.DUMMYFUNCTION("IFERROR(if(D54&lt;&gt;"""", 
  AVERAGE(
    QUERY(
      IMPORTRANGE(""1-uH1wy6jSm5jYL9je6fN1K5RJ5QMvHntodEHZRtIvTk"", ""All Data!N2:U""),
      ""select Col8 where Col1 = '"" &amp; D54 &amp; ""' and Col8 is not null"",
      0
    )
  )/100,
""""),
  """"
)
"),"")</f>
        <v/>
      </c>
    </row>
    <row r="55">
      <c r="A55" s="108">
        <v>45579.0</v>
      </c>
      <c r="B55" s="108">
        <v>45581.0</v>
      </c>
      <c r="C55" s="108">
        <v>45582.0</v>
      </c>
      <c r="D55" s="113">
        <v>200050.0</v>
      </c>
      <c r="E55" s="322" t="s">
        <v>2003</v>
      </c>
      <c r="F55" s="322" t="s">
        <v>1984</v>
      </c>
      <c r="G55" s="322" t="s">
        <v>1985</v>
      </c>
      <c r="H55" s="4" t="s">
        <v>184</v>
      </c>
      <c r="I55" s="4">
        <v>18.16</v>
      </c>
      <c r="J55" s="172"/>
      <c r="K55" s="172"/>
      <c r="L55" s="172"/>
      <c r="M55" s="172"/>
      <c r="N55" s="172"/>
      <c r="O55" s="357"/>
      <c r="P55" s="357"/>
      <c r="Q55" s="358">
        <f t="shared" si="7"/>
        <v>18.16</v>
      </c>
      <c r="R55" s="366" t="str">
        <f t="shared" si="5"/>
        <v/>
      </c>
      <c r="S55" s="359">
        <f t="shared" si="6"/>
        <v>0.7047720401</v>
      </c>
      <c r="T55" s="8"/>
      <c r="U55" s="8"/>
      <c r="V55" s="8"/>
      <c r="W55" s="172"/>
      <c r="X55" s="172"/>
      <c r="Y55" s="8"/>
      <c r="Z55" s="8"/>
      <c r="AA55" s="8"/>
      <c r="AB55" s="172"/>
      <c r="AC55" s="172"/>
      <c r="AD55" s="8"/>
      <c r="AE55" s="8"/>
      <c r="AF55" s="8"/>
      <c r="AG55" s="172"/>
      <c r="AH55" s="172"/>
      <c r="AI55" s="367"/>
      <c r="AJ55" s="362"/>
      <c r="AK55" s="363" t="str">
        <f>IFERROR(__xludf.DUMMYFUNCTION("IFERROR(if(D55&lt;&gt;"""", 
  AVERAGE(
    QUERY(
      IMPORTRANGE(""1-uH1wy6jSm5jYL9je6fN1K5RJ5QMvHntodEHZRtIvTk"", ""All Data!N2:U""),
      ""select Col8 where Col1 = '"" &amp; D55 &amp; ""' and Col8 is not null"",
      0
    )
  )/100,
""""),
  """"
)
"),"")</f>
        <v/>
      </c>
    </row>
    <row r="56">
      <c r="A56" s="108">
        <v>45581.0</v>
      </c>
      <c r="B56" s="108">
        <v>45585.0</v>
      </c>
      <c r="C56" s="108">
        <v>45586.0</v>
      </c>
      <c r="D56" s="113">
        <v>200051.0</v>
      </c>
      <c r="E56" s="322" t="s">
        <v>2003</v>
      </c>
      <c r="F56" s="322" t="s">
        <v>2044</v>
      </c>
      <c r="G56" s="322" t="s">
        <v>1985</v>
      </c>
      <c r="H56" s="4" t="s">
        <v>184</v>
      </c>
      <c r="I56" s="4">
        <v>17.82</v>
      </c>
      <c r="J56" s="172"/>
      <c r="K56" s="172"/>
      <c r="L56" s="172"/>
      <c r="M56" s="172"/>
      <c r="N56" s="172"/>
      <c r="O56" s="357"/>
      <c r="P56" s="357"/>
      <c r="Q56" s="358">
        <f t="shared" si="7"/>
        <v>17.82</v>
      </c>
      <c r="R56" s="366" t="str">
        <f t="shared" si="5"/>
        <v/>
      </c>
      <c r="S56" s="359">
        <f t="shared" si="6"/>
        <v>0.7047720401</v>
      </c>
      <c r="T56" s="8"/>
      <c r="U56" s="8"/>
      <c r="V56" s="8"/>
      <c r="W56" s="172"/>
      <c r="X56" s="172"/>
      <c r="Y56" s="8"/>
      <c r="Z56" s="8"/>
      <c r="AA56" s="8"/>
      <c r="AB56" s="172"/>
      <c r="AC56" s="172"/>
      <c r="AD56" s="8"/>
      <c r="AE56" s="8"/>
      <c r="AF56" s="8"/>
      <c r="AG56" s="172"/>
      <c r="AH56" s="172"/>
      <c r="AI56" s="367"/>
      <c r="AJ56" s="362"/>
      <c r="AK56" s="363" t="str">
        <f>IFERROR(__xludf.DUMMYFUNCTION("IFERROR(if(D56&lt;&gt;"""", 
  AVERAGE(
    QUERY(
      IMPORTRANGE(""1-uH1wy6jSm5jYL9je6fN1K5RJ5QMvHntodEHZRtIvTk"", ""All Data!N2:U""),
      ""select Col8 where Col1 = '"" &amp; D56 &amp; ""' and Col8 is not null"",
      0
    )
  )/100,
""""),
  """"
)
"),"")</f>
        <v/>
      </c>
    </row>
    <row r="57">
      <c r="A57" s="108">
        <v>45582.0</v>
      </c>
      <c r="B57" s="4" t="s">
        <v>2045</v>
      </c>
      <c r="C57" s="373">
        <v>45589.0</v>
      </c>
      <c r="D57" s="113">
        <v>200052.0</v>
      </c>
      <c r="E57" s="322" t="s">
        <v>2003</v>
      </c>
      <c r="F57" s="322" t="s">
        <v>2046</v>
      </c>
      <c r="G57" s="322" t="s">
        <v>1985</v>
      </c>
      <c r="H57" s="4" t="s">
        <v>215</v>
      </c>
      <c r="I57" s="4">
        <v>18.16</v>
      </c>
      <c r="J57" s="172"/>
      <c r="K57" s="172"/>
      <c r="L57" s="172"/>
      <c r="M57" s="172"/>
      <c r="N57" s="172"/>
      <c r="O57" s="357"/>
      <c r="P57" s="357"/>
      <c r="Q57" s="358">
        <f t="shared" si="7"/>
        <v>18.16</v>
      </c>
      <c r="R57" s="366" t="str">
        <f t="shared" si="5"/>
        <v/>
      </c>
      <c r="S57" s="359">
        <f t="shared" si="6"/>
        <v>0.7047720401</v>
      </c>
      <c r="T57" s="8"/>
      <c r="U57" s="8"/>
      <c r="V57" s="8"/>
      <c r="W57" s="172"/>
      <c r="X57" s="172"/>
      <c r="Y57" s="8"/>
      <c r="Z57" s="8"/>
      <c r="AA57" s="8"/>
      <c r="AB57" s="172"/>
      <c r="AC57" s="172"/>
      <c r="AD57" s="8"/>
      <c r="AE57" s="8"/>
      <c r="AF57" s="8"/>
      <c r="AG57" s="172"/>
      <c r="AH57" s="172"/>
      <c r="AI57" s="367"/>
      <c r="AJ57" s="362"/>
      <c r="AK57" s="363" t="str">
        <f>IFERROR(__xludf.DUMMYFUNCTION("IFERROR(if(D57&lt;&gt;"""", 
  AVERAGE(
    QUERY(
      IMPORTRANGE(""1-uH1wy6jSm5jYL9je6fN1K5RJ5QMvHntodEHZRtIvTk"", ""All Data!N2:U""),
      ""select Col8 where Col1 = '"" &amp; D57 &amp; ""' and Col8 is not null"",
      0
    )
  )/100,
""""),
  """"
)
"),"")</f>
        <v/>
      </c>
    </row>
    <row r="58">
      <c r="A58" s="108">
        <v>45594.0</v>
      </c>
      <c r="B58" s="108">
        <v>45601.0</v>
      </c>
      <c r="C58" s="108">
        <v>45602.0</v>
      </c>
      <c r="D58" s="113">
        <v>200053.0</v>
      </c>
      <c r="E58" s="322" t="s">
        <v>1930</v>
      </c>
      <c r="F58" s="376" t="s">
        <v>2044</v>
      </c>
      <c r="G58" s="322" t="s">
        <v>1985</v>
      </c>
      <c r="H58" s="4" t="s">
        <v>218</v>
      </c>
      <c r="I58" s="4">
        <v>18.0</v>
      </c>
      <c r="J58" s="172"/>
      <c r="K58" s="172"/>
      <c r="L58" s="172"/>
      <c r="M58" s="172"/>
      <c r="N58" s="172"/>
      <c r="O58" s="357"/>
      <c r="P58" s="357"/>
      <c r="Q58" s="358">
        <f t="shared" si="7"/>
        <v>18</v>
      </c>
      <c r="R58" s="366">
        <f t="shared" si="5"/>
        <v>12.68589672</v>
      </c>
      <c r="S58" s="359">
        <f t="shared" si="6"/>
        <v>0.7047720401</v>
      </c>
      <c r="T58" s="8"/>
      <c r="U58" s="8"/>
      <c r="V58" s="8"/>
      <c r="W58" s="172"/>
      <c r="X58" s="172"/>
      <c r="Y58" s="8"/>
      <c r="Z58" s="8"/>
      <c r="AA58" s="8"/>
      <c r="AB58" s="172"/>
      <c r="AC58" s="172"/>
      <c r="AD58" s="8"/>
      <c r="AE58" s="8"/>
      <c r="AF58" s="8"/>
      <c r="AG58" s="172"/>
      <c r="AH58" s="172"/>
      <c r="AI58" s="367"/>
      <c r="AJ58" s="362"/>
      <c r="AK58" s="363" t="str">
        <f>IFERROR(__xludf.DUMMYFUNCTION("IFERROR(if(D58&lt;&gt;"""", 
  AVERAGE(
    QUERY(
      IMPORTRANGE(""1-uH1wy6jSm5jYL9je6fN1K5RJ5QMvHntodEHZRtIvTk"", ""All Data!N2:U""),
      ""select Col8 where Col1 = '"" &amp; D58 &amp; ""' and Col8 is not null"",
      0
    )
  )/100,
""""),
  """"
)
"),"")</f>
        <v/>
      </c>
    </row>
    <row r="59" ht="15.0" customHeight="1">
      <c r="A59" s="108">
        <v>45607.0</v>
      </c>
      <c r="B59" s="108">
        <v>45610.0</v>
      </c>
      <c r="C59" s="108">
        <v>45611.0</v>
      </c>
      <c r="D59" s="113">
        <v>200054.0</v>
      </c>
      <c r="E59" s="322" t="s">
        <v>1930</v>
      </c>
      <c r="F59" s="376" t="s">
        <v>2044</v>
      </c>
      <c r="G59" s="322" t="s">
        <v>1985</v>
      </c>
      <c r="H59" s="4" t="s">
        <v>229</v>
      </c>
      <c r="I59" s="4">
        <v>17.89</v>
      </c>
      <c r="J59" s="172"/>
      <c r="K59" s="172"/>
      <c r="L59" s="172"/>
      <c r="M59" s="172"/>
      <c r="N59" s="172"/>
      <c r="O59" s="357"/>
      <c r="P59" s="357"/>
      <c r="Q59" s="358">
        <f t="shared" si="7"/>
        <v>17.89</v>
      </c>
      <c r="R59" s="366">
        <f t="shared" si="5"/>
        <v>12.6083718</v>
      </c>
      <c r="S59" s="359">
        <f t="shared" si="6"/>
        <v>0.7047720401</v>
      </c>
      <c r="T59" s="8"/>
      <c r="U59" s="8"/>
      <c r="V59" s="8"/>
      <c r="W59" s="172"/>
      <c r="X59" s="172"/>
      <c r="Y59" s="8"/>
      <c r="Z59" s="8"/>
      <c r="AA59" s="8"/>
      <c r="AB59" s="172"/>
      <c r="AC59" s="172"/>
      <c r="AD59" s="8"/>
      <c r="AE59" s="8"/>
      <c r="AF59" s="8"/>
      <c r="AG59" s="172"/>
      <c r="AH59" s="172"/>
      <c r="AI59" s="367"/>
      <c r="AJ59" s="362"/>
      <c r="AK59" s="363" t="str">
        <f>IFERROR(__xludf.DUMMYFUNCTION("IFERROR(if(D59&lt;&gt;"""", 
  AVERAGE(
    QUERY(
      IMPORTRANGE(""1-uH1wy6jSm5jYL9je6fN1K5RJ5QMvHntodEHZRtIvTk"", ""All Data!N2:U""),
      ""select Col8 where Col1 = '"" &amp; D59 &amp; ""' and Col8 is not null"",
      0
    )
  )/100,
""""),
  """"
)
"),"")</f>
        <v/>
      </c>
    </row>
    <row r="60">
      <c r="A60" s="108">
        <v>45613.0</v>
      </c>
      <c r="B60" s="108">
        <v>45614.0</v>
      </c>
      <c r="C60" s="108">
        <v>45615.0</v>
      </c>
      <c r="D60" s="113">
        <v>200055.0</v>
      </c>
      <c r="E60" s="322" t="s">
        <v>1930</v>
      </c>
      <c r="F60" s="376" t="s">
        <v>2044</v>
      </c>
      <c r="G60" s="322" t="s">
        <v>1985</v>
      </c>
      <c r="H60" s="4" t="s">
        <v>231</v>
      </c>
      <c r="I60" s="4">
        <v>20.33</v>
      </c>
      <c r="J60" s="4" t="s">
        <v>235</v>
      </c>
      <c r="K60" s="4">
        <v>9.18</v>
      </c>
      <c r="L60" s="172"/>
      <c r="M60" s="172"/>
      <c r="N60" s="172"/>
      <c r="O60" s="357"/>
      <c r="P60" s="357"/>
      <c r="Q60" s="358">
        <f t="shared" si="7"/>
        <v>29.51</v>
      </c>
      <c r="R60" s="366">
        <f t="shared" si="5"/>
        <v>20.7978229</v>
      </c>
      <c r="S60" s="359">
        <f t="shared" si="6"/>
        <v>0.7047720401</v>
      </c>
      <c r="T60" s="8"/>
      <c r="U60" s="8"/>
      <c r="V60" s="8"/>
      <c r="W60" s="172"/>
      <c r="X60" s="172"/>
      <c r="Y60" s="8"/>
      <c r="Z60" s="8"/>
      <c r="AA60" s="8"/>
      <c r="AB60" s="172"/>
      <c r="AC60" s="172"/>
      <c r="AD60" s="8"/>
      <c r="AE60" s="8"/>
      <c r="AF60" s="8"/>
      <c r="AG60" s="172"/>
      <c r="AH60" s="172"/>
      <c r="AI60" s="367"/>
      <c r="AJ60" s="362"/>
      <c r="AK60" s="363" t="str">
        <f>IFERROR(__xludf.DUMMYFUNCTION("IFERROR(if(D60&lt;&gt;"""", 
  AVERAGE(
    QUERY(
      IMPORTRANGE(""1-uH1wy6jSm5jYL9je6fN1K5RJ5QMvHntodEHZRtIvTk"", ""All Data!N2:U""),
      ""select Col8 where Col1 = '"" &amp; D60 &amp; ""' and Col8 is not null"",
      0
    )
  )/100,
""""),
  """"
)
"),"")</f>
        <v/>
      </c>
    </row>
    <row r="61">
      <c r="A61" s="108">
        <v>45614.0</v>
      </c>
      <c r="B61" s="108">
        <v>45615.0</v>
      </c>
      <c r="C61" s="108">
        <v>45616.0</v>
      </c>
      <c r="D61" s="113">
        <v>200056.0</v>
      </c>
      <c r="E61" s="322" t="s">
        <v>1930</v>
      </c>
      <c r="F61" s="376" t="s">
        <v>2044</v>
      </c>
      <c r="G61" s="322" t="s">
        <v>1985</v>
      </c>
      <c r="H61" s="4" t="s">
        <v>235</v>
      </c>
      <c r="I61" s="4">
        <v>10.8</v>
      </c>
      <c r="J61" s="4" t="s">
        <v>237</v>
      </c>
      <c r="K61" s="4">
        <v>7.36</v>
      </c>
      <c r="L61" s="172"/>
      <c r="M61" s="172"/>
      <c r="N61" s="172"/>
      <c r="O61" s="357"/>
      <c r="P61" s="357"/>
      <c r="Q61" s="358">
        <f t="shared" si="7"/>
        <v>18.16</v>
      </c>
      <c r="R61" s="366">
        <f t="shared" si="5"/>
        <v>12.79866025</v>
      </c>
      <c r="S61" s="359">
        <f t="shared" si="6"/>
        <v>0.7047720401</v>
      </c>
      <c r="T61" s="8"/>
      <c r="U61" s="8"/>
      <c r="V61" s="8"/>
      <c r="W61" s="172"/>
      <c r="X61" s="172"/>
      <c r="Y61" s="8"/>
      <c r="Z61" s="8"/>
      <c r="AA61" s="8"/>
      <c r="AB61" s="172"/>
      <c r="AC61" s="172"/>
      <c r="AD61" s="8"/>
      <c r="AE61" s="8"/>
      <c r="AF61" s="8"/>
      <c r="AG61" s="172"/>
      <c r="AH61" s="172"/>
      <c r="AI61" s="367"/>
      <c r="AJ61" s="362"/>
      <c r="AK61" s="363" t="str">
        <f>IFERROR(__xludf.DUMMYFUNCTION("IFERROR(if(D61&lt;&gt;"""", 
  AVERAGE(
    QUERY(
      IMPORTRANGE(""1-uH1wy6jSm5jYL9je6fN1K5RJ5QMvHntodEHZRtIvTk"", ""All Data!N2:U""),
      ""select Col8 where Col1 = '"" &amp; D61 &amp; ""' and Col8 is not null"",
      0
    )
  )/100,
""""),
  """"
)
"),"")</f>
        <v/>
      </c>
    </row>
    <row r="62">
      <c r="A62" s="108">
        <v>45615.0</v>
      </c>
      <c r="B62" s="108">
        <v>45616.0</v>
      </c>
      <c r="C62" s="108">
        <v>45617.0</v>
      </c>
      <c r="D62" s="113">
        <v>200057.0</v>
      </c>
      <c r="E62" s="322" t="s">
        <v>1930</v>
      </c>
      <c r="F62" s="376" t="s">
        <v>2044</v>
      </c>
      <c r="G62" s="322" t="s">
        <v>1985</v>
      </c>
      <c r="H62" s="4" t="s">
        <v>237</v>
      </c>
      <c r="I62" s="4">
        <v>13.26</v>
      </c>
      <c r="J62" s="4" t="s">
        <v>239</v>
      </c>
      <c r="K62" s="4">
        <v>19.94</v>
      </c>
      <c r="L62" s="172"/>
      <c r="M62" s="172"/>
      <c r="N62" s="172"/>
      <c r="O62" s="357"/>
      <c r="P62" s="357"/>
      <c r="Q62" s="358">
        <f t="shared" si="7"/>
        <v>33.2</v>
      </c>
      <c r="R62" s="366">
        <f t="shared" si="5"/>
        <v>23.39843173</v>
      </c>
      <c r="S62" s="359">
        <f t="shared" si="6"/>
        <v>0.7047720401</v>
      </c>
      <c r="T62" s="8"/>
      <c r="U62" s="8"/>
      <c r="V62" s="8"/>
      <c r="W62" s="172"/>
      <c r="X62" s="172"/>
      <c r="Y62" s="8"/>
      <c r="Z62" s="8"/>
      <c r="AA62" s="8"/>
      <c r="AB62" s="172"/>
      <c r="AC62" s="172"/>
      <c r="AD62" s="8"/>
      <c r="AE62" s="8"/>
      <c r="AF62" s="8"/>
      <c r="AG62" s="172"/>
      <c r="AH62" s="172"/>
      <c r="AI62" s="367"/>
      <c r="AJ62" s="362"/>
      <c r="AK62" s="363" t="str">
        <f>IFERROR(__xludf.DUMMYFUNCTION("IFERROR(if(D62&lt;&gt;"""", 
  AVERAGE(
    QUERY(
      IMPORTRANGE(""1-uH1wy6jSm5jYL9je6fN1K5RJ5QMvHntodEHZRtIvTk"", ""All Data!N2:U""),
      ""select Col8 where Col1 = '"" &amp; D62 &amp; ""' and Col8 is not null"",
      0
    )
  )/100,
""""),
  """"
)
"),"")</f>
        <v/>
      </c>
    </row>
    <row r="63">
      <c r="A63" s="108">
        <v>45616.0</v>
      </c>
      <c r="B63" s="108">
        <v>45621.0</v>
      </c>
      <c r="C63" s="108">
        <v>45622.0</v>
      </c>
      <c r="D63" s="112">
        <v>200058.0</v>
      </c>
      <c r="E63" s="322" t="s">
        <v>1930</v>
      </c>
      <c r="F63" s="376" t="s">
        <v>2044</v>
      </c>
      <c r="G63" s="322" t="s">
        <v>1985</v>
      </c>
      <c r="H63" s="4" t="s">
        <v>241</v>
      </c>
      <c r="I63" s="4">
        <v>20.62</v>
      </c>
      <c r="J63" s="4" t="s">
        <v>243</v>
      </c>
      <c r="K63" s="4">
        <v>15.47</v>
      </c>
      <c r="L63" s="172"/>
      <c r="M63" s="172"/>
      <c r="N63" s="172"/>
      <c r="O63" s="357"/>
      <c r="P63" s="357"/>
      <c r="Q63" s="358">
        <f t="shared" si="7"/>
        <v>36.09</v>
      </c>
      <c r="R63" s="366">
        <f t="shared" si="5"/>
        <v>25.43522293</v>
      </c>
      <c r="S63" s="359">
        <f t="shared" si="6"/>
        <v>0.7047720401</v>
      </c>
      <c r="T63" s="8"/>
      <c r="U63" s="8"/>
      <c r="V63" s="8"/>
      <c r="W63" s="172"/>
      <c r="X63" s="172"/>
      <c r="Y63" s="8"/>
      <c r="Z63" s="8"/>
      <c r="AA63" s="8"/>
      <c r="AB63" s="172"/>
      <c r="AC63" s="172"/>
      <c r="AD63" s="8"/>
      <c r="AE63" s="8"/>
      <c r="AF63" s="8"/>
      <c r="AG63" s="172"/>
      <c r="AH63" s="172"/>
      <c r="AI63" s="367"/>
      <c r="AJ63" s="362"/>
      <c r="AK63" s="363" t="str">
        <f>IFERROR(__xludf.DUMMYFUNCTION("IFERROR(if(D63&lt;&gt;"""", 
  AVERAGE(
    QUERY(
      IMPORTRANGE(""1-uH1wy6jSm5jYL9je6fN1K5RJ5QMvHntodEHZRtIvTk"", ""All Data!N2:U""),
      ""select Col8 where Col1 = '"" &amp; D63 &amp; ""' and Col8 is not null"",
      0
    )
  )/100,
""""),
  """"
)
"),"")</f>
        <v/>
      </c>
    </row>
    <row r="64">
      <c r="A64" s="108">
        <v>45622.0</v>
      </c>
      <c r="B64" s="108">
        <v>45628.0</v>
      </c>
      <c r="C64" s="108">
        <v>45630.0</v>
      </c>
      <c r="D64" s="112">
        <v>200059.0</v>
      </c>
      <c r="E64" s="322" t="s">
        <v>1930</v>
      </c>
      <c r="F64" s="376" t="s">
        <v>2044</v>
      </c>
      <c r="G64" s="322" t="s">
        <v>1985</v>
      </c>
      <c r="H64" s="4" t="s">
        <v>243</v>
      </c>
      <c r="I64" s="4">
        <v>5.47</v>
      </c>
      <c r="J64" s="4" t="s">
        <v>245</v>
      </c>
      <c r="K64" s="4">
        <v>20.26</v>
      </c>
      <c r="L64" s="4"/>
      <c r="M64" s="4" t="s">
        <v>246</v>
      </c>
      <c r="N64" s="4">
        <v>10.62</v>
      </c>
      <c r="O64" s="357"/>
      <c r="P64" s="357"/>
      <c r="Q64" s="358">
        <f t="shared" si="7"/>
        <v>36.35</v>
      </c>
      <c r="R64" s="366">
        <f t="shared" si="5"/>
        <v>25.61846366</v>
      </c>
      <c r="S64" s="359">
        <f t="shared" si="6"/>
        <v>0.7047720401</v>
      </c>
      <c r="T64" s="8"/>
      <c r="U64" s="8"/>
      <c r="V64" s="8"/>
      <c r="W64" s="172"/>
      <c r="X64" s="172"/>
      <c r="Y64" s="8"/>
      <c r="Z64" s="8"/>
      <c r="AA64" s="8"/>
      <c r="AB64" s="172"/>
      <c r="AC64" s="172"/>
      <c r="AD64" s="8"/>
      <c r="AE64" s="8"/>
      <c r="AF64" s="8"/>
      <c r="AG64" s="172"/>
      <c r="AH64" s="172"/>
      <c r="AI64" s="367"/>
      <c r="AJ64" s="362"/>
      <c r="AK64" s="363" t="str">
        <f>IFERROR(__xludf.DUMMYFUNCTION("IFERROR(if(D64&lt;&gt;"""", 
  AVERAGE(
    QUERY(
      IMPORTRANGE(""1-uH1wy6jSm5jYL9je6fN1K5RJ5QMvHntodEHZRtIvTk"", ""All Data!N2:U""),
      ""select Col8 where Col1 = '"" &amp; D64 &amp; ""' and Col8 is not null"",
      0
    )
  )/100,
""""),
  """"
)
"),"")</f>
        <v/>
      </c>
    </row>
    <row r="65">
      <c r="A65" s="373">
        <v>45624.0</v>
      </c>
      <c r="B65" s="108">
        <v>45630.0</v>
      </c>
      <c r="C65" s="108">
        <v>45631.0</v>
      </c>
      <c r="D65" s="112">
        <v>200060.0</v>
      </c>
      <c r="E65" s="322" t="s">
        <v>1930</v>
      </c>
      <c r="F65" s="376" t="s">
        <v>2044</v>
      </c>
      <c r="G65" s="322" t="s">
        <v>1985</v>
      </c>
      <c r="H65" s="4" t="s">
        <v>246</v>
      </c>
      <c r="I65" s="4">
        <v>10.35</v>
      </c>
      <c r="J65" s="4" t="s">
        <v>248</v>
      </c>
      <c r="K65" s="4">
        <v>20.22</v>
      </c>
      <c r="L65" s="4"/>
      <c r="M65" s="4" t="s">
        <v>250</v>
      </c>
      <c r="N65" s="4">
        <v>5.65</v>
      </c>
      <c r="O65" s="357"/>
      <c r="P65" s="357"/>
      <c r="Q65" s="358">
        <f t="shared" si="7"/>
        <v>36.22</v>
      </c>
      <c r="R65" s="366">
        <f t="shared" si="5"/>
        <v>25.52684329</v>
      </c>
      <c r="S65" s="359">
        <f t="shared" si="6"/>
        <v>0.7047720401</v>
      </c>
      <c r="T65" s="8"/>
      <c r="U65" s="8"/>
      <c r="V65" s="8"/>
      <c r="W65" s="172"/>
      <c r="X65" s="172"/>
      <c r="Y65" s="8"/>
      <c r="Z65" s="8"/>
      <c r="AA65" s="8"/>
      <c r="AB65" s="172"/>
      <c r="AC65" s="172"/>
      <c r="AD65" s="8"/>
      <c r="AE65" s="8"/>
      <c r="AF65" s="8"/>
      <c r="AG65" s="172"/>
      <c r="AH65" s="172"/>
      <c r="AI65" s="367"/>
      <c r="AJ65" s="362"/>
      <c r="AK65" s="363" t="str">
        <f>IFERROR(__xludf.DUMMYFUNCTION("IFERROR(if(D65&lt;&gt;"""", 
  AVERAGE(
    QUERY(
      IMPORTRANGE(""1-uH1wy6jSm5jYL9je6fN1K5RJ5QMvHntodEHZRtIvTk"", ""All Data!N2:U""),
      ""select Col8 where Col1 = '"" &amp; D65 &amp; ""' and Col8 is not null"",
      0
    )
  )/100,
""""),
  """"
)
"),"")</f>
        <v/>
      </c>
    </row>
    <row r="66">
      <c r="A66" s="373">
        <v>45626.0</v>
      </c>
      <c r="B66" s="108">
        <v>45631.0</v>
      </c>
      <c r="C66" s="108">
        <v>45632.0</v>
      </c>
      <c r="D66" s="112">
        <v>200061.0</v>
      </c>
      <c r="E66" s="322" t="s">
        <v>1930</v>
      </c>
      <c r="F66" s="376" t="s">
        <v>2044</v>
      </c>
      <c r="G66" s="322" t="s">
        <v>1985</v>
      </c>
      <c r="H66" s="4" t="s">
        <v>250</v>
      </c>
      <c r="I66" s="4">
        <v>13.68</v>
      </c>
      <c r="J66" s="4" t="s">
        <v>251</v>
      </c>
      <c r="K66" s="4">
        <v>19.29</v>
      </c>
      <c r="L66" s="4"/>
      <c r="M66" s="4" t="s">
        <v>253</v>
      </c>
      <c r="N66" s="4">
        <v>3.35</v>
      </c>
      <c r="O66" s="357"/>
      <c r="P66" s="357"/>
      <c r="Q66" s="358">
        <f t="shared" si="7"/>
        <v>36.32</v>
      </c>
      <c r="R66" s="366" t="str">
        <f>IF($E66="Production",IF(OR($F67="Inject Vaulted",$F67="Inject/Dispose Mix"),IF($G66="Complete",Q66*S66,""),""),"")</f>
        <v/>
      </c>
      <c r="S66" s="359">
        <f t="shared" si="6"/>
        <v>0.7047720401</v>
      </c>
      <c r="T66" s="8"/>
      <c r="U66" s="8"/>
      <c r="V66" s="8"/>
      <c r="W66" s="172"/>
      <c r="X66" s="172"/>
      <c r="Y66" s="8"/>
      <c r="Z66" s="8"/>
      <c r="AA66" s="8"/>
      <c r="AB66" s="172"/>
      <c r="AC66" s="172"/>
      <c r="AD66" s="8"/>
      <c r="AE66" s="8"/>
      <c r="AF66" s="8"/>
      <c r="AG66" s="172"/>
      <c r="AH66" s="172"/>
      <c r="AI66" s="367"/>
      <c r="AJ66" s="362"/>
      <c r="AK66" s="363" t="str">
        <f>IFERROR(__xludf.DUMMYFUNCTION("IFERROR(if(D66&lt;&gt;"""", 
  AVERAGE(
    QUERY(
      IMPORTRANGE(""1-uH1wy6jSm5jYL9je6fN1K5RJ5QMvHntodEHZRtIvTk"", ""All Data!N2:U""),
      ""select Col8 where Col1 = '"" &amp; D66 &amp; ""' and Col8 is not null"",
      0
    )
  )/100,
""""),
  """"
)
"),"")</f>
        <v/>
      </c>
    </row>
    <row r="67">
      <c r="A67" s="108">
        <v>45630.0</v>
      </c>
      <c r="B67" s="108">
        <v>45635.0</v>
      </c>
      <c r="C67" s="108">
        <v>45636.0</v>
      </c>
      <c r="D67" s="112">
        <v>200062.0</v>
      </c>
      <c r="E67" s="322" t="s">
        <v>1930</v>
      </c>
      <c r="F67" s="376" t="s">
        <v>2046</v>
      </c>
      <c r="G67" s="322" t="s">
        <v>1985</v>
      </c>
      <c r="H67" s="4" t="s">
        <v>253</v>
      </c>
      <c r="I67" s="4">
        <v>16.85</v>
      </c>
      <c r="J67" s="4" t="s">
        <v>254</v>
      </c>
      <c r="K67" s="4">
        <v>19.46</v>
      </c>
      <c r="L67" s="172"/>
      <c r="M67" s="172"/>
      <c r="N67" s="172"/>
      <c r="O67" s="357"/>
      <c r="P67" s="357"/>
      <c r="Q67" s="358">
        <f t="shared" si="7"/>
        <v>36.31</v>
      </c>
      <c r="R67" s="366" t="str">
        <f t="shared" ref="R67:R68" si="8">IF($E67="Production",IF(OR(#REF!="Inject Vaulted",#REF!="Inject/Dispose Mix"),IF($G67="Complete",Q67*S67,""),""),"")</f>
        <v>#REF!</v>
      </c>
      <c r="S67" s="359">
        <f t="shared" si="6"/>
        <v>0.7047720401</v>
      </c>
      <c r="T67" s="8"/>
      <c r="U67" s="8"/>
      <c r="V67" s="8"/>
      <c r="W67" s="172"/>
      <c r="X67" s="172"/>
      <c r="Y67" s="8"/>
      <c r="Z67" s="8"/>
      <c r="AA67" s="8"/>
      <c r="AB67" s="172"/>
      <c r="AC67" s="172"/>
      <c r="AD67" s="8"/>
      <c r="AE67" s="8"/>
      <c r="AF67" s="8"/>
      <c r="AG67" s="172"/>
      <c r="AH67" s="172"/>
      <c r="AI67" s="367"/>
      <c r="AJ67" s="362"/>
      <c r="AK67" s="363" t="str">
        <f>IFERROR(__xludf.DUMMYFUNCTION("IFERROR(if(D67&lt;&gt;"""", 
  AVERAGE(
    QUERY(
      IMPORTRANGE(""1-uH1wy6jSm5jYL9je6fN1K5RJ5QMvHntodEHZRtIvTk"", ""All Data!N2:U""),
      ""select Col8 where Col1 = '"" &amp; D67 &amp; ""' and Col8 is not null"",
      0
    )
  )/100,
""""),
  """"
)
"),"")</f>
        <v/>
      </c>
    </row>
    <row r="68">
      <c r="A68" s="107">
        <v>45638.0</v>
      </c>
      <c r="B68" s="108">
        <v>45643.0</v>
      </c>
      <c r="C68" s="108">
        <v>45644.0</v>
      </c>
      <c r="D68" s="112">
        <v>200063.0</v>
      </c>
      <c r="E68" s="322" t="s">
        <v>1930</v>
      </c>
      <c r="F68" s="376" t="s">
        <v>2046</v>
      </c>
      <c r="G68" s="322" t="s">
        <v>1985</v>
      </c>
      <c r="H68" s="4" t="s">
        <v>257</v>
      </c>
      <c r="I68" s="4">
        <v>19.85</v>
      </c>
      <c r="J68" s="4" t="s">
        <v>259</v>
      </c>
      <c r="K68" s="4">
        <v>16.71</v>
      </c>
      <c r="L68" s="4"/>
      <c r="M68" s="4"/>
      <c r="N68" s="172"/>
      <c r="O68" s="357"/>
      <c r="P68" s="357"/>
      <c r="Q68" s="358">
        <f t="shared" si="7"/>
        <v>36.56</v>
      </c>
      <c r="R68" s="366" t="str">
        <f t="shared" si="8"/>
        <v>#REF!</v>
      </c>
      <c r="S68" s="359">
        <f t="shared" si="6"/>
        <v>0.7047720401</v>
      </c>
      <c r="T68" s="8"/>
      <c r="U68" s="8"/>
      <c r="V68" s="8"/>
      <c r="W68" s="172"/>
      <c r="X68" s="172"/>
      <c r="Y68" s="8"/>
      <c r="Z68" s="8"/>
      <c r="AA68" s="8"/>
      <c r="AB68" s="172"/>
      <c r="AC68" s="172"/>
      <c r="AD68" s="8"/>
      <c r="AE68" s="8"/>
      <c r="AF68" s="8"/>
      <c r="AG68" s="172"/>
      <c r="AH68" s="172"/>
      <c r="AI68" s="367"/>
      <c r="AJ68" s="362"/>
      <c r="AK68" s="363" t="str">
        <f>IFERROR(__xludf.DUMMYFUNCTION("IFERROR(if(D68&lt;&gt;"""", 
  AVERAGE(
    QUERY(
      IMPORTRANGE(""1-uH1wy6jSm5jYL9je6fN1K5RJ5QMvHntodEHZRtIvTk"", ""All Data!N2:U""),
      ""select Col8 where Col1 = '"" &amp; D68 &amp; ""' and Col8 is not null"",
      0
    )
  )/100,
""""),
  """"
)
"),"")</f>
        <v/>
      </c>
    </row>
    <row r="69">
      <c r="A69" s="137"/>
      <c r="B69" s="137"/>
      <c r="C69" s="108"/>
      <c r="D69" s="112">
        <v>200064.0</v>
      </c>
      <c r="E69" s="322" t="s">
        <v>1930</v>
      </c>
      <c r="F69" s="376" t="s">
        <v>2044</v>
      </c>
      <c r="G69" s="322" t="s">
        <v>1985</v>
      </c>
      <c r="H69" s="4" t="s">
        <v>259</v>
      </c>
      <c r="I69" s="4">
        <v>2.9</v>
      </c>
      <c r="J69" s="4" t="s">
        <v>262</v>
      </c>
      <c r="K69" s="4">
        <v>19.94</v>
      </c>
      <c r="L69" s="4"/>
      <c r="M69" s="4" t="s">
        <v>255</v>
      </c>
      <c r="N69" s="4">
        <v>10.89</v>
      </c>
      <c r="O69" s="357"/>
      <c r="P69" s="357"/>
      <c r="Q69" s="358">
        <f t="shared" si="7"/>
        <v>33.73</v>
      </c>
      <c r="R69" s="366" t="str">
        <f>IF($E69="Production",IF(OR($F68="Inject Vaulted",$F68="Inject/Dispose Mix"),IF($G69="Complete",Q69*S69,""),""),"")</f>
        <v/>
      </c>
      <c r="S69" s="359">
        <f t="shared" si="6"/>
        <v>0.7047720401</v>
      </c>
      <c r="T69" s="8"/>
      <c r="U69" s="8"/>
      <c r="V69" s="8"/>
      <c r="W69" s="172"/>
      <c r="X69" s="172"/>
      <c r="Y69" s="8"/>
      <c r="Z69" s="8"/>
      <c r="AA69" s="8"/>
      <c r="AB69" s="172"/>
      <c r="AC69" s="172"/>
      <c r="AD69" s="8"/>
      <c r="AE69" s="8"/>
      <c r="AF69" s="8"/>
      <c r="AG69" s="172"/>
      <c r="AH69" s="172"/>
      <c r="AI69" s="367"/>
      <c r="AJ69" s="362"/>
      <c r="AK69" s="363" t="str">
        <f>IFERROR(__xludf.DUMMYFUNCTION("IFERROR(if(D69&lt;&gt;"""", 
  AVERAGE(
    QUERY(
      IMPORTRANGE(""1-uH1wy6jSm5jYL9je6fN1K5RJ5QMvHntodEHZRtIvTk"", ""All Data!N2:U""),
      ""select Col8 where Col1 = '"" &amp; D69 &amp; ""' and Col8 is not null"",
      0
    )
  )/100,
""""),
  """"
)
"),"")</f>
        <v/>
      </c>
    </row>
    <row r="70">
      <c r="A70" s="137"/>
      <c r="B70" s="137"/>
      <c r="C70" s="137"/>
      <c r="D70" s="4">
        <v>200065.0</v>
      </c>
      <c r="E70" s="322" t="s">
        <v>1930</v>
      </c>
      <c r="F70" s="376" t="s">
        <v>2044</v>
      </c>
      <c r="G70" s="322" t="s">
        <v>1985</v>
      </c>
      <c r="H70" s="4" t="s">
        <v>255</v>
      </c>
      <c r="I70" s="4">
        <v>9.03</v>
      </c>
      <c r="J70" s="4" t="s">
        <v>263</v>
      </c>
      <c r="K70" s="4">
        <v>20.39</v>
      </c>
      <c r="L70" s="4"/>
      <c r="M70" s="4" t="s">
        <v>265</v>
      </c>
      <c r="N70" s="4">
        <v>6.9</v>
      </c>
      <c r="O70" s="357"/>
      <c r="P70" s="357"/>
      <c r="Q70" s="358">
        <f t="shared" si="7"/>
        <v>36.32</v>
      </c>
      <c r="R70" s="366">
        <f t="shared" ref="R70:R78" si="9">IF($E70="Production",IF(OR($F70="Inject Vaulted",$F70="Inject/Dispose Mix"),IF($G70="Complete",Q70*S70,""),""),"")</f>
        <v>25.59732049</v>
      </c>
      <c r="S70" s="359">
        <f t="shared" si="6"/>
        <v>0.7047720401</v>
      </c>
      <c r="T70" s="8"/>
      <c r="U70" s="8"/>
      <c r="V70" s="8"/>
      <c r="W70" s="172"/>
      <c r="X70" s="172"/>
      <c r="Y70" s="8"/>
      <c r="Z70" s="8"/>
      <c r="AA70" s="8"/>
      <c r="AB70" s="172"/>
      <c r="AC70" s="172"/>
      <c r="AD70" s="8"/>
      <c r="AE70" s="8"/>
      <c r="AF70" s="8"/>
      <c r="AG70" s="172"/>
      <c r="AH70" s="172"/>
      <c r="AI70" s="367"/>
      <c r="AJ70" s="362"/>
      <c r="AK70" s="363" t="str">
        <f>IFERROR(__xludf.DUMMYFUNCTION("IFERROR(if(D70&lt;&gt;"""", 
  AVERAGE(
    QUERY(
      IMPORTRANGE(""1-uH1wy6jSm5jYL9je6fN1K5RJ5QMvHntodEHZRtIvTk"", ""All Data!N2:U""),
      ""select Col8 where Col1 = '"" &amp; D70 &amp; ""' and Col8 is not null"",
      0
    )
  )/100,
""""),
  """"
)
"),"")</f>
        <v/>
      </c>
    </row>
    <row r="71">
      <c r="A71" s="137"/>
      <c r="B71" s="137"/>
      <c r="C71" s="137"/>
      <c r="D71" s="4">
        <v>200066.0</v>
      </c>
      <c r="E71" s="322" t="s">
        <v>1930</v>
      </c>
      <c r="F71" s="376" t="s">
        <v>2044</v>
      </c>
      <c r="G71" s="322" t="s">
        <v>1985</v>
      </c>
      <c r="H71" s="4" t="s">
        <v>265</v>
      </c>
      <c r="I71" s="4">
        <v>13.61</v>
      </c>
      <c r="J71" s="4" t="s">
        <v>267</v>
      </c>
      <c r="K71" s="4">
        <v>19.72</v>
      </c>
      <c r="L71" s="4"/>
      <c r="M71" s="4" t="s">
        <v>269</v>
      </c>
      <c r="N71" s="4">
        <v>1.4</v>
      </c>
      <c r="O71" s="357"/>
      <c r="P71" s="357"/>
      <c r="Q71" s="358">
        <f t="shared" si="7"/>
        <v>34.73</v>
      </c>
      <c r="R71" s="366">
        <f t="shared" si="9"/>
        <v>24.47673295</v>
      </c>
      <c r="S71" s="359">
        <f t="shared" si="6"/>
        <v>0.7047720401</v>
      </c>
      <c r="T71" s="8"/>
      <c r="U71" s="8"/>
      <c r="V71" s="8"/>
      <c r="W71" s="172"/>
      <c r="X71" s="172"/>
      <c r="Y71" s="8"/>
      <c r="Z71" s="8"/>
      <c r="AA71" s="8"/>
      <c r="AB71" s="172"/>
      <c r="AC71" s="172"/>
      <c r="AD71" s="8"/>
      <c r="AE71" s="8"/>
      <c r="AF71" s="8"/>
      <c r="AG71" s="172"/>
      <c r="AH71" s="172"/>
      <c r="AI71" s="367"/>
      <c r="AJ71" s="362"/>
      <c r="AK71" s="363" t="str">
        <f>IFERROR(__xludf.DUMMYFUNCTION("IFERROR(if(D71&lt;&gt;"""", 
  AVERAGE(
    QUERY(
      IMPORTRANGE(""1-uH1wy6jSm5jYL9je6fN1K5RJ5QMvHntodEHZRtIvTk"", ""All Data!N2:U""),
      ""select Col8 where Col1 = '"" &amp; D71 &amp; ""' and Col8 is not null"",
      0
    )
  )/100,
""""),
  """"
)
"),"")</f>
        <v/>
      </c>
    </row>
    <row r="72">
      <c r="A72" s="137"/>
      <c r="B72" s="137"/>
      <c r="C72" s="137"/>
      <c r="D72" s="4">
        <v>200067.0</v>
      </c>
      <c r="E72" s="322" t="s">
        <v>1930</v>
      </c>
      <c r="F72" s="376" t="s">
        <v>2044</v>
      </c>
      <c r="G72" s="322" t="s">
        <v>1985</v>
      </c>
      <c r="H72" s="4" t="s">
        <v>269</v>
      </c>
      <c r="I72" s="4">
        <v>18.41</v>
      </c>
      <c r="J72" s="4" t="s">
        <v>271</v>
      </c>
      <c r="K72" s="4">
        <v>17.25</v>
      </c>
      <c r="L72" s="4"/>
      <c r="M72" s="4"/>
      <c r="N72" s="172"/>
      <c r="O72" s="357"/>
      <c r="P72" s="357"/>
      <c r="Q72" s="358">
        <f t="shared" si="7"/>
        <v>35.66</v>
      </c>
      <c r="R72" s="366">
        <f t="shared" si="9"/>
        <v>25.13217095</v>
      </c>
      <c r="S72" s="359">
        <f t="shared" si="6"/>
        <v>0.7047720401</v>
      </c>
      <c r="T72" s="8"/>
      <c r="U72" s="8"/>
      <c r="V72" s="8"/>
      <c r="W72" s="172"/>
      <c r="X72" s="172"/>
      <c r="Y72" s="8"/>
      <c r="Z72" s="8"/>
      <c r="AA72" s="8"/>
      <c r="AB72" s="172"/>
      <c r="AC72" s="172"/>
      <c r="AD72" s="8"/>
      <c r="AE72" s="8"/>
      <c r="AF72" s="8"/>
      <c r="AG72" s="172"/>
      <c r="AH72" s="172"/>
      <c r="AI72" s="367"/>
      <c r="AJ72" s="362"/>
      <c r="AK72" s="363" t="str">
        <f>IFERROR(__xludf.DUMMYFUNCTION("IFERROR(if(D72&lt;&gt;"""", 
  AVERAGE(
    QUERY(
      IMPORTRANGE(""1-uH1wy6jSm5jYL9je6fN1K5RJ5QMvHntodEHZRtIvTk"", ""All Data!N2:U""),
      ""select Col8 where Col1 = '"" &amp; D72 &amp; ""' and Col8 is not null"",
      0
    )
  )/100,
""""),
  """"
)
"),"")</f>
        <v/>
      </c>
    </row>
    <row r="73">
      <c r="A73" s="137"/>
      <c r="B73" s="137"/>
      <c r="C73" s="137"/>
      <c r="D73" s="4">
        <v>200068.0</v>
      </c>
      <c r="E73" s="322" t="s">
        <v>1930</v>
      </c>
      <c r="F73" s="376" t="s">
        <v>2044</v>
      </c>
      <c r="G73" s="322" t="s">
        <v>1985</v>
      </c>
      <c r="H73" s="4" t="s">
        <v>272</v>
      </c>
      <c r="I73" s="4">
        <v>15.88</v>
      </c>
      <c r="J73" s="4" t="s">
        <v>277</v>
      </c>
      <c r="K73" s="4">
        <v>2.5</v>
      </c>
      <c r="L73" s="4"/>
      <c r="M73" s="4"/>
      <c r="N73" s="4"/>
      <c r="O73" s="357"/>
      <c r="P73" s="357"/>
      <c r="Q73" s="358">
        <f t="shared" si="7"/>
        <v>18.38</v>
      </c>
      <c r="R73" s="366">
        <f t="shared" si="9"/>
        <v>12.9537101</v>
      </c>
      <c r="S73" s="359">
        <f t="shared" si="6"/>
        <v>0.7047720401</v>
      </c>
      <c r="T73" s="8"/>
      <c r="U73" s="8"/>
      <c r="V73" s="8"/>
      <c r="W73" s="172"/>
      <c r="X73" s="172"/>
      <c r="Y73" s="8"/>
      <c r="Z73" s="8"/>
      <c r="AA73" s="8"/>
      <c r="AB73" s="172"/>
      <c r="AC73" s="172"/>
      <c r="AD73" s="8"/>
      <c r="AE73" s="8"/>
      <c r="AF73" s="8"/>
      <c r="AG73" s="172"/>
      <c r="AH73" s="172"/>
      <c r="AI73" s="367"/>
      <c r="AJ73" s="362"/>
      <c r="AK73" s="363" t="str">
        <f>IFERROR(__xludf.DUMMYFUNCTION("IFERROR(if(D73&lt;&gt;"""", 
  AVERAGE(
    QUERY(
      IMPORTRANGE(""1-uH1wy6jSm5jYL9je6fN1K5RJ5QMvHntodEHZRtIvTk"", ""All Data!N2:U""),
      ""select Col8 where Col1 = '"" &amp; D73 &amp; ""' and Col8 is not null"",
      0
    )
  )/100,
""""),
  """"
)
"),"")</f>
        <v/>
      </c>
    </row>
    <row r="74">
      <c r="A74" s="137"/>
      <c r="B74" s="137"/>
      <c r="C74" s="137"/>
      <c r="D74" s="4">
        <v>200069.0</v>
      </c>
      <c r="E74" s="322" t="s">
        <v>1930</v>
      </c>
      <c r="F74" s="376" t="s">
        <v>2044</v>
      </c>
      <c r="G74" s="322" t="s">
        <v>1985</v>
      </c>
      <c r="H74" s="4" t="s">
        <v>273</v>
      </c>
      <c r="I74" s="4">
        <v>16.4</v>
      </c>
      <c r="J74" s="4" t="s">
        <v>272</v>
      </c>
      <c r="K74" s="4">
        <v>4.04</v>
      </c>
      <c r="L74" s="4"/>
      <c r="M74" s="4" t="s">
        <v>282</v>
      </c>
      <c r="N74" s="4">
        <v>15.86</v>
      </c>
      <c r="O74" s="357"/>
      <c r="P74" s="357"/>
      <c r="Q74" s="358">
        <f t="shared" si="7"/>
        <v>36.3</v>
      </c>
      <c r="R74" s="366">
        <f t="shared" si="9"/>
        <v>25.58322505</v>
      </c>
      <c r="S74" s="359">
        <f t="shared" si="6"/>
        <v>0.7047720401</v>
      </c>
      <c r="T74" s="8"/>
      <c r="U74" s="8"/>
      <c r="V74" s="8"/>
      <c r="W74" s="172"/>
      <c r="X74" s="172"/>
      <c r="Y74" s="8"/>
      <c r="Z74" s="8"/>
      <c r="AA74" s="8"/>
      <c r="AB74" s="172"/>
      <c r="AC74" s="172"/>
      <c r="AD74" s="8"/>
      <c r="AE74" s="8"/>
      <c r="AF74" s="8"/>
      <c r="AG74" s="172"/>
      <c r="AH74" s="172"/>
      <c r="AI74" s="367"/>
      <c r="AJ74" s="362"/>
      <c r="AK74" s="363" t="str">
        <f>IFERROR(__xludf.DUMMYFUNCTION("IFERROR(if(D74&lt;&gt;"""", 
  AVERAGE(
    QUERY(
      IMPORTRANGE(""1-uH1wy6jSm5jYL9je6fN1K5RJ5QMvHntodEHZRtIvTk"", ""All Data!N2:U""),
      ""select Col8 where Col1 = '"" &amp; D74 &amp; ""' and Col8 is not null"",
      0
    )
  )/100,
""""),
  """"
)
"),"")</f>
        <v/>
      </c>
    </row>
    <row r="75">
      <c r="A75" s="137"/>
      <c r="B75" s="137"/>
      <c r="C75" s="137"/>
      <c r="D75" s="4">
        <v>200070.0</v>
      </c>
      <c r="E75" s="322" t="s">
        <v>1930</v>
      </c>
      <c r="F75" s="376" t="s">
        <v>2044</v>
      </c>
      <c r="G75" s="322" t="s">
        <v>1985</v>
      </c>
      <c r="H75" s="4" t="s">
        <v>275</v>
      </c>
      <c r="I75" s="4">
        <v>20.62</v>
      </c>
      <c r="J75" s="4" t="s">
        <v>283</v>
      </c>
      <c r="K75" s="4">
        <v>15.7</v>
      </c>
      <c r="L75" s="4"/>
      <c r="M75" s="4"/>
      <c r="N75" s="172"/>
      <c r="O75" s="357"/>
      <c r="P75" s="357"/>
      <c r="Q75" s="358">
        <f t="shared" si="7"/>
        <v>36.32</v>
      </c>
      <c r="R75" s="366">
        <f t="shared" si="9"/>
        <v>25.59732049</v>
      </c>
      <c r="S75" s="359">
        <f t="shared" si="6"/>
        <v>0.7047720401</v>
      </c>
      <c r="T75" s="8"/>
      <c r="U75" s="8"/>
      <c r="V75" s="8"/>
      <c r="W75" s="172"/>
      <c r="X75" s="172"/>
      <c r="Y75" s="8"/>
      <c r="Z75" s="8"/>
      <c r="AA75" s="8"/>
      <c r="AB75" s="172"/>
      <c r="AC75" s="172"/>
      <c r="AD75" s="8"/>
      <c r="AE75" s="8"/>
      <c r="AF75" s="8"/>
      <c r="AG75" s="172"/>
      <c r="AH75" s="172"/>
      <c r="AI75" s="367"/>
      <c r="AJ75" s="362"/>
      <c r="AK75" s="363" t="str">
        <f>IFERROR(__xludf.DUMMYFUNCTION("IFERROR(if(D75&lt;&gt;"""", 
  AVERAGE(
    QUERY(
      IMPORTRANGE(""1-uH1wy6jSm5jYL9je6fN1K5RJ5QMvHntodEHZRtIvTk"", ""All Data!N2:U""),
      ""select Col8 where Col1 = '"" &amp; D75 &amp; ""' and Col8 is not null"",
      0
    )
  )/100,
""""),
  """"
)
"),"")</f>
        <v/>
      </c>
    </row>
    <row r="76">
      <c r="A76" s="137"/>
      <c r="B76" s="137"/>
      <c r="C76" s="137"/>
      <c r="D76" s="4">
        <v>300002.0</v>
      </c>
      <c r="E76" s="322" t="s">
        <v>1930</v>
      </c>
      <c r="F76" s="376" t="s">
        <v>2044</v>
      </c>
      <c r="G76" s="322" t="s">
        <v>1985</v>
      </c>
      <c r="H76" s="4" t="s">
        <v>288</v>
      </c>
      <c r="I76" s="4">
        <v>15.77</v>
      </c>
      <c r="J76" s="4" t="s">
        <v>277</v>
      </c>
      <c r="K76" s="4">
        <v>2.5</v>
      </c>
      <c r="L76" s="4"/>
      <c r="M76" s="4"/>
      <c r="N76" s="172"/>
      <c r="O76" s="357"/>
      <c r="P76" s="357"/>
      <c r="Q76" s="358">
        <f t="shared" si="7"/>
        <v>18.27</v>
      </c>
      <c r="R76" s="366">
        <f t="shared" si="9"/>
        <v>12.87618517</v>
      </c>
      <c r="S76" s="359">
        <f t="shared" si="6"/>
        <v>0.7047720401</v>
      </c>
      <c r="T76" s="8"/>
      <c r="U76" s="8"/>
      <c r="V76" s="8"/>
      <c r="W76" s="172"/>
      <c r="X76" s="172"/>
      <c r="Y76" s="8"/>
      <c r="Z76" s="8"/>
      <c r="AA76" s="8"/>
      <c r="AB76" s="172"/>
      <c r="AC76" s="172"/>
      <c r="AD76" s="8"/>
      <c r="AE76" s="8"/>
      <c r="AF76" s="8"/>
      <c r="AG76" s="172"/>
      <c r="AH76" s="172"/>
      <c r="AI76" s="367"/>
      <c r="AJ76" s="362"/>
      <c r="AK76" s="363" t="str">
        <f>IFERROR(__xludf.DUMMYFUNCTION("IFERROR(if(D77&lt;&gt;"""", 
  AVERAGE(
    QUERY(
      IMPORTRANGE(""1-uH1wy6jSm5jYL9je6fN1K5RJ5QMvHntodEHZRtIvTk"", ""All Data!N2:U""),
      ""select Col8 where Col1 = '"" &amp; D77 &amp; ""' and Col8 is not null"",
      0
    )
  )/100,
""""),
  """"
)
"),"")</f>
        <v/>
      </c>
    </row>
    <row r="77">
      <c r="A77" s="137"/>
      <c r="B77" s="137"/>
      <c r="C77" s="137"/>
      <c r="D77" s="4">
        <v>200071.0</v>
      </c>
      <c r="E77" s="322" t="s">
        <v>1930</v>
      </c>
      <c r="F77" s="376" t="s">
        <v>2044</v>
      </c>
      <c r="G77" s="322" t="s">
        <v>1985</v>
      </c>
      <c r="H77" s="4" t="s">
        <v>288</v>
      </c>
      <c r="I77" s="4">
        <v>4.38</v>
      </c>
      <c r="J77" s="4" t="s">
        <v>285</v>
      </c>
      <c r="K77" s="4">
        <v>19.82</v>
      </c>
      <c r="L77" s="4"/>
      <c r="M77" s="4" t="s">
        <v>289</v>
      </c>
      <c r="N77" s="4">
        <v>13.7</v>
      </c>
      <c r="O77" s="357"/>
      <c r="P77" s="357"/>
      <c r="Q77" s="358">
        <f t="shared" si="7"/>
        <v>37.9</v>
      </c>
      <c r="R77" s="366">
        <f t="shared" si="9"/>
        <v>26.71086032</v>
      </c>
      <c r="S77" s="359">
        <f t="shared" si="6"/>
        <v>0.7047720401</v>
      </c>
      <c r="T77" s="8"/>
      <c r="U77" s="8"/>
      <c r="V77" s="8"/>
      <c r="W77" s="172"/>
      <c r="X77" s="172"/>
      <c r="Y77" s="8"/>
      <c r="Z77" s="8"/>
      <c r="AA77" s="8"/>
      <c r="AB77" s="172"/>
      <c r="AC77" s="172"/>
      <c r="AD77" s="8"/>
      <c r="AE77" s="8"/>
      <c r="AF77" s="8"/>
      <c r="AG77" s="172"/>
      <c r="AH77" s="172"/>
      <c r="AI77" s="367"/>
      <c r="AJ77" s="362"/>
      <c r="AK77" s="363" t="str">
        <f>IFERROR(__xludf.DUMMYFUNCTION("IFERROR(if(D80&lt;&gt;"""", 
  AVERAGE(
    QUERY(
      IMPORTRANGE(""1-uH1wy6jSm5jYL9je6fN1K5RJ5QMvHntodEHZRtIvTk"", ""All Data!N2:U""),
      ""select Col8 where Col1 = '"" &amp; D80 &amp; ""' and Col8 is not null"",
      0
    )
  )/100,
""""),
  """"
)
"),"")</f>
        <v/>
      </c>
    </row>
    <row r="78">
      <c r="A78" s="137"/>
      <c r="B78" s="137"/>
      <c r="C78" s="137"/>
      <c r="D78" s="4">
        <v>300003.0</v>
      </c>
      <c r="E78" s="322" t="s">
        <v>1930</v>
      </c>
      <c r="F78" s="376" t="s">
        <v>2044</v>
      </c>
      <c r="G78" s="322" t="s">
        <v>1985</v>
      </c>
      <c r="H78" s="4" t="s">
        <v>289</v>
      </c>
      <c r="I78" s="4">
        <v>6.12</v>
      </c>
      <c r="J78" s="4" t="s">
        <v>293</v>
      </c>
      <c r="K78" s="4">
        <v>19.14</v>
      </c>
      <c r="L78" s="4"/>
      <c r="M78" s="4" t="s">
        <v>277</v>
      </c>
      <c r="N78" s="4">
        <v>3.75</v>
      </c>
      <c r="O78" s="357"/>
      <c r="P78" s="357"/>
      <c r="Q78" s="358">
        <f t="shared" si="7"/>
        <v>29.01</v>
      </c>
      <c r="R78" s="366">
        <f t="shared" si="9"/>
        <v>20.44543688</v>
      </c>
      <c r="S78" s="359">
        <f t="shared" si="6"/>
        <v>0.7047720401</v>
      </c>
      <c r="T78" s="8"/>
      <c r="U78" s="8"/>
      <c r="V78" s="8"/>
      <c r="W78" s="172"/>
      <c r="X78" s="172"/>
      <c r="Y78" s="8"/>
      <c r="Z78" s="8"/>
      <c r="AA78" s="8"/>
      <c r="AB78" s="172"/>
      <c r="AC78" s="172"/>
      <c r="AD78" s="8"/>
      <c r="AE78" s="8"/>
      <c r="AF78" s="8"/>
      <c r="AG78" s="172"/>
      <c r="AH78" s="172"/>
      <c r="AI78" s="367"/>
      <c r="AJ78" s="362"/>
      <c r="AK78" s="363"/>
    </row>
    <row r="79">
      <c r="A79" s="137"/>
      <c r="B79" s="137"/>
      <c r="C79" s="137"/>
      <c r="D79" s="4">
        <v>300004.0</v>
      </c>
      <c r="E79" s="322" t="s">
        <v>1930</v>
      </c>
      <c r="F79" s="376" t="s">
        <v>2044</v>
      </c>
      <c r="G79" s="322" t="s">
        <v>1985</v>
      </c>
      <c r="H79" s="4" t="s">
        <v>291</v>
      </c>
      <c r="I79" s="4">
        <v>18.35</v>
      </c>
      <c r="J79" s="4" t="s">
        <v>296</v>
      </c>
      <c r="K79" s="4">
        <v>12.7</v>
      </c>
      <c r="L79" s="4"/>
      <c r="M79" s="4" t="s">
        <v>277</v>
      </c>
      <c r="N79" s="4">
        <v>5.22</v>
      </c>
      <c r="O79" s="357"/>
      <c r="P79" s="357"/>
      <c r="Q79" s="358">
        <f t="shared" si="7"/>
        <v>36.27</v>
      </c>
      <c r="R79" s="366"/>
      <c r="S79" s="359"/>
      <c r="T79" s="8"/>
      <c r="U79" s="8"/>
      <c r="V79" s="8"/>
      <c r="W79" s="172"/>
      <c r="X79" s="172"/>
      <c r="Y79" s="8"/>
      <c r="Z79" s="8"/>
      <c r="AA79" s="8"/>
      <c r="AB79" s="172"/>
      <c r="AC79" s="172"/>
      <c r="AD79" s="8"/>
      <c r="AE79" s="8"/>
      <c r="AF79" s="8"/>
      <c r="AG79" s="172"/>
      <c r="AH79" s="172"/>
      <c r="AI79" s="367"/>
      <c r="AJ79" s="362"/>
      <c r="AK79" s="363"/>
    </row>
    <row r="80">
      <c r="A80" s="137"/>
      <c r="B80" s="137"/>
      <c r="C80" s="137"/>
      <c r="D80" s="4">
        <v>200072.0</v>
      </c>
      <c r="E80" s="322" t="s">
        <v>1930</v>
      </c>
      <c r="F80" s="376" t="s">
        <v>2044</v>
      </c>
      <c r="G80" s="322" t="s">
        <v>1985</v>
      </c>
      <c r="H80" s="4" t="s">
        <v>296</v>
      </c>
      <c r="I80" s="4">
        <v>6.27</v>
      </c>
      <c r="J80" s="4" t="s">
        <v>304</v>
      </c>
      <c r="K80" s="4">
        <v>19.77</v>
      </c>
      <c r="L80" s="4"/>
      <c r="M80" s="4" t="s">
        <v>298</v>
      </c>
      <c r="N80" s="4">
        <v>10.09</v>
      </c>
      <c r="O80" s="357"/>
      <c r="P80" s="357"/>
      <c r="Q80" s="358">
        <f t="shared" si="7"/>
        <v>36.13</v>
      </c>
      <c r="R80" s="366">
        <f t="shared" ref="R80:R90" si="10">IF($E80="Production",IF(OR($F80="Inject Vaulted",$F80="Inject/Dispose Mix"),IF($G80="Complete",Q80*S80,""),""),"")</f>
        <v>25.46341381</v>
      </c>
      <c r="S80" s="359">
        <f t="shared" ref="S80:S90" si="11">AVERAGE($S$4:$S$8)</f>
        <v>0.7047720401</v>
      </c>
      <c r="T80" s="8"/>
      <c r="U80" s="8"/>
      <c r="V80" s="8"/>
      <c r="W80" s="172"/>
      <c r="X80" s="172"/>
      <c r="Y80" s="8"/>
      <c r="Z80" s="8"/>
      <c r="AA80" s="8"/>
      <c r="AB80" s="172"/>
      <c r="AC80" s="172"/>
      <c r="AD80" s="8"/>
      <c r="AE80" s="8"/>
      <c r="AF80" s="8"/>
      <c r="AG80" s="172"/>
      <c r="AH80" s="172"/>
      <c r="AI80" s="367"/>
      <c r="AJ80" s="362"/>
      <c r="AK80" s="363" t="str">
        <f>IFERROR(__xludf.DUMMYFUNCTION("IFERROR(if(D82&lt;&gt;"""", 
  AVERAGE(
    QUERY(
      IMPORTRANGE(""1-uH1wy6jSm5jYL9je6fN1K5RJ5QMvHntodEHZRtIvTk"", ""All Data!N2:U""),
      ""select Col8 where Col1 = '"" &amp; D82 &amp; ""' and Col8 is not null"",
      0
    )
  )/100,
""""),
  """"
)
"),"")</f>
        <v/>
      </c>
    </row>
    <row r="81">
      <c r="A81" s="137"/>
      <c r="B81" s="137"/>
      <c r="C81" s="137"/>
      <c r="D81" s="4">
        <v>300005.0</v>
      </c>
      <c r="E81" s="322" t="s">
        <v>1930</v>
      </c>
      <c r="F81" s="376" t="s">
        <v>2044</v>
      </c>
      <c r="G81" s="322" t="s">
        <v>1985</v>
      </c>
      <c r="H81" s="4" t="s">
        <v>298</v>
      </c>
      <c r="I81" s="4">
        <v>8.78</v>
      </c>
      <c r="J81" s="4" t="s">
        <v>302</v>
      </c>
      <c r="K81" s="4">
        <v>19.53</v>
      </c>
      <c r="L81" s="4"/>
      <c r="M81" s="4" t="s">
        <v>308</v>
      </c>
      <c r="N81" s="4">
        <v>5.27</v>
      </c>
      <c r="O81" s="4" t="s">
        <v>277</v>
      </c>
      <c r="P81" s="377">
        <v>3.0</v>
      </c>
      <c r="Q81" s="358">
        <f t="shared" ref="Q81:Q100" si="12">N81+K81+I81+P81</f>
        <v>36.58</v>
      </c>
      <c r="R81" s="366">
        <f t="shared" si="10"/>
        <v>25.78056123</v>
      </c>
      <c r="S81" s="359">
        <f t="shared" si="11"/>
        <v>0.7047720401</v>
      </c>
      <c r="T81" s="8"/>
      <c r="U81" s="8"/>
      <c r="V81" s="8"/>
      <c r="W81" s="172"/>
      <c r="X81" s="172"/>
      <c r="Y81" s="8"/>
      <c r="Z81" s="8"/>
      <c r="AA81" s="8"/>
      <c r="AB81" s="172"/>
      <c r="AC81" s="172"/>
      <c r="AD81" s="8"/>
      <c r="AE81" s="8"/>
      <c r="AF81" s="8"/>
      <c r="AG81" s="172"/>
      <c r="AH81" s="172"/>
      <c r="AI81" s="367"/>
      <c r="AJ81" s="362"/>
      <c r="AK81" s="363" t="str">
        <f>IFERROR(__xludf.DUMMYFUNCTION("IFERROR(if(D83&lt;&gt;"""", 
  AVERAGE(
    QUERY(
      IMPORTRANGE(""1-uH1wy6jSm5jYL9je6fN1K5RJ5QMvHntodEHZRtIvTk"", ""All Data!N2:U""),
      ""select Col8 where Col1 = '"" &amp; D83 &amp; ""' and Col8 is not null"",
      0
    )
  )/100,
""""),
  """"
)
"),"")</f>
        <v/>
      </c>
    </row>
    <row r="82">
      <c r="A82" s="137"/>
      <c r="B82" s="137"/>
      <c r="C82" s="137"/>
      <c r="D82" s="4">
        <v>200073.0</v>
      </c>
      <c r="E82" s="322" t="s">
        <v>1930</v>
      </c>
      <c r="F82" s="376" t="s">
        <v>2044</v>
      </c>
      <c r="G82" s="322" t="s">
        <v>1985</v>
      </c>
      <c r="H82" s="4" t="s">
        <v>308</v>
      </c>
      <c r="I82" s="4">
        <v>14.38</v>
      </c>
      <c r="J82" s="4" t="s">
        <v>305</v>
      </c>
      <c r="K82" s="4">
        <v>20.26</v>
      </c>
      <c r="L82" s="4"/>
      <c r="M82" s="4"/>
      <c r="N82" s="172"/>
      <c r="O82" s="357"/>
      <c r="P82" s="357"/>
      <c r="Q82" s="358">
        <f t="shared" si="12"/>
        <v>34.64</v>
      </c>
      <c r="R82" s="366">
        <f t="shared" si="10"/>
        <v>24.41330347</v>
      </c>
      <c r="S82" s="359">
        <f t="shared" si="11"/>
        <v>0.7047720401</v>
      </c>
      <c r="T82" s="8"/>
      <c r="U82" s="8"/>
      <c r="V82" s="8"/>
      <c r="W82" s="172"/>
      <c r="X82" s="172"/>
      <c r="Y82" s="8"/>
      <c r="Z82" s="8"/>
      <c r="AA82" s="8"/>
      <c r="AB82" s="172"/>
      <c r="AC82" s="172"/>
      <c r="AD82" s="8"/>
      <c r="AE82" s="8"/>
      <c r="AF82" s="8"/>
      <c r="AG82" s="172"/>
      <c r="AH82" s="172"/>
      <c r="AI82" s="367"/>
      <c r="AJ82" s="362"/>
      <c r="AK82" s="363" t="str">
        <f>IFERROR(__xludf.DUMMYFUNCTION("IFERROR(if(D84&lt;&gt;"""", 
  AVERAGE(
    QUERY(
      IMPORTRANGE(""1-uH1wy6jSm5jYL9je6fN1K5RJ5QMvHntodEHZRtIvTk"", ""All Data!N2:U""),
      ""select Col8 where Col1 = '"" &amp; D84 &amp; ""' and Col8 is not null"",
      0
    )
  )/100,
""""),
  """"
)
"),"")</f>
        <v/>
      </c>
    </row>
    <row r="83">
      <c r="A83" s="137"/>
      <c r="B83" s="137"/>
      <c r="C83" s="137"/>
      <c r="D83" s="4">
        <v>200074.0</v>
      </c>
      <c r="E83" s="322" t="s">
        <v>1930</v>
      </c>
      <c r="F83" s="376" t="s">
        <v>2044</v>
      </c>
      <c r="G83" s="322" t="s">
        <v>1985</v>
      </c>
      <c r="H83" s="4" t="s">
        <v>306</v>
      </c>
      <c r="I83" s="4">
        <v>20.39</v>
      </c>
      <c r="J83" s="4" t="s">
        <v>311</v>
      </c>
      <c r="K83" s="4">
        <v>15.9</v>
      </c>
      <c r="L83" s="4"/>
      <c r="M83" s="4"/>
      <c r="N83" s="172"/>
      <c r="O83" s="357"/>
      <c r="P83" s="357"/>
      <c r="Q83" s="358">
        <f t="shared" si="12"/>
        <v>36.29</v>
      </c>
      <c r="R83" s="366">
        <f t="shared" si="10"/>
        <v>25.57617733</v>
      </c>
      <c r="S83" s="359">
        <f t="shared" si="11"/>
        <v>0.7047720401</v>
      </c>
      <c r="T83" s="8"/>
      <c r="U83" s="8"/>
      <c r="V83" s="8"/>
      <c r="W83" s="172"/>
      <c r="X83" s="172"/>
      <c r="Y83" s="8"/>
      <c r="Z83" s="8"/>
      <c r="AA83" s="8"/>
      <c r="AB83" s="172"/>
      <c r="AC83" s="172"/>
      <c r="AD83" s="8"/>
      <c r="AE83" s="8"/>
      <c r="AF83" s="8"/>
      <c r="AG83" s="172"/>
      <c r="AH83" s="172"/>
      <c r="AI83" s="367"/>
      <c r="AJ83" s="362"/>
      <c r="AK83" s="363" t="str">
        <f>IFERROR(__xludf.DUMMYFUNCTION("IFERROR(if(D85&lt;&gt;"""", 
  AVERAGE(
    QUERY(
      IMPORTRANGE(""1-uH1wy6jSm5jYL9je6fN1K5RJ5QMvHntodEHZRtIvTk"", ""All Data!N2:U""),
      ""select Col8 where Col1 = '"" &amp; D85 &amp; ""' and Col8 is not null"",
      0
    )
  )/100,
""""),
  """"
)
"),"")</f>
        <v/>
      </c>
    </row>
    <row r="84">
      <c r="A84" s="137"/>
      <c r="B84" s="137"/>
      <c r="C84" s="137"/>
      <c r="D84" s="4">
        <v>300006.0</v>
      </c>
      <c r="E84" s="322" t="s">
        <v>1930</v>
      </c>
      <c r="F84" s="376" t="s">
        <v>2044</v>
      </c>
      <c r="G84" s="322" t="s">
        <v>1985</v>
      </c>
      <c r="H84" s="4" t="s">
        <v>311</v>
      </c>
      <c r="I84" s="4">
        <v>3.7</v>
      </c>
      <c r="J84" s="4" t="s">
        <v>312</v>
      </c>
      <c r="K84" s="4">
        <v>19.58</v>
      </c>
      <c r="L84" s="4"/>
      <c r="M84" s="4" t="s">
        <v>313</v>
      </c>
      <c r="N84" s="4">
        <v>8.3</v>
      </c>
      <c r="O84" s="4" t="s">
        <v>277</v>
      </c>
      <c r="P84" s="377">
        <v>4.54</v>
      </c>
      <c r="Q84" s="358">
        <f t="shared" si="12"/>
        <v>36.12</v>
      </c>
      <c r="R84" s="366">
        <f t="shared" si="10"/>
        <v>25.45636609</v>
      </c>
      <c r="S84" s="359">
        <f t="shared" si="11"/>
        <v>0.7047720401</v>
      </c>
      <c r="T84" s="8"/>
      <c r="U84" s="8"/>
      <c r="V84" s="8"/>
      <c r="W84" s="172"/>
      <c r="X84" s="172"/>
      <c r="Y84" s="8"/>
      <c r="Z84" s="8"/>
      <c r="AA84" s="8"/>
      <c r="AB84" s="172"/>
      <c r="AC84" s="172"/>
      <c r="AD84" s="8"/>
      <c r="AE84" s="8"/>
      <c r="AF84" s="8"/>
      <c r="AG84" s="172"/>
      <c r="AH84" s="172"/>
      <c r="AI84" s="367"/>
      <c r="AJ84" s="362"/>
      <c r="AK84" s="363" t="str">
        <f>IFERROR(__xludf.DUMMYFUNCTION("IFERROR(if(D86&lt;&gt;"""", 
  AVERAGE(
    QUERY(
      IMPORTRANGE(""1-uH1wy6jSm5jYL9je6fN1K5RJ5QMvHntodEHZRtIvTk"", ""All Data!N2:U""),
      ""select Col8 where Col1 = '"" &amp; D86 &amp; ""' and Col8 is not null"",
      0
    )
  )/100,
""""),
  """"
)
"),"")</f>
        <v/>
      </c>
    </row>
    <row r="85">
      <c r="A85" s="137"/>
      <c r="B85" s="137"/>
      <c r="C85" s="137"/>
      <c r="D85" s="4">
        <v>200075.0</v>
      </c>
      <c r="E85" s="322" t="s">
        <v>1930</v>
      </c>
      <c r="F85" s="376" t="s">
        <v>2044</v>
      </c>
      <c r="G85" s="322" t="s">
        <v>1985</v>
      </c>
      <c r="H85" s="4" t="s">
        <v>313</v>
      </c>
      <c r="I85" s="4">
        <v>11.47</v>
      </c>
      <c r="J85" s="4" t="s">
        <v>315</v>
      </c>
      <c r="K85" s="4">
        <v>19.82</v>
      </c>
      <c r="L85" s="4"/>
      <c r="M85" s="4" t="s">
        <v>321</v>
      </c>
      <c r="N85" s="4">
        <v>4.88</v>
      </c>
      <c r="O85" s="357"/>
      <c r="P85" s="357"/>
      <c r="Q85" s="358">
        <f t="shared" si="12"/>
        <v>36.17</v>
      </c>
      <c r="R85" s="366">
        <f t="shared" si="10"/>
        <v>25.49160469</v>
      </c>
      <c r="S85" s="359">
        <f t="shared" si="11"/>
        <v>0.7047720401</v>
      </c>
      <c r="T85" s="8"/>
      <c r="U85" s="8"/>
      <c r="V85" s="8"/>
      <c r="W85" s="172"/>
      <c r="X85" s="172"/>
      <c r="Y85" s="8"/>
      <c r="Z85" s="8"/>
      <c r="AA85" s="8"/>
      <c r="AB85" s="172"/>
      <c r="AC85" s="172"/>
      <c r="AD85" s="8"/>
      <c r="AE85" s="8"/>
      <c r="AF85" s="8"/>
      <c r="AG85" s="172"/>
      <c r="AH85" s="172"/>
      <c r="AI85" s="367"/>
      <c r="AJ85" s="362"/>
      <c r="AK85" s="363" t="str">
        <f>IFERROR(__xludf.DUMMYFUNCTION("IFERROR(if(D87&lt;&gt;"""", 
  AVERAGE(
    QUERY(
      IMPORTRANGE(""1-uH1wy6jSm5jYL9je6fN1K5RJ5QMvHntodEHZRtIvTk"", ""All Data!N2:U""),
      ""select Col8 where Col1 = '"" &amp; D87 &amp; ""' and Col8 is not null"",
      0
    )
  )/100,
""""),
  """"
)
"),"")</f>
        <v/>
      </c>
    </row>
    <row r="86">
      <c r="A86" s="137"/>
      <c r="B86" s="137"/>
      <c r="C86" s="137"/>
      <c r="D86" s="4">
        <v>300007.0</v>
      </c>
      <c r="E86" s="322" t="s">
        <v>1930</v>
      </c>
      <c r="F86" s="376" t="s">
        <v>2044</v>
      </c>
      <c r="G86" s="322" t="s">
        <v>1985</v>
      </c>
      <c r="H86" s="4" t="s">
        <v>321</v>
      </c>
      <c r="I86" s="4">
        <v>12.4</v>
      </c>
      <c r="J86" s="4" t="s">
        <v>325</v>
      </c>
      <c r="K86" s="4">
        <v>19.17</v>
      </c>
      <c r="L86" s="4"/>
      <c r="M86" s="4" t="s">
        <v>277</v>
      </c>
      <c r="N86" s="4">
        <v>4.53</v>
      </c>
      <c r="O86" s="357"/>
      <c r="P86" s="357"/>
      <c r="Q86" s="358">
        <f t="shared" si="12"/>
        <v>36.1</v>
      </c>
      <c r="R86" s="366">
        <f t="shared" si="10"/>
        <v>25.44227065</v>
      </c>
      <c r="S86" s="359">
        <f t="shared" si="11"/>
        <v>0.7047720401</v>
      </c>
      <c r="T86" s="8"/>
      <c r="U86" s="8"/>
      <c r="V86" s="8"/>
      <c r="W86" s="172"/>
      <c r="X86" s="172"/>
      <c r="Y86" s="8"/>
      <c r="Z86" s="8"/>
      <c r="AA86" s="8"/>
      <c r="AB86" s="172"/>
      <c r="AC86" s="172"/>
      <c r="AD86" s="8"/>
      <c r="AE86" s="8"/>
      <c r="AF86" s="8"/>
      <c r="AG86" s="172"/>
      <c r="AH86" s="172"/>
      <c r="AI86" s="367"/>
      <c r="AJ86" s="362"/>
      <c r="AK86" s="363" t="str">
        <f>IFERROR(__xludf.DUMMYFUNCTION("IFERROR(if(D88&lt;&gt;"""", 
  AVERAGE(
    QUERY(
      IMPORTRANGE(""1-uH1wy6jSm5jYL9je6fN1K5RJ5QMvHntodEHZRtIvTk"", ""All Data!N2:U""),
      ""select Col8 where Col1 = '"" &amp; D88 &amp; ""' and Col8 is not null"",
      0
    )
  )/100,
""""),
  """"
)
"),"")</f>
        <v/>
      </c>
    </row>
    <row r="87">
      <c r="A87" s="172"/>
      <c r="B87" s="172"/>
      <c r="C87" s="172"/>
      <c r="D87" s="4">
        <v>200076.0</v>
      </c>
      <c r="E87" s="322" t="s">
        <v>1930</v>
      </c>
      <c r="F87" s="376" t="s">
        <v>2044</v>
      </c>
      <c r="G87" s="322" t="s">
        <v>1985</v>
      </c>
      <c r="H87" s="4" t="s">
        <v>321</v>
      </c>
      <c r="I87" s="4">
        <v>2.31</v>
      </c>
      <c r="J87" s="4" t="s">
        <v>323</v>
      </c>
      <c r="K87" s="4">
        <v>19.72</v>
      </c>
      <c r="L87" s="4"/>
      <c r="M87" s="4" t="s">
        <v>322</v>
      </c>
      <c r="N87" s="4">
        <v>14.3</v>
      </c>
      <c r="O87" s="357"/>
      <c r="P87" s="357"/>
      <c r="Q87" s="358">
        <f t="shared" si="12"/>
        <v>36.33</v>
      </c>
      <c r="R87" s="366">
        <f t="shared" si="10"/>
        <v>25.60436822</v>
      </c>
      <c r="S87" s="359">
        <f t="shared" si="11"/>
        <v>0.7047720401</v>
      </c>
      <c r="T87" s="8"/>
      <c r="U87" s="8"/>
      <c r="V87" s="8"/>
      <c r="W87" s="172"/>
      <c r="X87" s="172"/>
      <c r="Y87" s="8"/>
      <c r="Z87" s="8"/>
      <c r="AA87" s="8"/>
      <c r="AB87" s="172"/>
      <c r="AC87" s="172"/>
      <c r="AD87" s="8"/>
      <c r="AE87" s="8"/>
      <c r="AF87" s="8"/>
      <c r="AG87" s="172"/>
      <c r="AH87" s="172"/>
      <c r="AI87" s="367"/>
      <c r="AJ87" s="362"/>
      <c r="AK87" s="363" t="str">
        <f>IFERROR(__xludf.DUMMYFUNCTION("IFERROR(if(D89&lt;&gt;"""", 
  AVERAGE(
    QUERY(
      IMPORTRANGE(""1-uH1wy6jSm5jYL9je6fN1K5RJ5QMvHntodEHZRtIvTk"", ""All Data!N2:U""),
      ""select Col8 where Col1 = '"" &amp; D89 &amp; ""' and Col8 is not null"",
      0
    )
  )/100,
""""),
  """"
)
"),"")</f>
        <v/>
      </c>
    </row>
    <row r="88">
      <c r="A88" s="172"/>
      <c r="B88" s="172"/>
      <c r="C88" s="172"/>
      <c r="D88" s="4">
        <v>200077.0</v>
      </c>
      <c r="E88" s="322" t="s">
        <v>1930</v>
      </c>
      <c r="F88" s="376" t="s">
        <v>2044</v>
      </c>
      <c r="G88" s="322" t="s">
        <v>1985</v>
      </c>
      <c r="H88" s="4" t="s">
        <v>322</v>
      </c>
      <c r="I88" s="4">
        <v>6.16</v>
      </c>
      <c r="J88" s="4" t="s">
        <v>318</v>
      </c>
      <c r="K88" s="4">
        <v>19.59</v>
      </c>
      <c r="L88" s="4"/>
      <c r="M88" s="4" t="s">
        <v>329</v>
      </c>
      <c r="N88" s="4">
        <v>10.47</v>
      </c>
      <c r="O88" s="357"/>
      <c r="P88" s="357"/>
      <c r="Q88" s="358">
        <f t="shared" si="12"/>
        <v>36.22</v>
      </c>
      <c r="R88" s="366">
        <f t="shared" si="10"/>
        <v>25.52684329</v>
      </c>
      <c r="S88" s="359">
        <f t="shared" si="11"/>
        <v>0.7047720401</v>
      </c>
      <c r="T88" s="8"/>
      <c r="U88" s="8"/>
      <c r="V88" s="8"/>
      <c r="W88" s="172"/>
      <c r="X88" s="172"/>
      <c r="Y88" s="8"/>
      <c r="Z88" s="8"/>
      <c r="AA88" s="8"/>
      <c r="AB88" s="172"/>
      <c r="AC88" s="172"/>
      <c r="AD88" s="8"/>
      <c r="AE88" s="8"/>
      <c r="AF88" s="8"/>
      <c r="AG88" s="172"/>
      <c r="AH88" s="172"/>
      <c r="AI88" s="367"/>
      <c r="AJ88" s="362"/>
      <c r="AK88" s="363" t="str">
        <f>IFERROR(__xludf.DUMMYFUNCTION("IFERROR(if(D90&lt;&gt;"""", 
  AVERAGE(
    QUERY(
      IMPORTRANGE(""1-uH1wy6jSm5jYL9je6fN1K5RJ5QMvHntodEHZRtIvTk"", ""All Data!N2:U""),
      ""select Col8 where Col1 = '"" &amp; D90 &amp; ""' and Col8 is not null"",
      0
    )
  )/100,
""""),
  """"
)
"),"")</f>
        <v/>
      </c>
    </row>
    <row r="89">
      <c r="A89" s="172"/>
      <c r="B89" s="172"/>
      <c r="C89" s="172"/>
      <c r="D89" s="4">
        <v>300008.0</v>
      </c>
      <c r="E89" s="322" t="s">
        <v>1930</v>
      </c>
      <c r="F89" s="376" t="s">
        <v>2044</v>
      </c>
      <c r="G89" s="322" t="s">
        <v>1985</v>
      </c>
      <c r="H89" s="4" t="s">
        <v>329</v>
      </c>
      <c r="I89" s="4">
        <v>9.33</v>
      </c>
      <c r="J89" s="4" t="s">
        <v>326</v>
      </c>
      <c r="K89" s="4">
        <v>18.61</v>
      </c>
      <c r="L89" s="4"/>
      <c r="M89" s="4" t="s">
        <v>331</v>
      </c>
      <c r="N89" s="4">
        <v>3.84</v>
      </c>
      <c r="O89" s="4" t="s">
        <v>277</v>
      </c>
      <c r="P89" s="377">
        <v>4.267</v>
      </c>
      <c r="Q89" s="358">
        <f t="shared" si="12"/>
        <v>36.047</v>
      </c>
      <c r="R89" s="366">
        <f t="shared" si="10"/>
        <v>25.40491773</v>
      </c>
      <c r="S89" s="359">
        <f t="shared" si="11"/>
        <v>0.7047720401</v>
      </c>
      <c r="T89" s="8"/>
      <c r="U89" s="8"/>
      <c r="V89" s="8"/>
      <c r="W89" s="172"/>
      <c r="X89" s="172"/>
      <c r="Y89" s="8"/>
      <c r="Z89" s="8"/>
      <c r="AA89" s="8"/>
      <c r="AB89" s="172"/>
      <c r="AC89" s="172"/>
      <c r="AD89" s="8"/>
      <c r="AE89" s="8"/>
      <c r="AF89" s="8"/>
      <c r="AG89" s="172"/>
      <c r="AH89" s="172"/>
      <c r="AI89" s="367"/>
      <c r="AJ89" s="362"/>
      <c r="AK89" s="363" t="str">
        <f>IFERROR(__xludf.DUMMYFUNCTION("IFERROR(if(D92&lt;&gt;"""", 
  AVERAGE(
    QUERY(
      IMPORTRANGE(""1-uH1wy6jSm5jYL9je6fN1K5RJ5QMvHntodEHZRtIvTk"", ""All Data!N2:U""),
      ""select Col8 where Col1 = '"" &amp; D92 &amp; ""' and Col8 is not null"",
      0
    )
  )/100,
""""),
  """"
)
"),"")</f>
        <v/>
      </c>
    </row>
    <row r="90">
      <c r="A90" s="172"/>
      <c r="B90" s="172"/>
      <c r="C90" s="172"/>
      <c r="D90" s="4">
        <v>200078.0</v>
      </c>
      <c r="E90" s="322" t="s">
        <v>1930</v>
      </c>
      <c r="F90" s="376" t="s">
        <v>2044</v>
      </c>
      <c r="G90" s="322" t="s">
        <v>1985</v>
      </c>
      <c r="H90" s="4" t="s">
        <v>331</v>
      </c>
      <c r="I90" s="4">
        <v>15.64</v>
      </c>
      <c r="J90" s="4" t="s">
        <v>331</v>
      </c>
      <c r="K90" s="4">
        <v>19.76</v>
      </c>
      <c r="L90" s="4"/>
      <c r="M90" s="4"/>
      <c r="N90" s="172"/>
      <c r="O90" s="357"/>
      <c r="P90" s="357"/>
      <c r="Q90" s="358">
        <f t="shared" si="12"/>
        <v>35.4</v>
      </c>
      <c r="R90" s="366">
        <f t="shared" si="10"/>
        <v>24.94893022</v>
      </c>
      <c r="S90" s="359">
        <f t="shared" si="11"/>
        <v>0.7047720401</v>
      </c>
      <c r="T90" s="8"/>
      <c r="U90" s="8"/>
      <c r="V90" s="8"/>
      <c r="W90" s="172"/>
      <c r="X90" s="172"/>
      <c r="Y90" s="8"/>
      <c r="Z90" s="8"/>
      <c r="AA90" s="8"/>
      <c r="AB90" s="172"/>
      <c r="AC90" s="172"/>
      <c r="AD90" s="8"/>
      <c r="AE90" s="8"/>
      <c r="AF90" s="8"/>
      <c r="AG90" s="172"/>
      <c r="AH90" s="172"/>
      <c r="AI90" s="367"/>
      <c r="AJ90" s="362"/>
      <c r="AK90" s="363" t="str">
        <f>IFERROR(__xludf.DUMMYFUNCTION("IFERROR(if(D93&lt;&gt;"""", 
  AVERAGE(
    QUERY(
      IMPORTRANGE(""1-uH1wy6jSm5jYL9je6fN1K5RJ5QMvHntodEHZRtIvTk"", ""All Data!N2:U""),
      ""select Col8 where Col1 = '"" &amp; D93 &amp; ""' and Col8 is not null"",
      0
    )
  )/100,
""""),
  """"
)
"),"")</f>
        <v/>
      </c>
    </row>
    <row r="91">
      <c r="A91" s="172"/>
      <c r="B91" s="172"/>
      <c r="C91" s="172"/>
      <c r="D91" s="4">
        <v>300009.0</v>
      </c>
      <c r="E91" s="322" t="s">
        <v>1930</v>
      </c>
      <c r="F91" s="376" t="s">
        <v>2044</v>
      </c>
      <c r="G91" s="322" t="s">
        <v>1985</v>
      </c>
      <c r="H91" s="4" t="s">
        <v>331</v>
      </c>
      <c r="I91" s="4">
        <v>19.55</v>
      </c>
      <c r="J91" s="4" t="s">
        <v>331</v>
      </c>
      <c r="K91" s="4">
        <v>12.23</v>
      </c>
      <c r="L91" s="4"/>
      <c r="M91" s="4" t="s">
        <v>277</v>
      </c>
      <c r="N91" s="4">
        <v>4.08</v>
      </c>
      <c r="O91" s="4"/>
      <c r="P91" s="377"/>
      <c r="Q91" s="358">
        <f t="shared" si="12"/>
        <v>35.86</v>
      </c>
      <c r="R91" s="366"/>
      <c r="S91" s="359"/>
      <c r="T91" s="8"/>
      <c r="U91" s="8"/>
      <c r="V91" s="8"/>
      <c r="W91" s="172"/>
      <c r="X91" s="172"/>
      <c r="Y91" s="8"/>
      <c r="Z91" s="8"/>
      <c r="AA91" s="8"/>
      <c r="AB91" s="172"/>
      <c r="AC91" s="172"/>
      <c r="AD91" s="8"/>
      <c r="AE91" s="8"/>
      <c r="AF91" s="8"/>
      <c r="AG91" s="172"/>
      <c r="AH91" s="172"/>
      <c r="AI91" s="367"/>
      <c r="AJ91" s="362"/>
      <c r="AK91" s="363"/>
    </row>
    <row r="92">
      <c r="A92" s="172"/>
      <c r="B92" s="172"/>
      <c r="C92" s="172"/>
      <c r="D92" s="4">
        <v>200079.0</v>
      </c>
      <c r="E92" s="322" t="s">
        <v>1930</v>
      </c>
      <c r="F92" s="376" t="s">
        <v>2044</v>
      </c>
      <c r="G92" s="322" t="s">
        <v>1985</v>
      </c>
      <c r="H92" s="4" t="s">
        <v>331</v>
      </c>
      <c r="I92" s="4">
        <v>7.72</v>
      </c>
      <c r="J92" s="4" t="s">
        <v>331</v>
      </c>
      <c r="K92" s="4">
        <v>20.21</v>
      </c>
      <c r="L92" s="4"/>
      <c r="M92" s="4" t="s">
        <v>331</v>
      </c>
      <c r="N92" s="4">
        <v>5.97</v>
      </c>
      <c r="O92" s="357"/>
      <c r="P92" s="357"/>
      <c r="Q92" s="358">
        <f t="shared" si="12"/>
        <v>33.9</v>
      </c>
      <c r="R92" s="366">
        <f t="shared" ref="R92:R241" si="13">IF($E92="Production",IF(OR($F92="Inject Vaulted",$F92="Inject/Dispose Mix"),IF($G92="Complete",Q92*S92,""),""),"")</f>
        <v>23.89177216</v>
      </c>
      <c r="S92" s="359">
        <f t="shared" ref="S92:S241" si="14">AVERAGE($S$4:$S$8)</f>
        <v>0.7047720401</v>
      </c>
      <c r="T92" s="8"/>
      <c r="U92" s="8"/>
      <c r="V92" s="8"/>
      <c r="W92" s="172"/>
      <c r="X92" s="172"/>
      <c r="Y92" s="8"/>
      <c r="Z92" s="8"/>
      <c r="AA92" s="8"/>
      <c r="AB92" s="172"/>
      <c r="AC92" s="172"/>
      <c r="AD92" s="8"/>
      <c r="AE92" s="8"/>
      <c r="AF92" s="8"/>
      <c r="AG92" s="172"/>
      <c r="AH92" s="172"/>
      <c r="AI92" s="367"/>
      <c r="AJ92" s="362"/>
      <c r="AK92" s="363" t="str">
        <f>IFERROR(__xludf.DUMMYFUNCTION("IFERROR(if(D94&lt;&gt;"""", 
  AVERAGE(
    QUERY(
      IMPORTRANGE(""1-uH1wy6jSm5jYL9je6fN1K5RJ5QMvHntodEHZRtIvTk"", ""All Data!N2:U""),
      ""select Col8 where Col1 = '"" &amp; D94 &amp; ""' and Col8 is not null"",
      0
    )
  )/100,
""""),
  """"
)
"),"")</f>
        <v/>
      </c>
    </row>
    <row r="93">
      <c r="A93" s="172"/>
      <c r="B93" s="172"/>
      <c r="C93" s="172"/>
      <c r="D93" s="4">
        <v>300010.0</v>
      </c>
      <c r="E93" s="322" t="s">
        <v>1930</v>
      </c>
      <c r="F93" s="376" t="s">
        <v>2044</v>
      </c>
      <c r="G93" s="322" t="s">
        <v>1985</v>
      </c>
      <c r="H93" s="4" t="s">
        <v>331</v>
      </c>
      <c r="I93" s="4">
        <v>13.98</v>
      </c>
      <c r="J93" s="4" t="s">
        <v>331</v>
      </c>
      <c r="K93" s="4">
        <v>17.08</v>
      </c>
      <c r="L93" s="4"/>
      <c r="M93" s="4" t="s">
        <v>277</v>
      </c>
      <c r="N93" s="4">
        <v>4.55</v>
      </c>
      <c r="O93" s="357"/>
      <c r="P93" s="357"/>
      <c r="Q93" s="358">
        <f t="shared" si="12"/>
        <v>35.61</v>
      </c>
      <c r="R93" s="366">
        <f t="shared" si="13"/>
        <v>25.09693235</v>
      </c>
      <c r="S93" s="359">
        <f t="shared" si="14"/>
        <v>0.7047720401</v>
      </c>
      <c r="T93" s="8"/>
      <c r="U93" s="8"/>
      <c r="V93" s="8"/>
      <c r="W93" s="172"/>
      <c r="X93" s="172"/>
      <c r="Y93" s="8"/>
      <c r="Z93" s="8"/>
      <c r="AA93" s="8"/>
      <c r="AB93" s="172"/>
      <c r="AC93" s="172"/>
      <c r="AD93" s="8"/>
      <c r="AE93" s="8"/>
      <c r="AF93" s="8"/>
      <c r="AG93" s="172"/>
      <c r="AH93" s="172"/>
      <c r="AI93" s="367"/>
      <c r="AJ93" s="362"/>
      <c r="AK93" s="363" t="str">
        <f>IFERROR(__xludf.DUMMYFUNCTION("IFERROR(if(D95&lt;&gt;"""", 
  AVERAGE(
    QUERY(
      IMPORTRANGE(""1-uH1wy6jSm5jYL9je6fN1K5RJ5QMvHntodEHZRtIvTk"", ""All Data!N2:U""),
      ""select Col8 where Col1 = '"" &amp; D95 &amp; ""' and Col8 is not null"",
      0
    )
  )/100,
""""),
  """"
)
"),"")</f>
        <v/>
      </c>
    </row>
    <row r="94">
      <c r="A94" s="172"/>
      <c r="B94" s="172"/>
      <c r="C94" s="4" t="s">
        <v>2047</v>
      </c>
      <c r="D94" s="4">
        <v>200080.0</v>
      </c>
      <c r="E94" s="322" t="s">
        <v>1930</v>
      </c>
      <c r="F94" s="376" t="s">
        <v>2044</v>
      </c>
      <c r="G94" s="322" t="s">
        <v>1985</v>
      </c>
      <c r="H94" s="4" t="s">
        <v>331</v>
      </c>
      <c r="I94" s="4">
        <v>2.62</v>
      </c>
      <c r="J94" s="4" t="s">
        <v>331</v>
      </c>
      <c r="K94" s="4">
        <v>20.01</v>
      </c>
      <c r="L94" s="172"/>
      <c r="M94" s="4" t="s">
        <v>331</v>
      </c>
      <c r="N94" s="4">
        <v>13.65</v>
      </c>
      <c r="O94" s="4"/>
      <c r="P94" s="377"/>
      <c r="Q94" s="358">
        <f t="shared" si="12"/>
        <v>36.28</v>
      </c>
      <c r="R94" s="366">
        <f t="shared" si="13"/>
        <v>25.56912961</v>
      </c>
      <c r="S94" s="359">
        <f t="shared" si="14"/>
        <v>0.7047720401</v>
      </c>
      <c r="T94" s="8"/>
      <c r="U94" s="8"/>
      <c r="V94" s="8"/>
      <c r="W94" s="172"/>
      <c r="X94" s="172"/>
      <c r="Y94" s="8"/>
      <c r="Z94" s="8"/>
      <c r="AA94" s="8"/>
      <c r="AB94" s="172"/>
      <c r="AC94" s="172"/>
      <c r="AD94" s="8"/>
      <c r="AE94" s="8"/>
      <c r="AF94" s="8"/>
      <c r="AG94" s="172"/>
      <c r="AH94" s="172"/>
      <c r="AI94" s="367"/>
      <c r="AJ94" s="362"/>
      <c r="AK94" s="363" t="str">
        <f>IFERROR(__xludf.DUMMYFUNCTION("IFERROR(if(D96&lt;&gt;"""", 
  AVERAGE(
    QUERY(
      IMPORTRANGE(""1-uH1wy6jSm5jYL9je6fN1K5RJ5QMvHntodEHZRtIvTk"", ""All Data!N2:U""),
      ""select Col8 where Col1 = '"" &amp; D96 &amp; ""' and Col8 is not null"",
      0
    )
  )/100,
""""),
  """"
)
"),"")</f>
        <v/>
      </c>
    </row>
    <row r="95">
      <c r="A95" s="172"/>
      <c r="B95" s="172"/>
      <c r="C95" s="4" t="s">
        <v>2048</v>
      </c>
      <c r="D95" s="4">
        <v>300011.0</v>
      </c>
      <c r="E95" s="322" t="s">
        <v>1930</v>
      </c>
      <c r="F95" s="376" t="s">
        <v>2044</v>
      </c>
      <c r="G95" s="322" t="s">
        <v>1985</v>
      </c>
      <c r="H95" s="4" t="s">
        <v>331</v>
      </c>
      <c r="I95" s="4">
        <v>5.91</v>
      </c>
      <c r="J95" s="4" t="s">
        <v>331</v>
      </c>
      <c r="K95" s="4">
        <v>20.03</v>
      </c>
      <c r="L95" s="172"/>
      <c r="M95" s="4" t="s">
        <v>331</v>
      </c>
      <c r="N95" s="4">
        <v>5.63</v>
      </c>
      <c r="O95" s="4" t="s">
        <v>277</v>
      </c>
      <c r="P95" s="377">
        <v>4.99</v>
      </c>
      <c r="Q95" s="358">
        <f t="shared" si="12"/>
        <v>36.56</v>
      </c>
      <c r="R95" s="366">
        <f t="shared" si="13"/>
        <v>25.76646578</v>
      </c>
      <c r="S95" s="359">
        <f t="shared" si="14"/>
        <v>0.7047720401</v>
      </c>
      <c r="T95" s="8"/>
      <c r="U95" s="8"/>
      <c r="V95" s="8"/>
      <c r="W95" s="172"/>
      <c r="X95" s="172"/>
      <c r="Y95" s="8"/>
      <c r="Z95" s="8"/>
      <c r="AA95" s="8"/>
      <c r="AB95" s="172"/>
      <c r="AC95" s="172"/>
      <c r="AD95" s="8"/>
      <c r="AE95" s="8"/>
      <c r="AF95" s="8"/>
      <c r="AG95" s="172"/>
      <c r="AH95" s="172"/>
      <c r="AI95" s="367"/>
      <c r="AJ95" s="362"/>
      <c r="AK95" s="363" t="str">
        <f>IFERROR(__xludf.DUMMYFUNCTION("IFERROR(if(D97&lt;&gt;"""", 
  AVERAGE(
    QUERY(
      IMPORTRANGE(""1-uH1wy6jSm5jYL9je6fN1K5RJ5QMvHntodEHZRtIvTk"", ""All Data!N2:U""),
      ""select Col8 where Col1 = '"" &amp; D97 &amp; ""' and Col8 is not null"",
      0
    )
  )/100,
""""),
  """"
)
"),"")</f>
        <v/>
      </c>
    </row>
    <row r="96">
      <c r="A96" s="172"/>
      <c r="B96" s="172"/>
      <c r="C96" s="4" t="s">
        <v>2049</v>
      </c>
      <c r="D96" s="4">
        <v>300012.0</v>
      </c>
      <c r="E96" s="322" t="s">
        <v>1930</v>
      </c>
      <c r="F96" s="376" t="s">
        <v>2044</v>
      </c>
      <c r="G96" s="322" t="s">
        <v>2050</v>
      </c>
      <c r="H96" s="4" t="s">
        <v>350</v>
      </c>
      <c r="I96" s="4">
        <v>14.0</v>
      </c>
      <c r="J96" s="4" t="s">
        <v>353</v>
      </c>
      <c r="K96" s="4">
        <v>17.54</v>
      </c>
      <c r="L96" s="172"/>
      <c r="M96" s="4" t="s">
        <v>277</v>
      </c>
      <c r="N96" s="4">
        <v>4.82</v>
      </c>
      <c r="O96" s="357"/>
      <c r="P96" s="357"/>
      <c r="Q96" s="358">
        <f t="shared" si="12"/>
        <v>36.36</v>
      </c>
      <c r="R96" s="366" t="str">
        <f t="shared" si="13"/>
        <v/>
      </c>
      <c r="S96" s="359">
        <f t="shared" si="14"/>
        <v>0.7047720401</v>
      </c>
      <c r="T96" s="8"/>
      <c r="U96" s="8"/>
      <c r="V96" s="8"/>
      <c r="W96" s="172"/>
      <c r="X96" s="172"/>
      <c r="Y96" s="8"/>
      <c r="Z96" s="8"/>
      <c r="AA96" s="8"/>
      <c r="AB96" s="172"/>
      <c r="AC96" s="172"/>
      <c r="AD96" s="8"/>
      <c r="AE96" s="8"/>
      <c r="AF96" s="8"/>
      <c r="AG96" s="172"/>
      <c r="AH96" s="172"/>
      <c r="AI96" s="367"/>
      <c r="AJ96" s="362"/>
      <c r="AK96" s="363" t="str">
        <f>IFERROR(__xludf.DUMMYFUNCTION("IFERROR(if(D99&lt;&gt;"""", 
  AVERAGE(
    QUERY(
      IMPORTRANGE(""1-uH1wy6jSm5jYL9je6fN1K5RJ5QMvHntodEHZRtIvTk"", ""All Data!N2:U""),
      ""select Col8 where Col1 = '"" &amp; D99 &amp; ""' and Col8 is not null"",
      0
    )
  )/100,
""""),
  """"
)
"),"")</f>
        <v/>
      </c>
    </row>
    <row r="97">
      <c r="A97" s="172"/>
      <c r="B97" s="172"/>
      <c r="C97" s="4" t="s">
        <v>2051</v>
      </c>
      <c r="D97" s="4">
        <v>200081.0</v>
      </c>
      <c r="E97" s="322" t="s">
        <v>1930</v>
      </c>
      <c r="F97" s="376" t="s">
        <v>2044</v>
      </c>
      <c r="G97" s="322" t="s">
        <v>2050</v>
      </c>
      <c r="H97" s="4" t="s">
        <v>353</v>
      </c>
      <c r="I97" s="4">
        <v>1.94</v>
      </c>
      <c r="J97" s="4" t="s">
        <v>359</v>
      </c>
      <c r="K97" s="4">
        <v>19.62</v>
      </c>
      <c r="L97" s="172"/>
      <c r="M97" s="4" t="s">
        <v>361</v>
      </c>
      <c r="N97" s="4">
        <v>14.85</v>
      </c>
      <c r="O97" s="377"/>
      <c r="P97" s="377"/>
      <c r="Q97" s="358">
        <f t="shared" si="12"/>
        <v>36.41</v>
      </c>
      <c r="R97" s="366" t="str">
        <f t="shared" si="13"/>
        <v/>
      </c>
      <c r="S97" s="359">
        <f t="shared" si="14"/>
        <v>0.7047720401</v>
      </c>
      <c r="T97" s="8"/>
      <c r="U97" s="8"/>
      <c r="V97" s="8"/>
      <c r="W97" s="172"/>
      <c r="X97" s="172"/>
      <c r="Y97" s="8"/>
      <c r="Z97" s="8"/>
      <c r="AA97" s="8"/>
      <c r="AB97" s="172"/>
      <c r="AC97" s="172"/>
      <c r="AD97" s="8"/>
      <c r="AE97" s="8"/>
      <c r="AF97" s="8"/>
      <c r="AG97" s="172"/>
      <c r="AH97" s="172"/>
      <c r="AI97" s="367"/>
      <c r="AJ97" s="362"/>
      <c r="AK97" s="363" t="str">
        <f>IFERROR(__xludf.DUMMYFUNCTION("IFERROR(if(D100&lt;&gt;"""", 
  AVERAGE(
    QUERY(
      IMPORTRANGE(""1-uH1wy6jSm5jYL9je6fN1K5RJ5QMvHntodEHZRtIvTk"", ""All Data!N2:U""),
      ""select Col8 where Col1 = '"" &amp; D100 &amp; ""' and Col8 is not null"",
      0
    )
  )/100,
""""),
  """"
)
"),"")</f>
        <v/>
      </c>
    </row>
    <row r="98" ht="16.5" customHeight="1">
      <c r="A98" s="172"/>
      <c r="B98" s="172"/>
      <c r="C98" s="4" t="s">
        <v>2047</v>
      </c>
      <c r="D98" s="4">
        <v>200082.0</v>
      </c>
      <c r="E98" s="368"/>
      <c r="F98" s="368"/>
      <c r="G98" s="368"/>
      <c r="H98" s="4" t="s">
        <v>361</v>
      </c>
      <c r="I98" s="4">
        <v>5.44</v>
      </c>
      <c r="J98" s="4" t="s">
        <v>364</v>
      </c>
      <c r="K98" s="4">
        <v>19.83</v>
      </c>
      <c r="L98" s="172"/>
      <c r="M98" s="4" t="s">
        <v>366</v>
      </c>
      <c r="N98" s="4">
        <v>11.0</v>
      </c>
      <c r="O98" s="357"/>
      <c r="P98" s="357"/>
      <c r="Q98" s="358">
        <f t="shared" si="12"/>
        <v>36.27</v>
      </c>
      <c r="R98" s="366" t="str">
        <f t="shared" si="13"/>
        <v/>
      </c>
      <c r="S98" s="359">
        <f t="shared" si="14"/>
        <v>0.7047720401</v>
      </c>
      <c r="T98" s="8"/>
      <c r="U98" s="8"/>
      <c r="V98" s="8"/>
      <c r="W98" s="172"/>
      <c r="X98" s="172"/>
      <c r="Y98" s="8"/>
      <c r="Z98" s="8"/>
      <c r="AA98" s="8"/>
      <c r="AB98" s="172"/>
      <c r="AC98" s="172"/>
      <c r="AD98" s="8"/>
      <c r="AE98" s="8"/>
      <c r="AF98" s="8"/>
      <c r="AG98" s="172"/>
      <c r="AH98" s="172"/>
      <c r="AI98" s="367"/>
      <c r="AJ98" s="362"/>
      <c r="AK98" s="363" t="str">
        <f>IFERROR(__xludf.DUMMYFUNCTION("IFERROR(if(D98&lt;&gt;"""", 
  AVERAGE(
    QUERY(
      IMPORTRANGE(""1-uH1wy6jSm5jYL9je6fN1K5RJ5QMvHntodEHZRtIvTk"", ""All Data!N2:U""),
      ""select Col8 where Col1 = '"" &amp; D98 &amp; ""' and Col8 is not null"",
      0
    )
  )/100,
""""),
  """"
)
"),"")</f>
        <v/>
      </c>
    </row>
    <row r="99">
      <c r="A99" s="172"/>
      <c r="B99" s="172"/>
      <c r="C99" s="4" t="s">
        <v>2048</v>
      </c>
      <c r="D99" s="4">
        <v>300013.0</v>
      </c>
      <c r="E99" s="368"/>
      <c r="F99" s="368"/>
      <c r="G99" s="368"/>
      <c r="H99" s="4"/>
      <c r="I99" s="4"/>
      <c r="J99" s="4"/>
      <c r="K99" s="172"/>
      <c r="L99" s="172"/>
      <c r="M99" s="4"/>
      <c r="N99" s="172"/>
      <c r="O99" s="357"/>
      <c r="P99" s="357"/>
      <c r="Q99" s="358">
        <f t="shared" si="12"/>
        <v>0</v>
      </c>
      <c r="R99" s="366" t="str">
        <f t="shared" si="13"/>
        <v/>
      </c>
      <c r="S99" s="359">
        <f t="shared" si="14"/>
        <v>0.7047720401</v>
      </c>
      <c r="T99" s="8"/>
      <c r="U99" s="8"/>
      <c r="V99" s="8"/>
      <c r="W99" s="172"/>
      <c r="X99" s="172"/>
      <c r="Y99" s="8"/>
      <c r="Z99" s="8"/>
      <c r="AA99" s="8"/>
      <c r="AB99" s="172"/>
      <c r="AC99" s="172"/>
      <c r="AD99" s="8"/>
      <c r="AE99" s="8"/>
      <c r="AF99" s="8"/>
      <c r="AG99" s="172"/>
      <c r="AH99" s="172"/>
      <c r="AI99" s="367"/>
      <c r="AJ99" s="362"/>
      <c r="AK99" s="363" t="str">
        <f>IFERROR(__xludf.DUMMYFUNCTION("IFERROR(if(D101&lt;&gt;"""", 
  AVERAGE(
    QUERY(
      IMPORTRANGE(""1-uH1wy6jSm5jYL9je6fN1K5RJ5QMvHntodEHZRtIvTk"", ""All Data!N2:U""),
      ""select Col8 where Col1 = '"" &amp; D101 &amp; ""' and Col8 is not null"",
      0
    )
  )/100,
""""),
  """"
)
"),"")</f>
        <v/>
      </c>
    </row>
    <row r="100">
      <c r="A100" s="172"/>
      <c r="B100" s="172"/>
      <c r="C100" s="4" t="s">
        <v>2049</v>
      </c>
      <c r="D100" s="4">
        <v>300014.0</v>
      </c>
      <c r="E100" s="368"/>
      <c r="F100" s="368"/>
      <c r="G100" s="368"/>
      <c r="H100" s="4"/>
      <c r="I100" s="172"/>
      <c r="J100" s="4"/>
      <c r="K100" s="172"/>
      <c r="L100" s="172"/>
      <c r="M100" s="4"/>
      <c r="N100" s="172"/>
      <c r="O100" s="357"/>
      <c r="P100" s="357"/>
      <c r="Q100" s="358">
        <f t="shared" si="12"/>
        <v>0</v>
      </c>
      <c r="R100" s="366" t="str">
        <f t="shared" si="13"/>
        <v/>
      </c>
      <c r="S100" s="359">
        <f t="shared" si="14"/>
        <v>0.7047720401</v>
      </c>
      <c r="T100" s="8"/>
      <c r="U100" s="8"/>
      <c r="V100" s="8"/>
      <c r="W100" s="172"/>
      <c r="X100" s="172"/>
      <c r="Y100" s="8"/>
      <c r="Z100" s="8"/>
      <c r="AA100" s="8"/>
      <c r="AB100" s="172"/>
      <c r="AC100" s="172"/>
      <c r="AD100" s="8"/>
      <c r="AE100" s="8"/>
      <c r="AF100" s="8"/>
      <c r="AG100" s="172"/>
      <c r="AH100" s="172"/>
      <c r="AI100" s="367"/>
      <c r="AJ100" s="362"/>
      <c r="AK100" s="363" t="str">
        <f>IFERROR(__xludf.DUMMYFUNCTION("IFERROR(if(D102&lt;&gt;"""", 
  AVERAGE(
    QUERY(
      IMPORTRANGE(""1-uH1wy6jSm5jYL9je6fN1K5RJ5QMvHntodEHZRtIvTk"", ""All Data!N2:U""),
      ""select Col8 where Col1 = '"" &amp; D102 &amp; ""' and Col8 is not null"",
      0
    )
  )/100,
""""),
  """"
)
"),"")</f>
        <v/>
      </c>
    </row>
    <row r="101">
      <c r="A101" s="172"/>
      <c r="B101" s="172"/>
      <c r="C101" s="4" t="s">
        <v>2051</v>
      </c>
      <c r="D101" s="4">
        <v>200083.0</v>
      </c>
      <c r="E101" s="368"/>
      <c r="F101" s="368"/>
      <c r="G101" s="368"/>
      <c r="H101" s="4"/>
      <c r="I101" s="172"/>
      <c r="J101" s="4"/>
      <c r="K101" s="172"/>
      <c r="L101" s="172"/>
      <c r="M101" s="4"/>
      <c r="N101" s="172"/>
      <c r="O101" s="358"/>
      <c r="P101" s="358"/>
      <c r="Q101" s="358">
        <f t="shared" ref="Q101:Q241" si="15">N101+K101+I101</f>
        <v>0</v>
      </c>
      <c r="R101" s="366" t="str">
        <f t="shared" si="13"/>
        <v/>
      </c>
      <c r="S101" s="359">
        <f t="shared" si="14"/>
        <v>0.7047720401</v>
      </c>
      <c r="T101" s="8"/>
      <c r="U101" s="8"/>
      <c r="V101" s="8"/>
      <c r="W101" s="172"/>
      <c r="X101" s="172"/>
      <c r="Y101" s="8"/>
      <c r="Z101" s="8"/>
      <c r="AA101" s="8"/>
      <c r="AB101" s="172"/>
      <c r="AC101" s="172"/>
      <c r="AD101" s="8"/>
      <c r="AE101" s="8"/>
      <c r="AF101" s="8"/>
      <c r="AG101" s="172"/>
      <c r="AH101" s="172"/>
      <c r="AI101" s="367"/>
      <c r="AJ101" s="362"/>
      <c r="AK101" s="363" t="str">
        <f>IFERROR(__xludf.DUMMYFUNCTION("IFERROR(if(#REF!&lt;&gt;"""", 
  AVERAGE(
    QUERY(
      IMPORTRANGE(""1-uH1wy6jSm5jYL9je6fN1K5RJ5QMvHntodEHZRtIvTk"", ""All Data!N2:U""),
      ""select Col8 where Col1 = '"" &amp; #REF! &amp; ""' and Col8 is not null"",
      0
    )
  )/100,
""""),
  """"
)
"),"")</f>
        <v/>
      </c>
    </row>
    <row r="102">
      <c r="A102" s="172"/>
      <c r="B102" s="172"/>
      <c r="C102" s="172"/>
      <c r="D102" s="172"/>
      <c r="E102" s="368"/>
      <c r="F102" s="368"/>
      <c r="G102" s="368"/>
      <c r="H102" s="4"/>
      <c r="I102" s="172"/>
      <c r="J102" s="4"/>
      <c r="K102" s="172"/>
      <c r="L102" s="172"/>
      <c r="M102" s="4"/>
      <c r="N102" s="172"/>
      <c r="O102" s="358"/>
      <c r="P102" s="358"/>
      <c r="Q102" s="358">
        <f t="shared" si="15"/>
        <v>0</v>
      </c>
      <c r="R102" s="366" t="str">
        <f t="shared" si="13"/>
        <v/>
      </c>
      <c r="S102" s="359">
        <f t="shared" si="14"/>
        <v>0.7047720401</v>
      </c>
      <c r="T102" s="8"/>
      <c r="U102" s="8"/>
      <c r="V102" s="8"/>
      <c r="W102" s="172"/>
      <c r="X102" s="172"/>
      <c r="Y102" s="8"/>
      <c r="Z102" s="8"/>
      <c r="AA102" s="8"/>
      <c r="AB102" s="172"/>
      <c r="AC102" s="172"/>
      <c r="AD102" s="8"/>
      <c r="AE102" s="8"/>
      <c r="AF102" s="8"/>
      <c r="AG102" s="172"/>
      <c r="AH102" s="172"/>
      <c r="AI102" s="367"/>
      <c r="AJ102" s="362"/>
      <c r="AK102" s="363" t="str">
        <f>IFERROR(__xludf.DUMMYFUNCTION("IFERROR(if(D104&lt;&gt;"""", 
  AVERAGE(
    QUERY(
      IMPORTRANGE(""1-uH1wy6jSm5jYL9je6fN1K5RJ5QMvHntodEHZRtIvTk"", ""All Data!N2:U""),
      ""select Col8 where Col1 = '"" &amp; D104 &amp; ""' and Col8 is not null"",
      0
    )
  )/100,
""""),
  """"
)
"),"")</f>
        <v/>
      </c>
    </row>
    <row r="103">
      <c r="A103" s="172"/>
      <c r="B103" s="172"/>
      <c r="C103" s="172"/>
      <c r="E103" s="368"/>
      <c r="F103" s="368"/>
      <c r="G103" s="368"/>
      <c r="H103" s="4"/>
      <c r="I103" s="172"/>
      <c r="J103" s="4"/>
      <c r="K103" s="172"/>
      <c r="L103" s="172"/>
      <c r="M103" s="4"/>
      <c r="N103" s="172"/>
      <c r="O103" s="358"/>
      <c r="P103" s="358"/>
      <c r="Q103" s="358">
        <f t="shared" si="15"/>
        <v>0</v>
      </c>
      <c r="R103" s="366" t="str">
        <f t="shared" si="13"/>
        <v/>
      </c>
      <c r="S103" s="359">
        <f t="shared" si="14"/>
        <v>0.7047720401</v>
      </c>
      <c r="T103" s="8"/>
      <c r="U103" s="8"/>
      <c r="V103" s="8"/>
      <c r="W103" s="172"/>
      <c r="X103" s="172"/>
      <c r="Y103" s="8"/>
      <c r="Z103" s="8"/>
      <c r="AA103" s="8"/>
      <c r="AB103" s="172"/>
      <c r="AC103" s="172"/>
      <c r="AD103" s="8"/>
      <c r="AE103" s="8"/>
      <c r="AF103" s="8"/>
      <c r="AG103" s="172"/>
      <c r="AH103" s="172"/>
      <c r="AI103" s="367"/>
      <c r="AJ103" s="362"/>
      <c r="AK103" s="363" t="str">
        <f>IFERROR(__xludf.DUMMYFUNCTION("IFERROR(if(D105&lt;&gt;"""", 
  AVERAGE(
    QUERY(
      IMPORTRANGE(""1-uH1wy6jSm5jYL9je6fN1K5RJ5QMvHntodEHZRtIvTk"", ""All Data!N2:U""),
      ""select Col8 where Col1 = '"" &amp; D105 &amp; ""' and Col8 is not null"",
      0
    )
  )/100,
""""),
  """"
)
"),"")</f>
        <v/>
      </c>
    </row>
    <row r="104">
      <c r="A104" s="172"/>
      <c r="B104" s="172"/>
      <c r="C104" s="172"/>
      <c r="D104" s="172"/>
      <c r="E104" s="368"/>
      <c r="F104" s="368"/>
      <c r="G104" s="368"/>
      <c r="H104" s="4"/>
      <c r="I104" s="172"/>
      <c r="J104" s="4"/>
      <c r="K104" s="172"/>
      <c r="L104" s="172"/>
      <c r="M104" s="4"/>
      <c r="N104" s="172"/>
      <c r="O104" s="358"/>
      <c r="P104" s="358"/>
      <c r="Q104" s="358">
        <f t="shared" si="15"/>
        <v>0</v>
      </c>
      <c r="R104" s="366" t="str">
        <f t="shared" si="13"/>
        <v/>
      </c>
      <c r="S104" s="359">
        <f t="shared" si="14"/>
        <v>0.7047720401</v>
      </c>
      <c r="T104" s="8"/>
      <c r="U104" s="8"/>
      <c r="V104" s="8"/>
      <c r="W104" s="172"/>
      <c r="X104" s="172"/>
      <c r="Y104" s="8"/>
      <c r="Z104" s="8"/>
      <c r="AA104" s="8"/>
      <c r="AB104" s="172"/>
      <c r="AC104" s="172"/>
      <c r="AD104" s="8"/>
      <c r="AE104" s="8"/>
      <c r="AF104" s="8"/>
      <c r="AG104" s="172"/>
      <c r="AH104" s="172"/>
      <c r="AI104" s="367"/>
      <c r="AJ104" s="362"/>
      <c r="AK104" s="363" t="str">
        <f>IFERROR(__xludf.DUMMYFUNCTION("IFERROR(if(D106&lt;&gt;"""", 
  AVERAGE(
    QUERY(
      IMPORTRANGE(""1-uH1wy6jSm5jYL9je6fN1K5RJ5QMvHntodEHZRtIvTk"", ""All Data!N2:U""),
      ""select Col8 where Col1 = '"" &amp; D106 &amp; ""' and Col8 is not null"",
      0
    )
  )/100,
""""),
  """"
)
"),"")</f>
        <v/>
      </c>
    </row>
    <row r="105">
      <c r="A105" s="172"/>
      <c r="B105" s="172"/>
      <c r="C105" s="172"/>
      <c r="D105" s="172"/>
      <c r="E105" s="368"/>
      <c r="F105" s="368"/>
      <c r="G105" s="368"/>
      <c r="H105" s="4"/>
      <c r="I105" s="172"/>
      <c r="J105" s="172"/>
      <c r="K105" s="172"/>
      <c r="L105" s="172"/>
      <c r="M105" s="4"/>
      <c r="N105" s="172"/>
      <c r="O105" s="358"/>
      <c r="P105" s="358"/>
      <c r="Q105" s="358">
        <f t="shared" si="15"/>
        <v>0</v>
      </c>
      <c r="R105" s="366" t="str">
        <f t="shared" si="13"/>
        <v/>
      </c>
      <c r="S105" s="359">
        <f t="shared" si="14"/>
        <v>0.7047720401</v>
      </c>
      <c r="T105" s="8"/>
      <c r="U105" s="8"/>
      <c r="V105" s="8"/>
      <c r="W105" s="172"/>
      <c r="X105" s="172"/>
      <c r="Y105" s="8"/>
      <c r="Z105" s="8"/>
      <c r="AA105" s="8"/>
      <c r="AB105" s="172"/>
      <c r="AC105" s="172"/>
      <c r="AD105" s="8"/>
      <c r="AE105" s="8"/>
      <c r="AF105" s="8"/>
      <c r="AG105" s="172"/>
      <c r="AH105" s="172"/>
      <c r="AI105" s="367"/>
      <c r="AJ105" s="362"/>
      <c r="AK105" s="363" t="str">
        <f>IFERROR(__xludf.DUMMYFUNCTION("IFERROR(if(D107&lt;&gt;"""", 
  AVERAGE(
    QUERY(
      IMPORTRANGE(""1-uH1wy6jSm5jYL9je6fN1K5RJ5QMvHntodEHZRtIvTk"", ""All Data!N2:U""),
      ""select Col8 where Col1 = '"" &amp; D107 &amp; ""' and Col8 is not null"",
      0
    )
  )/100,
""""),
  """"
)
"),"")</f>
        <v/>
      </c>
    </row>
    <row r="106">
      <c r="A106" s="172"/>
      <c r="B106" s="172"/>
      <c r="C106" s="172"/>
      <c r="D106" s="172"/>
      <c r="E106" s="368"/>
      <c r="F106" s="368"/>
      <c r="G106" s="368"/>
      <c r="H106" s="172"/>
      <c r="I106" s="172"/>
      <c r="J106" s="172"/>
      <c r="K106" s="172"/>
      <c r="L106" s="172"/>
      <c r="M106" s="4"/>
      <c r="N106" s="172"/>
      <c r="O106" s="358"/>
      <c r="P106" s="358"/>
      <c r="Q106" s="358">
        <f t="shared" si="15"/>
        <v>0</v>
      </c>
      <c r="R106" s="366" t="str">
        <f t="shared" si="13"/>
        <v/>
      </c>
      <c r="S106" s="359">
        <f t="shared" si="14"/>
        <v>0.7047720401</v>
      </c>
      <c r="T106" s="8"/>
      <c r="U106" s="8"/>
      <c r="V106" s="8"/>
      <c r="W106" s="172"/>
      <c r="X106" s="172"/>
      <c r="Y106" s="8"/>
      <c r="Z106" s="8"/>
      <c r="AA106" s="8"/>
      <c r="AB106" s="172"/>
      <c r="AC106" s="172"/>
      <c r="AD106" s="8"/>
      <c r="AE106" s="8"/>
      <c r="AF106" s="8"/>
      <c r="AG106" s="172"/>
      <c r="AH106" s="172"/>
      <c r="AI106" s="367"/>
      <c r="AJ106" s="362"/>
      <c r="AK106" s="363" t="str">
        <f>IFERROR(__xludf.DUMMYFUNCTION("IFERROR(if(D108&lt;&gt;"""", 
  AVERAGE(
    QUERY(
      IMPORTRANGE(""1-uH1wy6jSm5jYL9je6fN1K5RJ5QMvHntodEHZRtIvTk"", ""All Data!N2:U""),
      ""select Col8 where Col1 = '"" &amp; D108 &amp; ""' and Col8 is not null"",
      0
    )
  )/100,
""""),
  """"
)
"),"")</f>
        <v/>
      </c>
    </row>
    <row r="107">
      <c r="A107" s="172"/>
      <c r="B107" s="172"/>
      <c r="C107" s="172"/>
      <c r="D107" s="172"/>
      <c r="E107" s="368"/>
      <c r="F107" s="368"/>
      <c r="G107" s="368"/>
      <c r="H107" s="172"/>
      <c r="I107" s="172"/>
      <c r="J107" s="172"/>
      <c r="K107" s="172"/>
      <c r="L107" s="172"/>
      <c r="M107" s="172"/>
      <c r="N107" s="172"/>
      <c r="O107" s="358"/>
      <c r="P107" s="358"/>
      <c r="Q107" s="358">
        <f t="shared" si="15"/>
        <v>0</v>
      </c>
      <c r="R107" s="366" t="str">
        <f t="shared" si="13"/>
        <v/>
      </c>
      <c r="S107" s="359">
        <f t="shared" si="14"/>
        <v>0.7047720401</v>
      </c>
      <c r="T107" s="8"/>
      <c r="U107" s="8"/>
      <c r="V107" s="8"/>
      <c r="W107" s="172"/>
      <c r="X107" s="172"/>
      <c r="Y107" s="8"/>
      <c r="Z107" s="8"/>
      <c r="AA107" s="8"/>
      <c r="AB107" s="172"/>
      <c r="AC107" s="172"/>
      <c r="AD107" s="8"/>
      <c r="AE107" s="8"/>
      <c r="AF107" s="8"/>
      <c r="AG107" s="172"/>
      <c r="AH107" s="172"/>
      <c r="AI107" s="367"/>
      <c r="AJ107" s="362"/>
      <c r="AK107" s="363" t="str">
        <f>IFERROR(__xludf.DUMMYFUNCTION("IFERROR(if(D109&lt;&gt;"""", 
  AVERAGE(
    QUERY(
      IMPORTRANGE(""1-uH1wy6jSm5jYL9je6fN1K5RJ5QMvHntodEHZRtIvTk"", ""All Data!N2:U""),
      ""select Col8 where Col1 = '"" &amp; D109 &amp; ""' and Col8 is not null"",
      0
    )
  )/100,
""""),
  """"
)
"),"")</f>
        <v/>
      </c>
    </row>
    <row r="108">
      <c r="A108" s="172"/>
      <c r="B108" s="172"/>
      <c r="C108" s="172"/>
      <c r="D108" s="172"/>
      <c r="E108" s="368"/>
      <c r="F108" s="368"/>
      <c r="G108" s="368"/>
      <c r="H108" s="172"/>
      <c r="I108" s="172"/>
      <c r="J108" s="172"/>
      <c r="K108" s="172"/>
      <c r="L108" s="172"/>
      <c r="M108" s="172"/>
      <c r="N108" s="172"/>
      <c r="O108" s="358"/>
      <c r="P108" s="358"/>
      <c r="Q108" s="358">
        <f t="shared" si="15"/>
        <v>0</v>
      </c>
      <c r="R108" s="366" t="str">
        <f t="shared" si="13"/>
        <v/>
      </c>
      <c r="S108" s="359">
        <f t="shared" si="14"/>
        <v>0.7047720401</v>
      </c>
      <c r="T108" s="8"/>
      <c r="U108" s="8"/>
      <c r="V108" s="8"/>
      <c r="W108" s="172"/>
      <c r="X108" s="172"/>
      <c r="Y108" s="8"/>
      <c r="Z108" s="8"/>
      <c r="AA108" s="8"/>
      <c r="AB108" s="172"/>
      <c r="AC108" s="172"/>
      <c r="AD108" s="8"/>
      <c r="AE108" s="8"/>
      <c r="AF108" s="8"/>
      <c r="AG108" s="172"/>
      <c r="AH108" s="172"/>
      <c r="AI108" s="367"/>
      <c r="AJ108" s="362"/>
      <c r="AK108" s="363" t="str">
        <f>IFERROR(__xludf.DUMMYFUNCTION("IFERROR(if(D110&lt;&gt;"""", 
  AVERAGE(
    QUERY(
      IMPORTRANGE(""1-uH1wy6jSm5jYL9je6fN1K5RJ5QMvHntodEHZRtIvTk"", ""All Data!N2:U""),
      ""select Col8 where Col1 = '"" &amp; D110 &amp; ""' and Col8 is not null"",
      0
    )
  )/100,
""""),
  """"
)
"),"")</f>
        <v/>
      </c>
    </row>
    <row r="109">
      <c r="A109" s="172"/>
      <c r="B109" s="172"/>
      <c r="C109" s="172"/>
      <c r="D109" s="172"/>
      <c r="E109" s="368"/>
      <c r="F109" s="368"/>
      <c r="G109" s="368"/>
      <c r="H109" s="172"/>
      <c r="I109" s="172"/>
      <c r="J109" s="172"/>
      <c r="K109" s="172"/>
      <c r="L109" s="172"/>
      <c r="M109" s="172"/>
      <c r="N109" s="172"/>
      <c r="O109" s="358"/>
      <c r="P109" s="358"/>
      <c r="Q109" s="358">
        <f t="shared" si="15"/>
        <v>0</v>
      </c>
      <c r="R109" s="366" t="str">
        <f t="shared" si="13"/>
        <v/>
      </c>
      <c r="S109" s="359">
        <f t="shared" si="14"/>
        <v>0.7047720401</v>
      </c>
      <c r="T109" s="8"/>
      <c r="U109" s="8"/>
      <c r="V109" s="8"/>
      <c r="W109" s="172"/>
      <c r="X109" s="172"/>
      <c r="Y109" s="8"/>
      <c r="Z109" s="8"/>
      <c r="AA109" s="8"/>
      <c r="AB109" s="172"/>
      <c r="AC109" s="172"/>
      <c r="AD109" s="8"/>
      <c r="AE109" s="8"/>
      <c r="AF109" s="8"/>
      <c r="AG109" s="172"/>
      <c r="AH109" s="172"/>
      <c r="AI109" s="367"/>
      <c r="AJ109" s="362"/>
      <c r="AK109" s="363" t="str">
        <f>IFERROR(__xludf.DUMMYFUNCTION("IFERROR(if(D111&lt;&gt;"""", 
  AVERAGE(
    QUERY(
      IMPORTRANGE(""1-uH1wy6jSm5jYL9je6fN1K5RJ5QMvHntodEHZRtIvTk"", ""All Data!N2:U""),
      ""select Col8 where Col1 = '"" &amp; D111 &amp; ""' and Col8 is not null"",
      0
    )
  )/100,
""""),
  """"
)
"),"")</f>
        <v/>
      </c>
    </row>
    <row r="110">
      <c r="A110" s="172"/>
      <c r="B110" s="172"/>
      <c r="C110" s="172"/>
      <c r="D110" s="172"/>
      <c r="E110" s="368"/>
      <c r="F110" s="368"/>
      <c r="G110" s="368"/>
      <c r="H110" s="172"/>
      <c r="I110" s="172"/>
      <c r="J110" s="172"/>
      <c r="K110" s="172"/>
      <c r="L110" s="172"/>
      <c r="M110" s="172"/>
      <c r="N110" s="172"/>
      <c r="O110" s="358"/>
      <c r="P110" s="358"/>
      <c r="Q110" s="358">
        <f t="shared" si="15"/>
        <v>0</v>
      </c>
      <c r="R110" s="366" t="str">
        <f t="shared" si="13"/>
        <v/>
      </c>
      <c r="S110" s="359">
        <f t="shared" si="14"/>
        <v>0.7047720401</v>
      </c>
      <c r="T110" s="8"/>
      <c r="U110" s="8"/>
      <c r="V110" s="8"/>
      <c r="W110" s="172"/>
      <c r="X110" s="172"/>
      <c r="Y110" s="8"/>
      <c r="Z110" s="8"/>
      <c r="AA110" s="8"/>
      <c r="AB110" s="172"/>
      <c r="AC110" s="172"/>
      <c r="AD110" s="8"/>
      <c r="AE110" s="8"/>
      <c r="AF110" s="8"/>
      <c r="AG110" s="172"/>
      <c r="AH110" s="172"/>
      <c r="AI110" s="367"/>
      <c r="AJ110" s="362"/>
      <c r="AK110" s="363" t="str">
        <f>IFERROR(__xludf.DUMMYFUNCTION("IFERROR(if(D112&lt;&gt;"""", 
  AVERAGE(
    QUERY(
      IMPORTRANGE(""1-uH1wy6jSm5jYL9je6fN1K5RJ5QMvHntodEHZRtIvTk"", ""All Data!N2:U""),
      ""select Col8 where Col1 = '"" &amp; D112 &amp; ""' and Col8 is not null"",
      0
    )
  )/100,
""""),
  """"
)
"),"")</f>
        <v/>
      </c>
    </row>
    <row r="111">
      <c r="D111" s="172"/>
      <c r="E111" s="368"/>
      <c r="F111" s="368"/>
      <c r="G111" s="368"/>
      <c r="H111" s="172"/>
      <c r="I111" s="172"/>
      <c r="J111" s="172"/>
      <c r="K111" s="172"/>
      <c r="L111" s="172"/>
      <c r="M111" s="172"/>
      <c r="N111" s="172"/>
      <c r="O111" s="358"/>
      <c r="P111" s="358"/>
      <c r="Q111" s="358">
        <f t="shared" si="15"/>
        <v>0</v>
      </c>
      <c r="R111" s="366" t="str">
        <f t="shared" si="13"/>
        <v/>
      </c>
      <c r="S111" s="359">
        <f t="shared" si="14"/>
        <v>0.7047720401</v>
      </c>
      <c r="T111" s="8"/>
      <c r="U111" s="8"/>
      <c r="V111" s="8"/>
      <c r="W111" s="172"/>
      <c r="X111" s="172"/>
      <c r="Y111" s="8"/>
      <c r="Z111" s="8"/>
      <c r="AA111" s="8"/>
      <c r="AB111" s="172"/>
      <c r="AC111" s="172"/>
      <c r="AD111" s="8"/>
      <c r="AE111" s="8"/>
      <c r="AF111" s="8"/>
      <c r="AG111" s="172"/>
      <c r="AH111" s="172"/>
      <c r="AI111" s="367"/>
      <c r="AJ111" s="362"/>
      <c r="AK111" s="363" t="str">
        <f>IFERROR(__xludf.DUMMYFUNCTION("IFERROR(if(D113&lt;&gt;"""", 
  AVERAGE(
    QUERY(
      IMPORTRANGE(""1-uH1wy6jSm5jYL9je6fN1K5RJ5QMvHntodEHZRtIvTk"", ""All Data!N2:U""),
      ""select Col8 where Col1 = '"" &amp; D113 &amp; ""' and Col8 is not null"",
      0
    )
  )/100,
""""),
  """"
)
"),"")</f>
        <v/>
      </c>
    </row>
    <row r="112">
      <c r="D112" s="172"/>
      <c r="E112" s="368"/>
      <c r="F112" s="368"/>
      <c r="G112" s="368"/>
      <c r="H112" s="172"/>
      <c r="I112" s="172"/>
      <c r="J112" s="172"/>
      <c r="K112" s="172"/>
      <c r="L112" s="172"/>
      <c r="M112" s="172"/>
      <c r="N112" s="172"/>
      <c r="O112" s="358"/>
      <c r="P112" s="358"/>
      <c r="Q112" s="358">
        <f t="shared" si="15"/>
        <v>0</v>
      </c>
      <c r="R112" s="366" t="str">
        <f t="shared" si="13"/>
        <v/>
      </c>
      <c r="S112" s="359">
        <f t="shared" si="14"/>
        <v>0.7047720401</v>
      </c>
      <c r="T112" s="8"/>
      <c r="U112" s="8"/>
      <c r="V112" s="8"/>
      <c r="W112" s="172"/>
      <c r="X112" s="172"/>
      <c r="Y112" s="8"/>
      <c r="Z112" s="8"/>
      <c r="AA112" s="8"/>
      <c r="AB112" s="172"/>
      <c r="AC112" s="172"/>
      <c r="AD112" s="8"/>
      <c r="AE112" s="8"/>
      <c r="AF112" s="8"/>
      <c r="AG112" s="172"/>
      <c r="AH112" s="172"/>
      <c r="AI112" s="367"/>
      <c r="AJ112" s="362"/>
      <c r="AK112" s="363" t="str">
        <f>IFERROR(__xludf.DUMMYFUNCTION("IFERROR(if(D114&lt;&gt;"""", 
  AVERAGE(
    QUERY(
      IMPORTRANGE(""1-uH1wy6jSm5jYL9je6fN1K5RJ5QMvHntodEHZRtIvTk"", ""All Data!N2:U""),
      ""select Col8 where Col1 = '"" &amp; D114 &amp; ""' and Col8 is not null"",
      0
    )
  )/100,
""""),
  """"
)
"),"")</f>
        <v/>
      </c>
    </row>
    <row r="113">
      <c r="D113" s="172"/>
      <c r="E113" s="368"/>
      <c r="F113" s="368"/>
      <c r="G113" s="368"/>
      <c r="H113" s="172"/>
      <c r="I113" s="172"/>
      <c r="J113" s="172"/>
      <c r="K113" s="172"/>
      <c r="L113" s="172"/>
      <c r="M113" s="172"/>
      <c r="N113" s="172"/>
      <c r="O113" s="358"/>
      <c r="P113" s="358"/>
      <c r="Q113" s="358">
        <f t="shared" si="15"/>
        <v>0</v>
      </c>
      <c r="R113" s="366" t="str">
        <f t="shared" si="13"/>
        <v/>
      </c>
      <c r="S113" s="359">
        <f t="shared" si="14"/>
        <v>0.7047720401</v>
      </c>
      <c r="T113" s="8"/>
      <c r="U113" s="8"/>
      <c r="V113" s="8"/>
      <c r="W113" s="172"/>
      <c r="X113" s="172"/>
      <c r="Y113" s="8"/>
      <c r="Z113" s="8"/>
      <c r="AA113" s="8"/>
      <c r="AB113" s="172"/>
      <c r="AC113" s="172"/>
      <c r="AD113" s="8"/>
      <c r="AE113" s="8"/>
      <c r="AF113" s="8"/>
      <c r="AG113" s="172"/>
      <c r="AH113" s="172"/>
      <c r="AI113" s="367"/>
      <c r="AJ113" s="362"/>
      <c r="AK113" s="363" t="str">
        <f>IFERROR(__xludf.DUMMYFUNCTION("IFERROR(if(D115&lt;&gt;"""", 
  AVERAGE(
    QUERY(
      IMPORTRANGE(""1-uH1wy6jSm5jYL9je6fN1K5RJ5QMvHntodEHZRtIvTk"", ""All Data!N2:U""),
      ""select Col8 where Col1 = '"" &amp; D115 &amp; ""' and Col8 is not null"",
      0
    )
  )/100,
""""),
  """"
)
"),"")</f>
        <v/>
      </c>
    </row>
    <row r="114">
      <c r="D114" s="172"/>
      <c r="E114" s="368"/>
      <c r="F114" s="368"/>
      <c r="G114" s="368"/>
      <c r="H114" s="172"/>
      <c r="I114" s="172"/>
      <c r="J114" s="172"/>
      <c r="K114" s="172"/>
      <c r="L114" s="172"/>
      <c r="M114" s="172"/>
      <c r="N114" s="172"/>
      <c r="O114" s="358"/>
      <c r="P114" s="358"/>
      <c r="Q114" s="358">
        <f t="shared" si="15"/>
        <v>0</v>
      </c>
      <c r="R114" s="366" t="str">
        <f t="shared" si="13"/>
        <v/>
      </c>
      <c r="S114" s="359">
        <f t="shared" si="14"/>
        <v>0.7047720401</v>
      </c>
      <c r="T114" s="8"/>
      <c r="U114" s="8"/>
      <c r="V114" s="8"/>
      <c r="W114" s="172"/>
      <c r="X114" s="172"/>
      <c r="Y114" s="8"/>
      <c r="Z114" s="8"/>
      <c r="AA114" s="8"/>
      <c r="AB114" s="172"/>
      <c r="AC114" s="172"/>
      <c r="AD114" s="8"/>
      <c r="AE114" s="8"/>
      <c r="AF114" s="8"/>
      <c r="AG114" s="172"/>
      <c r="AH114" s="172"/>
      <c r="AI114" s="367"/>
      <c r="AJ114" s="362"/>
      <c r="AK114" s="363" t="str">
        <f>IFERROR(__xludf.DUMMYFUNCTION("IFERROR(if(D116&lt;&gt;"""", 
  AVERAGE(
    QUERY(
      IMPORTRANGE(""1-uH1wy6jSm5jYL9je6fN1K5RJ5QMvHntodEHZRtIvTk"", ""All Data!N2:U""),
      ""select Col8 where Col1 = '"" &amp; D116 &amp; ""' and Col8 is not null"",
      0
    )
  )/100,
""""),
  """"
)
"),"")</f>
        <v/>
      </c>
    </row>
    <row r="115">
      <c r="D115" s="172"/>
      <c r="E115" s="368"/>
      <c r="F115" s="368"/>
      <c r="G115" s="368"/>
      <c r="H115" s="172"/>
      <c r="I115" s="172"/>
      <c r="J115" s="172"/>
      <c r="K115" s="172"/>
      <c r="L115" s="172"/>
      <c r="M115" s="172"/>
      <c r="N115" s="172"/>
      <c r="O115" s="358"/>
      <c r="P115" s="358"/>
      <c r="Q115" s="358">
        <f t="shared" si="15"/>
        <v>0</v>
      </c>
      <c r="R115" s="366" t="str">
        <f t="shared" si="13"/>
        <v/>
      </c>
      <c r="S115" s="359">
        <f t="shared" si="14"/>
        <v>0.7047720401</v>
      </c>
      <c r="T115" s="8"/>
      <c r="U115" s="8"/>
      <c r="V115" s="8"/>
      <c r="W115" s="172"/>
      <c r="X115" s="172"/>
      <c r="Y115" s="8"/>
      <c r="Z115" s="8"/>
      <c r="AA115" s="8"/>
      <c r="AB115" s="172"/>
      <c r="AC115" s="172"/>
      <c r="AD115" s="8"/>
      <c r="AE115" s="8"/>
      <c r="AF115" s="8"/>
      <c r="AG115" s="172"/>
      <c r="AH115" s="172"/>
      <c r="AI115" s="367"/>
      <c r="AJ115" s="362"/>
      <c r="AK115" s="363" t="str">
        <f>IFERROR(__xludf.DUMMYFUNCTION("IFERROR(if(D117&lt;&gt;"""", 
  AVERAGE(
    QUERY(
      IMPORTRANGE(""1-uH1wy6jSm5jYL9je6fN1K5RJ5QMvHntodEHZRtIvTk"", ""All Data!N2:U""),
      ""select Col8 where Col1 = '"" &amp; D117 &amp; ""' and Col8 is not null"",
      0
    )
  )/100,
""""),
  """"
)
"),"")</f>
        <v/>
      </c>
    </row>
    <row r="116">
      <c r="D116" s="172"/>
      <c r="E116" s="368"/>
      <c r="F116" s="368"/>
      <c r="G116" s="368"/>
      <c r="H116" s="172"/>
      <c r="I116" s="172"/>
      <c r="J116" s="172"/>
      <c r="K116" s="172"/>
      <c r="L116" s="172"/>
      <c r="M116" s="172"/>
      <c r="N116" s="172"/>
      <c r="O116" s="358"/>
      <c r="P116" s="358"/>
      <c r="Q116" s="358">
        <f t="shared" si="15"/>
        <v>0</v>
      </c>
      <c r="R116" s="366" t="str">
        <f t="shared" si="13"/>
        <v/>
      </c>
      <c r="S116" s="359">
        <f t="shared" si="14"/>
        <v>0.7047720401</v>
      </c>
      <c r="T116" s="8"/>
      <c r="U116" s="8"/>
      <c r="V116" s="8"/>
      <c r="W116" s="172"/>
      <c r="X116" s="172"/>
      <c r="Y116" s="8"/>
      <c r="Z116" s="8"/>
      <c r="AA116" s="8"/>
      <c r="AB116" s="172"/>
      <c r="AC116" s="172"/>
      <c r="AD116" s="8"/>
      <c r="AE116" s="8"/>
      <c r="AF116" s="8"/>
      <c r="AG116" s="172"/>
      <c r="AH116" s="172"/>
      <c r="AI116" s="367"/>
      <c r="AJ116" s="362"/>
      <c r="AK116" s="363" t="str">
        <f>IFERROR(__xludf.DUMMYFUNCTION("IFERROR(if(D118&lt;&gt;"""", 
  AVERAGE(
    QUERY(
      IMPORTRANGE(""1-uH1wy6jSm5jYL9je6fN1K5RJ5QMvHntodEHZRtIvTk"", ""All Data!N2:U""),
      ""select Col8 where Col1 = '"" &amp; D118 &amp; ""' and Col8 is not null"",
      0
    )
  )/100,
""""),
  """"
)
"),"")</f>
        <v/>
      </c>
    </row>
    <row r="117">
      <c r="D117" s="172"/>
      <c r="E117" s="368"/>
      <c r="F117" s="368"/>
      <c r="G117" s="368"/>
      <c r="H117" s="172"/>
      <c r="I117" s="172"/>
      <c r="J117" s="172"/>
      <c r="K117" s="172"/>
      <c r="L117" s="172"/>
      <c r="M117" s="172"/>
      <c r="N117" s="172"/>
      <c r="O117" s="358"/>
      <c r="P117" s="358"/>
      <c r="Q117" s="358">
        <f t="shared" si="15"/>
        <v>0</v>
      </c>
      <c r="R117" s="366" t="str">
        <f t="shared" si="13"/>
        <v/>
      </c>
      <c r="S117" s="359">
        <f t="shared" si="14"/>
        <v>0.7047720401</v>
      </c>
      <c r="T117" s="8"/>
      <c r="U117" s="8"/>
      <c r="V117" s="8"/>
      <c r="W117" s="172"/>
      <c r="X117" s="172"/>
      <c r="Y117" s="8"/>
      <c r="Z117" s="8"/>
      <c r="AA117" s="8"/>
      <c r="AB117" s="172"/>
      <c r="AC117" s="172"/>
      <c r="AD117" s="8"/>
      <c r="AE117" s="8"/>
      <c r="AF117" s="8"/>
      <c r="AG117" s="172"/>
      <c r="AH117" s="172"/>
      <c r="AI117" s="367"/>
      <c r="AJ117" s="362"/>
      <c r="AK117" s="363" t="str">
        <f>IFERROR(__xludf.DUMMYFUNCTION("IFERROR(if(D119&lt;&gt;"""", 
  AVERAGE(
    QUERY(
      IMPORTRANGE(""1-uH1wy6jSm5jYL9je6fN1K5RJ5QMvHntodEHZRtIvTk"", ""All Data!N2:U""),
      ""select Col8 where Col1 = '"" &amp; D119 &amp; ""' and Col8 is not null"",
      0
    )
  )/100,
""""),
  """"
)
"),"")</f>
        <v/>
      </c>
    </row>
    <row r="118">
      <c r="D118" s="172"/>
      <c r="E118" s="368"/>
      <c r="F118" s="368"/>
      <c r="G118" s="368"/>
      <c r="H118" s="172"/>
      <c r="I118" s="172"/>
      <c r="J118" s="172"/>
      <c r="K118" s="172"/>
      <c r="L118" s="172"/>
      <c r="M118" s="172"/>
      <c r="N118" s="172"/>
      <c r="O118" s="358"/>
      <c r="P118" s="358"/>
      <c r="Q118" s="358">
        <f t="shared" si="15"/>
        <v>0</v>
      </c>
      <c r="R118" s="366" t="str">
        <f t="shared" si="13"/>
        <v/>
      </c>
      <c r="S118" s="359">
        <f t="shared" si="14"/>
        <v>0.7047720401</v>
      </c>
      <c r="T118" s="8"/>
      <c r="U118" s="8"/>
      <c r="V118" s="8"/>
      <c r="W118" s="172"/>
      <c r="X118" s="172"/>
      <c r="Y118" s="8"/>
      <c r="Z118" s="8"/>
      <c r="AA118" s="8"/>
      <c r="AB118" s="172"/>
      <c r="AC118" s="172"/>
      <c r="AD118" s="8"/>
      <c r="AE118" s="8"/>
      <c r="AF118" s="8"/>
      <c r="AG118" s="172"/>
      <c r="AH118" s="172"/>
      <c r="AI118" s="367"/>
      <c r="AJ118" s="362"/>
      <c r="AK118" s="363" t="str">
        <f>IFERROR(__xludf.DUMMYFUNCTION("IFERROR(if(D120&lt;&gt;"""", 
  AVERAGE(
    QUERY(
      IMPORTRANGE(""1-uH1wy6jSm5jYL9je6fN1K5RJ5QMvHntodEHZRtIvTk"", ""All Data!N2:U""),
      ""select Col8 where Col1 = '"" &amp; D120 &amp; ""' and Col8 is not null"",
      0
    )
  )/100,
""""),
  """"
)
"),"")</f>
        <v/>
      </c>
    </row>
    <row r="119">
      <c r="D119" s="172"/>
      <c r="E119" s="368"/>
      <c r="F119" s="368"/>
      <c r="G119" s="368"/>
      <c r="H119" s="172"/>
      <c r="I119" s="172"/>
      <c r="J119" s="172"/>
      <c r="K119" s="172"/>
      <c r="L119" s="172"/>
      <c r="M119" s="172"/>
      <c r="N119" s="172"/>
      <c r="O119" s="358"/>
      <c r="P119" s="358"/>
      <c r="Q119" s="358">
        <f t="shared" si="15"/>
        <v>0</v>
      </c>
      <c r="R119" s="366" t="str">
        <f t="shared" si="13"/>
        <v/>
      </c>
      <c r="S119" s="359">
        <f t="shared" si="14"/>
        <v>0.7047720401</v>
      </c>
      <c r="T119" s="8"/>
      <c r="U119" s="8"/>
      <c r="V119" s="8"/>
      <c r="W119" s="172"/>
      <c r="X119" s="172"/>
      <c r="Y119" s="8"/>
      <c r="Z119" s="8"/>
      <c r="AA119" s="8"/>
      <c r="AB119" s="172"/>
      <c r="AC119" s="172"/>
      <c r="AD119" s="8"/>
      <c r="AE119" s="8"/>
      <c r="AF119" s="8"/>
      <c r="AG119" s="172"/>
      <c r="AH119" s="172"/>
      <c r="AI119" s="367"/>
      <c r="AJ119" s="362"/>
      <c r="AK119" s="363" t="str">
        <f>IFERROR(__xludf.DUMMYFUNCTION("IFERROR(if(D121&lt;&gt;"""", 
  AVERAGE(
    QUERY(
      IMPORTRANGE(""1-uH1wy6jSm5jYL9je6fN1K5RJ5QMvHntodEHZRtIvTk"", ""All Data!N2:U""),
      ""select Col8 where Col1 = '"" &amp; D121 &amp; ""' and Col8 is not null"",
      0
    )
  )/100,
""""),
  """"
)
"),"")</f>
        <v/>
      </c>
    </row>
    <row r="120">
      <c r="D120" s="172"/>
      <c r="E120" s="368"/>
      <c r="F120" s="368"/>
      <c r="G120" s="368"/>
      <c r="H120" s="172"/>
      <c r="I120" s="172"/>
      <c r="J120" s="172"/>
      <c r="K120" s="172"/>
      <c r="L120" s="172"/>
      <c r="M120" s="172"/>
      <c r="N120" s="172"/>
      <c r="O120" s="358"/>
      <c r="P120" s="358"/>
      <c r="Q120" s="358">
        <f t="shared" si="15"/>
        <v>0</v>
      </c>
      <c r="R120" s="366" t="str">
        <f t="shared" si="13"/>
        <v/>
      </c>
      <c r="S120" s="359">
        <f t="shared" si="14"/>
        <v>0.7047720401</v>
      </c>
      <c r="T120" s="8"/>
      <c r="U120" s="8"/>
      <c r="V120" s="8"/>
      <c r="W120" s="172"/>
      <c r="X120" s="172"/>
      <c r="Y120" s="8"/>
      <c r="Z120" s="8"/>
      <c r="AA120" s="8"/>
      <c r="AB120" s="172"/>
      <c r="AC120" s="172"/>
      <c r="AD120" s="8"/>
      <c r="AE120" s="8"/>
      <c r="AF120" s="8"/>
      <c r="AG120" s="172"/>
      <c r="AH120" s="172"/>
      <c r="AI120" s="367"/>
      <c r="AJ120" s="362"/>
      <c r="AK120" s="363" t="str">
        <f>IFERROR(__xludf.DUMMYFUNCTION("IFERROR(if(D122&lt;&gt;"""", 
  AVERAGE(
    QUERY(
      IMPORTRANGE(""1-uH1wy6jSm5jYL9je6fN1K5RJ5QMvHntodEHZRtIvTk"", ""All Data!N2:U""),
      ""select Col8 where Col1 = '"" &amp; D122 &amp; ""' and Col8 is not null"",
      0
    )
  )/100,
""""),
  """"
)
"),"")</f>
        <v/>
      </c>
    </row>
    <row r="121">
      <c r="D121" s="172"/>
      <c r="E121" s="368"/>
      <c r="F121" s="368"/>
      <c r="G121" s="368"/>
      <c r="H121" s="172"/>
      <c r="I121" s="172"/>
      <c r="J121" s="172"/>
      <c r="K121" s="172"/>
      <c r="L121" s="172"/>
      <c r="M121" s="172"/>
      <c r="N121" s="172"/>
      <c r="O121" s="358"/>
      <c r="P121" s="358"/>
      <c r="Q121" s="358">
        <f t="shared" si="15"/>
        <v>0</v>
      </c>
      <c r="R121" s="366" t="str">
        <f t="shared" si="13"/>
        <v/>
      </c>
      <c r="S121" s="359">
        <f t="shared" si="14"/>
        <v>0.7047720401</v>
      </c>
      <c r="T121" s="8"/>
      <c r="U121" s="8"/>
      <c r="V121" s="8"/>
      <c r="W121" s="172"/>
      <c r="X121" s="172"/>
      <c r="Y121" s="8"/>
      <c r="Z121" s="8"/>
      <c r="AA121" s="8"/>
      <c r="AB121" s="172"/>
      <c r="AC121" s="172"/>
      <c r="AD121" s="8"/>
      <c r="AE121" s="8"/>
      <c r="AF121" s="8"/>
      <c r="AG121" s="172"/>
      <c r="AH121" s="172"/>
      <c r="AI121" s="367"/>
      <c r="AJ121" s="362"/>
      <c r="AK121" s="363" t="str">
        <f>IFERROR(__xludf.DUMMYFUNCTION("IFERROR(if(D123&lt;&gt;"""", 
  AVERAGE(
    QUERY(
      IMPORTRANGE(""1-uH1wy6jSm5jYL9je6fN1K5RJ5QMvHntodEHZRtIvTk"", ""All Data!N2:U""),
      ""select Col8 where Col1 = '"" &amp; D123 &amp; ""' and Col8 is not null"",
      0
    )
  )/100,
""""),
  """"
)
"),"")</f>
        <v/>
      </c>
    </row>
    <row r="122">
      <c r="D122" s="172"/>
      <c r="E122" s="368"/>
      <c r="F122" s="368"/>
      <c r="G122" s="368"/>
      <c r="H122" s="172"/>
      <c r="I122" s="172"/>
      <c r="J122" s="172"/>
      <c r="K122" s="172"/>
      <c r="L122" s="172"/>
      <c r="M122" s="172"/>
      <c r="N122" s="172"/>
      <c r="O122" s="358"/>
      <c r="P122" s="358"/>
      <c r="Q122" s="358">
        <f t="shared" si="15"/>
        <v>0</v>
      </c>
      <c r="R122" s="366" t="str">
        <f t="shared" si="13"/>
        <v/>
      </c>
      <c r="S122" s="359">
        <f t="shared" si="14"/>
        <v>0.7047720401</v>
      </c>
      <c r="T122" s="8"/>
      <c r="U122" s="8"/>
      <c r="V122" s="8"/>
      <c r="W122" s="172"/>
      <c r="X122" s="172"/>
      <c r="Y122" s="8"/>
      <c r="Z122" s="8"/>
      <c r="AA122" s="8"/>
      <c r="AB122" s="172"/>
      <c r="AC122" s="172"/>
      <c r="AD122" s="8"/>
      <c r="AE122" s="8"/>
      <c r="AF122" s="8"/>
      <c r="AG122" s="172"/>
      <c r="AH122" s="172"/>
      <c r="AI122" s="367"/>
      <c r="AJ122" s="362"/>
      <c r="AK122" s="363" t="str">
        <f>IFERROR(__xludf.DUMMYFUNCTION("IFERROR(if(D124&lt;&gt;"""", 
  AVERAGE(
    QUERY(
      IMPORTRANGE(""1-uH1wy6jSm5jYL9je6fN1K5RJ5QMvHntodEHZRtIvTk"", ""All Data!N2:U""),
      ""select Col8 where Col1 = '"" &amp; D124 &amp; ""' and Col8 is not null"",
      0
    )
  )/100,
""""),
  """"
)
"),"")</f>
        <v/>
      </c>
    </row>
    <row r="123">
      <c r="D123" s="172"/>
      <c r="E123" s="368"/>
      <c r="F123" s="368"/>
      <c r="G123" s="368"/>
      <c r="H123" s="172"/>
      <c r="I123" s="172"/>
      <c r="J123" s="172"/>
      <c r="K123" s="172"/>
      <c r="L123" s="172"/>
      <c r="M123" s="172"/>
      <c r="N123" s="172"/>
      <c r="O123" s="358"/>
      <c r="P123" s="358"/>
      <c r="Q123" s="358">
        <f t="shared" si="15"/>
        <v>0</v>
      </c>
      <c r="R123" s="366" t="str">
        <f t="shared" si="13"/>
        <v/>
      </c>
      <c r="S123" s="359">
        <f t="shared" si="14"/>
        <v>0.7047720401</v>
      </c>
      <c r="T123" s="8"/>
      <c r="U123" s="8"/>
      <c r="V123" s="8"/>
      <c r="W123" s="172"/>
      <c r="X123" s="172"/>
      <c r="Y123" s="8"/>
      <c r="Z123" s="8"/>
      <c r="AA123" s="8"/>
      <c r="AB123" s="172"/>
      <c r="AC123" s="172"/>
      <c r="AD123" s="8"/>
      <c r="AE123" s="8"/>
      <c r="AF123" s="8"/>
      <c r="AG123" s="172"/>
      <c r="AH123" s="172"/>
      <c r="AI123" s="367"/>
      <c r="AJ123" s="362"/>
      <c r="AK123" s="363" t="str">
        <f>IFERROR(__xludf.DUMMYFUNCTION("IFERROR(if(D125&lt;&gt;"""", 
  AVERAGE(
    QUERY(
      IMPORTRANGE(""1-uH1wy6jSm5jYL9je6fN1K5RJ5QMvHntodEHZRtIvTk"", ""All Data!N2:U""),
      ""select Col8 where Col1 = '"" &amp; D125 &amp; ""' and Col8 is not null"",
      0
    )
  )/100,
""""),
  """"
)
"),"")</f>
        <v/>
      </c>
    </row>
    <row r="124">
      <c r="D124" s="172"/>
      <c r="E124" s="368"/>
      <c r="F124" s="368"/>
      <c r="G124" s="368"/>
      <c r="H124" s="172"/>
      <c r="I124" s="172"/>
      <c r="J124" s="172"/>
      <c r="K124" s="172"/>
      <c r="L124" s="172"/>
      <c r="M124" s="172"/>
      <c r="N124" s="172"/>
      <c r="O124" s="358"/>
      <c r="P124" s="358"/>
      <c r="Q124" s="358">
        <f t="shared" si="15"/>
        <v>0</v>
      </c>
      <c r="R124" s="366" t="str">
        <f t="shared" si="13"/>
        <v/>
      </c>
      <c r="S124" s="359">
        <f t="shared" si="14"/>
        <v>0.7047720401</v>
      </c>
      <c r="T124" s="8"/>
      <c r="U124" s="8"/>
      <c r="V124" s="8"/>
      <c r="W124" s="172"/>
      <c r="X124" s="172"/>
      <c r="Y124" s="8"/>
      <c r="Z124" s="8"/>
      <c r="AA124" s="8"/>
      <c r="AB124" s="172"/>
      <c r="AC124" s="172"/>
      <c r="AD124" s="8"/>
      <c r="AE124" s="8"/>
      <c r="AF124" s="8"/>
      <c r="AG124" s="172"/>
      <c r="AH124" s="172"/>
      <c r="AI124" s="367"/>
      <c r="AJ124" s="362"/>
      <c r="AK124" s="363" t="str">
        <f>IFERROR(__xludf.DUMMYFUNCTION("IFERROR(if(D126&lt;&gt;"""", 
  AVERAGE(
    QUERY(
      IMPORTRANGE(""1-uH1wy6jSm5jYL9je6fN1K5RJ5QMvHntodEHZRtIvTk"", ""All Data!N2:U""),
      ""select Col8 where Col1 = '"" &amp; D126 &amp; ""' and Col8 is not null"",
      0
    )
  )/100,
""""),
  """"
)
"),"")</f>
        <v/>
      </c>
    </row>
    <row r="125">
      <c r="D125" s="172"/>
      <c r="E125" s="368"/>
      <c r="F125" s="368"/>
      <c r="G125" s="368"/>
      <c r="H125" s="172"/>
      <c r="I125" s="172"/>
      <c r="J125" s="172"/>
      <c r="K125" s="172"/>
      <c r="L125" s="172"/>
      <c r="M125" s="172"/>
      <c r="N125" s="172"/>
      <c r="O125" s="358"/>
      <c r="P125" s="358"/>
      <c r="Q125" s="358">
        <f t="shared" si="15"/>
        <v>0</v>
      </c>
      <c r="R125" s="366" t="str">
        <f t="shared" si="13"/>
        <v/>
      </c>
      <c r="S125" s="359">
        <f t="shared" si="14"/>
        <v>0.7047720401</v>
      </c>
      <c r="T125" s="8"/>
      <c r="U125" s="8"/>
      <c r="V125" s="8"/>
      <c r="W125" s="172"/>
      <c r="X125" s="172"/>
      <c r="Y125" s="8"/>
      <c r="Z125" s="8"/>
      <c r="AA125" s="8"/>
      <c r="AB125" s="172"/>
      <c r="AC125" s="172"/>
      <c r="AD125" s="8"/>
      <c r="AE125" s="8"/>
      <c r="AF125" s="8"/>
      <c r="AG125" s="172"/>
      <c r="AH125" s="172"/>
      <c r="AI125" s="367"/>
      <c r="AJ125" s="362"/>
      <c r="AK125" s="363" t="str">
        <f>IFERROR(__xludf.DUMMYFUNCTION("IFERROR(if(D127&lt;&gt;"""", 
  AVERAGE(
    QUERY(
      IMPORTRANGE(""1-uH1wy6jSm5jYL9je6fN1K5RJ5QMvHntodEHZRtIvTk"", ""All Data!N2:U""),
      ""select Col8 where Col1 = '"" &amp; D127 &amp; ""' and Col8 is not null"",
      0
    )
  )/100,
""""),
  """"
)
"),"")</f>
        <v/>
      </c>
    </row>
    <row r="126">
      <c r="D126" s="172"/>
      <c r="E126" s="368"/>
      <c r="F126" s="368"/>
      <c r="G126" s="368"/>
      <c r="H126" s="172"/>
      <c r="I126" s="172"/>
      <c r="J126" s="172"/>
      <c r="K126" s="172"/>
      <c r="L126" s="172"/>
      <c r="M126" s="172"/>
      <c r="N126" s="172"/>
      <c r="O126" s="358"/>
      <c r="P126" s="358"/>
      <c r="Q126" s="358">
        <f t="shared" si="15"/>
        <v>0</v>
      </c>
      <c r="R126" s="366" t="str">
        <f t="shared" si="13"/>
        <v/>
      </c>
      <c r="S126" s="359">
        <f t="shared" si="14"/>
        <v>0.7047720401</v>
      </c>
      <c r="T126" s="8"/>
      <c r="U126" s="8"/>
      <c r="V126" s="8"/>
      <c r="W126" s="172"/>
      <c r="X126" s="172"/>
      <c r="Y126" s="8"/>
      <c r="Z126" s="8"/>
      <c r="AA126" s="8"/>
      <c r="AB126" s="172"/>
      <c r="AC126" s="172"/>
      <c r="AD126" s="8"/>
      <c r="AE126" s="8"/>
      <c r="AF126" s="8"/>
      <c r="AG126" s="172"/>
      <c r="AH126" s="172"/>
      <c r="AI126" s="367"/>
      <c r="AJ126" s="362"/>
      <c r="AK126" s="363" t="str">
        <f>IFERROR(__xludf.DUMMYFUNCTION("IFERROR(if(D128&lt;&gt;"""", 
  AVERAGE(
    QUERY(
      IMPORTRANGE(""1-uH1wy6jSm5jYL9je6fN1K5RJ5QMvHntodEHZRtIvTk"", ""All Data!N2:U""),
      ""select Col8 where Col1 = '"" &amp; D128 &amp; ""' and Col8 is not null"",
      0
    )
  )/100,
""""),
  """"
)
"),"")</f>
        <v/>
      </c>
    </row>
    <row r="127">
      <c r="D127" s="172"/>
      <c r="E127" s="368"/>
      <c r="F127" s="368"/>
      <c r="G127" s="368"/>
      <c r="H127" s="172"/>
      <c r="I127" s="172"/>
      <c r="J127" s="172"/>
      <c r="K127" s="172"/>
      <c r="L127" s="172"/>
      <c r="M127" s="172"/>
      <c r="N127" s="172"/>
      <c r="O127" s="358"/>
      <c r="P127" s="358"/>
      <c r="Q127" s="358">
        <f t="shared" si="15"/>
        <v>0</v>
      </c>
      <c r="R127" s="366" t="str">
        <f t="shared" si="13"/>
        <v/>
      </c>
      <c r="S127" s="359">
        <f t="shared" si="14"/>
        <v>0.7047720401</v>
      </c>
      <c r="T127" s="8"/>
      <c r="U127" s="8"/>
      <c r="V127" s="8"/>
      <c r="W127" s="172"/>
      <c r="X127" s="172"/>
      <c r="Y127" s="8"/>
      <c r="Z127" s="8"/>
      <c r="AA127" s="8"/>
      <c r="AB127" s="172"/>
      <c r="AC127" s="172"/>
      <c r="AD127" s="8"/>
      <c r="AE127" s="8"/>
      <c r="AF127" s="8"/>
      <c r="AG127" s="172"/>
      <c r="AH127" s="172"/>
      <c r="AI127" s="367"/>
      <c r="AJ127" s="362"/>
      <c r="AK127" s="363" t="str">
        <f>IFERROR(__xludf.DUMMYFUNCTION("IFERROR(if(D129&lt;&gt;"""", 
  AVERAGE(
    QUERY(
      IMPORTRANGE(""1-uH1wy6jSm5jYL9je6fN1K5RJ5QMvHntodEHZRtIvTk"", ""All Data!N2:U""),
      ""select Col8 where Col1 = '"" &amp; D129 &amp; ""' and Col8 is not null"",
      0
    )
  )/100,
""""),
  """"
)
"),"")</f>
        <v/>
      </c>
    </row>
    <row r="128">
      <c r="D128" s="172"/>
      <c r="E128" s="368"/>
      <c r="F128" s="368"/>
      <c r="G128" s="368"/>
      <c r="H128" s="172"/>
      <c r="I128" s="172"/>
      <c r="J128" s="172"/>
      <c r="K128" s="172"/>
      <c r="L128" s="172"/>
      <c r="M128" s="172"/>
      <c r="N128" s="172"/>
      <c r="O128" s="358"/>
      <c r="P128" s="358"/>
      <c r="Q128" s="358">
        <f t="shared" si="15"/>
        <v>0</v>
      </c>
      <c r="R128" s="366" t="str">
        <f t="shared" si="13"/>
        <v/>
      </c>
      <c r="S128" s="359">
        <f t="shared" si="14"/>
        <v>0.7047720401</v>
      </c>
      <c r="T128" s="8"/>
      <c r="U128" s="8"/>
      <c r="V128" s="8"/>
      <c r="W128" s="172"/>
      <c r="X128" s="172"/>
      <c r="Y128" s="8"/>
      <c r="Z128" s="8"/>
      <c r="AA128" s="8"/>
      <c r="AB128" s="172"/>
      <c r="AC128" s="172"/>
      <c r="AD128" s="8"/>
      <c r="AE128" s="8"/>
      <c r="AF128" s="8"/>
      <c r="AG128" s="172"/>
      <c r="AH128" s="172"/>
      <c r="AI128" s="367"/>
      <c r="AJ128" s="362"/>
      <c r="AK128" s="363" t="str">
        <f>IFERROR(__xludf.DUMMYFUNCTION("IFERROR(if(D130&lt;&gt;"""", 
  AVERAGE(
    QUERY(
      IMPORTRANGE(""1-uH1wy6jSm5jYL9je6fN1K5RJ5QMvHntodEHZRtIvTk"", ""All Data!N2:U""),
      ""select Col8 where Col1 = '"" &amp; D130 &amp; ""' and Col8 is not null"",
      0
    )
  )/100,
""""),
  """"
)
"),"")</f>
        <v/>
      </c>
    </row>
    <row r="129">
      <c r="D129" s="172"/>
      <c r="E129" s="368"/>
      <c r="F129" s="368"/>
      <c r="G129" s="368"/>
      <c r="H129" s="172"/>
      <c r="I129" s="172"/>
      <c r="J129" s="172"/>
      <c r="K129" s="172"/>
      <c r="L129" s="172"/>
      <c r="M129" s="172"/>
      <c r="N129" s="172"/>
      <c r="O129" s="358"/>
      <c r="P129" s="358"/>
      <c r="Q129" s="358">
        <f t="shared" si="15"/>
        <v>0</v>
      </c>
      <c r="R129" s="366" t="str">
        <f t="shared" si="13"/>
        <v/>
      </c>
      <c r="S129" s="359">
        <f t="shared" si="14"/>
        <v>0.7047720401</v>
      </c>
      <c r="T129" s="8"/>
      <c r="U129" s="8"/>
      <c r="V129" s="8"/>
      <c r="W129" s="172"/>
      <c r="X129" s="172"/>
      <c r="Y129" s="8"/>
      <c r="Z129" s="8"/>
      <c r="AA129" s="8"/>
      <c r="AB129" s="172"/>
      <c r="AC129" s="172"/>
      <c r="AD129" s="8"/>
      <c r="AE129" s="8"/>
      <c r="AF129" s="8"/>
      <c r="AG129" s="172"/>
      <c r="AH129" s="172"/>
      <c r="AI129" s="367"/>
      <c r="AJ129" s="362"/>
      <c r="AK129" s="363" t="str">
        <f>IFERROR(__xludf.DUMMYFUNCTION("IFERROR(if(D131&lt;&gt;"""", 
  AVERAGE(
    QUERY(
      IMPORTRANGE(""1-uH1wy6jSm5jYL9je6fN1K5RJ5QMvHntodEHZRtIvTk"", ""All Data!N2:U""),
      ""select Col8 where Col1 = '"" &amp; D131 &amp; ""' and Col8 is not null"",
      0
    )
  )/100,
""""),
  """"
)
"),"")</f>
        <v/>
      </c>
    </row>
    <row r="130">
      <c r="D130" s="172"/>
      <c r="E130" s="368"/>
      <c r="F130" s="368"/>
      <c r="G130" s="368"/>
      <c r="H130" s="172"/>
      <c r="I130" s="172"/>
      <c r="J130" s="172"/>
      <c r="K130" s="172"/>
      <c r="L130" s="172"/>
      <c r="M130" s="172"/>
      <c r="N130" s="172"/>
      <c r="O130" s="358"/>
      <c r="P130" s="358"/>
      <c r="Q130" s="358">
        <f t="shared" si="15"/>
        <v>0</v>
      </c>
      <c r="R130" s="366" t="str">
        <f t="shared" si="13"/>
        <v/>
      </c>
      <c r="S130" s="359">
        <f t="shared" si="14"/>
        <v>0.7047720401</v>
      </c>
      <c r="T130" s="8"/>
      <c r="U130" s="8"/>
      <c r="V130" s="8"/>
      <c r="W130" s="172"/>
      <c r="X130" s="172"/>
      <c r="Y130" s="8"/>
      <c r="Z130" s="8"/>
      <c r="AA130" s="8"/>
      <c r="AB130" s="172"/>
      <c r="AC130" s="172"/>
      <c r="AD130" s="8"/>
      <c r="AE130" s="8"/>
      <c r="AF130" s="8"/>
      <c r="AG130" s="172"/>
      <c r="AH130" s="172"/>
      <c r="AI130" s="367"/>
      <c r="AJ130" s="362"/>
      <c r="AK130" s="363" t="str">
        <f>IFERROR(__xludf.DUMMYFUNCTION("IFERROR(if(D132&lt;&gt;"""", 
  AVERAGE(
    QUERY(
      IMPORTRANGE(""1-uH1wy6jSm5jYL9je6fN1K5RJ5QMvHntodEHZRtIvTk"", ""All Data!N2:U""),
      ""select Col8 where Col1 = '"" &amp; D132 &amp; ""' and Col8 is not null"",
      0
    )
  )/100,
""""),
  """"
)
"),"")</f>
        <v/>
      </c>
    </row>
    <row r="131">
      <c r="D131" s="172"/>
      <c r="E131" s="368"/>
      <c r="F131" s="368"/>
      <c r="G131" s="368"/>
      <c r="H131" s="172"/>
      <c r="I131" s="172"/>
      <c r="J131" s="172"/>
      <c r="K131" s="172"/>
      <c r="L131" s="172"/>
      <c r="M131" s="172"/>
      <c r="N131" s="172"/>
      <c r="O131" s="358"/>
      <c r="P131" s="358"/>
      <c r="Q131" s="358">
        <f t="shared" si="15"/>
        <v>0</v>
      </c>
      <c r="R131" s="366" t="str">
        <f t="shared" si="13"/>
        <v/>
      </c>
      <c r="S131" s="359">
        <f t="shared" si="14"/>
        <v>0.7047720401</v>
      </c>
      <c r="T131" s="8"/>
      <c r="U131" s="8"/>
      <c r="V131" s="8"/>
      <c r="W131" s="172"/>
      <c r="X131" s="172"/>
      <c r="Y131" s="8"/>
      <c r="Z131" s="8"/>
      <c r="AA131" s="8"/>
      <c r="AB131" s="172"/>
      <c r="AC131" s="172"/>
      <c r="AD131" s="8"/>
      <c r="AE131" s="8"/>
      <c r="AF131" s="8"/>
      <c r="AG131" s="172"/>
      <c r="AH131" s="172"/>
      <c r="AI131" s="367"/>
      <c r="AJ131" s="362"/>
      <c r="AK131" s="363" t="str">
        <f>IFERROR(__xludf.DUMMYFUNCTION("IFERROR(if(D133&lt;&gt;"""", 
  AVERAGE(
    QUERY(
      IMPORTRANGE(""1-uH1wy6jSm5jYL9je6fN1K5RJ5QMvHntodEHZRtIvTk"", ""All Data!N2:U""),
      ""select Col8 where Col1 = '"" &amp; D133 &amp; ""' and Col8 is not null"",
      0
    )
  )/100,
""""),
  """"
)
"),"")</f>
        <v/>
      </c>
    </row>
    <row r="132">
      <c r="D132" s="172"/>
      <c r="E132" s="368"/>
      <c r="F132" s="368"/>
      <c r="G132" s="368"/>
      <c r="H132" s="172"/>
      <c r="I132" s="172"/>
      <c r="J132" s="172"/>
      <c r="K132" s="172"/>
      <c r="L132" s="172"/>
      <c r="M132" s="172"/>
      <c r="N132" s="172"/>
      <c r="O132" s="358"/>
      <c r="P132" s="358"/>
      <c r="Q132" s="358">
        <f t="shared" si="15"/>
        <v>0</v>
      </c>
      <c r="R132" s="366" t="str">
        <f t="shared" si="13"/>
        <v/>
      </c>
      <c r="S132" s="359">
        <f t="shared" si="14"/>
        <v>0.7047720401</v>
      </c>
      <c r="T132" s="8"/>
      <c r="U132" s="8"/>
      <c r="V132" s="8"/>
      <c r="W132" s="172"/>
      <c r="X132" s="172"/>
      <c r="Y132" s="8"/>
      <c r="Z132" s="8"/>
      <c r="AA132" s="8"/>
      <c r="AB132" s="172"/>
      <c r="AC132" s="172"/>
      <c r="AD132" s="8"/>
      <c r="AE132" s="8"/>
      <c r="AF132" s="8"/>
      <c r="AG132" s="172"/>
      <c r="AH132" s="172"/>
      <c r="AI132" s="367"/>
      <c r="AJ132" s="362"/>
      <c r="AK132" s="363" t="str">
        <f>IFERROR(__xludf.DUMMYFUNCTION("IFERROR(if(D134&lt;&gt;"""", 
  AVERAGE(
    QUERY(
      IMPORTRANGE(""1-uH1wy6jSm5jYL9je6fN1K5RJ5QMvHntodEHZRtIvTk"", ""All Data!N2:U""),
      ""select Col8 where Col1 = '"" &amp; D134 &amp; ""' and Col8 is not null"",
      0
    )
  )/100,
""""),
  """"
)
"),"")</f>
        <v/>
      </c>
    </row>
    <row r="133">
      <c r="D133" s="172"/>
      <c r="E133" s="368"/>
      <c r="F133" s="368"/>
      <c r="G133" s="368"/>
      <c r="H133" s="172"/>
      <c r="I133" s="172"/>
      <c r="J133" s="172"/>
      <c r="K133" s="172"/>
      <c r="L133" s="172"/>
      <c r="M133" s="172"/>
      <c r="N133" s="172"/>
      <c r="O133" s="358"/>
      <c r="P133" s="358"/>
      <c r="Q133" s="358">
        <f t="shared" si="15"/>
        <v>0</v>
      </c>
      <c r="R133" s="366" t="str">
        <f t="shared" si="13"/>
        <v/>
      </c>
      <c r="S133" s="359">
        <f t="shared" si="14"/>
        <v>0.7047720401</v>
      </c>
      <c r="T133" s="8"/>
      <c r="U133" s="8"/>
      <c r="V133" s="8"/>
      <c r="W133" s="172"/>
      <c r="X133" s="172"/>
      <c r="Y133" s="8"/>
      <c r="Z133" s="8"/>
      <c r="AA133" s="8"/>
      <c r="AB133" s="172"/>
      <c r="AC133" s="172"/>
      <c r="AD133" s="8"/>
      <c r="AE133" s="8"/>
      <c r="AF133" s="8"/>
      <c r="AG133" s="172"/>
      <c r="AH133" s="172"/>
      <c r="AI133" s="367"/>
      <c r="AJ133" s="362"/>
      <c r="AK133" s="363" t="str">
        <f>IFERROR(__xludf.DUMMYFUNCTION("IFERROR(if(D135&lt;&gt;"""", 
  AVERAGE(
    QUERY(
      IMPORTRANGE(""1-uH1wy6jSm5jYL9je6fN1K5RJ5QMvHntodEHZRtIvTk"", ""All Data!N2:U""),
      ""select Col8 where Col1 = '"" &amp; D135 &amp; ""' and Col8 is not null"",
      0
    )
  )/100,
""""),
  """"
)
"),"")</f>
        <v/>
      </c>
    </row>
    <row r="134">
      <c r="D134" s="172"/>
      <c r="E134" s="368"/>
      <c r="F134" s="368"/>
      <c r="G134" s="368"/>
      <c r="H134" s="172"/>
      <c r="I134" s="172"/>
      <c r="J134" s="172"/>
      <c r="K134" s="172"/>
      <c r="L134" s="172"/>
      <c r="M134" s="172"/>
      <c r="N134" s="172"/>
      <c r="O134" s="358"/>
      <c r="P134" s="358"/>
      <c r="Q134" s="358">
        <f t="shared" si="15"/>
        <v>0</v>
      </c>
      <c r="R134" s="366" t="str">
        <f t="shared" si="13"/>
        <v/>
      </c>
      <c r="S134" s="359">
        <f t="shared" si="14"/>
        <v>0.7047720401</v>
      </c>
      <c r="T134" s="8"/>
      <c r="U134" s="8"/>
      <c r="V134" s="8"/>
      <c r="W134" s="172"/>
      <c r="X134" s="172"/>
      <c r="Y134" s="8"/>
      <c r="Z134" s="8"/>
      <c r="AA134" s="8"/>
      <c r="AB134" s="172"/>
      <c r="AC134" s="172"/>
      <c r="AD134" s="8"/>
      <c r="AE134" s="8"/>
      <c r="AF134" s="8"/>
      <c r="AG134" s="172"/>
      <c r="AH134" s="172"/>
      <c r="AI134" s="367"/>
      <c r="AJ134" s="362"/>
      <c r="AK134" s="363" t="str">
        <f>IFERROR(__xludf.DUMMYFUNCTION("IFERROR(if(D136&lt;&gt;"""", 
  AVERAGE(
    QUERY(
      IMPORTRANGE(""1-uH1wy6jSm5jYL9je6fN1K5RJ5QMvHntodEHZRtIvTk"", ""All Data!N2:U""),
      ""select Col8 where Col1 = '"" &amp; D136 &amp; ""' and Col8 is not null"",
      0
    )
  )/100,
""""),
  """"
)
"),"")</f>
        <v/>
      </c>
    </row>
    <row r="135">
      <c r="D135" s="172"/>
      <c r="E135" s="368"/>
      <c r="F135" s="368"/>
      <c r="G135" s="368"/>
      <c r="H135" s="172"/>
      <c r="I135" s="172"/>
      <c r="J135" s="172"/>
      <c r="K135" s="172"/>
      <c r="L135" s="172"/>
      <c r="M135" s="172"/>
      <c r="N135" s="172"/>
      <c r="O135" s="358"/>
      <c r="P135" s="358"/>
      <c r="Q135" s="358">
        <f t="shared" si="15"/>
        <v>0</v>
      </c>
      <c r="R135" s="366" t="str">
        <f t="shared" si="13"/>
        <v/>
      </c>
      <c r="S135" s="359">
        <f t="shared" si="14"/>
        <v>0.7047720401</v>
      </c>
      <c r="T135" s="8"/>
      <c r="U135" s="8"/>
      <c r="V135" s="8"/>
      <c r="W135" s="172"/>
      <c r="X135" s="172"/>
      <c r="Y135" s="8"/>
      <c r="Z135" s="8"/>
      <c r="AA135" s="8"/>
      <c r="AB135" s="172"/>
      <c r="AC135" s="172"/>
      <c r="AD135" s="8"/>
      <c r="AE135" s="8"/>
      <c r="AF135" s="8"/>
      <c r="AG135" s="172"/>
      <c r="AH135" s="172"/>
      <c r="AI135" s="367"/>
      <c r="AJ135" s="362"/>
      <c r="AK135" s="363" t="str">
        <f>IFERROR(__xludf.DUMMYFUNCTION("IFERROR(if(D137&lt;&gt;"""", 
  AVERAGE(
    QUERY(
      IMPORTRANGE(""1-uH1wy6jSm5jYL9je6fN1K5RJ5QMvHntodEHZRtIvTk"", ""All Data!N2:U""),
      ""select Col8 where Col1 = '"" &amp; D137 &amp; ""' and Col8 is not null"",
      0
    )
  )/100,
""""),
  """"
)
"),"")</f>
        <v/>
      </c>
    </row>
    <row r="136">
      <c r="D136" s="172"/>
      <c r="E136" s="368"/>
      <c r="F136" s="368"/>
      <c r="G136" s="368"/>
      <c r="H136" s="172"/>
      <c r="I136" s="172"/>
      <c r="J136" s="172"/>
      <c r="K136" s="172"/>
      <c r="L136" s="172"/>
      <c r="M136" s="172"/>
      <c r="N136" s="172"/>
      <c r="O136" s="358"/>
      <c r="P136" s="358"/>
      <c r="Q136" s="358">
        <f t="shared" si="15"/>
        <v>0</v>
      </c>
      <c r="R136" s="366" t="str">
        <f t="shared" si="13"/>
        <v/>
      </c>
      <c r="S136" s="359">
        <f t="shared" si="14"/>
        <v>0.7047720401</v>
      </c>
      <c r="T136" s="8"/>
      <c r="U136" s="8"/>
      <c r="V136" s="8"/>
      <c r="W136" s="172"/>
      <c r="X136" s="172"/>
      <c r="Y136" s="8"/>
      <c r="Z136" s="8"/>
      <c r="AA136" s="8"/>
      <c r="AB136" s="172"/>
      <c r="AC136" s="172"/>
      <c r="AD136" s="8"/>
      <c r="AE136" s="8"/>
      <c r="AF136" s="8"/>
      <c r="AG136" s="172"/>
      <c r="AH136" s="172"/>
      <c r="AI136" s="367"/>
      <c r="AJ136" s="362"/>
      <c r="AK136" s="363" t="str">
        <f>IFERROR(__xludf.DUMMYFUNCTION("IFERROR(if(D138&lt;&gt;"""", 
  AVERAGE(
    QUERY(
      IMPORTRANGE(""1-uH1wy6jSm5jYL9je6fN1K5RJ5QMvHntodEHZRtIvTk"", ""All Data!N2:U""),
      ""select Col8 where Col1 = '"" &amp; D138 &amp; ""' and Col8 is not null"",
      0
    )
  )/100,
""""),
  """"
)
"),"")</f>
        <v/>
      </c>
    </row>
    <row r="137">
      <c r="D137" s="172"/>
      <c r="E137" s="368"/>
      <c r="F137" s="368"/>
      <c r="G137" s="368"/>
      <c r="H137" s="172"/>
      <c r="I137" s="172"/>
      <c r="J137" s="172"/>
      <c r="K137" s="172"/>
      <c r="L137" s="172"/>
      <c r="M137" s="172"/>
      <c r="N137" s="172"/>
      <c r="O137" s="358"/>
      <c r="P137" s="358"/>
      <c r="Q137" s="358">
        <f t="shared" si="15"/>
        <v>0</v>
      </c>
      <c r="R137" s="366" t="str">
        <f t="shared" si="13"/>
        <v/>
      </c>
      <c r="S137" s="359">
        <f t="shared" si="14"/>
        <v>0.7047720401</v>
      </c>
      <c r="T137" s="8"/>
      <c r="U137" s="8"/>
      <c r="V137" s="8"/>
      <c r="W137" s="172"/>
      <c r="X137" s="172"/>
      <c r="Y137" s="8"/>
      <c r="Z137" s="8"/>
      <c r="AA137" s="8"/>
      <c r="AB137" s="172"/>
      <c r="AC137" s="172"/>
      <c r="AD137" s="8"/>
      <c r="AE137" s="8"/>
      <c r="AF137" s="8"/>
      <c r="AG137" s="172"/>
      <c r="AH137" s="172"/>
      <c r="AI137" s="367"/>
      <c r="AJ137" s="362"/>
      <c r="AK137" s="363" t="str">
        <f>IFERROR(__xludf.DUMMYFUNCTION("IFERROR(if(D139&lt;&gt;"""", 
  AVERAGE(
    QUERY(
      IMPORTRANGE(""1-uH1wy6jSm5jYL9je6fN1K5RJ5QMvHntodEHZRtIvTk"", ""All Data!N2:U""),
      ""select Col8 where Col1 = '"" &amp; D139 &amp; ""' and Col8 is not null"",
      0
    )
  )/100,
""""),
  """"
)
"),"")</f>
        <v/>
      </c>
    </row>
    <row r="138">
      <c r="D138" s="172"/>
      <c r="E138" s="368"/>
      <c r="F138" s="368"/>
      <c r="G138" s="368"/>
      <c r="H138" s="172"/>
      <c r="I138" s="172"/>
      <c r="J138" s="172"/>
      <c r="K138" s="172"/>
      <c r="L138" s="172"/>
      <c r="M138" s="172"/>
      <c r="N138" s="172"/>
      <c r="O138" s="358"/>
      <c r="P138" s="358"/>
      <c r="Q138" s="358">
        <f t="shared" si="15"/>
        <v>0</v>
      </c>
      <c r="R138" s="366" t="str">
        <f t="shared" si="13"/>
        <v/>
      </c>
      <c r="S138" s="359">
        <f t="shared" si="14"/>
        <v>0.7047720401</v>
      </c>
      <c r="T138" s="8"/>
      <c r="U138" s="8"/>
      <c r="V138" s="8"/>
      <c r="W138" s="172"/>
      <c r="X138" s="172"/>
      <c r="Y138" s="8"/>
      <c r="Z138" s="8"/>
      <c r="AA138" s="8"/>
      <c r="AB138" s="172"/>
      <c r="AC138" s="172"/>
      <c r="AD138" s="8"/>
      <c r="AE138" s="8"/>
      <c r="AF138" s="8"/>
      <c r="AG138" s="172"/>
      <c r="AH138" s="172"/>
      <c r="AI138" s="367"/>
      <c r="AJ138" s="362"/>
      <c r="AK138" s="363" t="str">
        <f>IFERROR(__xludf.DUMMYFUNCTION("IFERROR(if(D140&lt;&gt;"""", 
  AVERAGE(
    QUERY(
      IMPORTRANGE(""1-uH1wy6jSm5jYL9je6fN1K5RJ5QMvHntodEHZRtIvTk"", ""All Data!N2:U""),
      ""select Col8 where Col1 = '"" &amp; D140 &amp; ""' and Col8 is not null"",
      0
    )
  )/100,
""""),
  """"
)
"),"")</f>
        <v/>
      </c>
    </row>
    <row r="139">
      <c r="D139" s="172"/>
      <c r="E139" s="368"/>
      <c r="F139" s="368"/>
      <c r="G139" s="368"/>
      <c r="H139" s="172"/>
      <c r="I139" s="172"/>
      <c r="J139" s="172"/>
      <c r="K139" s="172"/>
      <c r="L139" s="172"/>
      <c r="M139" s="172"/>
      <c r="N139" s="172"/>
      <c r="O139" s="358"/>
      <c r="P139" s="358"/>
      <c r="Q139" s="358">
        <f t="shared" si="15"/>
        <v>0</v>
      </c>
      <c r="R139" s="366" t="str">
        <f t="shared" si="13"/>
        <v/>
      </c>
      <c r="S139" s="359">
        <f t="shared" si="14"/>
        <v>0.7047720401</v>
      </c>
      <c r="T139" s="8"/>
      <c r="U139" s="8"/>
      <c r="V139" s="8"/>
      <c r="W139" s="172"/>
      <c r="X139" s="172"/>
      <c r="Y139" s="8"/>
      <c r="Z139" s="8"/>
      <c r="AA139" s="8"/>
      <c r="AB139" s="172"/>
      <c r="AC139" s="172"/>
      <c r="AD139" s="8"/>
      <c r="AE139" s="8"/>
      <c r="AF139" s="8"/>
      <c r="AG139" s="172"/>
      <c r="AH139" s="172"/>
      <c r="AI139" s="367"/>
      <c r="AJ139" s="362"/>
      <c r="AK139" s="363" t="str">
        <f>IFERROR(__xludf.DUMMYFUNCTION("IFERROR(if(D141&lt;&gt;"""", 
  AVERAGE(
    QUERY(
      IMPORTRANGE(""1-uH1wy6jSm5jYL9je6fN1K5RJ5QMvHntodEHZRtIvTk"", ""All Data!N2:U""),
      ""select Col8 where Col1 = '"" &amp; D141 &amp; ""' and Col8 is not null"",
      0
    )
  )/100,
""""),
  """"
)
"),"")</f>
        <v/>
      </c>
    </row>
    <row r="140">
      <c r="D140" s="172"/>
      <c r="E140" s="368"/>
      <c r="F140" s="368"/>
      <c r="G140" s="368"/>
      <c r="H140" s="172"/>
      <c r="I140" s="172"/>
      <c r="J140" s="172"/>
      <c r="K140" s="172"/>
      <c r="L140" s="172"/>
      <c r="M140" s="172"/>
      <c r="N140" s="172"/>
      <c r="O140" s="358"/>
      <c r="P140" s="358"/>
      <c r="Q140" s="358">
        <f t="shared" si="15"/>
        <v>0</v>
      </c>
      <c r="R140" s="366" t="str">
        <f t="shared" si="13"/>
        <v/>
      </c>
      <c r="S140" s="359">
        <f t="shared" si="14"/>
        <v>0.7047720401</v>
      </c>
      <c r="T140" s="8"/>
      <c r="U140" s="8"/>
      <c r="V140" s="8"/>
      <c r="W140" s="172"/>
      <c r="X140" s="172"/>
      <c r="Y140" s="8"/>
      <c r="Z140" s="8"/>
      <c r="AA140" s="8"/>
      <c r="AB140" s="172"/>
      <c r="AC140" s="172"/>
      <c r="AD140" s="8"/>
      <c r="AE140" s="8"/>
      <c r="AF140" s="8"/>
      <c r="AG140" s="172"/>
      <c r="AH140" s="172"/>
      <c r="AI140" s="367"/>
      <c r="AJ140" s="362"/>
      <c r="AK140" s="363" t="str">
        <f>IFERROR(__xludf.DUMMYFUNCTION("IFERROR(if(D142&lt;&gt;"""", 
  AVERAGE(
    QUERY(
      IMPORTRANGE(""1-uH1wy6jSm5jYL9je6fN1K5RJ5QMvHntodEHZRtIvTk"", ""All Data!N2:U""),
      ""select Col8 where Col1 = '"" &amp; D142 &amp; ""' and Col8 is not null"",
      0
    )
  )/100,
""""),
  """"
)
"),"")</f>
        <v/>
      </c>
    </row>
    <row r="141">
      <c r="D141" s="172"/>
      <c r="E141" s="368"/>
      <c r="F141" s="368"/>
      <c r="G141" s="368"/>
      <c r="H141" s="172"/>
      <c r="I141" s="172"/>
      <c r="J141" s="172"/>
      <c r="K141" s="172"/>
      <c r="L141" s="172"/>
      <c r="M141" s="172"/>
      <c r="N141" s="172"/>
      <c r="O141" s="358"/>
      <c r="P141" s="358"/>
      <c r="Q141" s="358">
        <f t="shared" si="15"/>
        <v>0</v>
      </c>
      <c r="R141" s="366" t="str">
        <f t="shared" si="13"/>
        <v/>
      </c>
      <c r="S141" s="359">
        <f t="shared" si="14"/>
        <v>0.7047720401</v>
      </c>
      <c r="T141" s="8"/>
      <c r="U141" s="8"/>
      <c r="V141" s="8"/>
      <c r="W141" s="172"/>
      <c r="X141" s="172"/>
      <c r="Y141" s="8"/>
      <c r="Z141" s="8"/>
      <c r="AA141" s="8"/>
      <c r="AB141" s="172"/>
      <c r="AC141" s="172"/>
      <c r="AD141" s="8"/>
      <c r="AE141" s="8"/>
      <c r="AF141" s="8"/>
      <c r="AG141" s="172"/>
      <c r="AH141" s="172"/>
      <c r="AI141" s="367"/>
      <c r="AJ141" s="362"/>
      <c r="AK141" s="363" t="str">
        <f>IFERROR(__xludf.DUMMYFUNCTION("IFERROR(if(D143&lt;&gt;"""", 
  AVERAGE(
    QUERY(
      IMPORTRANGE(""1-uH1wy6jSm5jYL9je6fN1K5RJ5QMvHntodEHZRtIvTk"", ""All Data!N2:U""),
      ""select Col8 where Col1 = '"" &amp; D143 &amp; ""' and Col8 is not null"",
      0
    )
  )/100,
""""),
  """"
)
"),"")</f>
        <v/>
      </c>
    </row>
    <row r="142">
      <c r="D142" s="172"/>
      <c r="E142" s="368"/>
      <c r="F142" s="368"/>
      <c r="G142" s="368"/>
      <c r="H142" s="172"/>
      <c r="I142" s="172"/>
      <c r="J142" s="172"/>
      <c r="K142" s="172"/>
      <c r="L142" s="172"/>
      <c r="M142" s="172"/>
      <c r="N142" s="172"/>
      <c r="O142" s="358"/>
      <c r="P142" s="358"/>
      <c r="Q142" s="358">
        <f t="shared" si="15"/>
        <v>0</v>
      </c>
      <c r="R142" s="366" t="str">
        <f t="shared" si="13"/>
        <v/>
      </c>
      <c r="S142" s="359">
        <f t="shared" si="14"/>
        <v>0.7047720401</v>
      </c>
      <c r="T142" s="8"/>
      <c r="U142" s="8"/>
      <c r="V142" s="8"/>
      <c r="W142" s="172"/>
      <c r="X142" s="172"/>
      <c r="Y142" s="8"/>
      <c r="Z142" s="8"/>
      <c r="AA142" s="8"/>
      <c r="AB142" s="172"/>
      <c r="AC142" s="172"/>
      <c r="AD142" s="8"/>
      <c r="AE142" s="8"/>
      <c r="AF142" s="8"/>
      <c r="AG142" s="172"/>
      <c r="AH142" s="172"/>
      <c r="AI142" s="367"/>
      <c r="AJ142" s="362"/>
      <c r="AK142" s="363" t="str">
        <f>IFERROR(__xludf.DUMMYFUNCTION("IFERROR(if(D144&lt;&gt;"""", 
  AVERAGE(
    QUERY(
      IMPORTRANGE(""1-uH1wy6jSm5jYL9je6fN1K5RJ5QMvHntodEHZRtIvTk"", ""All Data!N2:U""),
      ""select Col8 where Col1 = '"" &amp; D144 &amp; ""' and Col8 is not null"",
      0
    )
  )/100,
""""),
  """"
)
"),"")</f>
        <v/>
      </c>
    </row>
    <row r="143">
      <c r="D143" s="172"/>
      <c r="E143" s="368"/>
      <c r="F143" s="368"/>
      <c r="G143" s="368"/>
      <c r="H143" s="172"/>
      <c r="I143" s="172"/>
      <c r="J143" s="172"/>
      <c r="K143" s="172"/>
      <c r="L143" s="172"/>
      <c r="M143" s="172"/>
      <c r="N143" s="172"/>
      <c r="O143" s="358"/>
      <c r="P143" s="358"/>
      <c r="Q143" s="358">
        <f t="shared" si="15"/>
        <v>0</v>
      </c>
      <c r="R143" s="366" t="str">
        <f t="shared" si="13"/>
        <v/>
      </c>
      <c r="S143" s="359">
        <f t="shared" si="14"/>
        <v>0.7047720401</v>
      </c>
      <c r="T143" s="8"/>
      <c r="U143" s="8"/>
      <c r="V143" s="8"/>
      <c r="W143" s="172"/>
      <c r="X143" s="172"/>
      <c r="Y143" s="8"/>
      <c r="Z143" s="8"/>
      <c r="AA143" s="8"/>
      <c r="AB143" s="172"/>
      <c r="AC143" s="172"/>
      <c r="AD143" s="8"/>
      <c r="AE143" s="8"/>
      <c r="AF143" s="8"/>
      <c r="AG143" s="172"/>
      <c r="AH143" s="172"/>
      <c r="AI143" s="367"/>
      <c r="AJ143" s="362"/>
      <c r="AK143" s="363" t="str">
        <f>IFERROR(__xludf.DUMMYFUNCTION("IFERROR(if(D145&lt;&gt;"""", 
  AVERAGE(
    QUERY(
      IMPORTRANGE(""1-uH1wy6jSm5jYL9je6fN1K5RJ5QMvHntodEHZRtIvTk"", ""All Data!N2:U""),
      ""select Col8 where Col1 = '"" &amp; D145 &amp; ""' and Col8 is not null"",
      0
    )
  )/100,
""""),
  """"
)
"),"")</f>
        <v/>
      </c>
    </row>
    <row r="144">
      <c r="D144" s="172"/>
      <c r="E144" s="368"/>
      <c r="F144" s="368"/>
      <c r="G144" s="368"/>
      <c r="H144" s="172"/>
      <c r="I144" s="172"/>
      <c r="J144" s="172"/>
      <c r="K144" s="172"/>
      <c r="L144" s="172"/>
      <c r="M144" s="172"/>
      <c r="N144" s="172"/>
      <c r="O144" s="358"/>
      <c r="P144" s="358"/>
      <c r="Q144" s="358">
        <f t="shared" si="15"/>
        <v>0</v>
      </c>
      <c r="R144" s="366" t="str">
        <f t="shared" si="13"/>
        <v/>
      </c>
      <c r="S144" s="359">
        <f t="shared" si="14"/>
        <v>0.7047720401</v>
      </c>
      <c r="T144" s="8"/>
      <c r="U144" s="8"/>
      <c r="V144" s="8"/>
      <c r="W144" s="172"/>
      <c r="X144" s="172"/>
      <c r="Y144" s="8"/>
      <c r="Z144" s="8"/>
      <c r="AA144" s="8"/>
      <c r="AB144" s="172"/>
      <c r="AC144" s="172"/>
      <c r="AD144" s="8"/>
      <c r="AE144" s="8"/>
      <c r="AF144" s="8"/>
      <c r="AG144" s="172"/>
      <c r="AH144" s="172"/>
      <c r="AI144" s="367"/>
      <c r="AJ144" s="362"/>
      <c r="AK144" s="363" t="str">
        <f>IFERROR(__xludf.DUMMYFUNCTION("IFERROR(if(D146&lt;&gt;"""", 
  AVERAGE(
    QUERY(
      IMPORTRANGE(""1-uH1wy6jSm5jYL9je6fN1K5RJ5QMvHntodEHZRtIvTk"", ""All Data!N2:U""),
      ""select Col8 where Col1 = '"" &amp; D146 &amp; ""' and Col8 is not null"",
      0
    )
  )/100,
""""),
  """"
)
"),"")</f>
        <v/>
      </c>
    </row>
    <row r="145">
      <c r="D145" s="172"/>
      <c r="E145" s="368"/>
      <c r="F145" s="368"/>
      <c r="G145" s="368"/>
      <c r="H145" s="172"/>
      <c r="I145" s="172"/>
      <c r="J145" s="172"/>
      <c r="K145" s="172"/>
      <c r="L145" s="172"/>
      <c r="M145" s="172"/>
      <c r="N145" s="172"/>
      <c r="O145" s="358"/>
      <c r="P145" s="358"/>
      <c r="Q145" s="358">
        <f t="shared" si="15"/>
        <v>0</v>
      </c>
      <c r="R145" s="366" t="str">
        <f t="shared" si="13"/>
        <v/>
      </c>
      <c r="S145" s="359">
        <f t="shared" si="14"/>
        <v>0.7047720401</v>
      </c>
      <c r="T145" s="8"/>
      <c r="U145" s="8"/>
      <c r="V145" s="8"/>
      <c r="W145" s="172"/>
      <c r="X145" s="172"/>
      <c r="Y145" s="8"/>
      <c r="Z145" s="8"/>
      <c r="AA145" s="8"/>
      <c r="AB145" s="172"/>
      <c r="AC145" s="172"/>
      <c r="AD145" s="8"/>
      <c r="AE145" s="8"/>
      <c r="AF145" s="8"/>
      <c r="AG145" s="172"/>
      <c r="AH145" s="172"/>
      <c r="AI145" s="367"/>
      <c r="AJ145" s="362"/>
      <c r="AK145" s="363" t="str">
        <f>IFERROR(__xludf.DUMMYFUNCTION("IFERROR(if(D147&lt;&gt;"""", 
  AVERAGE(
    QUERY(
      IMPORTRANGE(""1-uH1wy6jSm5jYL9je6fN1K5RJ5QMvHntodEHZRtIvTk"", ""All Data!N2:U""),
      ""select Col8 where Col1 = '"" &amp; D147 &amp; ""' and Col8 is not null"",
      0
    )
  )/100,
""""),
  """"
)
"),"")</f>
        <v/>
      </c>
    </row>
    <row r="146">
      <c r="D146" s="172"/>
      <c r="E146" s="368"/>
      <c r="F146" s="368"/>
      <c r="G146" s="368"/>
      <c r="H146" s="172"/>
      <c r="I146" s="172"/>
      <c r="J146" s="172"/>
      <c r="K146" s="172"/>
      <c r="L146" s="172"/>
      <c r="M146" s="172"/>
      <c r="N146" s="172"/>
      <c r="O146" s="358"/>
      <c r="P146" s="358"/>
      <c r="Q146" s="358">
        <f t="shared" si="15"/>
        <v>0</v>
      </c>
      <c r="R146" s="366" t="str">
        <f t="shared" si="13"/>
        <v/>
      </c>
      <c r="S146" s="359">
        <f t="shared" si="14"/>
        <v>0.7047720401</v>
      </c>
      <c r="T146" s="8"/>
      <c r="U146" s="8"/>
      <c r="V146" s="8"/>
      <c r="W146" s="172"/>
      <c r="X146" s="172"/>
      <c r="Y146" s="8"/>
      <c r="Z146" s="8"/>
      <c r="AA146" s="8"/>
      <c r="AB146" s="172"/>
      <c r="AC146" s="172"/>
      <c r="AD146" s="8"/>
      <c r="AE146" s="8"/>
      <c r="AF146" s="8"/>
      <c r="AG146" s="172"/>
      <c r="AH146" s="172"/>
      <c r="AI146" s="367"/>
      <c r="AJ146" s="362"/>
      <c r="AK146" s="363" t="str">
        <f>IFERROR(__xludf.DUMMYFUNCTION("IFERROR(if(D148&lt;&gt;"""", 
  AVERAGE(
    QUERY(
      IMPORTRANGE(""1-uH1wy6jSm5jYL9je6fN1K5RJ5QMvHntodEHZRtIvTk"", ""All Data!N2:U""),
      ""select Col8 where Col1 = '"" &amp; D148 &amp; ""' and Col8 is not null"",
      0
    )
  )/100,
""""),
  """"
)
"),"")</f>
        <v/>
      </c>
    </row>
    <row r="147">
      <c r="D147" s="172"/>
      <c r="E147" s="368"/>
      <c r="F147" s="368"/>
      <c r="G147" s="368"/>
      <c r="H147" s="172"/>
      <c r="I147" s="172"/>
      <c r="J147" s="172"/>
      <c r="K147" s="172"/>
      <c r="L147" s="172"/>
      <c r="M147" s="172"/>
      <c r="N147" s="172"/>
      <c r="O147" s="358"/>
      <c r="P147" s="358"/>
      <c r="Q147" s="358">
        <f t="shared" si="15"/>
        <v>0</v>
      </c>
      <c r="R147" s="366" t="str">
        <f t="shared" si="13"/>
        <v/>
      </c>
      <c r="S147" s="359">
        <f t="shared" si="14"/>
        <v>0.7047720401</v>
      </c>
      <c r="T147" s="8"/>
      <c r="U147" s="8"/>
      <c r="V147" s="8"/>
      <c r="W147" s="172"/>
      <c r="X147" s="172"/>
      <c r="Y147" s="8"/>
      <c r="Z147" s="8"/>
      <c r="AA147" s="8"/>
      <c r="AB147" s="172"/>
      <c r="AC147" s="172"/>
      <c r="AD147" s="8"/>
      <c r="AE147" s="8"/>
      <c r="AF147" s="8"/>
      <c r="AG147" s="172"/>
      <c r="AH147" s="172"/>
      <c r="AI147" s="367"/>
      <c r="AJ147" s="362"/>
      <c r="AK147" s="363" t="str">
        <f>IFERROR(__xludf.DUMMYFUNCTION("IFERROR(if(D149&lt;&gt;"""", 
  AVERAGE(
    QUERY(
      IMPORTRANGE(""1-uH1wy6jSm5jYL9je6fN1K5RJ5QMvHntodEHZRtIvTk"", ""All Data!N2:U""),
      ""select Col8 where Col1 = '"" &amp; D149 &amp; ""' and Col8 is not null"",
      0
    )
  )/100,
""""),
  """"
)
"),"")</f>
        <v/>
      </c>
    </row>
    <row r="148">
      <c r="D148" s="172"/>
      <c r="E148" s="368"/>
      <c r="F148" s="368"/>
      <c r="G148" s="368"/>
      <c r="H148" s="172"/>
      <c r="I148" s="172"/>
      <c r="J148" s="172"/>
      <c r="K148" s="172"/>
      <c r="L148" s="172"/>
      <c r="M148" s="172"/>
      <c r="N148" s="172"/>
      <c r="O148" s="358"/>
      <c r="P148" s="358"/>
      <c r="Q148" s="358">
        <f t="shared" si="15"/>
        <v>0</v>
      </c>
      <c r="R148" s="366" t="str">
        <f t="shared" si="13"/>
        <v/>
      </c>
      <c r="S148" s="359">
        <f t="shared" si="14"/>
        <v>0.7047720401</v>
      </c>
      <c r="T148" s="8"/>
      <c r="U148" s="8"/>
      <c r="V148" s="8"/>
      <c r="W148" s="172"/>
      <c r="X148" s="172"/>
      <c r="Y148" s="8"/>
      <c r="Z148" s="8"/>
      <c r="AA148" s="8"/>
      <c r="AB148" s="172"/>
      <c r="AC148" s="172"/>
      <c r="AD148" s="8"/>
      <c r="AE148" s="8"/>
      <c r="AF148" s="8"/>
      <c r="AG148" s="172"/>
      <c r="AH148" s="172"/>
      <c r="AI148" s="367"/>
      <c r="AJ148" s="362"/>
      <c r="AK148" s="363" t="str">
        <f>IFERROR(__xludf.DUMMYFUNCTION("IFERROR(if(D150&lt;&gt;"""", 
  AVERAGE(
    QUERY(
      IMPORTRANGE(""1-uH1wy6jSm5jYL9je6fN1K5RJ5QMvHntodEHZRtIvTk"", ""All Data!N2:U""),
      ""select Col8 where Col1 = '"" &amp; D150 &amp; ""' and Col8 is not null"",
      0
    )
  )/100,
""""),
  """"
)
"),"")</f>
        <v/>
      </c>
    </row>
    <row r="149">
      <c r="D149" s="172"/>
      <c r="E149" s="368"/>
      <c r="F149" s="368"/>
      <c r="G149" s="368"/>
      <c r="H149" s="172"/>
      <c r="I149" s="172"/>
      <c r="J149" s="172"/>
      <c r="K149" s="172"/>
      <c r="L149" s="172"/>
      <c r="M149" s="172"/>
      <c r="N149" s="172"/>
      <c r="O149" s="358"/>
      <c r="P149" s="358"/>
      <c r="Q149" s="358">
        <f t="shared" si="15"/>
        <v>0</v>
      </c>
      <c r="R149" s="366" t="str">
        <f t="shared" si="13"/>
        <v/>
      </c>
      <c r="S149" s="359">
        <f t="shared" si="14"/>
        <v>0.7047720401</v>
      </c>
      <c r="T149" s="8"/>
      <c r="U149" s="8"/>
      <c r="V149" s="8"/>
      <c r="W149" s="172"/>
      <c r="X149" s="172"/>
      <c r="Y149" s="8"/>
      <c r="Z149" s="8"/>
      <c r="AA149" s="8"/>
      <c r="AB149" s="172"/>
      <c r="AC149" s="172"/>
      <c r="AD149" s="8"/>
      <c r="AE149" s="8"/>
      <c r="AF149" s="8"/>
      <c r="AG149" s="172"/>
      <c r="AH149" s="172"/>
      <c r="AI149" s="367"/>
      <c r="AJ149" s="362"/>
      <c r="AK149" s="363" t="str">
        <f>IFERROR(__xludf.DUMMYFUNCTION("IFERROR(if(D151&lt;&gt;"""", 
  AVERAGE(
    QUERY(
      IMPORTRANGE(""1-uH1wy6jSm5jYL9je6fN1K5RJ5QMvHntodEHZRtIvTk"", ""All Data!N2:U""),
      ""select Col8 where Col1 = '"" &amp; D151 &amp; ""' and Col8 is not null"",
      0
    )
  )/100,
""""),
  """"
)
"),"")</f>
        <v/>
      </c>
    </row>
    <row r="150">
      <c r="D150" s="172"/>
      <c r="E150" s="368"/>
      <c r="F150" s="368"/>
      <c r="G150" s="368"/>
      <c r="H150" s="172"/>
      <c r="I150" s="172"/>
      <c r="J150" s="172"/>
      <c r="K150" s="172"/>
      <c r="L150" s="172"/>
      <c r="M150" s="172"/>
      <c r="N150" s="172"/>
      <c r="O150" s="358"/>
      <c r="P150" s="358"/>
      <c r="Q150" s="358">
        <f t="shared" si="15"/>
        <v>0</v>
      </c>
      <c r="R150" s="366" t="str">
        <f t="shared" si="13"/>
        <v/>
      </c>
      <c r="S150" s="359">
        <f t="shared" si="14"/>
        <v>0.7047720401</v>
      </c>
      <c r="T150" s="8"/>
      <c r="U150" s="8"/>
      <c r="V150" s="8"/>
      <c r="W150" s="172"/>
      <c r="X150" s="172"/>
      <c r="Y150" s="8"/>
      <c r="Z150" s="8"/>
      <c r="AA150" s="8"/>
      <c r="AB150" s="172"/>
      <c r="AC150" s="172"/>
      <c r="AD150" s="8"/>
      <c r="AE150" s="8"/>
      <c r="AF150" s="8"/>
      <c r="AG150" s="172"/>
      <c r="AH150" s="172"/>
      <c r="AI150" s="367"/>
      <c r="AJ150" s="362"/>
      <c r="AK150" s="363" t="str">
        <f>IFERROR(__xludf.DUMMYFUNCTION("IFERROR(if(D152&lt;&gt;"""", 
  AVERAGE(
    QUERY(
      IMPORTRANGE(""1-uH1wy6jSm5jYL9je6fN1K5RJ5QMvHntodEHZRtIvTk"", ""All Data!N2:U""),
      ""select Col8 where Col1 = '"" &amp; D152 &amp; ""' and Col8 is not null"",
      0
    )
  )/100,
""""),
  """"
)
"),"")</f>
        <v/>
      </c>
    </row>
    <row r="151">
      <c r="D151" s="172"/>
      <c r="E151" s="368"/>
      <c r="F151" s="368"/>
      <c r="G151" s="368"/>
      <c r="H151" s="172"/>
      <c r="I151" s="172"/>
      <c r="J151" s="172"/>
      <c r="K151" s="172"/>
      <c r="L151" s="172"/>
      <c r="M151" s="172"/>
      <c r="N151" s="172"/>
      <c r="O151" s="358"/>
      <c r="P151" s="358"/>
      <c r="Q151" s="358">
        <f t="shared" si="15"/>
        <v>0</v>
      </c>
      <c r="R151" s="366" t="str">
        <f t="shared" si="13"/>
        <v/>
      </c>
      <c r="S151" s="359">
        <f t="shared" si="14"/>
        <v>0.7047720401</v>
      </c>
      <c r="T151" s="8"/>
      <c r="U151" s="8"/>
      <c r="V151" s="8"/>
      <c r="W151" s="172"/>
      <c r="X151" s="172"/>
      <c r="Y151" s="8"/>
      <c r="Z151" s="8"/>
      <c r="AA151" s="8"/>
      <c r="AB151" s="172"/>
      <c r="AC151" s="172"/>
      <c r="AD151" s="8"/>
      <c r="AE151" s="8"/>
      <c r="AF151" s="8"/>
      <c r="AG151" s="172"/>
      <c r="AH151" s="172"/>
      <c r="AI151" s="367"/>
      <c r="AJ151" s="362"/>
      <c r="AK151" s="363" t="str">
        <f>IFERROR(__xludf.DUMMYFUNCTION("IFERROR(if(D153&lt;&gt;"""", 
  AVERAGE(
    QUERY(
      IMPORTRANGE(""1-uH1wy6jSm5jYL9je6fN1K5RJ5QMvHntodEHZRtIvTk"", ""All Data!N2:U""),
      ""select Col8 where Col1 = '"" &amp; D153 &amp; ""' and Col8 is not null"",
      0
    )
  )/100,
""""),
  """"
)
"),"")</f>
        <v/>
      </c>
    </row>
    <row r="152">
      <c r="D152" s="172"/>
      <c r="E152" s="368"/>
      <c r="F152" s="368"/>
      <c r="G152" s="368"/>
      <c r="H152" s="172"/>
      <c r="I152" s="172"/>
      <c r="J152" s="172"/>
      <c r="K152" s="172"/>
      <c r="L152" s="172"/>
      <c r="M152" s="172"/>
      <c r="N152" s="172"/>
      <c r="O152" s="358"/>
      <c r="P152" s="358"/>
      <c r="Q152" s="358">
        <f t="shared" si="15"/>
        <v>0</v>
      </c>
      <c r="R152" s="366" t="str">
        <f t="shared" si="13"/>
        <v/>
      </c>
      <c r="S152" s="359">
        <f t="shared" si="14"/>
        <v>0.7047720401</v>
      </c>
      <c r="T152" s="8"/>
      <c r="U152" s="8"/>
      <c r="V152" s="8"/>
      <c r="W152" s="172"/>
      <c r="X152" s="172"/>
      <c r="Y152" s="8"/>
      <c r="Z152" s="8"/>
      <c r="AA152" s="8"/>
      <c r="AB152" s="172"/>
      <c r="AC152" s="172"/>
      <c r="AD152" s="8"/>
      <c r="AE152" s="8"/>
      <c r="AF152" s="8"/>
      <c r="AG152" s="172"/>
      <c r="AH152" s="172"/>
      <c r="AI152" s="367"/>
      <c r="AJ152" s="362"/>
      <c r="AK152" s="363" t="str">
        <f>IFERROR(__xludf.DUMMYFUNCTION("IFERROR(if(D154&lt;&gt;"""", 
  AVERAGE(
    QUERY(
      IMPORTRANGE(""1-uH1wy6jSm5jYL9je6fN1K5RJ5QMvHntodEHZRtIvTk"", ""All Data!N2:U""),
      ""select Col8 where Col1 = '"" &amp; D154 &amp; ""' and Col8 is not null"",
      0
    )
  )/100,
""""),
  """"
)
"),"")</f>
        <v/>
      </c>
    </row>
    <row r="153">
      <c r="D153" s="172"/>
      <c r="E153" s="368"/>
      <c r="F153" s="368"/>
      <c r="G153" s="368"/>
      <c r="H153" s="172"/>
      <c r="I153" s="172"/>
      <c r="J153" s="172"/>
      <c r="K153" s="172"/>
      <c r="L153" s="172"/>
      <c r="M153" s="172"/>
      <c r="N153" s="172"/>
      <c r="O153" s="358"/>
      <c r="P153" s="358"/>
      <c r="Q153" s="358">
        <f t="shared" si="15"/>
        <v>0</v>
      </c>
      <c r="R153" s="366" t="str">
        <f t="shared" si="13"/>
        <v/>
      </c>
      <c r="S153" s="359">
        <f t="shared" si="14"/>
        <v>0.7047720401</v>
      </c>
      <c r="T153" s="8"/>
      <c r="U153" s="8"/>
      <c r="V153" s="8"/>
      <c r="W153" s="172"/>
      <c r="X153" s="172"/>
      <c r="Y153" s="8"/>
      <c r="Z153" s="8"/>
      <c r="AA153" s="8"/>
      <c r="AB153" s="172"/>
      <c r="AC153" s="172"/>
      <c r="AD153" s="8"/>
      <c r="AE153" s="8"/>
      <c r="AF153" s="8"/>
      <c r="AG153" s="172"/>
      <c r="AH153" s="172"/>
      <c r="AI153" s="367"/>
      <c r="AJ153" s="362"/>
      <c r="AK153" s="363" t="str">
        <f>IFERROR(__xludf.DUMMYFUNCTION("IFERROR(if(D155&lt;&gt;"""", 
  AVERAGE(
    QUERY(
      IMPORTRANGE(""1-uH1wy6jSm5jYL9je6fN1K5RJ5QMvHntodEHZRtIvTk"", ""All Data!N2:U""),
      ""select Col8 where Col1 = '"" &amp; D155 &amp; ""' and Col8 is not null"",
      0
    )
  )/100,
""""),
  """"
)
"),"")</f>
        <v/>
      </c>
    </row>
    <row r="154">
      <c r="D154" s="172"/>
      <c r="E154" s="368"/>
      <c r="F154" s="368"/>
      <c r="G154" s="368"/>
      <c r="H154" s="172"/>
      <c r="I154" s="172"/>
      <c r="J154" s="172"/>
      <c r="K154" s="172"/>
      <c r="L154" s="172"/>
      <c r="M154" s="172"/>
      <c r="N154" s="172"/>
      <c r="O154" s="358"/>
      <c r="P154" s="358"/>
      <c r="Q154" s="358">
        <f t="shared" si="15"/>
        <v>0</v>
      </c>
      <c r="R154" s="366" t="str">
        <f t="shared" si="13"/>
        <v/>
      </c>
      <c r="S154" s="359">
        <f t="shared" si="14"/>
        <v>0.7047720401</v>
      </c>
      <c r="T154" s="8"/>
      <c r="U154" s="8"/>
      <c r="V154" s="8"/>
      <c r="W154" s="172"/>
      <c r="X154" s="172"/>
      <c r="Y154" s="8"/>
      <c r="Z154" s="8"/>
      <c r="AA154" s="8"/>
      <c r="AB154" s="172"/>
      <c r="AC154" s="172"/>
      <c r="AD154" s="8"/>
      <c r="AE154" s="8"/>
      <c r="AF154" s="8"/>
      <c r="AG154" s="172"/>
      <c r="AH154" s="172"/>
      <c r="AI154" s="367"/>
      <c r="AJ154" s="362"/>
      <c r="AK154" s="363" t="str">
        <f>IFERROR(__xludf.DUMMYFUNCTION("IFERROR(if(D156&lt;&gt;"""", 
  AVERAGE(
    QUERY(
      IMPORTRANGE(""1-uH1wy6jSm5jYL9je6fN1K5RJ5QMvHntodEHZRtIvTk"", ""All Data!N2:U""),
      ""select Col8 where Col1 = '"" &amp; D156 &amp; ""' and Col8 is not null"",
      0
    )
  )/100,
""""),
  """"
)
"),"")</f>
        <v/>
      </c>
    </row>
    <row r="155">
      <c r="D155" s="172"/>
      <c r="E155" s="368"/>
      <c r="F155" s="368"/>
      <c r="G155" s="368"/>
      <c r="H155" s="172"/>
      <c r="I155" s="172"/>
      <c r="J155" s="172"/>
      <c r="K155" s="172"/>
      <c r="L155" s="172"/>
      <c r="M155" s="172"/>
      <c r="N155" s="172"/>
      <c r="O155" s="358"/>
      <c r="P155" s="358"/>
      <c r="Q155" s="358">
        <f t="shared" si="15"/>
        <v>0</v>
      </c>
      <c r="R155" s="366" t="str">
        <f t="shared" si="13"/>
        <v/>
      </c>
      <c r="S155" s="359">
        <f t="shared" si="14"/>
        <v>0.7047720401</v>
      </c>
      <c r="T155" s="8"/>
      <c r="U155" s="8"/>
      <c r="V155" s="8"/>
      <c r="W155" s="172"/>
      <c r="X155" s="172"/>
      <c r="Y155" s="8"/>
      <c r="Z155" s="8"/>
      <c r="AA155" s="8"/>
      <c r="AB155" s="172"/>
      <c r="AC155" s="172"/>
      <c r="AD155" s="8"/>
      <c r="AE155" s="8"/>
      <c r="AF155" s="8"/>
      <c r="AG155" s="172"/>
      <c r="AH155" s="172"/>
      <c r="AI155" s="367"/>
      <c r="AJ155" s="362"/>
      <c r="AK155" s="363" t="str">
        <f>IFERROR(__xludf.DUMMYFUNCTION("IFERROR(if(D157&lt;&gt;"""", 
  AVERAGE(
    QUERY(
      IMPORTRANGE(""1-uH1wy6jSm5jYL9je6fN1K5RJ5QMvHntodEHZRtIvTk"", ""All Data!N2:U""),
      ""select Col8 where Col1 = '"" &amp; D157 &amp; ""' and Col8 is not null"",
      0
    )
  )/100,
""""),
  """"
)
"),"")</f>
        <v/>
      </c>
    </row>
    <row r="156">
      <c r="D156" s="172"/>
      <c r="E156" s="368"/>
      <c r="F156" s="368"/>
      <c r="G156" s="368"/>
      <c r="H156" s="172"/>
      <c r="I156" s="172"/>
      <c r="J156" s="172"/>
      <c r="K156" s="172"/>
      <c r="L156" s="172"/>
      <c r="M156" s="172"/>
      <c r="N156" s="172"/>
      <c r="O156" s="358"/>
      <c r="P156" s="358"/>
      <c r="Q156" s="358">
        <f t="shared" si="15"/>
        <v>0</v>
      </c>
      <c r="R156" s="366" t="str">
        <f t="shared" si="13"/>
        <v/>
      </c>
      <c r="S156" s="359">
        <f t="shared" si="14"/>
        <v>0.7047720401</v>
      </c>
      <c r="T156" s="8"/>
      <c r="U156" s="8"/>
      <c r="V156" s="8"/>
      <c r="W156" s="172"/>
      <c r="X156" s="172"/>
      <c r="Y156" s="8"/>
      <c r="Z156" s="8"/>
      <c r="AA156" s="8"/>
      <c r="AB156" s="172"/>
      <c r="AC156" s="172"/>
      <c r="AD156" s="8"/>
      <c r="AE156" s="8"/>
      <c r="AF156" s="8"/>
      <c r="AG156" s="172"/>
      <c r="AH156" s="172"/>
      <c r="AI156" s="367"/>
      <c r="AJ156" s="362"/>
      <c r="AK156" s="363" t="str">
        <f>IFERROR(__xludf.DUMMYFUNCTION("IFERROR(if(D158&lt;&gt;"""", 
  AVERAGE(
    QUERY(
      IMPORTRANGE(""1-uH1wy6jSm5jYL9je6fN1K5RJ5QMvHntodEHZRtIvTk"", ""All Data!N2:U""),
      ""select Col8 where Col1 = '"" &amp; D158 &amp; ""' and Col8 is not null"",
      0
    )
  )/100,
""""),
  """"
)
"),"")</f>
        <v/>
      </c>
    </row>
    <row r="157">
      <c r="D157" s="172"/>
      <c r="E157" s="368"/>
      <c r="F157" s="368"/>
      <c r="G157" s="368"/>
      <c r="H157" s="172"/>
      <c r="I157" s="172"/>
      <c r="J157" s="172"/>
      <c r="K157" s="172"/>
      <c r="L157" s="172"/>
      <c r="M157" s="172"/>
      <c r="N157" s="172"/>
      <c r="O157" s="358"/>
      <c r="P157" s="358"/>
      <c r="Q157" s="358">
        <f t="shared" si="15"/>
        <v>0</v>
      </c>
      <c r="R157" s="366" t="str">
        <f t="shared" si="13"/>
        <v/>
      </c>
      <c r="S157" s="359">
        <f t="shared" si="14"/>
        <v>0.7047720401</v>
      </c>
      <c r="T157" s="8"/>
      <c r="U157" s="8"/>
      <c r="V157" s="8"/>
      <c r="W157" s="172"/>
      <c r="X157" s="172"/>
      <c r="Y157" s="8"/>
      <c r="Z157" s="8"/>
      <c r="AA157" s="8"/>
      <c r="AB157" s="172"/>
      <c r="AC157" s="172"/>
      <c r="AD157" s="8"/>
      <c r="AE157" s="8"/>
      <c r="AF157" s="8"/>
      <c r="AG157" s="172"/>
      <c r="AH157" s="172"/>
      <c r="AI157" s="367"/>
      <c r="AJ157" s="362"/>
      <c r="AK157" s="363" t="str">
        <f>IFERROR(__xludf.DUMMYFUNCTION("IFERROR(if(D159&lt;&gt;"""", 
  AVERAGE(
    QUERY(
      IMPORTRANGE(""1-uH1wy6jSm5jYL9je6fN1K5RJ5QMvHntodEHZRtIvTk"", ""All Data!N2:U""),
      ""select Col8 where Col1 = '"" &amp; D159 &amp; ""' and Col8 is not null"",
      0
    )
  )/100,
""""),
  """"
)
"),"")</f>
        <v/>
      </c>
    </row>
    <row r="158">
      <c r="D158" s="172"/>
      <c r="E158" s="368"/>
      <c r="F158" s="368"/>
      <c r="G158" s="368"/>
      <c r="H158" s="172"/>
      <c r="I158" s="172"/>
      <c r="J158" s="172"/>
      <c r="K158" s="172"/>
      <c r="L158" s="172"/>
      <c r="M158" s="172"/>
      <c r="N158" s="172"/>
      <c r="O158" s="358"/>
      <c r="P158" s="358"/>
      <c r="Q158" s="358">
        <f t="shared" si="15"/>
        <v>0</v>
      </c>
      <c r="R158" s="366" t="str">
        <f t="shared" si="13"/>
        <v/>
      </c>
      <c r="S158" s="359">
        <f t="shared" si="14"/>
        <v>0.7047720401</v>
      </c>
      <c r="T158" s="8"/>
      <c r="U158" s="8"/>
      <c r="V158" s="8"/>
      <c r="W158" s="172"/>
      <c r="X158" s="172"/>
      <c r="Y158" s="8"/>
      <c r="Z158" s="8"/>
      <c r="AA158" s="8"/>
      <c r="AB158" s="172"/>
      <c r="AC158" s="172"/>
      <c r="AD158" s="8"/>
      <c r="AE158" s="8"/>
      <c r="AF158" s="8"/>
      <c r="AG158" s="172"/>
      <c r="AH158" s="172"/>
      <c r="AI158" s="367"/>
      <c r="AJ158" s="362"/>
      <c r="AK158" s="363" t="str">
        <f>IFERROR(__xludf.DUMMYFUNCTION("IFERROR(if(D160&lt;&gt;"""", 
  AVERAGE(
    QUERY(
      IMPORTRANGE(""1-uH1wy6jSm5jYL9je6fN1K5RJ5QMvHntodEHZRtIvTk"", ""All Data!N2:U""),
      ""select Col8 where Col1 = '"" &amp; D160 &amp; ""' and Col8 is not null"",
      0
    )
  )/100,
""""),
  """"
)
"),"")</f>
        <v/>
      </c>
    </row>
    <row r="159">
      <c r="D159" s="172"/>
      <c r="E159" s="368"/>
      <c r="F159" s="368"/>
      <c r="G159" s="368"/>
      <c r="H159" s="172"/>
      <c r="I159" s="172"/>
      <c r="J159" s="172"/>
      <c r="K159" s="172"/>
      <c r="L159" s="172"/>
      <c r="M159" s="172"/>
      <c r="N159" s="172"/>
      <c r="O159" s="358"/>
      <c r="P159" s="358"/>
      <c r="Q159" s="358">
        <f t="shared" si="15"/>
        <v>0</v>
      </c>
      <c r="R159" s="366" t="str">
        <f t="shared" si="13"/>
        <v/>
      </c>
      <c r="S159" s="359">
        <f t="shared" si="14"/>
        <v>0.7047720401</v>
      </c>
      <c r="T159" s="8"/>
      <c r="U159" s="8"/>
      <c r="V159" s="8"/>
      <c r="W159" s="172"/>
      <c r="X159" s="172"/>
      <c r="Y159" s="8"/>
      <c r="Z159" s="8"/>
      <c r="AA159" s="8"/>
      <c r="AB159" s="172"/>
      <c r="AC159" s="172"/>
      <c r="AD159" s="8"/>
      <c r="AE159" s="8"/>
      <c r="AF159" s="8"/>
      <c r="AG159" s="172"/>
      <c r="AH159" s="172"/>
      <c r="AI159" s="367"/>
      <c r="AJ159" s="362"/>
      <c r="AK159" s="363" t="str">
        <f>IFERROR(__xludf.DUMMYFUNCTION("IFERROR(if(D161&lt;&gt;"""", 
  AVERAGE(
    QUERY(
      IMPORTRANGE(""1-uH1wy6jSm5jYL9je6fN1K5RJ5QMvHntodEHZRtIvTk"", ""All Data!N2:U""),
      ""select Col8 where Col1 = '"" &amp; D161 &amp; ""' and Col8 is not null"",
      0
    )
  )/100,
""""),
  """"
)
"),"")</f>
        <v/>
      </c>
    </row>
    <row r="160">
      <c r="D160" s="172"/>
      <c r="E160" s="368"/>
      <c r="F160" s="368"/>
      <c r="G160" s="368"/>
      <c r="H160" s="172"/>
      <c r="I160" s="172"/>
      <c r="J160" s="172"/>
      <c r="K160" s="172"/>
      <c r="L160" s="172"/>
      <c r="M160" s="172"/>
      <c r="N160" s="172"/>
      <c r="O160" s="358"/>
      <c r="P160" s="358"/>
      <c r="Q160" s="358">
        <f t="shared" si="15"/>
        <v>0</v>
      </c>
      <c r="R160" s="366" t="str">
        <f t="shared" si="13"/>
        <v/>
      </c>
      <c r="S160" s="359">
        <f t="shared" si="14"/>
        <v>0.7047720401</v>
      </c>
      <c r="T160" s="8"/>
      <c r="U160" s="8"/>
      <c r="V160" s="8"/>
      <c r="W160" s="172"/>
      <c r="X160" s="172"/>
      <c r="Y160" s="8"/>
      <c r="Z160" s="8"/>
      <c r="AA160" s="8"/>
      <c r="AB160" s="172"/>
      <c r="AC160" s="172"/>
      <c r="AD160" s="8"/>
      <c r="AE160" s="8"/>
      <c r="AF160" s="8"/>
      <c r="AG160" s="172"/>
      <c r="AH160" s="172"/>
      <c r="AI160" s="367"/>
      <c r="AJ160" s="362"/>
      <c r="AK160" s="363" t="str">
        <f>IFERROR(__xludf.DUMMYFUNCTION("IFERROR(if(D162&lt;&gt;"""", 
  AVERAGE(
    QUERY(
      IMPORTRANGE(""1-uH1wy6jSm5jYL9je6fN1K5RJ5QMvHntodEHZRtIvTk"", ""All Data!N2:U""),
      ""select Col8 where Col1 = '"" &amp; D162 &amp; ""' and Col8 is not null"",
      0
    )
  )/100,
""""),
  """"
)
"),"")</f>
        <v/>
      </c>
    </row>
    <row r="161">
      <c r="D161" s="172"/>
      <c r="E161" s="368"/>
      <c r="F161" s="368"/>
      <c r="G161" s="368"/>
      <c r="H161" s="172"/>
      <c r="I161" s="172"/>
      <c r="J161" s="172"/>
      <c r="K161" s="172"/>
      <c r="L161" s="172"/>
      <c r="M161" s="172"/>
      <c r="N161" s="172"/>
      <c r="O161" s="358"/>
      <c r="P161" s="358"/>
      <c r="Q161" s="358">
        <f t="shared" si="15"/>
        <v>0</v>
      </c>
      <c r="R161" s="366" t="str">
        <f t="shared" si="13"/>
        <v/>
      </c>
      <c r="S161" s="359">
        <f t="shared" si="14"/>
        <v>0.7047720401</v>
      </c>
      <c r="T161" s="8"/>
      <c r="U161" s="8"/>
      <c r="V161" s="8"/>
      <c r="W161" s="172"/>
      <c r="X161" s="172"/>
      <c r="Y161" s="8"/>
      <c r="Z161" s="8"/>
      <c r="AA161" s="8"/>
      <c r="AB161" s="172"/>
      <c r="AC161" s="172"/>
      <c r="AD161" s="8"/>
      <c r="AE161" s="8"/>
      <c r="AF161" s="8"/>
      <c r="AG161" s="172"/>
      <c r="AH161" s="172"/>
      <c r="AI161" s="367"/>
      <c r="AJ161" s="362"/>
      <c r="AK161" s="363" t="str">
        <f>IFERROR(__xludf.DUMMYFUNCTION("IFERROR(if(D163&lt;&gt;"""", 
  AVERAGE(
    QUERY(
      IMPORTRANGE(""1-uH1wy6jSm5jYL9je6fN1K5RJ5QMvHntodEHZRtIvTk"", ""All Data!N2:U""),
      ""select Col8 where Col1 = '"" &amp; D163 &amp; ""' and Col8 is not null"",
      0
    )
  )/100,
""""),
  """"
)
"),"")</f>
        <v/>
      </c>
    </row>
    <row r="162">
      <c r="D162" s="172"/>
      <c r="E162" s="368"/>
      <c r="F162" s="368"/>
      <c r="G162" s="368"/>
      <c r="H162" s="172"/>
      <c r="I162" s="172"/>
      <c r="J162" s="172"/>
      <c r="K162" s="172"/>
      <c r="L162" s="172"/>
      <c r="M162" s="172"/>
      <c r="N162" s="172"/>
      <c r="O162" s="358"/>
      <c r="P162" s="358"/>
      <c r="Q162" s="358">
        <f t="shared" si="15"/>
        <v>0</v>
      </c>
      <c r="R162" s="366" t="str">
        <f t="shared" si="13"/>
        <v/>
      </c>
      <c r="S162" s="359">
        <f t="shared" si="14"/>
        <v>0.7047720401</v>
      </c>
      <c r="T162" s="8"/>
      <c r="U162" s="8"/>
      <c r="V162" s="8"/>
      <c r="W162" s="172"/>
      <c r="X162" s="172"/>
      <c r="Y162" s="8"/>
      <c r="Z162" s="8"/>
      <c r="AA162" s="8"/>
      <c r="AB162" s="172"/>
      <c r="AC162" s="172"/>
      <c r="AD162" s="8"/>
      <c r="AE162" s="8"/>
      <c r="AF162" s="8"/>
      <c r="AG162" s="172"/>
      <c r="AH162" s="172"/>
      <c r="AI162" s="367"/>
      <c r="AJ162" s="362"/>
      <c r="AK162" s="363" t="str">
        <f>IFERROR(__xludf.DUMMYFUNCTION("IFERROR(if(D164&lt;&gt;"""", 
  AVERAGE(
    QUERY(
      IMPORTRANGE(""1-uH1wy6jSm5jYL9je6fN1K5RJ5QMvHntodEHZRtIvTk"", ""All Data!N2:U""),
      ""select Col8 where Col1 = '"" &amp; D164 &amp; ""' and Col8 is not null"",
      0
    )
  )/100,
""""),
  """"
)
"),"")</f>
        <v/>
      </c>
    </row>
    <row r="163">
      <c r="D163" s="172"/>
      <c r="E163" s="368"/>
      <c r="F163" s="368"/>
      <c r="G163" s="368"/>
      <c r="H163" s="172"/>
      <c r="I163" s="172"/>
      <c r="J163" s="172"/>
      <c r="K163" s="172"/>
      <c r="L163" s="172"/>
      <c r="M163" s="172"/>
      <c r="N163" s="172"/>
      <c r="O163" s="358"/>
      <c r="P163" s="358"/>
      <c r="Q163" s="358">
        <f t="shared" si="15"/>
        <v>0</v>
      </c>
      <c r="R163" s="366" t="str">
        <f t="shared" si="13"/>
        <v/>
      </c>
      <c r="S163" s="359">
        <f t="shared" si="14"/>
        <v>0.7047720401</v>
      </c>
      <c r="T163" s="8"/>
      <c r="U163" s="8"/>
      <c r="V163" s="8"/>
      <c r="W163" s="172"/>
      <c r="X163" s="172"/>
      <c r="Y163" s="8"/>
      <c r="Z163" s="8"/>
      <c r="AA163" s="8"/>
      <c r="AB163" s="172"/>
      <c r="AC163" s="172"/>
      <c r="AD163" s="8"/>
      <c r="AE163" s="8"/>
      <c r="AF163" s="8"/>
      <c r="AG163" s="172"/>
      <c r="AH163" s="172"/>
      <c r="AI163" s="367"/>
      <c r="AJ163" s="362"/>
      <c r="AK163" s="363" t="str">
        <f>IFERROR(__xludf.DUMMYFUNCTION("IFERROR(if(D165&lt;&gt;"""", 
  AVERAGE(
    QUERY(
      IMPORTRANGE(""1-uH1wy6jSm5jYL9je6fN1K5RJ5QMvHntodEHZRtIvTk"", ""All Data!N2:U""),
      ""select Col8 where Col1 = '"" &amp; D165 &amp; ""' and Col8 is not null"",
      0
    )
  )/100,
""""),
  """"
)
"),"")</f>
        <v/>
      </c>
    </row>
    <row r="164">
      <c r="D164" s="172"/>
      <c r="E164" s="368"/>
      <c r="F164" s="368"/>
      <c r="G164" s="368"/>
      <c r="H164" s="172"/>
      <c r="I164" s="172"/>
      <c r="J164" s="172"/>
      <c r="K164" s="172"/>
      <c r="L164" s="172"/>
      <c r="M164" s="172"/>
      <c r="N164" s="172"/>
      <c r="O164" s="358"/>
      <c r="P164" s="358"/>
      <c r="Q164" s="358">
        <f t="shared" si="15"/>
        <v>0</v>
      </c>
      <c r="R164" s="366" t="str">
        <f t="shared" si="13"/>
        <v/>
      </c>
      <c r="S164" s="359">
        <f t="shared" si="14"/>
        <v>0.7047720401</v>
      </c>
      <c r="T164" s="8"/>
      <c r="U164" s="8"/>
      <c r="V164" s="8"/>
      <c r="W164" s="172"/>
      <c r="X164" s="172"/>
      <c r="Y164" s="8"/>
      <c r="Z164" s="8"/>
      <c r="AA164" s="8"/>
      <c r="AB164" s="172"/>
      <c r="AC164" s="172"/>
      <c r="AD164" s="8"/>
      <c r="AE164" s="8"/>
      <c r="AF164" s="8"/>
      <c r="AG164" s="172"/>
      <c r="AH164" s="172"/>
      <c r="AI164" s="367"/>
      <c r="AJ164" s="362"/>
      <c r="AK164" s="363" t="str">
        <f>IFERROR(__xludf.DUMMYFUNCTION("IFERROR(if(D166&lt;&gt;"""", 
  AVERAGE(
    QUERY(
      IMPORTRANGE(""1-uH1wy6jSm5jYL9je6fN1K5RJ5QMvHntodEHZRtIvTk"", ""All Data!N2:U""),
      ""select Col8 where Col1 = '"" &amp; D166 &amp; ""' and Col8 is not null"",
      0
    )
  )/100,
""""),
  """"
)
"),"")</f>
        <v/>
      </c>
    </row>
    <row r="165">
      <c r="D165" s="172"/>
      <c r="E165" s="368"/>
      <c r="F165" s="368"/>
      <c r="G165" s="368"/>
      <c r="H165" s="172"/>
      <c r="I165" s="172"/>
      <c r="J165" s="172"/>
      <c r="K165" s="172"/>
      <c r="L165" s="172"/>
      <c r="M165" s="172"/>
      <c r="N165" s="172"/>
      <c r="O165" s="358"/>
      <c r="P165" s="358"/>
      <c r="Q165" s="358">
        <f t="shared" si="15"/>
        <v>0</v>
      </c>
      <c r="R165" s="366" t="str">
        <f t="shared" si="13"/>
        <v/>
      </c>
      <c r="S165" s="359">
        <f t="shared" si="14"/>
        <v>0.7047720401</v>
      </c>
      <c r="T165" s="8"/>
      <c r="U165" s="8"/>
      <c r="V165" s="8"/>
      <c r="W165" s="172"/>
      <c r="X165" s="172"/>
      <c r="Y165" s="8"/>
      <c r="Z165" s="8"/>
      <c r="AA165" s="8"/>
      <c r="AB165" s="172"/>
      <c r="AC165" s="172"/>
      <c r="AD165" s="8"/>
      <c r="AE165" s="8"/>
      <c r="AF165" s="8"/>
      <c r="AG165" s="172"/>
      <c r="AH165" s="172"/>
      <c r="AI165" s="367"/>
      <c r="AJ165" s="362"/>
      <c r="AK165" s="363" t="str">
        <f>IFERROR(__xludf.DUMMYFUNCTION("IFERROR(if(D167&lt;&gt;"""", 
  AVERAGE(
    QUERY(
      IMPORTRANGE(""1-uH1wy6jSm5jYL9je6fN1K5RJ5QMvHntodEHZRtIvTk"", ""All Data!N2:U""),
      ""select Col8 where Col1 = '"" &amp; D167 &amp; ""' and Col8 is not null"",
      0
    )
  )/100,
""""),
  """"
)
"),"")</f>
        <v/>
      </c>
    </row>
    <row r="166">
      <c r="D166" s="172"/>
      <c r="E166" s="368"/>
      <c r="F166" s="368"/>
      <c r="G166" s="368"/>
      <c r="H166" s="172"/>
      <c r="I166" s="172"/>
      <c r="J166" s="172"/>
      <c r="K166" s="172"/>
      <c r="L166" s="172"/>
      <c r="M166" s="172"/>
      <c r="N166" s="172"/>
      <c r="O166" s="358"/>
      <c r="P166" s="358"/>
      <c r="Q166" s="358">
        <f t="shared" si="15"/>
        <v>0</v>
      </c>
      <c r="R166" s="366" t="str">
        <f t="shared" si="13"/>
        <v/>
      </c>
      <c r="S166" s="359">
        <f t="shared" si="14"/>
        <v>0.7047720401</v>
      </c>
      <c r="T166" s="8"/>
      <c r="U166" s="8"/>
      <c r="V166" s="8"/>
      <c r="W166" s="172"/>
      <c r="X166" s="172"/>
      <c r="Y166" s="8"/>
      <c r="Z166" s="8"/>
      <c r="AA166" s="8"/>
      <c r="AB166" s="172"/>
      <c r="AC166" s="172"/>
      <c r="AD166" s="8"/>
      <c r="AE166" s="8"/>
      <c r="AF166" s="8"/>
      <c r="AG166" s="172"/>
      <c r="AH166" s="172"/>
      <c r="AI166" s="367"/>
      <c r="AJ166" s="362"/>
      <c r="AK166" s="363" t="str">
        <f>IFERROR(__xludf.DUMMYFUNCTION("IFERROR(if(D168&lt;&gt;"""", 
  AVERAGE(
    QUERY(
      IMPORTRANGE(""1-uH1wy6jSm5jYL9je6fN1K5RJ5QMvHntodEHZRtIvTk"", ""All Data!N2:U""),
      ""select Col8 where Col1 = '"" &amp; D168 &amp; ""' and Col8 is not null"",
      0
    )
  )/100,
""""),
  """"
)
"),"")</f>
        <v/>
      </c>
    </row>
    <row r="167">
      <c r="D167" s="172"/>
      <c r="E167" s="368"/>
      <c r="F167" s="368"/>
      <c r="G167" s="368"/>
      <c r="H167" s="172"/>
      <c r="I167" s="172"/>
      <c r="J167" s="172"/>
      <c r="K167" s="172"/>
      <c r="L167" s="172"/>
      <c r="M167" s="172"/>
      <c r="N167" s="172"/>
      <c r="O167" s="358"/>
      <c r="P167" s="358"/>
      <c r="Q167" s="358">
        <f t="shared" si="15"/>
        <v>0</v>
      </c>
      <c r="R167" s="366" t="str">
        <f t="shared" si="13"/>
        <v/>
      </c>
      <c r="S167" s="359">
        <f t="shared" si="14"/>
        <v>0.7047720401</v>
      </c>
      <c r="T167" s="8"/>
      <c r="U167" s="8"/>
      <c r="V167" s="8"/>
      <c r="W167" s="172"/>
      <c r="X167" s="172"/>
      <c r="Y167" s="8"/>
      <c r="Z167" s="8"/>
      <c r="AA167" s="8"/>
      <c r="AB167" s="172"/>
      <c r="AC167" s="172"/>
      <c r="AD167" s="8"/>
      <c r="AE167" s="8"/>
      <c r="AF167" s="8"/>
      <c r="AG167" s="172"/>
      <c r="AH167" s="172"/>
      <c r="AI167" s="367"/>
      <c r="AJ167" s="362"/>
      <c r="AK167" s="363" t="str">
        <f>IFERROR(__xludf.DUMMYFUNCTION("IFERROR(if(D169&lt;&gt;"""", 
  AVERAGE(
    QUERY(
      IMPORTRANGE(""1-uH1wy6jSm5jYL9je6fN1K5RJ5QMvHntodEHZRtIvTk"", ""All Data!N2:U""),
      ""select Col8 where Col1 = '"" &amp; D169 &amp; ""' and Col8 is not null"",
      0
    )
  )/100,
""""),
  """"
)
"),"")</f>
        <v/>
      </c>
    </row>
    <row r="168">
      <c r="D168" s="172"/>
      <c r="E168" s="368"/>
      <c r="F168" s="368"/>
      <c r="G168" s="368"/>
      <c r="H168" s="172"/>
      <c r="I168" s="172"/>
      <c r="J168" s="172"/>
      <c r="K168" s="172"/>
      <c r="L168" s="172"/>
      <c r="M168" s="172"/>
      <c r="N168" s="172"/>
      <c r="O168" s="358"/>
      <c r="P168" s="358"/>
      <c r="Q168" s="358">
        <f t="shared" si="15"/>
        <v>0</v>
      </c>
      <c r="R168" s="366" t="str">
        <f t="shared" si="13"/>
        <v/>
      </c>
      <c r="S168" s="359">
        <f t="shared" si="14"/>
        <v>0.7047720401</v>
      </c>
      <c r="T168" s="8"/>
      <c r="U168" s="8"/>
      <c r="V168" s="8"/>
      <c r="W168" s="172"/>
      <c r="X168" s="172"/>
      <c r="Y168" s="8"/>
      <c r="Z168" s="8"/>
      <c r="AA168" s="8"/>
      <c r="AB168" s="172"/>
      <c r="AC168" s="172"/>
      <c r="AD168" s="8"/>
      <c r="AE168" s="8"/>
      <c r="AF168" s="8"/>
      <c r="AG168" s="172"/>
      <c r="AH168" s="172"/>
      <c r="AI168" s="367"/>
      <c r="AJ168" s="362"/>
      <c r="AK168" s="363" t="str">
        <f>IFERROR(__xludf.DUMMYFUNCTION("IFERROR(if(D170&lt;&gt;"""", 
  AVERAGE(
    QUERY(
      IMPORTRANGE(""1-uH1wy6jSm5jYL9je6fN1K5RJ5QMvHntodEHZRtIvTk"", ""All Data!N2:U""),
      ""select Col8 where Col1 = '"" &amp; D170 &amp; ""' and Col8 is not null"",
      0
    )
  )/100,
""""),
  """"
)
"),"")</f>
        <v/>
      </c>
    </row>
    <row r="169">
      <c r="D169" s="172"/>
      <c r="E169" s="368"/>
      <c r="F169" s="368"/>
      <c r="G169" s="368"/>
      <c r="H169" s="172"/>
      <c r="I169" s="172"/>
      <c r="J169" s="172"/>
      <c r="K169" s="172"/>
      <c r="L169" s="172"/>
      <c r="M169" s="172"/>
      <c r="N169" s="172"/>
      <c r="O169" s="358"/>
      <c r="P169" s="358"/>
      <c r="Q169" s="358">
        <f t="shared" si="15"/>
        <v>0</v>
      </c>
      <c r="R169" s="366" t="str">
        <f t="shared" si="13"/>
        <v/>
      </c>
      <c r="S169" s="359">
        <f t="shared" si="14"/>
        <v>0.7047720401</v>
      </c>
      <c r="T169" s="8"/>
      <c r="U169" s="8"/>
      <c r="V169" s="8"/>
      <c r="W169" s="172"/>
      <c r="X169" s="172"/>
      <c r="Y169" s="8"/>
      <c r="Z169" s="8"/>
      <c r="AA169" s="8"/>
      <c r="AB169" s="172"/>
      <c r="AC169" s="172"/>
      <c r="AD169" s="8"/>
      <c r="AE169" s="8"/>
      <c r="AF169" s="8"/>
      <c r="AG169" s="172"/>
      <c r="AH169" s="172"/>
      <c r="AI169" s="367"/>
      <c r="AJ169" s="362"/>
      <c r="AK169" s="363" t="str">
        <f>IFERROR(__xludf.DUMMYFUNCTION("IFERROR(if(D171&lt;&gt;"""", 
  AVERAGE(
    QUERY(
      IMPORTRANGE(""1-uH1wy6jSm5jYL9je6fN1K5RJ5QMvHntodEHZRtIvTk"", ""All Data!N2:U""),
      ""select Col8 where Col1 = '"" &amp; D171 &amp; ""' and Col8 is not null"",
      0
    )
  )/100,
""""),
  """"
)
"),"")</f>
        <v/>
      </c>
    </row>
    <row r="170">
      <c r="D170" s="172"/>
      <c r="E170" s="368"/>
      <c r="F170" s="368"/>
      <c r="G170" s="368"/>
      <c r="H170" s="172"/>
      <c r="I170" s="172"/>
      <c r="J170" s="172"/>
      <c r="K170" s="172"/>
      <c r="L170" s="172"/>
      <c r="M170" s="172"/>
      <c r="N170" s="172"/>
      <c r="O170" s="358"/>
      <c r="P170" s="358"/>
      <c r="Q170" s="358">
        <f t="shared" si="15"/>
        <v>0</v>
      </c>
      <c r="R170" s="366" t="str">
        <f t="shared" si="13"/>
        <v/>
      </c>
      <c r="S170" s="359">
        <f t="shared" si="14"/>
        <v>0.7047720401</v>
      </c>
      <c r="T170" s="8"/>
      <c r="U170" s="8"/>
      <c r="V170" s="8"/>
      <c r="W170" s="172"/>
      <c r="X170" s="172"/>
      <c r="Y170" s="8"/>
      <c r="Z170" s="8"/>
      <c r="AA170" s="8"/>
      <c r="AB170" s="172"/>
      <c r="AC170" s="172"/>
      <c r="AD170" s="8"/>
      <c r="AE170" s="8"/>
      <c r="AF170" s="8"/>
      <c r="AG170" s="172"/>
      <c r="AH170" s="172"/>
      <c r="AI170" s="367"/>
      <c r="AJ170" s="362"/>
      <c r="AK170" s="363" t="str">
        <f>IFERROR(__xludf.DUMMYFUNCTION("IFERROR(if(D172&lt;&gt;"""", 
  AVERAGE(
    QUERY(
      IMPORTRANGE(""1-uH1wy6jSm5jYL9je6fN1K5RJ5QMvHntodEHZRtIvTk"", ""All Data!N2:U""),
      ""select Col8 where Col1 = '"" &amp; D172 &amp; ""' and Col8 is not null"",
      0
    )
  )/100,
""""),
  """"
)
"),"")</f>
        <v/>
      </c>
    </row>
    <row r="171">
      <c r="D171" s="172"/>
      <c r="E171" s="368"/>
      <c r="F171" s="368"/>
      <c r="G171" s="368"/>
      <c r="H171" s="172"/>
      <c r="I171" s="172"/>
      <c r="J171" s="172"/>
      <c r="K171" s="172"/>
      <c r="L171" s="172"/>
      <c r="M171" s="172"/>
      <c r="N171" s="172"/>
      <c r="O171" s="358"/>
      <c r="P171" s="358"/>
      <c r="Q171" s="358">
        <f t="shared" si="15"/>
        <v>0</v>
      </c>
      <c r="R171" s="366" t="str">
        <f t="shared" si="13"/>
        <v/>
      </c>
      <c r="S171" s="359">
        <f t="shared" si="14"/>
        <v>0.7047720401</v>
      </c>
      <c r="T171" s="8"/>
      <c r="U171" s="8"/>
      <c r="V171" s="8"/>
      <c r="W171" s="172"/>
      <c r="X171" s="172"/>
      <c r="Y171" s="8"/>
      <c r="Z171" s="8"/>
      <c r="AA171" s="8"/>
      <c r="AB171" s="172"/>
      <c r="AC171" s="172"/>
      <c r="AD171" s="8"/>
      <c r="AE171" s="8"/>
      <c r="AF171" s="8"/>
      <c r="AG171" s="172"/>
      <c r="AH171" s="172"/>
      <c r="AI171" s="367"/>
      <c r="AJ171" s="362"/>
      <c r="AK171" s="363" t="str">
        <f>IFERROR(__xludf.DUMMYFUNCTION("IFERROR(if(D173&lt;&gt;"""", 
  AVERAGE(
    QUERY(
      IMPORTRANGE(""1-uH1wy6jSm5jYL9je6fN1K5RJ5QMvHntodEHZRtIvTk"", ""All Data!N2:U""),
      ""select Col8 where Col1 = '"" &amp; D173 &amp; ""' and Col8 is not null"",
      0
    )
  )/100,
""""),
  """"
)
"),"")</f>
        <v/>
      </c>
    </row>
    <row r="172">
      <c r="D172" s="172"/>
      <c r="E172" s="368"/>
      <c r="F172" s="368"/>
      <c r="G172" s="368"/>
      <c r="H172" s="172"/>
      <c r="I172" s="172"/>
      <c r="J172" s="172"/>
      <c r="K172" s="172"/>
      <c r="L172" s="172"/>
      <c r="M172" s="172"/>
      <c r="N172" s="172"/>
      <c r="O172" s="358"/>
      <c r="P172" s="358"/>
      <c r="Q172" s="358">
        <f t="shared" si="15"/>
        <v>0</v>
      </c>
      <c r="R172" s="366" t="str">
        <f t="shared" si="13"/>
        <v/>
      </c>
      <c r="S172" s="359">
        <f t="shared" si="14"/>
        <v>0.7047720401</v>
      </c>
      <c r="T172" s="8"/>
      <c r="U172" s="8"/>
      <c r="V172" s="8"/>
      <c r="W172" s="172"/>
      <c r="X172" s="172"/>
      <c r="Y172" s="8"/>
      <c r="Z172" s="8"/>
      <c r="AA172" s="8"/>
      <c r="AB172" s="172"/>
      <c r="AC172" s="172"/>
      <c r="AD172" s="8"/>
      <c r="AE172" s="8"/>
      <c r="AF172" s="8"/>
      <c r="AG172" s="172"/>
      <c r="AH172" s="172"/>
      <c r="AI172" s="367"/>
      <c r="AJ172" s="362"/>
      <c r="AK172" s="363" t="str">
        <f>IFERROR(__xludf.DUMMYFUNCTION("IFERROR(if(D174&lt;&gt;"""", 
  AVERAGE(
    QUERY(
      IMPORTRANGE(""1-uH1wy6jSm5jYL9je6fN1K5RJ5QMvHntodEHZRtIvTk"", ""All Data!N2:U""),
      ""select Col8 where Col1 = '"" &amp; D174 &amp; ""' and Col8 is not null"",
      0
    )
  )/100,
""""),
  """"
)
"),"")</f>
        <v/>
      </c>
    </row>
    <row r="173">
      <c r="D173" s="172"/>
      <c r="E173" s="368"/>
      <c r="F173" s="368"/>
      <c r="G173" s="368"/>
      <c r="H173" s="172"/>
      <c r="I173" s="172"/>
      <c r="J173" s="172"/>
      <c r="K173" s="172"/>
      <c r="L173" s="172"/>
      <c r="M173" s="172"/>
      <c r="N173" s="172"/>
      <c r="O173" s="358"/>
      <c r="P173" s="358"/>
      <c r="Q173" s="358">
        <f t="shared" si="15"/>
        <v>0</v>
      </c>
      <c r="R173" s="366" t="str">
        <f t="shared" si="13"/>
        <v/>
      </c>
      <c r="S173" s="359">
        <f t="shared" si="14"/>
        <v>0.7047720401</v>
      </c>
      <c r="T173" s="8"/>
      <c r="U173" s="8"/>
      <c r="V173" s="8"/>
      <c r="W173" s="172"/>
      <c r="X173" s="172"/>
      <c r="Y173" s="8"/>
      <c r="Z173" s="8"/>
      <c r="AA173" s="8"/>
      <c r="AB173" s="172"/>
      <c r="AC173" s="172"/>
      <c r="AD173" s="8"/>
      <c r="AE173" s="8"/>
      <c r="AF173" s="8"/>
      <c r="AG173" s="172"/>
      <c r="AH173" s="172"/>
      <c r="AI173" s="367"/>
      <c r="AJ173" s="362"/>
      <c r="AK173" s="363" t="str">
        <f>IFERROR(__xludf.DUMMYFUNCTION("IFERROR(if(D175&lt;&gt;"""", 
  AVERAGE(
    QUERY(
      IMPORTRANGE(""1-uH1wy6jSm5jYL9je6fN1K5RJ5QMvHntodEHZRtIvTk"", ""All Data!N2:U""),
      ""select Col8 where Col1 = '"" &amp; D175 &amp; ""' and Col8 is not null"",
      0
    )
  )/100,
""""),
  """"
)
"),"")</f>
        <v/>
      </c>
    </row>
    <row r="174">
      <c r="D174" s="172"/>
      <c r="E174" s="368"/>
      <c r="F174" s="368"/>
      <c r="G174" s="368"/>
      <c r="H174" s="172"/>
      <c r="I174" s="172"/>
      <c r="J174" s="172"/>
      <c r="K174" s="172"/>
      <c r="L174" s="172"/>
      <c r="M174" s="172"/>
      <c r="N174" s="172"/>
      <c r="O174" s="358"/>
      <c r="P174" s="358"/>
      <c r="Q174" s="358">
        <f t="shared" si="15"/>
        <v>0</v>
      </c>
      <c r="R174" s="366" t="str">
        <f t="shared" si="13"/>
        <v/>
      </c>
      <c r="S174" s="359">
        <f t="shared" si="14"/>
        <v>0.7047720401</v>
      </c>
      <c r="T174" s="8"/>
      <c r="U174" s="8"/>
      <c r="V174" s="8"/>
      <c r="W174" s="172"/>
      <c r="X174" s="172"/>
      <c r="Y174" s="8"/>
      <c r="Z174" s="8"/>
      <c r="AA174" s="8"/>
      <c r="AB174" s="172"/>
      <c r="AC174" s="172"/>
      <c r="AD174" s="8"/>
      <c r="AE174" s="8"/>
      <c r="AF174" s="8"/>
      <c r="AG174" s="172"/>
      <c r="AH174" s="172"/>
      <c r="AI174" s="367"/>
      <c r="AJ174" s="362"/>
      <c r="AK174" s="363" t="str">
        <f>IFERROR(__xludf.DUMMYFUNCTION("IFERROR(if(D176&lt;&gt;"""", 
  AVERAGE(
    QUERY(
      IMPORTRANGE(""1-uH1wy6jSm5jYL9je6fN1K5RJ5QMvHntodEHZRtIvTk"", ""All Data!N2:U""),
      ""select Col8 where Col1 = '"" &amp; D176 &amp; ""' and Col8 is not null"",
      0
    )
  )/100,
""""),
  """"
)
"),"")</f>
        <v/>
      </c>
    </row>
    <row r="175">
      <c r="D175" s="172"/>
      <c r="E175" s="368"/>
      <c r="F175" s="368"/>
      <c r="G175" s="368"/>
      <c r="H175" s="172"/>
      <c r="I175" s="172"/>
      <c r="J175" s="172"/>
      <c r="K175" s="172"/>
      <c r="L175" s="172"/>
      <c r="M175" s="172"/>
      <c r="N175" s="172"/>
      <c r="O175" s="358"/>
      <c r="P175" s="358"/>
      <c r="Q175" s="358">
        <f t="shared" si="15"/>
        <v>0</v>
      </c>
      <c r="R175" s="366" t="str">
        <f t="shared" si="13"/>
        <v/>
      </c>
      <c r="S175" s="359">
        <f t="shared" si="14"/>
        <v>0.7047720401</v>
      </c>
      <c r="T175" s="8"/>
      <c r="U175" s="8"/>
      <c r="V175" s="8"/>
      <c r="W175" s="172"/>
      <c r="X175" s="172"/>
      <c r="Y175" s="8"/>
      <c r="Z175" s="8"/>
      <c r="AA175" s="8"/>
      <c r="AB175" s="172"/>
      <c r="AC175" s="172"/>
      <c r="AD175" s="8"/>
      <c r="AE175" s="8"/>
      <c r="AF175" s="8"/>
      <c r="AG175" s="172"/>
      <c r="AH175" s="172"/>
      <c r="AI175" s="367"/>
      <c r="AJ175" s="362"/>
      <c r="AK175" s="363" t="str">
        <f>IFERROR(__xludf.DUMMYFUNCTION("IFERROR(if(D177&lt;&gt;"""", 
  AVERAGE(
    QUERY(
      IMPORTRANGE(""1-uH1wy6jSm5jYL9je6fN1K5RJ5QMvHntodEHZRtIvTk"", ""All Data!N2:U""),
      ""select Col8 where Col1 = '"" &amp; D177 &amp; ""' and Col8 is not null"",
      0
    )
  )/100,
""""),
  """"
)
"),"")</f>
        <v/>
      </c>
    </row>
    <row r="176">
      <c r="D176" s="172"/>
      <c r="E176" s="368"/>
      <c r="F176" s="368"/>
      <c r="G176" s="368"/>
      <c r="H176" s="172"/>
      <c r="I176" s="172"/>
      <c r="J176" s="172"/>
      <c r="K176" s="172"/>
      <c r="L176" s="172"/>
      <c r="M176" s="172"/>
      <c r="N176" s="172"/>
      <c r="O176" s="358"/>
      <c r="P176" s="358"/>
      <c r="Q176" s="358">
        <f t="shared" si="15"/>
        <v>0</v>
      </c>
      <c r="R176" s="366" t="str">
        <f t="shared" si="13"/>
        <v/>
      </c>
      <c r="S176" s="359">
        <f t="shared" si="14"/>
        <v>0.7047720401</v>
      </c>
      <c r="T176" s="8"/>
      <c r="U176" s="8"/>
      <c r="V176" s="8"/>
      <c r="W176" s="172"/>
      <c r="X176" s="172"/>
      <c r="Y176" s="8"/>
      <c r="Z176" s="8"/>
      <c r="AA176" s="8"/>
      <c r="AB176" s="172"/>
      <c r="AC176" s="172"/>
      <c r="AD176" s="8"/>
      <c r="AE176" s="8"/>
      <c r="AF176" s="8"/>
      <c r="AG176" s="172"/>
      <c r="AH176" s="172"/>
      <c r="AI176" s="367"/>
      <c r="AJ176" s="362"/>
      <c r="AK176" s="363" t="str">
        <f>IFERROR(__xludf.DUMMYFUNCTION("IFERROR(if(D178&lt;&gt;"""", 
  AVERAGE(
    QUERY(
      IMPORTRANGE(""1-uH1wy6jSm5jYL9je6fN1K5RJ5QMvHntodEHZRtIvTk"", ""All Data!N2:U""),
      ""select Col8 where Col1 = '"" &amp; D178 &amp; ""' and Col8 is not null"",
      0
    )
  )/100,
""""),
  """"
)
"),"")</f>
        <v/>
      </c>
    </row>
    <row r="177">
      <c r="D177" s="172"/>
      <c r="E177" s="368"/>
      <c r="F177" s="368"/>
      <c r="G177" s="368"/>
      <c r="H177" s="172"/>
      <c r="I177" s="172"/>
      <c r="J177" s="172"/>
      <c r="K177" s="172"/>
      <c r="L177" s="172"/>
      <c r="M177" s="172"/>
      <c r="N177" s="172"/>
      <c r="O177" s="358"/>
      <c r="P177" s="358"/>
      <c r="Q177" s="358">
        <f t="shared" si="15"/>
        <v>0</v>
      </c>
      <c r="R177" s="366" t="str">
        <f t="shared" si="13"/>
        <v/>
      </c>
      <c r="S177" s="359">
        <f t="shared" si="14"/>
        <v>0.7047720401</v>
      </c>
      <c r="T177" s="8"/>
      <c r="U177" s="8"/>
      <c r="V177" s="8"/>
      <c r="W177" s="172"/>
      <c r="X177" s="172"/>
      <c r="Y177" s="8"/>
      <c r="Z177" s="8"/>
      <c r="AA177" s="8"/>
      <c r="AB177" s="172"/>
      <c r="AC177" s="172"/>
      <c r="AD177" s="8"/>
      <c r="AE177" s="8"/>
      <c r="AF177" s="8"/>
      <c r="AG177" s="172"/>
      <c r="AH177" s="172"/>
      <c r="AI177" s="367"/>
      <c r="AJ177" s="362"/>
      <c r="AK177" s="363" t="str">
        <f>IFERROR(__xludf.DUMMYFUNCTION("IFERROR(if(D179&lt;&gt;"""", 
  AVERAGE(
    QUERY(
      IMPORTRANGE(""1-uH1wy6jSm5jYL9je6fN1K5RJ5QMvHntodEHZRtIvTk"", ""All Data!N2:U""),
      ""select Col8 where Col1 = '"" &amp; D179 &amp; ""' and Col8 is not null"",
      0
    )
  )/100,
""""),
  """"
)
"),"")</f>
        <v/>
      </c>
    </row>
    <row r="178">
      <c r="D178" s="172"/>
      <c r="E178" s="368"/>
      <c r="F178" s="368"/>
      <c r="G178" s="368"/>
      <c r="H178" s="172"/>
      <c r="I178" s="172"/>
      <c r="J178" s="172"/>
      <c r="K178" s="172"/>
      <c r="L178" s="172"/>
      <c r="M178" s="172"/>
      <c r="N178" s="172"/>
      <c r="O178" s="358"/>
      <c r="P178" s="358"/>
      <c r="Q178" s="358">
        <f t="shared" si="15"/>
        <v>0</v>
      </c>
      <c r="R178" s="366" t="str">
        <f t="shared" si="13"/>
        <v/>
      </c>
      <c r="S178" s="359">
        <f t="shared" si="14"/>
        <v>0.7047720401</v>
      </c>
      <c r="T178" s="8"/>
      <c r="U178" s="8"/>
      <c r="V178" s="8"/>
      <c r="W178" s="172"/>
      <c r="X178" s="172"/>
      <c r="Y178" s="8"/>
      <c r="Z178" s="8"/>
      <c r="AA178" s="8"/>
      <c r="AB178" s="172"/>
      <c r="AC178" s="172"/>
      <c r="AD178" s="8"/>
      <c r="AE178" s="8"/>
      <c r="AF178" s="8"/>
      <c r="AG178" s="172"/>
      <c r="AH178" s="172"/>
      <c r="AI178" s="367"/>
      <c r="AJ178" s="362"/>
      <c r="AK178" s="363" t="str">
        <f>IFERROR(__xludf.DUMMYFUNCTION("IFERROR(if(D180&lt;&gt;"""", 
  AVERAGE(
    QUERY(
      IMPORTRANGE(""1-uH1wy6jSm5jYL9je6fN1K5RJ5QMvHntodEHZRtIvTk"", ""All Data!N2:U""),
      ""select Col8 where Col1 = '"" &amp; D180 &amp; ""' and Col8 is not null"",
      0
    )
  )/100,
""""),
  """"
)
"),"")</f>
        <v/>
      </c>
    </row>
    <row r="179">
      <c r="D179" s="172"/>
      <c r="E179" s="368"/>
      <c r="F179" s="368"/>
      <c r="G179" s="368"/>
      <c r="H179" s="172"/>
      <c r="I179" s="172"/>
      <c r="J179" s="172"/>
      <c r="K179" s="172"/>
      <c r="L179" s="172"/>
      <c r="M179" s="172"/>
      <c r="N179" s="172"/>
      <c r="O179" s="358"/>
      <c r="P179" s="358"/>
      <c r="Q179" s="358">
        <f t="shared" si="15"/>
        <v>0</v>
      </c>
      <c r="R179" s="366" t="str">
        <f t="shared" si="13"/>
        <v/>
      </c>
      <c r="S179" s="359">
        <f t="shared" si="14"/>
        <v>0.7047720401</v>
      </c>
      <c r="T179" s="8"/>
      <c r="U179" s="8"/>
      <c r="V179" s="8"/>
      <c r="W179" s="172"/>
      <c r="X179" s="172"/>
      <c r="Y179" s="8"/>
      <c r="Z179" s="8"/>
      <c r="AA179" s="8"/>
      <c r="AB179" s="172"/>
      <c r="AC179" s="172"/>
      <c r="AD179" s="8"/>
      <c r="AE179" s="8"/>
      <c r="AF179" s="8"/>
      <c r="AG179" s="172"/>
      <c r="AH179" s="172"/>
      <c r="AI179" s="367"/>
      <c r="AJ179" s="362"/>
      <c r="AK179" s="363" t="str">
        <f>IFERROR(__xludf.DUMMYFUNCTION("IFERROR(if(D181&lt;&gt;"""", 
  AVERAGE(
    QUERY(
      IMPORTRANGE(""1-uH1wy6jSm5jYL9je6fN1K5RJ5QMvHntodEHZRtIvTk"", ""All Data!N2:U""),
      ""select Col8 where Col1 = '"" &amp; D181 &amp; ""' and Col8 is not null"",
      0
    )
  )/100,
""""),
  """"
)
"),"")</f>
        <v/>
      </c>
    </row>
    <row r="180">
      <c r="D180" s="172"/>
      <c r="E180" s="368"/>
      <c r="F180" s="368"/>
      <c r="G180" s="368"/>
      <c r="H180" s="172"/>
      <c r="I180" s="172"/>
      <c r="J180" s="172"/>
      <c r="K180" s="172"/>
      <c r="L180" s="172"/>
      <c r="M180" s="172"/>
      <c r="N180" s="172"/>
      <c r="O180" s="358"/>
      <c r="P180" s="358"/>
      <c r="Q180" s="358">
        <f t="shared" si="15"/>
        <v>0</v>
      </c>
      <c r="R180" s="366" t="str">
        <f t="shared" si="13"/>
        <v/>
      </c>
      <c r="S180" s="359">
        <f t="shared" si="14"/>
        <v>0.7047720401</v>
      </c>
      <c r="T180" s="8"/>
      <c r="U180" s="8"/>
      <c r="V180" s="8"/>
      <c r="W180" s="172"/>
      <c r="X180" s="172"/>
      <c r="Y180" s="8"/>
      <c r="Z180" s="8"/>
      <c r="AA180" s="8"/>
      <c r="AB180" s="172"/>
      <c r="AC180" s="172"/>
      <c r="AD180" s="8"/>
      <c r="AE180" s="8"/>
      <c r="AF180" s="8"/>
      <c r="AG180" s="172"/>
      <c r="AH180" s="172"/>
      <c r="AI180" s="367"/>
      <c r="AJ180" s="362"/>
      <c r="AK180" s="363" t="str">
        <f>IFERROR(__xludf.DUMMYFUNCTION("IFERROR(if(D182&lt;&gt;"""", 
  AVERAGE(
    QUERY(
      IMPORTRANGE(""1-uH1wy6jSm5jYL9je6fN1K5RJ5QMvHntodEHZRtIvTk"", ""All Data!N2:U""),
      ""select Col8 where Col1 = '"" &amp; D182 &amp; ""' and Col8 is not null"",
      0
    )
  )/100,
""""),
  """"
)
"),"")</f>
        <v/>
      </c>
    </row>
    <row r="181">
      <c r="D181" s="172"/>
      <c r="E181" s="368"/>
      <c r="F181" s="368"/>
      <c r="G181" s="368"/>
      <c r="H181" s="172"/>
      <c r="I181" s="172"/>
      <c r="J181" s="172"/>
      <c r="K181" s="172"/>
      <c r="L181" s="172"/>
      <c r="M181" s="172"/>
      <c r="N181" s="172"/>
      <c r="O181" s="358"/>
      <c r="P181" s="358"/>
      <c r="Q181" s="358">
        <f t="shared" si="15"/>
        <v>0</v>
      </c>
      <c r="R181" s="366" t="str">
        <f t="shared" si="13"/>
        <v/>
      </c>
      <c r="S181" s="359">
        <f t="shared" si="14"/>
        <v>0.7047720401</v>
      </c>
      <c r="T181" s="8"/>
      <c r="U181" s="8"/>
      <c r="V181" s="8"/>
      <c r="W181" s="172"/>
      <c r="X181" s="172"/>
      <c r="Y181" s="8"/>
      <c r="Z181" s="8"/>
      <c r="AA181" s="8"/>
      <c r="AB181" s="172"/>
      <c r="AC181" s="172"/>
      <c r="AD181" s="8"/>
      <c r="AE181" s="8"/>
      <c r="AF181" s="8"/>
      <c r="AG181" s="172"/>
      <c r="AH181" s="172"/>
      <c r="AI181" s="367"/>
      <c r="AJ181" s="362"/>
      <c r="AK181" s="363" t="str">
        <f>IFERROR(__xludf.DUMMYFUNCTION("IFERROR(if(D183&lt;&gt;"""", 
  AVERAGE(
    QUERY(
      IMPORTRANGE(""1-uH1wy6jSm5jYL9je6fN1K5RJ5QMvHntodEHZRtIvTk"", ""All Data!N2:U""),
      ""select Col8 where Col1 = '"" &amp; D183 &amp; ""' and Col8 is not null"",
      0
    )
  )/100,
""""),
  """"
)
"),"")</f>
        <v/>
      </c>
    </row>
    <row r="182">
      <c r="D182" s="172"/>
      <c r="E182" s="368"/>
      <c r="F182" s="368"/>
      <c r="G182" s="368"/>
      <c r="H182" s="172"/>
      <c r="I182" s="172"/>
      <c r="J182" s="172"/>
      <c r="K182" s="172"/>
      <c r="L182" s="172"/>
      <c r="M182" s="172"/>
      <c r="N182" s="172"/>
      <c r="O182" s="358"/>
      <c r="P182" s="358"/>
      <c r="Q182" s="358">
        <f t="shared" si="15"/>
        <v>0</v>
      </c>
      <c r="R182" s="366" t="str">
        <f t="shared" si="13"/>
        <v/>
      </c>
      <c r="S182" s="359">
        <f t="shared" si="14"/>
        <v>0.7047720401</v>
      </c>
      <c r="T182" s="8"/>
      <c r="U182" s="8"/>
      <c r="V182" s="8"/>
      <c r="W182" s="172"/>
      <c r="X182" s="172"/>
      <c r="Y182" s="8"/>
      <c r="Z182" s="8"/>
      <c r="AA182" s="8"/>
      <c r="AB182" s="172"/>
      <c r="AC182" s="172"/>
      <c r="AD182" s="8"/>
      <c r="AE182" s="8"/>
      <c r="AF182" s="8"/>
      <c r="AG182" s="172"/>
      <c r="AH182" s="172"/>
      <c r="AI182" s="367"/>
      <c r="AJ182" s="362"/>
      <c r="AK182" s="363" t="str">
        <f>IFERROR(__xludf.DUMMYFUNCTION("IFERROR(if(D184&lt;&gt;"""", 
  AVERAGE(
    QUERY(
      IMPORTRANGE(""1-uH1wy6jSm5jYL9je6fN1K5RJ5QMvHntodEHZRtIvTk"", ""All Data!N2:U""),
      ""select Col8 where Col1 = '"" &amp; D184 &amp; ""' and Col8 is not null"",
      0
    )
  )/100,
""""),
  """"
)
"),"")</f>
        <v/>
      </c>
    </row>
    <row r="183">
      <c r="D183" s="172"/>
      <c r="E183" s="368"/>
      <c r="F183" s="368"/>
      <c r="G183" s="368"/>
      <c r="H183" s="172"/>
      <c r="I183" s="172"/>
      <c r="J183" s="172"/>
      <c r="K183" s="172"/>
      <c r="L183" s="172"/>
      <c r="M183" s="172"/>
      <c r="N183" s="172"/>
      <c r="O183" s="358"/>
      <c r="P183" s="358"/>
      <c r="Q183" s="358">
        <f t="shared" si="15"/>
        <v>0</v>
      </c>
      <c r="R183" s="366" t="str">
        <f t="shared" si="13"/>
        <v/>
      </c>
      <c r="S183" s="359">
        <f t="shared" si="14"/>
        <v>0.7047720401</v>
      </c>
      <c r="T183" s="8"/>
      <c r="U183" s="8"/>
      <c r="V183" s="8"/>
      <c r="W183" s="172"/>
      <c r="X183" s="172"/>
      <c r="Y183" s="8"/>
      <c r="Z183" s="8"/>
      <c r="AA183" s="8"/>
      <c r="AB183" s="172"/>
      <c r="AC183" s="172"/>
      <c r="AD183" s="8"/>
      <c r="AE183" s="8"/>
      <c r="AF183" s="8"/>
      <c r="AG183" s="172"/>
      <c r="AH183" s="172"/>
      <c r="AI183" s="367"/>
      <c r="AJ183" s="362"/>
      <c r="AK183" s="363" t="str">
        <f>IFERROR(__xludf.DUMMYFUNCTION("IFERROR(if(D185&lt;&gt;"""", 
  AVERAGE(
    QUERY(
      IMPORTRANGE(""1-uH1wy6jSm5jYL9je6fN1K5RJ5QMvHntodEHZRtIvTk"", ""All Data!N2:U""),
      ""select Col8 where Col1 = '"" &amp; D185 &amp; ""' and Col8 is not null"",
      0
    )
  )/100,
""""),
  """"
)
"),"")</f>
        <v/>
      </c>
    </row>
    <row r="184">
      <c r="D184" s="172"/>
      <c r="E184" s="368"/>
      <c r="F184" s="368"/>
      <c r="G184" s="368"/>
      <c r="H184" s="172"/>
      <c r="I184" s="172"/>
      <c r="J184" s="172"/>
      <c r="K184" s="172"/>
      <c r="L184" s="172"/>
      <c r="M184" s="172"/>
      <c r="N184" s="172"/>
      <c r="O184" s="358"/>
      <c r="P184" s="358"/>
      <c r="Q184" s="358">
        <f t="shared" si="15"/>
        <v>0</v>
      </c>
      <c r="R184" s="366" t="str">
        <f t="shared" si="13"/>
        <v/>
      </c>
      <c r="S184" s="359">
        <f t="shared" si="14"/>
        <v>0.7047720401</v>
      </c>
      <c r="T184" s="8"/>
      <c r="U184" s="8"/>
      <c r="V184" s="8"/>
      <c r="W184" s="172"/>
      <c r="X184" s="172"/>
      <c r="Y184" s="8"/>
      <c r="Z184" s="8"/>
      <c r="AA184" s="8"/>
      <c r="AB184" s="172"/>
      <c r="AC184" s="172"/>
      <c r="AD184" s="8"/>
      <c r="AE184" s="8"/>
      <c r="AF184" s="8"/>
      <c r="AG184" s="172"/>
      <c r="AH184" s="172"/>
      <c r="AI184" s="367"/>
      <c r="AJ184" s="362"/>
      <c r="AK184" s="363" t="str">
        <f>IFERROR(__xludf.DUMMYFUNCTION("IFERROR(if(D186&lt;&gt;"""", 
  AVERAGE(
    QUERY(
      IMPORTRANGE(""1-uH1wy6jSm5jYL9je6fN1K5RJ5QMvHntodEHZRtIvTk"", ""All Data!N2:U""),
      ""select Col8 where Col1 = '"" &amp; D186 &amp; ""' and Col8 is not null"",
      0
    )
  )/100,
""""),
  """"
)
"),"")</f>
        <v/>
      </c>
    </row>
    <row r="185">
      <c r="D185" s="172"/>
      <c r="E185" s="368"/>
      <c r="F185" s="368"/>
      <c r="G185" s="368"/>
      <c r="H185" s="172"/>
      <c r="I185" s="172"/>
      <c r="J185" s="172"/>
      <c r="K185" s="172"/>
      <c r="L185" s="172"/>
      <c r="M185" s="172"/>
      <c r="N185" s="172"/>
      <c r="O185" s="358"/>
      <c r="P185" s="358"/>
      <c r="Q185" s="358">
        <f t="shared" si="15"/>
        <v>0</v>
      </c>
      <c r="R185" s="366" t="str">
        <f t="shared" si="13"/>
        <v/>
      </c>
      <c r="S185" s="359">
        <f t="shared" si="14"/>
        <v>0.7047720401</v>
      </c>
      <c r="T185" s="8"/>
      <c r="U185" s="8"/>
      <c r="V185" s="8"/>
      <c r="W185" s="172"/>
      <c r="X185" s="172"/>
      <c r="Y185" s="8"/>
      <c r="Z185" s="8"/>
      <c r="AA185" s="8"/>
      <c r="AB185" s="172"/>
      <c r="AC185" s="172"/>
      <c r="AD185" s="8"/>
      <c r="AE185" s="8"/>
      <c r="AF185" s="8"/>
      <c r="AG185" s="172"/>
      <c r="AH185" s="172"/>
      <c r="AI185" s="367"/>
      <c r="AJ185" s="362"/>
      <c r="AK185" s="363" t="str">
        <f>IFERROR(__xludf.DUMMYFUNCTION("IFERROR(if(D187&lt;&gt;"""", 
  AVERAGE(
    QUERY(
      IMPORTRANGE(""1-uH1wy6jSm5jYL9je6fN1K5RJ5QMvHntodEHZRtIvTk"", ""All Data!N2:U""),
      ""select Col8 where Col1 = '"" &amp; D187 &amp; ""' and Col8 is not null"",
      0
    )
  )/100,
""""),
  """"
)
"),"")</f>
        <v/>
      </c>
    </row>
    <row r="186">
      <c r="D186" s="172"/>
      <c r="E186" s="368"/>
      <c r="F186" s="368"/>
      <c r="G186" s="368"/>
      <c r="H186" s="172"/>
      <c r="I186" s="172"/>
      <c r="J186" s="172"/>
      <c r="K186" s="172"/>
      <c r="L186" s="172"/>
      <c r="M186" s="172"/>
      <c r="N186" s="172"/>
      <c r="O186" s="358"/>
      <c r="P186" s="358"/>
      <c r="Q186" s="358">
        <f t="shared" si="15"/>
        <v>0</v>
      </c>
      <c r="R186" s="366" t="str">
        <f t="shared" si="13"/>
        <v/>
      </c>
      <c r="S186" s="359">
        <f t="shared" si="14"/>
        <v>0.7047720401</v>
      </c>
      <c r="T186" s="8"/>
      <c r="U186" s="8"/>
      <c r="V186" s="8"/>
      <c r="W186" s="172"/>
      <c r="X186" s="172"/>
      <c r="Y186" s="8"/>
      <c r="Z186" s="8"/>
      <c r="AA186" s="8"/>
      <c r="AB186" s="172"/>
      <c r="AC186" s="172"/>
      <c r="AD186" s="8"/>
      <c r="AE186" s="8"/>
      <c r="AF186" s="8"/>
      <c r="AG186" s="172"/>
      <c r="AH186" s="172"/>
      <c r="AI186" s="367"/>
      <c r="AJ186" s="362"/>
      <c r="AK186" s="363" t="str">
        <f>IFERROR(__xludf.DUMMYFUNCTION("IFERROR(if(D188&lt;&gt;"""", 
  AVERAGE(
    QUERY(
      IMPORTRANGE(""1-uH1wy6jSm5jYL9je6fN1K5RJ5QMvHntodEHZRtIvTk"", ""All Data!N2:U""),
      ""select Col8 where Col1 = '"" &amp; D188 &amp; ""' and Col8 is not null"",
      0
    )
  )/100,
""""),
  """"
)
"),"")</f>
        <v/>
      </c>
    </row>
    <row r="187">
      <c r="D187" s="172"/>
      <c r="E187" s="368"/>
      <c r="F187" s="368"/>
      <c r="G187" s="368"/>
      <c r="H187" s="172"/>
      <c r="I187" s="172"/>
      <c r="J187" s="172"/>
      <c r="K187" s="172"/>
      <c r="L187" s="172"/>
      <c r="M187" s="172"/>
      <c r="N187" s="172"/>
      <c r="O187" s="358"/>
      <c r="P187" s="358"/>
      <c r="Q187" s="358">
        <f t="shared" si="15"/>
        <v>0</v>
      </c>
      <c r="R187" s="366" t="str">
        <f t="shared" si="13"/>
        <v/>
      </c>
      <c r="S187" s="359">
        <f t="shared" si="14"/>
        <v>0.7047720401</v>
      </c>
      <c r="T187" s="8"/>
      <c r="U187" s="8"/>
      <c r="V187" s="8"/>
      <c r="W187" s="172"/>
      <c r="X187" s="172"/>
      <c r="Y187" s="8"/>
      <c r="Z187" s="8"/>
      <c r="AA187" s="8"/>
      <c r="AB187" s="172"/>
      <c r="AC187" s="172"/>
      <c r="AD187" s="8"/>
      <c r="AE187" s="8"/>
      <c r="AF187" s="8"/>
      <c r="AG187" s="172"/>
      <c r="AH187" s="172"/>
      <c r="AI187" s="367"/>
      <c r="AJ187" s="362"/>
      <c r="AK187" s="363" t="str">
        <f>IFERROR(__xludf.DUMMYFUNCTION("IFERROR(if(D189&lt;&gt;"""", 
  AVERAGE(
    QUERY(
      IMPORTRANGE(""1-uH1wy6jSm5jYL9je6fN1K5RJ5QMvHntodEHZRtIvTk"", ""All Data!N2:U""),
      ""select Col8 where Col1 = '"" &amp; D189 &amp; ""' and Col8 is not null"",
      0
    )
  )/100,
""""),
  """"
)
"),"")</f>
        <v/>
      </c>
    </row>
    <row r="188">
      <c r="D188" s="172"/>
      <c r="E188" s="368"/>
      <c r="F188" s="368"/>
      <c r="G188" s="368"/>
      <c r="H188" s="172"/>
      <c r="I188" s="172"/>
      <c r="J188" s="172"/>
      <c r="K188" s="172"/>
      <c r="L188" s="172"/>
      <c r="M188" s="172"/>
      <c r="N188" s="172"/>
      <c r="O188" s="358"/>
      <c r="P188" s="358"/>
      <c r="Q188" s="358">
        <f t="shared" si="15"/>
        <v>0</v>
      </c>
      <c r="R188" s="366" t="str">
        <f t="shared" si="13"/>
        <v/>
      </c>
      <c r="S188" s="359">
        <f t="shared" si="14"/>
        <v>0.7047720401</v>
      </c>
      <c r="T188" s="8"/>
      <c r="U188" s="8"/>
      <c r="V188" s="8"/>
      <c r="W188" s="172"/>
      <c r="X188" s="172"/>
      <c r="Y188" s="8"/>
      <c r="Z188" s="8"/>
      <c r="AA188" s="8"/>
      <c r="AB188" s="172"/>
      <c r="AC188" s="172"/>
      <c r="AD188" s="8"/>
      <c r="AE188" s="8"/>
      <c r="AF188" s="8"/>
      <c r="AG188" s="172"/>
      <c r="AH188" s="172"/>
      <c r="AI188" s="367"/>
      <c r="AJ188" s="362"/>
      <c r="AK188" s="363" t="str">
        <f>IFERROR(__xludf.DUMMYFUNCTION("IFERROR(if(D190&lt;&gt;"""", 
  AVERAGE(
    QUERY(
      IMPORTRANGE(""1-uH1wy6jSm5jYL9je6fN1K5RJ5QMvHntodEHZRtIvTk"", ""All Data!N2:U""),
      ""select Col8 where Col1 = '"" &amp; D190 &amp; ""' and Col8 is not null"",
      0
    )
  )/100,
""""),
  """"
)
"),"")</f>
        <v/>
      </c>
    </row>
    <row r="189">
      <c r="D189" s="172"/>
      <c r="E189" s="368"/>
      <c r="F189" s="368"/>
      <c r="G189" s="368"/>
      <c r="H189" s="172"/>
      <c r="I189" s="172"/>
      <c r="J189" s="172"/>
      <c r="K189" s="172"/>
      <c r="L189" s="172"/>
      <c r="M189" s="172"/>
      <c r="N189" s="172"/>
      <c r="O189" s="358"/>
      <c r="P189" s="358"/>
      <c r="Q189" s="358">
        <f t="shared" si="15"/>
        <v>0</v>
      </c>
      <c r="R189" s="366" t="str">
        <f t="shared" si="13"/>
        <v/>
      </c>
      <c r="S189" s="359">
        <f t="shared" si="14"/>
        <v>0.7047720401</v>
      </c>
      <c r="T189" s="8"/>
      <c r="U189" s="8"/>
      <c r="V189" s="8"/>
      <c r="W189" s="172"/>
      <c r="X189" s="172"/>
      <c r="Y189" s="8"/>
      <c r="Z189" s="8"/>
      <c r="AA189" s="8"/>
      <c r="AB189" s="172"/>
      <c r="AC189" s="172"/>
      <c r="AD189" s="8"/>
      <c r="AE189" s="8"/>
      <c r="AF189" s="8"/>
      <c r="AG189" s="172"/>
      <c r="AH189" s="172"/>
      <c r="AI189" s="367"/>
      <c r="AJ189" s="362"/>
      <c r="AK189" s="363" t="str">
        <f>IFERROR(__xludf.DUMMYFUNCTION("IFERROR(if(D191&lt;&gt;"""", 
  AVERAGE(
    QUERY(
      IMPORTRANGE(""1-uH1wy6jSm5jYL9je6fN1K5RJ5QMvHntodEHZRtIvTk"", ""All Data!N2:U""),
      ""select Col8 where Col1 = '"" &amp; D191 &amp; ""' and Col8 is not null"",
      0
    )
  )/100,
""""),
  """"
)
"),"")</f>
        <v/>
      </c>
    </row>
    <row r="190">
      <c r="D190" s="172"/>
      <c r="E190" s="368"/>
      <c r="F190" s="368"/>
      <c r="G190" s="368"/>
      <c r="H190" s="172"/>
      <c r="I190" s="172"/>
      <c r="J190" s="172"/>
      <c r="K190" s="172"/>
      <c r="L190" s="172"/>
      <c r="M190" s="172"/>
      <c r="N190" s="172"/>
      <c r="O190" s="358"/>
      <c r="P190" s="358"/>
      <c r="Q190" s="358">
        <f t="shared" si="15"/>
        <v>0</v>
      </c>
      <c r="R190" s="366" t="str">
        <f t="shared" si="13"/>
        <v/>
      </c>
      <c r="S190" s="359">
        <f t="shared" si="14"/>
        <v>0.7047720401</v>
      </c>
      <c r="T190" s="8"/>
      <c r="U190" s="8"/>
      <c r="V190" s="8"/>
      <c r="W190" s="172"/>
      <c r="X190" s="172"/>
      <c r="Y190" s="8"/>
      <c r="Z190" s="8"/>
      <c r="AA190" s="8"/>
      <c r="AB190" s="172"/>
      <c r="AC190" s="172"/>
      <c r="AD190" s="8"/>
      <c r="AE190" s="8"/>
      <c r="AF190" s="8"/>
      <c r="AG190" s="172"/>
      <c r="AH190" s="172"/>
      <c r="AI190" s="367"/>
      <c r="AJ190" s="362"/>
      <c r="AK190" s="363" t="str">
        <f>IFERROR(__xludf.DUMMYFUNCTION("IFERROR(if(D192&lt;&gt;"""", 
  AVERAGE(
    QUERY(
      IMPORTRANGE(""1-uH1wy6jSm5jYL9je6fN1K5RJ5QMvHntodEHZRtIvTk"", ""All Data!N2:U""),
      ""select Col8 where Col1 = '"" &amp; D192 &amp; ""' and Col8 is not null"",
      0
    )
  )/100,
""""),
  """"
)
"),"")</f>
        <v/>
      </c>
    </row>
    <row r="191">
      <c r="D191" s="172"/>
      <c r="E191" s="368"/>
      <c r="F191" s="368"/>
      <c r="G191" s="368"/>
      <c r="H191" s="172"/>
      <c r="I191" s="172"/>
      <c r="J191" s="172"/>
      <c r="K191" s="172"/>
      <c r="L191" s="172"/>
      <c r="M191" s="172"/>
      <c r="N191" s="172"/>
      <c r="O191" s="358"/>
      <c r="P191" s="358"/>
      <c r="Q191" s="358">
        <f t="shared" si="15"/>
        <v>0</v>
      </c>
      <c r="R191" s="366" t="str">
        <f t="shared" si="13"/>
        <v/>
      </c>
      <c r="S191" s="359">
        <f t="shared" si="14"/>
        <v>0.7047720401</v>
      </c>
      <c r="T191" s="8"/>
      <c r="U191" s="8"/>
      <c r="V191" s="8"/>
      <c r="W191" s="172"/>
      <c r="X191" s="172"/>
      <c r="Y191" s="8"/>
      <c r="Z191" s="8"/>
      <c r="AA191" s="8"/>
      <c r="AB191" s="172"/>
      <c r="AC191" s="172"/>
      <c r="AD191" s="8"/>
      <c r="AE191" s="8"/>
      <c r="AF191" s="8"/>
      <c r="AG191" s="172"/>
      <c r="AH191" s="172"/>
      <c r="AI191" s="367"/>
      <c r="AJ191" s="362"/>
      <c r="AK191" s="363" t="str">
        <f>IFERROR(__xludf.DUMMYFUNCTION("IFERROR(if(D193&lt;&gt;"""", 
  AVERAGE(
    QUERY(
      IMPORTRANGE(""1-uH1wy6jSm5jYL9je6fN1K5RJ5QMvHntodEHZRtIvTk"", ""All Data!N2:U""),
      ""select Col8 where Col1 = '"" &amp; D193 &amp; ""' and Col8 is not null"",
      0
    )
  )/100,
""""),
  """"
)
"),"")</f>
        <v/>
      </c>
    </row>
    <row r="192">
      <c r="D192" s="172"/>
      <c r="E192" s="368"/>
      <c r="F192" s="368"/>
      <c r="G192" s="368"/>
      <c r="H192" s="172"/>
      <c r="I192" s="172"/>
      <c r="J192" s="172"/>
      <c r="K192" s="172"/>
      <c r="L192" s="172"/>
      <c r="M192" s="172"/>
      <c r="N192" s="172"/>
      <c r="O192" s="358"/>
      <c r="P192" s="358"/>
      <c r="Q192" s="358">
        <f t="shared" si="15"/>
        <v>0</v>
      </c>
      <c r="R192" s="366" t="str">
        <f t="shared" si="13"/>
        <v/>
      </c>
      <c r="S192" s="359">
        <f t="shared" si="14"/>
        <v>0.7047720401</v>
      </c>
      <c r="T192" s="8"/>
      <c r="U192" s="8"/>
      <c r="V192" s="8"/>
      <c r="W192" s="172"/>
      <c r="X192" s="172"/>
      <c r="Y192" s="8"/>
      <c r="Z192" s="8"/>
      <c r="AA192" s="8"/>
      <c r="AB192" s="172"/>
      <c r="AC192" s="172"/>
      <c r="AD192" s="8"/>
      <c r="AE192" s="8"/>
      <c r="AF192" s="8"/>
      <c r="AG192" s="172"/>
      <c r="AH192" s="172"/>
      <c r="AI192" s="367"/>
      <c r="AJ192" s="362"/>
      <c r="AK192" s="363" t="str">
        <f>IFERROR(__xludf.DUMMYFUNCTION("IFERROR(if(D194&lt;&gt;"""", 
  AVERAGE(
    QUERY(
      IMPORTRANGE(""1-uH1wy6jSm5jYL9je6fN1K5RJ5QMvHntodEHZRtIvTk"", ""All Data!N2:U""),
      ""select Col8 where Col1 = '"" &amp; D194 &amp; ""' and Col8 is not null"",
      0
    )
  )/100,
""""),
  """"
)
"),"")</f>
        <v/>
      </c>
    </row>
    <row r="193">
      <c r="D193" s="172"/>
      <c r="E193" s="368"/>
      <c r="F193" s="368"/>
      <c r="G193" s="368"/>
      <c r="H193" s="172"/>
      <c r="I193" s="172"/>
      <c r="J193" s="172"/>
      <c r="K193" s="172"/>
      <c r="L193" s="172"/>
      <c r="M193" s="172"/>
      <c r="N193" s="172"/>
      <c r="O193" s="358"/>
      <c r="P193" s="358"/>
      <c r="Q193" s="358">
        <f t="shared" si="15"/>
        <v>0</v>
      </c>
      <c r="R193" s="366" t="str">
        <f t="shared" si="13"/>
        <v/>
      </c>
      <c r="S193" s="359">
        <f t="shared" si="14"/>
        <v>0.7047720401</v>
      </c>
      <c r="T193" s="8"/>
      <c r="U193" s="8"/>
      <c r="V193" s="8"/>
      <c r="W193" s="172"/>
      <c r="X193" s="172"/>
      <c r="Y193" s="8"/>
      <c r="Z193" s="8"/>
      <c r="AA193" s="8"/>
      <c r="AB193" s="172"/>
      <c r="AC193" s="172"/>
      <c r="AD193" s="8"/>
      <c r="AE193" s="8"/>
      <c r="AF193" s="8"/>
      <c r="AG193" s="172"/>
      <c r="AH193" s="172"/>
      <c r="AI193" s="367"/>
      <c r="AJ193" s="362"/>
      <c r="AK193" s="363" t="str">
        <f>IFERROR(__xludf.DUMMYFUNCTION("IFERROR(if(D195&lt;&gt;"""", 
  AVERAGE(
    QUERY(
      IMPORTRANGE(""1-uH1wy6jSm5jYL9je6fN1K5RJ5QMvHntodEHZRtIvTk"", ""All Data!N2:U""),
      ""select Col8 where Col1 = '"" &amp; D195 &amp; ""' and Col8 is not null"",
      0
    )
  )/100,
""""),
  """"
)
"),"")</f>
        <v/>
      </c>
    </row>
    <row r="194">
      <c r="D194" s="172"/>
      <c r="E194" s="368"/>
      <c r="F194" s="368"/>
      <c r="G194" s="368"/>
      <c r="H194" s="172"/>
      <c r="I194" s="172"/>
      <c r="J194" s="172"/>
      <c r="K194" s="172"/>
      <c r="L194" s="172"/>
      <c r="M194" s="172"/>
      <c r="N194" s="172"/>
      <c r="O194" s="358"/>
      <c r="P194" s="358"/>
      <c r="Q194" s="358">
        <f t="shared" si="15"/>
        <v>0</v>
      </c>
      <c r="R194" s="366" t="str">
        <f t="shared" si="13"/>
        <v/>
      </c>
      <c r="S194" s="359">
        <f t="shared" si="14"/>
        <v>0.7047720401</v>
      </c>
      <c r="T194" s="8"/>
      <c r="U194" s="8"/>
      <c r="V194" s="8"/>
      <c r="W194" s="172"/>
      <c r="X194" s="172"/>
      <c r="Y194" s="8"/>
      <c r="Z194" s="8"/>
      <c r="AA194" s="8"/>
      <c r="AB194" s="172"/>
      <c r="AC194" s="172"/>
      <c r="AD194" s="8"/>
      <c r="AE194" s="8"/>
      <c r="AF194" s="8"/>
      <c r="AG194" s="172"/>
      <c r="AH194" s="172"/>
      <c r="AI194" s="367"/>
      <c r="AJ194" s="362"/>
      <c r="AK194" s="363" t="str">
        <f>IFERROR(__xludf.DUMMYFUNCTION("IFERROR(if(D196&lt;&gt;"""", 
  AVERAGE(
    QUERY(
      IMPORTRANGE(""1-uH1wy6jSm5jYL9je6fN1K5RJ5QMvHntodEHZRtIvTk"", ""All Data!N2:U""),
      ""select Col8 where Col1 = '"" &amp; D196 &amp; ""' and Col8 is not null"",
      0
    )
  )/100,
""""),
  """"
)
"),"")</f>
        <v/>
      </c>
    </row>
    <row r="195">
      <c r="D195" s="172"/>
      <c r="E195" s="368"/>
      <c r="F195" s="368"/>
      <c r="G195" s="368"/>
      <c r="H195" s="172"/>
      <c r="I195" s="172"/>
      <c r="J195" s="172"/>
      <c r="K195" s="172"/>
      <c r="L195" s="172"/>
      <c r="M195" s="172"/>
      <c r="N195" s="172"/>
      <c r="O195" s="358"/>
      <c r="P195" s="358"/>
      <c r="Q195" s="358">
        <f t="shared" si="15"/>
        <v>0</v>
      </c>
      <c r="R195" s="366" t="str">
        <f t="shared" si="13"/>
        <v/>
      </c>
      <c r="S195" s="359">
        <f t="shared" si="14"/>
        <v>0.7047720401</v>
      </c>
      <c r="T195" s="8"/>
      <c r="U195" s="8"/>
      <c r="V195" s="8"/>
      <c r="W195" s="172"/>
      <c r="X195" s="172"/>
      <c r="Y195" s="8"/>
      <c r="Z195" s="8"/>
      <c r="AA195" s="8"/>
      <c r="AB195" s="172"/>
      <c r="AC195" s="172"/>
      <c r="AD195" s="8"/>
      <c r="AE195" s="8"/>
      <c r="AF195" s="8"/>
      <c r="AG195" s="172"/>
      <c r="AH195" s="172"/>
      <c r="AI195" s="367"/>
      <c r="AJ195" s="362"/>
      <c r="AK195" s="363" t="str">
        <f>IFERROR(__xludf.DUMMYFUNCTION("IFERROR(if(D197&lt;&gt;"""", 
  AVERAGE(
    QUERY(
      IMPORTRANGE(""1-uH1wy6jSm5jYL9je6fN1K5RJ5QMvHntodEHZRtIvTk"", ""All Data!N2:U""),
      ""select Col8 where Col1 = '"" &amp; D197 &amp; ""' and Col8 is not null"",
      0
    )
  )/100,
""""),
  """"
)
"),"")</f>
        <v/>
      </c>
    </row>
    <row r="196">
      <c r="D196" s="172"/>
      <c r="E196" s="368"/>
      <c r="F196" s="368"/>
      <c r="G196" s="368"/>
      <c r="H196" s="172"/>
      <c r="I196" s="172"/>
      <c r="J196" s="172"/>
      <c r="K196" s="172"/>
      <c r="L196" s="172"/>
      <c r="M196" s="172"/>
      <c r="N196" s="172"/>
      <c r="O196" s="358"/>
      <c r="P196" s="358"/>
      <c r="Q196" s="358">
        <f t="shared" si="15"/>
        <v>0</v>
      </c>
      <c r="R196" s="366" t="str">
        <f t="shared" si="13"/>
        <v/>
      </c>
      <c r="S196" s="359">
        <f t="shared" si="14"/>
        <v>0.7047720401</v>
      </c>
      <c r="T196" s="8"/>
      <c r="U196" s="8"/>
      <c r="V196" s="8"/>
      <c r="W196" s="172"/>
      <c r="X196" s="172"/>
      <c r="Y196" s="8"/>
      <c r="Z196" s="8"/>
      <c r="AA196" s="8"/>
      <c r="AB196" s="172"/>
      <c r="AC196" s="172"/>
      <c r="AD196" s="8"/>
      <c r="AE196" s="8"/>
      <c r="AF196" s="8"/>
      <c r="AG196" s="172"/>
      <c r="AH196" s="172"/>
      <c r="AI196" s="367"/>
      <c r="AJ196" s="362"/>
      <c r="AK196" s="363" t="str">
        <f>IFERROR(__xludf.DUMMYFUNCTION("IFERROR(if(D198&lt;&gt;"""", 
  AVERAGE(
    QUERY(
      IMPORTRANGE(""1-uH1wy6jSm5jYL9je6fN1K5RJ5QMvHntodEHZRtIvTk"", ""All Data!N2:U""),
      ""select Col8 where Col1 = '"" &amp; D198 &amp; ""' and Col8 is not null"",
      0
    )
  )/100,
""""),
  """"
)
"),"")</f>
        <v/>
      </c>
    </row>
    <row r="197">
      <c r="D197" s="172"/>
      <c r="E197" s="368"/>
      <c r="F197" s="368"/>
      <c r="G197" s="368"/>
      <c r="H197" s="172"/>
      <c r="I197" s="172"/>
      <c r="J197" s="172"/>
      <c r="K197" s="172"/>
      <c r="L197" s="172"/>
      <c r="M197" s="172"/>
      <c r="N197" s="172"/>
      <c r="O197" s="358"/>
      <c r="P197" s="358"/>
      <c r="Q197" s="358">
        <f t="shared" si="15"/>
        <v>0</v>
      </c>
      <c r="R197" s="366" t="str">
        <f t="shared" si="13"/>
        <v/>
      </c>
      <c r="S197" s="359">
        <f t="shared" si="14"/>
        <v>0.7047720401</v>
      </c>
      <c r="T197" s="8"/>
      <c r="U197" s="8"/>
      <c r="V197" s="8"/>
      <c r="W197" s="172"/>
      <c r="X197" s="172"/>
      <c r="Y197" s="8"/>
      <c r="Z197" s="8"/>
      <c r="AA197" s="8"/>
      <c r="AB197" s="172"/>
      <c r="AC197" s="172"/>
      <c r="AD197" s="8"/>
      <c r="AE197" s="8"/>
      <c r="AF197" s="8"/>
      <c r="AG197" s="172"/>
      <c r="AH197" s="172"/>
      <c r="AI197" s="367"/>
      <c r="AJ197" s="362"/>
      <c r="AK197" s="363" t="str">
        <f>IFERROR(__xludf.DUMMYFUNCTION("IFERROR(if(D199&lt;&gt;"""", 
  AVERAGE(
    QUERY(
      IMPORTRANGE(""1-uH1wy6jSm5jYL9je6fN1K5RJ5QMvHntodEHZRtIvTk"", ""All Data!N2:U""),
      ""select Col8 where Col1 = '"" &amp; D199 &amp; ""' and Col8 is not null"",
      0
    )
  )/100,
""""),
  """"
)
"),"")</f>
        <v/>
      </c>
    </row>
    <row r="198">
      <c r="D198" s="172"/>
      <c r="E198" s="368"/>
      <c r="F198" s="368"/>
      <c r="G198" s="368"/>
      <c r="H198" s="172"/>
      <c r="I198" s="172"/>
      <c r="J198" s="172"/>
      <c r="K198" s="172"/>
      <c r="L198" s="172"/>
      <c r="M198" s="172"/>
      <c r="N198" s="172"/>
      <c r="O198" s="358"/>
      <c r="P198" s="358"/>
      <c r="Q198" s="358">
        <f t="shared" si="15"/>
        <v>0</v>
      </c>
      <c r="R198" s="366" t="str">
        <f t="shared" si="13"/>
        <v/>
      </c>
      <c r="S198" s="359">
        <f t="shared" si="14"/>
        <v>0.7047720401</v>
      </c>
      <c r="T198" s="8"/>
      <c r="U198" s="8"/>
      <c r="V198" s="8"/>
      <c r="W198" s="172"/>
      <c r="X198" s="172"/>
      <c r="Y198" s="8"/>
      <c r="Z198" s="8"/>
      <c r="AA198" s="8"/>
      <c r="AB198" s="172"/>
      <c r="AC198" s="172"/>
      <c r="AD198" s="8"/>
      <c r="AE198" s="8"/>
      <c r="AF198" s="8"/>
      <c r="AG198" s="172"/>
      <c r="AH198" s="172"/>
      <c r="AI198" s="367"/>
      <c r="AJ198" s="362"/>
      <c r="AK198" s="363" t="str">
        <f>IFERROR(__xludf.DUMMYFUNCTION("IFERROR(if(D200&lt;&gt;"""", 
  AVERAGE(
    QUERY(
      IMPORTRANGE(""1-uH1wy6jSm5jYL9je6fN1K5RJ5QMvHntodEHZRtIvTk"", ""All Data!N2:U""),
      ""select Col8 where Col1 = '"" &amp; D200 &amp; ""' and Col8 is not null"",
      0
    )
  )/100,
""""),
  """"
)
"),"")</f>
        <v/>
      </c>
    </row>
    <row r="199">
      <c r="D199" s="172"/>
      <c r="E199" s="368"/>
      <c r="F199" s="368"/>
      <c r="G199" s="368"/>
      <c r="H199" s="172"/>
      <c r="I199" s="172"/>
      <c r="J199" s="172"/>
      <c r="K199" s="172"/>
      <c r="L199" s="172"/>
      <c r="M199" s="172"/>
      <c r="N199" s="172"/>
      <c r="O199" s="358"/>
      <c r="P199" s="358"/>
      <c r="Q199" s="358">
        <f t="shared" si="15"/>
        <v>0</v>
      </c>
      <c r="R199" s="366" t="str">
        <f t="shared" si="13"/>
        <v/>
      </c>
      <c r="S199" s="359">
        <f t="shared" si="14"/>
        <v>0.7047720401</v>
      </c>
      <c r="T199" s="8"/>
      <c r="U199" s="8"/>
      <c r="V199" s="8"/>
      <c r="W199" s="172"/>
      <c r="X199" s="172"/>
      <c r="Y199" s="8"/>
      <c r="Z199" s="8"/>
      <c r="AA199" s="8"/>
      <c r="AB199" s="172"/>
      <c r="AC199" s="172"/>
      <c r="AD199" s="8"/>
      <c r="AE199" s="8"/>
      <c r="AF199" s="8"/>
      <c r="AG199" s="172"/>
      <c r="AH199" s="172"/>
      <c r="AI199" s="367"/>
      <c r="AJ199" s="362"/>
      <c r="AK199" s="363" t="str">
        <f>IFERROR(__xludf.DUMMYFUNCTION("IFERROR(if(D201&lt;&gt;"""", 
  AVERAGE(
    QUERY(
      IMPORTRANGE(""1-uH1wy6jSm5jYL9je6fN1K5RJ5QMvHntodEHZRtIvTk"", ""All Data!N2:U""),
      ""select Col8 where Col1 = '"" &amp; D201 &amp; ""' and Col8 is not null"",
      0
    )
  )/100,
""""),
  """"
)
"),"")</f>
        <v/>
      </c>
    </row>
    <row r="200">
      <c r="D200" s="172"/>
      <c r="E200" s="368"/>
      <c r="F200" s="368"/>
      <c r="G200" s="368"/>
      <c r="H200" s="172"/>
      <c r="I200" s="172"/>
      <c r="J200" s="172"/>
      <c r="K200" s="172"/>
      <c r="L200" s="172"/>
      <c r="M200" s="172"/>
      <c r="N200" s="172"/>
      <c r="O200" s="358"/>
      <c r="P200" s="358"/>
      <c r="Q200" s="358">
        <f t="shared" si="15"/>
        <v>0</v>
      </c>
      <c r="R200" s="366" t="str">
        <f t="shared" si="13"/>
        <v/>
      </c>
      <c r="S200" s="359">
        <f t="shared" si="14"/>
        <v>0.7047720401</v>
      </c>
      <c r="T200" s="8"/>
      <c r="U200" s="8"/>
      <c r="V200" s="8"/>
      <c r="W200" s="172"/>
      <c r="X200" s="172"/>
      <c r="Y200" s="8"/>
      <c r="Z200" s="8"/>
      <c r="AA200" s="8"/>
      <c r="AB200" s="172"/>
      <c r="AC200" s="172"/>
      <c r="AD200" s="8"/>
      <c r="AE200" s="8"/>
      <c r="AF200" s="8"/>
      <c r="AG200" s="172"/>
      <c r="AH200" s="172"/>
      <c r="AI200" s="367"/>
      <c r="AJ200" s="362"/>
      <c r="AK200" s="363" t="str">
        <f>IFERROR(__xludf.DUMMYFUNCTION("IFERROR(if(D202&lt;&gt;"""", 
  AVERAGE(
    QUERY(
      IMPORTRANGE(""1-uH1wy6jSm5jYL9je6fN1K5RJ5QMvHntodEHZRtIvTk"", ""All Data!N2:U""),
      ""select Col8 where Col1 = '"" &amp; D202 &amp; ""' and Col8 is not null"",
      0
    )
  )/100,
""""),
  """"
)
"),"")</f>
        <v/>
      </c>
    </row>
    <row r="201">
      <c r="D201" s="172"/>
      <c r="E201" s="368"/>
      <c r="F201" s="368"/>
      <c r="G201" s="368"/>
      <c r="H201" s="172"/>
      <c r="I201" s="172"/>
      <c r="J201" s="172"/>
      <c r="K201" s="172"/>
      <c r="L201" s="172"/>
      <c r="M201" s="172"/>
      <c r="N201" s="172"/>
      <c r="O201" s="358"/>
      <c r="P201" s="358"/>
      <c r="Q201" s="358">
        <f t="shared" si="15"/>
        <v>0</v>
      </c>
      <c r="R201" s="366" t="str">
        <f t="shared" si="13"/>
        <v/>
      </c>
      <c r="S201" s="359">
        <f t="shared" si="14"/>
        <v>0.7047720401</v>
      </c>
      <c r="T201" s="8"/>
      <c r="U201" s="8"/>
      <c r="V201" s="8"/>
      <c r="W201" s="172"/>
      <c r="X201" s="172"/>
      <c r="Y201" s="8"/>
      <c r="Z201" s="8"/>
      <c r="AA201" s="8"/>
      <c r="AB201" s="172"/>
      <c r="AC201" s="172"/>
      <c r="AD201" s="8"/>
      <c r="AE201" s="8"/>
      <c r="AF201" s="8"/>
      <c r="AG201" s="172"/>
      <c r="AH201" s="172"/>
      <c r="AI201" s="367"/>
      <c r="AJ201" s="362"/>
      <c r="AK201" s="363" t="str">
        <f>IFERROR(__xludf.DUMMYFUNCTION("IFERROR(if(D203&lt;&gt;"""", 
  AVERAGE(
    QUERY(
      IMPORTRANGE(""1-uH1wy6jSm5jYL9je6fN1K5RJ5QMvHntodEHZRtIvTk"", ""All Data!N2:U""),
      ""select Col8 where Col1 = '"" &amp; D203 &amp; ""' and Col8 is not null"",
      0
    )
  )/100,
""""),
  """"
)
"),"")</f>
        <v/>
      </c>
    </row>
    <row r="202">
      <c r="D202" s="172"/>
      <c r="E202" s="368"/>
      <c r="F202" s="368"/>
      <c r="G202" s="368"/>
      <c r="H202" s="172"/>
      <c r="I202" s="172"/>
      <c r="J202" s="172"/>
      <c r="K202" s="172"/>
      <c r="L202" s="172"/>
      <c r="M202" s="172"/>
      <c r="N202" s="172"/>
      <c r="O202" s="358"/>
      <c r="P202" s="358"/>
      <c r="Q202" s="358">
        <f t="shared" si="15"/>
        <v>0</v>
      </c>
      <c r="R202" s="366" t="str">
        <f t="shared" si="13"/>
        <v/>
      </c>
      <c r="S202" s="359">
        <f t="shared" si="14"/>
        <v>0.7047720401</v>
      </c>
      <c r="T202" s="8"/>
      <c r="U202" s="8"/>
      <c r="V202" s="8"/>
      <c r="W202" s="172"/>
      <c r="X202" s="172"/>
      <c r="Y202" s="8"/>
      <c r="Z202" s="8"/>
      <c r="AA202" s="8"/>
      <c r="AB202" s="172"/>
      <c r="AC202" s="172"/>
      <c r="AD202" s="8"/>
      <c r="AE202" s="8"/>
      <c r="AF202" s="8"/>
      <c r="AG202" s="172"/>
      <c r="AH202" s="172"/>
      <c r="AI202" s="367"/>
      <c r="AJ202" s="362"/>
      <c r="AK202" s="363" t="str">
        <f>IFERROR(__xludf.DUMMYFUNCTION("IFERROR(if(D204&lt;&gt;"""", 
  AVERAGE(
    QUERY(
      IMPORTRANGE(""1-uH1wy6jSm5jYL9je6fN1K5RJ5QMvHntodEHZRtIvTk"", ""All Data!N2:U""),
      ""select Col8 where Col1 = '"" &amp; D204 &amp; ""' and Col8 is not null"",
      0
    )
  )/100,
""""),
  """"
)
"),"")</f>
        <v/>
      </c>
    </row>
    <row r="203">
      <c r="D203" s="172"/>
      <c r="E203" s="368"/>
      <c r="F203" s="368"/>
      <c r="G203" s="368"/>
      <c r="H203" s="172"/>
      <c r="I203" s="172"/>
      <c r="J203" s="172"/>
      <c r="K203" s="172"/>
      <c r="L203" s="172"/>
      <c r="M203" s="172"/>
      <c r="N203" s="172"/>
      <c r="O203" s="358"/>
      <c r="P203" s="358"/>
      <c r="Q203" s="358">
        <f t="shared" si="15"/>
        <v>0</v>
      </c>
      <c r="R203" s="366" t="str">
        <f t="shared" si="13"/>
        <v/>
      </c>
      <c r="S203" s="359">
        <f t="shared" si="14"/>
        <v>0.7047720401</v>
      </c>
      <c r="T203" s="8"/>
      <c r="U203" s="8"/>
      <c r="V203" s="8"/>
      <c r="W203" s="172"/>
      <c r="X203" s="172"/>
      <c r="Y203" s="8"/>
      <c r="Z203" s="8"/>
      <c r="AA203" s="8"/>
      <c r="AB203" s="172"/>
      <c r="AC203" s="172"/>
      <c r="AD203" s="8"/>
      <c r="AE203" s="8"/>
      <c r="AF203" s="8"/>
      <c r="AG203" s="172"/>
      <c r="AH203" s="172"/>
      <c r="AI203" s="367"/>
      <c r="AJ203" s="362"/>
      <c r="AK203" s="363" t="str">
        <f>IFERROR(__xludf.DUMMYFUNCTION("IFERROR(if(D205&lt;&gt;"""", 
  AVERAGE(
    QUERY(
      IMPORTRANGE(""1-uH1wy6jSm5jYL9je6fN1K5RJ5QMvHntodEHZRtIvTk"", ""All Data!N2:U""),
      ""select Col8 where Col1 = '"" &amp; D205 &amp; ""' and Col8 is not null"",
      0
    )
  )/100,
""""),
  """"
)
"),"")</f>
        <v/>
      </c>
    </row>
    <row r="204">
      <c r="D204" s="172"/>
      <c r="E204" s="368"/>
      <c r="F204" s="368"/>
      <c r="G204" s="368"/>
      <c r="H204" s="172"/>
      <c r="I204" s="172"/>
      <c r="J204" s="172"/>
      <c r="K204" s="172"/>
      <c r="L204" s="172"/>
      <c r="M204" s="172"/>
      <c r="N204" s="172"/>
      <c r="O204" s="358"/>
      <c r="P204" s="358"/>
      <c r="Q204" s="358">
        <f t="shared" si="15"/>
        <v>0</v>
      </c>
      <c r="R204" s="366" t="str">
        <f t="shared" si="13"/>
        <v/>
      </c>
      <c r="S204" s="359">
        <f t="shared" si="14"/>
        <v>0.7047720401</v>
      </c>
      <c r="T204" s="8"/>
      <c r="U204" s="8"/>
      <c r="V204" s="8"/>
      <c r="W204" s="172"/>
      <c r="X204" s="172"/>
      <c r="Y204" s="8"/>
      <c r="Z204" s="8"/>
      <c r="AA204" s="8"/>
      <c r="AB204" s="172"/>
      <c r="AC204" s="172"/>
      <c r="AD204" s="8"/>
      <c r="AE204" s="8"/>
      <c r="AF204" s="8"/>
      <c r="AG204" s="172"/>
      <c r="AH204" s="172"/>
      <c r="AI204" s="367"/>
      <c r="AJ204" s="362"/>
      <c r="AK204" s="363" t="str">
        <f>IFERROR(__xludf.DUMMYFUNCTION("IFERROR(if(D206&lt;&gt;"""", 
  AVERAGE(
    QUERY(
      IMPORTRANGE(""1-uH1wy6jSm5jYL9je6fN1K5RJ5QMvHntodEHZRtIvTk"", ""All Data!N2:U""),
      ""select Col8 where Col1 = '"" &amp; D206 &amp; ""' and Col8 is not null"",
      0
    )
  )/100,
""""),
  """"
)
"),"")</f>
        <v/>
      </c>
    </row>
    <row r="205">
      <c r="D205" s="172"/>
      <c r="E205" s="368"/>
      <c r="F205" s="368"/>
      <c r="G205" s="368"/>
      <c r="H205" s="172"/>
      <c r="I205" s="172"/>
      <c r="J205" s="172"/>
      <c r="K205" s="172"/>
      <c r="L205" s="172"/>
      <c r="M205" s="172"/>
      <c r="N205" s="172"/>
      <c r="O205" s="358"/>
      <c r="P205" s="358"/>
      <c r="Q205" s="358">
        <f t="shared" si="15"/>
        <v>0</v>
      </c>
      <c r="R205" s="366" t="str">
        <f t="shared" si="13"/>
        <v/>
      </c>
      <c r="S205" s="359">
        <f t="shared" si="14"/>
        <v>0.7047720401</v>
      </c>
      <c r="T205" s="8"/>
      <c r="U205" s="8"/>
      <c r="V205" s="8"/>
      <c r="W205" s="172"/>
      <c r="X205" s="172"/>
      <c r="Y205" s="8"/>
      <c r="Z205" s="8"/>
      <c r="AA205" s="8"/>
      <c r="AB205" s="172"/>
      <c r="AC205" s="172"/>
      <c r="AD205" s="8"/>
      <c r="AE205" s="8"/>
      <c r="AF205" s="8"/>
      <c r="AG205" s="172"/>
      <c r="AH205" s="172"/>
      <c r="AI205" s="367"/>
      <c r="AJ205" s="362"/>
      <c r="AK205" s="363" t="str">
        <f>IFERROR(__xludf.DUMMYFUNCTION("IFERROR(if(D207&lt;&gt;"""", 
  AVERAGE(
    QUERY(
      IMPORTRANGE(""1-uH1wy6jSm5jYL9je6fN1K5RJ5QMvHntodEHZRtIvTk"", ""All Data!N2:U""),
      ""select Col8 where Col1 = '"" &amp; D207 &amp; ""' and Col8 is not null"",
      0
    )
  )/100,
""""),
  """"
)
"),"")</f>
        <v/>
      </c>
    </row>
    <row r="206">
      <c r="D206" s="172"/>
      <c r="E206" s="368"/>
      <c r="F206" s="368"/>
      <c r="G206" s="368"/>
      <c r="H206" s="172"/>
      <c r="I206" s="172"/>
      <c r="J206" s="172"/>
      <c r="K206" s="172"/>
      <c r="L206" s="172"/>
      <c r="M206" s="172"/>
      <c r="N206" s="172"/>
      <c r="O206" s="358"/>
      <c r="P206" s="358"/>
      <c r="Q206" s="358">
        <f t="shared" si="15"/>
        <v>0</v>
      </c>
      <c r="R206" s="366" t="str">
        <f t="shared" si="13"/>
        <v/>
      </c>
      <c r="S206" s="359">
        <f t="shared" si="14"/>
        <v>0.7047720401</v>
      </c>
      <c r="T206" s="8"/>
      <c r="U206" s="8"/>
      <c r="V206" s="8"/>
      <c r="W206" s="172"/>
      <c r="X206" s="172"/>
      <c r="Y206" s="8"/>
      <c r="Z206" s="8"/>
      <c r="AA206" s="8"/>
      <c r="AB206" s="172"/>
      <c r="AC206" s="172"/>
      <c r="AD206" s="8"/>
      <c r="AE206" s="8"/>
      <c r="AF206" s="8"/>
      <c r="AG206" s="172"/>
      <c r="AH206" s="172"/>
      <c r="AI206" s="367"/>
      <c r="AJ206" s="362"/>
      <c r="AK206" s="363" t="str">
        <f>IFERROR(__xludf.DUMMYFUNCTION("IFERROR(if(D208&lt;&gt;"""", 
  AVERAGE(
    QUERY(
      IMPORTRANGE(""1-uH1wy6jSm5jYL9je6fN1K5RJ5QMvHntodEHZRtIvTk"", ""All Data!N2:U""),
      ""select Col8 where Col1 = '"" &amp; D208 &amp; ""' and Col8 is not null"",
      0
    )
  )/100,
""""),
  """"
)
"),"")</f>
        <v/>
      </c>
    </row>
    <row r="207">
      <c r="D207" s="172"/>
      <c r="E207" s="368"/>
      <c r="F207" s="368"/>
      <c r="G207" s="368"/>
      <c r="H207" s="172"/>
      <c r="I207" s="172"/>
      <c r="J207" s="172"/>
      <c r="K207" s="172"/>
      <c r="L207" s="172"/>
      <c r="M207" s="172"/>
      <c r="N207" s="172"/>
      <c r="O207" s="358"/>
      <c r="P207" s="358"/>
      <c r="Q207" s="358">
        <f t="shared" si="15"/>
        <v>0</v>
      </c>
      <c r="R207" s="366" t="str">
        <f t="shared" si="13"/>
        <v/>
      </c>
      <c r="S207" s="359">
        <f t="shared" si="14"/>
        <v>0.7047720401</v>
      </c>
      <c r="T207" s="8"/>
      <c r="U207" s="8"/>
      <c r="V207" s="8"/>
      <c r="W207" s="172"/>
      <c r="X207" s="172"/>
      <c r="Y207" s="8"/>
      <c r="Z207" s="8"/>
      <c r="AA207" s="8"/>
      <c r="AB207" s="172"/>
      <c r="AC207" s="172"/>
      <c r="AD207" s="8"/>
      <c r="AE207" s="8"/>
      <c r="AF207" s="8"/>
      <c r="AG207" s="172"/>
      <c r="AH207" s="172"/>
      <c r="AI207" s="367"/>
      <c r="AJ207" s="362"/>
      <c r="AK207" s="363" t="str">
        <f>IFERROR(__xludf.DUMMYFUNCTION("IFERROR(if(D209&lt;&gt;"""", 
  AVERAGE(
    QUERY(
      IMPORTRANGE(""1-uH1wy6jSm5jYL9je6fN1K5RJ5QMvHntodEHZRtIvTk"", ""All Data!N2:U""),
      ""select Col8 where Col1 = '"" &amp; D209 &amp; ""' and Col8 is not null"",
      0
    )
  )/100,
""""),
  """"
)
"),"")</f>
        <v/>
      </c>
    </row>
    <row r="208">
      <c r="D208" s="172"/>
      <c r="E208" s="368"/>
      <c r="F208" s="368"/>
      <c r="G208" s="368"/>
      <c r="H208" s="172"/>
      <c r="I208" s="172"/>
      <c r="J208" s="172"/>
      <c r="K208" s="172"/>
      <c r="L208" s="172"/>
      <c r="M208" s="172"/>
      <c r="N208" s="172"/>
      <c r="O208" s="358"/>
      <c r="P208" s="358"/>
      <c r="Q208" s="358">
        <f t="shared" si="15"/>
        <v>0</v>
      </c>
      <c r="R208" s="366" t="str">
        <f t="shared" si="13"/>
        <v/>
      </c>
      <c r="S208" s="359">
        <f t="shared" si="14"/>
        <v>0.7047720401</v>
      </c>
      <c r="T208" s="8"/>
      <c r="U208" s="8"/>
      <c r="V208" s="8"/>
      <c r="W208" s="172"/>
      <c r="X208" s="172"/>
      <c r="Y208" s="8"/>
      <c r="Z208" s="8"/>
      <c r="AA208" s="8"/>
      <c r="AB208" s="172"/>
      <c r="AC208" s="172"/>
      <c r="AD208" s="8"/>
      <c r="AE208" s="8"/>
      <c r="AF208" s="8"/>
      <c r="AG208" s="172"/>
      <c r="AH208" s="172"/>
      <c r="AI208" s="367"/>
      <c r="AJ208" s="362"/>
      <c r="AK208" s="363" t="str">
        <f>IFERROR(__xludf.DUMMYFUNCTION("IFERROR(if(D210&lt;&gt;"""", 
  AVERAGE(
    QUERY(
      IMPORTRANGE(""1-uH1wy6jSm5jYL9je6fN1K5RJ5QMvHntodEHZRtIvTk"", ""All Data!N2:U""),
      ""select Col8 where Col1 = '"" &amp; D210 &amp; ""' and Col8 is not null"",
      0
    )
  )/100,
""""),
  """"
)
"),"")</f>
        <v/>
      </c>
    </row>
    <row r="209">
      <c r="D209" s="172"/>
      <c r="E209" s="368"/>
      <c r="F209" s="368"/>
      <c r="G209" s="368"/>
      <c r="H209" s="172"/>
      <c r="I209" s="172"/>
      <c r="J209" s="172"/>
      <c r="K209" s="172"/>
      <c r="L209" s="172"/>
      <c r="M209" s="172"/>
      <c r="N209" s="172"/>
      <c r="O209" s="358"/>
      <c r="P209" s="358"/>
      <c r="Q209" s="358">
        <f t="shared" si="15"/>
        <v>0</v>
      </c>
      <c r="R209" s="366" t="str">
        <f t="shared" si="13"/>
        <v/>
      </c>
      <c r="S209" s="359">
        <f t="shared" si="14"/>
        <v>0.7047720401</v>
      </c>
      <c r="T209" s="8"/>
      <c r="U209" s="8"/>
      <c r="V209" s="8"/>
      <c r="W209" s="172"/>
      <c r="X209" s="172"/>
      <c r="Y209" s="8"/>
      <c r="Z209" s="8"/>
      <c r="AA209" s="8"/>
      <c r="AB209" s="172"/>
      <c r="AC209" s="172"/>
      <c r="AD209" s="8"/>
      <c r="AE209" s="8"/>
      <c r="AF209" s="8"/>
      <c r="AG209" s="172"/>
      <c r="AH209" s="172"/>
      <c r="AI209" s="367"/>
      <c r="AJ209" s="362"/>
      <c r="AK209" s="363" t="str">
        <f>IFERROR(__xludf.DUMMYFUNCTION("IFERROR(if(D211&lt;&gt;"""", 
  AVERAGE(
    QUERY(
      IMPORTRANGE(""1-uH1wy6jSm5jYL9je6fN1K5RJ5QMvHntodEHZRtIvTk"", ""All Data!N2:U""),
      ""select Col8 where Col1 = '"" &amp; D211 &amp; ""' and Col8 is not null"",
      0
    )
  )/100,
""""),
  """"
)
"),"")</f>
        <v/>
      </c>
    </row>
    <row r="210">
      <c r="D210" s="172"/>
      <c r="E210" s="368"/>
      <c r="F210" s="368"/>
      <c r="G210" s="368"/>
      <c r="H210" s="172"/>
      <c r="I210" s="172"/>
      <c r="J210" s="172"/>
      <c r="K210" s="172"/>
      <c r="L210" s="172"/>
      <c r="M210" s="172"/>
      <c r="N210" s="172"/>
      <c r="O210" s="358"/>
      <c r="P210" s="358"/>
      <c r="Q210" s="358">
        <f t="shared" si="15"/>
        <v>0</v>
      </c>
      <c r="R210" s="366" t="str">
        <f t="shared" si="13"/>
        <v/>
      </c>
      <c r="S210" s="359">
        <f t="shared" si="14"/>
        <v>0.7047720401</v>
      </c>
      <c r="T210" s="8"/>
      <c r="U210" s="8"/>
      <c r="V210" s="8"/>
      <c r="W210" s="172"/>
      <c r="X210" s="172"/>
      <c r="Y210" s="8"/>
      <c r="Z210" s="8"/>
      <c r="AA210" s="8"/>
      <c r="AB210" s="172"/>
      <c r="AC210" s="172"/>
      <c r="AD210" s="8"/>
      <c r="AE210" s="8"/>
      <c r="AF210" s="8"/>
      <c r="AG210" s="172"/>
      <c r="AH210" s="172"/>
      <c r="AI210" s="367"/>
      <c r="AJ210" s="362"/>
      <c r="AK210" s="363" t="str">
        <f>IFERROR(__xludf.DUMMYFUNCTION("IFERROR(if(D212&lt;&gt;"""", 
  AVERAGE(
    QUERY(
      IMPORTRANGE(""1-uH1wy6jSm5jYL9je6fN1K5RJ5QMvHntodEHZRtIvTk"", ""All Data!N2:U""),
      ""select Col8 where Col1 = '"" &amp; D212 &amp; ""' and Col8 is not null"",
      0
    )
  )/100,
""""),
  """"
)
"),"")</f>
        <v/>
      </c>
    </row>
    <row r="211">
      <c r="D211" s="172"/>
      <c r="E211" s="368"/>
      <c r="F211" s="368"/>
      <c r="G211" s="368"/>
      <c r="H211" s="172"/>
      <c r="I211" s="172"/>
      <c r="J211" s="172"/>
      <c r="K211" s="172"/>
      <c r="L211" s="172"/>
      <c r="M211" s="172"/>
      <c r="N211" s="172"/>
      <c r="O211" s="358"/>
      <c r="P211" s="358"/>
      <c r="Q211" s="358">
        <f t="shared" si="15"/>
        <v>0</v>
      </c>
      <c r="R211" s="366" t="str">
        <f t="shared" si="13"/>
        <v/>
      </c>
      <c r="S211" s="359">
        <f t="shared" si="14"/>
        <v>0.7047720401</v>
      </c>
      <c r="T211" s="8"/>
      <c r="U211" s="8"/>
      <c r="V211" s="8"/>
      <c r="W211" s="172"/>
      <c r="X211" s="172"/>
      <c r="Y211" s="8"/>
      <c r="Z211" s="8"/>
      <c r="AA211" s="8"/>
      <c r="AB211" s="172"/>
      <c r="AC211" s="172"/>
      <c r="AD211" s="8"/>
      <c r="AE211" s="8"/>
      <c r="AF211" s="8"/>
      <c r="AG211" s="172"/>
      <c r="AH211" s="172"/>
      <c r="AI211" s="367"/>
      <c r="AJ211" s="362"/>
      <c r="AK211" s="363" t="str">
        <f>IFERROR(__xludf.DUMMYFUNCTION("IFERROR(if(D213&lt;&gt;"""", 
  AVERAGE(
    QUERY(
      IMPORTRANGE(""1-uH1wy6jSm5jYL9je6fN1K5RJ5QMvHntodEHZRtIvTk"", ""All Data!N2:U""),
      ""select Col8 where Col1 = '"" &amp; D213 &amp; ""' and Col8 is not null"",
      0
    )
  )/100,
""""),
  """"
)
"),"")</f>
        <v/>
      </c>
    </row>
    <row r="212">
      <c r="D212" s="172"/>
      <c r="E212" s="368"/>
      <c r="F212" s="368"/>
      <c r="G212" s="368"/>
      <c r="H212" s="172"/>
      <c r="I212" s="172"/>
      <c r="J212" s="172"/>
      <c r="K212" s="172"/>
      <c r="L212" s="172"/>
      <c r="M212" s="172"/>
      <c r="N212" s="172"/>
      <c r="O212" s="358"/>
      <c r="P212" s="358"/>
      <c r="Q212" s="358">
        <f t="shared" si="15"/>
        <v>0</v>
      </c>
      <c r="R212" s="366" t="str">
        <f t="shared" si="13"/>
        <v/>
      </c>
      <c r="S212" s="359">
        <f t="shared" si="14"/>
        <v>0.7047720401</v>
      </c>
      <c r="T212" s="8"/>
      <c r="U212" s="8"/>
      <c r="V212" s="8"/>
      <c r="W212" s="172"/>
      <c r="X212" s="172"/>
      <c r="Y212" s="8"/>
      <c r="Z212" s="8"/>
      <c r="AA212" s="8"/>
      <c r="AB212" s="172"/>
      <c r="AC212" s="172"/>
      <c r="AD212" s="8"/>
      <c r="AE212" s="8"/>
      <c r="AF212" s="8"/>
      <c r="AG212" s="172"/>
      <c r="AH212" s="172"/>
      <c r="AI212" s="367"/>
      <c r="AJ212" s="362"/>
      <c r="AK212" s="363" t="str">
        <f>IFERROR(__xludf.DUMMYFUNCTION("IFERROR(if(D214&lt;&gt;"""", 
  AVERAGE(
    QUERY(
      IMPORTRANGE(""1-uH1wy6jSm5jYL9je6fN1K5RJ5QMvHntodEHZRtIvTk"", ""All Data!N2:U""),
      ""select Col8 where Col1 = '"" &amp; D214 &amp; ""' and Col8 is not null"",
      0
    )
  )/100,
""""),
  """"
)
"),"")</f>
        <v/>
      </c>
    </row>
    <row r="213">
      <c r="D213" s="172"/>
      <c r="E213" s="368"/>
      <c r="F213" s="368"/>
      <c r="G213" s="368"/>
      <c r="H213" s="172"/>
      <c r="I213" s="172"/>
      <c r="J213" s="172"/>
      <c r="K213" s="172"/>
      <c r="L213" s="172"/>
      <c r="M213" s="172"/>
      <c r="N213" s="172"/>
      <c r="O213" s="358"/>
      <c r="P213" s="358"/>
      <c r="Q213" s="358">
        <f t="shared" si="15"/>
        <v>0</v>
      </c>
      <c r="R213" s="366" t="str">
        <f t="shared" si="13"/>
        <v/>
      </c>
      <c r="S213" s="359">
        <f t="shared" si="14"/>
        <v>0.7047720401</v>
      </c>
      <c r="T213" s="8"/>
      <c r="U213" s="8"/>
      <c r="V213" s="8"/>
      <c r="W213" s="172"/>
      <c r="X213" s="172"/>
      <c r="Y213" s="8"/>
      <c r="Z213" s="8"/>
      <c r="AA213" s="8"/>
      <c r="AB213" s="172"/>
      <c r="AC213" s="172"/>
      <c r="AD213" s="8"/>
      <c r="AE213" s="8"/>
      <c r="AF213" s="8"/>
      <c r="AG213" s="172"/>
      <c r="AH213" s="172"/>
      <c r="AI213" s="367"/>
      <c r="AJ213" s="362"/>
      <c r="AK213" s="363" t="str">
        <f>IFERROR(__xludf.DUMMYFUNCTION("IFERROR(if(D215&lt;&gt;"""", 
  AVERAGE(
    QUERY(
      IMPORTRANGE(""1-uH1wy6jSm5jYL9je6fN1K5RJ5QMvHntodEHZRtIvTk"", ""All Data!N2:U""),
      ""select Col8 where Col1 = '"" &amp; D215 &amp; ""' and Col8 is not null"",
      0
    )
  )/100,
""""),
  """"
)
"),"")</f>
        <v/>
      </c>
    </row>
    <row r="214">
      <c r="D214" s="172"/>
      <c r="E214" s="368"/>
      <c r="F214" s="368"/>
      <c r="G214" s="368"/>
      <c r="H214" s="172"/>
      <c r="I214" s="172"/>
      <c r="J214" s="172"/>
      <c r="K214" s="172"/>
      <c r="L214" s="172"/>
      <c r="M214" s="172"/>
      <c r="N214" s="172"/>
      <c r="O214" s="358"/>
      <c r="P214" s="358"/>
      <c r="Q214" s="358">
        <f t="shared" si="15"/>
        <v>0</v>
      </c>
      <c r="R214" s="366" t="str">
        <f t="shared" si="13"/>
        <v/>
      </c>
      <c r="S214" s="359">
        <f t="shared" si="14"/>
        <v>0.7047720401</v>
      </c>
      <c r="T214" s="8"/>
      <c r="U214" s="8"/>
      <c r="V214" s="8"/>
      <c r="W214" s="172"/>
      <c r="X214" s="172"/>
      <c r="Y214" s="8"/>
      <c r="Z214" s="8"/>
      <c r="AA214" s="8"/>
      <c r="AB214" s="172"/>
      <c r="AC214" s="172"/>
      <c r="AD214" s="8"/>
      <c r="AE214" s="8"/>
      <c r="AF214" s="8"/>
      <c r="AG214" s="172"/>
      <c r="AH214" s="172"/>
      <c r="AI214" s="367"/>
      <c r="AJ214" s="362"/>
      <c r="AK214" s="363" t="str">
        <f>IFERROR(__xludf.DUMMYFUNCTION("IFERROR(if(D216&lt;&gt;"""", 
  AVERAGE(
    QUERY(
      IMPORTRANGE(""1-uH1wy6jSm5jYL9je6fN1K5RJ5QMvHntodEHZRtIvTk"", ""All Data!N2:U""),
      ""select Col8 where Col1 = '"" &amp; D216 &amp; ""' and Col8 is not null"",
      0
    )
  )/100,
""""),
  """"
)
"),"")</f>
        <v/>
      </c>
    </row>
    <row r="215">
      <c r="D215" s="172"/>
      <c r="E215" s="368"/>
      <c r="F215" s="368"/>
      <c r="G215" s="368"/>
      <c r="H215" s="172"/>
      <c r="I215" s="172"/>
      <c r="J215" s="172"/>
      <c r="K215" s="172"/>
      <c r="L215" s="172"/>
      <c r="M215" s="172"/>
      <c r="N215" s="172"/>
      <c r="O215" s="358"/>
      <c r="P215" s="358"/>
      <c r="Q215" s="358">
        <f t="shared" si="15"/>
        <v>0</v>
      </c>
      <c r="R215" s="366" t="str">
        <f t="shared" si="13"/>
        <v/>
      </c>
      <c r="S215" s="359">
        <f t="shared" si="14"/>
        <v>0.7047720401</v>
      </c>
      <c r="T215" s="8"/>
      <c r="U215" s="8"/>
      <c r="V215" s="8"/>
      <c r="W215" s="172"/>
      <c r="X215" s="172"/>
      <c r="Y215" s="8"/>
      <c r="Z215" s="8"/>
      <c r="AA215" s="8"/>
      <c r="AB215" s="172"/>
      <c r="AC215" s="172"/>
      <c r="AD215" s="8"/>
      <c r="AE215" s="8"/>
      <c r="AF215" s="8"/>
      <c r="AG215" s="172"/>
      <c r="AH215" s="172"/>
      <c r="AI215" s="367"/>
      <c r="AJ215" s="362"/>
      <c r="AK215" s="363" t="str">
        <f>IFERROR(__xludf.DUMMYFUNCTION("IFERROR(if(D217&lt;&gt;"""", 
  AVERAGE(
    QUERY(
      IMPORTRANGE(""1-uH1wy6jSm5jYL9je6fN1K5RJ5QMvHntodEHZRtIvTk"", ""All Data!N2:U""),
      ""select Col8 where Col1 = '"" &amp; D217 &amp; ""' and Col8 is not null"",
      0
    )
  )/100,
""""),
  """"
)
"),"")</f>
        <v/>
      </c>
    </row>
    <row r="216">
      <c r="D216" s="172"/>
      <c r="E216" s="368"/>
      <c r="F216" s="368"/>
      <c r="G216" s="368"/>
      <c r="H216" s="172"/>
      <c r="I216" s="172"/>
      <c r="J216" s="172"/>
      <c r="K216" s="172"/>
      <c r="L216" s="172"/>
      <c r="M216" s="172"/>
      <c r="N216" s="172"/>
      <c r="O216" s="358"/>
      <c r="P216" s="358"/>
      <c r="Q216" s="358">
        <f t="shared" si="15"/>
        <v>0</v>
      </c>
      <c r="R216" s="366" t="str">
        <f t="shared" si="13"/>
        <v/>
      </c>
      <c r="S216" s="359">
        <f t="shared" si="14"/>
        <v>0.7047720401</v>
      </c>
      <c r="T216" s="8"/>
      <c r="U216" s="8"/>
      <c r="V216" s="8"/>
      <c r="W216" s="172"/>
      <c r="X216" s="172"/>
      <c r="Y216" s="8"/>
      <c r="Z216" s="8"/>
      <c r="AA216" s="8"/>
      <c r="AB216" s="172"/>
      <c r="AC216" s="172"/>
      <c r="AD216" s="8"/>
      <c r="AE216" s="8"/>
      <c r="AF216" s="8"/>
      <c r="AG216" s="172"/>
      <c r="AH216" s="172"/>
      <c r="AI216" s="367"/>
      <c r="AJ216" s="362"/>
      <c r="AK216" s="363" t="str">
        <f>IFERROR(__xludf.DUMMYFUNCTION("IFERROR(if(D218&lt;&gt;"""", 
  AVERAGE(
    QUERY(
      IMPORTRANGE(""1-uH1wy6jSm5jYL9je6fN1K5RJ5QMvHntodEHZRtIvTk"", ""All Data!N2:U""),
      ""select Col8 where Col1 = '"" &amp; D218 &amp; ""' and Col8 is not null"",
      0
    )
  )/100,
""""),
  """"
)
"),"")</f>
        <v/>
      </c>
    </row>
    <row r="217">
      <c r="D217" s="172"/>
      <c r="E217" s="368"/>
      <c r="F217" s="368"/>
      <c r="G217" s="368"/>
      <c r="H217" s="172"/>
      <c r="I217" s="172"/>
      <c r="J217" s="172"/>
      <c r="K217" s="172"/>
      <c r="L217" s="172"/>
      <c r="M217" s="172"/>
      <c r="N217" s="172"/>
      <c r="O217" s="358"/>
      <c r="P217" s="358"/>
      <c r="Q217" s="358">
        <f t="shared" si="15"/>
        <v>0</v>
      </c>
      <c r="R217" s="366" t="str">
        <f t="shared" si="13"/>
        <v/>
      </c>
      <c r="S217" s="359">
        <f t="shared" si="14"/>
        <v>0.7047720401</v>
      </c>
      <c r="T217" s="8"/>
      <c r="U217" s="8"/>
      <c r="V217" s="8"/>
      <c r="W217" s="172"/>
      <c r="X217" s="172"/>
      <c r="Y217" s="8"/>
      <c r="Z217" s="8"/>
      <c r="AA217" s="8"/>
      <c r="AB217" s="172"/>
      <c r="AC217" s="172"/>
      <c r="AD217" s="8"/>
      <c r="AE217" s="8"/>
      <c r="AF217" s="8"/>
      <c r="AG217" s="172"/>
      <c r="AH217" s="172"/>
      <c r="AI217" s="367"/>
      <c r="AJ217" s="362"/>
      <c r="AK217" s="363" t="str">
        <f>IFERROR(__xludf.DUMMYFUNCTION("IFERROR(if(D219&lt;&gt;"""", 
  AVERAGE(
    QUERY(
      IMPORTRANGE(""1-uH1wy6jSm5jYL9je6fN1K5RJ5QMvHntodEHZRtIvTk"", ""All Data!N2:U""),
      ""select Col8 where Col1 = '"" &amp; D219 &amp; ""' and Col8 is not null"",
      0
    )
  )/100,
""""),
  """"
)
"),"")</f>
        <v/>
      </c>
    </row>
    <row r="218">
      <c r="D218" s="172"/>
      <c r="E218" s="368"/>
      <c r="F218" s="368"/>
      <c r="G218" s="368"/>
      <c r="H218" s="172"/>
      <c r="I218" s="172"/>
      <c r="J218" s="172"/>
      <c r="K218" s="172"/>
      <c r="L218" s="172"/>
      <c r="M218" s="172"/>
      <c r="N218" s="172"/>
      <c r="O218" s="358"/>
      <c r="P218" s="358"/>
      <c r="Q218" s="358">
        <f t="shared" si="15"/>
        <v>0</v>
      </c>
      <c r="R218" s="366" t="str">
        <f t="shared" si="13"/>
        <v/>
      </c>
      <c r="S218" s="359">
        <f t="shared" si="14"/>
        <v>0.7047720401</v>
      </c>
      <c r="T218" s="8"/>
      <c r="U218" s="8"/>
      <c r="V218" s="8"/>
      <c r="W218" s="172"/>
      <c r="X218" s="172"/>
      <c r="Y218" s="8"/>
      <c r="Z218" s="8"/>
      <c r="AA218" s="8"/>
      <c r="AB218" s="172"/>
      <c r="AC218" s="172"/>
      <c r="AD218" s="8"/>
      <c r="AE218" s="8"/>
      <c r="AF218" s="8"/>
      <c r="AG218" s="172"/>
      <c r="AH218" s="172"/>
      <c r="AI218" s="367"/>
      <c r="AJ218" s="362"/>
      <c r="AK218" s="363" t="str">
        <f>IFERROR(__xludf.DUMMYFUNCTION("IFERROR(if(D220&lt;&gt;"""", 
  AVERAGE(
    QUERY(
      IMPORTRANGE(""1-uH1wy6jSm5jYL9je6fN1K5RJ5QMvHntodEHZRtIvTk"", ""All Data!N2:U""),
      ""select Col8 where Col1 = '"" &amp; D220 &amp; ""' and Col8 is not null"",
      0
    )
  )/100,
""""),
  """"
)
"),"")</f>
        <v/>
      </c>
    </row>
    <row r="219">
      <c r="D219" s="172"/>
      <c r="E219" s="368"/>
      <c r="F219" s="368"/>
      <c r="G219" s="368"/>
      <c r="H219" s="172"/>
      <c r="I219" s="172"/>
      <c r="J219" s="172"/>
      <c r="K219" s="172"/>
      <c r="L219" s="172"/>
      <c r="M219" s="172"/>
      <c r="N219" s="172"/>
      <c r="O219" s="358"/>
      <c r="P219" s="358"/>
      <c r="Q219" s="358">
        <f t="shared" si="15"/>
        <v>0</v>
      </c>
      <c r="R219" s="366" t="str">
        <f t="shared" si="13"/>
        <v/>
      </c>
      <c r="S219" s="359">
        <f t="shared" si="14"/>
        <v>0.7047720401</v>
      </c>
      <c r="T219" s="8"/>
      <c r="U219" s="8"/>
      <c r="V219" s="8"/>
      <c r="W219" s="172"/>
      <c r="X219" s="172"/>
      <c r="Y219" s="8"/>
      <c r="Z219" s="8"/>
      <c r="AA219" s="8"/>
      <c r="AB219" s="172"/>
      <c r="AC219" s="172"/>
      <c r="AD219" s="8"/>
      <c r="AE219" s="8"/>
      <c r="AF219" s="8"/>
      <c r="AG219" s="172"/>
      <c r="AH219" s="172"/>
      <c r="AI219" s="367"/>
      <c r="AJ219" s="362"/>
      <c r="AK219" s="363" t="str">
        <f>IFERROR(__xludf.DUMMYFUNCTION("IFERROR(if(D221&lt;&gt;"""", 
  AVERAGE(
    QUERY(
      IMPORTRANGE(""1-uH1wy6jSm5jYL9je6fN1K5RJ5QMvHntodEHZRtIvTk"", ""All Data!N2:U""),
      ""select Col8 where Col1 = '"" &amp; D221 &amp; ""' and Col8 is not null"",
      0
    )
  )/100,
""""),
  """"
)
"),"")</f>
        <v/>
      </c>
    </row>
    <row r="220">
      <c r="D220" s="172"/>
      <c r="E220" s="368"/>
      <c r="F220" s="368"/>
      <c r="G220" s="368"/>
      <c r="H220" s="172"/>
      <c r="I220" s="172"/>
      <c r="J220" s="172"/>
      <c r="K220" s="172"/>
      <c r="L220" s="172"/>
      <c r="M220" s="172"/>
      <c r="N220" s="172"/>
      <c r="O220" s="358"/>
      <c r="P220" s="358"/>
      <c r="Q220" s="358">
        <f t="shared" si="15"/>
        <v>0</v>
      </c>
      <c r="R220" s="366" t="str">
        <f t="shared" si="13"/>
        <v/>
      </c>
      <c r="S220" s="359">
        <f t="shared" si="14"/>
        <v>0.7047720401</v>
      </c>
      <c r="T220" s="8"/>
      <c r="U220" s="8"/>
      <c r="V220" s="8"/>
      <c r="W220" s="172"/>
      <c r="X220" s="172"/>
      <c r="Y220" s="8"/>
      <c r="Z220" s="8"/>
      <c r="AA220" s="8"/>
      <c r="AB220" s="172"/>
      <c r="AC220" s="172"/>
      <c r="AD220" s="8"/>
      <c r="AE220" s="8"/>
      <c r="AF220" s="8"/>
      <c r="AG220" s="172"/>
      <c r="AH220" s="172"/>
      <c r="AI220" s="367"/>
      <c r="AJ220" s="362"/>
      <c r="AK220" s="363" t="str">
        <f>IFERROR(__xludf.DUMMYFUNCTION("IFERROR(if(D222&lt;&gt;"""", 
  AVERAGE(
    QUERY(
      IMPORTRANGE(""1-uH1wy6jSm5jYL9je6fN1K5RJ5QMvHntodEHZRtIvTk"", ""All Data!N2:U""),
      ""select Col8 where Col1 = '"" &amp; D222 &amp; ""' and Col8 is not null"",
      0
    )
  )/100,
""""),
  """"
)
"),"")</f>
        <v/>
      </c>
    </row>
    <row r="221">
      <c r="D221" s="172"/>
      <c r="E221" s="368"/>
      <c r="F221" s="368"/>
      <c r="G221" s="368"/>
      <c r="H221" s="172"/>
      <c r="I221" s="172"/>
      <c r="J221" s="172"/>
      <c r="K221" s="172"/>
      <c r="L221" s="172"/>
      <c r="M221" s="172"/>
      <c r="N221" s="172"/>
      <c r="O221" s="358"/>
      <c r="P221" s="358"/>
      <c r="Q221" s="358">
        <f t="shared" si="15"/>
        <v>0</v>
      </c>
      <c r="R221" s="366" t="str">
        <f t="shared" si="13"/>
        <v/>
      </c>
      <c r="S221" s="359">
        <f t="shared" si="14"/>
        <v>0.7047720401</v>
      </c>
      <c r="T221" s="8"/>
      <c r="U221" s="8"/>
      <c r="V221" s="8"/>
      <c r="W221" s="172"/>
      <c r="X221" s="172"/>
      <c r="Y221" s="8"/>
      <c r="Z221" s="8"/>
      <c r="AA221" s="8"/>
      <c r="AB221" s="172"/>
      <c r="AC221" s="172"/>
      <c r="AD221" s="8"/>
      <c r="AE221" s="8"/>
      <c r="AF221" s="8"/>
      <c r="AG221" s="172"/>
      <c r="AH221" s="172"/>
      <c r="AI221" s="367"/>
      <c r="AJ221" s="362"/>
      <c r="AK221" s="363" t="str">
        <f>IFERROR(__xludf.DUMMYFUNCTION("IFERROR(if(D223&lt;&gt;"""", 
  AVERAGE(
    QUERY(
      IMPORTRANGE(""1-uH1wy6jSm5jYL9je6fN1K5RJ5QMvHntodEHZRtIvTk"", ""All Data!N2:U""),
      ""select Col8 where Col1 = '"" &amp; D223 &amp; ""' and Col8 is not null"",
      0
    )
  )/100,
""""),
  """"
)
"),"")</f>
        <v/>
      </c>
    </row>
    <row r="222">
      <c r="D222" s="172"/>
      <c r="E222" s="368"/>
      <c r="F222" s="368"/>
      <c r="G222" s="368"/>
      <c r="H222" s="172"/>
      <c r="I222" s="172"/>
      <c r="J222" s="172"/>
      <c r="K222" s="172"/>
      <c r="L222" s="172"/>
      <c r="M222" s="172"/>
      <c r="N222" s="172"/>
      <c r="O222" s="358"/>
      <c r="P222" s="358"/>
      <c r="Q222" s="358">
        <f t="shared" si="15"/>
        <v>0</v>
      </c>
      <c r="R222" s="366" t="str">
        <f t="shared" si="13"/>
        <v/>
      </c>
      <c r="S222" s="359">
        <f t="shared" si="14"/>
        <v>0.7047720401</v>
      </c>
      <c r="T222" s="8"/>
      <c r="U222" s="8"/>
      <c r="V222" s="8"/>
      <c r="W222" s="172"/>
      <c r="X222" s="172"/>
      <c r="Y222" s="8"/>
      <c r="Z222" s="8"/>
      <c r="AA222" s="8"/>
      <c r="AB222" s="172"/>
      <c r="AC222" s="172"/>
      <c r="AD222" s="8"/>
      <c r="AE222" s="8"/>
      <c r="AF222" s="8"/>
      <c r="AG222" s="172"/>
      <c r="AH222" s="172"/>
      <c r="AI222" s="367"/>
      <c r="AJ222" s="362"/>
      <c r="AK222" s="363" t="str">
        <f>IFERROR(__xludf.DUMMYFUNCTION("IFERROR(if(D224&lt;&gt;"""", 
  AVERAGE(
    QUERY(
      IMPORTRANGE(""1-uH1wy6jSm5jYL9je6fN1K5RJ5QMvHntodEHZRtIvTk"", ""All Data!N2:U""),
      ""select Col8 where Col1 = '"" &amp; D224 &amp; ""' and Col8 is not null"",
      0
    )
  )/100,
""""),
  """"
)
"),"")</f>
        <v/>
      </c>
    </row>
    <row r="223">
      <c r="D223" s="172"/>
      <c r="E223" s="368"/>
      <c r="F223" s="368"/>
      <c r="G223" s="368"/>
      <c r="H223" s="172"/>
      <c r="I223" s="172"/>
      <c r="J223" s="172"/>
      <c r="K223" s="172"/>
      <c r="L223" s="172"/>
      <c r="M223" s="172"/>
      <c r="N223" s="172"/>
      <c r="O223" s="358"/>
      <c r="P223" s="358"/>
      <c r="Q223" s="358">
        <f t="shared" si="15"/>
        <v>0</v>
      </c>
      <c r="R223" s="366" t="str">
        <f t="shared" si="13"/>
        <v/>
      </c>
      <c r="S223" s="359">
        <f t="shared" si="14"/>
        <v>0.7047720401</v>
      </c>
      <c r="T223" s="8"/>
      <c r="U223" s="8"/>
      <c r="V223" s="8"/>
      <c r="W223" s="172"/>
      <c r="X223" s="172"/>
      <c r="Y223" s="8"/>
      <c r="Z223" s="8"/>
      <c r="AA223" s="8"/>
      <c r="AB223" s="172"/>
      <c r="AC223" s="172"/>
      <c r="AD223" s="8"/>
      <c r="AE223" s="8"/>
      <c r="AF223" s="8"/>
      <c r="AG223" s="172"/>
      <c r="AH223" s="172"/>
      <c r="AI223" s="367"/>
      <c r="AJ223" s="362"/>
      <c r="AK223" s="363" t="str">
        <f>IFERROR(__xludf.DUMMYFUNCTION("IFERROR(if(D225&lt;&gt;"""", 
  AVERAGE(
    QUERY(
      IMPORTRANGE(""1-uH1wy6jSm5jYL9je6fN1K5RJ5QMvHntodEHZRtIvTk"", ""All Data!N2:U""),
      ""select Col8 where Col1 = '"" &amp; D225 &amp; ""' and Col8 is not null"",
      0
    )
  )/100,
""""),
  """"
)
"),"")</f>
        <v/>
      </c>
    </row>
    <row r="224">
      <c r="D224" s="172"/>
      <c r="E224" s="368"/>
      <c r="F224" s="368"/>
      <c r="G224" s="368"/>
      <c r="H224" s="172"/>
      <c r="I224" s="172"/>
      <c r="J224" s="172"/>
      <c r="K224" s="172"/>
      <c r="L224" s="172"/>
      <c r="M224" s="172"/>
      <c r="N224" s="172"/>
      <c r="O224" s="358"/>
      <c r="P224" s="358"/>
      <c r="Q224" s="358">
        <f t="shared" si="15"/>
        <v>0</v>
      </c>
      <c r="R224" s="366" t="str">
        <f t="shared" si="13"/>
        <v/>
      </c>
      <c r="S224" s="359">
        <f t="shared" si="14"/>
        <v>0.7047720401</v>
      </c>
      <c r="T224" s="8"/>
      <c r="U224" s="8"/>
      <c r="V224" s="8"/>
      <c r="W224" s="172"/>
      <c r="X224" s="172"/>
      <c r="Y224" s="8"/>
      <c r="Z224" s="8"/>
      <c r="AA224" s="8"/>
      <c r="AB224" s="172"/>
      <c r="AC224" s="172"/>
      <c r="AD224" s="8"/>
      <c r="AE224" s="8"/>
      <c r="AF224" s="8"/>
      <c r="AG224" s="172"/>
      <c r="AH224" s="172"/>
      <c r="AI224" s="367"/>
      <c r="AJ224" s="362"/>
      <c r="AK224" s="363" t="str">
        <f>IFERROR(__xludf.DUMMYFUNCTION("IFERROR(if(D226&lt;&gt;"""", 
  AVERAGE(
    QUERY(
      IMPORTRANGE(""1-uH1wy6jSm5jYL9je6fN1K5RJ5QMvHntodEHZRtIvTk"", ""All Data!N2:U""),
      ""select Col8 where Col1 = '"" &amp; D226 &amp; ""' and Col8 is not null"",
      0
    )
  )/100,
""""),
  """"
)
"),"")</f>
        <v/>
      </c>
    </row>
    <row r="225">
      <c r="D225" s="172"/>
      <c r="E225" s="368"/>
      <c r="F225" s="368"/>
      <c r="G225" s="368"/>
      <c r="H225" s="172"/>
      <c r="I225" s="172"/>
      <c r="J225" s="172"/>
      <c r="K225" s="172"/>
      <c r="L225" s="172"/>
      <c r="M225" s="172"/>
      <c r="N225" s="172"/>
      <c r="O225" s="358"/>
      <c r="P225" s="358"/>
      <c r="Q225" s="358">
        <f t="shared" si="15"/>
        <v>0</v>
      </c>
      <c r="R225" s="366" t="str">
        <f t="shared" si="13"/>
        <v/>
      </c>
      <c r="S225" s="359">
        <f t="shared" si="14"/>
        <v>0.7047720401</v>
      </c>
      <c r="T225" s="8"/>
      <c r="U225" s="8"/>
      <c r="V225" s="8"/>
      <c r="W225" s="172"/>
      <c r="X225" s="172"/>
      <c r="Y225" s="8"/>
      <c r="Z225" s="8"/>
      <c r="AA225" s="8"/>
      <c r="AB225" s="172"/>
      <c r="AC225" s="172"/>
      <c r="AD225" s="8"/>
      <c r="AE225" s="8"/>
      <c r="AF225" s="8"/>
      <c r="AG225" s="172"/>
      <c r="AH225" s="172"/>
      <c r="AI225" s="367"/>
      <c r="AJ225" s="362"/>
      <c r="AK225" s="363" t="str">
        <f>IFERROR(__xludf.DUMMYFUNCTION("IFERROR(if(D227&lt;&gt;"""", 
  AVERAGE(
    QUERY(
      IMPORTRANGE(""1-uH1wy6jSm5jYL9je6fN1K5RJ5QMvHntodEHZRtIvTk"", ""All Data!N2:U""),
      ""select Col8 where Col1 = '"" &amp; D227 &amp; ""' and Col8 is not null"",
      0
    )
  )/100,
""""),
  """"
)
"),"")</f>
        <v/>
      </c>
    </row>
    <row r="226">
      <c r="D226" s="172"/>
      <c r="E226" s="368"/>
      <c r="F226" s="368"/>
      <c r="G226" s="368"/>
      <c r="H226" s="172"/>
      <c r="I226" s="172"/>
      <c r="J226" s="172"/>
      <c r="K226" s="172"/>
      <c r="L226" s="172"/>
      <c r="M226" s="172"/>
      <c r="N226" s="172"/>
      <c r="O226" s="358"/>
      <c r="P226" s="358"/>
      <c r="Q226" s="358">
        <f t="shared" si="15"/>
        <v>0</v>
      </c>
      <c r="R226" s="366" t="str">
        <f t="shared" si="13"/>
        <v/>
      </c>
      <c r="S226" s="359">
        <f t="shared" si="14"/>
        <v>0.7047720401</v>
      </c>
      <c r="T226" s="8"/>
      <c r="U226" s="8"/>
      <c r="V226" s="8"/>
      <c r="W226" s="172"/>
      <c r="X226" s="172"/>
      <c r="Y226" s="8"/>
      <c r="Z226" s="8"/>
      <c r="AA226" s="8"/>
      <c r="AB226" s="172"/>
      <c r="AC226" s="172"/>
      <c r="AD226" s="8"/>
      <c r="AE226" s="8"/>
      <c r="AF226" s="8"/>
      <c r="AG226" s="172"/>
      <c r="AH226" s="172"/>
      <c r="AI226" s="367"/>
      <c r="AJ226" s="362"/>
      <c r="AK226" s="363" t="str">
        <f>IFERROR(__xludf.DUMMYFUNCTION("IFERROR(if(D228&lt;&gt;"""", 
  AVERAGE(
    QUERY(
      IMPORTRANGE(""1-uH1wy6jSm5jYL9je6fN1K5RJ5QMvHntodEHZRtIvTk"", ""All Data!N2:U""),
      ""select Col8 where Col1 = '"" &amp; D228 &amp; ""' and Col8 is not null"",
      0
    )
  )/100,
""""),
  """"
)
"),"")</f>
        <v/>
      </c>
    </row>
    <row r="227">
      <c r="D227" s="172"/>
      <c r="E227" s="368"/>
      <c r="F227" s="368"/>
      <c r="G227" s="368"/>
      <c r="H227" s="172"/>
      <c r="I227" s="172"/>
      <c r="J227" s="172"/>
      <c r="K227" s="172"/>
      <c r="L227" s="172"/>
      <c r="M227" s="172"/>
      <c r="N227" s="172"/>
      <c r="O227" s="358"/>
      <c r="P227" s="358"/>
      <c r="Q227" s="358">
        <f t="shared" si="15"/>
        <v>0</v>
      </c>
      <c r="R227" s="366" t="str">
        <f t="shared" si="13"/>
        <v/>
      </c>
      <c r="S227" s="359">
        <f t="shared" si="14"/>
        <v>0.7047720401</v>
      </c>
      <c r="T227" s="8"/>
      <c r="U227" s="8"/>
      <c r="V227" s="8"/>
      <c r="W227" s="172"/>
      <c r="X227" s="172"/>
      <c r="Y227" s="8"/>
      <c r="Z227" s="8"/>
      <c r="AA227" s="8"/>
      <c r="AB227" s="172"/>
      <c r="AC227" s="172"/>
      <c r="AD227" s="8"/>
      <c r="AE227" s="8"/>
      <c r="AF227" s="8"/>
      <c r="AG227" s="172"/>
      <c r="AH227" s="172"/>
      <c r="AI227" s="367"/>
      <c r="AJ227" s="362"/>
      <c r="AK227" s="363" t="str">
        <f>IFERROR(__xludf.DUMMYFUNCTION("IFERROR(if(D229&lt;&gt;"""", 
  AVERAGE(
    QUERY(
      IMPORTRANGE(""1-uH1wy6jSm5jYL9je6fN1K5RJ5QMvHntodEHZRtIvTk"", ""All Data!N2:U""),
      ""select Col8 where Col1 = '"" &amp; D229 &amp; ""' and Col8 is not null"",
      0
    )
  )/100,
""""),
  """"
)
"),"")</f>
        <v/>
      </c>
    </row>
    <row r="228">
      <c r="D228" s="172"/>
      <c r="E228" s="368"/>
      <c r="F228" s="368"/>
      <c r="G228" s="368"/>
      <c r="H228" s="172"/>
      <c r="I228" s="172"/>
      <c r="J228" s="172"/>
      <c r="K228" s="172"/>
      <c r="L228" s="172"/>
      <c r="M228" s="172"/>
      <c r="N228" s="172"/>
      <c r="O228" s="358"/>
      <c r="P228" s="358"/>
      <c r="Q228" s="358">
        <f t="shared" si="15"/>
        <v>0</v>
      </c>
      <c r="R228" s="366" t="str">
        <f t="shared" si="13"/>
        <v/>
      </c>
      <c r="S228" s="359">
        <f t="shared" si="14"/>
        <v>0.7047720401</v>
      </c>
      <c r="T228" s="8"/>
      <c r="U228" s="8"/>
      <c r="V228" s="8"/>
      <c r="W228" s="172"/>
      <c r="X228" s="172"/>
      <c r="Y228" s="8"/>
      <c r="Z228" s="8"/>
      <c r="AA228" s="8"/>
      <c r="AB228" s="172"/>
      <c r="AC228" s="172"/>
      <c r="AD228" s="8"/>
      <c r="AE228" s="8"/>
      <c r="AF228" s="8"/>
      <c r="AG228" s="172"/>
      <c r="AH228" s="172"/>
      <c r="AI228" s="367"/>
      <c r="AJ228" s="362"/>
      <c r="AK228" s="363" t="str">
        <f>IFERROR(__xludf.DUMMYFUNCTION("IFERROR(if(D230&lt;&gt;"""", 
  AVERAGE(
    QUERY(
      IMPORTRANGE(""1-uH1wy6jSm5jYL9je6fN1K5RJ5QMvHntodEHZRtIvTk"", ""All Data!N2:U""),
      ""select Col8 where Col1 = '"" &amp; D230 &amp; ""' and Col8 is not null"",
      0
    )
  )/100,
""""),
  """"
)
"),"")</f>
        <v/>
      </c>
    </row>
    <row r="229">
      <c r="D229" s="172"/>
      <c r="E229" s="368"/>
      <c r="F229" s="368"/>
      <c r="G229" s="368"/>
      <c r="H229" s="172"/>
      <c r="I229" s="172"/>
      <c r="J229" s="172"/>
      <c r="K229" s="172"/>
      <c r="L229" s="172"/>
      <c r="M229" s="172"/>
      <c r="N229" s="172"/>
      <c r="O229" s="358"/>
      <c r="P229" s="358"/>
      <c r="Q229" s="358">
        <f t="shared" si="15"/>
        <v>0</v>
      </c>
      <c r="R229" s="366" t="str">
        <f t="shared" si="13"/>
        <v/>
      </c>
      <c r="S229" s="359">
        <f t="shared" si="14"/>
        <v>0.7047720401</v>
      </c>
      <c r="T229" s="8"/>
      <c r="U229" s="8"/>
      <c r="V229" s="8"/>
      <c r="W229" s="172"/>
      <c r="X229" s="172"/>
      <c r="Y229" s="8"/>
      <c r="Z229" s="8"/>
      <c r="AA229" s="8"/>
      <c r="AB229" s="172"/>
      <c r="AC229" s="172"/>
      <c r="AD229" s="8"/>
      <c r="AE229" s="8"/>
      <c r="AF229" s="8"/>
      <c r="AG229" s="172"/>
      <c r="AH229" s="172"/>
      <c r="AI229" s="367"/>
      <c r="AJ229" s="362"/>
      <c r="AK229" s="363" t="str">
        <f>IFERROR(__xludf.DUMMYFUNCTION("IFERROR(if(D231&lt;&gt;"""", 
  AVERAGE(
    QUERY(
      IMPORTRANGE(""1-uH1wy6jSm5jYL9je6fN1K5RJ5QMvHntodEHZRtIvTk"", ""All Data!N2:U""),
      ""select Col8 where Col1 = '"" &amp; D231 &amp; ""' and Col8 is not null"",
      0
    )
  )/100,
""""),
  """"
)
"),"")</f>
        <v/>
      </c>
    </row>
    <row r="230">
      <c r="D230" s="172"/>
      <c r="E230" s="368"/>
      <c r="F230" s="368"/>
      <c r="G230" s="368"/>
      <c r="H230" s="172"/>
      <c r="I230" s="172"/>
      <c r="J230" s="172"/>
      <c r="K230" s="172"/>
      <c r="L230" s="172"/>
      <c r="M230" s="172"/>
      <c r="N230" s="172"/>
      <c r="O230" s="358"/>
      <c r="P230" s="358"/>
      <c r="Q230" s="358">
        <f t="shared" si="15"/>
        <v>0</v>
      </c>
      <c r="R230" s="366" t="str">
        <f t="shared" si="13"/>
        <v/>
      </c>
      <c r="S230" s="359">
        <f t="shared" si="14"/>
        <v>0.7047720401</v>
      </c>
      <c r="T230" s="8"/>
      <c r="U230" s="8"/>
      <c r="V230" s="8"/>
      <c r="W230" s="172"/>
      <c r="X230" s="172"/>
      <c r="Y230" s="8"/>
      <c r="Z230" s="8"/>
      <c r="AA230" s="8"/>
      <c r="AB230" s="172"/>
      <c r="AC230" s="172"/>
      <c r="AD230" s="8"/>
      <c r="AE230" s="8"/>
      <c r="AF230" s="8"/>
      <c r="AG230" s="172"/>
      <c r="AH230" s="172"/>
      <c r="AI230" s="367"/>
      <c r="AJ230" s="362"/>
      <c r="AK230" s="363" t="str">
        <f>IFERROR(__xludf.DUMMYFUNCTION("IFERROR(if(D232&lt;&gt;"""", 
  AVERAGE(
    QUERY(
      IMPORTRANGE(""1-uH1wy6jSm5jYL9je6fN1K5RJ5QMvHntodEHZRtIvTk"", ""All Data!N2:U""),
      ""select Col8 where Col1 = '"" &amp; D232 &amp; ""' and Col8 is not null"",
      0
    )
  )/100,
""""),
  """"
)
"),"")</f>
        <v/>
      </c>
    </row>
    <row r="231">
      <c r="D231" s="172"/>
      <c r="E231" s="368"/>
      <c r="F231" s="368"/>
      <c r="G231" s="368"/>
      <c r="H231" s="172"/>
      <c r="I231" s="172"/>
      <c r="J231" s="172"/>
      <c r="K231" s="172"/>
      <c r="L231" s="172"/>
      <c r="M231" s="172"/>
      <c r="N231" s="172"/>
      <c r="O231" s="358"/>
      <c r="P231" s="358"/>
      <c r="Q231" s="358">
        <f t="shared" si="15"/>
        <v>0</v>
      </c>
      <c r="R231" s="366" t="str">
        <f t="shared" si="13"/>
        <v/>
      </c>
      <c r="S231" s="359">
        <f t="shared" si="14"/>
        <v>0.7047720401</v>
      </c>
      <c r="T231" s="8"/>
      <c r="U231" s="8"/>
      <c r="V231" s="8"/>
      <c r="W231" s="172"/>
      <c r="X231" s="172"/>
      <c r="Y231" s="8"/>
      <c r="Z231" s="8"/>
      <c r="AA231" s="8"/>
      <c r="AB231" s="172"/>
      <c r="AC231" s="172"/>
      <c r="AD231" s="8"/>
      <c r="AE231" s="8"/>
      <c r="AF231" s="8"/>
      <c r="AG231" s="172"/>
      <c r="AH231" s="172"/>
      <c r="AI231" s="367"/>
      <c r="AJ231" s="362"/>
      <c r="AK231" s="363" t="str">
        <f>IFERROR(__xludf.DUMMYFUNCTION("IFERROR(if(D233&lt;&gt;"""", 
  AVERAGE(
    QUERY(
      IMPORTRANGE(""1-uH1wy6jSm5jYL9je6fN1K5RJ5QMvHntodEHZRtIvTk"", ""All Data!N2:U""),
      ""select Col8 where Col1 = '"" &amp; D233 &amp; ""' and Col8 is not null"",
      0
    )
  )/100,
""""),
  """"
)
"),"")</f>
        <v/>
      </c>
    </row>
    <row r="232">
      <c r="D232" s="172"/>
      <c r="E232" s="368"/>
      <c r="F232" s="368"/>
      <c r="G232" s="368"/>
      <c r="H232" s="172"/>
      <c r="I232" s="172"/>
      <c r="J232" s="172"/>
      <c r="K232" s="172"/>
      <c r="L232" s="172"/>
      <c r="M232" s="172"/>
      <c r="N232" s="172"/>
      <c r="O232" s="358"/>
      <c r="P232" s="358"/>
      <c r="Q232" s="358">
        <f t="shared" si="15"/>
        <v>0</v>
      </c>
      <c r="R232" s="366" t="str">
        <f t="shared" si="13"/>
        <v/>
      </c>
      <c r="S232" s="359">
        <f t="shared" si="14"/>
        <v>0.7047720401</v>
      </c>
      <c r="T232" s="8"/>
      <c r="U232" s="8"/>
      <c r="V232" s="8"/>
      <c r="W232" s="172"/>
      <c r="X232" s="172"/>
      <c r="Y232" s="8"/>
      <c r="Z232" s="8"/>
      <c r="AA232" s="8"/>
      <c r="AB232" s="172"/>
      <c r="AC232" s="172"/>
      <c r="AD232" s="8"/>
      <c r="AE232" s="8"/>
      <c r="AF232" s="8"/>
      <c r="AG232" s="172"/>
      <c r="AH232" s="172"/>
      <c r="AI232" s="367"/>
      <c r="AJ232" s="362"/>
      <c r="AK232" s="363" t="str">
        <f>IFERROR(__xludf.DUMMYFUNCTION("IFERROR(if(D234&lt;&gt;"""", 
  AVERAGE(
    QUERY(
      IMPORTRANGE(""1-uH1wy6jSm5jYL9je6fN1K5RJ5QMvHntodEHZRtIvTk"", ""All Data!N2:U""),
      ""select Col8 where Col1 = '"" &amp; D234 &amp; ""' and Col8 is not null"",
      0
    )
  )/100,
""""),
  """"
)
"),"")</f>
        <v/>
      </c>
    </row>
    <row r="233">
      <c r="D233" s="172"/>
      <c r="E233" s="368"/>
      <c r="F233" s="368"/>
      <c r="G233" s="368"/>
      <c r="H233" s="172"/>
      <c r="I233" s="172"/>
      <c r="J233" s="172"/>
      <c r="K233" s="172"/>
      <c r="L233" s="172"/>
      <c r="M233" s="172"/>
      <c r="N233" s="172"/>
      <c r="O233" s="358"/>
      <c r="P233" s="358"/>
      <c r="Q233" s="358">
        <f t="shared" si="15"/>
        <v>0</v>
      </c>
      <c r="R233" s="366" t="str">
        <f t="shared" si="13"/>
        <v/>
      </c>
      <c r="S233" s="359">
        <f t="shared" si="14"/>
        <v>0.7047720401</v>
      </c>
      <c r="T233" s="8"/>
      <c r="U233" s="8"/>
      <c r="V233" s="8"/>
      <c r="W233" s="172"/>
      <c r="X233" s="172"/>
      <c r="Y233" s="8"/>
      <c r="Z233" s="8"/>
      <c r="AA233" s="8"/>
      <c r="AB233" s="172"/>
      <c r="AC233" s="172"/>
      <c r="AD233" s="8"/>
      <c r="AE233" s="8"/>
      <c r="AF233" s="8"/>
      <c r="AG233" s="172"/>
      <c r="AH233" s="172"/>
      <c r="AI233" s="367"/>
      <c r="AJ233" s="362"/>
      <c r="AK233" s="363" t="str">
        <f>IFERROR(__xludf.DUMMYFUNCTION("IFERROR(if(D235&lt;&gt;"""", 
  AVERAGE(
    QUERY(
      IMPORTRANGE(""1-uH1wy6jSm5jYL9je6fN1K5RJ5QMvHntodEHZRtIvTk"", ""All Data!N2:U""),
      ""select Col8 where Col1 = '"" &amp; D235 &amp; ""' and Col8 is not null"",
      0
    )
  )/100,
""""),
  """"
)
"),"")</f>
        <v/>
      </c>
    </row>
    <row r="234">
      <c r="D234" s="172"/>
      <c r="E234" s="368"/>
      <c r="F234" s="368"/>
      <c r="G234" s="368"/>
      <c r="H234" s="172"/>
      <c r="I234" s="172"/>
      <c r="J234" s="172"/>
      <c r="K234" s="172"/>
      <c r="L234" s="172"/>
      <c r="M234" s="172"/>
      <c r="N234" s="172"/>
      <c r="O234" s="358"/>
      <c r="P234" s="358"/>
      <c r="Q234" s="358">
        <f t="shared" si="15"/>
        <v>0</v>
      </c>
      <c r="R234" s="366" t="str">
        <f t="shared" si="13"/>
        <v/>
      </c>
      <c r="S234" s="359">
        <f t="shared" si="14"/>
        <v>0.7047720401</v>
      </c>
      <c r="T234" s="8"/>
      <c r="U234" s="8"/>
      <c r="V234" s="8"/>
      <c r="W234" s="172"/>
      <c r="X234" s="172"/>
      <c r="Y234" s="8"/>
      <c r="Z234" s="8"/>
      <c r="AA234" s="8"/>
      <c r="AB234" s="172"/>
      <c r="AC234" s="172"/>
      <c r="AD234" s="8"/>
      <c r="AE234" s="8"/>
      <c r="AF234" s="8"/>
      <c r="AG234" s="172"/>
      <c r="AH234" s="172"/>
      <c r="AI234" s="367"/>
      <c r="AJ234" s="362"/>
      <c r="AK234" s="363" t="str">
        <f>IFERROR(__xludf.DUMMYFUNCTION("IFERROR(if(D236&lt;&gt;"""", 
  AVERAGE(
    QUERY(
      IMPORTRANGE(""1-uH1wy6jSm5jYL9je6fN1K5RJ5QMvHntodEHZRtIvTk"", ""All Data!N2:U""),
      ""select Col8 where Col1 = '"" &amp; D236 &amp; ""' and Col8 is not null"",
      0
    )
  )/100,
""""),
  """"
)
"),"")</f>
        <v/>
      </c>
    </row>
    <row r="235">
      <c r="D235" s="172"/>
      <c r="E235" s="368"/>
      <c r="F235" s="368"/>
      <c r="G235" s="368"/>
      <c r="H235" s="172"/>
      <c r="I235" s="172"/>
      <c r="J235" s="172"/>
      <c r="K235" s="172"/>
      <c r="L235" s="172"/>
      <c r="M235" s="172"/>
      <c r="N235" s="172"/>
      <c r="O235" s="358"/>
      <c r="P235" s="358"/>
      <c r="Q235" s="358">
        <f t="shared" si="15"/>
        <v>0</v>
      </c>
      <c r="R235" s="366" t="str">
        <f t="shared" si="13"/>
        <v/>
      </c>
      <c r="S235" s="359">
        <f t="shared" si="14"/>
        <v>0.7047720401</v>
      </c>
      <c r="T235" s="8"/>
      <c r="U235" s="8"/>
      <c r="V235" s="8"/>
      <c r="W235" s="172"/>
      <c r="X235" s="172"/>
      <c r="Y235" s="8"/>
      <c r="Z235" s="8"/>
      <c r="AA235" s="8"/>
      <c r="AB235" s="172"/>
      <c r="AC235" s="172"/>
      <c r="AD235" s="8"/>
      <c r="AE235" s="8"/>
      <c r="AF235" s="8"/>
      <c r="AG235" s="172"/>
      <c r="AH235" s="172"/>
      <c r="AI235" s="367"/>
      <c r="AJ235" s="362"/>
      <c r="AK235" s="363" t="str">
        <f>IFERROR(__xludf.DUMMYFUNCTION("IFERROR(if(D237&lt;&gt;"""", 
  AVERAGE(
    QUERY(
      IMPORTRANGE(""1-uH1wy6jSm5jYL9je6fN1K5RJ5QMvHntodEHZRtIvTk"", ""All Data!N2:U""),
      ""select Col8 where Col1 = '"" &amp; D237 &amp; ""' and Col8 is not null"",
      0
    )
  )/100,
""""),
  """"
)
"),"")</f>
        <v/>
      </c>
    </row>
    <row r="236">
      <c r="D236" s="172"/>
      <c r="E236" s="368"/>
      <c r="F236" s="368"/>
      <c r="G236" s="368"/>
      <c r="H236" s="172"/>
      <c r="I236" s="172"/>
      <c r="J236" s="172"/>
      <c r="K236" s="172"/>
      <c r="L236" s="172"/>
      <c r="M236" s="172"/>
      <c r="N236" s="172"/>
      <c r="O236" s="358"/>
      <c r="P236" s="358"/>
      <c r="Q236" s="358">
        <f t="shared" si="15"/>
        <v>0</v>
      </c>
      <c r="R236" s="366" t="str">
        <f t="shared" si="13"/>
        <v/>
      </c>
      <c r="S236" s="359">
        <f t="shared" si="14"/>
        <v>0.7047720401</v>
      </c>
      <c r="T236" s="8"/>
      <c r="U236" s="8"/>
      <c r="V236" s="8"/>
      <c r="W236" s="172"/>
      <c r="X236" s="172"/>
      <c r="Y236" s="8"/>
      <c r="Z236" s="8"/>
      <c r="AA236" s="8"/>
      <c r="AB236" s="172"/>
      <c r="AC236" s="172"/>
      <c r="AD236" s="8"/>
      <c r="AE236" s="8"/>
      <c r="AF236" s="8"/>
      <c r="AG236" s="172"/>
      <c r="AH236" s="172"/>
      <c r="AI236" s="367"/>
      <c r="AJ236" s="362"/>
      <c r="AK236" s="363" t="str">
        <f>IFERROR(__xludf.DUMMYFUNCTION("IFERROR(if(D238&lt;&gt;"""", 
  AVERAGE(
    QUERY(
      IMPORTRANGE(""1-uH1wy6jSm5jYL9je6fN1K5RJ5QMvHntodEHZRtIvTk"", ""All Data!N2:U""),
      ""select Col8 where Col1 = '"" &amp; D238 &amp; ""' and Col8 is not null"",
      0
    )
  )/100,
""""),
  """"
)
"),"")</f>
        <v/>
      </c>
    </row>
    <row r="237">
      <c r="D237" s="172"/>
      <c r="E237" s="368"/>
      <c r="F237" s="368"/>
      <c r="G237" s="368"/>
      <c r="H237" s="172"/>
      <c r="I237" s="172"/>
      <c r="J237" s="172"/>
      <c r="K237" s="172"/>
      <c r="L237" s="172"/>
      <c r="M237" s="172"/>
      <c r="N237" s="172"/>
      <c r="O237" s="358"/>
      <c r="P237" s="358"/>
      <c r="Q237" s="358">
        <f t="shared" si="15"/>
        <v>0</v>
      </c>
      <c r="R237" s="366" t="str">
        <f t="shared" si="13"/>
        <v/>
      </c>
      <c r="S237" s="359">
        <f t="shared" si="14"/>
        <v>0.7047720401</v>
      </c>
      <c r="T237" s="8"/>
      <c r="U237" s="8"/>
      <c r="V237" s="8"/>
      <c r="W237" s="172"/>
      <c r="X237" s="172"/>
      <c r="Y237" s="8"/>
      <c r="Z237" s="8"/>
      <c r="AA237" s="8"/>
      <c r="AB237" s="172"/>
      <c r="AC237" s="172"/>
      <c r="AD237" s="8"/>
      <c r="AE237" s="8"/>
      <c r="AF237" s="8"/>
      <c r="AG237" s="172"/>
      <c r="AH237" s="172"/>
      <c r="AI237" s="367"/>
      <c r="AJ237" s="362"/>
      <c r="AK237" s="363" t="str">
        <f>IFERROR(__xludf.DUMMYFUNCTION("IFERROR(if(D239&lt;&gt;"""", 
  AVERAGE(
    QUERY(
      IMPORTRANGE(""1-uH1wy6jSm5jYL9je6fN1K5RJ5QMvHntodEHZRtIvTk"", ""All Data!N2:U""),
      ""select Col8 where Col1 = '"" &amp; D239 &amp; ""' and Col8 is not null"",
      0
    )
  )/100,
""""),
  """"
)
"),"")</f>
        <v/>
      </c>
    </row>
    <row r="238">
      <c r="D238" s="172"/>
      <c r="E238" s="368"/>
      <c r="F238" s="368"/>
      <c r="G238" s="368"/>
      <c r="H238" s="172"/>
      <c r="I238" s="172"/>
      <c r="J238" s="172"/>
      <c r="K238" s="172"/>
      <c r="L238" s="172"/>
      <c r="M238" s="172"/>
      <c r="N238" s="172"/>
      <c r="O238" s="358"/>
      <c r="P238" s="358"/>
      <c r="Q238" s="358">
        <f t="shared" si="15"/>
        <v>0</v>
      </c>
      <c r="R238" s="366" t="str">
        <f t="shared" si="13"/>
        <v/>
      </c>
      <c r="S238" s="359">
        <f t="shared" si="14"/>
        <v>0.7047720401</v>
      </c>
      <c r="T238" s="8"/>
      <c r="U238" s="8"/>
      <c r="V238" s="8"/>
      <c r="W238" s="172"/>
      <c r="X238" s="172"/>
      <c r="Y238" s="8"/>
      <c r="Z238" s="8"/>
      <c r="AA238" s="8"/>
      <c r="AB238" s="172"/>
      <c r="AC238" s="172"/>
      <c r="AD238" s="8"/>
      <c r="AE238" s="8"/>
      <c r="AF238" s="8"/>
      <c r="AG238" s="172"/>
      <c r="AH238" s="172"/>
      <c r="AI238" s="367"/>
      <c r="AJ238" s="362"/>
      <c r="AK238" s="363" t="str">
        <f>IFERROR(__xludf.DUMMYFUNCTION("IFERROR(if(D240&lt;&gt;"""", 
  AVERAGE(
    QUERY(
      IMPORTRANGE(""1-uH1wy6jSm5jYL9je6fN1K5RJ5QMvHntodEHZRtIvTk"", ""All Data!N2:U""),
      ""select Col8 where Col1 = '"" &amp; D240 &amp; ""' and Col8 is not null"",
      0
    )
  )/100,
""""),
  """"
)
"),"")</f>
        <v/>
      </c>
    </row>
    <row r="239">
      <c r="D239" s="172"/>
      <c r="E239" s="368"/>
      <c r="F239" s="368"/>
      <c r="G239" s="368"/>
      <c r="H239" s="172"/>
      <c r="I239" s="172"/>
      <c r="J239" s="172"/>
      <c r="K239" s="172"/>
      <c r="L239" s="172"/>
      <c r="M239" s="172"/>
      <c r="N239" s="172"/>
      <c r="O239" s="358"/>
      <c r="P239" s="358"/>
      <c r="Q239" s="358">
        <f t="shared" si="15"/>
        <v>0</v>
      </c>
      <c r="R239" s="366" t="str">
        <f t="shared" si="13"/>
        <v/>
      </c>
      <c r="S239" s="359">
        <f t="shared" si="14"/>
        <v>0.7047720401</v>
      </c>
      <c r="T239" s="8"/>
      <c r="U239" s="8"/>
      <c r="V239" s="8"/>
      <c r="W239" s="172"/>
      <c r="X239" s="172"/>
      <c r="Y239" s="8"/>
      <c r="Z239" s="8"/>
      <c r="AA239" s="8"/>
      <c r="AB239" s="172"/>
      <c r="AC239" s="172"/>
      <c r="AD239" s="8"/>
      <c r="AE239" s="8"/>
      <c r="AF239" s="8"/>
      <c r="AG239" s="172"/>
      <c r="AH239" s="172"/>
      <c r="AI239" s="367"/>
      <c r="AJ239" s="362"/>
      <c r="AK239" s="363" t="str">
        <f>IFERROR(__xludf.DUMMYFUNCTION("IFERROR(if(D241&lt;&gt;"""", 
  AVERAGE(
    QUERY(
      IMPORTRANGE(""1-uH1wy6jSm5jYL9je6fN1K5RJ5QMvHntodEHZRtIvTk"", ""All Data!N2:U""),
      ""select Col8 where Col1 = '"" &amp; D241 &amp; ""' and Col8 is not null"",
      0
    )
  )/100,
""""),
  """"
)
"),"")</f>
        <v/>
      </c>
    </row>
    <row r="240">
      <c r="D240" s="172"/>
      <c r="E240" s="368"/>
      <c r="F240" s="368"/>
      <c r="G240" s="368"/>
      <c r="H240" s="172"/>
      <c r="I240" s="172"/>
      <c r="J240" s="172"/>
      <c r="K240" s="172"/>
      <c r="L240" s="172"/>
      <c r="M240" s="172"/>
      <c r="N240" s="172"/>
      <c r="O240" s="358"/>
      <c r="P240" s="358"/>
      <c r="Q240" s="358">
        <f t="shared" si="15"/>
        <v>0</v>
      </c>
      <c r="R240" s="366" t="str">
        <f t="shared" si="13"/>
        <v/>
      </c>
      <c r="S240" s="359">
        <f t="shared" si="14"/>
        <v>0.7047720401</v>
      </c>
      <c r="T240" s="8"/>
      <c r="U240" s="8"/>
      <c r="V240" s="8"/>
      <c r="W240" s="172"/>
      <c r="X240" s="172"/>
      <c r="Y240" s="8"/>
      <c r="Z240" s="8"/>
      <c r="AA240" s="8"/>
      <c r="AB240" s="172"/>
      <c r="AC240" s="172"/>
      <c r="AD240" s="8"/>
      <c r="AE240" s="8"/>
      <c r="AF240" s="8"/>
      <c r="AG240" s="172"/>
      <c r="AH240" s="172"/>
      <c r="AI240" s="367"/>
      <c r="AJ240" s="362"/>
      <c r="AK240" s="363" t="str">
        <f>IFERROR(__xludf.DUMMYFUNCTION("IFERROR(if(D242&lt;&gt;"""", 
  AVERAGE(
    QUERY(
      IMPORTRANGE(""1-uH1wy6jSm5jYL9je6fN1K5RJ5QMvHntodEHZRtIvTk"", ""All Data!N2:U""),
      ""select Col8 where Col1 = '"" &amp; D242 &amp; ""' and Col8 is not null"",
      0
    )
  )/100,
""""),
  """"
)
"),"")</f>
        <v/>
      </c>
    </row>
    <row r="241">
      <c r="D241" s="172"/>
      <c r="E241" s="368"/>
      <c r="F241" s="368"/>
      <c r="G241" s="368"/>
      <c r="H241" s="172"/>
      <c r="I241" s="172"/>
      <c r="J241" s="172"/>
      <c r="K241" s="172"/>
      <c r="L241" s="172"/>
      <c r="M241" s="172"/>
      <c r="N241" s="172"/>
      <c r="O241" s="358"/>
      <c r="P241" s="358"/>
      <c r="Q241" s="358">
        <f t="shared" si="15"/>
        <v>0</v>
      </c>
      <c r="R241" s="366" t="str">
        <f t="shared" si="13"/>
        <v/>
      </c>
      <c r="S241" s="359">
        <f t="shared" si="14"/>
        <v>0.7047720401</v>
      </c>
      <c r="T241" s="8"/>
      <c r="U241" s="8"/>
      <c r="V241" s="8"/>
      <c r="W241" s="172"/>
      <c r="X241" s="172"/>
      <c r="Y241" s="8"/>
      <c r="Z241" s="8"/>
      <c r="AA241" s="8"/>
      <c r="AB241" s="172"/>
      <c r="AC241" s="172"/>
      <c r="AD241" s="8"/>
      <c r="AE241" s="8"/>
      <c r="AF241" s="8"/>
      <c r="AG241" s="172"/>
      <c r="AH241" s="172"/>
      <c r="AI241" s="367"/>
      <c r="AJ241" s="362"/>
      <c r="AK241" s="363" t="str">
        <f>IFERROR(__xludf.DUMMYFUNCTION("IFERROR(if(D243&lt;&gt;"""", 
  AVERAGE(
    QUERY(
      IMPORTRANGE(""1-uH1wy6jSm5jYL9je6fN1K5RJ5QMvHntodEHZRtIvTk"", ""All Data!N2:U""),
      ""select Col8 where Col1 = '"" &amp; D243 &amp; ""' and Col8 is not null"",
      0
    )
  )/100,
""""),
  """"
)
"),"")</f>
        <v/>
      </c>
    </row>
    <row r="242">
      <c r="D242" s="172"/>
      <c r="E242" s="368"/>
      <c r="F242" s="368"/>
      <c r="G242" s="368"/>
      <c r="H242" s="172"/>
      <c r="I242" s="172"/>
      <c r="J242" s="172"/>
      <c r="K242" s="172"/>
      <c r="L242" s="172"/>
      <c r="M242" s="172"/>
      <c r="N242" s="172"/>
      <c r="O242" s="358"/>
      <c r="P242" s="358"/>
      <c r="Q242" s="358"/>
      <c r="R242" s="378"/>
      <c r="S242" s="359"/>
      <c r="T242" s="8"/>
      <c r="U242" s="8"/>
      <c r="V242" s="8"/>
      <c r="W242" s="172"/>
      <c r="X242" s="172"/>
      <c r="Y242" s="8"/>
      <c r="Z242" s="8"/>
      <c r="AA242" s="8"/>
      <c r="AB242" s="172"/>
      <c r="AC242" s="172"/>
      <c r="AD242" s="8"/>
      <c r="AE242" s="8"/>
      <c r="AF242" s="8"/>
      <c r="AG242" s="172"/>
      <c r="AH242" s="172"/>
      <c r="AI242" s="367"/>
      <c r="AJ242" s="362"/>
      <c r="AK242" s="363" t="str">
        <f>IFERROR(__xludf.DUMMYFUNCTION("IFERROR(if(D244&lt;&gt;"""", 
  AVERAGE(
    QUERY(
      IMPORTRANGE(""1-uH1wy6jSm5jYL9je6fN1K5RJ5QMvHntodEHZRtIvTk"", ""All Data!N2:U""),
      ""select Col8 where Col1 = '"" &amp; D244 &amp; ""' and Col8 is not null"",
      0
    )
  )/100,
""""),
  """"
)
"),"")</f>
        <v/>
      </c>
    </row>
    <row r="243">
      <c r="D243" s="172"/>
      <c r="E243" s="368"/>
      <c r="F243" s="368"/>
      <c r="G243" s="368"/>
      <c r="H243" s="172"/>
      <c r="I243" s="172"/>
      <c r="J243" s="172"/>
      <c r="K243" s="172"/>
      <c r="L243" s="172"/>
      <c r="M243" s="172"/>
      <c r="N243" s="172"/>
      <c r="O243" s="358"/>
      <c r="P243" s="358"/>
      <c r="Q243" s="358"/>
      <c r="R243" s="378"/>
      <c r="S243" s="359"/>
      <c r="T243" s="8"/>
      <c r="U243" s="8"/>
      <c r="V243" s="8"/>
      <c r="W243" s="172"/>
      <c r="X243" s="172"/>
      <c r="Y243" s="8"/>
      <c r="Z243" s="8"/>
      <c r="AA243" s="8"/>
      <c r="AB243" s="172"/>
      <c r="AC243" s="172"/>
      <c r="AD243" s="8"/>
      <c r="AE243" s="8"/>
      <c r="AF243" s="8"/>
      <c r="AG243" s="172"/>
      <c r="AH243" s="172"/>
      <c r="AI243" s="367"/>
      <c r="AJ243" s="362"/>
      <c r="AK243" s="363" t="str">
        <f>IFERROR(__xludf.DUMMYFUNCTION("IFERROR(if(D245&lt;&gt;"""", 
  AVERAGE(
    QUERY(
      IMPORTRANGE(""1-uH1wy6jSm5jYL9je6fN1K5RJ5QMvHntodEHZRtIvTk"", ""All Data!N2:U""),
      ""select Col8 where Col1 = '"" &amp; D245 &amp; ""' and Col8 is not null"",
      0
    )
  )/100,
""""),
  """"
)
"),"")</f>
        <v/>
      </c>
    </row>
    <row r="244">
      <c r="D244" s="172"/>
      <c r="E244" s="368"/>
      <c r="F244" s="368"/>
      <c r="G244" s="368"/>
      <c r="H244" s="172"/>
      <c r="I244" s="172"/>
      <c r="J244" s="172"/>
      <c r="K244" s="172"/>
      <c r="L244" s="172"/>
      <c r="M244" s="172"/>
      <c r="N244" s="172"/>
      <c r="O244" s="358"/>
      <c r="P244" s="358"/>
      <c r="Q244" s="358"/>
      <c r="R244" s="378"/>
      <c r="S244" s="359"/>
      <c r="T244" s="8"/>
      <c r="U244" s="8"/>
      <c r="V244" s="8"/>
      <c r="W244" s="172"/>
      <c r="X244" s="172"/>
      <c r="Y244" s="8"/>
      <c r="Z244" s="8"/>
      <c r="AA244" s="8"/>
      <c r="AB244" s="172"/>
      <c r="AC244" s="172"/>
      <c r="AD244" s="8"/>
      <c r="AE244" s="8"/>
      <c r="AF244" s="8"/>
      <c r="AG244" s="172"/>
      <c r="AH244" s="172"/>
      <c r="AI244" s="367"/>
      <c r="AJ244" s="362"/>
      <c r="AK244" s="363" t="str">
        <f>IFERROR(__xludf.DUMMYFUNCTION("IFERROR(if(D246&lt;&gt;"""", 
  AVERAGE(
    QUERY(
      IMPORTRANGE(""1-uH1wy6jSm5jYL9je6fN1K5RJ5QMvHntodEHZRtIvTk"", ""All Data!N2:U""),
      ""select Col8 where Col1 = '"" &amp; D246 &amp; ""' and Col8 is not null"",
      0
    )
  )/100,
""""),
  """"
)
"),"")</f>
        <v/>
      </c>
    </row>
    <row r="245">
      <c r="D245" s="172"/>
      <c r="E245" s="368"/>
      <c r="F245" s="368"/>
      <c r="G245" s="368"/>
      <c r="H245" s="172"/>
      <c r="I245" s="172"/>
      <c r="J245" s="172"/>
      <c r="K245" s="172"/>
      <c r="L245" s="172"/>
      <c r="M245" s="172"/>
      <c r="N245" s="172"/>
      <c r="O245" s="358"/>
      <c r="P245" s="358"/>
      <c r="Q245" s="358"/>
      <c r="R245" s="378"/>
      <c r="S245" s="359"/>
      <c r="T245" s="8"/>
      <c r="U245" s="8"/>
      <c r="V245" s="8"/>
      <c r="W245" s="172"/>
      <c r="X245" s="172"/>
      <c r="Y245" s="8"/>
      <c r="Z245" s="8"/>
      <c r="AA245" s="8"/>
      <c r="AB245" s="172"/>
      <c r="AC245" s="172"/>
      <c r="AD245" s="8"/>
      <c r="AE245" s="8"/>
      <c r="AF245" s="8"/>
      <c r="AG245" s="172"/>
      <c r="AH245" s="172"/>
      <c r="AI245" s="367"/>
      <c r="AJ245" s="362"/>
      <c r="AK245" s="363" t="str">
        <f>IFERROR(__xludf.DUMMYFUNCTION("IFERROR(if(D247&lt;&gt;"""", 
  AVERAGE(
    QUERY(
      IMPORTRANGE(""1-uH1wy6jSm5jYL9je6fN1K5RJ5QMvHntodEHZRtIvTk"", ""All Data!N2:U""),
      ""select Col8 where Col1 = '"" &amp; D247 &amp; ""' and Col8 is not null"",
      0
    )
  )/100,
""""),
  """"
)
"),"")</f>
        <v/>
      </c>
    </row>
    <row r="246">
      <c r="D246" s="172"/>
      <c r="E246" s="368"/>
      <c r="F246" s="368"/>
      <c r="G246" s="368"/>
      <c r="H246" s="172"/>
      <c r="I246" s="172"/>
      <c r="J246" s="172"/>
      <c r="K246" s="172"/>
      <c r="L246" s="172"/>
      <c r="M246" s="172"/>
      <c r="N246" s="172"/>
      <c r="O246" s="358"/>
      <c r="P246" s="358"/>
      <c r="Q246" s="358"/>
      <c r="R246" s="378"/>
      <c r="S246" s="359"/>
      <c r="T246" s="8"/>
      <c r="U246" s="8"/>
      <c r="V246" s="8"/>
      <c r="W246" s="172"/>
      <c r="X246" s="172"/>
      <c r="Y246" s="8"/>
      <c r="Z246" s="8"/>
      <c r="AA246" s="8"/>
      <c r="AB246" s="172"/>
      <c r="AC246" s="172"/>
      <c r="AD246" s="8"/>
      <c r="AE246" s="8"/>
      <c r="AF246" s="8"/>
      <c r="AG246" s="172"/>
      <c r="AH246" s="172"/>
      <c r="AI246" s="367"/>
      <c r="AJ246" s="362"/>
      <c r="AK246" s="363" t="str">
        <f>IFERROR(__xludf.DUMMYFUNCTION("IFERROR(if(D248&lt;&gt;"""", 
  AVERAGE(
    QUERY(
      IMPORTRANGE(""1-uH1wy6jSm5jYL9je6fN1K5RJ5QMvHntodEHZRtIvTk"", ""All Data!N2:U""),
      ""select Col8 where Col1 = '"" &amp; D248 &amp; ""' and Col8 is not null"",
      0
    )
  )/100,
""""),
  """"
)
"),"")</f>
        <v/>
      </c>
    </row>
    <row r="247">
      <c r="D247" s="172"/>
      <c r="E247" s="368"/>
      <c r="F247" s="368"/>
      <c r="G247" s="368"/>
      <c r="H247" s="172"/>
      <c r="I247" s="172"/>
      <c r="J247" s="172"/>
      <c r="K247" s="172"/>
      <c r="L247" s="172"/>
      <c r="M247" s="172"/>
      <c r="N247" s="172"/>
      <c r="O247" s="358"/>
      <c r="P247" s="358"/>
      <c r="Q247" s="358"/>
      <c r="R247" s="378"/>
      <c r="S247" s="359"/>
      <c r="T247" s="8"/>
      <c r="U247" s="8"/>
      <c r="V247" s="8"/>
      <c r="W247" s="172"/>
      <c r="X247" s="172"/>
      <c r="Y247" s="8"/>
      <c r="Z247" s="8"/>
      <c r="AA247" s="8"/>
      <c r="AB247" s="172"/>
      <c r="AC247" s="172"/>
      <c r="AD247" s="8"/>
      <c r="AE247" s="8"/>
      <c r="AF247" s="8"/>
      <c r="AG247" s="172"/>
      <c r="AH247" s="172"/>
      <c r="AI247" s="367"/>
      <c r="AJ247" s="362"/>
      <c r="AK247" s="363" t="str">
        <f>IFERROR(__xludf.DUMMYFUNCTION("IFERROR(if(D249&lt;&gt;"""", 
  AVERAGE(
    QUERY(
      IMPORTRANGE(""1-uH1wy6jSm5jYL9je6fN1K5RJ5QMvHntodEHZRtIvTk"", ""All Data!N2:U""),
      ""select Col8 where Col1 = '"" &amp; D249 &amp; ""' and Col8 is not null"",
      0
    )
  )/100,
""""),
  """"
)
"),"")</f>
        <v/>
      </c>
    </row>
    <row r="248">
      <c r="D248" s="172"/>
      <c r="E248" s="368"/>
      <c r="F248" s="368"/>
      <c r="G248" s="368"/>
      <c r="H248" s="172"/>
      <c r="I248" s="172"/>
      <c r="J248" s="172"/>
      <c r="K248" s="172"/>
      <c r="L248" s="172"/>
      <c r="M248" s="172"/>
      <c r="N248" s="172"/>
      <c r="O248" s="358"/>
      <c r="P248" s="358"/>
      <c r="Q248" s="358"/>
      <c r="R248" s="378"/>
      <c r="S248" s="359"/>
      <c r="T248" s="8"/>
      <c r="U248" s="8"/>
      <c r="V248" s="8"/>
      <c r="W248" s="172"/>
      <c r="X248" s="172"/>
      <c r="Y248" s="8"/>
      <c r="Z248" s="8"/>
      <c r="AA248" s="8"/>
      <c r="AB248" s="172"/>
      <c r="AC248" s="172"/>
      <c r="AD248" s="8"/>
      <c r="AE248" s="8"/>
      <c r="AF248" s="8"/>
      <c r="AG248" s="172"/>
      <c r="AH248" s="172"/>
      <c r="AI248" s="367"/>
      <c r="AJ248" s="362"/>
      <c r="AK248" s="363" t="str">
        <f>IFERROR(__xludf.DUMMYFUNCTION("IFERROR(if(D250&lt;&gt;"""", 
  AVERAGE(
    QUERY(
      IMPORTRANGE(""1-uH1wy6jSm5jYL9je6fN1K5RJ5QMvHntodEHZRtIvTk"", ""All Data!N2:U""),
      ""select Col8 where Col1 = '"" &amp; D250 &amp; ""' and Col8 is not null"",
      0
    )
  )/100,
""""),
  """"
)
"),"")</f>
        <v/>
      </c>
    </row>
    <row r="249">
      <c r="D249" s="172"/>
      <c r="E249" s="368"/>
      <c r="F249" s="368"/>
      <c r="G249" s="368"/>
      <c r="H249" s="172"/>
      <c r="I249" s="172"/>
      <c r="J249" s="172"/>
      <c r="K249" s="172"/>
      <c r="L249" s="172"/>
      <c r="M249" s="172"/>
      <c r="N249" s="172"/>
      <c r="O249" s="358"/>
      <c r="P249" s="358"/>
      <c r="Q249" s="358"/>
      <c r="R249" s="378"/>
      <c r="S249" s="359"/>
      <c r="T249" s="8"/>
      <c r="U249" s="8"/>
      <c r="V249" s="8"/>
      <c r="W249" s="172"/>
      <c r="X249" s="172"/>
      <c r="Y249" s="8"/>
      <c r="Z249" s="8"/>
      <c r="AA249" s="8"/>
      <c r="AB249" s="172"/>
      <c r="AC249" s="172"/>
      <c r="AD249" s="8"/>
      <c r="AE249" s="8"/>
      <c r="AF249" s="8"/>
      <c r="AG249" s="172"/>
      <c r="AH249" s="172"/>
      <c r="AI249" s="367"/>
      <c r="AJ249" s="362"/>
      <c r="AK249" s="363" t="str">
        <f>IFERROR(__xludf.DUMMYFUNCTION("IFERROR(if(D251&lt;&gt;"""", 
  AVERAGE(
    QUERY(
      IMPORTRANGE(""1-uH1wy6jSm5jYL9je6fN1K5RJ5QMvHntodEHZRtIvTk"", ""All Data!N2:U""),
      ""select Col8 where Col1 = '"" &amp; D251 &amp; ""' and Col8 is not null"",
      0
    )
  )/100,
""""),
  """"
)
"),"")</f>
        <v/>
      </c>
    </row>
    <row r="250">
      <c r="D250" s="172"/>
      <c r="E250" s="368"/>
      <c r="F250" s="368"/>
      <c r="G250" s="368"/>
      <c r="H250" s="172"/>
      <c r="I250" s="172"/>
      <c r="J250" s="172"/>
      <c r="K250" s="172"/>
      <c r="L250" s="172"/>
      <c r="M250" s="172"/>
      <c r="N250" s="172"/>
      <c r="O250" s="358"/>
      <c r="P250" s="358"/>
      <c r="Q250" s="358"/>
      <c r="R250" s="378"/>
      <c r="S250" s="359"/>
      <c r="T250" s="8"/>
      <c r="U250" s="8"/>
      <c r="V250" s="8"/>
      <c r="W250" s="172"/>
      <c r="X250" s="172"/>
      <c r="Y250" s="8"/>
      <c r="Z250" s="8"/>
      <c r="AA250" s="8"/>
      <c r="AB250" s="172"/>
      <c r="AC250" s="172"/>
      <c r="AD250" s="8"/>
      <c r="AE250" s="8"/>
      <c r="AF250" s="8"/>
      <c r="AG250" s="172"/>
      <c r="AH250" s="172"/>
      <c r="AI250" s="367"/>
      <c r="AJ250" s="362"/>
      <c r="AK250" s="363" t="str">
        <f>IFERROR(__xludf.DUMMYFUNCTION("IFERROR(if(D252&lt;&gt;"""", 
  AVERAGE(
    QUERY(
      IMPORTRANGE(""1-uH1wy6jSm5jYL9je6fN1K5RJ5QMvHntodEHZRtIvTk"", ""All Data!N2:U""),
      ""select Col8 where Col1 = '"" &amp; D252 &amp; ""' and Col8 is not null"",
      0
    )
  )/100,
""""),
  """"
)
"),"")</f>
        <v/>
      </c>
    </row>
    <row r="251">
      <c r="D251" s="172"/>
      <c r="E251" s="368"/>
      <c r="F251" s="368"/>
      <c r="G251" s="368"/>
      <c r="H251" s="172"/>
      <c r="I251" s="172"/>
      <c r="J251" s="172"/>
      <c r="K251" s="172"/>
      <c r="L251" s="172"/>
      <c r="M251" s="172"/>
      <c r="N251" s="172"/>
      <c r="O251" s="358"/>
      <c r="P251" s="358"/>
      <c r="Q251" s="358"/>
      <c r="R251" s="378"/>
      <c r="S251" s="359"/>
      <c r="T251" s="8"/>
      <c r="U251" s="8"/>
      <c r="V251" s="8"/>
      <c r="W251" s="172"/>
      <c r="X251" s="172"/>
      <c r="Y251" s="8"/>
      <c r="Z251" s="8"/>
      <c r="AA251" s="8"/>
      <c r="AB251" s="172"/>
      <c r="AC251" s="172"/>
      <c r="AD251" s="8"/>
      <c r="AE251" s="8"/>
      <c r="AF251" s="8"/>
      <c r="AG251" s="172"/>
      <c r="AH251" s="172"/>
      <c r="AI251" s="367"/>
      <c r="AJ251" s="362"/>
      <c r="AK251" s="363" t="str">
        <f>IFERROR(__xludf.DUMMYFUNCTION("IFERROR(if(D253&lt;&gt;"""", 
  AVERAGE(
    QUERY(
      IMPORTRANGE(""1-uH1wy6jSm5jYL9je6fN1K5RJ5QMvHntodEHZRtIvTk"", ""All Data!N2:U""),
      ""select Col8 where Col1 = '"" &amp; D253 &amp; ""' and Col8 is not null"",
      0
    )
  )/100,
""""),
  """"
)
"),"")</f>
        <v/>
      </c>
    </row>
    <row r="252">
      <c r="D252" s="172"/>
      <c r="E252" s="368"/>
      <c r="F252" s="368"/>
      <c r="G252" s="368"/>
      <c r="H252" s="172"/>
      <c r="I252" s="172"/>
      <c r="J252" s="172"/>
      <c r="K252" s="172"/>
      <c r="L252" s="172"/>
      <c r="M252" s="172"/>
      <c r="N252" s="172"/>
      <c r="O252" s="358"/>
      <c r="P252" s="358"/>
      <c r="Q252" s="358"/>
      <c r="R252" s="378"/>
      <c r="S252" s="359"/>
      <c r="T252" s="8"/>
      <c r="U252" s="8"/>
      <c r="V252" s="8"/>
      <c r="W252" s="172"/>
      <c r="X252" s="172"/>
      <c r="Y252" s="8"/>
      <c r="Z252" s="8"/>
      <c r="AA252" s="8"/>
      <c r="AB252" s="172"/>
      <c r="AC252" s="172"/>
      <c r="AD252" s="8"/>
      <c r="AE252" s="8"/>
      <c r="AF252" s="8"/>
      <c r="AG252" s="172"/>
      <c r="AH252" s="172"/>
      <c r="AI252" s="367"/>
      <c r="AJ252" s="362"/>
      <c r="AK252" s="363" t="str">
        <f>IFERROR(__xludf.DUMMYFUNCTION("IFERROR(if(D254&lt;&gt;"""", 
  AVERAGE(
    QUERY(
      IMPORTRANGE(""1-uH1wy6jSm5jYL9je6fN1K5RJ5QMvHntodEHZRtIvTk"", ""All Data!N2:U""),
      ""select Col8 where Col1 = '"" &amp; D254 &amp; ""' and Col8 is not null"",
      0
    )
  )/100,
""""),
  """"
)
"),"")</f>
        <v/>
      </c>
    </row>
    <row r="253">
      <c r="D253" s="172"/>
      <c r="E253" s="368"/>
      <c r="F253" s="368"/>
      <c r="G253" s="368"/>
      <c r="H253" s="172"/>
      <c r="I253" s="172"/>
      <c r="J253" s="172"/>
      <c r="K253" s="172"/>
      <c r="L253" s="172"/>
      <c r="M253" s="172"/>
      <c r="N253" s="172"/>
      <c r="O253" s="358"/>
      <c r="P253" s="358"/>
      <c r="Q253" s="358"/>
      <c r="R253" s="378"/>
      <c r="S253" s="359"/>
      <c r="T253" s="8"/>
      <c r="U253" s="8"/>
      <c r="V253" s="8"/>
      <c r="W253" s="172"/>
      <c r="X253" s="172"/>
      <c r="Y253" s="8"/>
      <c r="Z253" s="8"/>
      <c r="AA253" s="8"/>
      <c r="AB253" s="172"/>
      <c r="AC253" s="172"/>
      <c r="AD253" s="8"/>
      <c r="AE253" s="8"/>
      <c r="AF253" s="8"/>
      <c r="AG253" s="172"/>
      <c r="AH253" s="172"/>
      <c r="AI253" s="367"/>
      <c r="AJ253" s="362"/>
      <c r="AK253" s="363" t="str">
        <f>IFERROR(__xludf.DUMMYFUNCTION("IFERROR(if(D255&lt;&gt;"""", 
  AVERAGE(
    QUERY(
      IMPORTRANGE(""1-uH1wy6jSm5jYL9je6fN1K5RJ5QMvHntodEHZRtIvTk"", ""All Data!N2:U""),
      ""select Col8 where Col1 = '"" &amp; D255 &amp; ""' and Col8 is not null"",
      0
    )
  )/100,
""""),
  """"
)
"),"")</f>
        <v/>
      </c>
    </row>
    <row r="254">
      <c r="D254" s="172"/>
      <c r="E254" s="368"/>
      <c r="F254" s="368"/>
      <c r="G254" s="368"/>
      <c r="H254" s="172"/>
      <c r="I254" s="172"/>
      <c r="J254" s="172"/>
      <c r="K254" s="172"/>
      <c r="L254" s="172"/>
      <c r="M254" s="172"/>
      <c r="N254" s="172"/>
      <c r="O254" s="358"/>
      <c r="P254" s="358"/>
      <c r="Q254" s="358"/>
      <c r="R254" s="378"/>
      <c r="S254" s="359"/>
      <c r="T254" s="8"/>
      <c r="U254" s="8"/>
      <c r="V254" s="8"/>
      <c r="W254" s="172"/>
      <c r="X254" s="172"/>
      <c r="Y254" s="8"/>
      <c r="Z254" s="8"/>
      <c r="AA254" s="8"/>
      <c r="AB254" s="172"/>
      <c r="AC254" s="172"/>
      <c r="AD254" s="8"/>
      <c r="AE254" s="8"/>
      <c r="AF254" s="8"/>
      <c r="AG254" s="172"/>
      <c r="AH254" s="172"/>
      <c r="AI254" s="367"/>
      <c r="AJ254" s="362"/>
      <c r="AK254" s="363" t="str">
        <f>IFERROR(__xludf.DUMMYFUNCTION("IFERROR(if(D256&lt;&gt;"""", 
  AVERAGE(
    QUERY(
      IMPORTRANGE(""1-uH1wy6jSm5jYL9je6fN1K5RJ5QMvHntodEHZRtIvTk"", ""All Data!N2:U""),
      ""select Col8 where Col1 = '"" &amp; D256 &amp; ""' and Col8 is not null"",
      0
    )
  )/100,
""""),
  """"
)
"),"")</f>
        <v/>
      </c>
    </row>
    <row r="255">
      <c r="D255" s="172"/>
      <c r="E255" s="368"/>
      <c r="F255" s="368"/>
      <c r="G255" s="368"/>
      <c r="H255" s="172"/>
      <c r="I255" s="172"/>
      <c r="J255" s="172"/>
      <c r="K255" s="172"/>
      <c r="L255" s="172"/>
      <c r="M255" s="172"/>
      <c r="N255" s="172"/>
      <c r="O255" s="358"/>
      <c r="P255" s="358"/>
      <c r="Q255" s="358"/>
      <c r="R255" s="378"/>
      <c r="S255" s="359"/>
      <c r="T255" s="8"/>
      <c r="U255" s="8"/>
      <c r="V255" s="8"/>
      <c r="W255" s="172"/>
      <c r="X255" s="172"/>
      <c r="Y255" s="8"/>
      <c r="Z255" s="8"/>
      <c r="AA255" s="8"/>
      <c r="AB255" s="172"/>
      <c r="AC255" s="172"/>
      <c r="AD255" s="8"/>
      <c r="AE255" s="8"/>
      <c r="AF255" s="8"/>
      <c r="AG255" s="172"/>
      <c r="AH255" s="172"/>
      <c r="AI255" s="367"/>
      <c r="AJ255" s="362"/>
      <c r="AK255" s="363" t="str">
        <f>IFERROR(__xludf.DUMMYFUNCTION("IFERROR(if(D257&lt;&gt;"""", 
  AVERAGE(
    QUERY(
      IMPORTRANGE(""1-uH1wy6jSm5jYL9je6fN1K5RJ5QMvHntodEHZRtIvTk"", ""All Data!N2:U""),
      ""select Col8 where Col1 = '"" &amp; D257 &amp; ""' and Col8 is not null"",
      0
    )
  )/100,
""""),
  """"
)
"),"")</f>
        <v/>
      </c>
    </row>
    <row r="256">
      <c r="D256" s="172"/>
      <c r="E256" s="368"/>
      <c r="F256" s="368"/>
      <c r="G256" s="368"/>
      <c r="H256" s="172"/>
      <c r="I256" s="172"/>
      <c r="J256" s="172"/>
      <c r="K256" s="172"/>
      <c r="L256" s="172"/>
      <c r="M256" s="172"/>
      <c r="N256" s="172"/>
      <c r="O256" s="358"/>
      <c r="P256" s="358"/>
      <c r="Q256" s="358"/>
      <c r="R256" s="378"/>
      <c r="S256" s="359"/>
      <c r="T256" s="8"/>
      <c r="U256" s="8"/>
      <c r="V256" s="8"/>
      <c r="W256" s="172"/>
      <c r="X256" s="172"/>
      <c r="Y256" s="8"/>
      <c r="Z256" s="8"/>
      <c r="AA256" s="8"/>
      <c r="AB256" s="172"/>
      <c r="AC256" s="172"/>
      <c r="AD256" s="8"/>
      <c r="AE256" s="8"/>
      <c r="AF256" s="8"/>
      <c r="AG256" s="172"/>
      <c r="AH256" s="172"/>
      <c r="AI256" s="367"/>
      <c r="AJ256" s="362"/>
      <c r="AK256" s="363" t="str">
        <f>IFERROR(__xludf.DUMMYFUNCTION("IFERROR(if(D258&lt;&gt;"""", 
  AVERAGE(
    QUERY(
      IMPORTRANGE(""1-uH1wy6jSm5jYL9je6fN1K5RJ5QMvHntodEHZRtIvTk"", ""All Data!N2:U""),
      ""select Col8 where Col1 = '"" &amp; D258 &amp; ""' and Col8 is not null"",
      0
    )
  )/100,
""""),
  """"
)
"),"")</f>
        <v/>
      </c>
    </row>
    <row r="257">
      <c r="D257" s="172"/>
      <c r="E257" s="368"/>
      <c r="F257" s="368"/>
      <c r="G257" s="368"/>
      <c r="H257" s="172"/>
      <c r="I257" s="172"/>
      <c r="J257" s="172"/>
      <c r="K257" s="172"/>
      <c r="L257" s="172"/>
      <c r="M257" s="172"/>
      <c r="N257" s="172"/>
      <c r="O257" s="358"/>
      <c r="P257" s="358"/>
      <c r="Q257" s="358"/>
      <c r="R257" s="378"/>
      <c r="S257" s="359"/>
      <c r="T257" s="8"/>
      <c r="U257" s="8"/>
      <c r="V257" s="8"/>
      <c r="W257" s="172"/>
      <c r="X257" s="172"/>
      <c r="Y257" s="8"/>
      <c r="Z257" s="8"/>
      <c r="AA257" s="8"/>
      <c r="AB257" s="172"/>
      <c r="AC257" s="172"/>
      <c r="AD257" s="8"/>
      <c r="AE257" s="8"/>
      <c r="AF257" s="8"/>
      <c r="AG257" s="172"/>
      <c r="AH257" s="172"/>
      <c r="AI257" s="367"/>
      <c r="AJ257" s="362"/>
      <c r="AK257" s="363" t="str">
        <f>IFERROR(__xludf.DUMMYFUNCTION("IFERROR(if(D259&lt;&gt;"""", 
  AVERAGE(
    QUERY(
      IMPORTRANGE(""1-uH1wy6jSm5jYL9je6fN1K5RJ5QMvHntodEHZRtIvTk"", ""All Data!N2:U""),
      ""select Col8 where Col1 = '"" &amp; D259 &amp; ""' and Col8 is not null"",
      0
    )
  )/100,
""""),
  """"
)
"),"")</f>
        <v/>
      </c>
    </row>
    <row r="258">
      <c r="D258" s="172"/>
      <c r="E258" s="368"/>
      <c r="F258" s="368"/>
      <c r="G258" s="368"/>
      <c r="H258" s="172"/>
      <c r="I258" s="172"/>
      <c r="J258" s="172"/>
      <c r="K258" s="172"/>
      <c r="L258" s="172"/>
      <c r="M258" s="172"/>
      <c r="N258" s="172"/>
      <c r="O258" s="358"/>
      <c r="P258" s="358"/>
      <c r="Q258" s="358"/>
      <c r="R258" s="378"/>
      <c r="S258" s="359"/>
      <c r="T258" s="8"/>
      <c r="U258" s="8"/>
      <c r="V258" s="8"/>
      <c r="W258" s="172"/>
      <c r="X258" s="172"/>
      <c r="Y258" s="8"/>
      <c r="Z258" s="8"/>
      <c r="AA258" s="8"/>
      <c r="AB258" s="172"/>
      <c r="AC258" s="172"/>
      <c r="AD258" s="8"/>
      <c r="AE258" s="8"/>
      <c r="AF258" s="8"/>
      <c r="AG258" s="172"/>
      <c r="AH258" s="172"/>
      <c r="AI258" s="367"/>
      <c r="AJ258" s="362"/>
      <c r="AK258" s="363" t="str">
        <f>IFERROR(__xludf.DUMMYFUNCTION("IFERROR(if(D260&lt;&gt;"""", 
  AVERAGE(
    QUERY(
      IMPORTRANGE(""1-uH1wy6jSm5jYL9je6fN1K5RJ5QMvHntodEHZRtIvTk"", ""All Data!N2:U""),
      ""select Col8 where Col1 = '"" &amp; D260 &amp; ""' and Col8 is not null"",
      0
    )
  )/100,
""""),
  """"
)
"),"")</f>
        <v/>
      </c>
    </row>
    <row r="259">
      <c r="D259" s="172"/>
      <c r="E259" s="368"/>
      <c r="F259" s="368"/>
      <c r="G259" s="368"/>
      <c r="H259" s="172"/>
      <c r="I259" s="172"/>
      <c r="J259" s="172"/>
      <c r="K259" s="172"/>
      <c r="L259" s="172"/>
      <c r="M259" s="172"/>
      <c r="N259" s="172"/>
      <c r="O259" s="358"/>
      <c r="P259" s="358"/>
      <c r="Q259" s="358"/>
      <c r="R259" s="378"/>
      <c r="S259" s="359"/>
      <c r="T259" s="8"/>
      <c r="U259" s="8"/>
      <c r="V259" s="8"/>
      <c r="W259" s="172"/>
      <c r="X259" s="172"/>
      <c r="Y259" s="8"/>
      <c r="Z259" s="8"/>
      <c r="AA259" s="8"/>
      <c r="AB259" s="172"/>
      <c r="AC259" s="172"/>
      <c r="AD259" s="8"/>
      <c r="AE259" s="8"/>
      <c r="AF259" s="8"/>
      <c r="AG259" s="172"/>
      <c r="AH259" s="172"/>
      <c r="AI259" s="367"/>
      <c r="AJ259" s="362"/>
      <c r="AK259" s="363" t="str">
        <f>IFERROR(__xludf.DUMMYFUNCTION("IFERROR(if(D261&lt;&gt;"""", 
  AVERAGE(
    QUERY(
      IMPORTRANGE(""1-uH1wy6jSm5jYL9je6fN1K5RJ5QMvHntodEHZRtIvTk"", ""All Data!N2:U""),
      ""select Col8 where Col1 = '"" &amp; D261 &amp; ""' and Col8 is not null"",
      0
    )
  )/100,
""""),
  """"
)
"),"")</f>
        <v/>
      </c>
    </row>
    <row r="260">
      <c r="D260" s="172"/>
      <c r="E260" s="368"/>
      <c r="F260" s="368"/>
      <c r="G260" s="368"/>
      <c r="H260" s="172"/>
      <c r="I260" s="172"/>
      <c r="J260" s="172"/>
      <c r="K260" s="172"/>
      <c r="L260" s="172"/>
      <c r="M260" s="172"/>
      <c r="N260" s="172"/>
      <c r="O260" s="358"/>
      <c r="P260" s="358"/>
      <c r="Q260" s="358"/>
      <c r="R260" s="378"/>
      <c r="S260" s="359"/>
      <c r="T260" s="8"/>
      <c r="U260" s="8"/>
      <c r="V260" s="8"/>
      <c r="W260" s="172"/>
      <c r="X260" s="172"/>
      <c r="Y260" s="8"/>
      <c r="Z260" s="8"/>
      <c r="AA260" s="8"/>
      <c r="AB260" s="172"/>
      <c r="AC260" s="172"/>
      <c r="AD260" s="8"/>
      <c r="AE260" s="8"/>
      <c r="AF260" s="8"/>
      <c r="AG260" s="172"/>
      <c r="AH260" s="172"/>
      <c r="AI260" s="367"/>
      <c r="AJ260" s="362"/>
      <c r="AK260" s="363" t="str">
        <f>IFERROR(__xludf.DUMMYFUNCTION("IFERROR(if(D262&lt;&gt;"""", 
  AVERAGE(
    QUERY(
      IMPORTRANGE(""1-uH1wy6jSm5jYL9je6fN1K5RJ5QMvHntodEHZRtIvTk"", ""All Data!N2:U""),
      ""select Col8 where Col1 = '"" &amp; D262 &amp; ""' and Col8 is not null"",
      0
    )
  )/100,
""""),
  """"
)
"),"")</f>
        <v/>
      </c>
    </row>
    <row r="261">
      <c r="D261" s="172"/>
      <c r="E261" s="368"/>
      <c r="F261" s="368"/>
      <c r="G261" s="368"/>
      <c r="H261" s="172"/>
      <c r="I261" s="172"/>
      <c r="J261" s="172"/>
      <c r="K261" s="172"/>
      <c r="L261" s="172"/>
      <c r="M261" s="172"/>
      <c r="N261" s="172"/>
      <c r="O261" s="358"/>
      <c r="P261" s="358"/>
      <c r="Q261" s="358"/>
      <c r="R261" s="378"/>
      <c r="S261" s="359"/>
      <c r="T261" s="8"/>
      <c r="U261" s="8"/>
      <c r="V261" s="8"/>
      <c r="W261" s="172"/>
      <c r="X261" s="172"/>
      <c r="Y261" s="8"/>
      <c r="Z261" s="8"/>
      <c r="AA261" s="8"/>
      <c r="AB261" s="172"/>
      <c r="AC261" s="172"/>
      <c r="AD261" s="8"/>
      <c r="AE261" s="8"/>
      <c r="AF261" s="8"/>
      <c r="AG261" s="172"/>
      <c r="AH261" s="172"/>
      <c r="AI261" s="367"/>
      <c r="AJ261" s="362"/>
      <c r="AK261" s="363" t="str">
        <f>IFERROR(__xludf.DUMMYFUNCTION("IFERROR(if(D263&lt;&gt;"""", 
  AVERAGE(
    QUERY(
      IMPORTRANGE(""1-uH1wy6jSm5jYL9je6fN1K5RJ5QMvHntodEHZRtIvTk"", ""All Data!N2:U""),
      ""select Col8 where Col1 = '"" &amp; D263 &amp; ""' and Col8 is not null"",
      0
    )
  )/100,
""""),
  """"
)
"),"")</f>
        <v/>
      </c>
    </row>
    <row r="262">
      <c r="D262" s="172"/>
      <c r="E262" s="368"/>
      <c r="F262" s="368"/>
      <c r="G262" s="368"/>
      <c r="H262" s="172"/>
      <c r="I262" s="172"/>
      <c r="J262" s="172"/>
      <c r="K262" s="172"/>
      <c r="L262" s="172"/>
      <c r="M262" s="172"/>
      <c r="N262" s="172"/>
      <c r="O262" s="358"/>
      <c r="P262" s="358"/>
      <c r="Q262" s="358"/>
      <c r="R262" s="378"/>
      <c r="S262" s="359"/>
      <c r="T262" s="8"/>
      <c r="U262" s="8"/>
      <c r="V262" s="8"/>
      <c r="W262" s="172"/>
      <c r="X262" s="172"/>
      <c r="Y262" s="8"/>
      <c r="Z262" s="8"/>
      <c r="AA262" s="8"/>
      <c r="AB262" s="172"/>
      <c r="AC262" s="172"/>
      <c r="AD262" s="8"/>
      <c r="AE262" s="8"/>
      <c r="AF262" s="8"/>
      <c r="AG262" s="172"/>
      <c r="AH262" s="172"/>
      <c r="AI262" s="367"/>
      <c r="AJ262" s="362"/>
      <c r="AK262" s="363" t="str">
        <f>IFERROR(__xludf.DUMMYFUNCTION("IFERROR(if(D264&lt;&gt;"""", 
  AVERAGE(
    QUERY(
      IMPORTRANGE(""1-uH1wy6jSm5jYL9je6fN1K5RJ5QMvHntodEHZRtIvTk"", ""All Data!N2:U""),
      ""select Col8 where Col1 = '"" &amp; D264 &amp; ""' and Col8 is not null"",
      0
    )
  )/100,
""""),
  """"
)
"),"")</f>
        <v/>
      </c>
    </row>
    <row r="263">
      <c r="D263" s="172"/>
      <c r="E263" s="368"/>
      <c r="F263" s="368"/>
      <c r="G263" s="368"/>
      <c r="H263" s="172"/>
      <c r="I263" s="172"/>
      <c r="J263" s="172"/>
      <c r="K263" s="172"/>
      <c r="L263" s="172"/>
      <c r="M263" s="172"/>
      <c r="N263" s="172"/>
      <c r="O263" s="358"/>
      <c r="P263" s="358"/>
      <c r="Q263" s="358"/>
      <c r="R263" s="378"/>
      <c r="S263" s="359"/>
      <c r="T263" s="8"/>
      <c r="U263" s="8"/>
      <c r="V263" s="8"/>
      <c r="W263" s="172"/>
      <c r="X263" s="172"/>
      <c r="Y263" s="8"/>
      <c r="Z263" s="8"/>
      <c r="AA263" s="8"/>
      <c r="AB263" s="172"/>
      <c r="AC263" s="172"/>
      <c r="AD263" s="8"/>
      <c r="AE263" s="8"/>
      <c r="AF263" s="8"/>
      <c r="AG263" s="172"/>
      <c r="AH263" s="172"/>
      <c r="AI263" s="367"/>
      <c r="AJ263" s="362"/>
      <c r="AK263" s="363" t="str">
        <f>IFERROR(__xludf.DUMMYFUNCTION("IFERROR(if(D265&lt;&gt;"""", 
  AVERAGE(
    QUERY(
      IMPORTRANGE(""1-uH1wy6jSm5jYL9je6fN1K5RJ5QMvHntodEHZRtIvTk"", ""All Data!N2:U""),
      ""select Col8 where Col1 = '"" &amp; D265 &amp; ""' and Col8 is not null"",
      0
    )
  )/100,
""""),
  """"
)
"),"")</f>
        <v/>
      </c>
    </row>
    <row r="264">
      <c r="D264" s="172"/>
      <c r="E264" s="368"/>
      <c r="F264" s="368"/>
      <c r="G264" s="368"/>
      <c r="H264" s="172"/>
      <c r="I264" s="172"/>
      <c r="J264" s="172"/>
      <c r="K264" s="172"/>
      <c r="L264" s="172"/>
      <c r="M264" s="172"/>
      <c r="N264" s="172"/>
      <c r="O264" s="358"/>
      <c r="P264" s="358"/>
      <c r="Q264" s="358"/>
      <c r="R264" s="378"/>
      <c r="S264" s="359"/>
      <c r="T264" s="8"/>
      <c r="U264" s="8"/>
      <c r="V264" s="8"/>
      <c r="W264" s="172"/>
      <c r="X264" s="172"/>
      <c r="Y264" s="8"/>
      <c r="Z264" s="8"/>
      <c r="AA264" s="8"/>
      <c r="AB264" s="172"/>
      <c r="AC264" s="172"/>
      <c r="AD264" s="8"/>
      <c r="AE264" s="8"/>
      <c r="AF264" s="8"/>
      <c r="AG264" s="172"/>
      <c r="AH264" s="172"/>
      <c r="AI264" s="367"/>
      <c r="AJ264" s="362"/>
      <c r="AK264" s="363" t="str">
        <f>IFERROR(__xludf.DUMMYFUNCTION("IFERROR(if(D266&lt;&gt;"""", 
  AVERAGE(
    QUERY(
      IMPORTRANGE(""1-uH1wy6jSm5jYL9je6fN1K5RJ5QMvHntodEHZRtIvTk"", ""All Data!N2:U""),
      ""select Col8 where Col1 = '"" &amp; D266 &amp; ""' and Col8 is not null"",
      0
    )
  )/100,
""""),
  """"
)
"),"")</f>
        <v/>
      </c>
    </row>
    <row r="265">
      <c r="D265" s="172"/>
      <c r="E265" s="368"/>
      <c r="F265" s="368"/>
      <c r="G265" s="368"/>
      <c r="H265" s="172"/>
      <c r="I265" s="172"/>
      <c r="J265" s="172"/>
      <c r="K265" s="172"/>
      <c r="L265" s="172"/>
      <c r="M265" s="172"/>
      <c r="N265" s="172"/>
      <c r="O265" s="358"/>
      <c r="P265" s="358"/>
      <c r="Q265" s="358"/>
      <c r="R265" s="378"/>
      <c r="S265" s="359"/>
      <c r="T265" s="8"/>
      <c r="U265" s="8"/>
      <c r="V265" s="8"/>
      <c r="W265" s="172"/>
      <c r="X265" s="172"/>
      <c r="Y265" s="8"/>
      <c r="Z265" s="8"/>
      <c r="AA265" s="8"/>
      <c r="AB265" s="172"/>
      <c r="AC265" s="172"/>
      <c r="AD265" s="8"/>
      <c r="AE265" s="8"/>
      <c r="AF265" s="8"/>
      <c r="AG265" s="172"/>
      <c r="AH265" s="172"/>
      <c r="AI265" s="367"/>
      <c r="AJ265" s="362"/>
      <c r="AK265" s="363" t="str">
        <f>IFERROR(__xludf.DUMMYFUNCTION("IFERROR(if(D267&lt;&gt;"""", 
  AVERAGE(
    QUERY(
      IMPORTRANGE(""1-uH1wy6jSm5jYL9je6fN1K5RJ5QMvHntodEHZRtIvTk"", ""All Data!N2:U""),
      ""select Col8 where Col1 = '"" &amp; D267 &amp; ""' and Col8 is not null"",
      0
    )
  )/100,
""""),
  """"
)
"),"")</f>
        <v/>
      </c>
    </row>
    <row r="266">
      <c r="D266" s="172"/>
      <c r="E266" s="368"/>
      <c r="F266" s="368"/>
      <c r="G266" s="368"/>
      <c r="H266" s="172"/>
      <c r="I266" s="172"/>
      <c r="J266" s="172"/>
      <c r="K266" s="172"/>
      <c r="L266" s="172"/>
      <c r="M266" s="172"/>
      <c r="N266" s="172"/>
      <c r="O266" s="358"/>
      <c r="P266" s="358"/>
      <c r="Q266" s="358"/>
      <c r="R266" s="378"/>
      <c r="S266" s="359"/>
      <c r="T266" s="8"/>
      <c r="U266" s="8"/>
      <c r="V266" s="8"/>
      <c r="W266" s="172"/>
      <c r="X266" s="172"/>
      <c r="Y266" s="8"/>
      <c r="Z266" s="8"/>
      <c r="AA266" s="8"/>
      <c r="AB266" s="172"/>
      <c r="AC266" s="172"/>
      <c r="AD266" s="8"/>
      <c r="AE266" s="8"/>
      <c r="AF266" s="8"/>
      <c r="AG266" s="172"/>
      <c r="AH266" s="172"/>
      <c r="AI266" s="367"/>
      <c r="AJ266" s="362"/>
      <c r="AK266" s="363" t="str">
        <f>IFERROR(__xludf.DUMMYFUNCTION("IFERROR(if(D268&lt;&gt;"""", 
  AVERAGE(
    QUERY(
      IMPORTRANGE(""1-uH1wy6jSm5jYL9je6fN1K5RJ5QMvHntodEHZRtIvTk"", ""All Data!N2:U""),
      ""select Col8 where Col1 = '"" &amp; D268 &amp; ""' and Col8 is not null"",
      0
    )
  )/100,
""""),
  """"
)
"),"")</f>
        <v/>
      </c>
    </row>
    <row r="267">
      <c r="D267" s="172"/>
      <c r="E267" s="368"/>
      <c r="F267" s="368"/>
      <c r="G267" s="368"/>
      <c r="H267" s="172"/>
      <c r="I267" s="172"/>
      <c r="J267" s="172"/>
      <c r="K267" s="172"/>
      <c r="L267" s="172"/>
      <c r="M267" s="172"/>
      <c r="N267" s="172"/>
      <c r="O267" s="358"/>
      <c r="P267" s="358"/>
      <c r="Q267" s="358"/>
      <c r="R267" s="378"/>
      <c r="S267" s="359"/>
      <c r="T267" s="8"/>
      <c r="U267" s="8"/>
      <c r="V267" s="8"/>
      <c r="W267" s="172"/>
      <c r="X267" s="172"/>
      <c r="Y267" s="8"/>
      <c r="Z267" s="8"/>
      <c r="AA267" s="8"/>
      <c r="AB267" s="172"/>
      <c r="AC267" s="172"/>
      <c r="AD267" s="8"/>
      <c r="AE267" s="8"/>
      <c r="AF267" s="8"/>
      <c r="AG267" s="172"/>
      <c r="AH267" s="172"/>
      <c r="AI267" s="367"/>
      <c r="AJ267" s="362"/>
      <c r="AK267" s="363" t="str">
        <f>IFERROR(__xludf.DUMMYFUNCTION("IFERROR(if(D269&lt;&gt;"""", 
  AVERAGE(
    QUERY(
      IMPORTRANGE(""1-uH1wy6jSm5jYL9je6fN1K5RJ5QMvHntodEHZRtIvTk"", ""All Data!N2:U""),
      ""select Col8 where Col1 = '"" &amp; D269 &amp; ""' and Col8 is not null"",
      0
    )
  )/100,
""""),
  """"
)
"),"")</f>
        <v/>
      </c>
    </row>
    <row r="268">
      <c r="D268" s="172"/>
      <c r="E268" s="368"/>
      <c r="F268" s="368"/>
      <c r="G268" s="368"/>
      <c r="H268" s="172"/>
      <c r="I268" s="172"/>
      <c r="J268" s="172"/>
      <c r="K268" s="172"/>
      <c r="L268" s="172"/>
      <c r="M268" s="172"/>
      <c r="N268" s="172"/>
      <c r="O268" s="358"/>
      <c r="P268" s="358"/>
      <c r="Q268" s="358"/>
      <c r="R268" s="378"/>
      <c r="S268" s="359"/>
      <c r="T268" s="8"/>
      <c r="U268" s="8"/>
      <c r="V268" s="8"/>
      <c r="W268" s="172"/>
      <c r="X268" s="172"/>
      <c r="Y268" s="8"/>
      <c r="Z268" s="8"/>
      <c r="AA268" s="8"/>
      <c r="AB268" s="172"/>
      <c r="AC268" s="172"/>
      <c r="AD268" s="8"/>
      <c r="AE268" s="8"/>
      <c r="AF268" s="8"/>
      <c r="AG268" s="172"/>
      <c r="AH268" s="172"/>
      <c r="AI268" s="367"/>
      <c r="AJ268" s="362"/>
      <c r="AK268" s="363" t="str">
        <f>IFERROR(__xludf.DUMMYFUNCTION("IFERROR(if(D270&lt;&gt;"""", 
  AVERAGE(
    QUERY(
      IMPORTRANGE(""1-uH1wy6jSm5jYL9je6fN1K5RJ5QMvHntodEHZRtIvTk"", ""All Data!N2:U""),
      ""select Col8 where Col1 = '"" &amp; D270 &amp; ""' and Col8 is not null"",
      0
    )
  )/100,
""""),
  """"
)
"),"")</f>
        <v/>
      </c>
    </row>
    <row r="269">
      <c r="D269" s="172"/>
      <c r="E269" s="368"/>
      <c r="F269" s="368"/>
      <c r="G269" s="368"/>
      <c r="H269" s="172"/>
      <c r="I269" s="172"/>
      <c r="J269" s="172"/>
      <c r="K269" s="172"/>
      <c r="L269" s="172"/>
      <c r="M269" s="172"/>
      <c r="N269" s="172"/>
      <c r="O269" s="358"/>
      <c r="P269" s="358"/>
      <c r="Q269" s="358"/>
      <c r="R269" s="378"/>
      <c r="S269" s="359"/>
      <c r="T269" s="8"/>
      <c r="U269" s="8"/>
      <c r="V269" s="8"/>
      <c r="W269" s="172"/>
      <c r="X269" s="172"/>
      <c r="Y269" s="8"/>
      <c r="Z269" s="8"/>
      <c r="AA269" s="8"/>
      <c r="AB269" s="172"/>
      <c r="AC269" s="172"/>
      <c r="AD269" s="8"/>
      <c r="AE269" s="8"/>
      <c r="AF269" s="8"/>
      <c r="AG269" s="172"/>
      <c r="AH269" s="172"/>
      <c r="AI269" s="367"/>
      <c r="AJ269" s="362"/>
      <c r="AK269" s="363" t="str">
        <f>IFERROR(__xludf.DUMMYFUNCTION("IFERROR(if(D271&lt;&gt;"""", 
  AVERAGE(
    QUERY(
      IMPORTRANGE(""1-uH1wy6jSm5jYL9je6fN1K5RJ5QMvHntodEHZRtIvTk"", ""All Data!N2:U""),
      ""select Col8 where Col1 = '"" &amp; D271 &amp; ""' and Col8 is not null"",
      0
    )
  )/100,
""""),
  """"
)
"),"")</f>
        <v/>
      </c>
    </row>
    <row r="270">
      <c r="D270" s="172"/>
      <c r="E270" s="368"/>
      <c r="F270" s="368"/>
      <c r="G270" s="368"/>
      <c r="H270" s="172"/>
      <c r="I270" s="172"/>
      <c r="J270" s="172"/>
      <c r="K270" s="172"/>
      <c r="L270" s="172"/>
      <c r="M270" s="172"/>
      <c r="N270" s="172"/>
      <c r="O270" s="358"/>
      <c r="P270" s="358"/>
      <c r="Q270" s="358"/>
      <c r="R270" s="378"/>
      <c r="S270" s="359"/>
      <c r="T270" s="8"/>
      <c r="U270" s="8"/>
      <c r="V270" s="8"/>
      <c r="W270" s="172"/>
      <c r="X270" s="172"/>
      <c r="Y270" s="8"/>
      <c r="Z270" s="8"/>
      <c r="AA270" s="8"/>
      <c r="AB270" s="172"/>
      <c r="AC270" s="172"/>
      <c r="AD270" s="8"/>
      <c r="AE270" s="8"/>
      <c r="AF270" s="8"/>
      <c r="AG270" s="172"/>
      <c r="AH270" s="172"/>
      <c r="AI270" s="367"/>
      <c r="AJ270" s="362"/>
      <c r="AK270" s="363" t="str">
        <f>IFERROR(__xludf.DUMMYFUNCTION("IFERROR(if(D272&lt;&gt;"""", 
  AVERAGE(
    QUERY(
      IMPORTRANGE(""1-uH1wy6jSm5jYL9je6fN1K5RJ5QMvHntodEHZRtIvTk"", ""All Data!N2:U""),
      ""select Col8 where Col1 = '"" &amp; D272 &amp; ""' and Col8 is not null"",
      0
    )
  )/100,
""""),
  """"
)
"),"")</f>
        <v/>
      </c>
    </row>
    <row r="271">
      <c r="D271" s="172"/>
      <c r="E271" s="368"/>
      <c r="F271" s="368"/>
      <c r="G271" s="368"/>
      <c r="H271" s="172"/>
      <c r="I271" s="172"/>
      <c r="J271" s="172"/>
      <c r="K271" s="172"/>
      <c r="L271" s="172"/>
      <c r="M271" s="172"/>
      <c r="N271" s="172"/>
      <c r="O271" s="358"/>
      <c r="P271" s="358"/>
      <c r="Q271" s="358"/>
      <c r="R271" s="378"/>
      <c r="S271" s="359"/>
      <c r="T271" s="8"/>
      <c r="U271" s="8"/>
      <c r="V271" s="8"/>
      <c r="W271" s="172"/>
      <c r="X271" s="172"/>
      <c r="Y271" s="8"/>
      <c r="Z271" s="8"/>
      <c r="AA271" s="8"/>
      <c r="AB271" s="172"/>
      <c r="AC271" s="172"/>
      <c r="AD271" s="8"/>
      <c r="AE271" s="8"/>
      <c r="AF271" s="8"/>
      <c r="AG271" s="172"/>
      <c r="AH271" s="172"/>
      <c r="AI271" s="367"/>
      <c r="AJ271" s="362"/>
      <c r="AK271" s="363" t="str">
        <f>IFERROR(__xludf.DUMMYFUNCTION("IFERROR(if(D273&lt;&gt;"""", 
  AVERAGE(
    QUERY(
      IMPORTRANGE(""1-uH1wy6jSm5jYL9je6fN1K5RJ5QMvHntodEHZRtIvTk"", ""All Data!N2:U""),
      ""select Col8 where Col1 = '"" &amp; D273 &amp; ""' and Col8 is not null"",
      0
    )
  )/100,
""""),
  """"
)
"),"")</f>
        <v/>
      </c>
    </row>
    <row r="272">
      <c r="D272" s="172"/>
      <c r="E272" s="368"/>
      <c r="F272" s="368"/>
      <c r="G272" s="368"/>
      <c r="H272" s="172"/>
      <c r="I272" s="172"/>
      <c r="J272" s="172"/>
      <c r="K272" s="172"/>
      <c r="L272" s="172"/>
      <c r="M272" s="172"/>
      <c r="N272" s="172"/>
      <c r="O272" s="358"/>
      <c r="P272" s="358"/>
      <c r="Q272" s="358"/>
      <c r="R272" s="378"/>
      <c r="S272" s="359"/>
      <c r="T272" s="8"/>
      <c r="U272" s="8"/>
      <c r="V272" s="8"/>
      <c r="W272" s="172"/>
      <c r="X272" s="172"/>
      <c r="Y272" s="8"/>
      <c r="Z272" s="8"/>
      <c r="AA272" s="8"/>
      <c r="AB272" s="172"/>
      <c r="AC272" s="172"/>
      <c r="AD272" s="8"/>
      <c r="AE272" s="8"/>
      <c r="AF272" s="8"/>
      <c r="AG272" s="172"/>
      <c r="AH272" s="172"/>
      <c r="AI272" s="367"/>
      <c r="AJ272" s="362"/>
      <c r="AK272" s="363" t="str">
        <f>IFERROR(__xludf.DUMMYFUNCTION("IFERROR(if(D274&lt;&gt;"""", 
  AVERAGE(
    QUERY(
      IMPORTRANGE(""1-uH1wy6jSm5jYL9je6fN1K5RJ5QMvHntodEHZRtIvTk"", ""All Data!N2:U""),
      ""select Col8 where Col1 = '"" &amp; D274 &amp; ""' and Col8 is not null"",
      0
    )
  )/100,
""""),
  """"
)
"),"")</f>
        <v/>
      </c>
    </row>
    <row r="273">
      <c r="D273" s="172"/>
      <c r="E273" s="368"/>
      <c r="F273" s="368"/>
      <c r="G273" s="368"/>
      <c r="H273" s="172"/>
      <c r="I273" s="172"/>
      <c r="J273" s="172"/>
      <c r="K273" s="172"/>
      <c r="L273" s="172"/>
      <c r="M273" s="172"/>
      <c r="N273" s="172"/>
      <c r="O273" s="358"/>
      <c r="P273" s="358"/>
      <c r="Q273" s="358"/>
      <c r="R273" s="378"/>
      <c r="S273" s="359"/>
      <c r="T273" s="8"/>
      <c r="U273" s="8"/>
      <c r="V273" s="8"/>
      <c r="W273" s="172"/>
      <c r="X273" s="172"/>
      <c r="Y273" s="8"/>
      <c r="Z273" s="8"/>
      <c r="AA273" s="8"/>
      <c r="AB273" s="172"/>
      <c r="AC273" s="172"/>
      <c r="AD273" s="8"/>
      <c r="AE273" s="8"/>
      <c r="AF273" s="8"/>
      <c r="AG273" s="172"/>
      <c r="AH273" s="172"/>
      <c r="AI273" s="367"/>
      <c r="AJ273" s="362"/>
      <c r="AK273" s="363" t="str">
        <f>IFERROR(__xludf.DUMMYFUNCTION("IFERROR(if(D275&lt;&gt;"""", 
  AVERAGE(
    QUERY(
      IMPORTRANGE(""1-uH1wy6jSm5jYL9je6fN1K5RJ5QMvHntodEHZRtIvTk"", ""All Data!N2:U""),
      ""select Col8 where Col1 = '"" &amp; D275 &amp; ""' and Col8 is not null"",
      0
    )
  )/100,
""""),
  """"
)
"),"")</f>
        <v/>
      </c>
    </row>
    <row r="274">
      <c r="D274" s="172"/>
      <c r="E274" s="368"/>
      <c r="F274" s="368"/>
      <c r="G274" s="368"/>
      <c r="H274" s="172"/>
      <c r="I274" s="172"/>
      <c r="J274" s="172"/>
      <c r="K274" s="172"/>
      <c r="L274" s="172"/>
      <c r="M274" s="172"/>
      <c r="N274" s="172"/>
      <c r="O274" s="358"/>
      <c r="P274" s="358"/>
      <c r="Q274" s="358"/>
      <c r="R274" s="378"/>
      <c r="S274" s="359"/>
      <c r="T274" s="8"/>
      <c r="U274" s="8"/>
      <c r="V274" s="8"/>
      <c r="W274" s="172"/>
      <c r="X274" s="172"/>
      <c r="Y274" s="8"/>
      <c r="Z274" s="8"/>
      <c r="AA274" s="8"/>
      <c r="AB274" s="172"/>
      <c r="AC274" s="172"/>
      <c r="AD274" s="8"/>
      <c r="AE274" s="8"/>
      <c r="AF274" s="8"/>
      <c r="AG274" s="172"/>
      <c r="AH274" s="172"/>
      <c r="AI274" s="367"/>
      <c r="AJ274" s="362"/>
      <c r="AK274" s="363" t="str">
        <f>IFERROR(__xludf.DUMMYFUNCTION("IFERROR(if(D276&lt;&gt;"""", 
  AVERAGE(
    QUERY(
      IMPORTRANGE(""1-uH1wy6jSm5jYL9je6fN1K5RJ5QMvHntodEHZRtIvTk"", ""All Data!N2:U""),
      ""select Col8 where Col1 = '"" &amp; D276 &amp; ""' and Col8 is not null"",
      0
    )
  )/100,
""""),
  """"
)
"),"")</f>
        <v/>
      </c>
    </row>
    <row r="275">
      <c r="D275" s="172"/>
      <c r="E275" s="368"/>
      <c r="F275" s="368"/>
      <c r="G275" s="368"/>
      <c r="H275" s="172"/>
      <c r="I275" s="172"/>
      <c r="J275" s="172"/>
      <c r="K275" s="172"/>
      <c r="L275" s="172"/>
      <c r="M275" s="172"/>
      <c r="N275" s="172"/>
      <c r="O275" s="358"/>
      <c r="P275" s="358"/>
      <c r="Q275" s="358"/>
      <c r="R275" s="378"/>
      <c r="S275" s="359"/>
      <c r="T275" s="8"/>
      <c r="U275" s="8"/>
      <c r="V275" s="8"/>
      <c r="W275" s="172"/>
      <c r="X275" s="172"/>
      <c r="Y275" s="8"/>
      <c r="Z275" s="8"/>
      <c r="AA275" s="8"/>
      <c r="AB275" s="172"/>
      <c r="AC275" s="172"/>
      <c r="AD275" s="8"/>
      <c r="AE275" s="8"/>
      <c r="AF275" s="8"/>
      <c r="AG275" s="172"/>
      <c r="AH275" s="172"/>
      <c r="AI275" s="367"/>
      <c r="AJ275" s="362"/>
      <c r="AK275" s="363" t="str">
        <f>IFERROR(__xludf.DUMMYFUNCTION("IFERROR(if(D277&lt;&gt;"""", 
  AVERAGE(
    QUERY(
      IMPORTRANGE(""1-uH1wy6jSm5jYL9je6fN1K5RJ5QMvHntodEHZRtIvTk"", ""All Data!N2:U""),
      ""select Col8 where Col1 = '"" &amp; D277 &amp; ""' and Col8 is not null"",
      0
    )
  )/100,
""""),
  """"
)
"),"")</f>
        <v/>
      </c>
    </row>
    <row r="276">
      <c r="D276" s="172"/>
      <c r="E276" s="368"/>
      <c r="F276" s="368"/>
      <c r="G276" s="368"/>
      <c r="H276" s="172"/>
      <c r="I276" s="172"/>
      <c r="J276" s="172"/>
      <c r="K276" s="172"/>
      <c r="L276" s="172"/>
      <c r="M276" s="172"/>
      <c r="N276" s="172"/>
      <c r="O276" s="358"/>
      <c r="P276" s="358"/>
      <c r="Q276" s="358"/>
      <c r="R276" s="378"/>
      <c r="S276" s="359"/>
      <c r="T276" s="8"/>
      <c r="U276" s="8"/>
      <c r="V276" s="8"/>
      <c r="W276" s="172"/>
      <c r="X276" s="172"/>
      <c r="Y276" s="8"/>
      <c r="Z276" s="8"/>
      <c r="AA276" s="8"/>
      <c r="AB276" s="172"/>
      <c r="AC276" s="172"/>
      <c r="AD276" s="8"/>
      <c r="AE276" s="8"/>
      <c r="AF276" s="8"/>
      <c r="AG276" s="172"/>
      <c r="AH276" s="172"/>
      <c r="AI276" s="367"/>
      <c r="AJ276" s="362"/>
      <c r="AK276" s="363" t="str">
        <f>IFERROR(__xludf.DUMMYFUNCTION("IFERROR(if(D278&lt;&gt;"""", 
  AVERAGE(
    QUERY(
      IMPORTRANGE(""1-uH1wy6jSm5jYL9je6fN1K5RJ5QMvHntodEHZRtIvTk"", ""All Data!N2:U""),
      ""select Col8 where Col1 = '"" &amp; D278 &amp; ""' and Col8 is not null"",
      0
    )
  )/100,
""""),
  """"
)
"),"")</f>
        <v/>
      </c>
    </row>
    <row r="277">
      <c r="D277" s="172"/>
      <c r="E277" s="368"/>
      <c r="F277" s="368"/>
      <c r="G277" s="368"/>
      <c r="H277" s="172"/>
      <c r="I277" s="172"/>
      <c r="J277" s="172"/>
      <c r="K277" s="172"/>
      <c r="L277" s="172"/>
      <c r="M277" s="172"/>
      <c r="N277" s="172"/>
      <c r="O277" s="358"/>
      <c r="P277" s="358"/>
      <c r="Q277" s="358"/>
      <c r="R277" s="378"/>
      <c r="S277" s="359"/>
      <c r="T277" s="8"/>
      <c r="U277" s="8"/>
      <c r="V277" s="8"/>
      <c r="W277" s="172"/>
      <c r="X277" s="172"/>
      <c r="Y277" s="8"/>
      <c r="Z277" s="8"/>
      <c r="AA277" s="8"/>
      <c r="AB277" s="172"/>
      <c r="AC277" s="172"/>
      <c r="AD277" s="8"/>
      <c r="AE277" s="8"/>
      <c r="AF277" s="8"/>
      <c r="AG277" s="172"/>
      <c r="AH277" s="172"/>
      <c r="AI277" s="367"/>
      <c r="AJ277" s="362"/>
      <c r="AK277" s="363" t="str">
        <f>IFERROR(__xludf.DUMMYFUNCTION("IFERROR(if(D279&lt;&gt;"""", 
  AVERAGE(
    QUERY(
      IMPORTRANGE(""1-uH1wy6jSm5jYL9je6fN1K5RJ5QMvHntodEHZRtIvTk"", ""All Data!N2:U""),
      ""select Col8 where Col1 = '"" &amp; D279 &amp; ""' and Col8 is not null"",
      0
    )
  )/100,
""""),
  """"
)
"),"")</f>
        <v/>
      </c>
    </row>
    <row r="278">
      <c r="D278" s="172"/>
      <c r="E278" s="368"/>
      <c r="F278" s="368"/>
      <c r="G278" s="368"/>
      <c r="H278" s="172"/>
      <c r="I278" s="172"/>
      <c r="J278" s="172"/>
      <c r="K278" s="172"/>
      <c r="L278" s="172"/>
      <c r="M278" s="172"/>
      <c r="N278" s="172"/>
      <c r="O278" s="358"/>
      <c r="P278" s="358"/>
      <c r="Q278" s="358"/>
      <c r="R278" s="378"/>
      <c r="S278" s="359"/>
      <c r="T278" s="8"/>
      <c r="U278" s="8"/>
      <c r="V278" s="8"/>
      <c r="W278" s="172"/>
      <c r="X278" s="172"/>
      <c r="Y278" s="8"/>
      <c r="Z278" s="8"/>
      <c r="AA278" s="8"/>
      <c r="AB278" s="172"/>
      <c r="AC278" s="172"/>
      <c r="AD278" s="8"/>
      <c r="AE278" s="8"/>
      <c r="AF278" s="8"/>
      <c r="AG278" s="172"/>
      <c r="AH278" s="172"/>
      <c r="AI278" s="367"/>
      <c r="AJ278" s="362"/>
      <c r="AK278" s="363" t="str">
        <f>IFERROR(__xludf.DUMMYFUNCTION("IFERROR(if(D280&lt;&gt;"""", 
  AVERAGE(
    QUERY(
      IMPORTRANGE(""1-uH1wy6jSm5jYL9je6fN1K5RJ5QMvHntodEHZRtIvTk"", ""All Data!N2:U""),
      ""select Col8 where Col1 = '"" &amp; D280 &amp; ""' and Col8 is not null"",
      0
    )
  )/100,
""""),
  """"
)
"),"")</f>
        <v/>
      </c>
    </row>
    <row r="279">
      <c r="D279" s="172"/>
      <c r="E279" s="368"/>
      <c r="F279" s="368"/>
      <c r="G279" s="368"/>
      <c r="H279" s="172"/>
      <c r="I279" s="172"/>
      <c r="J279" s="172"/>
      <c r="K279" s="172"/>
      <c r="L279" s="172"/>
      <c r="M279" s="172"/>
      <c r="N279" s="172"/>
      <c r="O279" s="358"/>
      <c r="P279" s="358"/>
      <c r="Q279" s="358"/>
      <c r="R279" s="378"/>
      <c r="S279" s="359"/>
      <c r="T279" s="8"/>
      <c r="U279" s="8"/>
      <c r="V279" s="8"/>
      <c r="W279" s="172"/>
      <c r="X279" s="172"/>
      <c r="Y279" s="8"/>
      <c r="Z279" s="8"/>
      <c r="AA279" s="8"/>
      <c r="AB279" s="172"/>
      <c r="AC279" s="172"/>
      <c r="AD279" s="8"/>
      <c r="AE279" s="8"/>
      <c r="AF279" s="8"/>
      <c r="AG279" s="172"/>
      <c r="AH279" s="172"/>
      <c r="AI279" s="367"/>
      <c r="AJ279" s="362"/>
      <c r="AK279" s="363" t="str">
        <f>IFERROR(__xludf.DUMMYFUNCTION("IFERROR(if(D281&lt;&gt;"""", 
  AVERAGE(
    QUERY(
      IMPORTRANGE(""1-uH1wy6jSm5jYL9je6fN1K5RJ5QMvHntodEHZRtIvTk"", ""All Data!N2:U""),
      ""select Col8 where Col1 = '"" &amp; D281 &amp; ""' and Col8 is not null"",
      0
    )
  )/100,
""""),
  """"
)
"),"")</f>
        <v/>
      </c>
    </row>
    <row r="280">
      <c r="D280" s="172"/>
      <c r="E280" s="368"/>
      <c r="F280" s="368"/>
      <c r="G280" s="368"/>
      <c r="H280" s="172"/>
      <c r="I280" s="172"/>
      <c r="J280" s="172"/>
      <c r="K280" s="172"/>
      <c r="L280" s="172"/>
      <c r="M280" s="172"/>
      <c r="N280" s="172"/>
      <c r="O280" s="358"/>
      <c r="P280" s="358"/>
      <c r="Q280" s="358"/>
      <c r="R280" s="378"/>
      <c r="S280" s="359"/>
      <c r="T280" s="8"/>
      <c r="U280" s="8"/>
      <c r="V280" s="8"/>
      <c r="W280" s="172"/>
      <c r="X280" s="172"/>
      <c r="Y280" s="8"/>
      <c r="Z280" s="8"/>
      <c r="AA280" s="8"/>
      <c r="AB280" s="172"/>
      <c r="AC280" s="172"/>
      <c r="AD280" s="8"/>
      <c r="AE280" s="8"/>
      <c r="AF280" s="8"/>
      <c r="AG280" s="172"/>
      <c r="AH280" s="172"/>
      <c r="AI280" s="367"/>
      <c r="AJ280" s="362"/>
      <c r="AK280" s="363" t="str">
        <f>IFERROR(__xludf.DUMMYFUNCTION("IFERROR(if(D282&lt;&gt;"""", 
  AVERAGE(
    QUERY(
      IMPORTRANGE(""1-uH1wy6jSm5jYL9je6fN1K5RJ5QMvHntodEHZRtIvTk"", ""All Data!N2:U""),
      ""select Col8 where Col1 = '"" &amp; D282 &amp; ""' and Col8 is not null"",
      0
    )
  )/100,
""""),
  """"
)
"),"")</f>
        <v/>
      </c>
    </row>
    <row r="281">
      <c r="D281" s="172"/>
      <c r="E281" s="368"/>
      <c r="F281" s="368"/>
      <c r="G281" s="368"/>
      <c r="H281" s="172"/>
      <c r="I281" s="172"/>
      <c r="J281" s="172"/>
      <c r="K281" s="172"/>
      <c r="L281" s="172"/>
      <c r="M281" s="172"/>
      <c r="N281" s="172"/>
      <c r="O281" s="358"/>
      <c r="P281" s="358"/>
      <c r="Q281" s="358"/>
      <c r="R281" s="378"/>
      <c r="S281" s="359"/>
      <c r="T281" s="8"/>
      <c r="U281" s="8"/>
      <c r="V281" s="8"/>
      <c r="W281" s="172"/>
      <c r="X281" s="172"/>
      <c r="Y281" s="8"/>
      <c r="Z281" s="8"/>
      <c r="AA281" s="8"/>
      <c r="AB281" s="172"/>
      <c r="AC281" s="172"/>
      <c r="AD281" s="8"/>
      <c r="AE281" s="8"/>
      <c r="AF281" s="8"/>
      <c r="AG281" s="172"/>
      <c r="AH281" s="172"/>
      <c r="AI281" s="367"/>
      <c r="AJ281" s="362"/>
      <c r="AK281" s="363" t="str">
        <f>IFERROR(__xludf.DUMMYFUNCTION("IFERROR(if(D283&lt;&gt;"""", 
  AVERAGE(
    QUERY(
      IMPORTRANGE(""1-uH1wy6jSm5jYL9je6fN1K5RJ5QMvHntodEHZRtIvTk"", ""All Data!N2:U""),
      ""select Col8 where Col1 = '"" &amp; D283 &amp; ""' and Col8 is not null"",
      0
    )
  )/100,
""""),
  """"
)
"),"")</f>
        <v/>
      </c>
    </row>
    <row r="282">
      <c r="D282" s="172"/>
      <c r="E282" s="368"/>
      <c r="F282" s="368"/>
      <c r="G282" s="368"/>
      <c r="H282" s="172"/>
      <c r="I282" s="172"/>
      <c r="J282" s="172"/>
      <c r="K282" s="172"/>
      <c r="L282" s="172"/>
      <c r="M282" s="172"/>
      <c r="N282" s="172"/>
      <c r="O282" s="358"/>
      <c r="P282" s="358"/>
      <c r="Q282" s="358"/>
      <c r="R282" s="378"/>
      <c r="S282" s="359"/>
      <c r="T282" s="8"/>
      <c r="U282" s="8"/>
      <c r="V282" s="8"/>
      <c r="W282" s="172"/>
      <c r="X282" s="172"/>
      <c r="Y282" s="8"/>
      <c r="Z282" s="8"/>
      <c r="AA282" s="8"/>
      <c r="AB282" s="172"/>
      <c r="AC282" s="172"/>
      <c r="AD282" s="8"/>
      <c r="AE282" s="8"/>
      <c r="AF282" s="8"/>
      <c r="AG282" s="172"/>
      <c r="AH282" s="172"/>
      <c r="AI282" s="367"/>
      <c r="AJ282" s="362"/>
      <c r="AK282" s="363" t="str">
        <f>IFERROR(__xludf.DUMMYFUNCTION("IFERROR(if(D284&lt;&gt;"""", 
  AVERAGE(
    QUERY(
      IMPORTRANGE(""1-uH1wy6jSm5jYL9je6fN1K5RJ5QMvHntodEHZRtIvTk"", ""All Data!N2:U""),
      ""select Col8 where Col1 = '"" &amp; D284 &amp; ""' and Col8 is not null"",
      0
    )
  )/100,
""""),
  """"
)
"),"")</f>
        <v/>
      </c>
    </row>
    <row r="283">
      <c r="D283" s="172"/>
      <c r="E283" s="368"/>
      <c r="F283" s="368"/>
      <c r="G283" s="368"/>
      <c r="H283" s="172"/>
      <c r="I283" s="172"/>
      <c r="J283" s="172"/>
      <c r="K283" s="172"/>
      <c r="L283" s="172"/>
      <c r="M283" s="172"/>
      <c r="N283" s="172"/>
      <c r="O283" s="358"/>
      <c r="P283" s="358"/>
      <c r="Q283" s="358"/>
      <c r="R283" s="378"/>
      <c r="S283" s="359"/>
      <c r="T283" s="8"/>
      <c r="U283" s="8"/>
      <c r="V283" s="8"/>
      <c r="W283" s="172"/>
      <c r="X283" s="172"/>
      <c r="Y283" s="8"/>
      <c r="Z283" s="8"/>
      <c r="AA283" s="8"/>
      <c r="AB283" s="172"/>
      <c r="AC283" s="172"/>
      <c r="AD283" s="8"/>
      <c r="AE283" s="8"/>
      <c r="AF283" s="8"/>
      <c r="AG283" s="172"/>
      <c r="AH283" s="172"/>
      <c r="AI283" s="367"/>
      <c r="AJ283" s="362"/>
      <c r="AK283" s="363" t="str">
        <f>IFERROR(__xludf.DUMMYFUNCTION("IFERROR(if(D285&lt;&gt;"""", 
  AVERAGE(
    QUERY(
      IMPORTRANGE(""1-uH1wy6jSm5jYL9je6fN1K5RJ5QMvHntodEHZRtIvTk"", ""All Data!N2:U""),
      ""select Col8 where Col1 = '"" &amp; D285 &amp; ""' and Col8 is not null"",
      0
    )
  )/100,
""""),
  """"
)
"),"")</f>
        <v/>
      </c>
    </row>
    <row r="284">
      <c r="D284" s="172"/>
      <c r="E284" s="368"/>
      <c r="F284" s="368"/>
      <c r="G284" s="368"/>
      <c r="H284" s="172"/>
      <c r="I284" s="172"/>
      <c r="J284" s="172"/>
      <c r="K284" s="172"/>
      <c r="L284" s="172"/>
      <c r="M284" s="172"/>
      <c r="N284" s="172"/>
      <c r="O284" s="358"/>
      <c r="P284" s="358"/>
      <c r="Q284" s="358"/>
      <c r="R284" s="378"/>
      <c r="S284" s="359"/>
      <c r="T284" s="8"/>
      <c r="U284" s="8"/>
      <c r="V284" s="8"/>
      <c r="W284" s="172"/>
      <c r="X284" s="172"/>
      <c r="Y284" s="8"/>
      <c r="Z284" s="8"/>
      <c r="AA284" s="8"/>
      <c r="AB284" s="172"/>
      <c r="AC284" s="172"/>
      <c r="AD284" s="8"/>
      <c r="AE284" s="8"/>
      <c r="AF284" s="8"/>
      <c r="AG284" s="172"/>
      <c r="AH284" s="172"/>
      <c r="AI284" s="367"/>
      <c r="AJ284" s="362"/>
      <c r="AK284" s="363" t="str">
        <f>IFERROR(__xludf.DUMMYFUNCTION("IFERROR(if(D286&lt;&gt;"""", 
  AVERAGE(
    QUERY(
      IMPORTRANGE(""1-uH1wy6jSm5jYL9je6fN1K5RJ5QMvHntodEHZRtIvTk"", ""All Data!N2:U""),
      ""select Col8 where Col1 = '"" &amp; D286 &amp; ""' and Col8 is not null"",
      0
    )
  )/100,
""""),
  """"
)
"),"")</f>
        <v/>
      </c>
    </row>
    <row r="285">
      <c r="D285" s="172"/>
      <c r="E285" s="368"/>
      <c r="F285" s="368"/>
      <c r="G285" s="368"/>
      <c r="H285" s="172"/>
      <c r="I285" s="172"/>
      <c r="J285" s="172"/>
      <c r="K285" s="172"/>
      <c r="L285" s="172"/>
      <c r="M285" s="172"/>
      <c r="N285" s="172"/>
      <c r="O285" s="358"/>
      <c r="P285" s="358"/>
      <c r="Q285" s="358"/>
      <c r="R285" s="378"/>
      <c r="S285" s="359"/>
      <c r="T285" s="8"/>
      <c r="U285" s="8"/>
      <c r="V285" s="8"/>
      <c r="W285" s="172"/>
      <c r="X285" s="172"/>
      <c r="Y285" s="8"/>
      <c r="Z285" s="8"/>
      <c r="AA285" s="8"/>
      <c r="AB285" s="172"/>
      <c r="AC285" s="172"/>
      <c r="AD285" s="8"/>
      <c r="AE285" s="8"/>
      <c r="AF285" s="8"/>
      <c r="AG285" s="172"/>
      <c r="AH285" s="172"/>
      <c r="AI285" s="367"/>
      <c r="AJ285" s="362"/>
      <c r="AK285" s="363" t="str">
        <f>IFERROR(__xludf.DUMMYFUNCTION("IFERROR(if(D287&lt;&gt;"""", 
  AVERAGE(
    QUERY(
      IMPORTRANGE(""1-uH1wy6jSm5jYL9je6fN1K5RJ5QMvHntodEHZRtIvTk"", ""All Data!N2:U""),
      ""select Col8 where Col1 = '"" &amp; D287 &amp; ""' and Col8 is not null"",
      0
    )
  )/100,
""""),
  """"
)
"),"")</f>
        <v/>
      </c>
    </row>
    <row r="286">
      <c r="D286" s="172"/>
      <c r="E286" s="368"/>
      <c r="F286" s="368"/>
      <c r="G286" s="368"/>
      <c r="H286" s="172"/>
      <c r="I286" s="172"/>
      <c r="J286" s="172"/>
      <c r="K286" s="172"/>
      <c r="L286" s="172"/>
      <c r="M286" s="172"/>
      <c r="N286" s="172"/>
      <c r="O286" s="358"/>
      <c r="P286" s="358"/>
      <c r="Q286" s="358"/>
      <c r="R286" s="378"/>
      <c r="S286" s="359"/>
      <c r="T286" s="8"/>
      <c r="U286" s="8"/>
      <c r="V286" s="8"/>
      <c r="W286" s="172"/>
      <c r="X286" s="172"/>
      <c r="Y286" s="8"/>
      <c r="Z286" s="8"/>
      <c r="AA286" s="8"/>
      <c r="AB286" s="172"/>
      <c r="AC286" s="172"/>
      <c r="AD286" s="8"/>
      <c r="AE286" s="8"/>
      <c r="AF286" s="8"/>
      <c r="AG286" s="172"/>
      <c r="AH286" s="172"/>
      <c r="AI286" s="367"/>
      <c r="AJ286" s="362"/>
      <c r="AK286" s="363" t="str">
        <f>IFERROR(__xludf.DUMMYFUNCTION("IFERROR(if(D288&lt;&gt;"""", 
  AVERAGE(
    QUERY(
      IMPORTRANGE(""1-uH1wy6jSm5jYL9je6fN1K5RJ5QMvHntodEHZRtIvTk"", ""All Data!N2:U""),
      ""select Col8 where Col1 = '"" &amp; D288 &amp; ""' and Col8 is not null"",
      0
    )
  )/100,
""""),
  """"
)
"),"")</f>
        <v/>
      </c>
    </row>
    <row r="287">
      <c r="D287" s="172"/>
      <c r="E287" s="368"/>
      <c r="F287" s="368"/>
      <c r="G287" s="368"/>
      <c r="H287" s="172"/>
      <c r="I287" s="172"/>
      <c r="J287" s="172"/>
      <c r="K287" s="172"/>
      <c r="L287" s="172"/>
      <c r="M287" s="172"/>
      <c r="N287" s="172"/>
      <c r="O287" s="358"/>
      <c r="P287" s="358"/>
      <c r="Q287" s="358"/>
      <c r="R287" s="378"/>
      <c r="S287" s="359"/>
      <c r="T287" s="8"/>
      <c r="U287" s="8"/>
      <c r="V287" s="8"/>
      <c r="W287" s="172"/>
      <c r="X287" s="172"/>
      <c r="Y287" s="8"/>
      <c r="Z287" s="8"/>
      <c r="AA287" s="8"/>
      <c r="AB287" s="172"/>
      <c r="AC287" s="172"/>
      <c r="AD287" s="8"/>
      <c r="AE287" s="8"/>
      <c r="AF287" s="8"/>
      <c r="AG287" s="172"/>
      <c r="AH287" s="172"/>
      <c r="AI287" s="367"/>
      <c r="AJ287" s="362"/>
      <c r="AK287" s="363" t="str">
        <f>IFERROR(__xludf.DUMMYFUNCTION("IFERROR(if(D289&lt;&gt;"""", 
  AVERAGE(
    QUERY(
      IMPORTRANGE(""1-uH1wy6jSm5jYL9je6fN1K5RJ5QMvHntodEHZRtIvTk"", ""All Data!N2:U""),
      ""select Col8 where Col1 = '"" &amp; D289 &amp; ""' and Col8 is not null"",
      0
    )
  )/100,
""""),
  """"
)
"),"")</f>
        <v/>
      </c>
    </row>
    <row r="288">
      <c r="D288" s="172"/>
      <c r="E288" s="368"/>
      <c r="F288" s="368"/>
      <c r="G288" s="368"/>
      <c r="H288" s="172"/>
      <c r="I288" s="172"/>
      <c r="J288" s="172"/>
      <c r="K288" s="172"/>
      <c r="L288" s="172"/>
      <c r="M288" s="172"/>
      <c r="N288" s="172"/>
      <c r="O288" s="358"/>
      <c r="P288" s="358"/>
      <c r="Q288" s="358"/>
      <c r="R288" s="378"/>
      <c r="S288" s="359"/>
      <c r="T288" s="8"/>
      <c r="U288" s="8"/>
      <c r="V288" s="8"/>
      <c r="W288" s="172"/>
      <c r="X288" s="172"/>
      <c r="Y288" s="8"/>
      <c r="Z288" s="8"/>
      <c r="AA288" s="8"/>
      <c r="AB288" s="172"/>
      <c r="AC288" s="172"/>
      <c r="AD288" s="8"/>
      <c r="AE288" s="8"/>
      <c r="AF288" s="8"/>
      <c r="AG288" s="172"/>
      <c r="AH288" s="172"/>
      <c r="AI288" s="367"/>
      <c r="AJ288" s="362"/>
      <c r="AK288" s="363" t="str">
        <f>IFERROR(__xludf.DUMMYFUNCTION("IFERROR(if(D290&lt;&gt;"""", 
  AVERAGE(
    QUERY(
      IMPORTRANGE(""1-uH1wy6jSm5jYL9je6fN1K5RJ5QMvHntodEHZRtIvTk"", ""All Data!N2:U""),
      ""select Col8 where Col1 = '"" &amp; D290 &amp; ""' and Col8 is not null"",
      0
    )
  )/100,
""""),
  """"
)
"),"")</f>
        <v/>
      </c>
    </row>
    <row r="289">
      <c r="D289" s="172"/>
      <c r="E289" s="368"/>
      <c r="F289" s="368"/>
      <c r="G289" s="368"/>
      <c r="H289" s="172"/>
      <c r="I289" s="172"/>
      <c r="J289" s="172"/>
      <c r="K289" s="172"/>
      <c r="L289" s="172"/>
      <c r="M289" s="172"/>
      <c r="N289" s="172"/>
      <c r="O289" s="358"/>
      <c r="P289" s="358"/>
      <c r="Q289" s="358"/>
      <c r="R289" s="378"/>
      <c r="S289" s="359"/>
      <c r="T289" s="8"/>
      <c r="U289" s="8"/>
      <c r="V289" s="8"/>
      <c r="W289" s="172"/>
      <c r="X289" s="172"/>
      <c r="Y289" s="8"/>
      <c r="Z289" s="8"/>
      <c r="AA289" s="8"/>
      <c r="AB289" s="172"/>
      <c r="AC289" s="172"/>
      <c r="AD289" s="8"/>
      <c r="AE289" s="8"/>
      <c r="AF289" s="8"/>
      <c r="AG289" s="172"/>
      <c r="AH289" s="172"/>
      <c r="AI289" s="367"/>
      <c r="AJ289" s="362"/>
      <c r="AK289" s="363" t="str">
        <f>IFERROR(__xludf.DUMMYFUNCTION("IFERROR(if(D291&lt;&gt;"""", 
  AVERAGE(
    QUERY(
      IMPORTRANGE(""1-uH1wy6jSm5jYL9je6fN1K5RJ5QMvHntodEHZRtIvTk"", ""All Data!N2:U""),
      ""select Col8 where Col1 = '"" &amp; D291 &amp; ""' and Col8 is not null"",
      0
    )
  )/100,
""""),
  """"
)
"),"")</f>
        <v/>
      </c>
    </row>
    <row r="290">
      <c r="D290" s="172"/>
      <c r="E290" s="368"/>
      <c r="F290" s="368"/>
      <c r="G290" s="368"/>
      <c r="H290" s="172"/>
      <c r="I290" s="172"/>
      <c r="J290" s="172"/>
      <c r="K290" s="172"/>
      <c r="L290" s="172"/>
      <c r="M290" s="172"/>
      <c r="N290" s="172"/>
      <c r="O290" s="358"/>
      <c r="P290" s="358"/>
      <c r="Q290" s="358"/>
      <c r="R290" s="378"/>
      <c r="S290" s="359"/>
      <c r="T290" s="8"/>
      <c r="U290" s="8"/>
      <c r="V290" s="8"/>
      <c r="W290" s="172"/>
      <c r="X290" s="172"/>
      <c r="Y290" s="8"/>
      <c r="Z290" s="8"/>
      <c r="AA290" s="8"/>
      <c r="AB290" s="172"/>
      <c r="AC290" s="172"/>
      <c r="AD290" s="8"/>
      <c r="AE290" s="8"/>
      <c r="AF290" s="8"/>
      <c r="AG290" s="172"/>
      <c r="AH290" s="172"/>
      <c r="AI290" s="367"/>
      <c r="AJ290" s="362"/>
      <c r="AK290" s="363" t="str">
        <f>IFERROR(__xludf.DUMMYFUNCTION("IFERROR(if(D292&lt;&gt;"""", 
  AVERAGE(
    QUERY(
      IMPORTRANGE(""1-uH1wy6jSm5jYL9je6fN1K5RJ5QMvHntodEHZRtIvTk"", ""All Data!N2:U""),
      ""select Col8 where Col1 = '"" &amp; D292 &amp; ""' and Col8 is not null"",
      0
    )
  )/100,
""""),
  """"
)
"),"")</f>
        <v/>
      </c>
    </row>
    <row r="291">
      <c r="D291" s="172"/>
      <c r="E291" s="368"/>
      <c r="F291" s="368"/>
      <c r="G291" s="368"/>
      <c r="H291" s="172"/>
      <c r="I291" s="172"/>
      <c r="J291" s="172"/>
      <c r="K291" s="172"/>
      <c r="L291" s="172"/>
      <c r="M291" s="172"/>
      <c r="N291" s="172"/>
      <c r="O291" s="358"/>
      <c r="P291" s="358"/>
      <c r="Q291" s="358"/>
      <c r="R291" s="378"/>
      <c r="S291" s="359"/>
      <c r="T291" s="8"/>
      <c r="U291" s="8"/>
      <c r="V291" s="8"/>
      <c r="W291" s="172"/>
      <c r="X291" s="172"/>
      <c r="Y291" s="8"/>
      <c r="Z291" s="8"/>
      <c r="AA291" s="8"/>
      <c r="AB291" s="172"/>
      <c r="AC291" s="172"/>
      <c r="AD291" s="8"/>
      <c r="AE291" s="8"/>
      <c r="AF291" s="8"/>
      <c r="AG291" s="172"/>
      <c r="AH291" s="172"/>
      <c r="AI291" s="367"/>
      <c r="AJ291" s="362"/>
      <c r="AK291" s="363" t="str">
        <f>IFERROR(__xludf.DUMMYFUNCTION("IFERROR(if(D293&lt;&gt;"""", 
  AVERAGE(
    QUERY(
      IMPORTRANGE(""1-uH1wy6jSm5jYL9je6fN1K5RJ5QMvHntodEHZRtIvTk"", ""All Data!N2:U""),
      ""select Col8 where Col1 = '"" &amp; D293 &amp; ""' and Col8 is not null"",
      0
    )
  )/100,
""""),
  """"
)
"),"")</f>
        <v/>
      </c>
    </row>
    <row r="292">
      <c r="D292" s="172"/>
      <c r="E292" s="368"/>
      <c r="F292" s="368"/>
      <c r="G292" s="368"/>
      <c r="H292" s="172"/>
      <c r="I292" s="172"/>
      <c r="J292" s="172"/>
      <c r="K292" s="172"/>
      <c r="L292" s="172"/>
      <c r="M292" s="172"/>
      <c r="N292" s="172"/>
      <c r="O292" s="358"/>
      <c r="P292" s="358"/>
      <c r="Q292" s="358"/>
      <c r="R292" s="378"/>
      <c r="S292" s="359"/>
      <c r="T292" s="8"/>
      <c r="U292" s="8"/>
      <c r="V292" s="8"/>
      <c r="W292" s="172"/>
      <c r="X292" s="172"/>
      <c r="Y292" s="8"/>
      <c r="Z292" s="8"/>
      <c r="AA292" s="8"/>
      <c r="AB292" s="172"/>
      <c r="AC292" s="172"/>
      <c r="AD292" s="8"/>
      <c r="AE292" s="8"/>
      <c r="AF292" s="8"/>
      <c r="AG292" s="172"/>
      <c r="AH292" s="172"/>
      <c r="AI292" s="367"/>
      <c r="AJ292" s="362"/>
      <c r="AK292" s="363" t="str">
        <f>IFERROR(__xludf.DUMMYFUNCTION("IFERROR(if(D294&lt;&gt;"""", 
  AVERAGE(
    QUERY(
      IMPORTRANGE(""1-uH1wy6jSm5jYL9je6fN1K5RJ5QMvHntodEHZRtIvTk"", ""All Data!N2:U""),
      ""select Col8 where Col1 = '"" &amp; D294 &amp; ""' and Col8 is not null"",
      0
    )
  )/100,
""""),
  """"
)
"),"")</f>
        <v/>
      </c>
    </row>
    <row r="293">
      <c r="D293" s="172"/>
      <c r="E293" s="368"/>
      <c r="F293" s="368"/>
      <c r="G293" s="368"/>
      <c r="H293" s="172"/>
      <c r="I293" s="172"/>
      <c r="J293" s="172"/>
      <c r="K293" s="172"/>
      <c r="L293" s="172"/>
      <c r="M293" s="172"/>
      <c r="N293" s="172"/>
      <c r="O293" s="358"/>
      <c r="P293" s="358"/>
      <c r="Q293" s="358"/>
      <c r="R293" s="378"/>
      <c r="S293" s="359"/>
      <c r="T293" s="8"/>
      <c r="U293" s="8"/>
      <c r="V293" s="8"/>
      <c r="W293" s="172"/>
      <c r="X293" s="172"/>
      <c r="Y293" s="8"/>
      <c r="Z293" s="8"/>
      <c r="AA293" s="8"/>
      <c r="AB293" s="172"/>
      <c r="AC293" s="172"/>
      <c r="AD293" s="8"/>
      <c r="AE293" s="8"/>
      <c r="AF293" s="8"/>
      <c r="AG293" s="172"/>
      <c r="AH293" s="172"/>
      <c r="AI293" s="367"/>
      <c r="AJ293" s="362"/>
      <c r="AK293" s="363" t="str">
        <f>IFERROR(__xludf.DUMMYFUNCTION("IFERROR(if(D295&lt;&gt;"""", 
  AVERAGE(
    QUERY(
      IMPORTRANGE(""1-uH1wy6jSm5jYL9je6fN1K5RJ5QMvHntodEHZRtIvTk"", ""All Data!N2:U""),
      ""select Col8 where Col1 = '"" &amp; D295 &amp; ""' and Col8 is not null"",
      0
    )
  )/100,
""""),
  """"
)
"),"")</f>
        <v/>
      </c>
    </row>
    <row r="294">
      <c r="D294" s="172"/>
      <c r="E294" s="368"/>
      <c r="F294" s="368"/>
      <c r="G294" s="368"/>
      <c r="H294" s="172"/>
      <c r="I294" s="172"/>
      <c r="J294" s="172"/>
      <c r="K294" s="172"/>
      <c r="L294" s="172"/>
      <c r="M294" s="172"/>
      <c r="N294" s="172"/>
      <c r="O294" s="358"/>
      <c r="P294" s="358"/>
      <c r="Q294" s="358"/>
      <c r="R294" s="378"/>
      <c r="S294" s="359"/>
      <c r="T294" s="8"/>
      <c r="U294" s="8"/>
      <c r="V294" s="8"/>
      <c r="W294" s="172"/>
      <c r="X294" s="172"/>
      <c r="Y294" s="8"/>
      <c r="Z294" s="8"/>
      <c r="AA294" s="8"/>
      <c r="AB294" s="172"/>
      <c r="AC294" s="172"/>
      <c r="AD294" s="8"/>
      <c r="AE294" s="8"/>
      <c r="AF294" s="8"/>
      <c r="AG294" s="172"/>
      <c r="AH294" s="172"/>
      <c r="AI294" s="367"/>
      <c r="AJ294" s="362"/>
      <c r="AK294" s="363" t="str">
        <f>IFERROR(__xludf.DUMMYFUNCTION("IFERROR(if(D296&lt;&gt;"""", 
  AVERAGE(
    QUERY(
      IMPORTRANGE(""1-uH1wy6jSm5jYL9je6fN1K5RJ5QMvHntodEHZRtIvTk"", ""All Data!N2:U""),
      ""select Col8 where Col1 = '"" &amp; D296 &amp; ""' and Col8 is not null"",
      0
    )
  )/100,
""""),
  """"
)
"),"")</f>
        <v/>
      </c>
    </row>
    <row r="295">
      <c r="D295" s="172"/>
      <c r="E295" s="368"/>
      <c r="F295" s="368"/>
      <c r="G295" s="368"/>
      <c r="H295" s="172"/>
      <c r="I295" s="172"/>
      <c r="J295" s="172"/>
      <c r="K295" s="172"/>
      <c r="L295" s="172"/>
      <c r="M295" s="172"/>
      <c r="N295" s="172"/>
      <c r="O295" s="358"/>
      <c r="P295" s="358"/>
      <c r="Q295" s="358"/>
      <c r="R295" s="378"/>
      <c r="S295" s="359"/>
      <c r="T295" s="8"/>
      <c r="U295" s="8"/>
      <c r="V295" s="8"/>
      <c r="W295" s="172"/>
      <c r="X295" s="172"/>
      <c r="Y295" s="8"/>
      <c r="Z295" s="8"/>
      <c r="AA295" s="8"/>
      <c r="AB295" s="172"/>
      <c r="AC295" s="172"/>
      <c r="AD295" s="8"/>
      <c r="AE295" s="8"/>
      <c r="AF295" s="8"/>
      <c r="AG295" s="172"/>
      <c r="AH295" s="172"/>
      <c r="AI295" s="367"/>
      <c r="AJ295" s="362"/>
      <c r="AK295" s="363" t="str">
        <f>IFERROR(__xludf.DUMMYFUNCTION("IFERROR(if(D297&lt;&gt;"""", 
  AVERAGE(
    QUERY(
      IMPORTRANGE(""1-uH1wy6jSm5jYL9je6fN1K5RJ5QMvHntodEHZRtIvTk"", ""All Data!N2:U""),
      ""select Col8 where Col1 = '"" &amp; D297 &amp; ""' and Col8 is not null"",
      0
    )
  )/100,
""""),
  """"
)
"),"")</f>
        <v/>
      </c>
    </row>
    <row r="296">
      <c r="D296" s="172"/>
      <c r="E296" s="368"/>
      <c r="F296" s="368"/>
      <c r="G296" s="368"/>
      <c r="H296" s="172"/>
      <c r="I296" s="172"/>
      <c r="J296" s="172"/>
      <c r="K296" s="172"/>
      <c r="L296" s="172"/>
      <c r="M296" s="172"/>
      <c r="N296" s="172"/>
      <c r="O296" s="358"/>
      <c r="P296" s="358"/>
      <c r="Q296" s="358"/>
      <c r="R296" s="378"/>
      <c r="S296" s="359"/>
      <c r="T296" s="8"/>
      <c r="U296" s="8"/>
      <c r="V296" s="8"/>
      <c r="W296" s="172"/>
      <c r="X296" s="172"/>
      <c r="Y296" s="8"/>
      <c r="Z296" s="8"/>
      <c r="AA296" s="8"/>
      <c r="AB296" s="172"/>
      <c r="AC296" s="172"/>
      <c r="AD296" s="8"/>
      <c r="AE296" s="8"/>
      <c r="AF296" s="8"/>
      <c r="AG296" s="172"/>
      <c r="AH296" s="172"/>
      <c r="AI296" s="367"/>
      <c r="AJ296" s="362"/>
      <c r="AK296" s="363" t="str">
        <f>IFERROR(__xludf.DUMMYFUNCTION("IFERROR(if(D298&lt;&gt;"""", 
  AVERAGE(
    QUERY(
      IMPORTRANGE(""1-uH1wy6jSm5jYL9je6fN1K5RJ5QMvHntodEHZRtIvTk"", ""All Data!N2:U""),
      ""select Col8 where Col1 = '"" &amp; D298 &amp; ""' and Col8 is not null"",
      0
    )
  )/100,
""""),
  """"
)
"),"")</f>
        <v/>
      </c>
    </row>
    <row r="297">
      <c r="D297" s="172"/>
      <c r="E297" s="368"/>
      <c r="F297" s="368"/>
      <c r="G297" s="368"/>
      <c r="H297" s="172"/>
      <c r="I297" s="172"/>
      <c r="J297" s="172"/>
      <c r="K297" s="172"/>
      <c r="L297" s="172"/>
      <c r="M297" s="172"/>
      <c r="N297" s="172"/>
      <c r="O297" s="358"/>
      <c r="P297" s="358"/>
      <c r="Q297" s="358"/>
      <c r="R297" s="378"/>
      <c r="S297" s="359"/>
      <c r="T297" s="8"/>
      <c r="U297" s="8"/>
      <c r="V297" s="8"/>
      <c r="W297" s="172"/>
      <c r="X297" s="172"/>
      <c r="Y297" s="8"/>
      <c r="Z297" s="8"/>
      <c r="AA297" s="8"/>
      <c r="AB297" s="172"/>
      <c r="AC297" s="172"/>
      <c r="AD297" s="8"/>
      <c r="AE297" s="8"/>
      <c r="AF297" s="8"/>
      <c r="AG297" s="172"/>
      <c r="AH297" s="172"/>
      <c r="AI297" s="367"/>
      <c r="AJ297" s="362"/>
      <c r="AK297" s="363" t="str">
        <f>IFERROR(__xludf.DUMMYFUNCTION("IFERROR(if(D299&lt;&gt;"""", 
  AVERAGE(
    QUERY(
      IMPORTRANGE(""1-uH1wy6jSm5jYL9je6fN1K5RJ5QMvHntodEHZRtIvTk"", ""All Data!N2:U""),
      ""select Col8 where Col1 = '"" &amp; D299 &amp; ""' and Col8 is not null"",
      0
    )
  )/100,
""""),
  """"
)
"),"")</f>
        <v/>
      </c>
    </row>
    <row r="298">
      <c r="D298" s="172"/>
      <c r="E298" s="368"/>
      <c r="F298" s="368"/>
      <c r="G298" s="368"/>
      <c r="H298" s="172"/>
      <c r="I298" s="172"/>
      <c r="J298" s="172"/>
      <c r="K298" s="172"/>
      <c r="L298" s="172"/>
      <c r="M298" s="172"/>
      <c r="N298" s="172"/>
      <c r="O298" s="358"/>
      <c r="P298" s="358"/>
      <c r="Q298" s="358"/>
      <c r="R298" s="378"/>
      <c r="S298" s="359"/>
      <c r="T298" s="8"/>
      <c r="U298" s="8"/>
      <c r="V298" s="8"/>
      <c r="W298" s="172"/>
      <c r="X298" s="172"/>
      <c r="Y298" s="8"/>
      <c r="Z298" s="8"/>
      <c r="AA298" s="8"/>
      <c r="AB298" s="172"/>
      <c r="AC298" s="172"/>
      <c r="AD298" s="8"/>
      <c r="AE298" s="8"/>
      <c r="AF298" s="8"/>
      <c r="AG298" s="172"/>
      <c r="AH298" s="172"/>
      <c r="AI298" s="367"/>
      <c r="AJ298" s="362"/>
      <c r="AK298" s="363" t="str">
        <f>IFERROR(__xludf.DUMMYFUNCTION("IFERROR(if(D300&lt;&gt;"""", 
  AVERAGE(
    QUERY(
      IMPORTRANGE(""1-uH1wy6jSm5jYL9je6fN1K5RJ5QMvHntodEHZRtIvTk"", ""All Data!N2:U""),
      ""select Col8 where Col1 = '"" &amp; D300 &amp; ""' and Col8 is not null"",
      0
    )
  )/100,
""""),
  """"
)
"),"")</f>
        <v/>
      </c>
    </row>
    <row r="299">
      <c r="D299" s="172"/>
      <c r="E299" s="368"/>
      <c r="F299" s="368"/>
      <c r="G299" s="368"/>
      <c r="H299" s="172"/>
      <c r="I299" s="172"/>
      <c r="J299" s="172"/>
      <c r="K299" s="172"/>
      <c r="L299" s="172"/>
      <c r="M299" s="172"/>
      <c r="N299" s="172"/>
      <c r="O299" s="358"/>
      <c r="P299" s="358"/>
      <c r="Q299" s="358"/>
      <c r="R299" s="378"/>
      <c r="S299" s="359"/>
      <c r="T299" s="8"/>
      <c r="U299" s="8"/>
      <c r="V299" s="8"/>
      <c r="W299" s="172"/>
      <c r="X299" s="172"/>
      <c r="Y299" s="8"/>
      <c r="Z299" s="8"/>
      <c r="AA299" s="8"/>
      <c r="AB299" s="172"/>
      <c r="AC299" s="172"/>
      <c r="AD299" s="8"/>
      <c r="AE299" s="8"/>
      <c r="AF299" s="8"/>
      <c r="AG299" s="172"/>
      <c r="AH299" s="172"/>
      <c r="AI299" s="367"/>
      <c r="AJ299" s="362"/>
      <c r="AK299" s="363" t="str">
        <f>IFERROR(__xludf.DUMMYFUNCTION("IFERROR(if(D301&lt;&gt;"""", 
  AVERAGE(
    QUERY(
      IMPORTRANGE(""1-uH1wy6jSm5jYL9je6fN1K5RJ5QMvHntodEHZRtIvTk"", ""All Data!N2:U""),
      ""select Col8 where Col1 = '"" &amp; D301 &amp; ""' and Col8 is not null"",
      0
    )
  )/100,
""""),
  """"
)
"),"")</f>
        <v/>
      </c>
    </row>
    <row r="300">
      <c r="D300" s="172"/>
      <c r="E300" s="368"/>
      <c r="F300" s="368"/>
      <c r="G300" s="368"/>
      <c r="H300" s="172"/>
      <c r="I300" s="172"/>
      <c r="J300" s="172"/>
      <c r="K300" s="172"/>
      <c r="L300" s="172"/>
      <c r="M300" s="172"/>
      <c r="N300" s="172"/>
      <c r="O300" s="358"/>
      <c r="P300" s="358"/>
      <c r="Q300" s="358"/>
      <c r="R300" s="378"/>
      <c r="S300" s="359"/>
      <c r="T300" s="8"/>
      <c r="U300" s="8"/>
      <c r="V300" s="8"/>
      <c r="W300" s="172"/>
      <c r="X300" s="172"/>
      <c r="Y300" s="8"/>
      <c r="Z300" s="8"/>
      <c r="AA300" s="8"/>
      <c r="AB300" s="172"/>
      <c r="AC300" s="172"/>
      <c r="AD300" s="8"/>
      <c r="AE300" s="8"/>
      <c r="AF300" s="8"/>
      <c r="AG300" s="172"/>
      <c r="AH300" s="172"/>
      <c r="AI300" s="367"/>
      <c r="AJ300" s="362"/>
      <c r="AK300" s="363" t="str">
        <f>IFERROR(__xludf.DUMMYFUNCTION("IFERROR(if(D302&lt;&gt;"""", 
  AVERAGE(
    QUERY(
      IMPORTRANGE(""1-uH1wy6jSm5jYL9je6fN1K5RJ5QMvHntodEHZRtIvTk"", ""All Data!N2:U""),
      ""select Col8 where Col1 = '"" &amp; D302 &amp; ""' and Col8 is not null"",
      0
    )
  )/100,
""""),
  """"
)
"),"")</f>
        <v/>
      </c>
    </row>
    <row r="301">
      <c r="D301" s="172"/>
      <c r="E301" s="368"/>
      <c r="F301" s="368"/>
      <c r="G301" s="368"/>
      <c r="H301" s="172"/>
      <c r="I301" s="172"/>
      <c r="J301" s="172"/>
      <c r="K301" s="172"/>
      <c r="L301" s="172"/>
      <c r="M301" s="172"/>
      <c r="N301" s="172"/>
      <c r="O301" s="358"/>
      <c r="P301" s="358"/>
      <c r="Q301" s="358"/>
      <c r="R301" s="378"/>
      <c r="S301" s="359"/>
      <c r="T301" s="8"/>
      <c r="U301" s="8"/>
      <c r="V301" s="8"/>
      <c r="W301" s="172"/>
      <c r="X301" s="172"/>
      <c r="Y301" s="8"/>
      <c r="Z301" s="8"/>
      <c r="AA301" s="8"/>
      <c r="AB301" s="172"/>
      <c r="AC301" s="172"/>
      <c r="AD301" s="8"/>
      <c r="AE301" s="8"/>
      <c r="AF301" s="8"/>
      <c r="AG301" s="172"/>
      <c r="AH301" s="172"/>
      <c r="AI301" s="367"/>
      <c r="AJ301" s="362"/>
      <c r="AK301" s="363" t="str">
        <f>IFERROR(__xludf.DUMMYFUNCTION("IFERROR(if(D303&lt;&gt;"""", 
  AVERAGE(
    QUERY(
      IMPORTRANGE(""1-uH1wy6jSm5jYL9je6fN1K5RJ5QMvHntodEHZRtIvTk"", ""All Data!N2:U""),
      ""select Col8 where Col1 = '"" &amp; D303 &amp; ""' and Col8 is not null"",
      0
    )
  )/100,
""""),
  """"
)
"),"")</f>
        <v/>
      </c>
    </row>
    <row r="302">
      <c r="D302" s="172"/>
      <c r="E302" s="368"/>
      <c r="F302" s="368"/>
      <c r="G302" s="368"/>
      <c r="H302" s="172"/>
      <c r="I302" s="172"/>
      <c r="J302" s="172"/>
      <c r="K302" s="172"/>
      <c r="L302" s="172"/>
      <c r="M302" s="172"/>
      <c r="N302" s="172"/>
      <c r="O302" s="358"/>
      <c r="P302" s="358"/>
      <c r="Q302" s="358"/>
      <c r="R302" s="378"/>
      <c r="S302" s="359"/>
      <c r="T302" s="8"/>
      <c r="U302" s="8"/>
      <c r="V302" s="8"/>
      <c r="W302" s="172"/>
      <c r="X302" s="172"/>
      <c r="Y302" s="8"/>
      <c r="Z302" s="8"/>
      <c r="AA302" s="8"/>
      <c r="AB302" s="172"/>
      <c r="AC302" s="172"/>
      <c r="AD302" s="8"/>
      <c r="AE302" s="8"/>
      <c r="AF302" s="8"/>
      <c r="AG302" s="172"/>
      <c r="AH302" s="172"/>
      <c r="AI302" s="367"/>
      <c r="AJ302" s="362"/>
      <c r="AK302" s="363" t="str">
        <f>IFERROR(__xludf.DUMMYFUNCTION("IFERROR(if(D304&lt;&gt;"""", 
  AVERAGE(
    QUERY(
      IMPORTRANGE(""1-uH1wy6jSm5jYL9je6fN1K5RJ5QMvHntodEHZRtIvTk"", ""All Data!N2:U""),
      ""select Col8 where Col1 = '"" &amp; D304 &amp; ""' and Col8 is not null"",
      0
    )
  )/100,
""""),
  """"
)
"),"")</f>
        <v/>
      </c>
    </row>
    <row r="303">
      <c r="D303" s="172"/>
      <c r="E303" s="368"/>
      <c r="F303" s="368"/>
      <c r="G303" s="368"/>
      <c r="H303" s="172"/>
      <c r="I303" s="172"/>
      <c r="J303" s="172"/>
      <c r="K303" s="172"/>
      <c r="L303" s="172"/>
      <c r="M303" s="172"/>
      <c r="N303" s="172"/>
      <c r="O303" s="358"/>
      <c r="P303" s="358"/>
      <c r="Q303" s="358"/>
      <c r="R303" s="378"/>
      <c r="S303" s="359"/>
      <c r="T303" s="8"/>
      <c r="U303" s="8"/>
      <c r="V303" s="8"/>
      <c r="W303" s="172"/>
      <c r="X303" s="172"/>
      <c r="Y303" s="8"/>
      <c r="Z303" s="8"/>
      <c r="AA303" s="8"/>
      <c r="AB303" s="172"/>
      <c r="AC303" s="172"/>
      <c r="AD303" s="8"/>
      <c r="AE303" s="8"/>
      <c r="AF303" s="8"/>
      <c r="AG303" s="172"/>
      <c r="AH303" s="172"/>
      <c r="AI303" s="367"/>
      <c r="AJ303" s="362"/>
      <c r="AK303" s="363" t="str">
        <f>IFERROR(__xludf.DUMMYFUNCTION("IFERROR(if(D305&lt;&gt;"""", 
  AVERAGE(
    QUERY(
      IMPORTRANGE(""1-uH1wy6jSm5jYL9je6fN1K5RJ5QMvHntodEHZRtIvTk"", ""All Data!N2:U""),
      ""select Col8 where Col1 = '"" &amp; D305 &amp; ""' and Col8 is not null"",
      0
    )
  )/100,
""""),
  """"
)
"),"")</f>
        <v/>
      </c>
    </row>
    <row r="304">
      <c r="D304" s="172"/>
      <c r="E304" s="368"/>
      <c r="F304" s="368"/>
      <c r="G304" s="368"/>
      <c r="H304" s="172"/>
      <c r="I304" s="172"/>
      <c r="J304" s="172"/>
      <c r="K304" s="172"/>
      <c r="L304" s="172"/>
      <c r="M304" s="172"/>
      <c r="N304" s="172"/>
      <c r="O304" s="358"/>
      <c r="P304" s="358"/>
      <c r="Q304" s="358"/>
      <c r="R304" s="378"/>
      <c r="S304" s="359"/>
      <c r="T304" s="8"/>
      <c r="U304" s="8"/>
      <c r="V304" s="8"/>
      <c r="W304" s="172"/>
      <c r="X304" s="172"/>
      <c r="Y304" s="8"/>
      <c r="Z304" s="8"/>
      <c r="AA304" s="8"/>
      <c r="AB304" s="172"/>
      <c r="AC304" s="172"/>
      <c r="AD304" s="8"/>
      <c r="AE304" s="8"/>
      <c r="AF304" s="8"/>
      <c r="AG304" s="172"/>
      <c r="AH304" s="172"/>
      <c r="AI304" s="367"/>
      <c r="AJ304" s="362"/>
      <c r="AK304" s="363" t="str">
        <f>IFERROR(__xludf.DUMMYFUNCTION("IFERROR(if(D306&lt;&gt;"""", 
  AVERAGE(
    QUERY(
      IMPORTRANGE(""1-uH1wy6jSm5jYL9je6fN1K5RJ5QMvHntodEHZRtIvTk"", ""All Data!N2:U""),
      ""select Col8 where Col1 = '"" &amp; D306 &amp; ""' and Col8 is not null"",
      0
    )
  )/100,
""""),
  """"
)
"),"")</f>
        <v/>
      </c>
    </row>
    <row r="305">
      <c r="D305" s="172"/>
      <c r="E305" s="368"/>
      <c r="F305" s="368"/>
      <c r="G305" s="368"/>
      <c r="H305" s="172"/>
      <c r="I305" s="172"/>
      <c r="J305" s="172"/>
      <c r="K305" s="172"/>
      <c r="L305" s="172"/>
      <c r="M305" s="172"/>
      <c r="N305" s="172"/>
      <c r="O305" s="358"/>
      <c r="P305" s="358"/>
      <c r="Q305" s="358"/>
      <c r="R305" s="378"/>
      <c r="S305" s="359"/>
      <c r="T305" s="8"/>
      <c r="U305" s="8"/>
      <c r="V305" s="8"/>
      <c r="W305" s="172"/>
      <c r="X305" s="172"/>
      <c r="Y305" s="8"/>
      <c r="Z305" s="8"/>
      <c r="AA305" s="8"/>
      <c r="AB305" s="172"/>
      <c r="AC305" s="172"/>
      <c r="AD305" s="8"/>
      <c r="AE305" s="8"/>
      <c r="AF305" s="8"/>
      <c r="AG305" s="172"/>
      <c r="AH305" s="172"/>
      <c r="AI305" s="367"/>
      <c r="AJ305" s="362"/>
      <c r="AK305" s="363" t="str">
        <f>IFERROR(__xludf.DUMMYFUNCTION("IFERROR(if(D307&lt;&gt;"""", 
  AVERAGE(
    QUERY(
      IMPORTRANGE(""1-uH1wy6jSm5jYL9je6fN1K5RJ5QMvHntodEHZRtIvTk"", ""All Data!N2:U""),
      ""select Col8 where Col1 = '"" &amp; D307 &amp; ""' and Col8 is not null"",
      0
    )
  )/100,
""""),
  """"
)
"),"")</f>
        <v/>
      </c>
    </row>
    <row r="306">
      <c r="D306" s="172"/>
      <c r="E306" s="368"/>
      <c r="F306" s="368"/>
      <c r="G306" s="368"/>
      <c r="H306" s="172"/>
      <c r="I306" s="172"/>
      <c r="J306" s="172"/>
      <c r="K306" s="172"/>
      <c r="L306" s="172"/>
      <c r="M306" s="172"/>
      <c r="N306" s="172"/>
      <c r="O306" s="358"/>
      <c r="P306" s="358"/>
      <c r="Q306" s="358"/>
      <c r="R306" s="378"/>
      <c r="S306" s="359"/>
      <c r="T306" s="8"/>
      <c r="U306" s="8"/>
      <c r="V306" s="8"/>
      <c r="W306" s="172"/>
      <c r="X306" s="172"/>
      <c r="Y306" s="8"/>
      <c r="Z306" s="8"/>
      <c r="AA306" s="8"/>
      <c r="AB306" s="172"/>
      <c r="AC306" s="172"/>
      <c r="AD306" s="8"/>
      <c r="AE306" s="8"/>
      <c r="AF306" s="8"/>
      <c r="AG306" s="172"/>
      <c r="AH306" s="172"/>
      <c r="AI306" s="367"/>
      <c r="AJ306" s="362"/>
      <c r="AK306" s="363" t="str">
        <f>IFERROR(__xludf.DUMMYFUNCTION("IFERROR(if(D308&lt;&gt;"""", 
  AVERAGE(
    QUERY(
      IMPORTRANGE(""1-uH1wy6jSm5jYL9je6fN1K5RJ5QMvHntodEHZRtIvTk"", ""All Data!N2:U""),
      ""select Col8 where Col1 = '"" &amp; D308 &amp; ""' and Col8 is not null"",
      0
    )
  )/100,
""""),
  """"
)
"),"")</f>
        <v/>
      </c>
    </row>
    <row r="307">
      <c r="D307" s="172"/>
      <c r="E307" s="368"/>
      <c r="F307" s="368"/>
      <c r="G307" s="368"/>
      <c r="H307" s="172"/>
      <c r="I307" s="172"/>
      <c r="J307" s="172"/>
      <c r="K307" s="172"/>
      <c r="L307" s="172"/>
      <c r="M307" s="172"/>
      <c r="N307" s="172"/>
      <c r="O307" s="358"/>
      <c r="P307" s="358"/>
      <c r="Q307" s="358"/>
      <c r="R307" s="378"/>
      <c r="S307" s="359"/>
      <c r="T307" s="8"/>
      <c r="U307" s="8"/>
      <c r="V307" s="8"/>
      <c r="W307" s="172"/>
      <c r="X307" s="172"/>
      <c r="Y307" s="8"/>
      <c r="Z307" s="8"/>
      <c r="AA307" s="8"/>
      <c r="AB307" s="172"/>
      <c r="AC307" s="172"/>
      <c r="AD307" s="8"/>
      <c r="AE307" s="8"/>
      <c r="AF307" s="8"/>
      <c r="AG307" s="172"/>
      <c r="AH307" s="172"/>
      <c r="AI307" s="367"/>
      <c r="AJ307" s="362"/>
      <c r="AK307" s="363" t="str">
        <f>IFERROR(__xludf.DUMMYFUNCTION("IFERROR(if(D309&lt;&gt;"""", 
  AVERAGE(
    QUERY(
      IMPORTRANGE(""1-uH1wy6jSm5jYL9je6fN1K5RJ5QMvHntodEHZRtIvTk"", ""All Data!N2:U""),
      ""select Col8 where Col1 = '"" &amp; D309 &amp; ""' and Col8 is not null"",
      0
    )
  )/100,
""""),
  """"
)
"),"")</f>
        <v/>
      </c>
    </row>
    <row r="308">
      <c r="D308" s="172"/>
      <c r="E308" s="368"/>
      <c r="F308" s="368"/>
      <c r="G308" s="368"/>
      <c r="H308" s="172"/>
      <c r="I308" s="172"/>
      <c r="J308" s="172"/>
      <c r="K308" s="172"/>
      <c r="L308" s="172"/>
      <c r="M308" s="172"/>
      <c r="N308" s="172"/>
      <c r="O308" s="358"/>
      <c r="P308" s="358"/>
      <c r="Q308" s="358"/>
      <c r="R308" s="378"/>
      <c r="S308" s="359"/>
      <c r="T308" s="8"/>
      <c r="U308" s="8"/>
      <c r="V308" s="8"/>
      <c r="W308" s="172"/>
      <c r="X308" s="172"/>
      <c r="Y308" s="8"/>
      <c r="Z308" s="8"/>
      <c r="AA308" s="8"/>
      <c r="AB308" s="172"/>
      <c r="AC308" s="172"/>
      <c r="AD308" s="8"/>
      <c r="AE308" s="8"/>
      <c r="AF308" s="8"/>
      <c r="AG308" s="172"/>
      <c r="AH308" s="172"/>
      <c r="AI308" s="367"/>
      <c r="AJ308" s="362"/>
      <c r="AK308" s="363" t="str">
        <f>IFERROR(__xludf.DUMMYFUNCTION("IFERROR(if(D310&lt;&gt;"""", 
  AVERAGE(
    QUERY(
      IMPORTRANGE(""1-uH1wy6jSm5jYL9je6fN1K5RJ5QMvHntodEHZRtIvTk"", ""All Data!N2:U""),
      ""select Col8 where Col1 = '"" &amp; D310 &amp; ""' and Col8 is not null"",
      0
    )
  )/100,
""""),
  """"
)
"),"")</f>
        <v/>
      </c>
    </row>
    <row r="309">
      <c r="D309" s="172"/>
      <c r="E309" s="368"/>
      <c r="F309" s="368"/>
      <c r="G309" s="368"/>
      <c r="H309" s="172"/>
      <c r="I309" s="172"/>
      <c r="J309" s="172"/>
      <c r="K309" s="172"/>
      <c r="L309" s="172"/>
      <c r="M309" s="172"/>
      <c r="N309" s="172"/>
      <c r="O309" s="358"/>
      <c r="P309" s="358"/>
      <c r="Q309" s="358"/>
      <c r="R309" s="378"/>
      <c r="S309" s="359"/>
      <c r="T309" s="8"/>
      <c r="U309" s="8"/>
      <c r="V309" s="8"/>
      <c r="W309" s="172"/>
      <c r="X309" s="172"/>
      <c r="Y309" s="8"/>
      <c r="Z309" s="8"/>
      <c r="AA309" s="8"/>
      <c r="AB309" s="172"/>
      <c r="AC309" s="172"/>
      <c r="AD309" s="8"/>
      <c r="AE309" s="8"/>
      <c r="AF309" s="8"/>
      <c r="AG309" s="172"/>
      <c r="AH309" s="172"/>
      <c r="AI309" s="367"/>
      <c r="AJ309" s="362"/>
      <c r="AK309" s="363" t="str">
        <f>IFERROR(__xludf.DUMMYFUNCTION("IFERROR(if(D311&lt;&gt;"""", 
  AVERAGE(
    QUERY(
      IMPORTRANGE(""1-uH1wy6jSm5jYL9je6fN1K5RJ5QMvHntodEHZRtIvTk"", ""All Data!N2:U""),
      ""select Col8 where Col1 = '"" &amp; D311 &amp; ""' and Col8 is not null"",
      0
    )
  )/100,
""""),
  """"
)
"),"")</f>
        <v/>
      </c>
    </row>
    <row r="310">
      <c r="D310" s="172"/>
      <c r="E310" s="368"/>
      <c r="F310" s="368"/>
      <c r="G310" s="368"/>
      <c r="H310" s="172"/>
      <c r="I310" s="172"/>
      <c r="J310" s="172"/>
      <c r="K310" s="172"/>
      <c r="L310" s="172"/>
      <c r="M310" s="172"/>
      <c r="N310" s="172"/>
      <c r="O310" s="358"/>
      <c r="P310" s="358"/>
      <c r="Q310" s="358"/>
      <c r="R310" s="378"/>
      <c r="S310" s="359"/>
      <c r="T310" s="8"/>
      <c r="U310" s="8"/>
      <c r="V310" s="8"/>
      <c r="W310" s="172"/>
      <c r="X310" s="172"/>
      <c r="Y310" s="8"/>
      <c r="Z310" s="8"/>
      <c r="AA310" s="8"/>
      <c r="AB310" s="172"/>
      <c r="AC310" s="172"/>
      <c r="AD310" s="8"/>
      <c r="AE310" s="8"/>
      <c r="AF310" s="8"/>
      <c r="AG310" s="172"/>
      <c r="AH310" s="172"/>
      <c r="AI310" s="367"/>
      <c r="AJ310" s="362"/>
      <c r="AK310" s="363" t="str">
        <f>IFERROR(__xludf.DUMMYFUNCTION("IFERROR(if(D312&lt;&gt;"""", 
  AVERAGE(
    QUERY(
      IMPORTRANGE(""1-uH1wy6jSm5jYL9je6fN1K5RJ5QMvHntodEHZRtIvTk"", ""All Data!N2:U""),
      ""select Col8 where Col1 = '"" &amp; D312 &amp; ""' and Col8 is not null"",
      0
    )
  )/100,
""""),
  """"
)
"),"")</f>
        <v/>
      </c>
    </row>
    <row r="311">
      <c r="D311" s="172"/>
      <c r="E311" s="368"/>
      <c r="F311" s="368"/>
      <c r="G311" s="368"/>
      <c r="H311" s="172"/>
      <c r="I311" s="172"/>
      <c r="J311" s="172"/>
      <c r="K311" s="172"/>
      <c r="L311" s="172"/>
      <c r="M311" s="172"/>
      <c r="N311" s="172"/>
      <c r="O311" s="358"/>
      <c r="P311" s="358"/>
      <c r="Q311" s="358"/>
      <c r="R311" s="378"/>
      <c r="S311" s="359"/>
      <c r="T311" s="8"/>
      <c r="U311" s="8"/>
      <c r="V311" s="8"/>
      <c r="W311" s="172"/>
      <c r="X311" s="172"/>
      <c r="Y311" s="8"/>
      <c r="Z311" s="8"/>
      <c r="AA311" s="8"/>
      <c r="AB311" s="172"/>
      <c r="AC311" s="172"/>
      <c r="AD311" s="8"/>
      <c r="AE311" s="8"/>
      <c r="AF311" s="8"/>
      <c r="AG311" s="172"/>
      <c r="AH311" s="172"/>
      <c r="AI311" s="367"/>
      <c r="AJ311" s="362"/>
      <c r="AK311" s="363" t="str">
        <f>IFERROR(__xludf.DUMMYFUNCTION("IFERROR(if(D313&lt;&gt;"""", 
  AVERAGE(
    QUERY(
      IMPORTRANGE(""1-uH1wy6jSm5jYL9je6fN1K5RJ5QMvHntodEHZRtIvTk"", ""All Data!N2:U""),
      ""select Col8 where Col1 = '"" &amp; D313 &amp; ""' and Col8 is not null"",
      0
    )
  )/100,
""""),
  """"
)
"),"")</f>
        <v/>
      </c>
    </row>
    <row r="312">
      <c r="D312" s="172"/>
      <c r="E312" s="368"/>
      <c r="F312" s="368"/>
      <c r="G312" s="368"/>
      <c r="H312" s="172"/>
      <c r="I312" s="172"/>
      <c r="J312" s="172"/>
      <c r="K312" s="172"/>
      <c r="L312" s="172"/>
      <c r="M312" s="172"/>
      <c r="N312" s="172"/>
      <c r="O312" s="358"/>
      <c r="P312" s="358"/>
      <c r="Q312" s="358"/>
      <c r="R312" s="378"/>
      <c r="S312" s="359"/>
      <c r="T312" s="8"/>
      <c r="U312" s="8"/>
      <c r="V312" s="8"/>
      <c r="W312" s="172"/>
      <c r="X312" s="172"/>
      <c r="Y312" s="8"/>
      <c r="Z312" s="8"/>
      <c r="AA312" s="8"/>
      <c r="AB312" s="172"/>
      <c r="AC312" s="172"/>
      <c r="AD312" s="8"/>
      <c r="AE312" s="8"/>
      <c r="AF312" s="8"/>
      <c r="AG312" s="172"/>
      <c r="AH312" s="172"/>
      <c r="AI312" s="367"/>
      <c r="AJ312" s="362"/>
      <c r="AK312" s="363" t="str">
        <f>IFERROR(__xludf.DUMMYFUNCTION("IFERROR(if(D314&lt;&gt;"""", 
  AVERAGE(
    QUERY(
      IMPORTRANGE(""1-uH1wy6jSm5jYL9je6fN1K5RJ5QMvHntodEHZRtIvTk"", ""All Data!N2:U""),
      ""select Col8 where Col1 = '"" &amp; D314 &amp; ""' and Col8 is not null"",
      0
    )
  )/100,
""""),
  """"
)
"),"")</f>
        <v/>
      </c>
    </row>
    <row r="313">
      <c r="D313" s="172"/>
      <c r="E313" s="368"/>
      <c r="F313" s="368"/>
      <c r="G313" s="368"/>
      <c r="H313" s="172"/>
      <c r="I313" s="172"/>
      <c r="J313" s="172"/>
      <c r="K313" s="172"/>
      <c r="L313" s="172"/>
      <c r="M313" s="172"/>
      <c r="N313" s="172"/>
      <c r="O313" s="358"/>
      <c r="P313" s="358"/>
      <c r="Q313" s="358"/>
      <c r="R313" s="378"/>
      <c r="S313" s="359"/>
      <c r="T313" s="8"/>
      <c r="U313" s="8"/>
      <c r="V313" s="8"/>
      <c r="W313" s="172"/>
      <c r="X313" s="172"/>
      <c r="Y313" s="8"/>
      <c r="Z313" s="8"/>
      <c r="AA313" s="8"/>
      <c r="AB313" s="172"/>
      <c r="AC313" s="172"/>
      <c r="AD313" s="8"/>
      <c r="AE313" s="8"/>
      <c r="AF313" s="8"/>
      <c r="AG313" s="172"/>
      <c r="AH313" s="172"/>
      <c r="AI313" s="367"/>
      <c r="AJ313" s="362"/>
      <c r="AK313" s="363" t="str">
        <f>IFERROR(__xludf.DUMMYFUNCTION("IFERROR(if(D315&lt;&gt;"""", 
  AVERAGE(
    QUERY(
      IMPORTRANGE(""1-uH1wy6jSm5jYL9je6fN1K5RJ5QMvHntodEHZRtIvTk"", ""All Data!N2:U""),
      ""select Col8 where Col1 = '"" &amp; D315 &amp; ""' and Col8 is not null"",
      0
    )
  )/100,
""""),
  """"
)
"),"")</f>
        <v/>
      </c>
    </row>
    <row r="314">
      <c r="D314" s="172"/>
      <c r="E314" s="368"/>
      <c r="F314" s="368"/>
      <c r="G314" s="368"/>
      <c r="H314" s="172"/>
      <c r="I314" s="172"/>
      <c r="J314" s="172"/>
      <c r="K314" s="172"/>
      <c r="L314" s="172"/>
      <c r="M314" s="172"/>
      <c r="N314" s="172"/>
      <c r="O314" s="358"/>
      <c r="P314" s="358"/>
      <c r="Q314" s="358"/>
      <c r="R314" s="378"/>
      <c r="S314" s="359"/>
      <c r="T314" s="8"/>
      <c r="U314" s="8"/>
      <c r="V314" s="8"/>
      <c r="W314" s="172"/>
      <c r="X314" s="172"/>
      <c r="Y314" s="8"/>
      <c r="Z314" s="8"/>
      <c r="AA314" s="8"/>
      <c r="AB314" s="172"/>
      <c r="AC314" s="172"/>
      <c r="AD314" s="8"/>
      <c r="AE314" s="8"/>
      <c r="AF314" s="8"/>
      <c r="AG314" s="172"/>
      <c r="AH314" s="172"/>
      <c r="AI314" s="367"/>
      <c r="AJ314" s="362"/>
      <c r="AK314" s="363" t="str">
        <f>IFERROR(__xludf.DUMMYFUNCTION("IFERROR(if(D316&lt;&gt;"""", 
  AVERAGE(
    QUERY(
      IMPORTRANGE(""1-uH1wy6jSm5jYL9je6fN1K5RJ5QMvHntodEHZRtIvTk"", ""All Data!N2:U""),
      ""select Col8 where Col1 = '"" &amp; D316 &amp; ""' and Col8 is not null"",
      0
    )
  )/100,
""""),
  """"
)
"),"")</f>
        <v/>
      </c>
    </row>
    <row r="315">
      <c r="D315" s="172"/>
      <c r="E315" s="368"/>
      <c r="F315" s="368"/>
      <c r="G315" s="368"/>
      <c r="H315" s="172"/>
      <c r="I315" s="172"/>
      <c r="J315" s="172"/>
      <c r="K315" s="172"/>
      <c r="L315" s="172"/>
      <c r="M315" s="172"/>
      <c r="N315" s="172"/>
      <c r="O315" s="358"/>
      <c r="P315" s="358"/>
      <c r="Q315" s="358"/>
      <c r="R315" s="378"/>
      <c r="S315" s="359"/>
      <c r="T315" s="8"/>
      <c r="U315" s="8"/>
      <c r="V315" s="8"/>
      <c r="W315" s="172"/>
      <c r="X315" s="172"/>
      <c r="Y315" s="8"/>
      <c r="Z315" s="8"/>
      <c r="AA315" s="8"/>
      <c r="AB315" s="172"/>
      <c r="AC315" s="172"/>
      <c r="AD315" s="8"/>
      <c r="AE315" s="8"/>
      <c r="AF315" s="8"/>
      <c r="AG315" s="172"/>
      <c r="AH315" s="172"/>
      <c r="AI315" s="367"/>
      <c r="AJ315" s="362"/>
      <c r="AK315" s="363" t="str">
        <f>IFERROR(__xludf.DUMMYFUNCTION("IFERROR(if(D317&lt;&gt;"""", 
  AVERAGE(
    QUERY(
      IMPORTRANGE(""1-uH1wy6jSm5jYL9je6fN1K5RJ5QMvHntodEHZRtIvTk"", ""All Data!N2:U""),
      ""select Col8 where Col1 = '"" &amp; D317 &amp; ""' and Col8 is not null"",
      0
    )
  )/100,
""""),
  """"
)
"),"")</f>
        <v/>
      </c>
    </row>
    <row r="316">
      <c r="D316" s="172"/>
      <c r="E316" s="368"/>
      <c r="F316" s="368"/>
      <c r="G316" s="368"/>
      <c r="H316" s="172"/>
      <c r="I316" s="172"/>
      <c r="J316" s="172"/>
      <c r="K316" s="172"/>
      <c r="L316" s="172"/>
      <c r="M316" s="172"/>
      <c r="N316" s="172"/>
      <c r="O316" s="358"/>
      <c r="P316" s="358"/>
      <c r="Q316" s="358"/>
      <c r="R316" s="378"/>
      <c r="S316" s="359"/>
      <c r="T316" s="8"/>
      <c r="U316" s="8"/>
      <c r="V316" s="8"/>
      <c r="W316" s="172"/>
      <c r="X316" s="172"/>
      <c r="Y316" s="8"/>
      <c r="Z316" s="8"/>
      <c r="AA316" s="8"/>
      <c r="AB316" s="172"/>
      <c r="AC316" s="172"/>
      <c r="AD316" s="8"/>
      <c r="AE316" s="8"/>
      <c r="AF316" s="8"/>
      <c r="AG316" s="172"/>
      <c r="AH316" s="172"/>
      <c r="AI316" s="367"/>
      <c r="AJ316" s="362"/>
      <c r="AK316" s="363" t="str">
        <f>IFERROR(__xludf.DUMMYFUNCTION("IFERROR(if(D318&lt;&gt;"""", 
  AVERAGE(
    QUERY(
      IMPORTRANGE(""1-uH1wy6jSm5jYL9je6fN1K5RJ5QMvHntodEHZRtIvTk"", ""All Data!N2:U""),
      ""select Col8 where Col1 = '"" &amp; D318 &amp; ""' and Col8 is not null"",
      0
    )
  )/100,
""""),
  """"
)
"),"")</f>
        <v/>
      </c>
    </row>
    <row r="317">
      <c r="D317" s="172"/>
      <c r="E317" s="368"/>
      <c r="F317" s="368"/>
      <c r="G317" s="368"/>
      <c r="H317" s="172"/>
      <c r="I317" s="172"/>
      <c r="J317" s="172"/>
      <c r="K317" s="172"/>
      <c r="L317" s="172"/>
      <c r="M317" s="172"/>
      <c r="N317" s="172"/>
      <c r="O317" s="358"/>
      <c r="P317" s="358"/>
      <c r="Q317" s="358"/>
      <c r="R317" s="378"/>
      <c r="S317" s="359"/>
      <c r="T317" s="8"/>
      <c r="U317" s="8"/>
      <c r="V317" s="8"/>
      <c r="W317" s="172"/>
      <c r="X317" s="172"/>
      <c r="Y317" s="8"/>
      <c r="Z317" s="8"/>
      <c r="AA317" s="8"/>
      <c r="AB317" s="172"/>
      <c r="AC317" s="172"/>
      <c r="AD317" s="8"/>
      <c r="AE317" s="8"/>
      <c r="AF317" s="8"/>
      <c r="AG317" s="172"/>
      <c r="AH317" s="172"/>
      <c r="AI317" s="367"/>
      <c r="AJ317" s="362"/>
      <c r="AK317" s="363" t="str">
        <f>IFERROR(__xludf.DUMMYFUNCTION("IFERROR(if(D319&lt;&gt;"""", 
  AVERAGE(
    QUERY(
      IMPORTRANGE(""1-uH1wy6jSm5jYL9je6fN1K5RJ5QMvHntodEHZRtIvTk"", ""All Data!N2:U""),
      ""select Col8 where Col1 = '"" &amp; D319 &amp; ""' and Col8 is not null"",
      0
    )
  )/100,
""""),
  """"
)
"),"")</f>
        <v/>
      </c>
    </row>
    <row r="318">
      <c r="D318" s="172"/>
      <c r="E318" s="368"/>
      <c r="F318" s="368"/>
      <c r="G318" s="368"/>
      <c r="H318" s="172"/>
      <c r="I318" s="172"/>
      <c r="J318" s="172"/>
      <c r="K318" s="172"/>
      <c r="L318" s="172"/>
      <c r="M318" s="172"/>
      <c r="N318" s="172"/>
      <c r="O318" s="358"/>
      <c r="P318" s="358"/>
      <c r="Q318" s="358"/>
      <c r="R318" s="378"/>
      <c r="S318" s="359"/>
      <c r="T318" s="8"/>
      <c r="U318" s="8"/>
      <c r="V318" s="8"/>
      <c r="W318" s="172"/>
      <c r="X318" s="172"/>
      <c r="Y318" s="8"/>
      <c r="Z318" s="8"/>
      <c r="AA318" s="8"/>
      <c r="AB318" s="172"/>
      <c r="AC318" s="172"/>
      <c r="AD318" s="8"/>
      <c r="AE318" s="8"/>
      <c r="AF318" s="8"/>
      <c r="AG318" s="172"/>
      <c r="AH318" s="172"/>
      <c r="AI318" s="367"/>
      <c r="AJ318" s="362"/>
      <c r="AK318" s="363" t="str">
        <f>IFERROR(__xludf.DUMMYFUNCTION("IFERROR(if(D320&lt;&gt;"""", 
  AVERAGE(
    QUERY(
      IMPORTRANGE(""1-uH1wy6jSm5jYL9je6fN1K5RJ5QMvHntodEHZRtIvTk"", ""All Data!N2:U""),
      ""select Col8 where Col1 = '"" &amp; D320 &amp; ""' and Col8 is not null"",
      0
    )
  )/100,
""""),
  """"
)
"),"")</f>
        <v/>
      </c>
    </row>
    <row r="319">
      <c r="D319" s="172"/>
      <c r="E319" s="368"/>
      <c r="F319" s="368"/>
      <c r="G319" s="368"/>
      <c r="H319" s="172"/>
      <c r="I319" s="172"/>
      <c r="J319" s="172"/>
      <c r="K319" s="172"/>
      <c r="L319" s="172"/>
      <c r="M319" s="172"/>
      <c r="N319" s="172"/>
      <c r="O319" s="358"/>
      <c r="P319" s="358"/>
      <c r="Q319" s="358"/>
      <c r="R319" s="378"/>
      <c r="S319" s="359"/>
      <c r="T319" s="8"/>
      <c r="U319" s="8"/>
      <c r="V319" s="8"/>
      <c r="W319" s="172"/>
      <c r="X319" s="172"/>
      <c r="Y319" s="8"/>
      <c r="Z319" s="8"/>
      <c r="AA319" s="8"/>
      <c r="AB319" s="172"/>
      <c r="AC319" s="172"/>
      <c r="AD319" s="8"/>
      <c r="AE319" s="8"/>
      <c r="AF319" s="8"/>
      <c r="AG319" s="172"/>
      <c r="AH319" s="172"/>
      <c r="AI319" s="367"/>
      <c r="AJ319" s="362"/>
      <c r="AK319" s="363" t="str">
        <f>IFERROR(__xludf.DUMMYFUNCTION("IFERROR(if(D321&lt;&gt;"""", 
  AVERAGE(
    QUERY(
      IMPORTRANGE(""1-uH1wy6jSm5jYL9je6fN1K5RJ5QMvHntodEHZRtIvTk"", ""All Data!N2:U""),
      ""select Col8 where Col1 = '"" &amp; D321 &amp; ""' and Col8 is not null"",
      0
    )
  )/100,
""""),
  """"
)
"),"")</f>
        <v/>
      </c>
    </row>
    <row r="320">
      <c r="D320" s="172"/>
      <c r="E320" s="368"/>
      <c r="F320" s="368"/>
      <c r="G320" s="368"/>
      <c r="H320" s="172"/>
      <c r="I320" s="172"/>
      <c r="J320" s="172"/>
      <c r="K320" s="172"/>
      <c r="L320" s="172"/>
      <c r="M320" s="172"/>
      <c r="N320" s="172"/>
      <c r="O320" s="358"/>
      <c r="P320" s="358"/>
      <c r="Q320" s="358"/>
      <c r="R320" s="378"/>
      <c r="S320" s="359"/>
      <c r="T320" s="8"/>
      <c r="U320" s="8"/>
      <c r="V320" s="8"/>
      <c r="W320" s="172"/>
      <c r="X320" s="172"/>
      <c r="Y320" s="8"/>
      <c r="Z320" s="8"/>
      <c r="AA320" s="8"/>
      <c r="AB320" s="172"/>
      <c r="AC320" s="172"/>
      <c r="AD320" s="8"/>
      <c r="AE320" s="8"/>
      <c r="AF320" s="8"/>
      <c r="AG320" s="172"/>
      <c r="AH320" s="172"/>
      <c r="AI320" s="367"/>
      <c r="AJ320" s="362"/>
      <c r="AK320" s="363" t="str">
        <f>IFERROR(__xludf.DUMMYFUNCTION("IFERROR(if(D322&lt;&gt;"""", 
  AVERAGE(
    QUERY(
      IMPORTRANGE(""1-uH1wy6jSm5jYL9je6fN1K5RJ5QMvHntodEHZRtIvTk"", ""All Data!N2:U""),
      ""select Col8 where Col1 = '"" &amp; D322 &amp; ""' and Col8 is not null"",
      0
    )
  )/100,
""""),
  """"
)
"),"")</f>
        <v/>
      </c>
    </row>
    <row r="321">
      <c r="D321" s="172"/>
      <c r="E321" s="368"/>
      <c r="F321" s="368"/>
      <c r="G321" s="368"/>
      <c r="H321" s="172"/>
      <c r="I321" s="172"/>
      <c r="J321" s="172"/>
      <c r="K321" s="172"/>
      <c r="L321" s="172"/>
      <c r="M321" s="172"/>
      <c r="N321" s="172"/>
      <c r="O321" s="358"/>
      <c r="P321" s="358"/>
      <c r="Q321" s="358"/>
      <c r="R321" s="378"/>
      <c r="S321" s="359"/>
      <c r="T321" s="8"/>
      <c r="U321" s="8"/>
      <c r="V321" s="8"/>
      <c r="W321" s="172"/>
      <c r="X321" s="172"/>
      <c r="Y321" s="8"/>
      <c r="Z321" s="8"/>
      <c r="AA321" s="8"/>
      <c r="AB321" s="172"/>
      <c r="AC321" s="172"/>
      <c r="AD321" s="8"/>
      <c r="AE321" s="8"/>
      <c r="AF321" s="8"/>
      <c r="AG321" s="172"/>
      <c r="AH321" s="172"/>
      <c r="AI321" s="367"/>
      <c r="AJ321" s="362"/>
      <c r="AK321" s="363" t="str">
        <f>IFERROR(__xludf.DUMMYFUNCTION("IFERROR(if(D323&lt;&gt;"""", 
  AVERAGE(
    QUERY(
      IMPORTRANGE(""1-uH1wy6jSm5jYL9je6fN1K5RJ5QMvHntodEHZRtIvTk"", ""All Data!N2:U""),
      ""select Col8 where Col1 = '"" &amp; D323 &amp; ""' and Col8 is not null"",
      0
    )
  )/100,
""""),
  """"
)
"),"")</f>
        <v/>
      </c>
    </row>
    <row r="322">
      <c r="D322" s="172"/>
      <c r="E322" s="368"/>
      <c r="F322" s="368"/>
      <c r="G322" s="368"/>
      <c r="H322" s="172"/>
      <c r="I322" s="172"/>
      <c r="J322" s="172"/>
      <c r="K322" s="172"/>
      <c r="L322" s="172"/>
      <c r="M322" s="172"/>
      <c r="N322" s="172"/>
      <c r="O322" s="358"/>
      <c r="P322" s="358"/>
      <c r="Q322" s="358"/>
      <c r="R322" s="378"/>
      <c r="S322" s="359"/>
      <c r="T322" s="8"/>
      <c r="U322" s="8"/>
      <c r="V322" s="8"/>
      <c r="W322" s="172"/>
      <c r="X322" s="172"/>
      <c r="Y322" s="8"/>
      <c r="Z322" s="8"/>
      <c r="AA322" s="8"/>
      <c r="AB322" s="172"/>
      <c r="AC322" s="172"/>
      <c r="AD322" s="8"/>
      <c r="AE322" s="8"/>
      <c r="AF322" s="8"/>
      <c r="AG322" s="172"/>
      <c r="AH322" s="172"/>
      <c r="AI322" s="367"/>
      <c r="AJ322" s="362"/>
      <c r="AK322" s="363" t="str">
        <f>IFERROR(__xludf.DUMMYFUNCTION("IFERROR(if(D324&lt;&gt;"""", 
  AVERAGE(
    QUERY(
      IMPORTRANGE(""1-uH1wy6jSm5jYL9je6fN1K5RJ5QMvHntodEHZRtIvTk"", ""All Data!N2:U""),
      ""select Col8 where Col1 = '"" &amp; D324 &amp; ""' and Col8 is not null"",
      0
    )
  )/100,
""""),
  """"
)
"),"")</f>
        <v/>
      </c>
    </row>
    <row r="323">
      <c r="D323" s="172"/>
      <c r="E323" s="368"/>
      <c r="F323" s="368"/>
      <c r="G323" s="368"/>
      <c r="H323" s="172"/>
      <c r="I323" s="172"/>
      <c r="J323" s="172"/>
      <c r="K323" s="172"/>
      <c r="L323" s="172"/>
      <c r="M323" s="172"/>
      <c r="N323" s="172"/>
      <c r="O323" s="358"/>
      <c r="P323" s="358"/>
      <c r="Q323" s="358"/>
      <c r="R323" s="378"/>
      <c r="S323" s="359"/>
      <c r="T323" s="8"/>
      <c r="U323" s="8"/>
      <c r="V323" s="8"/>
      <c r="W323" s="172"/>
      <c r="X323" s="172"/>
      <c r="Y323" s="8"/>
      <c r="Z323" s="8"/>
      <c r="AA323" s="8"/>
      <c r="AB323" s="172"/>
      <c r="AC323" s="172"/>
      <c r="AD323" s="8"/>
      <c r="AE323" s="8"/>
      <c r="AF323" s="8"/>
      <c r="AG323" s="172"/>
      <c r="AH323" s="172"/>
      <c r="AI323" s="367"/>
      <c r="AJ323" s="362"/>
      <c r="AK323" s="363" t="str">
        <f>IFERROR(__xludf.DUMMYFUNCTION("IFERROR(if(D325&lt;&gt;"""", 
  AVERAGE(
    QUERY(
      IMPORTRANGE(""1-uH1wy6jSm5jYL9je6fN1K5RJ5QMvHntodEHZRtIvTk"", ""All Data!N2:U""),
      ""select Col8 where Col1 = '"" &amp; D325 &amp; ""' and Col8 is not null"",
      0
    )
  )/100,
""""),
  """"
)
"),"")</f>
        <v/>
      </c>
    </row>
    <row r="324">
      <c r="D324" s="172"/>
      <c r="E324" s="368"/>
      <c r="F324" s="368"/>
      <c r="G324" s="368"/>
      <c r="H324" s="172"/>
      <c r="I324" s="172"/>
      <c r="J324" s="172"/>
      <c r="K324" s="172"/>
      <c r="L324" s="172"/>
      <c r="M324" s="172"/>
      <c r="N324" s="172"/>
      <c r="O324" s="358"/>
      <c r="P324" s="358"/>
      <c r="Q324" s="358"/>
      <c r="R324" s="378"/>
      <c r="S324" s="359"/>
      <c r="T324" s="8"/>
      <c r="U324" s="8"/>
      <c r="V324" s="8"/>
      <c r="W324" s="172"/>
      <c r="X324" s="172"/>
      <c r="Y324" s="8"/>
      <c r="Z324" s="8"/>
      <c r="AA324" s="8"/>
      <c r="AB324" s="172"/>
      <c r="AC324" s="172"/>
      <c r="AD324" s="8"/>
      <c r="AE324" s="8"/>
      <c r="AF324" s="8"/>
      <c r="AG324" s="172"/>
      <c r="AH324" s="172"/>
      <c r="AI324" s="367"/>
      <c r="AJ324" s="362"/>
      <c r="AK324" s="363" t="str">
        <f>IFERROR(__xludf.DUMMYFUNCTION("IFERROR(if(D326&lt;&gt;"""", 
  AVERAGE(
    QUERY(
      IMPORTRANGE(""1-uH1wy6jSm5jYL9je6fN1K5RJ5QMvHntodEHZRtIvTk"", ""All Data!N2:U""),
      ""select Col8 where Col1 = '"" &amp; D326 &amp; ""' and Col8 is not null"",
      0
    )
  )/100,
""""),
  """"
)
"),"")</f>
        <v/>
      </c>
    </row>
    <row r="325">
      <c r="D325" s="172"/>
      <c r="E325" s="368"/>
      <c r="F325" s="368"/>
      <c r="G325" s="368"/>
      <c r="H325" s="172"/>
      <c r="I325" s="172"/>
      <c r="J325" s="172"/>
      <c r="K325" s="172"/>
      <c r="L325" s="172"/>
      <c r="M325" s="172"/>
      <c r="N325" s="172"/>
      <c r="O325" s="358"/>
      <c r="P325" s="358"/>
      <c r="Q325" s="358"/>
      <c r="R325" s="378"/>
      <c r="S325" s="359"/>
      <c r="T325" s="8"/>
      <c r="U325" s="8"/>
      <c r="V325" s="8"/>
      <c r="W325" s="172"/>
      <c r="X325" s="172"/>
      <c r="Y325" s="8"/>
      <c r="Z325" s="8"/>
      <c r="AA325" s="8"/>
      <c r="AB325" s="172"/>
      <c r="AC325" s="172"/>
      <c r="AD325" s="8"/>
      <c r="AE325" s="8"/>
      <c r="AF325" s="8"/>
      <c r="AG325" s="172"/>
      <c r="AH325" s="172"/>
      <c r="AI325" s="367"/>
      <c r="AJ325" s="362"/>
      <c r="AK325" s="363" t="str">
        <f>IFERROR(__xludf.DUMMYFUNCTION("IFERROR(if(D327&lt;&gt;"""", 
  AVERAGE(
    QUERY(
      IMPORTRANGE(""1-uH1wy6jSm5jYL9je6fN1K5RJ5QMvHntodEHZRtIvTk"", ""All Data!N2:U""),
      ""select Col8 where Col1 = '"" &amp; D327 &amp; ""' and Col8 is not null"",
      0
    )
  )/100,
""""),
  """"
)
"),"")</f>
        <v/>
      </c>
    </row>
    <row r="326">
      <c r="D326" s="172"/>
      <c r="E326" s="368"/>
      <c r="F326" s="368"/>
      <c r="G326" s="368"/>
      <c r="H326" s="172"/>
      <c r="I326" s="172"/>
      <c r="J326" s="172"/>
      <c r="K326" s="172"/>
      <c r="L326" s="172"/>
      <c r="M326" s="172"/>
      <c r="N326" s="172"/>
      <c r="O326" s="358"/>
      <c r="P326" s="358"/>
      <c r="Q326" s="358"/>
      <c r="R326" s="378"/>
      <c r="S326" s="359"/>
      <c r="T326" s="8"/>
      <c r="U326" s="8"/>
      <c r="V326" s="8"/>
      <c r="W326" s="172"/>
      <c r="X326" s="172"/>
      <c r="Y326" s="8"/>
      <c r="Z326" s="8"/>
      <c r="AA326" s="8"/>
      <c r="AB326" s="172"/>
      <c r="AC326" s="172"/>
      <c r="AD326" s="8"/>
      <c r="AE326" s="8"/>
      <c r="AF326" s="8"/>
      <c r="AG326" s="172"/>
      <c r="AH326" s="172"/>
      <c r="AI326" s="367"/>
      <c r="AJ326" s="362"/>
      <c r="AK326" s="363" t="str">
        <f>IFERROR(__xludf.DUMMYFUNCTION("IFERROR(if(D328&lt;&gt;"""", 
  AVERAGE(
    QUERY(
      IMPORTRANGE(""1-uH1wy6jSm5jYL9je6fN1K5RJ5QMvHntodEHZRtIvTk"", ""All Data!N2:U""),
      ""select Col8 where Col1 = '"" &amp; D328 &amp; ""' and Col8 is not null"",
      0
    )
  )/100,
""""),
  """"
)
"),"")</f>
        <v/>
      </c>
    </row>
    <row r="327">
      <c r="D327" s="172"/>
      <c r="E327" s="368"/>
      <c r="F327" s="368"/>
      <c r="G327" s="368"/>
      <c r="H327" s="172"/>
      <c r="I327" s="172"/>
      <c r="J327" s="172"/>
      <c r="K327" s="172"/>
      <c r="L327" s="172"/>
      <c r="M327" s="172"/>
      <c r="N327" s="172"/>
      <c r="O327" s="358"/>
      <c r="P327" s="358"/>
      <c r="Q327" s="358"/>
      <c r="R327" s="378"/>
      <c r="S327" s="359"/>
      <c r="T327" s="8"/>
      <c r="U327" s="8"/>
      <c r="V327" s="8"/>
      <c r="W327" s="172"/>
      <c r="X327" s="172"/>
      <c r="Y327" s="8"/>
      <c r="Z327" s="8"/>
      <c r="AA327" s="8"/>
      <c r="AB327" s="172"/>
      <c r="AC327" s="172"/>
      <c r="AD327" s="8"/>
      <c r="AE327" s="8"/>
      <c r="AF327" s="8"/>
      <c r="AG327" s="172"/>
      <c r="AH327" s="172"/>
      <c r="AI327" s="367"/>
      <c r="AJ327" s="362"/>
      <c r="AK327" s="363" t="str">
        <f>IFERROR(__xludf.DUMMYFUNCTION("IFERROR(if(D329&lt;&gt;"""", 
  AVERAGE(
    QUERY(
      IMPORTRANGE(""1-uH1wy6jSm5jYL9je6fN1K5RJ5QMvHntodEHZRtIvTk"", ""All Data!N2:U""),
      ""select Col8 where Col1 = '"" &amp; D329 &amp; ""' and Col8 is not null"",
      0
    )
  )/100,
""""),
  """"
)
"),"")</f>
        <v/>
      </c>
    </row>
    <row r="328">
      <c r="D328" s="172"/>
      <c r="E328" s="368"/>
      <c r="F328" s="368"/>
      <c r="G328" s="368"/>
      <c r="H328" s="172"/>
      <c r="I328" s="172"/>
      <c r="J328" s="172"/>
      <c r="K328" s="172"/>
      <c r="L328" s="172"/>
      <c r="M328" s="172"/>
      <c r="N328" s="172"/>
      <c r="O328" s="358"/>
      <c r="P328" s="358"/>
      <c r="Q328" s="358"/>
      <c r="R328" s="378"/>
      <c r="S328" s="359"/>
      <c r="T328" s="8"/>
      <c r="U328" s="8"/>
      <c r="V328" s="8"/>
      <c r="W328" s="172"/>
      <c r="X328" s="172"/>
      <c r="Y328" s="8"/>
      <c r="Z328" s="8"/>
      <c r="AA328" s="8"/>
      <c r="AB328" s="172"/>
      <c r="AC328" s="172"/>
      <c r="AD328" s="8"/>
      <c r="AE328" s="8"/>
      <c r="AF328" s="8"/>
      <c r="AG328" s="172"/>
      <c r="AH328" s="172"/>
      <c r="AI328" s="367"/>
      <c r="AJ328" s="362"/>
      <c r="AK328" s="363" t="str">
        <f>IFERROR(__xludf.DUMMYFUNCTION("IFERROR(if(D330&lt;&gt;"""", 
  AVERAGE(
    QUERY(
      IMPORTRANGE(""1-uH1wy6jSm5jYL9je6fN1K5RJ5QMvHntodEHZRtIvTk"", ""All Data!N2:U""),
      ""select Col8 where Col1 = '"" &amp; D330 &amp; ""' and Col8 is not null"",
      0
    )
  )/100,
""""),
  """"
)
"),"")</f>
        <v/>
      </c>
    </row>
    <row r="329">
      <c r="D329" s="172"/>
      <c r="E329" s="368"/>
      <c r="F329" s="368"/>
      <c r="G329" s="368"/>
      <c r="H329" s="172"/>
      <c r="I329" s="172"/>
      <c r="J329" s="172"/>
      <c r="K329" s="172"/>
      <c r="L329" s="172"/>
      <c r="M329" s="172"/>
      <c r="N329" s="172"/>
      <c r="O329" s="358"/>
      <c r="P329" s="358"/>
      <c r="Q329" s="358"/>
      <c r="R329" s="378"/>
      <c r="S329" s="359"/>
      <c r="T329" s="8"/>
      <c r="U329" s="8"/>
      <c r="V329" s="8"/>
      <c r="W329" s="172"/>
      <c r="X329" s="172"/>
      <c r="Y329" s="8"/>
      <c r="Z329" s="8"/>
      <c r="AA329" s="8"/>
      <c r="AB329" s="172"/>
      <c r="AC329" s="172"/>
      <c r="AD329" s="8"/>
      <c r="AE329" s="8"/>
      <c r="AF329" s="8"/>
      <c r="AG329" s="172"/>
      <c r="AH329" s="172"/>
      <c r="AI329" s="367"/>
      <c r="AJ329" s="362"/>
      <c r="AK329" s="363" t="str">
        <f>IFERROR(__xludf.DUMMYFUNCTION("IFERROR(if(D331&lt;&gt;"""", 
  AVERAGE(
    QUERY(
      IMPORTRANGE(""1-uH1wy6jSm5jYL9je6fN1K5RJ5QMvHntodEHZRtIvTk"", ""All Data!N2:U""),
      ""select Col8 where Col1 = '"" &amp; D331 &amp; ""' and Col8 is not null"",
      0
    )
  )/100,
""""),
  """"
)
"),"")</f>
        <v/>
      </c>
    </row>
    <row r="330">
      <c r="D330" s="172"/>
      <c r="E330" s="368"/>
      <c r="F330" s="368"/>
      <c r="G330" s="368"/>
      <c r="H330" s="172"/>
      <c r="I330" s="172"/>
      <c r="J330" s="172"/>
      <c r="K330" s="172"/>
      <c r="L330" s="172"/>
      <c r="M330" s="172"/>
      <c r="N330" s="172"/>
      <c r="O330" s="358"/>
      <c r="P330" s="358"/>
      <c r="Q330" s="358"/>
      <c r="R330" s="378"/>
      <c r="S330" s="359"/>
      <c r="T330" s="8"/>
      <c r="U330" s="8"/>
      <c r="V330" s="8"/>
      <c r="W330" s="172"/>
      <c r="X330" s="172"/>
      <c r="Y330" s="8"/>
      <c r="Z330" s="8"/>
      <c r="AA330" s="8"/>
      <c r="AB330" s="172"/>
      <c r="AC330" s="172"/>
      <c r="AD330" s="8"/>
      <c r="AE330" s="8"/>
      <c r="AF330" s="8"/>
      <c r="AG330" s="172"/>
      <c r="AH330" s="172"/>
      <c r="AI330" s="367"/>
      <c r="AJ330" s="362"/>
      <c r="AK330" s="363" t="str">
        <f>IFERROR(__xludf.DUMMYFUNCTION("IFERROR(if(D332&lt;&gt;"""", 
  AVERAGE(
    QUERY(
      IMPORTRANGE(""1-uH1wy6jSm5jYL9je6fN1K5RJ5QMvHntodEHZRtIvTk"", ""All Data!N2:U""),
      ""select Col8 where Col1 = '"" &amp; D332 &amp; ""' and Col8 is not null"",
      0
    )
  )/100,
""""),
  """"
)
"),"")</f>
        <v/>
      </c>
    </row>
    <row r="331">
      <c r="D331" s="172"/>
      <c r="E331" s="368"/>
      <c r="F331" s="368"/>
      <c r="G331" s="368"/>
      <c r="H331" s="172"/>
      <c r="I331" s="172"/>
      <c r="J331" s="172"/>
      <c r="K331" s="172"/>
      <c r="L331" s="172"/>
      <c r="M331" s="172"/>
      <c r="N331" s="172"/>
      <c r="O331" s="358"/>
      <c r="P331" s="358"/>
      <c r="Q331" s="358"/>
      <c r="R331" s="378"/>
      <c r="S331" s="359"/>
      <c r="T331" s="8"/>
      <c r="U331" s="8"/>
      <c r="V331" s="8"/>
      <c r="W331" s="172"/>
      <c r="X331" s="172"/>
      <c r="Y331" s="8"/>
      <c r="Z331" s="8"/>
      <c r="AA331" s="8"/>
      <c r="AB331" s="172"/>
      <c r="AC331" s="172"/>
      <c r="AD331" s="8"/>
      <c r="AE331" s="8"/>
      <c r="AF331" s="8"/>
      <c r="AG331" s="172"/>
      <c r="AH331" s="172"/>
      <c r="AI331" s="367"/>
      <c r="AJ331" s="362"/>
      <c r="AK331" s="363" t="str">
        <f>IFERROR(__xludf.DUMMYFUNCTION("IFERROR(if(D333&lt;&gt;"""", 
  AVERAGE(
    QUERY(
      IMPORTRANGE(""1-uH1wy6jSm5jYL9je6fN1K5RJ5QMvHntodEHZRtIvTk"", ""All Data!N2:U""),
      ""select Col8 where Col1 = '"" &amp; D333 &amp; ""' and Col8 is not null"",
      0
    )
  )/100,
""""),
  """"
)
"),"")</f>
        <v/>
      </c>
    </row>
    <row r="332">
      <c r="D332" s="172"/>
      <c r="E332" s="368"/>
      <c r="F332" s="368"/>
      <c r="G332" s="368"/>
      <c r="H332" s="172"/>
      <c r="I332" s="172"/>
      <c r="J332" s="172"/>
      <c r="K332" s="172"/>
      <c r="L332" s="172"/>
      <c r="M332" s="172"/>
      <c r="N332" s="172"/>
      <c r="O332" s="358"/>
      <c r="P332" s="358"/>
      <c r="Q332" s="358"/>
      <c r="R332" s="378"/>
      <c r="S332" s="359"/>
      <c r="T332" s="8"/>
      <c r="U332" s="8"/>
      <c r="V332" s="8"/>
      <c r="W332" s="172"/>
      <c r="X332" s="172"/>
      <c r="Y332" s="8"/>
      <c r="Z332" s="8"/>
      <c r="AA332" s="8"/>
      <c r="AB332" s="172"/>
      <c r="AC332" s="172"/>
      <c r="AD332" s="8"/>
      <c r="AE332" s="8"/>
      <c r="AF332" s="8"/>
      <c r="AG332" s="172"/>
      <c r="AH332" s="172"/>
      <c r="AI332" s="367"/>
      <c r="AJ332" s="362"/>
      <c r="AK332" s="363" t="str">
        <f>IFERROR(__xludf.DUMMYFUNCTION("IFERROR(if(D334&lt;&gt;"""", 
  AVERAGE(
    QUERY(
      IMPORTRANGE(""1-uH1wy6jSm5jYL9je6fN1K5RJ5QMvHntodEHZRtIvTk"", ""All Data!N2:U""),
      ""select Col8 where Col1 = '"" &amp; D334 &amp; ""' and Col8 is not null"",
      0
    )
  )/100,
""""),
  """"
)
"),"")</f>
        <v/>
      </c>
    </row>
    <row r="333">
      <c r="D333" s="172"/>
      <c r="E333" s="368"/>
      <c r="F333" s="368"/>
      <c r="G333" s="368"/>
      <c r="H333" s="172"/>
      <c r="I333" s="172"/>
      <c r="J333" s="172"/>
      <c r="K333" s="172"/>
      <c r="L333" s="172"/>
      <c r="M333" s="172"/>
      <c r="N333" s="172"/>
      <c r="O333" s="358"/>
      <c r="P333" s="358"/>
      <c r="Q333" s="358"/>
      <c r="R333" s="378"/>
      <c r="S333" s="359"/>
      <c r="T333" s="8"/>
      <c r="U333" s="8"/>
      <c r="V333" s="8"/>
      <c r="W333" s="172"/>
      <c r="X333" s="172"/>
      <c r="Y333" s="8"/>
      <c r="Z333" s="8"/>
      <c r="AA333" s="8"/>
      <c r="AB333" s="172"/>
      <c r="AC333" s="172"/>
      <c r="AD333" s="8"/>
      <c r="AE333" s="8"/>
      <c r="AF333" s="8"/>
      <c r="AG333" s="172"/>
      <c r="AH333" s="172"/>
      <c r="AI333" s="367"/>
      <c r="AJ333" s="362"/>
      <c r="AK333" s="363" t="str">
        <f>IFERROR(__xludf.DUMMYFUNCTION("IFERROR(if(D335&lt;&gt;"""", 
  AVERAGE(
    QUERY(
      IMPORTRANGE(""1-uH1wy6jSm5jYL9je6fN1K5RJ5QMvHntodEHZRtIvTk"", ""All Data!N2:U""),
      ""select Col8 where Col1 = '"" &amp; D335 &amp; ""' and Col8 is not null"",
      0
    )
  )/100,
""""),
  """"
)
"),"")</f>
        <v/>
      </c>
    </row>
    <row r="334">
      <c r="D334" s="172"/>
      <c r="E334" s="368"/>
      <c r="F334" s="368"/>
      <c r="G334" s="368"/>
      <c r="H334" s="172"/>
      <c r="I334" s="172"/>
      <c r="J334" s="172"/>
      <c r="K334" s="172"/>
      <c r="L334" s="172"/>
      <c r="M334" s="172"/>
      <c r="N334" s="172"/>
      <c r="O334" s="358"/>
      <c r="P334" s="358"/>
      <c r="Q334" s="358"/>
      <c r="R334" s="378"/>
      <c r="S334" s="359"/>
      <c r="T334" s="8"/>
      <c r="U334" s="8"/>
      <c r="V334" s="8"/>
      <c r="W334" s="172"/>
      <c r="X334" s="172"/>
      <c r="Y334" s="8"/>
      <c r="Z334" s="8"/>
      <c r="AA334" s="8"/>
      <c r="AB334" s="172"/>
      <c r="AC334" s="172"/>
      <c r="AD334" s="8"/>
      <c r="AE334" s="8"/>
      <c r="AF334" s="8"/>
      <c r="AG334" s="172"/>
      <c r="AH334" s="172"/>
      <c r="AI334" s="367"/>
      <c r="AJ334" s="362"/>
      <c r="AK334" s="363" t="str">
        <f>IFERROR(__xludf.DUMMYFUNCTION("IFERROR(if(D336&lt;&gt;"""", 
  AVERAGE(
    QUERY(
      IMPORTRANGE(""1-uH1wy6jSm5jYL9je6fN1K5RJ5QMvHntodEHZRtIvTk"", ""All Data!N2:U""),
      ""select Col8 where Col1 = '"" &amp; D336 &amp; ""' and Col8 is not null"",
      0
    )
  )/100,
""""),
  """"
)
"),"")</f>
        <v/>
      </c>
    </row>
    <row r="335">
      <c r="D335" s="172"/>
      <c r="E335" s="368"/>
      <c r="F335" s="368"/>
      <c r="G335" s="368"/>
      <c r="H335" s="172"/>
      <c r="I335" s="172"/>
      <c r="J335" s="172"/>
      <c r="K335" s="172"/>
      <c r="L335" s="172"/>
      <c r="M335" s="172"/>
      <c r="N335" s="172"/>
      <c r="O335" s="358"/>
      <c r="P335" s="358"/>
      <c r="Q335" s="358"/>
      <c r="R335" s="378"/>
      <c r="S335" s="359"/>
      <c r="T335" s="8"/>
      <c r="U335" s="8"/>
      <c r="V335" s="8"/>
      <c r="W335" s="172"/>
      <c r="X335" s="172"/>
      <c r="Y335" s="8"/>
      <c r="Z335" s="8"/>
      <c r="AA335" s="8"/>
      <c r="AB335" s="172"/>
      <c r="AC335" s="172"/>
      <c r="AD335" s="8"/>
      <c r="AE335" s="8"/>
      <c r="AF335" s="8"/>
      <c r="AG335" s="172"/>
      <c r="AH335" s="172"/>
      <c r="AI335" s="367"/>
      <c r="AJ335" s="362"/>
      <c r="AK335" s="363" t="str">
        <f>IFERROR(__xludf.DUMMYFUNCTION("IFERROR(if(D337&lt;&gt;"""", 
  AVERAGE(
    QUERY(
      IMPORTRANGE(""1-uH1wy6jSm5jYL9je6fN1K5RJ5QMvHntodEHZRtIvTk"", ""All Data!N2:U""),
      ""select Col8 where Col1 = '"" &amp; D337 &amp; ""' and Col8 is not null"",
      0
    )
  )/100,
""""),
  """"
)
"),"")</f>
        <v/>
      </c>
    </row>
    <row r="336">
      <c r="D336" s="172"/>
      <c r="E336" s="368"/>
      <c r="F336" s="368"/>
      <c r="G336" s="368"/>
      <c r="H336" s="172"/>
      <c r="I336" s="172"/>
      <c r="J336" s="172"/>
      <c r="K336" s="172"/>
      <c r="L336" s="172"/>
      <c r="M336" s="172"/>
      <c r="N336" s="172"/>
      <c r="O336" s="358"/>
      <c r="P336" s="358"/>
      <c r="Q336" s="358"/>
      <c r="R336" s="378"/>
      <c r="S336" s="359"/>
      <c r="T336" s="8"/>
      <c r="U336" s="8"/>
      <c r="V336" s="8"/>
      <c r="W336" s="172"/>
      <c r="X336" s="172"/>
      <c r="Y336" s="8"/>
      <c r="Z336" s="8"/>
      <c r="AA336" s="8"/>
      <c r="AB336" s="172"/>
      <c r="AC336" s="172"/>
      <c r="AD336" s="8"/>
      <c r="AE336" s="8"/>
      <c r="AF336" s="8"/>
      <c r="AG336" s="172"/>
      <c r="AH336" s="172"/>
      <c r="AI336" s="367"/>
      <c r="AJ336" s="362"/>
      <c r="AK336" s="363" t="str">
        <f>IFERROR(__xludf.DUMMYFUNCTION("IFERROR(if(D338&lt;&gt;"""", 
  AVERAGE(
    QUERY(
      IMPORTRANGE(""1-uH1wy6jSm5jYL9je6fN1K5RJ5QMvHntodEHZRtIvTk"", ""All Data!N2:U""),
      ""select Col8 where Col1 = '"" &amp; D338 &amp; ""' and Col8 is not null"",
      0
    )
  )/100,
""""),
  """"
)
"),"")</f>
        <v/>
      </c>
    </row>
    <row r="337">
      <c r="D337" s="172"/>
      <c r="E337" s="368"/>
      <c r="F337" s="368"/>
      <c r="G337" s="368"/>
      <c r="H337" s="172"/>
      <c r="I337" s="172"/>
      <c r="J337" s="172"/>
      <c r="K337" s="172"/>
      <c r="L337" s="172"/>
      <c r="M337" s="172"/>
      <c r="N337" s="172"/>
      <c r="O337" s="358"/>
      <c r="P337" s="358"/>
      <c r="Q337" s="358"/>
      <c r="R337" s="378"/>
      <c r="S337" s="359"/>
      <c r="T337" s="8"/>
      <c r="U337" s="8"/>
      <c r="V337" s="8"/>
      <c r="W337" s="172"/>
      <c r="X337" s="172"/>
      <c r="Y337" s="8"/>
      <c r="Z337" s="8"/>
      <c r="AA337" s="8"/>
      <c r="AB337" s="172"/>
      <c r="AC337" s="172"/>
      <c r="AD337" s="8"/>
      <c r="AE337" s="8"/>
      <c r="AF337" s="8"/>
      <c r="AG337" s="172"/>
      <c r="AH337" s="172"/>
      <c r="AI337" s="367"/>
      <c r="AJ337" s="362"/>
      <c r="AK337" s="363" t="str">
        <f>IFERROR(__xludf.DUMMYFUNCTION("IFERROR(if(D339&lt;&gt;"""", 
  AVERAGE(
    QUERY(
      IMPORTRANGE(""1-uH1wy6jSm5jYL9je6fN1K5RJ5QMvHntodEHZRtIvTk"", ""All Data!N2:U""),
      ""select Col8 where Col1 = '"" &amp; D339 &amp; ""' and Col8 is not null"",
      0
    )
  )/100,
""""),
  """"
)
"),"")</f>
        <v/>
      </c>
    </row>
    <row r="338">
      <c r="D338" s="172"/>
      <c r="E338" s="368"/>
      <c r="F338" s="368"/>
      <c r="G338" s="368"/>
      <c r="H338" s="172"/>
      <c r="I338" s="172"/>
      <c r="J338" s="172"/>
      <c r="K338" s="172"/>
      <c r="L338" s="172"/>
      <c r="M338" s="172"/>
      <c r="N338" s="172"/>
      <c r="O338" s="358"/>
      <c r="P338" s="358"/>
      <c r="Q338" s="358"/>
      <c r="R338" s="378"/>
      <c r="S338" s="359"/>
      <c r="T338" s="8"/>
      <c r="U338" s="8"/>
      <c r="V338" s="8"/>
      <c r="W338" s="172"/>
      <c r="X338" s="172"/>
      <c r="Y338" s="8"/>
      <c r="Z338" s="8"/>
      <c r="AA338" s="8"/>
      <c r="AB338" s="172"/>
      <c r="AC338" s="172"/>
      <c r="AD338" s="8"/>
      <c r="AE338" s="8"/>
      <c r="AF338" s="8"/>
      <c r="AG338" s="172"/>
      <c r="AH338" s="172"/>
      <c r="AI338" s="367"/>
      <c r="AJ338" s="362"/>
      <c r="AK338" s="363" t="str">
        <f>IFERROR(__xludf.DUMMYFUNCTION("IFERROR(if(D340&lt;&gt;"""", 
  AVERAGE(
    QUERY(
      IMPORTRANGE(""1-uH1wy6jSm5jYL9je6fN1K5RJ5QMvHntodEHZRtIvTk"", ""All Data!N2:U""),
      ""select Col8 where Col1 = '"" &amp; D340 &amp; ""' and Col8 is not null"",
      0
    )
  )/100,
""""),
  """"
)
"),"")</f>
        <v/>
      </c>
    </row>
    <row r="339">
      <c r="D339" s="172"/>
      <c r="E339" s="368"/>
      <c r="F339" s="368"/>
      <c r="G339" s="368"/>
      <c r="H339" s="172"/>
      <c r="I339" s="172"/>
      <c r="J339" s="172"/>
      <c r="K339" s="172"/>
      <c r="L339" s="172"/>
      <c r="M339" s="172"/>
      <c r="N339" s="172"/>
      <c r="O339" s="358"/>
      <c r="P339" s="358"/>
      <c r="Q339" s="358"/>
      <c r="R339" s="378"/>
      <c r="S339" s="359"/>
      <c r="T339" s="8"/>
      <c r="U339" s="8"/>
      <c r="V339" s="8"/>
      <c r="W339" s="172"/>
      <c r="X339" s="172"/>
      <c r="Y339" s="8"/>
      <c r="Z339" s="8"/>
      <c r="AA339" s="8"/>
      <c r="AB339" s="172"/>
      <c r="AC339" s="172"/>
      <c r="AD339" s="8"/>
      <c r="AE339" s="8"/>
      <c r="AF339" s="8"/>
      <c r="AG339" s="172"/>
      <c r="AH339" s="172"/>
      <c r="AI339" s="367"/>
      <c r="AJ339" s="362"/>
      <c r="AK339" s="363" t="str">
        <f>IFERROR(__xludf.DUMMYFUNCTION("IFERROR(if(D341&lt;&gt;"""", 
  AVERAGE(
    QUERY(
      IMPORTRANGE(""1-uH1wy6jSm5jYL9je6fN1K5RJ5QMvHntodEHZRtIvTk"", ""All Data!N2:U""),
      ""select Col8 where Col1 = '"" &amp; D341 &amp; ""' and Col8 is not null"",
      0
    )
  )/100,
""""),
  """"
)
"),"")</f>
        <v/>
      </c>
    </row>
    <row r="340">
      <c r="D340" s="172"/>
      <c r="E340" s="368"/>
      <c r="F340" s="368"/>
      <c r="G340" s="368"/>
      <c r="H340" s="172"/>
      <c r="I340" s="172"/>
      <c r="J340" s="172"/>
      <c r="K340" s="172"/>
      <c r="L340" s="172"/>
      <c r="M340" s="172"/>
      <c r="N340" s="172"/>
      <c r="O340" s="358"/>
      <c r="P340" s="358"/>
      <c r="Q340" s="358"/>
      <c r="R340" s="378"/>
      <c r="S340" s="359"/>
      <c r="T340" s="8"/>
      <c r="U340" s="8"/>
      <c r="V340" s="8"/>
      <c r="W340" s="172"/>
      <c r="X340" s="172"/>
      <c r="Y340" s="8"/>
      <c r="Z340" s="8"/>
      <c r="AA340" s="8"/>
      <c r="AB340" s="172"/>
      <c r="AC340" s="172"/>
      <c r="AD340" s="8"/>
      <c r="AE340" s="8"/>
      <c r="AF340" s="8"/>
      <c r="AG340" s="172"/>
      <c r="AH340" s="172"/>
      <c r="AI340" s="367"/>
      <c r="AJ340" s="362"/>
      <c r="AK340" s="363" t="str">
        <f>IFERROR(__xludf.DUMMYFUNCTION("IFERROR(if(D342&lt;&gt;"""", 
  AVERAGE(
    QUERY(
      IMPORTRANGE(""1-uH1wy6jSm5jYL9je6fN1K5RJ5QMvHntodEHZRtIvTk"", ""All Data!N2:U""),
      ""select Col8 where Col1 = '"" &amp; D342 &amp; ""' and Col8 is not null"",
      0
    )
  )/100,
""""),
  """"
)
"),"")</f>
        <v/>
      </c>
    </row>
    <row r="341">
      <c r="D341" s="172"/>
      <c r="E341" s="368"/>
      <c r="F341" s="368"/>
      <c r="G341" s="368"/>
      <c r="H341" s="172"/>
      <c r="I341" s="172"/>
      <c r="J341" s="172"/>
      <c r="K341" s="172"/>
      <c r="L341" s="172"/>
      <c r="M341" s="172"/>
      <c r="N341" s="172"/>
      <c r="O341" s="358"/>
      <c r="P341" s="358"/>
      <c r="Q341" s="358"/>
      <c r="R341" s="378"/>
      <c r="S341" s="359"/>
      <c r="T341" s="8"/>
      <c r="U341" s="8"/>
      <c r="V341" s="8"/>
      <c r="W341" s="172"/>
      <c r="X341" s="172"/>
      <c r="Y341" s="8"/>
      <c r="Z341" s="8"/>
      <c r="AA341" s="8"/>
      <c r="AB341" s="172"/>
      <c r="AC341" s="172"/>
      <c r="AD341" s="8"/>
      <c r="AE341" s="8"/>
      <c r="AF341" s="8"/>
      <c r="AG341" s="172"/>
      <c r="AH341" s="172"/>
      <c r="AI341" s="367"/>
      <c r="AJ341" s="362"/>
      <c r="AK341" s="363" t="str">
        <f>IFERROR(__xludf.DUMMYFUNCTION("IFERROR(if(D343&lt;&gt;"""", 
  AVERAGE(
    QUERY(
      IMPORTRANGE(""1-uH1wy6jSm5jYL9je6fN1K5RJ5QMvHntodEHZRtIvTk"", ""All Data!N2:U""),
      ""select Col8 where Col1 = '"" &amp; D343 &amp; ""' and Col8 is not null"",
      0
    )
  )/100,
""""),
  """"
)
"),"")</f>
        <v/>
      </c>
    </row>
    <row r="342">
      <c r="D342" s="172"/>
      <c r="E342" s="368"/>
      <c r="F342" s="368"/>
      <c r="G342" s="368"/>
      <c r="H342" s="172"/>
      <c r="I342" s="172"/>
      <c r="J342" s="172"/>
      <c r="K342" s="172"/>
      <c r="L342" s="172"/>
      <c r="M342" s="172"/>
      <c r="N342" s="172"/>
      <c r="O342" s="358"/>
      <c r="P342" s="358"/>
      <c r="Q342" s="358"/>
      <c r="R342" s="378"/>
      <c r="S342" s="359"/>
      <c r="T342" s="8"/>
      <c r="U342" s="8"/>
      <c r="V342" s="8"/>
      <c r="W342" s="172"/>
      <c r="X342" s="172"/>
      <c r="Y342" s="8"/>
      <c r="Z342" s="8"/>
      <c r="AA342" s="8"/>
      <c r="AB342" s="172"/>
      <c r="AC342" s="172"/>
      <c r="AD342" s="8"/>
      <c r="AE342" s="8"/>
      <c r="AF342" s="8"/>
      <c r="AG342" s="172"/>
      <c r="AH342" s="172"/>
      <c r="AI342" s="367"/>
      <c r="AJ342" s="362"/>
      <c r="AK342" s="363" t="str">
        <f>IFERROR(__xludf.DUMMYFUNCTION("IFERROR(if(D344&lt;&gt;"""", 
  AVERAGE(
    QUERY(
      IMPORTRANGE(""1-uH1wy6jSm5jYL9je6fN1K5RJ5QMvHntodEHZRtIvTk"", ""All Data!N2:U""),
      ""select Col8 where Col1 = '"" &amp; D344 &amp; ""' and Col8 is not null"",
      0
    )
  )/100,
""""),
  """"
)
"),"")</f>
        <v/>
      </c>
    </row>
    <row r="343">
      <c r="D343" s="172"/>
      <c r="E343" s="368"/>
      <c r="F343" s="368"/>
      <c r="G343" s="368"/>
      <c r="H343" s="172"/>
      <c r="I343" s="172"/>
      <c r="J343" s="172"/>
      <c r="K343" s="172"/>
      <c r="L343" s="172"/>
      <c r="M343" s="172"/>
      <c r="N343" s="172"/>
      <c r="O343" s="358"/>
      <c r="P343" s="358"/>
      <c r="Q343" s="358"/>
      <c r="R343" s="378"/>
      <c r="S343" s="359"/>
      <c r="T343" s="8"/>
      <c r="U343" s="8"/>
      <c r="V343" s="8"/>
      <c r="W343" s="172"/>
      <c r="X343" s="172"/>
      <c r="Y343" s="8"/>
      <c r="Z343" s="8"/>
      <c r="AA343" s="8"/>
      <c r="AB343" s="172"/>
      <c r="AC343" s="172"/>
      <c r="AD343" s="8"/>
      <c r="AE343" s="8"/>
      <c r="AF343" s="8"/>
      <c r="AG343" s="172"/>
      <c r="AH343" s="172"/>
      <c r="AI343" s="367"/>
      <c r="AJ343" s="362"/>
      <c r="AK343" s="363" t="str">
        <f>IFERROR(__xludf.DUMMYFUNCTION("IFERROR(if(D345&lt;&gt;"""", 
  AVERAGE(
    QUERY(
      IMPORTRANGE(""1-uH1wy6jSm5jYL9je6fN1K5RJ5QMvHntodEHZRtIvTk"", ""All Data!N2:U""),
      ""select Col8 where Col1 = '"" &amp; D345 &amp; ""' and Col8 is not null"",
      0
    )
  )/100,
""""),
  """"
)
"),"")</f>
        <v/>
      </c>
    </row>
    <row r="344">
      <c r="D344" s="172"/>
      <c r="E344" s="368"/>
      <c r="F344" s="368"/>
      <c r="G344" s="368"/>
      <c r="H344" s="172"/>
      <c r="I344" s="172"/>
      <c r="J344" s="172"/>
      <c r="K344" s="172"/>
      <c r="L344" s="172"/>
      <c r="M344" s="172"/>
      <c r="N344" s="172"/>
      <c r="O344" s="358"/>
      <c r="P344" s="358"/>
      <c r="Q344" s="358"/>
      <c r="R344" s="378"/>
      <c r="S344" s="359"/>
      <c r="T344" s="8"/>
      <c r="U344" s="8"/>
      <c r="V344" s="8"/>
      <c r="W344" s="172"/>
      <c r="X344" s="172"/>
      <c r="Y344" s="8"/>
      <c r="Z344" s="8"/>
      <c r="AA344" s="8"/>
      <c r="AB344" s="172"/>
      <c r="AC344" s="172"/>
      <c r="AD344" s="8"/>
      <c r="AE344" s="8"/>
      <c r="AF344" s="8"/>
      <c r="AG344" s="172"/>
      <c r="AH344" s="172"/>
      <c r="AI344" s="367"/>
      <c r="AJ344" s="362"/>
      <c r="AK344" s="363" t="str">
        <f>IFERROR(__xludf.DUMMYFUNCTION("IFERROR(if(D346&lt;&gt;"""", 
  AVERAGE(
    QUERY(
      IMPORTRANGE(""1-uH1wy6jSm5jYL9je6fN1K5RJ5QMvHntodEHZRtIvTk"", ""All Data!N2:U""),
      ""select Col8 where Col1 = '"" &amp; D346 &amp; ""' and Col8 is not null"",
      0
    )
  )/100,
""""),
  """"
)
"),"")</f>
        <v/>
      </c>
    </row>
    <row r="345">
      <c r="D345" s="172"/>
      <c r="E345" s="368"/>
      <c r="F345" s="368"/>
      <c r="G345" s="368"/>
      <c r="H345" s="172"/>
      <c r="I345" s="172"/>
      <c r="J345" s="172"/>
      <c r="K345" s="172"/>
      <c r="L345" s="172"/>
      <c r="M345" s="172"/>
      <c r="N345" s="172"/>
      <c r="O345" s="358"/>
      <c r="P345" s="358"/>
      <c r="Q345" s="358"/>
      <c r="R345" s="378"/>
      <c r="S345" s="359"/>
      <c r="T345" s="8"/>
      <c r="U345" s="8"/>
      <c r="V345" s="8"/>
      <c r="W345" s="172"/>
      <c r="X345" s="172"/>
      <c r="Y345" s="8"/>
      <c r="Z345" s="8"/>
      <c r="AA345" s="8"/>
      <c r="AB345" s="172"/>
      <c r="AC345" s="172"/>
      <c r="AD345" s="8"/>
      <c r="AE345" s="8"/>
      <c r="AF345" s="8"/>
      <c r="AG345" s="172"/>
      <c r="AH345" s="172"/>
      <c r="AI345" s="367"/>
      <c r="AJ345" s="362"/>
      <c r="AK345" s="363" t="str">
        <f>IFERROR(__xludf.DUMMYFUNCTION("IFERROR(if(D347&lt;&gt;"""", 
  AVERAGE(
    QUERY(
      IMPORTRANGE(""1-uH1wy6jSm5jYL9je6fN1K5RJ5QMvHntodEHZRtIvTk"", ""All Data!N2:U""),
      ""select Col8 where Col1 = '"" &amp; D347 &amp; ""' and Col8 is not null"",
      0
    )
  )/100,
""""),
  """"
)
"),"")</f>
        <v/>
      </c>
    </row>
    <row r="346">
      <c r="D346" s="172"/>
      <c r="E346" s="368"/>
      <c r="F346" s="368"/>
      <c r="G346" s="368"/>
      <c r="H346" s="172"/>
      <c r="I346" s="172"/>
      <c r="J346" s="172"/>
      <c r="K346" s="172"/>
      <c r="L346" s="172"/>
      <c r="M346" s="172"/>
      <c r="N346" s="172"/>
      <c r="O346" s="358"/>
      <c r="P346" s="358"/>
      <c r="Q346" s="358"/>
      <c r="R346" s="378"/>
      <c r="S346" s="359"/>
      <c r="T346" s="8"/>
      <c r="U346" s="8"/>
      <c r="V346" s="8"/>
      <c r="W346" s="172"/>
      <c r="X346" s="172"/>
      <c r="Y346" s="8"/>
      <c r="Z346" s="8"/>
      <c r="AA346" s="8"/>
      <c r="AB346" s="172"/>
      <c r="AC346" s="172"/>
      <c r="AD346" s="8"/>
      <c r="AE346" s="8"/>
      <c r="AF346" s="8"/>
      <c r="AG346" s="172"/>
      <c r="AH346" s="172"/>
      <c r="AI346" s="367"/>
      <c r="AJ346" s="362"/>
      <c r="AK346" s="363" t="str">
        <f>IFERROR(__xludf.DUMMYFUNCTION("IFERROR(if(D348&lt;&gt;"""", 
  AVERAGE(
    QUERY(
      IMPORTRANGE(""1-uH1wy6jSm5jYL9je6fN1K5RJ5QMvHntodEHZRtIvTk"", ""All Data!N2:U""),
      ""select Col8 where Col1 = '"" &amp; D348 &amp; ""' and Col8 is not null"",
      0
    )
  )/100,
""""),
  """"
)
"),"")</f>
        <v/>
      </c>
    </row>
    <row r="347">
      <c r="D347" s="172"/>
      <c r="E347" s="368"/>
      <c r="F347" s="368"/>
      <c r="G347" s="368"/>
      <c r="H347" s="172"/>
      <c r="I347" s="172"/>
      <c r="J347" s="172"/>
      <c r="K347" s="172"/>
      <c r="L347" s="172"/>
      <c r="M347" s="172"/>
      <c r="N347" s="172"/>
      <c r="O347" s="358"/>
      <c r="P347" s="358"/>
      <c r="Q347" s="358"/>
      <c r="R347" s="378"/>
      <c r="S347" s="359"/>
      <c r="T347" s="8"/>
      <c r="U347" s="8"/>
      <c r="V347" s="8"/>
      <c r="W347" s="172"/>
      <c r="X347" s="172"/>
      <c r="Y347" s="8"/>
      <c r="Z347" s="8"/>
      <c r="AA347" s="8"/>
      <c r="AB347" s="172"/>
      <c r="AC347" s="172"/>
      <c r="AD347" s="8"/>
      <c r="AE347" s="8"/>
      <c r="AF347" s="8"/>
      <c r="AG347" s="172"/>
      <c r="AH347" s="172"/>
      <c r="AI347" s="367"/>
      <c r="AJ347" s="362"/>
      <c r="AK347" s="363" t="str">
        <f>IFERROR(__xludf.DUMMYFUNCTION("IFERROR(if(D349&lt;&gt;"""", 
  AVERAGE(
    QUERY(
      IMPORTRANGE(""1-uH1wy6jSm5jYL9je6fN1K5RJ5QMvHntodEHZRtIvTk"", ""All Data!N2:U""),
      ""select Col8 where Col1 = '"" &amp; D349 &amp; ""' and Col8 is not null"",
      0
    )
  )/100,
""""),
  """"
)
"),"")</f>
        <v/>
      </c>
    </row>
    <row r="348">
      <c r="D348" s="172"/>
      <c r="E348" s="368"/>
      <c r="F348" s="368"/>
      <c r="G348" s="368"/>
      <c r="H348" s="172"/>
      <c r="I348" s="172"/>
      <c r="J348" s="172"/>
      <c r="K348" s="172"/>
      <c r="L348" s="172"/>
      <c r="M348" s="172"/>
      <c r="N348" s="172"/>
      <c r="O348" s="358"/>
      <c r="P348" s="358"/>
      <c r="Q348" s="358"/>
      <c r="R348" s="378"/>
      <c r="S348" s="359"/>
      <c r="T348" s="8"/>
      <c r="U348" s="8"/>
      <c r="V348" s="8"/>
      <c r="W348" s="172"/>
      <c r="X348" s="172"/>
      <c r="Y348" s="8"/>
      <c r="Z348" s="8"/>
      <c r="AA348" s="8"/>
      <c r="AB348" s="172"/>
      <c r="AC348" s="172"/>
      <c r="AD348" s="8"/>
      <c r="AE348" s="8"/>
      <c r="AF348" s="8"/>
      <c r="AG348" s="172"/>
      <c r="AH348" s="172"/>
      <c r="AI348" s="367"/>
      <c r="AJ348" s="362"/>
      <c r="AK348" s="363" t="str">
        <f>IFERROR(__xludf.DUMMYFUNCTION("IFERROR(if(D350&lt;&gt;"""", 
  AVERAGE(
    QUERY(
      IMPORTRANGE(""1-uH1wy6jSm5jYL9je6fN1K5RJ5QMvHntodEHZRtIvTk"", ""All Data!N2:U""),
      ""select Col8 where Col1 = '"" &amp; D350 &amp; ""' and Col8 is not null"",
      0
    )
  )/100,
""""),
  """"
)
"),"")</f>
        <v/>
      </c>
    </row>
    <row r="349">
      <c r="D349" s="172"/>
      <c r="E349" s="368"/>
      <c r="F349" s="368"/>
      <c r="G349" s="368"/>
      <c r="H349" s="172"/>
      <c r="I349" s="172"/>
      <c r="J349" s="172"/>
      <c r="K349" s="172"/>
      <c r="L349" s="172"/>
      <c r="M349" s="172"/>
      <c r="N349" s="172"/>
      <c r="O349" s="358"/>
      <c r="P349" s="358"/>
      <c r="Q349" s="358"/>
      <c r="R349" s="378"/>
      <c r="S349" s="359"/>
      <c r="T349" s="8"/>
      <c r="U349" s="8"/>
      <c r="V349" s="8"/>
      <c r="W349" s="172"/>
      <c r="X349" s="172"/>
      <c r="Y349" s="8"/>
      <c r="Z349" s="8"/>
      <c r="AA349" s="8"/>
      <c r="AB349" s="172"/>
      <c r="AC349" s="172"/>
      <c r="AD349" s="8"/>
      <c r="AE349" s="8"/>
      <c r="AF349" s="8"/>
      <c r="AG349" s="172"/>
      <c r="AH349" s="172"/>
      <c r="AI349" s="367"/>
      <c r="AJ349" s="362"/>
      <c r="AK349" s="363" t="str">
        <f>IFERROR(__xludf.DUMMYFUNCTION("IFERROR(if(D351&lt;&gt;"""", 
  AVERAGE(
    QUERY(
      IMPORTRANGE(""1-uH1wy6jSm5jYL9je6fN1K5RJ5QMvHntodEHZRtIvTk"", ""All Data!N2:U""),
      ""select Col8 where Col1 = '"" &amp; D351 &amp; ""' and Col8 is not null"",
      0
    )
  )/100,
""""),
  """"
)
"),"")</f>
        <v/>
      </c>
    </row>
    <row r="350">
      <c r="D350" s="172"/>
      <c r="E350" s="368"/>
      <c r="F350" s="368"/>
      <c r="G350" s="368"/>
      <c r="H350" s="172"/>
      <c r="I350" s="172"/>
      <c r="J350" s="172"/>
      <c r="K350" s="172"/>
      <c r="L350" s="172"/>
      <c r="M350" s="172"/>
      <c r="N350" s="172"/>
      <c r="O350" s="358"/>
      <c r="P350" s="358"/>
      <c r="Q350" s="358"/>
      <c r="R350" s="378"/>
      <c r="S350" s="359"/>
      <c r="T350" s="8"/>
      <c r="U350" s="8"/>
      <c r="V350" s="8"/>
      <c r="W350" s="172"/>
      <c r="X350" s="172"/>
      <c r="Y350" s="8"/>
      <c r="Z350" s="8"/>
      <c r="AA350" s="8"/>
      <c r="AB350" s="172"/>
      <c r="AC350" s="172"/>
      <c r="AD350" s="8"/>
      <c r="AE350" s="8"/>
      <c r="AF350" s="8"/>
      <c r="AG350" s="172"/>
      <c r="AH350" s="172"/>
      <c r="AI350" s="367"/>
      <c r="AJ350" s="362"/>
      <c r="AK350" s="363" t="str">
        <f>IFERROR(__xludf.DUMMYFUNCTION("IFERROR(if(D352&lt;&gt;"""", 
  AVERAGE(
    QUERY(
      IMPORTRANGE(""1-uH1wy6jSm5jYL9je6fN1K5RJ5QMvHntodEHZRtIvTk"", ""All Data!N2:U""),
      ""select Col8 where Col1 = '"" &amp; D352 &amp; ""' and Col8 is not null"",
      0
    )
  )/100,
""""),
  """"
)
"),"")</f>
        <v/>
      </c>
    </row>
    <row r="351">
      <c r="D351" s="172"/>
      <c r="E351" s="368"/>
      <c r="F351" s="368"/>
      <c r="G351" s="368"/>
      <c r="H351" s="172"/>
      <c r="I351" s="172"/>
      <c r="J351" s="172"/>
      <c r="K351" s="172"/>
      <c r="L351" s="172"/>
      <c r="M351" s="172"/>
      <c r="N351" s="172"/>
      <c r="O351" s="358"/>
      <c r="P351" s="358"/>
      <c r="Q351" s="358"/>
      <c r="R351" s="378"/>
      <c r="S351" s="359"/>
      <c r="T351" s="8"/>
      <c r="U351" s="8"/>
      <c r="V351" s="8"/>
      <c r="W351" s="172"/>
      <c r="X351" s="172"/>
      <c r="Y351" s="8"/>
      <c r="Z351" s="8"/>
      <c r="AA351" s="8"/>
      <c r="AB351" s="172"/>
      <c r="AC351" s="172"/>
      <c r="AD351" s="8"/>
      <c r="AE351" s="8"/>
      <c r="AF351" s="8"/>
      <c r="AG351" s="172"/>
      <c r="AH351" s="172"/>
      <c r="AI351" s="367"/>
      <c r="AJ351" s="362"/>
      <c r="AK351" s="363" t="str">
        <f>IFERROR(__xludf.DUMMYFUNCTION("IFERROR(if(D353&lt;&gt;"""", 
  AVERAGE(
    QUERY(
      IMPORTRANGE(""1-uH1wy6jSm5jYL9je6fN1K5RJ5QMvHntodEHZRtIvTk"", ""All Data!N2:U""),
      ""select Col8 where Col1 = '"" &amp; D353 &amp; ""' and Col8 is not null"",
      0
    )
  )/100,
""""),
  """"
)
"),"")</f>
        <v/>
      </c>
    </row>
    <row r="352">
      <c r="D352" s="172"/>
      <c r="E352" s="368"/>
      <c r="F352" s="368"/>
      <c r="G352" s="368"/>
      <c r="H352" s="172"/>
      <c r="I352" s="172"/>
      <c r="J352" s="172"/>
      <c r="K352" s="172"/>
      <c r="L352" s="172"/>
      <c r="M352" s="172"/>
      <c r="N352" s="172"/>
      <c r="O352" s="358"/>
      <c r="P352" s="358"/>
      <c r="Q352" s="358"/>
      <c r="R352" s="378"/>
      <c r="S352" s="359"/>
      <c r="T352" s="8"/>
      <c r="U352" s="8"/>
      <c r="V352" s="8"/>
      <c r="W352" s="172"/>
      <c r="X352" s="172"/>
      <c r="Y352" s="8"/>
      <c r="Z352" s="8"/>
      <c r="AA352" s="8"/>
      <c r="AB352" s="172"/>
      <c r="AC352" s="172"/>
      <c r="AD352" s="8"/>
      <c r="AE352" s="8"/>
      <c r="AF352" s="8"/>
      <c r="AG352" s="172"/>
      <c r="AH352" s="172"/>
      <c r="AI352" s="367"/>
      <c r="AJ352" s="362"/>
      <c r="AK352" s="363" t="str">
        <f>IFERROR(__xludf.DUMMYFUNCTION("IFERROR(if(D354&lt;&gt;"""", 
  AVERAGE(
    QUERY(
      IMPORTRANGE(""1-uH1wy6jSm5jYL9je6fN1K5RJ5QMvHntodEHZRtIvTk"", ""All Data!N2:U""),
      ""select Col8 where Col1 = '"" &amp; D354 &amp; ""' and Col8 is not null"",
      0
    )
  )/100,
""""),
  """"
)
"),"")</f>
        <v/>
      </c>
    </row>
    <row r="353">
      <c r="D353" s="172"/>
      <c r="E353" s="368"/>
      <c r="F353" s="368"/>
      <c r="G353" s="368"/>
      <c r="H353" s="172"/>
      <c r="I353" s="172"/>
      <c r="J353" s="172"/>
      <c r="K353" s="172"/>
      <c r="L353" s="172"/>
      <c r="M353" s="172"/>
      <c r="N353" s="172"/>
      <c r="O353" s="358"/>
      <c r="P353" s="358"/>
      <c r="Q353" s="358"/>
      <c r="R353" s="378"/>
      <c r="S353" s="359"/>
      <c r="T353" s="8"/>
      <c r="U353" s="8"/>
      <c r="V353" s="8"/>
      <c r="W353" s="172"/>
      <c r="X353" s="172"/>
      <c r="Y353" s="8"/>
      <c r="Z353" s="8"/>
      <c r="AA353" s="8"/>
      <c r="AB353" s="172"/>
      <c r="AC353" s="172"/>
      <c r="AD353" s="8"/>
      <c r="AE353" s="8"/>
      <c r="AF353" s="8"/>
      <c r="AG353" s="172"/>
      <c r="AH353" s="172"/>
      <c r="AI353" s="367"/>
      <c r="AJ353" s="362"/>
      <c r="AK353" s="363" t="str">
        <f>IFERROR(__xludf.DUMMYFUNCTION("IFERROR(if(D355&lt;&gt;"""", 
  AVERAGE(
    QUERY(
      IMPORTRANGE(""1-uH1wy6jSm5jYL9je6fN1K5RJ5QMvHntodEHZRtIvTk"", ""All Data!N2:U""),
      ""select Col8 where Col1 = '"" &amp; D355 &amp; ""' and Col8 is not null"",
      0
    )
  )/100,
""""),
  """"
)
"),"")</f>
        <v/>
      </c>
    </row>
    <row r="354">
      <c r="D354" s="172"/>
      <c r="E354" s="368"/>
      <c r="F354" s="368"/>
      <c r="G354" s="368"/>
      <c r="H354" s="172"/>
      <c r="I354" s="172"/>
      <c r="J354" s="172"/>
      <c r="K354" s="172"/>
      <c r="L354" s="172"/>
      <c r="M354" s="172"/>
      <c r="N354" s="172"/>
      <c r="O354" s="358"/>
      <c r="P354" s="358"/>
      <c r="Q354" s="358"/>
      <c r="R354" s="378"/>
      <c r="S354" s="359"/>
      <c r="T354" s="8"/>
      <c r="U354" s="8"/>
      <c r="V354" s="8"/>
      <c r="W354" s="172"/>
      <c r="X354" s="172"/>
      <c r="Y354" s="8"/>
      <c r="Z354" s="8"/>
      <c r="AA354" s="8"/>
      <c r="AB354" s="172"/>
      <c r="AC354" s="172"/>
      <c r="AD354" s="8"/>
      <c r="AE354" s="8"/>
      <c r="AF354" s="8"/>
      <c r="AG354" s="172"/>
      <c r="AH354" s="172"/>
      <c r="AI354" s="367"/>
      <c r="AJ354" s="362"/>
      <c r="AK354" s="363" t="str">
        <f>IFERROR(__xludf.DUMMYFUNCTION("IFERROR(if(D356&lt;&gt;"""", 
  AVERAGE(
    QUERY(
      IMPORTRANGE(""1-uH1wy6jSm5jYL9je6fN1K5RJ5QMvHntodEHZRtIvTk"", ""All Data!N2:U""),
      ""select Col8 where Col1 = '"" &amp; D356 &amp; ""' and Col8 is not null"",
      0
    )
  )/100,
""""),
  """"
)
"),"")</f>
        <v/>
      </c>
    </row>
    <row r="355">
      <c r="D355" s="172"/>
      <c r="E355" s="368"/>
      <c r="F355" s="368"/>
      <c r="G355" s="368"/>
      <c r="H355" s="172"/>
      <c r="I355" s="172"/>
      <c r="J355" s="172"/>
      <c r="K355" s="172"/>
      <c r="L355" s="172"/>
      <c r="M355" s="172"/>
      <c r="N355" s="172"/>
      <c r="O355" s="358"/>
      <c r="P355" s="358"/>
      <c r="Q355" s="358"/>
      <c r="R355" s="378"/>
      <c r="S355" s="359"/>
      <c r="T355" s="8"/>
      <c r="U355" s="8"/>
      <c r="V355" s="8"/>
      <c r="W355" s="172"/>
      <c r="X355" s="172"/>
      <c r="Y355" s="8"/>
      <c r="Z355" s="8"/>
      <c r="AA355" s="8"/>
      <c r="AB355" s="172"/>
      <c r="AC355" s="172"/>
      <c r="AD355" s="8"/>
      <c r="AE355" s="8"/>
      <c r="AF355" s="8"/>
      <c r="AG355" s="172"/>
      <c r="AH355" s="172"/>
      <c r="AI355" s="367"/>
      <c r="AJ355" s="362"/>
      <c r="AK355" s="363" t="str">
        <f>IFERROR(__xludf.DUMMYFUNCTION("IFERROR(if(D357&lt;&gt;"""", 
  AVERAGE(
    QUERY(
      IMPORTRANGE(""1-uH1wy6jSm5jYL9je6fN1K5RJ5QMvHntodEHZRtIvTk"", ""All Data!N2:U""),
      ""select Col8 where Col1 = '"" &amp; D357 &amp; ""' and Col8 is not null"",
      0
    )
  )/100,
""""),
  """"
)
"),"")</f>
        <v/>
      </c>
    </row>
    <row r="356">
      <c r="D356" s="172"/>
      <c r="E356" s="368"/>
      <c r="F356" s="368"/>
      <c r="G356" s="368"/>
      <c r="H356" s="172"/>
      <c r="I356" s="172"/>
      <c r="J356" s="172"/>
      <c r="K356" s="172"/>
      <c r="L356" s="172"/>
      <c r="M356" s="172"/>
      <c r="N356" s="172"/>
      <c r="O356" s="358"/>
      <c r="P356" s="358"/>
      <c r="Q356" s="358"/>
      <c r="R356" s="378"/>
      <c r="S356" s="359"/>
      <c r="T356" s="8"/>
      <c r="U356" s="8"/>
      <c r="V356" s="8"/>
      <c r="W356" s="172"/>
      <c r="X356" s="172"/>
      <c r="Y356" s="8"/>
      <c r="Z356" s="8"/>
      <c r="AA356" s="8"/>
      <c r="AB356" s="172"/>
      <c r="AC356" s="172"/>
      <c r="AD356" s="8"/>
      <c r="AE356" s="8"/>
      <c r="AF356" s="8"/>
      <c r="AG356" s="172"/>
      <c r="AH356" s="172"/>
      <c r="AI356" s="367"/>
      <c r="AJ356" s="362"/>
      <c r="AK356" s="363" t="str">
        <f>IFERROR(__xludf.DUMMYFUNCTION("IFERROR(if(D358&lt;&gt;"""", 
  AVERAGE(
    QUERY(
      IMPORTRANGE(""1-uH1wy6jSm5jYL9je6fN1K5RJ5QMvHntodEHZRtIvTk"", ""All Data!N2:U""),
      ""select Col8 where Col1 = '"" &amp; D358 &amp; ""' and Col8 is not null"",
      0
    )
  )/100,
""""),
  """"
)
"),"")</f>
        <v/>
      </c>
    </row>
    <row r="357">
      <c r="D357" s="172"/>
      <c r="E357" s="368"/>
      <c r="F357" s="368"/>
      <c r="G357" s="368"/>
      <c r="H357" s="172"/>
      <c r="I357" s="172"/>
      <c r="J357" s="172"/>
      <c r="K357" s="172"/>
      <c r="L357" s="172"/>
      <c r="M357" s="172"/>
      <c r="N357" s="172"/>
      <c r="O357" s="358"/>
      <c r="P357" s="358"/>
      <c r="Q357" s="358"/>
      <c r="R357" s="378"/>
      <c r="S357" s="359"/>
      <c r="T357" s="8"/>
      <c r="U357" s="8"/>
      <c r="V357" s="8"/>
      <c r="W357" s="172"/>
      <c r="X357" s="172"/>
      <c r="Y357" s="8"/>
      <c r="Z357" s="8"/>
      <c r="AA357" s="8"/>
      <c r="AB357" s="172"/>
      <c r="AC357" s="172"/>
      <c r="AD357" s="8"/>
      <c r="AE357" s="8"/>
      <c r="AF357" s="8"/>
      <c r="AG357" s="172"/>
      <c r="AH357" s="172"/>
      <c r="AI357" s="367"/>
      <c r="AJ357" s="362"/>
      <c r="AK357" s="363" t="str">
        <f>IFERROR(__xludf.DUMMYFUNCTION("IFERROR(if(D359&lt;&gt;"""", 
  AVERAGE(
    QUERY(
      IMPORTRANGE(""1-uH1wy6jSm5jYL9je6fN1K5RJ5QMvHntodEHZRtIvTk"", ""All Data!N2:U""),
      ""select Col8 where Col1 = '"" &amp; D359 &amp; ""' and Col8 is not null"",
      0
    )
  )/100,
""""),
  """"
)
"),"")</f>
        <v/>
      </c>
    </row>
    <row r="358">
      <c r="D358" s="172"/>
      <c r="E358" s="368"/>
      <c r="F358" s="368"/>
      <c r="G358" s="368"/>
      <c r="H358" s="172"/>
      <c r="I358" s="172"/>
      <c r="J358" s="172"/>
      <c r="K358" s="172"/>
      <c r="L358" s="172"/>
      <c r="M358" s="172"/>
      <c r="N358" s="172"/>
      <c r="O358" s="358"/>
      <c r="P358" s="358"/>
      <c r="Q358" s="358"/>
      <c r="R358" s="378"/>
      <c r="S358" s="359"/>
      <c r="T358" s="8"/>
      <c r="U358" s="8"/>
      <c r="V358" s="8"/>
      <c r="W358" s="172"/>
      <c r="X358" s="172"/>
      <c r="Y358" s="8"/>
      <c r="Z358" s="8"/>
      <c r="AA358" s="8"/>
      <c r="AB358" s="172"/>
      <c r="AC358" s="172"/>
      <c r="AD358" s="8"/>
      <c r="AE358" s="8"/>
      <c r="AF358" s="8"/>
      <c r="AG358" s="172"/>
      <c r="AH358" s="172"/>
      <c r="AI358" s="367"/>
      <c r="AJ358" s="362"/>
      <c r="AK358" s="363" t="str">
        <f>IFERROR(__xludf.DUMMYFUNCTION("IFERROR(if(D360&lt;&gt;"""", 
  AVERAGE(
    QUERY(
      IMPORTRANGE(""1-uH1wy6jSm5jYL9je6fN1K5RJ5QMvHntodEHZRtIvTk"", ""All Data!N2:U""),
      ""select Col8 where Col1 = '"" &amp; D360 &amp; ""' and Col8 is not null"",
      0
    )
  )/100,
""""),
  """"
)
"),"")</f>
        <v/>
      </c>
    </row>
    <row r="359">
      <c r="D359" s="172"/>
      <c r="E359" s="368"/>
      <c r="F359" s="368"/>
      <c r="G359" s="368"/>
      <c r="H359" s="172"/>
      <c r="I359" s="172"/>
      <c r="J359" s="172"/>
      <c r="K359" s="172"/>
      <c r="L359" s="172"/>
      <c r="M359" s="172"/>
      <c r="N359" s="172"/>
      <c r="O359" s="358"/>
      <c r="P359" s="358"/>
      <c r="Q359" s="358"/>
      <c r="R359" s="378"/>
      <c r="S359" s="378"/>
      <c r="T359" s="8"/>
      <c r="U359" s="8"/>
      <c r="V359" s="8"/>
      <c r="W359" s="172"/>
      <c r="X359" s="172"/>
      <c r="Y359" s="8"/>
      <c r="Z359" s="8"/>
      <c r="AA359" s="8"/>
      <c r="AB359" s="172"/>
      <c r="AC359" s="172"/>
      <c r="AD359" s="8"/>
      <c r="AE359" s="8"/>
      <c r="AF359" s="8"/>
      <c r="AG359" s="172"/>
      <c r="AH359" s="172"/>
      <c r="AI359" s="367"/>
      <c r="AJ359" s="362"/>
      <c r="AK359" s="363" t="str">
        <f>IFERROR(__xludf.DUMMYFUNCTION("IFERROR(if(D361&lt;&gt;"""", 
  AVERAGE(
    QUERY(
      IMPORTRANGE(""1-uH1wy6jSm5jYL9je6fN1K5RJ5QMvHntodEHZRtIvTk"", ""All Data!N2:U""),
      ""select Col8 where Col1 = '"" &amp; D361 &amp; ""' and Col8 is not null"",
      0
    )
  )/100,
""""),
  """"
)
"),"")</f>
        <v/>
      </c>
    </row>
    <row r="360">
      <c r="D360" s="172"/>
      <c r="E360" s="368"/>
      <c r="F360" s="368"/>
      <c r="G360" s="368"/>
      <c r="H360" s="172"/>
      <c r="I360" s="172"/>
      <c r="J360" s="172"/>
      <c r="K360" s="172"/>
      <c r="L360" s="172"/>
      <c r="M360" s="172"/>
      <c r="N360" s="172"/>
      <c r="O360" s="358"/>
      <c r="P360" s="358"/>
      <c r="Q360" s="358"/>
      <c r="R360" s="378"/>
      <c r="S360" s="378"/>
      <c r="T360" s="8"/>
      <c r="U360" s="8"/>
      <c r="V360" s="8"/>
      <c r="W360" s="172"/>
      <c r="X360" s="172"/>
      <c r="Y360" s="8"/>
      <c r="Z360" s="8"/>
      <c r="AA360" s="8"/>
      <c r="AB360" s="172"/>
      <c r="AC360" s="172"/>
      <c r="AD360" s="8"/>
      <c r="AE360" s="8"/>
      <c r="AF360" s="8"/>
      <c r="AG360" s="172"/>
      <c r="AH360" s="172"/>
      <c r="AI360" s="367"/>
      <c r="AJ360" s="362"/>
      <c r="AK360" s="363" t="str">
        <f>IFERROR(__xludf.DUMMYFUNCTION("IFERROR(if(D362&lt;&gt;"""", 
  AVERAGE(
    QUERY(
      IMPORTRANGE(""1-uH1wy6jSm5jYL9je6fN1K5RJ5QMvHntodEHZRtIvTk"", ""All Data!N2:U""),
      ""select Col8 where Col1 = '"" &amp; D362 &amp; ""' and Col8 is not null"",
      0
    )
  )/100,
""""),
  """"
)
"),"")</f>
        <v/>
      </c>
    </row>
    <row r="361">
      <c r="D361" s="172"/>
      <c r="E361" s="368"/>
      <c r="F361" s="368"/>
      <c r="G361" s="368"/>
      <c r="H361" s="172"/>
      <c r="I361" s="172"/>
      <c r="J361" s="172"/>
      <c r="K361" s="172"/>
      <c r="L361" s="172"/>
      <c r="M361" s="172"/>
      <c r="N361" s="172"/>
      <c r="O361" s="358"/>
      <c r="P361" s="358"/>
      <c r="Q361" s="358"/>
      <c r="R361" s="378"/>
      <c r="S361" s="378"/>
      <c r="T361" s="8"/>
      <c r="U361" s="8"/>
      <c r="V361" s="8"/>
      <c r="W361" s="172"/>
      <c r="X361" s="172"/>
      <c r="Y361" s="8"/>
      <c r="Z361" s="8"/>
      <c r="AA361" s="8"/>
      <c r="AB361" s="172"/>
      <c r="AC361" s="172"/>
      <c r="AD361" s="8"/>
      <c r="AE361" s="8"/>
      <c r="AF361" s="8"/>
      <c r="AG361" s="172"/>
      <c r="AH361" s="172"/>
      <c r="AI361" s="367"/>
      <c r="AJ361" s="362"/>
      <c r="AK361" s="363" t="str">
        <f>IFERROR(__xludf.DUMMYFUNCTION("IFERROR(if(D363&lt;&gt;"""", 
  AVERAGE(
    QUERY(
      IMPORTRANGE(""1-uH1wy6jSm5jYL9je6fN1K5RJ5QMvHntodEHZRtIvTk"", ""All Data!N2:U""),
      ""select Col8 where Col1 = '"" &amp; D363 &amp; ""' and Col8 is not null"",
      0
    )
  )/100,
""""),
  """"
)
"),"")</f>
        <v/>
      </c>
    </row>
    <row r="362">
      <c r="D362" s="172"/>
      <c r="E362" s="368"/>
      <c r="F362" s="368"/>
      <c r="G362" s="368"/>
      <c r="H362" s="172"/>
      <c r="I362" s="172"/>
      <c r="J362" s="172"/>
      <c r="K362" s="172"/>
      <c r="L362" s="172"/>
      <c r="M362" s="172"/>
      <c r="N362" s="172"/>
      <c r="O362" s="358"/>
      <c r="P362" s="358"/>
      <c r="Q362" s="358"/>
      <c r="R362" s="378"/>
      <c r="S362" s="378"/>
      <c r="T362" s="8"/>
      <c r="U362" s="8"/>
      <c r="V362" s="8"/>
      <c r="W362" s="172"/>
      <c r="X362" s="172"/>
      <c r="Y362" s="8"/>
      <c r="Z362" s="8"/>
      <c r="AA362" s="8"/>
      <c r="AB362" s="172"/>
      <c r="AC362" s="172"/>
      <c r="AD362" s="8"/>
      <c r="AE362" s="8"/>
      <c r="AF362" s="8"/>
      <c r="AG362" s="172"/>
      <c r="AH362" s="172"/>
      <c r="AI362" s="367"/>
      <c r="AJ362" s="362"/>
      <c r="AK362" s="363" t="str">
        <f>IFERROR(__xludf.DUMMYFUNCTION("IFERROR(if(D364&lt;&gt;"""", 
  AVERAGE(
    QUERY(
      IMPORTRANGE(""1-uH1wy6jSm5jYL9je6fN1K5RJ5QMvHntodEHZRtIvTk"", ""All Data!N2:U""),
      ""select Col8 where Col1 = '"" &amp; D364 &amp; ""' and Col8 is not null"",
      0
    )
  )/100,
""""),
  """"
)
"),"")</f>
        <v/>
      </c>
    </row>
    <row r="363">
      <c r="D363" s="172"/>
      <c r="E363" s="368"/>
      <c r="F363" s="368"/>
      <c r="G363" s="368"/>
      <c r="H363" s="172"/>
      <c r="I363" s="172"/>
      <c r="J363" s="172"/>
      <c r="K363" s="172"/>
      <c r="L363" s="172"/>
      <c r="M363" s="172"/>
      <c r="N363" s="172"/>
      <c r="O363" s="358"/>
      <c r="P363" s="358"/>
      <c r="Q363" s="358"/>
      <c r="R363" s="378"/>
      <c r="S363" s="378"/>
      <c r="T363" s="8"/>
      <c r="U363" s="8"/>
      <c r="V363" s="8"/>
      <c r="W363" s="172"/>
      <c r="X363" s="172"/>
      <c r="Y363" s="8"/>
      <c r="Z363" s="8"/>
      <c r="AA363" s="8"/>
      <c r="AB363" s="172"/>
      <c r="AC363" s="172"/>
      <c r="AD363" s="8"/>
      <c r="AE363" s="8"/>
      <c r="AF363" s="8"/>
      <c r="AG363" s="172"/>
      <c r="AH363" s="172"/>
      <c r="AI363" s="367"/>
      <c r="AJ363" s="362"/>
      <c r="AK363" s="363" t="str">
        <f>IFERROR(__xludf.DUMMYFUNCTION("IFERROR(if(D365&lt;&gt;"""", 
  AVERAGE(
    QUERY(
      IMPORTRANGE(""1-uH1wy6jSm5jYL9je6fN1K5RJ5QMvHntodEHZRtIvTk"", ""All Data!N2:U""),
      ""select Col8 where Col1 = '"" &amp; D365 &amp; ""' and Col8 is not null"",
      0
    )
  )/100,
""""),
  """"
)
"),"")</f>
        <v/>
      </c>
    </row>
    <row r="364">
      <c r="D364" s="172"/>
      <c r="E364" s="368"/>
      <c r="F364" s="368"/>
      <c r="G364" s="368"/>
      <c r="H364" s="172"/>
      <c r="I364" s="172"/>
      <c r="J364" s="172"/>
      <c r="K364" s="172"/>
      <c r="L364" s="172"/>
      <c r="M364" s="172"/>
      <c r="N364" s="172"/>
      <c r="O364" s="358"/>
      <c r="P364" s="358"/>
      <c r="Q364" s="358"/>
      <c r="R364" s="378"/>
      <c r="S364" s="378"/>
      <c r="T364" s="8"/>
      <c r="U364" s="8"/>
      <c r="V364" s="8"/>
      <c r="W364" s="172"/>
      <c r="X364" s="172"/>
      <c r="Y364" s="8"/>
      <c r="Z364" s="8"/>
      <c r="AA364" s="8"/>
      <c r="AB364" s="172"/>
      <c r="AC364" s="172"/>
      <c r="AD364" s="8"/>
      <c r="AE364" s="8"/>
      <c r="AF364" s="8"/>
      <c r="AG364" s="172"/>
      <c r="AH364" s="172"/>
      <c r="AI364" s="367"/>
      <c r="AJ364" s="362"/>
      <c r="AK364" s="363" t="str">
        <f>IFERROR(__xludf.DUMMYFUNCTION("IFERROR(if(D366&lt;&gt;"""", 
  AVERAGE(
    QUERY(
      IMPORTRANGE(""1-uH1wy6jSm5jYL9je6fN1K5RJ5QMvHntodEHZRtIvTk"", ""All Data!N2:U""),
      ""select Col8 where Col1 = '"" &amp; D366 &amp; ""' and Col8 is not null"",
      0
    )
  )/100,
""""),
  """"
)
"),"")</f>
        <v/>
      </c>
    </row>
    <row r="365">
      <c r="D365" s="172"/>
      <c r="E365" s="368"/>
      <c r="F365" s="368"/>
      <c r="G365" s="368"/>
      <c r="H365" s="172"/>
      <c r="I365" s="172"/>
      <c r="J365" s="172"/>
      <c r="K365" s="172"/>
      <c r="L365" s="172"/>
      <c r="M365" s="172"/>
      <c r="N365" s="172"/>
      <c r="O365" s="358"/>
      <c r="P365" s="358"/>
      <c r="Q365" s="358"/>
      <c r="R365" s="378"/>
      <c r="S365" s="378"/>
      <c r="T365" s="8"/>
      <c r="U365" s="8"/>
      <c r="V365" s="8"/>
      <c r="W365" s="172"/>
      <c r="X365" s="172"/>
      <c r="Y365" s="8"/>
      <c r="Z365" s="8"/>
      <c r="AA365" s="8"/>
      <c r="AB365" s="172"/>
      <c r="AC365" s="172"/>
      <c r="AD365" s="8"/>
      <c r="AE365" s="8"/>
      <c r="AF365" s="8"/>
      <c r="AG365" s="172"/>
      <c r="AH365" s="172"/>
      <c r="AI365" s="367"/>
      <c r="AJ365" s="362"/>
      <c r="AK365" s="363" t="str">
        <f>IFERROR(__xludf.DUMMYFUNCTION("IFERROR(if(D367&lt;&gt;"""", 
  AVERAGE(
    QUERY(
      IMPORTRANGE(""1-uH1wy6jSm5jYL9je6fN1K5RJ5QMvHntodEHZRtIvTk"", ""All Data!N2:U""),
      ""select Col8 where Col1 = '"" &amp; D367 &amp; ""' and Col8 is not null"",
      0
    )
  )/100,
""""),
  """"
)
"),"")</f>
        <v/>
      </c>
    </row>
    <row r="366">
      <c r="D366" s="172"/>
      <c r="E366" s="368"/>
      <c r="F366" s="368"/>
      <c r="G366" s="368"/>
      <c r="H366" s="172"/>
      <c r="I366" s="172"/>
      <c r="J366" s="172"/>
      <c r="K366" s="172"/>
      <c r="L366" s="172"/>
      <c r="M366" s="172"/>
      <c r="N366" s="172"/>
      <c r="O366" s="358"/>
      <c r="P366" s="358"/>
      <c r="Q366" s="358"/>
      <c r="R366" s="378"/>
      <c r="S366" s="378"/>
      <c r="T366" s="8"/>
      <c r="U366" s="8"/>
      <c r="V366" s="8"/>
      <c r="W366" s="172"/>
      <c r="X366" s="172"/>
      <c r="Y366" s="8"/>
      <c r="Z366" s="8"/>
      <c r="AA366" s="8"/>
      <c r="AB366" s="172"/>
      <c r="AC366" s="172"/>
      <c r="AD366" s="8"/>
      <c r="AE366" s="8"/>
      <c r="AF366" s="8"/>
      <c r="AG366" s="172"/>
      <c r="AH366" s="172"/>
      <c r="AI366" s="367"/>
      <c r="AJ366" s="362"/>
      <c r="AK366" s="363" t="str">
        <f>IFERROR(__xludf.DUMMYFUNCTION("IFERROR(if(D368&lt;&gt;"""", 
  AVERAGE(
    QUERY(
      IMPORTRANGE(""1-uH1wy6jSm5jYL9je6fN1K5RJ5QMvHntodEHZRtIvTk"", ""All Data!N2:U""),
      ""select Col8 where Col1 = '"" &amp; D368 &amp; ""' and Col8 is not null"",
      0
    )
  )/100,
""""),
  """"
)
"),"")</f>
        <v/>
      </c>
    </row>
    <row r="367">
      <c r="D367" s="172"/>
      <c r="E367" s="368"/>
      <c r="F367" s="368"/>
      <c r="G367" s="368"/>
      <c r="H367" s="172"/>
      <c r="I367" s="172"/>
      <c r="J367" s="172"/>
      <c r="K367" s="172"/>
      <c r="L367" s="172"/>
      <c r="M367" s="172"/>
      <c r="N367" s="172"/>
      <c r="O367" s="358"/>
      <c r="P367" s="358"/>
      <c r="Q367" s="358"/>
      <c r="R367" s="378"/>
      <c r="S367" s="378"/>
      <c r="T367" s="8"/>
      <c r="U367" s="8"/>
      <c r="V367" s="8"/>
      <c r="W367" s="172"/>
      <c r="X367" s="172"/>
      <c r="Y367" s="8"/>
      <c r="Z367" s="8"/>
      <c r="AA367" s="8"/>
      <c r="AB367" s="172"/>
      <c r="AC367" s="172"/>
      <c r="AD367" s="8"/>
      <c r="AE367" s="8"/>
      <c r="AF367" s="8"/>
      <c r="AG367" s="172"/>
      <c r="AH367" s="172"/>
      <c r="AI367" s="367"/>
      <c r="AJ367" s="362"/>
      <c r="AK367" s="363" t="str">
        <f>IFERROR(__xludf.DUMMYFUNCTION("IFERROR(if(D369&lt;&gt;"""", 
  AVERAGE(
    QUERY(
      IMPORTRANGE(""1-uH1wy6jSm5jYL9je6fN1K5RJ5QMvHntodEHZRtIvTk"", ""All Data!N2:U""),
      ""select Col8 where Col1 = '"" &amp; D369 &amp; ""' and Col8 is not null"",
      0
    )
  )/100,
""""),
  """"
)
"),"")</f>
        <v/>
      </c>
    </row>
    <row r="368">
      <c r="D368" s="172"/>
      <c r="E368" s="368"/>
      <c r="F368" s="368"/>
      <c r="G368" s="368"/>
      <c r="H368" s="172"/>
      <c r="I368" s="172"/>
      <c r="J368" s="172"/>
      <c r="K368" s="172"/>
      <c r="L368" s="172"/>
      <c r="M368" s="172"/>
      <c r="N368" s="172"/>
      <c r="O368" s="358"/>
      <c r="P368" s="358"/>
      <c r="Q368" s="358"/>
      <c r="R368" s="378"/>
      <c r="S368" s="378"/>
      <c r="T368" s="8"/>
      <c r="U368" s="8"/>
      <c r="V368" s="8"/>
      <c r="W368" s="172"/>
      <c r="X368" s="172"/>
      <c r="Y368" s="8"/>
      <c r="Z368" s="8"/>
      <c r="AA368" s="8"/>
      <c r="AB368" s="172"/>
      <c r="AC368" s="172"/>
      <c r="AD368" s="8"/>
      <c r="AE368" s="8"/>
      <c r="AF368" s="8"/>
      <c r="AG368" s="172"/>
      <c r="AH368" s="172"/>
      <c r="AI368" s="367"/>
      <c r="AJ368" s="362"/>
      <c r="AK368" s="363" t="str">
        <f>IFERROR(__xludf.DUMMYFUNCTION("IFERROR(if(D370&lt;&gt;"""", 
  AVERAGE(
    QUERY(
      IMPORTRANGE(""1-uH1wy6jSm5jYL9je6fN1K5RJ5QMvHntodEHZRtIvTk"", ""All Data!N2:U""),
      ""select Col8 where Col1 = '"" &amp; D370 &amp; ""' and Col8 is not null"",
      0
    )
  )/100,
""""),
  """"
)
"),"")</f>
        <v/>
      </c>
    </row>
    <row r="369">
      <c r="D369" s="172"/>
      <c r="E369" s="368"/>
      <c r="F369" s="368"/>
      <c r="G369" s="368"/>
      <c r="H369" s="172"/>
      <c r="I369" s="172"/>
      <c r="J369" s="172"/>
      <c r="K369" s="172"/>
      <c r="L369" s="172"/>
      <c r="M369" s="172"/>
      <c r="N369" s="172"/>
      <c r="O369" s="358"/>
      <c r="P369" s="358"/>
      <c r="Q369" s="358"/>
      <c r="R369" s="378"/>
      <c r="S369" s="378"/>
      <c r="T369" s="8"/>
      <c r="U369" s="8"/>
      <c r="V369" s="8"/>
      <c r="W369" s="172"/>
      <c r="X369" s="172"/>
      <c r="Y369" s="8"/>
      <c r="Z369" s="8"/>
      <c r="AA369" s="8"/>
      <c r="AB369" s="172"/>
      <c r="AC369" s="172"/>
      <c r="AD369" s="8"/>
      <c r="AE369" s="8"/>
      <c r="AF369" s="8"/>
      <c r="AG369" s="172"/>
      <c r="AH369" s="172"/>
      <c r="AI369" s="367"/>
      <c r="AJ369" s="362"/>
      <c r="AK369" s="363" t="str">
        <f>IFERROR(__xludf.DUMMYFUNCTION("IFERROR(if(D371&lt;&gt;"""", 
  AVERAGE(
    QUERY(
      IMPORTRANGE(""1-uH1wy6jSm5jYL9je6fN1K5RJ5QMvHntodEHZRtIvTk"", ""All Data!N2:U""),
      ""select Col8 where Col1 = '"" &amp; D371 &amp; ""' and Col8 is not null"",
      0
    )
  )/100,
""""),
  """"
)
"),"")</f>
        <v/>
      </c>
    </row>
    <row r="370">
      <c r="D370" s="172"/>
      <c r="E370" s="368"/>
      <c r="F370" s="368"/>
      <c r="G370" s="368"/>
      <c r="H370" s="172"/>
      <c r="I370" s="172"/>
      <c r="J370" s="172"/>
      <c r="K370" s="172"/>
      <c r="L370" s="172"/>
      <c r="M370" s="172"/>
      <c r="N370" s="172"/>
      <c r="O370" s="358"/>
      <c r="P370" s="358"/>
      <c r="Q370" s="358"/>
      <c r="R370" s="378"/>
      <c r="S370" s="378"/>
      <c r="T370" s="8"/>
      <c r="U370" s="8"/>
      <c r="V370" s="8"/>
      <c r="W370" s="172"/>
      <c r="X370" s="172"/>
      <c r="Y370" s="8"/>
      <c r="Z370" s="8"/>
      <c r="AA370" s="8"/>
      <c r="AB370" s="172"/>
      <c r="AC370" s="172"/>
      <c r="AD370" s="8"/>
      <c r="AE370" s="8"/>
      <c r="AF370" s="8"/>
      <c r="AG370" s="172"/>
      <c r="AH370" s="172"/>
      <c r="AI370" s="367"/>
      <c r="AJ370" s="362"/>
      <c r="AK370" s="363" t="str">
        <f>IFERROR(__xludf.DUMMYFUNCTION("IFERROR(if(D372&lt;&gt;"""", 
  AVERAGE(
    QUERY(
      IMPORTRANGE(""1-uH1wy6jSm5jYL9je6fN1K5RJ5QMvHntodEHZRtIvTk"", ""All Data!N2:U""),
      ""select Col8 where Col1 = '"" &amp; D372 &amp; ""' and Col8 is not null"",
      0
    )
  )/100,
""""),
  """"
)
"),"")</f>
        <v/>
      </c>
    </row>
    <row r="371">
      <c r="D371" s="172"/>
      <c r="E371" s="368"/>
      <c r="F371" s="368"/>
      <c r="G371" s="368"/>
      <c r="H371" s="172"/>
      <c r="I371" s="172"/>
      <c r="J371" s="172"/>
      <c r="K371" s="172"/>
      <c r="L371" s="172"/>
      <c r="M371" s="172"/>
      <c r="N371" s="172"/>
      <c r="O371" s="358"/>
      <c r="P371" s="358"/>
      <c r="Q371" s="358"/>
      <c r="R371" s="378"/>
      <c r="S371" s="378"/>
      <c r="T371" s="8"/>
      <c r="U371" s="8"/>
      <c r="V371" s="8"/>
      <c r="W371" s="172"/>
      <c r="X371" s="172"/>
      <c r="Y371" s="8"/>
      <c r="Z371" s="8"/>
      <c r="AA371" s="8"/>
      <c r="AB371" s="172"/>
      <c r="AC371" s="172"/>
      <c r="AD371" s="8"/>
      <c r="AE371" s="8"/>
      <c r="AF371" s="8"/>
      <c r="AG371" s="172"/>
      <c r="AH371" s="172"/>
      <c r="AI371" s="367"/>
      <c r="AJ371" s="362"/>
      <c r="AK371" s="363" t="str">
        <f>IFERROR(__xludf.DUMMYFUNCTION("IFERROR(if(D373&lt;&gt;"""", 
  AVERAGE(
    QUERY(
      IMPORTRANGE(""1-uH1wy6jSm5jYL9je6fN1K5RJ5QMvHntodEHZRtIvTk"", ""All Data!N2:U""),
      ""select Col8 where Col1 = '"" &amp; D373 &amp; ""' and Col8 is not null"",
      0
    )
  )/100,
""""),
  """"
)
"),"")</f>
        <v/>
      </c>
    </row>
    <row r="372">
      <c r="D372" s="172"/>
      <c r="E372" s="368"/>
      <c r="F372" s="368"/>
      <c r="G372" s="368"/>
      <c r="H372" s="172"/>
      <c r="I372" s="172"/>
      <c r="J372" s="172"/>
      <c r="K372" s="172"/>
      <c r="L372" s="172"/>
      <c r="M372" s="172"/>
      <c r="N372" s="172"/>
      <c r="O372" s="358"/>
      <c r="P372" s="358"/>
      <c r="Q372" s="358"/>
      <c r="R372" s="378"/>
      <c r="S372" s="378"/>
      <c r="T372" s="8"/>
      <c r="U372" s="8"/>
      <c r="V372" s="8"/>
      <c r="W372" s="172"/>
      <c r="X372" s="172"/>
      <c r="Y372" s="8"/>
      <c r="Z372" s="8"/>
      <c r="AA372" s="8"/>
      <c r="AB372" s="172"/>
      <c r="AC372" s="172"/>
      <c r="AD372" s="8"/>
      <c r="AE372" s="8"/>
      <c r="AF372" s="8"/>
      <c r="AG372" s="172"/>
      <c r="AH372" s="172"/>
      <c r="AI372" s="367"/>
      <c r="AJ372" s="362"/>
      <c r="AK372" s="363" t="str">
        <f>IFERROR(__xludf.DUMMYFUNCTION("IFERROR(if(D374&lt;&gt;"""", 
  AVERAGE(
    QUERY(
      IMPORTRANGE(""1-uH1wy6jSm5jYL9je6fN1K5RJ5QMvHntodEHZRtIvTk"", ""All Data!N2:U""),
      ""select Col8 where Col1 = '"" &amp; D374 &amp; ""' and Col8 is not null"",
      0
    )
  )/100,
""""),
  """"
)
"),"")</f>
        <v/>
      </c>
    </row>
    <row r="373">
      <c r="D373" s="172"/>
      <c r="E373" s="368"/>
      <c r="F373" s="368"/>
      <c r="G373" s="368"/>
      <c r="H373" s="172"/>
      <c r="I373" s="172"/>
      <c r="J373" s="172"/>
      <c r="K373" s="172"/>
      <c r="L373" s="172"/>
      <c r="M373" s="172"/>
      <c r="N373" s="172"/>
      <c r="O373" s="358"/>
      <c r="P373" s="358"/>
      <c r="Q373" s="358"/>
      <c r="R373" s="378"/>
      <c r="S373" s="378"/>
      <c r="T373" s="8"/>
      <c r="U373" s="8"/>
      <c r="V373" s="8"/>
      <c r="W373" s="172"/>
      <c r="X373" s="172"/>
      <c r="Y373" s="8"/>
      <c r="Z373" s="8"/>
      <c r="AA373" s="8"/>
      <c r="AB373" s="172"/>
      <c r="AC373" s="172"/>
      <c r="AD373" s="8"/>
      <c r="AE373" s="8"/>
      <c r="AF373" s="8"/>
      <c r="AG373" s="172"/>
      <c r="AH373" s="172"/>
      <c r="AI373" s="367"/>
      <c r="AJ373" s="362"/>
      <c r="AK373" s="363" t="str">
        <f>IFERROR(__xludf.DUMMYFUNCTION("IFERROR(if(D375&lt;&gt;"""", 
  AVERAGE(
    QUERY(
      IMPORTRANGE(""1-uH1wy6jSm5jYL9je6fN1K5RJ5QMvHntodEHZRtIvTk"", ""All Data!N2:U""),
      ""select Col8 where Col1 = '"" &amp; D375 &amp; ""' and Col8 is not null"",
      0
    )
  )/100,
""""),
  """"
)
"),"")</f>
        <v/>
      </c>
    </row>
    <row r="374">
      <c r="D374" s="172"/>
      <c r="E374" s="368"/>
      <c r="F374" s="368"/>
      <c r="G374" s="368"/>
      <c r="H374" s="172"/>
      <c r="I374" s="172"/>
      <c r="J374" s="172"/>
      <c r="K374" s="172"/>
      <c r="L374" s="172"/>
      <c r="M374" s="172"/>
      <c r="N374" s="172"/>
      <c r="O374" s="358"/>
      <c r="P374" s="358"/>
      <c r="Q374" s="358"/>
      <c r="R374" s="378"/>
      <c r="S374" s="378"/>
      <c r="T374" s="8"/>
      <c r="U374" s="8"/>
      <c r="V374" s="8"/>
      <c r="W374" s="172"/>
      <c r="X374" s="172"/>
      <c r="Y374" s="8"/>
      <c r="Z374" s="8"/>
      <c r="AA374" s="8"/>
      <c r="AB374" s="172"/>
      <c r="AC374" s="172"/>
      <c r="AD374" s="8"/>
      <c r="AE374" s="8"/>
      <c r="AF374" s="8"/>
      <c r="AG374" s="172"/>
      <c r="AH374" s="172"/>
      <c r="AI374" s="367"/>
      <c r="AJ374" s="362"/>
      <c r="AK374" s="363" t="str">
        <f>IFERROR(__xludf.DUMMYFUNCTION("IFERROR(if(D376&lt;&gt;"""", 
  AVERAGE(
    QUERY(
      IMPORTRANGE(""1-uH1wy6jSm5jYL9je6fN1K5RJ5QMvHntodEHZRtIvTk"", ""All Data!N2:U""),
      ""select Col8 where Col1 = '"" &amp; D376 &amp; ""' and Col8 is not null"",
      0
    )
  )/100,
""""),
  """"
)
"),"")</f>
        <v/>
      </c>
    </row>
    <row r="375">
      <c r="D375" s="172"/>
      <c r="E375" s="368"/>
      <c r="F375" s="368"/>
      <c r="G375" s="368"/>
      <c r="H375" s="172"/>
      <c r="I375" s="172"/>
      <c r="J375" s="172"/>
      <c r="K375" s="172"/>
      <c r="L375" s="172"/>
      <c r="M375" s="172"/>
      <c r="N375" s="172"/>
      <c r="O375" s="358"/>
      <c r="P375" s="358"/>
      <c r="Q375" s="358"/>
      <c r="R375" s="378"/>
      <c r="S375" s="378"/>
      <c r="T375" s="8"/>
      <c r="U375" s="8"/>
      <c r="V375" s="8"/>
      <c r="W375" s="172"/>
      <c r="X375" s="172"/>
      <c r="Y375" s="8"/>
      <c r="Z375" s="8"/>
      <c r="AA375" s="8"/>
      <c r="AB375" s="172"/>
      <c r="AC375" s="172"/>
      <c r="AD375" s="8"/>
      <c r="AE375" s="8"/>
      <c r="AF375" s="8"/>
      <c r="AG375" s="172"/>
      <c r="AH375" s="172"/>
      <c r="AI375" s="367"/>
      <c r="AJ375" s="362"/>
      <c r="AK375" s="363" t="str">
        <f>IFERROR(__xludf.DUMMYFUNCTION("IFERROR(if(D377&lt;&gt;"""", 
  AVERAGE(
    QUERY(
      IMPORTRANGE(""1-uH1wy6jSm5jYL9je6fN1K5RJ5QMvHntodEHZRtIvTk"", ""All Data!N2:U""),
      ""select Col8 where Col1 = '"" &amp; D377 &amp; ""' and Col8 is not null"",
      0
    )
  )/100,
""""),
  """"
)
"),"")</f>
        <v/>
      </c>
    </row>
    <row r="376">
      <c r="D376" s="172"/>
      <c r="E376" s="368"/>
      <c r="F376" s="368"/>
      <c r="G376" s="368"/>
      <c r="H376" s="172"/>
      <c r="I376" s="172"/>
      <c r="J376" s="172"/>
      <c r="K376" s="172"/>
      <c r="L376" s="172"/>
      <c r="M376" s="172"/>
      <c r="N376" s="172"/>
      <c r="O376" s="358"/>
      <c r="P376" s="358"/>
      <c r="Q376" s="358"/>
      <c r="R376" s="378"/>
      <c r="S376" s="378"/>
      <c r="T376" s="8"/>
      <c r="U376" s="8"/>
      <c r="V376" s="8"/>
      <c r="W376" s="172"/>
      <c r="X376" s="172"/>
      <c r="Y376" s="8"/>
      <c r="Z376" s="8"/>
      <c r="AA376" s="8"/>
      <c r="AB376" s="172"/>
      <c r="AC376" s="172"/>
      <c r="AD376" s="8"/>
      <c r="AE376" s="8"/>
      <c r="AF376" s="8"/>
      <c r="AG376" s="172"/>
      <c r="AH376" s="172"/>
      <c r="AI376" s="367"/>
      <c r="AJ376" s="362"/>
      <c r="AK376" s="363" t="str">
        <f>IFERROR(__xludf.DUMMYFUNCTION("IFERROR(if(D378&lt;&gt;"""", 
  AVERAGE(
    QUERY(
      IMPORTRANGE(""1-uH1wy6jSm5jYL9je6fN1K5RJ5QMvHntodEHZRtIvTk"", ""All Data!N2:U""),
      ""select Col8 where Col1 = '"" &amp; D378 &amp; ""' and Col8 is not null"",
      0
    )
  )/100,
""""),
  """"
)
"),"")</f>
        <v/>
      </c>
    </row>
    <row r="377">
      <c r="D377" s="172"/>
      <c r="E377" s="368"/>
      <c r="F377" s="368"/>
      <c r="G377" s="368"/>
      <c r="H377" s="172"/>
      <c r="I377" s="172"/>
      <c r="J377" s="172"/>
      <c r="K377" s="172"/>
      <c r="L377" s="172"/>
      <c r="M377" s="172"/>
      <c r="N377" s="172"/>
      <c r="O377" s="358"/>
      <c r="P377" s="358"/>
      <c r="Q377" s="358"/>
      <c r="R377" s="378"/>
      <c r="S377" s="378"/>
      <c r="T377" s="8"/>
      <c r="U377" s="8"/>
      <c r="V377" s="8"/>
      <c r="W377" s="172"/>
      <c r="X377" s="172"/>
      <c r="Y377" s="8"/>
      <c r="Z377" s="8"/>
      <c r="AA377" s="8"/>
      <c r="AB377" s="172"/>
      <c r="AC377" s="172"/>
      <c r="AD377" s="8"/>
      <c r="AE377" s="8"/>
      <c r="AF377" s="8"/>
      <c r="AG377" s="172"/>
      <c r="AH377" s="172"/>
      <c r="AI377" s="367"/>
      <c r="AJ377" s="362"/>
      <c r="AK377" s="363" t="str">
        <f>IFERROR(__xludf.DUMMYFUNCTION("IFERROR(if(D379&lt;&gt;"""", 
  AVERAGE(
    QUERY(
      IMPORTRANGE(""1-uH1wy6jSm5jYL9je6fN1K5RJ5QMvHntodEHZRtIvTk"", ""All Data!N2:U""),
      ""select Col8 where Col1 = '"" &amp; D379 &amp; ""' and Col8 is not null"",
      0
    )
  )/100,
""""),
  """"
)
"),"")</f>
        <v/>
      </c>
    </row>
    <row r="378">
      <c r="D378" s="172"/>
      <c r="E378" s="368"/>
      <c r="F378" s="368"/>
      <c r="G378" s="368"/>
      <c r="H378" s="172"/>
      <c r="I378" s="172"/>
      <c r="J378" s="172"/>
      <c r="K378" s="172"/>
      <c r="L378" s="172"/>
      <c r="M378" s="172"/>
      <c r="N378" s="172"/>
      <c r="O378" s="358"/>
      <c r="P378" s="358"/>
      <c r="Q378" s="358"/>
      <c r="R378" s="378"/>
      <c r="S378" s="378"/>
      <c r="T378" s="8"/>
      <c r="U378" s="8"/>
      <c r="V378" s="8"/>
      <c r="W378" s="172"/>
      <c r="X378" s="172"/>
      <c r="Y378" s="8"/>
      <c r="Z378" s="8"/>
      <c r="AA378" s="8"/>
      <c r="AB378" s="172"/>
      <c r="AC378" s="172"/>
      <c r="AD378" s="8"/>
      <c r="AE378" s="8"/>
      <c r="AF378" s="8"/>
      <c r="AG378" s="172"/>
      <c r="AH378" s="172"/>
      <c r="AI378" s="367"/>
      <c r="AJ378" s="362"/>
      <c r="AK378" s="363" t="str">
        <f>IFERROR(__xludf.DUMMYFUNCTION("IFERROR(if(D380&lt;&gt;"""", 
  AVERAGE(
    QUERY(
      IMPORTRANGE(""1-uH1wy6jSm5jYL9je6fN1K5RJ5QMvHntodEHZRtIvTk"", ""All Data!N2:U""),
      ""select Col8 where Col1 = '"" &amp; D380 &amp; ""' and Col8 is not null"",
      0
    )
  )/100,
""""),
  """"
)
"),"")</f>
        <v/>
      </c>
    </row>
    <row r="379">
      <c r="D379" s="172"/>
      <c r="E379" s="368"/>
      <c r="F379" s="368"/>
      <c r="G379" s="368"/>
      <c r="H379" s="172"/>
      <c r="I379" s="172"/>
      <c r="J379" s="172"/>
      <c r="K379" s="172"/>
      <c r="L379" s="172"/>
      <c r="M379" s="172"/>
      <c r="N379" s="172"/>
      <c r="O379" s="358"/>
      <c r="P379" s="358"/>
      <c r="Q379" s="358"/>
      <c r="R379" s="378"/>
      <c r="S379" s="378"/>
      <c r="T379" s="8"/>
      <c r="U379" s="8"/>
      <c r="V379" s="8"/>
      <c r="W379" s="172"/>
      <c r="X379" s="172"/>
      <c r="Y379" s="8"/>
      <c r="Z379" s="8"/>
      <c r="AA379" s="8"/>
      <c r="AB379" s="172"/>
      <c r="AC379" s="172"/>
      <c r="AD379" s="8"/>
      <c r="AE379" s="8"/>
      <c r="AF379" s="8"/>
      <c r="AG379" s="172"/>
      <c r="AH379" s="172"/>
      <c r="AI379" s="367"/>
      <c r="AJ379" s="362"/>
      <c r="AK379" s="363" t="str">
        <f>IFERROR(__xludf.DUMMYFUNCTION("IFERROR(if(D381&lt;&gt;"""", 
  AVERAGE(
    QUERY(
      IMPORTRANGE(""1-uH1wy6jSm5jYL9je6fN1K5RJ5QMvHntodEHZRtIvTk"", ""All Data!N2:U""),
      ""select Col8 where Col1 = '"" &amp; D381 &amp; ""' and Col8 is not null"",
      0
    )
  )/100,
""""),
  """"
)
"),"")</f>
        <v/>
      </c>
    </row>
    <row r="380">
      <c r="D380" s="172"/>
      <c r="E380" s="368"/>
      <c r="F380" s="368"/>
      <c r="G380" s="368"/>
      <c r="H380" s="172"/>
      <c r="I380" s="172"/>
      <c r="J380" s="172"/>
      <c r="K380" s="172"/>
      <c r="L380" s="172"/>
      <c r="M380" s="172"/>
      <c r="N380" s="172"/>
      <c r="O380" s="358"/>
      <c r="P380" s="358"/>
      <c r="Q380" s="358"/>
      <c r="R380" s="378"/>
      <c r="S380" s="378"/>
      <c r="T380" s="8"/>
      <c r="U380" s="8"/>
      <c r="V380" s="8"/>
      <c r="W380" s="172"/>
      <c r="X380" s="172"/>
      <c r="Y380" s="8"/>
      <c r="Z380" s="8"/>
      <c r="AA380" s="8"/>
      <c r="AB380" s="172"/>
      <c r="AC380" s="172"/>
      <c r="AD380" s="8"/>
      <c r="AE380" s="8"/>
      <c r="AF380" s="8"/>
      <c r="AG380" s="172"/>
      <c r="AH380" s="172"/>
      <c r="AI380" s="367"/>
      <c r="AJ380" s="362"/>
      <c r="AK380" s="363" t="str">
        <f>IFERROR(__xludf.DUMMYFUNCTION("IFERROR(if(D382&lt;&gt;"""", 
  AVERAGE(
    QUERY(
      IMPORTRANGE(""1-uH1wy6jSm5jYL9je6fN1K5RJ5QMvHntodEHZRtIvTk"", ""All Data!N2:U""),
      ""select Col8 where Col1 = '"" &amp; D382 &amp; ""' and Col8 is not null"",
      0
    )
  )/100,
""""),
  """"
)
"),"")</f>
        <v/>
      </c>
    </row>
    <row r="381">
      <c r="D381" s="172"/>
      <c r="E381" s="368"/>
      <c r="F381" s="368"/>
      <c r="G381" s="368"/>
      <c r="H381" s="172"/>
      <c r="I381" s="172"/>
      <c r="J381" s="172"/>
      <c r="K381" s="172"/>
      <c r="L381" s="172"/>
      <c r="M381" s="172"/>
      <c r="N381" s="172"/>
      <c r="O381" s="358"/>
      <c r="P381" s="358"/>
      <c r="Q381" s="358"/>
      <c r="R381" s="378"/>
      <c r="S381" s="378"/>
      <c r="T381" s="8"/>
      <c r="U381" s="8"/>
      <c r="V381" s="8"/>
      <c r="W381" s="172"/>
      <c r="X381" s="172"/>
      <c r="Y381" s="8"/>
      <c r="Z381" s="8"/>
      <c r="AA381" s="8"/>
      <c r="AB381" s="172"/>
      <c r="AC381" s="172"/>
      <c r="AD381" s="8"/>
      <c r="AE381" s="8"/>
      <c r="AF381" s="8"/>
      <c r="AG381" s="172"/>
      <c r="AH381" s="172"/>
      <c r="AI381" s="367"/>
      <c r="AJ381" s="362"/>
      <c r="AK381" s="363" t="str">
        <f>IFERROR(__xludf.DUMMYFUNCTION("IFERROR(if(D383&lt;&gt;"""", 
  AVERAGE(
    QUERY(
      IMPORTRANGE(""1-uH1wy6jSm5jYL9je6fN1K5RJ5QMvHntodEHZRtIvTk"", ""All Data!N2:U""),
      ""select Col8 where Col1 = '"" &amp; D383 &amp; ""' and Col8 is not null"",
      0
    )
  )/100,
""""),
  """"
)
"),"")</f>
        <v/>
      </c>
    </row>
    <row r="382">
      <c r="D382" s="172"/>
      <c r="E382" s="368"/>
      <c r="F382" s="368"/>
      <c r="G382" s="368"/>
      <c r="H382" s="172"/>
      <c r="I382" s="172"/>
      <c r="J382" s="172"/>
      <c r="K382" s="172"/>
      <c r="L382" s="172"/>
      <c r="M382" s="172"/>
      <c r="N382" s="172"/>
      <c r="O382" s="358"/>
      <c r="P382" s="358"/>
      <c r="Q382" s="358"/>
      <c r="R382" s="378"/>
      <c r="S382" s="378"/>
      <c r="T382" s="8"/>
      <c r="U382" s="8"/>
      <c r="V382" s="8"/>
      <c r="W382" s="172"/>
      <c r="X382" s="172"/>
      <c r="Y382" s="8"/>
      <c r="Z382" s="8"/>
      <c r="AA382" s="8"/>
      <c r="AB382" s="172"/>
      <c r="AC382" s="172"/>
      <c r="AD382" s="8"/>
      <c r="AE382" s="8"/>
      <c r="AF382" s="8"/>
      <c r="AG382" s="172"/>
      <c r="AH382" s="172"/>
      <c r="AI382" s="367"/>
      <c r="AJ382" s="362"/>
      <c r="AK382" s="363" t="str">
        <f>IFERROR(__xludf.DUMMYFUNCTION("IFERROR(if(D384&lt;&gt;"""", 
  AVERAGE(
    QUERY(
      IMPORTRANGE(""1-uH1wy6jSm5jYL9je6fN1K5RJ5QMvHntodEHZRtIvTk"", ""All Data!N2:U""),
      ""select Col8 where Col1 = '"" &amp; D384 &amp; ""' and Col8 is not null"",
      0
    )
  )/100,
""""),
  """"
)
"),"")</f>
        <v/>
      </c>
    </row>
    <row r="383">
      <c r="D383" s="172"/>
      <c r="E383" s="368"/>
      <c r="F383" s="368"/>
      <c r="G383" s="368"/>
      <c r="H383" s="172"/>
      <c r="I383" s="172"/>
      <c r="J383" s="172"/>
      <c r="K383" s="172"/>
      <c r="L383" s="172"/>
      <c r="M383" s="172"/>
      <c r="N383" s="172"/>
      <c r="O383" s="358"/>
      <c r="P383" s="358"/>
      <c r="Q383" s="358"/>
      <c r="R383" s="378"/>
      <c r="S383" s="378"/>
      <c r="T383" s="8"/>
      <c r="U383" s="8"/>
      <c r="V383" s="8"/>
      <c r="W383" s="172"/>
      <c r="X383" s="172"/>
      <c r="Y383" s="8"/>
      <c r="Z383" s="8"/>
      <c r="AA383" s="8"/>
      <c r="AB383" s="172"/>
      <c r="AC383" s="172"/>
      <c r="AD383" s="8"/>
      <c r="AE383" s="8"/>
      <c r="AF383" s="8"/>
      <c r="AG383" s="172"/>
      <c r="AH383" s="172"/>
      <c r="AI383" s="367"/>
      <c r="AJ383" s="362"/>
      <c r="AK383" s="363" t="str">
        <f>IFERROR(__xludf.DUMMYFUNCTION("IFERROR(if(D385&lt;&gt;"""", 
  AVERAGE(
    QUERY(
      IMPORTRANGE(""1-uH1wy6jSm5jYL9je6fN1K5RJ5QMvHntodEHZRtIvTk"", ""All Data!N2:U""),
      ""select Col8 where Col1 = '"" &amp; D385 &amp; ""' and Col8 is not null"",
      0
    )
  )/100,
""""),
  """"
)
"),"")</f>
        <v/>
      </c>
    </row>
    <row r="384">
      <c r="D384" s="172"/>
      <c r="E384" s="368"/>
      <c r="F384" s="368"/>
      <c r="G384" s="368"/>
      <c r="H384" s="172"/>
      <c r="I384" s="172"/>
      <c r="J384" s="172"/>
      <c r="K384" s="172"/>
      <c r="L384" s="172"/>
      <c r="M384" s="172"/>
      <c r="N384" s="172"/>
      <c r="O384" s="358"/>
      <c r="P384" s="358"/>
      <c r="Q384" s="358"/>
      <c r="R384" s="378"/>
      <c r="S384" s="378"/>
      <c r="T384" s="8"/>
      <c r="U384" s="8"/>
      <c r="V384" s="8"/>
      <c r="W384" s="172"/>
      <c r="X384" s="172"/>
      <c r="Y384" s="8"/>
      <c r="Z384" s="8"/>
      <c r="AA384" s="8"/>
      <c r="AB384" s="172"/>
      <c r="AC384" s="172"/>
      <c r="AD384" s="8"/>
      <c r="AE384" s="8"/>
      <c r="AF384" s="8"/>
      <c r="AG384" s="172"/>
      <c r="AH384" s="172"/>
      <c r="AI384" s="367"/>
      <c r="AJ384" s="362"/>
      <c r="AK384" s="363" t="str">
        <f>IFERROR(__xludf.DUMMYFUNCTION("IFERROR(if(D386&lt;&gt;"""", 
  AVERAGE(
    QUERY(
      IMPORTRANGE(""1-uH1wy6jSm5jYL9je6fN1K5RJ5QMvHntodEHZRtIvTk"", ""All Data!N2:U""),
      ""select Col8 where Col1 = '"" &amp; D386 &amp; ""' and Col8 is not null"",
      0
    )
  )/100,
""""),
  """"
)
"),"")</f>
        <v/>
      </c>
    </row>
    <row r="385">
      <c r="D385" s="172"/>
      <c r="E385" s="368"/>
      <c r="F385" s="368"/>
      <c r="G385" s="368"/>
      <c r="H385" s="172"/>
      <c r="I385" s="172"/>
      <c r="J385" s="172"/>
      <c r="K385" s="172"/>
      <c r="L385" s="172"/>
      <c r="M385" s="172"/>
      <c r="N385" s="172"/>
      <c r="O385" s="358"/>
      <c r="P385" s="358"/>
      <c r="Q385" s="358"/>
      <c r="R385" s="378"/>
      <c r="S385" s="378"/>
      <c r="T385" s="8"/>
      <c r="U385" s="8"/>
      <c r="V385" s="8"/>
      <c r="W385" s="172"/>
      <c r="X385" s="172"/>
      <c r="Y385" s="8"/>
      <c r="Z385" s="8"/>
      <c r="AA385" s="8"/>
      <c r="AB385" s="172"/>
      <c r="AC385" s="172"/>
      <c r="AD385" s="8"/>
      <c r="AE385" s="8"/>
      <c r="AF385" s="8"/>
      <c r="AG385" s="172"/>
      <c r="AH385" s="172"/>
      <c r="AI385" s="367"/>
      <c r="AJ385" s="362"/>
      <c r="AK385" s="363" t="str">
        <f>IFERROR(__xludf.DUMMYFUNCTION("IFERROR(if(D387&lt;&gt;"""", 
  AVERAGE(
    QUERY(
      IMPORTRANGE(""1-uH1wy6jSm5jYL9je6fN1K5RJ5QMvHntodEHZRtIvTk"", ""All Data!N2:U""),
      ""select Col8 where Col1 = '"" &amp; D387 &amp; ""' and Col8 is not null"",
      0
    )
  )/100,
""""),
  """"
)
"),"")</f>
        <v/>
      </c>
    </row>
    <row r="386">
      <c r="D386" s="172"/>
      <c r="E386" s="368"/>
      <c r="F386" s="368"/>
      <c r="G386" s="368"/>
      <c r="H386" s="172"/>
      <c r="I386" s="172"/>
      <c r="J386" s="172"/>
      <c r="K386" s="172"/>
      <c r="L386" s="172"/>
      <c r="M386" s="172"/>
      <c r="N386" s="172"/>
      <c r="O386" s="358"/>
      <c r="P386" s="358"/>
      <c r="Q386" s="358"/>
      <c r="R386" s="378"/>
      <c r="S386" s="378"/>
      <c r="T386" s="8"/>
      <c r="U386" s="8"/>
      <c r="V386" s="8"/>
      <c r="W386" s="172"/>
      <c r="X386" s="172"/>
      <c r="Y386" s="8"/>
      <c r="Z386" s="8"/>
      <c r="AA386" s="8"/>
      <c r="AB386" s="172"/>
      <c r="AC386" s="172"/>
      <c r="AD386" s="8"/>
      <c r="AE386" s="8"/>
      <c r="AF386" s="8"/>
      <c r="AG386" s="172"/>
      <c r="AH386" s="172"/>
      <c r="AI386" s="367"/>
      <c r="AJ386" s="362"/>
      <c r="AK386" s="363" t="str">
        <f>IFERROR(__xludf.DUMMYFUNCTION("IFERROR(if(D388&lt;&gt;"""", 
  AVERAGE(
    QUERY(
      IMPORTRANGE(""1-uH1wy6jSm5jYL9je6fN1K5RJ5QMvHntodEHZRtIvTk"", ""All Data!N2:U""),
      ""select Col8 where Col1 = '"" &amp; D388 &amp; ""' and Col8 is not null"",
      0
    )
  )/100,
""""),
  """"
)
"),"")</f>
        <v/>
      </c>
    </row>
    <row r="387">
      <c r="D387" s="172"/>
      <c r="E387" s="368"/>
      <c r="F387" s="368"/>
      <c r="G387" s="368"/>
      <c r="H387" s="172"/>
      <c r="I387" s="172"/>
      <c r="J387" s="172"/>
      <c r="K387" s="172"/>
      <c r="L387" s="172"/>
      <c r="M387" s="172"/>
      <c r="N387" s="172"/>
      <c r="O387" s="358"/>
      <c r="P387" s="358"/>
      <c r="Q387" s="358"/>
      <c r="R387" s="378"/>
      <c r="S387" s="378"/>
      <c r="T387" s="8"/>
      <c r="U387" s="8"/>
      <c r="V387" s="8"/>
      <c r="W387" s="172"/>
      <c r="X387" s="172"/>
      <c r="Y387" s="8"/>
      <c r="Z387" s="8"/>
      <c r="AA387" s="8"/>
      <c r="AB387" s="172"/>
      <c r="AC387" s="172"/>
      <c r="AD387" s="8"/>
      <c r="AE387" s="8"/>
      <c r="AF387" s="8"/>
      <c r="AG387" s="172"/>
      <c r="AH387" s="172"/>
      <c r="AI387" s="367"/>
      <c r="AJ387" s="362"/>
      <c r="AK387" s="363" t="str">
        <f>IFERROR(__xludf.DUMMYFUNCTION("IFERROR(if(D389&lt;&gt;"""", 
  AVERAGE(
    QUERY(
      IMPORTRANGE(""1-uH1wy6jSm5jYL9je6fN1K5RJ5QMvHntodEHZRtIvTk"", ""All Data!N2:U""),
      ""select Col8 where Col1 = '"" &amp; D389 &amp; ""' and Col8 is not null"",
      0
    )
  )/100,
""""),
  """"
)
"),"")</f>
        <v/>
      </c>
    </row>
    <row r="388">
      <c r="D388" s="172"/>
      <c r="E388" s="368"/>
      <c r="F388" s="368"/>
      <c r="G388" s="368"/>
      <c r="H388" s="172"/>
      <c r="I388" s="172"/>
      <c r="J388" s="172"/>
      <c r="K388" s="172"/>
      <c r="L388" s="172"/>
      <c r="M388" s="172"/>
      <c r="N388" s="172"/>
      <c r="O388" s="358"/>
      <c r="P388" s="358"/>
      <c r="Q388" s="358"/>
      <c r="R388" s="378"/>
      <c r="S388" s="378"/>
      <c r="T388" s="8"/>
      <c r="U388" s="8"/>
      <c r="V388" s="8"/>
      <c r="W388" s="172"/>
      <c r="X388" s="172"/>
      <c r="Y388" s="8"/>
      <c r="Z388" s="8"/>
      <c r="AA388" s="8"/>
      <c r="AB388" s="172"/>
      <c r="AC388" s="172"/>
      <c r="AD388" s="8"/>
      <c r="AE388" s="8"/>
      <c r="AF388" s="8"/>
      <c r="AG388" s="172"/>
      <c r="AH388" s="172"/>
      <c r="AI388" s="367"/>
      <c r="AJ388" s="362"/>
      <c r="AK388" s="363" t="str">
        <f>IFERROR(__xludf.DUMMYFUNCTION("IFERROR(if(D390&lt;&gt;"""", 
  AVERAGE(
    QUERY(
      IMPORTRANGE(""1-uH1wy6jSm5jYL9je6fN1K5RJ5QMvHntodEHZRtIvTk"", ""All Data!N2:U""),
      ""select Col8 where Col1 = '"" &amp; D390 &amp; ""' and Col8 is not null"",
      0
    )
  )/100,
""""),
  """"
)
"),"")</f>
        <v/>
      </c>
    </row>
    <row r="389">
      <c r="D389" s="172"/>
      <c r="E389" s="368"/>
      <c r="F389" s="368"/>
      <c r="G389" s="368"/>
      <c r="H389" s="172"/>
      <c r="I389" s="172"/>
      <c r="J389" s="172"/>
      <c r="K389" s="172"/>
      <c r="L389" s="172"/>
      <c r="M389" s="172"/>
      <c r="N389" s="172"/>
      <c r="O389" s="358"/>
      <c r="P389" s="358"/>
      <c r="Q389" s="358"/>
      <c r="R389" s="378"/>
      <c r="S389" s="378"/>
      <c r="T389" s="8"/>
      <c r="U389" s="8"/>
      <c r="V389" s="8"/>
      <c r="W389" s="172"/>
      <c r="X389" s="172"/>
      <c r="Y389" s="8"/>
      <c r="Z389" s="8"/>
      <c r="AA389" s="8"/>
      <c r="AB389" s="172"/>
      <c r="AC389" s="172"/>
      <c r="AD389" s="8"/>
      <c r="AE389" s="8"/>
      <c r="AF389" s="8"/>
      <c r="AG389" s="172"/>
      <c r="AH389" s="172"/>
      <c r="AI389" s="367"/>
      <c r="AJ389" s="362"/>
      <c r="AK389" s="363" t="str">
        <f>IFERROR(__xludf.DUMMYFUNCTION("IFERROR(if(D391&lt;&gt;"""", 
  AVERAGE(
    QUERY(
      IMPORTRANGE(""1-uH1wy6jSm5jYL9je6fN1K5RJ5QMvHntodEHZRtIvTk"", ""All Data!N2:U""),
      ""select Col8 where Col1 = '"" &amp; D391 &amp; ""' and Col8 is not null"",
      0
    )
  )/100,
""""),
  """"
)
"),"")</f>
        <v/>
      </c>
    </row>
    <row r="390">
      <c r="D390" s="172"/>
      <c r="E390" s="368"/>
      <c r="F390" s="368"/>
      <c r="G390" s="368"/>
      <c r="H390" s="172"/>
      <c r="I390" s="172"/>
      <c r="J390" s="172"/>
      <c r="K390" s="172"/>
      <c r="L390" s="172"/>
      <c r="M390" s="172"/>
      <c r="N390" s="172"/>
      <c r="O390" s="358"/>
      <c r="P390" s="358"/>
      <c r="Q390" s="358"/>
      <c r="R390" s="378"/>
      <c r="S390" s="378"/>
      <c r="T390" s="8"/>
      <c r="U390" s="8"/>
      <c r="V390" s="8"/>
      <c r="W390" s="172"/>
      <c r="X390" s="172"/>
      <c r="Y390" s="8"/>
      <c r="Z390" s="8"/>
      <c r="AA390" s="8"/>
      <c r="AB390" s="172"/>
      <c r="AC390" s="172"/>
      <c r="AD390" s="8"/>
      <c r="AE390" s="8"/>
      <c r="AF390" s="8"/>
      <c r="AG390" s="172"/>
      <c r="AH390" s="172"/>
      <c r="AI390" s="367"/>
      <c r="AJ390" s="362"/>
      <c r="AK390" s="363" t="str">
        <f>IFERROR(__xludf.DUMMYFUNCTION("IFERROR(if(D392&lt;&gt;"""", 
  AVERAGE(
    QUERY(
      IMPORTRANGE(""1-uH1wy6jSm5jYL9je6fN1K5RJ5QMvHntodEHZRtIvTk"", ""All Data!N2:U""),
      ""select Col8 where Col1 = '"" &amp; D392 &amp; ""' and Col8 is not null"",
      0
    )
  )/100,
""""),
  """"
)
"),"")</f>
        <v/>
      </c>
    </row>
    <row r="391">
      <c r="D391" s="172"/>
      <c r="E391" s="368"/>
      <c r="F391" s="368"/>
      <c r="G391" s="368"/>
      <c r="H391" s="172"/>
      <c r="I391" s="172"/>
      <c r="J391" s="172"/>
      <c r="K391" s="172"/>
      <c r="L391" s="172"/>
      <c r="M391" s="172"/>
      <c r="N391" s="172"/>
      <c r="O391" s="358"/>
      <c r="P391" s="358"/>
      <c r="Q391" s="358"/>
      <c r="R391" s="378"/>
      <c r="S391" s="378"/>
      <c r="T391" s="8"/>
      <c r="U391" s="8"/>
      <c r="V391" s="8"/>
      <c r="W391" s="172"/>
      <c r="X391" s="172"/>
      <c r="Y391" s="8"/>
      <c r="Z391" s="8"/>
      <c r="AA391" s="8"/>
      <c r="AB391" s="172"/>
      <c r="AC391" s="172"/>
      <c r="AD391" s="8"/>
      <c r="AE391" s="8"/>
      <c r="AF391" s="8"/>
      <c r="AG391" s="172"/>
      <c r="AH391" s="172"/>
      <c r="AI391" s="367"/>
      <c r="AJ391" s="362"/>
      <c r="AK391" s="363" t="str">
        <f>IFERROR(__xludf.DUMMYFUNCTION("IFERROR(if(D393&lt;&gt;"""", 
  AVERAGE(
    QUERY(
      IMPORTRANGE(""1-uH1wy6jSm5jYL9je6fN1K5RJ5QMvHntodEHZRtIvTk"", ""All Data!N2:U""),
      ""select Col8 where Col1 = '"" &amp; D393 &amp; ""' and Col8 is not null"",
      0
    )
  )/100,
""""),
  """"
)
"),"")</f>
        <v/>
      </c>
    </row>
    <row r="392">
      <c r="D392" s="172"/>
      <c r="E392" s="368"/>
      <c r="F392" s="368"/>
      <c r="G392" s="368"/>
      <c r="H392" s="172"/>
      <c r="I392" s="172"/>
      <c r="J392" s="172"/>
      <c r="K392" s="172"/>
      <c r="L392" s="172"/>
      <c r="M392" s="172"/>
      <c r="N392" s="172"/>
      <c r="O392" s="358"/>
      <c r="P392" s="358"/>
      <c r="Q392" s="358"/>
      <c r="R392" s="378"/>
      <c r="S392" s="378"/>
      <c r="T392" s="8"/>
      <c r="U392" s="8"/>
      <c r="V392" s="8"/>
      <c r="W392" s="172"/>
      <c r="X392" s="172"/>
      <c r="Y392" s="8"/>
      <c r="Z392" s="8"/>
      <c r="AA392" s="8"/>
      <c r="AB392" s="172"/>
      <c r="AC392" s="172"/>
      <c r="AD392" s="8"/>
      <c r="AE392" s="8"/>
      <c r="AF392" s="8"/>
      <c r="AG392" s="172"/>
      <c r="AH392" s="172"/>
      <c r="AI392" s="367"/>
      <c r="AJ392" s="362"/>
      <c r="AK392" s="363" t="str">
        <f>IFERROR(__xludf.DUMMYFUNCTION("IFERROR(if(D394&lt;&gt;"""", 
  AVERAGE(
    QUERY(
      IMPORTRANGE(""1-uH1wy6jSm5jYL9je6fN1K5RJ5QMvHntodEHZRtIvTk"", ""All Data!N2:U""),
      ""select Col8 where Col1 = '"" &amp; D394 &amp; ""' and Col8 is not null"",
      0
    )
  )/100,
""""),
  """"
)
"),"")</f>
        <v/>
      </c>
    </row>
    <row r="393">
      <c r="D393" s="172"/>
      <c r="E393" s="368"/>
      <c r="F393" s="368"/>
      <c r="G393" s="368"/>
      <c r="H393" s="172"/>
      <c r="I393" s="172"/>
      <c r="J393" s="172"/>
      <c r="K393" s="172"/>
      <c r="L393" s="172"/>
      <c r="M393" s="172"/>
      <c r="N393" s="172"/>
      <c r="O393" s="358"/>
      <c r="P393" s="358"/>
      <c r="Q393" s="358"/>
      <c r="R393" s="378"/>
      <c r="S393" s="378"/>
      <c r="T393" s="8"/>
      <c r="U393" s="8"/>
      <c r="V393" s="8"/>
      <c r="W393" s="172"/>
      <c r="X393" s="172"/>
      <c r="Y393" s="8"/>
      <c r="Z393" s="8"/>
      <c r="AA393" s="8"/>
      <c r="AB393" s="172"/>
      <c r="AC393" s="172"/>
      <c r="AD393" s="8"/>
      <c r="AE393" s="8"/>
      <c r="AF393" s="8"/>
      <c r="AG393" s="172"/>
      <c r="AH393" s="172"/>
      <c r="AI393" s="367"/>
      <c r="AJ393" s="362"/>
      <c r="AK393" s="363" t="str">
        <f>IFERROR(__xludf.DUMMYFUNCTION("IFERROR(if(D395&lt;&gt;"""", 
  AVERAGE(
    QUERY(
      IMPORTRANGE(""1-uH1wy6jSm5jYL9je6fN1K5RJ5QMvHntodEHZRtIvTk"", ""All Data!N2:U""),
      ""select Col8 where Col1 = '"" &amp; D395 &amp; ""' and Col8 is not null"",
      0
    )
  )/100,
""""),
  """"
)
"),"")</f>
        <v/>
      </c>
    </row>
    <row r="394">
      <c r="D394" s="172"/>
      <c r="E394" s="368"/>
      <c r="F394" s="368"/>
      <c r="G394" s="368"/>
      <c r="H394" s="172"/>
      <c r="I394" s="172"/>
      <c r="J394" s="172"/>
      <c r="K394" s="172"/>
      <c r="L394" s="172"/>
      <c r="M394" s="172"/>
      <c r="N394" s="172"/>
      <c r="O394" s="358"/>
      <c r="P394" s="358"/>
      <c r="Q394" s="358"/>
      <c r="R394" s="378"/>
      <c r="S394" s="378"/>
      <c r="T394" s="8"/>
      <c r="U394" s="8"/>
      <c r="V394" s="8"/>
      <c r="W394" s="172"/>
      <c r="X394" s="172"/>
      <c r="Y394" s="8"/>
      <c r="Z394" s="8"/>
      <c r="AA394" s="8"/>
      <c r="AB394" s="172"/>
      <c r="AC394" s="172"/>
      <c r="AD394" s="8"/>
      <c r="AE394" s="8"/>
      <c r="AF394" s="8"/>
      <c r="AG394" s="172"/>
      <c r="AH394" s="172"/>
      <c r="AI394" s="367"/>
      <c r="AJ394" s="362"/>
      <c r="AK394" s="363" t="str">
        <f>IFERROR(__xludf.DUMMYFUNCTION("IFERROR(if(D396&lt;&gt;"""", 
  AVERAGE(
    QUERY(
      IMPORTRANGE(""1-uH1wy6jSm5jYL9je6fN1K5RJ5QMvHntodEHZRtIvTk"", ""All Data!N2:U""),
      ""select Col8 where Col1 = '"" &amp; D396 &amp; ""' and Col8 is not null"",
      0
    )
  )/100,
""""),
  """"
)
"),"")</f>
        <v/>
      </c>
    </row>
    <row r="395">
      <c r="D395" s="172"/>
      <c r="E395" s="368"/>
      <c r="F395" s="368"/>
      <c r="G395" s="368"/>
      <c r="H395" s="172"/>
      <c r="I395" s="172"/>
      <c r="J395" s="172"/>
      <c r="K395" s="172"/>
      <c r="L395" s="172"/>
      <c r="M395" s="172"/>
      <c r="N395" s="172"/>
      <c r="O395" s="358"/>
      <c r="P395" s="358"/>
      <c r="Q395" s="358"/>
      <c r="R395" s="378"/>
      <c r="S395" s="378"/>
      <c r="T395" s="8"/>
      <c r="U395" s="8"/>
      <c r="V395" s="8"/>
      <c r="W395" s="172"/>
      <c r="X395" s="172"/>
      <c r="Y395" s="8"/>
      <c r="Z395" s="8"/>
      <c r="AA395" s="8"/>
      <c r="AB395" s="172"/>
      <c r="AC395" s="172"/>
      <c r="AD395" s="8"/>
      <c r="AE395" s="8"/>
      <c r="AF395" s="8"/>
      <c r="AG395" s="172"/>
      <c r="AH395" s="172"/>
      <c r="AI395" s="367"/>
      <c r="AJ395" s="362"/>
      <c r="AK395" s="363" t="str">
        <f>IFERROR(__xludf.DUMMYFUNCTION("IFERROR(if(D397&lt;&gt;"""", 
  AVERAGE(
    QUERY(
      IMPORTRANGE(""1-uH1wy6jSm5jYL9je6fN1K5RJ5QMvHntodEHZRtIvTk"", ""All Data!N2:U""),
      ""select Col8 where Col1 = '"" &amp; D397 &amp; ""' and Col8 is not null"",
      0
    )
  )/100,
""""),
  """"
)
"),"")</f>
        <v/>
      </c>
    </row>
    <row r="396">
      <c r="D396" s="172"/>
      <c r="E396" s="368"/>
      <c r="F396" s="368"/>
      <c r="G396" s="368"/>
      <c r="H396" s="172"/>
      <c r="I396" s="172"/>
      <c r="J396" s="172"/>
      <c r="K396" s="172"/>
      <c r="L396" s="172"/>
      <c r="M396" s="172"/>
      <c r="N396" s="172"/>
      <c r="O396" s="358"/>
      <c r="P396" s="358"/>
      <c r="Q396" s="358"/>
      <c r="R396" s="378"/>
      <c r="S396" s="378"/>
      <c r="T396" s="8"/>
      <c r="U396" s="8"/>
      <c r="V396" s="8"/>
      <c r="W396" s="172"/>
      <c r="X396" s="172"/>
      <c r="Y396" s="8"/>
      <c r="Z396" s="8"/>
      <c r="AA396" s="8"/>
      <c r="AB396" s="172"/>
      <c r="AC396" s="172"/>
      <c r="AD396" s="8"/>
      <c r="AE396" s="8"/>
      <c r="AF396" s="8"/>
      <c r="AG396" s="172"/>
      <c r="AH396" s="172"/>
      <c r="AI396" s="367"/>
      <c r="AJ396" s="362"/>
      <c r="AK396" s="363" t="str">
        <f>IFERROR(__xludf.DUMMYFUNCTION("IFERROR(if(D398&lt;&gt;"""", 
  AVERAGE(
    QUERY(
      IMPORTRANGE(""1-uH1wy6jSm5jYL9je6fN1K5RJ5QMvHntodEHZRtIvTk"", ""All Data!N2:U""),
      ""select Col8 where Col1 = '"" &amp; D398 &amp; ""' and Col8 is not null"",
      0
    )
  )/100,
""""),
  """"
)
"),"")</f>
        <v/>
      </c>
    </row>
    <row r="397">
      <c r="D397" s="172"/>
      <c r="E397" s="368"/>
      <c r="F397" s="368"/>
      <c r="G397" s="368"/>
      <c r="H397" s="172"/>
      <c r="I397" s="172"/>
      <c r="J397" s="172"/>
      <c r="K397" s="172"/>
      <c r="L397" s="172"/>
      <c r="M397" s="172"/>
      <c r="N397" s="172"/>
      <c r="O397" s="358"/>
      <c r="P397" s="358"/>
      <c r="Q397" s="358"/>
      <c r="R397" s="378"/>
      <c r="S397" s="378"/>
      <c r="T397" s="8"/>
      <c r="U397" s="8"/>
      <c r="V397" s="8"/>
      <c r="W397" s="172"/>
      <c r="X397" s="172"/>
      <c r="Y397" s="8"/>
      <c r="Z397" s="8"/>
      <c r="AA397" s="8"/>
      <c r="AB397" s="172"/>
      <c r="AC397" s="172"/>
      <c r="AD397" s="8"/>
      <c r="AE397" s="8"/>
      <c r="AF397" s="8"/>
      <c r="AG397" s="172"/>
      <c r="AH397" s="172"/>
      <c r="AI397" s="367"/>
      <c r="AJ397" s="362"/>
      <c r="AK397" s="363" t="str">
        <f>IFERROR(__xludf.DUMMYFUNCTION("IFERROR(if(D399&lt;&gt;"""", 
  AVERAGE(
    QUERY(
      IMPORTRANGE(""1-uH1wy6jSm5jYL9je6fN1K5RJ5QMvHntodEHZRtIvTk"", ""All Data!N2:U""),
      ""select Col8 where Col1 = '"" &amp; D399 &amp; ""' and Col8 is not null"",
      0
    )
  )/100,
""""),
  """"
)
"),"")</f>
        <v/>
      </c>
    </row>
    <row r="398">
      <c r="D398" s="172"/>
      <c r="E398" s="368"/>
      <c r="F398" s="368"/>
      <c r="G398" s="368"/>
      <c r="H398" s="172"/>
      <c r="I398" s="172"/>
      <c r="J398" s="172"/>
      <c r="K398" s="172"/>
      <c r="L398" s="172"/>
      <c r="M398" s="172"/>
      <c r="N398" s="172"/>
      <c r="O398" s="358"/>
      <c r="P398" s="358"/>
      <c r="Q398" s="358"/>
      <c r="R398" s="378"/>
      <c r="S398" s="378"/>
      <c r="T398" s="8"/>
      <c r="U398" s="8"/>
      <c r="V398" s="8"/>
      <c r="W398" s="172"/>
      <c r="X398" s="172"/>
      <c r="Y398" s="8"/>
      <c r="Z398" s="8"/>
      <c r="AA398" s="8"/>
      <c r="AB398" s="172"/>
      <c r="AC398" s="172"/>
      <c r="AD398" s="8"/>
      <c r="AE398" s="8"/>
      <c r="AF398" s="8"/>
      <c r="AG398" s="172"/>
      <c r="AH398" s="172"/>
      <c r="AI398" s="367"/>
      <c r="AJ398" s="362"/>
      <c r="AK398" s="363" t="str">
        <f>IFERROR(__xludf.DUMMYFUNCTION("IFERROR(if(D400&lt;&gt;"""", 
  AVERAGE(
    QUERY(
      IMPORTRANGE(""1-uH1wy6jSm5jYL9je6fN1K5RJ5QMvHntodEHZRtIvTk"", ""All Data!N2:U""),
      ""select Col8 where Col1 = '"" &amp; D400 &amp; ""' and Col8 is not null"",
      0
    )
  )/100,
""""),
  """"
)
"),"")</f>
        <v/>
      </c>
    </row>
    <row r="399">
      <c r="D399" s="172"/>
      <c r="E399" s="368"/>
      <c r="F399" s="368"/>
      <c r="G399" s="368"/>
      <c r="H399" s="172"/>
      <c r="I399" s="172"/>
      <c r="J399" s="172"/>
      <c r="K399" s="172"/>
      <c r="L399" s="172"/>
      <c r="M399" s="172"/>
      <c r="N399" s="172"/>
      <c r="O399" s="358"/>
      <c r="P399" s="358"/>
      <c r="Q399" s="358"/>
      <c r="R399" s="378"/>
      <c r="S399" s="378"/>
      <c r="T399" s="8"/>
      <c r="U399" s="8"/>
      <c r="V399" s="8"/>
      <c r="W399" s="172"/>
      <c r="X399" s="172"/>
      <c r="Y399" s="8"/>
      <c r="Z399" s="8"/>
      <c r="AA399" s="8"/>
      <c r="AB399" s="172"/>
      <c r="AC399" s="172"/>
      <c r="AD399" s="8"/>
      <c r="AE399" s="8"/>
      <c r="AF399" s="8"/>
      <c r="AG399" s="172"/>
      <c r="AH399" s="172"/>
      <c r="AI399" s="367"/>
      <c r="AJ399" s="362"/>
      <c r="AK399" s="363" t="str">
        <f>IFERROR(__xludf.DUMMYFUNCTION("IFERROR(if(D401&lt;&gt;"""", 
  AVERAGE(
    QUERY(
      IMPORTRANGE(""1-uH1wy6jSm5jYL9je6fN1K5RJ5QMvHntodEHZRtIvTk"", ""All Data!N2:U""),
      ""select Col8 where Col1 = '"" &amp; D401 &amp; ""' and Col8 is not null"",
      0
    )
  )/100,
""""),
  """"
)
"),"")</f>
        <v/>
      </c>
    </row>
    <row r="400">
      <c r="D400" s="172"/>
      <c r="E400" s="368"/>
      <c r="F400" s="368"/>
      <c r="G400" s="368"/>
      <c r="H400" s="172"/>
      <c r="I400" s="172"/>
      <c r="J400" s="172"/>
      <c r="K400" s="172"/>
      <c r="L400" s="172"/>
      <c r="M400" s="172"/>
      <c r="N400" s="172"/>
      <c r="O400" s="358"/>
      <c r="P400" s="358"/>
      <c r="Q400" s="358"/>
      <c r="R400" s="378"/>
      <c r="S400" s="378"/>
      <c r="T400" s="8"/>
      <c r="U400" s="8"/>
      <c r="V400" s="8"/>
      <c r="W400" s="172"/>
      <c r="X400" s="172"/>
      <c r="Y400" s="8"/>
      <c r="Z400" s="8"/>
      <c r="AA400" s="8"/>
      <c r="AB400" s="172"/>
      <c r="AC400" s="172"/>
      <c r="AD400" s="8"/>
      <c r="AE400" s="8"/>
      <c r="AF400" s="8"/>
      <c r="AG400" s="172"/>
      <c r="AH400" s="172"/>
      <c r="AI400" s="367"/>
      <c r="AJ400" s="362"/>
      <c r="AK400" s="363" t="str">
        <f>IFERROR(__xludf.DUMMYFUNCTION("IFERROR(if(D402&lt;&gt;"""", 
  AVERAGE(
    QUERY(
      IMPORTRANGE(""1-uH1wy6jSm5jYL9je6fN1K5RJ5QMvHntodEHZRtIvTk"", ""All Data!N2:U""),
      ""select Col8 where Col1 = '"" &amp; D402 &amp; ""' and Col8 is not null"",
      0
    )
  )/100,
""""),
  """"
)
"),"")</f>
        <v/>
      </c>
    </row>
    <row r="401">
      <c r="D401" s="172"/>
      <c r="E401" s="368"/>
      <c r="F401" s="368"/>
      <c r="G401" s="368"/>
      <c r="H401" s="172"/>
      <c r="I401" s="172"/>
      <c r="J401" s="172"/>
      <c r="K401" s="172"/>
      <c r="L401" s="172"/>
      <c r="M401" s="172"/>
      <c r="N401" s="172"/>
      <c r="O401" s="358"/>
      <c r="P401" s="358"/>
      <c r="Q401" s="358"/>
      <c r="R401" s="378"/>
      <c r="S401" s="378"/>
      <c r="T401" s="8"/>
      <c r="U401" s="8"/>
      <c r="V401" s="8"/>
      <c r="W401" s="172"/>
      <c r="X401" s="172"/>
      <c r="Y401" s="8"/>
      <c r="Z401" s="8"/>
      <c r="AA401" s="8"/>
      <c r="AB401" s="172"/>
      <c r="AC401" s="172"/>
      <c r="AD401" s="8"/>
      <c r="AE401" s="8"/>
      <c r="AF401" s="8"/>
      <c r="AG401" s="172"/>
      <c r="AH401" s="172"/>
      <c r="AI401" s="367"/>
      <c r="AJ401" s="362"/>
      <c r="AK401" s="363" t="str">
        <f>IFERROR(__xludf.DUMMYFUNCTION("IFERROR(if(D403&lt;&gt;"""", 
  AVERAGE(
    QUERY(
      IMPORTRANGE(""1-uH1wy6jSm5jYL9je6fN1K5RJ5QMvHntodEHZRtIvTk"", ""All Data!N2:U""),
      ""select Col8 where Col1 = '"" &amp; D403 &amp; ""' and Col8 is not null"",
      0
    )
  )/100,
""""),
  """"
)
"),"")</f>
        <v/>
      </c>
    </row>
    <row r="402">
      <c r="D402" s="172"/>
      <c r="E402" s="368"/>
      <c r="F402" s="368"/>
      <c r="G402" s="368"/>
      <c r="H402" s="172"/>
      <c r="I402" s="172"/>
      <c r="J402" s="172"/>
      <c r="K402" s="172"/>
      <c r="L402" s="172"/>
      <c r="M402" s="172"/>
      <c r="N402" s="172"/>
      <c r="O402" s="358"/>
      <c r="P402" s="358"/>
      <c r="Q402" s="358"/>
      <c r="R402" s="378"/>
      <c r="S402" s="378"/>
      <c r="T402" s="8"/>
      <c r="U402" s="8"/>
      <c r="V402" s="8"/>
      <c r="W402" s="172"/>
      <c r="X402" s="172"/>
      <c r="Y402" s="8"/>
      <c r="Z402" s="8"/>
      <c r="AA402" s="8"/>
      <c r="AB402" s="172"/>
      <c r="AC402" s="172"/>
      <c r="AD402" s="8"/>
      <c r="AE402" s="8"/>
      <c r="AF402" s="8"/>
      <c r="AG402" s="172"/>
      <c r="AH402" s="172"/>
      <c r="AI402" s="367"/>
      <c r="AJ402" s="362"/>
      <c r="AK402" s="363" t="str">
        <f>IFERROR(__xludf.DUMMYFUNCTION("IFERROR(if(D404&lt;&gt;"""", 
  AVERAGE(
    QUERY(
      IMPORTRANGE(""1-uH1wy6jSm5jYL9je6fN1K5RJ5QMvHntodEHZRtIvTk"", ""All Data!N2:U""),
      ""select Col8 where Col1 = '"" &amp; D404 &amp; ""' and Col8 is not null"",
      0
    )
  )/100,
""""),
  """"
)
"),"")</f>
        <v/>
      </c>
    </row>
    <row r="403">
      <c r="D403" s="172"/>
      <c r="E403" s="368"/>
      <c r="F403" s="368"/>
      <c r="G403" s="368"/>
      <c r="H403" s="172"/>
      <c r="I403" s="172"/>
      <c r="J403" s="172"/>
      <c r="K403" s="172"/>
      <c r="L403" s="172"/>
      <c r="M403" s="172"/>
      <c r="N403" s="172"/>
      <c r="O403" s="358"/>
      <c r="P403" s="358"/>
      <c r="Q403" s="358"/>
      <c r="R403" s="378"/>
      <c r="S403" s="378"/>
      <c r="T403" s="8"/>
      <c r="U403" s="8"/>
      <c r="V403" s="8"/>
      <c r="W403" s="172"/>
      <c r="X403" s="172"/>
      <c r="Y403" s="8"/>
      <c r="Z403" s="8"/>
      <c r="AA403" s="8"/>
      <c r="AB403" s="172"/>
      <c r="AC403" s="172"/>
      <c r="AD403" s="8"/>
      <c r="AE403" s="8"/>
      <c r="AF403" s="8"/>
      <c r="AG403" s="172"/>
      <c r="AH403" s="172"/>
      <c r="AI403" s="367"/>
      <c r="AJ403" s="362"/>
      <c r="AK403" s="363" t="str">
        <f>IFERROR(__xludf.DUMMYFUNCTION("IFERROR(if(D405&lt;&gt;"""", 
  AVERAGE(
    QUERY(
      IMPORTRANGE(""1-uH1wy6jSm5jYL9je6fN1K5RJ5QMvHntodEHZRtIvTk"", ""All Data!N2:U""),
      ""select Col8 where Col1 = '"" &amp; D405 &amp; ""' and Col8 is not null"",
      0
    )
  )/100,
""""),
  """"
)
"),"")</f>
        <v/>
      </c>
    </row>
    <row r="404">
      <c r="D404" s="172"/>
      <c r="E404" s="368"/>
      <c r="F404" s="368"/>
      <c r="G404" s="368"/>
      <c r="H404" s="172"/>
      <c r="I404" s="172"/>
      <c r="J404" s="172"/>
      <c r="K404" s="172"/>
      <c r="L404" s="172"/>
      <c r="M404" s="172"/>
      <c r="N404" s="172"/>
      <c r="O404" s="358"/>
      <c r="P404" s="358"/>
      <c r="Q404" s="358"/>
      <c r="R404" s="378"/>
      <c r="S404" s="378"/>
      <c r="T404" s="8"/>
      <c r="U404" s="8"/>
      <c r="V404" s="8"/>
      <c r="W404" s="172"/>
      <c r="X404" s="172"/>
      <c r="Y404" s="8"/>
      <c r="Z404" s="8"/>
      <c r="AA404" s="8"/>
      <c r="AB404" s="172"/>
      <c r="AC404" s="172"/>
      <c r="AD404" s="8"/>
      <c r="AE404" s="8"/>
      <c r="AF404" s="8"/>
      <c r="AG404" s="172"/>
      <c r="AH404" s="172"/>
      <c r="AI404" s="367"/>
      <c r="AJ404" s="362"/>
      <c r="AK404" s="363" t="str">
        <f>IFERROR(__xludf.DUMMYFUNCTION("IFERROR(if(D406&lt;&gt;"""", 
  AVERAGE(
    QUERY(
      IMPORTRANGE(""1-uH1wy6jSm5jYL9je6fN1K5RJ5QMvHntodEHZRtIvTk"", ""All Data!N2:U""),
      ""select Col8 where Col1 = '"" &amp; D406 &amp; ""' and Col8 is not null"",
      0
    )
  )/100,
""""),
  """"
)
"),"")</f>
        <v/>
      </c>
    </row>
    <row r="405">
      <c r="D405" s="172"/>
      <c r="E405" s="368"/>
      <c r="F405" s="368"/>
      <c r="G405" s="368"/>
      <c r="H405" s="172"/>
      <c r="I405" s="172"/>
      <c r="J405" s="172"/>
      <c r="K405" s="172"/>
      <c r="L405" s="172"/>
      <c r="M405" s="172"/>
      <c r="N405" s="172"/>
      <c r="O405" s="358"/>
      <c r="P405" s="358"/>
      <c r="Q405" s="358"/>
      <c r="R405" s="378"/>
      <c r="S405" s="378"/>
      <c r="T405" s="8"/>
      <c r="U405" s="8"/>
      <c r="V405" s="8"/>
      <c r="W405" s="172"/>
      <c r="X405" s="172"/>
      <c r="Y405" s="8"/>
      <c r="Z405" s="8"/>
      <c r="AA405" s="8"/>
      <c r="AB405" s="172"/>
      <c r="AC405" s="172"/>
      <c r="AD405" s="8"/>
      <c r="AE405" s="8"/>
      <c r="AF405" s="8"/>
      <c r="AG405" s="172"/>
      <c r="AH405" s="172"/>
      <c r="AI405" s="367"/>
      <c r="AJ405" s="362"/>
      <c r="AK405" s="363" t="str">
        <f>IFERROR(__xludf.DUMMYFUNCTION("IFERROR(if(D407&lt;&gt;"""", 
  AVERAGE(
    QUERY(
      IMPORTRANGE(""1-uH1wy6jSm5jYL9je6fN1K5RJ5QMvHntodEHZRtIvTk"", ""All Data!N2:U""),
      ""select Col8 where Col1 = '"" &amp; D407 &amp; ""' and Col8 is not null"",
      0
    )
  )/100,
""""),
  """"
)
"),"")</f>
        <v/>
      </c>
    </row>
    <row r="406">
      <c r="D406" s="172"/>
      <c r="E406" s="368"/>
      <c r="F406" s="368"/>
      <c r="G406" s="368"/>
      <c r="H406" s="172"/>
      <c r="I406" s="172"/>
      <c r="J406" s="172"/>
      <c r="K406" s="172"/>
      <c r="L406" s="172"/>
      <c r="M406" s="172"/>
      <c r="N406" s="172"/>
      <c r="O406" s="358"/>
      <c r="P406" s="358"/>
      <c r="Q406" s="358"/>
      <c r="R406" s="378"/>
      <c r="S406" s="378"/>
      <c r="T406" s="8"/>
      <c r="U406" s="8"/>
      <c r="V406" s="8"/>
      <c r="W406" s="172"/>
      <c r="X406" s="172"/>
      <c r="Y406" s="8"/>
      <c r="Z406" s="8"/>
      <c r="AA406" s="8"/>
      <c r="AB406" s="172"/>
      <c r="AC406" s="172"/>
      <c r="AD406" s="8"/>
      <c r="AE406" s="8"/>
      <c r="AF406" s="8"/>
      <c r="AG406" s="172"/>
      <c r="AH406" s="172"/>
      <c r="AI406" s="367"/>
      <c r="AJ406" s="362"/>
      <c r="AK406" s="363" t="str">
        <f>IFERROR(__xludf.DUMMYFUNCTION("IFERROR(if(D408&lt;&gt;"""", 
  AVERAGE(
    QUERY(
      IMPORTRANGE(""1-uH1wy6jSm5jYL9je6fN1K5RJ5QMvHntodEHZRtIvTk"", ""All Data!N2:U""),
      ""select Col8 where Col1 = '"" &amp; D408 &amp; ""' and Col8 is not null"",
      0
    )
  )/100,
""""),
  """"
)
"),"")</f>
        <v/>
      </c>
    </row>
    <row r="407">
      <c r="D407" s="172"/>
      <c r="E407" s="368"/>
      <c r="F407" s="368"/>
      <c r="G407" s="368"/>
      <c r="H407" s="172"/>
      <c r="I407" s="172"/>
      <c r="J407" s="172"/>
      <c r="K407" s="172"/>
      <c r="L407" s="172"/>
      <c r="M407" s="172"/>
      <c r="N407" s="172"/>
      <c r="O407" s="358"/>
      <c r="P407" s="358"/>
      <c r="Q407" s="358"/>
      <c r="R407" s="378"/>
      <c r="S407" s="378"/>
      <c r="T407" s="8"/>
      <c r="U407" s="8"/>
      <c r="V407" s="8"/>
      <c r="W407" s="172"/>
      <c r="X407" s="172"/>
      <c r="Y407" s="8"/>
      <c r="Z407" s="8"/>
      <c r="AA407" s="8"/>
      <c r="AB407" s="172"/>
      <c r="AC407" s="172"/>
      <c r="AD407" s="8"/>
      <c r="AE407" s="8"/>
      <c r="AF407" s="8"/>
      <c r="AG407" s="172"/>
      <c r="AH407" s="172"/>
      <c r="AI407" s="367"/>
      <c r="AJ407" s="362"/>
      <c r="AK407" s="363" t="str">
        <f>IFERROR(__xludf.DUMMYFUNCTION("IFERROR(if(D409&lt;&gt;"""", 
  AVERAGE(
    QUERY(
      IMPORTRANGE(""1-uH1wy6jSm5jYL9je6fN1K5RJ5QMvHntodEHZRtIvTk"", ""All Data!N2:U""),
      ""select Col8 where Col1 = '"" &amp; D409 &amp; ""' and Col8 is not null"",
      0
    )
  )/100,
""""),
  """"
)
"),"")</f>
        <v/>
      </c>
    </row>
    <row r="408">
      <c r="D408" s="172"/>
      <c r="E408" s="368"/>
      <c r="F408" s="368"/>
      <c r="G408" s="368"/>
      <c r="H408" s="172"/>
      <c r="I408" s="172"/>
      <c r="J408" s="172"/>
      <c r="K408" s="172"/>
      <c r="L408" s="172"/>
      <c r="M408" s="172"/>
      <c r="N408" s="172"/>
      <c r="O408" s="358"/>
      <c r="P408" s="358"/>
      <c r="Q408" s="358"/>
      <c r="R408" s="378"/>
      <c r="S408" s="378"/>
      <c r="T408" s="8"/>
      <c r="U408" s="8"/>
      <c r="V408" s="8"/>
      <c r="W408" s="172"/>
      <c r="X408" s="172"/>
      <c r="Y408" s="8"/>
      <c r="Z408" s="8"/>
      <c r="AA408" s="8"/>
      <c r="AB408" s="172"/>
      <c r="AC408" s="172"/>
      <c r="AD408" s="8"/>
      <c r="AE408" s="8"/>
      <c r="AF408" s="8"/>
      <c r="AG408" s="172"/>
      <c r="AH408" s="172"/>
      <c r="AI408" s="367"/>
      <c r="AJ408" s="362"/>
      <c r="AK408" s="363" t="str">
        <f>IFERROR(__xludf.DUMMYFUNCTION("IFERROR(if(D410&lt;&gt;"""", 
  AVERAGE(
    QUERY(
      IMPORTRANGE(""1-uH1wy6jSm5jYL9je6fN1K5RJ5QMvHntodEHZRtIvTk"", ""All Data!N2:U""),
      ""select Col8 where Col1 = '"" &amp; D410 &amp; ""' and Col8 is not null"",
      0
    )
  )/100,
""""),
  """"
)
"),"")</f>
        <v/>
      </c>
    </row>
    <row r="409">
      <c r="D409" s="172"/>
      <c r="E409" s="368"/>
      <c r="F409" s="368"/>
      <c r="G409" s="368"/>
      <c r="H409" s="172"/>
      <c r="I409" s="172"/>
      <c r="J409" s="172"/>
      <c r="K409" s="172"/>
      <c r="L409" s="172"/>
      <c r="M409" s="172"/>
      <c r="N409" s="172"/>
      <c r="O409" s="358"/>
      <c r="P409" s="358"/>
      <c r="Q409" s="358"/>
      <c r="R409" s="378"/>
      <c r="S409" s="378"/>
      <c r="T409" s="8"/>
      <c r="U409" s="8"/>
      <c r="V409" s="8"/>
      <c r="W409" s="172"/>
      <c r="X409" s="172"/>
      <c r="Y409" s="8"/>
      <c r="Z409" s="8"/>
      <c r="AA409" s="8"/>
      <c r="AB409" s="172"/>
      <c r="AC409" s="172"/>
      <c r="AD409" s="8"/>
      <c r="AE409" s="8"/>
      <c r="AF409" s="8"/>
      <c r="AG409" s="172"/>
      <c r="AH409" s="172"/>
      <c r="AI409" s="367"/>
      <c r="AJ409" s="362"/>
      <c r="AK409" s="363" t="str">
        <f>IFERROR(__xludf.DUMMYFUNCTION("IFERROR(if(D411&lt;&gt;"""", 
  AVERAGE(
    QUERY(
      IMPORTRANGE(""1-uH1wy6jSm5jYL9je6fN1K5RJ5QMvHntodEHZRtIvTk"", ""All Data!N2:U""),
      ""select Col8 where Col1 = '"" &amp; D411 &amp; ""' and Col8 is not null"",
      0
    )
  )/100,
""""),
  """"
)
"),"")</f>
        <v/>
      </c>
    </row>
    <row r="410">
      <c r="D410" s="172"/>
      <c r="E410" s="368"/>
      <c r="F410" s="368"/>
      <c r="G410" s="368"/>
      <c r="H410" s="172"/>
      <c r="I410" s="172"/>
      <c r="J410" s="172"/>
      <c r="K410" s="172"/>
      <c r="L410" s="172"/>
      <c r="M410" s="172"/>
      <c r="N410" s="172"/>
      <c r="O410" s="358"/>
      <c r="P410" s="358"/>
      <c r="Q410" s="358"/>
      <c r="R410" s="378"/>
      <c r="S410" s="378"/>
      <c r="T410" s="8"/>
      <c r="U410" s="8"/>
      <c r="V410" s="8"/>
      <c r="W410" s="172"/>
      <c r="X410" s="172"/>
      <c r="Y410" s="8"/>
      <c r="Z410" s="8"/>
      <c r="AA410" s="8"/>
      <c r="AB410" s="172"/>
      <c r="AC410" s="172"/>
      <c r="AD410" s="8"/>
      <c r="AE410" s="8"/>
      <c r="AF410" s="8"/>
      <c r="AG410" s="172"/>
      <c r="AH410" s="172"/>
      <c r="AI410" s="367"/>
      <c r="AJ410" s="362"/>
      <c r="AK410" s="363" t="str">
        <f>IFERROR(__xludf.DUMMYFUNCTION("IFERROR(if(D412&lt;&gt;"""", 
  AVERAGE(
    QUERY(
      IMPORTRANGE(""1-uH1wy6jSm5jYL9je6fN1K5RJ5QMvHntodEHZRtIvTk"", ""All Data!N2:U""),
      ""select Col8 where Col1 = '"" &amp; D412 &amp; ""' and Col8 is not null"",
      0
    )
  )/100,
""""),
  """"
)
"),"")</f>
        <v/>
      </c>
    </row>
    <row r="411">
      <c r="D411" s="172"/>
      <c r="E411" s="368"/>
      <c r="F411" s="368"/>
      <c r="G411" s="368"/>
      <c r="H411" s="172"/>
      <c r="I411" s="172"/>
      <c r="J411" s="172"/>
      <c r="K411" s="172"/>
      <c r="L411" s="172"/>
      <c r="M411" s="172"/>
      <c r="N411" s="172"/>
      <c r="O411" s="358"/>
      <c r="P411" s="358"/>
      <c r="Q411" s="358"/>
      <c r="R411" s="378"/>
      <c r="S411" s="378"/>
      <c r="T411" s="8"/>
      <c r="U411" s="8"/>
      <c r="V411" s="8"/>
      <c r="W411" s="172"/>
      <c r="X411" s="172"/>
      <c r="Y411" s="8"/>
      <c r="Z411" s="8"/>
      <c r="AA411" s="8"/>
      <c r="AB411" s="172"/>
      <c r="AC411" s="172"/>
      <c r="AD411" s="8"/>
      <c r="AE411" s="8"/>
      <c r="AF411" s="8"/>
      <c r="AG411" s="172"/>
      <c r="AH411" s="172"/>
      <c r="AI411" s="367"/>
      <c r="AJ411" s="362"/>
      <c r="AK411" s="363" t="str">
        <f>IFERROR(__xludf.DUMMYFUNCTION("IFERROR(if(D413&lt;&gt;"""", 
  AVERAGE(
    QUERY(
      IMPORTRANGE(""1-uH1wy6jSm5jYL9je6fN1K5RJ5QMvHntodEHZRtIvTk"", ""All Data!N2:U""),
      ""select Col8 where Col1 = '"" &amp; D413 &amp; ""' and Col8 is not null"",
      0
    )
  )/100,
""""),
  """"
)
"),"")</f>
        <v/>
      </c>
    </row>
    <row r="412">
      <c r="D412" s="172"/>
      <c r="E412" s="368"/>
      <c r="F412" s="368"/>
      <c r="G412" s="368"/>
      <c r="H412" s="172"/>
      <c r="I412" s="172"/>
      <c r="J412" s="172"/>
      <c r="K412" s="172"/>
      <c r="L412" s="172"/>
      <c r="M412" s="172"/>
      <c r="N412" s="172"/>
      <c r="O412" s="358"/>
      <c r="P412" s="358"/>
      <c r="Q412" s="358"/>
      <c r="R412" s="378"/>
      <c r="S412" s="378"/>
      <c r="T412" s="8"/>
      <c r="U412" s="8"/>
      <c r="V412" s="8"/>
      <c r="W412" s="172"/>
      <c r="X412" s="172"/>
      <c r="Y412" s="8"/>
      <c r="Z412" s="8"/>
      <c r="AA412" s="8"/>
      <c r="AB412" s="172"/>
      <c r="AC412" s="172"/>
      <c r="AD412" s="8"/>
      <c r="AE412" s="8"/>
      <c r="AF412" s="8"/>
      <c r="AG412" s="172"/>
      <c r="AH412" s="172"/>
      <c r="AI412" s="367"/>
      <c r="AJ412" s="362"/>
      <c r="AK412" s="363" t="str">
        <f>IFERROR(__xludf.DUMMYFUNCTION("IFERROR(if(D414&lt;&gt;"""", 
  AVERAGE(
    QUERY(
      IMPORTRANGE(""1-uH1wy6jSm5jYL9je6fN1K5RJ5QMvHntodEHZRtIvTk"", ""All Data!N2:U""),
      ""select Col8 where Col1 = '"" &amp; D414 &amp; ""' and Col8 is not null"",
      0
    )
  )/100,
""""),
  """"
)
"),"")</f>
        <v/>
      </c>
    </row>
    <row r="413">
      <c r="D413" s="172"/>
      <c r="E413" s="368"/>
      <c r="F413" s="368"/>
      <c r="G413" s="368"/>
      <c r="H413" s="172"/>
      <c r="I413" s="172"/>
      <c r="J413" s="172"/>
      <c r="K413" s="172"/>
      <c r="L413" s="172"/>
      <c r="M413" s="172"/>
      <c r="N413" s="172"/>
      <c r="O413" s="358"/>
      <c r="P413" s="358"/>
      <c r="Q413" s="358"/>
      <c r="R413" s="378"/>
      <c r="S413" s="378"/>
      <c r="T413" s="8"/>
      <c r="U413" s="8"/>
      <c r="V413" s="8"/>
      <c r="W413" s="172"/>
      <c r="X413" s="172"/>
      <c r="Y413" s="8"/>
      <c r="Z413" s="8"/>
      <c r="AA413" s="8"/>
      <c r="AB413" s="172"/>
      <c r="AC413" s="172"/>
      <c r="AD413" s="8"/>
      <c r="AE413" s="8"/>
      <c r="AF413" s="8"/>
      <c r="AG413" s="172"/>
      <c r="AH413" s="172"/>
      <c r="AI413" s="367"/>
      <c r="AJ413" s="362"/>
      <c r="AK413" s="363" t="str">
        <f>IFERROR(__xludf.DUMMYFUNCTION("IFERROR(if(D415&lt;&gt;"""", 
  AVERAGE(
    QUERY(
      IMPORTRANGE(""1-uH1wy6jSm5jYL9je6fN1K5RJ5QMvHntodEHZRtIvTk"", ""All Data!N2:U""),
      ""select Col8 where Col1 = '"" &amp; D415 &amp; ""' and Col8 is not null"",
      0
    )
  )/100,
""""),
  """"
)
"),"")</f>
        <v/>
      </c>
    </row>
    <row r="414">
      <c r="D414" s="172"/>
      <c r="E414" s="368"/>
      <c r="F414" s="368"/>
      <c r="G414" s="368"/>
      <c r="H414" s="172"/>
      <c r="I414" s="172"/>
      <c r="J414" s="172"/>
      <c r="K414" s="172"/>
      <c r="L414" s="172"/>
      <c r="M414" s="172"/>
      <c r="N414" s="172"/>
      <c r="O414" s="358"/>
      <c r="P414" s="358"/>
      <c r="Q414" s="358"/>
      <c r="R414" s="378"/>
      <c r="S414" s="378"/>
      <c r="T414" s="8"/>
      <c r="U414" s="8"/>
      <c r="V414" s="8"/>
      <c r="W414" s="172"/>
      <c r="X414" s="172"/>
      <c r="Y414" s="8"/>
      <c r="Z414" s="8"/>
      <c r="AA414" s="8"/>
      <c r="AB414" s="172"/>
      <c r="AC414" s="172"/>
      <c r="AD414" s="8"/>
      <c r="AE414" s="8"/>
      <c r="AF414" s="8"/>
      <c r="AG414" s="172"/>
      <c r="AH414" s="172"/>
      <c r="AI414" s="367"/>
      <c r="AJ414" s="362"/>
      <c r="AK414" s="363" t="str">
        <f>IFERROR(__xludf.DUMMYFUNCTION("IFERROR(if(D416&lt;&gt;"""", 
  AVERAGE(
    QUERY(
      IMPORTRANGE(""1-uH1wy6jSm5jYL9je6fN1K5RJ5QMvHntodEHZRtIvTk"", ""All Data!N2:U""),
      ""select Col8 where Col1 = '"" &amp; D416 &amp; ""' and Col8 is not null"",
      0
    )
  )/100,
""""),
  """"
)
"),"")</f>
        <v/>
      </c>
    </row>
    <row r="415">
      <c r="D415" s="172"/>
      <c r="E415" s="368"/>
      <c r="F415" s="368"/>
      <c r="G415" s="368"/>
      <c r="H415" s="172"/>
      <c r="I415" s="172"/>
      <c r="J415" s="172"/>
      <c r="K415" s="172"/>
      <c r="L415" s="172"/>
      <c r="M415" s="172"/>
      <c r="N415" s="172"/>
      <c r="O415" s="358"/>
      <c r="P415" s="358"/>
      <c r="Q415" s="358"/>
      <c r="R415" s="378"/>
      <c r="S415" s="378"/>
      <c r="T415" s="8"/>
      <c r="U415" s="8"/>
      <c r="V415" s="8"/>
      <c r="W415" s="172"/>
      <c r="X415" s="172"/>
      <c r="Y415" s="8"/>
      <c r="Z415" s="8"/>
      <c r="AA415" s="8"/>
      <c r="AB415" s="172"/>
      <c r="AC415" s="172"/>
      <c r="AD415" s="8"/>
      <c r="AE415" s="8"/>
      <c r="AF415" s="8"/>
      <c r="AG415" s="172"/>
      <c r="AH415" s="172"/>
      <c r="AI415" s="367"/>
      <c r="AJ415" s="362"/>
      <c r="AK415" s="363" t="str">
        <f>IFERROR(__xludf.DUMMYFUNCTION("IFERROR(if(D417&lt;&gt;"""", 
  AVERAGE(
    QUERY(
      IMPORTRANGE(""1-uH1wy6jSm5jYL9je6fN1K5RJ5QMvHntodEHZRtIvTk"", ""All Data!N2:U""),
      ""select Col8 where Col1 = '"" &amp; D417 &amp; ""' and Col8 is not null"",
      0
    )
  )/100,
""""),
  """"
)
"),"")</f>
        <v/>
      </c>
    </row>
    <row r="416">
      <c r="D416" s="172"/>
      <c r="E416" s="368"/>
      <c r="F416" s="368"/>
      <c r="G416" s="368"/>
      <c r="H416" s="172"/>
      <c r="I416" s="172"/>
      <c r="J416" s="172"/>
      <c r="K416" s="172"/>
      <c r="L416" s="172"/>
      <c r="M416" s="172"/>
      <c r="N416" s="172"/>
      <c r="O416" s="358"/>
      <c r="P416" s="358"/>
      <c r="Q416" s="358"/>
      <c r="R416" s="378"/>
      <c r="S416" s="378"/>
      <c r="T416" s="8"/>
      <c r="U416" s="8"/>
      <c r="V416" s="8"/>
      <c r="W416" s="172"/>
      <c r="X416" s="172"/>
      <c r="Y416" s="8"/>
      <c r="Z416" s="8"/>
      <c r="AA416" s="8"/>
      <c r="AB416" s="172"/>
      <c r="AC416" s="172"/>
      <c r="AD416" s="8"/>
      <c r="AE416" s="8"/>
      <c r="AF416" s="8"/>
      <c r="AG416" s="172"/>
      <c r="AH416" s="172"/>
      <c r="AI416" s="367"/>
      <c r="AJ416" s="362"/>
      <c r="AK416" s="363" t="str">
        <f>IFERROR(__xludf.DUMMYFUNCTION("IFERROR(if(D418&lt;&gt;"""", 
  AVERAGE(
    QUERY(
      IMPORTRANGE(""1-uH1wy6jSm5jYL9je6fN1K5RJ5QMvHntodEHZRtIvTk"", ""All Data!N2:U""),
      ""select Col8 where Col1 = '"" &amp; D418 &amp; ""' and Col8 is not null"",
      0
    )
  )/100,
""""),
  """"
)
"),"")</f>
        <v/>
      </c>
    </row>
    <row r="417">
      <c r="D417" s="172"/>
      <c r="E417" s="368"/>
      <c r="F417" s="368"/>
      <c r="G417" s="368"/>
      <c r="H417" s="172"/>
      <c r="I417" s="172"/>
      <c r="J417" s="172"/>
      <c r="K417" s="172"/>
      <c r="L417" s="172"/>
      <c r="M417" s="172"/>
      <c r="N417" s="172"/>
      <c r="O417" s="358"/>
      <c r="P417" s="358"/>
      <c r="Q417" s="358"/>
      <c r="R417" s="378"/>
      <c r="S417" s="378"/>
      <c r="T417" s="8"/>
      <c r="U417" s="8"/>
      <c r="V417" s="8"/>
      <c r="W417" s="172"/>
      <c r="X417" s="172"/>
      <c r="Y417" s="8"/>
      <c r="Z417" s="8"/>
      <c r="AA417" s="8"/>
      <c r="AB417" s="172"/>
      <c r="AC417" s="172"/>
      <c r="AD417" s="8"/>
      <c r="AE417" s="8"/>
      <c r="AF417" s="8"/>
      <c r="AG417" s="172"/>
      <c r="AH417" s="172"/>
      <c r="AI417" s="367"/>
      <c r="AJ417" s="362"/>
      <c r="AK417" s="363" t="str">
        <f>IFERROR(__xludf.DUMMYFUNCTION("IFERROR(if(D419&lt;&gt;"""", 
  AVERAGE(
    QUERY(
      IMPORTRANGE(""1-uH1wy6jSm5jYL9je6fN1K5RJ5QMvHntodEHZRtIvTk"", ""All Data!N2:U""),
      ""select Col8 where Col1 = '"" &amp; D419 &amp; ""' and Col8 is not null"",
      0
    )
  )/100,
""""),
  """"
)
"),"")</f>
        <v/>
      </c>
    </row>
    <row r="418">
      <c r="D418" s="172"/>
      <c r="E418" s="368"/>
      <c r="F418" s="368"/>
      <c r="G418" s="368"/>
      <c r="H418" s="172"/>
      <c r="I418" s="172"/>
      <c r="J418" s="172"/>
      <c r="K418" s="172"/>
      <c r="L418" s="172"/>
      <c r="M418" s="172"/>
      <c r="N418" s="172"/>
      <c r="O418" s="358"/>
      <c r="P418" s="358"/>
      <c r="Q418" s="358"/>
      <c r="R418" s="378"/>
      <c r="S418" s="378"/>
      <c r="T418" s="8"/>
      <c r="U418" s="8"/>
      <c r="V418" s="8"/>
      <c r="W418" s="172"/>
      <c r="X418" s="172"/>
      <c r="Y418" s="8"/>
      <c r="Z418" s="8"/>
      <c r="AA418" s="8"/>
      <c r="AB418" s="172"/>
      <c r="AC418" s="172"/>
      <c r="AD418" s="8"/>
      <c r="AE418" s="8"/>
      <c r="AF418" s="8"/>
      <c r="AG418" s="172"/>
      <c r="AH418" s="172"/>
      <c r="AI418" s="367"/>
      <c r="AJ418" s="362"/>
      <c r="AK418" s="363" t="str">
        <f>IFERROR(__xludf.DUMMYFUNCTION("IFERROR(if(D420&lt;&gt;"""", 
  AVERAGE(
    QUERY(
      IMPORTRANGE(""1-uH1wy6jSm5jYL9je6fN1K5RJ5QMvHntodEHZRtIvTk"", ""All Data!N2:U""),
      ""select Col8 where Col1 = '"" &amp; D420 &amp; ""' and Col8 is not null"",
      0
    )
  )/100,
""""),
  """"
)
"),"")</f>
        <v/>
      </c>
    </row>
    <row r="419">
      <c r="D419" s="172"/>
      <c r="E419" s="368"/>
      <c r="F419" s="368"/>
      <c r="G419" s="368"/>
      <c r="H419" s="172"/>
      <c r="I419" s="172"/>
      <c r="J419" s="172"/>
      <c r="K419" s="172"/>
      <c r="L419" s="172"/>
      <c r="M419" s="172"/>
      <c r="N419" s="172"/>
      <c r="O419" s="358"/>
      <c r="P419" s="358"/>
      <c r="Q419" s="358"/>
      <c r="R419" s="378"/>
      <c r="S419" s="378"/>
      <c r="T419" s="8"/>
      <c r="U419" s="8"/>
      <c r="V419" s="8"/>
      <c r="W419" s="172"/>
      <c r="X419" s="172"/>
      <c r="Y419" s="8"/>
      <c r="Z419" s="8"/>
      <c r="AA419" s="8"/>
      <c r="AB419" s="172"/>
      <c r="AC419" s="172"/>
      <c r="AD419" s="8"/>
      <c r="AE419" s="8"/>
      <c r="AF419" s="8"/>
      <c r="AG419" s="172"/>
      <c r="AH419" s="172"/>
      <c r="AI419" s="367"/>
      <c r="AJ419" s="362"/>
      <c r="AK419" s="363" t="str">
        <f>IFERROR(__xludf.DUMMYFUNCTION("IFERROR(if(D421&lt;&gt;"""", 
  AVERAGE(
    QUERY(
      IMPORTRANGE(""1-uH1wy6jSm5jYL9je6fN1K5RJ5QMvHntodEHZRtIvTk"", ""All Data!N2:U""),
      ""select Col8 where Col1 = '"" &amp; D421 &amp; ""' and Col8 is not null"",
      0
    )
  )/100,
""""),
  """"
)
"),"")</f>
        <v/>
      </c>
    </row>
    <row r="420">
      <c r="D420" s="172"/>
      <c r="E420" s="368"/>
      <c r="F420" s="368"/>
      <c r="G420" s="368"/>
      <c r="H420" s="172"/>
      <c r="I420" s="172"/>
      <c r="J420" s="172"/>
      <c r="K420" s="172"/>
      <c r="L420" s="172"/>
      <c r="M420" s="172"/>
      <c r="N420" s="172"/>
      <c r="O420" s="358"/>
      <c r="P420" s="358"/>
      <c r="Q420" s="358"/>
      <c r="R420" s="378"/>
      <c r="S420" s="378"/>
      <c r="T420" s="8"/>
      <c r="U420" s="8"/>
      <c r="V420" s="8"/>
      <c r="W420" s="172"/>
      <c r="X420" s="172"/>
      <c r="Y420" s="8"/>
      <c r="Z420" s="8"/>
      <c r="AA420" s="8"/>
      <c r="AB420" s="172"/>
      <c r="AC420" s="172"/>
      <c r="AD420" s="8"/>
      <c r="AE420" s="8"/>
      <c r="AF420" s="8"/>
      <c r="AG420" s="172"/>
      <c r="AH420" s="172"/>
      <c r="AI420" s="367"/>
      <c r="AJ420" s="362"/>
      <c r="AK420" s="363" t="str">
        <f>IFERROR(__xludf.DUMMYFUNCTION("IFERROR(if(D422&lt;&gt;"""", 
  AVERAGE(
    QUERY(
      IMPORTRANGE(""1-uH1wy6jSm5jYL9je6fN1K5RJ5QMvHntodEHZRtIvTk"", ""All Data!N2:U""),
      ""select Col8 where Col1 = '"" &amp; D422 &amp; ""' and Col8 is not null"",
      0
    )
  )/100,
""""),
  """"
)
"),"")</f>
        <v/>
      </c>
    </row>
    <row r="421">
      <c r="D421" s="172"/>
      <c r="E421" s="368"/>
      <c r="F421" s="368"/>
      <c r="G421" s="368"/>
      <c r="H421" s="172"/>
      <c r="I421" s="172"/>
      <c r="J421" s="172"/>
      <c r="K421" s="172"/>
      <c r="L421" s="172"/>
      <c r="M421" s="172"/>
      <c r="N421" s="172"/>
      <c r="O421" s="358"/>
      <c r="P421" s="358"/>
      <c r="Q421" s="358"/>
      <c r="R421" s="378"/>
      <c r="S421" s="378"/>
      <c r="T421" s="8"/>
      <c r="U421" s="8"/>
      <c r="V421" s="8"/>
      <c r="W421" s="172"/>
      <c r="X421" s="172"/>
      <c r="Y421" s="8"/>
      <c r="Z421" s="8"/>
      <c r="AA421" s="8"/>
      <c r="AB421" s="172"/>
      <c r="AC421" s="172"/>
      <c r="AD421" s="8"/>
      <c r="AE421" s="8"/>
      <c r="AF421" s="8"/>
      <c r="AG421" s="172"/>
      <c r="AH421" s="172"/>
      <c r="AI421" s="367"/>
      <c r="AJ421" s="362"/>
      <c r="AK421" s="363" t="str">
        <f>IFERROR(__xludf.DUMMYFUNCTION("IFERROR(if(D423&lt;&gt;"""", 
  AVERAGE(
    QUERY(
      IMPORTRANGE(""1-uH1wy6jSm5jYL9je6fN1K5RJ5QMvHntodEHZRtIvTk"", ""All Data!N2:U""),
      ""select Col8 where Col1 = '"" &amp; D423 &amp; ""' and Col8 is not null"",
      0
    )
  )/100,
""""),
  """"
)
"),"")</f>
        <v/>
      </c>
    </row>
    <row r="422">
      <c r="D422" s="172"/>
      <c r="E422" s="368"/>
      <c r="F422" s="368"/>
      <c r="G422" s="368"/>
      <c r="H422" s="172"/>
      <c r="I422" s="172"/>
      <c r="J422" s="172"/>
      <c r="K422" s="172"/>
      <c r="L422" s="172"/>
      <c r="M422" s="172"/>
      <c r="N422" s="172"/>
      <c r="O422" s="358"/>
      <c r="P422" s="358"/>
      <c r="Q422" s="358"/>
      <c r="R422" s="378"/>
      <c r="S422" s="378"/>
      <c r="T422" s="8"/>
      <c r="U422" s="8"/>
      <c r="V422" s="8"/>
      <c r="W422" s="172"/>
      <c r="X422" s="172"/>
      <c r="Y422" s="8"/>
      <c r="Z422" s="8"/>
      <c r="AA422" s="8"/>
      <c r="AB422" s="172"/>
      <c r="AC422" s="172"/>
      <c r="AD422" s="8"/>
      <c r="AE422" s="8"/>
      <c r="AF422" s="8"/>
      <c r="AG422" s="172"/>
      <c r="AH422" s="172"/>
      <c r="AI422" s="367"/>
      <c r="AJ422" s="362"/>
      <c r="AK422" s="363" t="str">
        <f>IFERROR(__xludf.DUMMYFUNCTION("IFERROR(if(D424&lt;&gt;"""", 
  AVERAGE(
    QUERY(
      IMPORTRANGE(""1-uH1wy6jSm5jYL9je6fN1K5RJ5QMvHntodEHZRtIvTk"", ""All Data!N2:U""),
      ""select Col8 where Col1 = '"" &amp; D424 &amp; ""' and Col8 is not null"",
      0
    )
  )/100,
""""),
  """"
)
"),"")</f>
        <v/>
      </c>
    </row>
    <row r="423">
      <c r="D423" s="172"/>
      <c r="E423" s="368"/>
      <c r="F423" s="368"/>
      <c r="G423" s="368"/>
      <c r="H423" s="172"/>
      <c r="I423" s="172"/>
      <c r="J423" s="172"/>
      <c r="K423" s="172"/>
      <c r="L423" s="172"/>
      <c r="M423" s="172"/>
      <c r="N423" s="172"/>
      <c r="O423" s="358"/>
      <c r="P423" s="358"/>
      <c r="Q423" s="358"/>
      <c r="R423" s="378"/>
      <c r="S423" s="378"/>
      <c r="T423" s="8"/>
      <c r="U423" s="8"/>
      <c r="V423" s="8"/>
      <c r="W423" s="172"/>
      <c r="X423" s="172"/>
      <c r="Y423" s="8"/>
      <c r="Z423" s="8"/>
      <c r="AA423" s="8"/>
      <c r="AB423" s="172"/>
      <c r="AC423" s="172"/>
      <c r="AD423" s="8"/>
      <c r="AE423" s="8"/>
      <c r="AF423" s="8"/>
      <c r="AG423" s="172"/>
      <c r="AH423" s="172"/>
      <c r="AI423" s="367"/>
      <c r="AJ423" s="362"/>
      <c r="AK423" s="363" t="str">
        <f>IFERROR(__xludf.DUMMYFUNCTION("IFERROR(if(D425&lt;&gt;"""", 
  AVERAGE(
    QUERY(
      IMPORTRANGE(""1-uH1wy6jSm5jYL9je6fN1K5RJ5QMvHntodEHZRtIvTk"", ""All Data!N2:U""),
      ""select Col8 where Col1 = '"" &amp; D425 &amp; ""' and Col8 is not null"",
      0
    )
  )/100,
""""),
  """"
)
"),"")</f>
        <v/>
      </c>
    </row>
    <row r="424">
      <c r="D424" s="172"/>
      <c r="E424" s="368"/>
      <c r="F424" s="368"/>
      <c r="G424" s="368"/>
      <c r="H424" s="172"/>
      <c r="I424" s="172"/>
      <c r="J424" s="172"/>
      <c r="K424" s="172"/>
      <c r="L424" s="172"/>
      <c r="M424" s="172"/>
      <c r="N424" s="172"/>
      <c r="O424" s="358"/>
      <c r="P424" s="358"/>
      <c r="Q424" s="358"/>
      <c r="R424" s="378"/>
      <c r="S424" s="378"/>
      <c r="T424" s="8"/>
      <c r="U424" s="8"/>
      <c r="V424" s="8"/>
      <c r="W424" s="172"/>
      <c r="X424" s="172"/>
      <c r="Y424" s="8"/>
      <c r="Z424" s="8"/>
      <c r="AA424" s="8"/>
      <c r="AB424" s="172"/>
      <c r="AC424" s="172"/>
      <c r="AD424" s="8"/>
      <c r="AE424" s="8"/>
      <c r="AF424" s="8"/>
      <c r="AG424" s="172"/>
      <c r="AH424" s="172"/>
      <c r="AI424" s="367"/>
      <c r="AJ424" s="362"/>
      <c r="AK424" s="363" t="str">
        <f>IFERROR(__xludf.DUMMYFUNCTION("IFERROR(if(D426&lt;&gt;"""", 
  AVERAGE(
    QUERY(
      IMPORTRANGE(""1-uH1wy6jSm5jYL9je6fN1K5RJ5QMvHntodEHZRtIvTk"", ""All Data!N2:U""),
      ""select Col8 where Col1 = '"" &amp; D426 &amp; ""' and Col8 is not null"",
      0
    )
  )/100,
""""),
  """"
)
"),"")</f>
        <v/>
      </c>
    </row>
    <row r="425">
      <c r="D425" s="172"/>
      <c r="E425" s="368"/>
      <c r="F425" s="368"/>
      <c r="G425" s="368"/>
      <c r="H425" s="172"/>
      <c r="I425" s="172"/>
      <c r="J425" s="172"/>
      <c r="K425" s="172"/>
      <c r="L425" s="172"/>
      <c r="M425" s="172"/>
      <c r="N425" s="172"/>
      <c r="O425" s="358"/>
      <c r="P425" s="358"/>
      <c r="Q425" s="358"/>
      <c r="R425" s="378"/>
      <c r="S425" s="378"/>
      <c r="T425" s="8"/>
      <c r="U425" s="8"/>
      <c r="V425" s="8"/>
      <c r="W425" s="172"/>
      <c r="X425" s="172"/>
      <c r="Y425" s="8"/>
      <c r="Z425" s="8"/>
      <c r="AA425" s="8"/>
      <c r="AB425" s="172"/>
      <c r="AC425" s="172"/>
      <c r="AD425" s="8"/>
      <c r="AE425" s="8"/>
      <c r="AF425" s="8"/>
      <c r="AG425" s="172"/>
      <c r="AH425" s="172"/>
      <c r="AI425" s="367"/>
      <c r="AJ425" s="362"/>
      <c r="AK425" s="363" t="str">
        <f>IFERROR(__xludf.DUMMYFUNCTION("IFERROR(if(D427&lt;&gt;"""", 
  AVERAGE(
    QUERY(
      IMPORTRANGE(""1-uH1wy6jSm5jYL9je6fN1K5RJ5QMvHntodEHZRtIvTk"", ""All Data!N2:U""),
      ""select Col8 where Col1 = '"" &amp; D427 &amp; ""' and Col8 is not null"",
      0
    )
  )/100,
""""),
  """"
)
"),"")</f>
        <v/>
      </c>
    </row>
    <row r="426">
      <c r="D426" s="172"/>
      <c r="E426" s="368"/>
      <c r="F426" s="368"/>
      <c r="G426" s="368"/>
      <c r="H426" s="172"/>
      <c r="I426" s="172"/>
      <c r="J426" s="172"/>
      <c r="K426" s="172"/>
      <c r="L426" s="172"/>
      <c r="M426" s="172"/>
      <c r="N426" s="172"/>
      <c r="O426" s="358"/>
      <c r="P426" s="358"/>
      <c r="Q426" s="358"/>
      <c r="R426" s="378"/>
      <c r="S426" s="378"/>
      <c r="T426" s="8"/>
      <c r="U426" s="8"/>
      <c r="V426" s="8"/>
      <c r="W426" s="172"/>
      <c r="X426" s="172"/>
      <c r="Y426" s="8"/>
      <c r="Z426" s="8"/>
      <c r="AA426" s="8"/>
      <c r="AB426" s="172"/>
      <c r="AC426" s="172"/>
      <c r="AD426" s="8"/>
      <c r="AE426" s="8"/>
      <c r="AF426" s="8"/>
      <c r="AG426" s="172"/>
      <c r="AH426" s="172"/>
      <c r="AI426" s="367"/>
      <c r="AJ426" s="362"/>
      <c r="AK426" s="363" t="str">
        <f>IFERROR(__xludf.DUMMYFUNCTION("IFERROR(if(D428&lt;&gt;"""", 
  AVERAGE(
    QUERY(
      IMPORTRANGE(""1-uH1wy6jSm5jYL9je6fN1K5RJ5QMvHntodEHZRtIvTk"", ""All Data!N2:U""),
      ""select Col8 where Col1 = '"" &amp; D428 &amp; ""' and Col8 is not null"",
      0
    )
  )/100,
""""),
  """"
)
"),"")</f>
        <v/>
      </c>
    </row>
    <row r="427">
      <c r="D427" s="172"/>
      <c r="E427" s="368"/>
      <c r="F427" s="368"/>
      <c r="G427" s="368"/>
      <c r="H427" s="172"/>
      <c r="I427" s="172"/>
      <c r="J427" s="172"/>
      <c r="K427" s="172"/>
      <c r="L427" s="172"/>
      <c r="M427" s="172"/>
      <c r="N427" s="172"/>
      <c r="O427" s="358"/>
      <c r="P427" s="358"/>
      <c r="Q427" s="358"/>
      <c r="R427" s="378"/>
      <c r="S427" s="378"/>
      <c r="T427" s="8"/>
      <c r="U427" s="8"/>
      <c r="V427" s="8"/>
      <c r="W427" s="172"/>
      <c r="X427" s="172"/>
      <c r="Y427" s="8"/>
      <c r="Z427" s="8"/>
      <c r="AA427" s="8"/>
      <c r="AB427" s="172"/>
      <c r="AC427" s="172"/>
      <c r="AD427" s="8"/>
      <c r="AE427" s="8"/>
      <c r="AF427" s="8"/>
      <c r="AG427" s="172"/>
      <c r="AH427" s="172"/>
      <c r="AI427" s="367"/>
      <c r="AJ427" s="362"/>
      <c r="AK427" s="363" t="str">
        <f>IFERROR(__xludf.DUMMYFUNCTION("IFERROR(if(D429&lt;&gt;"""", 
  AVERAGE(
    QUERY(
      IMPORTRANGE(""1-uH1wy6jSm5jYL9je6fN1K5RJ5QMvHntodEHZRtIvTk"", ""All Data!N2:U""),
      ""select Col8 where Col1 = '"" &amp; D429 &amp; ""' and Col8 is not null"",
      0
    )
  )/100,
""""),
  """"
)
"),"")</f>
        <v/>
      </c>
    </row>
    <row r="428">
      <c r="D428" s="172"/>
      <c r="E428" s="368"/>
      <c r="F428" s="368"/>
      <c r="G428" s="368"/>
      <c r="H428" s="172"/>
      <c r="I428" s="172"/>
      <c r="J428" s="172"/>
      <c r="K428" s="172"/>
      <c r="L428" s="172"/>
      <c r="M428" s="172"/>
      <c r="N428" s="172"/>
      <c r="O428" s="358"/>
      <c r="P428" s="358"/>
      <c r="Q428" s="358"/>
      <c r="R428" s="378"/>
      <c r="S428" s="378"/>
      <c r="T428" s="8"/>
      <c r="U428" s="8"/>
      <c r="V428" s="8"/>
      <c r="W428" s="172"/>
      <c r="X428" s="172"/>
      <c r="Y428" s="8"/>
      <c r="Z428" s="8"/>
      <c r="AA428" s="8"/>
      <c r="AB428" s="172"/>
      <c r="AC428" s="172"/>
      <c r="AD428" s="8"/>
      <c r="AE428" s="8"/>
      <c r="AF428" s="8"/>
      <c r="AG428" s="172"/>
      <c r="AH428" s="172"/>
      <c r="AI428" s="367"/>
      <c r="AJ428" s="362"/>
      <c r="AK428" s="363" t="str">
        <f>IFERROR(__xludf.DUMMYFUNCTION("IFERROR(if(D430&lt;&gt;"""", 
  AVERAGE(
    QUERY(
      IMPORTRANGE(""1-uH1wy6jSm5jYL9je6fN1K5RJ5QMvHntodEHZRtIvTk"", ""All Data!N2:U""),
      ""select Col8 where Col1 = '"" &amp; D430 &amp; ""' and Col8 is not null"",
      0
    )
  )/100,
""""),
  """"
)
"),"")</f>
        <v/>
      </c>
    </row>
    <row r="429">
      <c r="D429" s="172"/>
      <c r="E429" s="368"/>
      <c r="F429" s="368"/>
      <c r="G429" s="368"/>
      <c r="H429" s="172"/>
      <c r="I429" s="172"/>
      <c r="J429" s="172"/>
      <c r="K429" s="172"/>
      <c r="L429" s="172"/>
      <c r="M429" s="172"/>
      <c r="N429" s="172"/>
      <c r="O429" s="358"/>
      <c r="P429" s="358"/>
      <c r="Q429" s="358"/>
      <c r="R429" s="378"/>
      <c r="S429" s="378"/>
      <c r="T429" s="8"/>
      <c r="U429" s="8"/>
      <c r="V429" s="8"/>
      <c r="W429" s="172"/>
      <c r="X429" s="172"/>
      <c r="Y429" s="8"/>
      <c r="Z429" s="8"/>
      <c r="AA429" s="8"/>
      <c r="AB429" s="172"/>
      <c r="AC429" s="172"/>
      <c r="AD429" s="8"/>
      <c r="AE429" s="8"/>
      <c r="AF429" s="8"/>
      <c r="AG429" s="172"/>
      <c r="AH429" s="172"/>
      <c r="AI429" s="367"/>
      <c r="AJ429" s="362"/>
      <c r="AK429" s="363" t="str">
        <f>IFERROR(__xludf.DUMMYFUNCTION("IFERROR(if(D431&lt;&gt;"""", 
  AVERAGE(
    QUERY(
      IMPORTRANGE(""1-uH1wy6jSm5jYL9je6fN1K5RJ5QMvHntodEHZRtIvTk"", ""All Data!N2:U""),
      ""select Col8 where Col1 = '"" &amp; D431 &amp; ""' and Col8 is not null"",
      0
    )
  )/100,
""""),
  """"
)
"),"")</f>
        <v/>
      </c>
    </row>
    <row r="430">
      <c r="D430" s="172"/>
      <c r="E430" s="368"/>
      <c r="F430" s="368"/>
      <c r="G430" s="368"/>
      <c r="H430" s="172"/>
      <c r="I430" s="172"/>
      <c r="J430" s="172"/>
      <c r="K430" s="172"/>
      <c r="L430" s="172"/>
      <c r="M430" s="172"/>
      <c r="N430" s="172"/>
      <c r="O430" s="358"/>
      <c r="P430" s="358"/>
      <c r="Q430" s="358"/>
      <c r="R430" s="378"/>
      <c r="S430" s="378"/>
      <c r="T430" s="8"/>
      <c r="U430" s="8"/>
      <c r="V430" s="8"/>
      <c r="W430" s="172"/>
      <c r="X430" s="172"/>
      <c r="Y430" s="8"/>
      <c r="Z430" s="8"/>
      <c r="AA430" s="8"/>
      <c r="AB430" s="172"/>
      <c r="AC430" s="172"/>
      <c r="AD430" s="8"/>
      <c r="AE430" s="8"/>
      <c r="AF430" s="8"/>
      <c r="AG430" s="172"/>
      <c r="AH430" s="172"/>
      <c r="AI430" s="367"/>
      <c r="AJ430" s="362"/>
      <c r="AK430" s="363" t="str">
        <f>IFERROR(__xludf.DUMMYFUNCTION("IFERROR(if(D432&lt;&gt;"""", 
  AVERAGE(
    QUERY(
      IMPORTRANGE(""1-uH1wy6jSm5jYL9je6fN1K5RJ5QMvHntodEHZRtIvTk"", ""All Data!N2:U""),
      ""select Col8 where Col1 = '"" &amp; D432 &amp; ""' and Col8 is not null"",
      0
    )
  )/100,
""""),
  """"
)
"),"")</f>
        <v/>
      </c>
    </row>
    <row r="431">
      <c r="D431" s="172"/>
      <c r="E431" s="368"/>
      <c r="F431" s="368"/>
      <c r="G431" s="368"/>
      <c r="H431" s="172"/>
      <c r="I431" s="172"/>
      <c r="J431" s="172"/>
      <c r="K431" s="172"/>
      <c r="L431" s="172"/>
      <c r="M431" s="172"/>
      <c r="N431" s="172"/>
      <c r="O431" s="358"/>
      <c r="P431" s="358"/>
      <c r="Q431" s="358"/>
      <c r="R431" s="378"/>
      <c r="S431" s="378"/>
      <c r="T431" s="8"/>
      <c r="U431" s="8"/>
      <c r="V431" s="8"/>
      <c r="W431" s="172"/>
      <c r="X431" s="172"/>
      <c r="Y431" s="8"/>
      <c r="Z431" s="8"/>
      <c r="AA431" s="8"/>
      <c r="AB431" s="172"/>
      <c r="AC431" s="172"/>
      <c r="AD431" s="8"/>
      <c r="AE431" s="8"/>
      <c r="AF431" s="8"/>
      <c r="AG431" s="172"/>
      <c r="AH431" s="172"/>
      <c r="AI431" s="367"/>
      <c r="AJ431" s="362"/>
      <c r="AK431" s="363" t="str">
        <f>IFERROR(__xludf.DUMMYFUNCTION("IFERROR(if(D433&lt;&gt;"""", 
  AVERAGE(
    QUERY(
      IMPORTRANGE(""1-uH1wy6jSm5jYL9je6fN1K5RJ5QMvHntodEHZRtIvTk"", ""All Data!N2:U""),
      ""select Col8 where Col1 = '"" &amp; D433 &amp; ""' and Col8 is not null"",
      0
    )
  )/100,
""""),
  """"
)
"),"")</f>
        <v/>
      </c>
    </row>
    <row r="432">
      <c r="D432" s="172"/>
      <c r="E432" s="368"/>
      <c r="F432" s="368"/>
      <c r="G432" s="368"/>
      <c r="H432" s="172"/>
      <c r="I432" s="172"/>
      <c r="J432" s="172"/>
      <c r="K432" s="172"/>
      <c r="L432" s="172"/>
      <c r="M432" s="172"/>
      <c r="N432" s="172"/>
      <c r="O432" s="358"/>
      <c r="P432" s="358"/>
      <c r="Q432" s="358"/>
      <c r="R432" s="378"/>
      <c r="S432" s="378"/>
      <c r="T432" s="8"/>
      <c r="U432" s="8"/>
      <c r="V432" s="8"/>
      <c r="W432" s="172"/>
      <c r="X432" s="172"/>
      <c r="Y432" s="8"/>
      <c r="Z432" s="8"/>
      <c r="AA432" s="8"/>
      <c r="AB432" s="172"/>
      <c r="AC432" s="172"/>
      <c r="AD432" s="8"/>
      <c r="AE432" s="8"/>
      <c r="AF432" s="8"/>
      <c r="AG432" s="172"/>
      <c r="AH432" s="172"/>
      <c r="AI432" s="367"/>
      <c r="AJ432" s="362"/>
      <c r="AK432" s="363" t="str">
        <f>IFERROR(__xludf.DUMMYFUNCTION("IFERROR(if(D434&lt;&gt;"""", 
  AVERAGE(
    QUERY(
      IMPORTRANGE(""1-uH1wy6jSm5jYL9je6fN1K5RJ5QMvHntodEHZRtIvTk"", ""All Data!N2:U""),
      ""select Col8 where Col1 = '"" &amp; D434 &amp; ""' and Col8 is not null"",
      0
    )
  )/100,
""""),
  """"
)
"),"")</f>
        <v/>
      </c>
    </row>
    <row r="433">
      <c r="D433" s="172"/>
      <c r="E433" s="368"/>
      <c r="F433" s="368"/>
      <c r="G433" s="368"/>
      <c r="H433" s="172"/>
      <c r="I433" s="172"/>
      <c r="J433" s="172"/>
      <c r="K433" s="172"/>
      <c r="L433" s="172"/>
      <c r="M433" s="172"/>
      <c r="N433" s="172"/>
      <c r="O433" s="358"/>
      <c r="P433" s="358"/>
      <c r="Q433" s="358"/>
      <c r="R433" s="378"/>
      <c r="S433" s="378"/>
      <c r="T433" s="8"/>
      <c r="U433" s="8"/>
      <c r="V433" s="8"/>
      <c r="W433" s="172"/>
      <c r="X433" s="172"/>
      <c r="Y433" s="8"/>
      <c r="Z433" s="8"/>
      <c r="AA433" s="8"/>
      <c r="AB433" s="172"/>
      <c r="AC433" s="172"/>
      <c r="AD433" s="8"/>
      <c r="AE433" s="8"/>
      <c r="AF433" s="8"/>
      <c r="AG433" s="172"/>
      <c r="AH433" s="172"/>
      <c r="AI433" s="367"/>
      <c r="AJ433" s="362"/>
      <c r="AK433" s="363" t="str">
        <f>IFERROR(__xludf.DUMMYFUNCTION("IFERROR(if(D435&lt;&gt;"""", 
  AVERAGE(
    QUERY(
      IMPORTRANGE(""1-uH1wy6jSm5jYL9je6fN1K5RJ5QMvHntodEHZRtIvTk"", ""All Data!N2:U""),
      ""select Col8 where Col1 = '"" &amp; D435 &amp; ""' and Col8 is not null"",
      0
    )
  )/100,
""""),
  """"
)
"),"")</f>
        <v/>
      </c>
    </row>
    <row r="434">
      <c r="D434" s="172"/>
      <c r="E434" s="368"/>
      <c r="F434" s="368"/>
      <c r="G434" s="368"/>
      <c r="H434" s="172"/>
      <c r="I434" s="172"/>
      <c r="J434" s="172"/>
      <c r="K434" s="172"/>
      <c r="L434" s="172"/>
      <c r="M434" s="172"/>
      <c r="N434" s="172"/>
      <c r="O434" s="358"/>
      <c r="P434" s="358"/>
      <c r="Q434" s="358"/>
      <c r="R434" s="378"/>
      <c r="S434" s="378"/>
      <c r="T434" s="8"/>
      <c r="U434" s="8"/>
      <c r="V434" s="8"/>
      <c r="W434" s="172"/>
      <c r="X434" s="172"/>
      <c r="Y434" s="8"/>
      <c r="Z434" s="8"/>
      <c r="AA434" s="8"/>
      <c r="AB434" s="172"/>
      <c r="AC434" s="172"/>
      <c r="AD434" s="8"/>
      <c r="AE434" s="8"/>
      <c r="AF434" s="8"/>
      <c r="AG434" s="172"/>
      <c r="AH434" s="172"/>
      <c r="AI434" s="367"/>
      <c r="AJ434" s="362"/>
      <c r="AK434" s="363" t="str">
        <f>IFERROR(__xludf.DUMMYFUNCTION("IFERROR(if(D436&lt;&gt;"""", 
  AVERAGE(
    QUERY(
      IMPORTRANGE(""1-uH1wy6jSm5jYL9je6fN1K5RJ5QMvHntodEHZRtIvTk"", ""All Data!N2:U""),
      ""select Col8 where Col1 = '"" &amp; D436 &amp; ""' and Col8 is not null"",
      0
    )
  )/100,
""""),
  """"
)
"),"")</f>
        <v/>
      </c>
    </row>
    <row r="435">
      <c r="D435" s="172"/>
      <c r="E435" s="368"/>
      <c r="F435" s="368"/>
      <c r="G435" s="368"/>
      <c r="H435" s="172"/>
      <c r="I435" s="172"/>
      <c r="J435" s="172"/>
      <c r="K435" s="172"/>
      <c r="L435" s="172"/>
      <c r="M435" s="172"/>
      <c r="N435" s="172"/>
      <c r="O435" s="358"/>
      <c r="P435" s="358"/>
      <c r="Q435" s="358"/>
      <c r="R435" s="378"/>
      <c r="S435" s="378"/>
      <c r="T435" s="8"/>
      <c r="U435" s="8"/>
      <c r="V435" s="8"/>
      <c r="W435" s="172"/>
      <c r="X435" s="172"/>
      <c r="Y435" s="8"/>
      <c r="Z435" s="8"/>
      <c r="AA435" s="8"/>
      <c r="AB435" s="172"/>
      <c r="AC435" s="172"/>
      <c r="AD435" s="8"/>
      <c r="AE435" s="8"/>
      <c r="AF435" s="8"/>
      <c r="AG435" s="172"/>
      <c r="AH435" s="172"/>
      <c r="AI435" s="367"/>
      <c r="AJ435" s="362"/>
      <c r="AK435" s="363" t="str">
        <f>IFERROR(__xludf.DUMMYFUNCTION("IFERROR(if(D437&lt;&gt;"""", 
  AVERAGE(
    QUERY(
      IMPORTRANGE(""1-uH1wy6jSm5jYL9je6fN1K5RJ5QMvHntodEHZRtIvTk"", ""All Data!N2:U""),
      ""select Col8 where Col1 = '"" &amp; D437 &amp; ""' and Col8 is not null"",
      0
    )
  )/100,
""""),
  """"
)
"),"")</f>
        <v/>
      </c>
    </row>
    <row r="436">
      <c r="D436" s="172"/>
      <c r="E436" s="368"/>
      <c r="F436" s="368"/>
      <c r="G436" s="368"/>
      <c r="H436" s="172"/>
      <c r="I436" s="172"/>
      <c r="J436" s="172"/>
      <c r="K436" s="172"/>
      <c r="L436" s="172"/>
      <c r="M436" s="172"/>
      <c r="N436" s="172"/>
      <c r="O436" s="358"/>
      <c r="P436" s="358"/>
      <c r="Q436" s="358"/>
      <c r="R436" s="378"/>
      <c r="S436" s="378"/>
      <c r="T436" s="8"/>
      <c r="U436" s="8"/>
      <c r="V436" s="8"/>
      <c r="W436" s="172"/>
      <c r="X436" s="172"/>
      <c r="Y436" s="8"/>
      <c r="Z436" s="8"/>
      <c r="AA436" s="8"/>
      <c r="AB436" s="172"/>
      <c r="AC436" s="172"/>
      <c r="AD436" s="8"/>
      <c r="AE436" s="8"/>
      <c r="AF436" s="8"/>
      <c r="AG436" s="172"/>
      <c r="AH436" s="172"/>
      <c r="AI436" s="367"/>
      <c r="AJ436" s="362"/>
      <c r="AK436" s="363" t="str">
        <f>IFERROR(__xludf.DUMMYFUNCTION("IFERROR(if(D438&lt;&gt;"""", 
  AVERAGE(
    QUERY(
      IMPORTRANGE(""1-uH1wy6jSm5jYL9je6fN1K5RJ5QMvHntodEHZRtIvTk"", ""All Data!N2:U""),
      ""select Col8 where Col1 = '"" &amp; D438 &amp; ""' and Col8 is not null"",
      0
    )
  )/100,
""""),
  """"
)
"),"")</f>
        <v/>
      </c>
    </row>
    <row r="437">
      <c r="D437" s="172"/>
      <c r="E437" s="368"/>
      <c r="F437" s="368"/>
      <c r="G437" s="368"/>
      <c r="H437" s="172"/>
      <c r="I437" s="172"/>
      <c r="J437" s="172"/>
      <c r="K437" s="172"/>
      <c r="L437" s="172"/>
      <c r="M437" s="172"/>
      <c r="N437" s="172"/>
      <c r="O437" s="358"/>
      <c r="P437" s="358"/>
      <c r="Q437" s="358"/>
      <c r="R437" s="378"/>
      <c r="S437" s="378"/>
      <c r="T437" s="8"/>
      <c r="U437" s="8"/>
      <c r="V437" s="8"/>
      <c r="W437" s="172"/>
      <c r="X437" s="172"/>
      <c r="Y437" s="8"/>
      <c r="Z437" s="8"/>
      <c r="AA437" s="8"/>
      <c r="AB437" s="172"/>
      <c r="AC437" s="172"/>
      <c r="AD437" s="8"/>
      <c r="AE437" s="8"/>
      <c r="AF437" s="8"/>
      <c r="AG437" s="172"/>
      <c r="AH437" s="172"/>
      <c r="AI437" s="367"/>
      <c r="AJ437" s="362"/>
      <c r="AK437" s="363" t="str">
        <f>IFERROR(__xludf.DUMMYFUNCTION("IFERROR(if(D439&lt;&gt;"""", 
  AVERAGE(
    QUERY(
      IMPORTRANGE(""1-uH1wy6jSm5jYL9je6fN1K5RJ5QMvHntodEHZRtIvTk"", ""All Data!N2:U""),
      ""select Col8 where Col1 = '"" &amp; D439 &amp; ""' and Col8 is not null"",
      0
    )
  )/100,
""""),
  """"
)
"),"")</f>
        <v/>
      </c>
    </row>
    <row r="438">
      <c r="D438" s="172"/>
      <c r="E438" s="368"/>
      <c r="F438" s="368"/>
      <c r="G438" s="368"/>
      <c r="H438" s="172"/>
      <c r="I438" s="172"/>
      <c r="J438" s="172"/>
      <c r="K438" s="172"/>
      <c r="L438" s="172"/>
      <c r="M438" s="172"/>
      <c r="N438" s="172"/>
      <c r="O438" s="358"/>
      <c r="P438" s="358"/>
      <c r="Q438" s="358"/>
      <c r="R438" s="378"/>
      <c r="S438" s="378"/>
      <c r="T438" s="8"/>
      <c r="U438" s="8"/>
      <c r="V438" s="8"/>
      <c r="W438" s="172"/>
      <c r="X438" s="172"/>
      <c r="Y438" s="8"/>
      <c r="Z438" s="8"/>
      <c r="AA438" s="8"/>
      <c r="AB438" s="172"/>
      <c r="AC438" s="172"/>
      <c r="AD438" s="8"/>
      <c r="AE438" s="8"/>
      <c r="AF438" s="8"/>
      <c r="AG438" s="172"/>
      <c r="AH438" s="172"/>
      <c r="AI438" s="367"/>
      <c r="AJ438" s="362"/>
      <c r="AK438" s="363" t="str">
        <f>IFERROR(__xludf.DUMMYFUNCTION("IFERROR(if(D440&lt;&gt;"""", 
  AVERAGE(
    QUERY(
      IMPORTRANGE(""1-uH1wy6jSm5jYL9je6fN1K5RJ5QMvHntodEHZRtIvTk"", ""All Data!N2:U""),
      ""select Col8 where Col1 = '"" &amp; D440 &amp; ""' and Col8 is not null"",
      0
    )
  )/100,
""""),
  """"
)
"),"")</f>
        <v/>
      </c>
    </row>
    <row r="439">
      <c r="D439" s="172"/>
      <c r="E439" s="368"/>
      <c r="F439" s="368"/>
      <c r="G439" s="368"/>
      <c r="H439" s="172"/>
      <c r="I439" s="172"/>
      <c r="J439" s="172"/>
      <c r="K439" s="172"/>
      <c r="L439" s="172"/>
      <c r="M439" s="172"/>
      <c r="N439" s="172"/>
      <c r="O439" s="358"/>
      <c r="P439" s="358"/>
      <c r="Q439" s="358"/>
      <c r="R439" s="378"/>
      <c r="S439" s="378"/>
      <c r="T439" s="8"/>
      <c r="U439" s="8"/>
      <c r="V439" s="8"/>
      <c r="W439" s="172"/>
      <c r="X439" s="172"/>
      <c r="Y439" s="8"/>
      <c r="Z439" s="8"/>
      <c r="AA439" s="8"/>
      <c r="AB439" s="172"/>
      <c r="AC439" s="172"/>
      <c r="AD439" s="8"/>
      <c r="AE439" s="8"/>
      <c r="AF439" s="8"/>
      <c r="AG439" s="172"/>
      <c r="AH439" s="172"/>
      <c r="AI439" s="367"/>
      <c r="AJ439" s="362"/>
      <c r="AK439" s="363" t="str">
        <f>IFERROR(__xludf.DUMMYFUNCTION("IFERROR(if(D441&lt;&gt;"""", 
  AVERAGE(
    QUERY(
      IMPORTRANGE(""1-uH1wy6jSm5jYL9je6fN1K5RJ5QMvHntodEHZRtIvTk"", ""All Data!N2:U""),
      ""select Col8 where Col1 = '"" &amp; D441 &amp; ""' and Col8 is not null"",
      0
    )
  )/100,
""""),
  """"
)
"),"")</f>
        <v/>
      </c>
    </row>
    <row r="440">
      <c r="D440" s="172"/>
      <c r="E440" s="368"/>
      <c r="F440" s="368"/>
      <c r="G440" s="368"/>
      <c r="H440" s="172"/>
      <c r="I440" s="172"/>
      <c r="J440" s="172"/>
      <c r="K440" s="172"/>
      <c r="L440" s="172"/>
      <c r="M440" s="172"/>
      <c r="N440" s="172"/>
      <c r="O440" s="358"/>
      <c r="P440" s="358"/>
      <c r="Q440" s="358"/>
      <c r="R440" s="378"/>
      <c r="S440" s="378"/>
      <c r="T440" s="8"/>
      <c r="U440" s="8"/>
      <c r="V440" s="8"/>
      <c r="W440" s="172"/>
      <c r="X440" s="172"/>
      <c r="Y440" s="8"/>
      <c r="Z440" s="8"/>
      <c r="AA440" s="8"/>
      <c r="AB440" s="172"/>
      <c r="AC440" s="172"/>
      <c r="AD440" s="8"/>
      <c r="AE440" s="8"/>
      <c r="AF440" s="8"/>
      <c r="AG440" s="172"/>
      <c r="AH440" s="172"/>
      <c r="AI440" s="367"/>
      <c r="AJ440" s="362"/>
      <c r="AK440" s="363" t="str">
        <f>IFERROR(__xludf.DUMMYFUNCTION("IFERROR(if(D442&lt;&gt;"""", 
  AVERAGE(
    QUERY(
      IMPORTRANGE(""1-uH1wy6jSm5jYL9je6fN1K5RJ5QMvHntodEHZRtIvTk"", ""All Data!N2:U""),
      ""select Col8 where Col1 = '"" &amp; D442 &amp; ""' and Col8 is not null"",
      0
    )
  )/100,
""""),
  """"
)
"),"")</f>
        <v/>
      </c>
    </row>
    <row r="441">
      <c r="D441" s="172"/>
      <c r="E441" s="368"/>
      <c r="F441" s="368"/>
      <c r="G441" s="368"/>
      <c r="H441" s="172"/>
      <c r="I441" s="172"/>
      <c r="J441" s="172"/>
      <c r="K441" s="172"/>
      <c r="L441" s="172"/>
      <c r="M441" s="172"/>
      <c r="N441" s="172"/>
      <c r="O441" s="358"/>
      <c r="P441" s="358"/>
      <c r="Q441" s="358"/>
      <c r="R441" s="378"/>
      <c r="S441" s="378"/>
      <c r="T441" s="8"/>
      <c r="U441" s="8"/>
      <c r="V441" s="8"/>
      <c r="W441" s="172"/>
      <c r="X441" s="172"/>
      <c r="Y441" s="8"/>
      <c r="Z441" s="8"/>
      <c r="AA441" s="8"/>
      <c r="AB441" s="172"/>
      <c r="AC441" s="172"/>
      <c r="AD441" s="8"/>
      <c r="AE441" s="8"/>
      <c r="AF441" s="8"/>
      <c r="AG441" s="172"/>
      <c r="AH441" s="172"/>
      <c r="AI441" s="367"/>
      <c r="AJ441" s="362"/>
      <c r="AK441" s="363" t="str">
        <f>IFERROR(__xludf.DUMMYFUNCTION("IFERROR(if(D443&lt;&gt;"""", 
  AVERAGE(
    QUERY(
      IMPORTRANGE(""1-uH1wy6jSm5jYL9je6fN1K5RJ5QMvHntodEHZRtIvTk"", ""All Data!N2:U""),
      ""select Col8 where Col1 = '"" &amp; D443 &amp; ""' and Col8 is not null"",
      0
    )
  )/100,
""""),
  """"
)
"),"")</f>
        <v/>
      </c>
    </row>
    <row r="442">
      <c r="D442" s="172"/>
      <c r="E442" s="368"/>
      <c r="F442" s="368"/>
      <c r="G442" s="368"/>
      <c r="H442" s="172"/>
      <c r="I442" s="172"/>
      <c r="J442" s="172"/>
      <c r="K442" s="172"/>
      <c r="L442" s="172"/>
      <c r="M442" s="172"/>
      <c r="N442" s="172"/>
      <c r="O442" s="358"/>
      <c r="P442" s="358"/>
      <c r="Q442" s="358"/>
      <c r="R442" s="378"/>
      <c r="S442" s="378"/>
      <c r="T442" s="8"/>
      <c r="U442" s="8"/>
      <c r="V442" s="8"/>
      <c r="W442" s="172"/>
      <c r="X442" s="172"/>
      <c r="Y442" s="8"/>
      <c r="Z442" s="8"/>
      <c r="AA442" s="8"/>
      <c r="AB442" s="172"/>
      <c r="AC442" s="172"/>
      <c r="AD442" s="8"/>
      <c r="AE442" s="8"/>
      <c r="AF442" s="8"/>
      <c r="AG442" s="172"/>
      <c r="AH442" s="172"/>
      <c r="AI442" s="367"/>
      <c r="AJ442" s="362"/>
      <c r="AK442" s="363" t="str">
        <f>IFERROR(__xludf.DUMMYFUNCTION("IFERROR(if(D444&lt;&gt;"""", 
  AVERAGE(
    QUERY(
      IMPORTRANGE(""1-uH1wy6jSm5jYL9je6fN1K5RJ5QMvHntodEHZRtIvTk"", ""All Data!N2:U""),
      ""select Col8 where Col1 = '"" &amp; D444 &amp; ""' and Col8 is not null"",
      0
    )
  )/100,
""""),
  """"
)
"),"")</f>
        <v/>
      </c>
    </row>
    <row r="443">
      <c r="D443" s="172"/>
      <c r="E443" s="368"/>
      <c r="F443" s="368"/>
      <c r="G443" s="368"/>
      <c r="H443" s="172"/>
      <c r="I443" s="172"/>
      <c r="J443" s="172"/>
      <c r="K443" s="172"/>
      <c r="L443" s="172"/>
      <c r="M443" s="172"/>
      <c r="N443" s="172"/>
      <c r="O443" s="358"/>
      <c r="P443" s="358"/>
      <c r="Q443" s="358"/>
      <c r="R443" s="378"/>
      <c r="S443" s="378"/>
      <c r="T443" s="8"/>
      <c r="U443" s="8"/>
      <c r="V443" s="8"/>
      <c r="W443" s="172"/>
      <c r="X443" s="172"/>
      <c r="Y443" s="8"/>
      <c r="Z443" s="8"/>
      <c r="AA443" s="8"/>
      <c r="AB443" s="172"/>
      <c r="AC443" s="172"/>
      <c r="AD443" s="8"/>
      <c r="AE443" s="8"/>
      <c r="AF443" s="8"/>
      <c r="AG443" s="172"/>
      <c r="AH443" s="172"/>
      <c r="AI443" s="367"/>
      <c r="AJ443" s="362"/>
      <c r="AK443" s="363" t="str">
        <f>IFERROR(__xludf.DUMMYFUNCTION("IFERROR(if(D445&lt;&gt;"""", 
  AVERAGE(
    QUERY(
      IMPORTRANGE(""1-uH1wy6jSm5jYL9je6fN1K5RJ5QMvHntodEHZRtIvTk"", ""All Data!N2:U""),
      ""select Col8 where Col1 = '"" &amp; D445 &amp; ""' and Col8 is not null"",
      0
    )
  )/100,
""""),
  """"
)
"),"")</f>
        <v/>
      </c>
    </row>
    <row r="444">
      <c r="D444" s="172"/>
      <c r="E444" s="368"/>
      <c r="F444" s="368"/>
      <c r="G444" s="368"/>
      <c r="H444" s="172"/>
      <c r="I444" s="172"/>
      <c r="J444" s="172"/>
      <c r="K444" s="172"/>
      <c r="L444" s="172"/>
      <c r="M444" s="172"/>
      <c r="N444" s="172"/>
      <c r="O444" s="358"/>
      <c r="P444" s="358"/>
      <c r="Q444" s="358"/>
      <c r="R444" s="378"/>
      <c r="S444" s="378"/>
      <c r="T444" s="8"/>
      <c r="U444" s="8"/>
      <c r="V444" s="8"/>
      <c r="W444" s="172"/>
      <c r="X444" s="172"/>
      <c r="Y444" s="8"/>
      <c r="Z444" s="8"/>
      <c r="AA444" s="8"/>
      <c r="AB444" s="172"/>
      <c r="AC444" s="172"/>
      <c r="AD444" s="8"/>
      <c r="AE444" s="8"/>
      <c r="AF444" s="8"/>
      <c r="AG444" s="172"/>
      <c r="AH444" s="172"/>
      <c r="AI444" s="367"/>
      <c r="AJ444" s="362"/>
      <c r="AK444" s="363" t="str">
        <f>IFERROR(__xludf.DUMMYFUNCTION("IFERROR(if(D446&lt;&gt;"""", 
  AVERAGE(
    QUERY(
      IMPORTRANGE(""1-uH1wy6jSm5jYL9je6fN1K5RJ5QMvHntodEHZRtIvTk"", ""All Data!N2:U""),
      ""select Col8 where Col1 = '"" &amp; D446 &amp; ""' and Col8 is not null"",
      0
    )
  )/100,
""""),
  """"
)
"),"")</f>
        <v/>
      </c>
    </row>
    <row r="445">
      <c r="D445" s="172"/>
      <c r="E445" s="368"/>
      <c r="F445" s="368"/>
      <c r="G445" s="368"/>
      <c r="H445" s="172"/>
      <c r="I445" s="172"/>
      <c r="J445" s="172"/>
      <c r="K445" s="172"/>
      <c r="L445" s="172"/>
      <c r="M445" s="172"/>
      <c r="N445" s="172"/>
      <c r="O445" s="358"/>
      <c r="P445" s="358"/>
      <c r="Q445" s="358"/>
      <c r="R445" s="378"/>
      <c r="S445" s="378"/>
      <c r="T445" s="8"/>
      <c r="U445" s="8"/>
      <c r="V445" s="8"/>
      <c r="W445" s="172"/>
      <c r="X445" s="172"/>
      <c r="Y445" s="8"/>
      <c r="Z445" s="8"/>
      <c r="AA445" s="8"/>
      <c r="AB445" s="172"/>
      <c r="AC445" s="172"/>
      <c r="AD445" s="8"/>
      <c r="AE445" s="8"/>
      <c r="AF445" s="8"/>
      <c r="AG445" s="172"/>
      <c r="AH445" s="172"/>
      <c r="AI445" s="367"/>
      <c r="AJ445" s="362"/>
      <c r="AK445" s="363" t="str">
        <f>IFERROR(__xludf.DUMMYFUNCTION("IFERROR(if(D447&lt;&gt;"""", 
  AVERAGE(
    QUERY(
      IMPORTRANGE(""1-uH1wy6jSm5jYL9je6fN1K5RJ5QMvHntodEHZRtIvTk"", ""All Data!N2:U""),
      ""select Col8 where Col1 = '"" &amp; D447 &amp; ""' and Col8 is not null"",
      0
    )
  )/100,
""""),
  """"
)
"),"")</f>
        <v/>
      </c>
    </row>
    <row r="446">
      <c r="D446" s="172"/>
      <c r="E446" s="368"/>
      <c r="F446" s="368"/>
      <c r="G446" s="368"/>
      <c r="H446" s="172"/>
      <c r="I446" s="172"/>
      <c r="J446" s="172"/>
      <c r="K446" s="172"/>
      <c r="L446" s="172"/>
      <c r="M446" s="172"/>
      <c r="N446" s="172"/>
      <c r="O446" s="358"/>
      <c r="P446" s="358"/>
      <c r="Q446" s="358"/>
      <c r="R446" s="378"/>
      <c r="S446" s="378"/>
      <c r="T446" s="8"/>
      <c r="U446" s="8"/>
      <c r="V446" s="8"/>
      <c r="W446" s="172"/>
      <c r="X446" s="172"/>
      <c r="Y446" s="8"/>
      <c r="Z446" s="8"/>
      <c r="AA446" s="8"/>
      <c r="AB446" s="172"/>
      <c r="AC446" s="172"/>
      <c r="AD446" s="8"/>
      <c r="AE446" s="8"/>
      <c r="AF446" s="8"/>
      <c r="AG446" s="172"/>
      <c r="AH446" s="172"/>
      <c r="AI446" s="367"/>
      <c r="AJ446" s="362"/>
      <c r="AK446" s="363" t="str">
        <f>IFERROR(__xludf.DUMMYFUNCTION("IFERROR(if(D448&lt;&gt;"""", 
  AVERAGE(
    QUERY(
      IMPORTRANGE(""1-uH1wy6jSm5jYL9je6fN1K5RJ5QMvHntodEHZRtIvTk"", ""All Data!N2:U""),
      ""select Col8 where Col1 = '"" &amp; D448 &amp; ""' and Col8 is not null"",
      0
    )
  )/100,
""""),
  """"
)
"),"")</f>
        <v/>
      </c>
    </row>
    <row r="447">
      <c r="D447" s="172"/>
      <c r="E447" s="368"/>
      <c r="F447" s="368"/>
      <c r="G447" s="368"/>
      <c r="H447" s="172"/>
      <c r="I447" s="172"/>
      <c r="J447" s="172"/>
      <c r="K447" s="172"/>
      <c r="L447" s="172"/>
      <c r="M447" s="172"/>
      <c r="N447" s="172"/>
      <c r="O447" s="358"/>
      <c r="P447" s="358"/>
      <c r="Q447" s="358"/>
      <c r="R447" s="378"/>
      <c r="S447" s="378"/>
      <c r="T447" s="8"/>
      <c r="U447" s="8"/>
      <c r="V447" s="8"/>
      <c r="W447" s="172"/>
      <c r="X447" s="172"/>
      <c r="Y447" s="8"/>
      <c r="Z447" s="8"/>
      <c r="AA447" s="8"/>
      <c r="AB447" s="172"/>
      <c r="AC447" s="172"/>
      <c r="AD447" s="8"/>
      <c r="AE447" s="8"/>
      <c r="AF447" s="8"/>
      <c r="AG447" s="172"/>
      <c r="AH447" s="172"/>
      <c r="AI447" s="367"/>
      <c r="AJ447" s="362"/>
      <c r="AK447" s="363" t="str">
        <f>IFERROR(__xludf.DUMMYFUNCTION("IFERROR(if(D449&lt;&gt;"""", 
  AVERAGE(
    QUERY(
      IMPORTRANGE(""1-uH1wy6jSm5jYL9je6fN1K5RJ5QMvHntodEHZRtIvTk"", ""All Data!N2:U""),
      ""select Col8 where Col1 = '"" &amp; D449 &amp; ""' and Col8 is not null"",
      0
    )
  )/100,
""""),
  """"
)
"),"")</f>
        <v/>
      </c>
    </row>
    <row r="448">
      <c r="D448" s="172"/>
      <c r="E448" s="368"/>
      <c r="F448" s="368"/>
      <c r="G448" s="368"/>
      <c r="H448" s="172"/>
      <c r="I448" s="172"/>
      <c r="J448" s="172"/>
      <c r="K448" s="172"/>
      <c r="L448" s="172"/>
      <c r="M448" s="172"/>
      <c r="N448" s="172"/>
      <c r="O448" s="358"/>
      <c r="P448" s="358"/>
      <c r="Q448" s="358"/>
      <c r="R448" s="378"/>
      <c r="S448" s="378"/>
      <c r="T448" s="8"/>
      <c r="U448" s="8"/>
      <c r="V448" s="8"/>
      <c r="W448" s="172"/>
      <c r="X448" s="172"/>
      <c r="Y448" s="8"/>
      <c r="Z448" s="8"/>
      <c r="AA448" s="8"/>
      <c r="AB448" s="172"/>
      <c r="AC448" s="172"/>
      <c r="AD448" s="8"/>
      <c r="AE448" s="8"/>
      <c r="AF448" s="8"/>
      <c r="AG448" s="172"/>
      <c r="AH448" s="172"/>
      <c r="AI448" s="367"/>
      <c r="AJ448" s="362"/>
      <c r="AK448" s="363" t="str">
        <f>IFERROR(__xludf.DUMMYFUNCTION("IFERROR(if(D450&lt;&gt;"""", 
  AVERAGE(
    QUERY(
      IMPORTRANGE(""1-uH1wy6jSm5jYL9je6fN1K5RJ5QMvHntodEHZRtIvTk"", ""All Data!N2:U""),
      ""select Col8 where Col1 = '"" &amp; D450 &amp; ""' and Col8 is not null"",
      0
    )
  )/100,
""""),
  """"
)
"),"")</f>
        <v/>
      </c>
    </row>
    <row r="449">
      <c r="D449" s="172"/>
      <c r="E449" s="368"/>
      <c r="F449" s="368"/>
      <c r="G449" s="368"/>
      <c r="H449" s="172"/>
      <c r="I449" s="172"/>
      <c r="J449" s="172"/>
      <c r="K449" s="172"/>
      <c r="L449" s="172"/>
      <c r="M449" s="172"/>
      <c r="N449" s="172"/>
      <c r="O449" s="358"/>
      <c r="P449" s="358"/>
      <c r="Q449" s="358"/>
      <c r="R449" s="378"/>
      <c r="S449" s="378"/>
      <c r="T449" s="8"/>
      <c r="U449" s="8"/>
      <c r="V449" s="8"/>
      <c r="W449" s="172"/>
      <c r="X449" s="172"/>
      <c r="Y449" s="8"/>
      <c r="Z449" s="8"/>
      <c r="AA449" s="8"/>
      <c r="AB449" s="172"/>
      <c r="AC449" s="172"/>
      <c r="AD449" s="8"/>
      <c r="AE449" s="8"/>
      <c r="AF449" s="8"/>
      <c r="AG449" s="172"/>
      <c r="AH449" s="172"/>
      <c r="AI449" s="367"/>
      <c r="AJ449" s="362"/>
      <c r="AK449" s="363" t="str">
        <f>IFERROR(__xludf.DUMMYFUNCTION("IFERROR(if(D451&lt;&gt;"""", 
  AVERAGE(
    QUERY(
      IMPORTRANGE(""1-uH1wy6jSm5jYL9je6fN1K5RJ5QMvHntodEHZRtIvTk"", ""All Data!N2:U""),
      ""select Col8 where Col1 = '"" &amp; D451 &amp; ""' and Col8 is not null"",
      0
    )
  )/100,
""""),
  """"
)
"),"")</f>
        <v/>
      </c>
    </row>
    <row r="450">
      <c r="D450" s="172"/>
      <c r="E450" s="368"/>
      <c r="F450" s="368"/>
      <c r="G450" s="368"/>
      <c r="H450" s="172"/>
      <c r="I450" s="172"/>
      <c r="J450" s="172"/>
      <c r="K450" s="172"/>
      <c r="L450" s="172"/>
      <c r="M450" s="172"/>
      <c r="N450" s="172"/>
      <c r="O450" s="358"/>
      <c r="P450" s="358"/>
      <c r="Q450" s="358"/>
      <c r="R450" s="378"/>
      <c r="S450" s="378"/>
      <c r="T450" s="8"/>
      <c r="U450" s="8"/>
      <c r="V450" s="8"/>
      <c r="W450" s="172"/>
      <c r="X450" s="172"/>
      <c r="Y450" s="8"/>
      <c r="Z450" s="8"/>
      <c r="AA450" s="8"/>
      <c r="AB450" s="172"/>
      <c r="AC450" s="172"/>
      <c r="AD450" s="8"/>
      <c r="AE450" s="8"/>
      <c r="AF450" s="8"/>
      <c r="AG450" s="172"/>
      <c r="AH450" s="172"/>
      <c r="AI450" s="367"/>
      <c r="AJ450" s="362"/>
      <c r="AK450" s="363" t="str">
        <f>IFERROR(__xludf.DUMMYFUNCTION("IFERROR(if(D452&lt;&gt;"""", 
  AVERAGE(
    QUERY(
      IMPORTRANGE(""1-uH1wy6jSm5jYL9je6fN1K5RJ5QMvHntodEHZRtIvTk"", ""All Data!N2:U""),
      ""select Col8 where Col1 = '"" &amp; D452 &amp; ""' and Col8 is not null"",
      0
    )
  )/100,
""""),
  """"
)
"),"")</f>
        <v/>
      </c>
    </row>
    <row r="451">
      <c r="D451" s="172"/>
      <c r="E451" s="368"/>
      <c r="F451" s="368"/>
      <c r="G451" s="368"/>
      <c r="H451" s="172"/>
      <c r="I451" s="172"/>
      <c r="J451" s="172"/>
      <c r="K451" s="172"/>
      <c r="L451" s="172"/>
      <c r="M451" s="172"/>
      <c r="N451" s="172"/>
      <c r="O451" s="358"/>
      <c r="P451" s="358"/>
      <c r="Q451" s="358"/>
      <c r="R451" s="378"/>
      <c r="S451" s="378"/>
      <c r="T451" s="8"/>
      <c r="U451" s="8"/>
      <c r="V451" s="8"/>
      <c r="W451" s="172"/>
      <c r="X451" s="172"/>
      <c r="Y451" s="8"/>
      <c r="Z451" s="8"/>
      <c r="AA451" s="8"/>
      <c r="AB451" s="172"/>
      <c r="AC451" s="172"/>
      <c r="AD451" s="8"/>
      <c r="AE451" s="8"/>
      <c r="AF451" s="8"/>
      <c r="AG451" s="172"/>
      <c r="AH451" s="172"/>
      <c r="AI451" s="367"/>
      <c r="AJ451" s="362"/>
      <c r="AK451" s="363" t="str">
        <f>IFERROR(__xludf.DUMMYFUNCTION("IFERROR(if(D453&lt;&gt;"""", 
  AVERAGE(
    QUERY(
      IMPORTRANGE(""1-uH1wy6jSm5jYL9je6fN1K5RJ5QMvHntodEHZRtIvTk"", ""All Data!N2:U""),
      ""select Col8 where Col1 = '"" &amp; D453 &amp; ""' and Col8 is not null"",
      0
    )
  )/100,
""""),
  """"
)
"),"")</f>
        <v/>
      </c>
    </row>
    <row r="452">
      <c r="D452" s="172"/>
      <c r="E452" s="368"/>
      <c r="F452" s="368"/>
      <c r="G452" s="368"/>
      <c r="H452" s="172"/>
      <c r="I452" s="172"/>
      <c r="J452" s="172"/>
      <c r="K452" s="172"/>
      <c r="L452" s="172"/>
      <c r="M452" s="172"/>
      <c r="N452" s="172"/>
      <c r="O452" s="358"/>
      <c r="P452" s="358"/>
      <c r="Q452" s="358"/>
      <c r="R452" s="378"/>
      <c r="S452" s="378"/>
      <c r="T452" s="8"/>
      <c r="U452" s="8"/>
      <c r="V452" s="8"/>
      <c r="W452" s="172"/>
      <c r="X452" s="172"/>
      <c r="Y452" s="8"/>
      <c r="Z452" s="8"/>
      <c r="AA452" s="8"/>
      <c r="AB452" s="172"/>
      <c r="AC452" s="172"/>
      <c r="AD452" s="8"/>
      <c r="AE452" s="8"/>
      <c r="AF452" s="8"/>
      <c r="AG452" s="172"/>
      <c r="AH452" s="172"/>
      <c r="AI452" s="367"/>
      <c r="AJ452" s="362"/>
      <c r="AK452" s="363" t="str">
        <f>IFERROR(__xludf.DUMMYFUNCTION("IFERROR(if(D454&lt;&gt;"""", 
  AVERAGE(
    QUERY(
      IMPORTRANGE(""1-uH1wy6jSm5jYL9je6fN1K5RJ5QMvHntodEHZRtIvTk"", ""All Data!N2:U""),
      ""select Col8 where Col1 = '"" &amp; D454 &amp; ""' and Col8 is not null"",
      0
    )
  )/100,
""""),
  """"
)
"),"")</f>
        <v/>
      </c>
    </row>
    <row r="453">
      <c r="D453" s="172"/>
      <c r="E453" s="368"/>
      <c r="F453" s="368"/>
      <c r="G453" s="368"/>
      <c r="H453" s="172"/>
      <c r="I453" s="172"/>
      <c r="J453" s="172"/>
      <c r="K453" s="172"/>
      <c r="L453" s="172"/>
      <c r="M453" s="172"/>
      <c r="N453" s="172"/>
      <c r="O453" s="358"/>
      <c r="P453" s="358"/>
      <c r="Q453" s="358"/>
      <c r="R453" s="378"/>
      <c r="S453" s="378"/>
      <c r="T453" s="8"/>
      <c r="U453" s="8"/>
      <c r="V453" s="8"/>
      <c r="W453" s="172"/>
      <c r="X453" s="172"/>
      <c r="Y453" s="8"/>
      <c r="Z453" s="8"/>
      <c r="AA453" s="8"/>
      <c r="AB453" s="172"/>
      <c r="AC453" s="172"/>
      <c r="AD453" s="8"/>
      <c r="AE453" s="8"/>
      <c r="AF453" s="8"/>
      <c r="AG453" s="172"/>
      <c r="AH453" s="172"/>
      <c r="AI453" s="367"/>
      <c r="AJ453" s="362"/>
      <c r="AK453" s="363" t="str">
        <f>IFERROR(__xludf.DUMMYFUNCTION("IFERROR(if(D455&lt;&gt;"""", 
  AVERAGE(
    QUERY(
      IMPORTRANGE(""1-uH1wy6jSm5jYL9je6fN1K5RJ5QMvHntodEHZRtIvTk"", ""All Data!N2:U""),
      ""select Col8 where Col1 = '"" &amp; D455 &amp; ""' and Col8 is not null"",
      0
    )
  )/100,
""""),
  """"
)
"),"")</f>
        <v/>
      </c>
    </row>
    <row r="454">
      <c r="D454" s="172"/>
      <c r="E454" s="368"/>
      <c r="F454" s="368"/>
      <c r="G454" s="368"/>
      <c r="H454" s="172"/>
      <c r="I454" s="172"/>
      <c r="J454" s="172"/>
      <c r="K454" s="172"/>
      <c r="L454" s="172"/>
      <c r="M454" s="172"/>
      <c r="N454" s="172"/>
      <c r="O454" s="358"/>
      <c r="P454" s="358"/>
      <c r="Q454" s="358"/>
      <c r="R454" s="378"/>
      <c r="S454" s="378"/>
      <c r="T454" s="8"/>
      <c r="U454" s="8"/>
      <c r="V454" s="8"/>
      <c r="W454" s="172"/>
      <c r="X454" s="172"/>
      <c r="Y454" s="8"/>
      <c r="Z454" s="8"/>
      <c r="AA454" s="8"/>
      <c r="AB454" s="172"/>
      <c r="AC454" s="172"/>
      <c r="AD454" s="8"/>
      <c r="AE454" s="8"/>
      <c r="AF454" s="8"/>
      <c r="AG454" s="172"/>
      <c r="AH454" s="172"/>
      <c r="AI454" s="367"/>
      <c r="AJ454" s="362"/>
      <c r="AK454" s="363" t="str">
        <f>IFERROR(__xludf.DUMMYFUNCTION("IFERROR(if(D456&lt;&gt;"""", 
  AVERAGE(
    QUERY(
      IMPORTRANGE(""1-uH1wy6jSm5jYL9je6fN1K5RJ5QMvHntodEHZRtIvTk"", ""All Data!N2:U""),
      ""select Col8 where Col1 = '"" &amp; D456 &amp; ""' and Col8 is not null"",
      0
    )
  )/100,
""""),
  """"
)
"),"")</f>
        <v/>
      </c>
    </row>
    <row r="455">
      <c r="D455" s="172"/>
      <c r="E455" s="368"/>
      <c r="F455" s="368"/>
      <c r="G455" s="368"/>
      <c r="H455" s="172"/>
      <c r="I455" s="172"/>
      <c r="J455" s="172"/>
      <c r="K455" s="172"/>
      <c r="L455" s="172"/>
      <c r="M455" s="172"/>
      <c r="N455" s="172"/>
      <c r="O455" s="358"/>
      <c r="P455" s="358"/>
      <c r="Q455" s="358"/>
      <c r="R455" s="378"/>
      <c r="S455" s="378"/>
      <c r="T455" s="8"/>
      <c r="U455" s="8"/>
      <c r="V455" s="8"/>
      <c r="W455" s="172"/>
      <c r="X455" s="172"/>
      <c r="Y455" s="8"/>
      <c r="Z455" s="8"/>
      <c r="AA455" s="8"/>
      <c r="AB455" s="172"/>
      <c r="AC455" s="172"/>
      <c r="AD455" s="8"/>
      <c r="AE455" s="8"/>
      <c r="AF455" s="8"/>
      <c r="AG455" s="172"/>
      <c r="AH455" s="172"/>
      <c r="AI455" s="367"/>
      <c r="AJ455" s="362"/>
      <c r="AK455" s="363" t="str">
        <f>IFERROR(__xludf.DUMMYFUNCTION("IFERROR(if(D457&lt;&gt;"""", 
  AVERAGE(
    QUERY(
      IMPORTRANGE(""1-uH1wy6jSm5jYL9je6fN1K5RJ5QMvHntodEHZRtIvTk"", ""All Data!N2:U""),
      ""select Col8 where Col1 = '"" &amp; D457 &amp; ""' and Col8 is not null"",
      0
    )
  )/100,
""""),
  """"
)
"),"")</f>
        <v/>
      </c>
    </row>
    <row r="456">
      <c r="D456" s="172"/>
      <c r="E456" s="368"/>
      <c r="F456" s="368"/>
      <c r="G456" s="368"/>
      <c r="H456" s="172"/>
      <c r="I456" s="172"/>
      <c r="J456" s="172"/>
      <c r="K456" s="172"/>
      <c r="L456" s="172"/>
      <c r="M456" s="172"/>
      <c r="N456" s="172"/>
      <c r="O456" s="358"/>
      <c r="P456" s="358"/>
      <c r="Q456" s="358"/>
      <c r="R456" s="378"/>
      <c r="S456" s="378"/>
      <c r="T456" s="8"/>
      <c r="U456" s="8"/>
      <c r="V456" s="8"/>
      <c r="W456" s="172"/>
      <c r="X456" s="172"/>
      <c r="Y456" s="8"/>
      <c r="Z456" s="8"/>
      <c r="AA456" s="8"/>
      <c r="AB456" s="172"/>
      <c r="AC456" s="172"/>
      <c r="AD456" s="8"/>
      <c r="AE456" s="8"/>
      <c r="AF456" s="8"/>
      <c r="AG456" s="172"/>
      <c r="AH456" s="172"/>
      <c r="AI456" s="367"/>
      <c r="AJ456" s="362"/>
      <c r="AK456" s="363" t="str">
        <f>IFERROR(__xludf.DUMMYFUNCTION("IFERROR(if(D458&lt;&gt;"""", 
  AVERAGE(
    QUERY(
      IMPORTRANGE(""1-uH1wy6jSm5jYL9je6fN1K5RJ5QMvHntodEHZRtIvTk"", ""All Data!N2:U""),
      ""select Col8 where Col1 = '"" &amp; D458 &amp; ""' and Col8 is not null"",
      0
    )
  )/100,
""""),
  """"
)
"),"")</f>
        <v/>
      </c>
    </row>
    <row r="457">
      <c r="D457" s="172"/>
      <c r="E457" s="368"/>
      <c r="F457" s="368"/>
      <c r="G457" s="368"/>
      <c r="H457" s="172"/>
      <c r="I457" s="172"/>
      <c r="J457" s="172"/>
      <c r="K457" s="172"/>
      <c r="L457" s="172"/>
      <c r="M457" s="172"/>
      <c r="N457" s="172"/>
      <c r="O457" s="358"/>
      <c r="P457" s="358"/>
      <c r="Q457" s="358"/>
      <c r="R457" s="378"/>
      <c r="S457" s="378"/>
      <c r="T457" s="8"/>
      <c r="U457" s="8"/>
      <c r="V457" s="8"/>
      <c r="W457" s="172"/>
      <c r="X457" s="172"/>
      <c r="Y457" s="8"/>
      <c r="Z457" s="8"/>
      <c r="AA457" s="8"/>
      <c r="AB457" s="172"/>
      <c r="AC457" s="172"/>
      <c r="AD457" s="8"/>
      <c r="AE457" s="8"/>
      <c r="AF457" s="8"/>
      <c r="AG457" s="172"/>
      <c r="AH457" s="172"/>
      <c r="AI457" s="367"/>
      <c r="AJ457" s="362"/>
      <c r="AK457" s="363" t="str">
        <f>IFERROR(__xludf.DUMMYFUNCTION("IFERROR(if(D459&lt;&gt;"""", 
  AVERAGE(
    QUERY(
      IMPORTRANGE(""1-uH1wy6jSm5jYL9je6fN1K5RJ5QMvHntodEHZRtIvTk"", ""All Data!N2:U""),
      ""select Col8 where Col1 = '"" &amp; D459 &amp; ""' and Col8 is not null"",
      0
    )
  )/100,
""""),
  """"
)
"),"")</f>
        <v/>
      </c>
    </row>
    <row r="458">
      <c r="D458" s="172"/>
      <c r="E458" s="368"/>
      <c r="F458" s="368"/>
      <c r="G458" s="368"/>
      <c r="H458" s="172"/>
      <c r="I458" s="172"/>
      <c r="J458" s="172"/>
      <c r="K458" s="172"/>
      <c r="L458" s="172"/>
      <c r="M458" s="172"/>
      <c r="N458" s="172"/>
      <c r="O458" s="358"/>
      <c r="P458" s="358"/>
      <c r="Q458" s="358"/>
      <c r="R458" s="378"/>
      <c r="S458" s="378"/>
      <c r="T458" s="8"/>
      <c r="U458" s="8"/>
      <c r="V458" s="8"/>
      <c r="W458" s="172"/>
      <c r="X458" s="172"/>
      <c r="Y458" s="8"/>
      <c r="Z458" s="8"/>
      <c r="AA458" s="8"/>
      <c r="AB458" s="172"/>
      <c r="AC458" s="172"/>
      <c r="AD458" s="8"/>
      <c r="AE458" s="8"/>
      <c r="AF458" s="8"/>
      <c r="AG458" s="172"/>
      <c r="AH458" s="172"/>
      <c r="AI458" s="367"/>
      <c r="AJ458" s="362"/>
      <c r="AK458" s="363" t="str">
        <f>IFERROR(__xludf.DUMMYFUNCTION("IFERROR(if(D460&lt;&gt;"""", 
  AVERAGE(
    QUERY(
      IMPORTRANGE(""1-uH1wy6jSm5jYL9je6fN1K5RJ5QMvHntodEHZRtIvTk"", ""All Data!N2:U""),
      ""select Col8 where Col1 = '"" &amp; D460 &amp; ""' and Col8 is not null"",
      0
    )
  )/100,
""""),
  """"
)
"),"")</f>
        <v/>
      </c>
    </row>
    <row r="459">
      <c r="D459" s="172"/>
      <c r="E459" s="368"/>
      <c r="F459" s="368"/>
      <c r="G459" s="368"/>
      <c r="H459" s="172"/>
      <c r="I459" s="172"/>
      <c r="J459" s="172"/>
      <c r="K459" s="172"/>
      <c r="L459" s="172"/>
      <c r="M459" s="172"/>
      <c r="N459" s="172"/>
      <c r="O459" s="358"/>
      <c r="P459" s="358"/>
      <c r="Q459" s="358"/>
      <c r="R459" s="378"/>
      <c r="S459" s="378"/>
      <c r="T459" s="8"/>
      <c r="U459" s="8"/>
      <c r="V459" s="8"/>
      <c r="W459" s="172"/>
      <c r="X459" s="172"/>
      <c r="Y459" s="8"/>
      <c r="Z459" s="8"/>
      <c r="AA459" s="8"/>
      <c r="AB459" s="172"/>
      <c r="AC459" s="172"/>
      <c r="AD459" s="8"/>
      <c r="AE459" s="8"/>
      <c r="AF459" s="8"/>
      <c r="AG459" s="172"/>
      <c r="AH459" s="172"/>
      <c r="AI459" s="367"/>
      <c r="AJ459" s="362"/>
      <c r="AK459" s="363" t="str">
        <f>IFERROR(__xludf.DUMMYFUNCTION("IFERROR(if(D461&lt;&gt;"""", 
  AVERAGE(
    QUERY(
      IMPORTRANGE(""1-uH1wy6jSm5jYL9je6fN1K5RJ5QMvHntodEHZRtIvTk"", ""All Data!N2:U""),
      ""select Col8 where Col1 = '"" &amp; D461 &amp; ""' and Col8 is not null"",
      0
    )
  )/100,
""""),
  """"
)
"),"")</f>
        <v/>
      </c>
    </row>
    <row r="460">
      <c r="D460" s="172"/>
      <c r="E460" s="368"/>
      <c r="F460" s="368"/>
      <c r="G460" s="368"/>
      <c r="H460" s="172"/>
      <c r="I460" s="172"/>
      <c r="J460" s="172"/>
      <c r="K460" s="172"/>
      <c r="L460" s="172"/>
      <c r="M460" s="172"/>
      <c r="N460" s="172"/>
      <c r="O460" s="358"/>
      <c r="P460" s="358"/>
      <c r="Q460" s="358"/>
      <c r="R460" s="378"/>
      <c r="S460" s="378"/>
      <c r="T460" s="8"/>
      <c r="U460" s="8"/>
      <c r="V460" s="8"/>
      <c r="W460" s="172"/>
      <c r="X460" s="172"/>
      <c r="Y460" s="8"/>
      <c r="Z460" s="8"/>
      <c r="AA460" s="8"/>
      <c r="AB460" s="172"/>
      <c r="AC460" s="172"/>
      <c r="AD460" s="8"/>
      <c r="AE460" s="8"/>
      <c r="AF460" s="8"/>
      <c r="AG460" s="172"/>
      <c r="AH460" s="172"/>
      <c r="AI460" s="367"/>
      <c r="AJ460" s="362"/>
      <c r="AK460" s="363" t="str">
        <f>IFERROR(__xludf.DUMMYFUNCTION("IFERROR(if(D462&lt;&gt;"""", 
  AVERAGE(
    QUERY(
      IMPORTRANGE(""1-uH1wy6jSm5jYL9je6fN1K5RJ5QMvHntodEHZRtIvTk"", ""All Data!N2:U""),
      ""select Col8 where Col1 = '"" &amp; D462 &amp; ""' and Col8 is not null"",
      0
    )
  )/100,
""""),
  """"
)
"),"")</f>
        <v/>
      </c>
    </row>
    <row r="461">
      <c r="D461" s="172"/>
      <c r="E461" s="368"/>
      <c r="F461" s="368"/>
      <c r="G461" s="368"/>
      <c r="H461" s="172"/>
      <c r="I461" s="172"/>
      <c r="J461" s="172"/>
      <c r="K461" s="172"/>
      <c r="L461" s="172"/>
      <c r="M461" s="172"/>
      <c r="N461" s="172"/>
      <c r="O461" s="358"/>
      <c r="P461" s="358"/>
      <c r="Q461" s="358"/>
      <c r="R461" s="378"/>
      <c r="S461" s="378"/>
      <c r="T461" s="8"/>
      <c r="U461" s="8"/>
      <c r="V461" s="8"/>
      <c r="W461" s="172"/>
      <c r="X461" s="172"/>
      <c r="Y461" s="8"/>
      <c r="Z461" s="8"/>
      <c r="AA461" s="8"/>
      <c r="AB461" s="172"/>
      <c r="AC461" s="172"/>
      <c r="AD461" s="8"/>
      <c r="AE461" s="8"/>
      <c r="AF461" s="8"/>
      <c r="AG461" s="172"/>
      <c r="AH461" s="172"/>
      <c r="AI461" s="367"/>
      <c r="AJ461" s="362"/>
      <c r="AK461" s="363" t="str">
        <f>IFERROR(__xludf.DUMMYFUNCTION("IFERROR(if(D463&lt;&gt;"""", 
  AVERAGE(
    QUERY(
      IMPORTRANGE(""1-uH1wy6jSm5jYL9je6fN1K5RJ5QMvHntodEHZRtIvTk"", ""All Data!N2:U""),
      ""select Col8 where Col1 = '"" &amp; D463 &amp; ""' and Col8 is not null"",
      0
    )
  )/100,
""""),
  """"
)
"),"")</f>
        <v/>
      </c>
    </row>
    <row r="462">
      <c r="D462" s="172"/>
      <c r="E462" s="368"/>
      <c r="F462" s="368"/>
      <c r="G462" s="368"/>
      <c r="H462" s="172"/>
      <c r="I462" s="172"/>
      <c r="J462" s="172"/>
      <c r="K462" s="172"/>
      <c r="L462" s="172"/>
      <c r="M462" s="172"/>
      <c r="N462" s="172"/>
      <c r="O462" s="358"/>
      <c r="P462" s="358"/>
      <c r="Q462" s="358"/>
      <c r="R462" s="378"/>
      <c r="S462" s="378"/>
      <c r="T462" s="8"/>
      <c r="U462" s="8"/>
      <c r="V462" s="8"/>
      <c r="W462" s="172"/>
      <c r="X462" s="172"/>
      <c r="Y462" s="8"/>
      <c r="Z462" s="8"/>
      <c r="AA462" s="8"/>
      <c r="AB462" s="172"/>
      <c r="AC462" s="172"/>
      <c r="AD462" s="8"/>
      <c r="AE462" s="8"/>
      <c r="AF462" s="8"/>
      <c r="AG462" s="172"/>
      <c r="AH462" s="172"/>
      <c r="AI462" s="367"/>
      <c r="AJ462" s="362"/>
      <c r="AK462" s="363" t="str">
        <f>IFERROR(__xludf.DUMMYFUNCTION("IFERROR(if(D464&lt;&gt;"""", 
  AVERAGE(
    QUERY(
      IMPORTRANGE(""1-uH1wy6jSm5jYL9je6fN1K5RJ5QMvHntodEHZRtIvTk"", ""All Data!N2:U""),
      ""select Col8 where Col1 = '"" &amp; D464 &amp; ""' and Col8 is not null"",
      0
    )
  )/100,
""""),
  """"
)
"),"")</f>
        <v/>
      </c>
    </row>
    <row r="463">
      <c r="D463" s="172"/>
      <c r="E463" s="368"/>
      <c r="F463" s="368"/>
      <c r="G463" s="368"/>
      <c r="H463" s="172"/>
      <c r="I463" s="172"/>
      <c r="J463" s="172"/>
      <c r="K463" s="172"/>
      <c r="L463" s="172"/>
      <c r="M463" s="172"/>
      <c r="N463" s="172"/>
      <c r="O463" s="358"/>
      <c r="P463" s="358"/>
      <c r="Q463" s="358"/>
      <c r="R463" s="378"/>
      <c r="S463" s="378"/>
      <c r="T463" s="8"/>
      <c r="U463" s="8"/>
      <c r="V463" s="8"/>
      <c r="W463" s="172"/>
      <c r="X463" s="172"/>
      <c r="Y463" s="8"/>
      <c r="Z463" s="8"/>
      <c r="AA463" s="8"/>
      <c r="AB463" s="172"/>
      <c r="AC463" s="172"/>
      <c r="AD463" s="8"/>
      <c r="AE463" s="8"/>
      <c r="AF463" s="8"/>
      <c r="AG463" s="172"/>
      <c r="AH463" s="172"/>
      <c r="AI463" s="367"/>
      <c r="AJ463" s="362"/>
      <c r="AK463" s="363" t="str">
        <f>IFERROR(__xludf.DUMMYFUNCTION("IFERROR(if(D465&lt;&gt;"""", 
  AVERAGE(
    QUERY(
      IMPORTRANGE(""1-uH1wy6jSm5jYL9je6fN1K5RJ5QMvHntodEHZRtIvTk"", ""All Data!N2:U""),
      ""select Col8 where Col1 = '"" &amp; D465 &amp; ""' and Col8 is not null"",
      0
    )
  )/100,
""""),
  """"
)
"),"")</f>
        <v/>
      </c>
    </row>
    <row r="464">
      <c r="D464" s="172"/>
      <c r="E464" s="368"/>
      <c r="F464" s="368"/>
      <c r="G464" s="368"/>
      <c r="H464" s="172"/>
      <c r="I464" s="172"/>
      <c r="J464" s="172"/>
      <c r="K464" s="172"/>
      <c r="L464" s="172"/>
      <c r="M464" s="172"/>
      <c r="N464" s="172"/>
      <c r="O464" s="358"/>
      <c r="P464" s="358"/>
      <c r="Q464" s="358"/>
      <c r="R464" s="378"/>
      <c r="S464" s="378"/>
      <c r="T464" s="8"/>
      <c r="U464" s="8"/>
      <c r="V464" s="8"/>
      <c r="W464" s="172"/>
      <c r="X464" s="172"/>
      <c r="Y464" s="8"/>
      <c r="Z464" s="8"/>
      <c r="AA464" s="8"/>
      <c r="AB464" s="172"/>
      <c r="AC464" s="172"/>
      <c r="AD464" s="8"/>
      <c r="AE464" s="8"/>
      <c r="AF464" s="8"/>
      <c r="AG464" s="172"/>
      <c r="AH464" s="172"/>
      <c r="AI464" s="367"/>
      <c r="AJ464" s="362"/>
      <c r="AK464" s="363" t="str">
        <f>IFERROR(__xludf.DUMMYFUNCTION("IFERROR(if(D466&lt;&gt;"""", 
  AVERAGE(
    QUERY(
      IMPORTRANGE(""1-uH1wy6jSm5jYL9je6fN1K5RJ5QMvHntodEHZRtIvTk"", ""All Data!N2:U""),
      ""select Col8 where Col1 = '"" &amp; D466 &amp; ""' and Col8 is not null"",
      0
    )
  )/100,
""""),
  """"
)
"),"")</f>
        <v/>
      </c>
    </row>
    <row r="465">
      <c r="D465" s="172"/>
      <c r="E465" s="368"/>
      <c r="F465" s="368"/>
      <c r="G465" s="368"/>
      <c r="H465" s="172"/>
      <c r="I465" s="172"/>
      <c r="J465" s="172"/>
      <c r="K465" s="172"/>
      <c r="L465" s="172"/>
      <c r="M465" s="172"/>
      <c r="N465" s="172"/>
      <c r="O465" s="358"/>
      <c r="P465" s="358"/>
      <c r="Q465" s="358"/>
      <c r="R465" s="378"/>
      <c r="S465" s="378"/>
      <c r="T465" s="8"/>
      <c r="U465" s="8"/>
      <c r="V465" s="8"/>
      <c r="W465" s="172"/>
      <c r="X465" s="172"/>
      <c r="Y465" s="8"/>
      <c r="Z465" s="8"/>
      <c r="AA465" s="8"/>
      <c r="AB465" s="172"/>
      <c r="AC465" s="172"/>
      <c r="AD465" s="8"/>
      <c r="AE465" s="8"/>
      <c r="AF465" s="8"/>
      <c r="AG465" s="172"/>
      <c r="AH465" s="172"/>
      <c r="AI465" s="367"/>
      <c r="AJ465" s="362"/>
      <c r="AK465" s="363" t="str">
        <f>IFERROR(__xludf.DUMMYFUNCTION("IFERROR(if(D467&lt;&gt;"""", 
  AVERAGE(
    QUERY(
      IMPORTRANGE(""1-uH1wy6jSm5jYL9je6fN1K5RJ5QMvHntodEHZRtIvTk"", ""All Data!N2:U""),
      ""select Col8 where Col1 = '"" &amp; D467 &amp; ""' and Col8 is not null"",
      0
    )
  )/100,
""""),
  """"
)
"),"")</f>
        <v/>
      </c>
    </row>
    <row r="466">
      <c r="D466" s="172"/>
      <c r="E466" s="368"/>
      <c r="F466" s="368"/>
      <c r="G466" s="368"/>
      <c r="H466" s="172"/>
      <c r="I466" s="172"/>
      <c r="J466" s="172"/>
      <c r="K466" s="172"/>
      <c r="L466" s="172"/>
      <c r="M466" s="172"/>
      <c r="N466" s="172"/>
      <c r="O466" s="358"/>
      <c r="P466" s="358"/>
      <c r="Q466" s="358"/>
      <c r="R466" s="378"/>
      <c r="S466" s="378"/>
      <c r="T466" s="8"/>
      <c r="U466" s="8"/>
      <c r="V466" s="8"/>
      <c r="W466" s="172"/>
      <c r="X466" s="172"/>
      <c r="Y466" s="8"/>
      <c r="Z466" s="8"/>
      <c r="AA466" s="8"/>
      <c r="AB466" s="172"/>
      <c r="AC466" s="172"/>
      <c r="AD466" s="8"/>
      <c r="AE466" s="8"/>
      <c r="AF466" s="8"/>
      <c r="AG466" s="172"/>
      <c r="AH466" s="172"/>
      <c r="AI466" s="367"/>
      <c r="AJ466" s="362"/>
      <c r="AK466" s="363" t="str">
        <f>IFERROR(__xludf.DUMMYFUNCTION("IFERROR(if(D468&lt;&gt;"""", 
  AVERAGE(
    QUERY(
      IMPORTRANGE(""1-uH1wy6jSm5jYL9je6fN1K5RJ5QMvHntodEHZRtIvTk"", ""All Data!N2:U""),
      ""select Col8 where Col1 = '"" &amp; D468 &amp; ""' and Col8 is not null"",
      0
    )
  )/100,
""""),
  """"
)
"),"")</f>
        <v/>
      </c>
    </row>
    <row r="467">
      <c r="D467" s="172"/>
      <c r="E467" s="368"/>
      <c r="F467" s="368"/>
      <c r="G467" s="368"/>
      <c r="H467" s="172"/>
      <c r="I467" s="172"/>
      <c r="J467" s="172"/>
      <c r="K467" s="172"/>
      <c r="L467" s="172"/>
      <c r="M467" s="172"/>
      <c r="N467" s="172"/>
      <c r="O467" s="358"/>
      <c r="P467" s="358"/>
      <c r="Q467" s="358"/>
      <c r="R467" s="378"/>
      <c r="S467" s="378"/>
      <c r="T467" s="8"/>
      <c r="U467" s="8"/>
      <c r="V467" s="8"/>
      <c r="W467" s="172"/>
      <c r="X467" s="172"/>
      <c r="Y467" s="8"/>
      <c r="Z467" s="8"/>
      <c r="AA467" s="8"/>
      <c r="AB467" s="172"/>
      <c r="AC467" s="172"/>
      <c r="AD467" s="8"/>
      <c r="AE467" s="8"/>
      <c r="AF467" s="8"/>
      <c r="AG467" s="172"/>
      <c r="AH467" s="172"/>
      <c r="AI467" s="367"/>
      <c r="AJ467" s="362"/>
      <c r="AK467" s="363" t="str">
        <f>IFERROR(__xludf.DUMMYFUNCTION("IFERROR(if(D469&lt;&gt;"""", 
  AVERAGE(
    QUERY(
      IMPORTRANGE(""1-uH1wy6jSm5jYL9je6fN1K5RJ5QMvHntodEHZRtIvTk"", ""All Data!N2:U""),
      ""select Col8 where Col1 = '"" &amp; D469 &amp; ""' and Col8 is not null"",
      0
    )
  )/100,
""""),
  """"
)
"),"")</f>
        <v/>
      </c>
    </row>
    <row r="468">
      <c r="D468" s="172"/>
      <c r="E468" s="368"/>
      <c r="F468" s="368"/>
      <c r="G468" s="368"/>
      <c r="H468" s="172"/>
      <c r="I468" s="172"/>
      <c r="J468" s="172"/>
      <c r="K468" s="172"/>
      <c r="L468" s="172"/>
      <c r="M468" s="172"/>
      <c r="N468" s="172"/>
      <c r="O468" s="358"/>
      <c r="P468" s="358"/>
      <c r="Q468" s="358"/>
      <c r="R468" s="378"/>
      <c r="S468" s="378"/>
      <c r="T468" s="8"/>
      <c r="U468" s="8"/>
      <c r="V468" s="8"/>
      <c r="W468" s="172"/>
      <c r="X468" s="172"/>
      <c r="Y468" s="8"/>
      <c r="Z468" s="8"/>
      <c r="AA468" s="8"/>
      <c r="AB468" s="172"/>
      <c r="AC468" s="172"/>
      <c r="AD468" s="8"/>
      <c r="AE468" s="8"/>
      <c r="AF468" s="8"/>
      <c r="AG468" s="172"/>
      <c r="AH468" s="172"/>
      <c r="AI468" s="367"/>
      <c r="AJ468" s="362"/>
      <c r="AK468" s="363" t="str">
        <f>IFERROR(__xludf.DUMMYFUNCTION("IFERROR(if(D470&lt;&gt;"""", 
  AVERAGE(
    QUERY(
      IMPORTRANGE(""1-uH1wy6jSm5jYL9je6fN1K5RJ5QMvHntodEHZRtIvTk"", ""All Data!N2:U""),
      ""select Col8 where Col1 = '"" &amp; D470 &amp; ""' and Col8 is not null"",
      0
    )
  )/100,
""""),
  """"
)
"),"")</f>
        <v/>
      </c>
    </row>
    <row r="469">
      <c r="D469" s="172"/>
      <c r="E469" s="368"/>
      <c r="F469" s="368"/>
      <c r="G469" s="368"/>
      <c r="H469" s="172"/>
      <c r="I469" s="172"/>
      <c r="J469" s="172"/>
      <c r="K469" s="172"/>
      <c r="L469" s="172"/>
      <c r="M469" s="172"/>
      <c r="N469" s="172"/>
      <c r="O469" s="358"/>
      <c r="P469" s="358"/>
      <c r="Q469" s="358"/>
      <c r="R469" s="378"/>
      <c r="S469" s="378"/>
      <c r="T469" s="8"/>
      <c r="U469" s="8"/>
      <c r="V469" s="8"/>
      <c r="W469" s="172"/>
      <c r="X469" s="172"/>
      <c r="Y469" s="8"/>
      <c r="Z469" s="8"/>
      <c r="AA469" s="8"/>
      <c r="AB469" s="172"/>
      <c r="AC469" s="172"/>
      <c r="AD469" s="8"/>
      <c r="AE469" s="8"/>
      <c r="AF469" s="8"/>
      <c r="AG469" s="172"/>
      <c r="AH469" s="172"/>
      <c r="AI469" s="367"/>
      <c r="AJ469" s="362"/>
      <c r="AK469" s="363" t="str">
        <f>IFERROR(__xludf.DUMMYFUNCTION("IFERROR(if(D471&lt;&gt;"""", 
  AVERAGE(
    QUERY(
      IMPORTRANGE(""1-uH1wy6jSm5jYL9je6fN1K5RJ5QMvHntodEHZRtIvTk"", ""All Data!N2:U""),
      ""select Col8 where Col1 = '"" &amp; D471 &amp; ""' and Col8 is not null"",
      0
    )
  )/100,
""""),
  """"
)
"),"")</f>
        <v/>
      </c>
    </row>
    <row r="470">
      <c r="D470" s="172"/>
      <c r="E470" s="368"/>
      <c r="F470" s="368"/>
      <c r="G470" s="368"/>
      <c r="H470" s="172"/>
      <c r="I470" s="172"/>
      <c r="J470" s="172"/>
      <c r="K470" s="172"/>
      <c r="L470" s="172"/>
      <c r="M470" s="172"/>
      <c r="N470" s="172"/>
      <c r="O470" s="358"/>
      <c r="P470" s="358"/>
      <c r="Q470" s="358"/>
      <c r="R470" s="378"/>
      <c r="S470" s="378"/>
      <c r="T470" s="8"/>
      <c r="U470" s="8"/>
      <c r="V470" s="8"/>
      <c r="W470" s="172"/>
      <c r="X470" s="172"/>
      <c r="Y470" s="8"/>
      <c r="Z470" s="8"/>
      <c r="AA470" s="8"/>
      <c r="AB470" s="172"/>
      <c r="AC470" s="172"/>
      <c r="AD470" s="8"/>
      <c r="AE470" s="8"/>
      <c r="AF470" s="8"/>
      <c r="AG470" s="172"/>
      <c r="AH470" s="172"/>
      <c r="AI470" s="367"/>
      <c r="AJ470" s="362"/>
      <c r="AK470" s="363" t="str">
        <f>IFERROR(__xludf.DUMMYFUNCTION("IFERROR(if(D472&lt;&gt;"""", 
  AVERAGE(
    QUERY(
      IMPORTRANGE(""1-uH1wy6jSm5jYL9je6fN1K5RJ5QMvHntodEHZRtIvTk"", ""All Data!N2:U""),
      ""select Col8 where Col1 = '"" &amp; D472 &amp; ""' and Col8 is not null"",
      0
    )
  )/100,
""""),
  """"
)
"),"")</f>
        <v/>
      </c>
    </row>
    <row r="471">
      <c r="D471" s="172"/>
      <c r="E471" s="368"/>
      <c r="F471" s="368"/>
      <c r="G471" s="368"/>
      <c r="H471" s="172"/>
      <c r="I471" s="172"/>
      <c r="J471" s="172"/>
      <c r="K471" s="172"/>
      <c r="L471" s="172"/>
      <c r="M471" s="172"/>
      <c r="N471" s="172"/>
      <c r="O471" s="358"/>
      <c r="P471" s="358"/>
      <c r="Q471" s="358"/>
      <c r="R471" s="378"/>
      <c r="S471" s="378"/>
      <c r="T471" s="8"/>
      <c r="U471" s="8"/>
      <c r="V471" s="8"/>
      <c r="W471" s="172"/>
      <c r="X471" s="172"/>
      <c r="Y471" s="8"/>
      <c r="Z471" s="8"/>
      <c r="AA471" s="8"/>
      <c r="AB471" s="172"/>
      <c r="AC471" s="172"/>
      <c r="AD471" s="8"/>
      <c r="AE471" s="8"/>
      <c r="AF471" s="8"/>
      <c r="AG471" s="172"/>
      <c r="AH471" s="172"/>
      <c r="AI471" s="367"/>
      <c r="AJ471" s="362"/>
      <c r="AK471" s="363" t="str">
        <f>IFERROR(__xludf.DUMMYFUNCTION("IFERROR(if(D473&lt;&gt;"""", 
  AVERAGE(
    QUERY(
      IMPORTRANGE(""1-uH1wy6jSm5jYL9je6fN1K5RJ5QMvHntodEHZRtIvTk"", ""All Data!N2:U""),
      ""select Col8 where Col1 = '"" &amp; D473 &amp; ""' and Col8 is not null"",
      0
    )
  )/100,
""""),
  """"
)
"),"")</f>
        <v/>
      </c>
    </row>
    <row r="472">
      <c r="D472" s="172"/>
      <c r="E472" s="368"/>
      <c r="F472" s="368"/>
      <c r="G472" s="368"/>
      <c r="H472" s="172"/>
      <c r="I472" s="172"/>
      <c r="J472" s="172"/>
      <c r="K472" s="172"/>
      <c r="L472" s="172"/>
      <c r="M472" s="172"/>
      <c r="N472" s="172"/>
      <c r="O472" s="358"/>
      <c r="P472" s="358"/>
      <c r="Q472" s="358"/>
      <c r="R472" s="378"/>
      <c r="S472" s="378"/>
      <c r="T472" s="8"/>
      <c r="U472" s="8"/>
      <c r="V472" s="8"/>
      <c r="W472" s="172"/>
      <c r="X472" s="172"/>
      <c r="Y472" s="8"/>
      <c r="Z472" s="8"/>
      <c r="AA472" s="8"/>
      <c r="AB472" s="172"/>
      <c r="AC472" s="172"/>
      <c r="AD472" s="8"/>
      <c r="AE472" s="8"/>
      <c r="AF472" s="8"/>
      <c r="AG472" s="172"/>
      <c r="AH472" s="172"/>
      <c r="AI472" s="367"/>
      <c r="AJ472" s="362"/>
      <c r="AK472" s="363" t="str">
        <f>IFERROR(__xludf.DUMMYFUNCTION("IFERROR(if(D474&lt;&gt;"""", 
  AVERAGE(
    QUERY(
      IMPORTRANGE(""1-uH1wy6jSm5jYL9je6fN1K5RJ5QMvHntodEHZRtIvTk"", ""All Data!N2:U""),
      ""select Col8 where Col1 = '"" &amp; D474 &amp; ""' and Col8 is not null"",
      0
    )
  )/100,
""""),
  """"
)
"),"")</f>
        <v/>
      </c>
    </row>
    <row r="473">
      <c r="D473" s="172"/>
      <c r="E473" s="368"/>
      <c r="F473" s="368"/>
      <c r="G473" s="368"/>
      <c r="H473" s="172"/>
      <c r="I473" s="172"/>
      <c r="J473" s="172"/>
      <c r="K473" s="172"/>
      <c r="L473" s="172"/>
      <c r="M473" s="172"/>
      <c r="N473" s="172"/>
      <c r="O473" s="358"/>
      <c r="P473" s="358"/>
      <c r="Q473" s="358"/>
      <c r="R473" s="378"/>
      <c r="S473" s="378"/>
      <c r="T473" s="8"/>
      <c r="U473" s="8"/>
      <c r="V473" s="8"/>
      <c r="W473" s="172"/>
      <c r="X473" s="172"/>
      <c r="Y473" s="8"/>
      <c r="Z473" s="8"/>
      <c r="AA473" s="8"/>
      <c r="AB473" s="172"/>
      <c r="AC473" s="172"/>
      <c r="AD473" s="8"/>
      <c r="AE473" s="8"/>
      <c r="AF473" s="8"/>
      <c r="AG473" s="172"/>
      <c r="AH473" s="172"/>
      <c r="AI473" s="367"/>
      <c r="AJ473" s="362"/>
      <c r="AK473" s="363" t="str">
        <f>IFERROR(__xludf.DUMMYFUNCTION("IFERROR(if(D475&lt;&gt;"""", 
  AVERAGE(
    QUERY(
      IMPORTRANGE(""1-uH1wy6jSm5jYL9je6fN1K5RJ5QMvHntodEHZRtIvTk"", ""All Data!N2:U""),
      ""select Col8 where Col1 = '"" &amp; D475 &amp; ""' and Col8 is not null"",
      0
    )
  )/100,
""""),
  """"
)
"),"")</f>
        <v/>
      </c>
    </row>
    <row r="474">
      <c r="D474" s="172"/>
      <c r="E474" s="368"/>
      <c r="F474" s="368"/>
      <c r="G474" s="368"/>
      <c r="H474" s="172"/>
      <c r="I474" s="172"/>
      <c r="J474" s="172"/>
      <c r="K474" s="172"/>
      <c r="L474" s="172"/>
      <c r="M474" s="172"/>
      <c r="N474" s="172"/>
      <c r="O474" s="358"/>
      <c r="P474" s="358"/>
      <c r="Q474" s="358"/>
      <c r="R474" s="378"/>
      <c r="S474" s="378"/>
      <c r="T474" s="8"/>
      <c r="U474" s="8"/>
      <c r="V474" s="8"/>
      <c r="W474" s="172"/>
      <c r="X474" s="172"/>
      <c r="Y474" s="8"/>
      <c r="Z474" s="8"/>
      <c r="AA474" s="8"/>
      <c r="AB474" s="172"/>
      <c r="AC474" s="172"/>
      <c r="AD474" s="8"/>
      <c r="AE474" s="8"/>
      <c r="AF474" s="8"/>
      <c r="AG474" s="172"/>
      <c r="AH474" s="172"/>
      <c r="AI474" s="367"/>
      <c r="AJ474" s="362"/>
      <c r="AK474" s="363" t="str">
        <f>IFERROR(__xludf.DUMMYFUNCTION("IFERROR(if(D476&lt;&gt;"""", 
  AVERAGE(
    QUERY(
      IMPORTRANGE(""1-uH1wy6jSm5jYL9je6fN1K5RJ5QMvHntodEHZRtIvTk"", ""All Data!N2:U""),
      ""select Col8 where Col1 = '"" &amp; D476 &amp; ""' and Col8 is not null"",
      0
    )
  )/100,
""""),
  """"
)
"),"")</f>
        <v/>
      </c>
    </row>
    <row r="475">
      <c r="D475" s="172"/>
      <c r="E475" s="368"/>
      <c r="F475" s="368"/>
      <c r="G475" s="368"/>
      <c r="H475" s="172"/>
      <c r="I475" s="172"/>
      <c r="J475" s="172"/>
      <c r="K475" s="172"/>
      <c r="L475" s="172"/>
      <c r="M475" s="172"/>
      <c r="N475" s="172"/>
      <c r="O475" s="358"/>
      <c r="P475" s="358"/>
      <c r="Q475" s="358"/>
      <c r="R475" s="378"/>
      <c r="S475" s="378"/>
      <c r="T475" s="8"/>
      <c r="U475" s="8"/>
      <c r="V475" s="8"/>
      <c r="W475" s="172"/>
      <c r="X475" s="172"/>
      <c r="Y475" s="8"/>
      <c r="Z475" s="8"/>
      <c r="AA475" s="8"/>
      <c r="AB475" s="172"/>
      <c r="AC475" s="172"/>
      <c r="AD475" s="8"/>
      <c r="AE475" s="8"/>
      <c r="AF475" s="8"/>
      <c r="AG475" s="172"/>
      <c r="AH475" s="172"/>
      <c r="AI475" s="367"/>
      <c r="AJ475" s="362"/>
      <c r="AK475" s="363" t="str">
        <f>IFERROR(__xludf.DUMMYFUNCTION("IFERROR(if(D477&lt;&gt;"""", 
  AVERAGE(
    QUERY(
      IMPORTRANGE(""1-uH1wy6jSm5jYL9je6fN1K5RJ5QMvHntodEHZRtIvTk"", ""All Data!N2:U""),
      ""select Col8 where Col1 = '"" &amp; D477 &amp; ""' and Col8 is not null"",
      0
    )
  )/100,
""""),
  """"
)
"),"")</f>
        <v/>
      </c>
    </row>
    <row r="476">
      <c r="D476" s="172"/>
      <c r="E476" s="368"/>
      <c r="F476" s="368"/>
      <c r="G476" s="368"/>
      <c r="H476" s="172"/>
      <c r="I476" s="172"/>
      <c r="J476" s="172"/>
      <c r="K476" s="172"/>
      <c r="L476" s="172"/>
      <c r="M476" s="172"/>
      <c r="N476" s="172"/>
      <c r="O476" s="358"/>
      <c r="P476" s="358"/>
      <c r="Q476" s="358"/>
      <c r="R476" s="378"/>
      <c r="S476" s="378"/>
      <c r="T476" s="8"/>
      <c r="U476" s="8"/>
      <c r="V476" s="8"/>
      <c r="W476" s="172"/>
      <c r="X476" s="172"/>
      <c r="Y476" s="8"/>
      <c r="Z476" s="8"/>
      <c r="AA476" s="8"/>
      <c r="AB476" s="172"/>
      <c r="AC476" s="172"/>
      <c r="AD476" s="8"/>
      <c r="AE476" s="8"/>
      <c r="AF476" s="8"/>
      <c r="AG476" s="172"/>
      <c r="AH476" s="172"/>
      <c r="AI476" s="367"/>
      <c r="AJ476" s="362"/>
      <c r="AK476" s="363" t="str">
        <f>IFERROR(__xludf.DUMMYFUNCTION("IFERROR(if(D478&lt;&gt;"""", 
  AVERAGE(
    QUERY(
      IMPORTRANGE(""1-uH1wy6jSm5jYL9je6fN1K5RJ5QMvHntodEHZRtIvTk"", ""All Data!N2:U""),
      ""select Col8 where Col1 = '"" &amp; D478 &amp; ""' and Col8 is not null"",
      0
    )
  )/100,
""""),
  """"
)
"),"")</f>
        <v/>
      </c>
    </row>
    <row r="477">
      <c r="D477" s="172"/>
      <c r="E477" s="368"/>
      <c r="F477" s="368"/>
      <c r="G477" s="368"/>
      <c r="H477" s="172"/>
      <c r="I477" s="172"/>
      <c r="J477" s="172"/>
      <c r="K477" s="172"/>
      <c r="L477" s="172"/>
      <c r="M477" s="172"/>
      <c r="N477" s="172"/>
      <c r="O477" s="358"/>
      <c r="P477" s="358"/>
      <c r="Q477" s="358"/>
      <c r="R477" s="378"/>
      <c r="S477" s="378"/>
      <c r="T477" s="8"/>
      <c r="U477" s="8"/>
      <c r="V477" s="8"/>
      <c r="W477" s="172"/>
      <c r="X477" s="172"/>
      <c r="Y477" s="8"/>
      <c r="Z477" s="8"/>
      <c r="AA477" s="8"/>
      <c r="AB477" s="172"/>
      <c r="AC477" s="172"/>
      <c r="AD477" s="8"/>
      <c r="AE477" s="8"/>
      <c r="AF477" s="8"/>
      <c r="AG477" s="172"/>
      <c r="AH477" s="172"/>
      <c r="AI477" s="367"/>
      <c r="AJ477" s="362"/>
      <c r="AK477" s="363" t="str">
        <f>IFERROR(__xludf.DUMMYFUNCTION("IFERROR(if(D479&lt;&gt;"""", 
  AVERAGE(
    QUERY(
      IMPORTRANGE(""1-uH1wy6jSm5jYL9je6fN1K5RJ5QMvHntodEHZRtIvTk"", ""All Data!N2:U""),
      ""select Col8 where Col1 = '"" &amp; D479 &amp; ""' and Col8 is not null"",
      0
    )
  )/100,
""""),
  """"
)
"),"")</f>
        <v/>
      </c>
    </row>
    <row r="478">
      <c r="D478" s="172"/>
      <c r="E478" s="368"/>
      <c r="F478" s="368"/>
      <c r="G478" s="368"/>
      <c r="H478" s="172"/>
      <c r="I478" s="172"/>
      <c r="J478" s="172"/>
      <c r="K478" s="172"/>
      <c r="L478" s="172"/>
      <c r="M478" s="172"/>
      <c r="N478" s="172"/>
      <c r="O478" s="358"/>
      <c r="P478" s="358"/>
      <c r="Q478" s="358"/>
      <c r="R478" s="378"/>
      <c r="S478" s="378"/>
      <c r="T478" s="8"/>
      <c r="U478" s="8"/>
      <c r="V478" s="8"/>
      <c r="W478" s="172"/>
      <c r="X478" s="172"/>
      <c r="Y478" s="8"/>
      <c r="Z478" s="8"/>
      <c r="AA478" s="8"/>
      <c r="AB478" s="172"/>
      <c r="AC478" s="172"/>
      <c r="AD478" s="8"/>
      <c r="AE478" s="8"/>
      <c r="AF478" s="8"/>
      <c r="AG478" s="172"/>
      <c r="AH478" s="172"/>
      <c r="AI478" s="367"/>
      <c r="AJ478" s="362"/>
      <c r="AK478" s="363" t="str">
        <f>IFERROR(__xludf.DUMMYFUNCTION("IFERROR(if(D480&lt;&gt;"""", 
  AVERAGE(
    QUERY(
      IMPORTRANGE(""1-uH1wy6jSm5jYL9je6fN1K5RJ5QMvHntodEHZRtIvTk"", ""All Data!N2:U""),
      ""select Col8 where Col1 = '"" &amp; D480 &amp; ""' and Col8 is not null"",
      0
    )
  )/100,
""""),
  """"
)
"),"")</f>
        <v/>
      </c>
    </row>
    <row r="479">
      <c r="D479" s="172"/>
      <c r="E479" s="368"/>
      <c r="F479" s="368"/>
      <c r="G479" s="368"/>
      <c r="H479" s="172"/>
      <c r="I479" s="172"/>
      <c r="J479" s="172"/>
      <c r="K479" s="172"/>
      <c r="L479" s="172"/>
      <c r="M479" s="172"/>
      <c r="N479" s="172"/>
      <c r="O479" s="358"/>
      <c r="P479" s="358"/>
      <c r="Q479" s="358"/>
      <c r="R479" s="378"/>
      <c r="S479" s="378"/>
      <c r="T479" s="8"/>
      <c r="U479" s="8"/>
      <c r="V479" s="8"/>
      <c r="W479" s="172"/>
      <c r="X479" s="172"/>
      <c r="Y479" s="8"/>
      <c r="Z479" s="8"/>
      <c r="AA479" s="8"/>
      <c r="AB479" s="172"/>
      <c r="AC479" s="172"/>
      <c r="AD479" s="8"/>
      <c r="AE479" s="8"/>
      <c r="AF479" s="8"/>
      <c r="AG479" s="172"/>
      <c r="AH479" s="172"/>
      <c r="AI479" s="367"/>
      <c r="AJ479" s="362"/>
      <c r="AK479" s="363" t="str">
        <f>IFERROR(__xludf.DUMMYFUNCTION("IFERROR(if(D481&lt;&gt;"""", 
  AVERAGE(
    QUERY(
      IMPORTRANGE(""1-uH1wy6jSm5jYL9je6fN1K5RJ5QMvHntodEHZRtIvTk"", ""All Data!N2:U""),
      ""select Col8 where Col1 = '"" &amp; D481 &amp; ""' and Col8 is not null"",
      0
    )
  )/100,
""""),
  """"
)
"),"")</f>
        <v/>
      </c>
    </row>
    <row r="480">
      <c r="D480" s="172"/>
      <c r="E480" s="368"/>
      <c r="F480" s="368"/>
      <c r="G480" s="368"/>
      <c r="H480" s="172"/>
      <c r="I480" s="172"/>
      <c r="J480" s="172"/>
      <c r="K480" s="172"/>
      <c r="L480" s="172"/>
      <c r="M480" s="172"/>
      <c r="N480" s="172"/>
      <c r="O480" s="358"/>
      <c r="P480" s="358"/>
      <c r="Q480" s="358"/>
      <c r="R480" s="378"/>
      <c r="S480" s="378"/>
      <c r="T480" s="8"/>
      <c r="U480" s="8"/>
      <c r="V480" s="8"/>
      <c r="W480" s="172"/>
      <c r="X480" s="172"/>
      <c r="Y480" s="8"/>
      <c r="Z480" s="8"/>
      <c r="AA480" s="8"/>
      <c r="AB480" s="172"/>
      <c r="AC480" s="172"/>
      <c r="AD480" s="8"/>
      <c r="AE480" s="8"/>
      <c r="AF480" s="8"/>
      <c r="AG480" s="172"/>
      <c r="AH480" s="172"/>
      <c r="AI480" s="367"/>
      <c r="AJ480" s="362"/>
      <c r="AK480" s="363" t="str">
        <f>IFERROR(__xludf.DUMMYFUNCTION("IFERROR(if(D482&lt;&gt;"""", 
  AVERAGE(
    QUERY(
      IMPORTRANGE(""1-uH1wy6jSm5jYL9je6fN1K5RJ5QMvHntodEHZRtIvTk"", ""All Data!N2:U""),
      ""select Col8 where Col1 = '"" &amp; D482 &amp; ""' and Col8 is not null"",
      0
    )
  )/100,
""""),
  """"
)
"),"")</f>
        <v/>
      </c>
    </row>
    <row r="481">
      <c r="D481" s="172"/>
      <c r="E481" s="368"/>
      <c r="F481" s="368"/>
      <c r="G481" s="368"/>
      <c r="H481" s="172"/>
      <c r="I481" s="172"/>
      <c r="J481" s="172"/>
      <c r="K481" s="172"/>
      <c r="L481" s="172"/>
      <c r="M481" s="172"/>
      <c r="N481" s="172"/>
      <c r="O481" s="358"/>
      <c r="P481" s="358"/>
      <c r="Q481" s="358"/>
      <c r="R481" s="378"/>
      <c r="S481" s="378"/>
      <c r="T481" s="8"/>
      <c r="U481" s="8"/>
      <c r="V481" s="8"/>
      <c r="W481" s="172"/>
      <c r="X481" s="172"/>
      <c r="Y481" s="8"/>
      <c r="Z481" s="8"/>
      <c r="AA481" s="8"/>
      <c r="AB481" s="172"/>
      <c r="AC481" s="172"/>
      <c r="AD481" s="8"/>
      <c r="AE481" s="8"/>
      <c r="AF481" s="8"/>
      <c r="AG481" s="172"/>
      <c r="AH481" s="172"/>
      <c r="AI481" s="367"/>
      <c r="AJ481" s="362"/>
      <c r="AK481" s="363" t="str">
        <f>IFERROR(__xludf.DUMMYFUNCTION("IFERROR(if(D483&lt;&gt;"""", 
  AVERAGE(
    QUERY(
      IMPORTRANGE(""1-uH1wy6jSm5jYL9je6fN1K5RJ5QMvHntodEHZRtIvTk"", ""All Data!N2:U""),
      ""select Col8 where Col1 = '"" &amp; D483 &amp; ""' and Col8 is not null"",
      0
    )
  )/100,
""""),
  """"
)
"),"")</f>
        <v/>
      </c>
    </row>
    <row r="482">
      <c r="D482" s="172"/>
      <c r="E482" s="368"/>
      <c r="F482" s="368"/>
      <c r="G482" s="368"/>
      <c r="H482" s="172"/>
      <c r="I482" s="172"/>
      <c r="J482" s="172"/>
      <c r="K482" s="172"/>
      <c r="L482" s="172"/>
      <c r="M482" s="172"/>
      <c r="N482" s="172"/>
      <c r="O482" s="358"/>
      <c r="P482" s="358"/>
      <c r="Q482" s="358"/>
      <c r="R482" s="378"/>
      <c r="S482" s="378"/>
      <c r="T482" s="8"/>
      <c r="U482" s="8"/>
      <c r="V482" s="8"/>
      <c r="W482" s="172"/>
      <c r="X482" s="172"/>
      <c r="Y482" s="8"/>
      <c r="Z482" s="8"/>
      <c r="AA482" s="8"/>
      <c r="AB482" s="172"/>
      <c r="AC482" s="172"/>
      <c r="AD482" s="8"/>
      <c r="AE482" s="8"/>
      <c r="AF482" s="8"/>
      <c r="AG482" s="172"/>
      <c r="AH482" s="172"/>
      <c r="AI482" s="367"/>
      <c r="AJ482" s="362"/>
      <c r="AK482" s="363" t="str">
        <f>IFERROR(__xludf.DUMMYFUNCTION("IFERROR(if(D484&lt;&gt;"""", 
  AVERAGE(
    QUERY(
      IMPORTRANGE(""1-uH1wy6jSm5jYL9je6fN1K5RJ5QMvHntodEHZRtIvTk"", ""All Data!N2:U""),
      ""select Col8 where Col1 = '"" &amp; D484 &amp; ""' and Col8 is not null"",
      0
    )
  )/100,
""""),
  """"
)
"),"")</f>
        <v/>
      </c>
    </row>
    <row r="483">
      <c r="D483" s="172"/>
      <c r="E483" s="368"/>
      <c r="F483" s="368"/>
      <c r="G483" s="368"/>
      <c r="H483" s="172"/>
      <c r="I483" s="172"/>
      <c r="J483" s="172"/>
      <c r="K483" s="172"/>
      <c r="L483" s="172"/>
      <c r="M483" s="172"/>
      <c r="N483" s="172"/>
      <c r="O483" s="358"/>
      <c r="P483" s="358"/>
      <c r="Q483" s="358"/>
      <c r="R483" s="378"/>
      <c r="S483" s="378"/>
      <c r="T483" s="8"/>
      <c r="U483" s="8"/>
      <c r="V483" s="8"/>
      <c r="W483" s="172"/>
      <c r="X483" s="172"/>
      <c r="Y483" s="8"/>
      <c r="Z483" s="8"/>
      <c r="AA483" s="8"/>
      <c r="AB483" s="172"/>
      <c r="AC483" s="172"/>
      <c r="AD483" s="8"/>
      <c r="AE483" s="8"/>
      <c r="AF483" s="8"/>
      <c r="AG483" s="172"/>
      <c r="AH483" s="172"/>
      <c r="AI483" s="367"/>
      <c r="AJ483" s="362"/>
      <c r="AK483" s="363" t="str">
        <f>IFERROR(__xludf.DUMMYFUNCTION("IFERROR(if(D485&lt;&gt;"""", 
  AVERAGE(
    QUERY(
      IMPORTRANGE(""1-uH1wy6jSm5jYL9je6fN1K5RJ5QMvHntodEHZRtIvTk"", ""All Data!N2:U""),
      ""select Col8 where Col1 = '"" &amp; D485 &amp; ""' and Col8 is not null"",
      0
    )
  )/100,
""""),
  """"
)
"),"")</f>
        <v/>
      </c>
    </row>
    <row r="484">
      <c r="D484" s="172"/>
      <c r="E484" s="368"/>
      <c r="F484" s="368"/>
      <c r="G484" s="368"/>
      <c r="H484" s="172"/>
      <c r="I484" s="172"/>
      <c r="J484" s="172"/>
      <c r="K484" s="172"/>
      <c r="L484" s="172"/>
      <c r="M484" s="172"/>
      <c r="N484" s="172"/>
      <c r="O484" s="358"/>
      <c r="P484" s="358"/>
      <c r="Q484" s="358"/>
      <c r="R484" s="378"/>
      <c r="S484" s="378"/>
      <c r="T484" s="8"/>
      <c r="U484" s="8"/>
      <c r="V484" s="8"/>
      <c r="W484" s="172"/>
      <c r="X484" s="172"/>
      <c r="Y484" s="8"/>
      <c r="Z484" s="8"/>
      <c r="AA484" s="8"/>
      <c r="AB484" s="172"/>
      <c r="AC484" s="172"/>
      <c r="AD484" s="8"/>
      <c r="AE484" s="8"/>
      <c r="AF484" s="8"/>
      <c r="AG484" s="172"/>
      <c r="AH484" s="172"/>
      <c r="AI484" s="367"/>
      <c r="AJ484" s="362"/>
      <c r="AK484" s="363" t="str">
        <f>IFERROR(__xludf.DUMMYFUNCTION("IFERROR(if(D486&lt;&gt;"""", 
  AVERAGE(
    QUERY(
      IMPORTRANGE(""1-uH1wy6jSm5jYL9je6fN1K5RJ5QMvHntodEHZRtIvTk"", ""All Data!N2:U""),
      ""select Col8 where Col1 = '"" &amp; D486 &amp; ""' and Col8 is not null"",
      0
    )
  )/100,
""""),
  """"
)
"),"")</f>
        <v/>
      </c>
    </row>
    <row r="485">
      <c r="D485" s="172"/>
      <c r="E485" s="368"/>
      <c r="F485" s="368"/>
      <c r="G485" s="368"/>
      <c r="H485" s="172"/>
      <c r="I485" s="172"/>
      <c r="J485" s="172"/>
      <c r="K485" s="172"/>
      <c r="L485" s="172"/>
      <c r="M485" s="172"/>
      <c r="N485" s="172"/>
      <c r="O485" s="358"/>
      <c r="P485" s="358"/>
      <c r="Q485" s="358"/>
      <c r="R485" s="378"/>
      <c r="S485" s="378"/>
      <c r="T485" s="8"/>
      <c r="U485" s="8"/>
      <c r="V485" s="8"/>
      <c r="W485" s="172"/>
      <c r="X485" s="172"/>
      <c r="Y485" s="8"/>
      <c r="Z485" s="8"/>
      <c r="AA485" s="8"/>
      <c r="AB485" s="172"/>
      <c r="AC485" s="172"/>
      <c r="AD485" s="8"/>
      <c r="AE485" s="8"/>
      <c r="AF485" s="8"/>
      <c r="AG485" s="172"/>
      <c r="AH485" s="172"/>
      <c r="AI485" s="367"/>
      <c r="AJ485" s="362"/>
      <c r="AK485" s="363" t="str">
        <f>IFERROR(__xludf.DUMMYFUNCTION("IFERROR(if(D487&lt;&gt;"""", 
  AVERAGE(
    QUERY(
      IMPORTRANGE(""1-uH1wy6jSm5jYL9je6fN1K5RJ5QMvHntodEHZRtIvTk"", ""All Data!N2:U""),
      ""select Col8 where Col1 = '"" &amp; D487 &amp; ""' and Col8 is not null"",
      0
    )
  )/100,
""""),
  """"
)
"),"")</f>
        <v/>
      </c>
    </row>
    <row r="486">
      <c r="D486" s="172"/>
      <c r="E486" s="368"/>
      <c r="F486" s="368"/>
      <c r="G486" s="368"/>
      <c r="H486" s="172"/>
      <c r="I486" s="172"/>
      <c r="J486" s="172"/>
      <c r="K486" s="172"/>
      <c r="L486" s="172"/>
      <c r="M486" s="172"/>
      <c r="N486" s="172"/>
      <c r="O486" s="358"/>
      <c r="P486" s="358"/>
      <c r="Q486" s="358"/>
      <c r="R486" s="378"/>
      <c r="S486" s="378"/>
      <c r="T486" s="8"/>
      <c r="U486" s="8"/>
      <c r="V486" s="8"/>
      <c r="W486" s="172"/>
      <c r="X486" s="172"/>
      <c r="Y486" s="8"/>
      <c r="Z486" s="8"/>
      <c r="AA486" s="8"/>
      <c r="AB486" s="172"/>
      <c r="AC486" s="172"/>
      <c r="AD486" s="8"/>
      <c r="AE486" s="8"/>
      <c r="AF486" s="8"/>
      <c r="AG486" s="172"/>
      <c r="AH486" s="172"/>
      <c r="AI486" s="367"/>
      <c r="AJ486" s="362"/>
      <c r="AK486" s="363" t="str">
        <f>IFERROR(__xludf.DUMMYFUNCTION("IFERROR(if(D488&lt;&gt;"""", 
  AVERAGE(
    QUERY(
      IMPORTRANGE(""1-uH1wy6jSm5jYL9je6fN1K5RJ5QMvHntodEHZRtIvTk"", ""All Data!N2:U""),
      ""select Col8 where Col1 = '"" &amp; D488 &amp; ""' and Col8 is not null"",
      0
    )
  )/100,
""""),
  """"
)
"),"")</f>
        <v/>
      </c>
    </row>
    <row r="487">
      <c r="D487" s="172"/>
      <c r="E487" s="368"/>
      <c r="F487" s="368"/>
      <c r="G487" s="368"/>
      <c r="H487" s="172"/>
      <c r="I487" s="172"/>
      <c r="J487" s="172"/>
      <c r="K487" s="172"/>
      <c r="L487" s="172"/>
      <c r="M487" s="172"/>
      <c r="N487" s="172"/>
      <c r="O487" s="358"/>
      <c r="P487" s="358"/>
      <c r="Q487" s="358"/>
      <c r="R487" s="378"/>
      <c r="S487" s="378"/>
      <c r="T487" s="8"/>
      <c r="U487" s="8"/>
      <c r="V487" s="8"/>
      <c r="W487" s="172"/>
      <c r="X487" s="172"/>
      <c r="Y487" s="8"/>
      <c r="Z487" s="8"/>
      <c r="AA487" s="8"/>
      <c r="AB487" s="172"/>
      <c r="AC487" s="172"/>
      <c r="AD487" s="8"/>
      <c r="AE487" s="8"/>
      <c r="AF487" s="8"/>
      <c r="AG487" s="172"/>
      <c r="AH487" s="172"/>
      <c r="AI487" s="367"/>
      <c r="AJ487" s="362"/>
      <c r="AK487" s="363" t="str">
        <f>IFERROR(__xludf.DUMMYFUNCTION("IFERROR(if(D489&lt;&gt;"""", 
  AVERAGE(
    QUERY(
      IMPORTRANGE(""1-uH1wy6jSm5jYL9je6fN1K5RJ5QMvHntodEHZRtIvTk"", ""All Data!N2:U""),
      ""select Col8 where Col1 = '"" &amp; D489 &amp; ""' and Col8 is not null"",
      0
    )
  )/100,
""""),
  """"
)
"),"")</f>
        <v/>
      </c>
    </row>
    <row r="488">
      <c r="D488" s="172"/>
      <c r="E488" s="368"/>
      <c r="F488" s="368"/>
      <c r="G488" s="368"/>
      <c r="H488" s="172"/>
      <c r="I488" s="172"/>
      <c r="J488" s="172"/>
      <c r="K488" s="172"/>
      <c r="L488" s="172"/>
      <c r="M488" s="172"/>
      <c r="N488" s="172"/>
      <c r="O488" s="358"/>
      <c r="P488" s="358"/>
      <c r="Q488" s="358"/>
      <c r="R488" s="378"/>
      <c r="S488" s="378"/>
      <c r="T488" s="8"/>
      <c r="U488" s="8"/>
      <c r="V488" s="8"/>
      <c r="W488" s="172"/>
      <c r="X488" s="172"/>
      <c r="Y488" s="8"/>
      <c r="Z488" s="8"/>
      <c r="AA488" s="8"/>
      <c r="AB488" s="172"/>
      <c r="AC488" s="172"/>
      <c r="AD488" s="8"/>
      <c r="AE488" s="8"/>
      <c r="AF488" s="8"/>
      <c r="AG488" s="172"/>
      <c r="AH488" s="172"/>
      <c r="AI488" s="367"/>
      <c r="AJ488" s="362"/>
      <c r="AK488" s="363" t="str">
        <f>IFERROR(__xludf.DUMMYFUNCTION("IFERROR(if(D490&lt;&gt;"""", 
  AVERAGE(
    QUERY(
      IMPORTRANGE(""1-uH1wy6jSm5jYL9je6fN1K5RJ5QMvHntodEHZRtIvTk"", ""All Data!N2:U""),
      ""select Col8 where Col1 = '"" &amp; D490 &amp; ""' and Col8 is not null"",
      0
    )
  )/100,
""""),
  """"
)
"),"")</f>
        <v/>
      </c>
    </row>
    <row r="489">
      <c r="D489" s="172"/>
      <c r="E489" s="368"/>
      <c r="F489" s="368"/>
      <c r="G489" s="368"/>
      <c r="H489" s="172"/>
      <c r="I489" s="172"/>
      <c r="J489" s="172"/>
      <c r="K489" s="172"/>
      <c r="L489" s="172"/>
      <c r="M489" s="172"/>
      <c r="N489" s="172"/>
      <c r="O489" s="358"/>
      <c r="P489" s="358"/>
      <c r="Q489" s="358"/>
      <c r="R489" s="378"/>
      <c r="S489" s="378"/>
      <c r="T489" s="8"/>
      <c r="U489" s="8"/>
      <c r="V489" s="8"/>
      <c r="W489" s="172"/>
      <c r="X489" s="172"/>
      <c r="Y489" s="8"/>
      <c r="Z489" s="8"/>
      <c r="AA489" s="8"/>
      <c r="AB489" s="172"/>
      <c r="AC489" s="172"/>
      <c r="AD489" s="8"/>
      <c r="AE489" s="8"/>
      <c r="AF489" s="8"/>
      <c r="AG489" s="172"/>
      <c r="AH489" s="172"/>
      <c r="AI489" s="367"/>
      <c r="AJ489" s="362"/>
      <c r="AK489" s="363" t="str">
        <f>IFERROR(__xludf.DUMMYFUNCTION("IFERROR(if(D491&lt;&gt;"""", 
  AVERAGE(
    QUERY(
      IMPORTRANGE(""1-uH1wy6jSm5jYL9je6fN1K5RJ5QMvHntodEHZRtIvTk"", ""All Data!N2:U""),
      ""select Col8 where Col1 = '"" &amp; D491 &amp; ""' and Col8 is not null"",
      0
    )
  )/100,
""""),
  """"
)
"),"")</f>
        <v/>
      </c>
    </row>
    <row r="490">
      <c r="D490" s="172"/>
      <c r="E490" s="368"/>
      <c r="F490" s="368"/>
      <c r="G490" s="368"/>
      <c r="H490" s="172"/>
      <c r="I490" s="172"/>
      <c r="J490" s="172"/>
      <c r="K490" s="172"/>
      <c r="L490" s="172"/>
      <c r="M490" s="172"/>
      <c r="N490" s="172"/>
      <c r="O490" s="358"/>
      <c r="P490" s="358"/>
      <c r="Q490" s="358"/>
      <c r="R490" s="378"/>
      <c r="S490" s="378"/>
      <c r="T490" s="8"/>
      <c r="U490" s="8"/>
      <c r="V490" s="8"/>
      <c r="W490" s="172"/>
      <c r="X490" s="172"/>
      <c r="Y490" s="8"/>
      <c r="Z490" s="8"/>
      <c r="AA490" s="8"/>
      <c r="AB490" s="172"/>
      <c r="AC490" s="172"/>
      <c r="AD490" s="8"/>
      <c r="AE490" s="8"/>
      <c r="AF490" s="8"/>
      <c r="AG490" s="172"/>
      <c r="AH490" s="172"/>
      <c r="AI490" s="367"/>
      <c r="AJ490" s="362"/>
      <c r="AK490" s="363" t="str">
        <f>IFERROR(__xludf.DUMMYFUNCTION("IFERROR(if(D492&lt;&gt;"""", 
  AVERAGE(
    QUERY(
      IMPORTRANGE(""1-uH1wy6jSm5jYL9je6fN1K5RJ5QMvHntodEHZRtIvTk"", ""All Data!N2:U""),
      ""select Col8 where Col1 = '"" &amp; D492 &amp; ""' and Col8 is not null"",
      0
    )
  )/100,
""""),
  """"
)
"),"")</f>
        <v/>
      </c>
    </row>
    <row r="491">
      <c r="D491" s="172"/>
      <c r="E491" s="368"/>
      <c r="F491" s="368"/>
      <c r="G491" s="368"/>
      <c r="H491" s="172"/>
      <c r="I491" s="172"/>
      <c r="J491" s="172"/>
      <c r="K491" s="172"/>
      <c r="L491" s="172"/>
      <c r="M491" s="172"/>
      <c r="N491" s="172"/>
      <c r="O491" s="358"/>
      <c r="P491" s="358"/>
      <c r="Q491" s="358"/>
      <c r="R491" s="378"/>
      <c r="S491" s="378"/>
      <c r="T491" s="8"/>
      <c r="U491" s="8"/>
      <c r="V491" s="8"/>
      <c r="W491" s="172"/>
      <c r="X491" s="172"/>
      <c r="Y491" s="8"/>
      <c r="Z491" s="8"/>
      <c r="AA491" s="8"/>
      <c r="AB491" s="172"/>
      <c r="AC491" s="172"/>
      <c r="AD491" s="8"/>
      <c r="AE491" s="8"/>
      <c r="AF491" s="8"/>
      <c r="AG491" s="172"/>
      <c r="AH491" s="172"/>
      <c r="AI491" s="367"/>
      <c r="AJ491" s="362"/>
      <c r="AK491" s="363" t="str">
        <f>IFERROR(__xludf.DUMMYFUNCTION("IFERROR(if(D493&lt;&gt;"""", 
  AVERAGE(
    QUERY(
      IMPORTRANGE(""1-uH1wy6jSm5jYL9je6fN1K5RJ5QMvHntodEHZRtIvTk"", ""All Data!N2:U""),
      ""select Col8 where Col1 = '"" &amp; D493 &amp; ""' and Col8 is not null"",
      0
    )
  )/100,
""""),
  """"
)
"),"")</f>
        <v/>
      </c>
    </row>
    <row r="492">
      <c r="D492" s="172"/>
      <c r="E492" s="368"/>
      <c r="F492" s="368"/>
      <c r="G492" s="368"/>
      <c r="H492" s="172"/>
      <c r="I492" s="172"/>
      <c r="J492" s="172"/>
      <c r="K492" s="172"/>
      <c r="L492" s="172"/>
      <c r="M492" s="172"/>
      <c r="N492" s="172"/>
      <c r="O492" s="358"/>
      <c r="P492" s="358"/>
      <c r="Q492" s="358"/>
      <c r="R492" s="378"/>
      <c r="S492" s="378"/>
      <c r="T492" s="8"/>
      <c r="U492" s="8"/>
      <c r="V492" s="8"/>
      <c r="W492" s="172"/>
      <c r="X492" s="172"/>
      <c r="Y492" s="8"/>
      <c r="Z492" s="8"/>
      <c r="AA492" s="8"/>
      <c r="AB492" s="172"/>
      <c r="AC492" s="172"/>
      <c r="AD492" s="8"/>
      <c r="AE492" s="8"/>
      <c r="AF492" s="8"/>
      <c r="AG492" s="172"/>
      <c r="AH492" s="172"/>
      <c r="AI492" s="367"/>
      <c r="AJ492" s="362"/>
      <c r="AK492" s="363" t="str">
        <f>IFERROR(__xludf.DUMMYFUNCTION("IFERROR(if(D494&lt;&gt;"""", 
  AVERAGE(
    QUERY(
      IMPORTRANGE(""1-uH1wy6jSm5jYL9je6fN1K5RJ5QMvHntodEHZRtIvTk"", ""All Data!N2:U""),
      ""select Col8 where Col1 = '"" &amp; D494 &amp; ""' and Col8 is not null"",
      0
    )
  )/100,
""""),
  """"
)
"),"")</f>
        <v/>
      </c>
    </row>
    <row r="493">
      <c r="D493" s="172"/>
      <c r="E493" s="368"/>
      <c r="F493" s="368"/>
      <c r="G493" s="368"/>
      <c r="H493" s="172"/>
      <c r="I493" s="172"/>
      <c r="J493" s="172"/>
      <c r="K493" s="172"/>
      <c r="L493" s="172"/>
      <c r="M493" s="172"/>
      <c r="N493" s="172"/>
      <c r="O493" s="358"/>
      <c r="P493" s="358"/>
      <c r="Q493" s="358"/>
      <c r="R493" s="378"/>
      <c r="S493" s="378"/>
      <c r="T493" s="8"/>
      <c r="U493" s="8"/>
      <c r="V493" s="8"/>
      <c r="W493" s="172"/>
      <c r="X493" s="172"/>
      <c r="Y493" s="8"/>
      <c r="Z493" s="8"/>
      <c r="AA493" s="8"/>
      <c r="AB493" s="172"/>
      <c r="AC493" s="172"/>
      <c r="AD493" s="8"/>
      <c r="AE493" s="8"/>
      <c r="AF493" s="8"/>
      <c r="AG493" s="172"/>
      <c r="AH493" s="172"/>
      <c r="AI493" s="367"/>
      <c r="AJ493" s="362"/>
      <c r="AK493" s="363" t="str">
        <f>IFERROR(__xludf.DUMMYFUNCTION("IFERROR(if(D495&lt;&gt;"""", 
  AVERAGE(
    QUERY(
      IMPORTRANGE(""1-uH1wy6jSm5jYL9je6fN1K5RJ5QMvHntodEHZRtIvTk"", ""All Data!N2:U""),
      ""select Col8 where Col1 = '"" &amp; D495 &amp; ""' and Col8 is not null"",
      0
    )
  )/100,
""""),
  """"
)
"),"")</f>
        <v/>
      </c>
    </row>
    <row r="494">
      <c r="D494" s="172"/>
      <c r="E494" s="368"/>
      <c r="F494" s="368"/>
      <c r="G494" s="368"/>
      <c r="H494" s="172"/>
      <c r="I494" s="172"/>
      <c r="J494" s="172"/>
      <c r="K494" s="172"/>
      <c r="L494" s="172"/>
      <c r="M494" s="172"/>
      <c r="N494" s="172"/>
      <c r="O494" s="358"/>
      <c r="P494" s="358"/>
      <c r="Q494" s="358"/>
      <c r="R494" s="378"/>
      <c r="S494" s="378"/>
      <c r="T494" s="8"/>
      <c r="U494" s="8"/>
      <c r="V494" s="8"/>
      <c r="W494" s="172"/>
      <c r="X494" s="172"/>
      <c r="Y494" s="8"/>
      <c r="Z494" s="8"/>
      <c r="AA494" s="8"/>
      <c r="AB494" s="172"/>
      <c r="AC494" s="172"/>
      <c r="AD494" s="8"/>
      <c r="AE494" s="8"/>
      <c r="AF494" s="8"/>
      <c r="AG494" s="172"/>
      <c r="AH494" s="172"/>
      <c r="AI494" s="367"/>
      <c r="AJ494" s="362"/>
      <c r="AK494" s="363" t="str">
        <f>IFERROR(__xludf.DUMMYFUNCTION("IFERROR(if(D496&lt;&gt;"""", 
  AVERAGE(
    QUERY(
      IMPORTRANGE(""1-uH1wy6jSm5jYL9je6fN1K5RJ5QMvHntodEHZRtIvTk"", ""All Data!N2:U""),
      ""select Col8 where Col1 = '"" &amp; D496 &amp; ""' and Col8 is not null"",
      0
    )
  )/100,
""""),
  """"
)
"),"")</f>
        <v/>
      </c>
    </row>
    <row r="495">
      <c r="D495" s="172"/>
      <c r="E495" s="368"/>
      <c r="F495" s="368"/>
      <c r="G495" s="368"/>
      <c r="H495" s="172"/>
      <c r="I495" s="172"/>
      <c r="J495" s="172"/>
      <c r="K495" s="172"/>
      <c r="L495" s="172"/>
      <c r="M495" s="172"/>
      <c r="N495" s="172"/>
      <c r="O495" s="358"/>
      <c r="P495" s="358"/>
      <c r="Q495" s="358"/>
      <c r="R495" s="378"/>
      <c r="S495" s="378"/>
      <c r="T495" s="8"/>
      <c r="U495" s="8"/>
      <c r="V495" s="8"/>
      <c r="W495" s="172"/>
      <c r="X495" s="172"/>
      <c r="Y495" s="8"/>
      <c r="Z495" s="8"/>
      <c r="AA495" s="8"/>
      <c r="AB495" s="172"/>
      <c r="AC495" s="172"/>
      <c r="AD495" s="8"/>
      <c r="AE495" s="8"/>
      <c r="AF495" s="8"/>
      <c r="AG495" s="172"/>
      <c r="AH495" s="172"/>
      <c r="AI495" s="367"/>
      <c r="AJ495" s="362"/>
      <c r="AK495" s="363" t="str">
        <f>IFERROR(__xludf.DUMMYFUNCTION("IFERROR(if(D497&lt;&gt;"""", 
  AVERAGE(
    QUERY(
      IMPORTRANGE(""1-uH1wy6jSm5jYL9je6fN1K5RJ5QMvHntodEHZRtIvTk"", ""All Data!N2:U""),
      ""select Col8 where Col1 = '"" &amp; D497 &amp; ""' and Col8 is not null"",
      0
    )
  )/100,
""""),
  """"
)
"),"")</f>
        <v/>
      </c>
    </row>
    <row r="496">
      <c r="D496" s="172"/>
      <c r="E496" s="368"/>
      <c r="F496" s="368"/>
      <c r="G496" s="368"/>
      <c r="H496" s="172"/>
      <c r="I496" s="172"/>
      <c r="J496" s="172"/>
      <c r="K496" s="172"/>
      <c r="L496" s="172"/>
      <c r="M496" s="172"/>
      <c r="N496" s="172"/>
      <c r="O496" s="358"/>
      <c r="P496" s="358"/>
      <c r="Q496" s="358"/>
      <c r="R496" s="378"/>
      <c r="S496" s="378"/>
      <c r="T496" s="8"/>
      <c r="U496" s="8"/>
      <c r="V496" s="8"/>
      <c r="W496" s="172"/>
      <c r="X496" s="172"/>
      <c r="Y496" s="8"/>
      <c r="Z496" s="8"/>
      <c r="AA496" s="8"/>
      <c r="AB496" s="172"/>
      <c r="AC496" s="172"/>
      <c r="AD496" s="8"/>
      <c r="AE496" s="8"/>
      <c r="AF496" s="8"/>
      <c r="AG496" s="172"/>
      <c r="AH496" s="172"/>
      <c r="AI496" s="367"/>
      <c r="AJ496" s="362"/>
      <c r="AK496" s="363" t="str">
        <f>IFERROR(__xludf.DUMMYFUNCTION("IFERROR(if(D498&lt;&gt;"""", 
  AVERAGE(
    QUERY(
      IMPORTRANGE(""1-uH1wy6jSm5jYL9je6fN1K5RJ5QMvHntodEHZRtIvTk"", ""All Data!N2:U""),
      ""select Col8 where Col1 = '"" &amp; D498 &amp; ""' and Col8 is not null"",
      0
    )
  )/100,
""""),
  """"
)
"),"")</f>
        <v/>
      </c>
    </row>
    <row r="497">
      <c r="D497" s="172"/>
      <c r="E497" s="368"/>
      <c r="F497" s="368"/>
      <c r="G497" s="368"/>
      <c r="H497" s="172"/>
      <c r="I497" s="172"/>
      <c r="J497" s="172"/>
      <c r="K497" s="172"/>
      <c r="L497" s="172"/>
      <c r="M497" s="172"/>
      <c r="N497" s="172"/>
      <c r="O497" s="358"/>
      <c r="P497" s="358"/>
      <c r="Q497" s="358"/>
      <c r="R497" s="378"/>
      <c r="S497" s="378"/>
      <c r="T497" s="8"/>
      <c r="U497" s="8"/>
      <c r="V497" s="8"/>
      <c r="W497" s="172"/>
      <c r="X497" s="172"/>
      <c r="Y497" s="8"/>
      <c r="Z497" s="8"/>
      <c r="AA497" s="8"/>
      <c r="AB497" s="172"/>
      <c r="AC497" s="172"/>
      <c r="AD497" s="8"/>
      <c r="AE497" s="8"/>
      <c r="AF497" s="8"/>
      <c r="AG497" s="172"/>
      <c r="AH497" s="172"/>
      <c r="AI497" s="367"/>
      <c r="AJ497" s="362"/>
      <c r="AK497" s="363" t="str">
        <f>IFERROR(__xludf.DUMMYFUNCTION("IFERROR(if(D499&lt;&gt;"""", 
  AVERAGE(
    QUERY(
      IMPORTRANGE(""1-uH1wy6jSm5jYL9je6fN1K5RJ5QMvHntodEHZRtIvTk"", ""All Data!N2:U""),
      ""select Col8 where Col1 = '"" &amp; D499 &amp; ""' and Col8 is not null"",
      0
    )
  )/100,
""""),
  """"
)
"),"")</f>
        <v/>
      </c>
    </row>
    <row r="498">
      <c r="D498" s="172"/>
      <c r="E498" s="368"/>
      <c r="F498" s="368"/>
      <c r="G498" s="368"/>
      <c r="H498" s="172"/>
      <c r="I498" s="172"/>
      <c r="J498" s="172"/>
      <c r="K498" s="172"/>
      <c r="L498" s="172"/>
      <c r="M498" s="172"/>
      <c r="N498" s="172"/>
      <c r="O498" s="358"/>
      <c r="P498" s="358"/>
      <c r="Q498" s="358"/>
      <c r="R498" s="378"/>
      <c r="S498" s="378"/>
      <c r="T498" s="8"/>
      <c r="U498" s="8"/>
      <c r="V498" s="8"/>
      <c r="W498" s="172"/>
      <c r="X498" s="172"/>
      <c r="Y498" s="8"/>
      <c r="Z498" s="8"/>
      <c r="AA498" s="8"/>
      <c r="AB498" s="172"/>
      <c r="AC498" s="172"/>
      <c r="AD498" s="8"/>
      <c r="AE498" s="8"/>
      <c r="AF498" s="8"/>
      <c r="AG498" s="172"/>
      <c r="AH498" s="172"/>
      <c r="AI498" s="367"/>
      <c r="AJ498" s="362"/>
      <c r="AK498" s="363" t="str">
        <f>IFERROR(__xludf.DUMMYFUNCTION("IFERROR(if(D500&lt;&gt;"""", 
  AVERAGE(
    QUERY(
      IMPORTRANGE(""1-uH1wy6jSm5jYL9je6fN1K5RJ5QMvHntodEHZRtIvTk"", ""All Data!N2:U""),
      ""select Col8 where Col1 = '"" &amp; D500 &amp; ""' and Col8 is not null"",
      0
    )
  )/100,
""""),
  """"
)
"),"")</f>
        <v/>
      </c>
    </row>
    <row r="499">
      <c r="D499" s="172"/>
      <c r="E499" s="368"/>
      <c r="F499" s="368"/>
      <c r="G499" s="368"/>
      <c r="H499" s="172"/>
      <c r="I499" s="172"/>
      <c r="J499" s="172"/>
      <c r="K499" s="172"/>
      <c r="L499" s="172"/>
      <c r="M499" s="172"/>
      <c r="N499" s="172"/>
      <c r="O499" s="358"/>
      <c r="P499" s="358"/>
      <c r="Q499" s="358"/>
      <c r="R499" s="378"/>
      <c r="S499" s="378"/>
      <c r="T499" s="8"/>
      <c r="U499" s="8"/>
      <c r="V499" s="8"/>
      <c r="W499" s="172"/>
      <c r="X499" s="172"/>
      <c r="Y499" s="8"/>
      <c r="Z499" s="8"/>
      <c r="AA499" s="8"/>
      <c r="AB499" s="172"/>
      <c r="AC499" s="172"/>
      <c r="AD499" s="8"/>
      <c r="AE499" s="8"/>
      <c r="AF499" s="8"/>
      <c r="AG499" s="172"/>
      <c r="AH499" s="172"/>
      <c r="AI499" s="367"/>
      <c r="AJ499" s="362"/>
      <c r="AK499" s="363" t="str">
        <f>IFERROR(__xludf.DUMMYFUNCTION("IFERROR(if(D501&lt;&gt;"""", 
  AVERAGE(
    QUERY(
      IMPORTRANGE(""1-uH1wy6jSm5jYL9je6fN1K5RJ5QMvHntodEHZRtIvTk"", ""All Data!N2:U""),
      ""select Col8 where Col1 = '"" &amp; D501 &amp; ""' and Col8 is not null"",
      0
    )
  )/100,
""""),
  """"
)
"),"")</f>
        <v/>
      </c>
    </row>
    <row r="500">
      <c r="D500" s="172"/>
      <c r="E500" s="368"/>
      <c r="F500" s="368"/>
      <c r="G500" s="368"/>
      <c r="H500" s="172"/>
      <c r="I500" s="172"/>
      <c r="J500" s="172"/>
      <c r="K500" s="172"/>
      <c r="L500" s="172"/>
      <c r="M500" s="172"/>
      <c r="N500" s="172"/>
      <c r="O500" s="358"/>
      <c r="P500" s="358"/>
      <c r="Q500" s="358"/>
      <c r="R500" s="378"/>
      <c r="S500" s="378"/>
      <c r="T500" s="8"/>
      <c r="U500" s="8"/>
      <c r="V500" s="8"/>
      <c r="W500" s="172"/>
      <c r="X500" s="172"/>
      <c r="Y500" s="8"/>
      <c r="Z500" s="8"/>
      <c r="AA500" s="8"/>
      <c r="AB500" s="172"/>
      <c r="AC500" s="172"/>
      <c r="AD500" s="8"/>
      <c r="AE500" s="8"/>
      <c r="AF500" s="8"/>
      <c r="AG500" s="172"/>
      <c r="AH500" s="172"/>
      <c r="AI500" s="367"/>
      <c r="AJ500" s="362"/>
      <c r="AK500" s="363" t="str">
        <f>IFERROR(__xludf.DUMMYFUNCTION("IFERROR(if(D502&lt;&gt;"""", 
  AVERAGE(
    QUERY(
      IMPORTRANGE(""1-uH1wy6jSm5jYL9je6fN1K5RJ5QMvHntodEHZRtIvTk"", ""All Data!N2:U""),
      ""select Col8 where Col1 = '"" &amp; D502 &amp; ""' and Col8 is not null"",
      0
    )
  )/100,
""""),
  """"
)
"),"")</f>
        <v/>
      </c>
    </row>
    <row r="501">
      <c r="D501" s="172"/>
      <c r="E501" s="368"/>
      <c r="F501" s="368"/>
      <c r="G501" s="368"/>
      <c r="H501" s="172"/>
      <c r="I501" s="172"/>
      <c r="J501" s="172"/>
      <c r="K501" s="172"/>
      <c r="L501" s="172"/>
      <c r="M501" s="172"/>
      <c r="N501" s="172"/>
      <c r="O501" s="358"/>
      <c r="P501" s="358"/>
      <c r="Q501" s="358"/>
      <c r="R501" s="378"/>
      <c r="S501" s="378"/>
      <c r="T501" s="8"/>
      <c r="U501" s="8"/>
      <c r="V501" s="8"/>
      <c r="W501" s="172"/>
      <c r="X501" s="172"/>
      <c r="Y501" s="8"/>
      <c r="Z501" s="8"/>
      <c r="AA501" s="8"/>
      <c r="AB501" s="172"/>
      <c r="AC501" s="172"/>
      <c r="AD501" s="8"/>
      <c r="AE501" s="8"/>
      <c r="AF501" s="8"/>
      <c r="AG501" s="172"/>
      <c r="AH501" s="172"/>
      <c r="AI501" s="367"/>
      <c r="AJ501" s="362"/>
      <c r="AK501" s="363" t="str">
        <f>IFERROR(__xludf.DUMMYFUNCTION("IFERROR(if(D503&lt;&gt;"""", 
  AVERAGE(
    QUERY(
      IMPORTRANGE(""1-uH1wy6jSm5jYL9je6fN1K5RJ5QMvHntodEHZRtIvTk"", ""All Data!N2:U""),
      ""select Col8 where Col1 = '"" &amp; D503 &amp; ""' and Col8 is not null"",
      0
    )
  )/100,
""""),
  """"
)
"),"")</f>
        <v/>
      </c>
    </row>
    <row r="502">
      <c r="D502" s="172"/>
      <c r="E502" s="368"/>
      <c r="F502" s="368"/>
      <c r="G502" s="368"/>
      <c r="H502" s="172"/>
      <c r="I502" s="172"/>
      <c r="J502" s="172"/>
      <c r="K502" s="172"/>
      <c r="L502" s="172"/>
      <c r="M502" s="172"/>
      <c r="N502" s="172"/>
      <c r="O502" s="358"/>
      <c r="P502" s="358"/>
      <c r="Q502" s="358"/>
      <c r="R502" s="378"/>
      <c r="S502" s="378"/>
      <c r="T502" s="8"/>
      <c r="U502" s="8"/>
      <c r="V502" s="8"/>
      <c r="W502" s="172"/>
      <c r="X502" s="172"/>
      <c r="Y502" s="8"/>
      <c r="Z502" s="8"/>
      <c r="AA502" s="8"/>
      <c r="AB502" s="172"/>
      <c r="AC502" s="172"/>
      <c r="AD502" s="8"/>
      <c r="AE502" s="8"/>
      <c r="AF502" s="8"/>
      <c r="AG502" s="172"/>
      <c r="AH502" s="172"/>
      <c r="AI502" s="367"/>
      <c r="AJ502" s="362"/>
      <c r="AK502" s="363" t="str">
        <f>IFERROR(__xludf.DUMMYFUNCTION("IFERROR(if(D504&lt;&gt;"""", 
  AVERAGE(
    QUERY(
      IMPORTRANGE(""1-uH1wy6jSm5jYL9je6fN1K5RJ5QMvHntodEHZRtIvTk"", ""All Data!N2:U""),
      ""select Col8 where Col1 = '"" &amp; D504 &amp; ""' and Col8 is not null"",
      0
    )
  )/100,
""""),
  """"
)
"),"")</f>
        <v/>
      </c>
    </row>
    <row r="503">
      <c r="D503" s="172"/>
      <c r="E503" s="368"/>
      <c r="F503" s="368"/>
      <c r="G503" s="368"/>
      <c r="H503" s="172"/>
      <c r="I503" s="172"/>
      <c r="J503" s="172"/>
      <c r="K503" s="172"/>
      <c r="L503" s="172"/>
      <c r="M503" s="172"/>
      <c r="N503" s="172"/>
      <c r="O503" s="358"/>
      <c r="P503" s="358"/>
      <c r="Q503" s="358"/>
      <c r="R503" s="378"/>
      <c r="S503" s="378"/>
      <c r="T503" s="8"/>
      <c r="U503" s="8"/>
      <c r="V503" s="8"/>
      <c r="W503" s="172"/>
      <c r="X503" s="172"/>
      <c r="Y503" s="8"/>
      <c r="Z503" s="8"/>
      <c r="AA503" s="8"/>
      <c r="AB503" s="172"/>
      <c r="AC503" s="172"/>
      <c r="AD503" s="8"/>
      <c r="AE503" s="8"/>
      <c r="AF503" s="8"/>
      <c r="AG503" s="172"/>
      <c r="AH503" s="172"/>
      <c r="AI503" s="367"/>
      <c r="AJ503" s="362"/>
      <c r="AK503" s="363" t="str">
        <f>IFERROR(__xludf.DUMMYFUNCTION("IFERROR(if(D505&lt;&gt;"""", 
  AVERAGE(
    QUERY(
      IMPORTRANGE(""1-uH1wy6jSm5jYL9je6fN1K5RJ5QMvHntodEHZRtIvTk"", ""All Data!N2:U""),
      ""select Col8 where Col1 = '"" &amp; D505 &amp; ""' and Col8 is not null"",
      0
    )
  )/100,
""""),
  """"
)
"),"")</f>
        <v/>
      </c>
    </row>
    <row r="504">
      <c r="D504" s="172"/>
      <c r="E504" s="368"/>
      <c r="F504" s="368"/>
      <c r="G504" s="368"/>
      <c r="H504" s="172"/>
      <c r="I504" s="172"/>
      <c r="J504" s="172"/>
      <c r="K504" s="172"/>
      <c r="L504" s="172"/>
      <c r="M504" s="172"/>
      <c r="N504" s="172"/>
      <c r="O504" s="358"/>
      <c r="P504" s="358"/>
      <c r="Q504" s="358"/>
      <c r="R504" s="378"/>
      <c r="S504" s="378"/>
      <c r="T504" s="8"/>
      <c r="U504" s="8"/>
      <c r="V504" s="8"/>
      <c r="W504" s="172"/>
      <c r="X504" s="172"/>
      <c r="Y504" s="8"/>
      <c r="Z504" s="8"/>
      <c r="AA504" s="8"/>
      <c r="AB504" s="172"/>
      <c r="AC504" s="172"/>
      <c r="AD504" s="8"/>
      <c r="AE504" s="8"/>
      <c r="AF504" s="8"/>
      <c r="AG504" s="172"/>
      <c r="AH504" s="172"/>
      <c r="AI504" s="367"/>
      <c r="AJ504" s="362"/>
      <c r="AK504" s="363" t="str">
        <f>IFERROR(__xludf.DUMMYFUNCTION("IFERROR(if(D506&lt;&gt;"""", 
  AVERAGE(
    QUERY(
      IMPORTRANGE(""1-uH1wy6jSm5jYL9je6fN1K5RJ5QMvHntodEHZRtIvTk"", ""All Data!N2:U""),
      ""select Col8 where Col1 = '"" &amp; D506 &amp; ""' and Col8 is not null"",
      0
    )
  )/100,
""""),
  """"
)
"),"")</f>
        <v/>
      </c>
    </row>
    <row r="505">
      <c r="D505" s="172"/>
      <c r="E505" s="368"/>
      <c r="F505" s="368"/>
      <c r="G505" s="368"/>
      <c r="H505" s="172"/>
      <c r="I505" s="172"/>
      <c r="J505" s="172"/>
      <c r="K505" s="172"/>
      <c r="L505" s="172"/>
      <c r="M505" s="172"/>
      <c r="N505" s="172"/>
      <c r="O505" s="358"/>
      <c r="P505" s="358"/>
      <c r="Q505" s="358"/>
      <c r="R505" s="378"/>
      <c r="S505" s="378"/>
      <c r="T505" s="8"/>
      <c r="U505" s="8"/>
      <c r="V505" s="8"/>
      <c r="W505" s="172"/>
      <c r="X505" s="172"/>
      <c r="Y505" s="8"/>
      <c r="Z505" s="8"/>
      <c r="AA505" s="8"/>
      <c r="AB505" s="172"/>
      <c r="AC505" s="172"/>
      <c r="AD505" s="8"/>
      <c r="AE505" s="8"/>
      <c r="AF505" s="8"/>
      <c r="AG505" s="172"/>
      <c r="AH505" s="172"/>
      <c r="AI505" s="367"/>
      <c r="AJ505" s="362"/>
      <c r="AK505" s="363" t="str">
        <f>IFERROR(__xludf.DUMMYFUNCTION("IFERROR(if(D507&lt;&gt;"""", 
  AVERAGE(
    QUERY(
      IMPORTRANGE(""1-uH1wy6jSm5jYL9je6fN1K5RJ5QMvHntodEHZRtIvTk"", ""All Data!N2:U""),
      ""select Col8 where Col1 = '"" &amp; D507 &amp; ""' and Col8 is not null"",
      0
    )
  )/100,
""""),
  """"
)
"),"")</f>
        <v/>
      </c>
    </row>
    <row r="506">
      <c r="D506" s="172"/>
      <c r="E506" s="368"/>
      <c r="F506" s="368"/>
      <c r="G506" s="368"/>
      <c r="H506" s="172"/>
      <c r="I506" s="172"/>
      <c r="J506" s="172"/>
      <c r="K506" s="172"/>
      <c r="L506" s="172"/>
      <c r="M506" s="172"/>
      <c r="N506" s="172"/>
      <c r="O506" s="358"/>
      <c r="P506" s="358"/>
      <c r="Q506" s="358"/>
      <c r="R506" s="378"/>
      <c r="S506" s="378"/>
      <c r="T506" s="8"/>
      <c r="U506" s="8"/>
      <c r="V506" s="8"/>
      <c r="W506" s="172"/>
      <c r="X506" s="172"/>
      <c r="Y506" s="8"/>
      <c r="Z506" s="8"/>
      <c r="AA506" s="8"/>
      <c r="AB506" s="172"/>
      <c r="AC506" s="172"/>
      <c r="AD506" s="8"/>
      <c r="AE506" s="8"/>
      <c r="AF506" s="8"/>
      <c r="AG506" s="172"/>
      <c r="AH506" s="172"/>
      <c r="AI506" s="367"/>
      <c r="AJ506" s="362"/>
      <c r="AK506" s="363" t="str">
        <f>IFERROR(__xludf.DUMMYFUNCTION("IFERROR(if(D508&lt;&gt;"""", 
  AVERAGE(
    QUERY(
      IMPORTRANGE(""1-uH1wy6jSm5jYL9je6fN1K5RJ5QMvHntodEHZRtIvTk"", ""All Data!N2:U""),
      ""select Col8 where Col1 = '"" &amp; D508 &amp; ""' and Col8 is not null"",
      0
    )
  )/100,
""""),
  """"
)
"),"")</f>
        <v/>
      </c>
    </row>
    <row r="507">
      <c r="D507" s="172"/>
      <c r="E507" s="368"/>
      <c r="F507" s="368"/>
      <c r="G507" s="368"/>
      <c r="H507" s="172"/>
      <c r="I507" s="172"/>
      <c r="J507" s="172"/>
      <c r="K507" s="172"/>
      <c r="L507" s="172"/>
      <c r="M507" s="172"/>
      <c r="N507" s="172"/>
      <c r="O507" s="358"/>
      <c r="P507" s="358"/>
      <c r="Q507" s="358"/>
      <c r="R507" s="378"/>
      <c r="S507" s="378"/>
      <c r="T507" s="8"/>
      <c r="U507" s="8"/>
      <c r="V507" s="8"/>
      <c r="W507" s="172"/>
      <c r="X507" s="172"/>
      <c r="Y507" s="8"/>
      <c r="Z507" s="8"/>
      <c r="AA507" s="8"/>
      <c r="AB507" s="172"/>
      <c r="AC507" s="172"/>
      <c r="AD507" s="8"/>
      <c r="AE507" s="8"/>
      <c r="AF507" s="8"/>
      <c r="AG507" s="172"/>
      <c r="AH507" s="172"/>
      <c r="AI507" s="367"/>
      <c r="AJ507" s="362"/>
      <c r="AK507" s="363" t="str">
        <f>IFERROR(__xludf.DUMMYFUNCTION("IFERROR(if(D509&lt;&gt;"""", 
  AVERAGE(
    QUERY(
      IMPORTRANGE(""1-uH1wy6jSm5jYL9je6fN1K5RJ5QMvHntodEHZRtIvTk"", ""All Data!N2:U""),
      ""select Col8 where Col1 = '"" &amp; D509 &amp; ""' and Col8 is not null"",
      0
    )
  )/100,
""""),
  """"
)
"),"")</f>
        <v/>
      </c>
    </row>
    <row r="508">
      <c r="D508" s="172"/>
      <c r="E508" s="368"/>
      <c r="F508" s="368"/>
      <c r="G508" s="368"/>
      <c r="H508" s="172"/>
      <c r="I508" s="172"/>
      <c r="J508" s="172"/>
      <c r="K508" s="172"/>
      <c r="L508" s="172"/>
      <c r="M508" s="172"/>
      <c r="N508" s="172"/>
      <c r="O508" s="358"/>
      <c r="P508" s="358"/>
      <c r="Q508" s="358"/>
      <c r="R508" s="378"/>
      <c r="S508" s="378"/>
      <c r="T508" s="8"/>
      <c r="U508" s="8"/>
      <c r="V508" s="8"/>
      <c r="W508" s="172"/>
      <c r="X508" s="172"/>
      <c r="Y508" s="8"/>
      <c r="Z508" s="8"/>
      <c r="AA508" s="8"/>
      <c r="AB508" s="172"/>
      <c r="AC508" s="172"/>
      <c r="AD508" s="8"/>
      <c r="AE508" s="8"/>
      <c r="AF508" s="8"/>
      <c r="AG508" s="172"/>
      <c r="AH508" s="172"/>
      <c r="AI508" s="367"/>
      <c r="AJ508" s="362"/>
      <c r="AK508" s="363" t="str">
        <f>IFERROR(__xludf.DUMMYFUNCTION("IFERROR(if(D510&lt;&gt;"""", 
  AVERAGE(
    QUERY(
      IMPORTRANGE(""1-uH1wy6jSm5jYL9je6fN1K5RJ5QMvHntodEHZRtIvTk"", ""All Data!N2:U""),
      ""select Col8 where Col1 = '"" &amp; D510 &amp; ""' and Col8 is not null"",
      0
    )
  )/100,
""""),
  """"
)
"),"")</f>
        <v/>
      </c>
    </row>
    <row r="509">
      <c r="D509" s="172"/>
      <c r="E509" s="368"/>
      <c r="F509" s="368"/>
      <c r="G509" s="368"/>
      <c r="H509" s="172"/>
      <c r="I509" s="172"/>
      <c r="J509" s="172"/>
      <c r="K509" s="172"/>
      <c r="L509" s="172"/>
      <c r="M509" s="172"/>
      <c r="N509" s="172"/>
      <c r="O509" s="358"/>
      <c r="P509" s="358"/>
      <c r="Q509" s="358"/>
      <c r="R509" s="378"/>
      <c r="S509" s="378"/>
      <c r="T509" s="8"/>
      <c r="U509" s="8"/>
      <c r="V509" s="8"/>
      <c r="W509" s="172"/>
      <c r="X509" s="172"/>
      <c r="Y509" s="8"/>
      <c r="Z509" s="8"/>
      <c r="AA509" s="8"/>
      <c r="AB509" s="172"/>
      <c r="AC509" s="172"/>
      <c r="AD509" s="8"/>
      <c r="AE509" s="8"/>
      <c r="AF509" s="8"/>
      <c r="AG509" s="172"/>
      <c r="AH509" s="172"/>
      <c r="AI509" s="367"/>
      <c r="AJ509" s="362"/>
      <c r="AK509" s="363" t="str">
        <f>IFERROR(__xludf.DUMMYFUNCTION("IFERROR(if(D511&lt;&gt;"""", 
  AVERAGE(
    QUERY(
      IMPORTRANGE(""1-uH1wy6jSm5jYL9je6fN1K5RJ5QMvHntodEHZRtIvTk"", ""All Data!N2:U""),
      ""select Col8 where Col1 = '"" &amp; D511 &amp; ""' and Col8 is not null"",
      0
    )
  )/100,
""""),
  """"
)
"),"")</f>
        <v/>
      </c>
    </row>
    <row r="510">
      <c r="D510" s="172"/>
      <c r="E510" s="368"/>
      <c r="F510" s="368"/>
      <c r="G510" s="368"/>
      <c r="H510" s="172"/>
      <c r="I510" s="172"/>
      <c r="J510" s="172"/>
      <c r="K510" s="172"/>
      <c r="L510" s="172"/>
      <c r="M510" s="172"/>
      <c r="N510" s="172"/>
      <c r="O510" s="358"/>
      <c r="P510" s="358"/>
      <c r="Q510" s="358"/>
      <c r="R510" s="378"/>
      <c r="S510" s="378"/>
      <c r="T510" s="8"/>
      <c r="U510" s="8"/>
      <c r="V510" s="8"/>
      <c r="W510" s="172"/>
      <c r="X510" s="172"/>
      <c r="Y510" s="8"/>
      <c r="Z510" s="8"/>
      <c r="AA510" s="8"/>
      <c r="AB510" s="172"/>
      <c r="AC510" s="172"/>
      <c r="AD510" s="8"/>
      <c r="AE510" s="8"/>
      <c r="AF510" s="8"/>
      <c r="AG510" s="172"/>
      <c r="AH510" s="172"/>
      <c r="AI510" s="367"/>
      <c r="AJ510" s="362"/>
      <c r="AK510" s="363" t="str">
        <f>IFERROR(__xludf.DUMMYFUNCTION("IFERROR(if(D512&lt;&gt;"""", 
  AVERAGE(
    QUERY(
      IMPORTRANGE(""1-uH1wy6jSm5jYL9je6fN1K5RJ5QMvHntodEHZRtIvTk"", ""All Data!N2:U""),
      ""select Col8 where Col1 = '"" &amp; D512 &amp; ""' and Col8 is not null"",
      0
    )
  )/100,
""""),
  """"
)
"),"")</f>
        <v/>
      </c>
    </row>
    <row r="511">
      <c r="D511" s="172"/>
      <c r="E511" s="368"/>
      <c r="F511" s="368"/>
      <c r="G511" s="368"/>
      <c r="H511" s="172"/>
      <c r="I511" s="172"/>
      <c r="J511" s="172"/>
      <c r="K511" s="172"/>
      <c r="L511" s="172"/>
      <c r="M511" s="172"/>
      <c r="N511" s="172"/>
      <c r="O511" s="358"/>
      <c r="P511" s="358"/>
      <c r="Q511" s="358"/>
      <c r="R511" s="378"/>
      <c r="S511" s="378"/>
      <c r="T511" s="8"/>
      <c r="U511" s="8"/>
      <c r="V511" s="8"/>
      <c r="W511" s="172"/>
      <c r="X511" s="172"/>
      <c r="Y511" s="8"/>
      <c r="Z511" s="8"/>
      <c r="AA511" s="8"/>
      <c r="AB511" s="172"/>
      <c r="AC511" s="172"/>
      <c r="AD511" s="8"/>
      <c r="AE511" s="8"/>
      <c r="AF511" s="8"/>
      <c r="AG511" s="172"/>
      <c r="AH511" s="172"/>
      <c r="AI511" s="367"/>
      <c r="AJ511" s="362"/>
      <c r="AK511" s="363" t="str">
        <f>IFERROR(__xludf.DUMMYFUNCTION("IFERROR(if(D513&lt;&gt;"""", 
  AVERAGE(
    QUERY(
      IMPORTRANGE(""1-uH1wy6jSm5jYL9je6fN1K5RJ5QMvHntodEHZRtIvTk"", ""All Data!N2:U""),
      ""select Col8 where Col1 = '"" &amp; D513 &amp; ""' and Col8 is not null"",
      0
    )
  )/100,
""""),
  """"
)
"),"")</f>
        <v/>
      </c>
    </row>
    <row r="512">
      <c r="D512" s="172"/>
      <c r="E512" s="368"/>
      <c r="F512" s="368"/>
      <c r="G512" s="368"/>
      <c r="H512" s="172"/>
      <c r="I512" s="172"/>
      <c r="J512" s="172"/>
      <c r="K512" s="172"/>
      <c r="L512" s="172"/>
      <c r="M512" s="172"/>
      <c r="N512" s="172"/>
      <c r="O512" s="358"/>
      <c r="P512" s="358"/>
      <c r="Q512" s="358"/>
      <c r="R512" s="378"/>
      <c r="S512" s="378"/>
      <c r="T512" s="8"/>
      <c r="U512" s="8"/>
      <c r="V512" s="8"/>
      <c r="W512" s="172"/>
      <c r="X512" s="172"/>
      <c r="Y512" s="8"/>
      <c r="Z512" s="8"/>
      <c r="AA512" s="8"/>
      <c r="AB512" s="172"/>
      <c r="AC512" s="172"/>
      <c r="AD512" s="8"/>
      <c r="AE512" s="8"/>
      <c r="AF512" s="8"/>
      <c r="AG512" s="172"/>
      <c r="AH512" s="172"/>
      <c r="AI512" s="367"/>
      <c r="AJ512" s="362"/>
      <c r="AK512" s="363" t="str">
        <f>IFERROR(__xludf.DUMMYFUNCTION("IFERROR(if(D514&lt;&gt;"""", 
  AVERAGE(
    QUERY(
      IMPORTRANGE(""1-uH1wy6jSm5jYL9je6fN1K5RJ5QMvHntodEHZRtIvTk"", ""All Data!N2:U""),
      ""select Col8 where Col1 = '"" &amp; D514 &amp; ""' and Col8 is not null"",
      0
    )
  )/100,
""""),
  """"
)
"),"")</f>
        <v/>
      </c>
    </row>
    <row r="513">
      <c r="D513" s="172"/>
      <c r="E513" s="368"/>
      <c r="F513" s="368"/>
      <c r="G513" s="368"/>
      <c r="H513" s="172"/>
      <c r="I513" s="172"/>
      <c r="J513" s="172"/>
      <c r="K513" s="172"/>
      <c r="L513" s="172"/>
      <c r="M513" s="172"/>
      <c r="N513" s="172"/>
      <c r="O513" s="358"/>
      <c r="P513" s="358"/>
      <c r="Q513" s="358"/>
      <c r="R513" s="378"/>
      <c r="S513" s="378"/>
      <c r="T513" s="8"/>
      <c r="U513" s="8"/>
      <c r="V513" s="8"/>
      <c r="W513" s="172"/>
      <c r="X513" s="172"/>
      <c r="Y513" s="8"/>
      <c r="Z513" s="8"/>
      <c r="AA513" s="8"/>
      <c r="AB513" s="172"/>
      <c r="AC513" s="172"/>
      <c r="AD513" s="8"/>
      <c r="AE513" s="8"/>
      <c r="AF513" s="8"/>
      <c r="AG513" s="172"/>
      <c r="AH513" s="172"/>
      <c r="AI513" s="367"/>
      <c r="AJ513" s="362"/>
      <c r="AK513" s="363" t="str">
        <f>IFERROR(__xludf.DUMMYFUNCTION("IFERROR(if(D515&lt;&gt;"""", 
  AVERAGE(
    QUERY(
      IMPORTRANGE(""1-uH1wy6jSm5jYL9je6fN1K5RJ5QMvHntodEHZRtIvTk"", ""All Data!N2:U""),
      ""select Col8 where Col1 = '"" &amp; D515 &amp; ""' and Col8 is not null"",
      0
    )
  )/100,
""""),
  """"
)
"),"")</f>
        <v/>
      </c>
    </row>
    <row r="514">
      <c r="D514" s="172"/>
      <c r="E514" s="368"/>
      <c r="F514" s="368"/>
      <c r="G514" s="368"/>
      <c r="H514" s="172"/>
      <c r="I514" s="172"/>
      <c r="J514" s="172"/>
      <c r="K514" s="172"/>
      <c r="L514" s="172"/>
      <c r="M514" s="172"/>
      <c r="N514" s="172"/>
      <c r="O514" s="358"/>
      <c r="P514" s="358"/>
      <c r="Q514" s="358"/>
      <c r="R514" s="378"/>
      <c r="S514" s="378"/>
      <c r="T514" s="8"/>
      <c r="U514" s="8"/>
      <c r="V514" s="8"/>
      <c r="W514" s="172"/>
      <c r="X514" s="172"/>
      <c r="Y514" s="8"/>
      <c r="Z514" s="8"/>
      <c r="AA514" s="8"/>
      <c r="AB514" s="172"/>
      <c r="AC514" s="172"/>
      <c r="AD514" s="8"/>
      <c r="AE514" s="8"/>
      <c r="AF514" s="8"/>
      <c r="AG514" s="172"/>
      <c r="AH514" s="172"/>
      <c r="AI514" s="367"/>
      <c r="AJ514" s="362"/>
      <c r="AK514" s="363" t="str">
        <f>IFERROR(__xludf.DUMMYFUNCTION("IFERROR(if(D516&lt;&gt;"""", 
  AVERAGE(
    QUERY(
      IMPORTRANGE(""1-uH1wy6jSm5jYL9je6fN1K5RJ5QMvHntodEHZRtIvTk"", ""All Data!N2:U""),
      ""select Col8 where Col1 = '"" &amp; D516 &amp; ""' and Col8 is not null"",
      0
    )
  )/100,
""""),
  """"
)
"),"")</f>
        <v/>
      </c>
    </row>
    <row r="515">
      <c r="D515" s="172"/>
      <c r="E515" s="368"/>
      <c r="F515" s="368"/>
      <c r="G515" s="368"/>
      <c r="H515" s="172"/>
      <c r="I515" s="172"/>
      <c r="J515" s="172"/>
      <c r="K515" s="172"/>
      <c r="L515" s="172"/>
      <c r="M515" s="172"/>
      <c r="N515" s="172"/>
      <c r="O515" s="358"/>
      <c r="P515" s="358"/>
      <c r="Q515" s="358"/>
      <c r="R515" s="378"/>
      <c r="S515" s="378"/>
      <c r="T515" s="8"/>
      <c r="U515" s="8"/>
      <c r="V515" s="8"/>
      <c r="W515" s="172"/>
      <c r="X515" s="172"/>
      <c r="Y515" s="8"/>
      <c r="Z515" s="8"/>
      <c r="AA515" s="8"/>
      <c r="AB515" s="172"/>
      <c r="AC515" s="172"/>
      <c r="AD515" s="8"/>
      <c r="AE515" s="8"/>
      <c r="AF515" s="8"/>
      <c r="AG515" s="172"/>
      <c r="AH515" s="172"/>
      <c r="AI515" s="367"/>
      <c r="AJ515" s="362"/>
      <c r="AK515" s="363" t="str">
        <f>IFERROR(__xludf.DUMMYFUNCTION("IFERROR(if(D517&lt;&gt;"""", 
  AVERAGE(
    QUERY(
      IMPORTRANGE(""1-uH1wy6jSm5jYL9je6fN1K5RJ5QMvHntodEHZRtIvTk"", ""All Data!N2:U""),
      ""select Col8 where Col1 = '"" &amp; D517 &amp; ""' and Col8 is not null"",
      0
    )
  )/100,
""""),
  """"
)
"),"")</f>
        <v/>
      </c>
    </row>
    <row r="516">
      <c r="D516" s="172"/>
      <c r="E516" s="368"/>
      <c r="F516" s="368"/>
      <c r="G516" s="368"/>
      <c r="H516" s="172"/>
      <c r="I516" s="172"/>
      <c r="J516" s="172"/>
      <c r="K516" s="172"/>
      <c r="L516" s="172"/>
      <c r="M516" s="172"/>
      <c r="N516" s="172"/>
      <c r="O516" s="358"/>
      <c r="P516" s="358"/>
      <c r="Q516" s="358"/>
      <c r="R516" s="378"/>
      <c r="S516" s="378"/>
      <c r="T516" s="8"/>
      <c r="U516" s="8"/>
      <c r="V516" s="8"/>
      <c r="W516" s="172"/>
      <c r="X516" s="172"/>
      <c r="Y516" s="8"/>
      <c r="Z516" s="8"/>
      <c r="AA516" s="8"/>
      <c r="AB516" s="172"/>
      <c r="AC516" s="172"/>
      <c r="AD516" s="8"/>
      <c r="AE516" s="8"/>
      <c r="AF516" s="8"/>
      <c r="AG516" s="172"/>
      <c r="AH516" s="172"/>
      <c r="AI516" s="367"/>
      <c r="AJ516" s="362"/>
      <c r="AK516" s="363" t="str">
        <f>IFERROR(__xludf.DUMMYFUNCTION("IFERROR(if(D518&lt;&gt;"""", 
  AVERAGE(
    QUERY(
      IMPORTRANGE(""1-uH1wy6jSm5jYL9je6fN1K5RJ5QMvHntodEHZRtIvTk"", ""All Data!N2:U""),
      ""select Col8 where Col1 = '"" &amp; D518 &amp; ""' and Col8 is not null"",
      0
    )
  )/100,
""""),
  """"
)
"),"")</f>
        <v/>
      </c>
    </row>
    <row r="517">
      <c r="D517" s="172"/>
      <c r="E517" s="368"/>
      <c r="F517" s="368"/>
      <c r="G517" s="368"/>
      <c r="H517" s="172"/>
      <c r="I517" s="172"/>
      <c r="J517" s="172"/>
      <c r="K517" s="172"/>
      <c r="L517" s="172"/>
      <c r="M517" s="172"/>
      <c r="N517" s="172"/>
      <c r="O517" s="358"/>
      <c r="P517" s="358"/>
      <c r="Q517" s="358"/>
      <c r="R517" s="378"/>
      <c r="S517" s="378"/>
      <c r="T517" s="8"/>
      <c r="U517" s="8"/>
      <c r="V517" s="8"/>
      <c r="W517" s="172"/>
      <c r="X517" s="172"/>
      <c r="Y517" s="8"/>
      <c r="Z517" s="8"/>
      <c r="AA517" s="8"/>
      <c r="AB517" s="172"/>
      <c r="AC517" s="172"/>
      <c r="AD517" s="8"/>
      <c r="AE517" s="8"/>
      <c r="AF517" s="8"/>
      <c r="AG517" s="172"/>
      <c r="AH517" s="172"/>
      <c r="AI517" s="367"/>
      <c r="AJ517" s="362"/>
      <c r="AK517" s="363" t="str">
        <f>IFERROR(__xludf.DUMMYFUNCTION("IFERROR(if(D519&lt;&gt;"""", 
  AVERAGE(
    QUERY(
      IMPORTRANGE(""1-uH1wy6jSm5jYL9je6fN1K5RJ5QMvHntodEHZRtIvTk"", ""All Data!N2:U""),
      ""select Col8 where Col1 = '"" &amp; D519 &amp; ""' and Col8 is not null"",
      0
    )
  )/100,
""""),
  """"
)
"),"")</f>
        <v/>
      </c>
    </row>
    <row r="518">
      <c r="D518" s="172"/>
      <c r="E518" s="368"/>
      <c r="F518" s="368"/>
      <c r="G518" s="368"/>
      <c r="H518" s="172"/>
      <c r="I518" s="172"/>
      <c r="J518" s="172"/>
      <c r="K518" s="172"/>
      <c r="L518" s="172"/>
      <c r="M518" s="172"/>
      <c r="N518" s="172"/>
      <c r="O518" s="358"/>
      <c r="P518" s="358"/>
      <c r="Q518" s="358"/>
      <c r="R518" s="378"/>
      <c r="S518" s="378"/>
      <c r="T518" s="8"/>
      <c r="U518" s="8"/>
      <c r="V518" s="8"/>
      <c r="W518" s="172"/>
      <c r="X518" s="172"/>
      <c r="Y518" s="8"/>
      <c r="Z518" s="8"/>
      <c r="AA518" s="8"/>
      <c r="AB518" s="172"/>
      <c r="AC518" s="172"/>
      <c r="AD518" s="8"/>
      <c r="AE518" s="8"/>
      <c r="AF518" s="8"/>
      <c r="AG518" s="172"/>
      <c r="AH518" s="172"/>
      <c r="AI518" s="367"/>
      <c r="AJ518" s="362"/>
      <c r="AK518" s="363" t="str">
        <f>IFERROR(__xludf.DUMMYFUNCTION("IFERROR(if(D520&lt;&gt;"""", 
  AVERAGE(
    QUERY(
      IMPORTRANGE(""1-uH1wy6jSm5jYL9je6fN1K5RJ5QMvHntodEHZRtIvTk"", ""All Data!N2:U""),
      ""select Col8 where Col1 = '"" &amp; D520 &amp; ""' and Col8 is not null"",
      0
    )
  )/100,
""""),
  """"
)
"),"")</f>
        <v/>
      </c>
    </row>
    <row r="519">
      <c r="D519" s="172"/>
      <c r="E519" s="368"/>
      <c r="F519" s="368"/>
      <c r="G519" s="368"/>
      <c r="H519" s="172"/>
      <c r="I519" s="172"/>
      <c r="J519" s="172"/>
      <c r="K519" s="172"/>
      <c r="L519" s="172"/>
      <c r="M519" s="172"/>
      <c r="N519" s="172"/>
      <c r="O519" s="358"/>
      <c r="P519" s="358"/>
      <c r="Q519" s="358"/>
      <c r="R519" s="378"/>
      <c r="S519" s="378"/>
      <c r="T519" s="8"/>
      <c r="U519" s="8"/>
      <c r="V519" s="8"/>
      <c r="W519" s="172"/>
      <c r="X519" s="172"/>
      <c r="Y519" s="8"/>
      <c r="Z519" s="8"/>
      <c r="AA519" s="8"/>
      <c r="AB519" s="172"/>
      <c r="AC519" s="172"/>
      <c r="AD519" s="8"/>
      <c r="AE519" s="8"/>
      <c r="AF519" s="8"/>
      <c r="AG519" s="172"/>
      <c r="AH519" s="172"/>
      <c r="AI519" s="367"/>
      <c r="AJ519" s="362"/>
      <c r="AK519" s="363" t="str">
        <f>IFERROR(__xludf.DUMMYFUNCTION("IFERROR(if(D521&lt;&gt;"""", 
  AVERAGE(
    QUERY(
      IMPORTRANGE(""1-uH1wy6jSm5jYL9je6fN1K5RJ5QMvHntodEHZRtIvTk"", ""All Data!N2:U""),
      ""select Col8 where Col1 = '"" &amp; D521 &amp; ""' and Col8 is not null"",
      0
    )
  )/100,
""""),
  """"
)
"),"")</f>
        <v/>
      </c>
    </row>
    <row r="520">
      <c r="D520" s="172"/>
      <c r="E520" s="368"/>
      <c r="F520" s="368"/>
      <c r="G520" s="368"/>
      <c r="H520" s="172"/>
      <c r="I520" s="172"/>
      <c r="J520" s="172"/>
      <c r="K520" s="172"/>
      <c r="L520" s="172"/>
      <c r="M520" s="172"/>
      <c r="N520" s="172"/>
      <c r="O520" s="358"/>
      <c r="P520" s="358"/>
      <c r="Q520" s="358"/>
      <c r="R520" s="378"/>
      <c r="S520" s="378"/>
      <c r="T520" s="8"/>
      <c r="U520" s="8"/>
      <c r="V520" s="8"/>
      <c r="W520" s="172"/>
      <c r="X520" s="172"/>
      <c r="Y520" s="8"/>
      <c r="Z520" s="8"/>
      <c r="AA520" s="8"/>
      <c r="AB520" s="172"/>
      <c r="AC520" s="172"/>
      <c r="AD520" s="8"/>
      <c r="AE520" s="8"/>
      <c r="AF520" s="8"/>
      <c r="AG520" s="172"/>
      <c r="AH520" s="172"/>
      <c r="AI520" s="367"/>
      <c r="AJ520" s="362"/>
      <c r="AK520" s="363" t="str">
        <f>IFERROR(__xludf.DUMMYFUNCTION("IFERROR(if(D522&lt;&gt;"""", 
  AVERAGE(
    QUERY(
      IMPORTRANGE(""1-uH1wy6jSm5jYL9je6fN1K5RJ5QMvHntodEHZRtIvTk"", ""All Data!N2:U""),
      ""select Col8 where Col1 = '"" &amp; D522 &amp; ""' and Col8 is not null"",
      0
    )
  )/100,
""""),
  """"
)
"),"")</f>
        <v/>
      </c>
    </row>
    <row r="521">
      <c r="D521" s="172"/>
      <c r="E521" s="368"/>
      <c r="F521" s="368"/>
      <c r="G521" s="368"/>
      <c r="H521" s="172"/>
      <c r="I521" s="172"/>
      <c r="J521" s="172"/>
      <c r="K521" s="172"/>
      <c r="L521" s="172"/>
      <c r="M521" s="172"/>
      <c r="N521" s="172"/>
      <c r="O521" s="358"/>
      <c r="P521" s="358"/>
      <c r="Q521" s="358"/>
      <c r="R521" s="378"/>
      <c r="S521" s="378"/>
      <c r="T521" s="8"/>
      <c r="U521" s="8"/>
      <c r="V521" s="8"/>
      <c r="W521" s="172"/>
      <c r="X521" s="172"/>
      <c r="Y521" s="8"/>
      <c r="Z521" s="8"/>
      <c r="AA521" s="8"/>
      <c r="AB521" s="172"/>
      <c r="AC521" s="172"/>
      <c r="AD521" s="8"/>
      <c r="AE521" s="8"/>
      <c r="AF521" s="8"/>
      <c r="AG521" s="172"/>
      <c r="AH521" s="172"/>
      <c r="AI521" s="367"/>
      <c r="AJ521" s="362"/>
      <c r="AK521" s="363" t="str">
        <f>IFERROR(__xludf.DUMMYFUNCTION("IFERROR(if(D523&lt;&gt;"""", 
  AVERAGE(
    QUERY(
      IMPORTRANGE(""1-uH1wy6jSm5jYL9je6fN1K5RJ5QMvHntodEHZRtIvTk"", ""All Data!N2:U""),
      ""select Col8 where Col1 = '"" &amp; D523 &amp; ""' and Col8 is not null"",
      0
    )
  )/100,
""""),
  """"
)
"),"")</f>
        <v/>
      </c>
    </row>
    <row r="522">
      <c r="D522" s="172"/>
      <c r="E522" s="368"/>
      <c r="F522" s="368"/>
      <c r="G522" s="368"/>
      <c r="H522" s="172"/>
      <c r="I522" s="172"/>
      <c r="J522" s="172"/>
      <c r="K522" s="172"/>
      <c r="L522" s="172"/>
      <c r="M522" s="172"/>
      <c r="N522" s="172"/>
      <c r="O522" s="358"/>
      <c r="P522" s="358"/>
      <c r="Q522" s="358"/>
      <c r="R522" s="378"/>
      <c r="S522" s="378"/>
      <c r="T522" s="8"/>
      <c r="U522" s="8"/>
      <c r="V522" s="8"/>
      <c r="W522" s="172"/>
      <c r="X522" s="172"/>
      <c r="Y522" s="8"/>
      <c r="Z522" s="8"/>
      <c r="AA522" s="8"/>
      <c r="AB522" s="172"/>
      <c r="AC522" s="172"/>
      <c r="AD522" s="8"/>
      <c r="AE522" s="8"/>
      <c r="AF522" s="8"/>
      <c r="AG522" s="172"/>
      <c r="AH522" s="172"/>
      <c r="AI522" s="367"/>
      <c r="AJ522" s="362"/>
      <c r="AK522" s="363" t="str">
        <f>IFERROR(__xludf.DUMMYFUNCTION("IFERROR(if(D524&lt;&gt;"""", 
  AVERAGE(
    QUERY(
      IMPORTRANGE(""1-uH1wy6jSm5jYL9je6fN1K5RJ5QMvHntodEHZRtIvTk"", ""All Data!N2:U""),
      ""select Col8 where Col1 = '"" &amp; D524 &amp; ""' and Col8 is not null"",
      0
    )
  )/100,
""""),
  """"
)
"),"")</f>
        <v/>
      </c>
    </row>
    <row r="523">
      <c r="D523" s="172"/>
      <c r="E523" s="368"/>
      <c r="F523" s="368"/>
      <c r="G523" s="368"/>
      <c r="H523" s="172"/>
      <c r="I523" s="172"/>
      <c r="J523" s="172"/>
      <c r="K523" s="172"/>
      <c r="L523" s="172"/>
      <c r="M523" s="172"/>
      <c r="N523" s="172"/>
      <c r="O523" s="358"/>
      <c r="P523" s="358"/>
      <c r="Q523" s="358"/>
      <c r="R523" s="378"/>
      <c r="S523" s="378"/>
      <c r="T523" s="8"/>
      <c r="U523" s="8"/>
      <c r="V523" s="8"/>
      <c r="W523" s="172"/>
      <c r="X523" s="172"/>
      <c r="Y523" s="8"/>
      <c r="Z523" s="8"/>
      <c r="AA523" s="8"/>
      <c r="AB523" s="172"/>
      <c r="AC523" s="172"/>
      <c r="AD523" s="8"/>
      <c r="AE523" s="8"/>
      <c r="AF523" s="8"/>
      <c r="AG523" s="172"/>
      <c r="AH523" s="172"/>
      <c r="AI523" s="367"/>
      <c r="AJ523" s="362"/>
      <c r="AK523" s="363" t="str">
        <f>IFERROR(__xludf.DUMMYFUNCTION("IFERROR(if(D525&lt;&gt;"""", 
  AVERAGE(
    QUERY(
      IMPORTRANGE(""1-uH1wy6jSm5jYL9je6fN1K5RJ5QMvHntodEHZRtIvTk"", ""All Data!N2:U""),
      ""select Col8 where Col1 = '"" &amp; D525 &amp; ""' and Col8 is not null"",
      0
    )
  )/100,
""""),
  """"
)
"),"")</f>
        <v/>
      </c>
    </row>
    <row r="524">
      <c r="D524" s="172"/>
      <c r="E524" s="368"/>
      <c r="F524" s="368"/>
      <c r="G524" s="368"/>
      <c r="H524" s="172"/>
      <c r="I524" s="172"/>
      <c r="J524" s="172"/>
      <c r="K524" s="172"/>
      <c r="L524" s="172"/>
      <c r="M524" s="172"/>
      <c r="N524" s="172"/>
      <c r="O524" s="358"/>
      <c r="P524" s="358"/>
      <c r="Q524" s="358"/>
      <c r="R524" s="378"/>
      <c r="S524" s="378"/>
      <c r="T524" s="8"/>
      <c r="U524" s="8"/>
      <c r="V524" s="8"/>
      <c r="W524" s="172"/>
      <c r="X524" s="172"/>
      <c r="Y524" s="8"/>
      <c r="Z524" s="8"/>
      <c r="AA524" s="8"/>
      <c r="AB524" s="172"/>
      <c r="AC524" s="172"/>
      <c r="AD524" s="8"/>
      <c r="AE524" s="8"/>
      <c r="AF524" s="8"/>
      <c r="AG524" s="172"/>
      <c r="AH524" s="172"/>
      <c r="AI524" s="367"/>
      <c r="AJ524" s="362"/>
      <c r="AK524" s="363" t="str">
        <f>IFERROR(__xludf.DUMMYFUNCTION("IFERROR(if(D526&lt;&gt;"""", 
  AVERAGE(
    QUERY(
      IMPORTRANGE(""1-uH1wy6jSm5jYL9je6fN1K5RJ5QMvHntodEHZRtIvTk"", ""All Data!N2:U""),
      ""select Col8 where Col1 = '"" &amp; D526 &amp; ""' and Col8 is not null"",
      0
    )
  )/100,
""""),
  """"
)
"),"")</f>
        <v/>
      </c>
    </row>
    <row r="525">
      <c r="D525" s="172"/>
      <c r="E525" s="368"/>
      <c r="F525" s="368"/>
      <c r="G525" s="368"/>
      <c r="H525" s="172"/>
      <c r="I525" s="172"/>
      <c r="J525" s="172"/>
      <c r="K525" s="172"/>
      <c r="L525" s="172"/>
      <c r="M525" s="172"/>
      <c r="N525" s="172"/>
      <c r="O525" s="358"/>
      <c r="P525" s="358"/>
      <c r="Q525" s="358"/>
      <c r="R525" s="378"/>
      <c r="S525" s="378"/>
      <c r="T525" s="8"/>
      <c r="U525" s="8"/>
      <c r="V525" s="8"/>
      <c r="W525" s="172"/>
      <c r="X525" s="172"/>
      <c r="Y525" s="8"/>
      <c r="Z525" s="8"/>
      <c r="AA525" s="8"/>
      <c r="AB525" s="172"/>
      <c r="AC525" s="172"/>
      <c r="AD525" s="8"/>
      <c r="AE525" s="8"/>
      <c r="AF525" s="8"/>
      <c r="AG525" s="172"/>
      <c r="AH525" s="172"/>
      <c r="AI525" s="367"/>
      <c r="AJ525" s="362"/>
      <c r="AK525" s="363" t="str">
        <f>IFERROR(__xludf.DUMMYFUNCTION("IFERROR(if(D527&lt;&gt;"""", 
  AVERAGE(
    QUERY(
      IMPORTRANGE(""1-uH1wy6jSm5jYL9je6fN1K5RJ5QMvHntodEHZRtIvTk"", ""All Data!N2:U""),
      ""select Col8 where Col1 = '"" &amp; D527 &amp; ""' and Col8 is not null"",
      0
    )
  )/100,
""""),
  """"
)
"),"")</f>
        <v/>
      </c>
    </row>
    <row r="526">
      <c r="D526" s="172"/>
      <c r="E526" s="368"/>
      <c r="F526" s="368"/>
      <c r="G526" s="368"/>
      <c r="H526" s="172"/>
      <c r="I526" s="172"/>
      <c r="J526" s="172"/>
      <c r="K526" s="172"/>
      <c r="L526" s="172"/>
      <c r="M526" s="172"/>
      <c r="N526" s="172"/>
      <c r="O526" s="358"/>
      <c r="P526" s="358"/>
      <c r="Q526" s="358"/>
      <c r="R526" s="378"/>
      <c r="S526" s="378"/>
      <c r="T526" s="8"/>
      <c r="U526" s="8"/>
      <c r="V526" s="8"/>
      <c r="W526" s="172"/>
      <c r="X526" s="172"/>
      <c r="Y526" s="8"/>
      <c r="Z526" s="8"/>
      <c r="AA526" s="8"/>
      <c r="AB526" s="172"/>
      <c r="AC526" s="172"/>
      <c r="AD526" s="8"/>
      <c r="AE526" s="8"/>
      <c r="AF526" s="8"/>
      <c r="AG526" s="172"/>
      <c r="AH526" s="172"/>
      <c r="AI526" s="367"/>
      <c r="AJ526" s="362"/>
      <c r="AK526" s="363" t="str">
        <f>IFERROR(__xludf.DUMMYFUNCTION("IFERROR(if(D528&lt;&gt;"""", 
  AVERAGE(
    QUERY(
      IMPORTRANGE(""1-uH1wy6jSm5jYL9je6fN1K5RJ5QMvHntodEHZRtIvTk"", ""All Data!N2:U""),
      ""select Col8 where Col1 = '"" &amp; D528 &amp; ""' and Col8 is not null"",
      0
    )
  )/100,
""""),
  """"
)
"),"")</f>
        <v/>
      </c>
    </row>
    <row r="527">
      <c r="D527" s="172"/>
      <c r="E527" s="368"/>
      <c r="F527" s="368"/>
      <c r="G527" s="368"/>
      <c r="H527" s="172"/>
      <c r="I527" s="172"/>
      <c r="J527" s="172"/>
      <c r="K527" s="172"/>
      <c r="L527" s="172"/>
      <c r="M527" s="172"/>
      <c r="N527" s="172"/>
      <c r="O527" s="358"/>
      <c r="P527" s="358"/>
      <c r="Q527" s="358"/>
      <c r="R527" s="378"/>
      <c r="S527" s="378"/>
      <c r="T527" s="8"/>
      <c r="U527" s="8"/>
      <c r="V527" s="8"/>
      <c r="W527" s="172"/>
      <c r="X527" s="172"/>
      <c r="Y527" s="8"/>
      <c r="Z527" s="8"/>
      <c r="AA527" s="8"/>
      <c r="AB527" s="172"/>
      <c r="AC527" s="172"/>
      <c r="AD527" s="8"/>
      <c r="AE527" s="8"/>
      <c r="AF527" s="8"/>
      <c r="AG527" s="172"/>
      <c r="AH527" s="172"/>
      <c r="AI527" s="367"/>
      <c r="AJ527" s="362"/>
      <c r="AK527" s="363" t="str">
        <f>IFERROR(__xludf.DUMMYFUNCTION("IFERROR(if(D529&lt;&gt;"""", 
  AVERAGE(
    QUERY(
      IMPORTRANGE(""1-uH1wy6jSm5jYL9je6fN1K5RJ5QMvHntodEHZRtIvTk"", ""All Data!N2:U""),
      ""select Col8 where Col1 = '"" &amp; D529 &amp; ""' and Col8 is not null"",
      0
    )
  )/100,
""""),
  """"
)
"),"")</f>
        <v/>
      </c>
    </row>
    <row r="528">
      <c r="D528" s="172"/>
      <c r="E528" s="368"/>
      <c r="F528" s="368"/>
      <c r="G528" s="368"/>
      <c r="H528" s="172"/>
      <c r="I528" s="172"/>
      <c r="J528" s="172"/>
      <c r="K528" s="172"/>
      <c r="L528" s="172"/>
      <c r="M528" s="172"/>
      <c r="N528" s="172"/>
      <c r="O528" s="358"/>
      <c r="P528" s="358"/>
      <c r="Q528" s="358"/>
      <c r="R528" s="378"/>
      <c r="S528" s="378"/>
      <c r="T528" s="8"/>
      <c r="U528" s="8"/>
      <c r="V528" s="8"/>
      <c r="W528" s="172"/>
      <c r="X528" s="172"/>
      <c r="Y528" s="8"/>
      <c r="Z528" s="8"/>
      <c r="AA528" s="8"/>
      <c r="AB528" s="172"/>
      <c r="AC528" s="172"/>
      <c r="AD528" s="8"/>
      <c r="AE528" s="8"/>
      <c r="AF528" s="8"/>
      <c r="AG528" s="172"/>
      <c r="AH528" s="172"/>
      <c r="AI528" s="367"/>
      <c r="AJ528" s="362"/>
      <c r="AK528" s="363" t="str">
        <f>IFERROR(__xludf.DUMMYFUNCTION("IFERROR(if(D530&lt;&gt;"""", 
  AVERAGE(
    QUERY(
      IMPORTRANGE(""1-uH1wy6jSm5jYL9je6fN1K5RJ5QMvHntodEHZRtIvTk"", ""All Data!N2:U""),
      ""select Col8 where Col1 = '"" &amp; D530 &amp; ""' and Col8 is not null"",
      0
    )
  )/100,
""""),
  """"
)
"),"")</f>
        <v/>
      </c>
    </row>
    <row r="529">
      <c r="D529" s="172"/>
      <c r="E529" s="368"/>
      <c r="F529" s="368"/>
      <c r="G529" s="368"/>
      <c r="H529" s="172"/>
      <c r="I529" s="172"/>
      <c r="J529" s="172"/>
      <c r="K529" s="172"/>
      <c r="L529" s="172"/>
      <c r="M529" s="172"/>
      <c r="N529" s="172"/>
      <c r="O529" s="358"/>
      <c r="P529" s="358"/>
      <c r="Q529" s="358"/>
      <c r="R529" s="378"/>
      <c r="S529" s="378"/>
      <c r="T529" s="8"/>
      <c r="U529" s="8"/>
      <c r="V529" s="8"/>
      <c r="W529" s="172"/>
      <c r="X529" s="172"/>
      <c r="Y529" s="8"/>
      <c r="Z529" s="8"/>
      <c r="AA529" s="8"/>
      <c r="AB529" s="172"/>
      <c r="AC529" s="172"/>
      <c r="AD529" s="8"/>
      <c r="AE529" s="8"/>
      <c r="AF529" s="8"/>
      <c r="AG529" s="172"/>
      <c r="AH529" s="172"/>
      <c r="AI529" s="367"/>
      <c r="AJ529" s="362"/>
      <c r="AK529" s="363" t="str">
        <f>IFERROR(__xludf.DUMMYFUNCTION("IFERROR(if(D531&lt;&gt;"""", 
  AVERAGE(
    QUERY(
      IMPORTRANGE(""1-uH1wy6jSm5jYL9je6fN1K5RJ5QMvHntodEHZRtIvTk"", ""All Data!N2:U""),
      ""select Col8 where Col1 = '"" &amp; D531 &amp; ""' and Col8 is not null"",
      0
    )
  )/100,
""""),
  """"
)
"),"")</f>
        <v/>
      </c>
    </row>
    <row r="530">
      <c r="D530" s="172"/>
      <c r="E530" s="368"/>
      <c r="F530" s="368"/>
      <c r="G530" s="368"/>
      <c r="H530" s="172"/>
      <c r="I530" s="172"/>
      <c r="J530" s="172"/>
      <c r="K530" s="172"/>
      <c r="L530" s="172"/>
      <c r="M530" s="172"/>
      <c r="N530" s="172"/>
      <c r="O530" s="358"/>
      <c r="P530" s="358"/>
      <c r="Q530" s="358"/>
      <c r="R530" s="378"/>
      <c r="S530" s="378"/>
      <c r="T530" s="8"/>
      <c r="U530" s="8"/>
      <c r="V530" s="8"/>
      <c r="W530" s="172"/>
      <c r="X530" s="172"/>
      <c r="Y530" s="8"/>
      <c r="Z530" s="8"/>
      <c r="AA530" s="8"/>
      <c r="AB530" s="172"/>
      <c r="AC530" s="172"/>
      <c r="AD530" s="8"/>
      <c r="AE530" s="8"/>
      <c r="AF530" s="8"/>
      <c r="AG530" s="172"/>
      <c r="AH530" s="172"/>
      <c r="AI530" s="367"/>
      <c r="AJ530" s="362"/>
      <c r="AK530" s="363" t="str">
        <f>IFERROR(__xludf.DUMMYFUNCTION("IFERROR(if(D532&lt;&gt;"""", 
  AVERAGE(
    QUERY(
      IMPORTRANGE(""1-uH1wy6jSm5jYL9je6fN1K5RJ5QMvHntodEHZRtIvTk"", ""All Data!N2:U""),
      ""select Col8 where Col1 = '"" &amp; D532 &amp; ""' and Col8 is not null"",
      0
    )
  )/100,
""""),
  """"
)
"),"")</f>
        <v/>
      </c>
    </row>
    <row r="531">
      <c r="D531" s="172"/>
      <c r="E531" s="368"/>
      <c r="F531" s="368"/>
      <c r="G531" s="368"/>
      <c r="H531" s="172"/>
      <c r="I531" s="172"/>
      <c r="J531" s="172"/>
      <c r="K531" s="172"/>
      <c r="L531" s="172"/>
      <c r="M531" s="172"/>
      <c r="N531" s="172"/>
      <c r="O531" s="358"/>
      <c r="P531" s="358"/>
      <c r="Q531" s="358"/>
      <c r="R531" s="378"/>
      <c r="S531" s="378"/>
      <c r="T531" s="8"/>
      <c r="U531" s="8"/>
      <c r="V531" s="8"/>
      <c r="W531" s="172"/>
      <c r="X531" s="172"/>
      <c r="Y531" s="8"/>
      <c r="Z531" s="8"/>
      <c r="AA531" s="8"/>
      <c r="AB531" s="172"/>
      <c r="AC531" s="172"/>
      <c r="AD531" s="8"/>
      <c r="AE531" s="8"/>
      <c r="AF531" s="8"/>
      <c r="AG531" s="172"/>
      <c r="AH531" s="172"/>
      <c r="AI531" s="367"/>
      <c r="AJ531" s="362"/>
      <c r="AK531" s="363" t="str">
        <f>IFERROR(__xludf.DUMMYFUNCTION("IFERROR(if(D533&lt;&gt;"""", 
  AVERAGE(
    QUERY(
      IMPORTRANGE(""1-uH1wy6jSm5jYL9je6fN1K5RJ5QMvHntodEHZRtIvTk"", ""All Data!N2:U""),
      ""select Col8 where Col1 = '"" &amp; D533 &amp; ""' and Col8 is not null"",
      0
    )
  )/100,
""""),
  """"
)
"),"")</f>
        <v/>
      </c>
    </row>
    <row r="532">
      <c r="D532" s="172"/>
      <c r="E532" s="368"/>
      <c r="F532" s="368"/>
      <c r="G532" s="368"/>
      <c r="H532" s="172"/>
      <c r="I532" s="172"/>
      <c r="J532" s="172"/>
      <c r="K532" s="172"/>
      <c r="L532" s="172"/>
      <c r="M532" s="172"/>
      <c r="N532" s="172"/>
      <c r="O532" s="358"/>
      <c r="P532" s="358"/>
      <c r="Q532" s="358"/>
      <c r="R532" s="378"/>
      <c r="S532" s="378"/>
      <c r="T532" s="8"/>
      <c r="U532" s="8"/>
      <c r="V532" s="8"/>
      <c r="W532" s="172"/>
      <c r="X532" s="172"/>
      <c r="Y532" s="8"/>
      <c r="Z532" s="8"/>
      <c r="AA532" s="8"/>
      <c r="AB532" s="172"/>
      <c r="AC532" s="172"/>
      <c r="AD532" s="8"/>
      <c r="AE532" s="8"/>
      <c r="AF532" s="8"/>
      <c r="AG532" s="172"/>
      <c r="AH532" s="172"/>
      <c r="AI532" s="367"/>
      <c r="AJ532" s="362"/>
      <c r="AK532" s="363" t="str">
        <f>IFERROR(__xludf.DUMMYFUNCTION("IFERROR(if(D534&lt;&gt;"""", 
  AVERAGE(
    QUERY(
      IMPORTRANGE(""1-uH1wy6jSm5jYL9je6fN1K5RJ5QMvHntodEHZRtIvTk"", ""All Data!N2:U""),
      ""select Col8 where Col1 = '"" &amp; D534 &amp; ""' and Col8 is not null"",
      0
    )
  )/100,
""""),
  """"
)
"),"")</f>
        <v/>
      </c>
    </row>
    <row r="533">
      <c r="D533" s="172"/>
      <c r="E533" s="368"/>
      <c r="F533" s="368"/>
      <c r="G533" s="368"/>
      <c r="H533" s="172"/>
      <c r="I533" s="172"/>
      <c r="J533" s="172"/>
      <c r="K533" s="172"/>
      <c r="L533" s="172"/>
      <c r="M533" s="172"/>
      <c r="N533" s="172"/>
      <c r="O533" s="358"/>
      <c r="P533" s="358"/>
      <c r="Q533" s="358"/>
      <c r="R533" s="378"/>
      <c r="S533" s="378"/>
      <c r="T533" s="8"/>
      <c r="U533" s="8"/>
      <c r="V533" s="8"/>
      <c r="W533" s="172"/>
      <c r="X533" s="172"/>
      <c r="Y533" s="8"/>
      <c r="Z533" s="8"/>
      <c r="AA533" s="8"/>
      <c r="AB533" s="172"/>
      <c r="AC533" s="172"/>
      <c r="AD533" s="8"/>
      <c r="AE533" s="8"/>
      <c r="AF533" s="8"/>
      <c r="AG533" s="172"/>
      <c r="AH533" s="172"/>
      <c r="AI533" s="367"/>
      <c r="AJ533" s="362"/>
      <c r="AK533" s="363" t="str">
        <f>IFERROR(__xludf.DUMMYFUNCTION("IFERROR(if(D535&lt;&gt;"""", 
  AVERAGE(
    QUERY(
      IMPORTRANGE(""1-uH1wy6jSm5jYL9je6fN1K5RJ5QMvHntodEHZRtIvTk"", ""All Data!N2:U""),
      ""select Col8 where Col1 = '"" &amp; D535 &amp; ""' and Col8 is not null"",
      0
    )
  )/100,
""""),
  """"
)
"),"")</f>
        <v/>
      </c>
    </row>
    <row r="534">
      <c r="D534" s="172"/>
      <c r="E534" s="368"/>
      <c r="F534" s="368"/>
      <c r="G534" s="368"/>
      <c r="H534" s="172"/>
      <c r="I534" s="172"/>
      <c r="J534" s="172"/>
      <c r="K534" s="172"/>
      <c r="L534" s="172"/>
      <c r="M534" s="172"/>
      <c r="N534" s="172"/>
      <c r="O534" s="358"/>
      <c r="P534" s="358"/>
      <c r="Q534" s="358"/>
      <c r="R534" s="378"/>
      <c r="S534" s="378"/>
      <c r="T534" s="8"/>
      <c r="U534" s="8"/>
      <c r="V534" s="8"/>
      <c r="W534" s="172"/>
      <c r="X534" s="172"/>
      <c r="Y534" s="8"/>
      <c r="Z534" s="8"/>
      <c r="AA534" s="8"/>
      <c r="AB534" s="172"/>
      <c r="AC534" s="172"/>
      <c r="AD534" s="8"/>
      <c r="AE534" s="8"/>
      <c r="AF534" s="8"/>
      <c r="AG534" s="172"/>
      <c r="AH534" s="172"/>
      <c r="AI534" s="367"/>
      <c r="AJ534" s="362"/>
      <c r="AK534" s="363" t="str">
        <f>IFERROR(__xludf.DUMMYFUNCTION("IFERROR(if(D536&lt;&gt;"""", 
  AVERAGE(
    QUERY(
      IMPORTRANGE(""1-uH1wy6jSm5jYL9je6fN1K5RJ5QMvHntodEHZRtIvTk"", ""All Data!N2:U""),
      ""select Col8 where Col1 = '"" &amp; D536 &amp; ""' and Col8 is not null"",
      0
    )
  )/100,
""""),
  """"
)
"),"")</f>
        <v/>
      </c>
    </row>
    <row r="535">
      <c r="D535" s="172"/>
      <c r="E535" s="368"/>
      <c r="F535" s="368"/>
      <c r="G535" s="368"/>
      <c r="H535" s="172"/>
      <c r="I535" s="172"/>
      <c r="J535" s="172"/>
      <c r="K535" s="172"/>
      <c r="L535" s="172"/>
      <c r="M535" s="172"/>
      <c r="N535" s="172"/>
      <c r="O535" s="358"/>
      <c r="P535" s="358"/>
      <c r="Q535" s="358"/>
      <c r="R535" s="378"/>
      <c r="S535" s="378"/>
      <c r="T535" s="8"/>
      <c r="U535" s="8"/>
      <c r="V535" s="8"/>
      <c r="W535" s="172"/>
      <c r="X535" s="172"/>
      <c r="Y535" s="8"/>
      <c r="Z535" s="8"/>
      <c r="AA535" s="8"/>
      <c r="AB535" s="172"/>
      <c r="AC535" s="172"/>
      <c r="AD535" s="8"/>
      <c r="AE535" s="8"/>
      <c r="AF535" s="8"/>
      <c r="AG535" s="172"/>
      <c r="AH535" s="172"/>
      <c r="AI535" s="367"/>
      <c r="AJ535" s="362"/>
      <c r="AK535" s="363" t="str">
        <f>IFERROR(__xludf.DUMMYFUNCTION("IFERROR(if(D537&lt;&gt;"""", 
  AVERAGE(
    QUERY(
      IMPORTRANGE(""1-uH1wy6jSm5jYL9je6fN1K5RJ5QMvHntodEHZRtIvTk"", ""All Data!N2:U""),
      ""select Col8 where Col1 = '"" &amp; D537 &amp; ""' and Col8 is not null"",
      0
    )
  )/100,
""""),
  """"
)
"),"")</f>
        <v/>
      </c>
    </row>
    <row r="536">
      <c r="D536" s="172"/>
      <c r="E536" s="368"/>
      <c r="F536" s="368"/>
      <c r="G536" s="368"/>
      <c r="H536" s="172"/>
      <c r="I536" s="172"/>
      <c r="J536" s="172"/>
      <c r="K536" s="172"/>
      <c r="L536" s="172"/>
      <c r="M536" s="172"/>
      <c r="N536" s="172"/>
      <c r="O536" s="358"/>
      <c r="P536" s="358"/>
      <c r="Q536" s="358"/>
      <c r="R536" s="378"/>
      <c r="S536" s="378"/>
      <c r="T536" s="8"/>
      <c r="U536" s="8"/>
      <c r="V536" s="8"/>
      <c r="W536" s="172"/>
      <c r="X536" s="172"/>
      <c r="Y536" s="8"/>
      <c r="Z536" s="8"/>
      <c r="AA536" s="8"/>
      <c r="AB536" s="172"/>
      <c r="AC536" s="172"/>
      <c r="AD536" s="8"/>
      <c r="AE536" s="8"/>
      <c r="AF536" s="8"/>
      <c r="AG536" s="172"/>
      <c r="AH536" s="172"/>
      <c r="AI536" s="367"/>
      <c r="AJ536" s="362"/>
      <c r="AK536" s="363" t="str">
        <f>IFERROR(__xludf.DUMMYFUNCTION("IFERROR(if(D538&lt;&gt;"""", 
  AVERAGE(
    QUERY(
      IMPORTRANGE(""1-uH1wy6jSm5jYL9je6fN1K5RJ5QMvHntodEHZRtIvTk"", ""All Data!N2:U""),
      ""select Col8 where Col1 = '"" &amp; D538 &amp; ""' and Col8 is not null"",
      0
    )
  )/100,
""""),
  """"
)
"),"")</f>
        <v/>
      </c>
    </row>
    <row r="537">
      <c r="D537" s="172"/>
      <c r="E537" s="368"/>
      <c r="F537" s="368"/>
      <c r="G537" s="368"/>
      <c r="H537" s="172"/>
      <c r="I537" s="172"/>
      <c r="J537" s="172"/>
      <c r="K537" s="172"/>
      <c r="L537" s="172"/>
      <c r="M537" s="172"/>
      <c r="N537" s="172"/>
      <c r="O537" s="358"/>
      <c r="P537" s="358"/>
      <c r="Q537" s="358"/>
      <c r="R537" s="378"/>
      <c r="S537" s="378"/>
      <c r="T537" s="8"/>
      <c r="U537" s="8"/>
      <c r="V537" s="8"/>
      <c r="W537" s="172"/>
      <c r="X537" s="172"/>
      <c r="Y537" s="8"/>
      <c r="Z537" s="8"/>
      <c r="AA537" s="8"/>
      <c r="AB537" s="172"/>
      <c r="AC537" s="172"/>
      <c r="AD537" s="8"/>
      <c r="AE537" s="8"/>
      <c r="AF537" s="8"/>
      <c r="AG537" s="172"/>
      <c r="AH537" s="172"/>
      <c r="AI537" s="367"/>
      <c r="AJ537" s="362"/>
      <c r="AK537" s="363" t="str">
        <f>IFERROR(__xludf.DUMMYFUNCTION("IFERROR(if(D539&lt;&gt;"""", 
  AVERAGE(
    QUERY(
      IMPORTRANGE(""1-uH1wy6jSm5jYL9je6fN1K5RJ5QMvHntodEHZRtIvTk"", ""All Data!N2:U""),
      ""select Col8 where Col1 = '"" &amp; D539 &amp; ""' and Col8 is not null"",
      0
    )
  )/100,
""""),
  """"
)
"),"")</f>
        <v/>
      </c>
    </row>
    <row r="538">
      <c r="D538" s="172"/>
      <c r="E538" s="368"/>
      <c r="F538" s="368"/>
      <c r="G538" s="368"/>
      <c r="H538" s="172"/>
      <c r="I538" s="172"/>
      <c r="J538" s="172"/>
      <c r="K538" s="172"/>
      <c r="L538" s="172"/>
      <c r="M538" s="172"/>
      <c r="N538" s="172"/>
      <c r="O538" s="358"/>
      <c r="P538" s="358"/>
      <c r="Q538" s="358"/>
      <c r="R538" s="378"/>
      <c r="S538" s="378"/>
      <c r="T538" s="8"/>
      <c r="U538" s="8"/>
      <c r="V538" s="8"/>
      <c r="W538" s="172"/>
      <c r="X538" s="172"/>
      <c r="Y538" s="8"/>
      <c r="Z538" s="8"/>
      <c r="AA538" s="8"/>
      <c r="AB538" s="172"/>
      <c r="AC538" s="172"/>
      <c r="AD538" s="8"/>
      <c r="AE538" s="8"/>
      <c r="AF538" s="8"/>
      <c r="AG538" s="172"/>
      <c r="AH538" s="172"/>
      <c r="AI538" s="367"/>
      <c r="AJ538" s="362"/>
      <c r="AK538" s="363" t="str">
        <f>IFERROR(__xludf.DUMMYFUNCTION("IFERROR(if(D540&lt;&gt;"""", 
  AVERAGE(
    QUERY(
      IMPORTRANGE(""1-uH1wy6jSm5jYL9je6fN1K5RJ5QMvHntodEHZRtIvTk"", ""All Data!N2:U""),
      ""select Col8 where Col1 = '"" &amp; D540 &amp; ""' and Col8 is not null"",
      0
    )
  )/100,
""""),
  """"
)
"),"")</f>
        <v/>
      </c>
    </row>
    <row r="539">
      <c r="D539" s="172"/>
      <c r="E539" s="368"/>
      <c r="F539" s="368"/>
      <c r="G539" s="368"/>
      <c r="H539" s="172"/>
      <c r="I539" s="172"/>
      <c r="J539" s="172"/>
      <c r="K539" s="172"/>
      <c r="L539" s="172"/>
      <c r="M539" s="172"/>
      <c r="N539" s="172"/>
      <c r="O539" s="358"/>
      <c r="P539" s="358"/>
      <c r="Q539" s="358"/>
      <c r="R539" s="378"/>
      <c r="S539" s="378"/>
      <c r="T539" s="8"/>
      <c r="U539" s="8"/>
      <c r="V539" s="8"/>
      <c r="W539" s="172"/>
      <c r="X539" s="172"/>
      <c r="Y539" s="8"/>
      <c r="Z539" s="8"/>
      <c r="AA539" s="8"/>
      <c r="AB539" s="172"/>
      <c r="AC539" s="172"/>
      <c r="AD539" s="8"/>
      <c r="AE539" s="8"/>
      <c r="AF539" s="8"/>
      <c r="AG539" s="172"/>
      <c r="AH539" s="172"/>
      <c r="AI539" s="367"/>
      <c r="AJ539" s="362"/>
      <c r="AK539" s="363" t="str">
        <f>IFERROR(__xludf.DUMMYFUNCTION("IFERROR(if(D541&lt;&gt;"""", 
  AVERAGE(
    QUERY(
      IMPORTRANGE(""1-uH1wy6jSm5jYL9je6fN1K5RJ5QMvHntodEHZRtIvTk"", ""All Data!N2:U""),
      ""select Col8 where Col1 = '"" &amp; D541 &amp; ""' and Col8 is not null"",
      0
    )
  )/100,
""""),
  """"
)
"),"")</f>
        <v/>
      </c>
    </row>
    <row r="540">
      <c r="D540" s="172"/>
      <c r="E540" s="368"/>
      <c r="F540" s="368"/>
      <c r="G540" s="368"/>
      <c r="H540" s="172"/>
      <c r="I540" s="172"/>
      <c r="J540" s="172"/>
      <c r="K540" s="172"/>
      <c r="L540" s="172"/>
      <c r="M540" s="172"/>
      <c r="N540" s="172"/>
      <c r="O540" s="358"/>
      <c r="P540" s="358"/>
      <c r="Q540" s="358"/>
      <c r="R540" s="378"/>
      <c r="S540" s="378"/>
      <c r="T540" s="8"/>
      <c r="U540" s="8"/>
      <c r="V540" s="8"/>
      <c r="W540" s="172"/>
      <c r="X540" s="172"/>
      <c r="Y540" s="8"/>
      <c r="Z540" s="8"/>
      <c r="AA540" s="8"/>
      <c r="AB540" s="172"/>
      <c r="AC540" s="172"/>
      <c r="AD540" s="8"/>
      <c r="AE540" s="8"/>
      <c r="AF540" s="8"/>
      <c r="AG540" s="172"/>
      <c r="AH540" s="172"/>
      <c r="AI540" s="367"/>
      <c r="AJ540" s="362"/>
      <c r="AK540" s="363" t="str">
        <f>IFERROR(__xludf.DUMMYFUNCTION("IFERROR(if(D542&lt;&gt;"""", 
  AVERAGE(
    QUERY(
      IMPORTRANGE(""1-uH1wy6jSm5jYL9je6fN1K5RJ5QMvHntodEHZRtIvTk"", ""All Data!N2:U""),
      ""select Col8 where Col1 = '"" &amp; D542 &amp; ""' and Col8 is not null"",
      0
    )
  )/100,
""""),
  """"
)
"),"")</f>
        <v/>
      </c>
    </row>
    <row r="541">
      <c r="D541" s="172"/>
      <c r="E541" s="368"/>
      <c r="F541" s="368"/>
      <c r="G541" s="368"/>
      <c r="H541" s="172"/>
      <c r="I541" s="172"/>
      <c r="J541" s="172"/>
      <c r="K541" s="172"/>
      <c r="L541" s="172"/>
      <c r="M541" s="172"/>
      <c r="N541" s="172"/>
      <c r="O541" s="358"/>
      <c r="P541" s="358"/>
      <c r="Q541" s="358"/>
      <c r="R541" s="378"/>
      <c r="S541" s="378"/>
      <c r="T541" s="8"/>
      <c r="U541" s="8"/>
      <c r="V541" s="8"/>
      <c r="W541" s="172"/>
      <c r="X541" s="172"/>
      <c r="Y541" s="8"/>
      <c r="Z541" s="8"/>
      <c r="AA541" s="8"/>
      <c r="AB541" s="172"/>
      <c r="AC541" s="172"/>
      <c r="AD541" s="8"/>
      <c r="AE541" s="8"/>
      <c r="AF541" s="8"/>
      <c r="AG541" s="172"/>
      <c r="AH541" s="172"/>
      <c r="AI541" s="367"/>
      <c r="AJ541" s="362"/>
      <c r="AK541" s="363" t="str">
        <f>IFERROR(__xludf.DUMMYFUNCTION("IFERROR(if(D543&lt;&gt;"""", 
  AVERAGE(
    QUERY(
      IMPORTRANGE(""1-uH1wy6jSm5jYL9je6fN1K5RJ5QMvHntodEHZRtIvTk"", ""All Data!N2:U""),
      ""select Col8 where Col1 = '"" &amp; D543 &amp; ""' and Col8 is not null"",
      0
    )
  )/100,
""""),
  """"
)
"),"")</f>
        <v/>
      </c>
    </row>
    <row r="542">
      <c r="D542" s="172"/>
      <c r="E542" s="368"/>
      <c r="F542" s="368"/>
      <c r="G542" s="368"/>
      <c r="H542" s="172"/>
      <c r="I542" s="172"/>
      <c r="J542" s="172"/>
      <c r="K542" s="172"/>
      <c r="L542" s="172"/>
      <c r="M542" s="172"/>
      <c r="N542" s="172"/>
      <c r="O542" s="358"/>
      <c r="P542" s="358"/>
      <c r="Q542" s="358"/>
      <c r="R542" s="378"/>
      <c r="S542" s="378"/>
      <c r="T542" s="8"/>
      <c r="U542" s="8"/>
      <c r="V542" s="8"/>
      <c r="W542" s="172"/>
      <c r="X542" s="172"/>
      <c r="Y542" s="8"/>
      <c r="Z542" s="8"/>
      <c r="AA542" s="8"/>
      <c r="AB542" s="172"/>
      <c r="AC542" s="172"/>
      <c r="AD542" s="8"/>
      <c r="AE542" s="8"/>
      <c r="AF542" s="8"/>
      <c r="AG542" s="172"/>
      <c r="AH542" s="172"/>
      <c r="AI542" s="367"/>
      <c r="AJ542" s="362"/>
      <c r="AK542" s="363" t="str">
        <f>IFERROR(__xludf.DUMMYFUNCTION("IFERROR(if(D544&lt;&gt;"""", 
  AVERAGE(
    QUERY(
      IMPORTRANGE(""1-uH1wy6jSm5jYL9je6fN1K5RJ5QMvHntodEHZRtIvTk"", ""All Data!N2:U""),
      ""select Col8 where Col1 = '"" &amp; D544 &amp; ""' and Col8 is not null"",
      0
    )
  )/100,
""""),
  """"
)
"),"")</f>
        <v/>
      </c>
    </row>
    <row r="543">
      <c r="D543" s="172"/>
      <c r="E543" s="368"/>
      <c r="F543" s="368"/>
      <c r="G543" s="368"/>
      <c r="H543" s="172"/>
      <c r="I543" s="172"/>
      <c r="J543" s="172"/>
      <c r="K543" s="172"/>
      <c r="L543" s="172"/>
      <c r="M543" s="172"/>
      <c r="N543" s="172"/>
      <c r="O543" s="358"/>
      <c r="P543" s="358"/>
      <c r="Q543" s="358"/>
      <c r="R543" s="378"/>
      <c r="S543" s="378"/>
      <c r="T543" s="8"/>
      <c r="U543" s="8"/>
      <c r="V543" s="8"/>
      <c r="W543" s="172"/>
      <c r="X543" s="172"/>
      <c r="Y543" s="8"/>
      <c r="Z543" s="8"/>
      <c r="AA543" s="8"/>
      <c r="AB543" s="172"/>
      <c r="AC543" s="172"/>
      <c r="AD543" s="8"/>
      <c r="AE543" s="8"/>
      <c r="AF543" s="8"/>
      <c r="AG543" s="172"/>
      <c r="AH543" s="172"/>
      <c r="AI543" s="367"/>
      <c r="AJ543" s="362"/>
      <c r="AK543" s="363" t="str">
        <f>IFERROR(__xludf.DUMMYFUNCTION("IFERROR(if(D545&lt;&gt;"""", 
  AVERAGE(
    QUERY(
      IMPORTRANGE(""1-uH1wy6jSm5jYL9je6fN1K5RJ5QMvHntodEHZRtIvTk"", ""All Data!N2:U""),
      ""select Col8 where Col1 = '"" &amp; D545 &amp; ""' and Col8 is not null"",
      0
    )
  )/100,
""""),
  """"
)
"),"")</f>
        <v/>
      </c>
    </row>
    <row r="544">
      <c r="D544" s="172"/>
      <c r="E544" s="368"/>
      <c r="F544" s="368"/>
      <c r="G544" s="368"/>
      <c r="H544" s="172"/>
      <c r="I544" s="172"/>
      <c r="J544" s="172"/>
      <c r="K544" s="172"/>
      <c r="L544" s="172"/>
      <c r="M544" s="172"/>
      <c r="N544" s="172"/>
      <c r="O544" s="358"/>
      <c r="P544" s="358"/>
      <c r="Q544" s="358"/>
      <c r="R544" s="378"/>
      <c r="S544" s="378"/>
      <c r="T544" s="8"/>
      <c r="U544" s="8"/>
      <c r="V544" s="8"/>
      <c r="W544" s="172"/>
      <c r="X544" s="172"/>
      <c r="Y544" s="8"/>
      <c r="Z544" s="8"/>
      <c r="AA544" s="8"/>
      <c r="AB544" s="172"/>
      <c r="AC544" s="172"/>
      <c r="AD544" s="8"/>
      <c r="AE544" s="8"/>
      <c r="AF544" s="8"/>
      <c r="AG544" s="172"/>
      <c r="AH544" s="172"/>
      <c r="AI544" s="367"/>
      <c r="AJ544" s="362"/>
      <c r="AK544" s="363" t="str">
        <f>IFERROR(__xludf.DUMMYFUNCTION("IFERROR(if(D546&lt;&gt;"""", 
  AVERAGE(
    QUERY(
      IMPORTRANGE(""1-uH1wy6jSm5jYL9je6fN1K5RJ5QMvHntodEHZRtIvTk"", ""All Data!N2:U""),
      ""select Col8 where Col1 = '"" &amp; D546 &amp; ""' and Col8 is not null"",
      0
    )
  )/100,
""""),
  """"
)
"),"")</f>
        <v/>
      </c>
    </row>
    <row r="545">
      <c r="D545" s="172"/>
      <c r="E545" s="368"/>
      <c r="F545" s="368"/>
      <c r="G545" s="368"/>
      <c r="H545" s="172"/>
      <c r="I545" s="172"/>
      <c r="J545" s="172"/>
      <c r="K545" s="172"/>
      <c r="L545" s="172"/>
      <c r="M545" s="172"/>
      <c r="N545" s="172"/>
      <c r="O545" s="358"/>
      <c r="P545" s="358"/>
      <c r="Q545" s="358"/>
      <c r="R545" s="378"/>
      <c r="S545" s="378"/>
      <c r="T545" s="8"/>
      <c r="U545" s="8"/>
      <c r="V545" s="8"/>
      <c r="W545" s="172"/>
      <c r="X545" s="172"/>
      <c r="Y545" s="8"/>
      <c r="Z545" s="8"/>
      <c r="AA545" s="8"/>
      <c r="AB545" s="172"/>
      <c r="AC545" s="172"/>
      <c r="AD545" s="8"/>
      <c r="AE545" s="8"/>
      <c r="AF545" s="8"/>
      <c r="AG545" s="172"/>
      <c r="AH545" s="172"/>
      <c r="AI545" s="367"/>
      <c r="AJ545" s="362"/>
      <c r="AK545" s="363" t="str">
        <f>IFERROR(__xludf.DUMMYFUNCTION("IFERROR(if(D547&lt;&gt;"""", 
  AVERAGE(
    QUERY(
      IMPORTRANGE(""1-uH1wy6jSm5jYL9je6fN1K5RJ5QMvHntodEHZRtIvTk"", ""All Data!N2:U""),
      ""select Col8 where Col1 = '"" &amp; D547 &amp; ""' and Col8 is not null"",
      0
    )
  )/100,
""""),
  """"
)
"),"")</f>
        <v/>
      </c>
    </row>
    <row r="546">
      <c r="D546" s="172"/>
      <c r="E546" s="368"/>
      <c r="F546" s="368"/>
      <c r="G546" s="368"/>
      <c r="H546" s="172"/>
      <c r="I546" s="172"/>
      <c r="J546" s="172"/>
      <c r="K546" s="172"/>
      <c r="L546" s="172"/>
      <c r="M546" s="172"/>
      <c r="N546" s="172"/>
      <c r="O546" s="358"/>
      <c r="P546" s="358"/>
      <c r="Q546" s="358"/>
      <c r="R546" s="378"/>
      <c r="S546" s="378"/>
      <c r="T546" s="8"/>
      <c r="U546" s="8"/>
      <c r="V546" s="8"/>
      <c r="W546" s="172"/>
      <c r="X546" s="172"/>
      <c r="Y546" s="8"/>
      <c r="Z546" s="8"/>
      <c r="AA546" s="8"/>
      <c r="AB546" s="172"/>
      <c r="AC546" s="172"/>
      <c r="AD546" s="8"/>
      <c r="AE546" s="8"/>
      <c r="AF546" s="8"/>
      <c r="AG546" s="172"/>
      <c r="AH546" s="172"/>
      <c r="AI546" s="367"/>
      <c r="AJ546" s="362"/>
      <c r="AK546" s="363" t="str">
        <f>IFERROR(__xludf.DUMMYFUNCTION("IFERROR(if(D548&lt;&gt;"""", 
  AVERAGE(
    QUERY(
      IMPORTRANGE(""1-uH1wy6jSm5jYL9je6fN1K5RJ5QMvHntodEHZRtIvTk"", ""All Data!N2:U""),
      ""select Col8 where Col1 = '"" &amp; D548 &amp; ""' and Col8 is not null"",
      0
    )
  )/100,
""""),
  """"
)
"),"")</f>
        <v/>
      </c>
    </row>
    <row r="547">
      <c r="D547" s="172"/>
      <c r="E547" s="368"/>
      <c r="F547" s="368"/>
      <c r="G547" s="368"/>
      <c r="H547" s="172"/>
      <c r="I547" s="172"/>
      <c r="J547" s="172"/>
      <c r="K547" s="172"/>
      <c r="L547" s="172"/>
      <c r="M547" s="172"/>
      <c r="N547" s="172"/>
      <c r="O547" s="358"/>
      <c r="P547" s="358"/>
      <c r="Q547" s="358"/>
      <c r="R547" s="378"/>
      <c r="S547" s="378"/>
      <c r="T547" s="8"/>
      <c r="U547" s="8"/>
      <c r="V547" s="8"/>
      <c r="W547" s="172"/>
      <c r="X547" s="172"/>
      <c r="Y547" s="8"/>
      <c r="Z547" s="8"/>
      <c r="AA547" s="8"/>
      <c r="AB547" s="172"/>
      <c r="AC547" s="172"/>
      <c r="AD547" s="8"/>
      <c r="AE547" s="8"/>
      <c r="AF547" s="8"/>
      <c r="AG547" s="172"/>
      <c r="AH547" s="172"/>
      <c r="AI547" s="367"/>
      <c r="AJ547" s="362"/>
      <c r="AK547" s="363" t="str">
        <f>IFERROR(__xludf.DUMMYFUNCTION("IFERROR(if(D549&lt;&gt;"""", 
  AVERAGE(
    QUERY(
      IMPORTRANGE(""1-uH1wy6jSm5jYL9je6fN1K5RJ5QMvHntodEHZRtIvTk"", ""All Data!N2:U""),
      ""select Col8 where Col1 = '"" &amp; D549 &amp; ""' and Col8 is not null"",
      0
    )
  )/100,
""""),
  """"
)
"),"")</f>
        <v/>
      </c>
    </row>
    <row r="548">
      <c r="D548" s="172"/>
      <c r="E548" s="368"/>
      <c r="F548" s="368"/>
      <c r="G548" s="368"/>
      <c r="H548" s="172"/>
      <c r="I548" s="172"/>
      <c r="J548" s="172"/>
      <c r="K548" s="172"/>
      <c r="L548" s="172"/>
      <c r="M548" s="172"/>
      <c r="N548" s="172"/>
      <c r="O548" s="358"/>
      <c r="P548" s="358"/>
      <c r="Q548" s="358"/>
      <c r="R548" s="378"/>
      <c r="S548" s="378"/>
      <c r="T548" s="8"/>
      <c r="U548" s="8"/>
      <c r="V548" s="8"/>
      <c r="W548" s="172"/>
      <c r="X548" s="172"/>
      <c r="Y548" s="8"/>
      <c r="Z548" s="8"/>
      <c r="AA548" s="8"/>
      <c r="AB548" s="172"/>
      <c r="AC548" s="172"/>
      <c r="AD548" s="8"/>
      <c r="AE548" s="8"/>
      <c r="AF548" s="8"/>
      <c r="AG548" s="172"/>
      <c r="AH548" s="172"/>
      <c r="AI548" s="367"/>
      <c r="AJ548" s="362"/>
      <c r="AK548" s="363" t="str">
        <f>IFERROR(__xludf.DUMMYFUNCTION("IFERROR(if(D550&lt;&gt;"""", 
  AVERAGE(
    QUERY(
      IMPORTRANGE(""1-uH1wy6jSm5jYL9je6fN1K5RJ5QMvHntodEHZRtIvTk"", ""All Data!N2:U""),
      ""select Col8 where Col1 = '"" &amp; D550 &amp; ""' and Col8 is not null"",
      0
    )
  )/100,
""""),
  """"
)
"),"")</f>
        <v/>
      </c>
    </row>
    <row r="549">
      <c r="D549" s="172"/>
      <c r="E549" s="368"/>
      <c r="F549" s="368"/>
      <c r="G549" s="368"/>
      <c r="H549" s="172"/>
      <c r="I549" s="172"/>
      <c r="J549" s="172"/>
      <c r="K549" s="172"/>
      <c r="L549" s="172"/>
      <c r="M549" s="172"/>
      <c r="N549" s="172"/>
      <c r="O549" s="358"/>
      <c r="P549" s="358"/>
      <c r="Q549" s="358"/>
      <c r="R549" s="378"/>
      <c r="S549" s="378"/>
      <c r="T549" s="8"/>
      <c r="U549" s="8"/>
      <c r="V549" s="8"/>
      <c r="W549" s="172"/>
      <c r="X549" s="172"/>
      <c r="Y549" s="8"/>
      <c r="Z549" s="8"/>
      <c r="AA549" s="8"/>
      <c r="AB549" s="172"/>
      <c r="AC549" s="172"/>
      <c r="AD549" s="8"/>
      <c r="AE549" s="8"/>
      <c r="AF549" s="8"/>
      <c r="AG549" s="172"/>
      <c r="AH549" s="172"/>
      <c r="AI549" s="367"/>
      <c r="AJ549" s="362"/>
      <c r="AK549" s="363" t="str">
        <f>IFERROR(__xludf.DUMMYFUNCTION("IFERROR(if(D551&lt;&gt;"""", 
  AVERAGE(
    QUERY(
      IMPORTRANGE(""1-uH1wy6jSm5jYL9je6fN1K5RJ5QMvHntodEHZRtIvTk"", ""All Data!N2:U""),
      ""select Col8 where Col1 = '"" &amp; D551 &amp; ""' and Col8 is not null"",
      0
    )
  )/100,
""""),
  """"
)
"),"")</f>
        <v/>
      </c>
    </row>
    <row r="550">
      <c r="D550" s="172"/>
      <c r="E550" s="368"/>
      <c r="F550" s="368"/>
      <c r="G550" s="368"/>
      <c r="H550" s="172"/>
      <c r="I550" s="172"/>
      <c r="J550" s="172"/>
      <c r="K550" s="172"/>
      <c r="L550" s="172"/>
      <c r="M550" s="172"/>
      <c r="N550" s="172"/>
      <c r="O550" s="358"/>
      <c r="P550" s="358"/>
      <c r="Q550" s="358"/>
      <c r="R550" s="378"/>
      <c r="S550" s="378"/>
      <c r="T550" s="8"/>
      <c r="U550" s="8"/>
      <c r="V550" s="8"/>
      <c r="W550" s="172"/>
      <c r="X550" s="172"/>
      <c r="Y550" s="8"/>
      <c r="Z550" s="8"/>
      <c r="AA550" s="8"/>
      <c r="AB550" s="172"/>
      <c r="AC550" s="172"/>
      <c r="AD550" s="8"/>
      <c r="AE550" s="8"/>
      <c r="AF550" s="8"/>
      <c r="AG550" s="172"/>
      <c r="AH550" s="172"/>
      <c r="AI550" s="367"/>
      <c r="AJ550" s="362"/>
      <c r="AK550" s="363" t="str">
        <f>IFERROR(__xludf.DUMMYFUNCTION("IFERROR(if(D552&lt;&gt;"""", 
  AVERAGE(
    QUERY(
      IMPORTRANGE(""1-uH1wy6jSm5jYL9je6fN1K5RJ5QMvHntodEHZRtIvTk"", ""All Data!N2:U""),
      ""select Col8 where Col1 = '"" &amp; D552 &amp; ""' and Col8 is not null"",
      0
    )
  )/100,
""""),
  """"
)
"),"")</f>
        <v/>
      </c>
    </row>
    <row r="551">
      <c r="D551" s="172"/>
      <c r="E551" s="368"/>
      <c r="F551" s="368"/>
      <c r="G551" s="368"/>
      <c r="H551" s="172"/>
      <c r="I551" s="172"/>
      <c r="J551" s="172"/>
      <c r="K551" s="172"/>
      <c r="L551" s="172"/>
      <c r="M551" s="172"/>
      <c r="N551" s="172"/>
      <c r="O551" s="358"/>
      <c r="P551" s="358"/>
      <c r="Q551" s="358"/>
      <c r="R551" s="378"/>
      <c r="S551" s="378"/>
      <c r="T551" s="8"/>
      <c r="U551" s="8"/>
      <c r="V551" s="8"/>
      <c r="W551" s="172"/>
      <c r="X551" s="172"/>
      <c r="Y551" s="8"/>
      <c r="Z551" s="8"/>
      <c r="AA551" s="8"/>
      <c r="AB551" s="172"/>
      <c r="AC551" s="172"/>
      <c r="AD551" s="8"/>
      <c r="AE551" s="8"/>
      <c r="AF551" s="8"/>
      <c r="AG551" s="172"/>
      <c r="AH551" s="172"/>
      <c r="AI551" s="367"/>
      <c r="AJ551" s="362"/>
      <c r="AK551" s="363" t="str">
        <f>IFERROR(__xludf.DUMMYFUNCTION("IFERROR(if(D553&lt;&gt;"""", 
  AVERAGE(
    QUERY(
      IMPORTRANGE(""1-uH1wy6jSm5jYL9je6fN1K5RJ5QMvHntodEHZRtIvTk"", ""All Data!N2:U""),
      ""select Col8 where Col1 = '"" &amp; D553 &amp; ""' and Col8 is not null"",
      0
    )
  )/100,
""""),
  """"
)
"),"")</f>
        <v/>
      </c>
    </row>
    <row r="552">
      <c r="D552" s="172"/>
      <c r="E552" s="368"/>
      <c r="F552" s="368"/>
      <c r="G552" s="368"/>
      <c r="H552" s="172"/>
      <c r="I552" s="172"/>
      <c r="J552" s="172"/>
      <c r="K552" s="172"/>
      <c r="L552" s="172"/>
      <c r="M552" s="172"/>
      <c r="N552" s="172"/>
      <c r="O552" s="358"/>
      <c r="P552" s="358"/>
      <c r="Q552" s="358"/>
      <c r="R552" s="378"/>
      <c r="S552" s="378"/>
      <c r="T552" s="8"/>
      <c r="U552" s="8"/>
      <c r="V552" s="8"/>
      <c r="W552" s="172"/>
      <c r="X552" s="172"/>
      <c r="Y552" s="8"/>
      <c r="Z552" s="8"/>
      <c r="AA552" s="8"/>
      <c r="AB552" s="172"/>
      <c r="AC552" s="172"/>
      <c r="AD552" s="8"/>
      <c r="AE552" s="8"/>
      <c r="AF552" s="8"/>
      <c r="AG552" s="172"/>
      <c r="AH552" s="172"/>
      <c r="AI552" s="367"/>
      <c r="AJ552" s="362"/>
      <c r="AK552" s="363" t="str">
        <f>IFERROR(__xludf.DUMMYFUNCTION("IFERROR(if(D554&lt;&gt;"""", 
  AVERAGE(
    QUERY(
      IMPORTRANGE(""1-uH1wy6jSm5jYL9je6fN1K5RJ5QMvHntodEHZRtIvTk"", ""All Data!N2:U""),
      ""select Col8 where Col1 = '"" &amp; D554 &amp; ""' and Col8 is not null"",
      0
    )
  )/100,
""""),
  """"
)
"),"")</f>
        <v/>
      </c>
    </row>
    <row r="553">
      <c r="D553" s="172"/>
      <c r="E553" s="368"/>
      <c r="F553" s="368"/>
      <c r="G553" s="368"/>
      <c r="H553" s="172"/>
      <c r="I553" s="172"/>
      <c r="J553" s="172"/>
      <c r="K553" s="172"/>
      <c r="L553" s="172"/>
      <c r="M553" s="172"/>
      <c r="N553" s="172"/>
      <c r="O553" s="358"/>
      <c r="P553" s="358"/>
      <c r="Q553" s="358"/>
      <c r="R553" s="378"/>
      <c r="S553" s="378"/>
      <c r="T553" s="8"/>
      <c r="U553" s="8"/>
      <c r="V553" s="8"/>
      <c r="W553" s="172"/>
      <c r="X553" s="172"/>
      <c r="Y553" s="8"/>
      <c r="Z553" s="8"/>
      <c r="AA553" s="8"/>
      <c r="AB553" s="172"/>
      <c r="AC553" s="172"/>
      <c r="AD553" s="8"/>
      <c r="AE553" s="8"/>
      <c r="AF553" s="8"/>
      <c r="AG553" s="172"/>
      <c r="AH553" s="172"/>
      <c r="AI553" s="367"/>
      <c r="AJ553" s="362"/>
      <c r="AK553" s="363" t="str">
        <f>IFERROR(__xludf.DUMMYFUNCTION("IFERROR(if(D555&lt;&gt;"""", 
  AVERAGE(
    QUERY(
      IMPORTRANGE(""1-uH1wy6jSm5jYL9je6fN1K5RJ5QMvHntodEHZRtIvTk"", ""All Data!N2:U""),
      ""select Col8 where Col1 = '"" &amp; D555 &amp; ""' and Col8 is not null"",
      0
    )
  )/100,
""""),
  """"
)
"),"")</f>
        <v/>
      </c>
    </row>
    <row r="554">
      <c r="D554" s="172"/>
      <c r="E554" s="368"/>
      <c r="F554" s="368"/>
      <c r="G554" s="368"/>
      <c r="H554" s="172"/>
      <c r="I554" s="172"/>
      <c r="J554" s="172"/>
      <c r="K554" s="172"/>
      <c r="L554" s="172"/>
      <c r="M554" s="172"/>
      <c r="N554" s="172"/>
      <c r="O554" s="358"/>
      <c r="P554" s="358"/>
      <c r="Q554" s="358"/>
      <c r="R554" s="378"/>
      <c r="S554" s="378"/>
      <c r="T554" s="8"/>
      <c r="U554" s="8"/>
      <c r="V554" s="8"/>
      <c r="W554" s="172"/>
      <c r="X554" s="172"/>
      <c r="Y554" s="8"/>
      <c r="Z554" s="8"/>
      <c r="AA554" s="8"/>
      <c r="AB554" s="172"/>
      <c r="AC554" s="172"/>
      <c r="AD554" s="8"/>
      <c r="AE554" s="8"/>
      <c r="AF554" s="8"/>
      <c r="AG554" s="172"/>
      <c r="AH554" s="172"/>
      <c r="AI554" s="367"/>
      <c r="AJ554" s="362"/>
      <c r="AK554" s="363" t="str">
        <f>IFERROR(__xludf.DUMMYFUNCTION("IFERROR(if(D556&lt;&gt;"""", 
  AVERAGE(
    QUERY(
      IMPORTRANGE(""1-uH1wy6jSm5jYL9je6fN1K5RJ5QMvHntodEHZRtIvTk"", ""All Data!N2:U""),
      ""select Col8 where Col1 = '"" &amp; D556 &amp; ""' and Col8 is not null"",
      0
    )
  )/100,
""""),
  """"
)
"),"")</f>
        <v/>
      </c>
    </row>
    <row r="555">
      <c r="D555" s="172"/>
      <c r="E555" s="368"/>
      <c r="F555" s="368"/>
      <c r="G555" s="368"/>
      <c r="H555" s="172"/>
      <c r="I555" s="172"/>
      <c r="J555" s="172"/>
      <c r="K555" s="172"/>
      <c r="L555" s="172"/>
      <c r="M555" s="172"/>
      <c r="N555" s="172"/>
      <c r="O555" s="358"/>
      <c r="P555" s="358"/>
      <c r="Q555" s="358"/>
      <c r="R555" s="378"/>
      <c r="S555" s="378"/>
      <c r="T555" s="8"/>
      <c r="U555" s="8"/>
      <c r="V555" s="8"/>
      <c r="W555" s="172"/>
      <c r="X555" s="172"/>
      <c r="Y555" s="8"/>
      <c r="Z555" s="8"/>
      <c r="AA555" s="8"/>
      <c r="AB555" s="172"/>
      <c r="AC555" s="172"/>
      <c r="AD555" s="8"/>
      <c r="AE555" s="8"/>
      <c r="AF555" s="8"/>
      <c r="AG555" s="172"/>
      <c r="AH555" s="172"/>
      <c r="AI555" s="367"/>
      <c r="AJ555" s="362"/>
      <c r="AK555" s="363" t="str">
        <f>IFERROR(__xludf.DUMMYFUNCTION("IFERROR(if(D557&lt;&gt;"""", 
  AVERAGE(
    QUERY(
      IMPORTRANGE(""1-uH1wy6jSm5jYL9je6fN1K5RJ5QMvHntodEHZRtIvTk"", ""All Data!N2:U""),
      ""select Col8 where Col1 = '"" &amp; D557 &amp; ""' and Col8 is not null"",
      0
    )
  )/100,
""""),
  """"
)
"),"")</f>
        <v/>
      </c>
    </row>
    <row r="556">
      <c r="D556" s="172"/>
      <c r="E556" s="368"/>
      <c r="F556" s="368"/>
      <c r="G556" s="368"/>
      <c r="H556" s="172"/>
      <c r="I556" s="172"/>
      <c r="J556" s="172"/>
      <c r="K556" s="172"/>
      <c r="L556" s="172"/>
      <c r="M556" s="172"/>
      <c r="N556" s="172"/>
      <c r="O556" s="358"/>
      <c r="P556" s="358"/>
      <c r="Q556" s="358"/>
      <c r="R556" s="378"/>
      <c r="S556" s="378"/>
      <c r="T556" s="8"/>
      <c r="U556" s="8"/>
      <c r="V556" s="8"/>
      <c r="W556" s="172"/>
      <c r="X556" s="172"/>
      <c r="Y556" s="8"/>
      <c r="Z556" s="8"/>
      <c r="AA556" s="8"/>
      <c r="AB556" s="172"/>
      <c r="AC556" s="172"/>
      <c r="AD556" s="8"/>
      <c r="AE556" s="8"/>
      <c r="AF556" s="8"/>
      <c r="AG556" s="172"/>
      <c r="AH556" s="172"/>
      <c r="AI556" s="367"/>
      <c r="AJ556" s="362"/>
      <c r="AK556" s="363" t="str">
        <f>IFERROR(__xludf.DUMMYFUNCTION("IFERROR(if(D558&lt;&gt;"""", 
  AVERAGE(
    QUERY(
      IMPORTRANGE(""1-uH1wy6jSm5jYL9je6fN1K5RJ5QMvHntodEHZRtIvTk"", ""All Data!N2:U""),
      ""select Col8 where Col1 = '"" &amp; D558 &amp; ""' and Col8 is not null"",
      0
    )
  )/100,
""""),
  """"
)
"),"")</f>
        <v/>
      </c>
    </row>
    <row r="557">
      <c r="D557" s="172"/>
      <c r="E557" s="368"/>
      <c r="F557" s="368"/>
      <c r="G557" s="368"/>
      <c r="H557" s="172"/>
      <c r="I557" s="172"/>
      <c r="J557" s="172"/>
      <c r="K557" s="172"/>
      <c r="L557" s="172"/>
      <c r="M557" s="172"/>
      <c r="N557" s="172"/>
      <c r="O557" s="358"/>
      <c r="P557" s="358"/>
      <c r="Q557" s="358"/>
      <c r="R557" s="378"/>
      <c r="S557" s="378"/>
      <c r="T557" s="8"/>
      <c r="U557" s="8"/>
      <c r="V557" s="8"/>
      <c r="W557" s="172"/>
      <c r="X557" s="172"/>
      <c r="Y557" s="8"/>
      <c r="Z557" s="8"/>
      <c r="AA557" s="8"/>
      <c r="AB557" s="172"/>
      <c r="AC557" s="172"/>
      <c r="AD557" s="8"/>
      <c r="AE557" s="8"/>
      <c r="AF557" s="8"/>
      <c r="AG557" s="172"/>
      <c r="AH557" s="172"/>
      <c r="AI557" s="367"/>
      <c r="AJ557" s="362"/>
      <c r="AK557" s="363" t="str">
        <f>IFERROR(__xludf.DUMMYFUNCTION("IFERROR(if(D559&lt;&gt;"""", 
  AVERAGE(
    QUERY(
      IMPORTRANGE(""1-uH1wy6jSm5jYL9je6fN1K5RJ5QMvHntodEHZRtIvTk"", ""All Data!N2:U""),
      ""select Col8 where Col1 = '"" &amp; D559 &amp; ""' and Col8 is not null"",
      0
    )
  )/100,
""""),
  """"
)
"),"")</f>
        <v/>
      </c>
    </row>
    <row r="558">
      <c r="D558" s="172"/>
      <c r="E558" s="368"/>
      <c r="F558" s="368"/>
      <c r="G558" s="368"/>
      <c r="H558" s="172"/>
      <c r="I558" s="172"/>
      <c r="J558" s="172"/>
      <c r="K558" s="172"/>
      <c r="L558" s="172"/>
      <c r="M558" s="172"/>
      <c r="N558" s="172"/>
      <c r="O558" s="358"/>
      <c r="P558" s="358"/>
      <c r="Q558" s="358"/>
      <c r="R558" s="378"/>
      <c r="S558" s="378"/>
      <c r="T558" s="8"/>
      <c r="U558" s="8"/>
      <c r="V558" s="8"/>
      <c r="W558" s="172"/>
      <c r="X558" s="172"/>
      <c r="Y558" s="8"/>
      <c r="Z558" s="8"/>
      <c r="AA558" s="8"/>
      <c r="AB558" s="172"/>
      <c r="AC558" s="172"/>
      <c r="AD558" s="8"/>
      <c r="AE558" s="8"/>
      <c r="AF558" s="8"/>
      <c r="AG558" s="172"/>
      <c r="AH558" s="172"/>
      <c r="AI558" s="367"/>
      <c r="AJ558" s="362"/>
      <c r="AK558" s="363" t="str">
        <f>IFERROR(__xludf.DUMMYFUNCTION("IFERROR(if(D560&lt;&gt;"""", 
  AVERAGE(
    QUERY(
      IMPORTRANGE(""1-uH1wy6jSm5jYL9je6fN1K5RJ5QMvHntodEHZRtIvTk"", ""All Data!N2:U""),
      ""select Col8 where Col1 = '"" &amp; D560 &amp; ""' and Col8 is not null"",
      0
    )
  )/100,
""""),
  """"
)
"),"")</f>
        <v/>
      </c>
    </row>
    <row r="559">
      <c r="D559" s="172"/>
      <c r="E559" s="368"/>
      <c r="F559" s="368"/>
      <c r="G559" s="368"/>
      <c r="H559" s="172"/>
      <c r="I559" s="172"/>
      <c r="J559" s="172"/>
      <c r="K559" s="172"/>
      <c r="L559" s="172"/>
      <c r="M559" s="172"/>
      <c r="N559" s="172"/>
      <c r="O559" s="358"/>
      <c r="P559" s="358"/>
      <c r="Q559" s="358"/>
      <c r="R559" s="378"/>
      <c r="S559" s="378"/>
      <c r="T559" s="8"/>
      <c r="U559" s="8"/>
      <c r="V559" s="8"/>
      <c r="W559" s="172"/>
      <c r="X559" s="172"/>
      <c r="Y559" s="8"/>
      <c r="Z559" s="8"/>
      <c r="AA559" s="8"/>
      <c r="AB559" s="172"/>
      <c r="AC559" s="172"/>
      <c r="AD559" s="8"/>
      <c r="AE559" s="8"/>
      <c r="AF559" s="8"/>
      <c r="AG559" s="172"/>
      <c r="AH559" s="172"/>
      <c r="AI559" s="367"/>
      <c r="AJ559" s="362"/>
      <c r="AK559" s="363" t="str">
        <f>IFERROR(__xludf.DUMMYFUNCTION("IFERROR(if(D561&lt;&gt;"""", 
  AVERAGE(
    QUERY(
      IMPORTRANGE(""1-uH1wy6jSm5jYL9je6fN1K5RJ5QMvHntodEHZRtIvTk"", ""All Data!N2:U""),
      ""select Col8 where Col1 = '"" &amp; D561 &amp; ""' and Col8 is not null"",
      0
    )
  )/100,
""""),
  """"
)
"),"")</f>
        <v/>
      </c>
    </row>
    <row r="560">
      <c r="D560" s="172"/>
      <c r="E560" s="368"/>
      <c r="F560" s="368"/>
      <c r="G560" s="368"/>
      <c r="H560" s="172"/>
      <c r="I560" s="172"/>
      <c r="J560" s="172"/>
      <c r="K560" s="172"/>
      <c r="L560" s="172"/>
      <c r="M560" s="172"/>
      <c r="N560" s="172"/>
      <c r="O560" s="358"/>
      <c r="P560" s="358"/>
      <c r="Q560" s="358"/>
      <c r="R560" s="378"/>
      <c r="S560" s="378"/>
      <c r="T560" s="8"/>
      <c r="U560" s="8"/>
      <c r="V560" s="8"/>
      <c r="W560" s="172"/>
      <c r="X560" s="172"/>
      <c r="Y560" s="8"/>
      <c r="Z560" s="8"/>
      <c r="AA560" s="8"/>
      <c r="AB560" s="172"/>
      <c r="AC560" s="172"/>
      <c r="AD560" s="8"/>
      <c r="AE560" s="8"/>
      <c r="AF560" s="8"/>
      <c r="AG560" s="172"/>
      <c r="AH560" s="172"/>
      <c r="AI560" s="367"/>
      <c r="AJ560" s="362"/>
      <c r="AK560" s="363" t="str">
        <f>IFERROR(__xludf.DUMMYFUNCTION("IFERROR(if(D562&lt;&gt;"""", 
  AVERAGE(
    QUERY(
      IMPORTRANGE(""1-uH1wy6jSm5jYL9je6fN1K5RJ5QMvHntodEHZRtIvTk"", ""All Data!N2:U""),
      ""select Col8 where Col1 = '"" &amp; D562 &amp; ""' and Col8 is not null"",
      0
    )
  )/100,
""""),
  """"
)
"),"")</f>
        <v/>
      </c>
    </row>
    <row r="561">
      <c r="D561" s="172"/>
      <c r="E561" s="368"/>
      <c r="F561" s="368"/>
      <c r="G561" s="368"/>
      <c r="H561" s="172"/>
      <c r="I561" s="172"/>
      <c r="J561" s="172"/>
      <c r="K561" s="172"/>
      <c r="L561" s="172"/>
      <c r="M561" s="172"/>
      <c r="N561" s="172"/>
      <c r="O561" s="358"/>
      <c r="P561" s="358"/>
      <c r="Q561" s="358"/>
      <c r="R561" s="378"/>
      <c r="S561" s="378"/>
      <c r="T561" s="8"/>
      <c r="U561" s="8"/>
      <c r="V561" s="8"/>
      <c r="W561" s="172"/>
      <c r="X561" s="172"/>
      <c r="Y561" s="8"/>
      <c r="Z561" s="8"/>
      <c r="AA561" s="8"/>
      <c r="AB561" s="172"/>
      <c r="AC561" s="172"/>
      <c r="AD561" s="8"/>
      <c r="AE561" s="8"/>
      <c r="AF561" s="8"/>
      <c r="AG561" s="172"/>
      <c r="AH561" s="172"/>
      <c r="AI561" s="367"/>
      <c r="AJ561" s="362"/>
      <c r="AK561" s="363" t="str">
        <f>IFERROR(__xludf.DUMMYFUNCTION("IFERROR(if(D563&lt;&gt;"""", 
  AVERAGE(
    QUERY(
      IMPORTRANGE(""1-uH1wy6jSm5jYL9je6fN1K5RJ5QMvHntodEHZRtIvTk"", ""All Data!N2:U""),
      ""select Col8 where Col1 = '"" &amp; D563 &amp; ""' and Col8 is not null"",
      0
    )
  )/100,
""""),
  """"
)
"),"")</f>
        <v/>
      </c>
    </row>
    <row r="562">
      <c r="D562" s="172"/>
      <c r="E562" s="368"/>
      <c r="F562" s="368"/>
      <c r="G562" s="368"/>
      <c r="H562" s="172"/>
      <c r="I562" s="172"/>
      <c r="J562" s="172"/>
      <c r="K562" s="172"/>
      <c r="L562" s="172"/>
      <c r="M562" s="172"/>
      <c r="N562" s="172"/>
      <c r="O562" s="358"/>
      <c r="P562" s="358"/>
      <c r="Q562" s="358"/>
      <c r="R562" s="378"/>
      <c r="S562" s="378"/>
      <c r="T562" s="8"/>
      <c r="U562" s="8"/>
      <c r="V562" s="8"/>
      <c r="W562" s="172"/>
      <c r="X562" s="172"/>
      <c r="Y562" s="8"/>
      <c r="Z562" s="8"/>
      <c r="AA562" s="8"/>
      <c r="AB562" s="172"/>
      <c r="AC562" s="172"/>
      <c r="AD562" s="8"/>
      <c r="AE562" s="8"/>
      <c r="AF562" s="8"/>
      <c r="AG562" s="172"/>
      <c r="AH562" s="172"/>
      <c r="AI562" s="367"/>
      <c r="AJ562" s="362"/>
      <c r="AK562" s="363" t="str">
        <f>IFERROR(__xludf.DUMMYFUNCTION("IFERROR(if(D564&lt;&gt;"""", 
  AVERAGE(
    QUERY(
      IMPORTRANGE(""1-uH1wy6jSm5jYL9je6fN1K5RJ5QMvHntodEHZRtIvTk"", ""All Data!N2:U""),
      ""select Col8 where Col1 = '"" &amp; D564 &amp; ""' and Col8 is not null"",
      0
    )
  )/100,
""""),
  """"
)
"),"")</f>
        <v/>
      </c>
    </row>
    <row r="563">
      <c r="D563" s="172"/>
      <c r="E563" s="368"/>
      <c r="F563" s="368"/>
      <c r="G563" s="368"/>
      <c r="H563" s="172"/>
      <c r="I563" s="172"/>
      <c r="J563" s="172"/>
      <c r="K563" s="172"/>
      <c r="L563" s="172"/>
      <c r="M563" s="172"/>
      <c r="N563" s="172"/>
      <c r="O563" s="358"/>
      <c r="P563" s="358"/>
      <c r="Q563" s="358"/>
      <c r="R563" s="378"/>
      <c r="S563" s="378"/>
      <c r="T563" s="8"/>
      <c r="U563" s="8"/>
      <c r="V563" s="8"/>
      <c r="W563" s="172"/>
      <c r="X563" s="172"/>
      <c r="Y563" s="8"/>
      <c r="Z563" s="8"/>
      <c r="AA563" s="8"/>
      <c r="AB563" s="172"/>
      <c r="AC563" s="172"/>
      <c r="AD563" s="8"/>
      <c r="AE563" s="8"/>
      <c r="AF563" s="8"/>
      <c r="AG563" s="172"/>
      <c r="AH563" s="172"/>
      <c r="AI563" s="367"/>
      <c r="AJ563" s="362"/>
      <c r="AK563" s="363" t="str">
        <f>IFERROR(__xludf.DUMMYFUNCTION("IFERROR(if(D565&lt;&gt;"""", 
  AVERAGE(
    QUERY(
      IMPORTRANGE(""1-uH1wy6jSm5jYL9je6fN1K5RJ5QMvHntodEHZRtIvTk"", ""All Data!N2:U""),
      ""select Col8 where Col1 = '"" &amp; D565 &amp; ""' and Col8 is not null"",
      0
    )
  )/100,
""""),
  """"
)
"),"")</f>
        <v/>
      </c>
    </row>
    <row r="564">
      <c r="D564" s="172"/>
      <c r="E564" s="368"/>
      <c r="F564" s="368"/>
      <c r="G564" s="368"/>
      <c r="H564" s="172"/>
      <c r="I564" s="172"/>
      <c r="J564" s="172"/>
      <c r="K564" s="172"/>
      <c r="L564" s="172"/>
      <c r="M564" s="172"/>
      <c r="N564" s="172"/>
      <c r="O564" s="358"/>
      <c r="P564" s="358"/>
      <c r="Q564" s="358"/>
      <c r="R564" s="378"/>
      <c r="S564" s="378"/>
      <c r="T564" s="8"/>
      <c r="U564" s="8"/>
      <c r="V564" s="8"/>
      <c r="W564" s="172"/>
      <c r="X564" s="172"/>
      <c r="Y564" s="8"/>
      <c r="Z564" s="8"/>
      <c r="AA564" s="8"/>
      <c r="AB564" s="172"/>
      <c r="AC564" s="172"/>
      <c r="AD564" s="8"/>
      <c r="AE564" s="8"/>
      <c r="AF564" s="8"/>
      <c r="AG564" s="172"/>
      <c r="AH564" s="172"/>
      <c r="AI564" s="367"/>
      <c r="AJ564" s="362"/>
      <c r="AK564" s="363" t="str">
        <f>IFERROR(__xludf.DUMMYFUNCTION("IFERROR(if(D566&lt;&gt;"""", 
  AVERAGE(
    QUERY(
      IMPORTRANGE(""1-uH1wy6jSm5jYL9je6fN1K5RJ5QMvHntodEHZRtIvTk"", ""All Data!N2:U""),
      ""select Col8 where Col1 = '"" &amp; D566 &amp; ""' and Col8 is not null"",
      0
    )
  )/100,
""""),
  """"
)
"),"")</f>
        <v/>
      </c>
    </row>
    <row r="565">
      <c r="D565" s="172"/>
      <c r="E565" s="368"/>
      <c r="F565" s="368"/>
      <c r="G565" s="368"/>
      <c r="H565" s="172"/>
      <c r="I565" s="172"/>
      <c r="J565" s="172"/>
      <c r="K565" s="172"/>
      <c r="L565" s="172"/>
      <c r="M565" s="172"/>
      <c r="N565" s="172"/>
      <c r="O565" s="358"/>
      <c r="P565" s="358"/>
      <c r="Q565" s="358"/>
      <c r="R565" s="378"/>
      <c r="S565" s="378"/>
      <c r="T565" s="8"/>
      <c r="U565" s="8"/>
      <c r="V565" s="8"/>
      <c r="W565" s="172"/>
      <c r="X565" s="172"/>
      <c r="Y565" s="8"/>
      <c r="Z565" s="8"/>
      <c r="AA565" s="8"/>
      <c r="AB565" s="172"/>
      <c r="AC565" s="172"/>
      <c r="AD565" s="8"/>
      <c r="AE565" s="8"/>
      <c r="AF565" s="8"/>
      <c r="AG565" s="172"/>
      <c r="AH565" s="172"/>
      <c r="AI565" s="367"/>
      <c r="AJ565" s="362"/>
      <c r="AK565" s="363" t="str">
        <f>IFERROR(__xludf.DUMMYFUNCTION("IFERROR(if(D567&lt;&gt;"""", 
  AVERAGE(
    QUERY(
      IMPORTRANGE(""1-uH1wy6jSm5jYL9je6fN1K5RJ5QMvHntodEHZRtIvTk"", ""All Data!N2:U""),
      ""select Col8 where Col1 = '"" &amp; D567 &amp; ""' and Col8 is not null"",
      0
    )
  )/100,
""""),
  """"
)
"),"")</f>
        <v/>
      </c>
    </row>
    <row r="566">
      <c r="D566" s="172"/>
      <c r="E566" s="368"/>
      <c r="F566" s="368"/>
      <c r="G566" s="368"/>
      <c r="H566" s="172"/>
      <c r="I566" s="172"/>
      <c r="J566" s="172"/>
      <c r="K566" s="172"/>
      <c r="L566" s="172"/>
      <c r="M566" s="172"/>
      <c r="N566" s="172"/>
      <c r="O566" s="358"/>
      <c r="P566" s="358"/>
      <c r="Q566" s="358"/>
      <c r="R566" s="378"/>
      <c r="S566" s="378"/>
      <c r="T566" s="8"/>
      <c r="U566" s="8"/>
      <c r="V566" s="8"/>
      <c r="W566" s="172"/>
      <c r="X566" s="172"/>
      <c r="Y566" s="8"/>
      <c r="Z566" s="8"/>
      <c r="AA566" s="8"/>
      <c r="AB566" s="172"/>
      <c r="AC566" s="172"/>
      <c r="AD566" s="8"/>
      <c r="AE566" s="8"/>
      <c r="AF566" s="8"/>
      <c r="AG566" s="172"/>
      <c r="AH566" s="172"/>
      <c r="AI566" s="367"/>
      <c r="AJ566" s="362"/>
      <c r="AK566" s="363" t="str">
        <f>IFERROR(__xludf.DUMMYFUNCTION("IFERROR(if(D568&lt;&gt;"""", 
  AVERAGE(
    QUERY(
      IMPORTRANGE(""1-uH1wy6jSm5jYL9je6fN1K5RJ5QMvHntodEHZRtIvTk"", ""All Data!N2:U""),
      ""select Col8 where Col1 = '"" &amp; D568 &amp; ""' and Col8 is not null"",
      0
    )
  )/100,
""""),
  """"
)
"),"")</f>
        <v/>
      </c>
    </row>
    <row r="567">
      <c r="D567" s="172"/>
      <c r="E567" s="368"/>
      <c r="F567" s="368"/>
      <c r="G567" s="368"/>
      <c r="H567" s="172"/>
      <c r="I567" s="172"/>
      <c r="J567" s="172"/>
      <c r="K567" s="172"/>
      <c r="L567" s="172"/>
      <c r="M567" s="172"/>
      <c r="N567" s="172"/>
      <c r="O567" s="358"/>
      <c r="P567" s="358"/>
      <c r="Q567" s="358"/>
      <c r="R567" s="378"/>
      <c r="S567" s="378"/>
      <c r="T567" s="8"/>
      <c r="U567" s="8"/>
      <c r="V567" s="8"/>
      <c r="W567" s="172"/>
      <c r="X567" s="172"/>
      <c r="Y567" s="8"/>
      <c r="Z567" s="8"/>
      <c r="AA567" s="8"/>
      <c r="AB567" s="172"/>
      <c r="AC567" s="172"/>
      <c r="AD567" s="8"/>
      <c r="AE567" s="8"/>
      <c r="AF567" s="8"/>
      <c r="AG567" s="172"/>
      <c r="AH567" s="172"/>
      <c r="AI567" s="367"/>
      <c r="AJ567" s="362"/>
      <c r="AK567" s="363" t="str">
        <f>IFERROR(__xludf.DUMMYFUNCTION("IFERROR(if(D569&lt;&gt;"""", 
  AVERAGE(
    QUERY(
      IMPORTRANGE(""1-uH1wy6jSm5jYL9je6fN1K5RJ5QMvHntodEHZRtIvTk"", ""All Data!N2:U""),
      ""select Col8 where Col1 = '"" &amp; D569 &amp; ""' and Col8 is not null"",
      0
    )
  )/100,
""""),
  """"
)
"),"")</f>
        <v/>
      </c>
    </row>
    <row r="568">
      <c r="D568" s="172"/>
      <c r="E568" s="368"/>
      <c r="F568" s="368"/>
      <c r="G568" s="368"/>
      <c r="H568" s="172"/>
      <c r="I568" s="172"/>
      <c r="J568" s="172"/>
      <c r="K568" s="172"/>
      <c r="L568" s="172"/>
      <c r="M568" s="172"/>
      <c r="N568" s="172"/>
      <c r="O568" s="358"/>
      <c r="P568" s="358"/>
      <c r="Q568" s="358"/>
      <c r="R568" s="378"/>
      <c r="S568" s="378"/>
      <c r="T568" s="8"/>
      <c r="U568" s="8"/>
      <c r="V568" s="8"/>
      <c r="W568" s="172"/>
      <c r="X568" s="172"/>
      <c r="Y568" s="8"/>
      <c r="Z568" s="8"/>
      <c r="AA568" s="8"/>
      <c r="AB568" s="172"/>
      <c r="AC568" s="172"/>
      <c r="AD568" s="8"/>
      <c r="AE568" s="8"/>
      <c r="AF568" s="8"/>
      <c r="AG568" s="172"/>
      <c r="AH568" s="172"/>
      <c r="AI568" s="367"/>
      <c r="AJ568" s="362"/>
      <c r="AK568" s="363" t="str">
        <f>IFERROR(__xludf.DUMMYFUNCTION("IFERROR(if(D570&lt;&gt;"""", 
  AVERAGE(
    QUERY(
      IMPORTRANGE(""1-uH1wy6jSm5jYL9je6fN1K5RJ5QMvHntodEHZRtIvTk"", ""All Data!N2:U""),
      ""select Col8 where Col1 = '"" &amp; D570 &amp; ""' and Col8 is not null"",
      0
    )
  )/100,
""""),
  """"
)
"),"")</f>
        <v/>
      </c>
    </row>
    <row r="569">
      <c r="D569" s="172"/>
      <c r="E569" s="368"/>
      <c r="F569" s="368"/>
      <c r="G569" s="368"/>
      <c r="H569" s="172"/>
      <c r="I569" s="172"/>
      <c r="J569" s="172"/>
      <c r="K569" s="172"/>
      <c r="L569" s="172"/>
      <c r="M569" s="172"/>
      <c r="N569" s="172"/>
      <c r="O569" s="358"/>
      <c r="P569" s="358"/>
      <c r="Q569" s="358"/>
      <c r="R569" s="378"/>
      <c r="S569" s="378"/>
      <c r="T569" s="8"/>
      <c r="U569" s="8"/>
      <c r="V569" s="8"/>
      <c r="W569" s="172"/>
      <c r="X569" s="172"/>
      <c r="Y569" s="8"/>
      <c r="Z569" s="8"/>
      <c r="AA569" s="8"/>
      <c r="AB569" s="172"/>
      <c r="AC569" s="172"/>
      <c r="AD569" s="8"/>
      <c r="AE569" s="8"/>
      <c r="AF569" s="8"/>
      <c r="AG569" s="172"/>
      <c r="AH569" s="172"/>
      <c r="AI569" s="367"/>
      <c r="AJ569" s="362"/>
      <c r="AK569" s="363" t="str">
        <f>IFERROR(__xludf.DUMMYFUNCTION("IFERROR(if(D571&lt;&gt;"""", 
  AVERAGE(
    QUERY(
      IMPORTRANGE(""1-uH1wy6jSm5jYL9je6fN1K5RJ5QMvHntodEHZRtIvTk"", ""All Data!N2:U""),
      ""select Col8 where Col1 = '"" &amp; D571 &amp; ""' and Col8 is not null"",
      0
    )
  )/100,
""""),
  """"
)
"),"")</f>
        <v/>
      </c>
    </row>
    <row r="570">
      <c r="D570" s="172"/>
      <c r="E570" s="368"/>
      <c r="F570" s="368"/>
      <c r="G570" s="368"/>
      <c r="H570" s="172"/>
      <c r="I570" s="172"/>
      <c r="J570" s="172"/>
      <c r="K570" s="172"/>
      <c r="L570" s="172"/>
      <c r="M570" s="172"/>
      <c r="N570" s="172"/>
      <c r="O570" s="358"/>
      <c r="P570" s="358"/>
      <c r="Q570" s="358"/>
      <c r="R570" s="378"/>
      <c r="S570" s="378"/>
      <c r="T570" s="8"/>
      <c r="U570" s="8"/>
      <c r="V570" s="8"/>
      <c r="W570" s="172"/>
      <c r="X570" s="172"/>
      <c r="Y570" s="8"/>
      <c r="Z570" s="8"/>
      <c r="AA570" s="8"/>
      <c r="AB570" s="172"/>
      <c r="AC570" s="172"/>
      <c r="AD570" s="8"/>
      <c r="AE570" s="8"/>
      <c r="AF570" s="8"/>
      <c r="AG570" s="172"/>
      <c r="AH570" s="172"/>
      <c r="AI570" s="367"/>
      <c r="AJ570" s="362"/>
      <c r="AK570" s="363" t="str">
        <f>IFERROR(__xludf.DUMMYFUNCTION("IFERROR(if(D572&lt;&gt;"""", 
  AVERAGE(
    QUERY(
      IMPORTRANGE(""1-uH1wy6jSm5jYL9je6fN1K5RJ5QMvHntodEHZRtIvTk"", ""All Data!N2:U""),
      ""select Col8 where Col1 = '"" &amp; D572 &amp; ""' and Col8 is not null"",
      0
    )
  )/100,
""""),
  """"
)
"),"")</f>
        <v/>
      </c>
    </row>
    <row r="571">
      <c r="D571" s="172"/>
      <c r="E571" s="368"/>
      <c r="F571" s="368"/>
      <c r="G571" s="368"/>
      <c r="H571" s="172"/>
      <c r="I571" s="172"/>
      <c r="J571" s="172"/>
      <c r="K571" s="172"/>
      <c r="L571" s="172"/>
      <c r="M571" s="172"/>
      <c r="N571" s="172"/>
      <c r="O571" s="358"/>
      <c r="P571" s="358"/>
      <c r="Q571" s="358"/>
      <c r="R571" s="378"/>
      <c r="S571" s="378"/>
      <c r="T571" s="8"/>
      <c r="U571" s="8"/>
      <c r="V571" s="8"/>
      <c r="W571" s="172"/>
      <c r="X571" s="172"/>
      <c r="Y571" s="8"/>
      <c r="Z571" s="8"/>
      <c r="AA571" s="8"/>
      <c r="AB571" s="172"/>
      <c r="AC571" s="172"/>
      <c r="AD571" s="8"/>
      <c r="AE571" s="8"/>
      <c r="AF571" s="8"/>
      <c r="AG571" s="172"/>
      <c r="AH571" s="172"/>
      <c r="AI571" s="367"/>
      <c r="AJ571" s="362"/>
      <c r="AK571" s="363" t="str">
        <f>IFERROR(__xludf.DUMMYFUNCTION("IFERROR(if(D573&lt;&gt;"""", 
  AVERAGE(
    QUERY(
      IMPORTRANGE(""1-uH1wy6jSm5jYL9je6fN1K5RJ5QMvHntodEHZRtIvTk"", ""All Data!N2:U""),
      ""select Col8 where Col1 = '"" &amp; D573 &amp; ""' and Col8 is not null"",
      0
    )
  )/100,
""""),
  """"
)
"),"")</f>
        <v/>
      </c>
    </row>
    <row r="572">
      <c r="D572" s="172"/>
      <c r="E572" s="368"/>
      <c r="F572" s="368"/>
      <c r="G572" s="368"/>
      <c r="H572" s="172"/>
      <c r="I572" s="172"/>
      <c r="J572" s="172"/>
      <c r="K572" s="172"/>
      <c r="L572" s="172"/>
      <c r="M572" s="172"/>
      <c r="N572" s="172"/>
      <c r="O572" s="358"/>
      <c r="P572" s="358"/>
      <c r="Q572" s="358"/>
      <c r="R572" s="378"/>
      <c r="S572" s="378"/>
      <c r="T572" s="8"/>
      <c r="U572" s="8"/>
      <c r="V572" s="8"/>
      <c r="W572" s="172"/>
      <c r="X572" s="172"/>
      <c r="Y572" s="8"/>
      <c r="Z572" s="8"/>
      <c r="AA572" s="8"/>
      <c r="AB572" s="172"/>
      <c r="AC572" s="172"/>
      <c r="AD572" s="8"/>
      <c r="AE572" s="8"/>
      <c r="AF572" s="8"/>
      <c r="AG572" s="172"/>
      <c r="AH572" s="172"/>
      <c r="AI572" s="367"/>
      <c r="AJ572" s="362"/>
      <c r="AK572" s="363" t="str">
        <f>IFERROR(__xludf.DUMMYFUNCTION("IFERROR(if(D574&lt;&gt;"""", 
  AVERAGE(
    QUERY(
      IMPORTRANGE(""1-uH1wy6jSm5jYL9je6fN1K5RJ5QMvHntodEHZRtIvTk"", ""All Data!N2:U""),
      ""select Col8 where Col1 = '"" &amp; D574 &amp; ""' and Col8 is not null"",
      0
    )
  )/100,
""""),
  """"
)
"),"")</f>
        <v/>
      </c>
    </row>
    <row r="573">
      <c r="D573" s="172"/>
      <c r="E573" s="368"/>
      <c r="F573" s="368"/>
      <c r="G573" s="368"/>
      <c r="H573" s="172"/>
      <c r="I573" s="172"/>
      <c r="J573" s="172"/>
      <c r="K573" s="172"/>
      <c r="L573" s="172"/>
      <c r="M573" s="172"/>
      <c r="N573" s="172"/>
      <c r="O573" s="358"/>
      <c r="P573" s="358"/>
      <c r="Q573" s="358"/>
      <c r="R573" s="378"/>
      <c r="S573" s="378"/>
      <c r="T573" s="8"/>
      <c r="U573" s="8"/>
      <c r="V573" s="8"/>
      <c r="W573" s="172"/>
      <c r="X573" s="172"/>
      <c r="Y573" s="8"/>
      <c r="Z573" s="8"/>
      <c r="AA573" s="8"/>
      <c r="AB573" s="172"/>
      <c r="AC573" s="172"/>
      <c r="AD573" s="8"/>
      <c r="AE573" s="8"/>
      <c r="AF573" s="8"/>
      <c r="AG573" s="172"/>
      <c r="AH573" s="172"/>
      <c r="AI573" s="367"/>
      <c r="AJ573" s="362"/>
      <c r="AK573" s="363" t="str">
        <f>IFERROR(__xludf.DUMMYFUNCTION("IFERROR(if(D575&lt;&gt;"""", 
  AVERAGE(
    QUERY(
      IMPORTRANGE(""1-uH1wy6jSm5jYL9je6fN1K5RJ5QMvHntodEHZRtIvTk"", ""All Data!N2:U""),
      ""select Col8 where Col1 = '"" &amp; D575 &amp; ""' and Col8 is not null"",
      0
    )
  )/100,
""""),
  """"
)
"),"")</f>
        <v/>
      </c>
    </row>
    <row r="574">
      <c r="D574" s="172"/>
      <c r="E574" s="368"/>
      <c r="F574" s="368"/>
      <c r="G574" s="368"/>
      <c r="H574" s="172"/>
      <c r="I574" s="172"/>
      <c r="J574" s="172"/>
      <c r="K574" s="172"/>
      <c r="L574" s="172"/>
      <c r="M574" s="172"/>
      <c r="N574" s="172"/>
      <c r="O574" s="358"/>
      <c r="P574" s="358"/>
      <c r="Q574" s="358"/>
      <c r="R574" s="378"/>
      <c r="S574" s="378"/>
      <c r="T574" s="8"/>
      <c r="U574" s="8"/>
      <c r="V574" s="8"/>
      <c r="W574" s="172"/>
      <c r="X574" s="172"/>
      <c r="Y574" s="8"/>
      <c r="Z574" s="8"/>
      <c r="AA574" s="8"/>
      <c r="AB574" s="172"/>
      <c r="AC574" s="172"/>
      <c r="AD574" s="8"/>
      <c r="AE574" s="8"/>
      <c r="AF574" s="8"/>
      <c r="AG574" s="172"/>
      <c r="AH574" s="172"/>
      <c r="AI574" s="367"/>
      <c r="AJ574" s="362"/>
      <c r="AK574" s="363" t="str">
        <f>IFERROR(__xludf.DUMMYFUNCTION("IFERROR(if(D576&lt;&gt;"""", 
  AVERAGE(
    QUERY(
      IMPORTRANGE(""1-uH1wy6jSm5jYL9je6fN1K5RJ5QMvHntodEHZRtIvTk"", ""All Data!N2:U""),
      ""select Col8 where Col1 = '"" &amp; D576 &amp; ""' and Col8 is not null"",
      0
    )
  )/100,
""""),
  """"
)
"),"")</f>
        <v/>
      </c>
    </row>
    <row r="575">
      <c r="D575" s="172"/>
      <c r="E575" s="368"/>
      <c r="F575" s="368"/>
      <c r="G575" s="368"/>
      <c r="H575" s="172"/>
      <c r="I575" s="172"/>
      <c r="J575" s="172"/>
      <c r="K575" s="172"/>
      <c r="L575" s="172"/>
      <c r="M575" s="172"/>
      <c r="N575" s="172"/>
      <c r="O575" s="358"/>
      <c r="P575" s="358"/>
      <c r="Q575" s="358"/>
      <c r="R575" s="378"/>
      <c r="S575" s="378"/>
      <c r="T575" s="8"/>
      <c r="U575" s="8"/>
      <c r="V575" s="8"/>
      <c r="W575" s="172"/>
      <c r="X575" s="172"/>
      <c r="Y575" s="8"/>
      <c r="Z575" s="8"/>
      <c r="AA575" s="8"/>
      <c r="AB575" s="172"/>
      <c r="AC575" s="172"/>
      <c r="AD575" s="8"/>
      <c r="AE575" s="8"/>
      <c r="AF575" s="8"/>
      <c r="AG575" s="172"/>
      <c r="AH575" s="172"/>
      <c r="AI575" s="367"/>
      <c r="AJ575" s="362"/>
      <c r="AK575" s="363" t="str">
        <f>IFERROR(__xludf.DUMMYFUNCTION("IFERROR(if(D577&lt;&gt;"""", 
  AVERAGE(
    QUERY(
      IMPORTRANGE(""1-uH1wy6jSm5jYL9je6fN1K5RJ5QMvHntodEHZRtIvTk"", ""All Data!N2:U""),
      ""select Col8 where Col1 = '"" &amp; D577 &amp; ""' and Col8 is not null"",
      0
    )
  )/100,
""""),
  """"
)
"),"")</f>
        <v/>
      </c>
    </row>
    <row r="576">
      <c r="D576" s="172"/>
      <c r="E576" s="368"/>
      <c r="F576" s="368"/>
      <c r="G576" s="368"/>
      <c r="H576" s="172"/>
      <c r="I576" s="172"/>
      <c r="J576" s="172"/>
      <c r="K576" s="172"/>
      <c r="L576" s="172"/>
      <c r="M576" s="172"/>
      <c r="N576" s="172"/>
      <c r="O576" s="358"/>
      <c r="P576" s="358"/>
      <c r="Q576" s="358"/>
      <c r="R576" s="378"/>
      <c r="S576" s="378"/>
      <c r="T576" s="8"/>
      <c r="U576" s="8"/>
      <c r="V576" s="8"/>
      <c r="W576" s="172"/>
      <c r="X576" s="172"/>
      <c r="Y576" s="8"/>
      <c r="Z576" s="8"/>
      <c r="AA576" s="8"/>
      <c r="AB576" s="172"/>
      <c r="AC576" s="172"/>
      <c r="AD576" s="8"/>
      <c r="AE576" s="8"/>
      <c r="AF576" s="8"/>
      <c r="AG576" s="172"/>
      <c r="AH576" s="172"/>
      <c r="AI576" s="367"/>
      <c r="AJ576" s="362"/>
      <c r="AK576" s="363" t="str">
        <f>IFERROR(__xludf.DUMMYFUNCTION("IFERROR(if(D578&lt;&gt;"""", 
  AVERAGE(
    QUERY(
      IMPORTRANGE(""1-uH1wy6jSm5jYL9je6fN1K5RJ5QMvHntodEHZRtIvTk"", ""All Data!N2:U""),
      ""select Col8 where Col1 = '"" &amp; D578 &amp; ""' and Col8 is not null"",
      0
    )
  )/100,
""""),
  """"
)
"),"")</f>
        <v/>
      </c>
    </row>
    <row r="577">
      <c r="D577" s="172"/>
      <c r="E577" s="368"/>
      <c r="F577" s="368"/>
      <c r="G577" s="368"/>
      <c r="H577" s="172"/>
      <c r="I577" s="172"/>
      <c r="J577" s="172"/>
      <c r="K577" s="172"/>
      <c r="L577" s="172"/>
      <c r="M577" s="172"/>
      <c r="N577" s="172"/>
      <c r="O577" s="358"/>
      <c r="P577" s="358"/>
      <c r="Q577" s="358"/>
      <c r="R577" s="378"/>
      <c r="S577" s="378"/>
      <c r="T577" s="8"/>
      <c r="U577" s="8"/>
      <c r="V577" s="8"/>
      <c r="W577" s="172"/>
      <c r="X577" s="172"/>
      <c r="Y577" s="8"/>
      <c r="Z577" s="8"/>
      <c r="AA577" s="8"/>
      <c r="AB577" s="172"/>
      <c r="AC577" s="172"/>
      <c r="AD577" s="8"/>
      <c r="AE577" s="8"/>
      <c r="AF577" s="8"/>
      <c r="AG577" s="172"/>
      <c r="AH577" s="172"/>
      <c r="AI577" s="367"/>
      <c r="AJ577" s="362"/>
      <c r="AK577" s="363" t="str">
        <f>IFERROR(__xludf.DUMMYFUNCTION("IFERROR(if(D579&lt;&gt;"""", 
  AVERAGE(
    QUERY(
      IMPORTRANGE(""1-uH1wy6jSm5jYL9je6fN1K5RJ5QMvHntodEHZRtIvTk"", ""All Data!N2:U""),
      ""select Col8 where Col1 = '"" &amp; D579 &amp; ""' and Col8 is not null"",
      0
    )
  )/100,
""""),
  """"
)
"),"")</f>
        <v/>
      </c>
    </row>
    <row r="578">
      <c r="D578" s="172"/>
      <c r="E578" s="368"/>
      <c r="F578" s="368"/>
      <c r="G578" s="368"/>
      <c r="H578" s="172"/>
      <c r="I578" s="172"/>
      <c r="J578" s="172"/>
      <c r="K578" s="172"/>
      <c r="L578" s="172"/>
      <c r="M578" s="172"/>
      <c r="N578" s="172"/>
      <c r="O578" s="358"/>
      <c r="P578" s="358"/>
      <c r="Q578" s="358"/>
      <c r="R578" s="378"/>
      <c r="S578" s="378"/>
      <c r="T578" s="8"/>
      <c r="U578" s="8"/>
      <c r="V578" s="8"/>
      <c r="W578" s="172"/>
      <c r="X578" s="172"/>
      <c r="Y578" s="8"/>
      <c r="Z578" s="8"/>
      <c r="AA578" s="8"/>
      <c r="AB578" s="172"/>
      <c r="AC578" s="172"/>
      <c r="AD578" s="8"/>
      <c r="AE578" s="8"/>
      <c r="AF578" s="8"/>
      <c r="AG578" s="172"/>
      <c r="AH578" s="172"/>
      <c r="AI578" s="367"/>
      <c r="AJ578" s="362"/>
      <c r="AK578" s="363" t="str">
        <f>IFERROR(__xludf.DUMMYFUNCTION("IFERROR(if(D580&lt;&gt;"""", 
  AVERAGE(
    QUERY(
      IMPORTRANGE(""1-uH1wy6jSm5jYL9je6fN1K5RJ5QMvHntodEHZRtIvTk"", ""All Data!N2:U""),
      ""select Col8 where Col1 = '"" &amp; D580 &amp; ""' and Col8 is not null"",
      0
    )
  )/100,
""""),
  """"
)
"),"")</f>
        <v/>
      </c>
    </row>
    <row r="579">
      <c r="D579" s="172"/>
      <c r="E579" s="368"/>
      <c r="F579" s="368"/>
      <c r="G579" s="368"/>
      <c r="H579" s="172"/>
      <c r="I579" s="172"/>
      <c r="J579" s="172"/>
      <c r="K579" s="172"/>
      <c r="L579" s="172"/>
      <c r="M579" s="172"/>
      <c r="N579" s="172"/>
      <c r="O579" s="358"/>
      <c r="P579" s="358"/>
      <c r="Q579" s="358"/>
      <c r="R579" s="378"/>
      <c r="S579" s="378"/>
      <c r="T579" s="8"/>
      <c r="U579" s="8"/>
      <c r="V579" s="8"/>
      <c r="W579" s="172"/>
      <c r="X579" s="172"/>
      <c r="Y579" s="8"/>
      <c r="Z579" s="8"/>
      <c r="AA579" s="8"/>
      <c r="AB579" s="172"/>
      <c r="AC579" s="172"/>
      <c r="AD579" s="8"/>
      <c r="AE579" s="8"/>
      <c r="AF579" s="8"/>
      <c r="AG579" s="172"/>
      <c r="AH579" s="172"/>
      <c r="AI579" s="367"/>
      <c r="AJ579" s="362"/>
      <c r="AK579" s="363" t="str">
        <f>IFERROR(__xludf.DUMMYFUNCTION("IFERROR(if(D581&lt;&gt;"""", 
  AVERAGE(
    QUERY(
      IMPORTRANGE(""1-uH1wy6jSm5jYL9je6fN1K5RJ5QMvHntodEHZRtIvTk"", ""All Data!N2:U""),
      ""select Col8 where Col1 = '"" &amp; D581 &amp; ""' and Col8 is not null"",
      0
    )
  )/100,
""""),
  """"
)
"),"")</f>
        <v/>
      </c>
    </row>
    <row r="580">
      <c r="D580" s="172"/>
      <c r="E580" s="368"/>
      <c r="F580" s="368"/>
      <c r="G580" s="368"/>
      <c r="H580" s="172"/>
      <c r="I580" s="172"/>
      <c r="J580" s="172"/>
      <c r="K580" s="172"/>
      <c r="L580" s="172"/>
      <c r="M580" s="172"/>
      <c r="N580" s="172"/>
      <c r="O580" s="358"/>
      <c r="P580" s="358"/>
      <c r="Q580" s="358"/>
      <c r="R580" s="378"/>
      <c r="S580" s="378"/>
      <c r="T580" s="8"/>
      <c r="U580" s="8"/>
      <c r="V580" s="8"/>
      <c r="W580" s="172"/>
      <c r="X580" s="172"/>
      <c r="Y580" s="8"/>
      <c r="Z580" s="8"/>
      <c r="AA580" s="8"/>
      <c r="AB580" s="172"/>
      <c r="AC580" s="172"/>
      <c r="AD580" s="8"/>
      <c r="AE580" s="8"/>
      <c r="AF580" s="8"/>
      <c r="AG580" s="172"/>
      <c r="AH580" s="172"/>
      <c r="AI580" s="367"/>
      <c r="AJ580" s="362"/>
      <c r="AK580" s="363" t="str">
        <f>IFERROR(__xludf.DUMMYFUNCTION("IFERROR(if(D582&lt;&gt;"""", 
  AVERAGE(
    QUERY(
      IMPORTRANGE(""1-uH1wy6jSm5jYL9je6fN1K5RJ5QMvHntodEHZRtIvTk"", ""All Data!N2:U""),
      ""select Col8 where Col1 = '"" &amp; D582 &amp; ""' and Col8 is not null"",
      0
    )
  )/100,
""""),
  """"
)
"),"")</f>
        <v/>
      </c>
    </row>
    <row r="581">
      <c r="D581" s="172"/>
      <c r="E581" s="368"/>
      <c r="F581" s="368"/>
      <c r="G581" s="368"/>
      <c r="H581" s="172"/>
      <c r="I581" s="172"/>
      <c r="J581" s="172"/>
      <c r="K581" s="172"/>
      <c r="L581" s="172"/>
      <c r="M581" s="172"/>
      <c r="N581" s="172"/>
      <c r="O581" s="358"/>
      <c r="P581" s="358"/>
      <c r="Q581" s="358"/>
      <c r="R581" s="378"/>
      <c r="S581" s="378"/>
      <c r="T581" s="8"/>
      <c r="U581" s="8"/>
      <c r="V581" s="8"/>
      <c r="W581" s="172"/>
      <c r="X581" s="172"/>
      <c r="Y581" s="8"/>
      <c r="Z581" s="8"/>
      <c r="AA581" s="8"/>
      <c r="AB581" s="172"/>
      <c r="AC581" s="172"/>
      <c r="AD581" s="8"/>
      <c r="AE581" s="8"/>
      <c r="AF581" s="8"/>
      <c r="AG581" s="172"/>
      <c r="AH581" s="172"/>
      <c r="AI581" s="367"/>
      <c r="AJ581" s="362"/>
      <c r="AK581" s="363" t="str">
        <f>IFERROR(__xludf.DUMMYFUNCTION("IFERROR(if(D583&lt;&gt;"""", 
  AVERAGE(
    QUERY(
      IMPORTRANGE(""1-uH1wy6jSm5jYL9je6fN1K5RJ5QMvHntodEHZRtIvTk"", ""All Data!N2:U""),
      ""select Col8 where Col1 = '"" &amp; D583 &amp; ""' and Col8 is not null"",
      0
    )
  )/100,
""""),
  """"
)
"),"")</f>
        <v/>
      </c>
    </row>
    <row r="582">
      <c r="D582" s="172"/>
      <c r="E582" s="368"/>
      <c r="F582" s="368"/>
      <c r="G582" s="368"/>
      <c r="H582" s="172"/>
      <c r="I582" s="172"/>
      <c r="J582" s="172"/>
      <c r="K582" s="172"/>
      <c r="L582" s="172"/>
      <c r="M582" s="172"/>
      <c r="N582" s="172"/>
      <c r="O582" s="358"/>
      <c r="P582" s="358"/>
      <c r="Q582" s="358"/>
      <c r="R582" s="378"/>
      <c r="S582" s="378"/>
      <c r="T582" s="8"/>
      <c r="U582" s="8"/>
      <c r="V582" s="8"/>
      <c r="W582" s="172"/>
      <c r="X582" s="172"/>
      <c r="Y582" s="8"/>
      <c r="Z582" s="8"/>
      <c r="AA582" s="8"/>
      <c r="AB582" s="172"/>
      <c r="AC582" s="172"/>
      <c r="AD582" s="8"/>
      <c r="AE582" s="8"/>
      <c r="AF582" s="8"/>
      <c r="AG582" s="172"/>
      <c r="AH582" s="172"/>
      <c r="AI582" s="367"/>
      <c r="AJ582" s="362"/>
      <c r="AK582" s="363" t="str">
        <f>IFERROR(__xludf.DUMMYFUNCTION("IFERROR(if(D584&lt;&gt;"""", 
  AVERAGE(
    QUERY(
      IMPORTRANGE(""1-uH1wy6jSm5jYL9je6fN1K5RJ5QMvHntodEHZRtIvTk"", ""All Data!N2:U""),
      ""select Col8 where Col1 = '"" &amp; D584 &amp; ""' and Col8 is not null"",
      0
    )
  )/100,
""""),
  """"
)
"),"")</f>
        <v/>
      </c>
    </row>
    <row r="583">
      <c r="D583" s="172"/>
      <c r="E583" s="368"/>
      <c r="F583" s="368"/>
      <c r="G583" s="368"/>
      <c r="H583" s="172"/>
      <c r="I583" s="172"/>
      <c r="J583" s="172"/>
      <c r="K583" s="172"/>
      <c r="L583" s="172"/>
      <c r="M583" s="172"/>
      <c r="N583" s="172"/>
      <c r="O583" s="358"/>
      <c r="P583" s="358"/>
      <c r="Q583" s="358"/>
      <c r="R583" s="378"/>
      <c r="S583" s="378"/>
      <c r="T583" s="8"/>
      <c r="U583" s="8"/>
      <c r="V583" s="8"/>
      <c r="W583" s="172"/>
      <c r="X583" s="172"/>
      <c r="Y583" s="8"/>
      <c r="Z583" s="8"/>
      <c r="AA583" s="8"/>
      <c r="AB583" s="172"/>
      <c r="AC583" s="172"/>
      <c r="AD583" s="8"/>
      <c r="AE583" s="8"/>
      <c r="AF583" s="8"/>
      <c r="AG583" s="172"/>
      <c r="AH583" s="172"/>
      <c r="AI583" s="367"/>
      <c r="AJ583" s="362"/>
      <c r="AK583" s="363" t="str">
        <f>IFERROR(__xludf.DUMMYFUNCTION("IFERROR(if(D585&lt;&gt;"""", 
  AVERAGE(
    QUERY(
      IMPORTRANGE(""1-uH1wy6jSm5jYL9je6fN1K5RJ5QMvHntodEHZRtIvTk"", ""All Data!N2:U""),
      ""select Col8 where Col1 = '"" &amp; D585 &amp; ""' and Col8 is not null"",
      0
    )
  )/100,
""""),
  """"
)
"),"")</f>
        <v/>
      </c>
    </row>
    <row r="584">
      <c r="D584" s="172"/>
      <c r="E584" s="368"/>
      <c r="F584" s="368"/>
      <c r="G584" s="368"/>
      <c r="H584" s="172"/>
      <c r="I584" s="172"/>
      <c r="J584" s="172"/>
      <c r="K584" s="172"/>
      <c r="L584" s="172"/>
      <c r="M584" s="172"/>
      <c r="N584" s="172"/>
      <c r="O584" s="358"/>
      <c r="P584" s="358"/>
      <c r="Q584" s="358"/>
      <c r="R584" s="378"/>
      <c r="S584" s="378"/>
      <c r="T584" s="8"/>
      <c r="U584" s="8"/>
      <c r="V584" s="8"/>
      <c r="W584" s="172"/>
      <c r="X584" s="172"/>
      <c r="Y584" s="8"/>
      <c r="Z584" s="8"/>
      <c r="AA584" s="8"/>
      <c r="AB584" s="172"/>
      <c r="AC584" s="172"/>
      <c r="AD584" s="8"/>
      <c r="AE584" s="8"/>
      <c r="AF584" s="8"/>
      <c r="AG584" s="172"/>
      <c r="AH584" s="172"/>
      <c r="AI584" s="367"/>
      <c r="AJ584" s="362"/>
      <c r="AK584" s="363" t="str">
        <f>IFERROR(__xludf.DUMMYFUNCTION("IFERROR(if(D586&lt;&gt;"""", 
  AVERAGE(
    QUERY(
      IMPORTRANGE(""1-uH1wy6jSm5jYL9je6fN1K5RJ5QMvHntodEHZRtIvTk"", ""All Data!N2:U""),
      ""select Col8 where Col1 = '"" &amp; D586 &amp; ""' and Col8 is not null"",
      0
    )
  )/100,
""""),
  """"
)
"),"")</f>
        <v/>
      </c>
    </row>
    <row r="585">
      <c r="D585" s="172"/>
      <c r="E585" s="368"/>
      <c r="F585" s="368"/>
      <c r="G585" s="368"/>
      <c r="H585" s="172"/>
      <c r="I585" s="172"/>
      <c r="J585" s="172"/>
      <c r="K585" s="172"/>
      <c r="L585" s="172"/>
      <c r="M585" s="172"/>
      <c r="N585" s="172"/>
      <c r="O585" s="358"/>
      <c r="P585" s="358"/>
      <c r="Q585" s="358"/>
      <c r="R585" s="378"/>
      <c r="S585" s="378"/>
      <c r="T585" s="8"/>
      <c r="U585" s="8"/>
      <c r="V585" s="8"/>
      <c r="W585" s="172"/>
      <c r="X585" s="172"/>
      <c r="Y585" s="8"/>
      <c r="Z585" s="8"/>
      <c r="AA585" s="8"/>
      <c r="AB585" s="172"/>
      <c r="AC585" s="172"/>
      <c r="AD585" s="8"/>
      <c r="AE585" s="8"/>
      <c r="AF585" s="8"/>
      <c r="AG585" s="172"/>
      <c r="AH585" s="172"/>
      <c r="AI585" s="367"/>
      <c r="AJ585" s="362"/>
      <c r="AK585" s="363" t="str">
        <f>IFERROR(__xludf.DUMMYFUNCTION("IFERROR(if(D587&lt;&gt;"""", 
  AVERAGE(
    QUERY(
      IMPORTRANGE(""1-uH1wy6jSm5jYL9je6fN1K5RJ5QMvHntodEHZRtIvTk"", ""All Data!N2:U""),
      ""select Col8 where Col1 = '"" &amp; D587 &amp; ""' and Col8 is not null"",
      0
    )
  )/100,
""""),
  """"
)
"),"")</f>
        <v/>
      </c>
    </row>
    <row r="586">
      <c r="D586" s="172"/>
      <c r="E586" s="368"/>
      <c r="F586" s="368"/>
      <c r="G586" s="368"/>
      <c r="H586" s="172"/>
      <c r="I586" s="172"/>
      <c r="J586" s="172"/>
      <c r="K586" s="172"/>
      <c r="L586" s="172"/>
      <c r="M586" s="172"/>
      <c r="N586" s="172"/>
      <c r="O586" s="358"/>
      <c r="P586" s="358"/>
      <c r="Q586" s="358"/>
      <c r="R586" s="378"/>
      <c r="S586" s="378"/>
      <c r="T586" s="8"/>
      <c r="U586" s="8"/>
      <c r="V586" s="8"/>
      <c r="W586" s="172"/>
      <c r="X586" s="172"/>
      <c r="Y586" s="8"/>
      <c r="Z586" s="8"/>
      <c r="AA586" s="8"/>
      <c r="AB586" s="172"/>
      <c r="AC586" s="172"/>
      <c r="AD586" s="8"/>
      <c r="AE586" s="8"/>
      <c r="AF586" s="8"/>
      <c r="AG586" s="172"/>
      <c r="AH586" s="172"/>
      <c r="AI586" s="367"/>
      <c r="AJ586" s="362"/>
      <c r="AK586" s="363" t="str">
        <f>IFERROR(__xludf.DUMMYFUNCTION("IFERROR(if(D588&lt;&gt;"""", 
  AVERAGE(
    QUERY(
      IMPORTRANGE(""1-uH1wy6jSm5jYL9je6fN1K5RJ5QMvHntodEHZRtIvTk"", ""All Data!N2:U""),
      ""select Col8 where Col1 = '"" &amp; D588 &amp; ""' and Col8 is not null"",
      0
    )
  )/100,
""""),
  """"
)
"),"")</f>
        <v/>
      </c>
    </row>
    <row r="587">
      <c r="D587" s="172"/>
      <c r="E587" s="368"/>
      <c r="F587" s="368"/>
      <c r="G587" s="368"/>
      <c r="H587" s="172"/>
      <c r="I587" s="172"/>
      <c r="J587" s="172"/>
      <c r="K587" s="172"/>
      <c r="L587" s="172"/>
      <c r="M587" s="172"/>
      <c r="N587" s="172"/>
      <c r="O587" s="358"/>
      <c r="P587" s="358"/>
      <c r="Q587" s="358"/>
      <c r="R587" s="378"/>
      <c r="S587" s="378"/>
      <c r="T587" s="8"/>
      <c r="U587" s="8"/>
      <c r="V587" s="8"/>
      <c r="W587" s="172"/>
      <c r="X587" s="172"/>
      <c r="Y587" s="8"/>
      <c r="Z587" s="8"/>
      <c r="AA587" s="8"/>
      <c r="AB587" s="172"/>
      <c r="AC587" s="172"/>
      <c r="AD587" s="8"/>
      <c r="AE587" s="8"/>
      <c r="AF587" s="8"/>
      <c r="AG587" s="172"/>
      <c r="AH587" s="172"/>
      <c r="AI587" s="367"/>
      <c r="AJ587" s="362"/>
      <c r="AK587" s="363" t="str">
        <f>IFERROR(__xludf.DUMMYFUNCTION("IFERROR(if(D589&lt;&gt;"""", 
  AVERAGE(
    QUERY(
      IMPORTRANGE(""1-uH1wy6jSm5jYL9je6fN1K5RJ5QMvHntodEHZRtIvTk"", ""All Data!N2:U""),
      ""select Col8 where Col1 = '"" &amp; D589 &amp; ""' and Col8 is not null"",
      0
    )
  )/100,
""""),
  """"
)
"),"")</f>
        <v/>
      </c>
    </row>
    <row r="588">
      <c r="D588" s="172"/>
      <c r="E588" s="368"/>
      <c r="F588" s="368"/>
      <c r="G588" s="368"/>
      <c r="H588" s="172"/>
      <c r="I588" s="172"/>
      <c r="J588" s="172"/>
      <c r="K588" s="172"/>
      <c r="L588" s="172"/>
      <c r="M588" s="172"/>
      <c r="N588" s="172"/>
      <c r="O588" s="358"/>
      <c r="P588" s="358"/>
      <c r="Q588" s="358"/>
      <c r="R588" s="378"/>
      <c r="S588" s="378"/>
      <c r="T588" s="8"/>
      <c r="U588" s="8"/>
      <c r="V588" s="8"/>
      <c r="W588" s="172"/>
      <c r="X588" s="172"/>
      <c r="Y588" s="8"/>
      <c r="Z588" s="8"/>
      <c r="AA588" s="8"/>
      <c r="AB588" s="172"/>
      <c r="AC588" s="172"/>
      <c r="AD588" s="8"/>
      <c r="AE588" s="8"/>
      <c r="AF588" s="8"/>
      <c r="AG588" s="172"/>
      <c r="AH588" s="172"/>
      <c r="AI588" s="367"/>
      <c r="AJ588" s="362"/>
      <c r="AK588" s="363" t="str">
        <f>IFERROR(__xludf.DUMMYFUNCTION("IFERROR(if(D590&lt;&gt;"""", 
  AVERAGE(
    QUERY(
      IMPORTRANGE(""1-uH1wy6jSm5jYL9je6fN1K5RJ5QMvHntodEHZRtIvTk"", ""All Data!N2:U""),
      ""select Col8 where Col1 = '"" &amp; D590 &amp; ""' and Col8 is not null"",
      0
    )
  )/100,
""""),
  """"
)
"),"")</f>
        <v/>
      </c>
    </row>
    <row r="589">
      <c r="D589" s="172"/>
      <c r="E589" s="368"/>
      <c r="F589" s="368"/>
      <c r="G589" s="368"/>
      <c r="H589" s="172"/>
      <c r="I589" s="172"/>
      <c r="J589" s="172"/>
      <c r="K589" s="172"/>
      <c r="L589" s="172"/>
      <c r="M589" s="172"/>
      <c r="N589" s="172"/>
      <c r="O589" s="358"/>
      <c r="P589" s="358"/>
      <c r="Q589" s="358"/>
      <c r="R589" s="378"/>
      <c r="S589" s="378"/>
      <c r="T589" s="8"/>
      <c r="U589" s="8"/>
      <c r="V589" s="8"/>
      <c r="W589" s="172"/>
      <c r="X589" s="172"/>
      <c r="Y589" s="8"/>
      <c r="Z589" s="8"/>
      <c r="AA589" s="8"/>
      <c r="AB589" s="172"/>
      <c r="AC589" s="172"/>
      <c r="AD589" s="8"/>
      <c r="AE589" s="8"/>
      <c r="AF589" s="8"/>
      <c r="AG589" s="172"/>
      <c r="AH589" s="172"/>
      <c r="AI589" s="367"/>
      <c r="AJ589" s="362"/>
      <c r="AK589" s="363" t="str">
        <f>IFERROR(__xludf.DUMMYFUNCTION("IFERROR(if(D591&lt;&gt;"""", 
  AVERAGE(
    QUERY(
      IMPORTRANGE(""1-uH1wy6jSm5jYL9je6fN1K5RJ5QMvHntodEHZRtIvTk"", ""All Data!N2:U""),
      ""select Col8 where Col1 = '"" &amp; D591 &amp; ""' and Col8 is not null"",
      0
    )
  )/100,
""""),
  """"
)
"),"")</f>
        <v/>
      </c>
    </row>
    <row r="590">
      <c r="D590" s="172"/>
      <c r="E590" s="368"/>
      <c r="F590" s="368"/>
      <c r="G590" s="368"/>
      <c r="H590" s="172"/>
      <c r="I590" s="172"/>
      <c r="J590" s="172"/>
      <c r="K590" s="172"/>
      <c r="L590" s="172"/>
      <c r="M590" s="172"/>
      <c r="N590" s="172"/>
      <c r="O590" s="358"/>
      <c r="P590" s="358"/>
      <c r="Q590" s="358"/>
      <c r="R590" s="378"/>
      <c r="S590" s="378"/>
      <c r="T590" s="8"/>
      <c r="U590" s="8"/>
      <c r="V590" s="8"/>
      <c r="W590" s="172"/>
      <c r="X590" s="172"/>
      <c r="Y590" s="8"/>
      <c r="Z590" s="8"/>
      <c r="AA590" s="8"/>
      <c r="AB590" s="172"/>
      <c r="AC590" s="172"/>
      <c r="AD590" s="8"/>
      <c r="AE590" s="8"/>
      <c r="AF590" s="8"/>
      <c r="AG590" s="172"/>
      <c r="AH590" s="172"/>
      <c r="AI590" s="367"/>
      <c r="AJ590" s="362"/>
      <c r="AK590" s="363" t="str">
        <f>IFERROR(__xludf.DUMMYFUNCTION("IFERROR(if(D592&lt;&gt;"""", 
  AVERAGE(
    QUERY(
      IMPORTRANGE(""1-uH1wy6jSm5jYL9je6fN1K5RJ5QMvHntodEHZRtIvTk"", ""All Data!N2:U""),
      ""select Col8 where Col1 = '"" &amp; D592 &amp; ""' and Col8 is not null"",
      0
    )
  )/100,
""""),
  """"
)
"),"")</f>
        <v/>
      </c>
    </row>
    <row r="591">
      <c r="D591" s="172"/>
      <c r="E591" s="368"/>
      <c r="F591" s="368"/>
      <c r="G591" s="368"/>
      <c r="H591" s="172"/>
      <c r="I591" s="172"/>
      <c r="J591" s="172"/>
      <c r="K591" s="172"/>
      <c r="L591" s="172"/>
      <c r="M591" s="172"/>
      <c r="N591" s="172"/>
      <c r="O591" s="358"/>
      <c r="P591" s="358"/>
      <c r="Q591" s="358"/>
      <c r="R591" s="378"/>
      <c r="S591" s="378"/>
      <c r="T591" s="8"/>
      <c r="U591" s="8"/>
      <c r="V591" s="8"/>
      <c r="W591" s="172"/>
      <c r="X591" s="172"/>
      <c r="Y591" s="8"/>
      <c r="Z591" s="8"/>
      <c r="AA591" s="8"/>
      <c r="AB591" s="172"/>
      <c r="AC591" s="172"/>
      <c r="AD591" s="8"/>
      <c r="AE591" s="8"/>
      <c r="AF591" s="8"/>
      <c r="AG591" s="172"/>
      <c r="AH591" s="172"/>
      <c r="AI591" s="367"/>
      <c r="AJ591" s="362"/>
      <c r="AK591" s="363" t="str">
        <f>IFERROR(__xludf.DUMMYFUNCTION("IFERROR(if(D593&lt;&gt;"""", 
  AVERAGE(
    QUERY(
      IMPORTRANGE(""1-uH1wy6jSm5jYL9je6fN1K5RJ5QMvHntodEHZRtIvTk"", ""All Data!N2:U""),
      ""select Col8 where Col1 = '"" &amp; D593 &amp; ""' and Col8 is not null"",
      0
    )
  )/100,
""""),
  """"
)
"),"")</f>
        <v/>
      </c>
    </row>
    <row r="592">
      <c r="D592" s="172"/>
      <c r="E592" s="368"/>
      <c r="F592" s="368"/>
      <c r="G592" s="368"/>
      <c r="H592" s="172"/>
      <c r="I592" s="172"/>
      <c r="J592" s="172"/>
      <c r="K592" s="172"/>
      <c r="L592" s="172"/>
      <c r="M592" s="172"/>
      <c r="N592" s="172"/>
      <c r="O592" s="358"/>
      <c r="P592" s="358"/>
      <c r="Q592" s="358"/>
      <c r="R592" s="378"/>
      <c r="S592" s="378"/>
      <c r="T592" s="8"/>
      <c r="U592" s="8"/>
      <c r="V592" s="8"/>
      <c r="W592" s="172"/>
      <c r="X592" s="172"/>
      <c r="Y592" s="8"/>
      <c r="Z592" s="8"/>
      <c r="AA592" s="8"/>
      <c r="AB592" s="172"/>
      <c r="AC592" s="172"/>
      <c r="AD592" s="8"/>
      <c r="AE592" s="8"/>
      <c r="AF592" s="8"/>
      <c r="AG592" s="172"/>
      <c r="AH592" s="172"/>
      <c r="AI592" s="367"/>
      <c r="AJ592" s="362"/>
      <c r="AK592" s="363" t="str">
        <f>IFERROR(__xludf.DUMMYFUNCTION("IFERROR(if(D594&lt;&gt;"""", 
  AVERAGE(
    QUERY(
      IMPORTRANGE(""1-uH1wy6jSm5jYL9je6fN1K5RJ5QMvHntodEHZRtIvTk"", ""All Data!N2:U""),
      ""select Col8 where Col1 = '"" &amp; D594 &amp; ""' and Col8 is not null"",
      0
    )
  )/100,
""""),
  """"
)
"),"")</f>
        <v/>
      </c>
    </row>
    <row r="593">
      <c r="D593" s="172"/>
      <c r="E593" s="368"/>
      <c r="F593" s="368"/>
      <c r="G593" s="368"/>
      <c r="H593" s="172"/>
      <c r="I593" s="172"/>
      <c r="J593" s="172"/>
      <c r="K593" s="172"/>
      <c r="L593" s="172"/>
      <c r="M593" s="172"/>
      <c r="N593" s="172"/>
      <c r="O593" s="358"/>
      <c r="P593" s="358"/>
      <c r="Q593" s="358"/>
      <c r="R593" s="378"/>
      <c r="S593" s="378"/>
      <c r="T593" s="8"/>
      <c r="U593" s="8"/>
      <c r="V593" s="8"/>
      <c r="W593" s="172"/>
      <c r="X593" s="172"/>
      <c r="Y593" s="8"/>
      <c r="Z593" s="8"/>
      <c r="AA593" s="8"/>
      <c r="AB593" s="172"/>
      <c r="AC593" s="172"/>
      <c r="AD593" s="8"/>
      <c r="AE593" s="8"/>
      <c r="AF593" s="8"/>
      <c r="AG593" s="172"/>
      <c r="AH593" s="172"/>
      <c r="AI593" s="367"/>
      <c r="AJ593" s="362"/>
      <c r="AK593" s="363" t="str">
        <f>IFERROR(__xludf.DUMMYFUNCTION("IFERROR(if(D595&lt;&gt;"""", 
  AVERAGE(
    QUERY(
      IMPORTRANGE(""1-uH1wy6jSm5jYL9je6fN1K5RJ5QMvHntodEHZRtIvTk"", ""All Data!N2:U""),
      ""select Col8 where Col1 = '"" &amp; D595 &amp; ""' and Col8 is not null"",
      0
    )
  )/100,
""""),
  """"
)
"),"")</f>
        <v/>
      </c>
    </row>
    <row r="594">
      <c r="D594" s="172"/>
      <c r="E594" s="368"/>
      <c r="F594" s="368"/>
      <c r="G594" s="368"/>
      <c r="H594" s="172"/>
      <c r="I594" s="172"/>
      <c r="J594" s="172"/>
      <c r="K594" s="172"/>
      <c r="L594" s="172"/>
      <c r="M594" s="172"/>
      <c r="N594" s="172"/>
      <c r="O594" s="358"/>
      <c r="P594" s="358"/>
      <c r="Q594" s="358"/>
      <c r="R594" s="378"/>
      <c r="S594" s="378"/>
      <c r="T594" s="8"/>
      <c r="U594" s="8"/>
      <c r="V594" s="8"/>
      <c r="W594" s="172"/>
      <c r="X594" s="172"/>
      <c r="Y594" s="8"/>
      <c r="Z594" s="8"/>
      <c r="AA594" s="8"/>
      <c r="AB594" s="172"/>
      <c r="AC594" s="172"/>
      <c r="AD594" s="8"/>
      <c r="AE594" s="8"/>
      <c r="AF594" s="8"/>
      <c r="AG594" s="172"/>
      <c r="AH594" s="172"/>
      <c r="AI594" s="367"/>
      <c r="AJ594" s="362"/>
      <c r="AK594" s="363" t="str">
        <f>IFERROR(__xludf.DUMMYFUNCTION("IFERROR(if(D596&lt;&gt;"""", 
  AVERAGE(
    QUERY(
      IMPORTRANGE(""1-uH1wy6jSm5jYL9je6fN1K5RJ5QMvHntodEHZRtIvTk"", ""All Data!N2:U""),
      ""select Col8 where Col1 = '"" &amp; D596 &amp; ""' and Col8 is not null"",
      0
    )
  )/100,
""""),
  """"
)
"),"")</f>
        <v/>
      </c>
    </row>
    <row r="595">
      <c r="D595" s="172"/>
      <c r="E595" s="368"/>
      <c r="F595" s="368"/>
      <c r="G595" s="368"/>
      <c r="H595" s="172"/>
      <c r="I595" s="172"/>
      <c r="J595" s="172"/>
      <c r="K595" s="172"/>
      <c r="L595" s="172"/>
      <c r="M595" s="172"/>
      <c r="N595" s="172"/>
      <c r="O595" s="358"/>
      <c r="P595" s="358"/>
      <c r="Q595" s="358"/>
      <c r="R595" s="378"/>
      <c r="S595" s="378"/>
      <c r="T595" s="8"/>
      <c r="U595" s="8"/>
      <c r="V595" s="8"/>
      <c r="W595" s="172"/>
      <c r="X595" s="172"/>
      <c r="Y595" s="8"/>
      <c r="Z595" s="8"/>
      <c r="AA595" s="8"/>
      <c r="AB595" s="172"/>
      <c r="AC595" s="172"/>
      <c r="AD595" s="8"/>
      <c r="AE595" s="8"/>
      <c r="AF595" s="8"/>
      <c r="AG595" s="172"/>
      <c r="AH595" s="172"/>
      <c r="AI595" s="367"/>
      <c r="AJ595" s="362"/>
      <c r="AK595" s="363" t="str">
        <f>IFERROR(__xludf.DUMMYFUNCTION("IFERROR(if(D597&lt;&gt;"""", 
  AVERAGE(
    QUERY(
      IMPORTRANGE(""1-uH1wy6jSm5jYL9je6fN1K5RJ5QMvHntodEHZRtIvTk"", ""All Data!N2:U""),
      ""select Col8 where Col1 = '"" &amp; D597 &amp; ""' and Col8 is not null"",
      0
    )
  )/100,
""""),
  """"
)
"),"")</f>
        <v/>
      </c>
    </row>
    <row r="596">
      <c r="D596" s="172"/>
      <c r="E596" s="368"/>
      <c r="F596" s="368"/>
      <c r="G596" s="368"/>
      <c r="H596" s="172"/>
      <c r="I596" s="172"/>
      <c r="J596" s="172"/>
      <c r="K596" s="172"/>
      <c r="L596" s="172"/>
      <c r="M596" s="172"/>
      <c r="N596" s="172"/>
      <c r="O596" s="358"/>
      <c r="P596" s="358"/>
      <c r="Q596" s="358"/>
      <c r="R596" s="378"/>
      <c r="S596" s="378"/>
      <c r="T596" s="8"/>
      <c r="U596" s="8"/>
      <c r="V596" s="8"/>
      <c r="W596" s="172"/>
      <c r="X596" s="172"/>
      <c r="Y596" s="8"/>
      <c r="Z596" s="8"/>
      <c r="AA596" s="8"/>
      <c r="AB596" s="172"/>
      <c r="AC596" s="172"/>
      <c r="AD596" s="8"/>
      <c r="AE596" s="8"/>
      <c r="AF596" s="8"/>
      <c r="AG596" s="172"/>
      <c r="AH596" s="172"/>
      <c r="AI596" s="367"/>
      <c r="AJ596" s="362"/>
      <c r="AK596" s="363" t="str">
        <f>IFERROR(__xludf.DUMMYFUNCTION("IFERROR(if(D598&lt;&gt;"""", 
  AVERAGE(
    QUERY(
      IMPORTRANGE(""1-uH1wy6jSm5jYL9je6fN1K5RJ5QMvHntodEHZRtIvTk"", ""All Data!N2:U""),
      ""select Col8 where Col1 = '"" &amp; D598 &amp; ""' and Col8 is not null"",
      0
    )
  )/100,
""""),
  """"
)
"),"")</f>
        <v/>
      </c>
    </row>
    <row r="597">
      <c r="D597" s="172"/>
      <c r="E597" s="368"/>
      <c r="F597" s="368"/>
      <c r="G597" s="368"/>
      <c r="H597" s="172"/>
      <c r="I597" s="172"/>
      <c r="J597" s="172"/>
      <c r="K597" s="172"/>
      <c r="L597" s="172"/>
      <c r="M597" s="172"/>
      <c r="N597" s="172"/>
      <c r="O597" s="358"/>
      <c r="P597" s="358"/>
      <c r="Q597" s="358"/>
      <c r="R597" s="378"/>
      <c r="S597" s="378"/>
      <c r="T597" s="8"/>
      <c r="U597" s="8"/>
      <c r="V597" s="8"/>
      <c r="W597" s="172"/>
      <c r="X597" s="172"/>
      <c r="Y597" s="8"/>
      <c r="Z597" s="8"/>
      <c r="AA597" s="8"/>
      <c r="AB597" s="172"/>
      <c r="AC597" s="172"/>
      <c r="AD597" s="8"/>
      <c r="AE597" s="8"/>
      <c r="AF597" s="8"/>
      <c r="AG597" s="172"/>
      <c r="AH597" s="172"/>
      <c r="AI597" s="367"/>
      <c r="AJ597" s="362"/>
      <c r="AK597" s="363" t="str">
        <f>IFERROR(__xludf.DUMMYFUNCTION("IFERROR(if(D599&lt;&gt;"""", 
  AVERAGE(
    QUERY(
      IMPORTRANGE(""1-uH1wy6jSm5jYL9je6fN1K5RJ5QMvHntodEHZRtIvTk"", ""All Data!N2:U""),
      ""select Col8 where Col1 = '"" &amp; D599 &amp; ""' and Col8 is not null"",
      0
    )
  )/100,
""""),
  """"
)
"),"")</f>
        <v/>
      </c>
    </row>
    <row r="598">
      <c r="D598" s="172"/>
      <c r="E598" s="368"/>
      <c r="F598" s="368"/>
      <c r="G598" s="368"/>
      <c r="H598" s="172"/>
      <c r="I598" s="172"/>
      <c r="J598" s="172"/>
      <c r="K598" s="172"/>
      <c r="L598" s="172"/>
      <c r="M598" s="172"/>
      <c r="N598" s="172"/>
      <c r="O598" s="358"/>
      <c r="P598" s="358"/>
      <c r="Q598" s="358"/>
      <c r="R598" s="378"/>
      <c r="S598" s="378"/>
      <c r="T598" s="8"/>
      <c r="U598" s="8"/>
      <c r="V598" s="8"/>
      <c r="W598" s="172"/>
      <c r="X598" s="172"/>
      <c r="Y598" s="8"/>
      <c r="Z598" s="8"/>
      <c r="AA598" s="8"/>
      <c r="AB598" s="172"/>
      <c r="AC598" s="172"/>
      <c r="AD598" s="8"/>
      <c r="AE598" s="8"/>
      <c r="AF598" s="8"/>
      <c r="AG598" s="172"/>
      <c r="AH598" s="172"/>
      <c r="AI598" s="367"/>
      <c r="AJ598" s="362"/>
      <c r="AK598" s="363" t="str">
        <f>IFERROR(__xludf.DUMMYFUNCTION("IFERROR(if(D600&lt;&gt;"""", 
  AVERAGE(
    QUERY(
      IMPORTRANGE(""1-uH1wy6jSm5jYL9je6fN1K5RJ5QMvHntodEHZRtIvTk"", ""All Data!N2:U""),
      ""select Col8 where Col1 = '"" &amp; D600 &amp; ""' and Col8 is not null"",
      0
    )
  )/100,
""""),
  """"
)
"),"")</f>
        <v/>
      </c>
    </row>
    <row r="599">
      <c r="D599" s="172"/>
      <c r="E599" s="368"/>
      <c r="F599" s="368"/>
      <c r="G599" s="368"/>
      <c r="H599" s="172"/>
      <c r="I599" s="172"/>
      <c r="J599" s="172"/>
      <c r="K599" s="172"/>
      <c r="L599" s="172"/>
      <c r="M599" s="172"/>
      <c r="N599" s="172"/>
      <c r="O599" s="358"/>
      <c r="P599" s="358"/>
      <c r="Q599" s="358"/>
      <c r="R599" s="378"/>
      <c r="S599" s="378"/>
      <c r="T599" s="8"/>
      <c r="U599" s="8"/>
      <c r="V599" s="8"/>
      <c r="W599" s="172"/>
      <c r="X599" s="172"/>
      <c r="Y599" s="8"/>
      <c r="Z599" s="8"/>
      <c r="AA599" s="8"/>
      <c r="AB599" s="172"/>
      <c r="AC599" s="172"/>
      <c r="AD599" s="8"/>
      <c r="AE599" s="8"/>
      <c r="AF599" s="8"/>
      <c r="AG599" s="172"/>
      <c r="AH599" s="172"/>
      <c r="AI599" s="367"/>
      <c r="AJ599" s="362"/>
      <c r="AK599" s="363" t="str">
        <f>IFERROR(__xludf.DUMMYFUNCTION("IFERROR(if(D601&lt;&gt;"""", 
  AVERAGE(
    QUERY(
      IMPORTRANGE(""1-uH1wy6jSm5jYL9je6fN1K5RJ5QMvHntodEHZRtIvTk"", ""All Data!N2:U""),
      ""select Col8 where Col1 = '"" &amp; D601 &amp; ""' and Col8 is not null"",
      0
    )
  )/100,
""""),
  """"
)
"),"")</f>
        <v/>
      </c>
    </row>
    <row r="600">
      <c r="D600" s="172"/>
      <c r="E600" s="368"/>
      <c r="F600" s="368"/>
      <c r="G600" s="368"/>
      <c r="H600" s="172"/>
      <c r="I600" s="172"/>
      <c r="J600" s="172"/>
      <c r="K600" s="172"/>
      <c r="L600" s="172"/>
      <c r="M600" s="172"/>
      <c r="N600" s="172"/>
      <c r="O600" s="358"/>
      <c r="P600" s="358"/>
      <c r="Q600" s="358"/>
      <c r="R600" s="378"/>
      <c r="S600" s="378"/>
      <c r="T600" s="8"/>
      <c r="U600" s="8"/>
      <c r="V600" s="8"/>
      <c r="W600" s="172"/>
      <c r="X600" s="172"/>
      <c r="Y600" s="8"/>
      <c r="Z600" s="8"/>
      <c r="AA600" s="8"/>
      <c r="AB600" s="172"/>
      <c r="AC600" s="172"/>
      <c r="AD600" s="8"/>
      <c r="AE600" s="8"/>
      <c r="AF600" s="8"/>
      <c r="AG600" s="172"/>
      <c r="AH600" s="172"/>
      <c r="AI600" s="367"/>
      <c r="AJ600" s="362"/>
      <c r="AK600" s="363" t="str">
        <f>IFERROR(__xludf.DUMMYFUNCTION("IFERROR(if(D602&lt;&gt;"""", 
  AVERAGE(
    QUERY(
      IMPORTRANGE(""1-uH1wy6jSm5jYL9je6fN1K5RJ5QMvHntodEHZRtIvTk"", ""All Data!N2:U""),
      ""select Col8 where Col1 = '"" &amp; D602 &amp; ""' and Col8 is not null"",
      0
    )
  )/100,
""""),
  """"
)
"),"")</f>
        <v/>
      </c>
    </row>
    <row r="601">
      <c r="D601" s="172"/>
      <c r="E601" s="368"/>
      <c r="F601" s="368"/>
      <c r="G601" s="368"/>
      <c r="H601" s="172"/>
      <c r="I601" s="172"/>
      <c r="J601" s="172"/>
      <c r="K601" s="172"/>
      <c r="L601" s="172"/>
      <c r="M601" s="172"/>
      <c r="N601" s="172"/>
      <c r="O601" s="358"/>
      <c r="P601" s="358"/>
      <c r="Q601" s="358"/>
      <c r="R601" s="378"/>
      <c r="S601" s="378"/>
      <c r="T601" s="8"/>
      <c r="U601" s="8"/>
      <c r="V601" s="8"/>
      <c r="W601" s="172"/>
      <c r="X601" s="172"/>
      <c r="Y601" s="8"/>
      <c r="Z601" s="8"/>
      <c r="AA601" s="8"/>
      <c r="AB601" s="172"/>
      <c r="AC601" s="172"/>
      <c r="AD601" s="8"/>
      <c r="AE601" s="8"/>
      <c r="AF601" s="8"/>
      <c r="AG601" s="172"/>
      <c r="AH601" s="172"/>
      <c r="AI601" s="367"/>
      <c r="AJ601" s="362"/>
      <c r="AK601" s="363" t="str">
        <f>IFERROR(__xludf.DUMMYFUNCTION("IFERROR(if(D603&lt;&gt;"""", 
  AVERAGE(
    QUERY(
      IMPORTRANGE(""1-uH1wy6jSm5jYL9je6fN1K5RJ5QMvHntodEHZRtIvTk"", ""All Data!N2:U""),
      ""select Col8 where Col1 = '"" &amp; D603 &amp; ""' and Col8 is not null"",
      0
    )
  )/100,
""""),
  """"
)
"),"")</f>
        <v/>
      </c>
    </row>
    <row r="602">
      <c r="D602" s="172"/>
      <c r="E602" s="368"/>
      <c r="F602" s="368"/>
      <c r="G602" s="368"/>
      <c r="H602" s="172"/>
      <c r="I602" s="172"/>
      <c r="J602" s="172"/>
      <c r="K602" s="172"/>
      <c r="L602" s="172"/>
      <c r="M602" s="172"/>
      <c r="N602" s="172"/>
      <c r="O602" s="358"/>
      <c r="P602" s="358"/>
      <c r="Q602" s="358"/>
      <c r="R602" s="378"/>
      <c r="S602" s="378"/>
      <c r="T602" s="8"/>
      <c r="U602" s="8"/>
      <c r="V602" s="8"/>
      <c r="W602" s="172"/>
      <c r="X602" s="172"/>
      <c r="Y602" s="8"/>
      <c r="Z602" s="8"/>
      <c r="AA602" s="8"/>
      <c r="AB602" s="172"/>
      <c r="AC602" s="172"/>
      <c r="AD602" s="8"/>
      <c r="AE602" s="8"/>
      <c r="AF602" s="8"/>
      <c r="AG602" s="172"/>
      <c r="AH602" s="172"/>
      <c r="AI602" s="367"/>
      <c r="AJ602" s="362"/>
      <c r="AK602" s="363" t="str">
        <f>IFERROR(__xludf.DUMMYFUNCTION("IFERROR(if(D604&lt;&gt;"""", 
  AVERAGE(
    QUERY(
      IMPORTRANGE(""1-uH1wy6jSm5jYL9je6fN1K5RJ5QMvHntodEHZRtIvTk"", ""All Data!N2:U""),
      ""select Col8 where Col1 = '"" &amp; D604 &amp; ""' and Col8 is not null"",
      0
    )
  )/100,
""""),
  """"
)
"),"")</f>
        <v/>
      </c>
    </row>
    <row r="603">
      <c r="D603" s="172"/>
      <c r="E603" s="368"/>
      <c r="F603" s="368"/>
      <c r="G603" s="368"/>
      <c r="H603" s="172"/>
      <c r="I603" s="172"/>
      <c r="J603" s="172"/>
      <c r="K603" s="172"/>
      <c r="L603" s="172"/>
      <c r="M603" s="172"/>
      <c r="N603" s="172"/>
      <c r="O603" s="358"/>
      <c r="P603" s="358"/>
      <c r="Q603" s="358"/>
      <c r="R603" s="378"/>
      <c r="S603" s="378"/>
      <c r="T603" s="8"/>
      <c r="U603" s="8"/>
      <c r="V603" s="8"/>
      <c r="W603" s="172"/>
      <c r="X603" s="172"/>
      <c r="Y603" s="8"/>
      <c r="Z603" s="8"/>
      <c r="AA603" s="8"/>
      <c r="AB603" s="172"/>
      <c r="AC603" s="172"/>
      <c r="AD603" s="8"/>
      <c r="AE603" s="8"/>
      <c r="AF603" s="8"/>
      <c r="AG603" s="172"/>
      <c r="AH603" s="172"/>
      <c r="AI603" s="367"/>
      <c r="AJ603" s="362"/>
      <c r="AK603" s="363" t="str">
        <f>IFERROR(__xludf.DUMMYFUNCTION("IFERROR(if(D605&lt;&gt;"""", 
  AVERAGE(
    QUERY(
      IMPORTRANGE(""1-uH1wy6jSm5jYL9je6fN1K5RJ5QMvHntodEHZRtIvTk"", ""All Data!N2:U""),
      ""select Col8 where Col1 = '"" &amp; D605 &amp; ""' and Col8 is not null"",
      0
    )
  )/100,
""""),
  """"
)
"),"")</f>
        <v/>
      </c>
    </row>
    <row r="604">
      <c r="D604" s="172"/>
      <c r="E604" s="368"/>
      <c r="F604" s="368"/>
      <c r="G604" s="368"/>
      <c r="H604" s="172"/>
      <c r="I604" s="172"/>
      <c r="J604" s="172"/>
      <c r="K604" s="172"/>
      <c r="L604" s="172"/>
      <c r="M604" s="172"/>
      <c r="N604" s="172"/>
      <c r="O604" s="358"/>
      <c r="P604" s="358"/>
      <c r="Q604" s="358"/>
      <c r="R604" s="378"/>
      <c r="S604" s="378"/>
      <c r="T604" s="8"/>
      <c r="U604" s="8"/>
      <c r="V604" s="8"/>
      <c r="W604" s="172"/>
      <c r="X604" s="172"/>
      <c r="Y604" s="8"/>
      <c r="Z604" s="8"/>
      <c r="AA604" s="8"/>
      <c r="AB604" s="172"/>
      <c r="AC604" s="172"/>
      <c r="AD604" s="8"/>
      <c r="AE604" s="8"/>
      <c r="AF604" s="8"/>
      <c r="AG604" s="172"/>
      <c r="AH604" s="172"/>
      <c r="AI604" s="367"/>
      <c r="AJ604" s="362"/>
      <c r="AK604" s="363" t="str">
        <f>IFERROR(__xludf.DUMMYFUNCTION("IFERROR(if(D606&lt;&gt;"""", 
  AVERAGE(
    QUERY(
      IMPORTRANGE(""1-uH1wy6jSm5jYL9je6fN1K5RJ5QMvHntodEHZRtIvTk"", ""All Data!N2:U""),
      ""select Col8 where Col1 = '"" &amp; D606 &amp; ""' and Col8 is not null"",
      0
    )
  )/100,
""""),
  """"
)
"),"")</f>
        <v/>
      </c>
    </row>
    <row r="605">
      <c r="D605" s="172"/>
      <c r="E605" s="368"/>
      <c r="F605" s="368"/>
      <c r="G605" s="368"/>
      <c r="H605" s="172"/>
      <c r="I605" s="172"/>
      <c r="J605" s="172"/>
      <c r="K605" s="172"/>
      <c r="L605" s="172"/>
      <c r="M605" s="172"/>
      <c r="N605" s="172"/>
      <c r="O605" s="358"/>
      <c r="P605" s="358"/>
      <c r="Q605" s="358"/>
      <c r="R605" s="378"/>
      <c r="S605" s="378"/>
      <c r="T605" s="8"/>
      <c r="U605" s="8"/>
      <c r="V605" s="8"/>
      <c r="W605" s="172"/>
      <c r="X605" s="172"/>
      <c r="Y605" s="8"/>
      <c r="Z605" s="8"/>
      <c r="AA605" s="8"/>
      <c r="AB605" s="172"/>
      <c r="AC605" s="172"/>
      <c r="AD605" s="8"/>
      <c r="AE605" s="8"/>
      <c r="AF605" s="8"/>
      <c r="AG605" s="172"/>
      <c r="AH605" s="172"/>
      <c r="AI605" s="367"/>
      <c r="AJ605" s="362"/>
      <c r="AK605" s="363" t="str">
        <f>IFERROR(__xludf.DUMMYFUNCTION("IFERROR(if(D607&lt;&gt;"""", 
  AVERAGE(
    QUERY(
      IMPORTRANGE(""1-uH1wy6jSm5jYL9je6fN1K5RJ5QMvHntodEHZRtIvTk"", ""All Data!N2:U""),
      ""select Col8 where Col1 = '"" &amp; D607 &amp; ""' and Col8 is not null"",
      0
    )
  )/100,
""""),
  """"
)
"),"")</f>
        <v/>
      </c>
    </row>
    <row r="606">
      <c r="D606" s="172"/>
      <c r="E606" s="368"/>
      <c r="F606" s="368"/>
      <c r="G606" s="368"/>
      <c r="H606" s="172"/>
      <c r="I606" s="172"/>
      <c r="J606" s="172"/>
      <c r="K606" s="172"/>
      <c r="L606" s="172"/>
      <c r="M606" s="172"/>
      <c r="N606" s="172"/>
      <c r="O606" s="358"/>
      <c r="P606" s="358"/>
      <c r="Q606" s="358"/>
      <c r="R606" s="378"/>
      <c r="S606" s="378"/>
      <c r="T606" s="8"/>
      <c r="U606" s="8"/>
      <c r="V606" s="8"/>
      <c r="W606" s="172"/>
      <c r="X606" s="172"/>
      <c r="Y606" s="8"/>
      <c r="Z606" s="8"/>
      <c r="AA606" s="8"/>
      <c r="AB606" s="172"/>
      <c r="AC606" s="172"/>
      <c r="AD606" s="8"/>
      <c r="AE606" s="8"/>
      <c r="AF606" s="8"/>
      <c r="AG606" s="172"/>
      <c r="AH606" s="172"/>
      <c r="AI606" s="367"/>
      <c r="AJ606" s="362"/>
      <c r="AK606" s="363" t="str">
        <f>IFERROR(__xludf.DUMMYFUNCTION("IFERROR(if(D608&lt;&gt;"""", 
  AVERAGE(
    QUERY(
      IMPORTRANGE(""1-uH1wy6jSm5jYL9je6fN1K5RJ5QMvHntodEHZRtIvTk"", ""All Data!N2:U""),
      ""select Col8 where Col1 = '"" &amp; D608 &amp; ""' and Col8 is not null"",
      0
    )
  )/100,
""""),
  """"
)
"),"")</f>
        <v/>
      </c>
    </row>
    <row r="607">
      <c r="D607" s="172"/>
      <c r="E607" s="368"/>
      <c r="F607" s="368"/>
      <c r="G607" s="368"/>
      <c r="H607" s="172"/>
      <c r="I607" s="172"/>
      <c r="J607" s="172"/>
      <c r="K607" s="172"/>
      <c r="L607" s="172"/>
      <c r="M607" s="172"/>
      <c r="N607" s="172"/>
      <c r="O607" s="358"/>
      <c r="P607" s="358"/>
      <c r="Q607" s="358"/>
      <c r="R607" s="378"/>
      <c r="S607" s="378"/>
      <c r="T607" s="8"/>
      <c r="U607" s="8"/>
      <c r="V607" s="8"/>
      <c r="W607" s="172"/>
      <c r="X607" s="172"/>
      <c r="Y607" s="8"/>
      <c r="Z607" s="8"/>
      <c r="AA607" s="8"/>
      <c r="AB607" s="172"/>
      <c r="AC607" s="172"/>
      <c r="AD607" s="8"/>
      <c r="AE607" s="8"/>
      <c r="AF607" s="8"/>
      <c r="AG607" s="172"/>
      <c r="AH607" s="172"/>
      <c r="AI607" s="367"/>
      <c r="AJ607" s="362"/>
      <c r="AK607" s="363" t="str">
        <f>IFERROR(__xludf.DUMMYFUNCTION("IFERROR(if(D609&lt;&gt;"""", 
  AVERAGE(
    QUERY(
      IMPORTRANGE(""1-uH1wy6jSm5jYL9je6fN1K5RJ5QMvHntodEHZRtIvTk"", ""All Data!N2:U""),
      ""select Col8 where Col1 = '"" &amp; D609 &amp; ""' and Col8 is not null"",
      0
    )
  )/100,
""""),
  """"
)
"),"")</f>
        <v/>
      </c>
    </row>
    <row r="608">
      <c r="D608" s="172"/>
      <c r="E608" s="368"/>
      <c r="F608" s="368"/>
      <c r="G608" s="368"/>
      <c r="H608" s="172"/>
      <c r="I608" s="172"/>
      <c r="J608" s="172"/>
      <c r="K608" s="172"/>
      <c r="L608" s="172"/>
      <c r="M608" s="172"/>
      <c r="N608" s="172"/>
      <c r="O608" s="358"/>
      <c r="P608" s="358"/>
      <c r="Q608" s="358"/>
      <c r="R608" s="378"/>
      <c r="S608" s="378"/>
      <c r="T608" s="8"/>
      <c r="U608" s="8"/>
      <c r="V608" s="8"/>
      <c r="W608" s="172"/>
      <c r="X608" s="172"/>
      <c r="Y608" s="8"/>
      <c r="Z608" s="8"/>
      <c r="AA608" s="8"/>
      <c r="AB608" s="172"/>
      <c r="AC608" s="172"/>
      <c r="AD608" s="8"/>
      <c r="AE608" s="8"/>
      <c r="AF608" s="8"/>
      <c r="AG608" s="172"/>
      <c r="AH608" s="172"/>
      <c r="AI608" s="367"/>
      <c r="AJ608" s="362"/>
      <c r="AK608" s="363" t="str">
        <f>IFERROR(__xludf.DUMMYFUNCTION("IFERROR(if(D610&lt;&gt;"""", 
  AVERAGE(
    QUERY(
      IMPORTRANGE(""1-uH1wy6jSm5jYL9je6fN1K5RJ5QMvHntodEHZRtIvTk"", ""All Data!N2:U""),
      ""select Col8 where Col1 = '"" &amp; D610 &amp; ""' and Col8 is not null"",
      0
    )
  )/100,
""""),
  """"
)
"),"")</f>
        <v/>
      </c>
    </row>
    <row r="609">
      <c r="D609" s="172"/>
      <c r="E609" s="368"/>
      <c r="F609" s="368"/>
      <c r="G609" s="368"/>
      <c r="H609" s="172"/>
      <c r="I609" s="172"/>
      <c r="J609" s="172"/>
      <c r="K609" s="172"/>
      <c r="L609" s="172"/>
      <c r="M609" s="172"/>
      <c r="N609" s="172"/>
      <c r="O609" s="358"/>
      <c r="P609" s="358"/>
      <c r="Q609" s="358"/>
      <c r="R609" s="378"/>
      <c r="S609" s="378"/>
      <c r="T609" s="8"/>
      <c r="U609" s="8"/>
      <c r="V609" s="8"/>
      <c r="W609" s="172"/>
      <c r="X609" s="172"/>
      <c r="Y609" s="8"/>
      <c r="Z609" s="8"/>
      <c r="AA609" s="8"/>
      <c r="AB609" s="172"/>
      <c r="AC609" s="172"/>
      <c r="AD609" s="8"/>
      <c r="AE609" s="8"/>
      <c r="AF609" s="8"/>
      <c r="AG609" s="172"/>
      <c r="AH609" s="172"/>
      <c r="AI609" s="367"/>
      <c r="AJ609" s="362"/>
      <c r="AK609" s="363" t="str">
        <f>IFERROR(__xludf.DUMMYFUNCTION("IFERROR(if(D611&lt;&gt;"""", 
  AVERAGE(
    QUERY(
      IMPORTRANGE(""1-uH1wy6jSm5jYL9je6fN1K5RJ5QMvHntodEHZRtIvTk"", ""All Data!N2:U""),
      ""select Col8 where Col1 = '"" &amp; D611 &amp; ""' and Col8 is not null"",
      0
    )
  )/100,
""""),
  """"
)
"),"")</f>
        <v/>
      </c>
    </row>
    <row r="610">
      <c r="D610" s="172"/>
      <c r="E610" s="368"/>
      <c r="F610" s="368"/>
      <c r="G610" s="368"/>
      <c r="H610" s="172"/>
      <c r="I610" s="172"/>
      <c r="J610" s="172"/>
      <c r="K610" s="172"/>
      <c r="L610" s="172"/>
      <c r="M610" s="172"/>
      <c r="N610" s="172"/>
      <c r="O610" s="358"/>
      <c r="P610" s="358"/>
      <c r="Q610" s="358"/>
      <c r="R610" s="378"/>
      <c r="S610" s="378"/>
      <c r="T610" s="8"/>
      <c r="U610" s="8"/>
      <c r="V610" s="8"/>
      <c r="W610" s="172"/>
      <c r="X610" s="172"/>
      <c r="Y610" s="8"/>
      <c r="Z610" s="8"/>
      <c r="AA610" s="8"/>
      <c r="AB610" s="172"/>
      <c r="AC610" s="172"/>
      <c r="AD610" s="8"/>
      <c r="AE610" s="8"/>
      <c r="AF610" s="8"/>
      <c r="AG610" s="172"/>
      <c r="AH610" s="172"/>
      <c r="AI610" s="367"/>
      <c r="AJ610" s="362"/>
      <c r="AK610" s="363" t="str">
        <f>IFERROR(__xludf.DUMMYFUNCTION("IFERROR(if(D612&lt;&gt;"""", 
  AVERAGE(
    QUERY(
      IMPORTRANGE(""1-uH1wy6jSm5jYL9je6fN1K5RJ5QMvHntodEHZRtIvTk"", ""All Data!N2:U""),
      ""select Col8 where Col1 = '"" &amp; D612 &amp; ""' and Col8 is not null"",
      0
    )
  )/100,
""""),
  """"
)
"),"")</f>
        <v/>
      </c>
    </row>
    <row r="611">
      <c r="D611" s="172"/>
      <c r="E611" s="368"/>
      <c r="F611" s="368"/>
      <c r="G611" s="368"/>
      <c r="H611" s="172"/>
      <c r="I611" s="172"/>
      <c r="J611" s="172"/>
      <c r="K611" s="172"/>
      <c r="L611" s="172"/>
      <c r="M611" s="172"/>
      <c r="N611" s="172"/>
      <c r="O611" s="358"/>
      <c r="P611" s="358"/>
      <c r="Q611" s="358"/>
      <c r="R611" s="378"/>
      <c r="S611" s="378"/>
      <c r="T611" s="8"/>
      <c r="U611" s="8"/>
      <c r="V611" s="8"/>
      <c r="W611" s="172"/>
      <c r="X611" s="172"/>
      <c r="Y611" s="8"/>
      <c r="Z611" s="8"/>
      <c r="AA611" s="8"/>
      <c r="AB611" s="172"/>
      <c r="AC611" s="172"/>
      <c r="AD611" s="8"/>
      <c r="AE611" s="8"/>
      <c r="AF611" s="8"/>
      <c r="AG611" s="172"/>
      <c r="AH611" s="172"/>
      <c r="AI611" s="367"/>
      <c r="AJ611" s="362"/>
      <c r="AK611" s="363" t="str">
        <f>IFERROR(__xludf.DUMMYFUNCTION("IFERROR(if(D613&lt;&gt;"""", 
  AVERAGE(
    QUERY(
      IMPORTRANGE(""1-uH1wy6jSm5jYL9je6fN1K5RJ5QMvHntodEHZRtIvTk"", ""All Data!N2:U""),
      ""select Col8 where Col1 = '"" &amp; D613 &amp; ""' and Col8 is not null"",
      0
    )
  )/100,
""""),
  """"
)
"),"")</f>
        <v/>
      </c>
    </row>
    <row r="612">
      <c r="D612" s="172"/>
      <c r="E612" s="368"/>
      <c r="F612" s="368"/>
      <c r="G612" s="368"/>
      <c r="H612" s="172"/>
      <c r="I612" s="172"/>
      <c r="J612" s="172"/>
      <c r="K612" s="172"/>
      <c r="L612" s="172"/>
      <c r="M612" s="172"/>
      <c r="N612" s="172"/>
      <c r="O612" s="358"/>
      <c r="P612" s="358"/>
      <c r="Q612" s="358"/>
      <c r="R612" s="378"/>
      <c r="S612" s="378"/>
      <c r="T612" s="8"/>
      <c r="U612" s="8"/>
      <c r="V612" s="8"/>
      <c r="W612" s="172"/>
      <c r="X612" s="172"/>
      <c r="Y612" s="8"/>
      <c r="Z612" s="8"/>
      <c r="AA612" s="8"/>
      <c r="AB612" s="172"/>
      <c r="AC612" s="172"/>
      <c r="AD612" s="8"/>
      <c r="AE612" s="8"/>
      <c r="AF612" s="8"/>
      <c r="AG612" s="172"/>
      <c r="AH612" s="172"/>
      <c r="AI612" s="367"/>
      <c r="AJ612" s="362"/>
      <c r="AK612" s="363" t="str">
        <f>IFERROR(__xludf.DUMMYFUNCTION("IFERROR(if(D614&lt;&gt;"""", 
  AVERAGE(
    QUERY(
      IMPORTRANGE(""1-uH1wy6jSm5jYL9je6fN1K5RJ5QMvHntodEHZRtIvTk"", ""All Data!N2:U""),
      ""select Col8 where Col1 = '"" &amp; D614 &amp; ""' and Col8 is not null"",
      0
    )
  )/100,
""""),
  """"
)
"),"")</f>
        <v/>
      </c>
    </row>
    <row r="613">
      <c r="D613" s="172"/>
      <c r="E613" s="368"/>
      <c r="F613" s="368"/>
      <c r="G613" s="368"/>
      <c r="H613" s="172"/>
      <c r="I613" s="172"/>
      <c r="J613" s="172"/>
      <c r="K613" s="172"/>
      <c r="L613" s="172"/>
      <c r="M613" s="172"/>
      <c r="N613" s="172"/>
      <c r="O613" s="358"/>
      <c r="P613" s="358"/>
      <c r="Q613" s="358"/>
      <c r="R613" s="378"/>
      <c r="S613" s="378"/>
      <c r="T613" s="8"/>
      <c r="U613" s="8"/>
      <c r="V613" s="8"/>
      <c r="W613" s="172"/>
      <c r="X613" s="172"/>
      <c r="Y613" s="8"/>
      <c r="Z613" s="8"/>
      <c r="AA613" s="8"/>
      <c r="AB613" s="172"/>
      <c r="AC613" s="172"/>
      <c r="AD613" s="8"/>
      <c r="AE613" s="8"/>
      <c r="AF613" s="8"/>
      <c r="AG613" s="172"/>
      <c r="AH613" s="172"/>
      <c r="AI613" s="367"/>
      <c r="AJ613" s="362"/>
      <c r="AK613" s="363" t="str">
        <f>IFERROR(__xludf.DUMMYFUNCTION("IFERROR(if(D615&lt;&gt;"""", 
  AVERAGE(
    QUERY(
      IMPORTRANGE(""1-uH1wy6jSm5jYL9je6fN1K5RJ5QMvHntodEHZRtIvTk"", ""All Data!N2:U""),
      ""select Col8 where Col1 = '"" &amp; D615 &amp; ""' and Col8 is not null"",
      0
    )
  )/100,
""""),
  """"
)
"),"")</f>
        <v/>
      </c>
    </row>
    <row r="614">
      <c r="D614" s="172"/>
      <c r="E614" s="368"/>
      <c r="F614" s="368"/>
      <c r="G614" s="368"/>
      <c r="H614" s="172"/>
      <c r="I614" s="172"/>
      <c r="J614" s="172"/>
      <c r="K614" s="172"/>
      <c r="L614" s="172"/>
      <c r="M614" s="172"/>
      <c r="N614" s="172"/>
      <c r="O614" s="358"/>
      <c r="P614" s="358"/>
      <c r="Q614" s="358"/>
      <c r="R614" s="378"/>
      <c r="S614" s="378"/>
      <c r="T614" s="8"/>
      <c r="U614" s="8"/>
      <c r="V614" s="8"/>
      <c r="W614" s="172"/>
      <c r="X614" s="172"/>
      <c r="Y614" s="8"/>
      <c r="Z614" s="8"/>
      <c r="AA614" s="8"/>
      <c r="AB614" s="172"/>
      <c r="AC614" s="172"/>
      <c r="AD614" s="8"/>
      <c r="AE614" s="8"/>
      <c r="AF614" s="8"/>
      <c r="AG614" s="172"/>
      <c r="AH614" s="172"/>
      <c r="AI614" s="367"/>
      <c r="AJ614" s="362"/>
      <c r="AK614" s="363" t="str">
        <f>IFERROR(__xludf.DUMMYFUNCTION("IFERROR(if(D616&lt;&gt;"""", 
  AVERAGE(
    QUERY(
      IMPORTRANGE(""1-uH1wy6jSm5jYL9je6fN1K5RJ5QMvHntodEHZRtIvTk"", ""All Data!N2:U""),
      ""select Col8 where Col1 = '"" &amp; D616 &amp; ""' and Col8 is not null"",
      0
    )
  )/100,
""""),
  """"
)
"),"")</f>
        <v/>
      </c>
    </row>
    <row r="615">
      <c r="D615" s="172"/>
      <c r="E615" s="368"/>
      <c r="F615" s="368"/>
      <c r="G615" s="368"/>
      <c r="H615" s="172"/>
      <c r="I615" s="172"/>
      <c r="J615" s="172"/>
      <c r="K615" s="172"/>
      <c r="L615" s="172"/>
      <c r="M615" s="172"/>
      <c r="N615" s="172"/>
      <c r="O615" s="358"/>
      <c r="P615" s="358"/>
      <c r="Q615" s="358"/>
      <c r="R615" s="378"/>
      <c r="S615" s="378"/>
      <c r="T615" s="8"/>
      <c r="U615" s="8"/>
      <c r="V615" s="8"/>
      <c r="W615" s="172"/>
      <c r="X615" s="172"/>
      <c r="Y615" s="8"/>
      <c r="Z615" s="8"/>
      <c r="AA615" s="8"/>
      <c r="AB615" s="172"/>
      <c r="AC615" s="172"/>
      <c r="AD615" s="8"/>
      <c r="AE615" s="8"/>
      <c r="AF615" s="8"/>
      <c r="AG615" s="172"/>
      <c r="AH615" s="172"/>
      <c r="AI615" s="367"/>
      <c r="AJ615" s="362"/>
      <c r="AK615" s="363" t="str">
        <f>IFERROR(__xludf.DUMMYFUNCTION("IFERROR(if(D617&lt;&gt;"""", 
  AVERAGE(
    QUERY(
      IMPORTRANGE(""1-uH1wy6jSm5jYL9je6fN1K5RJ5QMvHntodEHZRtIvTk"", ""All Data!N2:U""),
      ""select Col8 where Col1 = '"" &amp; D617 &amp; ""' and Col8 is not null"",
      0
    )
  )/100,
""""),
  """"
)
"),"")</f>
        <v/>
      </c>
    </row>
    <row r="616">
      <c r="D616" s="172"/>
      <c r="E616" s="368"/>
      <c r="F616" s="368"/>
      <c r="G616" s="368"/>
      <c r="H616" s="172"/>
      <c r="I616" s="172"/>
      <c r="J616" s="172"/>
      <c r="K616" s="172"/>
      <c r="L616" s="172"/>
      <c r="M616" s="172"/>
      <c r="N616" s="172"/>
      <c r="O616" s="358"/>
      <c r="P616" s="358"/>
      <c r="Q616" s="358"/>
      <c r="R616" s="378"/>
      <c r="S616" s="378"/>
      <c r="T616" s="8"/>
      <c r="U616" s="8"/>
      <c r="V616" s="8"/>
      <c r="W616" s="172"/>
      <c r="X616" s="172"/>
      <c r="Y616" s="8"/>
      <c r="Z616" s="8"/>
      <c r="AA616" s="8"/>
      <c r="AB616" s="172"/>
      <c r="AC616" s="172"/>
      <c r="AD616" s="8"/>
      <c r="AE616" s="8"/>
      <c r="AF616" s="8"/>
      <c r="AG616" s="172"/>
      <c r="AH616" s="172"/>
      <c r="AI616" s="367"/>
      <c r="AJ616" s="362"/>
      <c r="AK616" s="363" t="str">
        <f>IFERROR(__xludf.DUMMYFUNCTION("IFERROR(if(D618&lt;&gt;"""", 
  AVERAGE(
    QUERY(
      IMPORTRANGE(""1-uH1wy6jSm5jYL9je6fN1K5RJ5QMvHntodEHZRtIvTk"", ""All Data!N2:U""),
      ""select Col8 where Col1 = '"" &amp; D618 &amp; ""' and Col8 is not null"",
      0
    )
  )/100,
""""),
  """"
)
"),"")</f>
        <v/>
      </c>
    </row>
    <row r="617">
      <c r="D617" s="172"/>
      <c r="E617" s="368"/>
      <c r="F617" s="368"/>
      <c r="G617" s="368"/>
      <c r="H617" s="172"/>
      <c r="I617" s="172"/>
      <c r="J617" s="172"/>
      <c r="K617" s="172"/>
      <c r="L617" s="172"/>
      <c r="M617" s="172"/>
      <c r="N617" s="172"/>
      <c r="O617" s="358"/>
      <c r="P617" s="358"/>
      <c r="Q617" s="358"/>
      <c r="R617" s="378"/>
      <c r="S617" s="378"/>
      <c r="T617" s="8"/>
      <c r="U617" s="8"/>
      <c r="V617" s="8"/>
      <c r="W617" s="172"/>
      <c r="X617" s="172"/>
      <c r="Y617" s="8"/>
      <c r="Z617" s="8"/>
      <c r="AA617" s="8"/>
      <c r="AB617" s="172"/>
      <c r="AC617" s="172"/>
      <c r="AD617" s="8"/>
      <c r="AE617" s="8"/>
      <c r="AF617" s="8"/>
      <c r="AG617" s="172"/>
      <c r="AH617" s="172"/>
      <c r="AI617" s="367"/>
      <c r="AJ617" s="362"/>
      <c r="AK617" s="363" t="str">
        <f>IFERROR(__xludf.DUMMYFUNCTION("IFERROR(if(D619&lt;&gt;"""", 
  AVERAGE(
    QUERY(
      IMPORTRANGE(""1-uH1wy6jSm5jYL9je6fN1K5RJ5QMvHntodEHZRtIvTk"", ""All Data!N2:U""),
      ""select Col8 where Col1 = '"" &amp; D619 &amp; ""' and Col8 is not null"",
      0
    )
  )/100,
""""),
  """"
)
"),"")</f>
        <v/>
      </c>
    </row>
    <row r="618">
      <c r="D618" s="172"/>
      <c r="E618" s="368"/>
      <c r="F618" s="368"/>
      <c r="G618" s="368"/>
      <c r="H618" s="172"/>
      <c r="I618" s="172"/>
      <c r="J618" s="172"/>
      <c r="K618" s="172"/>
      <c r="L618" s="172"/>
      <c r="M618" s="172"/>
      <c r="N618" s="172"/>
      <c r="O618" s="358"/>
      <c r="P618" s="358"/>
      <c r="Q618" s="358"/>
      <c r="R618" s="378"/>
      <c r="S618" s="378"/>
      <c r="T618" s="8"/>
      <c r="U618" s="8"/>
      <c r="V618" s="8"/>
      <c r="W618" s="172"/>
      <c r="X618" s="172"/>
      <c r="Y618" s="8"/>
      <c r="Z618" s="8"/>
      <c r="AA618" s="8"/>
      <c r="AB618" s="172"/>
      <c r="AC618" s="172"/>
      <c r="AD618" s="8"/>
      <c r="AE618" s="8"/>
      <c r="AF618" s="8"/>
      <c r="AG618" s="172"/>
      <c r="AH618" s="172"/>
      <c r="AI618" s="367"/>
      <c r="AJ618" s="362"/>
      <c r="AK618" s="363" t="str">
        <f>IFERROR(__xludf.DUMMYFUNCTION("IFERROR(if(D620&lt;&gt;"""", 
  AVERAGE(
    QUERY(
      IMPORTRANGE(""1-uH1wy6jSm5jYL9je6fN1K5RJ5QMvHntodEHZRtIvTk"", ""All Data!N2:U""),
      ""select Col8 where Col1 = '"" &amp; D620 &amp; ""' and Col8 is not null"",
      0
    )
  )/100,
""""),
  """"
)
"),"")</f>
        <v/>
      </c>
    </row>
    <row r="619">
      <c r="D619" s="172"/>
      <c r="E619" s="368"/>
      <c r="F619" s="368"/>
      <c r="G619" s="368"/>
      <c r="H619" s="172"/>
      <c r="I619" s="172"/>
      <c r="J619" s="172"/>
      <c r="K619" s="172"/>
      <c r="L619" s="172"/>
      <c r="M619" s="172"/>
      <c r="N619" s="172"/>
      <c r="O619" s="358"/>
      <c r="P619" s="358"/>
      <c r="Q619" s="358"/>
      <c r="R619" s="378"/>
      <c r="S619" s="378"/>
      <c r="T619" s="8"/>
      <c r="U619" s="8"/>
      <c r="V619" s="8"/>
      <c r="W619" s="172"/>
      <c r="X619" s="172"/>
      <c r="Y619" s="8"/>
      <c r="Z619" s="8"/>
      <c r="AA619" s="8"/>
      <c r="AB619" s="172"/>
      <c r="AC619" s="172"/>
      <c r="AD619" s="8"/>
      <c r="AE619" s="8"/>
      <c r="AF619" s="8"/>
      <c r="AG619" s="172"/>
      <c r="AH619" s="172"/>
      <c r="AI619" s="367"/>
      <c r="AJ619" s="362"/>
      <c r="AK619" s="363" t="str">
        <f>IFERROR(__xludf.DUMMYFUNCTION("IFERROR(if(D621&lt;&gt;"""", 
  AVERAGE(
    QUERY(
      IMPORTRANGE(""1-uH1wy6jSm5jYL9je6fN1K5RJ5QMvHntodEHZRtIvTk"", ""All Data!N2:U""),
      ""select Col8 where Col1 = '"" &amp; D621 &amp; ""' and Col8 is not null"",
      0
    )
  )/100,
""""),
  """"
)
"),"")</f>
        <v/>
      </c>
    </row>
    <row r="620">
      <c r="D620" s="172"/>
      <c r="E620" s="368"/>
      <c r="F620" s="368"/>
      <c r="G620" s="368"/>
      <c r="H620" s="172"/>
      <c r="I620" s="172"/>
      <c r="J620" s="172"/>
      <c r="K620" s="172"/>
      <c r="L620" s="172"/>
      <c r="M620" s="172"/>
      <c r="N620" s="172"/>
      <c r="O620" s="358"/>
      <c r="P620" s="358"/>
      <c r="Q620" s="358"/>
      <c r="R620" s="378"/>
      <c r="S620" s="378"/>
      <c r="T620" s="8"/>
      <c r="U620" s="8"/>
      <c r="V620" s="8"/>
      <c r="W620" s="172"/>
      <c r="X620" s="172"/>
      <c r="Y620" s="8"/>
      <c r="Z620" s="8"/>
      <c r="AA620" s="8"/>
      <c r="AB620" s="172"/>
      <c r="AC620" s="172"/>
      <c r="AD620" s="8"/>
      <c r="AE620" s="8"/>
      <c r="AF620" s="8"/>
      <c r="AG620" s="172"/>
      <c r="AH620" s="172"/>
      <c r="AI620" s="367"/>
      <c r="AJ620" s="362"/>
      <c r="AK620" s="363" t="str">
        <f>IFERROR(__xludf.DUMMYFUNCTION("IFERROR(if(D622&lt;&gt;"""", 
  AVERAGE(
    QUERY(
      IMPORTRANGE(""1-uH1wy6jSm5jYL9je6fN1K5RJ5QMvHntodEHZRtIvTk"", ""All Data!N2:U""),
      ""select Col8 where Col1 = '"" &amp; D622 &amp; ""' and Col8 is not null"",
      0
    )
  )/100,
""""),
  """"
)
"),"")</f>
        <v/>
      </c>
    </row>
    <row r="621">
      <c r="D621" s="172"/>
      <c r="E621" s="368"/>
      <c r="F621" s="368"/>
      <c r="G621" s="368"/>
      <c r="H621" s="172"/>
      <c r="I621" s="172"/>
      <c r="J621" s="172"/>
      <c r="K621" s="172"/>
      <c r="L621" s="172"/>
      <c r="M621" s="172"/>
      <c r="N621" s="172"/>
      <c r="O621" s="358"/>
      <c r="P621" s="358"/>
      <c r="Q621" s="358"/>
      <c r="R621" s="378"/>
      <c r="S621" s="378"/>
      <c r="T621" s="8"/>
      <c r="U621" s="8"/>
      <c r="V621" s="8"/>
      <c r="W621" s="172"/>
      <c r="X621" s="172"/>
      <c r="Y621" s="8"/>
      <c r="Z621" s="8"/>
      <c r="AA621" s="8"/>
      <c r="AB621" s="172"/>
      <c r="AC621" s="172"/>
      <c r="AD621" s="8"/>
      <c r="AE621" s="8"/>
      <c r="AF621" s="8"/>
      <c r="AG621" s="172"/>
      <c r="AH621" s="172"/>
      <c r="AI621" s="367"/>
      <c r="AJ621" s="362"/>
      <c r="AK621" s="363" t="str">
        <f>IFERROR(__xludf.DUMMYFUNCTION("IFERROR(if(D623&lt;&gt;"""", 
  AVERAGE(
    QUERY(
      IMPORTRANGE(""1-uH1wy6jSm5jYL9je6fN1K5RJ5QMvHntodEHZRtIvTk"", ""All Data!N2:U""),
      ""select Col8 where Col1 = '"" &amp; D623 &amp; ""' and Col8 is not null"",
      0
    )
  )/100,
""""),
  """"
)
"),"")</f>
        <v/>
      </c>
    </row>
    <row r="622">
      <c r="D622" s="172"/>
      <c r="E622" s="368"/>
      <c r="F622" s="368"/>
      <c r="G622" s="368"/>
      <c r="H622" s="172"/>
      <c r="I622" s="172"/>
      <c r="J622" s="172"/>
      <c r="K622" s="172"/>
      <c r="L622" s="172"/>
      <c r="M622" s="172"/>
      <c r="N622" s="172"/>
      <c r="O622" s="358"/>
      <c r="P622" s="358"/>
      <c r="Q622" s="358"/>
      <c r="R622" s="378"/>
      <c r="S622" s="378"/>
      <c r="T622" s="8"/>
      <c r="U622" s="8"/>
      <c r="V622" s="8"/>
      <c r="W622" s="172"/>
      <c r="X622" s="172"/>
      <c r="Y622" s="8"/>
      <c r="Z622" s="8"/>
      <c r="AA622" s="8"/>
      <c r="AB622" s="172"/>
      <c r="AC622" s="172"/>
      <c r="AD622" s="8"/>
      <c r="AE622" s="8"/>
      <c r="AF622" s="8"/>
      <c r="AG622" s="172"/>
      <c r="AH622" s="172"/>
      <c r="AI622" s="367"/>
      <c r="AJ622" s="362"/>
      <c r="AK622" s="363" t="str">
        <f>IFERROR(__xludf.DUMMYFUNCTION("IFERROR(if(D624&lt;&gt;"""", 
  AVERAGE(
    QUERY(
      IMPORTRANGE(""1-uH1wy6jSm5jYL9je6fN1K5RJ5QMvHntodEHZRtIvTk"", ""All Data!N2:U""),
      ""select Col8 where Col1 = '"" &amp; D624 &amp; ""' and Col8 is not null"",
      0
    )
  )/100,
""""),
  """"
)
"),"")</f>
        <v/>
      </c>
    </row>
    <row r="623">
      <c r="D623" s="172"/>
      <c r="E623" s="368"/>
      <c r="F623" s="368"/>
      <c r="G623" s="368"/>
      <c r="H623" s="172"/>
      <c r="I623" s="172"/>
      <c r="J623" s="172"/>
      <c r="K623" s="172"/>
      <c r="L623" s="172"/>
      <c r="M623" s="172"/>
      <c r="N623" s="172"/>
      <c r="O623" s="358"/>
      <c r="P623" s="358"/>
      <c r="Q623" s="358"/>
      <c r="R623" s="378"/>
      <c r="S623" s="378"/>
      <c r="T623" s="8"/>
      <c r="U623" s="8"/>
      <c r="V623" s="8"/>
      <c r="W623" s="172"/>
      <c r="X623" s="172"/>
      <c r="Y623" s="8"/>
      <c r="Z623" s="8"/>
      <c r="AA623" s="8"/>
      <c r="AB623" s="172"/>
      <c r="AC623" s="172"/>
      <c r="AD623" s="8"/>
      <c r="AE623" s="8"/>
      <c r="AF623" s="8"/>
      <c r="AG623" s="172"/>
      <c r="AH623" s="172"/>
      <c r="AI623" s="367"/>
      <c r="AJ623" s="362"/>
      <c r="AK623" s="363" t="str">
        <f>IFERROR(__xludf.DUMMYFUNCTION("IFERROR(if(D625&lt;&gt;"""", 
  AVERAGE(
    QUERY(
      IMPORTRANGE(""1-uH1wy6jSm5jYL9je6fN1K5RJ5QMvHntodEHZRtIvTk"", ""All Data!N2:U""),
      ""select Col8 where Col1 = '"" &amp; D625 &amp; ""' and Col8 is not null"",
      0
    )
  )/100,
""""),
  """"
)
"),"")</f>
        <v/>
      </c>
    </row>
    <row r="624">
      <c r="D624" s="172"/>
      <c r="E624" s="368"/>
      <c r="F624" s="368"/>
      <c r="G624" s="368"/>
      <c r="H624" s="172"/>
      <c r="I624" s="172"/>
      <c r="J624" s="172"/>
      <c r="K624" s="172"/>
      <c r="L624" s="172"/>
      <c r="M624" s="172"/>
      <c r="N624" s="172"/>
      <c r="O624" s="358"/>
      <c r="P624" s="358"/>
      <c r="Q624" s="358"/>
      <c r="R624" s="378"/>
      <c r="S624" s="378"/>
      <c r="T624" s="8"/>
      <c r="U624" s="8"/>
      <c r="V624" s="8"/>
      <c r="W624" s="172"/>
      <c r="X624" s="172"/>
      <c r="Y624" s="8"/>
      <c r="Z624" s="8"/>
      <c r="AA624" s="8"/>
      <c r="AB624" s="172"/>
      <c r="AC624" s="172"/>
      <c r="AD624" s="8"/>
      <c r="AE624" s="8"/>
      <c r="AF624" s="8"/>
      <c r="AG624" s="172"/>
      <c r="AH624" s="172"/>
      <c r="AI624" s="367"/>
      <c r="AJ624" s="362"/>
      <c r="AK624" s="363" t="str">
        <f>IFERROR(__xludf.DUMMYFUNCTION("IFERROR(if(D626&lt;&gt;"""", 
  AVERAGE(
    QUERY(
      IMPORTRANGE(""1-uH1wy6jSm5jYL9je6fN1K5RJ5QMvHntodEHZRtIvTk"", ""All Data!N2:U""),
      ""select Col8 where Col1 = '"" &amp; D626 &amp; ""' and Col8 is not null"",
      0
    )
  )/100,
""""),
  """"
)
"),"")</f>
        <v/>
      </c>
    </row>
    <row r="625">
      <c r="D625" s="172"/>
      <c r="E625" s="368"/>
      <c r="F625" s="368"/>
      <c r="G625" s="368"/>
      <c r="H625" s="172"/>
      <c r="I625" s="172"/>
      <c r="J625" s="172"/>
      <c r="K625" s="172"/>
      <c r="L625" s="172"/>
      <c r="M625" s="172"/>
      <c r="N625" s="172"/>
      <c r="O625" s="358"/>
      <c r="P625" s="358"/>
      <c r="Q625" s="358"/>
      <c r="R625" s="378"/>
      <c r="S625" s="378"/>
      <c r="T625" s="8"/>
      <c r="U625" s="8"/>
      <c r="V625" s="8"/>
      <c r="W625" s="172"/>
      <c r="X625" s="172"/>
      <c r="Y625" s="8"/>
      <c r="Z625" s="8"/>
      <c r="AA625" s="8"/>
      <c r="AB625" s="172"/>
      <c r="AC625" s="172"/>
      <c r="AD625" s="8"/>
      <c r="AE625" s="8"/>
      <c r="AF625" s="8"/>
      <c r="AG625" s="172"/>
      <c r="AH625" s="172"/>
      <c r="AI625" s="367"/>
      <c r="AJ625" s="362"/>
      <c r="AK625" s="363" t="str">
        <f>IFERROR(__xludf.DUMMYFUNCTION("IFERROR(if(D627&lt;&gt;"""", 
  AVERAGE(
    QUERY(
      IMPORTRANGE(""1-uH1wy6jSm5jYL9je6fN1K5RJ5QMvHntodEHZRtIvTk"", ""All Data!N2:U""),
      ""select Col8 where Col1 = '"" &amp; D627 &amp; ""' and Col8 is not null"",
      0
    )
  )/100,
""""),
  """"
)
"),"")</f>
        <v/>
      </c>
    </row>
    <row r="626">
      <c r="D626" s="172"/>
      <c r="E626" s="368"/>
      <c r="F626" s="368"/>
      <c r="G626" s="368"/>
      <c r="H626" s="172"/>
      <c r="I626" s="172"/>
      <c r="J626" s="172"/>
      <c r="K626" s="172"/>
      <c r="L626" s="172"/>
      <c r="M626" s="172"/>
      <c r="N626" s="172"/>
      <c r="O626" s="358"/>
      <c r="P626" s="358"/>
      <c r="Q626" s="358"/>
      <c r="R626" s="378"/>
      <c r="S626" s="378"/>
      <c r="T626" s="8"/>
      <c r="U626" s="8"/>
      <c r="V626" s="8"/>
      <c r="W626" s="172"/>
      <c r="X626" s="172"/>
      <c r="Y626" s="8"/>
      <c r="Z626" s="8"/>
      <c r="AA626" s="8"/>
      <c r="AB626" s="172"/>
      <c r="AC626" s="172"/>
      <c r="AD626" s="8"/>
      <c r="AE626" s="8"/>
      <c r="AF626" s="8"/>
      <c r="AG626" s="172"/>
      <c r="AH626" s="172"/>
      <c r="AI626" s="367"/>
      <c r="AJ626" s="362"/>
      <c r="AK626" s="363" t="str">
        <f>IFERROR(__xludf.DUMMYFUNCTION("IFERROR(if(D628&lt;&gt;"""", 
  AVERAGE(
    QUERY(
      IMPORTRANGE(""1-uH1wy6jSm5jYL9je6fN1K5RJ5QMvHntodEHZRtIvTk"", ""All Data!N2:U""),
      ""select Col8 where Col1 = '"" &amp; D628 &amp; ""' and Col8 is not null"",
      0
    )
  )/100,
""""),
  """"
)
"),"")</f>
        <v/>
      </c>
    </row>
    <row r="627">
      <c r="D627" s="172"/>
      <c r="E627" s="368"/>
      <c r="F627" s="368"/>
      <c r="G627" s="368"/>
      <c r="H627" s="172"/>
      <c r="I627" s="172"/>
      <c r="J627" s="172"/>
      <c r="K627" s="172"/>
      <c r="L627" s="172"/>
      <c r="M627" s="172"/>
      <c r="N627" s="172"/>
      <c r="O627" s="358"/>
      <c r="P627" s="358"/>
      <c r="Q627" s="358"/>
      <c r="R627" s="378"/>
      <c r="S627" s="378"/>
      <c r="T627" s="8"/>
      <c r="U627" s="8"/>
      <c r="V627" s="8"/>
      <c r="W627" s="172"/>
      <c r="X627" s="172"/>
      <c r="Y627" s="8"/>
      <c r="Z627" s="8"/>
      <c r="AA627" s="8"/>
      <c r="AB627" s="172"/>
      <c r="AC627" s="172"/>
      <c r="AD627" s="8"/>
      <c r="AE627" s="8"/>
      <c r="AF627" s="8"/>
      <c r="AG627" s="172"/>
      <c r="AH627" s="172"/>
      <c r="AI627" s="367"/>
      <c r="AJ627" s="362"/>
      <c r="AK627" s="363" t="str">
        <f>IFERROR(__xludf.DUMMYFUNCTION("IFERROR(if(D629&lt;&gt;"""", 
  AVERAGE(
    QUERY(
      IMPORTRANGE(""1-uH1wy6jSm5jYL9je6fN1K5RJ5QMvHntodEHZRtIvTk"", ""All Data!N2:U""),
      ""select Col8 where Col1 = '"" &amp; D629 &amp; ""' and Col8 is not null"",
      0
    )
  )/100,
""""),
  """"
)
"),"")</f>
        <v/>
      </c>
    </row>
    <row r="628">
      <c r="D628" s="172"/>
      <c r="E628" s="368"/>
      <c r="F628" s="368"/>
      <c r="G628" s="368"/>
      <c r="H628" s="172"/>
      <c r="I628" s="172"/>
      <c r="J628" s="172"/>
      <c r="K628" s="172"/>
      <c r="L628" s="172"/>
      <c r="M628" s="172"/>
      <c r="N628" s="172"/>
      <c r="O628" s="358"/>
      <c r="P628" s="358"/>
      <c r="Q628" s="358"/>
      <c r="R628" s="378"/>
      <c r="S628" s="378"/>
      <c r="T628" s="8"/>
      <c r="U628" s="8"/>
      <c r="V628" s="8"/>
      <c r="W628" s="172"/>
      <c r="X628" s="172"/>
      <c r="Y628" s="8"/>
      <c r="Z628" s="8"/>
      <c r="AA628" s="8"/>
      <c r="AB628" s="172"/>
      <c r="AC628" s="172"/>
      <c r="AD628" s="8"/>
      <c r="AE628" s="8"/>
      <c r="AF628" s="8"/>
      <c r="AG628" s="172"/>
      <c r="AH628" s="172"/>
      <c r="AI628" s="367"/>
      <c r="AJ628" s="362"/>
      <c r="AK628" s="363" t="str">
        <f>IFERROR(__xludf.DUMMYFUNCTION("IFERROR(if(D630&lt;&gt;"""", 
  AVERAGE(
    QUERY(
      IMPORTRANGE(""1-uH1wy6jSm5jYL9je6fN1K5RJ5QMvHntodEHZRtIvTk"", ""All Data!N2:U""),
      ""select Col8 where Col1 = '"" &amp; D630 &amp; ""' and Col8 is not null"",
      0
    )
  )/100,
""""),
  """"
)
"),"")</f>
        <v/>
      </c>
    </row>
    <row r="629">
      <c r="D629" s="172"/>
      <c r="E629" s="368"/>
      <c r="F629" s="368"/>
      <c r="G629" s="368"/>
      <c r="H629" s="172"/>
      <c r="I629" s="172"/>
      <c r="J629" s="172"/>
      <c r="K629" s="172"/>
      <c r="L629" s="172"/>
      <c r="M629" s="172"/>
      <c r="N629" s="172"/>
      <c r="O629" s="358"/>
      <c r="P629" s="358"/>
      <c r="Q629" s="358"/>
      <c r="R629" s="378"/>
      <c r="S629" s="378"/>
      <c r="T629" s="8"/>
      <c r="U629" s="8"/>
      <c r="V629" s="8"/>
      <c r="W629" s="172"/>
      <c r="X629" s="172"/>
      <c r="Y629" s="8"/>
      <c r="Z629" s="8"/>
      <c r="AA629" s="8"/>
      <c r="AB629" s="172"/>
      <c r="AC629" s="172"/>
      <c r="AD629" s="8"/>
      <c r="AE629" s="8"/>
      <c r="AF629" s="8"/>
      <c r="AG629" s="172"/>
      <c r="AH629" s="172"/>
      <c r="AI629" s="367"/>
      <c r="AJ629" s="362"/>
      <c r="AK629" s="363" t="str">
        <f>IFERROR(__xludf.DUMMYFUNCTION("IFERROR(if(D631&lt;&gt;"""", 
  AVERAGE(
    QUERY(
      IMPORTRANGE(""1-uH1wy6jSm5jYL9je6fN1K5RJ5QMvHntodEHZRtIvTk"", ""All Data!N2:U""),
      ""select Col8 where Col1 = '"" &amp; D631 &amp; ""' and Col8 is not null"",
      0
    )
  )/100,
""""),
  """"
)
"),"")</f>
        <v/>
      </c>
    </row>
    <row r="630">
      <c r="D630" s="172"/>
      <c r="E630" s="368"/>
      <c r="F630" s="368"/>
      <c r="G630" s="368"/>
      <c r="H630" s="172"/>
      <c r="I630" s="172"/>
      <c r="J630" s="172"/>
      <c r="K630" s="172"/>
      <c r="L630" s="172"/>
      <c r="M630" s="172"/>
      <c r="N630" s="172"/>
      <c r="O630" s="358"/>
      <c r="P630" s="358"/>
      <c r="Q630" s="358"/>
      <c r="R630" s="378"/>
      <c r="S630" s="378"/>
      <c r="T630" s="8"/>
      <c r="U630" s="8"/>
      <c r="V630" s="8"/>
      <c r="W630" s="172"/>
      <c r="X630" s="172"/>
      <c r="Y630" s="8"/>
      <c r="Z630" s="8"/>
      <c r="AA630" s="8"/>
      <c r="AB630" s="172"/>
      <c r="AC630" s="172"/>
      <c r="AD630" s="8"/>
      <c r="AE630" s="8"/>
      <c r="AF630" s="8"/>
      <c r="AG630" s="172"/>
      <c r="AH630" s="172"/>
      <c r="AI630" s="367"/>
      <c r="AJ630" s="362"/>
      <c r="AK630" s="363" t="str">
        <f>IFERROR(__xludf.DUMMYFUNCTION("IFERROR(if(D632&lt;&gt;"""", 
  AVERAGE(
    QUERY(
      IMPORTRANGE(""1-uH1wy6jSm5jYL9je6fN1K5RJ5QMvHntodEHZRtIvTk"", ""All Data!N2:U""),
      ""select Col8 where Col1 = '"" &amp; D632 &amp; ""' and Col8 is not null"",
      0
    )
  )/100,
""""),
  """"
)
"),"")</f>
        <v/>
      </c>
    </row>
    <row r="631">
      <c r="D631" s="172"/>
      <c r="E631" s="368"/>
      <c r="F631" s="368"/>
      <c r="G631" s="368"/>
      <c r="H631" s="172"/>
      <c r="I631" s="172"/>
      <c r="J631" s="172"/>
      <c r="K631" s="172"/>
      <c r="L631" s="172"/>
      <c r="M631" s="172"/>
      <c r="N631" s="172"/>
      <c r="O631" s="358"/>
      <c r="P631" s="358"/>
      <c r="Q631" s="358"/>
      <c r="R631" s="378"/>
      <c r="S631" s="378"/>
      <c r="T631" s="8"/>
      <c r="U631" s="8"/>
      <c r="V631" s="8"/>
      <c r="W631" s="172"/>
      <c r="X631" s="172"/>
      <c r="Y631" s="8"/>
      <c r="Z631" s="8"/>
      <c r="AA631" s="8"/>
      <c r="AB631" s="172"/>
      <c r="AC631" s="172"/>
      <c r="AD631" s="8"/>
      <c r="AE631" s="8"/>
      <c r="AF631" s="8"/>
      <c r="AG631" s="172"/>
      <c r="AH631" s="172"/>
      <c r="AI631" s="367"/>
      <c r="AJ631" s="362"/>
      <c r="AK631" s="363" t="str">
        <f>IFERROR(__xludf.DUMMYFUNCTION("IFERROR(if(D633&lt;&gt;"""", 
  AVERAGE(
    QUERY(
      IMPORTRANGE(""1-uH1wy6jSm5jYL9je6fN1K5RJ5QMvHntodEHZRtIvTk"", ""All Data!N2:U""),
      ""select Col8 where Col1 = '"" &amp; D633 &amp; ""' and Col8 is not null"",
      0
    )
  )/100,
""""),
  """"
)
"),"")</f>
        <v/>
      </c>
    </row>
    <row r="632">
      <c r="D632" s="172"/>
      <c r="E632" s="368"/>
      <c r="F632" s="368"/>
      <c r="G632" s="368"/>
      <c r="H632" s="172"/>
      <c r="I632" s="172"/>
      <c r="J632" s="172"/>
      <c r="K632" s="172"/>
      <c r="L632" s="172"/>
      <c r="M632" s="172"/>
      <c r="N632" s="172"/>
      <c r="O632" s="358"/>
      <c r="P632" s="358"/>
      <c r="Q632" s="358"/>
      <c r="R632" s="378"/>
      <c r="S632" s="378"/>
      <c r="T632" s="8"/>
      <c r="U632" s="8"/>
      <c r="V632" s="8"/>
      <c r="W632" s="172"/>
      <c r="X632" s="172"/>
      <c r="Y632" s="8"/>
      <c r="Z632" s="8"/>
      <c r="AA632" s="8"/>
      <c r="AB632" s="172"/>
      <c r="AC632" s="172"/>
      <c r="AD632" s="8"/>
      <c r="AE632" s="8"/>
      <c r="AF632" s="8"/>
      <c r="AG632" s="172"/>
      <c r="AH632" s="172"/>
      <c r="AI632" s="367"/>
      <c r="AJ632" s="362"/>
      <c r="AK632" s="363" t="str">
        <f>IFERROR(__xludf.DUMMYFUNCTION("IFERROR(if(D634&lt;&gt;"""", 
  AVERAGE(
    QUERY(
      IMPORTRANGE(""1-uH1wy6jSm5jYL9je6fN1K5RJ5QMvHntodEHZRtIvTk"", ""All Data!N2:U""),
      ""select Col8 where Col1 = '"" &amp; D634 &amp; ""' and Col8 is not null"",
      0
    )
  )/100,
""""),
  """"
)
"),"")</f>
        <v/>
      </c>
    </row>
    <row r="633">
      <c r="D633" s="172"/>
      <c r="E633" s="368"/>
      <c r="F633" s="368"/>
      <c r="G633" s="368"/>
      <c r="H633" s="172"/>
      <c r="I633" s="172"/>
      <c r="J633" s="172"/>
      <c r="K633" s="172"/>
      <c r="L633" s="172"/>
      <c r="M633" s="172"/>
      <c r="N633" s="172"/>
      <c r="O633" s="358"/>
      <c r="P633" s="358"/>
      <c r="Q633" s="358"/>
      <c r="R633" s="378"/>
      <c r="S633" s="378"/>
      <c r="T633" s="8"/>
      <c r="U633" s="8"/>
      <c r="V633" s="8"/>
      <c r="W633" s="172"/>
      <c r="X633" s="172"/>
      <c r="Y633" s="8"/>
      <c r="Z633" s="8"/>
      <c r="AA633" s="8"/>
      <c r="AB633" s="172"/>
      <c r="AC633" s="172"/>
      <c r="AD633" s="8"/>
      <c r="AE633" s="8"/>
      <c r="AF633" s="8"/>
      <c r="AG633" s="172"/>
      <c r="AH633" s="172"/>
      <c r="AI633" s="367"/>
      <c r="AJ633" s="362"/>
      <c r="AK633" s="363" t="str">
        <f>IFERROR(__xludf.DUMMYFUNCTION("IFERROR(if(D635&lt;&gt;"""", 
  AVERAGE(
    QUERY(
      IMPORTRANGE(""1-uH1wy6jSm5jYL9je6fN1K5RJ5QMvHntodEHZRtIvTk"", ""All Data!N2:U""),
      ""select Col8 where Col1 = '"" &amp; D635 &amp; ""' and Col8 is not null"",
      0
    )
  )/100,
""""),
  """"
)
"),"")</f>
        <v/>
      </c>
    </row>
    <row r="634">
      <c r="D634" s="172"/>
      <c r="E634" s="368"/>
      <c r="F634" s="368"/>
      <c r="G634" s="368"/>
      <c r="H634" s="172"/>
      <c r="I634" s="172"/>
      <c r="J634" s="172"/>
      <c r="K634" s="172"/>
      <c r="L634" s="172"/>
      <c r="M634" s="172"/>
      <c r="N634" s="172"/>
      <c r="O634" s="358"/>
      <c r="P634" s="358"/>
      <c r="Q634" s="358"/>
      <c r="R634" s="378"/>
      <c r="S634" s="378"/>
      <c r="T634" s="8"/>
      <c r="U634" s="8"/>
      <c r="V634" s="8"/>
      <c r="W634" s="172"/>
      <c r="X634" s="172"/>
      <c r="Y634" s="8"/>
      <c r="Z634" s="8"/>
      <c r="AA634" s="8"/>
      <c r="AB634" s="172"/>
      <c r="AC634" s="172"/>
      <c r="AD634" s="8"/>
      <c r="AE634" s="8"/>
      <c r="AF634" s="8"/>
      <c r="AG634" s="172"/>
      <c r="AH634" s="172"/>
      <c r="AI634" s="367"/>
      <c r="AJ634" s="362"/>
      <c r="AK634" s="363" t="str">
        <f>IFERROR(__xludf.DUMMYFUNCTION("IFERROR(if(D636&lt;&gt;"""", 
  AVERAGE(
    QUERY(
      IMPORTRANGE(""1-uH1wy6jSm5jYL9je6fN1K5RJ5QMvHntodEHZRtIvTk"", ""All Data!N2:U""),
      ""select Col8 where Col1 = '"" &amp; D636 &amp; ""' and Col8 is not null"",
      0
    )
  )/100,
""""),
  """"
)
"),"")</f>
        <v/>
      </c>
    </row>
    <row r="635">
      <c r="D635" s="172"/>
      <c r="E635" s="368"/>
      <c r="F635" s="368"/>
      <c r="G635" s="368"/>
      <c r="H635" s="172"/>
      <c r="I635" s="172"/>
      <c r="J635" s="172"/>
      <c r="K635" s="172"/>
      <c r="L635" s="172"/>
      <c r="M635" s="172"/>
      <c r="N635" s="172"/>
      <c r="O635" s="358"/>
      <c r="P635" s="358"/>
      <c r="Q635" s="358"/>
      <c r="R635" s="378"/>
      <c r="S635" s="378"/>
      <c r="T635" s="8"/>
      <c r="U635" s="8"/>
      <c r="V635" s="8"/>
      <c r="W635" s="172"/>
      <c r="X635" s="172"/>
      <c r="Y635" s="8"/>
      <c r="Z635" s="8"/>
      <c r="AA635" s="8"/>
      <c r="AB635" s="172"/>
      <c r="AC635" s="172"/>
      <c r="AD635" s="8"/>
      <c r="AE635" s="8"/>
      <c r="AF635" s="8"/>
      <c r="AG635" s="172"/>
      <c r="AH635" s="172"/>
      <c r="AI635" s="367"/>
      <c r="AJ635" s="362"/>
      <c r="AK635" s="363" t="str">
        <f>IFERROR(__xludf.DUMMYFUNCTION("IFERROR(if(D637&lt;&gt;"""", 
  AVERAGE(
    QUERY(
      IMPORTRANGE(""1-uH1wy6jSm5jYL9je6fN1K5RJ5QMvHntodEHZRtIvTk"", ""All Data!N2:U""),
      ""select Col8 where Col1 = '"" &amp; D637 &amp; ""' and Col8 is not null"",
      0
    )
  )/100,
""""),
  """"
)
"),"")</f>
        <v/>
      </c>
    </row>
    <row r="636">
      <c r="D636" s="172"/>
      <c r="E636" s="368"/>
      <c r="F636" s="368"/>
      <c r="G636" s="368"/>
      <c r="H636" s="172"/>
      <c r="I636" s="172"/>
      <c r="J636" s="172"/>
      <c r="K636" s="172"/>
      <c r="L636" s="172"/>
      <c r="M636" s="172"/>
      <c r="N636" s="172"/>
      <c r="O636" s="358"/>
      <c r="P636" s="358"/>
      <c r="Q636" s="358"/>
      <c r="R636" s="378"/>
      <c r="S636" s="378"/>
      <c r="T636" s="8"/>
      <c r="U636" s="8"/>
      <c r="V636" s="8"/>
      <c r="W636" s="172"/>
      <c r="X636" s="172"/>
      <c r="Y636" s="8"/>
      <c r="Z636" s="8"/>
      <c r="AA636" s="8"/>
      <c r="AB636" s="172"/>
      <c r="AC636" s="172"/>
      <c r="AD636" s="8"/>
      <c r="AE636" s="8"/>
      <c r="AF636" s="8"/>
      <c r="AG636" s="172"/>
      <c r="AH636" s="172"/>
      <c r="AI636" s="367"/>
      <c r="AJ636" s="362"/>
      <c r="AK636" s="363" t="str">
        <f>IFERROR(__xludf.DUMMYFUNCTION("IFERROR(if(D638&lt;&gt;"""", 
  AVERAGE(
    QUERY(
      IMPORTRANGE(""1-uH1wy6jSm5jYL9je6fN1K5RJ5QMvHntodEHZRtIvTk"", ""All Data!N2:U""),
      ""select Col8 where Col1 = '"" &amp; D638 &amp; ""' and Col8 is not null"",
      0
    )
  )/100,
""""),
  """"
)
"),"")</f>
        <v/>
      </c>
    </row>
    <row r="637">
      <c r="D637" s="172"/>
      <c r="E637" s="368"/>
      <c r="F637" s="368"/>
      <c r="G637" s="368"/>
      <c r="H637" s="172"/>
      <c r="I637" s="172"/>
      <c r="J637" s="172"/>
      <c r="K637" s="172"/>
      <c r="L637" s="172"/>
      <c r="M637" s="172"/>
      <c r="N637" s="172"/>
      <c r="O637" s="358"/>
      <c r="P637" s="358"/>
      <c r="Q637" s="358"/>
      <c r="R637" s="378"/>
      <c r="S637" s="378"/>
      <c r="T637" s="8"/>
      <c r="U637" s="8"/>
      <c r="V637" s="8"/>
      <c r="W637" s="172"/>
      <c r="X637" s="172"/>
      <c r="Y637" s="8"/>
      <c r="Z637" s="8"/>
      <c r="AA637" s="8"/>
      <c r="AB637" s="172"/>
      <c r="AC637" s="172"/>
      <c r="AD637" s="8"/>
      <c r="AE637" s="8"/>
      <c r="AF637" s="8"/>
      <c r="AG637" s="172"/>
      <c r="AH637" s="172"/>
      <c r="AI637" s="367"/>
      <c r="AJ637" s="362"/>
      <c r="AK637" s="363" t="str">
        <f>IFERROR(__xludf.DUMMYFUNCTION("IFERROR(if(D639&lt;&gt;"""", 
  AVERAGE(
    QUERY(
      IMPORTRANGE(""1-uH1wy6jSm5jYL9je6fN1K5RJ5QMvHntodEHZRtIvTk"", ""All Data!N2:U""),
      ""select Col8 where Col1 = '"" &amp; D639 &amp; ""' and Col8 is not null"",
      0
    )
  )/100,
""""),
  """"
)
"),"")</f>
        <v/>
      </c>
    </row>
    <row r="638">
      <c r="D638" s="172"/>
      <c r="E638" s="368"/>
      <c r="F638" s="368"/>
      <c r="G638" s="368"/>
      <c r="H638" s="172"/>
      <c r="I638" s="172"/>
      <c r="J638" s="172"/>
      <c r="K638" s="172"/>
      <c r="L638" s="172"/>
      <c r="M638" s="172"/>
      <c r="N638" s="172"/>
      <c r="O638" s="358"/>
      <c r="P638" s="358"/>
      <c r="Q638" s="358"/>
      <c r="R638" s="378"/>
      <c r="S638" s="378"/>
      <c r="T638" s="8"/>
      <c r="U638" s="8"/>
      <c r="V638" s="8"/>
      <c r="W638" s="172"/>
      <c r="X638" s="172"/>
      <c r="Y638" s="8"/>
      <c r="Z638" s="8"/>
      <c r="AA638" s="8"/>
      <c r="AB638" s="172"/>
      <c r="AC638" s="172"/>
      <c r="AD638" s="8"/>
      <c r="AE638" s="8"/>
      <c r="AF638" s="8"/>
      <c r="AG638" s="172"/>
      <c r="AH638" s="172"/>
      <c r="AI638" s="367"/>
      <c r="AJ638" s="362"/>
      <c r="AK638" s="363" t="str">
        <f>IFERROR(__xludf.DUMMYFUNCTION("IFERROR(if(D640&lt;&gt;"""", 
  AVERAGE(
    QUERY(
      IMPORTRANGE(""1-uH1wy6jSm5jYL9je6fN1K5RJ5QMvHntodEHZRtIvTk"", ""All Data!N2:U""),
      ""select Col8 where Col1 = '"" &amp; D640 &amp; ""' and Col8 is not null"",
      0
    )
  )/100,
""""),
  """"
)
"),"")</f>
        <v/>
      </c>
    </row>
    <row r="639">
      <c r="D639" s="172"/>
      <c r="E639" s="368"/>
      <c r="F639" s="368"/>
      <c r="G639" s="368"/>
      <c r="H639" s="172"/>
      <c r="I639" s="172"/>
      <c r="J639" s="172"/>
      <c r="K639" s="172"/>
      <c r="L639" s="172"/>
      <c r="M639" s="172"/>
      <c r="N639" s="172"/>
      <c r="O639" s="358"/>
      <c r="P639" s="358"/>
      <c r="Q639" s="358"/>
      <c r="R639" s="378"/>
      <c r="S639" s="378"/>
      <c r="T639" s="8"/>
      <c r="U639" s="8"/>
      <c r="V639" s="8"/>
      <c r="W639" s="172"/>
      <c r="X639" s="172"/>
      <c r="Y639" s="8"/>
      <c r="Z639" s="8"/>
      <c r="AA639" s="8"/>
      <c r="AB639" s="172"/>
      <c r="AC639" s="172"/>
      <c r="AD639" s="8"/>
      <c r="AE639" s="8"/>
      <c r="AF639" s="8"/>
      <c r="AG639" s="172"/>
      <c r="AH639" s="172"/>
      <c r="AI639" s="367"/>
      <c r="AJ639" s="362"/>
      <c r="AK639" s="363" t="str">
        <f>IFERROR(__xludf.DUMMYFUNCTION("IFERROR(if(D641&lt;&gt;"""", 
  AVERAGE(
    QUERY(
      IMPORTRANGE(""1-uH1wy6jSm5jYL9je6fN1K5RJ5QMvHntodEHZRtIvTk"", ""All Data!N2:U""),
      ""select Col8 where Col1 = '"" &amp; D641 &amp; ""' and Col8 is not null"",
      0
    )
  )/100,
""""),
  """"
)
"),"")</f>
        <v/>
      </c>
    </row>
    <row r="640">
      <c r="D640" s="172"/>
      <c r="E640" s="368"/>
      <c r="F640" s="368"/>
      <c r="G640" s="368"/>
      <c r="H640" s="172"/>
      <c r="I640" s="172"/>
      <c r="J640" s="172"/>
      <c r="K640" s="172"/>
      <c r="L640" s="172"/>
      <c r="M640" s="172"/>
      <c r="N640" s="172"/>
      <c r="O640" s="358"/>
      <c r="P640" s="358"/>
      <c r="Q640" s="358"/>
      <c r="R640" s="378"/>
      <c r="S640" s="378"/>
      <c r="T640" s="8"/>
      <c r="U640" s="8"/>
      <c r="V640" s="8"/>
      <c r="W640" s="172"/>
      <c r="X640" s="172"/>
      <c r="Y640" s="8"/>
      <c r="Z640" s="8"/>
      <c r="AA640" s="8"/>
      <c r="AB640" s="172"/>
      <c r="AC640" s="172"/>
      <c r="AD640" s="8"/>
      <c r="AE640" s="8"/>
      <c r="AF640" s="8"/>
      <c r="AG640" s="172"/>
      <c r="AH640" s="172"/>
      <c r="AI640" s="367"/>
      <c r="AJ640" s="362"/>
      <c r="AK640" s="363" t="str">
        <f>IFERROR(__xludf.DUMMYFUNCTION("IFERROR(if(D642&lt;&gt;"""", 
  AVERAGE(
    QUERY(
      IMPORTRANGE(""1-uH1wy6jSm5jYL9je6fN1K5RJ5QMvHntodEHZRtIvTk"", ""All Data!N2:U""),
      ""select Col8 where Col1 = '"" &amp; D642 &amp; ""' and Col8 is not null"",
      0
    )
  )/100,
""""),
  """"
)
"),"")</f>
        <v/>
      </c>
    </row>
    <row r="641">
      <c r="D641" s="172"/>
      <c r="E641" s="368"/>
      <c r="F641" s="368"/>
      <c r="G641" s="368"/>
      <c r="H641" s="172"/>
      <c r="I641" s="172"/>
      <c r="J641" s="172"/>
      <c r="K641" s="172"/>
      <c r="L641" s="172"/>
      <c r="M641" s="172"/>
      <c r="N641" s="172"/>
      <c r="O641" s="358"/>
      <c r="P641" s="358"/>
      <c r="Q641" s="358"/>
      <c r="R641" s="378"/>
      <c r="S641" s="378"/>
      <c r="T641" s="8"/>
      <c r="U641" s="8"/>
      <c r="V641" s="8"/>
      <c r="W641" s="172"/>
      <c r="X641" s="172"/>
      <c r="Y641" s="8"/>
      <c r="Z641" s="8"/>
      <c r="AA641" s="8"/>
      <c r="AB641" s="172"/>
      <c r="AC641" s="172"/>
      <c r="AD641" s="8"/>
      <c r="AE641" s="8"/>
      <c r="AF641" s="8"/>
      <c r="AG641" s="172"/>
      <c r="AH641" s="172"/>
      <c r="AI641" s="367"/>
      <c r="AJ641" s="362"/>
      <c r="AK641" s="363" t="str">
        <f>IFERROR(__xludf.DUMMYFUNCTION("IFERROR(if(D643&lt;&gt;"""", 
  AVERAGE(
    QUERY(
      IMPORTRANGE(""1-uH1wy6jSm5jYL9je6fN1K5RJ5QMvHntodEHZRtIvTk"", ""All Data!N2:U""),
      ""select Col8 where Col1 = '"" &amp; D643 &amp; ""' and Col8 is not null"",
      0
    )
  )/100,
""""),
  """"
)
"),"")</f>
        <v/>
      </c>
    </row>
    <row r="642">
      <c r="D642" s="172"/>
      <c r="E642" s="368"/>
      <c r="F642" s="368"/>
      <c r="G642" s="368"/>
      <c r="H642" s="172"/>
      <c r="I642" s="172"/>
      <c r="J642" s="172"/>
      <c r="K642" s="172"/>
      <c r="L642" s="172"/>
      <c r="M642" s="172"/>
      <c r="N642" s="172"/>
      <c r="O642" s="358"/>
      <c r="P642" s="358"/>
      <c r="Q642" s="358"/>
      <c r="R642" s="378"/>
      <c r="S642" s="378"/>
      <c r="T642" s="8"/>
      <c r="U642" s="8"/>
      <c r="V642" s="8"/>
      <c r="W642" s="172"/>
      <c r="X642" s="172"/>
      <c r="Y642" s="8"/>
      <c r="Z642" s="8"/>
      <c r="AA642" s="8"/>
      <c r="AB642" s="172"/>
      <c r="AC642" s="172"/>
      <c r="AD642" s="8"/>
      <c r="AE642" s="8"/>
      <c r="AF642" s="8"/>
      <c r="AG642" s="172"/>
      <c r="AH642" s="172"/>
      <c r="AI642" s="367"/>
      <c r="AJ642" s="362"/>
      <c r="AK642" s="363" t="str">
        <f>IFERROR(__xludf.DUMMYFUNCTION("IFERROR(if(D644&lt;&gt;"""", 
  AVERAGE(
    QUERY(
      IMPORTRANGE(""1-uH1wy6jSm5jYL9je6fN1K5RJ5QMvHntodEHZRtIvTk"", ""All Data!N2:U""),
      ""select Col8 where Col1 = '"" &amp; D644 &amp; ""' and Col8 is not null"",
      0
    )
  )/100,
""""),
  """"
)
"),"")</f>
        <v/>
      </c>
    </row>
    <row r="643">
      <c r="D643" s="172"/>
      <c r="E643" s="368"/>
      <c r="F643" s="368"/>
      <c r="G643" s="368"/>
      <c r="H643" s="172"/>
      <c r="I643" s="172"/>
      <c r="J643" s="172"/>
      <c r="K643" s="172"/>
      <c r="L643" s="172"/>
      <c r="M643" s="172"/>
      <c r="N643" s="172"/>
      <c r="O643" s="358"/>
      <c r="P643" s="358"/>
      <c r="Q643" s="358"/>
      <c r="R643" s="378"/>
      <c r="S643" s="378"/>
      <c r="T643" s="8"/>
      <c r="U643" s="8"/>
      <c r="V643" s="8"/>
      <c r="W643" s="172"/>
      <c r="X643" s="172"/>
      <c r="Y643" s="8"/>
      <c r="Z643" s="8"/>
      <c r="AA643" s="8"/>
      <c r="AB643" s="172"/>
      <c r="AC643" s="172"/>
      <c r="AD643" s="8"/>
      <c r="AE643" s="8"/>
      <c r="AF643" s="8"/>
      <c r="AG643" s="172"/>
      <c r="AH643" s="172"/>
      <c r="AI643" s="367"/>
      <c r="AJ643" s="362"/>
      <c r="AK643" s="363" t="str">
        <f>IFERROR(__xludf.DUMMYFUNCTION("IFERROR(if(D645&lt;&gt;"""", 
  AVERAGE(
    QUERY(
      IMPORTRANGE(""1-uH1wy6jSm5jYL9je6fN1K5RJ5QMvHntodEHZRtIvTk"", ""All Data!N2:U""),
      ""select Col8 where Col1 = '"" &amp; D645 &amp; ""' and Col8 is not null"",
      0
    )
  )/100,
""""),
  """"
)
"),"")</f>
        <v/>
      </c>
    </row>
    <row r="644">
      <c r="D644" s="172"/>
      <c r="E644" s="368"/>
      <c r="F644" s="368"/>
      <c r="G644" s="368"/>
      <c r="H644" s="172"/>
      <c r="I644" s="172"/>
      <c r="J644" s="172"/>
      <c r="K644" s="172"/>
      <c r="L644" s="172"/>
      <c r="M644" s="172"/>
      <c r="N644" s="172"/>
      <c r="O644" s="358"/>
      <c r="P644" s="358"/>
      <c r="Q644" s="358"/>
      <c r="R644" s="378"/>
      <c r="S644" s="378"/>
      <c r="T644" s="8"/>
      <c r="U644" s="8"/>
      <c r="V644" s="8"/>
      <c r="W644" s="172"/>
      <c r="X644" s="172"/>
      <c r="Y644" s="8"/>
      <c r="Z644" s="8"/>
      <c r="AA644" s="8"/>
      <c r="AB644" s="172"/>
      <c r="AC644" s="172"/>
      <c r="AD644" s="8"/>
      <c r="AE644" s="8"/>
      <c r="AF644" s="8"/>
      <c r="AG644" s="172"/>
      <c r="AH644" s="172"/>
      <c r="AI644" s="367"/>
      <c r="AJ644" s="362"/>
      <c r="AK644" s="363" t="str">
        <f>IFERROR(__xludf.DUMMYFUNCTION("IFERROR(if(D646&lt;&gt;"""", 
  AVERAGE(
    QUERY(
      IMPORTRANGE(""1-uH1wy6jSm5jYL9je6fN1K5RJ5QMvHntodEHZRtIvTk"", ""All Data!N2:U""),
      ""select Col8 where Col1 = '"" &amp; D646 &amp; ""' and Col8 is not null"",
      0
    )
  )/100,
""""),
  """"
)
"),"")</f>
        <v/>
      </c>
    </row>
    <row r="645">
      <c r="D645" s="172"/>
      <c r="E645" s="368"/>
      <c r="F645" s="368"/>
      <c r="G645" s="368"/>
      <c r="H645" s="172"/>
      <c r="I645" s="172"/>
      <c r="J645" s="172"/>
      <c r="K645" s="172"/>
      <c r="L645" s="172"/>
      <c r="M645" s="172"/>
      <c r="N645" s="172"/>
      <c r="O645" s="358"/>
      <c r="P645" s="358"/>
      <c r="Q645" s="358"/>
      <c r="R645" s="378"/>
      <c r="S645" s="378"/>
      <c r="T645" s="8"/>
      <c r="U645" s="8"/>
      <c r="V645" s="8"/>
      <c r="W645" s="172"/>
      <c r="X645" s="172"/>
      <c r="Y645" s="8"/>
      <c r="Z645" s="8"/>
      <c r="AA645" s="8"/>
      <c r="AB645" s="172"/>
      <c r="AC645" s="172"/>
      <c r="AD645" s="8"/>
      <c r="AE645" s="8"/>
      <c r="AF645" s="8"/>
      <c r="AG645" s="172"/>
      <c r="AH645" s="172"/>
      <c r="AI645" s="367"/>
      <c r="AJ645" s="362"/>
      <c r="AK645" s="363" t="str">
        <f>IFERROR(__xludf.DUMMYFUNCTION("IFERROR(if(D647&lt;&gt;"""", 
  AVERAGE(
    QUERY(
      IMPORTRANGE(""1-uH1wy6jSm5jYL9je6fN1K5RJ5QMvHntodEHZRtIvTk"", ""All Data!N2:U""),
      ""select Col8 where Col1 = '"" &amp; D647 &amp; ""' and Col8 is not null"",
      0
    )
  )/100,
""""),
  """"
)
"),"")</f>
        <v/>
      </c>
    </row>
    <row r="646">
      <c r="D646" s="172"/>
      <c r="E646" s="368"/>
      <c r="F646" s="368"/>
      <c r="G646" s="368"/>
      <c r="H646" s="172"/>
      <c r="I646" s="172"/>
      <c r="J646" s="172"/>
      <c r="K646" s="172"/>
      <c r="L646" s="172"/>
      <c r="M646" s="172"/>
      <c r="N646" s="172"/>
      <c r="O646" s="358"/>
      <c r="P646" s="358"/>
      <c r="Q646" s="358"/>
      <c r="R646" s="378"/>
      <c r="S646" s="378"/>
      <c r="T646" s="8"/>
      <c r="U646" s="8"/>
      <c r="V646" s="8"/>
      <c r="W646" s="172"/>
      <c r="X646" s="172"/>
      <c r="Y646" s="8"/>
      <c r="Z646" s="8"/>
      <c r="AA646" s="8"/>
      <c r="AB646" s="172"/>
      <c r="AC646" s="172"/>
      <c r="AD646" s="8"/>
      <c r="AE646" s="8"/>
      <c r="AF646" s="8"/>
      <c r="AG646" s="172"/>
      <c r="AH646" s="172"/>
      <c r="AI646" s="367"/>
      <c r="AJ646" s="362"/>
      <c r="AK646" s="363" t="str">
        <f>IFERROR(__xludf.DUMMYFUNCTION("IFERROR(if(D648&lt;&gt;"""", 
  AVERAGE(
    QUERY(
      IMPORTRANGE(""1-uH1wy6jSm5jYL9je6fN1K5RJ5QMvHntodEHZRtIvTk"", ""All Data!N2:U""),
      ""select Col8 where Col1 = '"" &amp; D648 &amp; ""' and Col8 is not null"",
      0
    )
  )/100,
""""),
  """"
)
"),"")</f>
        <v/>
      </c>
    </row>
    <row r="647">
      <c r="D647" s="172"/>
      <c r="E647" s="368"/>
      <c r="F647" s="368"/>
      <c r="G647" s="368"/>
      <c r="H647" s="172"/>
      <c r="I647" s="172"/>
      <c r="J647" s="172"/>
      <c r="K647" s="172"/>
      <c r="L647" s="172"/>
      <c r="M647" s="172"/>
      <c r="N647" s="172"/>
      <c r="O647" s="358"/>
      <c r="P647" s="358"/>
      <c r="Q647" s="358"/>
      <c r="R647" s="378"/>
      <c r="S647" s="378"/>
      <c r="T647" s="8"/>
      <c r="U647" s="8"/>
      <c r="V647" s="8"/>
      <c r="W647" s="172"/>
      <c r="X647" s="172"/>
      <c r="Y647" s="8"/>
      <c r="Z647" s="8"/>
      <c r="AA647" s="8"/>
      <c r="AB647" s="172"/>
      <c r="AC647" s="172"/>
      <c r="AD647" s="8"/>
      <c r="AE647" s="8"/>
      <c r="AF647" s="8"/>
      <c r="AG647" s="172"/>
      <c r="AH647" s="172"/>
      <c r="AI647" s="367"/>
      <c r="AJ647" s="362"/>
      <c r="AK647" s="363" t="str">
        <f>IFERROR(__xludf.DUMMYFUNCTION("IFERROR(if(D649&lt;&gt;"""", 
  AVERAGE(
    QUERY(
      IMPORTRANGE(""1-uH1wy6jSm5jYL9je6fN1K5RJ5QMvHntodEHZRtIvTk"", ""All Data!N2:U""),
      ""select Col8 where Col1 = '"" &amp; D649 &amp; ""' and Col8 is not null"",
      0
    )
  )/100,
""""),
  """"
)
"),"")</f>
        <v/>
      </c>
    </row>
    <row r="648">
      <c r="D648" s="172"/>
      <c r="E648" s="368"/>
      <c r="F648" s="368"/>
      <c r="G648" s="368"/>
      <c r="H648" s="172"/>
      <c r="I648" s="172"/>
      <c r="J648" s="172"/>
      <c r="K648" s="172"/>
      <c r="L648" s="172"/>
      <c r="M648" s="172"/>
      <c r="N648" s="172"/>
      <c r="O648" s="358"/>
      <c r="P648" s="358"/>
      <c r="Q648" s="358"/>
      <c r="R648" s="378"/>
      <c r="S648" s="378"/>
      <c r="T648" s="8"/>
      <c r="U648" s="8"/>
      <c r="V648" s="8"/>
      <c r="W648" s="172"/>
      <c r="X648" s="172"/>
      <c r="Y648" s="8"/>
      <c r="Z648" s="8"/>
      <c r="AA648" s="8"/>
      <c r="AB648" s="172"/>
      <c r="AC648" s="172"/>
      <c r="AD648" s="8"/>
      <c r="AE648" s="8"/>
      <c r="AF648" s="8"/>
      <c r="AG648" s="172"/>
      <c r="AH648" s="172"/>
      <c r="AI648" s="367"/>
      <c r="AJ648" s="362"/>
      <c r="AK648" s="363" t="str">
        <f>IFERROR(__xludf.DUMMYFUNCTION("IFERROR(if(D650&lt;&gt;"""", 
  AVERAGE(
    QUERY(
      IMPORTRANGE(""1-uH1wy6jSm5jYL9je6fN1K5RJ5QMvHntodEHZRtIvTk"", ""All Data!N2:U""),
      ""select Col8 where Col1 = '"" &amp; D650 &amp; ""' and Col8 is not null"",
      0
    )
  )/100,
""""),
  """"
)
"),"")</f>
        <v/>
      </c>
    </row>
    <row r="649">
      <c r="D649" s="172"/>
      <c r="E649" s="368"/>
      <c r="F649" s="368"/>
      <c r="G649" s="368"/>
      <c r="H649" s="172"/>
      <c r="I649" s="172"/>
      <c r="J649" s="172"/>
      <c r="K649" s="172"/>
      <c r="L649" s="172"/>
      <c r="M649" s="172"/>
      <c r="N649" s="172"/>
      <c r="O649" s="358"/>
      <c r="P649" s="358"/>
      <c r="Q649" s="358"/>
      <c r="R649" s="378"/>
      <c r="S649" s="378"/>
      <c r="T649" s="8"/>
      <c r="U649" s="8"/>
      <c r="V649" s="8"/>
      <c r="W649" s="172"/>
      <c r="X649" s="172"/>
      <c r="Y649" s="8"/>
      <c r="Z649" s="8"/>
      <c r="AA649" s="8"/>
      <c r="AB649" s="172"/>
      <c r="AC649" s="172"/>
      <c r="AD649" s="8"/>
      <c r="AE649" s="8"/>
      <c r="AF649" s="8"/>
      <c r="AG649" s="172"/>
      <c r="AH649" s="172"/>
      <c r="AI649" s="367"/>
      <c r="AJ649" s="362"/>
      <c r="AK649" s="363" t="str">
        <f>IFERROR(__xludf.DUMMYFUNCTION("IFERROR(if(D651&lt;&gt;"""", 
  AVERAGE(
    QUERY(
      IMPORTRANGE(""1-uH1wy6jSm5jYL9je6fN1K5RJ5QMvHntodEHZRtIvTk"", ""All Data!N2:U""),
      ""select Col8 where Col1 = '"" &amp; D651 &amp; ""' and Col8 is not null"",
      0
    )
  )/100,
""""),
  """"
)
"),"")</f>
        <v/>
      </c>
    </row>
    <row r="650">
      <c r="D650" s="172"/>
      <c r="E650" s="368"/>
      <c r="F650" s="368"/>
      <c r="G650" s="368"/>
      <c r="H650" s="172"/>
      <c r="I650" s="172"/>
      <c r="J650" s="172"/>
      <c r="K650" s="172"/>
      <c r="L650" s="172"/>
      <c r="M650" s="172"/>
      <c r="N650" s="172"/>
      <c r="O650" s="358"/>
      <c r="P650" s="358"/>
      <c r="Q650" s="358"/>
      <c r="R650" s="378"/>
      <c r="S650" s="378"/>
      <c r="T650" s="8"/>
      <c r="U650" s="8"/>
      <c r="V650" s="8"/>
      <c r="W650" s="172"/>
      <c r="X650" s="172"/>
      <c r="Y650" s="8"/>
      <c r="Z650" s="8"/>
      <c r="AA650" s="8"/>
      <c r="AB650" s="172"/>
      <c r="AC650" s="172"/>
      <c r="AD650" s="8"/>
      <c r="AE650" s="8"/>
      <c r="AF650" s="8"/>
      <c r="AG650" s="172"/>
      <c r="AH650" s="172"/>
      <c r="AI650" s="367"/>
      <c r="AJ650" s="362"/>
      <c r="AK650" s="363" t="str">
        <f>IFERROR(__xludf.DUMMYFUNCTION("IFERROR(if(D652&lt;&gt;"""", 
  AVERAGE(
    QUERY(
      IMPORTRANGE(""1-uH1wy6jSm5jYL9je6fN1K5RJ5QMvHntodEHZRtIvTk"", ""All Data!N2:U""),
      ""select Col8 where Col1 = '"" &amp; D652 &amp; ""' and Col8 is not null"",
      0
    )
  )/100,
""""),
  """"
)
"),"")</f>
        <v/>
      </c>
    </row>
    <row r="651">
      <c r="D651" s="172"/>
      <c r="E651" s="368"/>
      <c r="F651" s="368"/>
      <c r="G651" s="368"/>
      <c r="H651" s="172"/>
      <c r="I651" s="172"/>
      <c r="J651" s="172"/>
      <c r="K651" s="172"/>
      <c r="L651" s="172"/>
      <c r="M651" s="172"/>
      <c r="N651" s="172"/>
      <c r="O651" s="358"/>
      <c r="P651" s="358"/>
      <c r="Q651" s="358"/>
      <c r="R651" s="378"/>
      <c r="S651" s="378"/>
      <c r="T651" s="8"/>
      <c r="U651" s="8"/>
      <c r="V651" s="8"/>
      <c r="W651" s="172"/>
      <c r="X651" s="172"/>
      <c r="Y651" s="8"/>
      <c r="Z651" s="8"/>
      <c r="AA651" s="8"/>
      <c r="AB651" s="172"/>
      <c r="AC651" s="172"/>
      <c r="AD651" s="8"/>
      <c r="AE651" s="8"/>
      <c r="AF651" s="8"/>
      <c r="AG651" s="172"/>
      <c r="AH651" s="172"/>
      <c r="AI651" s="367"/>
      <c r="AJ651" s="362"/>
      <c r="AK651" s="363" t="str">
        <f>IFERROR(__xludf.DUMMYFUNCTION("IFERROR(if(D653&lt;&gt;"""", 
  AVERAGE(
    QUERY(
      IMPORTRANGE(""1-uH1wy6jSm5jYL9je6fN1K5RJ5QMvHntodEHZRtIvTk"", ""All Data!N2:U""),
      ""select Col8 where Col1 = '"" &amp; D653 &amp; ""' and Col8 is not null"",
      0
    )
  )/100,
""""),
  """"
)
"),"")</f>
        <v/>
      </c>
    </row>
    <row r="652">
      <c r="D652" s="172"/>
      <c r="E652" s="368"/>
      <c r="F652" s="368"/>
      <c r="G652" s="368"/>
      <c r="H652" s="172"/>
      <c r="I652" s="172"/>
      <c r="J652" s="172"/>
      <c r="K652" s="172"/>
      <c r="L652" s="172"/>
      <c r="M652" s="172"/>
      <c r="N652" s="172"/>
      <c r="O652" s="358"/>
      <c r="P652" s="358"/>
      <c r="Q652" s="358"/>
      <c r="R652" s="378"/>
      <c r="S652" s="378"/>
      <c r="T652" s="8"/>
      <c r="U652" s="8"/>
      <c r="V652" s="8"/>
      <c r="W652" s="172"/>
      <c r="X652" s="172"/>
      <c r="Y652" s="8"/>
      <c r="Z652" s="8"/>
      <c r="AA652" s="8"/>
      <c r="AB652" s="172"/>
      <c r="AC652" s="172"/>
      <c r="AD652" s="8"/>
      <c r="AE652" s="8"/>
      <c r="AF652" s="8"/>
      <c r="AG652" s="172"/>
      <c r="AH652" s="172"/>
      <c r="AI652" s="367"/>
      <c r="AJ652" s="362"/>
      <c r="AK652" s="363" t="str">
        <f>IFERROR(__xludf.DUMMYFUNCTION("IFERROR(if(D654&lt;&gt;"""", 
  AVERAGE(
    QUERY(
      IMPORTRANGE(""1-uH1wy6jSm5jYL9je6fN1K5RJ5QMvHntodEHZRtIvTk"", ""All Data!N2:U""),
      ""select Col8 where Col1 = '"" &amp; D654 &amp; ""' and Col8 is not null"",
      0
    )
  )/100,
""""),
  """"
)
"),"")</f>
        <v/>
      </c>
    </row>
    <row r="653">
      <c r="D653" s="172"/>
      <c r="E653" s="368"/>
      <c r="F653" s="368"/>
      <c r="G653" s="368"/>
      <c r="H653" s="172"/>
      <c r="I653" s="172"/>
      <c r="J653" s="172"/>
      <c r="K653" s="172"/>
      <c r="L653" s="172"/>
      <c r="M653" s="172"/>
      <c r="N653" s="172"/>
      <c r="O653" s="358"/>
      <c r="P653" s="358"/>
      <c r="Q653" s="358"/>
      <c r="R653" s="378"/>
      <c r="S653" s="378"/>
      <c r="T653" s="8"/>
      <c r="U653" s="8"/>
      <c r="V653" s="8"/>
      <c r="W653" s="172"/>
      <c r="X653" s="172"/>
      <c r="Y653" s="8"/>
      <c r="Z653" s="8"/>
      <c r="AA653" s="8"/>
      <c r="AB653" s="172"/>
      <c r="AC653" s="172"/>
      <c r="AD653" s="8"/>
      <c r="AE653" s="8"/>
      <c r="AF653" s="8"/>
      <c r="AG653" s="172"/>
      <c r="AH653" s="172"/>
      <c r="AI653" s="367"/>
      <c r="AJ653" s="362"/>
      <c r="AK653" s="363" t="str">
        <f>IFERROR(__xludf.DUMMYFUNCTION("IFERROR(if(D655&lt;&gt;"""", 
  AVERAGE(
    QUERY(
      IMPORTRANGE(""1-uH1wy6jSm5jYL9je6fN1K5RJ5QMvHntodEHZRtIvTk"", ""All Data!N2:U""),
      ""select Col8 where Col1 = '"" &amp; D655 &amp; ""' and Col8 is not null"",
      0
    )
  )/100,
""""),
  """"
)
"),"")</f>
        <v/>
      </c>
    </row>
    <row r="654">
      <c r="D654" s="172"/>
      <c r="E654" s="368"/>
      <c r="F654" s="368"/>
      <c r="G654" s="368"/>
      <c r="H654" s="172"/>
      <c r="I654" s="172"/>
      <c r="J654" s="172"/>
      <c r="K654" s="172"/>
      <c r="L654" s="172"/>
      <c r="M654" s="172"/>
      <c r="N654" s="172"/>
      <c r="O654" s="358"/>
      <c r="P654" s="358"/>
      <c r="Q654" s="358"/>
      <c r="R654" s="378"/>
      <c r="S654" s="378"/>
      <c r="T654" s="8"/>
      <c r="U654" s="8"/>
      <c r="V654" s="8"/>
      <c r="W654" s="172"/>
      <c r="X654" s="172"/>
      <c r="Y654" s="8"/>
      <c r="Z654" s="8"/>
      <c r="AA654" s="8"/>
      <c r="AB654" s="172"/>
      <c r="AC654" s="172"/>
      <c r="AD654" s="8"/>
      <c r="AE654" s="8"/>
      <c r="AF654" s="8"/>
      <c r="AG654" s="172"/>
      <c r="AH654" s="172"/>
      <c r="AI654" s="367"/>
      <c r="AJ654" s="362"/>
      <c r="AK654" s="363" t="str">
        <f>IFERROR(__xludf.DUMMYFUNCTION("IFERROR(if(D656&lt;&gt;"""", 
  AVERAGE(
    QUERY(
      IMPORTRANGE(""1-uH1wy6jSm5jYL9je6fN1K5RJ5QMvHntodEHZRtIvTk"", ""All Data!N2:U""),
      ""select Col8 where Col1 = '"" &amp; D656 &amp; ""' and Col8 is not null"",
      0
    )
  )/100,
""""),
  """"
)
"),"")</f>
        <v/>
      </c>
    </row>
    <row r="655">
      <c r="D655" s="172"/>
      <c r="E655" s="368"/>
      <c r="F655" s="368"/>
      <c r="G655" s="368"/>
      <c r="H655" s="172"/>
      <c r="I655" s="172"/>
      <c r="J655" s="172"/>
      <c r="K655" s="172"/>
      <c r="L655" s="172"/>
      <c r="M655" s="172"/>
      <c r="N655" s="172"/>
      <c r="O655" s="358"/>
      <c r="P655" s="358"/>
      <c r="Q655" s="358"/>
      <c r="R655" s="378"/>
      <c r="S655" s="378"/>
      <c r="T655" s="8"/>
      <c r="U655" s="8"/>
      <c r="V655" s="8"/>
      <c r="W655" s="172"/>
      <c r="X655" s="172"/>
      <c r="Y655" s="8"/>
      <c r="Z655" s="8"/>
      <c r="AA655" s="8"/>
      <c r="AB655" s="172"/>
      <c r="AC655" s="172"/>
      <c r="AD655" s="8"/>
      <c r="AE655" s="8"/>
      <c r="AF655" s="8"/>
      <c r="AG655" s="172"/>
      <c r="AH655" s="172"/>
      <c r="AI655" s="367"/>
      <c r="AJ655" s="362"/>
      <c r="AK655" s="363" t="str">
        <f>IFERROR(__xludf.DUMMYFUNCTION("IFERROR(if(D657&lt;&gt;"""", 
  AVERAGE(
    QUERY(
      IMPORTRANGE(""1-uH1wy6jSm5jYL9je6fN1K5RJ5QMvHntodEHZRtIvTk"", ""All Data!N2:U""),
      ""select Col8 where Col1 = '"" &amp; D657 &amp; ""' and Col8 is not null"",
      0
    )
  )/100,
""""),
  """"
)
"),"")</f>
        <v/>
      </c>
    </row>
    <row r="656">
      <c r="D656" s="172"/>
      <c r="E656" s="368"/>
      <c r="F656" s="368"/>
      <c r="G656" s="368"/>
      <c r="H656" s="172"/>
      <c r="I656" s="172"/>
      <c r="J656" s="172"/>
      <c r="K656" s="172"/>
      <c r="L656" s="172"/>
      <c r="M656" s="172"/>
      <c r="N656" s="172"/>
      <c r="O656" s="358"/>
      <c r="P656" s="358"/>
      <c r="Q656" s="358"/>
      <c r="R656" s="378"/>
      <c r="S656" s="378"/>
      <c r="T656" s="8"/>
      <c r="U656" s="8"/>
      <c r="V656" s="8"/>
      <c r="W656" s="172"/>
      <c r="X656" s="172"/>
      <c r="Y656" s="8"/>
      <c r="Z656" s="8"/>
      <c r="AA656" s="8"/>
      <c r="AB656" s="172"/>
      <c r="AC656" s="172"/>
      <c r="AD656" s="8"/>
      <c r="AE656" s="8"/>
      <c r="AF656" s="8"/>
      <c r="AG656" s="172"/>
      <c r="AH656" s="172"/>
      <c r="AI656" s="367"/>
      <c r="AJ656" s="362"/>
      <c r="AK656" s="363" t="str">
        <f>IFERROR(__xludf.DUMMYFUNCTION("IFERROR(if(D658&lt;&gt;"""", 
  AVERAGE(
    QUERY(
      IMPORTRANGE(""1-uH1wy6jSm5jYL9je6fN1K5RJ5QMvHntodEHZRtIvTk"", ""All Data!N2:U""),
      ""select Col8 where Col1 = '"" &amp; D658 &amp; ""' and Col8 is not null"",
      0
    )
  )/100,
""""),
  """"
)
"),"")</f>
        <v/>
      </c>
    </row>
    <row r="657">
      <c r="D657" s="172"/>
      <c r="E657" s="368"/>
      <c r="F657" s="368"/>
      <c r="G657" s="368"/>
      <c r="H657" s="172"/>
      <c r="I657" s="172"/>
      <c r="J657" s="172"/>
      <c r="K657" s="172"/>
      <c r="L657" s="172"/>
      <c r="M657" s="172"/>
      <c r="N657" s="172"/>
      <c r="O657" s="358"/>
      <c r="P657" s="358"/>
      <c r="Q657" s="358"/>
      <c r="R657" s="378"/>
      <c r="S657" s="378"/>
      <c r="T657" s="8"/>
      <c r="U657" s="8"/>
      <c r="V657" s="8"/>
      <c r="W657" s="172"/>
      <c r="X657" s="172"/>
      <c r="Y657" s="8"/>
      <c r="Z657" s="8"/>
      <c r="AA657" s="8"/>
      <c r="AB657" s="172"/>
      <c r="AC657" s="172"/>
      <c r="AD657" s="8"/>
      <c r="AE657" s="8"/>
      <c r="AF657" s="8"/>
      <c r="AG657" s="172"/>
      <c r="AH657" s="172"/>
      <c r="AI657" s="367"/>
      <c r="AJ657" s="362"/>
      <c r="AK657" s="363" t="str">
        <f>IFERROR(__xludf.DUMMYFUNCTION("IFERROR(if(D659&lt;&gt;"""", 
  AVERAGE(
    QUERY(
      IMPORTRANGE(""1-uH1wy6jSm5jYL9je6fN1K5RJ5QMvHntodEHZRtIvTk"", ""All Data!N2:U""),
      ""select Col8 where Col1 = '"" &amp; D659 &amp; ""' and Col8 is not null"",
      0
    )
  )/100,
""""),
  """"
)
"),"")</f>
        <v/>
      </c>
    </row>
    <row r="658">
      <c r="D658" s="172"/>
      <c r="E658" s="368"/>
      <c r="F658" s="368"/>
      <c r="G658" s="368"/>
      <c r="H658" s="172"/>
      <c r="I658" s="172"/>
      <c r="J658" s="172"/>
      <c r="K658" s="172"/>
      <c r="L658" s="172"/>
      <c r="M658" s="172"/>
      <c r="N658" s="172"/>
      <c r="O658" s="358"/>
      <c r="P658" s="358"/>
      <c r="Q658" s="358"/>
      <c r="R658" s="378"/>
      <c r="S658" s="378"/>
      <c r="T658" s="8"/>
      <c r="U658" s="8"/>
      <c r="V658" s="8"/>
      <c r="W658" s="172"/>
      <c r="X658" s="172"/>
      <c r="Y658" s="8"/>
      <c r="Z658" s="8"/>
      <c r="AA658" s="8"/>
      <c r="AB658" s="172"/>
      <c r="AC658" s="172"/>
      <c r="AD658" s="8"/>
      <c r="AE658" s="8"/>
      <c r="AF658" s="8"/>
      <c r="AG658" s="172"/>
      <c r="AH658" s="172"/>
      <c r="AI658" s="367"/>
      <c r="AJ658" s="362"/>
      <c r="AK658" s="363" t="str">
        <f>IFERROR(__xludf.DUMMYFUNCTION("IFERROR(if(D660&lt;&gt;"""", 
  AVERAGE(
    QUERY(
      IMPORTRANGE(""1-uH1wy6jSm5jYL9je6fN1K5RJ5QMvHntodEHZRtIvTk"", ""All Data!N2:U""),
      ""select Col8 where Col1 = '"" &amp; D660 &amp; ""' and Col8 is not null"",
      0
    )
  )/100,
""""),
  """"
)
"),"")</f>
        <v/>
      </c>
    </row>
    <row r="659">
      <c r="D659" s="172"/>
      <c r="E659" s="368"/>
      <c r="F659" s="368"/>
      <c r="G659" s="368"/>
      <c r="H659" s="172"/>
      <c r="I659" s="172"/>
      <c r="J659" s="172"/>
      <c r="K659" s="172"/>
      <c r="L659" s="172"/>
      <c r="M659" s="172"/>
      <c r="N659" s="172"/>
      <c r="O659" s="358"/>
      <c r="P659" s="358"/>
      <c r="Q659" s="358"/>
      <c r="R659" s="378"/>
      <c r="S659" s="378"/>
      <c r="T659" s="8"/>
      <c r="U659" s="8"/>
      <c r="V659" s="8"/>
      <c r="W659" s="172"/>
      <c r="X659" s="172"/>
      <c r="Y659" s="8"/>
      <c r="Z659" s="8"/>
      <c r="AA659" s="8"/>
      <c r="AB659" s="172"/>
      <c r="AC659" s="172"/>
      <c r="AD659" s="8"/>
      <c r="AE659" s="8"/>
      <c r="AF659" s="8"/>
      <c r="AG659" s="172"/>
      <c r="AH659" s="172"/>
      <c r="AI659" s="367"/>
      <c r="AJ659" s="362"/>
      <c r="AK659" s="363" t="str">
        <f>IFERROR(__xludf.DUMMYFUNCTION("IFERROR(if(D661&lt;&gt;"""", 
  AVERAGE(
    QUERY(
      IMPORTRANGE(""1-uH1wy6jSm5jYL9je6fN1K5RJ5QMvHntodEHZRtIvTk"", ""All Data!N2:U""),
      ""select Col8 where Col1 = '"" &amp; D661 &amp; ""' and Col8 is not null"",
      0
    )
  )/100,
""""),
  """"
)
"),"")</f>
        <v/>
      </c>
    </row>
    <row r="660">
      <c r="D660" s="172"/>
      <c r="E660" s="368"/>
      <c r="F660" s="368"/>
      <c r="G660" s="368"/>
      <c r="H660" s="172"/>
      <c r="I660" s="172"/>
      <c r="J660" s="172"/>
      <c r="K660" s="172"/>
      <c r="L660" s="172"/>
      <c r="M660" s="172"/>
      <c r="N660" s="172"/>
      <c r="O660" s="358"/>
      <c r="P660" s="358"/>
      <c r="Q660" s="358"/>
      <c r="R660" s="378"/>
      <c r="S660" s="378"/>
      <c r="T660" s="8"/>
      <c r="U660" s="8"/>
      <c r="V660" s="8"/>
      <c r="W660" s="172"/>
      <c r="X660" s="172"/>
      <c r="Y660" s="8"/>
      <c r="Z660" s="8"/>
      <c r="AA660" s="8"/>
      <c r="AB660" s="172"/>
      <c r="AC660" s="172"/>
      <c r="AD660" s="8"/>
      <c r="AE660" s="8"/>
      <c r="AF660" s="8"/>
      <c r="AG660" s="172"/>
      <c r="AH660" s="172"/>
      <c r="AI660" s="367"/>
      <c r="AJ660" s="362"/>
      <c r="AK660" s="363" t="str">
        <f>IFERROR(__xludf.DUMMYFUNCTION("IFERROR(if(D662&lt;&gt;"""", 
  AVERAGE(
    QUERY(
      IMPORTRANGE(""1-uH1wy6jSm5jYL9je6fN1K5RJ5QMvHntodEHZRtIvTk"", ""All Data!N2:U""),
      ""select Col8 where Col1 = '"" &amp; D662 &amp; ""' and Col8 is not null"",
      0
    )
  )/100,
""""),
  """"
)
"),"")</f>
        <v/>
      </c>
    </row>
    <row r="661">
      <c r="D661" s="172"/>
      <c r="E661" s="368"/>
      <c r="F661" s="368"/>
      <c r="G661" s="368"/>
      <c r="H661" s="172"/>
      <c r="I661" s="172"/>
      <c r="J661" s="172"/>
      <c r="K661" s="172"/>
      <c r="L661" s="172"/>
      <c r="M661" s="172"/>
      <c r="N661" s="172"/>
      <c r="O661" s="358"/>
      <c r="P661" s="358"/>
      <c r="Q661" s="358"/>
      <c r="R661" s="378"/>
      <c r="S661" s="378"/>
      <c r="T661" s="8"/>
      <c r="U661" s="8"/>
      <c r="V661" s="8"/>
      <c r="W661" s="172"/>
      <c r="X661" s="172"/>
      <c r="Y661" s="8"/>
      <c r="Z661" s="8"/>
      <c r="AA661" s="8"/>
      <c r="AB661" s="172"/>
      <c r="AC661" s="172"/>
      <c r="AD661" s="8"/>
      <c r="AE661" s="8"/>
      <c r="AF661" s="8"/>
      <c r="AG661" s="172"/>
      <c r="AH661" s="172"/>
      <c r="AI661" s="367"/>
      <c r="AJ661" s="362"/>
      <c r="AK661" s="363" t="str">
        <f>IFERROR(__xludf.DUMMYFUNCTION("IFERROR(if(D663&lt;&gt;"""", 
  AVERAGE(
    QUERY(
      IMPORTRANGE(""1-uH1wy6jSm5jYL9je6fN1K5RJ5QMvHntodEHZRtIvTk"", ""All Data!N2:U""),
      ""select Col8 where Col1 = '"" &amp; D663 &amp; ""' and Col8 is not null"",
      0
    )
  )/100,
""""),
  """"
)
"),"")</f>
        <v/>
      </c>
    </row>
    <row r="662">
      <c r="D662" s="172"/>
      <c r="E662" s="368"/>
      <c r="F662" s="368"/>
      <c r="G662" s="368"/>
      <c r="H662" s="172"/>
      <c r="I662" s="172"/>
      <c r="J662" s="172"/>
      <c r="K662" s="172"/>
      <c r="L662" s="172"/>
      <c r="M662" s="172"/>
      <c r="N662" s="172"/>
      <c r="O662" s="358"/>
      <c r="P662" s="358"/>
      <c r="Q662" s="358"/>
      <c r="R662" s="378"/>
      <c r="S662" s="378"/>
      <c r="T662" s="8"/>
      <c r="U662" s="8"/>
      <c r="V662" s="8"/>
      <c r="W662" s="172"/>
      <c r="X662" s="172"/>
      <c r="Y662" s="8"/>
      <c r="Z662" s="8"/>
      <c r="AA662" s="8"/>
      <c r="AB662" s="172"/>
      <c r="AC662" s="172"/>
      <c r="AD662" s="8"/>
      <c r="AE662" s="8"/>
      <c r="AF662" s="8"/>
      <c r="AG662" s="172"/>
      <c r="AH662" s="172"/>
      <c r="AI662" s="367"/>
      <c r="AJ662" s="362"/>
      <c r="AK662" s="363" t="str">
        <f>IFERROR(__xludf.DUMMYFUNCTION("IFERROR(if(D664&lt;&gt;"""", 
  AVERAGE(
    QUERY(
      IMPORTRANGE(""1-uH1wy6jSm5jYL9je6fN1K5RJ5QMvHntodEHZRtIvTk"", ""All Data!N2:U""),
      ""select Col8 where Col1 = '"" &amp; D664 &amp; ""' and Col8 is not null"",
      0
    )
  )/100,
""""),
  """"
)
"),"")</f>
        <v/>
      </c>
    </row>
    <row r="663">
      <c r="D663" s="172"/>
      <c r="E663" s="368"/>
      <c r="F663" s="368"/>
      <c r="G663" s="368"/>
      <c r="H663" s="172"/>
      <c r="I663" s="172"/>
      <c r="J663" s="172"/>
      <c r="K663" s="172"/>
      <c r="L663" s="172"/>
      <c r="M663" s="172"/>
      <c r="N663" s="172"/>
      <c r="O663" s="358"/>
      <c r="P663" s="358"/>
      <c r="Q663" s="358"/>
      <c r="R663" s="378"/>
      <c r="S663" s="378"/>
      <c r="T663" s="8"/>
      <c r="U663" s="8"/>
      <c r="V663" s="8"/>
      <c r="W663" s="172"/>
      <c r="X663" s="172"/>
      <c r="Y663" s="8"/>
      <c r="Z663" s="8"/>
      <c r="AA663" s="8"/>
      <c r="AB663" s="172"/>
      <c r="AC663" s="172"/>
      <c r="AD663" s="8"/>
      <c r="AE663" s="8"/>
      <c r="AF663" s="8"/>
      <c r="AG663" s="172"/>
      <c r="AH663" s="172"/>
      <c r="AI663" s="367"/>
      <c r="AJ663" s="362"/>
      <c r="AK663" s="363" t="str">
        <f>IFERROR(__xludf.DUMMYFUNCTION("IFERROR(if(D665&lt;&gt;"""", 
  AVERAGE(
    QUERY(
      IMPORTRANGE(""1-uH1wy6jSm5jYL9je6fN1K5RJ5QMvHntodEHZRtIvTk"", ""All Data!N2:U""),
      ""select Col8 where Col1 = '"" &amp; D665 &amp; ""' and Col8 is not null"",
      0
    )
  )/100,
""""),
  """"
)
"),"")</f>
        <v/>
      </c>
    </row>
    <row r="664">
      <c r="D664" s="172"/>
      <c r="E664" s="368"/>
      <c r="F664" s="368"/>
      <c r="G664" s="368"/>
      <c r="H664" s="172"/>
      <c r="I664" s="172"/>
      <c r="J664" s="172"/>
      <c r="K664" s="172"/>
      <c r="L664" s="172"/>
      <c r="M664" s="172"/>
      <c r="N664" s="172"/>
      <c r="O664" s="358"/>
      <c r="P664" s="358"/>
      <c r="Q664" s="358"/>
      <c r="R664" s="378"/>
      <c r="S664" s="378"/>
      <c r="T664" s="8"/>
      <c r="U664" s="8"/>
      <c r="V664" s="8"/>
      <c r="W664" s="172"/>
      <c r="X664" s="172"/>
      <c r="Y664" s="8"/>
      <c r="Z664" s="8"/>
      <c r="AA664" s="8"/>
      <c r="AB664" s="172"/>
      <c r="AC664" s="172"/>
      <c r="AD664" s="8"/>
      <c r="AE664" s="8"/>
      <c r="AF664" s="8"/>
      <c r="AG664" s="172"/>
      <c r="AH664" s="172"/>
      <c r="AI664" s="367"/>
      <c r="AJ664" s="362"/>
      <c r="AK664" s="363" t="str">
        <f>IFERROR(__xludf.DUMMYFUNCTION("IFERROR(if(D666&lt;&gt;"""", 
  AVERAGE(
    QUERY(
      IMPORTRANGE(""1-uH1wy6jSm5jYL9je6fN1K5RJ5QMvHntodEHZRtIvTk"", ""All Data!N2:U""),
      ""select Col8 where Col1 = '"" &amp; D666 &amp; ""' and Col8 is not null"",
      0
    )
  )/100,
""""),
  """"
)
"),"")</f>
        <v/>
      </c>
    </row>
    <row r="665">
      <c r="D665" s="172"/>
      <c r="E665" s="368"/>
      <c r="F665" s="368"/>
      <c r="G665" s="368"/>
      <c r="H665" s="172"/>
      <c r="I665" s="172"/>
      <c r="J665" s="172"/>
      <c r="K665" s="172"/>
      <c r="L665" s="172"/>
      <c r="M665" s="172"/>
      <c r="N665" s="172"/>
      <c r="O665" s="358"/>
      <c r="P665" s="358"/>
      <c r="Q665" s="358"/>
      <c r="R665" s="378"/>
      <c r="S665" s="378"/>
      <c r="T665" s="8"/>
      <c r="U665" s="8"/>
      <c r="V665" s="8"/>
      <c r="W665" s="172"/>
      <c r="X665" s="172"/>
      <c r="Y665" s="8"/>
      <c r="Z665" s="8"/>
      <c r="AA665" s="8"/>
      <c r="AB665" s="172"/>
      <c r="AC665" s="172"/>
      <c r="AD665" s="8"/>
      <c r="AE665" s="8"/>
      <c r="AF665" s="8"/>
      <c r="AG665" s="172"/>
      <c r="AH665" s="172"/>
      <c r="AI665" s="367"/>
      <c r="AJ665" s="362"/>
      <c r="AK665" s="363" t="str">
        <f>IFERROR(__xludf.DUMMYFUNCTION("IFERROR(if(D667&lt;&gt;"""", 
  AVERAGE(
    QUERY(
      IMPORTRANGE(""1-uH1wy6jSm5jYL9je6fN1K5RJ5QMvHntodEHZRtIvTk"", ""All Data!N2:U""),
      ""select Col8 where Col1 = '"" &amp; D667 &amp; ""' and Col8 is not null"",
      0
    )
  )/100,
""""),
  """"
)
"),"")</f>
        <v/>
      </c>
    </row>
    <row r="666">
      <c r="D666" s="172"/>
      <c r="E666" s="368"/>
      <c r="F666" s="368"/>
      <c r="G666" s="368"/>
      <c r="H666" s="172"/>
      <c r="I666" s="172"/>
      <c r="J666" s="172"/>
      <c r="K666" s="172"/>
      <c r="L666" s="172"/>
      <c r="M666" s="172"/>
      <c r="N666" s="172"/>
      <c r="O666" s="358"/>
      <c r="P666" s="358"/>
      <c r="Q666" s="358"/>
      <c r="R666" s="378"/>
      <c r="S666" s="378"/>
      <c r="T666" s="8"/>
      <c r="U666" s="8"/>
      <c r="V666" s="8"/>
      <c r="W666" s="172"/>
      <c r="X666" s="172"/>
      <c r="Y666" s="8"/>
      <c r="Z666" s="8"/>
      <c r="AA666" s="8"/>
      <c r="AB666" s="172"/>
      <c r="AC666" s="172"/>
      <c r="AD666" s="8"/>
      <c r="AE666" s="8"/>
      <c r="AF666" s="8"/>
      <c r="AG666" s="172"/>
      <c r="AH666" s="172"/>
      <c r="AI666" s="367"/>
      <c r="AJ666" s="362"/>
      <c r="AK666" s="363" t="str">
        <f>IFERROR(__xludf.DUMMYFUNCTION("IFERROR(if(D668&lt;&gt;"""", 
  AVERAGE(
    QUERY(
      IMPORTRANGE(""1-uH1wy6jSm5jYL9je6fN1K5RJ5QMvHntodEHZRtIvTk"", ""All Data!N2:U""),
      ""select Col8 where Col1 = '"" &amp; D668 &amp; ""' and Col8 is not null"",
      0
    )
  )/100,
""""),
  """"
)
"),"")</f>
        <v/>
      </c>
    </row>
    <row r="667">
      <c r="D667" s="172"/>
      <c r="E667" s="368"/>
      <c r="F667" s="368"/>
      <c r="G667" s="368"/>
      <c r="H667" s="172"/>
      <c r="I667" s="172"/>
      <c r="J667" s="172"/>
      <c r="K667" s="172"/>
      <c r="L667" s="172"/>
      <c r="M667" s="172"/>
      <c r="N667" s="172"/>
      <c r="O667" s="358"/>
      <c r="P667" s="358"/>
      <c r="Q667" s="358"/>
      <c r="R667" s="378"/>
      <c r="S667" s="378"/>
      <c r="T667" s="8"/>
      <c r="U667" s="8"/>
      <c r="V667" s="8"/>
      <c r="W667" s="172"/>
      <c r="X667" s="172"/>
      <c r="Y667" s="8"/>
      <c r="Z667" s="8"/>
      <c r="AA667" s="8"/>
      <c r="AB667" s="172"/>
      <c r="AC667" s="172"/>
      <c r="AD667" s="8"/>
      <c r="AE667" s="8"/>
      <c r="AF667" s="8"/>
      <c r="AG667" s="172"/>
      <c r="AH667" s="172"/>
      <c r="AI667" s="367"/>
      <c r="AJ667" s="362"/>
      <c r="AK667" s="363" t="str">
        <f>IFERROR(__xludf.DUMMYFUNCTION("IFERROR(if(D669&lt;&gt;"""", 
  AVERAGE(
    QUERY(
      IMPORTRANGE(""1-uH1wy6jSm5jYL9je6fN1K5RJ5QMvHntodEHZRtIvTk"", ""All Data!N2:U""),
      ""select Col8 where Col1 = '"" &amp; D669 &amp; ""' and Col8 is not null"",
      0
    )
  )/100,
""""),
  """"
)
"),"")</f>
        <v/>
      </c>
    </row>
    <row r="668">
      <c r="D668" s="172"/>
      <c r="E668" s="368"/>
      <c r="F668" s="368"/>
      <c r="G668" s="368"/>
      <c r="H668" s="172"/>
      <c r="I668" s="172"/>
      <c r="J668" s="172"/>
      <c r="K668" s="172"/>
      <c r="L668" s="172"/>
      <c r="M668" s="172"/>
      <c r="N668" s="172"/>
      <c r="O668" s="358"/>
      <c r="P668" s="358"/>
      <c r="Q668" s="358"/>
      <c r="R668" s="378"/>
      <c r="S668" s="378"/>
      <c r="T668" s="8"/>
      <c r="U668" s="8"/>
      <c r="V668" s="8"/>
      <c r="W668" s="172"/>
      <c r="X668" s="172"/>
      <c r="Y668" s="8"/>
      <c r="Z668" s="8"/>
      <c r="AA668" s="8"/>
      <c r="AB668" s="172"/>
      <c r="AC668" s="172"/>
      <c r="AD668" s="8"/>
      <c r="AE668" s="8"/>
      <c r="AF668" s="8"/>
      <c r="AG668" s="172"/>
      <c r="AH668" s="172"/>
      <c r="AI668" s="367"/>
      <c r="AJ668" s="362"/>
      <c r="AK668" s="363" t="str">
        <f>IFERROR(__xludf.DUMMYFUNCTION("IFERROR(if(D670&lt;&gt;"""", 
  AVERAGE(
    QUERY(
      IMPORTRANGE(""1-uH1wy6jSm5jYL9je6fN1K5RJ5QMvHntodEHZRtIvTk"", ""All Data!N2:U""),
      ""select Col8 where Col1 = '"" &amp; D670 &amp; ""' and Col8 is not null"",
      0
    )
  )/100,
""""),
  """"
)
"),"")</f>
        <v/>
      </c>
    </row>
    <row r="669">
      <c r="D669" s="172"/>
      <c r="E669" s="368"/>
      <c r="F669" s="368"/>
      <c r="G669" s="368"/>
      <c r="H669" s="172"/>
      <c r="I669" s="172"/>
      <c r="J669" s="172"/>
      <c r="K669" s="172"/>
      <c r="L669" s="172"/>
      <c r="M669" s="172"/>
      <c r="N669" s="172"/>
      <c r="O669" s="358"/>
      <c r="P669" s="358"/>
      <c r="Q669" s="358"/>
      <c r="R669" s="378"/>
      <c r="S669" s="378"/>
      <c r="T669" s="8"/>
      <c r="U669" s="8"/>
      <c r="V669" s="8"/>
      <c r="W669" s="172"/>
      <c r="X669" s="172"/>
      <c r="Y669" s="8"/>
      <c r="Z669" s="8"/>
      <c r="AA669" s="8"/>
      <c r="AB669" s="172"/>
      <c r="AC669" s="172"/>
      <c r="AD669" s="8"/>
      <c r="AE669" s="8"/>
      <c r="AF669" s="8"/>
      <c r="AG669" s="172"/>
      <c r="AH669" s="172"/>
      <c r="AI669" s="367"/>
      <c r="AJ669" s="362"/>
      <c r="AK669" s="363" t="str">
        <f>IFERROR(__xludf.DUMMYFUNCTION("IFERROR(if(D671&lt;&gt;"""", 
  AVERAGE(
    QUERY(
      IMPORTRANGE(""1-uH1wy6jSm5jYL9je6fN1K5RJ5QMvHntodEHZRtIvTk"", ""All Data!N2:U""),
      ""select Col8 where Col1 = '"" &amp; D671 &amp; ""' and Col8 is not null"",
      0
    )
  )/100,
""""),
  """"
)
"),"")</f>
        <v/>
      </c>
    </row>
    <row r="670">
      <c r="D670" s="172"/>
      <c r="E670" s="368"/>
      <c r="F670" s="368"/>
      <c r="G670" s="368"/>
      <c r="H670" s="172"/>
      <c r="I670" s="172"/>
      <c r="J670" s="172"/>
      <c r="K670" s="172"/>
      <c r="L670" s="172"/>
      <c r="M670" s="172"/>
      <c r="N670" s="172"/>
      <c r="O670" s="358"/>
      <c r="P670" s="358"/>
      <c r="Q670" s="358"/>
      <c r="R670" s="378"/>
      <c r="S670" s="378"/>
      <c r="T670" s="8"/>
      <c r="U670" s="8"/>
      <c r="V670" s="8"/>
      <c r="W670" s="172"/>
      <c r="X670" s="172"/>
      <c r="Y670" s="8"/>
      <c r="Z670" s="8"/>
      <c r="AA670" s="8"/>
      <c r="AB670" s="172"/>
      <c r="AC670" s="172"/>
      <c r="AD670" s="8"/>
      <c r="AE670" s="8"/>
      <c r="AF670" s="8"/>
      <c r="AG670" s="172"/>
      <c r="AH670" s="172"/>
      <c r="AI670" s="367"/>
      <c r="AJ670" s="362"/>
      <c r="AK670" s="363" t="str">
        <f>IFERROR(__xludf.DUMMYFUNCTION("IFERROR(if(D672&lt;&gt;"""", 
  AVERAGE(
    QUERY(
      IMPORTRANGE(""1-uH1wy6jSm5jYL9je6fN1K5RJ5QMvHntodEHZRtIvTk"", ""All Data!N2:U""),
      ""select Col8 where Col1 = '"" &amp; D672 &amp; ""' and Col8 is not null"",
      0
    )
  )/100,
""""),
  """"
)
"),"")</f>
        <v/>
      </c>
    </row>
    <row r="671">
      <c r="D671" s="172"/>
      <c r="E671" s="368"/>
      <c r="F671" s="368"/>
      <c r="G671" s="368"/>
      <c r="H671" s="172"/>
      <c r="I671" s="172"/>
      <c r="J671" s="172"/>
      <c r="K671" s="172"/>
      <c r="L671" s="172"/>
      <c r="M671" s="172"/>
      <c r="N671" s="172"/>
      <c r="O671" s="358"/>
      <c r="P671" s="358"/>
      <c r="Q671" s="358"/>
      <c r="R671" s="378"/>
      <c r="S671" s="378"/>
      <c r="T671" s="8"/>
      <c r="U671" s="8"/>
      <c r="V671" s="8"/>
      <c r="W671" s="172"/>
      <c r="X671" s="172"/>
      <c r="Y671" s="8"/>
      <c r="Z671" s="8"/>
      <c r="AA671" s="8"/>
      <c r="AB671" s="172"/>
      <c r="AC671" s="172"/>
      <c r="AD671" s="8"/>
      <c r="AE671" s="8"/>
      <c r="AF671" s="8"/>
      <c r="AG671" s="172"/>
      <c r="AH671" s="172"/>
      <c r="AI671" s="367"/>
      <c r="AJ671" s="362"/>
      <c r="AK671" s="363" t="str">
        <f>IFERROR(__xludf.DUMMYFUNCTION("IFERROR(if(D673&lt;&gt;"""", 
  AVERAGE(
    QUERY(
      IMPORTRANGE(""1-uH1wy6jSm5jYL9je6fN1K5RJ5QMvHntodEHZRtIvTk"", ""All Data!N2:U""),
      ""select Col8 where Col1 = '"" &amp; D673 &amp; ""' and Col8 is not null"",
      0
    )
  )/100,
""""),
  """"
)
"),"")</f>
        <v/>
      </c>
    </row>
    <row r="672">
      <c r="D672" s="172"/>
      <c r="E672" s="368"/>
      <c r="F672" s="368"/>
      <c r="G672" s="368"/>
      <c r="H672" s="172"/>
      <c r="I672" s="172"/>
      <c r="J672" s="172"/>
      <c r="K672" s="172"/>
      <c r="L672" s="172"/>
      <c r="M672" s="172"/>
      <c r="N672" s="172"/>
      <c r="O672" s="358"/>
      <c r="P672" s="358"/>
      <c r="Q672" s="358"/>
      <c r="R672" s="378"/>
      <c r="S672" s="378"/>
      <c r="T672" s="8"/>
      <c r="U672" s="8"/>
      <c r="V672" s="8"/>
      <c r="W672" s="172"/>
      <c r="X672" s="172"/>
      <c r="Y672" s="8"/>
      <c r="Z672" s="8"/>
      <c r="AA672" s="8"/>
      <c r="AB672" s="172"/>
      <c r="AC672" s="172"/>
      <c r="AD672" s="8"/>
      <c r="AE672" s="8"/>
      <c r="AF672" s="8"/>
      <c r="AG672" s="172"/>
      <c r="AH672" s="172"/>
      <c r="AI672" s="367"/>
      <c r="AJ672" s="362"/>
      <c r="AK672" s="363" t="str">
        <f>IFERROR(__xludf.DUMMYFUNCTION("IFERROR(if(D674&lt;&gt;"""", 
  AVERAGE(
    QUERY(
      IMPORTRANGE(""1-uH1wy6jSm5jYL9je6fN1K5RJ5QMvHntodEHZRtIvTk"", ""All Data!N2:U""),
      ""select Col8 where Col1 = '"" &amp; D674 &amp; ""' and Col8 is not null"",
      0
    )
  )/100,
""""),
  """"
)
"),"")</f>
        <v/>
      </c>
    </row>
    <row r="673">
      <c r="D673" s="172"/>
      <c r="E673" s="368"/>
      <c r="F673" s="368"/>
      <c r="G673" s="368"/>
      <c r="H673" s="172"/>
      <c r="I673" s="172"/>
      <c r="J673" s="172"/>
      <c r="K673" s="172"/>
      <c r="L673" s="172"/>
      <c r="M673" s="172"/>
      <c r="N673" s="172"/>
      <c r="O673" s="358"/>
      <c r="P673" s="358"/>
      <c r="Q673" s="358"/>
      <c r="R673" s="378"/>
      <c r="S673" s="378"/>
      <c r="T673" s="8"/>
      <c r="U673" s="8"/>
      <c r="V673" s="8"/>
      <c r="W673" s="172"/>
      <c r="X673" s="172"/>
      <c r="Y673" s="8"/>
      <c r="Z673" s="8"/>
      <c r="AA673" s="8"/>
      <c r="AB673" s="172"/>
      <c r="AC673" s="172"/>
      <c r="AD673" s="8"/>
      <c r="AE673" s="8"/>
      <c r="AF673" s="8"/>
      <c r="AG673" s="172"/>
      <c r="AH673" s="172"/>
      <c r="AI673" s="367"/>
      <c r="AJ673" s="362"/>
      <c r="AK673" s="363" t="str">
        <f>IFERROR(__xludf.DUMMYFUNCTION("IFERROR(if(D675&lt;&gt;"""", 
  AVERAGE(
    QUERY(
      IMPORTRANGE(""1-uH1wy6jSm5jYL9je6fN1K5RJ5QMvHntodEHZRtIvTk"", ""All Data!N2:U""),
      ""select Col8 where Col1 = '"" &amp; D675 &amp; ""' and Col8 is not null"",
      0
    )
  )/100,
""""),
  """"
)
"),"")</f>
        <v/>
      </c>
    </row>
    <row r="674">
      <c r="D674" s="172"/>
      <c r="E674" s="368"/>
      <c r="F674" s="368"/>
      <c r="G674" s="368"/>
      <c r="H674" s="172"/>
      <c r="I674" s="172"/>
      <c r="J674" s="172"/>
      <c r="K674" s="172"/>
      <c r="L674" s="172"/>
      <c r="M674" s="172"/>
      <c r="N674" s="172"/>
      <c r="O674" s="358"/>
      <c r="P674" s="358"/>
      <c r="Q674" s="358"/>
      <c r="R674" s="378"/>
      <c r="S674" s="378"/>
      <c r="T674" s="8"/>
      <c r="U674" s="8"/>
      <c r="V674" s="8"/>
      <c r="W674" s="172"/>
      <c r="X674" s="172"/>
      <c r="Y674" s="8"/>
      <c r="Z674" s="8"/>
      <c r="AA674" s="8"/>
      <c r="AB674" s="172"/>
      <c r="AC674" s="172"/>
      <c r="AD674" s="8"/>
      <c r="AE674" s="8"/>
      <c r="AF674" s="8"/>
      <c r="AG674" s="172"/>
      <c r="AH674" s="172"/>
      <c r="AI674" s="367"/>
      <c r="AJ674" s="362"/>
      <c r="AK674" s="363" t="str">
        <f>IFERROR(__xludf.DUMMYFUNCTION("IFERROR(if(D676&lt;&gt;"""", 
  AVERAGE(
    QUERY(
      IMPORTRANGE(""1-uH1wy6jSm5jYL9je6fN1K5RJ5QMvHntodEHZRtIvTk"", ""All Data!N2:U""),
      ""select Col8 where Col1 = '"" &amp; D676 &amp; ""' and Col8 is not null"",
      0
    )
  )/100,
""""),
  """"
)
"),"")</f>
        <v/>
      </c>
    </row>
    <row r="675">
      <c r="D675" s="172"/>
      <c r="E675" s="368"/>
      <c r="F675" s="368"/>
      <c r="G675" s="368"/>
      <c r="H675" s="172"/>
      <c r="I675" s="172"/>
      <c r="J675" s="172"/>
      <c r="K675" s="172"/>
      <c r="L675" s="172"/>
      <c r="M675" s="172"/>
      <c r="N675" s="172"/>
      <c r="O675" s="358"/>
      <c r="P675" s="358"/>
      <c r="Q675" s="358"/>
      <c r="R675" s="378"/>
      <c r="S675" s="378"/>
      <c r="T675" s="8"/>
      <c r="U675" s="8"/>
      <c r="V675" s="8"/>
      <c r="W675" s="172"/>
      <c r="X675" s="172"/>
      <c r="Y675" s="8"/>
      <c r="Z675" s="8"/>
      <c r="AA675" s="8"/>
      <c r="AB675" s="172"/>
      <c r="AC675" s="172"/>
      <c r="AD675" s="8"/>
      <c r="AE675" s="8"/>
      <c r="AF675" s="8"/>
      <c r="AG675" s="172"/>
      <c r="AH675" s="172"/>
      <c r="AI675" s="367"/>
      <c r="AJ675" s="362"/>
      <c r="AK675" s="363" t="str">
        <f>IFERROR(__xludf.DUMMYFUNCTION("IFERROR(if(D677&lt;&gt;"""", 
  AVERAGE(
    QUERY(
      IMPORTRANGE(""1-uH1wy6jSm5jYL9je6fN1K5RJ5QMvHntodEHZRtIvTk"", ""All Data!N2:U""),
      ""select Col8 where Col1 = '"" &amp; D677 &amp; ""' and Col8 is not null"",
      0
    )
  )/100,
""""),
  """"
)
"),"")</f>
        <v/>
      </c>
    </row>
    <row r="676">
      <c r="D676" s="172"/>
      <c r="E676" s="368"/>
      <c r="F676" s="368"/>
      <c r="G676" s="368"/>
      <c r="H676" s="172"/>
      <c r="I676" s="172"/>
      <c r="J676" s="172"/>
      <c r="K676" s="172"/>
      <c r="L676" s="172"/>
      <c r="M676" s="172"/>
      <c r="N676" s="172"/>
      <c r="O676" s="358"/>
      <c r="P676" s="358"/>
      <c r="Q676" s="358"/>
      <c r="R676" s="378"/>
      <c r="S676" s="378"/>
      <c r="T676" s="8"/>
      <c r="U676" s="8"/>
      <c r="V676" s="8"/>
      <c r="W676" s="172"/>
      <c r="X676" s="172"/>
      <c r="Y676" s="8"/>
      <c r="Z676" s="8"/>
      <c r="AA676" s="8"/>
      <c r="AB676" s="172"/>
      <c r="AC676" s="172"/>
      <c r="AD676" s="8"/>
      <c r="AE676" s="8"/>
      <c r="AF676" s="8"/>
      <c r="AG676" s="172"/>
      <c r="AH676" s="172"/>
      <c r="AI676" s="367"/>
      <c r="AJ676" s="362"/>
      <c r="AK676" s="363" t="str">
        <f>IFERROR(__xludf.DUMMYFUNCTION("IFERROR(if(D678&lt;&gt;"""", 
  AVERAGE(
    QUERY(
      IMPORTRANGE(""1-uH1wy6jSm5jYL9je6fN1K5RJ5QMvHntodEHZRtIvTk"", ""All Data!N2:U""),
      ""select Col8 where Col1 = '"" &amp; D678 &amp; ""' and Col8 is not null"",
      0
    )
  )/100,
""""),
  """"
)
"),"")</f>
        <v/>
      </c>
    </row>
    <row r="677">
      <c r="D677" s="172"/>
      <c r="E677" s="368"/>
      <c r="F677" s="368"/>
      <c r="G677" s="368"/>
      <c r="H677" s="172"/>
      <c r="I677" s="172"/>
      <c r="J677" s="172"/>
      <c r="K677" s="172"/>
      <c r="L677" s="172"/>
      <c r="M677" s="172"/>
      <c r="N677" s="172"/>
      <c r="O677" s="358"/>
      <c r="P677" s="358"/>
      <c r="Q677" s="358"/>
      <c r="R677" s="378"/>
      <c r="S677" s="378"/>
      <c r="T677" s="8"/>
      <c r="U677" s="8"/>
      <c r="V677" s="8"/>
      <c r="W677" s="172"/>
      <c r="X677" s="172"/>
      <c r="Y677" s="8"/>
      <c r="Z677" s="8"/>
      <c r="AA677" s="8"/>
      <c r="AB677" s="172"/>
      <c r="AC677" s="172"/>
      <c r="AD677" s="8"/>
      <c r="AE677" s="8"/>
      <c r="AF677" s="8"/>
      <c r="AG677" s="172"/>
      <c r="AH677" s="172"/>
      <c r="AI677" s="367"/>
      <c r="AJ677" s="362"/>
      <c r="AK677" s="363" t="str">
        <f>IFERROR(__xludf.DUMMYFUNCTION("IFERROR(if(D679&lt;&gt;"""", 
  AVERAGE(
    QUERY(
      IMPORTRANGE(""1-uH1wy6jSm5jYL9je6fN1K5RJ5QMvHntodEHZRtIvTk"", ""All Data!N2:U""),
      ""select Col8 where Col1 = '"" &amp; D679 &amp; ""' and Col8 is not null"",
      0
    )
  )/100,
""""),
  """"
)
"),"")</f>
        <v/>
      </c>
    </row>
    <row r="678">
      <c r="D678" s="172"/>
      <c r="E678" s="368"/>
      <c r="F678" s="368"/>
      <c r="G678" s="368"/>
      <c r="H678" s="172"/>
      <c r="I678" s="172"/>
      <c r="J678" s="172"/>
      <c r="K678" s="172"/>
      <c r="L678" s="172"/>
      <c r="M678" s="172"/>
      <c r="N678" s="172"/>
      <c r="O678" s="358"/>
      <c r="P678" s="358"/>
      <c r="Q678" s="358"/>
      <c r="R678" s="378"/>
      <c r="S678" s="378"/>
      <c r="T678" s="8"/>
      <c r="U678" s="8"/>
      <c r="V678" s="8"/>
      <c r="W678" s="172"/>
      <c r="X678" s="172"/>
      <c r="Y678" s="8"/>
      <c r="Z678" s="8"/>
      <c r="AA678" s="8"/>
      <c r="AB678" s="172"/>
      <c r="AC678" s="172"/>
      <c r="AD678" s="8"/>
      <c r="AE678" s="8"/>
      <c r="AF678" s="8"/>
      <c r="AG678" s="172"/>
      <c r="AH678" s="172"/>
      <c r="AI678" s="367"/>
      <c r="AJ678" s="362"/>
      <c r="AK678" s="363" t="str">
        <f>IFERROR(__xludf.DUMMYFUNCTION("IFERROR(if(D680&lt;&gt;"""", 
  AVERAGE(
    QUERY(
      IMPORTRANGE(""1-uH1wy6jSm5jYL9je6fN1K5RJ5QMvHntodEHZRtIvTk"", ""All Data!N2:U""),
      ""select Col8 where Col1 = '"" &amp; D680 &amp; ""' and Col8 is not null"",
      0
    )
  )/100,
""""),
  """"
)
"),"")</f>
        <v/>
      </c>
    </row>
    <row r="679">
      <c r="D679" s="172"/>
      <c r="E679" s="368"/>
      <c r="F679" s="368"/>
      <c r="G679" s="368"/>
      <c r="H679" s="172"/>
      <c r="I679" s="172"/>
      <c r="J679" s="172"/>
      <c r="K679" s="172"/>
      <c r="L679" s="172"/>
      <c r="M679" s="172"/>
      <c r="N679" s="172"/>
      <c r="O679" s="358"/>
      <c r="P679" s="358"/>
      <c r="Q679" s="358"/>
      <c r="R679" s="378"/>
      <c r="S679" s="378"/>
      <c r="T679" s="8"/>
      <c r="U679" s="8"/>
      <c r="V679" s="8"/>
      <c r="W679" s="172"/>
      <c r="X679" s="172"/>
      <c r="Y679" s="8"/>
      <c r="Z679" s="8"/>
      <c r="AA679" s="8"/>
      <c r="AB679" s="172"/>
      <c r="AC679" s="172"/>
      <c r="AD679" s="8"/>
      <c r="AE679" s="8"/>
      <c r="AF679" s="8"/>
      <c r="AG679" s="172"/>
      <c r="AH679" s="172"/>
      <c r="AI679" s="367"/>
      <c r="AJ679" s="362"/>
      <c r="AK679" s="363" t="str">
        <f>IFERROR(__xludf.DUMMYFUNCTION("IFERROR(if(D681&lt;&gt;"""", 
  AVERAGE(
    QUERY(
      IMPORTRANGE(""1-uH1wy6jSm5jYL9je6fN1K5RJ5QMvHntodEHZRtIvTk"", ""All Data!N2:U""),
      ""select Col8 where Col1 = '"" &amp; D681 &amp; ""' and Col8 is not null"",
      0
    )
  )/100,
""""),
  """"
)
"),"")</f>
        <v/>
      </c>
    </row>
    <row r="680">
      <c r="D680" s="172"/>
      <c r="E680" s="368"/>
      <c r="F680" s="368"/>
      <c r="G680" s="368"/>
      <c r="H680" s="172"/>
      <c r="I680" s="172"/>
      <c r="J680" s="172"/>
      <c r="K680" s="172"/>
      <c r="L680" s="172"/>
      <c r="M680" s="172"/>
      <c r="N680" s="172"/>
      <c r="O680" s="358"/>
      <c r="P680" s="358"/>
      <c r="Q680" s="358"/>
      <c r="R680" s="378"/>
      <c r="S680" s="378"/>
      <c r="T680" s="8"/>
      <c r="U680" s="8"/>
      <c r="V680" s="8"/>
      <c r="W680" s="172"/>
      <c r="X680" s="172"/>
      <c r="Y680" s="8"/>
      <c r="Z680" s="8"/>
      <c r="AA680" s="8"/>
      <c r="AB680" s="172"/>
      <c r="AC680" s="172"/>
      <c r="AD680" s="8"/>
      <c r="AE680" s="8"/>
      <c r="AF680" s="8"/>
      <c r="AG680" s="172"/>
      <c r="AH680" s="172"/>
      <c r="AI680" s="367"/>
      <c r="AJ680" s="362"/>
      <c r="AK680" s="363" t="str">
        <f>IFERROR(__xludf.DUMMYFUNCTION("IFERROR(if(D682&lt;&gt;"""", 
  AVERAGE(
    QUERY(
      IMPORTRANGE(""1-uH1wy6jSm5jYL9je6fN1K5RJ5QMvHntodEHZRtIvTk"", ""All Data!N2:U""),
      ""select Col8 where Col1 = '"" &amp; D682 &amp; ""' and Col8 is not null"",
      0
    )
  )/100,
""""),
  """"
)
"),"")</f>
        <v/>
      </c>
    </row>
    <row r="681">
      <c r="D681" s="172"/>
      <c r="E681" s="368"/>
      <c r="F681" s="368"/>
      <c r="G681" s="368"/>
      <c r="H681" s="172"/>
      <c r="I681" s="172"/>
      <c r="J681" s="172"/>
      <c r="K681" s="172"/>
      <c r="L681" s="172"/>
      <c r="M681" s="172"/>
      <c r="N681" s="172"/>
      <c r="O681" s="358"/>
      <c r="P681" s="358"/>
      <c r="Q681" s="358"/>
      <c r="R681" s="378"/>
      <c r="S681" s="378"/>
      <c r="T681" s="8"/>
      <c r="U681" s="8"/>
      <c r="V681" s="8"/>
      <c r="W681" s="172"/>
      <c r="X681" s="172"/>
      <c r="Y681" s="8"/>
      <c r="Z681" s="8"/>
      <c r="AA681" s="8"/>
      <c r="AB681" s="172"/>
      <c r="AC681" s="172"/>
      <c r="AD681" s="8"/>
      <c r="AE681" s="8"/>
      <c r="AF681" s="8"/>
      <c r="AG681" s="172"/>
      <c r="AH681" s="172"/>
      <c r="AI681" s="367"/>
      <c r="AJ681" s="362"/>
      <c r="AK681" s="363" t="str">
        <f>IFERROR(__xludf.DUMMYFUNCTION("IFERROR(if(D683&lt;&gt;"""", 
  AVERAGE(
    QUERY(
      IMPORTRANGE(""1-uH1wy6jSm5jYL9je6fN1K5RJ5QMvHntodEHZRtIvTk"", ""All Data!N2:U""),
      ""select Col8 where Col1 = '"" &amp; D683 &amp; ""' and Col8 is not null"",
      0
    )
  )/100,
""""),
  """"
)
"),"")</f>
        <v/>
      </c>
    </row>
    <row r="682">
      <c r="D682" s="172"/>
      <c r="E682" s="368"/>
      <c r="F682" s="368"/>
      <c r="G682" s="368"/>
      <c r="H682" s="172"/>
      <c r="I682" s="172"/>
      <c r="J682" s="172"/>
      <c r="K682" s="172"/>
      <c r="L682" s="172"/>
      <c r="M682" s="172"/>
      <c r="N682" s="172"/>
      <c r="O682" s="358"/>
      <c r="P682" s="358"/>
      <c r="Q682" s="358"/>
      <c r="R682" s="378"/>
      <c r="S682" s="378"/>
      <c r="T682" s="8"/>
      <c r="U682" s="8"/>
      <c r="V682" s="8"/>
      <c r="W682" s="172"/>
      <c r="X682" s="172"/>
      <c r="Y682" s="8"/>
      <c r="Z682" s="8"/>
      <c r="AA682" s="8"/>
      <c r="AB682" s="172"/>
      <c r="AC682" s="172"/>
      <c r="AD682" s="8"/>
      <c r="AE682" s="8"/>
      <c r="AF682" s="8"/>
      <c r="AG682" s="172"/>
      <c r="AH682" s="172"/>
      <c r="AI682" s="367"/>
      <c r="AJ682" s="362"/>
      <c r="AK682" s="363" t="str">
        <f>IFERROR(__xludf.DUMMYFUNCTION("IFERROR(if(D684&lt;&gt;"""", 
  AVERAGE(
    QUERY(
      IMPORTRANGE(""1-uH1wy6jSm5jYL9je6fN1K5RJ5QMvHntodEHZRtIvTk"", ""All Data!N2:U""),
      ""select Col8 where Col1 = '"" &amp; D684 &amp; ""' and Col8 is not null"",
      0
    )
  )/100,
""""),
  """"
)
"),"")</f>
        <v/>
      </c>
    </row>
    <row r="683">
      <c r="D683" s="172"/>
      <c r="E683" s="368"/>
      <c r="F683" s="368"/>
      <c r="G683" s="368"/>
      <c r="H683" s="172"/>
      <c r="I683" s="172"/>
      <c r="J683" s="172"/>
      <c r="K683" s="172"/>
      <c r="L683" s="172"/>
      <c r="M683" s="172"/>
      <c r="N683" s="172"/>
      <c r="O683" s="358"/>
      <c r="P683" s="358"/>
      <c r="Q683" s="358"/>
      <c r="R683" s="378"/>
      <c r="S683" s="378"/>
      <c r="T683" s="8"/>
      <c r="U683" s="8"/>
      <c r="V683" s="8"/>
      <c r="W683" s="172"/>
      <c r="X683" s="172"/>
      <c r="Y683" s="8"/>
      <c r="Z683" s="8"/>
      <c r="AA683" s="8"/>
      <c r="AB683" s="172"/>
      <c r="AC683" s="172"/>
      <c r="AD683" s="8"/>
      <c r="AE683" s="8"/>
      <c r="AF683" s="8"/>
      <c r="AG683" s="172"/>
      <c r="AH683" s="172"/>
      <c r="AI683" s="367"/>
      <c r="AJ683" s="362"/>
      <c r="AK683" s="363" t="str">
        <f>IFERROR(__xludf.DUMMYFUNCTION("IFERROR(if(D685&lt;&gt;"""", 
  AVERAGE(
    QUERY(
      IMPORTRANGE(""1-uH1wy6jSm5jYL9je6fN1K5RJ5QMvHntodEHZRtIvTk"", ""All Data!N2:U""),
      ""select Col8 where Col1 = '"" &amp; D685 &amp; ""' and Col8 is not null"",
      0
    )
  )/100,
""""),
  """"
)
"),"")</f>
        <v/>
      </c>
    </row>
    <row r="684">
      <c r="D684" s="172"/>
      <c r="E684" s="368"/>
      <c r="F684" s="368"/>
      <c r="G684" s="368"/>
      <c r="H684" s="172"/>
      <c r="I684" s="172"/>
      <c r="J684" s="172"/>
      <c r="K684" s="172"/>
      <c r="L684" s="172"/>
      <c r="M684" s="172"/>
      <c r="N684" s="172"/>
      <c r="O684" s="358"/>
      <c r="P684" s="358"/>
      <c r="Q684" s="358"/>
      <c r="R684" s="378"/>
      <c r="S684" s="378"/>
      <c r="T684" s="8"/>
      <c r="U684" s="8"/>
      <c r="V684" s="8"/>
      <c r="W684" s="172"/>
      <c r="X684" s="172"/>
      <c r="Y684" s="8"/>
      <c r="Z684" s="8"/>
      <c r="AA684" s="8"/>
      <c r="AB684" s="172"/>
      <c r="AC684" s="172"/>
      <c r="AD684" s="8"/>
      <c r="AE684" s="8"/>
      <c r="AF684" s="8"/>
      <c r="AG684" s="172"/>
      <c r="AH684" s="172"/>
      <c r="AI684" s="367"/>
      <c r="AJ684" s="362"/>
      <c r="AK684" s="363" t="str">
        <f>IFERROR(__xludf.DUMMYFUNCTION("IFERROR(if(D686&lt;&gt;"""", 
  AVERAGE(
    QUERY(
      IMPORTRANGE(""1-uH1wy6jSm5jYL9je6fN1K5RJ5QMvHntodEHZRtIvTk"", ""All Data!N2:U""),
      ""select Col8 where Col1 = '"" &amp; D686 &amp; ""' and Col8 is not null"",
      0
    )
  )/100,
""""),
  """"
)
"),"")</f>
        <v/>
      </c>
    </row>
    <row r="685">
      <c r="D685" s="172"/>
      <c r="E685" s="368"/>
      <c r="F685" s="368"/>
      <c r="G685" s="368"/>
      <c r="H685" s="172"/>
      <c r="I685" s="172"/>
      <c r="J685" s="172"/>
      <c r="K685" s="172"/>
      <c r="L685" s="172"/>
      <c r="M685" s="172"/>
      <c r="N685" s="172"/>
      <c r="O685" s="358"/>
      <c r="P685" s="358"/>
      <c r="Q685" s="358"/>
      <c r="R685" s="378"/>
      <c r="S685" s="378"/>
      <c r="T685" s="8"/>
      <c r="U685" s="8"/>
      <c r="V685" s="8"/>
      <c r="W685" s="172"/>
      <c r="X685" s="172"/>
      <c r="Y685" s="8"/>
      <c r="Z685" s="8"/>
      <c r="AA685" s="8"/>
      <c r="AB685" s="172"/>
      <c r="AC685" s="172"/>
      <c r="AD685" s="8"/>
      <c r="AE685" s="8"/>
      <c r="AF685" s="8"/>
      <c r="AG685" s="172"/>
      <c r="AH685" s="172"/>
      <c r="AI685" s="367"/>
      <c r="AJ685" s="362"/>
      <c r="AK685" s="363" t="str">
        <f>IFERROR(__xludf.DUMMYFUNCTION("IFERROR(if(D687&lt;&gt;"""", 
  AVERAGE(
    QUERY(
      IMPORTRANGE(""1-uH1wy6jSm5jYL9je6fN1K5RJ5QMvHntodEHZRtIvTk"", ""All Data!N2:U""),
      ""select Col8 where Col1 = '"" &amp; D687 &amp; ""' and Col8 is not null"",
      0
    )
  )/100,
""""),
  """"
)
"),"")</f>
        <v/>
      </c>
    </row>
    <row r="686">
      <c r="D686" s="172"/>
      <c r="E686" s="368"/>
      <c r="F686" s="368"/>
      <c r="G686" s="368"/>
      <c r="H686" s="172"/>
      <c r="I686" s="172"/>
      <c r="J686" s="172"/>
      <c r="K686" s="172"/>
      <c r="L686" s="172"/>
      <c r="M686" s="172"/>
      <c r="N686" s="172"/>
      <c r="O686" s="358"/>
      <c r="P686" s="358"/>
      <c r="Q686" s="358"/>
      <c r="R686" s="378"/>
      <c r="S686" s="378"/>
      <c r="T686" s="8"/>
      <c r="U686" s="8"/>
      <c r="V686" s="8"/>
      <c r="W686" s="172"/>
      <c r="X686" s="172"/>
      <c r="Y686" s="8"/>
      <c r="Z686" s="8"/>
      <c r="AA686" s="8"/>
      <c r="AB686" s="172"/>
      <c r="AC686" s="172"/>
      <c r="AD686" s="8"/>
      <c r="AE686" s="8"/>
      <c r="AF686" s="8"/>
      <c r="AG686" s="172"/>
      <c r="AH686" s="172"/>
      <c r="AI686" s="367"/>
      <c r="AJ686" s="362"/>
      <c r="AK686" s="363" t="str">
        <f>IFERROR(__xludf.DUMMYFUNCTION("IFERROR(if(D688&lt;&gt;"""", 
  AVERAGE(
    QUERY(
      IMPORTRANGE(""1-uH1wy6jSm5jYL9je6fN1K5RJ5QMvHntodEHZRtIvTk"", ""All Data!N2:U""),
      ""select Col8 where Col1 = '"" &amp; D688 &amp; ""' and Col8 is not null"",
      0
    )
  )/100,
""""),
  """"
)
"),"")</f>
        <v/>
      </c>
    </row>
    <row r="687">
      <c r="D687" s="172"/>
      <c r="E687" s="368"/>
      <c r="F687" s="368"/>
      <c r="G687" s="368"/>
      <c r="H687" s="172"/>
      <c r="I687" s="172"/>
      <c r="J687" s="172"/>
      <c r="K687" s="172"/>
      <c r="L687" s="172"/>
      <c r="M687" s="172"/>
      <c r="N687" s="172"/>
      <c r="O687" s="358"/>
      <c r="P687" s="358"/>
      <c r="Q687" s="358"/>
      <c r="R687" s="378"/>
      <c r="S687" s="378"/>
      <c r="T687" s="8"/>
      <c r="U687" s="8"/>
      <c r="V687" s="8"/>
      <c r="W687" s="172"/>
      <c r="X687" s="172"/>
      <c r="Y687" s="8"/>
      <c r="Z687" s="8"/>
      <c r="AA687" s="8"/>
      <c r="AB687" s="172"/>
      <c r="AC687" s="172"/>
      <c r="AD687" s="8"/>
      <c r="AE687" s="8"/>
      <c r="AF687" s="8"/>
      <c r="AG687" s="172"/>
      <c r="AH687" s="172"/>
      <c r="AI687" s="367"/>
      <c r="AJ687" s="362"/>
      <c r="AK687" s="363" t="str">
        <f>IFERROR(__xludf.DUMMYFUNCTION("IFERROR(if(D689&lt;&gt;"""", 
  AVERAGE(
    QUERY(
      IMPORTRANGE(""1-uH1wy6jSm5jYL9je6fN1K5RJ5QMvHntodEHZRtIvTk"", ""All Data!N2:U""),
      ""select Col8 where Col1 = '"" &amp; D689 &amp; ""' and Col8 is not null"",
      0
    )
  )/100,
""""),
  """"
)
"),"")</f>
        <v/>
      </c>
    </row>
    <row r="688">
      <c r="D688" s="172"/>
      <c r="E688" s="368"/>
      <c r="F688" s="368"/>
      <c r="G688" s="368"/>
      <c r="H688" s="172"/>
      <c r="I688" s="172"/>
      <c r="J688" s="172"/>
      <c r="K688" s="172"/>
      <c r="L688" s="172"/>
      <c r="M688" s="172"/>
      <c r="N688" s="172"/>
      <c r="O688" s="358"/>
      <c r="P688" s="358"/>
      <c r="Q688" s="358"/>
      <c r="R688" s="378"/>
      <c r="S688" s="378"/>
      <c r="T688" s="8"/>
      <c r="U688" s="8"/>
      <c r="V688" s="8"/>
      <c r="W688" s="172"/>
      <c r="X688" s="172"/>
      <c r="Y688" s="8"/>
      <c r="Z688" s="8"/>
      <c r="AA688" s="8"/>
      <c r="AB688" s="172"/>
      <c r="AC688" s="172"/>
      <c r="AD688" s="8"/>
      <c r="AE688" s="8"/>
      <c r="AF688" s="8"/>
      <c r="AG688" s="172"/>
      <c r="AH688" s="172"/>
      <c r="AI688" s="367"/>
      <c r="AJ688" s="362"/>
      <c r="AK688" s="363" t="str">
        <f>IFERROR(__xludf.DUMMYFUNCTION("IFERROR(if(D690&lt;&gt;"""", 
  AVERAGE(
    QUERY(
      IMPORTRANGE(""1-uH1wy6jSm5jYL9je6fN1K5RJ5QMvHntodEHZRtIvTk"", ""All Data!N2:U""),
      ""select Col8 where Col1 = '"" &amp; D690 &amp; ""' and Col8 is not null"",
      0
    )
  )/100,
""""),
  """"
)
"),"")</f>
        <v/>
      </c>
    </row>
    <row r="689">
      <c r="D689" s="172"/>
      <c r="E689" s="368"/>
      <c r="F689" s="368"/>
      <c r="G689" s="368"/>
      <c r="H689" s="172"/>
      <c r="I689" s="172"/>
      <c r="J689" s="172"/>
      <c r="K689" s="172"/>
      <c r="L689" s="172"/>
      <c r="M689" s="172"/>
      <c r="N689" s="172"/>
      <c r="O689" s="358"/>
      <c r="P689" s="358"/>
      <c r="Q689" s="358"/>
      <c r="R689" s="378"/>
      <c r="S689" s="378"/>
      <c r="T689" s="8"/>
      <c r="U689" s="8"/>
      <c r="V689" s="8"/>
      <c r="W689" s="172"/>
      <c r="X689" s="172"/>
      <c r="Y689" s="8"/>
      <c r="Z689" s="8"/>
      <c r="AA689" s="8"/>
      <c r="AB689" s="172"/>
      <c r="AC689" s="172"/>
      <c r="AD689" s="8"/>
      <c r="AE689" s="8"/>
      <c r="AF689" s="8"/>
      <c r="AG689" s="172"/>
      <c r="AH689" s="172"/>
      <c r="AI689" s="367"/>
      <c r="AJ689" s="362"/>
      <c r="AK689" s="363" t="str">
        <f>IFERROR(__xludf.DUMMYFUNCTION("IFERROR(if(D691&lt;&gt;"""", 
  AVERAGE(
    QUERY(
      IMPORTRANGE(""1-uH1wy6jSm5jYL9je6fN1K5RJ5QMvHntodEHZRtIvTk"", ""All Data!N2:U""),
      ""select Col8 where Col1 = '"" &amp; D691 &amp; ""' and Col8 is not null"",
      0
    )
  )/100,
""""),
  """"
)
"),"")</f>
        <v/>
      </c>
    </row>
    <row r="690">
      <c r="D690" s="172"/>
      <c r="E690" s="368"/>
      <c r="F690" s="368"/>
      <c r="G690" s="368"/>
      <c r="H690" s="172"/>
      <c r="I690" s="172"/>
      <c r="J690" s="172"/>
      <c r="K690" s="172"/>
      <c r="L690" s="172"/>
      <c r="M690" s="172"/>
      <c r="N690" s="172"/>
      <c r="O690" s="358"/>
      <c r="P690" s="358"/>
      <c r="Q690" s="358"/>
      <c r="R690" s="378"/>
      <c r="S690" s="378"/>
      <c r="T690" s="8"/>
      <c r="U690" s="8"/>
      <c r="V690" s="8"/>
      <c r="W690" s="172"/>
      <c r="X690" s="172"/>
      <c r="Y690" s="8"/>
      <c r="Z690" s="8"/>
      <c r="AA690" s="8"/>
      <c r="AB690" s="172"/>
      <c r="AC690" s="172"/>
      <c r="AD690" s="8"/>
      <c r="AE690" s="8"/>
      <c r="AF690" s="8"/>
      <c r="AG690" s="172"/>
      <c r="AH690" s="172"/>
      <c r="AI690" s="367"/>
      <c r="AJ690" s="362"/>
      <c r="AK690" s="363" t="str">
        <f>IFERROR(__xludf.DUMMYFUNCTION("IFERROR(if(D692&lt;&gt;"""", 
  AVERAGE(
    QUERY(
      IMPORTRANGE(""1-uH1wy6jSm5jYL9je6fN1K5RJ5QMvHntodEHZRtIvTk"", ""All Data!N2:U""),
      ""select Col8 where Col1 = '"" &amp; D692 &amp; ""' and Col8 is not null"",
      0
    )
  )/100,
""""),
  """"
)
"),"")</f>
        <v/>
      </c>
    </row>
    <row r="691">
      <c r="D691" s="172"/>
      <c r="E691" s="368"/>
      <c r="F691" s="368"/>
      <c r="G691" s="368"/>
      <c r="H691" s="172"/>
      <c r="I691" s="172"/>
      <c r="J691" s="172"/>
      <c r="K691" s="172"/>
      <c r="L691" s="172"/>
      <c r="M691" s="172"/>
      <c r="N691" s="172"/>
      <c r="O691" s="358"/>
      <c r="P691" s="358"/>
      <c r="Q691" s="358"/>
      <c r="R691" s="378"/>
      <c r="S691" s="378"/>
      <c r="T691" s="8"/>
      <c r="U691" s="8"/>
      <c r="V691" s="8"/>
      <c r="W691" s="172"/>
      <c r="X691" s="172"/>
      <c r="Y691" s="8"/>
      <c r="Z691" s="8"/>
      <c r="AA691" s="8"/>
      <c r="AB691" s="172"/>
      <c r="AC691" s="172"/>
      <c r="AD691" s="8"/>
      <c r="AE691" s="8"/>
      <c r="AF691" s="8"/>
      <c r="AG691" s="172"/>
      <c r="AH691" s="172"/>
      <c r="AI691" s="367"/>
      <c r="AJ691" s="362"/>
      <c r="AK691" s="363" t="str">
        <f>IFERROR(__xludf.DUMMYFUNCTION("IFERROR(if(D693&lt;&gt;"""", 
  AVERAGE(
    QUERY(
      IMPORTRANGE(""1-uH1wy6jSm5jYL9je6fN1K5RJ5QMvHntodEHZRtIvTk"", ""All Data!N2:U""),
      ""select Col8 where Col1 = '"" &amp; D693 &amp; ""' and Col8 is not null"",
      0
    )
  )/100,
""""),
  """"
)
"),"")</f>
        <v/>
      </c>
    </row>
    <row r="692">
      <c r="D692" s="172"/>
      <c r="E692" s="368"/>
      <c r="F692" s="368"/>
      <c r="G692" s="368"/>
      <c r="H692" s="172"/>
      <c r="I692" s="172"/>
      <c r="J692" s="172"/>
      <c r="K692" s="172"/>
      <c r="L692" s="172"/>
      <c r="M692" s="172"/>
      <c r="N692" s="172"/>
      <c r="O692" s="358"/>
      <c r="P692" s="358"/>
      <c r="Q692" s="358"/>
      <c r="R692" s="378"/>
      <c r="S692" s="378"/>
      <c r="T692" s="8"/>
      <c r="U692" s="8"/>
      <c r="V692" s="8"/>
      <c r="W692" s="172"/>
      <c r="X692" s="172"/>
      <c r="Y692" s="8"/>
      <c r="Z692" s="8"/>
      <c r="AA692" s="8"/>
      <c r="AB692" s="172"/>
      <c r="AC692" s="172"/>
      <c r="AD692" s="8"/>
      <c r="AE692" s="8"/>
      <c r="AF692" s="8"/>
      <c r="AG692" s="172"/>
      <c r="AH692" s="172"/>
      <c r="AI692" s="367"/>
      <c r="AJ692" s="362"/>
      <c r="AK692" s="363" t="str">
        <f>IFERROR(__xludf.DUMMYFUNCTION("IFERROR(if(D694&lt;&gt;"""", 
  AVERAGE(
    QUERY(
      IMPORTRANGE(""1-uH1wy6jSm5jYL9je6fN1K5RJ5QMvHntodEHZRtIvTk"", ""All Data!N2:U""),
      ""select Col8 where Col1 = '"" &amp; D694 &amp; ""' and Col8 is not null"",
      0
    )
  )/100,
""""),
  """"
)
"),"")</f>
        <v/>
      </c>
    </row>
    <row r="693">
      <c r="D693" s="172"/>
      <c r="E693" s="368"/>
      <c r="F693" s="368"/>
      <c r="G693" s="368"/>
      <c r="H693" s="172"/>
      <c r="I693" s="172"/>
      <c r="J693" s="172"/>
      <c r="K693" s="172"/>
      <c r="L693" s="172"/>
      <c r="M693" s="172"/>
      <c r="N693" s="172"/>
      <c r="O693" s="358"/>
      <c r="P693" s="358"/>
      <c r="Q693" s="358"/>
      <c r="R693" s="378"/>
      <c r="S693" s="378"/>
      <c r="T693" s="8"/>
      <c r="U693" s="8"/>
      <c r="V693" s="8"/>
      <c r="W693" s="172"/>
      <c r="X693" s="172"/>
      <c r="Y693" s="8"/>
      <c r="Z693" s="8"/>
      <c r="AA693" s="8"/>
      <c r="AB693" s="172"/>
      <c r="AC693" s="172"/>
      <c r="AD693" s="8"/>
      <c r="AE693" s="8"/>
      <c r="AF693" s="8"/>
      <c r="AG693" s="172"/>
      <c r="AH693" s="172"/>
      <c r="AI693" s="367"/>
      <c r="AJ693" s="362"/>
      <c r="AK693" s="363" t="str">
        <f>IFERROR(__xludf.DUMMYFUNCTION("IFERROR(if(D695&lt;&gt;"""", 
  AVERAGE(
    QUERY(
      IMPORTRANGE(""1-uH1wy6jSm5jYL9je6fN1K5RJ5QMvHntodEHZRtIvTk"", ""All Data!N2:U""),
      ""select Col8 where Col1 = '"" &amp; D695 &amp; ""' and Col8 is not null"",
      0
    )
  )/100,
""""),
  """"
)
"),"")</f>
        <v/>
      </c>
    </row>
    <row r="694">
      <c r="D694" s="172"/>
      <c r="E694" s="368"/>
      <c r="F694" s="368"/>
      <c r="G694" s="368"/>
      <c r="H694" s="172"/>
      <c r="I694" s="172"/>
      <c r="J694" s="172"/>
      <c r="K694" s="172"/>
      <c r="L694" s="172"/>
      <c r="M694" s="172"/>
      <c r="N694" s="172"/>
      <c r="O694" s="358"/>
      <c r="P694" s="358"/>
      <c r="Q694" s="358"/>
      <c r="R694" s="378"/>
      <c r="S694" s="378"/>
      <c r="T694" s="8"/>
      <c r="U694" s="8"/>
      <c r="V694" s="8"/>
      <c r="W694" s="172"/>
      <c r="X694" s="172"/>
      <c r="Y694" s="8"/>
      <c r="Z694" s="8"/>
      <c r="AA694" s="8"/>
      <c r="AB694" s="172"/>
      <c r="AC694" s="172"/>
      <c r="AD694" s="8"/>
      <c r="AE694" s="8"/>
      <c r="AF694" s="8"/>
      <c r="AG694" s="172"/>
      <c r="AH694" s="172"/>
      <c r="AI694" s="367"/>
      <c r="AJ694" s="362"/>
      <c r="AK694" s="363" t="str">
        <f>IFERROR(__xludf.DUMMYFUNCTION("IFERROR(if(D696&lt;&gt;"""", 
  AVERAGE(
    QUERY(
      IMPORTRANGE(""1-uH1wy6jSm5jYL9je6fN1K5RJ5QMvHntodEHZRtIvTk"", ""All Data!N2:U""),
      ""select Col8 where Col1 = '"" &amp; D696 &amp; ""' and Col8 is not null"",
      0
    )
  )/100,
""""),
  """"
)
"),"")</f>
        <v/>
      </c>
    </row>
    <row r="695">
      <c r="D695" s="172"/>
      <c r="E695" s="368"/>
      <c r="F695" s="368"/>
      <c r="G695" s="368"/>
      <c r="H695" s="172"/>
      <c r="I695" s="172"/>
      <c r="J695" s="172"/>
      <c r="K695" s="172"/>
      <c r="L695" s="172"/>
      <c r="M695" s="172"/>
      <c r="N695" s="172"/>
      <c r="O695" s="358"/>
      <c r="P695" s="358"/>
      <c r="Q695" s="358"/>
      <c r="R695" s="378"/>
      <c r="S695" s="378"/>
      <c r="T695" s="8"/>
      <c r="U695" s="8"/>
      <c r="V695" s="8"/>
      <c r="W695" s="172"/>
      <c r="X695" s="172"/>
      <c r="Y695" s="8"/>
      <c r="Z695" s="8"/>
      <c r="AA695" s="8"/>
      <c r="AB695" s="172"/>
      <c r="AC695" s="172"/>
      <c r="AD695" s="8"/>
      <c r="AE695" s="8"/>
      <c r="AF695" s="8"/>
      <c r="AG695" s="172"/>
      <c r="AH695" s="172"/>
      <c r="AI695" s="367"/>
      <c r="AJ695" s="362"/>
      <c r="AK695" s="363" t="str">
        <f>IFERROR(__xludf.DUMMYFUNCTION("IFERROR(if(D697&lt;&gt;"""", 
  AVERAGE(
    QUERY(
      IMPORTRANGE(""1-uH1wy6jSm5jYL9je6fN1K5RJ5QMvHntodEHZRtIvTk"", ""All Data!N2:U""),
      ""select Col8 where Col1 = '"" &amp; D697 &amp; ""' and Col8 is not null"",
      0
    )
  )/100,
""""),
  """"
)
"),"")</f>
        <v/>
      </c>
    </row>
    <row r="696">
      <c r="D696" s="172"/>
      <c r="E696" s="368"/>
      <c r="F696" s="368"/>
      <c r="G696" s="368"/>
      <c r="H696" s="172"/>
      <c r="I696" s="172"/>
      <c r="J696" s="172"/>
      <c r="K696" s="172"/>
      <c r="L696" s="172"/>
      <c r="M696" s="172"/>
      <c r="N696" s="172"/>
      <c r="O696" s="358"/>
      <c r="P696" s="358"/>
      <c r="Q696" s="358"/>
      <c r="R696" s="378"/>
      <c r="S696" s="378"/>
      <c r="T696" s="8"/>
      <c r="U696" s="8"/>
      <c r="V696" s="8"/>
      <c r="W696" s="172"/>
      <c r="X696" s="172"/>
      <c r="Y696" s="8"/>
      <c r="Z696" s="8"/>
      <c r="AA696" s="8"/>
      <c r="AB696" s="172"/>
      <c r="AC696" s="172"/>
      <c r="AD696" s="8"/>
      <c r="AE696" s="8"/>
      <c r="AF696" s="8"/>
      <c r="AG696" s="172"/>
      <c r="AH696" s="172"/>
      <c r="AI696" s="367"/>
      <c r="AJ696" s="362"/>
      <c r="AK696" s="363" t="str">
        <f>IFERROR(__xludf.DUMMYFUNCTION("IFERROR(if(D698&lt;&gt;"""", 
  AVERAGE(
    QUERY(
      IMPORTRANGE(""1-uH1wy6jSm5jYL9je6fN1K5RJ5QMvHntodEHZRtIvTk"", ""All Data!N2:U""),
      ""select Col8 where Col1 = '"" &amp; D698 &amp; ""' and Col8 is not null"",
      0
    )
  )/100,
""""),
  """"
)
"),"")</f>
        <v/>
      </c>
    </row>
    <row r="697">
      <c r="D697" s="172"/>
      <c r="E697" s="368"/>
      <c r="F697" s="368"/>
      <c r="G697" s="368"/>
      <c r="H697" s="172"/>
      <c r="I697" s="172"/>
      <c r="J697" s="172"/>
      <c r="K697" s="172"/>
      <c r="L697" s="172"/>
      <c r="M697" s="172"/>
      <c r="N697" s="172"/>
      <c r="O697" s="358"/>
      <c r="P697" s="358"/>
      <c r="Q697" s="358"/>
      <c r="R697" s="378"/>
      <c r="S697" s="378"/>
      <c r="T697" s="8"/>
      <c r="U697" s="8"/>
      <c r="V697" s="8"/>
      <c r="W697" s="172"/>
      <c r="X697" s="172"/>
      <c r="Y697" s="8"/>
      <c r="Z697" s="8"/>
      <c r="AA697" s="8"/>
      <c r="AB697" s="172"/>
      <c r="AC697" s="172"/>
      <c r="AD697" s="8"/>
      <c r="AE697" s="8"/>
      <c r="AF697" s="8"/>
      <c r="AG697" s="172"/>
      <c r="AH697" s="172"/>
      <c r="AI697" s="367"/>
      <c r="AJ697" s="362"/>
      <c r="AK697" s="363" t="str">
        <f>IFERROR(__xludf.DUMMYFUNCTION("IFERROR(if(D699&lt;&gt;"""", 
  AVERAGE(
    QUERY(
      IMPORTRANGE(""1-uH1wy6jSm5jYL9je6fN1K5RJ5QMvHntodEHZRtIvTk"", ""All Data!N2:U""),
      ""select Col8 where Col1 = '"" &amp; D699 &amp; ""' and Col8 is not null"",
      0
    )
  )/100,
""""),
  """"
)
"),"")</f>
        <v/>
      </c>
    </row>
    <row r="698">
      <c r="D698" s="172"/>
      <c r="E698" s="368"/>
      <c r="F698" s="368"/>
      <c r="G698" s="368"/>
      <c r="H698" s="172"/>
      <c r="I698" s="172"/>
      <c r="J698" s="172"/>
      <c r="K698" s="172"/>
      <c r="L698" s="172"/>
      <c r="M698" s="172"/>
      <c r="N698" s="172"/>
      <c r="O698" s="358"/>
      <c r="P698" s="358"/>
      <c r="Q698" s="358"/>
      <c r="R698" s="378"/>
      <c r="S698" s="378"/>
      <c r="T698" s="8"/>
      <c r="U698" s="8"/>
      <c r="V698" s="8"/>
      <c r="W698" s="172"/>
      <c r="X698" s="172"/>
      <c r="Y698" s="8"/>
      <c r="Z698" s="8"/>
      <c r="AA698" s="8"/>
      <c r="AB698" s="172"/>
      <c r="AC698" s="172"/>
      <c r="AD698" s="8"/>
      <c r="AE698" s="8"/>
      <c r="AF698" s="8"/>
      <c r="AG698" s="172"/>
      <c r="AH698" s="172"/>
      <c r="AI698" s="367"/>
      <c r="AJ698" s="362"/>
      <c r="AK698" s="363" t="str">
        <f>IFERROR(__xludf.DUMMYFUNCTION("IFERROR(if(D700&lt;&gt;"""", 
  AVERAGE(
    QUERY(
      IMPORTRANGE(""1-uH1wy6jSm5jYL9je6fN1K5RJ5QMvHntodEHZRtIvTk"", ""All Data!N2:U""),
      ""select Col8 where Col1 = '"" &amp; D700 &amp; ""' and Col8 is not null"",
      0
    )
  )/100,
""""),
  """"
)
"),"")</f>
        <v/>
      </c>
    </row>
    <row r="699">
      <c r="D699" s="172"/>
      <c r="E699" s="368"/>
      <c r="F699" s="368"/>
      <c r="G699" s="368"/>
      <c r="H699" s="172"/>
      <c r="I699" s="172"/>
      <c r="J699" s="172"/>
      <c r="K699" s="172"/>
      <c r="L699" s="172"/>
      <c r="M699" s="172"/>
      <c r="N699" s="172"/>
      <c r="O699" s="358"/>
      <c r="P699" s="358"/>
      <c r="Q699" s="358"/>
      <c r="R699" s="378"/>
      <c r="S699" s="378"/>
      <c r="T699" s="8"/>
      <c r="U699" s="8"/>
      <c r="V699" s="8"/>
      <c r="W699" s="172"/>
      <c r="X699" s="172"/>
      <c r="Y699" s="8"/>
      <c r="Z699" s="8"/>
      <c r="AA699" s="8"/>
      <c r="AB699" s="172"/>
      <c r="AC699" s="172"/>
      <c r="AD699" s="8"/>
      <c r="AE699" s="8"/>
      <c r="AF699" s="8"/>
      <c r="AG699" s="172"/>
      <c r="AH699" s="172"/>
      <c r="AI699" s="367"/>
      <c r="AJ699" s="362"/>
      <c r="AK699" s="363" t="str">
        <f>IFERROR(__xludf.DUMMYFUNCTION("IFERROR(if(D701&lt;&gt;"""", 
  AVERAGE(
    QUERY(
      IMPORTRANGE(""1-uH1wy6jSm5jYL9je6fN1K5RJ5QMvHntodEHZRtIvTk"", ""All Data!N2:U""),
      ""select Col8 where Col1 = '"" &amp; D701 &amp; ""' and Col8 is not null"",
      0
    )
  )/100,
""""),
  """"
)
"),"")</f>
        <v/>
      </c>
    </row>
    <row r="700">
      <c r="D700" s="172"/>
      <c r="E700" s="368"/>
      <c r="F700" s="368"/>
      <c r="G700" s="368"/>
      <c r="H700" s="172"/>
      <c r="I700" s="172"/>
      <c r="J700" s="172"/>
      <c r="K700" s="172"/>
      <c r="L700" s="172"/>
      <c r="M700" s="172"/>
      <c r="N700" s="172"/>
      <c r="O700" s="358"/>
      <c r="P700" s="358"/>
      <c r="Q700" s="358"/>
      <c r="R700" s="378"/>
      <c r="S700" s="378"/>
      <c r="T700" s="8"/>
      <c r="U700" s="8"/>
      <c r="V700" s="8"/>
      <c r="W700" s="172"/>
      <c r="X700" s="172"/>
      <c r="Y700" s="8"/>
      <c r="Z700" s="8"/>
      <c r="AA700" s="8"/>
      <c r="AB700" s="172"/>
      <c r="AC700" s="172"/>
      <c r="AD700" s="8"/>
      <c r="AE700" s="8"/>
      <c r="AF700" s="8"/>
      <c r="AG700" s="172"/>
      <c r="AH700" s="172"/>
      <c r="AI700" s="367"/>
      <c r="AJ700" s="362"/>
      <c r="AK700" s="363" t="str">
        <f>IFERROR(__xludf.DUMMYFUNCTION("IFERROR(if(D702&lt;&gt;"""", 
  AVERAGE(
    QUERY(
      IMPORTRANGE(""1-uH1wy6jSm5jYL9je6fN1K5RJ5QMvHntodEHZRtIvTk"", ""All Data!N2:U""),
      ""select Col8 where Col1 = '"" &amp; D702 &amp; ""' and Col8 is not null"",
      0
    )
  )/100,
""""),
  """"
)
"),"")</f>
        <v/>
      </c>
    </row>
    <row r="701">
      <c r="D701" s="172"/>
      <c r="E701" s="368"/>
      <c r="F701" s="368"/>
      <c r="G701" s="368"/>
      <c r="H701" s="172"/>
      <c r="I701" s="172"/>
      <c r="J701" s="172"/>
      <c r="K701" s="172"/>
      <c r="L701" s="172"/>
      <c r="M701" s="172"/>
      <c r="N701" s="172"/>
      <c r="O701" s="358"/>
      <c r="P701" s="358"/>
      <c r="Q701" s="358"/>
      <c r="R701" s="378"/>
      <c r="S701" s="378"/>
      <c r="T701" s="8"/>
      <c r="U701" s="8"/>
      <c r="V701" s="8"/>
      <c r="W701" s="172"/>
      <c r="X701" s="172"/>
      <c r="Y701" s="8"/>
      <c r="Z701" s="8"/>
      <c r="AA701" s="8"/>
      <c r="AB701" s="172"/>
      <c r="AC701" s="172"/>
      <c r="AD701" s="8"/>
      <c r="AE701" s="8"/>
      <c r="AF701" s="8"/>
      <c r="AG701" s="172"/>
      <c r="AH701" s="172"/>
      <c r="AI701" s="367"/>
      <c r="AJ701" s="362"/>
      <c r="AK701" s="363" t="str">
        <f>IFERROR(__xludf.DUMMYFUNCTION("IFERROR(if(D703&lt;&gt;"""", 
  AVERAGE(
    QUERY(
      IMPORTRANGE(""1-uH1wy6jSm5jYL9je6fN1K5RJ5QMvHntodEHZRtIvTk"", ""All Data!N2:U""),
      ""select Col8 where Col1 = '"" &amp; D703 &amp; ""' and Col8 is not null"",
      0
    )
  )/100,
""""),
  """"
)
"),"")</f>
        <v/>
      </c>
    </row>
    <row r="702">
      <c r="D702" s="172"/>
      <c r="E702" s="368"/>
      <c r="F702" s="368"/>
      <c r="G702" s="368"/>
      <c r="H702" s="172"/>
      <c r="I702" s="172"/>
      <c r="J702" s="172"/>
      <c r="K702" s="172"/>
      <c r="L702" s="172"/>
      <c r="M702" s="172"/>
      <c r="N702" s="172"/>
      <c r="O702" s="358"/>
      <c r="P702" s="358"/>
      <c r="Q702" s="358"/>
      <c r="R702" s="378"/>
      <c r="S702" s="378"/>
      <c r="T702" s="8"/>
      <c r="U702" s="8"/>
      <c r="V702" s="8"/>
      <c r="W702" s="172"/>
      <c r="X702" s="172"/>
      <c r="Y702" s="8"/>
      <c r="Z702" s="8"/>
      <c r="AA702" s="8"/>
      <c r="AB702" s="172"/>
      <c r="AC702" s="172"/>
      <c r="AD702" s="8"/>
      <c r="AE702" s="8"/>
      <c r="AF702" s="8"/>
      <c r="AG702" s="172"/>
      <c r="AH702" s="172"/>
      <c r="AI702" s="367"/>
      <c r="AJ702" s="362"/>
      <c r="AK702" s="363" t="str">
        <f>IFERROR(__xludf.DUMMYFUNCTION("IFERROR(if(D704&lt;&gt;"""", 
  AVERAGE(
    QUERY(
      IMPORTRANGE(""1-uH1wy6jSm5jYL9je6fN1K5RJ5QMvHntodEHZRtIvTk"", ""All Data!N2:U""),
      ""select Col8 where Col1 = '"" &amp; D704 &amp; ""' and Col8 is not null"",
      0
    )
  )/100,
""""),
  """"
)
"),"")</f>
        <v/>
      </c>
    </row>
    <row r="703">
      <c r="D703" s="172"/>
      <c r="E703" s="368"/>
      <c r="F703" s="368"/>
      <c r="G703" s="368"/>
      <c r="H703" s="172"/>
      <c r="I703" s="172"/>
      <c r="J703" s="172"/>
      <c r="K703" s="172"/>
      <c r="L703" s="172"/>
      <c r="M703" s="172"/>
      <c r="N703" s="172"/>
      <c r="O703" s="358"/>
      <c r="P703" s="358"/>
      <c r="Q703" s="358"/>
      <c r="R703" s="378"/>
      <c r="S703" s="378"/>
      <c r="T703" s="8"/>
      <c r="U703" s="8"/>
      <c r="V703" s="8"/>
      <c r="W703" s="172"/>
      <c r="X703" s="172"/>
      <c r="Y703" s="8"/>
      <c r="Z703" s="8"/>
      <c r="AA703" s="8"/>
      <c r="AB703" s="172"/>
      <c r="AC703" s="172"/>
      <c r="AD703" s="8"/>
      <c r="AE703" s="8"/>
      <c r="AF703" s="8"/>
      <c r="AG703" s="172"/>
      <c r="AH703" s="172"/>
      <c r="AI703" s="367"/>
      <c r="AJ703" s="362"/>
      <c r="AK703" s="363" t="str">
        <f>IFERROR(__xludf.DUMMYFUNCTION("IFERROR(if(D705&lt;&gt;"""", 
  AVERAGE(
    QUERY(
      IMPORTRANGE(""1-uH1wy6jSm5jYL9je6fN1K5RJ5QMvHntodEHZRtIvTk"", ""All Data!N2:U""),
      ""select Col8 where Col1 = '"" &amp; D705 &amp; ""' and Col8 is not null"",
      0
    )
  )/100,
""""),
  """"
)
"),"")</f>
        <v/>
      </c>
    </row>
    <row r="704">
      <c r="D704" s="172"/>
      <c r="E704" s="368"/>
      <c r="F704" s="368"/>
      <c r="G704" s="368"/>
      <c r="H704" s="172"/>
      <c r="I704" s="172"/>
      <c r="J704" s="172"/>
      <c r="K704" s="172"/>
      <c r="L704" s="172"/>
      <c r="M704" s="172"/>
      <c r="N704" s="172"/>
      <c r="O704" s="358"/>
      <c r="P704" s="358"/>
      <c r="Q704" s="358"/>
      <c r="R704" s="378"/>
      <c r="S704" s="378"/>
      <c r="T704" s="8"/>
      <c r="U704" s="8"/>
      <c r="V704" s="8"/>
      <c r="W704" s="172"/>
      <c r="X704" s="172"/>
      <c r="Y704" s="8"/>
      <c r="Z704" s="8"/>
      <c r="AA704" s="8"/>
      <c r="AB704" s="172"/>
      <c r="AC704" s="172"/>
      <c r="AD704" s="8"/>
      <c r="AE704" s="8"/>
      <c r="AF704" s="8"/>
      <c r="AG704" s="172"/>
      <c r="AH704" s="172"/>
      <c r="AI704" s="367"/>
      <c r="AJ704" s="362"/>
      <c r="AK704" s="363" t="str">
        <f>IFERROR(__xludf.DUMMYFUNCTION("IFERROR(if(D706&lt;&gt;"""", 
  AVERAGE(
    QUERY(
      IMPORTRANGE(""1-uH1wy6jSm5jYL9je6fN1K5RJ5QMvHntodEHZRtIvTk"", ""All Data!N2:U""),
      ""select Col8 where Col1 = '"" &amp; D706 &amp; ""' and Col8 is not null"",
      0
    )
  )/100,
""""),
  """"
)
"),"")</f>
        <v/>
      </c>
    </row>
    <row r="705">
      <c r="D705" s="172"/>
      <c r="E705" s="368"/>
      <c r="F705" s="368"/>
      <c r="G705" s="368"/>
      <c r="H705" s="172"/>
      <c r="I705" s="172"/>
      <c r="J705" s="172"/>
      <c r="K705" s="172"/>
      <c r="L705" s="172"/>
      <c r="M705" s="172"/>
      <c r="N705" s="172"/>
      <c r="O705" s="358"/>
      <c r="P705" s="358"/>
      <c r="Q705" s="358"/>
      <c r="R705" s="378"/>
      <c r="S705" s="378"/>
      <c r="T705" s="8"/>
      <c r="U705" s="8"/>
      <c r="V705" s="8"/>
      <c r="W705" s="172"/>
      <c r="X705" s="172"/>
      <c r="Y705" s="8"/>
      <c r="Z705" s="8"/>
      <c r="AA705" s="8"/>
      <c r="AB705" s="172"/>
      <c r="AC705" s="172"/>
      <c r="AD705" s="8"/>
      <c r="AE705" s="8"/>
      <c r="AF705" s="8"/>
      <c r="AG705" s="172"/>
      <c r="AH705" s="172"/>
      <c r="AI705" s="367"/>
      <c r="AJ705" s="362"/>
      <c r="AK705" s="363" t="str">
        <f>IFERROR(__xludf.DUMMYFUNCTION("IFERROR(if(D707&lt;&gt;"""", 
  AVERAGE(
    QUERY(
      IMPORTRANGE(""1-uH1wy6jSm5jYL9je6fN1K5RJ5QMvHntodEHZRtIvTk"", ""All Data!N2:U""),
      ""select Col8 where Col1 = '"" &amp; D707 &amp; ""' and Col8 is not null"",
      0
    )
  )/100,
""""),
  """"
)
"),"")</f>
        <v/>
      </c>
    </row>
    <row r="706">
      <c r="D706" s="172"/>
      <c r="E706" s="368"/>
      <c r="F706" s="368"/>
      <c r="G706" s="368"/>
      <c r="H706" s="172"/>
      <c r="I706" s="172"/>
      <c r="J706" s="172"/>
      <c r="K706" s="172"/>
      <c r="L706" s="172"/>
      <c r="M706" s="172"/>
      <c r="N706" s="172"/>
      <c r="O706" s="358"/>
      <c r="P706" s="358"/>
      <c r="Q706" s="358"/>
      <c r="R706" s="378"/>
      <c r="S706" s="378"/>
      <c r="T706" s="8"/>
      <c r="U706" s="8"/>
      <c r="V706" s="8"/>
      <c r="W706" s="172"/>
      <c r="X706" s="172"/>
      <c r="Y706" s="8"/>
      <c r="Z706" s="8"/>
      <c r="AA706" s="8"/>
      <c r="AB706" s="172"/>
      <c r="AC706" s="172"/>
      <c r="AD706" s="8"/>
      <c r="AE706" s="8"/>
      <c r="AF706" s="8"/>
      <c r="AG706" s="172"/>
      <c r="AH706" s="172"/>
      <c r="AI706" s="367"/>
      <c r="AJ706" s="362"/>
      <c r="AK706" s="363" t="str">
        <f>IFERROR(__xludf.DUMMYFUNCTION("IFERROR(if(D708&lt;&gt;"""", 
  AVERAGE(
    QUERY(
      IMPORTRANGE(""1-uH1wy6jSm5jYL9je6fN1K5RJ5QMvHntodEHZRtIvTk"", ""All Data!N2:U""),
      ""select Col8 where Col1 = '"" &amp; D708 &amp; ""' and Col8 is not null"",
      0
    )
  )/100,
""""),
  """"
)
"),"")</f>
        <v/>
      </c>
    </row>
    <row r="707">
      <c r="D707" s="172"/>
      <c r="E707" s="368"/>
      <c r="F707" s="368"/>
      <c r="G707" s="368"/>
      <c r="H707" s="172"/>
      <c r="I707" s="172"/>
      <c r="J707" s="172"/>
      <c r="K707" s="172"/>
      <c r="L707" s="172"/>
      <c r="M707" s="172"/>
      <c r="N707" s="172"/>
      <c r="O707" s="358"/>
      <c r="P707" s="358"/>
      <c r="Q707" s="358"/>
      <c r="R707" s="378"/>
      <c r="S707" s="378"/>
      <c r="T707" s="8"/>
      <c r="U707" s="8"/>
      <c r="V707" s="8"/>
      <c r="W707" s="172"/>
      <c r="X707" s="172"/>
      <c r="Y707" s="8"/>
      <c r="Z707" s="8"/>
      <c r="AA707" s="8"/>
      <c r="AB707" s="172"/>
      <c r="AC707" s="172"/>
      <c r="AD707" s="8"/>
      <c r="AE707" s="8"/>
      <c r="AF707" s="8"/>
      <c r="AG707" s="172"/>
      <c r="AH707" s="172"/>
      <c r="AI707" s="367"/>
      <c r="AJ707" s="362"/>
      <c r="AK707" s="363" t="str">
        <f>IFERROR(__xludf.DUMMYFUNCTION("IFERROR(if(D709&lt;&gt;"""", 
  AVERAGE(
    QUERY(
      IMPORTRANGE(""1-uH1wy6jSm5jYL9je6fN1K5RJ5QMvHntodEHZRtIvTk"", ""All Data!N2:U""),
      ""select Col8 where Col1 = '"" &amp; D709 &amp; ""' and Col8 is not null"",
      0
    )
  )/100,
""""),
  """"
)
"),"")</f>
        <v/>
      </c>
    </row>
    <row r="708">
      <c r="D708" s="172"/>
      <c r="E708" s="368"/>
      <c r="F708" s="368"/>
      <c r="G708" s="368"/>
      <c r="H708" s="172"/>
      <c r="I708" s="172"/>
      <c r="J708" s="172"/>
      <c r="K708" s="172"/>
      <c r="L708" s="172"/>
      <c r="M708" s="172"/>
      <c r="N708" s="172"/>
      <c r="O708" s="358"/>
      <c r="P708" s="358"/>
      <c r="Q708" s="358"/>
      <c r="R708" s="378"/>
      <c r="S708" s="378"/>
      <c r="T708" s="8"/>
      <c r="U708" s="8"/>
      <c r="V708" s="8"/>
      <c r="W708" s="172"/>
      <c r="X708" s="172"/>
      <c r="Y708" s="8"/>
      <c r="Z708" s="8"/>
      <c r="AA708" s="8"/>
      <c r="AB708" s="172"/>
      <c r="AC708" s="172"/>
      <c r="AD708" s="8"/>
      <c r="AE708" s="8"/>
      <c r="AF708" s="8"/>
      <c r="AG708" s="172"/>
      <c r="AH708" s="172"/>
      <c r="AI708" s="367"/>
      <c r="AJ708" s="362"/>
      <c r="AK708" s="363" t="str">
        <f>IFERROR(__xludf.DUMMYFUNCTION("IFERROR(if(D710&lt;&gt;"""", 
  AVERAGE(
    QUERY(
      IMPORTRANGE(""1-uH1wy6jSm5jYL9je6fN1K5RJ5QMvHntodEHZRtIvTk"", ""All Data!N2:U""),
      ""select Col8 where Col1 = '"" &amp; D710 &amp; ""' and Col8 is not null"",
      0
    )
  )/100,
""""),
  """"
)
"),"")</f>
        <v/>
      </c>
    </row>
    <row r="709">
      <c r="D709" s="172"/>
      <c r="E709" s="368"/>
      <c r="F709" s="368"/>
      <c r="G709" s="368"/>
      <c r="H709" s="172"/>
      <c r="I709" s="172"/>
      <c r="J709" s="172"/>
      <c r="K709" s="172"/>
      <c r="L709" s="172"/>
      <c r="M709" s="172"/>
      <c r="N709" s="172"/>
      <c r="O709" s="358"/>
      <c r="P709" s="358"/>
      <c r="Q709" s="358"/>
      <c r="R709" s="378"/>
      <c r="S709" s="378"/>
      <c r="T709" s="8"/>
      <c r="U709" s="8"/>
      <c r="V709" s="8"/>
      <c r="W709" s="172"/>
      <c r="X709" s="172"/>
      <c r="Y709" s="8"/>
      <c r="Z709" s="8"/>
      <c r="AA709" s="8"/>
      <c r="AB709" s="172"/>
      <c r="AC709" s="172"/>
      <c r="AD709" s="8"/>
      <c r="AE709" s="8"/>
      <c r="AF709" s="8"/>
      <c r="AG709" s="172"/>
      <c r="AH709" s="172"/>
      <c r="AI709" s="367"/>
      <c r="AJ709" s="362"/>
      <c r="AK709" s="363" t="str">
        <f>IFERROR(__xludf.DUMMYFUNCTION("IFERROR(if(D711&lt;&gt;"""", 
  AVERAGE(
    QUERY(
      IMPORTRANGE(""1-uH1wy6jSm5jYL9je6fN1K5RJ5QMvHntodEHZRtIvTk"", ""All Data!N2:U""),
      ""select Col8 where Col1 = '"" &amp; D711 &amp; ""' and Col8 is not null"",
      0
    )
  )/100,
""""),
  """"
)
"),"")</f>
        <v/>
      </c>
    </row>
    <row r="710">
      <c r="D710" s="172"/>
      <c r="E710" s="368"/>
      <c r="F710" s="368"/>
      <c r="G710" s="368"/>
      <c r="H710" s="172"/>
      <c r="I710" s="172"/>
      <c r="J710" s="172"/>
      <c r="K710" s="172"/>
      <c r="L710" s="172"/>
      <c r="M710" s="172"/>
      <c r="N710" s="172"/>
      <c r="O710" s="358"/>
      <c r="P710" s="358"/>
      <c r="Q710" s="358"/>
      <c r="R710" s="378"/>
      <c r="S710" s="378"/>
      <c r="T710" s="8"/>
      <c r="U710" s="8"/>
      <c r="V710" s="8"/>
      <c r="W710" s="172"/>
      <c r="X710" s="172"/>
      <c r="Y710" s="8"/>
      <c r="Z710" s="8"/>
      <c r="AA710" s="8"/>
      <c r="AB710" s="172"/>
      <c r="AC710" s="172"/>
      <c r="AD710" s="8"/>
      <c r="AE710" s="8"/>
      <c r="AF710" s="8"/>
      <c r="AG710" s="172"/>
      <c r="AH710" s="172"/>
      <c r="AI710" s="367"/>
      <c r="AJ710" s="362"/>
      <c r="AK710" s="363" t="str">
        <f>IFERROR(__xludf.DUMMYFUNCTION("IFERROR(if(D712&lt;&gt;"""", 
  AVERAGE(
    QUERY(
      IMPORTRANGE(""1-uH1wy6jSm5jYL9je6fN1K5RJ5QMvHntodEHZRtIvTk"", ""All Data!N2:U""),
      ""select Col8 where Col1 = '"" &amp; D712 &amp; ""' and Col8 is not null"",
      0
    )
  )/100,
""""),
  """"
)
"),"")</f>
        <v/>
      </c>
    </row>
    <row r="711">
      <c r="D711" s="172"/>
      <c r="E711" s="368"/>
      <c r="F711" s="368"/>
      <c r="G711" s="368"/>
      <c r="H711" s="172"/>
      <c r="I711" s="172"/>
      <c r="J711" s="172"/>
      <c r="K711" s="172"/>
      <c r="L711" s="172"/>
      <c r="M711" s="172"/>
      <c r="N711" s="172"/>
      <c r="O711" s="358"/>
      <c r="P711" s="358"/>
      <c r="Q711" s="358"/>
      <c r="R711" s="378"/>
      <c r="S711" s="378"/>
      <c r="T711" s="8"/>
      <c r="U711" s="8"/>
      <c r="V711" s="8"/>
      <c r="W711" s="172"/>
      <c r="X711" s="172"/>
      <c r="Y711" s="8"/>
      <c r="Z711" s="8"/>
      <c r="AA711" s="8"/>
      <c r="AB711" s="172"/>
      <c r="AC711" s="172"/>
      <c r="AD711" s="8"/>
      <c r="AE711" s="8"/>
      <c r="AF711" s="8"/>
      <c r="AG711" s="172"/>
      <c r="AH711" s="172"/>
      <c r="AI711" s="367"/>
      <c r="AJ711" s="362"/>
      <c r="AK711" s="363" t="str">
        <f>IFERROR(__xludf.DUMMYFUNCTION("IFERROR(if(D713&lt;&gt;"""", 
  AVERAGE(
    QUERY(
      IMPORTRANGE(""1-uH1wy6jSm5jYL9je6fN1K5RJ5QMvHntodEHZRtIvTk"", ""All Data!N2:U""),
      ""select Col8 where Col1 = '"" &amp; D713 &amp; ""' and Col8 is not null"",
      0
    )
  )/100,
""""),
  """"
)
"),"")</f>
        <v/>
      </c>
    </row>
    <row r="712">
      <c r="D712" s="172"/>
      <c r="E712" s="368"/>
      <c r="F712" s="368"/>
      <c r="G712" s="368"/>
      <c r="H712" s="172"/>
      <c r="I712" s="172"/>
      <c r="J712" s="172"/>
      <c r="K712" s="172"/>
      <c r="L712" s="172"/>
      <c r="M712" s="172"/>
      <c r="N712" s="172"/>
      <c r="O712" s="358"/>
      <c r="P712" s="358"/>
      <c r="Q712" s="358"/>
      <c r="R712" s="378"/>
      <c r="S712" s="378"/>
      <c r="T712" s="8"/>
      <c r="U712" s="8"/>
      <c r="V712" s="8"/>
      <c r="W712" s="172"/>
      <c r="X712" s="172"/>
      <c r="Y712" s="8"/>
      <c r="Z712" s="8"/>
      <c r="AA712" s="8"/>
      <c r="AB712" s="172"/>
      <c r="AC712" s="172"/>
      <c r="AD712" s="8"/>
      <c r="AE712" s="8"/>
      <c r="AF712" s="8"/>
      <c r="AG712" s="172"/>
      <c r="AH712" s="172"/>
      <c r="AI712" s="367"/>
      <c r="AJ712" s="362"/>
      <c r="AK712" s="363" t="str">
        <f>IFERROR(__xludf.DUMMYFUNCTION("IFERROR(if(D714&lt;&gt;"""", 
  AVERAGE(
    QUERY(
      IMPORTRANGE(""1-uH1wy6jSm5jYL9je6fN1K5RJ5QMvHntodEHZRtIvTk"", ""All Data!N2:U""),
      ""select Col8 where Col1 = '"" &amp; D714 &amp; ""' and Col8 is not null"",
      0
    )
  )/100,
""""),
  """"
)
"),"")</f>
        <v/>
      </c>
    </row>
    <row r="713">
      <c r="D713" s="172"/>
      <c r="E713" s="368"/>
      <c r="F713" s="368"/>
      <c r="G713" s="368"/>
      <c r="H713" s="172"/>
      <c r="I713" s="172"/>
      <c r="J713" s="172"/>
      <c r="K713" s="172"/>
      <c r="L713" s="172"/>
      <c r="M713" s="172"/>
      <c r="N713" s="172"/>
      <c r="O713" s="358"/>
      <c r="P713" s="358"/>
      <c r="Q713" s="358"/>
      <c r="R713" s="378"/>
      <c r="S713" s="378"/>
      <c r="T713" s="8"/>
      <c r="U713" s="8"/>
      <c r="V713" s="8"/>
      <c r="W713" s="172"/>
      <c r="X713" s="172"/>
      <c r="Y713" s="8"/>
      <c r="Z713" s="8"/>
      <c r="AA713" s="8"/>
      <c r="AB713" s="172"/>
      <c r="AC713" s="172"/>
      <c r="AD713" s="8"/>
      <c r="AE713" s="8"/>
      <c r="AF713" s="8"/>
      <c r="AG713" s="172"/>
      <c r="AH713" s="172"/>
      <c r="AI713" s="367"/>
      <c r="AJ713" s="362"/>
      <c r="AK713" s="363" t="str">
        <f>IFERROR(__xludf.DUMMYFUNCTION("IFERROR(if(D715&lt;&gt;"""", 
  AVERAGE(
    QUERY(
      IMPORTRANGE(""1-uH1wy6jSm5jYL9je6fN1K5RJ5QMvHntodEHZRtIvTk"", ""All Data!N2:U""),
      ""select Col8 where Col1 = '"" &amp; D715 &amp; ""' and Col8 is not null"",
      0
    )
  )/100,
""""),
  """"
)
"),"")</f>
        <v/>
      </c>
    </row>
    <row r="714">
      <c r="D714" s="172"/>
      <c r="E714" s="368"/>
      <c r="F714" s="368"/>
      <c r="G714" s="368"/>
      <c r="H714" s="172"/>
      <c r="I714" s="172"/>
      <c r="J714" s="172"/>
      <c r="K714" s="172"/>
      <c r="L714" s="172"/>
      <c r="M714" s="172"/>
      <c r="N714" s="172"/>
      <c r="O714" s="358"/>
      <c r="P714" s="358"/>
      <c r="Q714" s="358"/>
      <c r="R714" s="378"/>
      <c r="S714" s="378"/>
      <c r="T714" s="8"/>
      <c r="U714" s="8"/>
      <c r="V714" s="8"/>
      <c r="W714" s="172"/>
      <c r="X714" s="172"/>
      <c r="Y714" s="8"/>
      <c r="Z714" s="8"/>
      <c r="AA714" s="8"/>
      <c r="AB714" s="172"/>
      <c r="AC714" s="172"/>
      <c r="AD714" s="8"/>
      <c r="AE714" s="8"/>
      <c r="AF714" s="8"/>
      <c r="AG714" s="172"/>
      <c r="AH714" s="172"/>
      <c r="AI714" s="367"/>
      <c r="AJ714" s="362"/>
      <c r="AK714" s="363" t="str">
        <f>IFERROR(__xludf.DUMMYFUNCTION("IFERROR(if(D716&lt;&gt;"""", 
  AVERAGE(
    QUERY(
      IMPORTRANGE(""1-uH1wy6jSm5jYL9je6fN1K5RJ5QMvHntodEHZRtIvTk"", ""All Data!N2:U""),
      ""select Col8 where Col1 = '"" &amp; D716 &amp; ""' and Col8 is not null"",
      0
    )
  )/100,
""""),
  """"
)
"),"")</f>
        <v/>
      </c>
    </row>
    <row r="715">
      <c r="D715" s="172"/>
      <c r="E715" s="368"/>
      <c r="F715" s="368"/>
      <c r="G715" s="368"/>
      <c r="H715" s="172"/>
      <c r="I715" s="172"/>
      <c r="J715" s="172"/>
      <c r="K715" s="172"/>
      <c r="L715" s="172"/>
      <c r="M715" s="172"/>
      <c r="N715" s="172"/>
      <c r="O715" s="358"/>
      <c r="P715" s="358"/>
      <c r="Q715" s="358"/>
      <c r="R715" s="378"/>
      <c r="S715" s="378"/>
      <c r="T715" s="8"/>
      <c r="U715" s="8"/>
      <c r="V715" s="8"/>
      <c r="W715" s="172"/>
      <c r="X715" s="172"/>
      <c r="Y715" s="8"/>
      <c r="Z715" s="8"/>
      <c r="AA715" s="8"/>
      <c r="AB715" s="172"/>
      <c r="AC715" s="172"/>
      <c r="AD715" s="8"/>
      <c r="AE715" s="8"/>
      <c r="AF715" s="8"/>
      <c r="AG715" s="172"/>
      <c r="AH715" s="172"/>
      <c r="AI715" s="367"/>
      <c r="AJ715" s="362"/>
      <c r="AK715" s="363" t="str">
        <f>IFERROR(__xludf.DUMMYFUNCTION("IFERROR(if(D717&lt;&gt;"""", 
  AVERAGE(
    QUERY(
      IMPORTRANGE(""1-uH1wy6jSm5jYL9je6fN1K5RJ5QMvHntodEHZRtIvTk"", ""All Data!N2:U""),
      ""select Col8 where Col1 = '"" &amp; D717 &amp; ""' and Col8 is not null"",
      0
    )
  )/100,
""""),
  """"
)
"),"")</f>
        <v/>
      </c>
    </row>
    <row r="716">
      <c r="D716" s="172"/>
      <c r="E716" s="368"/>
      <c r="F716" s="368"/>
      <c r="G716" s="368"/>
      <c r="H716" s="172"/>
      <c r="I716" s="172"/>
      <c r="J716" s="172"/>
      <c r="K716" s="172"/>
      <c r="L716" s="172"/>
      <c r="M716" s="172"/>
      <c r="N716" s="172"/>
      <c r="O716" s="358"/>
      <c r="P716" s="358"/>
      <c r="Q716" s="358"/>
      <c r="R716" s="378"/>
      <c r="S716" s="378"/>
      <c r="T716" s="8"/>
      <c r="U716" s="8"/>
      <c r="V716" s="8"/>
      <c r="W716" s="172"/>
      <c r="X716" s="172"/>
      <c r="Y716" s="8"/>
      <c r="Z716" s="8"/>
      <c r="AA716" s="8"/>
      <c r="AB716" s="172"/>
      <c r="AC716" s="172"/>
      <c r="AD716" s="8"/>
      <c r="AE716" s="8"/>
      <c r="AF716" s="8"/>
      <c r="AG716" s="172"/>
      <c r="AH716" s="172"/>
      <c r="AI716" s="367"/>
      <c r="AJ716" s="362"/>
      <c r="AK716" s="363" t="str">
        <f>IFERROR(__xludf.DUMMYFUNCTION("IFERROR(if(D718&lt;&gt;"""", 
  AVERAGE(
    QUERY(
      IMPORTRANGE(""1-uH1wy6jSm5jYL9je6fN1K5RJ5QMvHntodEHZRtIvTk"", ""All Data!N2:U""),
      ""select Col8 where Col1 = '"" &amp; D718 &amp; ""' and Col8 is not null"",
      0
    )
  )/100,
""""),
  """"
)
"),"")</f>
        <v/>
      </c>
    </row>
    <row r="717">
      <c r="D717" s="172"/>
      <c r="E717" s="368"/>
      <c r="F717" s="368"/>
      <c r="G717" s="368"/>
      <c r="H717" s="172"/>
      <c r="I717" s="172"/>
      <c r="J717" s="172"/>
      <c r="K717" s="172"/>
      <c r="L717" s="172"/>
      <c r="M717" s="172"/>
      <c r="N717" s="172"/>
      <c r="O717" s="358"/>
      <c r="P717" s="358"/>
      <c r="Q717" s="358"/>
      <c r="R717" s="378"/>
      <c r="S717" s="378"/>
      <c r="T717" s="8"/>
      <c r="U717" s="8"/>
      <c r="V717" s="8"/>
      <c r="W717" s="172"/>
      <c r="X717" s="172"/>
      <c r="Y717" s="8"/>
      <c r="Z717" s="8"/>
      <c r="AA717" s="8"/>
      <c r="AB717" s="172"/>
      <c r="AC717" s="172"/>
      <c r="AD717" s="8"/>
      <c r="AE717" s="8"/>
      <c r="AF717" s="8"/>
      <c r="AG717" s="172"/>
      <c r="AH717" s="172"/>
      <c r="AI717" s="367"/>
      <c r="AJ717" s="362"/>
      <c r="AK717" s="363" t="str">
        <f>IFERROR(__xludf.DUMMYFUNCTION("IFERROR(if(D719&lt;&gt;"""", 
  AVERAGE(
    QUERY(
      IMPORTRANGE(""1-uH1wy6jSm5jYL9je6fN1K5RJ5QMvHntodEHZRtIvTk"", ""All Data!N2:U""),
      ""select Col8 where Col1 = '"" &amp; D719 &amp; ""' and Col8 is not null"",
      0
    )
  )/100,
""""),
  """"
)
"),"")</f>
        <v/>
      </c>
    </row>
    <row r="718">
      <c r="D718" s="172"/>
      <c r="E718" s="368"/>
      <c r="F718" s="368"/>
      <c r="G718" s="368"/>
      <c r="H718" s="172"/>
      <c r="I718" s="172"/>
      <c r="J718" s="172"/>
      <c r="K718" s="172"/>
      <c r="L718" s="172"/>
      <c r="M718" s="172"/>
      <c r="N718" s="172"/>
      <c r="O718" s="358"/>
      <c r="P718" s="358"/>
      <c r="Q718" s="358"/>
      <c r="R718" s="378"/>
      <c r="S718" s="378"/>
      <c r="T718" s="8"/>
      <c r="U718" s="8"/>
      <c r="V718" s="8"/>
      <c r="W718" s="172"/>
      <c r="X718" s="172"/>
      <c r="Y718" s="8"/>
      <c r="Z718" s="8"/>
      <c r="AA718" s="8"/>
      <c r="AB718" s="172"/>
      <c r="AC718" s="172"/>
      <c r="AD718" s="8"/>
      <c r="AE718" s="8"/>
      <c r="AF718" s="8"/>
      <c r="AG718" s="172"/>
      <c r="AH718" s="172"/>
      <c r="AI718" s="367"/>
      <c r="AJ718" s="362"/>
      <c r="AK718" s="363" t="str">
        <f>IFERROR(__xludf.DUMMYFUNCTION("IFERROR(if(D720&lt;&gt;"""", 
  AVERAGE(
    QUERY(
      IMPORTRANGE(""1-uH1wy6jSm5jYL9je6fN1K5RJ5QMvHntodEHZRtIvTk"", ""All Data!N2:U""),
      ""select Col8 where Col1 = '"" &amp; D720 &amp; ""' and Col8 is not null"",
      0
    )
  )/100,
""""),
  """"
)
"),"")</f>
        <v/>
      </c>
    </row>
    <row r="719">
      <c r="D719" s="172"/>
      <c r="E719" s="368"/>
      <c r="F719" s="368"/>
      <c r="G719" s="368"/>
      <c r="H719" s="172"/>
      <c r="I719" s="172"/>
      <c r="J719" s="172"/>
      <c r="K719" s="172"/>
      <c r="L719" s="172"/>
      <c r="M719" s="172"/>
      <c r="N719" s="172"/>
      <c r="O719" s="358"/>
      <c r="P719" s="358"/>
      <c r="Q719" s="358"/>
      <c r="R719" s="378"/>
      <c r="S719" s="378"/>
      <c r="T719" s="8"/>
      <c r="U719" s="8"/>
      <c r="V719" s="8"/>
      <c r="W719" s="172"/>
      <c r="X719" s="172"/>
      <c r="Y719" s="8"/>
      <c r="Z719" s="8"/>
      <c r="AA719" s="8"/>
      <c r="AB719" s="172"/>
      <c r="AC719" s="172"/>
      <c r="AD719" s="8"/>
      <c r="AE719" s="8"/>
      <c r="AF719" s="8"/>
      <c r="AG719" s="172"/>
      <c r="AH719" s="172"/>
      <c r="AI719" s="367"/>
      <c r="AJ719" s="362"/>
      <c r="AK719" s="363" t="str">
        <f>IFERROR(__xludf.DUMMYFUNCTION("IFERROR(if(D721&lt;&gt;"""", 
  AVERAGE(
    QUERY(
      IMPORTRANGE(""1-uH1wy6jSm5jYL9je6fN1K5RJ5QMvHntodEHZRtIvTk"", ""All Data!N2:U""),
      ""select Col8 where Col1 = '"" &amp; D721 &amp; ""' and Col8 is not null"",
      0
    )
  )/100,
""""),
  """"
)
"),"")</f>
        <v/>
      </c>
    </row>
    <row r="720">
      <c r="D720" s="172"/>
      <c r="E720" s="368"/>
      <c r="F720" s="368"/>
      <c r="G720" s="368"/>
      <c r="H720" s="172"/>
      <c r="I720" s="172"/>
      <c r="J720" s="172"/>
      <c r="K720" s="172"/>
      <c r="L720" s="172"/>
      <c r="M720" s="172"/>
      <c r="N720" s="172"/>
      <c r="O720" s="358"/>
      <c r="P720" s="358"/>
      <c r="Q720" s="358"/>
      <c r="R720" s="378"/>
      <c r="S720" s="378"/>
      <c r="T720" s="8"/>
      <c r="U720" s="8"/>
      <c r="V720" s="8"/>
      <c r="W720" s="172"/>
      <c r="X720" s="172"/>
      <c r="Y720" s="8"/>
      <c r="Z720" s="8"/>
      <c r="AA720" s="8"/>
      <c r="AB720" s="172"/>
      <c r="AC720" s="172"/>
      <c r="AD720" s="8"/>
      <c r="AE720" s="8"/>
      <c r="AF720" s="8"/>
      <c r="AG720" s="172"/>
      <c r="AH720" s="172"/>
      <c r="AI720" s="367"/>
      <c r="AJ720" s="362"/>
      <c r="AK720" s="363" t="str">
        <f>IFERROR(__xludf.DUMMYFUNCTION("IFERROR(if(D722&lt;&gt;"""", 
  AVERAGE(
    QUERY(
      IMPORTRANGE(""1-uH1wy6jSm5jYL9je6fN1K5RJ5QMvHntodEHZRtIvTk"", ""All Data!N2:U""),
      ""select Col8 where Col1 = '"" &amp; D722 &amp; ""' and Col8 is not null"",
      0
    )
  )/100,
""""),
  """"
)
"),"")</f>
        <v/>
      </c>
    </row>
    <row r="721">
      <c r="D721" s="172"/>
      <c r="E721" s="368"/>
      <c r="F721" s="368"/>
      <c r="G721" s="368"/>
      <c r="H721" s="172"/>
      <c r="I721" s="172"/>
      <c r="J721" s="172"/>
      <c r="K721" s="172"/>
      <c r="L721" s="172"/>
      <c r="M721" s="172"/>
      <c r="N721" s="172"/>
      <c r="O721" s="358"/>
      <c r="P721" s="358"/>
      <c r="Q721" s="358"/>
      <c r="R721" s="378"/>
      <c r="S721" s="378"/>
      <c r="T721" s="8"/>
      <c r="U721" s="8"/>
      <c r="V721" s="8"/>
      <c r="W721" s="172"/>
      <c r="X721" s="172"/>
      <c r="Y721" s="8"/>
      <c r="Z721" s="8"/>
      <c r="AA721" s="8"/>
      <c r="AB721" s="172"/>
      <c r="AC721" s="172"/>
      <c r="AD721" s="8"/>
      <c r="AE721" s="8"/>
      <c r="AF721" s="8"/>
      <c r="AG721" s="172"/>
      <c r="AH721" s="172"/>
      <c r="AI721" s="367"/>
      <c r="AJ721" s="362"/>
      <c r="AK721" s="363" t="str">
        <f>IFERROR(__xludf.DUMMYFUNCTION("IFERROR(if(D723&lt;&gt;"""", 
  AVERAGE(
    QUERY(
      IMPORTRANGE(""1-uH1wy6jSm5jYL9je6fN1K5RJ5QMvHntodEHZRtIvTk"", ""All Data!N2:U""),
      ""select Col8 where Col1 = '"" &amp; D723 &amp; ""' and Col8 is not null"",
      0
    )
  )/100,
""""),
  """"
)
"),"")</f>
        <v/>
      </c>
    </row>
    <row r="722">
      <c r="D722" s="172"/>
      <c r="E722" s="368"/>
      <c r="F722" s="368"/>
      <c r="G722" s="368"/>
      <c r="H722" s="172"/>
      <c r="I722" s="172"/>
      <c r="J722" s="172"/>
      <c r="K722" s="172"/>
      <c r="L722" s="172"/>
      <c r="M722" s="172"/>
      <c r="N722" s="172"/>
      <c r="O722" s="358"/>
      <c r="P722" s="358"/>
      <c r="Q722" s="358"/>
      <c r="R722" s="378"/>
      <c r="S722" s="378"/>
      <c r="T722" s="8"/>
      <c r="U722" s="8"/>
      <c r="V722" s="8"/>
      <c r="W722" s="172"/>
      <c r="X722" s="172"/>
      <c r="Y722" s="8"/>
      <c r="Z722" s="8"/>
      <c r="AA722" s="8"/>
      <c r="AB722" s="172"/>
      <c r="AC722" s="172"/>
      <c r="AD722" s="8"/>
      <c r="AE722" s="8"/>
      <c r="AF722" s="8"/>
      <c r="AG722" s="172"/>
      <c r="AH722" s="172"/>
      <c r="AI722" s="367"/>
      <c r="AJ722" s="362"/>
      <c r="AK722" s="363" t="str">
        <f>IFERROR(__xludf.DUMMYFUNCTION("IFERROR(if(D724&lt;&gt;"""", 
  AVERAGE(
    QUERY(
      IMPORTRANGE(""1-uH1wy6jSm5jYL9je6fN1K5RJ5QMvHntodEHZRtIvTk"", ""All Data!N2:U""),
      ""select Col8 where Col1 = '"" &amp; D724 &amp; ""' and Col8 is not null"",
      0
    )
  )/100,
""""),
  """"
)
"),"")</f>
        <v/>
      </c>
    </row>
    <row r="723">
      <c r="D723" s="172"/>
      <c r="E723" s="368"/>
      <c r="F723" s="368"/>
      <c r="G723" s="368"/>
      <c r="H723" s="172"/>
      <c r="I723" s="172"/>
      <c r="J723" s="172"/>
      <c r="K723" s="172"/>
      <c r="L723" s="172"/>
      <c r="M723" s="172"/>
      <c r="N723" s="172"/>
      <c r="O723" s="358"/>
      <c r="P723" s="358"/>
      <c r="Q723" s="358"/>
      <c r="R723" s="378"/>
      <c r="S723" s="378"/>
      <c r="T723" s="8"/>
      <c r="U723" s="8"/>
      <c r="V723" s="8"/>
      <c r="W723" s="172"/>
      <c r="X723" s="172"/>
      <c r="Y723" s="8"/>
      <c r="Z723" s="8"/>
      <c r="AA723" s="8"/>
      <c r="AB723" s="172"/>
      <c r="AC723" s="172"/>
      <c r="AD723" s="8"/>
      <c r="AE723" s="8"/>
      <c r="AF723" s="8"/>
      <c r="AG723" s="172"/>
      <c r="AH723" s="172"/>
      <c r="AI723" s="367"/>
      <c r="AJ723" s="362"/>
      <c r="AK723" s="363" t="str">
        <f>IFERROR(__xludf.DUMMYFUNCTION("IFERROR(if(D725&lt;&gt;"""", 
  AVERAGE(
    QUERY(
      IMPORTRANGE(""1-uH1wy6jSm5jYL9je6fN1K5RJ5QMvHntodEHZRtIvTk"", ""All Data!N2:U""),
      ""select Col8 where Col1 = '"" &amp; D725 &amp; ""' and Col8 is not null"",
      0
    )
  )/100,
""""),
  """"
)
"),"")</f>
        <v/>
      </c>
    </row>
    <row r="724">
      <c r="D724" s="172"/>
      <c r="E724" s="368"/>
      <c r="F724" s="368"/>
      <c r="G724" s="368"/>
      <c r="H724" s="172"/>
      <c r="I724" s="172"/>
      <c r="J724" s="172"/>
      <c r="K724" s="172"/>
      <c r="L724" s="172"/>
      <c r="M724" s="172"/>
      <c r="N724" s="172"/>
      <c r="O724" s="358"/>
      <c r="P724" s="358"/>
      <c r="Q724" s="358"/>
      <c r="R724" s="378"/>
      <c r="S724" s="378"/>
      <c r="T724" s="8"/>
      <c r="U724" s="8"/>
      <c r="V724" s="8"/>
      <c r="W724" s="172"/>
      <c r="X724" s="172"/>
      <c r="Y724" s="8"/>
      <c r="Z724" s="8"/>
      <c r="AA724" s="8"/>
      <c r="AB724" s="172"/>
      <c r="AC724" s="172"/>
      <c r="AD724" s="8"/>
      <c r="AE724" s="8"/>
      <c r="AF724" s="8"/>
      <c r="AG724" s="172"/>
      <c r="AH724" s="172"/>
      <c r="AI724" s="367"/>
      <c r="AJ724" s="362"/>
      <c r="AK724" s="363" t="str">
        <f>IFERROR(__xludf.DUMMYFUNCTION("IFERROR(if(D726&lt;&gt;"""", 
  AVERAGE(
    QUERY(
      IMPORTRANGE(""1-uH1wy6jSm5jYL9je6fN1K5RJ5QMvHntodEHZRtIvTk"", ""All Data!N2:U""),
      ""select Col8 where Col1 = '"" &amp; D726 &amp; ""' and Col8 is not null"",
      0
    )
  )/100,
""""),
  """"
)
"),"")</f>
        <v/>
      </c>
    </row>
    <row r="725">
      <c r="D725" s="172"/>
      <c r="E725" s="368"/>
      <c r="F725" s="368"/>
      <c r="G725" s="368"/>
      <c r="H725" s="172"/>
      <c r="I725" s="172"/>
      <c r="J725" s="172"/>
      <c r="K725" s="172"/>
      <c r="L725" s="172"/>
      <c r="M725" s="172"/>
      <c r="N725" s="172"/>
      <c r="O725" s="358"/>
      <c r="P725" s="358"/>
      <c r="Q725" s="358"/>
      <c r="R725" s="378"/>
      <c r="S725" s="378"/>
      <c r="T725" s="8"/>
      <c r="U725" s="8"/>
      <c r="V725" s="8"/>
      <c r="W725" s="172"/>
      <c r="X725" s="172"/>
      <c r="Y725" s="8"/>
      <c r="Z725" s="8"/>
      <c r="AA725" s="8"/>
      <c r="AB725" s="172"/>
      <c r="AC725" s="172"/>
      <c r="AD725" s="8"/>
      <c r="AE725" s="8"/>
      <c r="AF725" s="8"/>
      <c r="AG725" s="172"/>
      <c r="AH725" s="172"/>
      <c r="AI725" s="367"/>
      <c r="AJ725" s="362"/>
      <c r="AK725" s="363" t="str">
        <f>IFERROR(__xludf.DUMMYFUNCTION("IFERROR(if(D727&lt;&gt;"""", 
  AVERAGE(
    QUERY(
      IMPORTRANGE(""1-uH1wy6jSm5jYL9je6fN1K5RJ5QMvHntodEHZRtIvTk"", ""All Data!N2:U""),
      ""select Col8 where Col1 = '"" &amp; D727 &amp; ""' and Col8 is not null"",
      0
    )
  )/100,
""""),
  """"
)
"),"")</f>
        <v/>
      </c>
    </row>
    <row r="726">
      <c r="D726" s="172"/>
      <c r="E726" s="368"/>
      <c r="F726" s="368"/>
      <c r="G726" s="368"/>
      <c r="H726" s="172"/>
      <c r="I726" s="172"/>
      <c r="J726" s="172"/>
      <c r="K726" s="172"/>
      <c r="L726" s="172"/>
      <c r="M726" s="172"/>
      <c r="N726" s="172"/>
      <c r="O726" s="358"/>
      <c r="P726" s="358"/>
      <c r="Q726" s="358"/>
      <c r="R726" s="378"/>
      <c r="S726" s="378"/>
      <c r="T726" s="8"/>
      <c r="U726" s="8"/>
      <c r="V726" s="8"/>
      <c r="W726" s="172"/>
      <c r="X726" s="172"/>
      <c r="Y726" s="8"/>
      <c r="Z726" s="8"/>
      <c r="AA726" s="8"/>
      <c r="AB726" s="172"/>
      <c r="AC726" s="172"/>
      <c r="AD726" s="8"/>
      <c r="AE726" s="8"/>
      <c r="AF726" s="8"/>
      <c r="AG726" s="172"/>
      <c r="AH726" s="172"/>
      <c r="AI726" s="367"/>
      <c r="AJ726" s="362"/>
      <c r="AK726" s="363" t="str">
        <f>IFERROR(__xludf.DUMMYFUNCTION("IFERROR(if(D728&lt;&gt;"""", 
  AVERAGE(
    QUERY(
      IMPORTRANGE(""1-uH1wy6jSm5jYL9je6fN1K5RJ5QMvHntodEHZRtIvTk"", ""All Data!N2:U""),
      ""select Col8 where Col1 = '"" &amp; D728 &amp; ""' and Col8 is not null"",
      0
    )
  )/100,
""""),
  """"
)
"),"")</f>
        <v/>
      </c>
    </row>
    <row r="727">
      <c r="D727" s="172"/>
      <c r="E727" s="368"/>
      <c r="F727" s="368"/>
      <c r="G727" s="368"/>
      <c r="H727" s="172"/>
      <c r="I727" s="172"/>
      <c r="J727" s="172"/>
      <c r="K727" s="172"/>
      <c r="L727" s="172"/>
      <c r="M727" s="172"/>
      <c r="N727" s="172"/>
      <c r="O727" s="358"/>
      <c r="P727" s="358"/>
      <c r="Q727" s="358"/>
      <c r="R727" s="378"/>
      <c r="S727" s="378"/>
      <c r="T727" s="8"/>
      <c r="U727" s="8"/>
      <c r="V727" s="8"/>
      <c r="W727" s="172"/>
      <c r="X727" s="172"/>
      <c r="Y727" s="8"/>
      <c r="Z727" s="8"/>
      <c r="AA727" s="8"/>
      <c r="AB727" s="172"/>
      <c r="AC727" s="172"/>
      <c r="AD727" s="8"/>
      <c r="AE727" s="8"/>
      <c r="AF727" s="8"/>
      <c r="AG727" s="172"/>
      <c r="AH727" s="172"/>
      <c r="AI727" s="367"/>
      <c r="AJ727" s="362"/>
      <c r="AK727" s="363" t="str">
        <f>IFERROR(__xludf.DUMMYFUNCTION("IFERROR(if(D729&lt;&gt;"""", 
  AVERAGE(
    QUERY(
      IMPORTRANGE(""1-uH1wy6jSm5jYL9je6fN1K5RJ5QMvHntodEHZRtIvTk"", ""All Data!N2:U""),
      ""select Col8 where Col1 = '"" &amp; D729 &amp; ""' and Col8 is not null"",
      0
    )
  )/100,
""""),
  """"
)
"),"")</f>
        <v/>
      </c>
    </row>
    <row r="728">
      <c r="D728" s="172"/>
      <c r="E728" s="368"/>
      <c r="F728" s="368"/>
      <c r="G728" s="368"/>
      <c r="H728" s="172"/>
      <c r="I728" s="172"/>
      <c r="J728" s="172"/>
      <c r="K728" s="172"/>
      <c r="L728" s="172"/>
      <c r="M728" s="172"/>
      <c r="N728" s="172"/>
      <c r="O728" s="358"/>
      <c r="P728" s="358"/>
      <c r="Q728" s="358"/>
      <c r="R728" s="378"/>
      <c r="S728" s="378"/>
      <c r="T728" s="8"/>
      <c r="U728" s="8"/>
      <c r="V728" s="8"/>
      <c r="W728" s="172"/>
      <c r="X728" s="172"/>
      <c r="Y728" s="8"/>
      <c r="Z728" s="8"/>
      <c r="AA728" s="8"/>
      <c r="AB728" s="172"/>
      <c r="AC728" s="172"/>
      <c r="AD728" s="8"/>
      <c r="AE728" s="8"/>
      <c r="AF728" s="8"/>
      <c r="AG728" s="172"/>
      <c r="AH728" s="172"/>
      <c r="AI728" s="367"/>
      <c r="AJ728" s="362"/>
      <c r="AK728" s="363" t="str">
        <f>IFERROR(__xludf.DUMMYFUNCTION("IFERROR(if(D730&lt;&gt;"""", 
  AVERAGE(
    QUERY(
      IMPORTRANGE(""1-uH1wy6jSm5jYL9je6fN1K5RJ5QMvHntodEHZRtIvTk"", ""All Data!N2:U""),
      ""select Col8 where Col1 = '"" &amp; D730 &amp; ""' and Col8 is not null"",
      0
    )
  )/100,
""""),
  """"
)
"),"")</f>
        <v/>
      </c>
    </row>
    <row r="729">
      <c r="D729" s="172"/>
      <c r="E729" s="368"/>
      <c r="F729" s="368"/>
      <c r="G729" s="368"/>
      <c r="H729" s="172"/>
      <c r="I729" s="172"/>
      <c r="J729" s="172"/>
      <c r="K729" s="172"/>
      <c r="L729" s="172"/>
      <c r="M729" s="172"/>
      <c r="N729" s="172"/>
      <c r="O729" s="358"/>
      <c r="P729" s="358"/>
      <c r="Q729" s="358"/>
      <c r="R729" s="378"/>
      <c r="S729" s="378"/>
      <c r="T729" s="8"/>
      <c r="U729" s="8"/>
      <c r="V729" s="8"/>
      <c r="W729" s="172"/>
      <c r="X729" s="172"/>
      <c r="Y729" s="8"/>
      <c r="Z729" s="8"/>
      <c r="AA729" s="8"/>
      <c r="AB729" s="172"/>
      <c r="AC729" s="172"/>
      <c r="AD729" s="8"/>
      <c r="AE729" s="8"/>
      <c r="AF729" s="8"/>
      <c r="AG729" s="172"/>
      <c r="AH729" s="172"/>
      <c r="AI729" s="367"/>
      <c r="AJ729" s="362"/>
      <c r="AK729" s="363" t="str">
        <f>IFERROR(__xludf.DUMMYFUNCTION("IFERROR(if(D731&lt;&gt;"""", 
  AVERAGE(
    QUERY(
      IMPORTRANGE(""1-uH1wy6jSm5jYL9je6fN1K5RJ5QMvHntodEHZRtIvTk"", ""All Data!N2:U""),
      ""select Col8 where Col1 = '"" &amp; D731 &amp; ""' and Col8 is not null"",
      0
    )
  )/100,
""""),
  """"
)
"),"")</f>
        <v/>
      </c>
    </row>
    <row r="730">
      <c r="D730" s="172"/>
      <c r="E730" s="368"/>
      <c r="F730" s="368"/>
      <c r="G730" s="368"/>
      <c r="H730" s="172"/>
      <c r="I730" s="172"/>
      <c r="J730" s="172"/>
      <c r="K730" s="172"/>
      <c r="L730" s="172"/>
      <c r="M730" s="172"/>
      <c r="N730" s="172"/>
      <c r="O730" s="358"/>
      <c r="P730" s="358"/>
      <c r="Q730" s="358"/>
      <c r="R730" s="378"/>
      <c r="S730" s="378"/>
      <c r="T730" s="8"/>
      <c r="U730" s="8"/>
      <c r="V730" s="8"/>
      <c r="W730" s="172"/>
      <c r="X730" s="172"/>
      <c r="Y730" s="8"/>
      <c r="Z730" s="8"/>
      <c r="AA730" s="8"/>
      <c r="AB730" s="172"/>
      <c r="AC730" s="172"/>
      <c r="AD730" s="8"/>
      <c r="AE730" s="8"/>
      <c r="AF730" s="8"/>
      <c r="AG730" s="172"/>
      <c r="AH730" s="172"/>
      <c r="AI730" s="367"/>
      <c r="AJ730" s="362"/>
      <c r="AK730" s="363" t="str">
        <f>IFERROR(__xludf.DUMMYFUNCTION("IFERROR(if(D732&lt;&gt;"""", 
  AVERAGE(
    QUERY(
      IMPORTRANGE(""1-uH1wy6jSm5jYL9je6fN1K5RJ5QMvHntodEHZRtIvTk"", ""All Data!N2:U""),
      ""select Col8 where Col1 = '"" &amp; D732 &amp; ""' and Col8 is not null"",
      0
    )
  )/100,
""""),
  """"
)
"),"")</f>
        <v/>
      </c>
    </row>
    <row r="731">
      <c r="D731" s="172"/>
      <c r="E731" s="368"/>
      <c r="F731" s="368"/>
      <c r="G731" s="368"/>
      <c r="H731" s="172"/>
      <c r="I731" s="172"/>
      <c r="J731" s="172"/>
      <c r="K731" s="172"/>
      <c r="L731" s="172"/>
      <c r="M731" s="172"/>
      <c r="N731" s="172"/>
      <c r="O731" s="358"/>
      <c r="P731" s="358"/>
      <c r="Q731" s="358"/>
      <c r="R731" s="378"/>
      <c r="S731" s="378"/>
      <c r="T731" s="8"/>
      <c r="U731" s="8"/>
      <c r="V731" s="8"/>
      <c r="W731" s="172"/>
      <c r="X731" s="172"/>
      <c r="Y731" s="8"/>
      <c r="Z731" s="8"/>
      <c r="AA731" s="8"/>
      <c r="AB731" s="172"/>
      <c r="AC731" s="172"/>
      <c r="AD731" s="8"/>
      <c r="AE731" s="8"/>
      <c r="AF731" s="8"/>
      <c r="AG731" s="172"/>
      <c r="AH731" s="172"/>
      <c r="AI731" s="367"/>
      <c r="AJ731" s="362"/>
      <c r="AK731" s="363" t="str">
        <f>IFERROR(__xludf.DUMMYFUNCTION("IFERROR(if(D733&lt;&gt;"""", 
  AVERAGE(
    QUERY(
      IMPORTRANGE(""1-uH1wy6jSm5jYL9je6fN1K5RJ5QMvHntodEHZRtIvTk"", ""All Data!N2:U""),
      ""select Col8 where Col1 = '"" &amp; D733 &amp; ""' and Col8 is not null"",
      0
    )
  )/100,
""""),
  """"
)
"),"")</f>
        <v/>
      </c>
    </row>
    <row r="732">
      <c r="D732" s="172"/>
      <c r="E732" s="368"/>
      <c r="F732" s="368"/>
      <c r="G732" s="368"/>
      <c r="H732" s="172"/>
      <c r="I732" s="172"/>
      <c r="J732" s="172"/>
      <c r="K732" s="172"/>
      <c r="L732" s="172"/>
      <c r="M732" s="172"/>
      <c r="N732" s="172"/>
      <c r="O732" s="358"/>
      <c r="P732" s="358"/>
      <c r="Q732" s="358"/>
      <c r="R732" s="378"/>
      <c r="S732" s="378"/>
      <c r="T732" s="8"/>
      <c r="U732" s="8"/>
      <c r="V732" s="8"/>
      <c r="W732" s="172"/>
      <c r="X732" s="172"/>
      <c r="Y732" s="8"/>
      <c r="Z732" s="8"/>
      <c r="AA732" s="8"/>
      <c r="AB732" s="172"/>
      <c r="AC732" s="172"/>
      <c r="AD732" s="8"/>
      <c r="AE732" s="8"/>
      <c r="AF732" s="8"/>
      <c r="AG732" s="172"/>
      <c r="AH732" s="172"/>
      <c r="AI732" s="367"/>
      <c r="AJ732" s="362"/>
      <c r="AK732" s="363" t="str">
        <f>IFERROR(__xludf.DUMMYFUNCTION("IFERROR(if(D734&lt;&gt;"""", 
  AVERAGE(
    QUERY(
      IMPORTRANGE(""1-uH1wy6jSm5jYL9je6fN1K5RJ5QMvHntodEHZRtIvTk"", ""All Data!N2:U""),
      ""select Col8 where Col1 = '"" &amp; D734 &amp; ""' and Col8 is not null"",
      0
    )
  )/100,
""""),
  """"
)
"),"")</f>
        <v/>
      </c>
    </row>
    <row r="733">
      <c r="D733" s="172"/>
      <c r="E733" s="368"/>
      <c r="F733" s="368"/>
      <c r="G733" s="368"/>
      <c r="H733" s="172"/>
      <c r="I733" s="172"/>
      <c r="J733" s="172"/>
      <c r="K733" s="172"/>
      <c r="L733" s="172"/>
      <c r="M733" s="172"/>
      <c r="N733" s="172"/>
      <c r="O733" s="358"/>
      <c r="P733" s="358"/>
      <c r="Q733" s="358"/>
      <c r="R733" s="378"/>
      <c r="S733" s="378"/>
      <c r="T733" s="8"/>
      <c r="U733" s="8"/>
      <c r="V733" s="8"/>
      <c r="W733" s="172"/>
      <c r="X733" s="172"/>
      <c r="Y733" s="8"/>
      <c r="Z733" s="8"/>
      <c r="AA733" s="8"/>
      <c r="AB733" s="172"/>
      <c r="AC733" s="172"/>
      <c r="AD733" s="8"/>
      <c r="AE733" s="8"/>
      <c r="AF733" s="8"/>
      <c r="AG733" s="172"/>
      <c r="AH733" s="172"/>
      <c r="AI733" s="367"/>
      <c r="AJ733" s="362"/>
      <c r="AK733" s="363" t="str">
        <f>IFERROR(__xludf.DUMMYFUNCTION("IFERROR(if(D735&lt;&gt;"""", 
  AVERAGE(
    QUERY(
      IMPORTRANGE(""1-uH1wy6jSm5jYL9je6fN1K5RJ5QMvHntodEHZRtIvTk"", ""All Data!N2:U""),
      ""select Col8 where Col1 = '"" &amp; D735 &amp; ""' and Col8 is not null"",
      0
    )
  )/100,
""""),
  """"
)
"),"")</f>
        <v/>
      </c>
    </row>
    <row r="734">
      <c r="D734" s="172"/>
      <c r="E734" s="368"/>
      <c r="F734" s="368"/>
      <c r="G734" s="368"/>
      <c r="H734" s="172"/>
      <c r="I734" s="172"/>
      <c r="J734" s="172"/>
      <c r="K734" s="172"/>
      <c r="L734" s="172"/>
      <c r="M734" s="172"/>
      <c r="N734" s="172"/>
      <c r="O734" s="358"/>
      <c r="P734" s="358"/>
      <c r="Q734" s="358"/>
      <c r="R734" s="378"/>
      <c r="S734" s="378"/>
      <c r="T734" s="8"/>
      <c r="U734" s="8"/>
      <c r="V734" s="8"/>
      <c r="W734" s="172"/>
      <c r="X734" s="172"/>
      <c r="Y734" s="8"/>
      <c r="Z734" s="8"/>
      <c r="AA734" s="8"/>
      <c r="AB734" s="172"/>
      <c r="AC734" s="172"/>
      <c r="AD734" s="8"/>
      <c r="AE734" s="8"/>
      <c r="AF734" s="8"/>
      <c r="AG734" s="172"/>
      <c r="AH734" s="172"/>
      <c r="AI734" s="367"/>
      <c r="AJ734" s="362"/>
      <c r="AK734" s="363" t="str">
        <f>IFERROR(__xludf.DUMMYFUNCTION("IFERROR(if(D736&lt;&gt;"""", 
  AVERAGE(
    QUERY(
      IMPORTRANGE(""1-uH1wy6jSm5jYL9je6fN1K5RJ5QMvHntodEHZRtIvTk"", ""All Data!N2:U""),
      ""select Col8 where Col1 = '"" &amp; D736 &amp; ""' and Col8 is not null"",
      0
    )
  )/100,
""""),
  """"
)
"),"")</f>
        <v/>
      </c>
    </row>
    <row r="735">
      <c r="D735" s="172"/>
      <c r="E735" s="368"/>
      <c r="F735" s="368"/>
      <c r="G735" s="368"/>
      <c r="H735" s="172"/>
      <c r="I735" s="172"/>
      <c r="J735" s="172"/>
      <c r="K735" s="172"/>
      <c r="L735" s="172"/>
      <c r="M735" s="172"/>
      <c r="N735" s="172"/>
      <c r="O735" s="358"/>
      <c r="P735" s="358"/>
      <c r="Q735" s="358"/>
      <c r="R735" s="378"/>
      <c r="S735" s="378"/>
      <c r="T735" s="8"/>
      <c r="U735" s="8"/>
      <c r="V735" s="8"/>
      <c r="W735" s="172"/>
      <c r="X735" s="172"/>
      <c r="Y735" s="8"/>
      <c r="Z735" s="8"/>
      <c r="AA735" s="8"/>
      <c r="AB735" s="172"/>
      <c r="AC735" s="172"/>
      <c r="AD735" s="8"/>
      <c r="AE735" s="8"/>
      <c r="AF735" s="8"/>
      <c r="AG735" s="172"/>
      <c r="AH735" s="172"/>
      <c r="AI735" s="367"/>
      <c r="AJ735" s="362"/>
      <c r="AK735" s="363" t="str">
        <f>IFERROR(__xludf.DUMMYFUNCTION("IFERROR(if(D737&lt;&gt;"""", 
  AVERAGE(
    QUERY(
      IMPORTRANGE(""1-uH1wy6jSm5jYL9je6fN1K5RJ5QMvHntodEHZRtIvTk"", ""All Data!N2:U""),
      ""select Col8 where Col1 = '"" &amp; D737 &amp; ""' and Col8 is not null"",
      0
    )
  )/100,
""""),
  """"
)
"),"")</f>
        <v/>
      </c>
    </row>
    <row r="736">
      <c r="D736" s="172"/>
      <c r="E736" s="368"/>
      <c r="F736" s="368"/>
      <c r="G736" s="368"/>
      <c r="H736" s="172"/>
      <c r="I736" s="172"/>
      <c r="J736" s="172"/>
      <c r="K736" s="172"/>
      <c r="L736" s="172"/>
      <c r="M736" s="172"/>
      <c r="N736" s="172"/>
      <c r="O736" s="358"/>
      <c r="P736" s="358"/>
      <c r="Q736" s="358"/>
      <c r="R736" s="378"/>
      <c r="S736" s="378"/>
      <c r="T736" s="8"/>
      <c r="U736" s="8"/>
      <c r="V736" s="8"/>
      <c r="W736" s="172"/>
      <c r="X736" s="172"/>
      <c r="Y736" s="8"/>
      <c r="Z736" s="8"/>
      <c r="AA736" s="8"/>
      <c r="AB736" s="172"/>
      <c r="AC736" s="172"/>
      <c r="AD736" s="8"/>
      <c r="AE736" s="8"/>
      <c r="AF736" s="8"/>
      <c r="AG736" s="172"/>
      <c r="AH736" s="172"/>
      <c r="AI736" s="367"/>
      <c r="AJ736" s="362"/>
      <c r="AK736" s="363" t="str">
        <f>IFERROR(__xludf.DUMMYFUNCTION("IFERROR(if(D738&lt;&gt;"""", 
  AVERAGE(
    QUERY(
      IMPORTRANGE(""1-uH1wy6jSm5jYL9je6fN1K5RJ5QMvHntodEHZRtIvTk"", ""All Data!N2:U""),
      ""select Col8 where Col1 = '"" &amp; D738 &amp; ""' and Col8 is not null"",
      0
    )
  )/100,
""""),
  """"
)
"),"")</f>
        <v/>
      </c>
    </row>
    <row r="737">
      <c r="D737" s="172"/>
      <c r="E737" s="368"/>
      <c r="F737" s="368"/>
      <c r="G737" s="368"/>
      <c r="H737" s="172"/>
      <c r="I737" s="172"/>
      <c r="J737" s="172"/>
      <c r="K737" s="172"/>
      <c r="L737" s="172"/>
      <c r="M737" s="172"/>
      <c r="N737" s="172"/>
      <c r="O737" s="358"/>
      <c r="P737" s="358"/>
      <c r="Q737" s="358"/>
      <c r="R737" s="378"/>
      <c r="S737" s="378"/>
      <c r="T737" s="8"/>
      <c r="U737" s="8"/>
      <c r="V737" s="8"/>
      <c r="W737" s="172"/>
      <c r="X737" s="172"/>
      <c r="Y737" s="8"/>
      <c r="Z737" s="8"/>
      <c r="AA737" s="8"/>
      <c r="AB737" s="172"/>
      <c r="AC737" s="172"/>
      <c r="AD737" s="8"/>
      <c r="AE737" s="8"/>
      <c r="AF737" s="8"/>
      <c r="AG737" s="172"/>
      <c r="AH737" s="172"/>
      <c r="AI737" s="367"/>
      <c r="AJ737" s="362"/>
      <c r="AK737" s="363" t="str">
        <f>IFERROR(__xludf.DUMMYFUNCTION("IFERROR(if(D739&lt;&gt;"""", 
  AVERAGE(
    QUERY(
      IMPORTRANGE(""1-uH1wy6jSm5jYL9je6fN1K5RJ5QMvHntodEHZRtIvTk"", ""All Data!N2:U""),
      ""select Col8 where Col1 = '"" &amp; D739 &amp; ""' and Col8 is not null"",
      0
    )
  )/100,
""""),
  """"
)
"),"")</f>
        <v/>
      </c>
    </row>
    <row r="738">
      <c r="D738" s="172"/>
      <c r="E738" s="368"/>
      <c r="F738" s="368"/>
      <c r="G738" s="368"/>
      <c r="H738" s="172"/>
      <c r="I738" s="172"/>
      <c r="J738" s="172"/>
      <c r="K738" s="172"/>
      <c r="L738" s="172"/>
      <c r="M738" s="172"/>
      <c r="N738" s="172"/>
      <c r="O738" s="358"/>
      <c r="P738" s="358"/>
      <c r="Q738" s="358"/>
      <c r="R738" s="378"/>
      <c r="S738" s="378"/>
      <c r="T738" s="8"/>
      <c r="U738" s="8"/>
      <c r="V738" s="8"/>
      <c r="W738" s="172"/>
      <c r="X738" s="172"/>
      <c r="Y738" s="8"/>
      <c r="Z738" s="8"/>
      <c r="AA738" s="8"/>
      <c r="AB738" s="172"/>
      <c r="AC738" s="172"/>
      <c r="AD738" s="8"/>
      <c r="AE738" s="8"/>
      <c r="AF738" s="8"/>
      <c r="AG738" s="172"/>
      <c r="AH738" s="172"/>
      <c r="AI738" s="367"/>
      <c r="AJ738" s="362"/>
      <c r="AK738" s="363" t="str">
        <f>IFERROR(__xludf.DUMMYFUNCTION("IFERROR(if(D740&lt;&gt;"""", 
  AVERAGE(
    QUERY(
      IMPORTRANGE(""1-uH1wy6jSm5jYL9je6fN1K5RJ5QMvHntodEHZRtIvTk"", ""All Data!N2:U""),
      ""select Col8 where Col1 = '"" &amp; D740 &amp; ""' and Col8 is not null"",
      0
    )
  )/100,
""""),
  """"
)
"),"")</f>
        <v/>
      </c>
    </row>
    <row r="739">
      <c r="D739" s="172"/>
      <c r="E739" s="368"/>
      <c r="F739" s="368"/>
      <c r="G739" s="368"/>
      <c r="H739" s="172"/>
      <c r="I739" s="172"/>
      <c r="J739" s="172"/>
      <c r="K739" s="172"/>
      <c r="L739" s="172"/>
      <c r="M739" s="172"/>
      <c r="N739" s="172"/>
      <c r="O739" s="358"/>
      <c r="P739" s="358"/>
      <c r="Q739" s="358"/>
      <c r="R739" s="378"/>
      <c r="S739" s="378"/>
      <c r="T739" s="8"/>
      <c r="U739" s="8"/>
      <c r="V739" s="8"/>
      <c r="W739" s="172"/>
      <c r="X739" s="172"/>
      <c r="Y739" s="8"/>
      <c r="Z739" s="8"/>
      <c r="AA739" s="8"/>
      <c r="AB739" s="172"/>
      <c r="AC739" s="172"/>
      <c r="AD739" s="8"/>
      <c r="AE739" s="8"/>
      <c r="AF739" s="8"/>
      <c r="AG739" s="172"/>
      <c r="AH739" s="172"/>
      <c r="AI739" s="367"/>
      <c r="AJ739" s="362"/>
      <c r="AK739" s="363" t="str">
        <f>IFERROR(__xludf.DUMMYFUNCTION("IFERROR(if(D741&lt;&gt;"""", 
  AVERAGE(
    QUERY(
      IMPORTRANGE(""1-uH1wy6jSm5jYL9je6fN1K5RJ5QMvHntodEHZRtIvTk"", ""All Data!N2:U""),
      ""select Col8 where Col1 = '"" &amp; D741 &amp; ""' and Col8 is not null"",
      0
    )
  )/100,
""""),
  """"
)
"),"")</f>
        <v/>
      </c>
    </row>
    <row r="740">
      <c r="D740" s="172"/>
      <c r="E740" s="368"/>
      <c r="F740" s="368"/>
      <c r="G740" s="368"/>
      <c r="H740" s="172"/>
      <c r="I740" s="172"/>
      <c r="J740" s="172"/>
      <c r="K740" s="172"/>
      <c r="L740" s="172"/>
      <c r="M740" s="172"/>
      <c r="N740" s="172"/>
      <c r="O740" s="358"/>
      <c r="P740" s="358"/>
      <c r="Q740" s="358"/>
      <c r="R740" s="378"/>
      <c r="S740" s="378"/>
      <c r="T740" s="8"/>
      <c r="U740" s="8"/>
      <c r="V740" s="8"/>
      <c r="W740" s="172"/>
      <c r="X740" s="172"/>
      <c r="Y740" s="8"/>
      <c r="Z740" s="8"/>
      <c r="AA740" s="8"/>
      <c r="AB740" s="172"/>
      <c r="AC740" s="172"/>
      <c r="AD740" s="8"/>
      <c r="AE740" s="8"/>
      <c r="AF740" s="8"/>
      <c r="AG740" s="172"/>
      <c r="AH740" s="172"/>
      <c r="AI740" s="367"/>
      <c r="AJ740" s="362"/>
      <c r="AK740" s="363" t="str">
        <f>IFERROR(__xludf.DUMMYFUNCTION("IFERROR(if(D742&lt;&gt;"""", 
  AVERAGE(
    QUERY(
      IMPORTRANGE(""1-uH1wy6jSm5jYL9je6fN1K5RJ5QMvHntodEHZRtIvTk"", ""All Data!N2:U""),
      ""select Col8 where Col1 = '"" &amp; D742 &amp; ""' and Col8 is not null"",
      0
    )
  )/100,
""""),
  """"
)
"),"")</f>
        <v/>
      </c>
    </row>
    <row r="741">
      <c r="D741" s="172"/>
      <c r="E741" s="368"/>
      <c r="F741" s="368"/>
      <c r="G741" s="368"/>
      <c r="H741" s="172"/>
      <c r="I741" s="172"/>
      <c r="J741" s="172"/>
      <c r="K741" s="172"/>
      <c r="L741" s="172"/>
      <c r="M741" s="172"/>
      <c r="N741" s="172"/>
      <c r="O741" s="358"/>
      <c r="P741" s="358"/>
      <c r="Q741" s="358"/>
      <c r="R741" s="378"/>
      <c r="S741" s="378"/>
      <c r="T741" s="8"/>
      <c r="U741" s="8"/>
      <c r="V741" s="8"/>
      <c r="W741" s="172"/>
      <c r="X741" s="172"/>
      <c r="Y741" s="8"/>
      <c r="Z741" s="8"/>
      <c r="AA741" s="8"/>
      <c r="AB741" s="172"/>
      <c r="AC741" s="172"/>
      <c r="AD741" s="8"/>
      <c r="AE741" s="8"/>
      <c r="AF741" s="8"/>
      <c r="AG741" s="172"/>
      <c r="AH741" s="172"/>
      <c r="AI741" s="367"/>
      <c r="AJ741" s="362"/>
      <c r="AK741" s="363" t="str">
        <f>IFERROR(__xludf.DUMMYFUNCTION("IFERROR(if(D743&lt;&gt;"""", 
  AVERAGE(
    QUERY(
      IMPORTRANGE(""1-uH1wy6jSm5jYL9je6fN1K5RJ5QMvHntodEHZRtIvTk"", ""All Data!N2:U""),
      ""select Col8 where Col1 = '"" &amp; D743 &amp; ""' and Col8 is not null"",
      0
    )
  )/100,
""""),
  """"
)
"),"")</f>
        <v/>
      </c>
    </row>
    <row r="742">
      <c r="D742" s="172"/>
      <c r="E742" s="368"/>
      <c r="F742" s="368"/>
      <c r="G742" s="368"/>
      <c r="H742" s="172"/>
      <c r="I742" s="172"/>
      <c r="J742" s="172"/>
      <c r="K742" s="172"/>
      <c r="L742" s="172"/>
      <c r="M742" s="172"/>
      <c r="N742" s="172"/>
      <c r="O742" s="358"/>
      <c r="P742" s="358"/>
      <c r="Q742" s="358"/>
      <c r="R742" s="378"/>
      <c r="S742" s="378"/>
      <c r="T742" s="8"/>
      <c r="U742" s="8"/>
      <c r="V742" s="8"/>
      <c r="W742" s="172"/>
      <c r="X742" s="172"/>
      <c r="Y742" s="8"/>
      <c r="Z742" s="8"/>
      <c r="AA742" s="8"/>
      <c r="AB742" s="172"/>
      <c r="AC742" s="172"/>
      <c r="AD742" s="8"/>
      <c r="AE742" s="8"/>
      <c r="AF742" s="8"/>
      <c r="AG742" s="172"/>
      <c r="AH742" s="172"/>
      <c r="AI742" s="367"/>
      <c r="AJ742" s="362"/>
      <c r="AK742" s="363" t="str">
        <f>IFERROR(__xludf.DUMMYFUNCTION("IFERROR(if(D744&lt;&gt;"""", 
  AVERAGE(
    QUERY(
      IMPORTRANGE(""1-uH1wy6jSm5jYL9je6fN1K5RJ5QMvHntodEHZRtIvTk"", ""All Data!N2:U""),
      ""select Col8 where Col1 = '"" &amp; D744 &amp; ""' and Col8 is not null"",
      0
    )
  )/100,
""""),
  """"
)
"),"")</f>
        <v/>
      </c>
    </row>
    <row r="743">
      <c r="D743" s="172"/>
      <c r="E743" s="368"/>
      <c r="F743" s="368"/>
      <c r="G743" s="368"/>
      <c r="H743" s="172"/>
      <c r="I743" s="172"/>
      <c r="J743" s="172"/>
      <c r="K743" s="172"/>
      <c r="L743" s="172"/>
      <c r="M743" s="172"/>
      <c r="N743" s="172"/>
      <c r="O743" s="358"/>
      <c r="P743" s="358"/>
      <c r="Q743" s="358"/>
      <c r="R743" s="378"/>
      <c r="S743" s="378"/>
      <c r="T743" s="8"/>
      <c r="U743" s="8"/>
      <c r="V743" s="8"/>
      <c r="W743" s="172"/>
      <c r="X743" s="172"/>
      <c r="Y743" s="8"/>
      <c r="Z743" s="8"/>
      <c r="AA743" s="8"/>
      <c r="AB743" s="172"/>
      <c r="AC743" s="172"/>
      <c r="AD743" s="8"/>
      <c r="AE743" s="8"/>
      <c r="AF743" s="8"/>
      <c r="AG743" s="172"/>
      <c r="AH743" s="172"/>
      <c r="AI743" s="367"/>
      <c r="AJ743" s="362"/>
      <c r="AK743" s="363" t="str">
        <f>IFERROR(__xludf.DUMMYFUNCTION("IFERROR(if(D745&lt;&gt;"""", 
  AVERAGE(
    QUERY(
      IMPORTRANGE(""1-uH1wy6jSm5jYL9je6fN1K5RJ5QMvHntodEHZRtIvTk"", ""All Data!N2:U""),
      ""select Col8 where Col1 = '"" &amp; D745 &amp; ""' and Col8 is not null"",
      0
    )
  )/100,
""""),
  """"
)
"),"")</f>
        <v/>
      </c>
    </row>
    <row r="744">
      <c r="D744" s="172"/>
      <c r="E744" s="368"/>
      <c r="F744" s="368"/>
      <c r="G744" s="368"/>
      <c r="H744" s="172"/>
      <c r="I744" s="172"/>
      <c r="J744" s="172"/>
      <c r="K744" s="172"/>
      <c r="L744" s="172"/>
      <c r="M744" s="172"/>
      <c r="N744" s="172"/>
      <c r="O744" s="358"/>
      <c r="P744" s="358"/>
      <c r="Q744" s="358"/>
      <c r="R744" s="378"/>
      <c r="S744" s="378"/>
      <c r="T744" s="8"/>
      <c r="U744" s="8"/>
      <c r="V744" s="8"/>
      <c r="W744" s="172"/>
      <c r="X744" s="172"/>
      <c r="Y744" s="8"/>
      <c r="Z744" s="8"/>
      <c r="AA744" s="8"/>
      <c r="AB744" s="172"/>
      <c r="AC744" s="172"/>
      <c r="AD744" s="8"/>
      <c r="AE744" s="8"/>
      <c r="AF744" s="8"/>
      <c r="AG744" s="172"/>
      <c r="AH744" s="172"/>
      <c r="AI744" s="367"/>
      <c r="AJ744" s="362"/>
      <c r="AK744" s="363" t="str">
        <f>IFERROR(__xludf.DUMMYFUNCTION("IFERROR(if(D746&lt;&gt;"""", 
  AVERAGE(
    QUERY(
      IMPORTRANGE(""1-uH1wy6jSm5jYL9je6fN1K5RJ5QMvHntodEHZRtIvTk"", ""All Data!N2:U""),
      ""select Col8 where Col1 = '"" &amp; D746 &amp; ""' and Col8 is not null"",
      0
    )
  )/100,
""""),
  """"
)
"),"")</f>
        <v/>
      </c>
    </row>
    <row r="745">
      <c r="D745" s="172"/>
      <c r="E745" s="368"/>
      <c r="F745" s="368"/>
      <c r="G745" s="368"/>
      <c r="H745" s="172"/>
      <c r="I745" s="172"/>
      <c r="J745" s="172"/>
      <c r="K745" s="172"/>
      <c r="L745" s="172"/>
      <c r="M745" s="172"/>
      <c r="N745" s="172"/>
      <c r="O745" s="358"/>
      <c r="P745" s="358"/>
      <c r="Q745" s="358"/>
      <c r="R745" s="378"/>
      <c r="S745" s="378"/>
      <c r="T745" s="8"/>
      <c r="U745" s="8"/>
      <c r="V745" s="8"/>
      <c r="W745" s="172"/>
      <c r="X745" s="172"/>
      <c r="Y745" s="8"/>
      <c r="Z745" s="8"/>
      <c r="AA745" s="8"/>
      <c r="AB745" s="172"/>
      <c r="AC745" s="172"/>
      <c r="AD745" s="8"/>
      <c r="AE745" s="8"/>
      <c r="AF745" s="8"/>
      <c r="AG745" s="172"/>
      <c r="AH745" s="172"/>
      <c r="AI745" s="367"/>
      <c r="AJ745" s="362"/>
      <c r="AK745" s="363" t="str">
        <f>IFERROR(__xludf.DUMMYFUNCTION("IFERROR(if(D747&lt;&gt;"""", 
  AVERAGE(
    QUERY(
      IMPORTRANGE(""1-uH1wy6jSm5jYL9je6fN1K5RJ5QMvHntodEHZRtIvTk"", ""All Data!N2:U""),
      ""select Col8 where Col1 = '"" &amp; D747 &amp; ""' and Col8 is not null"",
      0
    )
  )/100,
""""),
  """"
)
"),"")</f>
        <v/>
      </c>
    </row>
    <row r="746">
      <c r="D746" s="172"/>
      <c r="E746" s="368"/>
      <c r="F746" s="368"/>
      <c r="G746" s="368"/>
      <c r="H746" s="172"/>
      <c r="I746" s="172"/>
      <c r="J746" s="172"/>
      <c r="K746" s="172"/>
      <c r="L746" s="172"/>
      <c r="M746" s="172"/>
      <c r="N746" s="172"/>
      <c r="O746" s="358"/>
      <c r="P746" s="358"/>
      <c r="Q746" s="358"/>
      <c r="R746" s="378"/>
      <c r="S746" s="378"/>
      <c r="T746" s="8"/>
      <c r="U746" s="8"/>
      <c r="V746" s="8"/>
      <c r="W746" s="172"/>
      <c r="X746" s="172"/>
      <c r="Y746" s="8"/>
      <c r="Z746" s="8"/>
      <c r="AA746" s="8"/>
      <c r="AB746" s="172"/>
      <c r="AC746" s="172"/>
      <c r="AD746" s="8"/>
      <c r="AE746" s="8"/>
      <c r="AF746" s="8"/>
      <c r="AG746" s="172"/>
      <c r="AH746" s="172"/>
      <c r="AI746" s="367"/>
      <c r="AJ746" s="362"/>
      <c r="AK746" s="363" t="str">
        <f>IFERROR(__xludf.DUMMYFUNCTION("IFERROR(if(D748&lt;&gt;"""", 
  AVERAGE(
    QUERY(
      IMPORTRANGE(""1-uH1wy6jSm5jYL9je6fN1K5RJ5QMvHntodEHZRtIvTk"", ""All Data!N2:U""),
      ""select Col8 where Col1 = '"" &amp; D748 &amp; ""' and Col8 is not null"",
      0
    )
  )/100,
""""),
  """"
)
"),"")</f>
        <v/>
      </c>
    </row>
    <row r="747">
      <c r="D747" s="172"/>
      <c r="E747" s="368"/>
      <c r="F747" s="368"/>
      <c r="G747" s="368"/>
      <c r="H747" s="172"/>
      <c r="I747" s="172"/>
      <c r="J747" s="172"/>
      <c r="K747" s="172"/>
      <c r="L747" s="172"/>
      <c r="M747" s="172"/>
      <c r="N747" s="172"/>
      <c r="O747" s="358"/>
      <c r="P747" s="358"/>
      <c r="Q747" s="358"/>
      <c r="R747" s="378"/>
      <c r="S747" s="378"/>
      <c r="T747" s="8"/>
      <c r="U747" s="8"/>
      <c r="V747" s="8"/>
      <c r="W747" s="172"/>
      <c r="X747" s="172"/>
      <c r="Y747" s="8"/>
      <c r="Z747" s="8"/>
      <c r="AA747" s="8"/>
      <c r="AB747" s="172"/>
      <c r="AC747" s="172"/>
      <c r="AD747" s="8"/>
      <c r="AE747" s="8"/>
      <c r="AF747" s="8"/>
      <c r="AG747" s="172"/>
      <c r="AH747" s="172"/>
      <c r="AI747" s="367"/>
      <c r="AJ747" s="362"/>
      <c r="AK747" s="363" t="str">
        <f>IFERROR(__xludf.DUMMYFUNCTION("IFERROR(if(D749&lt;&gt;"""", 
  AVERAGE(
    QUERY(
      IMPORTRANGE(""1-uH1wy6jSm5jYL9je6fN1K5RJ5QMvHntodEHZRtIvTk"", ""All Data!N2:U""),
      ""select Col8 where Col1 = '"" &amp; D749 &amp; ""' and Col8 is not null"",
      0
    )
  )/100,
""""),
  """"
)
"),"")</f>
        <v/>
      </c>
    </row>
    <row r="748">
      <c r="D748" s="172"/>
      <c r="E748" s="368"/>
      <c r="F748" s="368"/>
      <c r="G748" s="368"/>
      <c r="H748" s="172"/>
      <c r="I748" s="172"/>
      <c r="J748" s="172"/>
      <c r="K748" s="172"/>
      <c r="L748" s="172"/>
      <c r="M748" s="172"/>
      <c r="N748" s="172"/>
      <c r="O748" s="358"/>
      <c r="P748" s="358"/>
      <c r="Q748" s="358"/>
      <c r="R748" s="378"/>
      <c r="S748" s="378"/>
      <c r="T748" s="8"/>
      <c r="U748" s="8"/>
      <c r="V748" s="8"/>
      <c r="W748" s="172"/>
      <c r="X748" s="172"/>
      <c r="Y748" s="8"/>
      <c r="Z748" s="8"/>
      <c r="AA748" s="8"/>
      <c r="AB748" s="172"/>
      <c r="AC748" s="172"/>
      <c r="AD748" s="8"/>
      <c r="AE748" s="8"/>
      <c r="AF748" s="8"/>
      <c r="AG748" s="172"/>
      <c r="AH748" s="172"/>
      <c r="AI748" s="367"/>
      <c r="AJ748" s="362"/>
      <c r="AK748" s="363" t="str">
        <f>IFERROR(__xludf.DUMMYFUNCTION("IFERROR(if(D750&lt;&gt;"""", 
  AVERAGE(
    QUERY(
      IMPORTRANGE(""1-uH1wy6jSm5jYL9je6fN1K5RJ5QMvHntodEHZRtIvTk"", ""All Data!N2:U""),
      ""select Col8 where Col1 = '"" &amp; D750 &amp; ""' and Col8 is not null"",
      0
    )
  )/100,
""""),
  """"
)
"),"")</f>
        <v/>
      </c>
    </row>
    <row r="749">
      <c r="D749" s="172"/>
      <c r="E749" s="368"/>
      <c r="F749" s="368"/>
      <c r="G749" s="368"/>
      <c r="H749" s="172"/>
      <c r="I749" s="172"/>
      <c r="J749" s="172"/>
      <c r="K749" s="172"/>
      <c r="L749" s="172"/>
      <c r="M749" s="172"/>
      <c r="N749" s="172"/>
      <c r="O749" s="358"/>
      <c r="P749" s="358"/>
      <c r="Q749" s="358"/>
      <c r="R749" s="378"/>
      <c r="S749" s="378"/>
      <c r="T749" s="8"/>
      <c r="U749" s="8"/>
      <c r="V749" s="8"/>
      <c r="W749" s="172"/>
      <c r="X749" s="172"/>
      <c r="Y749" s="8"/>
      <c r="Z749" s="8"/>
      <c r="AA749" s="8"/>
      <c r="AB749" s="172"/>
      <c r="AC749" s="172"/>
      <c r="AD749" s="8"/>
      <c r="AE749" s="8"/>
      <c r="AF749" s="8"/>
      <c r="AG749" s="172"/>
      <c r="AH749" s="172"/>
      <c r="AI749" s="367"/>
      <c r="AJ749" s="362"/>
      <c r="AK749" s="363" t="str">
        <f>IFERROR(__xludf.DUMMYFUNCTION("IFERROR(if(D751&lt;&gt;"""", 
  AVERAGE(
    QUERY(
      IMPORTRANGE(""1-uH1wy6jSm5jYL9je6fN1K5RJ5QMvHntodEHZRtIvTk"", ""All Data!N2:U""),
      ""select Col8 where Col1 = '"" &amp; D751 &amp; ""' and Col8 is not null"",
      0
    )
  )/100,
""""),
  """"
)
"),"")</f>
        <v/>
      </c>
    </row>
    <row r="750">
      <c r="D750" s="172"/>
      <c r="E750" s="368"/>
      <c r="F750" s="368"/>
      <c r="G750" s="368"/>
      <c r="H750" s="172"/>
      <c r="I750" s="172"/>
      <c r="J750" s="172"/>
      <c r="K750" s="172"/>
      <c r="L750" s="172"/>
      <c r="M750" s="172"/>
      <c r="N750" s="172"/>
      <c r="O750" s="358"/>
      <c r="P750" s="358"/>
      <c r="Q750" s="358"/>
      <c r="R750" s="378"/>
      <c r="S750" s="378"/>
      <c r="T750" s="8"/>
      <c r="U750" s="8"/>
      <c r="V750" s="8"/>
      <c r="W750" s="172"/>
      <c r="X750" s="172"/>
      <c r="Y750" s="8"/>
      <c r="Z750" s="8"/>
      <c r="AA750" s="8"/>
      <c r="AB750" s="172"/>
      <c r="AC750" s="172"/>
      <c r="AD750" s="8"/>
      <c r="AE750" s="8"/>
      <c r="AF750" s="8"/>
      <c r="AG750" s="172"/>
      <c r="AH750" s="172"/>
      <c r="AI750" s="367"/>
      <c r="AJ750" s="362"/>
      <c r="AK750" s="363" t="str">
        <f>IFERROR(__xludf.DUMMYFUNCTION("IFERROR(if(D752&lt;&gt;"""", 
  AVERAGE(
    QUERY(
      IMPORTRANGE(""1-uH1wy6jSm5jYL9je6fN1K5RJ5QMvHntodEHZRtIvTk"", ""All Data!N2:U""),
      ""select Col8 where Col1 = '"" &amp; D752 &amp; ""' and Col8 is not null"",
      0
    )
  )/100,
""""),
  """"
)
"),"")</f>
        <v/>
      </c>
    </row>
    <row r="751">
      <c r="D751" s="172"/>
      <c r="E751" s="368"/>
      <c r="F751" s="368"/>
      <c r="G751" s="368"/>
      <c r="H751" s="172"/>
      <c r="I751" s="172"/>
      <c r="J751" s="172"/>
      <c r="K751" s="172"/>
      <c r="L751" s="172"/>
      <c r="M751" s="172"/>
      <c r="N751" s="172"/>
      <c r="O751" s="358"/>
      <c r="P751" s="358"/>
      <c r="Q751" s="358"/>
      <c r="R751" s="378"/>
      <c r="S751" s="378"/>
      <c r="T751" s="8"/>
      <c r="U751" s="8"/>
      <c r="V751" s="8"/>
      <c r="W751" s="172"/>
      <c r="X751" s="172"/>
      <c r="Y751" s="8"/>
      <c r="Z751" s="8"/>
      <c r="AA751" s="8"/>
      <c r="AB751" s="172"/>
      <c r="AC751" s="172"/>
      <c r="AD751" s="8"/>
      <c r="AE751" s="8"/>
      <c r="AF751" s="8"/>
      <c r="AG751" s="172"/>
      <c r="AH751" s="172"/>
      <c r="AI751" s="367"/>
      <c r="AJ751" s="362"/>
      <c r="AK751" s="363" t="str">
        <f>IFERROR(__xludf.DUMMYFUNCTION("IFERROR(if(D753&lt;&gt;"""", 
  AVERAGE(
    QUERY(
      IMPORTRANGE(""1-uH1wy6jSm5jYL9je6fN1K5RJ5QMvHntodEHZRtIvTk"", ""All Data!N2:U""),
      ""select Col8 where Col1 = '"" &amp; D753 &amp; ""' and Col8 is not null"",
      0
    )
  )/100,
""""),
  """"
)
"),"")</f>
        <v/>
      </c>
    </row>
    <row r="752">
      <c r="D752" s="172"/>
      <c r="E752" s="368"/>
      <c r="F752" s="368"/>
      <c r="G752" s="368"/>
      <c r="H752" s="172"/>
      <c r="I752" s="172"/>
      <c r="J752" s="172"/>
      <c r="K752" s="172"/>
      <c r="L752" s="172"/>
      <c r="M752" s="172"/>
      <c r="N752" s="172"/>
      <c r="O752" s="358"/>
      <c r="P752" s="358"/>
      <c r="Q752" s="358"/>
      <c r="R752" s="378"/>
      <c r="S752" s="378"/>
      <c r="T752" s="8"/>
      <c r="U752" s="8"/>
      <c r="V752" s="8"/>
      <c r="W752" s="172"/>
      <c r="X752" s="172"/>
      <c r="Y752" s="8"/>
      <c r="Z752" s="8"/>
      <c r="AA752" s="8"/>
      <c r="AB752" s="172"/>
      <c r="AC752" s="172"/>
      <c r="AD752" s="8"/>
      <c r="AE752" s="8"/>
      <c r="AF752" s="8"/>
      <c r="AG752" s="172"/>
      <c r="AH752" s="172"/>
      <c r="AI752" s="367"/>
      <c r="AJ752" s="362"/>
      <c r="AK752" s="363" t="str">
        <f>IFERROR(__xludf.DUMMYFUNCTION("IFERROR(if(D754&lt;&gt;"""", 
  AVERAGE(
    QUERY(
      IMPORTRANGE(""1-uH1wy6jSm5jYL9je6fN1K5RJ5QMvHntodEHZRtIvTk"", ""All Data!N2:U""),
      ""select Col8 where Col1 = '"" &amp; D754 &amp; ""' and Col8 is not null"",
      0
    )
  )/100,
""""),
  """"
)
"),"")</f>
        <v/>
      </c>
    </row>
    <row r="753">
      <c r="D753" s="172"/>
      <c r="E753" s="368"/>
      <c r="F753" s="368"/>
      <c r="G753" s="368"/>
      <c r="H753" s="172"/>
      <c r="I753" s="172"/>
      <c r="J753" s="172"/>
      <c r="K753" s="172"/>
      <c r="L753" s="172"/>
      <c r="M753" s="172"/>
      <c r="N753" s="172"/>
      <c r="O753" s="358"/>
      <c r="P753" s="358"/>
      <c r="Q753" s="358"/>
      <c r="R753" s="378"/>
      <c r="S753" s="378"/>
      <c r="T753" s="8"/>
      <c r="U753" s="8"/>
      <c r="V753" s="8"/>
      <c r="W753" s="172"/>
      <c r="X753" s="172"/>
      <c r="Y753" s="8"/>
      <c r="Z753" s="8"/>
      <c r="AA753" s="8"/>
      <c r="AB753" s="172"/>
      <c r="AC753" s="172"/>
      <c r="AD753" s="8"/>
      <c r="AE753" s="8"/>
      <c r="AF753" s="8"/>
      <c r="AG753" s="172"/>
      <c r="AH753" s="172"/>
      <c r="AI753" s="367"/>
      <c r="AJ753" s="362"/>
      <c r="AK753" s="363" t="str">
        <f>IFERROR(__xludf.DUMMYFUNCTION("IFERROR(if(D755&lt;&gt;"""", 
  AVERAGE(
    QUERY(
      IMPORTRANGE(""1-uH1wy6jSm5jYL9je6fN1K5RJ5QMvHntodEHZRtIvTk"", ""All Data!N2:U""),
      ""select Col8 where Col1 = '"" &amp; D755 &amp; ""' and Col8 is not null"",
      0
    )
  )/100,
""""),
  """"
)
"),"")</f>
        <v/>
      </c>
    </row>
    <row r="754">
      <c r="D754" s="172"/>
      <c r="E754" s="368"/>
      <c r="F754" s="368"/>
      <c r="G754" s="368"/>
      <c r="H754" s="172"/>
      <c r="I754" s="172"/>
      <c r="J754" s="172"/>
      <c r="K754" s="172"/>
      <c r="L754" s="172"/>
      <c r="M754" s="172"/>
      <c r="N754" s="172"/>
      <c r="O754" s="358"/>
      <c r="P754" s="358"/>
      <c r="Q754" s="358"/>
      <c r="R754" s="378"/>
      <c r="S754" s="378"/>
      <c r="T754" s="8"/>
      <c r="U754" s="8"/>
      <c r="V754" s="8"/>
      <c r="W754" s="172"/>
      <c r="X754" s="172"/>
      <c r="Y754" s="8"/>
      <c r="Z754" s="8"/>
      <c r="AA754" s="8"/>
      <c r="AB754" s="172"/>
      <c r="AC754" s="172"/>
      <c r="AD754" s="8"/>
      <c r="AE754" s="8"/>
      <c r="AF754" s="8"/>
      <c r="AG754" s="172"/>
      <c r="AH754" s="172"/>
      <c r="AI754" s="367"/>
      <c r="AJ754" s="362"/>
      <c r="AK754" s="363" t="str">
        <f>IFERROR(__xludf.DUMMYFUNCTION("IFERROR(if(D756&lt;&gt;"""", 
  AVERAGE(
    QUERY(
      IMPORTRANGE(""1-uH1wy6jSm5jYL9je6fN1K5RJ5QMvHntodEHZRtIvTk"", ""All Data!N2:U""),
      ""select Col8 where Col1 = '"" &amp; D756 &amp; ""' and Col8 is not null"",
      0
    )
  )/100,
""""),
  """"
)
"),"")</f>
        <v/>
      </c>
    </row>
    <row r="755">
      <c r="D755" s="172"/>
      <c r="E755" s="368"/>
      <c r="F755" s="368"/>
      <c r="G755" s="368"/>
      <c r="H755" s="172"/>
      <c r="I755" s="172"/>
      <c r="J755" s="172"/>
      <c r="K755" s="172"/>
      <c r="L755" s="172"/>
      <c r="M755" s="172"/>
      <c r="N755" s="172"/>
      <c r="O755" s="358"/>
      <c r="P755" s="358"/>
      <c r="Q755" s="358"/>
      <c r="R755" s="378"/>
      <c r="S755" s="378"/>
      <c r="T755" s="8"/>
      <c r="U755" s="8"/>
      <c r="V755" s="8"/>
      <c r="W755" s="172"/>
      <c r="X755" s="172"/>
      <c r="Y755" s="8"/>
      <c r="Z755" s="8"/>
      <c r="AA755" s="8"/>
      <c r="AB755" s="172"/>
      <c r="AC755" s="172"/>
      <c r="AD755" s="8"/>
      <c r="AE755" s="8"/>
      <c r="AF755" s="8"/>
      <c r="AG755" s="172"/>
      <c r="AH755" s="172"/>
      <c r="AI755" s="367"/>
      <c r="AJ755" s="362"/>
      <c r="AK755" s="363" t="str">
        <f>IFERROR(__xludf.DUMMYFUNCTION("IFERROR(if(D757&lt;&gt;"""", 
  AVERAGE(
    QUERY(
      IMPORTRANGE(""1-uH1wy6jSm5jYL9je6fN1K5RJ5QMvHntodEHZRtIvTk"", ""All Data!N2:U""),
      ""select Col8 where Col1 = '"" &amp; D757 &amp; ""' and Col8 is not null"",
      0
    )
  )/100,
""""),
  """"
)
"),"")</f>
        <v/>
      </c>
    </row>
    <row r="756">
      <c r="D756" s="172"/>
      <c r="E756" s="368"/>
      <c r="F756" s="368"/>
      <c r="G756" s="368"/>
      <c r="H756" s="172"/>
      <c r="I756" s="172"/>
      <c r="J756" s="172"/>
      <c r="K756" s="172"/>
      <c r="L756" s="172"/>
      <c r="M756" s="172"/>
      <c r="N756" s="172"/>
      <c r="O756" s="358"/>
      <c r="P756" s="358"/>
      <c r="Q756" s="358"/>
      <c r="R756" s="378"/>
      <c r="S756" s="378"/>
      <c r="T756" s="8"/>
      <c r="U756" s="8"/>
      <c r="V756" s="8"/>
      <c r="W756" s="172"/>
      <c r="X756" s="172"/>
      <c r="Y756" s="8"/>
      <c r="Z756" s="8"/>
      <c r="AA756" s="8"/>
      <c r="AB756" s="172"/>
      <c r="AC756" s="172"/>
      <c r="AD756" s="8"/>
      <c r="AE756" s="8"/>
      <c r="AF756" s="8"/>
      <c r="AG756" s="172"/>
      <c r="AH756" s="172"/>
      <c r="AI756" s="367"/>
      <c r="AJ756" s="362"/>
      <c r="AK756" s="363" t="str">
        <f>IFERROR(__xludf.DUMMYFUNCTION("IFERROR(if(D758&lt;&gt;"""", 
  AVERAGE(
    QUERY(
      IMPORTRANGE(""1-uH1wy6jSm5jYL9je6fN1K5RJ5QMvHntodEHZRtIvTk"", ""All Data!N2:U""),
      ""select Col8 where Col1 = '"" &amp; D758 &amp; ""' and Col8 is not null"",
      0
    )
  )/100,
""""),
  """"
)
"),"")</f>
        <v/>
      </c>
    </row>
    <row r="757">
      <c r="D757" s="172"/>
      <c r="E757" s="368"/>
      <c r="F757" s="368"/>
      <c r="G757" s="368"/>
      <c r="H757" s="172"/>
      <c r="I757" s="172"/>
      <c r="J757" s="172"/>
      <c r="K757" s="172"/>
      <c r="L757" s="172"/>
      <c r="M757" s="172"/>
      <c r="N757" s="172"/>
      <c r="O757" s="358"/>
      <c r="P757" s="358"/>
      <c r="Q757" s="358"/>
      <c r="R757" s="378"/>
      <c r="S757" s="378"/>
      <c r="T757" s="8"/>
      <c r="U757" s="8"/>
      <c r="V757" s="8"/>
      <c r="W757" s="172"/>
      <c r="X757" s="172"/>
      <c r="Y757" s="8"/>
      <c r="Z757" s="8"/>
      <c r="AA757" s="8"/>
      <c r="AB757" s="172"/>
      <c r="AC757" s="172"/>
      <c r="AD757" s="8"/>
      <c r="AE757" s="8"/>
      <c r="AF757" s="8"/>
      <c r="AG757" s="172"/>
      <c r="AH757" s="172"/>
      <c r="AI757" s="367"/>
      <c r="AJ757" s="362"/>
      <c r="AK757" s="363" t="str">
        <f>IFERROR(__xludf.DUMMYFUNCTION("IFERROR(if(D759&lt;&gt;"""", 
  AVERAGE(
    QUERY(
      IMPORTRANGE(""1-uH1wy6jSm5jYL9je6fN1K5RJ5QMvHntodEHZRtIvTk"", ""All Data!N2:U""),
      ""select Col8 where Col1 = '"" &amp; D759 &amp; ""' and Col8 is not null"",
      0
    )
  )/100,
""""),
  """"
)
"),"")</f>
        <v/>
      </c>
    </row>
    <row r="758">
      <c r="D758" s="172"/>
      <c r="E758" s="368"/>
      <c r="F758" s="368"/>
      <c r="G758" s="368"/>
      <c r="H758" s="172"/>
      <c r="I758" s="172"/>
      <c r="J758" s="172"/>
      <c r="K758" s="172"/>
      <c r="L758" s="172"/>
      <c r="M758" s="172"/>
      <c r="N758" s="172"/>
      <c r="O758" s="358"/>
      <c r="P758" s="358"/>
      <c r="Q758" s="358"/>
      <c r="R758" s="378"/>
      <c r="S758" s="378"/>
      <c r="T758" s="8"/>
      <c r="U758" s="8"/>
      <c r="V758" s="8"/>
      <c r="W758" s="172"/>
      <c r="X758" s="172"/>
      <c r="Y758" s="8"/>
      <c r="Z758" s="8"/>
      <c r="AA758" s="8"/>
      <c r="AB758" s="172"/>
      <c r="AC758" s="172"/>
      <c r="AD758" s="8"/>
      <c r="AE758" s="8"/>
      <c r="AF758" s="8"/>
      <c r="AG758" s="172"/>
      <c r="AH758" s="172"/>
      <c r="AI758" s="367"/>
      <c r="AJ758" s="362"/>
      <c r="AK758" s="363" t="str">
        <f>IFERROR(__xludf.DUMMYFUNCTION("IFERROR(if(D760&lt;&gt;"""", 
  AVERAGE(
    QUERY(
      IMPORTRANGE(""1-uH1wy6jSm5jYL9je6fN1K5RJ5QMvHntodEHZRtIvTk"", ""All Data!N2:U""),
      ""select Col8 where Col1 = '"" &amp; D760 &amp; ""' and Col8 is not null"",
      0
    )
  )/100,
""""),
  """"
)
"),"")</f>
        <v/>
      </c>
    </row>
    <row r="759">
      <c r="D759" s="172"/>
      <c r="E759" s="368"/>
      <c r="F759" s="368"/>
      <c r="G759" s="368"/>
      <c r="H759" s="172"/>
      <c r="I759" s="172"/>
      <c r="J759" s="172"/>
      <c r="K759" s="172"/>
      <c r="L759" s="172"/>
      <c r="M759" s="172"/>
      <c r="N759" s="172"/>
      <c r="O759" s="358"/>
      <c r="P759" s="358"/>
      <c r="Q759" s="358"/>
      <c r="R759" s="378"/>
      <c r="S759" s="378"/>
      <c r="T759" s="8"/>
      <c r="U759" s="8"/>
      <c r="V759" s="8"/>
      <c r="W759" s="172"/>
      <c r="X759" s="172"/>
      <c r="Y759" s="8"/>
      <c r="Z759" s="8"/>
      <c r="AA759" s="8"/>
      <c r="AB759" s="172"/>
      <c r="AC759" s="172"/>
      <c r="AD759" s="8"/>
      <c r="AE759" s="8"/>
      <c r="AF759" s="8"/>
      <c r="AG759" s="172"/>
      <c r="AH759" s="172"/>
      <c r="AI759" s="367"/>
      <c r="AJ759" s="362"/>
      <c r="AK759" s="363" t="str">
        <f>IFERROR(__xludf.DUMMYFUNCTION("IFERROR(if(D761&lt;&gt;"""", 
  AVERAGE(
    QUERY(
      IMPORTRANGE(""1-uH1wy6jSm5jYL9je6fN1K5RJ5QMvHntodEHZRtIvTk"", ""All Data!N2:U""),
      ""select Col8 where Col1 = '"" &amp; D761 &amp; ""' and Col8 is not null"",
      0
    )
  )/100,
""""),
  """"
)
"),"")</f>
        <v/>
      </c>
    </row>
    <row r="760">
      <c r="D760" s="172"/>
      <c r="E760" s="368"/>
      <c r="F760" s="368"/>
      <c r="G760" s="368"/>
      <c r="H760" s="172"/>
      <c r="I760" s="172"/>
      <c r="J760" s="172"/>
      <c r="K760" s="172"/>
      <c r="L760" s="172"/>
      <c r="M760" s="172"/>
      <c r="N760" s="172"/>
      <c r="O760" s="358"/>
      <c r="P760" s="358"/>
      <c r="Q760" s="358"/>
      <c r="R760" s="378"/>
      <c r="S760" s="378"/>
      <c r="T760" s="8"/>
      <c r="U760" s="8"/>
      <c r="V760" s="8"/>
      <c r="W760" s="172"/>
      <c r="X760" s="172"/>
      <c r="Y760" s="8"/>
      <c r="Z760" s="8"/>
      <c r="AA760" s="8"/>
      <c r="AB760" s="172"/>
      <c r="AC760" s="172"/>
      <c r="AD760" s="8"/>
      <c r="AE760" s="8"/>
      <c r="AF760" s="8"/>
      <c r="AG760" s="172"/>
      <c r="AH760" s="172"/>
      <c r="AI760" s="367"/>
      <c r="AJ760" s="362"/>
      <c r="AK760" s="363" t="str">
        <f>IFERROR(__xludf.DUMMYFUNCTION("IFERROR(if(D762&lt;&gt;"""", 
  AVERAGE(
    QUERY(
      IMPORTRANGE(""1-uH1wy6jSm5jYL9je6fN1K5RJ5QMvHntodEHZRtIvTk"", ""All Data!N2:U""),
      ""select Col8 where Col1 = '"" &amp; D762 &amp; ""' and Col8 is not null"",
      0
    )
  )/100,
""""),
  """"
)
"),"")</f>
        <v/>
      </c>
    </row>
    <row r="761">
      <c r="D761" s="172"/>
      <c r="E761" s="368"/>
      <c r="F761" s="368"/>
      <c r="G761" s="368"/>
      <c r="H761" s="172"/>
      <c r="I761" s="172"/>
      <c r="J761" s="172"/>
      <c r="K761" s="172"/>
      <c r="L761" s="172"/>
      <c r="M761" s="172"/>
      <c r="N761" s="172"/>
      <c r="O761" s="358"/>
      <c r="P761" s="358"/>
      <c r="Q761" s="358"/>
      <c r="R761" s="378"/>
      <c r="S761" s="378"/>
      <c r="T761" s="8"/>
      <c r="U761" s="8"/>
      <c r="V761" s="8"/>
      <c r="W761" s="172"/>
      <c r="X761" s="172"/>
      <c r="Y761" s="8"/>
      <c r="Z761" s="8"/>
      <c r="AA761" s="8"/>
      <c r="AB761" s="172"/>
      <c r="AC761" s="172"/>
      <c r="AD761" s="8"/>
      <c r="AE761" s="8"/>
      <c r="AF761" s="8"/>
      <c r="AG761" s="172"/>
      <c r="AH761" s="172"/>
      <c r="AI761" s="367"/>
      <c r="AJ761" s="362"/>
      <c r="AK761" s="363" t="str">
        <f>IFERROR(__xludf.DUMMYFUNCTION("IFERROR(if(D763&lt;&gt;"""", 
  AVERAGE(
    QUERY(
      IMPORTRANGE(""1-uH1wy6jSm5jYL9je6fN1K5RJ5QMvHntodEHZRtIvTk"", ""All Data!N2:U""),
      ""select Col8 where Col1 = '"" &amp; D763 &amp; ""' and Col8 is not null"",
      0
    )
  )/100,
""""),
  """"
)
"),"")</f>
        <v/>
      </c>
    </row>
    <row r="762">
      <c r="D762" s="172"/>
      <c r="E762" s="368"/>
      <c r="F762" s="368"/>
      <c r="G762" s="368"/>
      <c r="H762" s="172"/>
      <c r="I762" s="172"/>
      <c r="J762" s="172"/>
      <c r="K762" s="172"/>
      <c r="L762" s="172"/>
      <c r="M762" s="172"/>
      <c r="N762" s="172"/>
      <c r="O762" s="358"/>
      <c r="P762" s="358"/>
      <c r="Q762" s="358"/>
      <c r="R762" s="378"/>
      <c r="S762" s="378"/>
      <c r="T762" s="8"/>
      <c r="U762" s="8"/>
      <c r="V762" s="8"/>
      <c r="W762" s="172"/>
      <c r="X762" s="172"/>
      <c r="Y762" s="8"/>
      <c r="Z762" s="8"/>
      <c r="AA762" s="8"/>
      <c r="AB762" s="172"/>
      <c r="AC762" s="172"/>
      <c r="AD762" s="8"/>
      <c r="AE762" s="8"/>
      <c r="AF762" s="8"/>
      <c r="AG762" s="172"/>
      <c r="AH762" s="172"/>
      <c r="AI762" s="367"/>
      <c r="AJ762" s="362"/>
      <c r="AK762" s="363" t="str">
        <f>IFERROR(__xludf.DUMMYFUNCTION("IFERROR(if(D764&lt;&gt;"""", 
  AVERAGE(
    QUERY(
      IMPORTRANGE(""1-uH1wy6jSm5jYL9je6fN1K5RJ5QMvHntodEHZRtIvTk"", ""All Data!N2:U""),
      ""select Col8 where Col1 = '"" &amp; D764 &amp; ""' and Col8 is not null"",
      0
    )
  )/100,
""""),
  """"
)
"),"")</f>
        <v/>
      </c>
    </row>
    <row r="763">
      <c r="D763" s="172"/>
      <c r="E763" s="368"/>
      <c r="F763" s="368"/>
      <c r="G763" s="368"/>
      <c r="H763" s="172"/>
      <c r="I763" s="172"/>
      <c r="J763" s="172"/>
      <c r="K763" s="172"/>
      <c r="L763" s="172"/>
      <c r="M763" s="172"/>
      <c r="N763" s="172"/>
      <c r="O763" s="358"/>
      <c r="P763" s="358"/>
      <c r="Q763" s="358"/>
      <c r="R763" s="378"/>
      <c r="S763" s="378"/>
      <c r="T763" s="8"/>
      <c r="U763" s="8"/>
      <c r="V763" s="8"/>
      <c r="W763" s="172"/>
      <c r="X763" s="172"/>
      <c r="Y763" s="8"/>
      <c r="Z763" s="8"/>
      <c r="AA763" s="8"/>
      <c r="AB763" s="172"/>
      <c r="AC763" s="172"/>
      <c r="AD763" s="8"/>
      <c r="AE763" s="8"/>
      <c r="AF763" s="8"/>
      <c r="AG763" s="172"/>
      <c r="AH763" s="172"/>
      <c r="AI763" s="367"/>
      <c r="AJ763" s="362"/>
      <c r="AK763" s="363" t="str">
        <f>IFERROR(__xludf.DUMMYFUNCTION("IFERROR(if(D765&lt;&gt;"""", 
  AVERAGE(
    QUERY(
      IMPORTRANGE(""1-uH1wy6jSm5jYL9je6fN1K5RJ5QMvHntodEHZRtIvTk"", ""All Data!N2:U""),
      ""select Col8 where Col1 = '"" &amp; D765 &amp; ""' and Col8 is not null"",
      0
    )
  )/100,
""""),
  """"
)
"),"")</f>
        <v/>
      </c>
    </row>
    <row r="764">
      <c r="D764" s="172"/>
      <c r="E764" s="368"/>
      <c r="F764" s="368"/>
      <c r="G764" s="368"/>
      <c r="H764" s="172"/>
      <c r="I764" s="172"/>
      <c r="J764" s="172"/>
      <c r="K764" s="172"/>
      <c r="L764" s="172"/>
      <c r="M764" s="172"/>
      <c r="N764" s="172"/>
      <c r="O764" s="358"/>
      <c r="P764" s="358"/>
      <c r="Q764" s="358"/>
      <c r="R764" s="378"/>
      <c r="S764" s="378"/>
      <c r="T764" s="8"/>
      <c r="U764" s="8"/>
      <c r="V764" s="8"/>
      <c r="W764" s="172"/>
      <c r="X764" s="172"/>
      <c r="Y764" s="8"/>
      <c r="Z764" s="8"/>
      <c r="AA764" s="8"/>
      <c r="AB764" s="172"/>
      <c r="AC764" s="172"/>
      <c r="AD764" s="8"/>
      <c r="AE764" s="8"/>
      <c r="AF764" s="8"/>
      <c r="AG764" s="172"/>
      <c r="AH764" s="172"/>
      <c r="AI764" s="367"/>
      <c r="AJ764" s="362"/>
      <c r="AK764" s="363" t="str">
        <f>IFERROR(__xludf.DUMMYFUNCTION("IFERROR(if(D766&lt;&gt;"""", 
  AVERAGE(
    QUERY(
      IMPORTRANGE(""1-uH1wy6jSm5jYL9je6fN1K5RJ5QMvHntodEHZRtIvTk"", ""All Data!N2:U""),
      ""select Col8 where Col1 = '"" &amp; D766 &amp; ""' and Col8 is not null"",
      0
    )
  )/100,
""""),
  """"
)
"),"")</f>
        <v/>
      </c>
    </row>
    <row r="765">
      <c r="D765" s="172"/>
      <c r="E765" s="368"/>
      <c r="F765" s="368"/>
      <c r="G765" s="368"/>
      <c r="H765" s="172"/>
      <c r="I765" s="172"/>
      <c r="J765" s="172"/>
      <c r="K765" s="172"/>
      <c r="L765" s="172"/>
      <c r="M765" s="172"/>
      <c r="N765" s="172"/>
      <c r="O765" s="358"/>
      <c r="P765" s="358"/>
      <c r="Q765" s="358"/>
      <c r="R765" s="378"/>
      <c r="S765" s="378"/>
      <c r="T765" s="8"/>
      <c r="U765" s="8"/>
      <c r="V765" s="8"/>
      <c r="W765" s="172"/>
      <c r="X765" s="172"/>
      <c r="Y765" s="8"/>
      <c r="Z765" s="8"/>
      <c r="AA765" s="8"/>
      <c r="AB765" s="172"/>
      <c r="AC765" s="172"/>
      <c r="AD765" s="8"/>
      <c r="AE765" s="8"/>
      <c r="AF765" s="8"/>
      <c r="AG765" s="172"/>
      <c r="AH765" s="172"/>
      <c r="AI765" s="367"/>
      <c r="AJ765" s="362"/>
      <c r="AK765" s="363" t="str">
        <f>IFERROR(__xludf.DUMMYFUNCTION("IFERROR(if(D767&lt;&gt;"""", 
  AVERAGE(
    QUERY(
      IMPORTRANGE(""1-uH1wy6jSm5jYL9je6fN1K5RJ5QMvHntodEHZRtIvTk"", ""All Data!N2:U""),
      ""select Col8 where Col1 = '"" &amp; D767 &amp; ""' and Col8 is not null"",
      0
    )
  )/100,
""""),
  """"
)
"),"")</f>
        <v/>
      </c>
    </row>
    <row r="766">
      <c r="D766" s="172"/>
      <c r="E766" s="368"/>
      <c r="F766" s="368"/>
      <c r="G766" s="368"/>
      <c r="H766" s="172"/>
      <c r="I766" s="172"/>
      <c r="J766" s="172"/>
      <c r="K766" s="172"/>
      <c r="L766" s="172"/>
      <c r="M766" s="172"/>
      <c r="N766" s="172"/>
      <c r="O766" s="358"/>
      <c r="P766" s="358"/>
      <c r="Q766" s="358"/>
      <c r="R766" s="378"/>
      <c r="S766" s="378"/>
      <c r="T766" s="8"/>
      <c r="U766" s="8"/>
      <c r="V766" s="8"/>
      <c r="W766" s="172"/>
      <c r="X766" s="172"/>
      <c r="Y766" s="8"/>
      <c r="Z766" s="8"/>
      <c r="AA766" s="8"/>
      <c r="AB766" s="172"/>
      <c r="AC766" s="172"/>
      <c r="AD766" s="8"/>
      <c r="AE766" s="8"/>
      <c r="AF766" s="8"/>
      <c r="AG766" s="172"/>
      <c r="AH766" s="172"/>
      <c r="AI766" s="367"/>
      <c r="AJ766" s="362"/>
      <c r="AK766" s="363" t="str">
        <f>IFERROR(__xludf.DUMMYFUNCTION("IFERROR(if(D768&lt;&gt;"""", 
  AVERAGE(
    QUERY(
      IMPORTRANGE(""1-uH1wy6jSm5jYL9je6fN1K5RJ5QMvHntodEHZRtIvTk"", ""All Data!N2:U""),
      ""select Col8 where Col1 = '"" &amp; D768 &amp; ""' and Col8 is not null"",
      0
    )
  )/100,
""""),
  """"
)
"),"")</f>
        <v/>
      </c>
    </row>
    <row r="767">
      <c r="D767" s="172"/>
      <c r="E767" s="368"/>
      <c r="F767" s="368"/>
      <c r="G767" s="368"/>
      <c r="H767" s="172"/>
      <c r="I767" s="172"/>
      <c r="J767" s="172"/>
      <c r="K767" s="172"/>
      <c r="L767" s="172"/>
      <c r="M767" s="172"/>
      <c r="N767" s="172"/>
      <c r="O767" s="358"/>
      <c r="P767" s="358"/>
      <c r="Q767" s="358"/>
      <c r="R767" s="378"/>
      <c r="S767" s="378"/>
      <c r="T767" s="8"/>
      <c r="U767" s="8"/>
      <c r="V767" s="8"/>
      <c r="W767" s="172"/>
      <c r="X767" s="172"/>
      <c r="Y767" s="8"/>
      <c r="Z767" s="8"/>
      <c r="AA767" s="8"/>
      <c r="AB767" s="172"/>
      <c r="AC767" s="172"/>
      <c r="AD767" s="8"/>
      <c r="AE767" s="8"/>
      <c r="AF767" s="8"/>
      <c r="AG767" s="172"/>
      <c r="AH767" s="172"/>
      <c r="AI767" s="367"/>
      <c r="AJ767" s="362"/>
      <c r="AK767" s="363" t="str">
        <f>IFERROR(__xludf.DUMMYFUNCTION("IFERROR(if(D769&lt;&gt;"""", 
  AVERAGE(
    QUERY(
      IMPORTRANGE(""1-uH1wy6jSm5jYL9je6fN1K5RJ5QMvHntodEHZRtIvTk"", ""All Data!N2:U""),
      ""select Col8 where Col1 = '"" &amp; D769 &amp; ""' and Col8 is not null"",
      0
    )
  )/100,
""""),
  """"
)
"),"")</f>
        <v/>
      </c>
    </row>
    <row r="768">
      <c r="D768" s="172"/>
      <c r="E768" s="368"/>
      <c r="F768" s="368"/>
      <c r="G768" s="368"/>
      <c r="H768" s="172"/>
      <c r="I768" s="172"/>
      <c r="J768" s="172"/>
      <c r="K768" s="172"/>
      <c r="L768" s="172"/>
      <c r="M768" s="172"/>
      <c r="N768" s="172"/>
      <c r="O768" s="358"/>
      <c r="P768" s="358"/>
      <c r="Q768" s="358"/>
      <c r="R768" s="378"/>
      <c r="S768" s="378"/>
      <c r="T768" s="8"/>
      <c r="U768" s="8"/>
      <c r="V768" s="8"/>
      <c r="W768" s="172"/>
      <c r="X768" s="172"/>
      <c r="Y768" s="8"/>
      <c r="Z768" s="8"/>
      <c r="AA768" s="8"/>
      <c r="AB768" s="172"/>
      <c r="AC768" s="172"/>
      <c r="AD768" s="8"/>
      <c r="AE768" s="8"/>
      <c r="AF768" s="8"/>
      <c r="AG768" s="172"/>
      <c r="AH768" s="172"/>
      <c r="AI768" s="367"/>
      <c r="AJ768" s="362"/>
      <c r="AK768" s="363" t="str">
        <f>IFERROR(__xludf.DUMMYFUNCTION("IFERROR(if(D770&lt;&gt;"""", 
  AVERAGE(
    QUERY(
      IMPORTRANGE(""1-uH1wy6jSm5jYL9je6fN1K5RJ5QMvHntodEHZRtIvTk"", ""All Data!N2:U""),
      ""select Col8 where Col1 = '"" &amp; D770 &amp; ""' and Col8 is not null"",
      0
    )
  )/100,
""""),
  """"
)
"),"")</f>
        <v/>
      </c>
    </row>
    <row r="769">
      <c r="D769" s="172"/>
      <c r="E769" s="368"/>
      <c r="F769" s="368"/>
      <c r="G769" s="368"/>
      <c r="H769" s="172"/>
      <c r="I769" s="172"/>
      <c r="J769" s="172"/>
      <c r="K769" s="172"/>
      <c r="L769" s="172"/>
      <c r="M769" s="172"/>
      <c r="N769" s="172"/>
      <c r="O769" s="358"/>
      <c r="P769" s="358"/>
      <c r="Q769" s="358"/>
      <c r="R769" s="378"/>
      <c r="S769" s="378"/>
      <c r="T769" s="8"/>
      <c r="U769" s="8"/>
      <c r="V769" s="8"/>
      <c r="W769" s="172"/>
      <c r="X769" s="172"/>
      <c r="Y769" s="8"/>
      <c r="Z769" s="8"/>
      <c r="AA769" s="8"/>
      <c r="AB769" s="172"/>
      <c r="AC769" s="172"/>
      <c r="AD769" s="8"/>
      <c r="AE769" s="8"/>
      <c r="AF769" s="8"/>
      <c r="AG769" s="172"/>
      <c r="AH769" s="172"/>
      <c r="AI769" s="367"/>
      <c r="AJ769" s="362"/>
      <c r="AK769" s="363" t="str">
        <f>IFERROR(__xludf.DUMMYFUNCTION("IFERROR(if(D771&lt;&gt;"""", 
  AVERAGE(
    QUERY(
      IMPORTRANGE(""1-uH1wy6jSm5jYL9je6fN1K5RJ5QMvHntodEHZRtIvTk"", ""All Data!N2:U""),
      ""select Col8 where Col1 = '"" &amp; D771 &amp; ""' and Col8 is not null"",
      0
    )
  )/100,
""""),
  """"
)
"),"")</f>
        <v/>
      </c>
    </row>
    <row r="770">
      <c r="D770" s="172"/>
      <c r="E770" s="368"/>
      <c r="F770" s="368"/>
      <c r="G770" s="368"/>
      <c r="H770" s="172"/>
      <c r="I770" s="172"/>
      <c r="J770" s="172"/>
      <c r="K770" s="172"/>
      <c r="L770" s="172"/>
      <c r="M770" s="172"/>
      <c r="N770" s="172"/>
      <c r="O770" s="358"/>
      <c r="P770" s="358"/>
      <c r="Q770" s="358"/>
      <c r="R770" s="378"/>
      <c r="S770" s="378"/>
      <c r="T770" s="8"/>
      <c r="U770" s="8"/>
      <c r="V770" s="8"/>
      <c r="W770" s="172"/>
      <c r="X770" s="172"/>
      <c r="Y770" s="8"/>
      <c r="Z770" s="8"/>
      <c r="AA770" s="8"/>
      <c r="AB770" s="172"/>
      <c r="AC770" s="172"/>
      <c r="AD770" s="8"/>
      <c r="AE770" s="8"/>
      <c r="AF770" s="8"/>
      <c r="AG770" s="172"/>
      <c r="AH770" s="172"/>
      <c r="AI770" s="367"/>
      <c r="AJ770" s="362"/>
      <c r="AK770" s="363" t="str">
        <f>IFERROR(__xludf.DUMMYFUNCTION("IFERROR(if(D772&lt;&gt;"""", 
  AVERAGE(
    QUERY(
      IMPORTRANGE(""1-uH1wy6jSm5jYL9je6fN1K5RJ5QMvHntodEHZRtIvTk"", ""All Data!N2:U""),
      ""select Col8 where Col1 = '"" &amp; D772 &amp; ""' and Col8 is not null"",
      0
    )
  )/100,
""""),
  """"
)
"),"")</f>
        <v/>
      </c>
    </row>
    <row r="771">
      <c r="D771" s="172"/>
      <c r="E771" s="368"/>
      <c r="F771" s="368"/>
      <c r="G771" s="368"/>
      <c r="H771" s="172"/>
      <c r="I771" s="172"/>
      <c r="J771" s="172"/>
      <c r="K771" s="172"/>
      <c r="L771" s="172"/>
      <c r="M771" s="172"/>
      <c r="N771" s="172"/>
      <c r="O771" s="358"/>
      <c r="P771" s="358"/>
      <c r="Q771" s="358"/>
      <c r="R771" s="378"/>
      <c r="S771" s="378"/>
      <c r="T771" s="8"/>
      <c r="U771" s="8"/>
      <c r="V771" s="8"/>
      <c r="W771" s="172"/>
      <c r="X771" s="172"/>
      <c r="Y771" s="8"/>
      <c r="Z771" s="8"/>
      <c r="AA771" s="8"/>
      <c r="AB771" s="172"/>
      <c r="AC771" s="172"/>
      <c r="AD771" s="8"/>
      <c r="AE771" s="8"/>
      <c r="AF771" s="8"/>
      <c r="AG771" s="172"/>
      <c r="AH771" s="172"/>
      <c r="AI771" s="367"/>
      <c r="AJ771" s="362"/>
      <c r="AK771" s="363" t="str">
        <f>IFERROR(__xludf.DUMMYFUNCTION("IFERROR(if(D773&lt;&gt;"""", 
  AVERAGE(
    QUERY(
      IMPORTRANGE(""1-uH1wy6jSm5jYL9je6fN1K5RJ5QMvHntodEHZRtIvTk"", ""All Data!N2:U""),
      ""select Col8 where Col1 = '"" &amp; D773 &amp; ""' and Col8 is not null"",
      0
    )
  )/100,
""""),
  """"
)
"),"")</f>
        <v/>
      </c>
    </row>
    <row r="772">
      <c r="D772" s="172"/>
      <c r="E772" s="368"/>
      <c r="F772" s="368"/>
      <c r="G772" s="368"/>
      <c r="H772" s="172"/>
      <c r="I772" s="172"/>
      <c r="J772" s="172"/>
      <c r="K772" s="172"/>
      <c r="L772" s="172"/>
      <c r="M772" s="172"/>
      <c r="N772" s="172"/>
      <c r="O772" s="358"/>
      <c r="P772" s="358"/>
      <c r="Q772" s="358"/>
      <c r="R772" s="378"/>
      <c r="S772" s="378"/>
      <c r="T772" s="8"/>
      <c r="U772" s="8"/>
      <c r="V772" s="8"/>
      <c r="W772" s="172"/>
      <c r="X772" s="172"/>
      <c r="Y772" s="8"/>
      <c r="Z772" s="8"/>
      <c r="AA772" s="8"/>
      <c r="AB772" s="172"/>
      <c r="AC772" s="172"/>
      <c r="AD772" s="8"/>
      <c r="AE772" s="8"/>
      <c r="AF772" s="8"/>
      <c r="AG772" s="172"/>
      <c r="AH772" s="172"/>
      <c r="AI772" s="367"/>
      <c r="AJ772" s="362"/>
      <c r="AK772" s="363" t="str">
        <f>IFERROR(__xludf.DUMMYFUNCTION("IFERROR(if(D774&lt;&gt;"""", 
  AVERAGE(
    QUERY(
      IMPORTRANGE(""1-uH1wy6jSm5jYL9je6fN1K5RJ5QMvHntodEHZRtIvTk"", ""All Data!N2:U""),
      ""select Col8 where Col1 = '"" &amp; D774 &amp; ""' and Col8 is not null"",
      0
    )
  )/100,
""""),
  """"
)
"),"")</f>
        <v/>
      </c>
    </row>
    <row r="773">
      <c r="D773" s="172"/>
      <c r="E773" s="368"/>
      <c r="F773" s="368"/>
      <c r="G773" s="368"/>
      <c r="H773" s="172"/>
      <c r="I773" s="172"/>
      <c r="J773" s="172"/>
      <c r="K773" s="172"/>
      <c r="L773" s="172"/>
      <c r="M773" s="172"/>
      <c r="N773" s="172"/>
      <c r="O773" s="358"/>
      <c r="P773" s="358"/>
      <c r="Q773" s="358"/>
      <c r="R773" s="378"/>
      <c r="S773" s="378"/>
      <c r="T773" s="8"/>
      <c r="U773" s="8"/>
      <c r="V773" s="8"/>
      <c r="W773" s="172"/>
      <c r="X773" s="172"/>
      <c r="Y773" s="8"/>
      <c r="Z773" s="8"/>
      <c r="AA773" s="8"/>
      <c r="AB773" s="172"/>
      <c r="AC773" s="172"/>
      <c r="AD773" s="8"/>
      <c r="AE773" s="8"/>
      <c r="AF773" s="8"/>
      <c r="AG773" s="172"/>
      <c r="AH773" s="172"/>
      <c r="AI773" s="367"/>
      <c r="AJ773" s="362"/>
      <c r="AK773" s="363" t="str">
        <f>IFERROR(__xludf.DUMMYFUNCTION("IFERROR(if(D775&lt;&gt;"""", 
  AVERAGE(
    QUERY(
      IMPORTRANGE(""1-uH1wy6jSm5jYL9je6fN1K5RJ5QMvHntodEHZRtIvTk"", ""All Data!N2:U""),
      ""select Col8 where Col1 = '"" &amp; D775 &amp; ""' and Col8 is not null"",
      0
    )
  )/100,
""""),
  """"
)
"),"")</f>
        <v/>
      </c>
    </row>
    <row r="774">
      <c r="D774" s="172"/>
      <c r="E774" s="368"/>
      <c r="F774" s="368"/>
      <c r="G774" s="368"/>
      <c r="H774" s="172"/>
      <c r="I774" s="172"/>
      <c r="J774" s="172"/>
      <c r="K774" s="172"/>
      <c r="L774" s="172"/>
      <c r="M774" s="172"/>
      <c r="N774" s="172"/>
      <c r="O774" s="358"/>
      <c r="P774" s="358"/>
      <c r="Q774" s="358"/>
      <c r="R774" s="378"/>
      <c r="S774" s="378"/>
      <c r="T774" s="8"/>
      <c r="U774" s="8"/>
      <c r="V774" s="8"/>
      <c r="W774" s="172"/>
      <c r="X774" s="172"/>
      <c r="Y774" s="8"/>
      <c r="Z774" s="8"/>
      <c r="AA774" s="8"/>
      <c r="AB774" s="172"/>
      <c r="AC774" s="172"/>
      <c r="AD774" s="8"/>
      <c r="AE774" s="8"/>
      <c r="AF774" s="8"/>
      <c r="AG774" s="172"/>
      <c r="AH774" s="172"/>
      <c r="AI774" s="367"/>
      <c r="AJ774" s="362"/>
      <c r="AK774" s="363" t="str">
        <f>IFERROR(__xludf.DUMMYFUNCTION("IFERROR(if(D776&lt;&gt;"""", 
  AVERAGE(
    QUERY(
      IMPORTRANGE(""1-uH1wy6jSm5jYL9je6fN1K5RJ5QMvHntodEHZRtIvTk"", ""All Data!N2:U""),
      ""select Col8 where Col1 = '"" &amp; D776 &amp; ""' and Col8 is not null"",
      0
    )
  )/100,
""""),
  """"
)
"),"")</f>
        <v/>
      </c>
    </row>
    <row r="775">
      <c r="D775" s="172"/>
      <c r="E775" s="368"/>
      <c r="F775" s="368"/>
      <c r="G775" s="368"/>
      <c r="H775" s="172"/>
      <c r="I775" s="172"/>
      <c r="J775" s="172"/>
      <c r="K775" s="172"/>
      <c r="L775" s="172"/>
      <c r="M775" s="172"/>
      <c r="N775" s="172"/>
      <c r="O775" s="358"/>
      <c r="P775" s="358"/>
      <c r="Q775" s="358"/>
      <c r="R775" s="378"/>
      <c r="S775" s="378"/>
      <c r="T775" s="8"/>
      <c r="U775" s="8"/>
      <c r="V775" s="8"/>
      <c r="W775" s="172"/>
      <c r="X775" s="172"/>
      <c r="Y775" s="8"/>
      <c r="Z775" s="8"/>
      <c r="AA775" s="8"/>
      <c r="AB775" s="172"/>
      <c r="AC775" s="172"/>
      <c r="AD775" s="8"/>
      <c r="AE775" s="8"/>
      <c r="AF775" s="8"/>
      <c r="AG775" s="172"/>
      <c r="AH775" s="172"/>
      <c r="AI775" s="367"/>
      <c r="AJ775" s="362"/>
      <c r="AK775" s="363" t="str">
        <f>IFERROR(__xludf.DUMMYFUNCTION("IFERROR(if(D777&lt;&gt;"""", 
  AVERAGE(
    QUERY(
      IMPORTRANGE(""1-uH1wy6jSm5jYL9je6fN1K5RJ5QMvHntodEHZRtIvTk"", ""All Data!N2:U""),
      ""select Col8 where Col1 = '"" &amp; D777 &amp; ""' and Col8 is not null"",
      0
    )
  )/100,
""""),
  """"
)
"),"")</f>
        <v/>
      </c>
    </row>
    <row r="776">
      <c r="D776" s="172"/>
      <c r="E776" s="368"/>
      <c r="F776" s="368"/>
      <c r="G776" s="368"/>
      <c r="H776" s="172"/>
      <c r="I776" s="172"/>
      <c r="J776" s="172"/>
      <c r="K776" s="172"/>
      <c r="L776" s="172"/>
      <c r="M776" s="172"/>
      <c r="N776" s="172"/>
      <c r="O776" s="358"/>
      <c r="P776" s="358"/>
      <c r="Q776" s="358"/>
      <c r="R776" s="378"/>
      <c r="S776" s="378"/>
      <c r="T776" s="8"/>
      <c r="U776" s="8"/>
      <c r="V776" s="8"/>
      <c r="W776" s="172"/>
      <c r="X776" s="172"/>
      <c r="Y776" s="8"/>
      <c r="Z776" s="8"/>
      <c r="AA776" s="8"/>
      <c r="AB776" s="172"/>
      <c r="AC776" s="172"/>
      <c r="AD776" s="8"/>
      <c r="AE776" s="8"/>
      <c r="AF776" s="8"/>
      <c r="AG776" s="172"/>
      <c r="AH776" s="172"/>
      <c r="AI776" s="367"/>
      <c r="AJ776" s="362"/>
      <c r="AK776" s="363" t="str">
        <f>IFERROR(__xludf.DUMMYFUNCTION("IFERROR(if(D778&lt;&gt;"""", 
  AVERAGE(
    QUERY(
      IMPORTRANGE(""1-uH1wy6jSm5jYL9je6fN1K5RJ5QMvHntodEHZRtIvTk"", ""All Data!N2:U""),
      ""select Col8 where Col1 = '"" &amp; D778 &amp; ""' and Col8 is not null"",
      0
    )
  )/100,
""""),
  """"
)
"),"")</f>
        <v/>
      </c>
    </row>
    <row r="777">
      <c r="D777" s="172"/>
      <c r="E777" s="368"/>
      <c r="F777" s="368"/>
      <c r="G777" s="368"/>
      <c r="H777" s="172"/>
      <c r="I777" s="172"/>
      <c r="J777" s="172"/>
      <c r="K777" s="172"/>
      <c r="L777" s="172"/>
      <c r="M777" s="172"/>
      <c r="N777" s="172"/>
      <c r="O777" s="358"/>
      <c r="P777" s="358"/>
      <c r="Q777" s="358"/>
      <c r="R777" s="378"/>
      <c r="S777" s="378"/>
      <c r="T777" s="8"/>
      <c r="U777" s="8"/>
      <c r="V777" s="8"/>
      <c r="W777" s="172"/>
      <c r="X777" s="172"/>
      <c r="Y777" s="8"/>
      <c r="Z777" s="8"/>
      <c r="AA777" s="8"/>
      <c r="AB777" s="172"/>
      <c r="AC777" s="172"/>
      <c r="AD777" s="8"/>
      <c r="AE777" s="8"/>
      <c r="AF777" s="8"/>
      <c r="AG777" s="172"/>
      <c r="AH777" s="172"/>
      <c r="AI777" s="367"/>
      <c r="AJ777" s="362"/>
      <c r="AK777" s="363" t="str">
        <f>IFERROR(__xludf.DUMMYFUNCTION("IFERROR(if(D779&lt;&gt;"""", 
  AVERAGE(
    QUERY(
      IMPORTRANGE(""1-uH1wy6jSm5jYL9je6fN1K5RJ5QMvHntodEHZRtIvTk"", ""All Data!N2:U""),
      ""select Col8 where Col1 = '"" &amp; D779 &amp; ""' and Col8 is not null"",
      0
    )
  )/100,
""""),
  """"
)
"),"")</f>
        <v/>
      </c>
    </row>
    <row r="778">
      <c r="D778" s="172"/>
      <c r="E778" s="368"/>
      <c r="F778" s="368"/>
      <c r="G778" s="368"/>
      <c r="H778" s="172"/>
      <c r="I778" s="172"/>
      <c r="J778" s="172"/>
      <c r="K778" s="172"/>
      <c r="L778" s="172"/>
      <c r="M778" s="172"/>
      <c r="N778" s="172"/>
      <c r="O778" s="358"/>
      <c r="P778" s="358"/>
      <c r="Q778" s="358"/>
      <c r="R778" s="378"/>
      <c r="S778" s="378"/>
      <c r="T778" s="8"/>
      <c r="U778" s="8"/>
      <c r="V778" s="8"/>
      <c r="W778" s="172"/>
      <c r="X778" s="172"/>
      <c r="Y778" s="8"/>
      <c r="Z778" s="8"/>
      <c r="AA778" s="8"/>
      <c r="AB778" s="172"/>
      <c r="AC778" s="172"/>
      <c r="AD778" s="8"/>
      <c r="AE778" s="8"/>
      <c r="AF778" s="8"/>
      <c r="AG778" s="172"/>
      <c r="AH778" s="172"/>
      <c r="AI778" s="367"/>
      <c r="AJ778" s="362"/>
      <c r="AK778" s="363" t="str">
        <f>IFERROR(__xludf.DUMMYFUNCTION("IFERROR(if(D780&lt;&gt;"""", 
  AVERAGE(
    QUERY(
      IMPORTRANGE(""1-uH1wy6jSm5jYL9je6fN1K5RJ5QMvHntodEHZRtIvTk"", ""All Data!N2:U""),
      ""select Col8 where Col1 = '"" &amp; D780 &amp; ""' and Col8 is not null"",
      0
    )
  )/100,
""""),
  """"
)
"),"")</f>
        <v/>
      </c>
    </row>
    <row r="779">
      <c r="D779" s="172"/>
      <c r="E779" s="368"/>
      <c r="F779" s="368"/>
      <c r="G779" s="368"/>
      <c r="H779" s="172"/>
      <c r="I779" s="172"/>
      <c r="J779" s="172"/>
      <c r="K779" s="172"/>
      <c r="L779" s="172"/>
      <c r="M779" s="172"/>
      <c r="N779" s="172"/>
      <c r="O779" s="358"/>
      <c r="P779" s="358"/>
      <c r="Q779" s="358"/>
      <c r="R779" s="378"/>
      <c r="S779" s="378"/>
      <c r="T779" s="8"/>
      <c r="U779" s="8"/>
      <c r="V779" s="8"/>
      <c r="W779" s="172"/>
      <c r="X779" s="172"/>
      <c r="Y779" s="8"/>
      <c r="Z779" s="8"/>
      <c r="AA779" s="8"/>
      <c r="AB779" s="172"/>
      <c r="AC779" s="172"/>
      <c r="AD779" s="8"/>
      <c r="AE779" s="8"/>
      <c r="AF779" s="8"/>
      <c r="AG779" s="172"/>
      <c r="AH779" s="172"/>
      <c r="AI779" s="367"/>
      <c r="AJ779" s="362"/>
      <c r="AK779" s="363" t="str">
        <f>IFERROR(__xludf.DUMMYFUNCTION("IFERROR(if(D781&lt;&gt;"""", 
  AVERAGE(
    QUERY(
      IMPORTRANGE(""1-uH1wy6jSm5jYL9je6fN1K5RJ5QMvHntodEHZRtIvTk"", ""All Data!N2:U""),
      ""select Col8 where Col1 = '"" &amp; D781 &amp; ""' and Col8 is not null"",
      0
    )
  )/100,
""""),
  """"
)
"),"")</f>
        <v/>
      </c>
    </row>
    <row r="780">
      <c r="D780" s="172"/>
      <c r="E780" s="368"/>
      <c r="F780" s="368"/>
      <c r="G780" s="368"/>
      <c r="H780" s="172"/>
      <c r="I780" s="172"/>
      <c r="J780" s="172"/>
      <c r="K780" s="172"/>
      <c r="L780" s="172"/>
      <c r="M780" s="172"/>
      <c r="N780" s="172"/>
      <c r="O780" s="358"/>
      <c r="P780" s="358"/>
      <c r="Q780" s="358"/>
      <c r="R780" s="378"/>
      <c r="S780" s="378"/>
      <c r="T780" s="8"/>
      <c r="U780" s="8"/>
      <c r="V780" s="8"/>
      <c r="W780" s="172"/>
      <c r="X780" s="172"/>
      <c r="Y780" s="8"/>
      <c r="Z780" s="8"/>
      <c r="AA780" s="8"/>
      <c r="AB780" s="172"/>
      <c r="AC780" s="172"/>
      <c r="AD780" s="8"/>
      <c r="AE780" s="8"/>
      <c r="AF780" s="8"/>
      <c r="AG780" s="172"/>
      <c r="AH780" s="172"/>
      <c r="AI780" s="367"/>
      <c r="AJ780" s="362"/>
      <c r="AK780" s="363" t="str">
        <f>IFERROR(__xludf.DUMMYFUNCTION("IFERROR(if(D782&lt;&gt;"""", 
  AVERAGE(
    QUERY(
      IMPORTRANGE(""1-uH1wy6jSm5jYL9je6fN1K5RJ5QMvHntodEHZRtIvTk"", ""All Data!N2:U""),
      ""select Col8 where Col1 = '"" &amp; D782 &amp; ""' and Col8 is not null"",
      0
    )
  )/100,
""""),
  """"
)
"),"")</f>
        <v/>
      </c>
    </row>
    <row r="781">
      <c r="D781" s="172"/>
      <c r="E781" s="368"/>
      <c r="F781" s="368"/>
      <c r="G781" s="368"/>
      <c r="H781" s="172"/>
      <c r="I781" s="172"/>
      <c r="J781" s="172"/>
      <c r="K781" s="172"/>
      <c r="L781" s="172"/>
      <c r="M781" s="172"/>
      <c r="N781" s="172"/>
      <c r="O781" s="358"/>
      <c r="P781" s="358"/>
      <c r="Q781" s="358"/>
      <c r="R781" s="378"/>
      <c r="S781" s="378"/>
      <c r="T781" s="8"/>
      <c r="U781" s="8"/>
      <c r="V781" s="8"/>
      <c r="W781" s="172"/>
      <c r="X781" s="172"/>
      <c r="Y781" s="8"/>
      <c r="Z781" s="8"/>
      <c r="AA781" s="8"/>
      <c r="AB781" s="172"/>
      <c r="AC781" s="172"/>
      <c r="AD781" s="8"/>
      <c r="AE781" s="8"/>
      <c r="AF781" s="8"/>
      <c r="AG781" s="172"/>
      <c r="AH781" s="172"/>
      <c r="AI781" s="367"/>
      <c r="AJ781" s="362"/>
      <c r="AK781" s="363" t="str">
        <f>IFERROR(__xludf.DUMMYFUNCTION("IFERROR(if(D783&lt;&gt;"""", 
  AVERAGE(
    QUERY(
      IMPORTRANGE(""1-uH1wy6jSm5jYL9je6fN1K5RJ5QMvHntodEHZRtIvTk"", ""All Data!N2:U""),
      ""select Col8 where Col1 = '"" &amp; D783 &amp; ""' and Col8 is not null"",
      0
    )
  )/100,
""""),
  """"
)
"),"")</f>
        <v/>
      </c>
    </row>
    <row r="782">
      <c r="D782" s="172"/>
      <c r="E782" s="368"/>
      <c r="F782" s="368"/>
      <c r="G782" s="368"/>
      <c r="H782" s="172"/>
      <c r="I782" s="172"/>
      <c r="J782" s="172"/>
      <c r="K782" s="172"/>
      <c r="L782" s="172"/>
      <c r="M782" s="172"/>
      <c r="N782" s="172"/>
      <c r="O782" s="358"/>
      <c r="P782" s="358"/>
      <c r="Q782" s="358"/>
      <c r="R782" s="378"/>
      <c r="S782" s="378"/>
      <c r="T782" s="8"/>
      <c r="U782" s="8"/>
      <c r="V782" s="8"/>
      <c r="W782" s="172"/>
      <c r="X782" s="172"/>
      <c r="Y782" s="8"/>
      <c r="Z782" s="8"/>
      <c r="AA782" s="8"/>
      <c r="AB782" s="172"/>
      <c r="AC782" s="172"/>
      <c r="AD782" s="8"/>
      <c r="AE782" s="8"/>
      <c r="AF782" s="8"/>
      <c r="AG782" s="172"/>
      <c r="AH782" s="172"/>
      <c r="AI782" s="367"/>
      <c r="AJ782" s="362"/>
      <c r="AK782" s="363" t="str">
        <f>IFERROR(__xludf.DUMMYFUNCTION("IFERROR(if(D784&lt;&gt;"""", 
  AVERAGE(
    QUERY(
      IMPORTRANGE(""1-uH1wy6jSm5jYL9je6fN1K5RJ5QMvHntodEHZRtIvTk"", ""All Data!N2:U""),
      ""select Col8 where Col1 = '"" &amp; D784 &amp; ""' and Col8 is not null"",
      0
    )
  )/100,
""""),
  """"
)
"),"")</f>
        <v/>
      </c>
    </row>
    <row r="783">
      <c r="D783" s="172"/>
      <c r="E783" s="368"/>
      <c r="F783" s="368"/>
      <c r="G783" s="368"/>
      <c r="H783" s="172"/>
      <c r="I783" s="172"/>
      <c r="J783" s="172"/>
      <c r="K783" s="172"/>
      <c r="L783" s="172"/>
      <c r="M783" s="172"/>
      <c r="N783" s="172"/>
      <c r="O783" s="358"/>
      <c r="P783" s="358"/>
      <c r="Q783" s="358"/>
      <c r="R783" s="378"/>
      <c r="S783" s="378"/>
      <c r="T783" s="8"/>
      <c r="U783" s="8"/>
      <c r="V783" s="8"/>
      <c r="W783" s="172"/>
      <c r="X783" s="172"/>
      <c r="Y783" s="8"/>
      <c r="Z783" s="8"/>
      <c r="AA783" s="8"/>
      <c r="AB783" s="172"/>
      <c r="AC783" s="172"/>
      <c r="AD783" s="8"/>
      <c r="AE783" s="8"/>
      <c r="AF783" s="8"/>
      <c r="AG783" s="172"/>
      <c r="AH783" s="172"/>
      <c r="AI783" s="367"/>
      <c r="AJ783" s="362"/>
      <c r="AK783" s="363" t="str">
        <f>IFERROR(__xludf.DUMMYFUNCTION("IFERROR(if(D785&lt;&gt;"""", 
  AVERAGE(
    QUERY(
      IMPORTRANGE(""1-uH1wy6jSm5jYL9je6fN1K5RJ5QMvHntodEHZRtIvTk"", ""All Data!N2:U""),
      ""select Col8 where Col1 = '"" &amp; D785 &amp; ""' and Col8 is not null"",
      0
    )
  )/100,
""""),
  """"
)
"),"")</f>
        <v/>
      </c>
    </row>
    <row r="784">
      <c r="D784" s="172"/>
      <c r="E784" s="368"/>
      <c r="F784" s="368"/>
      <c r="G784" s="368"/>
      <c r="H784" s="172"/>
      <c r="I784" s="172"/>
      <c r="J784" s="172"/>
      <c r="K784" s="172"/>
      <c r="L784" s="172"/>
      <c r="M784" s="172"/>
      <c r="N784" s="172"/>
      <c r="O784" s="358"/>
      <c r="P784" s="358"/>
      <c r="Q784" s="358"/>
      <c r="R784" s="378"/>
      <c r="S784" s="378"/>
      <c r="T784" s="8"/>
      <c r="U784" s="8"/>
      <c r="V784" s="8"/>
      <c r="W784" s="172"/>
      <c r="X784" s="172"/>
      <c r="Y784" s="8"/>
      <c r="Z784" s="8"/>
      <c r="AA784" s="8"/>
      <c r="AB784" s="172"/>
      <c r="AC784" s="172"/>
      <c r="AD784" s="8"/>
      <c r="AE784" s="8"/>
      <c r="AF784" s="8"/>
      <c r="AG784" s="172"/>
      <c r="AH784" s="172"/>
      <c r="AI784" s="367"/>
      <c r="AJ784" s="362"/>
      <c r="AK784" s="363" t="str">
        <f>IFERROR(__xludf.DUMMYFUNCTION("IFERROR(if(D786&lt;&gt;"""", 
  AVERAGE(
    QUERY(
      IMPORTRANGE(""1-uH1wy6jSm5jYL9je6fN1K5RJ5QMvHntodEHZRtIvTk"", ""All Data!N2:U""),
      ""select Col8 where Col1 = '"" &amp; D786 &amp; ""' and Col8 is not null"",
      0
    )
  )/100,
""""),
  """"
)
"),"")</f>
        <v/>
      </c>
    </row>
    <row r="785">
      <c r="D785" s="172"/>
      <c r="E785" s="368"/>
      <c r="F785" s="368"/>
      <c r="G785" s="368"/>
      <c r="H785" s="172"/>
      <c r="I785" s="172"/>
      <c r="J785" s="172"/>
      <c r="K785" s="172"/>
      <c r="L785" s="172"/>
      <c r="M785" s="172"/>
      <c r="N785" s="172"/>
      <c r="O785" s="358"/>
      <c r="P785" s="358"/>
      <c r="Q785" s="358"/>
      <c r="R785" s="378"/>
      <c r="S785" s="378"/>
      <c r="T785" s="8"/>
      <c r="U785" s="8"/>
      <c r="V785" s="8"/>
      <c r="W785" s="172"/>
      <c r="X785" s="172"/>
      <c r="Y785" s="8"/>
      <c r="Z785" s="8"/>
      <c r="AA785" s="8"/>
      <c r="AB785" s="172"/>
      <c r="AC785" s="172"/>
      <c r="AD785" s="8"/>
      <c r="AE785" s="8"/>
      <c r="AF785" s="8"/>
      <c r="AG785" s="172"/>
      <c r="AH785" s="172"/>
      <c r="AI785" s="367"/>
      <c r="AJ785" s="362"/>
      <c r="AK785" s="363" t="str">
        <f>IFERROR(__xludf.DUMMYFUNCTION("IFERROR(if(D787&lt;&gt;"""", 
  AVERAGE(
    QUERY(
      IMPORTRANGE(""1-uH1wy6jSm5jYL9je6fN1K5RJ5QMvHntodEHZRtIvTk"", ""All Data!N2:U""),
      ""select Col8 where Col1 = '"" &amp; D787 &amp; ""' and Col8 is not null"",
      0
    )
  )/100,
""""),
  """"
)
"),"")</f>
        <v/>
      </c>
    </row>
    <row r="786">
      <c r="D786" s="172"/>
      <c r="E786" s="368"/>
      <c r="F786" s="368"/>
      <c r="G786" s="368"/>
      <c r="H786" s="172"/>
      <c r="I786" s="172"/>
      <c r="J786" s="172"/>
      <c r="K786" s="172"/>
      <c r="L786" s="172"/>
      <c r="M786" s="172"/>
      <c r="N786" s="172"/>
      <c r="O786" s="358"/>
      <c r="P786" s="358"/>
      <c r="Q786" s="358"/>
      <c r="R786" s="378"/>
      <c r="S786" s="378"/>
      <c r="T786" s="8"/>
      <c r="U786" s="8"/>
      <c r="V786" s="8"/>
      <c r="W786" s="172"/>
      <c r="X786" s="172"/>
      <c r="Y786" s="8"/>
      <c r="Z786" s="8"/>
      <c r="AA786" s="8"/>
      <c r="AB786" s="172"/>
      <c r="AC786" s="172"/>
      <c r="AD786" s="8"/>
      <c r="AE786" s="8"/>
      <c r="AF786" s="8"/>
      <c r="AG786" s="172"/>
      <c r="AH786" s="172"/>
      <c r="AI786" s="367"/>
      <c r="AJ786" s="362"/>
      <c r="AK786" s="363" t="str">
        <f>IFERROR(__xludf.DUMMYFUNCTION("IFERROR(if(D788&lt;&gt;"""", 
  AVERAGE(
    QUERY(
      IMPORTRANGE(""1-uH1wy6jSm5jYL9je6fN1K5RJ5QMvHntodEHZRtIvTk"", ""All Data!N2:U""),
      ""select Col8 where Col1 = '"" &amp; D788 &amp; ""' and Col8 is not null"",
      0
    )
  )/100,
""""),
  """"
)
"),"")</f>
        <v/>
      </c>
    </row>
    <row r="787">
      <c r="D787" s="172"/>
      <c r="E787" s="368"/>
      <c r="F787" s="368"/>
      <c r="G787" s="368"/>
      <c r="H787" s="172"/>
      <c r="I787" s="172"/>
      <c r="J787" s="172"/>
      <c r="K787" s="172"/>
      <c r="L787" s="172"/>
      <c r="M787" s="172"/>
      <c r="N787" s="172"/>
      <c r="O787" s="358"/>
      <c r="P787" s="358"/>
      <c r="Q787" s="358"/>
      <c r="R787" s="378"/>
      <c r="S787" s="378"/>
      <c r="T787" s="8"/>
      <c r="U787" s="8"/>
      <c r="V787" s="8"/>
      <c r="W787" s="172"/>
      <c r="X787" s="172"/>
      <c r="Y787" s="8"/>
      <c r="Z787" s="8"/>
      <c r="AA787" s="8"/>
      <c r="AB787" s="172"/>
      <c r="AC787" s="172"/>
      <c r="AD787" s="8"/>
      <c r="AE787" s="8"/>
      <c r="AF787" s="8"/>
      <c r="AG787" s="172"/>
      <c r="AH787" s="172"/>
      <c r="AI787" s="367"/>
      <c r="AJ787" s="362"/>
      <c r="AK787" s="363" t="str">
        <f>IFERROR(__xludf.DUMMYFUNCTION("IFERROR(if(D789&lt;&gt;"""", 
  AVERAGE(
    QUERY(
      IMPORTRANGE(""1-uH1wy6jSm5jYL9je6fN1K5RJ5QMvHntodEHZRtIvTk"", ""All Data!N2:U""),
      ""select Col8 where Col1 = '"" &amp; D789 &amp; ""' and Col8 is not null"",
      0
    )
  )/100,
""""),
  """"
)
"),"")</f>
        <v/>
      </c>
    </row>
    <row r="788">
      <c r="D788" s="172"/>
      <c r="E788" s="368"/>
      <c r="F788" s="368"/>
      <c r="G788" s="368"/>
      <c r="H788" s="172"/>
      <c r="I788" s="172"/>
      <c r="J788" s="172"/>
      <c r="K788" s="172"/>
      <c r="L788" s="172"/>
      <c r="M788" s="172"/>
      <c r="N788" s="172"/>
      <c r="O788" s="358"/>
      <c r="P788" s="358"/>
      <c r="Q788" s="358"/>
      <c r="R788" s="378"/>
      <c r="S788" s="378"/>
      <c r="T788" s="8"/>
      <c r="U788" s="8"/>
      <c r="V788" s="8"/>
      <c r="W788" s="172"/>
      <c r="X788" s="172"/>
      <c r="Y788" s="8"/>
      <c r="Z788" s="8"/>
      <c r="AA788" s="8"/>
      <c r="AB788" s="172"/>
      <c r="AC788" s="172"/>
      <c r="AD788" s="8"/>
      <c r="AE788" s="8"/>
      <c r="AF788" s="8"/>
      <c r="AG788" s="172"/>
      <c r="AH788" s="172"/>
      <c r="AI788" s="367"/>
      <c r="AJ788" s="362"/>
      <c r="AK788" s="363" t="str">
        <f>IFERROR(__xludf.DUMMYFUNCTION("IFERROR(if(D790&lt;&gt;"""", 
  AVERAGE(
    QUERY(
      IMPORTRANGE(""1-uH1wy6jSm5jYL9je6fN1K5RJ5QMvHntodEHZRtIvTk"", ""All Data!N2:U""),
      ""select Col8 where Col1 = '"" &amp; D790 &amp; ""' and Col8 is not null"",
      0
    )
  )/100,
""""),
  """"
)
"),"")</f>
        <v/>
      </c>
    </row>
    <row r="789">
      <c r="D789" s="172"/>
      <c r="E789" s="368"/>
      <c r="F789" s="368"/>
      <c r="G789" s="368"/>
      <c r="H789" s="172"/>
      <c r="I789" s="172"/>
      <c r="J789" s="172"/>
      <c r="K789" s="172"/>
      <c r="L789" s="172"/>
      <c r="M789" s="172"/>
      <c r="N789" s="172"/>
      <c r="O789" s="358"/>
      <c r="P789" s="358"/>
      <c r="Q789" s="358"/>
      <c r="R789" s="378"/>
      <c r="S789" s="378"/>
      <c r="T789" s="8"/>
      <c r="U789" s="8"/>
      <c r="V789" s="8"/>
      <c r="W789" s="172"/>
      <c r="X789" s="172"/>
      <c r="Y789" s="8"/>
      <c r="Z789" s="8"/>
      <c r="AA789" s="8"/>
      <c r="AB789" s="172"/>
      <c r="AC789" s="172"/>
      <c r="AD789" s="8"/>
      <c r="AE789" s="8"/>
      <c r="AF789" s="8"/>
      <c r="AG789" s="172"/>
      <c r="AH789" s="172"/>
      <c r="AI789" s="367"/>
      <c r="AJ789" s="362"/>
      <c r="AK789" s="363" t="str">
        <f>IFERROR(__xludf.DUMMYFUNCTION("IFERROR(if(D791&lt;&gt;"""", 
  AVERAGE(
    QUERY(
      IMPORTRANGE(""1-uH1wy6jSm5jYL9je6fN1K5RJ5QMvHntodEHZRtIvTk"", ""All Data!N2:U""),
      ""select Col8 where Col1 = '"" &amp; D791 &amp; ""' and Col8 is not null"",
      0
    )
  )/100,
""""),
  """"
)
"),"")</f>
        <v/>
      </c>
    </row>
    <row r="790">
      <c r="D790" s="172"/>
      <c r="E790" s="368"/>
      <c r="F790" s="368"/>
      <c r="G790" s="368"/>
      <c r="H790" s="172"/>
      <c r="I790" s="172"/>
      <c r="J790" s="172"/>
      <c r="K790" s="172"/>
      <c r="L790" s="172"/>
      <c r="M790" s="172"/>
      <c r="N790" s="172"/>
      <c r="O790" s="358"/>
      <c r="P790" s="358"/>
      <c r="Q790" s="358"/>
      <c r="R790" s="378"/>
      <c r="S790" s="378"/>
      <c r="T790" s="8"/>
      <c r="U790" s="8"/>
      <c r="V790" s="8"/>
      <c r="W790" s="172"/>
      <c r="X790" s="172"/>
      <c r="Y790" s="8"/>
      <c r="Z790" s="8"/>
      <c r="AA790" s="8"/>
      <c r="AB790" s="172"/>
      <c r="AC790" s="172"/>
      <c r="AD790" s="8"/>
      <c r="AE790" s="8"/>
      <c r="AF790" s="8"/>
      <c r="AG790" s="172"/>
      <c r="AH790" s="172"/>
      <c r="AI790" s="367"/>
      <c r="AJ790" s="362"/>
      <c r="AK790" s="363" t="str">
        <f>IFERROR(__xludf.DUMMYFUNCTION("IFERROR(if(D792&lt;&gt;"""", 
  AVERAGE(
    QUERY(
      IMPORTRANGE(""1-uH1wy6jSm5jYL9je6fN1K5RJ5QMvHntodEHZRtIvTk"", ""All Data!N2:U""),
      ""select Col8 where Col1 = '"" &amp; D792 &amp; ""' and Col8 is not null"",
      0
    )
  )/100,
""""),
  """"
)
"),"")</f>
        <v/>
      </c>
    </row>
    <row r="791">
      <c r="D791" s="172"/>
      <c r="E791" s="368"/>
      <c r="F791" s="368"/>
      <c r="G791" s="368"/>
      <c r="H791" s="172"/>
      <c r="I791" s="172"/>
      <c r="J791" s="172"/>
      <c r="K791" s="172"/>
      <c r="L791" s="172"/>
      <c r="M791" s="172"/>
      <c r="N791" s="172"/>
      <c r="O791" s="358"/>
      <c r="P791" s="358"/>
      <c r="Q791" s="358"/>
      <c r="R791" s="378"/>
      <c r="S791" s="378"/>
      <c r="T791" s="8"/>
      <c r="U791" s="8"/>
      <c r="V791" s="8"/>
      <c r="W791" s="172"/>
      <c r="X791" s="172"/>
      <c r="Y791" s="8"/>
      <c r="Z791" s="8"/>
      <c r="AA791" s="8"/>
      <c r="AB791" s="172"/>
      <c r="AC791" s="172"/>
      <c r="AD791" s="8"/>
      <c r="AE791" s="8"/>
      <c r="AF791" s="8"/>
      <c r="AG791" s="172"/>
      <c r="AH791" s="172"/>
      <c r="AI791" s="367"/>
      <c r="AJ791" s="362"/>
      <c r="AK791" s="363" t="str">
        <f>IFERROR(__xludf.DUMMYFUNCTION("IFERROR(if(D793&lt;&gt;"""", 
  AVERAGE(
    QUERY(
      IMPORTRANGE(""1-uH1wy6jSm5jYL9je6fN1K5RJ5QMvHntodEHZRtIvTk"", ""All Data!N2:U""),
      ""select Col8 where Col1 = '"" &amp; D793 &amp; ""' and Col8 is not null"",
      0
    )
  )/100,
""""),
  """"
)
"),"")</f>
        <v/>
      </c>
    </row>
    <row r="792">
      <c r="D792" s="172"/>
      <c r="E792" s="368"/>
      <c r="F792" s="368"/>
      <c r="G792" s="368"/>
      <c r="H792" s="172"/>
      <c r="I792" s="172"/>
      <c r="J792" s="172"/>
      <c r="K792" s="172"/>
      <c r="L792" s="172"/>
      <c r="M792" s="172"/>
      <c r="N792" s="172"/>
      <c r="O792" s="358"/>
      <c r="P792" s="358"/>
      <c r="Q792" s="358"/>
      <c r="R792" s="378"/>
      <c r="S792" s="378"/>
      <c r="T792" s="8"/>
      <c r="U792" s="8"/>
      <c r="V792" s="8"/>
      <c r="W792" s="172"/>
      <c r="X792" s="172"/>
      <c r="Y792" s="8"/>
      <c r="Z792" s="8"/>
      <c r="AA792" s="8"/>
      <c r="AB792" s="172"/>
      <c r="AC792" s="172"/>
      <c r="AD792" s="8"/>
      <c r="AE792" s="8"/>
      <c r="AF792" s="8"/>
      <c r="AG792" s="172"/>
      <c r="AH792" s="172"/>
      <c r="AI792" s="367"/>
      <c r="AJ792" s="362"/>
      <c r="AK792" s="363" t="str">
        <f>IFERROR(__xludf.DUMMYFUNCTION("IFERROR(if(D794&lt;&gt;"""", 
  AVERAGE(
    QUERY(
      IMPORTRANGE(""1-uH1wy6jSm5jYL9je6fN1K5RJ5QMvHntodEHZRtIvTk"", ""All Data!N2:U""),
      ""select Col8 where Col1 = '"" &amp; D794 &amp; ""' and Col8 is not null"",
      0
    )
  )/100,
""""),
  """"
)
"),"")</f>
        <v/>
      </c>
    </row>
    <row r="793">
      <c r="D793" s="172"/>
      <c r="E793" s="368"/>
      <c r="F793" s="368"/>
      <c r="G793" s="368"/>
      <c r="H793" s="172"/>
      <c r="I793" s="172"/>
      <c r="J793" s="172"/>
      <c r="K793" s="172"/>
      <c r="L793" s="172"/>
      <c r="M793" s="172"/>
      <c r="N793" s="172"/>
      <c r="O793" s="358"/>
      <c r="P793" s="358"/>
      <c r="Q793" s="358"/>
      <c r="R793" s="378"/>
      <c r="S793" s="378"/>
      <c r="T793" s="8"/>
      <c r="U793" s="8"/>
      <c r="V793" s="8"/>
      <c r="W793" s="172"/>
      <c r="X793" s="172"/>
      <c r="Y793" s="8"/>
      <c r="Z793" s="8"/>
      <c r="AA793" s="8"/>
      <c r="AB793" s="172"/>
      <c r="AC793" s="172"/>
      <c r="AD793" s="8"/>
      <c r="AE793" s="8"/>
      <c r="AF793" s="8"/>
      <c r="AG793" s="172"/>
      <c r="AH793" s="172"/>
      <c r="AI793" s="367"/>
      <c r="AJ793" s="362"/>
      <c r="AK793" s="363" t="str">
        <f>IFERROR(__xludf.DUMMYFUNCTION("IFERROR(if(D795&lt;&gt;"""", 
  AVERAGE(
    QUERY(
      IMPORTRANGE(""1-uH1wy6jSm5jYL9je6fN1K5RJ5QMvHntodEHZRtIvTk"", ""All Data!N2:U""),
      ""select Col8 where Col1 = '"" &amp; D795 &amp; ""' and Col8 is not null"",
      0
    )
  )/100,
""""),
  """"
)
"),"")</f>
        <v/>
      </c>
    </row>
    <row r="794">
      <c r="D794" s="172"/>
      <c r="E794" s="368"/>
      <c r="F794" s="368"/>
      <c r="G794" s="368"/>
      <c r="H794" s="172"/>
      <c r="I794" s="172"/>
      <c r="J794" s="172"/>
      <c r="K794" s="172"/>
      <c r="L794" s="172"/>
      <c r="M794" s="172"/>
      <c r="N794" s="172"/>
      <c r="O794" s="358"/>
      <c r="P794" s="358"/>
      <c r="Q794" s="358"/>
      <c r="R794" s="378"/>
      <c r="S794" s="378"/>
      <c r="T794" s="8"/>
      <c r="U794" s="8"/>
      <c r="V794" s="8"/>
      <c r="W794" s="172"/>
      <c r="X794" s="172"/>
      <c r="Y794" s="8"/>
      <c r="Z794" s="8"/>
      <c r="AA794" s="8"/>
      <c r="AB794" s="172"/>
      <c r="AC794" s="172"/>
      <c r="AD794" s="8"/>
      <c r="AE794" s="8"/>
      <c r="AF794" s="8"/>
      <c r="AG794" s="172"/>
      <c r="AH794" s="172"/>
      <c r="AI794" s="367"/>
      <c r="AJ794" s="362"/>
      <c r="AK794" s="363" t="str">
        <f>IFERROR(__xludf.DUMMYFUNCTION("IFERROR(if(D796&lt;&gt;"""", 
  AVERAGE(
    QUERY(
      IMPORTRANGE(""1-uH1wy6jSm5jYL9je6fN1K5RJ5QMvHntodEHZRtIvTk"", ""All Data!N2:U""),
      ""select Col8 where Col1 = '"" &amp; D796 &amp; ""' and Col8 is not null"",
      0
    )
  )/100,
""""),
  """"
)
"),"")</f>
        <v/>
      </c>
    </row>
    <row r="795">
      <c r="D795" s="172"/>
      <c r="E795" s="368"/>
      <c r="F795" s="368"/>
      <c r="G795" s="368"/>
      <c r="H795" s="172"/>
      <c r="I795" s="172"/>
      <c r="J795" s="172"/>
      <c r="K795" s="172"/>
      <c r="L795" s="172"/>
      <c r="M795" s="172"/>
      <c r="N795" s="172"/>
      <c r="O795" s="358"/>
      <c r="P795" s="358"/>
      <c r="Q795" s="358"/>
      <c r="R795" s="378"/>
      <c r="S795" s="378"/>
      <c r="T795" s="8"/>
      <c r="U795" s="8"/>
      <c r="V795" s="8"/>
      <c r="W795" s="172"/>
      <c r="X795" s="172"/>
      <c r="Y795" s="8"/>
      <c r="Z795" s="8"/>
      <c r="AA795" s="8"/>
      <c r="AB795" s="172"/>
      <c r="AC795" s="172"/>
      <c r="AD795" s="8"/>
      <c r="AE795" s="8"/>
      <c r="AF795" s="8"/>
      <c r="AG795" s="172"/>
      <c r="AH795" s="172"/>
      <c r="AI795" s="367"/>
      <c r="AJ795" s="362"/>
      <c r="AK795" s="363" t="str">
        <f>IFERROR(__xludf.DUMMYFUNCTION("IFERROR(if(D797&lt;&gt;"""", 
  AVERAGE(
    QUERY(
      IMPORTRANGE(""1-uH1wy6jSm5jYL9je6fN1K5RJ5QMvHntodEHZRtIvTk"", ""All Data!N2:U""),
      ""select Col8 where Col1 = '"" &amp; D797 &amp; ""' and Col8 is not null"",
      0
    )
  )/100,
""""),
  """"
)
"),"")</f>
        <v/>
      </c>
    </row>
    <row r="796">
      <c r="D796" s="172"/>
      <c r="E796" s="368"/>
      <c r="F796" s="368"/>
      <c r="G796" s="368"/>
      <c r="H796" s="172"/>
      <c r="I796" s="172"/>
      <c r="J796" s="172"/>
      <c r="K796" s="172"/>
      <c r="L796" s="172"/>
      <c r="M796" s="172"/>
      <c r="N796" s="172"/>
      <c r="O796" s="358"/>
      <c r="P796" s="358"/>
      <c r="Q796" s="358"/>
      <c r="R796" s="378"/>
      <c r="S796" s="378"/>
      <c r="T796" s="8"/>
      <c r="U796" s="8"/>
      <c r="V796" s="8"/>
      <c r="W796" s="172"/>
      <c r="X796" s="172"/>
      <c r="Y796" s="8"/>
      <c r="Z796" s="8"/>
      <c r="AA796" s="8"/>
      <c r="AB796" s="172"/>
      <c r="AC796" s="172"/>
      <c r="AD796" s="8"/>
      <c r="AE796" s="8"/>
      <c r="AF796" s="8"/>
      <c r="AG796" s="172"/>
      <c r="AH796" s="172"/>
      <c r="AI796" s="367"/>
      <c r="AJ796" s="362"/>
      <c r="AK796" s="363" t="str">
        <f>IFERROR(__xludf.DUMMYFUNCTION("IFERROR(if(D798&lt;&gt;"""", 
  AVERAGE(
    QUERY(
      IMPORTRANGE(""1-uH1wy6jSm5jYL9je6fN1K5RJ5QMvHntodEHZRtIvTk"", ""All Data!N2:U""),
      ""select Col8 where Col1 = '"" &amp; D798 &amp; ""' and Col8 is not null"",
      0
    )
  )/100,
""""),
  """"
)
"),"")</f>
        <v/>
      </c>
    </row>
    <row r="797">
      <c r="D797" s="172"/>
      <c r="E797" s="368"/>
      <c r="F797" s="368"/>
      <c r="G797" s="368"/>
      <c r="H797" s="172"/>
      <c r="I797" s="172"/>
      <c r="J797" s="172"/>
      <c r="K797" s="172"/>
      <c r="L797" s="172"/>
      <c r="M797" s="172"/>
      <c r="N797" s="172"/>
      <c r="O797" s="358"/>
      <c r="P797" s="358"/>
      <c r="Q797" s="358"/>
      <c r="R797" s="378"/>
      <c r="S797" s="378"/>
      <c r="T797" s="8"/>
      <c r="U797" s="8"/>
      <c r="V797" s="8"/>
      <c r="W797" s="172"/>
      <c r="X797" s="172"/>
      <c r="Y797" s="8"/>
      <c r="Z797" s="8"/>
      <c r="AA797" s="8"/>
      <c r="AB797" s="172"/>
      <c r="AC797" s="172"/>
      <c r="AD797" s="8"/>
      <c r="AE797" s="8"/>
      <c r="AF797" s="8"/>
      <c r="AG797" s="172"/>
      <c r="AH797" s="172"/>
      <c r="AI797" s="367"/>
      <c r="AJ797" s="362"/>
      <c r="AK797" s="363" t="str">
        <f>IFERROR(__xludf.DUMMYFUNCTION("IFERROR(if(D799&lt;&gt;"""", 
  AVERAGE(
    QUERY(
      IMPORTRANGE(""1-uH1wy6jSm5jYL9je6fN1K5RJ5QMvHntodEHZRtIvTk"", ""All Data!N2:U""),
      ""select Col8 where Col1 = '"" &amp; D799 &amp; ""' and Col8 is not null"",
      0
    )
  )/100,
""""),
  """"
)
"),"")</f>
        <v/>
      </c>
    </row>
    <row r="798">
      <c r="D798" s="172"/>
      <c r="E798" s="368"/>
      <c r="F798" s="368"/>
      <c r="G798" s="368"/>
      <c r="H798" s="172"/>
      <c r="I798" s="172"/>
      <c r="J798" s="172"/>
      <c r="K798" s="172"/>
      <c r="L798" s="172"/>
      <c r="M798" s="172"/>
      <c r="N798" s="172"/>
      <c r="O798" s="358"/>
      <c r="P798" s="358"/>
      <c r="Q798" s="358"/>
      <c r="R798" s="378"/>
      <c r="S798" s="378"/>
      <c r="T798" s="8"/>
      <c r="U798" s="8"/>
      <c r="V798" s="8"/>
      <c r="W798" s="172"/>
      <c r="X798" s="172"/>
      <c r="Y798" s="8"/>
      <c r="Z798" s="8"/>
      <c r="AA798" s="8"/>
      <c r="AB798" s="172"/>
      <c r="AC798" s="172"/>
      <c r="AD798" s="8"/>
      <c r="AE798" s="8"/>
      <c r="AF798" s="8"/>
      <c r="AG798" s="172"/>
      <c r="AH798" s="172"/>
      <c r="AI798" s="367"/>
      <c r="AJ798" s="362"/>
      <c r="AK798" s="363" t="str">
        <f>IFERROR(__xludf.DUMMYFUNCTION("IFERROR(if(D800&lt;&gt;"""", 
  AVERAGE(
    QUERY(
      IMPORTRANGE(""1-uH1wy6jSm5jYL9je6fN1K5RJ5QMvHntodEHZRtIvTk"", ""All Data!N2:U""),
      ""select Col8 where Col1 = '"" &amp; D800 &amp; ""' and Col8 is not null"",
      0
    )
  )/100,
""""),
  """"
)
"),"")</f>
        <v/>
      </c>
    </row>
    <row r="799">
      <c r="D799" s="172"/>
      <c r="E799" s="368"/>
      <c r="F799" s="368"/>
      <c r="G799" s="368"/>
      <c r="H799" s="172"/>
      <c r="I799" s="172"/>
      <c r="J799" s="172"/>
      <c r="K799" s="172"/>
      <c r="L799" s="172"/>
      <c r="M799" s="172"/>
      <c r="N799" s="172"/>
      <c r="O799" s="358"/>
      <c r="P799" s="358"/>
      <c r="Q799" s="358"/>
      <c r="R799" s="378"/>
      <c r="S799" s="378"/>
      <c r="T799" s="8"/>
      <c r="U799" s="8"/>
      <c r="V799" s="8"/>
      <c r="W799" s="172"/>
      <c r="X799" s="172"/>
      <c r="Y799" s="8"/>
      <c r="Z799" s="8"/>
      <c r="AA799" s="8"/>
      <c r="AB799" s="172"/>
      <c r="AC799" s="172"/>
      <c r="AD799" s="8"/>
      <c r="AE799" s="8"/>
      <c r="AF799" s="8"/>
      <c r="AG799" s="172"/>
      <c r="AH799" s="172"/>
      <c r="AI799" s="367"/>
      <c r="AJ799" s="362"/>
      <c r="AK799" s="363" t="str">
        <f>IFERROR(__xludf.DUMMYFUNCTION("IFERROR(if(D801&lt;&gt;"""", 
  AVERAGE(
    QUERY(
      IMPORTRANGE(""1-uH1wy6jSm5jYL9je6fN1K5RJ5QMvHntodEHZRtIvTk"", ""All Data!N2:U""),
      ""select Col8 where Col1 = '"" &amp; D801 &amp; ""' and Col8 is not null"",
      0
    )
  )/100,
""""),
  """"
)
"),"")</f>
        <v/>
      </c>
    </row>
    <row r="800">
      <c r="D800" s="172"/>
      <c r="E800" s="368"/>
      <c r="F800" s="368"/>
      <c r="G800" s="368"/>
      <c r="H800" s="172"/>
      <c r="I800" s="172"/>
      <c r="J800" s="172"/>
      <c r="K800" s="172"/>
      <c r="L800" s="172"/>
      <c r="M800" s="172"/>
      <c r="N800" s="172"/>
      <c r="O800" s="358"/>
      <c r="P800" s="358"/>
      <c r="Q800" s="358"/>
      <c r="R800" s="378"/>
      <c r="S800" s="378"/>
      <c r="T800" s="8"/>
      <c r="U800" s="8"/>
      <c r="V800" s="8"/>
      <c r="W800" s="172"/>
      <c r="X800" s="172"/>
      <c r="Y800" s="8"/>
      <c r="Z800" s="8"/>
      <c r="AA800" s="8"/>
      <c r="AB800" s="172"/>
      <c r="AC800" s="172"/>
      <c r="AD800" s="8"/>
      <c r="AE800" s="8"/>
      <c r="AF800" s="8"/>
      <c r="AG800" s="172"/>
      <c r="AH800" s="172"/>
      <c r="AI800" s="367"/>
      <c r="AJ800" s="362"/>
      <c r="AK800" s="363" t="str">
        <f>IFERROR(__xludf.DUMMYFUNCTION("IFERROR(if(D802&lt;&gt;"""", 
  AVERAGE(
    QUERY(
      IMPORTRANGE(""1-uH1wy6jSm5jYL9je6fN1K5RJ5QMvHntodEHZRtIvTk"", ""All Data!N2:U""),
      ""select Col8 where Col1 = '"" &amp; D802 &amp; ""' and Col8 is not null"",
      0
    )
  )/100,
""""),
  """"
)
"),"")</f>
        <v/>
      </c>
    </row>
    <row r="801">
      <c r="D801" s="172"/>
      <c r="E801" s="368"/>
      <c r="F801" s="368"/>
      <c r="G801" s="368"/>
      <c r="H801" s="172"/>
      <c r="I801" s="172"/>
      <c r="J801" s="172"/>
      <c r="K801" s="172"/>
      <c r="L801" s="172"/>
      <c r="M801" s="172"/>
      <c r="N801" s="172"/>
      <c r="O801" s="358"/>
      <c r="P801" s="358"/>
      <c r="Q801" s="358"/>
      <c r="R801" s="378"/>
      <c r="S801" s="378"/>
      <c r="T801" s="8"/>
      <c r="U801" s="8"/>
      <c r="V801" s="8"/>
      <c r="W801" s="172"/>
      <c r="X801" s="172"/>
      <c r="Y801" s="8"/>
      <c r="Z801" s="8"/>
      <c r="AA801" s="8"/>
      <c r="AB801" s="172"/>
      <c r="AC801" s="172"/>
      <c r="AD801" s="8"/>
      <c r="AE801" s="8"/>
      <c r="AF801" s="8"/>
      <c r="AG801" s="172"/>
      <c r="AH801" s="172"/>
      <c r="AI801" s="367"/>
      <c r="AJ801" s="362"/>
      <c r="AK801" s="363" t="str">
        <f>IFERROR(__xludf.DUMMYFUNCTION("IFERROR(if(D803&lt;&gt;"""", 
  AVERAGE(
    QUERY(
      IMPORTRANGE(""1-uH1wy6jSm5jYL9je6fN1K5RJ5QMvHntodEHZRtIvTk"", ""All Data!N2:U""),
      ""select Col8 where Col1 = '"" &amp; D803 &amp; ""' and Col8 is not null"",
      0
    )
  )/100,
""""),
  """"
)
"),"")</f>
        <v/>
      </c>
    </row>
    <row r="802">
      <c r="D802" s="172"/>
      <c r="E802" s="368"/>
      <c r="F802" s="368"/>
      <c r="G802" s="368"/>
      <c r="H802" s="172"/>
      <c r="I802" s="172"/>
      <c r="J802" s="172"/>
      <c r="K802" s="172"/>
      <c r="L802" s="172"/>
      <c r="M802" s="172"/>
      <c r="N802" s="172"/>
      <c r="O802" s="358"/>
      <c r="P802" s="358"/>
      <c r="Q802" s="358"/>
      <c r="R802" s="378"/>
      <c r="S802" s="378"/>
      <c r="T802" s="8"/>
      <c r="U802" s="8"/>
      <c r="V802" s="8"/>
      <c r="W802" s="172"/>
      <c r="X802" s="172"/>
      <c r="Y802" s="8"/>
      <c r="Z802" s="8"/>
      <c r="AA802" s="8"/>
      <c r="AB802" s="172"/>
      <c r="AC802" s="172"/>
      <c r="AD802" s="8"/>
      <c r="AE802" s="8"/>
      <c r="AF802" s="8"/>
      <c r="AG802" s="172"/>
      <c r="AH802" s="172"/>
      <c r="AI802" s="367"/>
      <c r="AJ802" s="362"/>
      <c r="AK802" s="363" t="str">
        <f>IFERROR(__xludf.DUMMYFUNCTION("IFERROR(if(D804&lt;&gt;"""", 
  AVERAGE(
    QUERY(
      IMPORTRANGE(""1-uH1wy6jSm5jYL9je6fN1K5RJ5QMvHntodEHZRtIvTk"", ""All Data!N2:U""),
      ""select Col8 where Col1 = '"" &amp; D804 &amp; ""' and Col8 is not null"",
      0
    )
  )/100,
""""),
  """"
)
"),"")</f>
        <v/>
      </c>
    </row>
    <row r="803">
      <c r="D803" s="172"/>
      <c r="E803" s="368"/>
      <c r="F803" s="368"/>
      <c r="G803" s="368"/>
      <c r="H803" s="172"/>
      <c r="I803" s="172"/>
      <c r="J803" s="172"/>
      <c r="K803" s="172"/>
      <c r="L803" s="172"/>
      <c r="M803" s="172"/>
      <c r="N803" s="172"/>
      <c r="O803" s="358"/>
      <c r="P803" s="358"/>
      <c r="Q803" s="358"/>
      <c r="R803" s="378"/>
      <c r="S803" s="378"/>
      <c r="T803" s="8"/>
      <c r="U803" s="8"/>
      <c r="V803" s="8"/>
      <c r="W803" s="172"/>
      <c r="X803" s="172"/>
      <c r="Y803" s="8"/>
      <c r="Z803" s="8"/>
      <c r="AA803" s="8"/>
      <c r="AB803" s="172"/>
      <c r="AC803" s="172"/>
      <c r="AD803" s="8"/>
      <c r="AE803" s="8"/>
      <c r="AF803" s="8"/>
      <c r="AG803" s="172"/>
      <c r="AH803" s="172"/>
      <c r="AI803" s="367"/>
      <c r="AJ803" s="362"/>
      <c r="AK803" s="363" t="str">
        <f>IFERROR(__xludf.DUMMYFUNCTION("IFERROR(if(D805&lt;&gt;"""", 
  AVERAGE(
    QUERY(
      IMPORTRANGE(""1-uH1wy6jSm5jYL9je6fN1K5RJ5QMvHntodEHZRtIvTk"", ""All Data!N2:U""),
      ""select Col8 where Col1 = '"" &amp; D805 &amp; ""' and Col8 is not null"",
      0
    )
  )/100,
""""),
  """"
)
"),"")</f>
        <v/>
      </c>
    </row>
    <row r="804">
      <c r="D804" s="172"/>
      <c r="E804" s="368"/>
      <c r="F804" s="368"/>
      <c r="G804" s="368"/>
      <c r="H804" s="172"/>
      <c r="I804" s="172"/>
      <c r="J804" s="172"/>
      <c r="K804" s="172"/>
      <c r="L804" s="172"/>
      <c r="M804" s="172"/>
      <c r="N804" s="172"/>
      <c r="O804" s="358"/>
      <c r="P804" s="358"/>
      <c r="Q804" s="358"/>
      <c r="R804" s="378"/>
      <c r="S804" s="378"/>
      <c r="T804" s="8"/>
      <c r="U804" s="8"/>
      <c r="V804" s="8"/>
      <c r="W804" s="172"/>
      <c r="X804" s="172"/>
      <c r="Y804" s="8"/>
      <c r="Z804" s="8"/>
      <c r="AA804" s="8"/>
      <c r="AB804" s="172"/>
      <c r="AC804" s="172"/>
      <c r="AD804" s="8"/>
      <c r="AE804" s="8"/>
      <c r="AF804" s="8"/>
      <c r="AG804" s="172"/>
      <c r="AH804" s="172"/>
      <c r="AI804" s="367"/>
      <c r="AJ804" s="362"/>
      <c r="AK804" s="363" t="str">
        <f>IFERROR(__xludf.DUMMYFUNCTION("IFERROR(if(D806&lt;&gt;"""", 
  AVERAGE(
    QUERY(
      IMPORTRANGE(""1-uH1wy6jSm5jYL9je6fN1K5RJ5QMvHntodEHZRtIvTk"", ""All Data!N2:U""),
      ""select Col8 where Col1 = '"" &amp; D806 &amp; ""' and Col8 is not null"",
      0
    )
  )/100,
""""),
  """"
)
"),"")</f>
        <v/>
      </c>
    </row>
    <row r="805">
      <c r="D805" s="172"/>
      <c r="E805" s="368"/>
      <c r="F805" s="368"/>
      <c r="G805" s="368"/>
      <c r="H805" s="172"/>
      <c r="I805" s="172"/>
      <c r="J805" s="172"/>
      <c r="K805" s="172"/>
      <c r="L805" s="172"/>
      <c r="M805" s="172"/>
      <c r="N805" s="172"/>
      <c r="O805" s="358"/>
      <c r="P805" s="358"/>
      <c r="Q805" s="358"/>
      <c r="R805" s="378"/>
      <c r="S805" s="378"/>
      <c r="T805" s="8"/>
      <c r="U805" s="8"/>
      <c r="V805" s="8"/>
      <c r="W805" s="172"/>
      <c r="X805" s="172"/>
      <c r="Y805" s="8"/>
      <c r="Z805" s="8"/>
      <c r="AA805" s="8"/>
      <c r="AB805" s="172"/>
      <c r="AC805" s="172"/>
      <c r="AD805" s="8"/>
      <c r="AE805" s="8"/>
      <c r="AF805" s="8"/>
      <c r="AG805" s="172"/>
      <c r="AH805" s="172"/>
      <c r="AI805" s="367"/>
      <c r="AJ805" s="362"/>
      <c r="AK805" s="363" t="str">
        <f>IFERROR(__xludf.DUMMYFUNCTION("IFERROR(if(D807&lt;&gt;"""", 
  AVERAGE(
    QUERY(
      IMPORTRANGE(""1-uH1wy6jSm5jYL9je6fN1K5RJ5QMvHntodEHZRtIvTk"", ""All Data!N2:U""),
      ""select Col8 where Col1 = '"" &amp; D807 &amp; ""' and Col8 is not null"",
      0
    )
  )/100,
""""),
  """"
)
"),"")</f>
        <v/>
      </c>
    </row>
    <row r="806">
      <c r="D806" s="172"/>
      <c r="E806" s="368"/>
      <c r="F806" s="368"/>
      <c r="G806" s="368"/>
      <c r="H806" s="172"/>
      <c r="I806" s="172"/>
      <c r="J806" s="172"/>
      <c r="K806" s="172"/>
      <c r="L806" s="172"/>
      <c r="M806" s="172"/>
      <c r="N806" s="172"/>
      <c r="O806" s="358"/>
      <c r="P806" s="358"/>
      <c r="Q806" s="358"/>
      <c r="R806" s="378"/>
      <c r="S806" s="378"/>
      <c r="T806" s="8"/>
      <c r="U806" s="8"/>
      <c r="V806" s="8"/>
      <c r="W806" s="172"/>
      <c r="X806" s="172"/>
      <c r="Y806" s="8"/>
      <c r="Z806" s="8"/>
      <c r="AA806" s="8"/>
      <c r="AB806" s="172"/>
      <c r="AC806" s="172"/>
      <c r="AD806" s="8"/>
      <c r="AE806" s="8"/>
      <c r="AF806" s="8"/>
      <c r="AG806" s="172"/>
      <c r="AH806" s="172"/>
      <c r="AI806" s="367"/>
      <c r="AJ806" s="362"/>
      <c r="AK806" s="363" t="str">
        <f>IFERROR(__xludf.DUMMYFUNCTION("IFERROR(if(D808&lt;&gt;"""", 
  AVERAGE(
    QUERY(
      IMPORTRANGE(""1-uH1wy6jSm5jYL9je6fN1K5RJ5QMvHntodEHZRtIvTk"", ""All Data!N2:U""),
      ""select Col8 where Col1 = '"" &amp; D808 &amp; ""' and Col8 is not null"",
      0
    )
  )/100,
""""),
  """"
)
"),"")</f>
        <v/>
      </c>
    </row>
    <row r="807">
      <c r="D807" s="172"/>
      <c r="E807" s="368"/>
      <c r="F807" s="368"/>
      <c r="G807" s="368"/>
      <c r="H807" s="172"/>
      <c r="I807" s="172"/>
      <c r="J807" s="172"/>
      <c r="K807" s="172"/>
      <c r="L807" s="172"/>
      <c r="M807" s="172"/>
      <c r="N807" s="172"/>
      <c r="O807" s="358"/>
      <c r="P807" s="358"/>
      <c r="Q807" s="358"/>
      <c r="R807" s="378"/>
      <c r="S807" s="378"/>
      <c r="T807" s="8"/>
      <c r="U807" s="8"/>
      <c r="V807" s="8"/>
      <c r="W807" s="172"/>
      <c r="X807" s="172"/>
      <c r="Y807" s="8"/>
      <c r="Z807" s="8"/>
      <c r="AA807" s="8"/>
      <c r="AB807" s="172"/>
      <c r="AC807" s="172"/>
      <c r="AD807" s="8"/>
      <c r="AE807" s="8"/>
      <c r="AF807" s="8"/>
      <c r="AG807" s="172"/>
      <c r="AH807" s="172"/>
      <c r="AI807" s="367"/>
      <c r="AJ807" s="362"/>
      <c r="AK807" s="363" t="str">
        <f>IFERROR(__xludf.DUMMYFUNCTION("IFERROR(if(D809&lt;&gt;"""", 
  AVERAGE(
    QUERY(
      IMPORTRANGE(""1-uH1wy6jSm5jYL9je6fN1K5RJ5QMvHntodEHZRtIvTk"", ""All Data!N2:U""),
      ""select Col8 where Col1 = '"" &amp; D809 &amp; ""' and Col8 is not null"",
      0
    )
  )/100,
""""),
  """"
)
"),"")</f>
        <v/>
      </c>
    </row>
    <row r="808">
      <c r="D808" s="172"/>
      <c r="E808" s="368"/>
      <c r="F808" s="368"/>
      <c r="G808" s="368"/>
      <c r="H808" s="172"/>
      <c r="I808" s="172"/>
      <c r="J808" s="172"/>
      <c r="K808" s="172"/>
      <c r="L808" s="172"/>
      <c r="M808" s="172"/>
      <c r="N808" s="172"/>
      <c r="O808" s="358"/>
      <c r="P808" s="358"/>
      <c r="Q808" s="358"/>
      <c r="R808" s="378"/>
      <c r="S808" s="378"/>
      <c r="T808" s="8"/>
      <c r="U808" s="8"/>
      <c r="V808" s="8"/>
      <c r="W808" s="172"/>
      <c r="X808" s="172"/>
      <c r="Y808" s="8"/>
      <c r="Z808" s="8"/>
      <c r="AA808" s="8"/>
      <c r="AB808" s="172"/>
      <c r="AC808" s="172"/>
      <c r="AD808" s="8"/>
      <c r="AE808" s="8"/>
      <c r="AF808" s="8"/>
      <c r="AG808" s="172"/>
      <c r="AH808" s="172"/>
      <c r="AI808" s="367"/>
      <c r="AJ808" s="362"/>
      <c r="AK808" s="363" t="str">
        <f>IFERROR(__xludf.DUMMYFUNCTION("IFERROR(if(D810&lt;&gt;"""", 
  AVERAGE(
    QUERY(
      IMPORTRANGE(""1-uH1wy6jSm5jYL9je6fN1K5RJ5QMvHntodEHZRtIvTk"", ""All Data!N2:U""),
      ""select Col8 where Col1 = '"" &amp; D810 &amp; ""' and Col8 is not null"",
      0
    )
  )/100,
""""),
  """"
)
"),"")</f>
        <v/>
      </c>
    </row>
    <row r="809">
      <c r="D809" s="172"/>
      <c r="E809" s="368"/>
      <c r="F809" s="368"/>
      <c r="G809" s="368"/>
      <c r="H809" s="172"/>
      <c r="I809" s="172"/>
      <c r="J809" s="172"/>
      <c r="K809" s="172"/>
      <c r="L809" s="172"/>
      <c r="M809" s="172"/>
      <c r="N809" s="172"/>
      <c r="O809" s="358"/>
      <c r="P809" s="358"/>
      <c r="Q809" s="358"/>
      <c r="R809" s="378"/>
      <c r="S809" s="378"/>
      <c r="T809" s="8"/>
      <c r="U809" s="8"/>
      <c r="V809" s="8"/>
      <c r="W809" s="172"/>
      <c r="X809" s="172"/>
      <c r="Y809" s="8"/>
      <c r="Z809" s="8"/>
      <c r="AA809" s="8"/>
      <c r="AB809" s="172"/>
      <c r="AC809" s="172"/>
      <c r="AD809" s="8"/>
      <c r="AE809" s="8"/>
      <c r="AF809" s="8"/>
      <c r="AG809" s="172"/>
      <c r="AH809" s="172"/>
      <c r="AI809" s="367"/>
      <c r="AJ809" s="362"/>
      <c r="AK809" s="363" t="str">
        <f>IFERROR(__xludf.DUMMYFUNCTION("IFERROR(if(D811&lt;&gt;"""", 
  AVERAGE(
    QUERY(
      IMPORTRANGE(""1-uH1wy6jSm5jYL9je6fN1K5RJ5QMvHntodEHZRtIvTk"", ""All Data!N2:U""),
      ""select Col8 where Col1 = '"" &amp; D811 &amp; ""' and Col8 is not null"",
      0
    )
  )/100,
""""),
  """"
)
"),"")</f>
        <v/>
      </c>
    </row>
    <row r="810">
      <c r="D810" s="172"/>
      <c r="E810" s="368"/>
      <c r="F810" s="368"/>
      <c r="G810" s="368"/>
      <c r="H810" s="172"/>
      <c r="I810" s="172"/>
      <c r="J810" s="172"/>
      <c r="K810" s="172"/>
      <c r="L810" s="172"/>
      <c r="M810" s="172"/>
      <c r="N810" s="172"/>
      <c r="O810" s="358"/>
      <c r="P810" s="358"/>
      <c r="Q810" s="358"/>
      <c r="R810" s="378"/>
      <c r="S810" s="378"/>
      <c r="T810" s="8"/>
      <c r="U810" s="8"/>
      <c r="V810" s="8"/>
      <c r="W810" s="172"/>
      <c r="X810" s="172"/>
      <c r="Y810" s="8"/>
      <c r="Z810" s="8"/>
      <c r="AA810" s="8"/>
      <c r="AB810" s="172"/>
      <c r="AC810" s="172"/>
      <c r="AD810" s="8"/>
      <c r="AE810" s="8"/>
      <c r="AF810" s="8"/>
      <c r="AG810" s="172"/>
      <c r="AH810" s="172"/>
      <c r="AI810" s="367"/>
      <c r="AJ810" s="362"/>
      <c r="AK810" s="363" t="str">
        <f>IFERROR(__xludf.DUMMYFUNCTION("IFERROR(if(D812&lt;&gt;"""", 
  AVERAGE(
    QUERY(
      IMPORTRANGE(""1-uH1wy6jSm5jYL9je6fN1K5RJ5QMvHntodEHZRtIvTk"", ""All Data!N2:U""),
      ""select Col8 where Col1 = '"" &amp; D812 &amp; ""' and Col8 is not null"",
      0
    )
  )/100,
""""),
  """"
)
"),"")</f>
        <v/>
      </c>
    </row>
    <row r="811">
      <c r="D811" s="172"/>
      <c r="E811" s="368"/>
      <c r="F811" s="368"/>
      <c r="G811" s="368"/>
      <c r="H811" s="172"/>
      <c r="I811" s="172"/>
      <c r="J811" s="172"/>
      <c r="K811" s="172"/>
      <c r="L811" s="172"/>
      <c r="M811" s="172"/>
      <c r="N811" s="172"/>
      <c r="O811" s="358"/>
      <c r="P811" s="358"/>
      <c r="Q811" s="358"/>
      <c r="R811" s="378"/>
      <c r="S811" s="378"/>
      <c r="T811" s="8"/>
      <c r="U811" s="8"/>
      <c r="V811" s="8"/>
      <c r="W811" s="172"/>
      <c r="X811" s="172"/>
      <c r="Y811" s="8"/>
      <c r="Z811" s="8"/>
      <c r="AA811" s="8"/>
      <c r="AB811" s="172"/>
      <c r="AC811" s="172"/>
      <c r="AD811" s="8"/>
      <c r="AE811" s="8"/>
      <c r="AF811" s="8"/>
      <c r="AG811" s="172"/>
      <c r="AH811" s="172"/>
      <c r="AI811" s="367"/>
      <c r="AJ811" s="362"/>
      <c r="AK811" s="363" t="str">
        <f>IFERROR(__xludf.DUMMYFUNCTION("IFERROR(if(D813&lt;&gt;"""", 
  AVERAGE(
    QUERY(
      IMPORTRANGE(""1-uH1wy6jSm5jYL9je6fN1K5RJ5QMvHntodEHZRtIvTk"", ""All Data!N2:U""),
      ""select Col8 where Col1 = '"" &amp; D813 &amp; ""' and Col8 is not null"",
      0
    )
  )/100,
""""),
  """"
)
"),"")</f>
        <v/>
      </c>
    </row>
    <row r="812">
      <c r="D812" s="172"/>
      <c r="E812" s="368"/>
      <c r="F812" s="368"/>
      <c r="G812" s="368"/>
      <c r="H812" s="172"/>
      <c r="I812" s="172"/>
      <c r="J812" s="172"/>
      <c r="K812" s="172"/>
      <c r="L812" s="172"/>
      <c r="M812" s="172"/>
      <c r="N812" s="172"/>
      <c r="O812" s="358"/>
      <c r="P812" s="358"/>
      <c r="Q812" s="358"/>
      <c r="R812" s="378"/>
      <c r="S812" s="378"/>
      <c r="T812" s="8"/>
      <c r="U812" s="8"/>
      <c r="V812" s="8"/>
      <c r="W812" s="172"/>
      <c r="X812" s="172"/>
      <c r="Y812" s="8"/>
      <c r="Z812" s="8"/>
      <c r="AA812" s="8"/>
      <c r="AB812" s="172"/>
      <c r="AC812" s="172"/>
      <c r="AD812" s="8"/>
      <c r="AE812" s="8"/>
      <c r="AF812" s="8"/>
      <c r="AG812" s="172"/>
      <c r="AH812" s="172"/>
      <c r="AI812" s="367"/>
      <c r="AJ812" s="362"/>
      <c r="AK812" s="363" t="str">
        <f>IFERROR(__xludf.DUMMYFUNCTION("IFERROR(if(D814&lt;&gt;"""", 
  AVERAGE(
    QUERY(
      IMPORTRANGE(""1-uH1wy6jSm5jYL9je6fN1K5RJ5QMvHntodEHZRtIvTk"", ""All Data!N2:U""),
      ""select Col8 where Col1 = '"" &amp; D814 &amp; ""' and Col8 is not null"",
      0
    )
  )/100,
""""),
  """"
)
"),"")</f>
        <v/>
      </c>
    </row>
    <row r="813">
      <c r="D813" s="172"/>
      <c r="E813" s="368"/>
      <c r="F813" s="368"/>
      <c r="G813" s="368"/>
      <c r="H813" s="172"/>
      <c r="I813" s="172"/>
      <c r="J813" s="172"/>
      <c r="K813" s="172"/>
      <c r="L813" s="172"/>
      <c r="M813" s="172"/>
      <c r="N813" s="172"/>
      <c r="O813" s="358"/>
      <c r="P813" s="358"/>
      <c r="Q813" s="358"/>
      <c r="R813" s="378"/>
      <c r="S813" s="378"/>
      <c r="T813" s="8"/>
      <c r="U813" s="8"/>
      <c r="V813" s="8"/>
      <c r="W813" s="172"/>
      <c r="X813" s="172"/>
      <c r="Y813" s="8"/>
      <c r="Z813" s="8"/>
      <c r="AA813" s="8"/>
      <c r="AB813" s="172"/>
      <c r="AC813" s="172"/>
      <c r="AD813" s="8"/>
      <c r="AE813" s="8"/>
      <c r="AF813" s="8"/>
      <c r="AG813" s="172"/>
      <c r="AH813" s="172"/>
      <c r="AI813" s="367"/>
      <c r="AJ813" s="362"/>
      <c r="AK813" s="363" t="str">
        <f>IFERROR(__xludf.DUMMYFUNCTION("IFERROR(if(D815&lt;&gt;"""", 
  AVERAGE(
    QUERY(
      IMPORTRANGE(""1-uH1wy6jSm5jYL9je6fN1K5RJ5QMvHntodEHZRtIvTk"", ""All Data!N2:U""),
      ""select Col8 where Col1 = '"" &amp; D815 &amp; ""' and Col8 is not null"",
      0
    )
  )/100,
""""),
  """"
)
"),"")</f>
        <v/>
      </c>
    </row>
    <row r="814">
      <c r="D814" s="172"/>
      <c r="E814" s="368"/>
      <c r="F814" s="368"/>
      <c r="G814" s="368"/>
      <c r="H814" s="172"/>
      <c r="I814" s="172"/>
      <c r="J814" s="172"/>
      <c r="K814" s="172"/>
      <c r="L814" s="172"/>
      <c r="M814" s="172"/>
      <c r="N814" s="172"/>
      <c r="O814" s="358"/>
      <c r="P814" s="358"/>
      <c r="Q814" s="358"/>
      <c r="R814" s="378"/>
      <c r="S814" s="378"/>
      <c r="T814" s="8"/>
      <c r="U814" s="8"/>
      <c r="V814" s="8"/>
      <c r="W814" s="172"/>
      <c r="X814" s="172"/>
      <c r="Y814" s="8"/>
      <c r="Z814" s="8"/>
      <c r="AA814" s="8"/>
      <c r="AB814" s="172"/>
      <c r="AC814" s="172"/>
      <c r="AD814" s="8"/>
      <c r="AE814" s="8"/>
      <c r="AF814" s="8"/>
      <c r="AG814" s="172"/>
      <c r="AH814" s="172"/>
      <c r="AI814" s="367"/>
      <c r="AJ814" s="362"/>
      <c r="AK814" s="363" t="str">
        <f>IFERROR(__xludf.DUMMYFUNCTION("IFERROR(if(D816&lt;&gt;"""", 
  AVERAGE(
    QUERY(
      IMPORTRANGE(""1-uH1wy6jSm5jYL9je6fN1K5RJ5QMvHntodEHZRtIvTk"", ""All Data!N2:U""),
      ""select Col8 where Col1 = '"" &amp; D816 &amp; ""' and Col8 is not null"",
      0
    )
  )/100,
""""),
  """"
)
"),"")</f>
        <v/>
      </c>
    </row>
    <row r="815">
      <c r="D815" s="172"/>
      <c r="E815" s="368"/>
      <c r="F815" s="368"/>
      <c r="G815" s="368"/>
      <c r="H815" s="172"/>
      <c r="I815" s="172"/>
      <c r="J815" s="172"/>
      <c r="K815" s="172"/>
      <c r="L815" s="172"/>
      <c r="M815" s="172"/>
      <c r="N815" s="172"/>
      <c r="O815" s="358"/>
      <c r="P815" s="358"/>
      <c r="Q815" s="358"/>
      <c r="R815" s="378"/>
      <c r="S815" s="378"/>
      <c r="T815" s="8"/>
      <c r="U815" s="8"/>
      <c r="V815" s="8"/>
      <c r="W815" s="172"/>
      <c r="X815" s="172"/>
      <c r="Y815" s="8"/>
      <c r="Z815" s="8"/>
      <c r="AA815" s="8"/>
      <c r="AB815" s="172"/>
      <c r="AC815" s="172"/>
      <c r="AD815" s="8"/>
      <c r="AE815" s="8"/>
      <c r="AF815" s="8"/>
      <c r="AG815" s="172"/>
      <c r="AH815" s="172"/>
      <c r="AI815" s="367"/>
      <c r="AJ815" s="362"/>
      <c r="AK815" s="363" t="str">
        <f>IFERROR(__xludf.DUMMYFUNCTION("IFERROR(if(D817&lt;&gt;"""", 
  AVERAGE(
    QUERY(
      IMPORTRANGE(""1-uH1wy6jSm5jYL9je6fN1K5RJ5QMvHntodEHZRtIvTk"", ""All Data!N2:U""),
      ""select Col8 where Col1 = '"" &amp; D817 &amp; ""' and Col8 is not null"",
      0
    )
  )/100,
""""),
  """"
)
"),"")</f>
        <v/>
      </c>
    </row>
    <row r="816">
      <c r="D816" s="172"/>
      <c r="E816" s="368"/>
      <c r="F816" s="368"/>
      <c r="G816" s="368"/>
      <c r="H816" s="172"/>
      <c r="I816" s="172"/>
      <c r="J816" s="172"/>
      <c r="K816" s="172"/>
      <c r="L816" s="172"/>
      <c r="M816" s="172"/>
      <c r="N816" s="172"/>
      <c r="O816" s="358"/>
      <c r="P816" s="358"/>
      <c r="Q816" s="358"/>
      <c r="R816" s="378"/>
      <c r="S816" s="378"/>
      <c r="T816" s="8"/>
      <c r="U816" s="8"/>
      <c r="V816" s="8"/>
      <c r="W816" s="172"/>
      <c r="X816" s="172"/>
      <c r="Y816" s="8"/>
      <c r="Z816" s="8"/>
      <c r="AA816" s="8"/>
      <c r="AB816" s="172"/>
      <c r="AC816" s="172"/>
      <c r="AD816" s="8"/>
      <c r="AE816" s="8"/>
      <c r="AF816" s="8"/>
      <c r="AG816" s="172"/>
      <c r="AH816" s="172"/>
      <c r="AI816" s="367"/>
      <c r="AJ816" s="362"/>
      <c r="AK816" s="363" t="str">
        <f>IFERROR(__xludf.DUMMYFUNCTION("IFERROR(if(D818&lt;&gt;"""", 
  AVERAGE(
    QUERY(
      IMPORTRANGE(""1-uH1wy6jSm5jYL9je6fN1K5RJ5QMvHntodEHZRtIvTk"", ""All Data!N2:U""),
      ""select Col8 where Col1 = '"" &amp; D818 &amp; ""' and Col8 is not null"",
      0
    )
  )/100,
""""),
  """"
)
"),"")</f>
        <v/>
      </c>
    </row>
    <row r="817">
      <c r="D817" s="172"/>
      <c r="E817" s="368"/>
      <c r="F817" s="368"/>
      <c r="G817" s="368"/>
      <c r="H817" s="172"/>
      <c r="I817" s="172"/>
      <c r="J817" s="172"/>
      <c r="K817" s="172"/>
      <c r="L817" s="172"/>
      <c r="M817" s="172"/>
      <c r="N817" s="172"/>
      <c r="O817" s="358"/>
      <c r="P817" s="358"/>
      <c r="Q817" s="358"/>
      <c r="R817" s="378"/>
      <c r="S817" s="378"/>
      <c r="T817" s="8"/>
      <c r="U817" s="8"/>
      <c r="V817" s="8"/>
      <c r="W817" s="172"/>
      <c r="X817" s="172"/>
      <c r="Y817" s="8"/>
      <c r="Z817" s="8"/>
      <c r="AA817" s="8"/>
      <c r="AB817" s="172"/>
      <c r="AC817" s="172"/>
      <c r="AD817" s="8"/>
      <c r="AE817" s="8"/>
      <c r="AF817" s="8"/>
      <c r="AG817" s="172"/>
      <c r="AH817" s="172"/>
      <c r="AI817" s="367"/>
      <c r="AJ817" s="362"/>
      <c r="AK817" s="363" t="str">
        <f>IFERROR(__xludf.DUMMYFUNCTION("IFERROR(if(D819&lt;&gt;"""", 
  AVERAGE(
    QUERY(
      IMPORTRANGE(""1-uH1wy6jSm5jYL9je6fN1K5RJ5QMvHntodEHZRtIvTk"", ""All Data!N2:U""),
      ""select Col8 where Col1 = '"" &amp; D819 &amp; ""' and Col8 is not null"",
      0
    )
  )/100,
""""),
  """"
)
"),"")</f>
        <v/>
      </c>
    </row>
    <row r="818">
      <c r="D818" s="172"/>
      <c r="E818" s="368"/>
      <c r="F818" s="368"/>
      <c r="G818" s="368"/>
      <c r="H818" s="172"/>
      <c r="I818" s="172"/>
      <c r="J818" s="172"/>
      <c r="K818" s="172"/>
      <c r="L818" s="172"/>
      <c r="M818" s="172"/>
      <c r="N818" s="172"/>
      <c r="O818" s="358"/>
      <c r="P818" s="358"/>
      <c r="Q818" s="358"/>
      <c r="R818" s="378"/>
      <c r="S818" s="378"/>
      <c r="T818" s="8"/>
      <c r="U818" s="8"/>
      <c r="V818" s="8"/>
      <c r="W818" s="172"/>
      <c r="X818" s="172"/>
      <c r="Y818" s="8"/>
      <c r="Z818" s="8"/>
      <c r="AA818" s="8"/>
      <c r="AB818" s="172"/>
      <c r="AC818" s="172"/>
      <c r="AD818" s="8"/>
      <c r="AE818" s="8"/>
      <c r="AF818" s="8"/>
      <c r="AG818" s="172"/>
      <c r="AH818" s="172"/>
      <c r="AI818" s="367"/>
      <c r="AJ818" s="362"/>
      <c r="AK818" s="363" t="str">
        <f>IFERROR(__xludf.DUMMYFUNCTION("IFERROR(if(D820&lt;&gt;"""", 
  AVERAGE(
    QUERY(
      IMPORTRANGE(""1-uH1wy6jSm5jYL9je6fN1K5RJ5QMvHntodEHZRtIvTk"", ""All Data!N2:U""),
      ""select Col8 where Col1 = '"" &amp; D820 &amp; ""' and Col8 is not null"",
      0
    )
  )/100,
""""),
  """"
)
"),"")</f>
        <v/>
      </c>
    </row>
    <row r="819">
      <c r="D819" s="172"/>
      <c r="E819" s="368"/>
      <c r="F819" s="368"/>
      <c r="G819" s="368"/>
      <c r="H819" s="172"/>
      <c r="I819" s="172"/>
      <c r="J819" s="172"/>
      <c r="K819" s="172"/>
      <c r="L819" s="172"/>
      <c r="M819" s="172"/>
      <c r="N819" s="172"/>
      <c r="O819" s="358"/>
      <c r="P819" s="358"/>
      <c r="Q819" s="358"/>
      <c r="R819" s="378"/>
      <c r="S819" s="378"/>
      <c r="T819" s="8"/>
      <c r="U819" s="8"/>
      <c r="V819" s="8"/>
      <c r="W819" s="172"/>
      <c r="X819" s="172"/>
      <c r="Y819" s="8"/>
      <c r="Z819" s="8"/>
      <c r="AA819" s="8"/>
      <c r="AB819" s="172"/>
      <c r="AC819" s="172"/>
      <c r="AD819" s="8"/>
      <c r="AE819" s="8"/>
      <c r="AF819" s="8"/>
      <c r="AG819" s="172"/>
      <c r="AH819" s="172"/>
      <c r="AI819" s="367"/>
      <c r="AJ819" s="362"/>
      <c r="AK819" s="363" t="str">
        <f>IFERROR(__xludf.DUMMYFUNCTION("IFERROR(if(D821&lt;&gt;"""", 
  AVERAGE(
    QUERY(
      IMPORTRANGE(""1-uH1wy6jSm5jYL9je6fN1K5RJ5QMvHntodEHZRtIvTk"", ""All Data!N2:U""),
      ""select Col8 where Col1 = '"" &amp; D821 &amp; ""' and Col8 is not null"",
      0
    )
  )/100,
""""),
  """"
)
"),"")</f>
        <v/>
      </c>
    </row>
    <row r="820">
      <c r="D820" s="172"/>
      <c r="E820" s="368"/>
      <c r="F820" s="368"/>
      <c r="G820" s="368"/>
      <c r="H820" s="172"/>
      <c r="I820" s="172"/>
      <c r="J820" s="172"/>
      <c r="K820" s="172"/>
      <c r="L820" s="172"/>
      <c r="M820" s="172"/>
      <c r="N820" s="172"/>
      <c r="O820" s="358"/>
      <c r="P820" s="358"/>
      <c r="Q820" s="358"/>
      <c r="R820" s="378"/>
      <c r="S820" s="378"/>
      <c r="T820" s="8"/>
      <c r="U820" s="8"/>
      <c r="V820" s="8"/>
      <c r="W820" s="172"/>
      <c r="X820" s="172"/>
      <c r="Y820" s="8"/>
      <c r="Z820" s="8"/>
      <c r="AA820" s="8"/>
      <c r="AB820" s="172"/>
      <c r="AC820" s="172"/>
      <c r="AD820" s="8"/>
      <c r="AE820" s="8"/>
      <c r="AF820" s="8"/>
      <c r="AG820" s="172"/>
      <c r="AH820" s="172"/>
      <c r="AI820" s="367"/>
      <c r="AJ820" s="362"/>
      <c r="AK820" s="363" t="str">
        <f>IFERROR(__xludf.DUMMYFUNCTION("IFERROR(if(D822&lt;&gt;"""", 
  AVERAGE(
    QUERY(
      IMPORTRANGE(""1-uH1wy6jSm5jYL9je6fN1K5RJ5QMvHntodEHZRtIvTk"", ""All Data!N2:U""),
      ""select Col8 where Col1 = '"" &amp; D822 &amp; ""' and Col8 is not null"",
      0
    )
  )/100,
""""),
  """"
)
"),"")</f>
        <v/>
      </c>
    </row>
    <row r="821">
      <c r="D821" s="172"/>
      <c r="E821" s="368"/>
      <c r="F821" s="368"/>
      <c r="G821" s="368"/>
      <c r="H821" s="172"/>
      <c r="I821" s="172"/>
      <c r="J821" s="172"/>
      <c r="K821" s="172"/>
      <c r="L821" s="172"/>
      <c r="M821" s="172"/>
      <c r="N821" s="172"/>
      <c r="O821" s="358"/>
      <c r="P821" s="358"/>
      <c r="Q821" s="358"/>
      <c r="R821" s="378"/>
      <c r="S821" s="378"/>
      <c r="T821" s="8"/>
      <c r="U821" s="8"/>
      <c r="V821" s="8"/>
      <c r="W821" s="172"/>
      <c r="X821" s="172"/>
      <c r="Y821" s="8"/>
      <c r="Z821" s="8"/>
      <c r="AA821" s="8"/>
      <c r="AB821" s="172"/>
      <c r="AC821" s="172"/>
      <c r="AD821" s="8"/>
      <c r="AE821" s="8"/>
      <c r="AF821" s="8"/>
      <c r="AG821" s="172"/>
      <c r="AH821" s="172"/>
      <c r="AI821" s="367"/>
      <c r="AJ821" s="362"/>
      <c r="AK821" s="363" t="str">
        <f>IFERROR(__xludf.DUMMYFUNCTION("IFERROR(if(D823&lt;&gt;"""", 
  AVERAGE(
    QUERY(
      IMPORTRANGE(""1-uH1wy6jSm5jYL9je6fN1K5RJ5QMvHntodEHZRtIvTk"", ""All Data!N2:U""),
      ""select Col8 where Col1 = '"" &amp; D823 &amp; ""' and Col8 is not null"",
      0
    )
  )/100,
""""),
  """"
)
"),"")</f>
        <v/>
      </c>
    </row>
    <row r="822">
      <c r="D822" s="172"/>
      <c r="E822" s="368"/>
      <c r="F822" s="368"/>
      <c r="G822" s="368"/>
      <c r="H822" s="172"/>
      <c r="I822" s="172"/>
      <c r="J822" s="172"/>
      <c r="K822" s="172"/>
      <c r="L822" s="172"/>
      <c r="M822" s="172"/>
      <c r="N822" s="172"/>
      <c r="O822" s="358"/>
      <c r="P822" s="358"/>
      <c r="Q822" s="358"/>
      <c r="R822" s="378"/>
      <c r="S822" s="378"/>
      <c r="T822" s="8"/>
      <c r="U822" s="8"/>
      <c r="V822" s="8"/>
      <c r="W822" s="172"/>
      <c r="X822" s="172"/>
      <c r="Y822" s="8"/>
      <c r="Z822" s="8"/>
      <c r="AA822" s="8"/>
      <c r="AB822" s="172"/>
      <c r="AC822" s="172"/>
      <c r="AD822" s="8"/>
      <c r="AE822" s="8"/>
      <c r="AF822" s="8"/>
      <c r="AG822" s="172"/>
      <c r="AH822" s="172"/>
      <c r="AI822" s="367"/>
      <c r="AJ822" s="362"/>
      <c r="AK822" s="363" t="str">
        <f>IFERROR(__xludf.DUMMYFUNCTION("IFERROR(if(D824&lt;&gt;"""", 
  AVERAGE(
    QUERY(
      IMPORTRANGE(""1-uH1wy6jSm5jYL9je6fN1K5RJ5QMvHntodEHZRtIvTk"", ""All Data!N2:U""),
      ""select Col8 where Col1 = '"" &amp; D824 &amp; ""' and Col8 is not null"",
      0
    )
  )/100,
""""),
  """"
)
"),"")</f>
        <v/>
      </c>
    </row>
    <row r="823">
      <c r="D823" s="172"/>
      <c r="E823" s="368"/>
      <c r="F823" s="368"/>
      <c r="G823" s="368"/>
      <c r="H823" s="172"/>
      <c r="I823" s="172"/>
      <c r="J823" s="172"/>
      <c r="K823" s="172"/>
      <c r="L823" s="172"/>
      <c r="M823" s="172"/>
      <c r="N823" s="172"/>
      <c r="O823" s="358"/>
      <c r="P823" s="358"/>
      <c r="Q823" s="358"/>
      <c r="R823" s="378"/>
      <c r="S823" s="378"/>
      <c r="T823" s="8"/>
      <c r="U823" s="8"/>
      <c r="V823" s="8"/>
      <c r="W823" s="172"/>
      <c r="X823" s="172"/>
      <c r="Y823" s="8"/>
      <c r="Z823" s="8"/>
      <c r="AA823" s="8"/>
      <c r="AB823" s="172"/>
      <c r="AC823" s="172"/>
      <c r="AD823" s="8"/>
      <c r="AE823" s="8"/>
      <c r="AF823" s="8"/>
      <c r="AG823" s="172"/>
      <c r="AH823" s="172"/>
      <c r="AI823" s="367"/>
      <c r="AJ823" s="362"/>
      <c r="AK823" s="363" t="str">
        <f>IFERROR(__xludf.DUMMYFUNCTION("IFERROR(if(D825&lt;&gt;"""", 
  AVERAGE(
    QUERY(
      IMPORTRANGE(""1-uH1wy6jSm5jYL9je6fN1K5RJ5QMvHntodEHZRtIvTk"", ""All Data!N2:U""),
      ""select Col8 where Col1 = '"" &amp; D825 &amp; ""' and Col8 is not null"",
      0
    )
  )/100,
""""),
  """"
)
"),"")</f>
        <v/>
      </c>
    </row>
    <row r="824">
      <c r="D824" s="172"/>
      <c r="E824" s="368"/>
      <c r="F824" s="368"/>
      <c r="G824" s="368"/>
      <c r="H824" s="172"/>
      <c r="I824" s="172"/>
      <c r="J824" s="172"/>
      <c r="K824" s="172"/>
      <c r="L824" s="172"/>
      <c r="M824" s="172"/>
      <c r="N824" s="172"/>
      <c r="O824" s="358"/>
      <c r="P824" s="358"/>
      <c r="Q824" s="358"/>
      <c r="R824" s="378"/>
      <c r="S824" s="378"/>
      <c r="T824" s="8"/>
      <c r="U824" s="8"/>
      <c r="V824" s="8"/>
      <c r="W824" s="172"/>
      <c r="X824" s="172"/>
      <c r="Y824" s="8"/>
      <c r="Z824" s="8"/>
      <c r="AA824" s="8"/>
      <c r="AB824" s="172"/>
      <c r="AC824" s="172"/>
      <c r="AD824" s="8"/>
      <c r="AE824" s="8"/>
      <c r="AF824" s="8"/>
      <c r="AG824" s="172"/>
      <c r="AH824" s="172"/>
      <c r="AI824" s="367"/>
      <c r="AJ824" s="362"/>
      <c r="AK824" s="363" t="str">
        <f>IFERROR(__xludf.DUMMYFUNCTION("IFERROR(if(D826&lt;&gt;"""", 
  AVERAGE(
    QUERY(
      IMPORTRANGE(""1-uH1wy6jSm5jYL9je6fN1K5RJ5QMvHntodEHZRtIvTk"", ""All Data!N2:U""),
      ""select Col8 where Col1 = '"" &amp; D826 &amp; ""' and Col8 is not null"",
      0
    )
  )/100,
""""),
  """"
)
"),"")</f>
        <v/>
      </c>
    </row>
    <row r="825">
      <c r="D825" s="172"/>
      <c r="E825" s="368"/>
      <c r="F825" s="368"/>
      <c r="G825" s="368"/>
      <c r="H825" s="172"/>
      <c r="I825" s="172"/>
      <c r="J825" s="172"/>
      <c r="K825" s="172"/>
      <c r="L825" s="172"/>
      <c r="M825" s="172"/>
      <c r="N825" s="172"/>
      <c r="O825" s="358"/>
      <c r="P825" s="358"/>
      <c r="Q825" s="358"/>
      <c r="R825" s="378"/>
      <c r="S825" s="378"/>
      <c r="T825" s="8"/>
      <c r="U825" s="8"/>
      <c r="V825" s="8"/>
      <c r="W825" s="172"/>
      <c r="X825" s="172"/>
      <c r="Y825" s="8"/>
      <c r="Z825" s="8"/>
      <c r="AA825" s="8"/>
      <c r="AB825" s="172"/>
      <c r="AC825" s="172"/>
      <c r="AD825" s="8"/>
      <c r="AE825" s="8"/>
      <c r="AF825" s="8"/>
      <c r="AG825" s="172"/>
      <c r="AH825" s="172"/>
      <c r="AI825" s="367"/>
      <c r="AJ825" s="362"/>
      <c r="AK825" s="363" t="str">
        <f>IFERROR(__xludf.DUMMYFUNCTION("IFERROR(if(D827&lt;&gt;"""", 
  AVERAGE(
    QUERY(
      IMPORTRANGE(""1-uH1wy6jSm5jYL9je6fN1K5RJ5QMvHntodEHZRtIvTk"", ""All Data!N2:U""),
      ""select Col8 where Col1 = '"" &amp; D827 &amp; ""' and Col8 is not null"",
      0
    )
  )/100,
""""),
  """"
)
"),"")</f>
        <v/>
      </c>
    </row>
    <row r="826">
      <c r="D826" s="172"/>
      <c r="E826" s="368"/>
      <c r="F826" s="368"/>
      <c r="G826" s="368"/>
      <c r="H826" s="172"/>
      <c r="I826" s="172"/>
      <c r="J826" s="172"/>
      <c r="K826" s="172"/>
      <c r="L826" s="172"/>
      <c r="M826" s="172"/>
      <c r="N826" s="172"/>
      <c r="O826" s="358"/>
      <c r="P826" s="358"/>
      <c r="Q826" s="358"/>
      <c r="R826" s="378"/>
      <c r="S826" s="378"/>
      <c r="T826" s="8"/>
      <c r="U826" s="8"/>
      <c r="V826" s="8"/>
      <c r="W826" s="172"/>
      <c r="X826" s="172"/>
      <c r="Y826" s="8"/>
      <c r="Z826" s="8"/>
      <c r="AA826" s="8"/>
      <c r="AB826" s="172"/>
      <c r="AC826" s="172"/>
      <c r="AD826" s="8"/>
      <c r="AE826" s="8"/>
      <c r="AF826" s="8"/>
      <c r="AG826" s="172"/>
      <c r="AH826" s="172"/>
      <c r="AI826" s="367"/>
      <c r="AJ826" s="362"/>
      <c r="AK826" s="363" t="str">
        <f>IFERROR(__xludf.DUMMYFUNCTION("IFERROR(if(D828&lt;&gt;"""", 
  AVERAGE(
    QUERY(
      IMPORTRANGE(""1-uH1wy6jSm5jYL9je6fN1K5RJ5QMvHntodEHZRtIvTk"", ""All Data!N2:U""),
      ""select Col8 where Col1 = '"" &amp; D828 &amp; ""' and Col8 is not null"",
      0
    )
  )/100,
""""),
  """"
)
"),"")</f>
        <v/>
      </c>
    </row>
    <row r="827">
      <c r="D827" s="172"/>
      <c r="E827" s="368"/>
      <c r="F827" s="368"/>
      <c r="G827" s="368"/>
      <c r="H827" s="172"/>
      <c r="I827" s="172"/>
      <c r="J827" s="172"/>
      <c r="K827" s="172"/>
      <c r="L827" s="172"/>
      <c r="M827" s="172"/>
      <c r="N827" s="172"/>
      <c r="O827" s="358"/>
      <c r="P827" s="358"/>
      <c r="Q827" s="358"/>
      <c r="R827" s="378"/>
      <c r="S827" s="378"/>
      <c r="T827" s="8"/>
      <c r="U827" s="8"/>
      <c r="V827" s="8"/>
      <c r="W827" s="172"/>
      <c r="X827" s="172"/>
      <c r="Y827" s="8"/>
      <c r="Z827" s="8"/>
      <c r="AA827" s="8"/>
      <c r="AB827" s="172"/>
      <c r="AC827" s="172"/>
      <c r="AD827" s="8"/>
      <c r="AE827" s="8"/>
      <c r="AF827" s="8"/>
      <c r="AG827" s="172"/>
      <c r="AH827" s="172"/>
      <c r="AI827" s="367"/>
      <c r="AJ827" s="362"/>
      <c r="AK827" s="363" t="str">
        <f>IFERROR(__xludf.DUMMYFUNCTION("IFERROR(if(D829&lt;&gt;"""", 
  AVERAGE(
    QUERY(
      IMPORTRANGE(""1-uH1wy6jSm5jYL9je6fN1K5RJ5QMvHntodEHZRtIvTk"", ""All Data!N2:U""),
      ""select Col8 where Col1 = '"" &amp; D829 &amp; ""' and Col8 is not null"",
      0
    )
  )/100,
""""),
  """"
)
"),"")</f>
        <v/>
      </c>
    </row>
    <row r="828">
      <c r="D828" s="172"/>
      <c r="E828" s="368"/>
      <c r="F828" s="368"/>
      <c r="G828" s="368"/>
      <c r="H828" s="172"/>
      <c r="I828" s="172"/>
      <c r="J828" s="172"/>
      <c r="K828" s="172"/>
      <c r="L828" s="172"/>
      <c r="M828" s="172"/>
      <c r="N828" s="172"/>
      <c r="O828" s="358"/>
      <c r="P828" s="358"/>
      <c r="Q828" s="358"/>
      <c r="R828" s="378"/>
      <c r="S828" s="378"/>
      <c r="T828" s="8"/>
      <c r="U828" s="8"/>
      <c r="V828" s="8"/>
      <c r="W828" s="172"/>
      <c r="X828" s="172"/>
      <c r="Y828" s="8"/>
      <c r="Z828" s="8"/>
      <c r="AA828" s="8"/>
      <c r="AB828" s="172"/>
      <c r="AC828" s="172"/>
      <c r="AD828" s="8"/>
      <c r="AE828" s="8"/>
      <c r="AF828" s="8"/>
      <c r="AG828" s="172"/>
      <c r="AH828" s="172"/>
      <c r="AI828" s="367"/>
      <c r="AJ828" s="362"/>
      <c r="AK828" s="363" t="str">
        <f>IFERROR(__xludf.DUMMYFUNCTION("IFERROR(if(D830&lt;&gt;"""", 
  AVERAGE(
    QUERY(
      IMPORTRANGE(""1-uH1wy6jSm5jYL9je6fN1K5RJ5QMvHntodEHZRtIvTk"", ""All Data!N2:U""),
      ""select Col8 where Col1 = '"" &amp; D830 &amp; ""' and Col8 is not null"",
      0
    )
  )/100,
""""),
  """"
)
"),"")</f>
        <v/>
      </c>
    </row>
    <row r="829">
      <c r="D829" s="172"/>
      <c r="E829" s="368"/>
      <c r="F829" s="368"/>
      <c r="G829" s="368"/>
      <c r="H829" s="172"/>
      <c r="I829" s="172"/>
      <c r="J829" s="172"/>
      <c r="K829" s="172"/>
      <c r="L829" s="172"/>
      <c r="M829" s="172"/>
      <c r="N829" s="172"/>
      <c r="O829" s="358"/>
      <c r="P829" s="358"/>
      <c r="Q829" s="358"/>
      <c r="R829" s="378"/>
      <c r="S829" s="378"/>
      <c r="T829" s="8"/>
      <c r="U829" s="8"/>
      <c r="V829" s="8"/>
      <c r="W829" s="172"/>
      <c r="X829" s="172"/>
      <c r="Y829" s="8"/>
      <c r="Z829" s="8"/>
      <c r="AA829" s="8"/>
      <c r="AB829" s="172"/>
      <c r="AC829" s="172"/>
      <c r="AD829" s="8"/>
      <c r="AE829" s="8"/>
      <c r="AF829" s="8"/>
      <c r="AG829" s="172"/>
      <c r="AH829" s="172"/>
      <c r="AI829" s="367"/>
      <c r="AJ829" s="362"/>
      <c r="AK829" s="363" t="str">
        <f>IFERROR(__xludf.DUMMYFUNCTION("IFERROR(if(D831&lt;&gt;"""", 
  AVERAGE(
    QUERY(
      IMPORTRANGE(""1-uH1wy6jSm5jYL9je6fN1K5RJ5QMvHntodEHZRtIvTk"", ""All Data!N2:U""),
      ""select Col8 where Col1 = '"" &amp; D831 &amp; ""' and Col8 is not null"",
      0
    )
  )/100,
""""),
  """"
)
"),"")</f>
        <v/>
      </c>
    </row>
    <row r="830">
      <c r="D830" s="172"/>
      <c r="E830" s="368"/>
      <c r="F830" s="368"/>
      <c r="G830" s="368"/>
      <c r="H830" s="172"/>
      <c r="I830" s="172"/>
      <c r="J830" s="172"/>
      <c r="K830" s="172"/>
      <c r="L830" s="172"/>
      <c r="M830" s="172"/>
      <c r="N830" s="172"/>
      <c r="O830" s="358"/>
      <c r="P830" s="358"/>
      <c r="Q830" s="358"/>
      <c r="R830" s="378"/>
      <c r="S830" s="378"/>
      <c r="T830" s="8"/>
      <c r="U830" s="8"/>
      <c r="V830" s="8"/>
      <c r="W830" s="172"/>
      <c r="X830" s="172"/>
      <c r="Y830" s="8"/>
      <c r="Z830" s="8"/>
      <c r="AA830" s="8"/>
      <c r="AB830" s="172"/>
      <c r="AC830" s="172"/>
      <c r="AD830" s="8"/>
      <c r="AE830" s="8"/>
      <c r="AF830" s="8"/>
      <c r="AG830" s="172"/>
      <c r="AH830" s="172"/>
      <c r="AI830" s="367"/>
      <c r="AJ830" s="362"/>
      <c r="AK830" s="363" t="str">
        <f>IFERROR(__xludf.DUMMYFUNCTION("IFERROR(if(D832&lt;&gt;"""", 
  AVERAGE(
    QUERY(
      IMPORTRANGE(""1-uH1wy6jSm5jYL9je6fN1K5RJ5QMvHntodEHZRtIvTk"", ""All Data!N2:U""),
      ""select Col8 where Col1 = '"" &amp; D832 &amp; ""' and Col8 is not null"",
      0
    )
  )/100,
""""),
  """"
)
"),"")</f>
        <v/>
      </c>
    </row>
    <row r="831">
      <c r="D831" s="172"/>
      <c r="E831" s="368"/>
      <c r="F831" s="368"/>
      <c r="G831" s="368"/>
      <c r="H831" s="172"/>
      <c r="I831" s="172"/>
      <c r="J831" s="172"/>
      <c r="K831" s="172"/>
      <c r="L831" s="172"/>
      <c r="M831" s="172"/>
      <c r="N831" s="172"/>
      <c r="O831" s="358"/>
      <c r="P831" s="358"/>
      <c r="Q831" s="358"/>
      <c r="R831" s="378"/>
      <c r="S831" s="378"/>
      <c r="T831" s="8"/>
      <c r="U831" s="8"/>
      <c r="V831" s="8"/>
      <c r="W831" s="172"/>
      <c r="X831" s="172"/>
      <c r="Y831" s="8"/>
      <c r="Z831" s="8"/>
      <c r="AA831" s="8"/>
      <c r="AB831" s="172"/>
      <c r="AC831" s="172"/>
      <c r="AD831" s="8"/>
      <c r="AE831" s="8"/>
      <c r="AF831" s="8"/>
      <c r="AG831" s="172"/>
      <c r="AH831" s="172"/>
      <c r="AI831" s="367"/>
      <c r="AJ831" s="362"/>
      <c r="AK831" s="363" t="str">
        <f>IFERROR(__xludf.DUMMYFUNCTION("IFERROR(if(D833&lt;&gt;"""", 
  AVERAGE(
    QUERY(
      IMPORTRANGE(""1-uH1wy6jSm5jYL9je6fN1K5RJ5QMvHntodEHZRtIvTk"", ""All Data!N2:U""),
      ""select Col8 where Col1 = '"" &amp; D833 &amp; ""' and Col8 is not null"",
      0
    )
  )/100,
""""),
  """"
)
"),"")</f>
        <v/>
      </c>
    </row>
    <row r="832">
      <c r="D832" s="172"/>
      <c r="E832" s="368"/>
      <c r="F832" s="368"/>
      <c r="G832" s="368"/>
      <c r="H832" s="172"/>
      <c r="I832" s="172"/>
      <c r="J832" s="172"/>
      <c r="K832" s="172"/>
      <c r="L832" s="172"/>
      <c r="M832" s="172"/>
      <c r="N832" s="172"/>
      <c r="O832" s="358"/>
      <c r="P832" s="358"/>
      <c r="Q832" s="358"/>
      <c r="R832" s="378"/>
      <c r="S832" s="378"/>
      <c r="T832" s="8"/>
      <c r="U832" s="8"/>
      <c r="V832" s="8"/>
      <c r="W832" s="172"/>
      <c r="X832" s="172"/>
      <c r="Y832" s="8"/>
      <c r="Z832" s="8"/>
      <c r="AA832" s="8"/>
      <c r="AB832" s="172"/>
      <c r="AC832" s="172"/>
      <c r="AD832" s="8"/>
      <c r="AE832" s="8"/>
      <c r="AF832" s="8"/>
      <c r="AG832" s="172"/>
      <c r="AH832" s="172"/>
      <c r="AI832" s="367"/>
      <c r="AJ832" s="362"/>
      <c r="AK832" s="363" t="str">
        <f>IFERROR(__xludf.DUMMYFUNCTION("IFERROR(if(D834&lt;&gt;"""", 
  AVERAGE(
    QUERY(
      IMPORTRANGE(""1-uH1wy6jSm5jYL9je6fN1K5RJ5QMvHntodEHZRtIvTk"", ""All Data!N2:U""),
      ""select Col8 where Col1 = '"" &amp; D834 &amp; ""' and Col8 is not null"",
      0
    )
  )/100,
""""),
  """"
)
"),"")</f>
        <v/>
      </c>
    </row>
    <row r="833">
      <c r="D833" s="172"/>
      <c r="E833" s="368"/>
      <c r="F833" s="368"/>
      <c r="G833" s="368"/>
      <c r="H833" s="172"/>
      <c r="I833" s="172"/>
      <c r="J833" s="172"/>
      <c r="K833" s="172"/>
      <c r="L833" s="172"/>
      <c r="M833" s="172"/>
      <c r="N833" s="172"/>
      <c r="O833" s="358"/>
      <c r="P833" s="358"/>
      <c r="Q833" s="358"/>
      <c r="R833" s="378"/>
      <c r="S833" s="378"/>
      <c r="T833" s="8"/>
      <c r="U833" s="8"/>
      <c r="V833" s="8"/>
      <c r="W833" s="172"/>
      <c r="X833" s="172"/>
      <c r="Y833" s="8"/>
      <c r="Z833" s="8"/>
      <c r="AA833" s="8"/>
      <c r="AB833" s="172"/>
      <c r="AC833" s="172"/>
      <c r="AD833" s="8"/>
      <c r="AE833" s="8"/>
      <c r="AF833" s="8"/>
      <c r="AG833" s="172"/>
      <c r="AH833" s="172"/>
      <c r="AI833" s="367"/>
      <c r="AJ833" s="362"/>
      <c r="AK833" s="363" t="str">
        <f>IFERROR(__xludf.DUMMYFUNCTION("IFERROR(if(D835&lt;&gt;"""", 
  AVERAGE(
    QUERY(
      IMPORTRANGE(""1-uH1wy6jSm5jYL9je6fN1K5RJ5QMvHntodEHZRtIvTk"", ""All Data!N2:U""),
      ""select Col8 where Col1 = '"" &amp; D835 &amp; ""' and Col8 is not null"",
      0
    )
  )/100,
""""),
  """"
)
"),"")</f>
        <v/>
      </c>
    </row>
    <row r="834">
      <c r="D834" s="172"/>
      <c r="E834" s="368"/>
      <c r="F834" s="368"/>
      <c r="G834" s="368"/>
      <c r="H834" s="172"/>
      <c r="I834" s="172"/>
      <c r="J834" s="172"/>
      <c r="K834" s="172"/>
      <c r="L834" s="172"/>
      <c r="M834" s="172"/>
      <c r="N834" s="172"/>
      <c r="O834" s="358"/>
      <c r="P834" s="358"/>
      <c r="Q834" s="358"/>
      <c r="R834" s="378"/>
      <c r="S834" s="378"/>
      <c r="T834" s="8"/>
      <c r="U834" s="8"/>
      <c r="V834" s="8"/>
      <c r="W834" s="172"/>
      <c r="X834" s="172"/>
      <c r="Y834" s="8"/>
      <c r="Z834" s="8"/>
      <c r="AA834" s="8"/>
      <c r="AB834" s="172"/>
      <c r="AC834" s="172"/>
      <c r="AD834" s="8"/>
      <c r="AE834" s="8"/>
      <c r="AF834" s="8"/>
      <c r="AG834" s="172"/>
      <c r="AH834" s="172"/>
      <c r="AI834" s="367"/>
      <c r="AJ834" s="362"/>
      <c r="AK834" s="363" t="str">
        <f>IFERROR(__xludf.DUMMYFUNCTION("IFERROR(if(D836&lt;&gt;"""", 
  AVERAGE(
    QUERY(
      IMPORTRANGE(""1-uH1wy6jSm5jYL9je6fN1K5RJ5QMvHntodEHZRtIvTk"", ""All Data!N2:U""),
      ""select Col8 where Col1 = '"" &amp; D836 &amp; ""' and Col8 is not null"",
      0
    )
  )/100,
""""),
  """"
)
"),"")</f>
        <v/>
      </c>
    </row>
    <row r="835">
      <c r="D835" s="172"/>
      <c r="E835" s="368"/>
      <c r="F835" s="368"/>
      <c r="G835" s="368"/>
      <c r="H835" s="172"/>
      <c r="I835" s="172"/>
      <c r="J835" s="172"/>
      <c r="K835" s="172"/>
      <c r="L835" s="172"/>
      <c r="M835" s="172"/>
      <c r="N835" s="172"/>
      <c r="O835" s="358"/>
      <c r="P835" s="358"/>
      <c r="Q835" s="358"/>
      <c r="R835" s="378"/>
      <c r="S835" s="378"/>
      <c r="T835" s="8"/>
      <c r="U835" s="8"/>
      <c r="V835" s="8"/>
      <c r="W835" s="172"/>
      <c r="X835" s="172"/>
      <c r="Y835" s="8"/>
      <c r="Z835" s="8"/>
      <c r="AA835" s="8"/>
      <c r="AB835" s="172"/>
      <c r="AC835" s="172"/>
      <c r="AD835" s="8"/>
      <c r="AE835" s="8"/>
      <c r="AF835" s="8"/>
      <c r="AG835" s="172"/>
      <c r="AH835" s="172"/>
      <c r="AI835" s="367"/>
      <c r="AJ835" s="362"/>
      <c r="AK835" s="363" t="str">
        <f>IFERROR(__xludf.DUMMYFUNCTION("IFERROR(if(D837&lt;&gt;"""", 
  AVERAGE(
    QUERY(
      IMPORTRANGE(""1-uH1wy6jSm5jYL9je6fN1K5RJ5QMvHntodEHZRtIvTk"", ""All Data!N2:U""),
      ""select Col8 where Col1 = '"" &amp; D837 &amp; ""' and Col8 is not null"",
      0
    )
  )/100,
""""),
  """"
)
"),"")</f>
        <v/>
      </c>
    </row>
    <row r="836">
      <c r="D836" s="172"/>
      <c r="E836" s="368"/>
      <c r="F836" s="368"/>
      <c r="G836" s="368"/>
      <c r="H836" s="172"/>
      <c r="I836" s="172"/>
      <c r="J836" s="172"/>
      <c r="K836" s="172"/>
      <c r="L836" s="172"/>
      <c r="M836" s="172"/>
      <c r="N836" s="172"/>
      <c r="O836" s="358"/>
      <c r="P836" s="358"/>
      <c r="Q836" s="358"/>
      <c r="R836" s="378"/>
      <c r="S836" s="378"/>
      <c r="T836" s="8"/>
      <c r="U836" s="8"/>
      <c r="V836" s="8"/>
      <c r="W836" s="172"/>
      <c r="X836" s="172"/>
      <c r="Y836" s="8"/>
      <c r="Z836" s="8"/>
      <c r="AA836" s="8"/>
      <c r="AB836" s="172"/>
      <c r="AC836" s="172"/>
      <c r="AD836" s="8"/>
      <c r="AE836" s="8"/>
      <c r="AF836" s="8"/>
      <c r="AG836" s="172"/>
      <c r="AH836" s="172"/>
      <c r="AI836" s="367"/>
      <c r="AJ836" s="362"/>
      <c r="AK836" s="363" t="str">
        <f>IFERROR(__xludf.DUMMYFUNCTION("IFERROR(if(D838&lt;&gt;"""", 
  AVERAGE(
    QUERY(
      IMPORTRANGE(""1-uH1wy6jSm5jYL9je6fN1K5RJ5QMvHntodEHZRtIvTk"", ""All Data!N2:U""),
      ""select Col8 where Col1 = '"" &amp; D838 &amp; ""' and Col8 is not null"",
      0
    )
  )/100,
""""),
  """"
)
"),"")</f>
        <v/>
      </c>
    </row>
    <row r="837">
      <c r="D837" s="172"/>
      <c r="E837" s="368"/>
      <c r="F837" s="368"/>
      <c r="G837" s="368"/>
      <c r="H837" s="172"/>
      <c r="I837" s="172"/>
      <c r="J837" s="172"/>
      <c r="K837" s="172"/>
      <c r="L837" s="172"/>
      <c r="M837" s="172"/>
      <c r="N837" s="172"/>
      <c r="O837" s="358"/>
      <c r="P837" s="358"/>
      <c r="Q837" s="358"/>
      <c r="R837" s="378"/>
      <c r="S837" s="378"/>
      <c r="T837" s="8"/>
      <c r="U837" s="8"/>
      <c r="V837" s="8"/>
      <c r="W837" s="172"/>
      <c r="X837" s="172"/>
      <c r="Y837" s="8"/>
      <c r="Z837" s="8"/>
      <c r="AA837" s="8"/>
      <c r="AB837" s="172"/>
      <c r="AC837" s="172"/>
      <c r="AD837" s="8"/>
      <c r="AE837" s="8"/>
      <c r="AF837" s="8"/>
      <c r="AG837" s="172"/>
      <c r="AH837" s="172"/>
      <c r="AI837" s="367"/>
      <c r="AJ837" s="362"/>
      <c r="AK837" s="363" t="str">
        <f>IFERROR(__xludf.DUMMYFUNCTION("IFERROR(if(D839&lt;&gt;"""", 
  AVERAGE(
    QUERY(
      IMPORTRANGE(""1-uH1wy6jSm5jYL9je6fN1K5RJ5QMvHntodEHZRtIvTk"", ""All Data!N2:U""),
      ""select Col8 where Col1 = '"" &amp; D839 &amp; ""' and Col8 is not null"",
      0
    )
  )/100,
""""),
  """"
)
"),"")</f>
        <v/>
      </c>
    </row>
    <row r="838">
      <c r="D838" s="172"/>
      <c r="E838" s="368"/>
      <c r="F838" s="368"/>
      <c r="G838" s="368"/>
      <c r="H838" s="172"/>
      <c r="I838" s="172"/>
      <c r="J838" s="172"/>
      <c r="K838" s="172"/>
      <c r="L838" s="172"/>
      <c r="M838" s="172"/>
      <c r="N838" s="172"/>
      <c r="O838" s="358"/>
      <c r="P838" s="358"/>
      <c r="Q838" s="358"/>
      <c r="R838" s="378"/>
      <c r="S838" s="378"/>
      <c r="T838" s="8"/>
      <c r="U838" s="8"/>
      <c r="V838" s="8"/>
      <c r="W838" s="172"/>
      <c r="X838" s="172"/>
      <c r="Y838" s="8"/>
      <c r="Z838" s="8"/>
      <c r="AA838" s="8"/>
      <c r="AB838" s="172"/>
      <c r="AC838" s="172"/>
      <c r="AD838" s="8"/>
      <c r="AE838" s="8"/>
      <c r="AF838" s="8"/>
      <c r="AG838" s="172"/>
      <c r="AH838" s="172"/>
      <c r="AI838" s="367"/>
      <c r="AJ838" s="362"/>
      <c r="AK838" s="363" t="str">
        <f>IFERROR(__xludf.DUMMYFUNCTION("IFERROR(if(D840&lt;&gt;"""", 
  AVERAGE(
    QUERY(
      IMPORTRANGE(""1-uH1wy6jSm5jYL9je6fN1K5RJ5QMvHntodEHZRtIvTk"", ""All Data!N2:U""),
      ""select Col8 where Col1 = '"" &amp; D840 &amp; ""' and Col8 is not null"",
      0
    )
  )/100,
""""),
  """"
)
"),"")</f>
        <v/>
      </c>
    </row>
    <row r="839">
      <c r="D839" s="172"/>
      <c r="E839" s="368"/>
      <c r="F839" s="368"/>
      <c r="G839" s="368"/>
      <c r="H839" s="172"/>
      <c r="I839" s="172"/>
      <c r="J839" s="172"/>
      <c r="K839" s="172"/>
      <c r="L839" s="172"/>
      <c r="M839" s="172"/>
      <c r="N839" s="172"/>
      <c r="O839" s="358"/>
      <c r="P839" s="358"/>
      <c r="Q839" s="358"/>
      <c r="R839" s="378"/>
      <c r="S839" s="378"/>
      <c r="T839" s="8"/>
      <c r="U839" s="8"/>
      <c r="V839" s="8"/>
      <c r="W839" s="172"/>
      <c r="X839" s="172"/>
      <c r="Y839" s="8"/>
      <c r="Z839" s="8"/>
      <c r="AA839" s="8"/>
      <c r="AB839" s="172"/>
      <c r="AC839" s="172"/>
      <c r="AD839" s="8"/>
      <c r="AE839" s="8"/>
      <c r="AF839" s="8"/>
      <c r="AG839" s="172"/>
      <c r="AH839" s="172"/>
      <c r="AI839" s="367"/>
      <c r="AJ839" s="362"/>
      <c r="AK839" s="363" t="str">
        <f>IFERROR(__xludf.DUMMYFUNCTION("IFERROR(if(D841&lt;&gt;"""", 
  AVERAGE(
    QUERY(
      IMPORTRANGE(""1-uH1wy6jSm5jYL9je6fN1K5RJ5QMvHntodEHZRtIvTk"", ""All Data!N2:U""),
      ""select Col8 where Col1 = '"" &amp; D841 &amp; ""' and Col8 is not null"",
      0
    )
  )/100,
""""),
  """"
)
"),"")</f>
        <v/>
      </c>
    </row>
    <row r="840">
      <c r="D840" s="172"/>
      <c r="E840" s="368"/>
      <c r="F840" s="368"/>
      <c r="G840" s="368"/>
      <c r="H840" s="172"/>
      <c r="I840" s="172"/>
      <c r="J840" s="172"/>
      <c r="K840" s="172"/>
      <c r="L840" s="172"/>
      <c r="M840" s="172"/>
      <c r="N840" s="172"/>
      <c r="O840" s="358"/>
      <c r="P840" s="358"/>
      <c r="Q840" s="358"/>
      <c r="R840" s="378"/>
      <c r="S840" s="378"/>
      <c r="T840" s="8"/>
      <c r="U840" s="8"/>
      <c r="V840" s="8"/>
      <c r="W840" s="172"/>
      <c r="X840" s="172"/>
      <c r="Y840" s="8"/>
      <c r="Z840" s="8"/>
      <c r="AA840" s="8"/>
      <c r="AB840" s="172"/>
      <c r="AC840" s="172"/>
      <c r="AD840" s="8"/>
      <c r="AE840" s="8"/>
      <c r="AF840" s="8"/>
      <c r="AG840" s="172"/>
      <c r="AH840" s="172"/>
      <c r="AI840" s="367"/>
      <c r="AJ840" s="362"/>
      <c r="AK840" s="363" t="str">
        <f>IFERROR(__xludf.DUMMYFUNCTION("IFERROR(if(D842&lt;&gt;"""", 
  AVERAGE(
    QUERY(
      IMPORTRANGE(""1-uH1wy6jSm5jYL9je6fN1K5RJ5QMvHntodEHZRtIvTk"", ""All Data!N2:U""),
      ""select Col8 where Col1 = '"" &amp; D842 &amp; ""' and Col8 is not null"",
      0
    )
  )/100,
""""),
  """"
)
"),"")</f>
        <v/>
      </c>
    </row>
    <row r="841">
      <c r="D841" s="172"/>
      <c r="E841" s="368"/>
      <c r="F841" s="368"/>
      <c r="G841" s="368"/>
      <c r="H841" s="172"/>
      <c r="I841" s="172"/>
      <c r="J841" s="172"/>
      <c r="K841" s="172"/>
      <c r="L841" s="172"/>
      <c r="M841" s="172"/>
      <c r="N841" s="172"/>
      <c r="O841" s="358"/>
      <c r="P841" s="358"/>
      <c r="Q841" s="358"/>
      <c r="R841" s="378"/>
      <c r="S841" s="378"/>
      <c r="T841" s="8"/>
      <c r="U841" s="8"/>
      <c r="V841" s="8"/>
      <c r="W841" s="172"/>
      <c r="X841" s="172"/>
      <c r="Y841" s="8"/>
      <c r="Z841" s="8"/>
      <c r="AA841" s="8"/>
      <c r="AB841" s="172"/>
      <c r="AC841" s="172"/>
      <c r="AD841" s="8"/>
      <c r="AE841" s="8"/>
      <c r="AF841" s="8"/>
      <c r="AG841" s="172"/>
      <c r="AH841" s="172"/>
      <c r="AI841" s="367"/>
      <c r="AJ841" s="362"/>
      <c r="AK841" s="363" t="str">
        <f>IFERROR(__xludf.DUMMYFUNCTION("IFERROR(if(D843&lt;&gt;"""", 
  AVERAGE(
    QUERY(
      IMPORTRANGE(""1-uH1wy6jSm5jYL9je6fN1K5RJ5QMvHntodEHZRtIvTk"", ""All Data!N2:U""),
      ""select Col8 where Col1 = '"" &amp; D843 &amp; ""' and Col8 is not null"",
      0
    )
  )/100,
""""),
  """"
)
"),"")</f>
        <v/>
      </c>
    </row>
    <row r="842">
      <c r="D842" s="172"/>
      <c r="E842" s="368"/>
      <c r="F842" s="368"/>
      <c r="G842" s="368"/>
      <c r="H842" s="172"/>
      <c r="I842" s="172"/>
      <c r="J842" s="172"/>
      <c r="K842" s="172"/>
      <c r="L842" s="172"/>
      <c r="M842" s="172"/>
      <c r="N842" s="172"/>
      <c r="O842" s="358"/>
      <c r="P842" s="358"/>
      <c r="Q842" s="358"/>
      <c r="R842" s="378"/>
      <c r="S842" s="378"/>
      <c r="T842" s="8"/>
      <c r="U842" s="8"/>
      <c r="V842" s="8"/>
      <c r="W842" s="172"/>
      <c r="X842" s="172"/>
      <c r="Y842" s="8"/>
      <c r="Z842" s="8"/>
      <c r="AA842" s="8"/>
      <c r="AB842" s="172"/>
      <c r="AC842" s="172"/>
      <c r="AD842" s="8"/>
      <c r="AE842" s="8"/>
      <c r="AF842" s="8"/>
      <c r="AG842" s="172"/>
      <c r="AH842" s="172"/>
      <c r="AI842" s="367"/>
      <c r="AJ842" s="362"/>
      <c r="AK842" s="363" t="str">
        <f>IFERROR(__xludf.DUMMYFUNCTION("IFERROR(if(D844&lt;&gt;"""", 
  AVERAGE(
    QUERY(
      IMPORTRANGE(""1-uH1wy6jSm5jYL9je6fN1K5RJ5QMvHntodEHZRtIvTk"", ""All Data!N2:U""),
      ""select Col8 where Col1 = '"" &amp; D844 &amp; ""' and Col8 is not null"",
      0
    )
  )/100,
""""),
  """"
)
"),"")</f>
        <v/>
      </c>
    </row>
    <row r="843">
      <c r="D843" s="172"/>
      <c r="E843" s="368"/>
      <c r="F843" s="368"/>
      <c r="G843" s="368"/>
      <c r="H843" s="172"/>
      <c r="I843" s="172"/>
      <c r="J843" s="172"/>
      <c r="K843" s="172"/>
      <c r="L843" s="172"/>
      <c r="M843" s="172"/>
      <c r="N843" s="172"/>
      <c r="O843" s="358"/>
      <c r="P843" s="358"/>
      <c r="Q843" s="358"/>
      <c r="R843" s="378"/>
      <c r="S843" s="378"/>
      <c r="T843" s="8"/>
      <c r="U843" s="8"/>
      <c r="V843" s="8"/>
      <c r="W843" s="172"/>
      <c r="X843" s="172"/>
      <c r="Y843" s="8"/>
      <c r="Z843" s="8"/>
      <c r="AA843" s="8"/>
      <c r="AB843" s="172"/>
      <c r="AC843" s="172"/>
      <c r="AD843" s="8"/>
      <c r="AE843" s="8"/>
      <c r="AF843" s="8"/>
      <c r="AG843" s="172"/>
      <c r="AH843" s="172"/>
      <c r="AI843" s="367"/>
      <c r="AJ843" s="362"/>
      <c r="AK843" s="363" t="str">
        <f>IFERROR(__xludf.DUMMYFUNCTION("IFERROR(if(D845&lt;&gt;"""", 
  AVERAGE(
    QUERY(
      IMPORTRANGE(""1-uH1wy6jSm5jYL9je6fN1K5RJ5QMvHntodEHZRtIvTk"", ""All Data!N2:U""),
      ""select Col8 where Col1 = '"" &amp; D845 &amp; ""' and Col8 is not null"",
      0
    )
  )/100,
""""),
  """"
)
"),"")</f>
        <v/>
      </c>
    </row>
    <row r="844">
      <c r="D844" s="172"/>
      <c r="E844" s="368"/>
      <c r="F844" s="368"/>
      <c r="G844" s="368"/>
      <c r="H844" s="172"/>
      <c r="I844" s="172"/>
      <c r="J844" s="172"/>
      <c r="K844" s="172"/>
      <c r="L844" s="172"/>
      <c r="M844" s="172"/>
      <c r="N844" s="172"/>
      <c r="O844" s="358"/>
      <c r="P844" s="358"/>
      <c r="Q844" s="358"/>
      <c r="R844" s="378"/>
      <c r="S844" s="378"/>
      <c r="T844" s="8"/>
      <c r="U844" s="8"/>
      <c r="V844" s="8"/>
      <c r="W844" s="172"/>
      <c r="X844" s="172"/>
      <c r="Y844" s="8"/>
      <c r="Z844" s="8"/>
      <c r="AA844" s="8"/>
      <c r="AB844" s="172"/>
      <c r="AC844" s="172"/>
      <c r="AD844" s="8"/>
      <c r="AE844" s="8"/>
      <c r="AF844" s="8"/>
      <c r="AG844" s="172"/>
      <c r="AH844" s="172"/>
      <c r="AI844" s="367"/>
      <c r="AJ844" s="362"/>
      <c r="AK844" s="363" t="str">
        <f>IFERROR(__xludf.DUMMYFUNCTION("IFERROR(if(D846&lt;&gt;"""", 
  AVERAGE(
    QUERY(
      IMPORTRANGE(""1-uH1wy6jSm5jYL9je6fN1K5RJ5QMvHntodEHZRtIvTk"", ""All Data!N2:U""),
      ""select Col8 where Col1 = '"" &amp; D846 &amp; ""' and Col8 is not null"",
      0
    )
  )/100,
""""),
  """"
)
"),"")</f>
        <v/>
      </c>
    </row>
    <row r="845">
      <c r="D845" s="172"/>
      <c r="E845" s="368"/>
      <c r="F845" s="368"/>
      <c r="G845" s="368"/>
      <c r="H845" s="172"/>
      <c r="I845" s="172"/>
      <c r="J845" s="172"/>
      <c r="K845" s="172"/>
      <c r="L845" s="172"/>
      <c r="M845" s="172"/>
      <c r="N845" s="172"/>
      <c r="O845" s="358"/>
      <c r="P845" s="358"/>
      <c r="Q845" s="358"/>
      <c r="R845" s="378"/>
      <c r="S845" s="378"/>
      <c r="T845" s="8"/>
      <c r="U845" s="8"/>
      <c r="V845" s="8"/>
      <c r="W845" s="172"/>
      <c r="X845" s="172"/>
      <c r="Y845" s="8"/>
      <c r="Z845" s="8"/>
      <c r="AA845" s="8"/>
      <c r="AB845" s="172"/>
      <c r="AC845" s="172"/>
      <c r="AD845" s="8"/>
      <c r="AE845" s="8"/>
      <c r="AF845" s="8"/>
      <c r="AG845" s="172"/>
      <c r="AH845" s="172"/>
      <c r="AI845" s="367"/>
      <c r="AJ845" s="362"/>
      <c r="AK845" s="363" t="str">
        <f>IFERROR(__xludf.DUMMYFUNCTION("IFERROR(if(D847&lt;&gt;"""", 
  AVERAGE(
    QUERY(
      IMPORTRANGE(""1-uH1wy6jSm5jYL9je6fN1K5RJ5QMvHntodEHZRtIvTk"", ""All Data!N2:U""),
      ""select Col8 where Col1 = '"" &amp; D847 &amp; ""' and Col8 is not null"",
      0
    )
  )/100,
""""),
  """"
)
"),"")</f>
        <v/>
      </c>
    </row>
    <row r="846">
      <c r="D846" s="172"/>
      <c r="E846" s="368"/>
      <c r="F846" s="368"/>
      <c r="G846" s="368"/>
      <c r="H846" s="172"/>
      <c r="I846" s="172"/>
      <c r="J846" s="172"/>
      <c r="K846" s="172"/>
      <c r="L846" s="172"/>
      <c r="M846" s="172"/>
      <c r="N846" s="172"/>
      <c r="O846" s="358"/>
      <c r="P846" s="358"/>
      <c r="Q846" s="358"/>
      <c r="R846" s="378"/>
      <c r="S846" s="378"/>
      <c r="T846" s="8"/>
      <c r="U846" s="8"/>
      <c r="V846" s="8"/>
      <c r="W846" s="172"/>
      <c r="X846" s="172"/>
      <c r="Y846" s="8"/>
      <c r="Z846" s="8"/>
      <c r="AA846" s="8"/>
      <c r="AB846" s="172"/>
      <c r="AC846" s="172"/>
      <c r="AD846" s="8"/>
      <c r="AE846" s="8"/>
      <c r="AF846" s="8"/>
      <c r="AG846" s="172"/>
      <c r="AH846" s="172"/>
      <c r="AI846" s="367"/>
      <c r="AJ846" s="362"/>
      <c r="AK846" s="363" t="str">
        <f>IFERROR(__xludf.DUMMYFUNCTION("IFERROR(if(D848&lt;&gt;"""", 
  AVERAGE(
    QUERY(
      IMPORTRANGE(""1-uH1wy6jSm5jYL9je6fN1K5RJ5QMvHntodEHZRtIvTk"", ""All Data!N2:U""),
      ""select Col8 where Col1 = '"" &amp; D848 &amp; ""' and Col8 is not null"",
      0
    )
  )/100,
""""),
  """"
)
"),"")</f>
        <v/>
      </c>
    </row>
    <row r="847">
      <c r="D847" s="172"/>
      <c r="E847" s="368"/>
      <c r="F847" s="368"/>
      <c r="G847" s="368"/>
      <c r="H847" s="172"/>
      <c r="I847" s="172"/>
      <c r="J847" s="172"/>
      <c r="K847" s="172"/>
      <c r="L847" s="172"/>
      <c r="M847" s="172"/>
      <c r="N847" s="172"/>
      <c r="O847" s="358"/>
      <c r="P847" s="358"/>
      <c r="Q847" s="358"/>
      <c r="R847" s="378"/>
      <c r="S847" s="378"/>
      <c r="T847" s="8"/>
      <c r="U847" s="8"/>
      <c r="V847" s="8"/>
      <c r="W847" s="172"/>
      <c r="X847" s="172"/>
      <c r="Y847" s="8"/>
      <c r="Z847" s="8"/>
      <c r="AA847" s="8"/>
      <c r="AB847" s="172"/>
      <c r="AC847" s="172"/>
      <c r="AD847" s="8"/>
      <c r="AE847" s="8"/>
      <c r="AF847" s="8"/>
      <c r="AG847" s="172"/>
      <c r="AH847" s="172"/>
      <c r="AI847" s="367"/>
      <c r="AJ847" s="362"/>
      <c r="AK847" s="363" t="str">
        <f>IFERROR(__xludf.DUMMYFUNCTION("IFERROR(if(D849&lt;&gt;"""", 
  AVERAGE(
    QUERY(
      IMPORTRANGE(""1-uH1wy6jSm5jYL9je6fN1K5RJ5QMvHntodEHZRtIvTk"", ""All Data!N2:U""),
      ""select Col8 where Col1 = '"" &amp; D849 &amp; ""' and Col8 is not null"",
      0
    )
  )/100,
""""),
  """"
)
"),"")</f>
        <v/>
      </c>
    </row>
    <row r="848">
      <c r="D848" s="172"/>
      <c r="E848" s="368"/>
      <c r="F848" s="368"/>
      <c r="G848" s="368"/>
      <c r="H848" s="172"/>
      <c r="I848" s="172"/>
      <c r="J848" s="172"/>
      <c r="K848" s="172"/>
      <c r="L848" s="172"/>
      <c r="M848" s="172"/>
      <c r="N848" s="172"/>
      <c r="O848" s="358"/>
      <c r="P848" s="358"/>
      <c r="Q848" s="358"/>
      <c r="R848" s="378"/>
      <c r="S848" s="378"/>
      <c r="T848" s="8"/>
      <c r="U848" s="8"/>
      <c r="V848" s="8"/>
      <c r="W848" s="172"/>
      <c r="X848" s="172"/>
      <c r="Y848" s="8"/>
      <c r="Z848" s="8"/>
      <c r="AA848" s="8"/>
      <c r="AB848" s="172"/>
      <c r="AC848" s="172"/>
      <c r="AD848" s="8"/>
      <c r="AE848" s="8"/>
      <c r="AF848" s="8"/>
      <c r="AG848" s="172"/>
      <c r="AH848" s="172"/>
      <c r="AI848" s="367"/>
      <c r="AJ848" s="362"/>
      <c r="AK848" s="363" t="str">
        <f>IFERROR(__xludf.DUMMYFUNCTION("IFERROR(if(D850&lt;&gt;"""", 
  AVERAGE(
    QUERY(
      IMPORTRANGE(""1-uH1wy6jSm5jYL9je6fN1K5RJ5QMvHntodEHZRtIvTk"", ""All Data!N2:U""),
      ""select Col8 where Col1 = '"" &amp; D850 &amp; ""' and Col8 is not null"",
      0
    )
  )/100,
""""),
  """"
)
"),"")</f>
        <v/>
      </c>
    </row>
    <row r="849">
      <c r="D849" s="172"/>
      <c r="E849" s="368"/>
      <c r="F849" s="368"/>
      <c r="G849" s="368"/>
      <c r="H849" s="172"/>
      <c r="I849" s="172"/>
      <c r="J849" s="172"/>
      <c r="K849" s="172"/>
      <c r="L849" s="172"/>
      <c r="M849" s="172"/>
      <c r="N849" s="172"/>
      <c r="O849" s="358"/>
      <c r="P849" s="358"/>
      <c r="Q849" s="358"/>
      <c r="R849" s="378"/>
      <c r="S849" s="378"/>
      <c r="T849" s="8"/>
      <c r="U849" s="8"/>
      <c r="V849" s="8"/>
      <c r="W849" s="172"/>
      <c r="X849" s="172"/>
      <c r="Y849" s="8"/>
      <c r="Z849" s="8"/>
      <c r="AA849" s="8"/>
      <c r="AB849" s="172"/>
      <c r="AC849" s="172"/>
      <c r="AD849" s="8"/>
      <c r="AE849" s="8"/>
      <c r="AF849" s="8"/>
      <c r="AG849" s="172"/>
      <c r="AH849" s="172"/>
      <c r="AI849" s="367"/>
      <c r="AJ849" s="362"/>
      <c r="AK849" s="363" t="str">
        <f>IFERROR(__xludf.DUMMYFUNCTION("IFERROR(if(D851&lt;&gt;"""", 
  AVERAGE(
    QUERY(
      IMPORTRANGE(""1-uH1wy6jSm5jYL9je6fN1K5RJ5QMvHntodEHZRtIvTk"", ""All Data!N2:U""),
      ""select Col8 where Col1 = '"" &amp; D851 &amp; ""' and Col8 is not null"",
      0
    )
  )/100,
""""),
  """"
)
"),"")</f>
        <v/>
      </c>
    </row>
    <row r="850">
      <c r="D850" s="172"/>
      <c r="E850" s="368"/>
      <c r="F850" s="368"/>
      <c r="G850" s="368"/>
      <c r="H850" s="172"/>
      <c r="I850" s="172"/>
      <c r="J850" s="172"/>
      <c r="K850" s="172"/>
      <c r="L850" s="172"/>
      <c r="M850" s="172"/>
      <c r="N850" s="172"/>
      <c r="O850" s="358"/>
      <c r="P850" s="358"/>
      <c r="Q850" s="358"/>
      <c r="R850" s="378"/>
      <c r="S850" s="378"/>
      <c r="T850" s="8"/>
      <c r="U850" s="8"/>
      <c r="V850" s="8"/>
      <c r="W850" s="172"/>
      <c r="X850" s="172"/>
      <c r="Y850" s="8"/>
      <c r="Z850" s="8"/>
      <c r="AA850" s="8"/>
      <c r="AB850" s="172"/>
      <c r="AC850" s="172"/>
      <c r="AD850" s="8"/>
      <c r="AE850" s="8"/>
      <c r="AF850" s="8"/>
      <c r="AG850" s="172"/>
      <c r="AH850" s="172"/>
      <c r="AI850" s="367"/>
      <c r="AJ850" s="362"/>
      <c r="AK850" s="363" t="str">
        <f>IFERROR(__xludf.DUMMYFUNCTION("IFERROR(if(D852&lt;&gt;"""", 
  AVERAGE(
    QUERY(
      IMPORTRANGE(""1-uH1wy6jSm5jYL9je6fN1K5RJ5QMvHntodEHZRtIvTk"", ""All Data!N2:U""),
      ""select Col8 where Col1 = '"" &amp; D852 &amp; ""' and Col8 is not null"",
      0
    )
  )/100,
""""),
  """"
)
"),"")</f>
        <v/>
      </c>
    </row>
    <row r="851">
      <c r="D851" s="172"/>
      <c r="E851" s="368"/>
      <c r="F851" s="368"/>
      <c r="G851" s="368"/>
      <c r="H851" s="172"/>
      <c r="I851" s="172"/>
      <c r="J851" s="172"/>
      <c r="K851" s="172"/>
      <c r="L851" s="172"/>
      <c r="M851" s="172"/>
      <c r="N851" s="172"/>
      <c r="O851" s="358"/>
      <c r="P851" s="358"/>
      <c r="Q851" s="358"/>
      <c r="R851" s="378"/>
      <c r="S851" s="378"/>
      <c r="T851" s="8"/>
      <c r="U851" s="8"/>
      <c r="V851" s="8"/>
      <c r="W851" s="172"/>
      <c r="X851" s="172"/>
      <c r="Y851" s="8"/>
      <c r="Z851" s="8"/>
      <c r="AA851" s="8"/>
      <c r="AB851" s="172"/>
      <c r="AC851" s="172"/>
      <c r="AD851" s="8"/>
      <c r="AE851" s="8"/>
      <c r="AF851" s="8"/>
      <c r="AG851" s="172"/>
      <c r="AH851" s="172"/>
      <c r="AI851" s="367"/>
      <c r="AJ851" s="362"/>
      <c r="AK851" s="363" t="str">
        <f>IFERROR(__xludf.DUMMYFUNCTION("IFERROR(if(D853&lt;&gt;"""", 
  AVERAGE(
    QUERY(
      IMPORTRANGE(""1-uH1wy6jSm5jYL9je6fN1K5RJ5QMvHntodEHZRtIvTk"", ""All Data!N2:U""),
      ""select Col8 where Col1 = '"" &amp; D853 &amp; ""' and Col8 is not null"",
      0
    )
  )/100,
""""),
  """"
)
"),"")</f>
        <v/>
      </c>
    </row>
    <row r="852">
      <c r="D852" s="172"/>
      <c r="E852" s="368"/>
      <c r="F852" s="368"/>
      <c r="G852" s="368"/>
      <c r="H852" s="172"/>
      <c r="I852" s="172"/>
      <c r="J852" s="172"/>
      <c r="K852" s="172"/>
      <c r="L852" s="172"/>
      <c r="M852" s="172"/>
      <c r="N852" s="172"/>
      <c r="O852" s="358"/>
      <c r="P852" s="358"/>
      <c r="Q852" s="358"/>
      <c r="R852" s="378"/>
      <c r="S852" s="378"/>
      <c r="T852" s="8"/>
      <c r="U852" s="8"/>
      <c r="V852" s="8"/>
      <c r="W852" s="172"/>
      <c r="X852" s="172"/>
      <c r="Y852" s="8"/>
      <c r="Z852" s="8"/>
      <c r="AA852" s="8"/>
      <c r="AB852" s="172"/>
      <c r="AC852" s="172"/>
      <c r="AD852" s="8"/>
      <c r="AE852" s="8"/>
      <c r="AF852" s="8"/>
      <c r="AG852" s="172"/>
      <c r="AH852" s="172"/>
      <c r="AI852" s="367"/>
      <c r="AJ852" s="362"/>
      <c r="AK852" s="363" t="str">
        <f>IFERROR(__xludf.DUMMYFUNCTION("IFERROR(if(D854&lt;&gt;"""", 
  AVERAGE(
    QUERY(
      IMPORTRANGE(""1-uH1wy6jSm5jYL9je6fN1K5RJ5QMvHntodEHZRtIvTk"", ""All Data!N2:U""),
      ""select Col8 where Col1 = '"" &amp; D854 &amp; ""' and Col8 is not null"",
      0
    )
  )/100,
""""),
  """"
)
"),"")</f>
        <v/>
      </c>
    </row>
    <row r="853">
      <c r="D853" s="172"/>
      <c r="E853" s="368"/>
      <c r="F853" s="368"/>
      <c r="G853" s="368"/>
      <c r="H853" s="172"/>
      <c r="I853" s="172"/>
      <c r="J853" s="172"/>
      <c r="K853" s="172"/>
      <c r="L853" s="172"/>
      <c r="M853" s="172"/>
      <c r="N853" s="172"/>
      <c r="O853" s="358"/>
      <c r="P853" s="358"/>
      <c r="Q853" s="358"/>
      <c r="R853" s="378"/>
      <c r="S853" s="378"/>
      <c r="T853" s="8"/>
      <c r="U853" s="8"/>
      <c r="V853" s="8"/>
      <c r="W853" s="172"/>
      <c r="X853" s="172"/>
      <c r="Y853" s="8"/>
      <c r="Z853" s="8"/>
      <c r="AA853" s="8"/>
      <c r="AB853" s="172"/>
      <c r="AC853" s="172"/>
      <c r="AD853" s="8"/>
      <c r="AE853" s="8"/>
      <c r="AF853" s="8"/>
      <c r="AG853" s="172"/>
      <c r="AH853" s="172"/>
      <c r="AI853" s="367"/>
      <c r="AJ853" s="362"/>
      <c r="AK853" s="363" t="str">
        <f>IFERROR(__xludf.DUMMYFUNCTION("IFERROR(if(D855&lt;&gt;"""", 
  AVERAGE(
    QUERY(
      IMPORTRANGE(""1-uH1wy6jSm5jYL9je6fN1K5RJ5QMvHntodEHZRtIvTk"", ""All Data!N2:U""),
      ""select Col8 where Col1 = '"" &amp; D855 &amp; ""' and Col8 is not null"",
      0
    )
  )/100,
""""),
  """"
)
"),"")</f>
        <v/>
      </c>
    </row>
    <row r="854">
      <c r="D854" s="172"/>
      <c r="E854" s="368"/>
      <c r="F854" s="368"/>
      <c r="G854" s="368"/>
      <c r="H854" s="172"/>
      <c r="I854" s="172"/>
      <c r="J854" s="172"/>
      <c r="K854" s="172"/>
      <c r="L854" s="172"/>
      <c r="M854" s="172"/>
      <c r="N854" s="172"/>
      <c r="O854" s="358"/>
      <c r="P854" s="358"/>
      <c r="Q854" s="358"/>
      <c r="R854" s="378"/>
      <c r="S854" s="378"/>
      <c r="T854" s="8"/>
      <c r="U854" s="8"/>
      <c r="V854" s="8"/>
      <c r="W854" s="172"/>
      <c r="X854" s="172"/>
      <c r="Y854" s="8"/>
      <c r="Z854" s="8"/>
      <c r="AA854" s="8"/>
      <c r="AB854" s="172"/>
      <c r="AC854" s="172"/>
      <c r="AD854" s="8"/>
      <c r="AE854" s="8"/>
      <c r="AF854" s="8"/>
      <c r="AG854" s="172"/>
      <c r="AH854" s="172"/>
      <c r="AI854" s="367"/>
      <c r="AJ854" s="362"/>
      <c r="AK854" s="363" t="str">
        <f>IFERROR(__xludf.DUMMYFUNCTION("IFERROR(if(D856&lt;&gt;"""", 
  AVERAGE(
    QUERY(
      IMPORTRANGE(""1-uH1wy6jSm5jYL9je6fN1K5RJ5QMvHntodEHZRtIvTk"", ""All Data!N2:U""),
      ""select Col8 where Col1 = '"" &amp; D856 &amp; ""' and Col8 is not null"",
      0
    )
  )/100,
""""),
  """"
)
"),"")</f>
        <v/>
      </c>
    </row>
    <row r="855">
      <c r="D855" s="172"/>
      <c r="E855" s="368"/>
      <c r="F855" s="368"/>
      <c r="G855" s="368"/>
      <c r="H855" s="172"/>
      <c r="I855" s="172"/>
      <c r="J855" s="172"/>
      <c r="K855" s="172"/>
      <c r="L855" s="172"/>
      <c r="M855" s="172"/>
      <c r="N855" s="172"/>
      <c r="O855" s="358"/>
      <c r="P855" s="358"/>
      <c r="Q855" s="358"/>
      <c r="R855" s="378"/>
      <c r="S855" s="378"/>
      <c r="T855" s="8"/>
      <c r="U855" s="8"/>
      <c r="V855" s="8"/>
      <c r="W855" s="172"/>
      <c r="X855" s="172"/>
      <c r="Y855" s="8"/>
      <c r="Z855" s="8"/>
      <c r="AA855" s="8"/>
      <c r="AB855" s="172"/>
      <c r="AC855" s="172"/>
      <c r="AD855" s="8"/>
      <c r="AE855" s="8"/>
      <c r="AF855" s="8"/>
      <c r="AG855" s="172"/>
      <c r="AH855" s="172"/>
      <c r="AI855" s="367"/>
      <c r="AJ855" s="362"/>
      <c r="AK855" s="363" t="str">
        <f>IFERROR(__xludf.DUMMYFUNCTION("IFERROR(if(D857&lt;&gt;"""", 
  AVERAGE(
    QUERY(
      IMPORTRANGE(""1-uH1wy6jSm5jYL9je6fN1K5RJ5QMvHntodEHZRtIvTk"", ""All Data!N2:U""),
      ""select Col8 where Col1 = '"" &amp; D857 &amp; ""' and Col8 is not null"",
      0
    )
  )/100,
""""),
  """"
)
"),"")</f>
        <v/>
      </c>
    </row>
    <row r="856">
      <c r="D856" s="172"/>
      <c r="E856" s="368"/>
      <c r="F856" s="368"/>
      <c r="G856" s="368"/>
      <c r="H856" s="172"/>
      <c r="I856" s="172"/>
      <c r="J856" s="172"/>
      <c r="K856" s="172"/>
      <c r="L856" s="172"/>
      <c r="M856" s="172"/>
      <c r="N856" s="172"/>
      <c r="O856" s="358"/>
      <c r="P856" s="358"/>
      <c r="Q856" s="358"/>
      <c r="R856" s="378"/>
      <c r="S856" s="378"/>
      <c r="T856" s="8"/>
      <c r="U856" s="8"/>
      <c r="V856" s="8"/>
      <c r="W856" s="172"/>
      <c r="X856" s="172"/>
      <c r="Y856" s="8"/>
      <c r="Z856" s="8"/>
      <c r="AA856" s="8"/>
      <c r="AB856" s="172"/>
      <c r="AC856" s="172"/>
      <c r="AD856" s="8"/>
      <c r="AE856" s="8"/>
      <c r="AF856" s="8"/>
      <c r="AG856" s="172"/>
      <c r="AH856" s="172"/>
      <c r="AI856" s="367"/>
      <c r="AJ856" s="362"/>
      <c r="AK856" s="363" t="str">
        <f>IFERROR(__xludf.DUMMYFUNCTION("IFERROR(if(D858&lt;&gt;"""", 
  AVERAGE(
    QUERY(
      IMPORTRANGE(""1-uH1wy6jSm5jYL9je6fN1K5RJ5QMvHntodEHZRtIvTk"", ""All Data!N2:U""),
      ""select Col8 where Col1 = '"" &amp; D858 &amp; ""' and Col8 is not null"",
      0
    )
  )/100,
""""),
  """"
)
"),"")</f>
        <v/>
      </c>
    </row>
    <row r="857">
      <c r="D857" s="172"/>
      <c r="E857" s="368"/>
      <c r="F857" s="368"/>
      <c r="G857" s="368"/>
      <c r="H857" s="172"/>
      <c r="I857" s="172"/>
      <c r="J857" s="172"/>
      <c r="K857" s="172"/>
      <c r="L857" s="172"/>
      <c r="M857" s="172"/>
      <c r="N857" s="172"/>
      <c r="O857" s="358"/>
      <c r="P857" s="358"/>
      <c r="Q857" s="358"/>
      <c r="R857" s="378"/>
      <c r="S857" s="378"/>
      <c r="T857" s="8"/>
      <c r="U857" s="8"/>
      <c r="V857" s="8"/>
      <c r="W857" s="172"/>
      <c r="X857" s="172"/>
      <c r="Y857" s="8"/>
      <c r="Z857" s="8"/>
      <c r="AA857" s="8"/>
      <c r="AB857" s="172"/>
      <c r="AC857" s="172"/>
      <c r="AD857" s="8"/>
      <c r="AE857" s="8"/>
      <c r="AF857" s="8"/>
      <c r="AG857" s="172"/>
      <c r="AH857" s="172"/>
      <c r="AI857" s="367"/>
      <c r="AJ857" s="362"/>
      <c r="AK857" s="363" t="str">
        <f>IFERROR(__xludf.DUMMYFUNCTION("IFERROR(if(D859&lt;&gt;"""", 
  AVERAGE(
    QUERY(
      IMPORTRANGE(""1-uH1wy6jSm5jYL9je6fN1K5RJ5QMvHntodEHZRtIvTk"", ""All Data!N2:U""),
      ""select Col8 where Col1 = '"" &amp; D859 &amp; ""' and Col8 is not null"",
      0
    )
  )/100,
""""),
  """"
)
"),"")</f>
        <v/>
      </c>
    </row>
    <row r="858">
      <c r="D858" s="172"/>
      <c r="E858" s="368"/>
      <c r="F858" s="368"/>
      <c r="G858" s="368"/>
      <c r="H858" s="172"/>
      <c r="I858" s="172"/>
      <c r="J858" s="172"/>
      <c r="K858" s="172"/>
      <c r="L858" s="172"/>
      <c r="M858" s="172"/>
      <c r="N858" s="172"/>
      <c r="O858" s="358"/>
      <c r="P858" s="358"/>
      <c r="Q858" s="358"/>
      <c r="R858" s="378"/>
      <c r="S858" s="378"/>
      <c r="T858" s="8"/>
      <c r="U858" s="8"/>
      <c r="V858" s="8"/>
      <c r="W858" s="172"/>
      <c r="X858" s="172"/>
      <c r="Y858" s="8"/>
      <c r="Z858" s="8"/>
      <c r="AA858" s="8"/>
      <c r="AB858" s="172"/>
      <c r="AC858" s="172"/>
      <c r="AD858" s="8"/>
      <c r="AE858" s="8"/>
      <c r="AF858" s="8"/>
      <c r="AG858" s="172"/>
      <c r="AH858" s="172"/>
      <c r="AI858" s="367"/>
      <c r="AJ858" s="362"/>
      <c r="AK858" s="363" t="str">
        <f>IFERROR(__xludf.DUMMYFUNCTION("IFERROR(if(D860&lt;&gt;"""", 
  AVERAGE(
    QUERY(
      IMPORTRANGE(""1-uH1wy6jSm5jYL9je6fN1K5RJ5QMvHntodEHZRtIvTk"", ""All Data!N2:U""),
      ""select Col8 where Col1 = '"" &amp; D860 &amp; ""' and Col8 is not null"",
      0
    )
  )/100,
""""),
  """"
)
"),"")</f>
        <v/>
      </c>
    </row>
    <row r="859">
      <c r="D859" s="172"/>
      <c r="E859" s="368"/>
      <c r="F859" s="368"/>
      <c r="G859" s="368"/>
      <c r="H859" s="172"/>
      <c r="I859" s="172"/>
      <c r="J859" s="172"/>
      <c r="K859" s="172"/>
      <c r="L859" s="172"/>
      <c r="M859" s="172"/>
      <c r="N859" s="172"/>
      <c r="O859" s="358"/>
      <c r="P859" s="358"/>
      <c r="Q859" s="358"/>
      <c r="R859" s="378"/>
      <c r="S859" s="378"/>
      <c r="T859" s="8"/>
      <c r="U859" s="8"/>
      <c r="V859" s="8"/>
      <c r="W859" s="172"/>
      <c r="X859" s="172"/>
      <c r="Y859" s="8"/>
      <c r="Z859" s="8"/>
      <c r="AA859" s="8"/>
      <c r="AB859" s="172"/>
      <c r="AC859" s="172"/>
      <c r="AD859" s="8"/>
      <c r="AE859" s="8"/>
      <c r="AF859" s="8"/>
      <c r="AG859" s="172"/>
      <c r="AH859" s="172"/>
      <c r="AI859" s="367"/>
      <c r="AJ859" s="362"/>
      <c r="AK859" s="363" t="str">
        <f>IFERROR(__xludf.DUMMYFUNCTION("IFERROR(if(D861&lt;&gt;"""", 
  AVERAGE(
    QUERY(
      IMPORTRANGE(""1-uH1wy6jSm5jYL9je6fN1K5RJ5QMvHntodEHZRtIvTk"", ""All Data!N2:U""),
      ""select Col8 where Col1 = '"" &amp; D861 &amp; ""' and Col8 is not null"",
      0
    )
  )/100,
""""),
  """"
)
"),"")</f>
        <v/>
      </c>
    </row>
    <row r="860">
      <c r="D860" s="172"/>
      <c r="E860" s="368"/>
      <c r="F860" s="368"/>
      <c r="G860" s="368"/>
      <c r="H860" s="172"/>
      <c r="I860" s="172"/>
      <c r="J860" s="172"/>
      <c r="K860" s="172"/>
      <c r="L860" s="172"/>
      <c r="M860" s="172"/>
      <c r="N860" s="172"/>
      <c r="O860" s="358"/>
      <c r="P860" s="358"/>
      <c r="Q860" s="358"/>
      <c r="R860" s="378"/>
      <c r="S860" s="378"/>
      <c r="T860" s="8"/>
      <c r="U860" s="8"/>
      <c r="V860" s="8"/>
      <c r="W860" s="172"/>
      <c r="X860" s="172"/>
      <c r="Y860" s="8"/>
      <c r="Z860" s="8"/>
      <c r="AA860" s="8"/>
      <c r="AB860" s="172"/>
      <c r="AC860" s="172"/>
      <c r="AD860" s="8"/>
      <c r="AE860" s="8"/>
      <c r="AF860" s="8"/>
      <c r="AG860" s="172"/>
      <c r="AH860" s="172"/>
      <c r="AI860" s="367"/>
      <c r="AJ860" s="362"/>
      <c r="AK860" s="363" t="str">
        <f>IFERROR(__xludf.DUMMYFUNCTION("IFERROR(if(D862&lt;&gt;"""", 
  AVERAGE(
    QUERY(
      IMPORTRANGE(""1-uH1wy6jSm5jYL9je6fN1K5RJ5QMvHntodEHZRtIvTk"", ""All Data!N2:U""),
      ""select Col8 where Col1 = '"" &amp; D862 &amp; ""' and Col8 is not null"",
      0
    )
  )/100,
""""),
  """"
)
"),"")</f>
        <v/>
      </c>
    </row>
    <row r="861">
      <c r="D861" s="172"/>
      <c r="E861" s="368"/>
      <c r="F861" s="368"/>
      <c r="G861" s="368"/>
      <c r="H861" s="172"/>
      <c r="I861" s="172"/>
      <c r="J861" s="172"/>
      <c r="K861" s="172"/>
      <c r="L861" s="172"/>
      <c r="M861" s="172"/>
      <c r="N861" s="172"/>
      <c r="O861" s="358"/>
      <c r="P861" s="358"/>
      <c r="Q861" s="358"/>
      <c r="R861" s="378"/>
      <c r="S861" s="378"/>
      <c r="T861" s="8"/>
      <c r="U861" s="8"/>
      <c r="V861" s="8"/>
      <c r="W861" s="172"/>
      <c r="X861" s="172"/>
      <c r="Y861" s="8"/>
      <c r="Z861" s="8"/>
      <c r="AA861" s="8"/>
      <c r="AB861" s="172"/>
      <c r="AC861" s="172"/>
      <c r="AD861" s="8"/>
      <c r="AE861" s="8"/>
      <c r="AF861" s="8"/>
      <c r="AG861" s="172"/>
      <c r="AH861" s="172"/>
      <c r="AI861" s="367"/>
      <c r="AJ861" s="362"/>
      <c r="AK861" s="363" t="str">
        <f>IFERROR(__xludf.DUMMYFUNCTION("IFERROR(if(D863&lt;&gt;"""", 
  AVERAGE(
    QUERY(
      IMPORTRANGE(""1-uH1wy6jSm5jYL9je6fN1K5RJ5QMvHntodEHZRtIvTk"", ""All Data!N2:U""),
      ""select Col8 where Col1 = '"" &amp; D863 &amp; ""' and Col8 is not null"",
      0
    )
  )/100,
""""),
  """"
)
"),"")</f>
        <v/>
      </c>
    </row>
    <row r="862">
      <c r="D862" s="172"/>
      <c r="E862" s="368"/>
      <c r="F862" s="368"/>
      <c r="G862" s="368"/>
      <c r="H862" s="172"/>
      <c r="I862" s="172"/>
      <c r="J862" s="172"/>
      <c r="K862" s="172"/>
      <c r="L862" s="172"/>
      <c r="M862" s="172"/>
      <c r="N862" s="172"/>
      <c r="O862" s="358"/>
      <c r="P862" s="358"/>
      <c r="Q862" s="358"/>
      <c r="R862" s="378"/>
      <c r="S862" s="378"/>
      <c r="T862" s="8"/>
      <c r="U862" s="8"/>
      <c r="V862" s="8"/>
      <c r="W862" s="172"/>
      <c r="X862" s="172"/>
      <c r="Y862" s="8"/>
      <c r="Z862" s="8"/>
      <c r="AA862" s="8"/>
      <c r="AB862" s="172"/>
      <c r="AC862" s="172"/>
      <c r="AD862" s="8"/>
      <c r="AE862" s="8"/>
      <c r="AF862" s="8"/>
      <c r="AG862" s="172"/>
      <c r="AH862" s="172"/>
      <c r="AI862" s="367"/>
      <c r="AJ862" s="362"/>
      <c r="AK862" s="363" t="str">
        <f>IFERROR(__xludf.DUMMYFUNCTION("IFERROR(if(D864&lt;&gt;"""", 
  AVERAGE(
    QUERY(
      IMPORTRANGE(""1-uH1wy6jSm5jYL9je6fN1K5RJ5QMvHntodEHZRtIvTk"", ""All Data!N2:U""),
      ""select Col8 where Col1 = '"" &amp; D864 &amp; ""' and Col8 is not null"",
      0
    )
  )/100,
""""),
  """"
)
"),"")</f>
        <v/>
      </c>
    </row>
    <row r="863">
      <c r="D863" s="172"/>
      <c r="E863" s="368"/>
      <c r="F863" s="368"/>
      <c r="G863" s="368"/>
      <c r="H863" s="172"/>
      <c r="I863" s="172"/>
      <c r="J863" s="172"/>
      <c r="K863" s="172"/>
      <c r="L863" s="172"/>
      <c r="M863" s="172"/>
      <c r="N863" s="172"/>
      <c r="O863" s="358"/>
      <c r="P863" s="358"/>
      <c r="Q863" s="358"/>
      <c r="R863" s="378"/>
      <c r="S863" s="378"/>
      <c r="T863" s="8"/>
      <c r="U863" s="8"/>
      <c r="V863" s="8"/>
      <c r="W863" s="172"/>
      <c r="X863" s="172"/>
      <c r="Y863" s="8"/>
      <c r="Z863" s="8"/>
      <c r="AA863" s="8"/>
      <c r="AB863" s="172"/>
      <c r="AC863" s="172"/>
      <c r="AD863" s="8"/>
      <c r="AE863" s="8"/>
      <c r="AF863" s="8"/>
      <c r="AG863" s="172"/>
      <c r="AH863" s="172"/>
      <c r="AI863" s="367"/>
      <c r="AJ863" s="362"/>
      <c r="AK863" s="363" t="str">
        <f>IFERROR(__xludf.DUMMYFUNCTION("IFERROR(if(D865&lt;&gt;"""", 
  AVERAGE(
    QUERY(
      IMPORTRANGE(""1-uH1wy6jSm5jYL9je6fN1K5RJ5QMvHntodEHZRtIvTk"", ""All Data!N2:U""),
      ""select Col8 where Col1 = '"" &amp; D865 &amp; ""' and Col8 is not null"",
      0
    )
  )/100,
""""),
  """"
)
"),"")</f>
        <v/>
      </c>
    </row>
    <row r="864">
      <c r="D864" s="172"/>
      <c r="E864" s="368"/>
      <c r="F864" s="368"/>
      <c r="G864" s="368"/>
      <c r="H864" s="172"/>
      <c r="I864" s="172"/>
      <c r="J864" s="172"/>
      <c r="K864" s="172"/>
      <c r="L864" s="172"/>
      <c r="M864" s="172"/>
      <c r="N864" s="172"/>
      <c r="O864" s="358"/>
      <c r="P864" s="358"/>
      <c r="Q864" s="358"/>
      <c r="R864" s="378"/>
      <c r="S864" s="378"/>
      <c r="T864" s="8"/>
      <c r="U864" s="8"/>
      <c r="V864" s="8"/>
      <c r="W864" s="172"/>
      <c r="X864" s="172"/>
      <c r="Y864" s="8"/>
      <c r="Z864" s="8"/>
      <c r="AA864" s="8"/>
      <c r="AB864" s="172"/>
      <c r="AC864" s="172"/>
      <c r="AD864" s="8"/>
      <c r="AE864" s="8"/>
      <c r="AF864" s="8"/>
      <c r="AG864" s="172"/>
      <c r="AH864" s="172"/>
      <c r="AI864" s="367"/>
      <c r="AJ864" s="362"/>
      <c r="AK864" s="363" t="str">
        <f>IFERROR(__xludf.DUMMYFUNCTION("IFERROR(if(D866&lt;&gt;"""", 
  AVERAGE(
    QUERY(
      IMPORTRANGE(""1-uH1wy6jSm5jYL9je6fN1K5RJ5QMvHntodEHZRtIvTk"", ""All Data!N2:U""),
      ""select Col8 where Col1 = '"" &amp; D866 &amp; ""' and Col8 is not null"",
      0
    )
  )/100,
""""),
  """"
)
"),"")</f>
        <v/>
      </c>
    </row>
    <row r="865">
      <c r="D865" s="172"/>
      <c r="E865" s="368"/>
      <c r="F865" s="368"/>
      <c r="G865" s="368"/>
      <c r="H865" s="172"/>
      <c r="I865" s="172"/>
      <c r="J865" s="172"/>
      <c r="K865" s="172"/>
      <c r="L865" s="172"/>
      <c r="M865" s="172"/>
      <c r="N865" s="172"/>
      <c r="O865" s="358"/>
      <c r="P865" s="358"/>
      <c r="Q865" s="358"/>
      <c r="R865" s="378"/>
      <c r="S865" s="378"/>
      <c r="T865" s="8"/>
      <c r="U865" s="8"/>
      <c r="V865" s="8"/>
      <c r="W865" s="172"/>
      <c r="X865" s="172"/>
      <c r="Y865" s="8"/>
      <c r="Z865" s="8"/>
      <c r="AA865" s="8"/>
      <c r="AB865" s="172"/>
      <c r="AC865" s="172"/>
      <c r="AD865" s="8"/>
      <c r="AE865" s="8"/>
      <c r="AF865" s="8"/>
      <c r="AG865" s="172"/>
      <c r="AH865" s="172"/>
      <c r="AI865" s="367"/>
      <c r="AJ865" s="362"/>
      <c r="AK865" s="363" t="str">
        <f>IFERROR(__xludf.DUMMYFUNCTION("IFERROR(if(D867&lt;&gt;"""", 
  AVERAGE(
    QUERY(
      IMPORTRANGE(""1-uH1wy6jSm5jYL9je6fN1K5RJ5QMvHntodEHZRtIvTk"", ""All Data!N2:U""),
      ""select Col8 where Col1 = '"" &amp; D867 &amp; ""' and Col8 is not null"",
      0
    )
  )/100,
""""),
  """"
)
"),"")</f>
        <v/>
      </c>
    </row>
    <row r="866">
      <c r="D866" s="172"/>
      <c r="E866" s="368"/>
      <c r="F866" s="368"/>
      <c r="G866" s="368"/>
      <c r="H866" s="172"/>
      <c r="I866" s="172"/>
      <c r="J866" s="172"/>
      <c r="K866" s="172"/>
      <c r="L866" s="172"/>
      <c r="M866" s="172"/>
      <c r="N866" s="172"/>
      <c r="O866" s="358"/>
      <c r="P866" s="358"/>
      <c r="Q866" s="358"/>
      <c r="R866" s="378"/>
      <c r="S866" s="378"/>
      <c r="T866" s="8"/>
      <c r="U866" s="8"/>
      <c r="V866" s="8"/>
      <c r="W866" s="172"/>
      <c r="X866" s="172"/>
      <c r="Y866" s="8"/>
      <c r="Z866" s="8"/>
      <c r="AA866" s="8"/>
      <c r="AB866" s="172"/>
      <c r="AC866" s="172"/>
      <c r="AD866" s="8"/>
      <c r="AE866" s="8"/>
      <c r="AF866" s="8"/>
      <c r="AG866" s="172"/>
      <c r="AH866" s="172"/>
      <c r="AI866" s="367"/>
      <c r="AJ866" s="362"/>
      <c r="AK866" s="363" t="str">
        <f>IFERROR(__xludf.DUMMYFUNCTION("IFERROR(if(D868&lt;&gt;"""", 
  AVERAGE(
    QUERY(
      IMPORTRANGE(""1-uH1wy6jSm5jYL9je6fN1K5RJ5QMvHntodEHZRtIvTk"", ""All Data!N2:U""),
      ""select Col8 where Col1 = '"" &amp; D868 &amp; ""' and Col8 is not null"",
      0
    )
  )/100,
""""),
  """"
)
"),"")</f>
        <v/>
      </c>
    </row>
    <row r="867">
      <c r="D867" s="172"/>
      <c r="E867" s="368"/>
      <c r="F867" s="368"/>
      <c r="G867" s="368"/>
      <c r="H867" s="172"/>
      <c r="I867" s="172"/>
      <c r="J867" s="172"/>
      <c r="K867" s="172"/>
      <c r="L867" s="172"/>
      <c r="M867" s="172"/>
      <c r="N867" s="172"/>
      <c r="O867" s="358"/>
      <c r="P867" s="358"/>
      <c r="Q867" s="358"/>
      <c r="R867" s="378"/>
      <c r="S867" s="378"/>
      <c r="T867" s="8"/>
      <c r="U867" s="8"/>
      <c r="V867" s="8"/>
      <c r="W867" s="172"/>
      <c r="X867" s="172"/>
      <c r="Y867" s="8"/>
      <c r="Z867" s="8"/>
      <c r="AA867" s="8"/>
      <c r="AB867" s="172"/>
      <c r="AC867" s="172"/>
      <c r="AD867" s="8"/>
      <c r="AE867" s="8"/>
      <c r="AF867" s="8"/>
      <c r="AG867" s="172"/>
      <c r="AH867" s="172"/>
      <c r="AI867" s="367"/>
      <c r="AJ867" s="362"/>
      <c r="AK867" s="363" t="str">
        <f>IFERROR(__xludf.DUMMYFUNCTION("IFERROR(if(D869&lt;&gt;"""", 
  AVERAGE(
    QUERY(
      IMPORTRANGE(""1-uH1wy6jSm5jYL9je6fN1K5RJ5QMvHntodEHZRtIvTk"", ""All Data!N2:U""),
      ""select Col8 where Col1 = '"" &amp; D869 &amp; ""' and Col8 is not null"",
      0
    )
  )/100,
""""),
  """"
)
"),"")</f>
        <v/>
      </c>
    </row>
    <row r="868">
      <c r="D868" s="172"/>
      <c r="E868" s="368"/>
      <c r="F868" s="368"/>
      <c r="G868" s="368"/>
      <c r="H868" s="172"/>
      <c r="I868" s="172"/>
      <c r="J868" s="172"/>
      <c r="K868" s="172"/>
      <c r="L868" s="172"/>
      <c r="M868" s="172"/>
      <c r="N868" s="172"/>
      <c r="O868" s="358"/>
      <c r="P868" s="358"/>
      <c r="Q868" s="358"/>
      <c r="R868" s="378"/>
      <c r="S868" s="378"/>
      <c r="T868" s="8"/>
      <c r="U868" s="8"/>
      <c r="V868" s="8"/>
      <c r="W868" s="172"/>
      <c r="X868" s="172"/>
      <c r="Y868" s="8"/>
      <c r="Z868" s="8"/>
      <c r="AA868" s="8"/>
      <c r="AB868" s="172"/>
      <c r="AC868" s="172"/>
      <c r="AD868" s="8"/>
      <c r="AE868" s="8"/>
      <c r="AF868" s="8"/>
      <c r="AG868" s="172"/>
      <c r="AH868" s="172"/>
      <c r="AI868" s="367"/>
      <c r="AJ868" s="362"/>
      <c r="AK868" s="363" t="str">
        <f>IFERROR(__xludf.DUMMYFUNCTION("IFERROR(if(D870&lt;&gt;"""", 
  AVERAGE(
    QUERY(
      IMPORTRANGE(""1-uH1wy6jSm5jYL9je6fN1K5RJ5QMvHntodEHZRtIvTk"", ""All Data!N2:U""),
      ""select Col8 where Col1 = '"" &amp; D870 &amp; ""' and Col8 is not null"",
      0
    )
  )/100,
""""),
  """"
)
"),"")</f>
        <v/>
      </c>
    </row>
    <row r="869">
      <c r="D869" s="172"/>
      <c r="E869" s="368"/>
      <c r="F869" s="368"/>
      <c r="G869" s="368"/>
      <c r="H869" s="172"/>
      <c r="I869" s="172"/>
      <c r="J869" s="172"/>
      <c r="K869" s="172"/>
      <c r="L869" s="172"/>
      <c r="M869" s="172"/>
      <c r="N869" s="172"/>
      <c r="O869" s="358"/>
      <c r="P869" s="358"/>
      <c r="Q869" s="358"/>
      <c r="R869" s="378"/>
      <c r="S869" s="378"/>
      <c r="T869" s="8"/>
      <c r="U869" s="8"/>
      <c r="V869" s="8"/>
      <c r="W869" s="172"/>
      <c r="X869" s="172"/>
      <c r="Y869" s="8"/>
      <c r="Z869" s="8"/>
      <c r="AA869" s="8"/>
      <c r="AB869" s="172"/>
      <c r="AC869" s="172"/>
      <c r="AD869" s="8"/>
      <c r="AE869" s="8"/>
      <c r="AF869" s="8"/>
      <c r="AG869" s="172"/>
      <c r="AH869" s="172"/>
      <c r="AI869" s="367"/>
      <c r="AJ869" s="362"/>
      <c r="AK869" s="363" t="str">
        <f>IFERROR(__xludf.DUMMYFUNCTION("IFERROR(if(D871&lt;&gt;"""", 
  AVERAGE(
    QUERY(
      IMPORTRANGE(""1-uH1wy6jSm5jYL9je6fN1K5RJ5QMvHntodEHZRtIvTk"", ""All Data!N2:U""),
      ""select Col8 where Col1 = '"" &amp; D871 &amp; ""' and Col8 is not null"",
      0
    )
  )/100,
""""),
  """"
)
"),"")</f>
        <v/>
      </c>
    </row>
    <row r="870">
      <c r="D870" s="172"/>
      <c r="E870" s="368"/>
      <c r="F870" s="368"/>
      <c r="G870" s="368"/>
      <c r="H870" s="172"/>
      <c r="I870" s="172"/>
      <c r="J870" s="172"/>
      <c r="K870" s="172"/>
      <c r="L870" s="172"/>
      <c r="M870" s="172"/>
      <c r="N870" s="172"/>
      <c r="O870" s="358"/>
      <c r="P870" s="358"/>
      <c r="Q870" s="358"/>
      <c r="R870" s="378"/>
      <c r="S870" s="378"/>
      <c r="T870" s="8"/>
      <c r="U870" s="8"/>
      <c r="V870" s="8"/>
      <c r="W870" s="172"/>
      <c r="X870" s="172"/>
      <c r="Y870" s="8"/>
      <c r="Z870" s="8"/>
      <c r="AA870" s="8"/>
      <c r="AB870" s="172"/>
      <c r="AC870" s="172"/>
      <c r="AD870" s="8"/>
      <c r="AE870" s="8"/>
      <c r="AF870" s="8"/>
      <c r="AG870" s="172"/>
      <c r="AH870" s="172"/>
      <c r="AI870" s="367"/>
      <c r="AJ870" s="362"/>
      <c r="AK870" s="363" t="str">
        <f>IFERROR(__xludf.DUMMYFUNCTION("IFERROR(if(D872&lt;&gt;"""", 
  AVERAGE(
    QUERY(
      IMPORTRANGE(""1-uH1wy6jSm5jYL9je6fN1K5RJ5QMvHntodEHZRtIvTk"", ""All Data!N2:U""),
      ""select Col8 where Col1 = '"" &amp; D872 &amp; ""' and Col8 is not null"",
      0
    )
  )/100,
""""),
  """"
)
"),"")</f>
        <v/>
      </c>
    </row>
    <row r="871">
      <c r="D871" s="172"/>
      <c r="E871" s="368"/>
      <c r="F871" s="368"/>
      <c r="G871" s="368"/>
      <c r="H871" s="172"/>
      <c r="I871" s="172"/>
      <c r="J871" s="172"/>
      <c r="K871" s="172"/>
      <c r="L871" s="172"/>
      <c r="M871" s="172"/>
      <c r="N871" s="172"/>
      <c r="O871" s="358"/>
      <c r="P871" s="358"/>
      <c r="Q871" s="358"/>
      <c r="R871" s="378"/>
      <c r="S871" s="378"/>
      <c r="T871" s="8"/>
      <c r="U871" s="8"/>
      <c r="V871" s="8"/>
      <c r="W871" s="172"/>
      <c r="X871" s="172"/>
      <c r="Y871" s="8"/>
      <c r="Z871" s="8"/>
      <c r="AA871" s="8"/>
      <c r="AB871" s="172"/>
      <c r="AC871" s="172"/>
      <c r="AD871" s="8"/>
      <c r="AE871" s="8"/>
      <c r="AF871" s="8"/>
      <c r="AG871" s="172"/>
      <c r="AH871" s="172"/>
      <c r="AI871" s="367"/>
      <c r="AJ871" s="362"/>
      <c r="AK871" s="363" t="str">
        <f>IFERROR(__xludf.DUMMYFUNCTION("IFERROR(if(D873&lt;&gt;"""", 
  AVERAGE(
    QUERY(
      IMPORTRANGE(""1-uH1wy6jSm5jYL9je6fN1K5RJ5QMvHntodEHZRtIvTk"", ""All Data!N2:U""),
      ""select Col8 where Col1 = '"" &amp; D873 &amp; ""' and Col8 is not null"",
      0
    )
  )/100,
""""),
  """"
)
"),"")</f>
        <v/>
      </c>
    </row>
    <row r="872">
      <c r="D872" s="172"/>
      <c r="E872" s="368"/>
      <c r="F872" s="368"/>
      <c r="G872" s="368"/>
      <c r="H872" s="172"/>
      <c r="I872" s="172"/>
      <c r="J872" s="172"/>
      <c r="K872" s="172"/>
      <c r="L872" s="172"/>
      <c r="M872" s="172"/>
      <c r="N872" s="172"/>
      <c r="O872" s="358"/>
      <c r="P872" s="358"/>
      <c r="Q872" s="358"/>
      <c r="R872" s="378"/>
      <c r="S872" s="378"/>
      <c r="T872" s="8"/>
      <c r="U872" s="8"/>
      <c r="V872" s="8"/>
      <c r="W872" s="172"/>
      <c r="X872" s="172"/>
      <c r="Y872" s="8"/>
      <c r="Z872" s="8"/>
      <c r="AA872" s="8"/>
      <c r="AB872" s="172"/>
      <c r="AC872" s="172"/>
      <c r="AD872" s="8"/>
      <c r="AE872" s="8"/>
      <c r="AF872" s="8"/>
      <c r="AG872" s="172"/>
      <c r="AH872" s="172"/>
      <c r="AI872" s="367"/>
      <c r="AJ872" s="362"/>
      <c r="AK872" s="363" t="str">
        <f>IFERROR(__xludf.DUMMYFUNCTION("IFERROR(if(D874&lt;&gt;"""", 
  AVERAGE(
    QUERY(
      IMPORTRANGE(""1-uH1wy6jSm5jYL9je6fN1K5RJ5QMvHntodEHZRtIvTk"", ""All Data!N2:U""),
      ""select Col8 where Col1 = '"" &amp; D874 &amp; ""' and Col8 is not null"",
      0
    )
  )/100,
""""),
  """"
)
"),"")</f>
        <v/>
      </c>
    </row>
    <row r="873">
      <c r="D873" s="172"/>
      <c r="E873" s="368"/>
      <c r="F873" s="368"/>
      <c r="G873" s="368"/>
      <c r="H873" s="172"/>
      <c r="I873" s="172"/>
      <c r="J873" s="172"/>
      <c r="K873" s="172"/>
      <c r="L873" s="172"/>
      <c r="M873" s="172"/>
      <c r="N873" s="172"/>
      <c r="O873" s="358"/>
      <c r="P873" s="358"/>
      <c r="Q873" s="358"/>
      <c r="R873" s="378"/>
      <c r="S873" s="378"/>
      <c r="T873" s="8"/>
      <c r="U873" s="8"/>
      <c r="V873" s="8"/>
      <c r="W873" s="172"/>
      <c r="X873" s="172"/>
      <c r="Y873" s="8"/>
      <c r="Z873" s="8"/>
      <c r="AA873" s="8"/>
      <c r="AB873" s="172"/>
      <c r="AC873" s="172"/>
      <c r="AD873" s="8"/>
      <c r="AE873" s="8"/>
      <c r="AF873" s="8"/>
      <c r="AG873" s="172"/>
      <c r="AH873" s="172"/>
      <c r="AI873" s="367"/>
      <c r="AJ873" s="362"/>
      <c r="AK873" s="363" t="str">
        <f>IFERROR(__xludf.DUMMYFUNCTION("IFERROR(if(D875&lt;&gt;"""", 
  AVERAGE(
    QUERY(
      IMPORTRANGE(""1-uH1wy6jSm5jYL9je6fN1K5RJ5QMvHntodEHZRtIvTk"", ""All Data!N2:U""),
      ""select Col8 where Col1 = '"" &amp; D875 &amp; ""' and Col8 is not null"",
      0
    )
  )/100,
""""),
  """"
)
"),"")</f>
        <v/>
      </c>
    </row>
    <row r="874">
      <c r="D874" s="172"/>
      <c r="E874" s="368"/>
      <c r="F874" s="368"/>
      <c r="G874" s="368"/>
      <c r="H874" s="172"/>
      <c r="I874" s="172"/>
      <c r="J874" s="172"/>
      <c r="K874" s="172"/>
      <c r="L874" s="172"/>
      <c r="M874" s="172"/>
      <c r="N874" s="172"/>
      <c r="O874" s="358"/>
      <c r="P874" s="358"/>
      <c r="Q874" s="358"/>
      <c r="R874" s="378"/>
      <c r="S874" s="378"/>
      <c r="T874" s="8"/>
      <c r="U874" s="8"/>
      <c r="V874" s="8"/>
      <c r="W874" s="172"/>
      <c r="X874" s="172"/>
      <c r="Y874" s="8"/>
      <c r="Z874" s="8"/>
      <c r="AA874" s="8"/>
      <c r="AB874" s="172"/>
      <c r="AC874" s="172"/>
      <c r="AD874" s="8"/>
      <c r="AE874" s="8"/>
      <c r="AF874" s="8"/>
      <c r="AG874" s="172"/>
      <c r="AH874" s="172"/>
      <c r="AI874" s="367"/>
      <c r="AJ874" s="362"/>
      <c r="AK874" s="363" t="str">
        <f>IFERROR(__xludf.DUMMYFUNCTION("IFERROR(if(D876&lt;&gt;"""", 
  AVERAGE(
    QUERY(
      IMPORTRANGE(""1-uH1wy6jSm5jYL9je6fN1K5RJ5QMvHntodEHZRtIvTk"", ""All Data!N2:U""),
      ""select Col8 where Col1 = '"" &amp; D876 &amp; ""' and Col8 is not null"",
      0
    )
  )/100,
""""),
  """"
)
"),"")</f>
        <v/>
      </c>
    </row>
    <row r="875">
      <c r="D875" s="172"/>
      <c r="E875" s="368"/>
      <c r="F875" s="368"/>
      <c r="G875" s="368"/>
      <c r="H875" s="172"/>
      <c r="I875" s="172"/>
      <c r="J875" s="172"/>
      <c r="K875" s="172"/>
      <c r="L875" s="172"/>
      <c r="M875" s="172"/>
      <c r="N875" s="172"/>
      <c r="O875" s="358"/>
      <c r="P875" s="358"/>
      <c r="Q875" s="358"/>
      <c r="R875" s="378"/>
      <c r="S875" s="378"/>
      <c r="T875" s="8"/>
      <c r="U875" s="8"/>
      <c r="V875" s="8"/>
      <c r="W875" s="172"/>
      <c r="X875" s="172"/>
      <c r="Y875" s="8"/>
      <c r="Z875" s="8"/>
      <c r="AA875" s="8"/>
      <c r="AB875" s="172"/>
      <c r="AC875" s="172"/>
      <c r="AD875" s="8"/>
      <c r="AE875" s="8"/>
      <c r="AF875" s="8"/>
      <c r="AG875" s="172"/>
      <c r="AH875" s="172"/>
      <c r="AI875" s="367"/>
      <c r="AJ875" s="362"/>
      <c r="AK875" s="363" t="str">
        <f>IFERROR(__xludf.DUMMYFUNCTION("IFERROR(if(D877&lt;&gt;"""", 
  AVERAGE(
    QUERY(
      IMPORTRANGE(""1-uH1wy6jSm5jYL9je6fN1K5RJ5QMvHntodEHZRtIvTk"", ""All Data!N2:U""),
      ""select Col8 where Col1 = '"" &amp; D877 &amp; ""' and Col8 is not null"",
      0
    )
  )/100,
""""),
  """"
)
"),"")</f>
        <v/>
      </c>
    </row>
    <row r="876">
      <c r="D876" s="172"/>
      <c r="E876" s="368"/>
      <c r="F876" s="368"/>
      <c r="G876" s="368"/>
      <c r="H876" s="172"/>
      <c r="I876" s="172"/>
      <c r="J876" s="172"/>
      <c r="K876" s="172"/>
      <c r="L876" s="172"/>
      <c r="M876" s="172"/>
      <c r="N876" s="172"/>
      <c r="O876" s="358"/>
      <c r="P876" s="358"/>
      <c r="Q876" s="358"/>
      <c r="R876" s="378"/>
      <c r="S876" s="378"/>
      <c r="T876" s="8"/>
      <c r="U876" s="8"/>
      <c r="V876" s="8"/>
      <c r="W876" s="172"/>
      <c r="X876" s="172"/>
      <c r="Y876" s="8"/>
      <c r="Z876" s="8"/>
      <c r="AA876" s="8"/>
      <c r="AB876" s="172"/>
      <c r="AC876" s="172"/>
      <c r="AD876" s="8"/>
      <c r="AE876" s="8"/>
      <c r="AF876" s="8"/>
      <c r="AG876" s="172"/>
      <c r="AH876" s="172"/>
      <c r="AI876" s="367"/>
      <c r="AJ876" s="362"/>
      <c r="AK876" s="363" t="str">
        <f>IFERROR(__xludf.DUMMYFUNCTION("IFERROR(if(D878&lt;&gt;"""", 
  AVERAGE(
    QUERY(
      IMPORTRANGE(""1-uH1wy6jSm5jYL9je6fN1K5RJ5QMvHntodEHZRtIvTk"", ""All Data!N2:U""),
      ""select Col8 where Col1 = '"" &amp; D878 &amp; ""' and Col8 is not null"",
      0
    )
  )/100,
""""),
  """"
)
"),"")</f>
        <v/>
      </c>
    </row>
    <row r="877">
      <c r="D877" s="172"/>
      <c r="E877" s="368"/>
      <c r="F877" s="368"/>
      <c r="G877" s="368"/>
      <c r="H877" s="172"/>
      <c r="I877" s="172"/>
      <c r="J877" s="172"/>
      <c r="K877" s="172"/>
      <c r="L877" s="172"/>
      <c r="M877" s="172"/>
      <c r="N877" s="172"/>
      <c r="O877" s="358"/>
      <c r="P877" s="358"/>
      <c r="Q877" s="358"/>
      <c r="R877" s="378"/>
      <c r="S877" s="378"/>
      <c r="T877" s="8"/>
      <c r="U877" s="8"/>
      <c r="V877" s="8"/>
      <c r="W877" s="172"/>
      <c r="X877" s="172"/>
      <c r="Y877" s="8"/>
      <c r="Z877" s="8"/>
      <c r="AA877" s="8"/>
      <c r="AB877" s="172"/>
      <c r="AC877" s="172"/>
      <c r="AD877" s="8"/>
      <c r="AE877" s="8"/>
      <c r="AF877" s="8"/>
      <c r="AG877" s="172"/>
      <c r="AH877" s="172"/>
      <c r="AI877" s="367"/>
      <c r="AJ877" s="362"/>
      <c r="AK877" s="363" t="str">
        <f>IFERROR(__xludf.DUMMYFUNCTION("IFERROR(if(D879&lt;&gt;"""", 
  AVERAGE(
    QUERY(
      IMPORTRANGE(""1-uH1wy6jSm5jYL9je6fN1K5RJ5QMvHntodEHZRtIvTk"", ""All Data!N2:U""),
      ""select Col8 where Col1 = '"" &amp; D879 &amp; ""' and Col8 is not null"",
      0
    )
  )/100,
""""),
  """"
)
"),"")</f>
        <v/>
      </c>
    </row>
    <row r="878">
      <c r="D878" s="172"/>
      <c r="E878" s="368"/>
      <c r="F878" s="368"/>
      <c r="G878" s="368"/>
      <c r="H878" s="172"/>
      <c r="I878" s="172"/>
      <c r="J878" s="172"/>
      <c r="K878" s="172"/>
      <c r="L878" s="172"/>
      <c r="M878" s="172"/>
      <c r="N878" s="172"/>
      <c r="O878" s="358"/>
      <c r="P878" s="358"/>
      <c r="Q878" s="358"/>
      <c r="R878" s="378"/>
      <c r="S878" s="378"/>
      <c r="T878" s="8"/>
      <c r="U878" s="8"/>
      <c r="V878" s="8"/>
      <c r="W878" s="172"/>
      <c r="X878" s="172"/>
      <c r="Y878" s="8"/>
      <c r="Z878" s="8"/>
      <c r="AA878" s="8"/>
      <c r="AB878" s="172"/>
      <c r="AC878" s="172"/>
      <c r="AD878" s="8"/>
      <c r="AE878" s="8"/>
      <c r="AF878" s="8"/>
      <c r="AG878" s="172"/>
      <c r="AH878" s="172"/>
      <c r="AI878" s="367"/>
      <c r="AJ878" s="362"/>
      <c r="AK878" s="363" t="str">
        <f>IFERROR(__xludf.DUMMYFUNCTION("IFERROR(if(D880&lt;&gt;"""", 
  AVERAGE(
    QUERY(
      IMPORTRANGE(""1-uH1wy6jSm5jYL9je6fN1K5RJ5QMvHntodEHZRtIvTk"", ""All Data!N2:U""),
      ""select Col8 where Col1 = '"" &amp; D880 &amp; ""' and Col8 is not null"",
      0
    )
  )/100,
""""),
  """"
)
"),"")</f>
        <v/>
      </c>
    </row>
    <row r="879">
      <c r="D879" s="172"/>
      <c r="E879" s="368"/>
      <c r="F879" s="368"/>
      <c r="G879" s="368"/>
      <c r="H879" s="172"/>
      <c r="I879" s="172"/>
      <c r="J879" s="172"/>
      <c r="K879" s="172"/>
      <c r="L879" s="172"/>
      <c r="M879" s="172"/>
      <c r="N879" s="172"/>
      <c r="O879" s="358"/>
      <c r="P879" s="358"/>
      <c r="Q879" s="358"/>
      <c r="R879" s="378"/>
      <c r="S879" s="378"/>
      <c r="T879" s="8"/>
      <c r="U879" s="8"/>
      <c r="V879" s="8"/>
      <c r="W879" s="172"/>
      <c r="X879" s="172"/>
      <c r="Y879" s="8"/>
      <c r="Z879" s="8"/>
      <c r="AA879" s="8"/>
      <c r="AB879" s="172"/>
      <c r="AC879" s="172"/>
      <c r="AD879" s="8"/>
      <c r="AE879" s="8"/>
      <c r="AF879" s="8"/>
      <c r="AG879" s="172"/>
      <c r="AH879" s="172"/>
      <c r="AI879" s="367"/>
      <c r="AJ879" s="362"/>
      <c r="AK879" s="363" t="str">
        <f>IFERROR(__xludf.DUMMYFUNCTION("IFERROR(if(D881&lt;&gt;"""", 
  AVERAGE(
    QUERY(
      IMPORTRANGE(""1-uH1wy6jSm5jYL9je6fN1K5RJ5QMvHntodEHZRtIvTk"", ""All Data!N2:U""),
      ""select Col8 where Col1 = '"" &amp; D881 &amp; ""' and Col8 is not null"",
      0
    )
  )/100,
""""),
  """"
)
"),"")</f>
        <v/>
      </c>
    </row>
    <row r="880">
      <c r="D880" s="172"/>
      <c r="E880" s="368"/>
      <c r="F880" s="368"/>
      <c r="G880" s="368"/>
      <c r="H880" s="172"/>
      <c r="I880" s="172"/>
      <c r="J880" s="172"/>
      <c r="K880" s="172"/>
      <c r="L880" s="172"/>
      <c r="M880" s="172"/>
      <c r="N880" s="172"/>
      <c r="O880" s="358"/>
      <c r="P880" s="358"/>
      <c r="Q880" s="358"/>
      <c r="R880" s="378"/>
      <c r="S880" s="378"/>
      <c r="T880" s="8"/>
      <c r="U880" s="8"/>
      <c r="V880" s="8"/>
      <c r="W880" s="172"/>
      <c r="X880" s="172"/>
      <c r="Y880" s="8"/>
      <c r="Z880" s="8"/>
      <c r="AA880" s="8"/>
      <c r="AB880" s="172"/>
      <c r="AC880" s="172"/>
      <c r="AD880" s="8"/>
      <c r="AE880" s="8"/>
      <c r="AF880" s="8"/>
      <c r="AG880" s="172"/>
      <c r="AH880" s="172"/>
      <c r="AI880" s="367"/>
      <c r="AJ880" s="362"/>
      <c r="AK880" s="363" t="str">
        <f>IFERROR(__xludf.DUMMYFUNCTION("IFERROR(if(D882&lt;&gt;"""", 
  AVERAGE(
    QUERY(
      IMPORTRANGE(""1-uH1wy6jSm5jYL9je6fN1K5RJ5QMvHntodEHZRtIvTk"", ""All Data!N2:U""),
      ""select Col8 where Col1 = '"" &amp; D882 &amp; ""' and Col8 is not null"",
      0
    )
  )/100,
""""),
  """"
)
"),"")</f>
        <v/>
      </c>
    </row>
    <row r="881">
      <c r="D881" s="172"/>
      <c r="E881" s="368"/>
      <c r="F881" s="368"/>
      <c r="G881" s="368"/>
      <c r="H881" s="172"/>
      <c r="I881" s="172"/>
      <c r="J881" s="172"/>
      <c r="K881" s="172"/>
      <c r="L881" s="172"/>
      <c r="M881" s="172"/>
      <c r="N881" s="172"/>
      <c r="O881" s="358"/>
      <c r="P881" s="358"/>
      <c r="Q881" s="358"/>
      <c r="R881" s="378"/>
      <c r="S881" s="378"/>
      <c r="T881" s="8"/>
      <c r="U881" s="8"/>
      <c r="V881" s="8"/>
      <c r="W881" s="172"/>
      <c r="X881" s="172"/>
      <c r="Y881" s="8"/>
      <c r="Z881" s="8"/>
      <c r="AA881" s="8"/>
      <c r="AB881" s="172"/>
      <c r="AC881" s="172"/>
      <c r="AD881" s="8"/>
      <c r="AE881" s="8"/>
      <c r="AF881" s="8"/>
      <c r="AG881" s="172"/>
      <c r="AH881" s="172"/>
      <c r="AI881" s="367"/>
      <c r="AJ881" s="362"/>
      <c r="AK881" s="363" t="str">
        <f>IFERROR(__xludf.DUMMYFUNCTION("IFERROR(if(D883&lt;&gt;"""", 
  AVERAGE(
    QUERY(
      IMPORTRANGE(""1-uH1wy6jSm5jYL9je6fN1K5RJ5QMvHntodEHZRtIvTk"", ""All Data!N2:U""),
      ""select Col8 where Col1 = '"" &amp; D883 &amp; ""' and Col8 is not null"",
      0
    )
  )/100,
""""),
  """"
)
"),"")</f>
        <v/>
      </c>
    </row>
    <row r="882">
      <c r="D882" s="172"/>
      <c r="E882" s="368"/>
      <c r="F882" s="368"/>
      <c r="G882" s="368"/>
      <c r="H882" s="172"/>
      <c r="I882" s="172"/>
      <c r="J882" s="172"/>
      <c r="K882" s="172"/>
      <c r="L882" s="172"/>
      <c r="M882" s="172"/>
      <c r="N882" s="172"/>
      <c r="O882" s="358"/>
      <c r="P882" s="358"/>
      <c r="Q882" s="358"/>
      <c r="R882" s="378"/>
      <c r="S882" s="378"/>
      <c r="T882" s="8"/>
      <c r="U882" s="8"/>
      <c r="V882" s="8"/>
      <c r="W882" s="172"/>
      <c r="X882" s="172"/>
      <c r="Y882" s="8"/>
      <c r="Z882" s="8"/>
      <c r="AA882" s="8"/>
      <c r="AB882" s="172"/>
      <c r="AC882" s="172"/>
      <c r="AD882" s="8"/>
      <c r="AE882" s="8"/>
      <c r="AF882" s="8"/>
      <c r="AG882" s="172"/>
      <c r="AH882" s="172"/>
      <c r="AI882" s="367"/>
      <c r="AJ882" s="362"/>
      <c r="AK882" s="363" t="str">
        <f>IFERROR(__xludf.DUMMYFUNCTION("IFERROR(if(D884&lt;&gt;"""", 
  AVERAGE(
    QUERY(
      IMPORTRANGE(""1-uH1wy6jSm5jYL9je6fN1K5RJ5QMvHntodEHZRtIvTk"", ""All Data!N2:U""),
      ""select Col8 where Col1 = '"" &amp; D884 &amp; ""' and Col8 is not null"",
      0
    )
  )/100,
""""),
  """"
)
"),"")</f>
        <v/>
      </c>
    </row>
    <row r="883">
      <c r="D883" s="172"/>
      <c r="E883" s="368"/>
      <c r="F883" s="368"/>
      <c r="G883" s="368"/>
      <c r="H883" s="172"/>
      <c r="I883" s="172"/>
      <c r="J883" s="172"/>
      <c r="K883" s="172"/>
      <c r="L883" s="172"/>
      <c r="M883" s="172"/>
      <c r="N883" s="172"/>
      <c r="O883" s="358"/>
      <c r="P883" s="358"/>
      <c r="Q883" s="358"/>
      <c r="R883" s="378"/>
      <c r="S883" s="378"/>
      <c r="T883" s="8"/>
      <c r="U883" s="8"/>
      <c r="V883" s="8"/>
      <c r="W883" s="172"/>
      <c r="X883" s="172"/>
      <c r="Y883" s="8"/>
      <c r="Z883" s="8"/>
      <c r="AA883" s="8"/>
      <c r="AB883" s="172"/>
      <c r="AC883" s="172"/>
      <c r="AD883" s="8"/>
      <c r="AE883" s="8"/>
      <c r="AF883" s="8"/>
      <c r="AG883" s="172"/>
      <c r="AH883" s="172"/>
      <c r="AI883" s="367"/>
      <c r="AJ883" s="362"/>
      <c r="AK883" s="363" t="str">
        <f>IFERROR(__xludf.DUMMYFUNCTION("IFERROR(if(D885&lt;&gt;"""", 
  AVERAGE(
    QUERY(
      IMPORTRANGE(""1-uH1wy6jSm5jYL9je6fN1K5RJ5QMvHntodEHZRtIvTk"", ""All Data!N2:U""),
      ""select Col8 where Col1 = '"" &amp; D885 &amp; ""' and Col8 is not null"",
      0
    )
  )/100,
""""),
  """"
)
"),"")</f>
        <v/>
      </c>
    </row>
    <row r="884">
      <c r="D884" s="172"/>
      <c r="E884" s="368"/>
      <c r="F884" s="368"/>
      <c r="G884" s="368"/>
      <c r="H884" s="172"/>
      <c r="I884" s="172"/>
      <c r="J884" s="172"/>
      <c r="K884" s="172"/>
      <c r="L884" s="172"/>
      <c r="M884" s="172"/>
      <c r="N884" s="172"/>
      <c r="O884" s="358"/>
      <c r="P884" s="358"/>
      <c r="Q884" s="358"/>
      <c r="R884" s="378"/>
      <c r="S884" s="378"/>
      <c r="T884" s="8"/>
      <c r="U884" s="8"/>
      <c r="V884" s="8"/>
      <c r="W884" s="172"/>
      <c r="X884" s="172"/>
      <c r="Y884" s="8"/>
      <c r="Z884" s="8"/>
      <c r="AA884" s="8"/>
      <c r="AB884" s="172"/>
      <c r="AC884" s="172"/>
      <c r="AD884" s="8"/>
      <c r="AE884" s="8"/>
      <c r="AF884" s="8"/>
      <c r="AG884" s="172"/>
      <c r="AH884" s="172"/>
      <c r="AI884" s="367"/>
      <c r="AJ884" s="362"/>
      <c r="AK884" s="363" t="str">
        <f>IFERROR(__xludf.DUMMYFUNCTION("IFERROR(if(D886&lt;&gt;"""", 
  AVERAGE(
    QUERY(
      IMPORTRANGE(""1-uH1wy6jSm5jYL9je6fN1K5RJ5QMvHntodEHZRtIvTk"", ""All Data!N2:U""),
      ""select Col8 where Col1 = '"" &amp; D886 &amp; ""' and Col8 is not null"",
      0
    )
  )/100,
""""),
  """"
)
"),"")</f>
        <v/>
      </c>
    </row>
    <row r="885">
      <c r="D885" s="172"/>
      <c r="E885" s="368"/>
      <c r="F885" s="368"/>
      <c r="G885" s="368"/>
      <c r="H885" s="172"/>
      <c r="I885" s="172"/>
      <c r="J885" s="172"/>
      <c r="K885" s="172"/>
      <c r="L885" s="172"/>
      <c r="M885" s="172"/>
      <c r="N885" s="172"/>
      <c r="O885" s="358"/>
      <c r="P885" s="358"/>
      <c r="Q885" s="358"/>
      <c r="R885" s="378"/>
      <c r="S885" s="378"/>
      <c r="T885" s="8"/>
      <c r="U885" s="8"/>
      <c r="V885" s="8"/>
      <c r="W885" s="172"/>
      <c r="X885" s="172"/>
      <c r="Y885" s="8"/>
      <c r="Z885" s="8"/>
      <c r="AA885" s="8"/>
      <c r="AB885" s="172"/>
      <c r="AC885" s="172"/>
      <c r="AD885" s="8"/>
      <c r="AE885" s="8"/>
      <c r="AF885" s="8"/>
      <c r="AG885" s="172"/>
      <c r="AH885" s="172"/>
      <c r="AI885" s="367"/>
      <c r="AJ885" s="362"/>
      <c r="AK885" s="363" t="str">
        <f>IFERROR(__xludf.DUMMYFUNCTION("IFERROR(if(D887&lt;&gt;"""", 
  AVERAGE(
    QUERY(
      IMPORTRANGE(""1-uH1wy6jSm5jYL9je6fN1K5RJ5QMvHntodEHZRtIvTk"", ""All Data!N2:U""),
      ""select Col8 where Col1 = '"" &amp; D887 &amp; ""' and Col8 is not null"",
      0
    )
  )/100,
""""),
  """"
)
"),"")</f>
        <v/>
      </c>
    </row>
    <row r="886">
      <c r="D886" s="172"/>
      <c r="E886" s="368"/>
      <c r="F886" s="368"/>
      <c r="G886" s="368"/>
      <c r="H886" s="172"/>
      <c r="I886" s="172"/>
      <c r="J886" s="172"/>
      <c r="K886" s="172"/>
      <c r="L886" s="172"/>
      <c r="M886" s="172"/>
      <c r="N886" s="172"/>
      <c r="O886" s="358"/>
      <c r="P886" s="358"/>
      <c r="Q886" s="358"/>
      <c r="R886" s="378"/>
      <c r="S886" s="378"/>
      <c r="T886" s="8"/>
      <c r="U886" s="8"/>
      <c r="V886" s="8"/>
      <c r="W886" s="172"/>
      <c r="X886" s="172"/>
      <c r="Y886" s="8"/>
      <c r="Z886" s="8"/>
      <c r="AA886" s="8"/>
      <c r="AB886" s="172"/>
      <c r="AC886" s="172"/>
      <c r="AD886" s="8"/>
      <c r="AE886" s="8"/>
      <c r="AF886" s="8"/>
      <c r="AG886" s="172"/>
      <c r="AH886" s="172"/>
      <c r="AI886" s="367"/>
      <c r="AJ886" s="362"/>
      <c r="AK886" s="363" t="str">
        <f>IFERROR(__xludf.DUMMYFUNCTION("IFERROR(if(D888&lt;&gt;"""", 
  AVERAGE(
    QUERY(
      IMPORTRANGE(""1-uH1wy6jSm5jYL9je6fN1K5RJ5QMvHntodEHZRtIvTk"", ""All Data!N2:U""),
      ""select Col8 where Col1 = '"" &amp; D888 &amp; ""' and Col8 is not null"",
      0
    )
  )/100,
""""),
  """"
)
"),"")</f>
        <v/>
      </c>
    </row>
    <row r="887">
      <c r="D887" s="172"/>
      <c r="E887" s="368"/>
      <c r="F887" s="368"/>
      <c r="G887" s="368"/>
      <c r="H887" s="172"/>
      <c r="I887" s="172"/>
      <c r="J887" s="172"/>
      <c r="K887" s="172"/>
      <c r="L887" s="172"/>
      <c r="M887" s="172"/>
      <c r="N887" s="172"/>
      <c r="O887" s="358"/>
      <c r="P887" s="358"/>
      <c r="Q887" s="358"/>
      <c r="R887" s="378"/>
      <c r="S887" s="378"/>
      <c r="T887" s="8"/>
      <c r="U887" s="8"/>
      <c r="V887" s="8"/>
      <c r="W887" s="172"/>
      <c r="X887" s="172"/>
      <c r="Y887" s="8"/>
      <c r="Z887" s="8"/>
      <c r="AA887" s="8"/>
      <c r="AB887" s="172"/>
      <c r="AC887" s="172"/>
      <c r="AD887" s="8"/>
      <c r="AE887" s="8"/>
      <c r="AF887" s="8"/>
      <c r="AG887" s="172"/>
      <c r="AH887" s="172"/>
      <c r="AI887" s="367"/>
      <c r="AJ887" s="362"/>
      <c r="AK887" s="363" t="str">
        <f>IFERROR(__xludf.DUMMYFUNCTION("IFERROR(if(D889&lt;&gt;"""", 
  AVERAGE(
    QUERY(
      IMPORTRANGE(""1-uH1wy6jSm5jYL9je6fN1K5RJ5QMvHntodEHZRtIvTk"", ""All Data!N2:U""),
      ""select Col8 where Col1 = '"" &amp; D889 &amp; ""' and Col8 is not null"",
      0
    )
  )/100,
""""),
  """"
)
"),"")</f>
        <v/>
      </c>
    </row>
    <row r="888">
      <c r="D888" s="172"/>
      <c r="E888" s="368"/>
      <c r="F888" s="368"/>
      <c r="G888" s="368"/>
      <c r="H888" s="172"/>
      <c r="I888" s="172"/>
      <c r="J888" s="172"/>
      <c r="K888" s="172"/>
      <c r="L888" s="172"/>
      <c r="M888" s="172"/>
      <c r="N888" s="172"/>
      <c r="O888" s="358"/>
      <c r="P888" s="358"/>
      <c r="Q888" s="358"/>
      <c r="R888" s="378"/>
      <c r="S888" s="378"/>
      <c r="T888" s="8"/>
      <c r="U888" s="8"/>
      <c r="V888" s="8"/>
      <c r="W888" s="172"/>
      <c r="X888" s="172"/>
      <c r="Y888" s="8"/>
      <c r="Z888" s="8"/>
      <c r="AA888" s="8"/>
      <c r="AB888" s="172"/>
      <c r="AC888" s="172"/>
      <c r="AD888" s="8"/>
      <c r="AE888" s="8"/>
      <c r="AF888" s="8"/>
      <c r="AG888" s="172"/>
      <c r="AH888" s="172"/>
      <c r="AI888" s="367"/>
      <c r="AJ888" s="362"/>
      <c r="AK888" s="363" t="str">
        <f>IFERROR(__xludf.DUMMYFUNCTION("IFERROR(if(D890&lt;&gt;"""", 
  AVERAGE(
    QUERY(
      IMPORTRANGE(""1-uH1wy6jSm5jYL9je6fN1K5RJ5QMvHntodEHZRtIvTk"", ""All Data!N2:U""),
      ""select Col8 where Col1 = '"" &amp; D890 &amp; ""' and Col8 is not null"",
      0
    )
  )/100,
""""),
  """"
)
"),"")</f>
        <v/>
      </c>
    </row>
    <row r="889">
      <c r="D889" s="172"/>
      <c r="E889" s="368"/>
      <c r="F889" s="368"/>
      <c r="G889" s="368"/>
      <c r="H889" s="172"/>
      <c r="I889" s="172"/>
      <c r="J889" s="172"/>
      <c r="K889" s="172"/>
      <c r="L889" s="172"/>
      <c r="M889" s="172"/>
      <c r="N889" s="172"/>
      <c r="O889" s="358"/>
      <c r="P889" s="358"/>
      <c r="Q889" s="358"/>
      <c r="R889" s="378"/>
      <c r="S889" s="378"/>
      <c r="T889" s="8"/>
      <c r="U889" s="8"/>
      <c r="V889" s="8"/>
      <c r="W889" s="172"/>
      <c r="X889" s="172"/>
      <c r="Y889" s="8"/>
      <c r="Z889" s="8"/>
      <c r="AA889" s="8"/>
      <c r="AB889" s="172"/>
      <c r="AC889" s="172"/>
      <c r="AD889" s="8"/>
      <c r="AE889" s="8"/>
      <c r="AF889" s="8"/>
      <c r="AG889" s="172"/>
      <c r="AH889" s="172"/>
      <c r="AI889" s="367"/>
      <c r="AJ889" s="362"/>
      <c r="AK889" s="363" t="str">
        <f>IFERROR(__xludf.DUMMYFUNCTION("IFERROR(if(D891&lt;&gt;"""", 
  AVERAGE(
    QUERY(
      IMPORTRANGE(""1-uH1wy6jSm5jYL9je6fN1K5RJ5QMvHntodEHZRtIvTk"", ""All Data!N2:U""),
      ""select Col8 where Col1 = '"" &amp; D891 &amp; ""' and Col8 is not null"",
      0
    )
  )/100,
""""),
  """"
)
"),"")</f>
        <v/>
      </c>
    </row>
    <row r="890">
      <c r="D890" s="172"/>
      <c r="E890" s="368"/>
      <c r="F890" s="368"/>
      <c r="G890" s="368"/>
      <c r="H890" s="172"/>
      <c r="I890" s="172"/>
      <c r="J890" s="172"/>
      <c r="K890" s="172"/>
      <c r="L890" s="172"/>
      <c r="M890" s="172"/>
      <c r="N890" s="172"/>
      <c r="O890" s="358"/>
      <c r="P890" s="358"/>
      <c r="Q890" s="358"/>
      <c r="R890" s="378"/>
      <c r="S890" s="378"/>
      <c r="T890" s="8"/>
      <c r="U890" s="8"/>
      <c r="V890" s="8"/>
      <c r="W890" s="172"/>
      <c r="X890" s="172"/>
      <c r="Y890" s="8"/>
      <c r="Z890" s="8"/>
      <c r="AA890" s="8"/>
      <c r="AB890" s="172"/>
      <c r="AC890" s="172"/>
      <c r="AD890" s="8"/>
      <c r="AE890" s="8"/>
      <c r="AF890" s="8"/>
      <c r="AG890" s="172"/>
      <c r="AH890" s="172"/>
      <c r="AI890" s="367"/>
      <c r="AJ890" s="362"/>
      <c r="AK890" s="363" t="str">
        <f>IFERROR(__xludf.DUMMYFUNCTION("IFERROR(if(D892&lt;&gt;"""", 
  AVERAGE(
    QUERY(
      IMPORTRANGE(""1-uH1wy6jSm5jYL9je6fN1K5RJ5QMvHntodEHZRtIvTk"", ""All Data!N2:U""),
      ""select Col8 where Col1 = '"" &amp; D892 &amp; ""' and Col8 is not null"",
      0
    )
  )/100,
""""),
  """"
)
"),"")</f>
        <v/>
      </c>
    </row>
    <row r="891">
      <c r="D891" s="172"/>
      <c r="E891" s="368"/>
      <c r="F891" s="368"/>
      <c r="G891" s="368"/>
      <c r="H891" s="172"/>
      <c r="I891" s="172"/>
      <c r="J891" s="172"/>
      <c r="K891" s="172"/>
      <c r="L891" s="172"/>
      <c r="M891" s="172"/>
      <c r="N891" s="172"/>
      <c r="O891" s="358"/>
      <c r="P891" s="358"/>
      <c r="Q891" s="358"/>
      <c r="R891" s="378"/>
      <c r="S891" s="378"/>
      <c r="T891" s="8"/>
      <c r="U891" s="8"/>
      <c r="V891" s="8"/>
      <c r="W891" s="172"/>
      <c r="X891" s="172"/>
      <c r="Y891" s="8"/>
      <c r="Z891" s="8"/>
      <c r="AA891" s="8"/>
      <c r="AB891" s="172"/>
      <c r="AC891" s="172"/>
      <c r="AD891" s="8"/>
      <c r="AE891" s="8"/>
      <c r="AF891" s="8"/>
      <c r="AG891" s="172"/>
      <c r="AH891" s="172"/>
      <c r="AI891" s="367"/>
      <c r="AJ891" s="362"/>
      <c r="AK891" s="363" t="str">
        <f>IFERROR(__xludf.DUMMYFUNCTION("IFERROR(if(D893&lt;&gt;"""", 
  AVERAGE(
    QUERY(
      IMPORTRANGE(""1-uH1wy6jSm5jYL9je6fN1K5RJ5QMvHntodEHZRtIvTk"", ""All Data!N2:U""),
      ""select Col8 where Col1 = '"" &amp; D893 &amp; ""' and Col8 is not null"",
      0
    )
  )/100,
""""),
  """"
)
"),"")</f>
        <v/>
      </c>
    </row>
    <row r="892">
      <c r="D892" s="172"/>
      <c r="E892" s="368"/>
      <c r="F892" s="368"/>
      <c r="G892" s="368"/>
      <c r="H892" s="172"/>
      <c r="I892" s="172"/>
      <c r="J892" s="172"/>
      <c r="K892" s="172"/>
      <c r="L892" s="172"/>
      <c r="M892" s="172"/>
      <c r="N892" s="172"/>
      <c r="O892" s="358"/>
      <c r="P892" s="358"/>
      <c r="Q892" s="358"/>
      <c r="R892" s="378"/>
      <c r="S892" s="378"/>
      <c r="T892" s="8"/>
      <c r="U892" s="8"/>
      <c r="V892" s="8"/>
      <c r="W892" s="172"/>
      <c r="X892" s="172"/>
      <c r="Y892" s="8"/>
      <c r="Z892" s="8"/>
      <c r="AA892" s="8"/>
      <c r="AB892" s="172"/>
      <c r="AC892" s="172"/>
      <c r="AD892" s="8"/>
      <c r="AE892" s="8"/>
      <c r="AF892" s="8"/>
      <c r="AG892" s="172"/>
      <c r="AH892" s="172"/>
      <c r="AI892" s="367"/>
      <c r="AJ892" s="362"/>
      <c r="AK892" s="363" t="str">
        <f>IFERROR(__xludf.DUMMYFUNCTION("IFERROR(if(D894&lt;&gt;"""", 
  AVERAGE(
    QUERY(
      IMPORTRANGE(""1-uH1wy6jSm5jYL9je6fN1K5RJ5QMvHntodEHZRtIvTk"", ""All Data!N2:U""),
      ""select Col8 where Col1 = '"" &amp; D894 &amp; ""' and Col8 is not null"",
      0
    )
  )/100,
""""),
  """"
)
"),"")</f>
        <v/>
      </c>
    </row>
    <row r="893">
      <c r="D893" s="172"/>
      <c r="E893" s="368"/>
      <c r="F893" s="368"/>
      <c r="G893" s="368"/>
      <c r="H893" s="172"/>
      <c r="I893" s="172"/>
      <c r="J893" s="172"/>
      <c r="K893" s="172"/>
      <c r="L893" s="172"/>
      <c r="M893" s="172"/>
      <c r="N893" s="172"/>
      <c r="O893" s="358"/>
      <c r="P893" s="358"/>
      <c r="Q893" s="358"/>
      <c r="R893" s="378"/>
      <c r="S893" s="378"/>
      <c r="T893" s="8"/>
      <c r="U893" s="8"/>
      <c r="V893" s="8"/>
      <c r="W893" s="172"/>
      <c r="X893" s="172"/>
      <c r="Y893" s="8"/>
      <c r="Z893" s="8"/>
      <c r="AA893" s="8"/>
      <c r="AB893" s="172"/>
      <c r="AC893" s="172"/>
      <c r="AD893" s="8"/>
      <c r="AE893" s="8"/>
      <c r="AF893" s="8"/>
      <c r="AG893" s="172"/>
      <c r="AH893" s="172"/>
      <c r="AI893" s="367"/>
      <c r="AJ893" s="362"/>
      <c r="AK893" s="363" t="str">
        <f>IFERROR(__xludf.DUMMYFUNCTION("IFERROR(if(D895&lt;&gt;"""", 
  AVERAGE(
    QUERY(
      IMPORTRANGE(""1-uH1wy6jSm5jYL9je6fN1K5RJ5QMvHntodEHZRtIvTk"", ""All Data!N2:U""),
      ""select Col8 where Col1 = '"" &amp; D895 &amp; ""' and Col8 is not null"",
      0
    )
  )/100,
""""),
  """"
)
"),"")</f>
        <v/>
      </c>
    </row>
    <row r="894">
      <c r="D894" s="172"/>
      <c r="E894" s="368"/>
      <c r="F894" s="368"/>
      <c r="G894" s="368"/>
      <c r="H894" s="172"/>
      <c r="I894" s="172"/>
      <c r="J894" s="172"/>
      <c r="K894" s="172"/>
      <c r="L894" s="172"/>
      <c r="M894" s="172"/>
      <c r="N894" s="172"/>
      <c r="O894" s="358"/>
      <c r="P894" s="358"/>
      <c r="Q894" s="358"/>
      <c r="R894" s="378"/>
      <c r="S894" s="378"/>
      <c r="T894" s="8"/>
      <c r="U894" s="8"/>
      <c r="V894" s="8"/>
      <c r="W894" s="172"/>
      <c r="X894" s="172"/>
      <c r="Y894" s="8"/>
      <c r="Z894" s="8"/>
      <c r="AA894" s="8"/>
      <c r="AB894" s="172"/>
      <c r="AC894" s="172"/>
      <c r="AD894" s="8"/>
      <c r="AE894" s="8"/>
      <c r="AF894" s="8"/>
      <c r="AG894" s="172"/>
      <c r="AH894" s="172"/>
      <c r="AI894" s="367"/>
      <c r="AJ894" s="362"/>
      <c r="AK894" s="363" t="str">
        <f>IFERROR(__xludf.DUMMYFUNCTION("IFERROR(if(D896&lt;&gt;"""", 
  AVERAGE(
    QUERY(
      IMPORTRANGE(""1-uH1wy6jSm5jYL9je6fN1K5RJ5QMvHntodEHZRtIvTk"", ""All Data!N2:U""),
      ""select Col8 where Col1 = '"" &amp; D896 &amp; ""' and Col8 is not null"",
      0
    )
  )/100,
""""),
  """"
)
"),"")</f>
        <v/>
      </c>
    </row>
    <row r="895">
      <c r="D895" s="172"/>
      <c r="E895" s="368"/>
      <c r="F895" s="368"/>
      <c r="G895" s="368"/>
      <c r="H895" s="172"/>
      <c r="I895" s="172"/>
      <c r="J895" s="172"/>
      <c r="K895" s="172"/>
      <c r="L895" s="172"/>
      <c r="M895" s="172"/>
      <c r="N895" s="172"/>
      <c r="O895" s="358"/>
      <c r="P895" s="358"/>
      <c r="Q895" s="358"/>
      <c r="R895" s="378"/>
      <c r="S895" s="378"/>
      <c r="T895" s="8"/>
      <c r="U895" s="8"/>
      <c r="V895" s="8"/>
      <c r="W895" s="172"/>
      <c r="X895" s="172"/>
      <c r="Y895" s="8"/>
      <c r="Z895" s="8"/>
      <c r="AA895" s="8"/>
      <c r="AB895" s="172"/>
      <c r="AC895" s="172"/>
      <c r="AD895" s="8"/>
      <c r="AE895" s="8"/>
      <c r="AF895" s="8"/>
      <c r="AG895" s="172"/>
      <c r="AH895" s="172"/>
      <c r="AI895" s="367"/>
      <c r="AJ895" s="362"/>
      <c r="AK895" s="363" t="str">
        <f>IFERROR(__xludf.DUMMYFUNCTION("IFERROR(if(D897&lt;&gt;"""", 
  AVERAGE(
    QUERY(
      IMPORTRANGE(""1-uH1wy6jSm5jYL9je6fN1K5RJ5QMvHntodEHZRtIvTk"", ""All Data!N2:U""),
      ""select Col8 where Col1 = '"" &amp; D897 &amp; ""' and Col8 is not null"",
      0
    )
  )/100,
""""),
  """"
)
"),"")</f>
        <v/>
      </c>
    </row>
    <row r="896">
      <c r="D896" s="172"/>
      <c r="E896" s="368"/>
      <c r="F896" s="368"/>
      <c r="G896" s="368"/>
      <c r="H896" s="172"/>
      <c r="I896" s="172"/>
      <c r="J896" s="172"/>
      <c r="K896" s="172"/>
      <c r="L896" s="172"/>
      <c r="M896" s="172"/>
      <c r="N896" s="172"/>
      <c r="O896" s="358"/>
      <c r="P896" s="358"/>
      <c r="Q896" s="358"/>
      <c r="R896" s="378"/>
      <c r="S896" s="378"/>
      <c r="T896" s="8"/>
      <c r="U896" s="8"/>
      <c r="V896" s="8"/>
      <c r="W896" s="172"/>
      <c r="X896" s="172"/>
      <c r="Y896" s="8"/>
      <c r="Z896" s="8"/>
      <c r="AA896" s="8"/>
      <c r="AB896" s="172"/>
      <c r="AC896" s="172"/>
      <c r="AD896" s="8"/>
      <c r="AE896" s="8"/>
      <c r="AF896" s="8"/>
      <c r="AG896" s="172"/>
      <c r="AH896" s="172"/>
      <c r="AI896" s="367"/>
      <c r="AJ896" s="362"/>
      <c r="AK896" s="363" t="str">
        <f>IFERROR(__xludf.DUMMYFUNCTION("IFERROR(if(D898&lt;&gt;"""", 
  AVERAGE(
    QUERY(
      IMPORTRANGE(""1-uH1wy6jSm5jYL9je6fN1K5RJ5QMvHntodEHZRtIvTk"", ""All Data!N2:U""),
      ""select Col8 where Col1 = '"" &amp; D898 &amp; ""' and Col8 is not null"",
      0
    )
  )/100,
""""),
  """"
)
"),"")</f>
        <v/>
      </c>
    </row>
    <row r="897">
      <c r="D897" s="172"/>
      <c r="E897" s="368"/>
      <c r="F897" s="368"/>
      <c r="G897" s="368"/>
      <c r="H897" s="172"/>
      <c r="I897" s="172"/>
      <c r="J897" s="172"/>
      <c r="K897" s="172"/>
      <c r="L897" s="172"/>
      <c r="M897" s="172"/>
      <c r="N897" s="172"/>
      <c r="O897" s="358"/>
      <c r="P897" s="358"/>
      <c r="Q897" s="358"/>
      <c r="R897" s="378"/>
      <c r="S897" s="378"/>
      <c r="T897" s="8"/>
      <c r="U897" s="8"/>
      <c r="V897" s="8"/>
      <c r="W897" s="172"/>
      <c r="X897" s="172"/>
      <c r="Y897" s="8"/>
      <c r="Z897" s="8"/>
      <c r="AA897" s="8"/>
      <c r="AB897" s="172"/>
      <c r="AC897" s="172"/>
      <c r="AD897" s="8"/>
      <c r="AE897" s="8"/>
      <c r="AF897" s="8"/>
      <c r="AG897" s="172"/>
      <c r="AH897" s="172"/>
      <c r="AI897" s="367"/>
      <c r="AJ897" s="362"/>
      <c r="AK897" s="363" t="str">
        <f>IFERROR(__xludf.DUMMYFUNCTION("IFERROR(if(D899&lt;&gt;"""", 
  AVERAGE(
    QUERY(
      IMPORTRANGE(""1-uH1wy6jSm5jYL9je6fN1K5RJ5QMvHntodEHZRtIvTk"", ""All Data!N2:U""),
      ""select Col8 where Col1 = '"" &amp; D899 &amp; ""' and Col8 is not null"",
      0
    )
  )/100,
""""),
  """"
)
"),"")</f>
        <v/>
      </c>
    </row>
    <row r="898">
      <c r="D898" s="172"/>
      <c r="E898" s="368"/>
      <c r="F898" s="368"/>
      <c r="G898" s="368"/>
      <c r="H898" s="172"/>
      <c r="I898" s="172"/>
      <c r="J898" s="172"/>
      <c r="K898" s="172"/>
      <c r="L898" s="172"/>
      <c r="M898" s="172"/>
      <c r="N898" s="172"/>
      <c r="O898" s="358"/>
      <c r="P898" s="358"/>
      <c r="Q898" s="358"/>
      <c r="R898" s="378"/>
      <c r="S898" s="378"/>
      <c r="T898" s="8"/>
      <c r="U898" s="8"/>
      <c r="V898" s="8"/>
      <c r="W898" s="172"/>
      <c r="X898" s="172"/>
      <c r="Y898" s="8"/>
      <c r="Z898" s="8"/>
      <c r="AA898" s="8"/>
      <c r="AB898" s="172"/>
      <c r="AC898" s="172"/>
      <c r="AD898" s="8"/>
      <c r="AE898" s="8"/>
      <c r="AF898" s="8"/>
      <c r="AG898" s="172"/>
      <c r="AH898" s="172"/>
      <c r="AI898" s="367"/>
      <c r="AJ898" s="362"/>
      <c r="AK898" s="363" t="str">
        <f>IFERROR(__xludf.DUMMYFUNCTION("IFERROR(if(D900&lt;&gt;"""", 
  AVERAGE(
    QUERY(
      IMPORTRANGE(""1-uH1wy6jSm5jYL9je6fN1K5RJ5QMvHntodEHZRtIvTk"", ""All Data!N2:U""),
      ""select Col8 where Col1 = '"" &amp; D900 &amp; ""' and Col8 is not null"",
      0
    )
  )/100,
""""),
  """"
)
"),"")</f>
        <v/>
      </c>
    </row>
    <row r="899">
      <c r="D899" s="172"/>
      <c r="E899" s="368"/>
      <c r="F899" s="368"/>
      <c r="G899" s="368"/>
      <c r="H899" s="172"/>
      <c r="I899" s="172"/>
      <c r="J899" s="172"/>
      <c r="K899" s="172"/>
      <c r="L899" s="172"/>
      <c r="M899" s="172"/>
      <c r="N899" s="172"/>
      <c r="O899" s="358"/>
      <c r="P899" s="358"/>
      <c r="Q899" s="358"/>
      <c r="R899" s="378"/>
      <c r="S899" s="378"/>
      <c r="T899" s="8"/>
      <c r="U899" s="8"/>
      <c r="V899" s="8"/>
      <c r="W899" s="172"/>
      <c r="X899" s="172"/>
      <c r="Y899" s="8"/>
      <c r="Z899" s="8"/>
      <c r="AA899" s="8"/>
      <c r="AB899" s="172"/>
      <c r="AC899" s="172"/>
      <c r="AD899" s="8"/>
      <c r="AE899" s="8"/>
      <c r="AF899" s="8"/>
      <c r="AG899" s="172"/>
      <c r="AH899" s="172"/>
      <c r="AI899" s="367"/>
      <c r="AJ899" s="362"/>
      <c r="AK899" s="363" t="str">
        <f>IFERROR(__xludf.DUMMYFUNCTION("IFERROR(if(D901&lt;&gt;"""", 
  AVERAGE(
    QUERY(
      IMPORTRANGE(""1-uH1wy6jSm5jYL9je6fN1K5RJ5QMvHntodEHZRtIvTk"", ""All Data!N2:U""),
      ""select Col8 where Col1 = '"" &amp; D901 &amp; ""' and Col8 is not null"",
      0
    )
  )/100,
""""),
  """"
)
"),"")</f>
        <v/>
      </c>
    </row>
    <row r="900">
      <c r="D900" s="172"/>
      <c r="E900" s="368"/>
      <c r="F900" s="368"/>
      <c r="G900" s="368"/>
      <c r="H900" s="172"/>
      <c r="I900" s="172"/>
      <c r="J900" s="172"/>
      <c r="K900" s="172"/>
      <c r="L900" s="172"/>
      <c r="M900" s="172"/>
      <c r="N900" s="172"/>
      <c r="O900" s="358"/>
      <c r="P900" s="358"/>
      <c r="Q900" s="358"/>
      <c r="R900" s="378"/>
      <c r="S900" s="378"/>
      <c r="T900" s="8"/>
      <c r="U900" s="8"/>
      <c r="V900" s="8"/>
      <c r="W900" s="172"/>
      <c r="X900" s="172"/>
      <c r="Y900" s="8"/>
      <c r="Z900" s="8"/>
      <c r="AA900" s="8"/>
      <c r="AB900" s="172"/>
      <c r="AC900" s="172"/>
      <c r="AD900" s="8"/>
      <c r="AE900" s="8"/>
      <c r="AF900" s="8"/>
      <c r="AG900" s="172"/>
      <c r="AH900" s="172"/>
      <c r="AI900" s="367"/>
      <c r="AJ900" s="362"/>
      <c r="AK900" s="363" t="str">
        <f>IFERROR(__xludf.DUMMYFUNCTION("IFERROR(if(D902&lt;&gt;"""", 
  AVERAGE(
    QUERY(
      IMPORTRANGE(""1-uH1wy6jSm5jYL9je6fN1K5RJ5QMvHntodEHZRtIvTk"", ""All Data!N2:U""),
      ""select Col8 where Col1 = '"" &amp; D902 &amp; ""' and Col8 is not null"",
      0
    )
  )/100,
""""),
  """"
)
"),"")</f>
        <v/>
      </c>
    </row>
    <row r="901">
      <c r="D901" s="172"/>
      <c r="E901" s="368"/>
      <c r="F901" s="368"/>
      <c r="G901" s="368"/>
      <c r="H901" s="172"/>
      <c r="I901" s="172"/>
      <c r="J901" s="172"/>
      <c r="K901" s="172"/>
      <c r="L901" s="172"/>
      <c r="M901" s="172"/>
      <c r="N901" s="172"/>
      <c r="O901" s="358"/>
      <c r="P901" s="358"/>
      <c r="Q901" s="358"/>
      <c r="R901" s="378"/>
      <c r="S901" s="378"/>
      <c r="T901" s="8"/>
      <c r="U901" s="8"/>
      <c r="V901" s="8"/>
      <c r="W901" s="172"/>
      <c r="X901" s="172"/>
      <c r="Y901" s="8"/>
      <c r="Z901" s="8"/>
      <c r="AA901" s="8"/>
      <c r="AB901" s="172"/>
      <c r="AC901" s="172"/>
      <c r="AD901" s="8"/>
      <c r="AE901" s="8"/>
      <c r="AF901" s="8"/>
      <c r="AG901" s="172"/>
      <c r="AH901" s="172"/>
      <c r="AI901" s="367"/>
      <c r="AJ901" s="362"/>
      <c r="AK901" s="363" t="str">
        <f>IFERROR(__xludf.DUMMYFUNCTION("IFERROR(if(D903&lt;&gt;"""", 
  AVERAGE(
    QUERY(
      IMPORTRANGE(""1-uH1wy6jSm5jYL9je6fN1K5RJ5QMvHntodEHZRtIvTk"", ""All Data!N2:U""),
      ""select Col8 where Col1 = '"" &amp; D903 &amp; ""' and Col8 is not null"",
      0
    )
  )/100,
""""),
  """"
)
"),"")</f>
        <v/>
      </c>
    </row>
    <row r="902">
      <c r="D902" s="172"/>
      <c r="E902" s="368"/>
      <c r="F902" s="368"/>
      <c r="G902" s="368"/>
      <c r="H902" s="172"/>
      <c r="I902" s="172"/>
      <c r="J902" s="172"/>
      <c r="K902" s="172"/>
      <c r="L902" s="172"/>
      <c r="M902" s="172"/>
      <c r="N902" s="172"/>
      <c r="O902" s="358"/>
      <c r="P902" s="358"/>
      <c r="Q902" s="358"/>
      <c r="R902" s="378"/>
      <c r="S902" s="378"/>
      <c r="T902" s="8"/>
      <c r="U902" s="8"/>
      <c r="V902" s="8"/>
      <c r="W902" s="172"/>
      <c r="X902" s="172"/>
      <c r="Y902" s="8"/>
      <c r="Z902" s="8"/>
      <c r="AA902" s="8"/>
      <c r="AB902" s="172"/>
      <c r="AC902" s="172"/>
      <c r="AD902" s="8"/>
      <c r="AE902" s="8"/>
      <c r="AF902" s="8"/>
      <c r="AG902" s="172"/>
      <c r="AH902" s="172"/>
      <c r="AI902" s="367"/>
      <c r="AJ902" s="362"/>
      <c r="AK902" s="363" t="str">
        <f>IFERROR(__xludf.DUMMYFUNCTION("IFERROR(if(D904&lt;&gt;"""", 
  AVERAGE(
    QUERY(
      IMPORTRANGE(""1-uH1wy6jSm5jYL9je6fN1K5RJ5QMvHntodEHZRtIvTk"", ""All Data!N2:U""),
      ""select Col8 where Col1 = '"" &amp; D904 &amp; ""' and Col8 is not null"",
      0
    )
  )/100,
""""),
  """"
)
"),"")</f>
        <v/>
      </c>
    </row>
    <row r="903">
      <c r="D903" s="172"/>
      <c r="E903" s="368"/>
      <c r="F903" s="368"/>
      <c r="G903" s="368"/>
      <c r="H903" s="172"/>
      <c r="I903" s="172"/>
      <c r="J903" s="172"/>
      <c r="K903" s="172"/>
      <c r="L903" s="172"/>
      <c r="M903" s="172"/>
      <c r="N903" s="172"/>
      <c r="O903" s="358"/>
      <c r="P903" s="358"/>
      <c r="Q903" s="358"/>
      <c r="R903" s="378"/>
      <c r="S903" s="378"/>
      <c r="T903" s="8"/>
      <c r="U903" s="8"/>
      <c r="V903" s="8"/>
      <c r="W903" s="172"/>
      <c r="X903" s="172"/>
      <c r="Y903" s="8"/>
      <c r="Z903" s="8"/>
      <c r="AA903" s="8"/>
      <c r="AB903" s="172"/>
      <c r="AC903" s="172"/>
      <c r="AD903" s="8"/>
      <c r="AE903" s="8"/>
      <c r="AF903" s="8"/>
      <c r="AG903" s="172"/>
      <c r="AH903" s="172"/>
      <c r="AI903" s="367"/>
      <c r="AJ903" s="362"/>
      <c r="AK903" s="363" t="str">
        <f>IFERROR(__xludf.DUMMYFUNCTION("IFERROR(if(D905&lt;&gt;"""", 
  AVERAGE(
    QUERY(
      IMPORTRANGE(""1-uH1wy6jSm5jYL9je6fN1K5RJ5QMvHntodEHZRtIvTk"", ""All Data!N2:U""),
      ""select Col8 where Col1 = '"" &amp; D905 &amp; ""' and Col8 is not null"",
      0
    )
  )/100,
""""),
  """"
)
"),"")</f>
        <v/>
      </c>
    </row>
    <row r="904">
      <c r="D904" s="172"/>
      <c r="E904" s="368"/>
      <c r="F904" s="368"/>
      <c r="G904" s="368"/>
      <c r="H904" s="172"/>
      <c r="I904" s="172"/>
      <c r="J904" s="172"/>
      <c r="K904" s="172"/>
      <c r="L904" s="172"/>
      <c r="M904" s="172"/>
      <c r="N904" s="172"/>
      <c r="O904" s="358"/>
      <c r="P904" s="358"/>
      <c r="Q904" s="358"/>
      <c r="R904" s="378"/>
      <c r="S904" s="378"/>
      <c r="T904" s="8"/>
      <c r="U904" s="8"/>
      <c r="V904" s="8"/>
      <c r="W904" s="172"/>
      <c r="X904" s="172"/>
      <c r="Y904" s="8"/>
      <c r="Z904" s="8"/>
      <c r="AA904" s="8"/>
      <c r="AB904" s="172"/>
      <c r="AC904" s="172"/>
      <c r="AD904" s="8"/>
      <c r="AE904" s="8"/>
      <c r="AF904" s="8"/>
      <c r="AG904" s="172"/>
      <c r="AH904" s="172"/>
      <c r="AI904" s="367"/>
      <c r="AJ904" s="362"/>
      <c r="AK904" s="363" t="str">
        <f>IFERROR(__xludf.DUMMYFUNCTION("IFERROR(if(D906&lt;&gt;"""", 
  AVERAGE(
    QUERY(
      IMPORTRANGE(""1-uH1wy6jSm5jYL9je6fN1K5RJ5QMvHntodEHZRtIvTk"", ""All Data!N2:U""),
      ""select Col8 where Col1 = '"" &amp; D906 &amp; ""' and Col8 is not null"",
      0
    )
  )/100,
""""),
  """"
)
"),"")</f>
        <v/>
      </c>
    </row>
    <row r="905">
      <c r="D905" s="172"/>
      <c r="E905" s="368"/>
      <c r="F905" s="368"/>
      <c r="G905" s="368"/>
      <c r="H905" s="172"/>
      <c r="I905" s="172"/>
      <c r="J905" s="172"/>
      <c r="K905" s="172"/>
      <c r="L905" s="172"/>
      <c r="M905" s="172"/>
      <c r="N905" s="172"/>
      <c r="O905" s="358"/>
      <c r="P905" s="358"/>
      <c r="Q905" s="358"/>
      <c r="R905" s="378"/>
      <c r="S905" s="378"/>
      <c r="T905" s="8"/>
      <c r="U905" s="8"/>
      <c r="V905" s="8"/>
      <c r="W905" s="172"/>
      <c r="X905" s="172"/>
      <c r="Y905" s="8"/>
      <c r="Z905" s="8"/>
      <c r="AA905" s="8"/>
      <c r="AB905" s="172"/>
      <c r="AC905" s="172"/>
      <c r="AD905" s="8"/>
      <c r="AE905" s="8"/>
      <c r="AF905" s="8"/>
      <c r="AG905" s="172"/>
      <c r="AH905" s="172"/>
      <c r="AI905" s="367"/>
      <c r="AJ905" s="362"/>
      <c r="AK905" s="363" t="str">
        <f>IFERROR(__xludf.DUMMYFUNCTION("IFERROR(if(D907&lt;&gt;"""", 
  AVERAGE(
    QUERY(
      IMPORTRANGE(""1-uH1wy6jSm5jYL9je6fN1K5RJ5QMvHntodEHZRtIvTk"", ""All Data!N2:U""),
      ""select Col8 where Col1 = '"" &amp; D907 &amp; ""' and Col8 is not null"",
      0
    )
  )/100,
""""),
  """"
)
"),"")</f>
        <v/>
      </c>
    </row>
    <row r="906">
      <c r="D906" s="172"/>
      <c r="E906" s="368"/>
      <c r="F906" s="368"/>
      <c r="G906" s="368"/>
      <c r="H906" s="172"/>
      <c r="I906" s="172"/>
      <c r="J906" s="172"/>
      <c r="K906" s="172"/>
      <c r="L906" s="172"/>
      <c r="M906" s="172"/>
      <c r="N906" s="172"/>
      <c r="O906" s="358"/>
      <c r="P906" s="358"/>
      <c r="Q906" s="358"/>
      <c r="R906" s="378"/>
      <c r="S906" s="378"/>
      <c r="T906" s="8"/>
      <c r="U906" s="8"/>
      <c r="V906" s="8"/>
      <c r="W906" s="172"/>
      <c r="X906" s="172"/>
      <c r="Y906" s="8"/>
      <c r="Z906" s="8"/>
      <c r="AA906" s="8"/>
      <c r="AB906" s="172"/>
      <c r="AC906" s="172"/>
      <c r="AD906" s="8"/>
      <c r="AE906" s="8"/>
      <c r="AF906" s="8"/>
      <c r="AG906" s="172"/>
      <c r="AH906" s="172"/>
      <c r="AI906" s="367"/>
      <c r="AJ906" s="362"/>
      <c r="AK906" s="363" t="str">
        <f>IFERROR(__xludf.DUMMYFUNCTION("IFERROR(if(D908&lt;&gt;"""", 
  AVERAGE(
    QUERY(
      IMPORTRANGE(""1-uH1wy6jSm5jYL9je6fN1K5RJ5QMvHntodEHZRtIvTk"", ""All Data!N2:U""),
      ""select Col8 where Col1 = '"" &amp; D908 &amp; ""' and Col8 is not null"",
      0
    )
  )/100,
""""),
  """"
)
"),"")</f>
        <v/>
      </c>
    </row>
    <row r="907">
      <c r="D907" s="172"/>
      <c r="E907" s="368"/>
      <c r="F907" s="368"/>
      <c r="G907" s="368"/>
      <c r="H907" s="172"/>
      <c r="I907" s="172"/>
      <c r="J907" s="172"/>
      <c r="K907" s="172"/>
      <c r="L907" s="172"/>
      <c r="M907" s="172"/>
      <c r="N907" s="172"/>
      <c r="O907" s="358"/>
      <c r="P907" s="358"/>
      <c r="Q907" s="358"/>
      <c r="R907" s="378"/>
      <c r="S907" s="378"/>
      <c r="T907" s="8"/>
      <c r="U907" s="8"/>
      <c r="V907" s="8"/>
      <c r="W907" s="172"/>
      <c r="X907" s="172"/>
      <c r="Y907" s="8"/>
      <c r="Z907" s="8"/>
      <c r="AA907" s="8"/>
      <c r="AB907" s="172"/>
      <c r="AC907" s="172"/>
      <c r="AD907" s="8"/>
      <c r="AE907" s="8"/>
      <c r="AF907" s="8"/>
      <c r="AG907" s="172"/>
      <c r="AH907" s="172"/>
      <c r="AI907" s="367"/>
      <c r="AJ907" s="362"/>
      <c r="AK907" s="363" t="str">
        <f>IFERROR(__xludf.DUMMYFUNCTION("IFERROR(if(D909&lt;&gt;"""", 
  AVERAGE(
    QUERY(
      IMPORTRANGE(""1-uH1wy6jSm5jYL9je6fN1K5RJ5QMvHntodEHZRtIvTk"", ""All Data!N2:U""),
      ""select Col8 where Col1 = '"" &amp; D909 &amp; ""' and Col8 is not null"",
      0
    )
  )/100,
""""),
  """"
)
"),"")</f>
        <v/>
      </c>
    </row>
    <row r="908">
      <c r="D908" s="172"/>
      <c r="E908" s="368"/>
      <c r="F908" s="368"/>
      <c r="G908" s="368"/>
      <c r="H908" s="172"/>
      <c r="I908" s="172"/>
      <c r="J908" s="172"/>
      <c r="K908" s="172"/>
      <c r="L908" s="172"/>
      <c r="M908" s="172"/>
      <c r="N908" s="172"/>
      <c r="O908" s="358"/>
      <c r="P908" s="358"/>
      <c r="Q908" s="358"/>
      <c r="R908" s="378"/>
      <c r="S908" s="378"/>
      <c r="T908" s="8"/>
      <c r="U908" s="8"/>
      <c r="V908" s="8"/>
      <c r="W908" s="172"/>
      <c r="X908" s="172"/>
      <c r="Y908" s="8"/>
      <c r="Z908" s="8"/>
      <c r="AA908" s="8"/>
      <c r="AB908" s="172"/>
      <c r="AC908" s="172"/>
      <c r="AD908" s="8"/>
      <c r="AE908" s="8"/>
      <c r="AF908" s="8"/>
      <c r="AG908" s="172"/>
      <c r="AH908" s="172"/>
      <c r="AI908" s="367"/>
      <c r="AJ908" s="362"/>
      <c r="AK908" s="363" t="str">
        <f>IFERROR(__xludf.DUMMYFUNCTION("IFERROR(if(D910&lt;&gt;"""", 
  AVERAGE(
    QUERY(
      IMPORTRANGE(""1-uH1wy6jSm5jYL9je6fN1K5RJ5QMvHntodEHZRtIvTk"", ""All Data!N2:U""),
      ""select Col8 where Col1 = '"" &amp; D910 &amp; ""' and Col8 is not null"",
      0
    )
  )/100,
""""),
  """"
)
"),"")</f>
        <v/>
      </c>
    </row>
    <row r="909">
      <c r="D909" s="172"/>
      <c r="E909" s="368"/>
      <c r="F909" s="368"/>
      <c r="G909" s="368"/>
      <c r="H909" s="172"/>
      <c r="I909" s="172"/>
      <c r="J909" s="172"/>
      <c r="K909" s="172"/>
      <c r="L909" s="172"/>
      <c r="M909" s="172"/>
      <c r="N909" s="172"/>
      <c r="O909" s="358"/>
      <c r="P909" s="358"/>
      <c r="Q909" s="358"/>
      <c r="R909" s="378"/>
      <c r="S909" s="378"/>
      <c r="T909" s="8"/>
      <c r="U909" s="8"/>
      <c r="V909" s="8"/>
      <c r="W909" s="172"/>
      <c r="X909" s="172"/>
      <c r="Y909" s="8"/>
      <c r="Z909" s="8"/>
      <c r="AA909" s="8"/>
      <c r="AB909" s="172"/>
      <c r="AC909" s="172"/>
      <c r="AD909" s="8"/>
      <c r="AE909" s="8"/>
      <c r="AF909" s="8"/>
      <c r="AG909" s="172"/>
      <c r="AH909" s="172"/>
      <c r="AI909" s="367"/>
      <c r="AJ909" s="362"/>
      <c r="AK909" s="363" t="str">
        <f>IFERROR(__xludf.DUMMYFUNCTION("IFERROR(if(D911&lt;&gt;"""", 
  AVERAGE(
    QUERY(
      IMPORTRANGE(""1-uH1wy6jSm5jYL9je6fN1K5RJ5QMvHntodEHZRtIvTk"", ""All Data!N2:U""),
      ""select Col8 where Col1 = '"" &amp; D911 &amp; ""' and Col8 is not null"",
      0
    )
  )/100,
""""),
  """"
)
"),"")</f>
        <v/>
      </c>
    </row>
    <row r="910">
      <c r="D910" s="172"/>
      <c r="E910" s="368"/>
      <c r="F910" s="368"/>
      <c r="G910" s="368"/>
      <c r="H910" s="172"/>
      <c r="I910" s="172"/>
      <c r="J910" s="172"/>
      <c r="K910" s="172"/>
      <c r="L910" s="172"/>
      <c r="M910" s="172"/>
      <c r="N910" s="172"/>
      <c r="O910" s="358"/>
      <c r="P910" s="358"/>
      <c r="Q910" s="358"/>
      <c r="R910" s="378"/>
      <c r="S910" s="378"/>
      <c r="T910" s="8"/>
      <c r="U910" s="8"/>
      <c r="V910" s="8"/>
      <c r="W910" s="172"/>
      <c r="X910" s="172"/>
      <c r="Y910" s="8"/>
      <c r="Z910" s="8"/>
      <c r="AA910" s="8"/>
      <c r="AB910" s="172"/>
      <c r="AC910" s="172"/>
      <c r="AD910" s="8"/>
      <c r="AE910" s="8"/>
      <c r="AF910" s="8"/>
      <c r="AG910" s="172"/>
      <c r="AH910" s="172"/>
      <c r="AI910" s="367"/>
      <c r="AJ910" s="362"/>
      <c r="AK910" s="363" t="str">
        <f>IFERROR(__xludf.DUMMYFUNCTION("IFERROR(if(D912&lt;&gt;"""", 
  AVERAGE(
    QUERY(
      IMPORTRANGE(""1-uH1wy6jSm5jYL9je6fN1K5RJ5QMvHntodEHZRtIvTk"", ""All Data!N2:U""),
      ""select Col8 where Col1 = '"" &amp; D912 &amp; ""' and Col8 is not null"",
      0
    )
  )/100,
""""),
  """"
)
"),"")</f>
        <v/>
      </c>
    </row>
    <row r="911">
      <c r="D911" s="172"/>
      <c r="E911" s="368"/>
      <c r="F911" s="368"/>
      <c r="G911" s="368"/>
      <c r="H911" s="172"/>
      <c r="I911" s="172"/>
      <c r="J911" s="172"/>
      <c r="K911" s="172"/>
      <c r="L911" s="172"/>
      <c r="M911" s="172"/>
      <c r="N911" s="172"/>
      <c r="O911" s="358"/>
      <c r="P911" s="358"/>
      <c r="Q911" s="358"/>
      <c r="R911" s="378"/>
      <c r="S911" s="378"/>
      <c r="T911" s="8"/>
      <c r="U911" s="8"/>
      <c r="V911" s="8"/>
      <c r="W911" s="172"/>
      <c r="X911" s="172"/>
      <c r="Y911" s="8"/>
      <c r="Z911" s="8"/>
      <c r="AA911" s="8"/>
      <c r="AB911" s="172"/>
      <c r="AC911" s="172"/>
      <c r="AD911" s="8"/>
      <c r="AE911" s="8"/>
      <c r="AF911" s="8"/>
      <c r="AG911" s="172"/>
      <c r="AH911" s="172"/>
      <c r="AI911" s="367"/>
      <c r="AJ911" s="362"/>
      <c r="AK911" s="363" t="str">
        <f>IFERROR(__xludf.DUMMYFUNCTION("IFERROR(if(D913&lt;&gt;"""", 
  AVERAGE(
    QUERY(
      IMPORTRANGE(""1-uH1wy6jSm5jYL9je6fN1K5RJ5QMvHntodEHZRtIvTk"", ""All Data!N2:U""),
      ""select Col8 where Col1 = '"" &amp; D913 &amp; ""' and Col8 is not null"",
      0
    )
  )/100,
""""),
  """"
)
"),"")</f>
        <v/>
      </c>
    </row>
    <row r="912">
      <c r="D912" s="172"/>
      <c r="E912" s="368"/>
      <c r="F912" s="368"/>
      <c r="G912" s="368"/>
      <c r="H912" s="172"/>
      <c r="I912" s="172"/>
      <c r="J912" s="172"/>
      <c r="K912" s="172"/>
      <c r="L912" s="172"/>
      <c r="M912" s="172"/>
      <c r="N912" s="172"/>
      <c r="O912" s="358"/>
      <c r="P912" s="358"/>
      <c r="Q912" s="358"/>
      <c r="R912" s="378"/>
      <c r="S912" s="378"/>
      <c r="T912" s="8"/>
      <c r="U912" s="8"/>
      <c r="V912" s="8"/>
      <c r="W912" s="172"/>
      <c r="X912" s="172"/>
      <c r="Y912" s="8"/>
      <c r="Z912" s="8"/>
      <c r="AA912" s="8"/>
      <c r="AB912" s="172"/>
      <c r="AC912" s="172"/>
      <c r="AD912" s="8"/>
      <c r="AE912" s="8"/>
      <c r="AF912" s="8"/>
      <c r="AG912" s="172"/>
      <c r="AH912" s="172"/>
      <c r="AI912" s="367"/>
      <c r="AJ912" s="362"/>
      <c r="AK912" s="363" t="str">
        <f>IFERROR(__xludf.DUMMYFUNCTION("IFERROR(if(D914&lt;&gt;"""", 
  AVERAGE(
    QUERY(
      IMPORTRANGE(""1-uH1wy6jSm5jYL9je6fN1K5RJ5QMvHntodEHZRtIvTk"", ""All Data!N2:U""),
      ""select Col8 where Col1 = '"" &amp; D914 &amp; ""' and Col8 is not null"",
      0
    )
  )/100,
""""),
  """"
)
"),"")</f>
        <v/>
      </c>
    </row>
    <row r="913">
      <c r="D913" s="172"/>
      <c r="E913" s="368"/>
      <c r="F913" s="368"/>
      <c r="G913" s="368"/>
      <c r="H913" s="172"/>
      <c r="I913" s="172"/>
      <c r="J913" s="172"/>
      <c r="K913" s="172"/>
      <c r="L913" s="172"/>
      <c r="M913" s="172"/>
      <c r="N913" s="172"/>
      <c r="O913" s="358"/>
      <c r="P913" s="358"/>
      <c r="Q913" s="358"/>
      <c r="R913" s="378"/>
      <c r="S913" s="378"/>
      <c r="T913" s="8"/>
      <c r="U913" s="8"/>
      <c r="V913" s="8"/>
      <c r="W913" s="172"/>
      <c r="X913" s="172"/>
      <c r="Y913" s="8"/>
      <c r="Z913" s="8"/>
      <c r="AA913" s="8"/>
      <c r="AB913" s="172"/>
      <c r="AC913" s="172"/>
      <c r="AD913" s="8"/>
      <c r="AE913" s="8"/>
      <c r="AF913" s="8"/>
      <c r="AG913" s="172"/>
      <c r="AH913" s="172"/>
      <c r="AI913" s="367"/>
      <c r="AJ913" s="362"/>
      <c r="AK913" s="363" t="str">
        <f>IFERROR(__xludf.DUMMYFUNCTION("IFERROR(if(D915&lt;&gt;"""", 
  AVERAGE(
    QUERY(
      IMPORTRANGE(""1-uH1wy6jSm5jYL9je6fN1K5RJ5QMvHntodEHZRtIvTk"", ""All Data!N2:U""),
      ""select Col8 where Col1 = '"" &amp; D915 &amp; ""' and Col8 is not null"",
      0
    )
  )/100,
""""),
  """"
)
"),"")</f>
        <v/>
      </c>
    </row>
    <row r="914">
      <c r="D914" s="172"/>
      <c r="E914" s="368"/>
      <c r="F914" s="368"/>
      <c r="G914" s="368"/>
      <c r="H914" s="172"/>
      <c r="I914" s="172"/>
      <c r="J914" s="172"/>
      <c r="K914" s="172"/>
      <c r="L914" s="172"/>
      <c r="M914" s="172"/>
      <c r="N914" s="172"/>
      <c r="O914" s="358"/>
      <c r="P914" s="358"/>
      <c r="Q914" s="358"/>
      <c r="R914" s="378"/>
      <c r="S914" s="378"/>
      <c r="T914" s="8"/>
      <c r="U914" s="8"/>
      <c r="V914" s="8"/>
      <c r="W914" s="172"/>
      <c r="X914" s="172"/>
      <c r="Y914" s="8"/>
      <c r="Z914" s="8"/>
      <c r="AA914" s="8"/>
      <c r="AB914" s="172"/>
      <c r="AC914" s="172"/>
      <c r="AD914" s="8"/>
      <c r="AE914" s="8"/>
      <c r="AF914" s="8"/>
      <c r="AG914" s="172"/>
      <c r="AH914" s="172"/>
      <c r="AI914" s="367"/>
      <c r="AJ914" s="362"/>
      <c r="AK914" s="363" t="str">
        <f>IFERROR(__xludf.DUMMYFUNCTION("IFERROR(if(D916&lt;&gt;"""", 
  AVERAGE(
    QUERY(
      IMPORTRANGE(""1-uH1wy6jSm5jYL9je6fN1K5RJ5QMvHntodEHZRtIvTk"", ""All Data!N2:U""),
      ""select Col8 where Col1 = '"" &amp; D916 &amp; ""' and Col8 is not null"",
      0
    )
  )/100,
""""),
  """"
)
"),"")</f>
        <v/>
      </c>
    </row>
    <row r="915">
      <c r="D915" s="172"/>
      <c r="E915" s="368"/>
      <c r="F915" s="368"/>
      <c r="G915" s="368"/>
      <c r="H915" s="172"/>
      <c r="I915" s="172"/>
      <c r="J915" s="172"/>
      <c r="K915" s="172"/>
      <c r="L915" s="172"/>
      <c r="M915" s="172"/>
      <c r="N915" s="172"/>
      <c r="O915" s="358"/>
      <c r="P915" s="358"/>
      <c r="Q915" s="358"/>
      <c r="R915" s="378"/>
      <c r="S915" s="378"/>
      <c r="T915" s="8"/>
      <c r="U915" s="8"/>
      <c r="V915" s="8"/>
      <c r="W915" s="172"/>
      <c r="X915" s="172"/>
      <c r="Y915" s="8"/>
      <c r="Z915" s="8"/>
      <c r="AA915" s="8"/>
      <c r="AB915" s="172"/>
      <c r="AC915" s="172"/>
      <c r="AD915" s="8"/>
      <c r="AE915" s="8"/>
      <c r="AF915" s="8"/>
      <c r="AG915" s="172"/>
      <c r="AH915" s="172"/>
      <c r="AI915" s="367"/>
      <c r="AJ915" s="362"/>
      <c r="AK915" s="363" t="str">
        <f>IFERROR(__xludf.DUMMYFUNCTION("IFERROR(if(D917&lt;&gt;"""", 
  AVERAGE(
    QUERY(
      IMPORTRANGE(""1-uH1wy6jSm5jYL9je6fN1K5RJ5QMvHntodEHZRtIvTk"", ""All Data!N2:U""),
      ""select Col8 where Col1 = '"" &amp; D917 &amp; ""' and Col8 is not null"",
      0
    )
  )/100,
""""),
  """"
)
"),"")</f>
        <v/>
      </c>
    </row>
    <row r="916">
      <c r="D916" s="172"/>
      <c r="E916" s="368"/>
      <c r="F916" s="368"/>
      <c r="G916" s="368"/>
      <c r="H916" s="172"/>
      <c r="I916" s="172"/>
      <c r="J916" s="172"/>
      <c r="K916" s="172"/>
      <c r="L916" s="172"/>
      <c r="M916" s="172"/>
      <c r="N916" s="172"/>
      <c r="O916" s="358"/>
      <c r="P916" s="358"/>
      <c r="Q916" s="358"/>
      <c r="R916" s="378"/>
      <c r="S916" s="378"/>
      <c r="T916" s="8"/>
      <c r="U916" s="8"/>
      <c r="V916" s="8"/>
      <c r="W916" s="172"/>
      <c r="X916" s="172"/>
      <c r="Y916" s="8"/>
      <c r="Z916" s="8"/>
      <c r="AA916" s="8"/>
      <c r="AB916" s="172"/>
      <c r="AC916" s="172"/>
      <c r="AD916" s="8"/>
      <c r="AE916" s="8"/>
      <c r="AF916" s="8"/>
      <c r="AG916" s="172"/>
      <c r="AH916" s="172"/>
      <c r="AI916" s="367"/>
      <c r="AJ916" s="362"/>
      <c r="AK916" s="363" t="str">
        <f>IFERROR(__xludf.DUMMYFUNCTION("IFERROR(if(D918&lt;&gt;"""", 
  AVERAGE(
    QUERY(
      IMPORTRANGE(""1-uH1wy6jSm5jYL9je6fN1K5RJ5QMvHntodEHZRtIvTk"", ""All Data!N2:U""),
      ""select Col8 where Col1 = '"" &amp; D918 &amp; ""' and Col8 is not null"",
      0
    )
  )/100,
""""),
  """"
)
"),"")</f>
        <v/>
      </c>
    </row>
    <row r="917">
      <c r="D917" s="172"/>
      <c r="E917" s="368"/>
      <c r="F917" s="368"/>
      <c r="G917" s="368"/>
      <c r="H917" s="172"/>
      <c r="I917" s="172"/>
      <c r="J917" s="172"/>
      <c r="K917" s="172"/>
      <c r="L917" s="172"/>
      <c r="M917" s="172"/>
      <c r="N917" s="172"/>
      <c r="O917" s="358"/>
      <c r="P917" s="358"/>
      <c r="Q917" s="358"/>
      <c r="R917" s="378"/>
      <c r="S917" s="378"/>
      <c r="T917" s="8"/>
      <c r="U917" s="8"/>
      <c r="V917" s="8"/>
      <c r="W917" s="172"/>
      <c r="X917" s="172"/>
      <c r="Y917" s="8"/>
      <c r="Z917" s="8"/>
      <c r="AA917" s="8"/>
      <c r="AB917" s="172"/>
      <c r="AC917" s="172"/>
      <c r="AD917" s="8"/>
      <c r="AE917" s="8"/>
      <c r="AF917" s="8"/>
      <c r="AG917" s="172"/>
      <c r="AH917" s="172"/>
      <c r="AI917" s="367"/>
      <c r="AJ917" s="362"/>
      <c r="AK917" s="363" t="str">
        <f>IFERROR(__xludf.DUMMYFUNCTION("IFERROR(if(D919&lt;&gt;"""", 
  AVERAGE(
    QUERY(
      IMPORTRANGE(""1-uH1wy6jSm5jYL9je6fN1K5RJ5QMvHntodEHZRtIvTk"", ""All Data!N2:U""),
      ""select Col8 where Col1 = '"" &amp; D919 &amp; ""' and Col8 is not null"",
      0
    )
  )/100,
""""),
  """"
)
"),"")</f>
        <v/>
      </c>
    </row>
    <row r="918">
      <c r="D918" s="172"/>
      <c r="E918" s="368"/>
      <c r="F918" s="368"/>
      <c r="G918" s="368"/>
      <c r="H918" s="172"/>
      <c r="I918" s="172"/>
      <c r="J918" s="172"/>
      <c r="K918" s="172"/>
      <c r="L918" s="172"/>
      <c r="M918" s="172"/>
      <c r="N918" s="172"/>
      <c r="O918" s="358"/>
      <c r="P918" s="358"/>
      <c r="Q918" s="358"/>
      <c r="R918" s="378"/>
      <c r="S918" s="378"/>
      <c r="T918" s="8"/>
      <c r="U918" s="8"/>
      <c r="V918" s="8"/>
      <c r="W918" s="172"/>
      <c r="X918" s="172"/>
      <c r="Y918" s="8"/>
      <c r="Z918" s="8"/>
      <c r="AA918" s="8"/>
      <c r="AB918" s="172"/>
      <c r="AC918" s="172"/>
      <c r="AD918" s="8"/>
      <c r="AE918" s="8"/>
      <c r="AF918" s="8"/>
      <c r="AG918" s="172"/>
      <c r="AH918" s="172"/>
      <c r="AI918" s="367"/>
      <c r="AJ918" s="362"/>
      <c r="AK918" s="363" t="str">
        <f>IFERROR(__xludf.DUMMYFUNCTION("IFERROR(if(D920&lt;&gt;"""", 
  AVERAGE(
    QUERY(
      IMPORTRANGE(""1-uH1wy6jSm5jYL9je6fN1K5RJ5QMvHntodEHZRtIvTk"", ""All Data!N2:U""),
      ""select Col8 where Col1 = '"" &amp; D920 &amp; ""' and Col8 is not null"",
      0
    )
  )/100,
""""),
  """"
)
"),"")</f>
        <v/>
      </c>
    </row>
    <row r="919">
      <c r="D919" s="172"/>
      <c r="E919" s="368"/>
      <c r="F919" s="368"/>
      <c r="G919" s="368"/>
      <c r="H919" s="172"/>
      <c r="I919" s="172"/>
      <c r="J919" s="172"/>
      <c r="K919" s="172"/>
      <c r="L919" s="172"/>
      <c r="M919" s="172"/>
      <c r="N919" s="172"/>
      <c r="O919" s="358"/>
      <c r="P919" s="358"/>
      <c r="Q919" s="358"/>
      <c r="R919" s="378"/>
      <c r="S919" s="378"/>
      <c r="T919" s="8"/>
      <c r="U919" s="8"/>
      <c r="V919" s="8"/>
      <c r="W919" s="172"/>
      <c r="X919" s="172"/>
      <c r="Y919" s="8"/>
      <c r="Z919" s="8"/>
      <c r="AA919" s="8"/>
      <c r="AB919" s="172"/>
      <c r="AC919" s="172"/>
      <c r="AD919" s="8"/>
      <c r="AE919" s="8"/>
      <c r="AF919" s="8"/>
      <c r="AG919" s="172"/>
      <c r="AH919" s="172"/>
      <c r="AI919" s="367"/>
      <c r="AJ919" s="362"/>
      <c r="AK919" s="363" t="str">
        <f>IFERROR(__xludf.DUMMYFUNCTION("IFERROR(if(D921&lt;&gt;"""", 
  AVERAGE(
    QUERY(
      IMPORTRANGE(""1-uH1wy6jSm5jYL9je6fN1K5RJ5QMvHntodEHZRtIvTk"", ""All Data!N2:U""),
      ""select Col8 where Col1 = '"" &amp; D921 &amp; ""' and Col8 is not null"",
      0
    )
  )/100,
""""),
  """"
)
"),"")</f>
        <v/>
      </c>
    </row>
    <row r="920">
      <c r="D920" s="172"/>
      <c r="E920" s="368"/>
      <c r="F920" s="368"/>
      <c r="G920" s="368"/>
      <c r="H920" s="172"/>
      <c r="I920" s="172"/>
      <c r="J920" s="172"/>
      <c r="K920" s="172"/>
      <c r="L920" s="172"/>
      <c r="M920" s="172"/>
      <c r="N920" s="172"/>
      <c r="O920" s="358"/>
      <c r="P920" s="358"/>
      <c r="Q920" s="358"/>
      <c r="R920" s="378"/>
      <c r="S920" s="378"/>
      <c r="T920" s="8"/>
      <c r="U920" s="8"/>
      <c r="V920" s="8"/>
      <c r="W920" s="172"/>
      <c r="X920" s="172"/>
      <c r="Y920" s="8"/>
      <c r="Z920" s="8"/>
      <c r="AA920" s="8"/>
      <c r="AB920" s="172"/>
      <c r="AC920" s="172"/>
      <c r="AD920" s="8"/>
      <c r="AE920" s="8"/>
      <c r="AF920" s="8"/>
      <c r="AG920" s="172"/>
      <c r="AH920" s="172"/>
      <c r="AI920" s="367"/>
      <c r="AJ920" s="362"/>
      <c r="AK920" s="363" t="str">
        <f>IFERROR(__xludf.DUMMYFUNCTION("IFERROR(if(D922&lt;&gt;"""", 
  AVERAGE(
    QUERY(
      IMPORTRANGE(""1-uH1wy6jSm5jYL9je6fN1K5RJ5QMvHntodEHZRtIvTk"", ""All Data!N2:U""),
      ""select Col8 where Col1 = '"" &amp; D922 &amp; ""' and Col8 is not null"",
      0
    )
  )/100,
""""),
  """"
)
"),"")</f>
        <v/>
      </c>
    </row>
    <row r="921">
      <c r="D921" s="172"/>
      <c r="E921" s="368"/>
      <c r="F921" s="368"/>
      <c r="G921" s="368"/>
      <c r="H921" s="172"/>
      <c r="I921" s="172"/>
      <c r="J921" s="172"/>
      <c r="K921" s="172"/>
      <c r="L921" s="172"/>
      <c r="M921" s="172"/>
      <c r="N921" s="172"/>
      <c r="O921" s="358"/>
      <c r="P921" s="358"/>
      <c r="Q921" s="358"/>
      <c r="R921" s="378"/>
      <c r="S921" s="378"/>
      <c r="T921" s="8"/>
      <c r="U921" s="8"/>
      <c r="V921" s="8"/>
      <c r="W921" s="172"/>
      <c r="X921" s="172"/>
      <c r="Y921" s="8"/>
      <c r="Z921" s="8"/>
      <c r="AA921" s="8"/>
      <c r="AB921" s="172"/>
      <c r="AC921" s="172"/>
      <c r="AD921" s="8"/>
      <c r="AE921" s="8"/>
      <c r="AF921" s="8"/>
      <c r="AG921" s="172"/>
      <c r="AH921" s="172"/>
      <c r="AI921" s="367"/>
      <c r="AJ921" s="362"/>
      <c r="AK921" s="363" t="str">
        <f>IFERROR(__xludf.DUMMYFUNCTION("IFERROR(if(D923&lt;&gt;"""", 
  AVERAGE(
    QUERY(
      IMPORTRANGE(""1-uH1wy6jSm5jYL9je6fN1K5RJ5QMvHntodEHZRtIvTk"", ""All Data!N2:U""),
      ""select Col8 where Col1 = '"" &amp; D923 &amp; ""' and Col8 is not null"",
      0
    )
  )/100,
""""),
  """"
)
"),"")</f>
        <v/>
      </c>
    </row>
    <row r="922">
      <c r="D922" s="172"/>
      <c r="E922" s="368"/>
      <c r="F922" s="368"/>
      <c r="G922" s="368"/>
      <c r="H922" s="172"/>
      <c r="I922" s="172"/>
      <c r="J922" s="172"/>
      <c r="K922" s="172"/>
      <c r="L922" s="172"/>
      <c r="M922" s="172"/>
      <c r="N922" s="172"/>
      <c r="O922" s="358"/>
      <c r="P922" s="358"/>
      <c r="Q922" s="358"/>
      <c r="R922" s="378"/>
      <c r="S922" s="378"/>
      <c r="T922" s="8"/>
      <c r="U922" s="8"/>
      <c r="V922" s="8"/>
      <c r="W922" s="172"/>
      <c r="X922" s="172"/>
      <c r="Y922" s="8"/>
      <c r="Z922" s="8"/>
      <c r="AA922" s="8"/>
      <c r="AB922" s="172"/>
      <c r="AC922" s="172"/>
      <c r="AD922" s="8"/>
      <c r="AE922" s="8"/>
      <c r="AF922" s="8"/>
      <c r="AG922" s="172"/>
      <c r="AH922" s="172"/>
      <c r="AI922" s="367"/>
      <c r="AJ922" s="362"/>
      <c r="AK922" s="363" t="str">
        <f>IFERROR(__xludf.DUMMYFUNCTION("IFERROR(if(D924&lt;&gt;"""", 
  AVERAGE(
    QUERY(
      IMPORTRANGE(""1-uH1wy6jSm5jYL9je6fN1K5RJ5QMvHntodEHZRtIvTk"", ""All Data!N2:U""),
      ""select Col8 where Col1 = '"" &amp; D924 &amp; ""' and Col8 is not null"",
      0
    )
  )/100,
""""),
  """"
)
"),"")</f>
        <v/>
      </c>
    </row>
    <row r="923">
      <c r="D923" s="172"/>
      <c r="E923" s="368"/>
      <c r="F923" s="368"/>
      <c r="G923" s="368"/>
      <c r="H923" s="172"/>
      <c r="I923" s="172"/>
      <c r="J923" s="172"/>
      <c r="K923" s="172"/>
      <c r="L923" s="172"/>
      <c r="M923" s="172"/>
      <c r="N923" s="172"/>
      <c r="O923" s="358"/>
      <c r="P923" s="358"/>
      <c r="Q923" s="358"/>
      <c r="R923" s="378"/>
      <c r="S923" s="378"/>
      <c r="T923" s="8"/>
      <c r="U923" s="8"/>
      <c r="V923" s="8"/>
      <c r="W923" s="172"/>
      <c r="X923" s="172"/>
      <c r="Y923" s="8"/>
      <c r="Z923" s="8"/>
      <c r="AA923" s="8"/>
      <c r="AB923" s="172"/>
      <c r="AC923" s="172"/>
      <c r="AD923" s="8"/>
      <c r="AE923" s="8"/>
      <c r="AF923" s="8"/>
      <c r="AG923" s="172"/>
      <c r="AH923" s="172"/>
      <c r="AI923" s="367"/>
      <c r="AJ923" s="362"/>
      <c r="AK923" s="363" t="str">
        <f>IFERROR(__xludf.DUMMYFUNCTION("IFERROR(if(D925&lt;&gt;"""", 
  AVERAGE(
    QUERY(
      IMPORTRANGE(""1-uH1wy6jSm5jYL9je6fN1K5RJ5QMvHntodEHZRtIvTk"", ""All Data!N2:U""),
      ""select Col8 where Col1 = '"" &amp; D925 &amp; ""' and Col8 is not null"",
      0
    )
  )/100,
""""),
  """"
)
"),"")</f>
        <v/>
      </c>
    </row>
    <row r="924">
      <c r="D924" s="172"/>
      <c r="E924" s="368"/>
      <c r="F924" s="368"/>
      <c r="G924" s="368"/>
      <c r="H924" s="172"/>
      <c r="I924" s="172"/>
      <c r="J924" s="172"/>
      <c r="K924" s="172"/>
      <c r="L924" s="172"/>
      <c r="M924" s="172"/>
      <c r="N924" s="172"/>
      <c r="O924" s="358"/>
      <c r="P924" s="358"/>
      <c r="Q924" s="358"/>
      <c r="R924" s="378"/>
      <c r="S924" s="378"/>
      <c r="T924" s="8"/>
      <c r="U924" s="8"/>
      <c r="V924" s="8"/>
      <c r="W924" s="172"/>
      <c r="X924" s="172"/>
      <c r="Y924" s="8"/>
      <c r="Z924" s="8"/>
      <c r="AA924" s="8"/>
      <c r="AB924" s="172"/>
      <c r="AC924" s="172"/>
      <c r="AD924" s="8"/>
      <c r="AE924" s="8"/>
      <c r="AF924" s="8"/>
      <c r="AG924" s="172"/>
      <c r="AH924" s="172"/>
      <c r="AI924" s="367"/>
      <c r="AJ924" s="362"/>
      <c r="AK924" s="363" t="str">
        <f>IFERROR(__xludf.DUMMYFUNCTION("IFERROR(if(D926&lt;&gt;"""", 
  AVERAGE(
    QUERY(
      IMPORTRANGE(""1-uH1wy6jSm5jYL9je6fN1K5RJ5QMvHntodEHZRtIvTk"", ""All Data!N2:U""),
      ""select Col8 where Col1 = '"" &amp; D926 &amp; ""' and Col8 is not null"",
      0
    )
  )/100,
""""),
  """"
)
"),"")</f>
        <v/>
      </c>
    </row>
    <row r="925">
      <c r="D925" s="172"/>
      <c r="E925" s="368"/>
      <c r="F925" s="368"/>
      <c r="G925" s="368"/>
      <c r="H925" s="172"/>
      <c r="I925" s="172"/>
      <c r="J925" s="172"/>
      <c r="K925" s="172"/>
      <c r="L925" s="172"/>
      <c r="M925" s="172"/>
      <c r="N925" s="172"/>
      <c r="O925" s="358"/>
      <c r="P925" s="358"/>
      <c r="Q925" s="358"/>
      <c r="R925" s="378"/>
      <c r="S925" s="378"/>
      <c r="T925" s="8"/>
      <c r="U925" s="8"/>
      <c r="V925" s="8"/>
      <c r="W925" s="172"/>
      <c r="X925" s="172"/>
      <c r="Y925" s="8"/>
      <c r="Z925" s="8"/>
      <c r="AA925" s="8"/>
      <c r="AB925" s="172"/>
      <c r="AC925" s="172"/>
      <c r="AD925" s="8"/>
      <c r="AE925" s="8"/>
      <c r="AF925" s="8"/>
      <c r="AG925" s="172"/>
      <c r="AH925" s="172"/>
      <c r="AI925" s="367"/>
      <c r="AJ925" s="362"/>
      <c r="AK925" s="363" t="str">
        <f>IFERROR(__xludf.DUMMYFUNCTION("IFERROR(if(D927&lt;&gt;"""", 
  AVERAGE(
    QUERY(
      IMPORTRANGE(""1-uH1wy6jSm5jYL9je6fN1K5RJ5QMvHntodEHZRtIvTk"", ""All Data!N2:U""),
      ""select Col8 where Col1 = '"" &amp; D927 &amp; ""' and Col8 is not null"",
      0
    )
  )/100,
""""),
  """"
)
"),"")</f>
        <v/>
      </c>
    </row>
    <row r="926">
      <c r="D926" s="172"/>
      <c r="E926" s="368"/>
      <c r="F926" s="368"/>
      <c r="G926" s="368"/>
      <c r="H926" s="172"/>
      <c r="I926" s="172"/>
      <c r="J926" s="172"/>
      <c r="K926" s="172"/>
      <c r="L926" s="172"/>
      <c r="M926" s="172"/>
      <c r="N926" s="172"/>
      <c r="O926" s="358"/>
      <c r="P926" s="358"/>
      <c r="Q926" s="358"/>
      <c r="R926" s="378"/>
      <c r="S926" s="378"/>
      <c r="T926" s="8"/>
      <c r="U926" s="8"/>
      <c r="V926" s="8"/>
      <c r="W926" s="172"/>
      <c r="X926" s="172"/>
      <c r="Y926" s="8"/>
      <c r="Z926" s="8"/>
      <c r="AA926" s="8"/>
      <c r="AB926" s="172"/>
      <c r="AC926" s="172"/>
      <c r="AD926" s="8"/>
      <c r="AE926" s="8"/>
      <c r="AF926" s="8"/>
      <c r="AG926" s="172"/>
      <c r="AH926" s="172"/>
      <c r="AI926" s="367"/>
      <c r="AJ926" s="362"/>
      <c r="AK926" s="363" t="str">
        <f>IFERROR(__xludf.DUMMYFUNCTION("IFERROR(if(D928&lt;&gt;"""", 
  AVERAGE(
    QUERY(
      IMPORTRANGE(""1-uH1wy6jSm5jYL9je6fN1K5RJ5QMvHntodEHZRtIvTk"", ""All Data!N2:U""),
      ""select Col8 where Col1 = '"" &amp; D928 &amp; ""' and Col8 is not null"",
      0
    )
  )/100,
""""),
  """"
)
"),"")</f>
        <v/>
      </c>
    </row>
    <row r="927">
      <c r="D927" s="172"/>
      <c r="E927" s="368"/>
      <c r="F927" s="368"/>
      <c r="G927" s="368"/>
      <c r="H927" s="172"/>
      <c r="I927" s="172"/>
      <c r="J927" s="172"/>
      <c r="K927" s="172"/>
      <c r="L927" s="172"/>
      <c r="M927" s="172"/>
      <c r="N927" s="172"/>
      <c r="O927" s="358"/>
      <c r="P927" s="358"/>
      <c r="Q927" s="358"/>
      <c r="R927" s="378"/>
      <c r="S927" s="378"/>
      <c r="T927" s="8"/>
      <c r="U927" s="8"/>
      <c r="V927" s="8"/>
      <c r="W927" s="172"/>
      <c r="X927" s="172"/>
      <c r="Y927" s="8"/>
      <c r="Z927" s="8"/>
      <c r="AA927" s="8"/>
      <c r="AB927" s="172"/>
      <c r="AC927" s="172"/>
      <c r="AD927" s="8"/>
      <c r="AE927" s="8"/>
      <c r="AF927" s="8"/>
      <c r="AG927" s="172"/>
      <c r="AH927" s="172"/>
      <c r="AI927" s="367"/>
      <c r="AJ927" s="362"/>
      <c r="AK927" s="363" t="str">
        <f>IFERROR(__xludf.DUMMYFUNCTION("IFERROR(if(D929&lt;&gt;"""", 
  AVERAGE(
    QUERY(
      IMPORTRANGE(""1-uH1wy6jSm5jYL9je6fN1K5RJ5QMvHntodEHZRtIvTk"", ""All Data!N2:U""),
      ""select Col8 where Col1 = '"" &amp; D929 &amp; ""' and Col8 is not null"",
      0
    )
  )/100,
""""),
  """"
)
"),"")</f>
        <v/>
      </c>
    </row>
    <row r="928">
      <c r="D928" s="172"/>
      <c r="E928" s="368"/>
      <c r="F928" s="368"/>
      <c r="G928" s="368"/>
      <c r="H928" s="172"/>
      <c r="I928" s="172"/>
      <c r="J928" s="172"/>
      <c r="K928" s="172"/>
      <c r="L928" s="172"/>
      <c r="M928" s="172"/>
      <c r="N928" s="172"/>
      <c r="O928" s="358"/>
      <c r="P928" s="358"/>
      <c r="Q928" s="358"/>
      <c r="R928" s="378"/>
      <c r="S928" s="378"/>
      <c r="T928" s="8"/>
      <c r="U928" s="8"/>
      <c r="V928" s="8"/>
      <c r="W928" s="172"/>
      <c r="X928" s="172"/>
      <c r="Y928" s="8"/>
      <c r="Z928" s="8"/>
      <c r="AA928" s="8"/>
      <c r="AB928" s="172"/>
      <c r="AC928" s="172"/>
      <c r="AD928" s="8"/>
      <c r="AE928" s="8"/>
      <c r="AF928" s="8"/>
      <c r="AG928" s="172"/>
      <c r="AH928" s="172"/>
      <c r="AI928" s="367"/>
      <c r="AJ928" s="362"/>
      <c r="AK928" s="363" t="str">
        <f>IFERROR(__xludf.DUMMYFUNCTION("IFERROR(if(D930&lt;&gt;"""", 
  AVERAGE(
    QUERY(
      IMPORTRANGE(""1-uH1wy6jSm5jYL9je6fN1K5RJ5QMvHntodEHZRtIvTk"", ""All Data!N2:U""),
      ""select Col8 where Col1 = '"" &amp; D930 &amp; ""' and Col8 is not null"",
      0
    )
  )/100,
""""),
  """"
)
"),"")</f>
        <v/>
      </c>
    </row>
    <row r="929">
      <c r="D929" s="172"/>
      <c r="E929" s="368"/>
      <c r="F929" s="368"/>
      <c r="G929" s="368"/>
      <c r="H929" s="172"/>
      <c r="I929" s="172"/>
      <c r="J929" s="172"/>
      <c r="K929" s="172"/>
      <c r="L929" s="172"/>
      <c r="M929" s="172"/>
      <c r="N929" s="172"/>
      <c r="O929" s="358"/>
      <c r="P929" s="358"/>
      <c r="Q929" s="358"/>
      <c r="R929" s="378"/>
      <c r="S929" s="378"/>
      <c r="T929" s="8"/>
      <c r="U929" s="8"/>
      <c r="V929" s="8"/>
      <c r="W929" s="172"/>
      <c r="X929" s="172"/>
      <c r="Y929" s="8"/>
      <c r="Z929" s="8"/>
      <c r="AA929" s="8"/>
      <c r="AB929" s="172"/>
      <c r="AC929" s="172"/>
      <c r="AD929" s="8"/>
      <c r="AE929" s="8"/>
      <c r="AF929" s="8"/>
      <c r="AG929" s="172"/>
      <c r="AH929" s="172"/>
      <c r="AI929" s="367"/>
      <c r="AJ929" s="362"/>
      <c r="AK929" s="363" t="str">
        <f>IFERROR(__xludf.DUMMYFUNCTION("IFERROR(if(D931&lt;&gt;"""", 
  AVERAGE(
    QUERY(
      IMPORTRANGE(""1-uH1wy6jSm5jYL9je6fN1K5RJ5QMvHntodEHZRtIvTk"", ""All Data!N2:U""),
      ""select Col8 where Col1 = '"" &amp; D931 &amp; ""' and Col8 is not null"",
      0
    )
  )/100,
""""),
  """"
)
"),"")</f>
        <v/>
      </c>
    </row>
    <row r="930">
      <c r="D930" s="172"/>
      <c r="E930" s="368"/>
      <c r="F930" s="368"/>
      <c r="G930" s="368"/>
      <c r="H930" s="172"/>
      <c r="I930" s="172"/>
      <c r="J930" s="172"/>
      <c r="K930" s="172"/>
      <c r="L930" s="172"/>
      <c r="M930" s="172"/>
      <c r="N930" s="172"/>
      <c r="O930" s="358"/>
      <c r="P930" s="358"/>
      <c r="Q930" s="358"/>
      <c r="R930" s="378"/>
      <c r="S930" s="378"/>
      <c r="T930" s="8"/>
      <c r="U930" s="8"/>
      <c r="V930" s="8"/>
      <c r="W930" s="172"/>
      <c r="X930" s="172"/>
      <c r="Y930" s="8"/>
      <c r="Z930" s="8"/>
      <c r="AA930" s="8"/>
      <c r="AB930" s="172"/>
      <c r="AC930" s="172"/>
      <c r="AD930" s="8"/>
      <c r="AE930" s="8"/>
      <c r="AF930" s="8"/>
      <c r="AG930" s="172"/>
      <c r="AH930" s="172"/>
      <c r="AI930" s="367"/>
      <c r="AJ930" s="362"/>
      <c r="AK930" s="363" t="str">
        <f>IFERROR(__xludf.DUMMYFUNCTION("IFERROR(if(D932&lt;&gt;"""", 
  AVERAGE(
    QUERY(
      IMPORTRANGE(""1-uH1wy6jSm5jYL9je6fN1K5RJ5QMvHntodEHZRtIvTk"", ""All Data!N2:U""),
      ""select Col8 where Col1 = '"" &amp; D932 &amp; ""' and Col8 is not null"",
      0
    )
  )/100,
""""),
  """"
)
"),"")</f>
        <v/>
      </c>
    </row>
    <row r="931">
      <c r="D931" s="172"/>
      <c r="E931" s="368"/>
      <c r="F931" s="368"/>
      <c r="G931" s="368"/>
      <c r="H931" s="172"/>
      <c r="I931" s="172"/>
      <c r="J931" s="172"/>
      <c r="K931" s="172"/>
      <c r="L931" s="172"/>
      <c r="M931" s="172"/>
      <c r="N931" s="172"/>
      <c r="O931" s="358"/>
      <c r="P931" s="358"/>
      <c r="Q931" s="358"/>
      <c r="R931" s="378"/>
      <c r="S931" s="378"/>
      <c r="T931" s="8"/>
      <c r="U931" s="8"/>
      <c r="V931" s="8"/>
      <c r="W931" s="172"/>
      <c r="X931" s="172"/>
      <c r="Y931" s="8"/>
      <c r="Z931" s="8"/>
      <c r="AA931" s="8"/>
      <c r="AB931" s="172"/>
      <c r="AC931" s="172"/>
      <c r="AD931" s="8"/>
      <c r="AE931" s="8"/>
      <c r="AF931" s="8"/>
      <c r="AG931" s="172"/>
      <c r="AH931" s="172"/>
      <c r="AI931" s="367"/>
      <c r="AJ931" s="362"/>
      <c r="AK931" s="363" t="str">
        <f>IFERROR(__xludf.DUMMYFUNCTION("IFERROR(if(D933&lt;&gt;"""", 
  AVERAGE(
    QUERY(
      IMPORTRANGE(""1-uH1wy6jSm5jYL9je6fN1K5RJ5QMvHntodEHZRtIvTk"", ""All Data!N2:U""),
      ""select Col8 where Col1 = '"" &amp; D933 &amp; ""' and Col8 is not null"",
      0
    )
  )/100,
""""),
  """"
)
"),"")</f>
        <v/>
      </c>
    </row>
    <row r="932">
      <c r="D932" s="172"/>
      <c r="E932" s="368"/>
      <c r="F932" s="368"/>
      <c r="G932" s="368"/>
      <c r="H932" s="172"/>
      <c r="I932" s="172"/>
      <c r="J932" s="172"/>
      <c r="K932" s="172"/>
      <c r="L932" s="172"/>
      <c r="M932" s="172"/>
      <c r="N932" s="172"/>
      <c r="O932" s="358"/>
      <c r="P932" s="358"/>
      <c r="Q932" s="358"/>
      <c r="R932" s="378"/>
      <c r="S932" s="378"/>
      <c r="T932" s="8"/>
      <c r="U932" s="8"/>
      <c r="V932" s="8"/>
      <c r="W932" s="172"/>
      <c r="X932" s="172"/>
      <c r="Y932" s="8"/>
      <c r="Z932" s="8"/>
      <c r="AA932" s="8"/>
      <c r="AB932" s="172"/>
      <c r="AC932" s="172"/>
      <c r="AD932" s="8"/>
      <c r="AE932" s="8"/>
      <c r="AF932" s="8"/>
      <c r="AG932" s="172"/>
      <c r="AH932" s="172"/>
      <c r="AI932" s="367"/>
      <c r="AJ932" s="362"/>
      <c r="AK932" s="363" t="str">
        <f>IFERROR(__xludf.DUMMYFUNCTION("IFERROR(if(D934&lt;&gt;"""", 
  AVERAGE(
    QUERY(
      IMPORTRANGE(""1-uH1wy6jSm5jYL9je6fN1K5RJ5QMvHntodEHZRtIvTk"", ""All Data!N2:U""),
      ""select Col8 where Col1 = '"" &amp; D934 &amp; ""' and Col8 is not null"",
      0
    )
  )/100,
""""),
  """"
)
"),"")</f>
        <v/>
      </c>
    </row>
    <row r="933">
      <c r="D933" s="172"/>
      <c r="E933" s="368"/>
      <c r="F933" s="368"/>
      <c r="G933" s="368"/>
      <c r="H933" s="172"/>
      <c r="I933" s="172"/>
      <c r="J933" s="172"/>
      <c r="K933" s="172"/>
      <c r="L933" s="172"/>
      <c r="M933" s="172"/>
      <c r="N933" s="172"/>
      <c r="O933" s="358"/>
      <c r="P933" s="358"/>
      <c r="Q933" s="358"/>
      <c r="R933" s="378"/>
      <c r="S933" s="378"/>
      <c r="T933" s="8"/>
      <c r="U933" s="8"/>
      <c r="V933" s="8"/>
      <c r="W933" s="172"/>
      <c r="X933" s="172"/>
      <c r="Y933" s="8"/>
      <c r="Z933" s="8"/>
      <c r="AA933" s="8"/>
      <c r="AB933" s="172"/>
      <c r="AC933" s="172"/>
      <c r="AD933" s="8"/>
      <c r="AE933" s="8"/>
      <c r="AF933" s="8"/>
      <c r="AG933" s="172"/>
      <c r="AH933" s="172"/>
      <c r="AI933" s="367"/>
      <c r="AJ933" s="362"/>
      <c r="AK933" s="363" t="str">
        <f>IFERROR(__xludf.DUMMYFUNCTION("IFERROR(if(D935&lt;&gt;"""", 
  AVERAGE(
    QUERY(
      IMPORTRANGE(""1-uH1wy6jSm5jYL9je6fN1K5RJ5QMvHntodEHZRtIvTk"", ""All Data!N2:U""),
      ""select Col8 where Col1 = '"" &amp; D935 &amp; ""' and Col8 is not null"",
      0
    )
  )/100,
""""),
  """"
)
"),"")</f>
        <v/>
      </c>
    </row>
    <row r="934">
      <c r="D934" s="172"/>
      <c r="E934" s="368"/>
      <c r="F934" s="368"/>
      <c r="G934" s="368"/>
      <c r="H934" s="172"/>
      <c r="I934" s="172"/>
      <c r="J934" s="172"/>
      <c r="K934" s="172"/>
      <c r="L934" s="172"/>
      <c r="M934" s="172"/>
      <c r="N934" s="172"/>
      <c r="O934" s="358"/>
      <c r="P934" s="358"/>
      <c r="Q934" s="358"/>
      <c r="R934" s="378"/>
      <c r="S934" s="378"/>
      <c r="T934" s="8"/>
      <c r="U934" s="8"/>
      <c r="V934" s="8"/>
      <c r="W934" s="172"/>
      <c r="X934" s="172"/>
      <c r="Y934" s="8"/>
      <c r="Z934" s="8"/>
      <c r="AA934" s="8"/>
      <c r="AB934" s="172"/>
      <c r="AC934" s="172"/>
      <c r="AD934" s="8"/>
      <c r="AE934" s="8"/>
      <c r="AF934" s="8"/>
      <c r="AG934" s="172"/>
      <c r="AH934" s="172"/>
      <c r="AI934" s="367"/>
      <c r="AJ934" s="362"/>
      <c r="AK934" s="363" t="str">
        <f>IFERROR(__xludf.DUMMYFUNCTION("IFERROR(if(D936&lt;&gt;"""", 
  AVERAGE(
    QUERY(
      IMPORTRANGE(""1-uH1wy6jSm5jYL9je6fN1K5RJ5QMvHntodEHZRtIvTk"", ""All Data!N2:U""),
      ""select Col8 where Col1 = '"" &amp; D936 &amp; ""' and Col8 is not null"",
      0
    )
  )/100,
""""),
  """"
)
"),"")</f>
        <v/>
      </c>
    </row>
    <row r="935">
      <c r="D935" s="172"/>
      <c r="E935" s="368"/>
      <c r="F935" s="368"/>
      <c r="G935" s="368"/>
      <c r="H935" s="172"/>
      <c r="I935" s="172"/>
      <c r="J935" s="172"/>
      <c r="K935" s="172"/>
      <c r="L935" s="172"/>
      <c r="M935" s="172"/>
      <c r="N935" s="172"/>
      <c r="O935" s="358"/>
      <c r="P935" s="358"/>
      <c r="Q935" s="358"/>
      <c r="R935" s="378"/>
      <c r="S935" s="378"/>
      <c r="T935" s="8"/>
      <c r="U935" s="8"/>
      <c r="V935" s="8"/>
      <c r="W935" s="172"/>
      <c r="X935" s="172"/>
      <c r="Y935" s="8"/>
      <c r="Z935" s="8"/>
      <c r="AA935" s="8"/>
      <c r="AB935" s="172"/>
      <c r="AC935" s="172"/>
      <c r="AD935" s="8"/>
      <c r="AE935" s="8"/>
      <c r="AF935" s="8"/>
      <c r="AG935" s="172"/>
      <c r="AH935" s="172"/>
      <c r="AI935" s="367"/>
      <c r="AJ935" s="362"/>
      <c r="AK935" s="363" t="str">
        <f>IFERROR(__xludf.DUMMYFUNCTION("IFERROR(if(D937&lt;&gt;"""", 
  AVERAGE(
    QUERY(
      IMPORTRANGE(""1-uH1wy6jSm5jYL9je6fN1K5RJ5QMvHntodEHZRtIvTk"", ""All Data!N2:U""),
      ""select Col8 where Col1 = '"" &amp; D937 &amp; ""' and Col8 is not null"",
      0
    )
  )/100,
""""),
  """"
)
"),"")</f>
        <v/>
      </c>
    </row>
    <row r="936">
      <c r="D936" s="172"/>
      <c r="E936" s="368"/>
      <c r="F936" s="368"/>
      <c r="G936" s="368"/>
      <c r="H936" s="172"/>
      <c r="I936" s="172"/>
      <c r="J936" s="172"/>
      <c r="K936" s="172"/>
      <c r="L936" s="172"/>
      <c r="M936" s="172"/>
      <c r="N936" s="172"/>
      <c r="O936" s="358"/>
      <c r="P936" s="358"/>
      <c r="Q936" s="358"/>
      <c r="R936" s="378"/>
      <c r="S936" s="378"/>
      <c r="T936" s="8"/>
      <c r="U936" s="8"/>
      <c r="V936" s="8"/>
      <c r="W936" s="172"/>
      <c r="X936" s="172"/>
      <c r="Y936" s="8"/>
      <c r="Z936" s="8"/>
      <c r="AA936" s="8"/>
      <c r="AB936" s="172"/>
      <c r="AC936" s="172"/>
      <c r="AD936" s="8"/>
      <c r="AE936" s="8"/>
      <c r="AF936" s="8"/>
      <c r="AG936" s="172"/>
      <c r="AH936" s="172"/>
      <c r="AI936" s="367"/>
      <c r="AJ936" s="362"/>
      <c r="AK936" s="363" t="str">
        <f>IFERROR(__xludf.DUMMYFUNCTION("IFERROR(if(D938&lt;&gt;"""", 
  AVERAGE(
    QUERY(
      IMPORTRANGE(""1-uH1wy6jSm5jYL9je6fN1K5RJ5QMvHntodEHZRtIvTk"", ""All Data!N2:U""),
      ""select Col8 where Col1 = '"" &amp; D938 &amp; ""' and Col8 is not null"",
      0
    )
  )/100,
""""),
  """"
)
"),"")</f>
        <v/>
      </c>
    </row>
    <row r="937">
      <c r="D937" s="172"/>
      <c r="E937" s="368"/>
      <c r="F937" s="368"/>
      <c r="G937" s="368"/>
      <c r="H937" s="172"/>
      <c r="I937" s="172"/>
      <c r="J937" s="172"/>
      <c r="K937" s="172"/>
      <c r="L937" s="172"/>
      <c r="M937" s="172"/>
      <c r="N937" s="172"/>
      <c r="O937" s="358"/>
      <c r="P937" s="358"/>
      <c r="Q937" s="358"/>
      <c r="R937" s="378"/>
      <c r="S937" s="378"/>
      <c r="T937" s="8"/>
      <c r="U937" s="8"/>
      <c r="V937" s="8"/>
      <c r="W937" s="172"/>
      <c r="X937" s="172"/>
      <c r="Y937" s="8"/>
      <c r="Z937" s="8"/>
      <c r="AA937" s="8"/>
      <c r="AB937" s="172"/>
      <c r="AC937" s="172"/>
      <c r="AD937" s="8"/>
      <c r="AE937" s="8"/>
      <c r="AF937" s="8"/>
      <c r="AG937" s="172"/>
      <c r="AH937" s="172"/>
      <c r="AI937" s="367"/>
      <c r="AJ937" s="362"/>
      <c r="AK937" s="363" t="str">
        <f>IFERROR(__xludf.DUMMYFUNCTION("IFERROR(if(D939&lt;&gt;"""", 
  AVERAGE(
    QUERY(
      IMPORTRANGE(""1-uH1wy6jSm5jYL9je6fN1K5RJ5QMvHntodEHZRtIvTk"", ""All Data!N2:U""),
      ""select Col8 where Col1 = '"" &amp; D939 &amp; ""' and Col8 is not null"",
      0
    )
  )/100,
""""),
  """"
)
"),"")</f>
        <v/>
      </c>
    </row>
    <row r="938">
      <c r="D938" s="172"/>
      <c r="E938" s="368"/>
      <c r="F938" s="368"/>
      <c r="G938" s="368"/>
      <c r="H938" s="172"/>
      <c r="I938" s="172"/>
      <c r="J938" s="172"/>
      <c r="K938" s="172"/>
      <c r="L938" s="172"/>
      <c r="M938" s="172"/>
      <c r="N938" s="172"/>
      <c r="O938" s="358"/>
      <c r="P938" s="358"/>
      <c r="Q938" s="358"/>
      <c r="R938" s="378"/>
      <c r="S938" s="378"/>
      <c r="T938" s="8"/>
      <c r="U938" s="8"/>
      <c r="V938" s="8"/>
      <c r="W938" s="172"/>
      <c r="X938" s="172"/>
      <c r="Y938" s="8"/>
      <c r="Z938" s="8"/>
      <c r="AA938" s="8"/>
      <c r="AB938" s="172"/>
      <c r="AC938" s="172"/>
      <c r="AD938" s="8"/>
      <c r="AE938" s="8"/>
      <c r="AF938" s="8"/>
      <c r="AG938" s="172"/>
      <c r="AH938" s="172"/>
      <c r="AI938" s="367"/>
      <c r="AJ938" s="362"/>
      <c r="AK938" s="363" t="str">
        <f>IFERROR(__xludf.DUMMYFUNCTION("IFERROR(if(D940&lt;&gt;"""", 
  AVERAGE(
    QUERY(
      IMPORTRANGE(""1-uH1wy6jSm5jYL9je6fN1K5RJ5QMvHntodEHZRtIvTk"", ""All Data!N2:U""),
      ""select Col8 where Col1 = '"" &amp; D940 &amp; ""' and Col8 is not null"",
      0
    )
  )/100,
""""),
  """"
)
"),"")</f>
        <v/>
      </c>
    </row>
    <row r="939">
      <c r="D939" s="172"/>
      <c r="E939" s="368"/>
      <c r="F939" s="368"/>
      <c r="G939" s="368"/>
      <c r="H939" s="172"/>
      <c r="I939" s="172"/>
      <c r="J939" s="172"/>
      <c r="K939" s="172"/>
      <c r="L939" s="172"/>
      <c r="M939" s="172"/>
      <c r="N939" s="172"/>
      <c r="O939" s="358"/>
      <c r="P939" s="358"/>
      <c r="Q939" s="358"/>
      <c r="R939" s="378"/>
      <c r="S939" s="378"/>
      <c r="T939" s="8"/>
      <c r="U939" s="8"/>
      <c r="V939" s="8"/>
      <c r="W939" s="172"/>
      <c r="X939" s="172"/>
      <c r="Y939" s="8"/>
      <c r="Z939" s="8"/>
      <c r="AA939" s="8"/>
      <c r="AB939" s="172"/>
      <c r="AC939" s="172"/>
      <c r="AD939" s="8"/>
      <c r="AE939" s="8"/>
      <c r="AF939" s="8"/>
      <c r="AG939" s="172"/>
      <c r="AH939" s="172"/>
      <c r="AI939" s="367"/>
      <c r="AJ939" s="362"/>
      <c r="AK939" s="363" t="str">
        <f>IFERROR(__xludf.DUMMYFUNCTION("IFERROR(if(D941&lt;&gt;"""", 
  AVERAGE(
    QUERY(
      IMPORTRANGE(""1-uH1wy6jSm5jYL9je6fN1K5RJ5QMvHntodEHZRtIvTk"", ""All Data!N2:U""),
      ""select Col8 where Col1 = '"" &amp; D941 &amp; ""' and Col8 is not null"",
      0
    )
  )/100,
""""),
  """"
)
"),"")</f>
        <v/>
      </c>
    </row>
    <row r="940">
      <c r="D940" s="172"/>
      <c r="E940" s="368"/>
      <c r="F940" s="368"/>
      <c r="G940" s="368"/>
      <c r="H940" s="172"/>
      <c r="I940" s="172"/>
      <c r="J940" s="172"/>
      <c r="K940" s="172"/>
      <c r="L940" s="172"/>
      <c r="M940" s="172"/>
      <c r="N940" s="172"/>
      <c r="O940" s="358"/>
      <c r="P940" s="358"/>
      <c r="Q940" s="358"/>
      <c r="R940" s="378"/>
      <c r="S940" s="378"/>
      <c r="T940" s="8"/>
      <c r="U940" s="8"/>
      <c r="V940" s="8"/>
      <c r="W940" s="172"/>
      <c r="X940" s="172"/>
      <c r="Y940" s="8"/>
      <c r="Z940" s="8"/>
      <c r="AA940" s="8"/>
      <c r="AB940" s="172"/>
      <c r="AC940" s="172"/>
      <c r="AD940" s="8"/>
      <c r="AE940" s="8"/>
      <c r="AF940" s="8"/>
      <c r="AG940" s="172"/>
      <c r="AH940" s="172"/>
      <c r="AI940" s="367"/>
      <c r="AJ940" s="362"/>
      <c r="AK940" s="363" t="str">
        <f>IFERROR(__xludf.DUMMYFUNCTION("IFERROR(if(D942&lt;&gt;"""", 
  AVERAGE(
    QUERY(
      IMPORTRANGE(""1-uH1wy6jSm5jYL9je6fN1K5RJ5QMvHntodEHZRtIvTk"", ""All Data!N2:U""),
      ""select Col8 where Col1 = '"" &amp; D942 &amp; ""' and Col8 is not null"",
      0
    )
  )/100,
""""),
  """"
)
"),"")</f>
        <v/>
      </c>
    </row>
    <row r="941">
      <c r="D941" s="172"/>
      <c r="E941" s="368"/>
      <c r="F941" s="368"/>
      <c r="G941" s="368"/>
      <c r="H941" s="172"/>
      <c r="I941" s="172"/>
      <c r="J941" s="172"/>
      <c r="K941" s="172"/>
      <c r="L941" s="172"/>
      <c r="M941" s="172"/>
      <c r="N941" s="172"/>
      <c r="O941" s="358"/>
      <c r="P941" s="358"/>
      <c r="Q941" s="358"/>
      <c r="R941" s="378"/>
      <c r="S941" s="378"/>
      <c r="T941" s="8"/>
      <c r="U941" s="8"/>
      <c r="V941" s="8"/>
      <c r="W941" s="172"/>
      <c r="X941" s="172"/>
      <c r="Y941" s="8"/>
      <c r="Z941" s="8"/>
      <c r="AA941" s="8"/>
      <c r="AB941" s="172"/>
      <c r="AC941" s="172"/>
      <c r="AD941" s="8"/>
      <c r="AE941" s="8"/>
      <c r="AF941" s="8"/>
      <c r="AG941" s="172"/>
      <c r="AH941" s="172"/>
      <c r="AI941" s="367"/>
      <c r="AJ941" s="362"/>
      <c r="AK941" s="363" t="str">
        <f>IFERROR(__xludf.DUMMYFUNCTION("IFERROR(if(D943&lt;&gt;"""", 
  AVERAGE(
    QUERY(
      IMPORTRANGE(""1-uH1wy6jSm5jYL9je6fN1K5RJ5QMvHntodEHZRtIvTk"", ""All Data!N2:U""),
      ""select Col8 where Col1 = '"" &amp; D943 &amp; ""' and Col8 is not null"",
      0
    )
  )/100,
""""),
  """"
)
"),"")</f>
        <v/>
      </c>
    </row>
    <row r="942">
      <c r="D942" s="172"/>
      <c r="E942" s="368"/>
      <c r="F942" s="368"/>
      <c r="G942" s="368"/>
      <c r="H942" s="172"/>
      <c r="I942" s="172"/>
      <c r="J942" s="172"/>
      <c r="K942" s="172"/>
      <c r="L942" s="172"/>
      <c r="M942" s="172"/>
      <c r="N942" s="172"/>
      <c r="O942" s="358"/>
      <c r="P942" s="358"/>
      <c r="Q942" s="358"/>
      <c r="R942" s="378"/>
      <c r="S942" s="378"/>
      <c r="T942" s="8"/>
      <c r="U942" s="8"/>
      <c r="V942" s="8"/>
      <c r="W942" s="172"/>
      <c r="X942" s="172"/>
      <c r="Y942" s="8"/>
      <c r="Z942" s="8"/>
      <c r="AA942" s="8"/>
      <c r="AB942" s="172"/>
      <c r="AC942" s="172"/>
      <c r="AD942" s="8"/>
      <c r="AE942" s="8"/>
      <c r="AF942" s="8"/>
      <c r="AG942" s="172"/>
      <c r="AH942" s="172"/>
      <c r="AI942" s="367"/>
      <c r="AJ942" s="362"/>
      <c r="AK942" s="363" t="str">
        <f>IFERROR(__xludf.DUMMYFUNCTION("IFERROR(if(D944&lt;&gt;"""", 
  AVERAGE(
    QUERY(
      IMPORTRANGE(""1-uH1wy6jSm5jYL9je6fN1K5RJ5QMvHntodEHZRtIvTk"", ""All Data!N2:U""),
      ""select Col8 where Col1 = '"" &amp; D944 &amp; ""' and Col8 is not null"",
      0
    )
  )/100,
""""),
  """"
)
"),"")</f>
        <v/>
      </c>
    </row>
    <row r="943">
      <c r="D943" s="172"/>
      <c r="E943" s="368"/>
      <c r="F943" s="368"/>
      <c r="G943" s="368"/>
      <c r="H943" s="172"/>
      <c r="I943" s="172"/>
      <c r="J943" s="172"/>
      <c r="K943" s="172"/>
      <c r="L943" s="172"/>
      <c r="M943" s="172"/>
      <c r="N943" s="172"/>
      <c r="O943" s="358"/>
      <c r="P943" s="358"/>
      <c r="Q943" s="358"/>
      <c r="R943" s="378"/>
      <c r="S943" s="378"/>
      <c r="T943" s="8"/>
      <c r="U943" s="8"/>
      <c r="V943" s="8"/>
      <c r="W943" s="172"/>
      <c r="X943" s="172"/>
      <c r="Y943" s="8"/>
      <c r="Z943" s="8"/>
      <c r="AA943" s="8"/>
      <c r="AB943" s="172"/>
      <c r="AC943" s="172"/>
      <c r="AD943" s="8"/>
      <c r="AE943" s="8"/>
      <c r="AF943" s="8"/>
      <c r="AG943" s="172"/>
      <c r="AH943" s="172"/>
      <c r="AI943" s="367"/>
      <c r="AJ943" s="362"/>
      <c r="AK943" s="363" t="str">
        <f>IFERROR(__xludf.DUMMYFUNCTION("IFERROR(if(D945&lt;&gt;"""", 
  AVERAGE(
    QUERY(
      IMPORTRANGE(""1-uH1wy6jSm5jYL9je6fN1K5RJ5QMvHntodEHZRtIvTk"", ""All Data!N2:U""),
      ""select Col8 where Col1 = '"" &amp; D945 &amp; ""' and Col8 is not null"",
      0
    )
  )/100,
""""),
  """"
)
"),"")</f>
        <v/>
      </c>
    </row>
    <row r="944">
      <c r="D944" s="172"/>
      <c r="E944" s="368"/>
      <c r="F944" s="368"/>
      <c r="G944" s="368"/>
      <c r="H944" s="172"/>
      <c r="I944" s="172"/>
      <c r="J944" s="172"/>
      <c r="K944" s="172"/>
      <c r="L944" s="172"/>
      <c r="M944" s="172"/>
      <c r="N944" s="172"/>
      <c r="O944" s="358"/>
      <c r="P944" s="358"/>
      <c r="Q944" s="358"/>
      <c r="R944" s="378"/>
      <c r="S944" s="378"/>
      <c r="T944" s="8"/>
      <c r="U944" s="8"/>
      <c r="V944" s="8"/>
      <c r="W944" s="172"/>
      <c r="X944" s="172"/>
      <c r="Y944" s="8"/>
      <c r="Z944" s="8"/>
      <c r="AA944" s="8"/>
      <c r="AB944" s="172"/>
      <c r="AC944" s="172"/>
      <c r="AD944" s="8"/>
      <c r="AE944" s="8"/>
      <c r="AF944" s="8"/>
      <c r="AG944" s="172"/>
      <c r="AH944" s="172"/>
      <c r="AI944" s="367"/>
      <c r="AJ944" s="362"/>
      <c r="AK944" s="363" t="str">
        <f>IFERROR(__xludf.DUMMYFUNCTION("IFERROR(if(D946&lt;&gt;"""", 
  AVERAGE(
    QUERY(
      IMPORTRANGE(""1-uH1wy6jSm5jYL9je6fN1K5RJ5QMvHntodEHZRtIvTk"", ""All Data!N2:U""),
      ""select Col8 where Col1 = '"" &amp; D946 &amp; ""' and Col8 is not null"",
      0
    )
  )/100,
""""),
  """"
)
"),"")</f>
        <v/>
      </c>
    </row>
    <row r="945">
      <c r="D945" s="172"/>
      <c r="E945" s="368"/>
      <c r="F945" s="368"/>
      <c r="G945" s="368"/>
      <c r="H945" s="172"/>
      <c r="I945" s="172"/>
      <c r="J945" s="172"/>
      <c r="K945" s="172"/>
      <c r="L945" s="172"/>
      <c r="M945" s="172"/>
      <c r="N945" s="172"/>
      <c r="O945" s="358"/>
      <c r="P945" s="358"/>
      <c r="Q945" s="358"/>
      <c r="R945" s="378"/>
      <c r="S945" s="378"/>
      <c r="T945" s="8"/>
      <c r="U945" s="8"/>
      <c r="V945" s="8"/>
      <c r="W945" s="172"/>
      <c r="X945" s="172"/>
      <c r="Y945" s="8"/>
      <c r="Z945" s="8"/>
      <c r="AA945" s="8"/>
      <c r="AB945" s="172"/>
      <c r="AC945" s="172"/>
      <c r="AD945" s="8"/>
      <c r="AE945" s="8"/>
      <c r="AF945" s="8"/>
      <c r="AG945" s="172"/>
      <c r="AH945" s="172"/>
      <c r="AI945" s="367"/>
      <c r="AJ945" s="362"/>
      <c r="AK945" s="363" t="str">
        <f>IFERROR(__xludf.DUMMYFUNCTION("IFERROR(if(D947&lt;&gt;"""", 
  AVERAGE(
    QUERY(
      IMPORTRANGE(""1-uH1wy6jSm5jYL9je6fN1K5RJ5QMvHntodEHZRtIvTk"", ""All Data!N2:U""),
      ""select Col8 where Col1 = '"" &amp; D947 &amp; ""' and Col8 is not null"",
      0
    )
  )/100,
""""),
  """"
)
"),"")</f>
        <v/>
      </c>
    </row>
    <row r="946">
      <c r="D946" s="172"/>
      <c r="E946" s="368"/>
      <c r="F946" s="368"/>
      <c r="G946" s="368"/>
      <c r="H946" s="172"/>
      <c r="I946" s="172"/>
      <c r="J946" s="172"/>
      <c r="K946" s="172"/>
      <c r="L946" s="172"/>
      <c r="M946" s="172"/>
      <c r="N946" s="172"/>
      <c r="O946" s="358"/>
      <c r="P946" s="358"/>
      <c r="Q946" s="358"/>
      <c r="R946" s="378"/>
      <c r="S946" s="378"/>
      <c r="T946" s="8"/>
      <c r="U946" s="8"/>
      <c r="V946" s="8"/>
      <c r="W946" s="172"/>
      <c r="X946" s="172"/>
      <c r="Y946" s="8"/>
      <c r="Z946" s="8"/>
      <c r="AA946" s="8"/>
      <c r="AB946" s="172"/>
      <c r="AC946" s="172"/>
      <c r="AD946" s="8"/>
      <c r="AE946" s="8"/>
      <c r="AF946" s="8"/>
      <c r="AG946" s="172"/>
      <c r="AH946" s="172"/>
      <c r="AI946" s="367"/>
      <c r="AJ946" s="362"/>
      <c r="AK946" s="363" t="str">
        <f>IFERROR(__xludf.DUMMYFUNCTION("IFERROR(if(D948&lt;&gt;"""", 
  AVERAGE(
    QUERY(
      IMPORTRANGE(""1-uH1wy6jSm5jYL9je6fN1K5RJ5QMvHntodEHZRtIvTk"", ""All Data!N2:U""),
      ""select Col8 where Col1 = '"" &amp; D948 &amp; ""' and Col8 is not null"",
      0
    )
  )/100,
""""),
  """"
)
"),"")</f>
        <v/>
      </c>
    </row>
    <row r="947">
      <c r="D947" s="172"/>
      <c r="E947" s="368"/>
      <c r="F947" s="368"/>
      <c r="G947" s="368"/>
      <c r="H947" s="172"/>
      <c r="I947" s="172"/>
      <c r="J947" s="172"/>
      <c r="K947" s="172"/>
      <c r="L947" s="172"/>
      <c r="M947" s="172"/>
      <c r="N947" s="172"/>
      <c r="O947" s="358"/>
      <c r="P947" s="358"/>
      <c r="Q947" s="358"/>
      <c r="R947" s="378"/>
      <c r="S947" s="378"/>
      <c r="T947" s="8"/>
      <c r="U947" s="8"/>
      <c r="V947" s="8"/>
      <c r="W947" s="172"/>
      <c r="X947" s="172"/>
      <c r="Y947" s="8"/>
      <c r="Z947" s="8"/>
      <c r="AA947" s="8"/>
      <c r="AB947" s="172"/>
      <c r="AC947" s="172"/>
      <c r="AD947" s="8"/>
      <c r="AE947" s="8"/>
      <c r="AF947" s="8"/>
      <c r="AG947" s="172"/>
      <c r="AH947" s="172"/>
      <c r="AI947" s="367"/>
      <c r="AJ947" s="362"/>
      <c r="AK947" s="363" t="str">
        <f>IFERROR(__xludf.DUMMYFUNCTION("IFERROR(if(D949&lt;&gt;"""", 
  AVERAGE(
    QUERY(
      IMPORTRANGE(""1-uH1wy6jSm5jYL9je6fN1K5RJ5QMvHntodEHZRtIvTk"", ""All Data!N2:U""),
      ""select Col8 where Col1 = '"" &amp; D949 &amp; ""' and Col8 is not null"",
      0
    )
  )/100,
""""),
  """"
)
"),"")</f>
        <v/>
      </c>
    </row>
    <row r="948">
      <c r="D948" s="172"/>
      <c r="E948" s="368"/>
      <c r="F948" s="368"/>
      <c r="G948" s="368"/>
      <c r="H948" s="172"/>
      <c r="I948" s="172"/>
      <c r="J948" s="172"/>
      <c r="K948" s="172"/>
      <c r="L948" s="172"/>
      <c r="M948" s="172"/>
      <c r="N948" s="172"/>
      <c r="O948" s="358"/>
      <c r="P948" s="358"/>
      <c r="Q948" s="358"/>
      <c r="R948" s="378"/>
      <c r="S948" s="378"/>
      <c r="T948" s="8"/>
      <c r="U948" s="8"/>
      <c r="V948" s="8"/>
      <c r="W948" s="172"/>
      <c r="X948" s="172"/>
      <c r="Y948" s="8"/>
      <c r="Z948" s="8"/>
      <c r="AA948" s="8"/>
      <c r="AB948" s="172"/>
      <c r="AC948" s="172"/>
      <c r="AD948" s="8"/>
      <c r="AE948" s="8"/>
      <c r="AF948" s="8"/>
      <c r="AG948" s="172"/>
      <c r="AH948" s="172"/>
      <c r="AI948" s="367"/>
      <c r="AJ948" s="362"/>
      <c r="AK948" s="363" t="str">
        <f>IFERROR(__xludf.DUMMYFUNCTION("IFERROR(if(D950&lt;&gt;"""", 
  AVERAGE(
    QUERY(
      IMPORTRANGE(""1-uH1wy6jSm5jYL9je6fN1K5RJ5QMvHntodEHZRtIvTk"", ""All Data!N2:U""),
      ""select Col8 where Col1 = '"" &amp; D950 &amp; ""' and Col8 is not null"",
      0
    )
  )/100,
""""),
  """"
)
"),"")</f>
        <v/>
      </c>
    </row>
    <row r="949">
      <c r="D949" s="172"/>
      <c r="E949" s="368"/>
      <c r="F949" s="368"/>
      <c r="G949" s="368"/>
      <c r="H949" s="172"/>
      <c r="I949" s="172"/>
      <c r="J949" s="172"/>
      <c r="K949" s="172"/>
      <c r="L949" s="172"/>
      <c r="M949" s="172"/>
      <c r="N949" s="172"/>
      <c r="O949" s="358"/>
      <c r="P949" s="358"/>
      <c r="Q949" s="358"/>
      <c r="R949" s="378"/>
      <c r="S949" s="378"/>
      <c r="T949" s="8"/>
      <c r="U949" s="8"/>
      <c r="V949" s="8"/>
      <c r="W949" s="172"/>
      <c r="X949" s="172"/>
      <c r="Y949" s="8"/>
      <c r="Z949" s="8"/>
      <c r="AA949" s="8"/>
      <c r="AB949" s="172"/>
      <c r="AC949" s="172"/>
      <c r="AD949" s="8"/>
      <c r="AE949" s="8"/>
      <c r="AF949" s="8"/>
      <c r="AG949" s="172"/>
      <c r="AH949" s="172"/>
      <c r="AI949" s="367"/>
      <c r="AJ949" s="362"/>
      <c r="AK949" s="363" t="str">
        <f>IFERROR(__xludf.DUMMYFUNCTION("IFERROR(if(D951&lt;&gt;"""", 
  AVERAGE(
    QUERY(
      IMPORTRANGE(""1-uH1wy6jSm5jYL9je6fN1K5RJ5QMvHntodEHZRtIvTk"", ""All Data!N2:U""),
      ""select Col8 where Col1 = '"" &amp; D951 &amp; ""' and Col8 is not null"",
      0
    )
  )/100,
""""),
  """"
)
"),"")</f>
        <v/>
      </c>
    </row>
    <row r="950">
      <c r="D950" s="172"/>
      <c r="E950" s="368"/>
      <c r="F950" s="368"/>
      <c r="G950" s="368"/>
      <c r="H950" s="172"/>
      <c r="I950" s="172"/>
      <c r="J950" s="172"/>
      <c r="K950" s="172"/>
      <c r="L950" s="172"/>
      <c r="M950" s="172"/>
      <c r="N950" s="172"/>
      <c r="O950" s="358"/>
      <c r="P950" s="358"/>
      <c r="Q950" s="358"/>
      <c r="R950" s="378"/>
      <c r="S950" s="378"/>
      <c r="T950" s="8"/>
      <c r="U950" s="8"/>
      <c r="V950" s="8"/>
      <c r="W950" s="172"/>
      <c r="X950" s="172"/>
      <c r="Y950" s="8"/>
      <c r="Z950" s="8"/>
      <c r="AA950" s="8"/>
      <c r="AB950" s="172"/>
      <c r="AC950" s="172"/>
      <c r="AD950" s="8"/>
      <c r="AE950" s="8"/>
      <c r="AF950" s="8"/>
      <c r="AG950" s="172"/>
      <c r="AH950" s="172"/>
      <c r="AI950" s="367"/>
      <c r="AJ950" s="362"/>
      <c r="AK950" s="363" t="str">
        <f>IFERROR(__xludf.DUMMYFUNCTION("IFERROR(if(D952&lt;&gt;"""", 
  AVERAGE(
    QUERY(
      IMPORTRANGE(""1-uH1wy6jSm5jYL9je6fN1K5RJ5QMvHntodEHZRtIvTk"", ""All Data!N2:U""),
      ""select Col8 where Col1 = '"" &amp; D952 &amp; ""' and Col8 is not null"",
      0
    )
  )/100,
""""),
  """"
)
"),"")</f>
        <v/>
      </c>
    </row>
    <row r="951">
      <c r="D951" s="172"/>
      <c r="E951" s="368"/>
      <c r="F951" s="368"/>
      <c r="G951" s="368"/>
      <c r="H951" s="172"/>
      <c r="I951" s="172"/>
      <c r="J951" s="172"/>
      <c r="K951" s="172"/>
      <c r="L951" s="172"/>
      <c r="M951" s="172"/>
      <c r="N951" s="172"/>
      <c r="O951" s="358"/>
      <c r="P951" s="358"/>
      <c r="Q951" s="358"/>
      <c r="R951" s="378"/>
      <c r="S951" s="378"/>
      <c r="T951" s="8"/>
      <c r="U951" s="8"/>
      <c r="V951" s="8"/>
      <c r="W951" s="172"/>
      <c r="X951" s="172"/>
      <c r="Y951" s="8"/>
      <c r="Z951" s="8"/>
      <c r="AA951" s="8"/>
      <c r="AB951" s="172"/>
      <c r="AC951" s="172"/>
      <c r="AD951" s="8"/>
      <c r="AE951" s="8"/>
      <c r="AF951" s="8"/>
      <c r="AG951" s="172"/>
      <c r="AH951" s="172"/>
      <c r="AI951" s="367"/>
      <c r="AJ951" s="362"/>
      <c r="AK951" s="363" t="str">
        <f>IFERROR(__xludf.DUMMYFUNCTION("IFERROR(if(D953&lt;&gt;"""", 
  AVERAGE(
    QUERY(
      IMPORTRANGE(""1-uH1wy6jSm5jYL9je6fN1K5RJ5QMvHntodEHZRtIvTk"", ""All Data!N2:U""),
      ""select Col8 where Col1 = '"" &amp; D953 &amp; ""' and Col8 is not null"",
      0
    )
  )/100,
""""),
  """"
)
"),"")</f>
        <v/>
      </c>
    </row>
    <row r="952">
      <c r="D952" s="172"/>
      <c r="E952" s="368"/>
      <c r="F952" s="368"/>
      <c r="G952" s="368"/>
      <c r="H952" s="172"/>
      <c r="I952" s="172"/>
      <c r="J952" s="172"/>
      <c r="K952" s="172"/>
      <c r="L952" s="172"/>
      <c r="M952" s="172"/>
      <c r="N952" s="172"/>
      <c r="O952" s="358"/>
      <c r="P952" s="358"/>
      <c r="Q952" s="358"/>
      <c r="R952" s="378"/>
      <c r="S952" s="378"/>
      <c r="T952" s="8"/>
      <c r="U952" s="8"/>
      <c r="V952" s="8"/>
      <c r="W952" s="172"/>
      <c r="X952" s="172"/>
      <c r="Y952" s="8"/>
      <c r="Z952" s="8"/>
      <c r="AA952" s="8"/>
      <c r="AB952" s="172"/>
      <c r="AC952" s="172"/>
      <c r="AD952" s="8"/>
      <c r="AE952" s="8"/>
      <c r="AF952" s="8"/>
      <c r="AG952" s="172"/>
      <c r="AH952" s="172"/>
      <c r="AI952" s="367"/>
      <c r="AJ952" s="362"/>
      <c r="AK952" s="363" t="str">
        <f>IFERROR(__xludf.DUMMYFUNCTION("IFERROR(if(D954&lt;&gt;"""", 
  AVERAGE(
    QUERY(
      IMPORTRANGE(""1-uH1wy6jSm5jYL9je6fN1K5RJ5QMvHntodEHZRtIvTk"", ""All Data!N2:U""),
      ""select Col8 where Col1 = '"" &amp; D954 &amp; ""' and Col8 is not null"",
      0
    )
  )/100,
""""),
  """"
)
"),"")</f>
        <v/>
      </c>
    </row>
    <row r="953">
      <c r="D953" s="172"/>
      <c r="E953" s="368"/>
      <c r="F953" s="368"/>
      <c r="G953" s="368"/>
      <c r="H953" s="172"/>
      <c r="I953" s="172"/>
      <c r="J953" s="172"/>
      <c r="K953" s="172"/>
      <c r="L953" s="172"/>
      <c r="M953" s="172"/>
      <c r="N953" s="172"/>
      <c r="O953" s="358"/>
      <c r="P953" s="358"/>
      <c r="Q953" s="358"/>
      <c r="R953" s="378"/>
      <c r="S953" s="378"/>
      <c r="T953" s="8"/>
      <c r="U953" s="8"/>
      <c r="V953" s="8"/>
      <c r="W953" s="172"/>
      <c r="X953" s="172"/>
      <c r="Y953" s="8"/>
      <c r="Z953" s="8"/>
      <c r="AA953" s="8"/>
      <c r="AB953" s="172"/>
      <c r="AC953" s="172"/>
      <c r="AD953" s="8"/>
      <c r="AE953" s="8"/>
      <c r="AF953" s="8"/>
      <c r="AG953" s="172"/>
      <c r="AH953" s="172"/>
      <c r="AI953" s="367"/>
      <c r="AJ953" s="362"/>
      <c r="AK953" s="363" t="str">
        <f>IFERROR(__xludf.DUMMYFUNCTION("IFERROR(if(D955&lt;&gt;"""", 
  AVERAGE(
    QUERY(
      IMPORTRANGE(""1-uH1wy6jSm5jYL9je6fN1K5RJ5QMvHntodEHZRtIvTk"", ""All Data!N2:U""),
      ""select Col8 where Col1 = '"" &amp; D955 &amp; ""' and Col8 is not null"",
      0
    )
  )/100,
""""),
  """"
)
"),"")</f>
        <v/>
      </c>
    </row>
    <row r="954">
      <c r="D954" s="172"/>
      <c r="E954" s="368"/>
      <c r="F954" s="368"/>
      <c r="G954" s="368"/>
      <c r="H954" s="172"/>
      <c r="I954" s="172"/>
      <c r="J954" s="172"/>
      <c r="K954" s="172"/>
      <c r="L954" s="172"/>
      <c r="M954" s="172"/>
      <c r="N954" s="172"/>
      <c r="O954" s="358"/>
      <c r="P954" s="358"/>
      <c r="Q954" s="358"/>
      <c r="R954" s="378"/>
      <c r="S954" s="378"/>
      <c r="T954" s="8"/>
      <c r="U954" s="8"/>
      <c r="V954" s="8"/>
      <c r="W954" s="172"/>
      <c r="X954" s="172"/>
      <c r="Y954" s="8"/>
      <c r="Z954" s="8"/>
      <c r="AA954" s="8"/>
      <c r="AB954" s="172"/>
      <c r="AC954" s="172"/>
      <c r="AD954" s="8"/>
      <c r="AE954" s="8"/>
      <c r="AF954" s="8"/>
      <c r="AG954" s="172"/>
      <c r="AH954" s="172"/>
      <c r="AI954" s="367"/>
      <c r="AJ954" s="362"/>
      <c r="AK954" s="363" t="str">
        <f>IFERROR(__xludf.DUMMYFUNCTION("IFERROR(if(D956&lt;&gt;"""", 
  AVERAGE(
    QUERY(
      IMPORTRANGE(""1-uH1wy6jSm5jYL9je6fN1K5RJ5QMvHntodEHZRtIvTk"", ""All Data!N2:U""),
      ""select Col8 where Col1 = '"" &amp; D956 &amp; ""' and Col8 is not null"",
      0
    )
  )/100,
""""),
  """"
)
"),"")</f>
        <v/>
      </c>
    </row>
    <row r="955">
      <c r="D955" s="172"/>
      <c r="E955" s="368"/>
      <c r="F955" s="368"/>
      <c r="G955" s="368"/>
      <c r="H955" s="172"/>
      <c r="I955" s="172"/>
      <c r="J955" s="172"/>
      <c r="K955" s="172"/>
      <c r="L955" s="172"/>
      <c r="M955" s="172"/>
      <c r="N955" s="172"/>
      <c r="O955" s="358"/>
      <c r="P955" s="358"/>
      <c r="Q955" s="358"/>
      <c r="R955" s="378"/>
      <c r="S955" s="378"/>
      <c r="T955" s="8"/>
      <c r="U955" s="8"/>
      <c r="V955" s="8"/>
      <c r="W955" s="172"/>
      <c r="X955" s="172"/>
      <c r="Y955" s="8"/>
      <c r="Z955" s="8"/>
      <c r="AA955" s="8"/>
      <c r="AB955" s="172"/>
      <c r="AC955" s="172"/>
      <c r="AD955" s="8"/>
      <c r="AE955" s="8"/>
      <c r="AF955" s="8"/>
      <c r="AG955" s="172"/>
      <c r="AH955" s="172"/>
      <c r="AI955" s="367"/>
      <c r="AJ955" s="362"/>
      <c r="AK955" s="363" t="str">
        <f>IFERROR(__xludf.DUMMYFUNCTION("IFERROR(if(D957&lt;&gt;"""", 
  AVERAGE(
    QUERY(
      IMPORTRANGE(""1-uH1wy6jSm5jYL9je6fN1K5RJ5QMvHntodEHZRtIvTk"", ""All Data!N2:U""),
      ""select Col8 where Col1 = '"" &amp; D957 &amp; ""' and Col8 is not null"",
      0
    )
  )/100,
""""),
  """"
)
"),"")</f>
        <v/>
      </c>
    </row>
    <row r="956">
      <c r="D956" s="172"/>
      <c r="E956" s="368"/>
      <c r="F956" s="368"/>
      <c r="G956" s="368"/>
      <c r="H956" s="172"/>
      <c r="I956" s="172"/>
      <c r="J956" s="172"/>
      <c r="K956" s="172"/>
      <c r="L956" s="172"/>
      <c r="M956" s="172"/>
      <c r="N956" s="172"/>
      <c r="O956" s="358"/>
      <c r="P956" s="358"/>
      <c r="Q956" s="358"/>
      <c r="R956" s="378"/>
      <c r="S956" s="378"/>
      <c r="T956" s="8"/>
      <c r="U956" s="8"/>
      <c r="V956" s="8"/>
      <c r="W956" s="172"/>
      <c r="X956" s="172"/>
      <c r="Y956" s="8"/>
      <c r="Z956" s="8"/>
      <c r="AA956" s="8"/>
      <c r="AB956" s="172"/>
      <c r="AC956" s="172"/>
      <c r="AD956" s="8"/>
      <c r="AE956" s="8"/>
      <c r="AF956" s="8"/>
      <c r="AG956" s="172"/>
      <c r="AH956" s="172"/>
      <c r="AI956" s="367"/>
      <c r="AJ956" s="362"/>
      <c r="AK956" s="363" t="str">
        <f>IFERROR(__xludf.DUMMYFUNCTION("IFERROR(if(D958&lt;&gt;"""", 
  AVERAGE(
    QUERY(
      IMPORTRANGE(""1-uH1wy6jSm5jYL9je6fN1K5RJ5QMvHntodEHZRtIvTk"", ""All Data!N2:U""),
      ""select Col8 where Col1 = '"" &amp; D958 &amp; ""' and Col8 is not null"",
      0
    )
  )/100,
""""),
  """"
)
"),"")</f>
        <v/>
      </c>
    </row>
    <row r="957">
      <c r="D957" s="172"/>
      <c r="E957" s="368"/>
      <c r="F957" s="368"/>
      <c r="G957" s="368"/>
      <c r="H957" s="172"/>
      <c r="I957" s="172"/>
      <c r="J957" s="172"/>
      <c r="K957" s="172"/>
      <c r="L957" s="172"/>
      <c r="M957" s="172"/>
      <c r="N957" s="172"/>
      <c r="O957" s="358"/>
      <c r="P957" s="358"/>
      <c r="Q957" s="358"/>
      <c r="R957" s="378"/>
      <c r="S957" s="378"/>
      <c r="T957" s="8"/>
      <c r="U957" s="8"/>
      <c r="V957" s="8"/>
      <c r="W957" s="172"/>
      <c r="X957" s="172"/>
      <c r="Y957" s="8"/>
      <c r="Z957" s="8"/>
      <c r="AA957" s="8"/>
      <c r="AB957" s="172"/>
      <c r="AC957" s="172"/>
      <c r="AD957" s="8"/>
      <c r="AE957" s="8"/>
      <c r="AF957" s="8"/>
      <c r="AG957" s="172"/>
      <c r="AH957" s="172"/>
      <c r="AI957" s="367"/>
      <c r="AJ957" s="362"/>
      <c r="AK957" s="363" t="str">
        <f>IFERROR(__xludf.DUMMYFUNCTION("IFERROR(if(D959&lt;&gt;"""", 
  AVERAGE(
    QUERY(
      IMPORTRANGE(""1-uH1wy6jSm5jYL9je6fN1K5RJ5QMvHntodEHZRtIvTk"", ""All Data!N2:U""),
      ""select Col8 where Col1 = '"" &amp; D959 &amp; ""' and Col8 is not null"",
      0
    )
  )/100,
""""),
  """"
)
"),"")</f>
        <v/>
      </c>
    </row>
    <row r="958">
      <c r="D958" s="172"/>
      <c r="E958" s="368"/>
      <c r="F958" s="368"/>
      <c r="G958" s="368"/>
      <c r="H958" s="172"/>
      <c r="I958" s="172"/>
      <c r="J958" s="172"/>
      <c r="K958" s="172"/>
      <c r="L958" s="172"/>
      <c r="M958" s="172"/>
      <c r="N958" s="172"/>
      <c r="O958" s="358"/>
      <c r="P958" s="358"/>
      <c r="Q958" s="358"/>
      <c r="R958" s="378"/>
      <c r="S958" s="378"/>
      <c r="T958" s="8"/>
      <c r="U958" s="8"/>
      <c r="V958" s="8"/>
      <c r="W958" s="172"/>
      <c r="X958" s="172"/>
      <c r="Y958" s="8"/>
      <c r="Z958" s="8"/>
      <c r="AA958" s="8"/>
      <c r="AB958" s="172"/>
      <c r="AC958" s="172"/>
      <c r="AD958" s="8"/>
      <c r="AE958" s="8"/>
      <c r="AF958" s="8"/>
      <c r="AG958" s="172"/>
      <c r="AH958" s="172"/>
      <c r="AI958" s="367"/>
      <c r="AJ958" s="362"/>
      <c r="AK958" s="363" t="str">
        <f>IFERROR(__xludf.DUMMYFUNCTION("IFERROR(if(D960&lt;&gt;"""", 
  AVERAGE(
    QUERY(
      IMPORTRANGE(""1-uH1wy6jSm5jYL9je6fN1K5RJ5QMvHntodEHZRtIvTk"", ""All Data!N2:U""),
      ""select Col8 where Col1 = '"" &amp; D960 &amp; ""' and Col8 is not null"",
      0
    )
  )/100,
""""),
  """"
)
"),"")</f>
        <v/>
      </c>
    </row>
    <row r="959">
      <c r="D959" s="172"/>
      <c r="E959" s="368"/>
      <c r="F959" s="368"/>
      <c r="G959" s="368"/>
      <c r="H959" s="172"/>
      <c r="I959" s="172"/>
      <c r="J959" s="172"/>
      <c r="K959" s="172"/>
      <c r="L959" s="172"/>
      <c r="M959" s="172"/>
      <c r="N959" s="172"/>
      <c r="O959" s="358"/>
      <c r="P959" s="358"/>
      <c r="Q959" s="358"/>
      <c r="R959" s="378"/>
      <c r="S959" s="378"/>
      <c r="T959" s="8"/>
      <c r="U959" s="8"/>
      <c r="V959" s="8"/>
      <c r="W959" s="172"/>
      <c r="X959" s="172"/>
      <c r="Y959" s="8"/>
      <c r="Z959" s="8"/>
      <c r="AA959" s="8"/>
      <c r="AB959" s="172"/>
      <c r="AC959" s="172"/>
      <c r="AD959" s="8"/>
      <c r="AE959" s="8"/>
      <c r="AF959" s="8"/>
      <c r="AG959" s="172"/>
      <c r="AH959" s="172"/>
      <c r="AI959" s="367"/>
      <c r="AJ959" s="362"/>
      <c r="AK959" s="363" t="str">
        <f>IFERROR(__xludf.DUMMYFUNCTION("IFERROR(if(D961&lt;&gt;"""", 
  AVERAGE(
    QUERY(
      IMPORTRANGE(""1-uH1wy6jSm5jYL9je6fN1K5RJ5QMvHntodEHZRtIvTk"", ""All Data!N2:U""),
      ""select Col8 where Col1 = '"" &amp; D961 &amp; ""' and Col8 is not null"",
      0
    )
  )/100,
""""),
  """"
)
"),"")</f>
        <v/>
      </c>
    </row>
    <row r="960">
      <c r="D960" s="172"/>
      <c r="E960" s="368"/>
      <c r="F960" s="368"/>
      <c r="G960" s="368"/>
      <c r="H960" s="172"/>
      <c r="I960" s="172"/>
      <c r="J960" s="172"/>
      <c r="K960" s="172"/>
      <c r="L960" s="172"/>
      <c r="M960" s="172"/>
      <c r="N960" s="172"/>
      <c r="O960" s="358"/>
      <c r="P960" s="358"/>
      <c r="Q960" s="358"/>
      <c r="R960" s="378"/>
      <c r="S960" s="378"/>
      <c r="T960" s="8"/>
      <c r="U960" s="8"/>
      <c r="V960" s="8"/>
      <c r="W960" s="172"/>
      <c r="X960" s="172"/>
      <c r="Y960" s="8"/>
      <c r="Z960" s="8"/>
      <c r="AA960" s="8"/>
      <c r="AB960" s="172"/>
      <c r="AC960" s="172"/>
      <c r="AD960" s="8"/>
      <c r="AE960" s="8"/>
      <c r="AF960" s="8"/>
      <c r="AG960" s="172"/>
      <c r="AH960" s="172"/>
      <c r="AI960" s="367"/>
      <c r="AJ960" s="362"/>
      <c r="AK960" s="363" t="str">
        <f>IFERROR(__xludf.DUMMYFUNCTION("IFERROR(if(D962&lt;&gt;"""", 
  AVERAGE(
    QUERY(
      IMPORTRANGE(""1-uH1wy6jSm5jYL9je6fN1K5RJ5QMvHntodEHZRtIvTk"", ""All Data!N2:U""),
      ""select Col8 where Col1 = '"" &amp; D962 &amp; ""' and Col8 is not null"",
      0
    )
  )/100,
""""),
  """"
)
"),"")</f>
        <v/>
      </c>
    </row>
    <row r="961">
      <c r="D961" s="172"/>
      <c r="E961" s="368"/>
      <c r="F961" s="368"/>
      <c r="G961" s="368"/>
      <c r="H961" s="172"/>
      <c r="I961" s="172"/>
      <c r="J961" s="172"/>
      <c r="K961" s="172"/>
      <c r="L961" s="172"/>
      <c r="M961" s="172"/>
      <c r="N961" s="172"/>
      <c r="O961" s="358"/>
      <c r="P961" s="358"/>
      <c r="Q961" s="358"/>
      <c r="R961" s="378"/>
      <c r="S961" s="378"/>
      <c r="T961" s="8"/>
      <c r="U961" s="8"/>
      <c r="V961" s="8"/>
      <c r="W961" s="172"/>
      <c r="X961" s="172"/>
      <c r="Y961" s="8"/>
      <c r="Z961" s="8"/>
      <c r="AA961" s="8"/>
      <c r="AB961" s="172"/>
      <c r="AC961" s="172"/>
      <c r="AD961" s="8"/>
      <c r="AE961" s="8"/>
      <c r="AF961" s="8"/>
      <c r="AG961" s="172"/>
      <c r="AH961" s="172"/>
      <c r="AI961" s="367"/>
      <c r="AJ961" s="362"/>
      <c r="AK961" s="363" t="str">
        <f>IFERROR(__xludf.DUMMYFUNCTION("IFERROR(if(D963&lt;&gt;"""", 
  AVERAGE(
    QUERY(
      IMPORTRANGE(""1-uH1wy6jSm5jYL9je6fN1K5RJ5QMvHntodEHZRtIvTk"", ""All Data!N2:U""),
      ""select Col8 where Col1 = '"" &amp; D963 &amp; ""' and Col8 is not null"",
      0
    )
  )/100,
""""),
  """"
)
"),"")</f>
        <v/>
      </c>
    </row>
    <row r="962">
      <c r="D962" s="172"/>
      <c r="E962" s="368"/>
      <c r="F962" s="368"/>
      <c r="G962" s="368"/>
      <c r="H962" s="172"/>
      <c r="I962" s="172"/>
      <c r="J962" s="172"/>
      <c r="K962" s="172"/>
      <c r="L962" s="172"/>
      <c r="M962" s="172"/>
      <c r="N962" s="172"/>
      <c r="O962" s="358"/>
      <c r="P962" s="358"/>
      <c r="Q962" s="358"/>
      <c r="R962" s="378"/>
      <c r="S962" s="378"/>
      <c r="T962" s="8"/>
      <c r="U962" s="8"/>
      <c r="V962" s="8"/>
      <c r="W962" s="172"/>
      <c r="X962" s="172"/>
      <c r="Y962" s="8"/>
      <c r="Z962" s="8"/>
      <c r="AA962" s="8"/>
      <c r="AB962" s="172"/>
      <c r="AC962" s="172"/>
      <c r="AD962" s="8"/>
      <c r="AE962" s="8"/>
      <c r="AF962" s="8"/>
      <c r="AG962" s="172"/>
      <c r="AH962" s="172"/>
      <c r="AI962" s="367"/>
      <c r="AJ962" s="362"/>
      <c r="AK962" s="363" t="str">
        <f>IFERROR(__xludf.DUMMYFUNCTION("IFERROR(if(D964&lt;&gt;"""", 
  AVERAGE(
    QUERY(
      IMPORTRANGE(""1-uH1wy6jSm5jYL9je6fN1K5RJ5QMvHntodEHZRtIvTk"", ""All Data!N2:U""),
      ""select Col8 where Col1 = '"" &amp; D964 &amp; ""' and Col8 is not null"",
      0
    )
  )/100,
""""),
  """"
)
"),"")</f>
        <v/>
      </c>
    </row>
    <row r="963">
      <c r="D963" s="172"/>
      <c r="E963" s="368"/>
      <c r="F963" s="368"/>
      <c r="G963" s="368"/>
      <c r="H963" s="172"/>
      <c r="I963" s="172"/>
      <c r="J963" s="172"/>
      <c r="K963" s="172"/>
      <c r="L963" s="172"/>
      <c r="M963" s="172"/>
      <c r="N963" s="172"/>
      <c r="O963" s="358"/>
      <c r="P963" s="358"/>
      <c r="Q963" s="358"/>
      <c r="R963" s="378"/>
      <c r="S963" s="378"/>
      <c r="T963" s="8"/>
      <c r="U963" s="8"/>
      <c r="V963" s="8"/>
      <c r="W963" s="172"/>
      <c r="X963" s="172"/>
      <c r="Y963" s="8"/>
      <c r="Z963" s="8"/>
      <c r="AA963" s="8"/>
      <c r="AB963" s="172"/>
      <c r="AC963" s="172"/>
      <c r="AD963" s="8"/>
      <c r="AE963" s="8"/>
      <c r="AF963" s="8"/>
      <c r="AG963" s="172"/>
      <c r="AH963" s="172"/>
      <c r="AI963" s="367"/>
      <c r="AJ963" s="362"/>
      <c r="AK963" s="363" t="str">
        <f>IFERROR(__xludf.DUMMYFUNCTION("IFERROR(if(D965&lt;&gt;"""", 
  AVERAGE(
    QUERY(
      IMPORTRANGE(""1-uH1wy6jSm5jYL9je6fN1K5RJ5QMvHntodEHZRtIvTk"", ""All Data!N2:U""),
      ""select Col8 where Col1 = '"" &amp; D965 &amp; ""' and Col8 is not null"",
      0
    )
  )/100,
""""),
  """"
)
"),"")</f>
        <v/>
      </c>
    </row>
    <row r="964">
      <c r="D964" s="172"/>
      <c r="E964" s="368"/>
      <c r="F964" s="368"/>
      <c r="G964" s="368"/>
      <c r="H964" s="172"/>
      <c r="I964" s="172"/>
      <c r="J964" s="172"/>
      <c r="K964" s="172"/>
      <c r="L964" s="172"/>
      <c r="M964" s="172"/>
      <c r="N964" s="172"/>
      <c r="O964" s="358"/>
      <c r="P964" s="358"/>
      <c r="Q964" s="358"/>
      <c r="R964" s="378"/>
      <c r="S964" s="378"/>
      <c r="T964" s="8"/>
      <c r="U964" s="8"/>
      <c r="V964" s="8"/>
      <c r="W964" s="172"/>
      <c r="X964" s="172"/>
      <c r="Y964" s="8"/>
      <c r="Z964" s="8"/>
      <c r="AA964" s="8"/>
      <c r="AB964" s="172"/>
      <c r="AC964" s="172"/>
      <c r="AD964" s="8"/>
      <c r="AE964" s="8"/>
      <c r="AF964" s="8"/>
      <c r="AG964" s="172"/>
      <c r="AH964" s="172"/>
      <c r="AI964" s="367"/>
      <c r="AJ964" s="362"/>
      <c r="AK964" s="363" t="str">
        <f>IFERROR(__xludf.DUMMYFUNCTION("IFERROR(if(D966&lt;&gt;"""", 
  AVERAGE(
    QUERY(
      IMPORTRANGE(""1-uH1wy6jSm5jYL9je6fN1K5RJ5QMvHntodEHZRtIvTk"", ""All Data!N2:U""),
      ""select Col8 where Col1 = '"" &amp; D966 &amp; ""' and Col8 is not null"",
      0
    )
  )/100,
""""),
  """"
)
"),"")</f>
        <v/>
      </c>
    </row>
    <row r="965">
      <c r="D965" s="172"/>
      <c r="E965" s="368"/>
      <c r="F965" s="368"/>
      <c r="G965" s="368"/>
      <c r="H965" s="172"/>
      <c r="I965" s="172"/>
      <c r="J965" s="172"/>
      <c r="K965" s="172"/>
      <c r="L965" s="172"/>
      <c r="M965" s="172"/>
      <c r="N965" s="172"/>
      <c r="O965" s="358"/>
      <c r="P965" s="358"/>
      <c r="Q965" s="358"/>
      <c r="R965" s="378"/>
      <c r="S965" s="378"/>
      <c r="T965" s="8"/>
      <c r="U965" s="8"/>
      <c r="V965" s="8"/>
      <c r="W965" s="172"/>
      <c r="X965" s="172"/>
      <c r="Y965" s="8"/>
      <c r="Z965" s="8"/>
      <c r="AA965" s="8"/>
      <c r="AB965" s="172"/>
      <c r="AC965" s="172"/>
      <c r="AD965" s="8"/>
      <c r="AE965" s="8"/>
      <c r="AF965" s="8"/>
      <c r="AG965" s="172"/>
      <c r="AH965" s="172"/>
      <c r="AI965" s="367"/>
      <c r="AJ965" s="362"/>
      <c r="AK965" s="363" t="str">
        <f>IFERROR(__xludf.DUMMYFUNCTION("IFERROR(if(D967&lt;&gt;"""", 
  AVERAGE(
    QUERY(
      IMPORTRANGE(""1-uH1wy6jSm5jYL9je6fN1K5RJ5QMvHntodEHZRtIvTk"", ""All Data!N2:U""),
      ""select Col8 where Col1 = '"" &amp; D967 &amp; ""' and Col8 is not null"",
      0
    )
  )/100,
""""),
  """"
)
"),"")</f>
        <v/>
      </c>
    </row>
    <row r="966">
      <c r="D966" s="172"/>
      <c r="E966" s="368"/>
      <c r="F966" s="368"/>
      <c r="G966" s="368"/>
      <c r="H966" s="172"/>
      <c r="I966" s="172"/>
      <c r="J966" s="172"/>
      <c r="K966" s="172"/>
      <c r="L966" s="172"/>
      <c r="M966" s="172"/>
      <c r="N966" s="172"/>
      <c r="O966" s="358"/>
      <c r="P966" s="358"/>
      <c r="Q966" s="358"/>
      <c r="R966" s="378"/>
      <c r="S966" s="378"/>
      <c r="T966" s="8"/>
      <c r="U966" s="8"/>
      <c r="V966" s="8"/>
      <c r="W966" s="172"/>
      <c r="X966" s="172"/>
      <c r="Y966" s="8"/>
      <c r="Z966" s="8"/>
      <c r="AA966" s="8"/>
      <c r="AB966" s="172"/>
      <c r="AC966" s="172"/>
      <c r="AD966" s="8"/>
      <c r="AE966" s="8"/>
      <c r="AF966" s="8"/>
      <c r="AG966" s="172"/>
      <c r="AH966" s="172"/>
      <c r="AI966" s="367"/>
      <c r="AJ966" s="362"/>
      <c r="AK966" s="363" t="str">
        <f>IFERROR(__xludf.DUMMYFUNCTION("IFERROR(if(D968&lt;&gt;"""", 
  AVERAGE(
    QUERY(
      IMPORTRANGE(""1-uH1wy6jSm5jYL9je6fN1K5RJ5QMvHntodEHZRtIvTk"", ""All Data!N2:U""),
      ""select Col8 where Col1 = '"" &amp; D968 &amp; ""' and Col8 is not null"",
      0
    )
  )/100,
""""),
  """"
)
"),"")</f>
        <v/>
      </c>
    </row>
    <row r="967">
      <c r="D967" s="172"/>
      <c r="E967" s="368"/>
      <c r="F967" s="368"/>
      <c r="G967" s="368"/>
      <c r="H967" s="172"/>
      <c r="I967" s="172"/>
      <c r="J967" s="172"/>
      <c r="K967" s="172"/>
      <c r="L967" s="172"/>
      <c r="M967" s="172"/>
      <c r="N967" s="172"/>
      <c r="O967" s="358"/>
      <c r="P967" s="358"/>
      <c r="Q967" s="358"/>
      <c r="R967" s="378"/>
      <c r="S967" s="378"/>
      <c r="T967" s="8"/>
      <c r="U967" s="8"/>
      <c r="V967" s="8"/>
      <c r="W967" s="172"/>
      <c r="X967" s="172"/>
      <c r="Y967" s="8"/>
      <c r="Z967" s="8"/>
      <c r="AA967" s="8"/>
      <c r="AB967" s="172"/>
      <c r="AC967" s="172"/>
      <c r="AD967" s="8"/>
      <c r="AE967" s="8"/>
      <c r="AF967" s="8"/>
      <c r="AG967" s="172"/>
      <c r="AH967" s="172"/>
      <c r="AI967" s="367"/>
      <c r="AJ967" s="362"/>
      <c r="AK967" s="363" t="str">
        <f>IFERROR(__xludf.DUMMYFUNCTION("IFERROR(if(D969&lt;&gt;"""", 
  AVERAGE(
    QUERY(
      IMPORTRANGE(""1-uH1wy6jSm5jYL9je6fN1K5RJ5QMvHntodEHZRtIvTk"", ""All Data!N2:U""),
      ""select Col8 where Col1 = '"" &amp; D969 &amp; ""' and Col8 is not null"",
      0
    )
  )/100,
""""),
  """"
)
"),"")</f>
        <v/>
      </c>
    </row>
    <row r="968">
      <c r="D968" s="172"/>
      <c r="E968" s="368"/>
      <c r="F968" s="368"/>
      <c r="G968" s="368"/>
      <c r="H968" s="172"/>
      <c r="I968" s="172"/>
      <c r="J968" s="172"/>
      <c r="K968" s="172"/>
      <c r="L968" s="172"/>
      <c r="M968" s="172"/>
      <c r="N968" s="172"/>
      <c r="O968" s="358"/>
      <c r="P968" s="358"/>
      <c r="Q968" s="358"/>
      <c r="R968" s="378"/>
      <c r="S968" s="378"/>
      <c r="T968" s="8"/>
      <c r="U968" s="8"/>
      <c r="V968" s="8"/>
      <c r="W968" s="172"/>
      <c r="X968" s="172"/>
      <c r="Y968" s="8"/>
      <c r="Z968" s="8"/>
      <c r="AA968" s="8"/>
      <c r="AB968" s="172"/>
      <c r="AC968" s="172"/>
      <c r="AD968" s="8"/>
      <c r="AE968" s="8"/>
      <c r="AF968" s="8"/>
      <c r="AG968" s="172"/>
      <c r="AH968" s="172"/>
      <c r="AI968" s="367"/>
      <c r="AJ968" s="362"/>
      <c r="AK968" s="363" t="str">
        <f>IFERROR(__xludf.DUMMYFUNCTION("IFERROR(if(D970&lt;&gt;"""", 
  AVERAGE(
    QUERY(
      IMPORTRANGE(""1-uH1wy6jSm5jYL9je6fN1K5RJ5QMvHntodEHZRtIvTk"", ""All Data!N2:U""),
      ""select Col8 where Col1 = '"" &amp; D970 &amp; ""' and Col8 is not null"",
      0
    )
  )/100,
""""),
  """"
)
"),"")</f>
        <v/>
      </c>
    </row>
    <row r="969">
      <c r="D969" s="172"/>
      <c r="E969" s="368"/>
      <c r="F969" s="368"/>
      <c r="G969" s="368"/>
      <c r="H969" s="172"/>
      <c r="I969" s="172"/>
      <c r="J969" s="172"/>
      <c r="K969" s="172"/>
      <c r="L969" s="172"/>
      <c r="M969" s="172"/>
      <c r="N969" s="172"/>
      <c r="O969" s="358"/>
      <c r="P969" s="358"/>
      <c r="Q969" s="358"/>
      <c r="R969" s="378"/>
      <c r="S969" s="378"/>
      <c r="T969" s="8"/>
      <c r="U969" s="8"/>
      <c r="V969" s="8"/>
      <c r="W969" s="172"/>
      <c r="X969" s="172"/>
      <c r="Y969" s="8"/>
      <c r="Z969" s="8"/>
      <c r="AA969" s="8"/>
      <c r="AB969" s="172"/>
      <c r="AC969" s="172"/>
      <c r="AD969" s="8"/>
      <c r="AE969" s="8"/>
      <c r="AF969" s="8"/>
      <c r="AG969" s="172"/>
      <c r="AH969" s="172"/>
      <c r="AI969" s="367"/>
      <c r="AJ969" s="362"/>
      <c r="AK969" s="363" t="str">
        <f>IFERROR(__xludf.DUMMYFUNCTION("IFERROR(if(D971&lt;&gt;"""", 
  AVERAGE(
    QUERY(
      IMPORTRANGE(""1-uH1wy6jSm5jYL9je6fN1K5RJ5QMvHntodEHZRtIvTk"", ""All Data!N2:U""),
      ""select Col8 where Col1 = '"" &amp; D971 &amp; ""' and Col8 is not null"",
      0
    )
  )/100,
""""),
  """"
)
"),"")</f>
        <v/>
      </c>
    </row>
    <row r="970">
      <c r="D970" s="172"/>
      <c r="E970" s="368"/>
      <c r="F970" s="368"/>
      <c r="G970" s="368"/>
      <c r="H970" s="172"/>
      <c r="I970" s="172"/>
      <c r="J970" s="172"/>
      <c r="K970" s="172"/>
      <c r="L970" s="172"/>
      <c r="M970" s="172"/>
      <c r="N970" s="172"/>
      <c r="O970" s="358"/>
      <c r="P970" s="358"/>
      <c r="Q970" s="358"/>
      <c r="R970" s="378"/>
      <c r="S970" s="378"/>
      <c r="T970" s="8"/>
      <c r="U970" s="8"/>
      <c r="V970" s="8"/>
      <c r="W970" s="172"/>
      <c r="X970" s="172"/>
      <c r="Y970" s="8"/>
      <c r="Z970" s="8"/>
      <c r="AA970" s="8"/>
      <c r="AB970" s="172"/>
      <c r="AC970" s="172"/>
      <c r="AD970" s="8"/>
      <c r="AE970" s="8"/>
      <c r="AF970" s="8"/>
      <c r="AG970" s="172"/>
      <c r="AH970" s="172"/>
      <c r="AI970" s="367"/>
      <c r="AJ970" s="362"/>
      <c r="AK970" s="363" t="str">
        <f>IFERROR(__xludf.DUMMYFUNCTION("IFERROR(if(D972&lt;&gt;"""", 
  AVERAGE(
    QUERY(
      IMPORTRANGE(""1-uH1wy6jSm5jYL9je6fN1K5RJ5QMvHntodEHZRtIvTk"", ""All Data!N2:U""),
      ""select Col8 where Col1 = '"" &amp; D972 &amp; ""' and Col8 is not null"",
      0
    )
  )/100,
""""),
  """"
)
"),"")</f>
        <v/>
      </c>
    </row>
    <row r="971">
      <c r="D971" s="172"/>
      <c r="E971" s="368"/>
      <c r="F971" s="368"/>
      <c r="G971" s="368"/>
      <c r="H971" s="172"/>
      <c r="I971" s="172"/>
      <c r="J971" s="172"/>
      <c r="K971" s="172"/>
      <c r="L971" s="172"/>
      <c r="M971" s="172"/>
      <c r="N971" s="172"/>
      <c r="O971" s="358"/>
      <c r="P971" s="358"/>
      <c r="Q971" s="358"/>
      <c r="R971" s="378"/>
      <c r="S971" s="378"/>
      <c r="T971" s="8"/>
      <c r="U971" s="8"/>
      <c r="V971" s="8"/>
      <c r="W971" s="172"/>
      <c r="X971" s="172"/>
      <c r="Y971" s="8"/>
      <c r="Z971" s="8"/>
      <c r="AA971" s="8"/>
      <c r="AB971" s="172"/>
      <c r="AC971" s="172"/>
      <c r="AD971" s="8"/>
      <c r="AE971" s="8"/>
      <c r="AF971" s="8"/>
      <c r="AG971" s="172"/>
      <c r="AH971" s="172"/>
      <c r="AI971" s="367"/>
      <c r="AJ971" s="362"/>
      <c r="AK971" s="363" t="str">
        <f>IFERROR(__xludf.DUMMYFUNCTION("IFERROR(if(D973&lt;&gt;"""", 
  AVERAGE(
    QUERY(
      IMPORTRANGE(""1-uH1wy6jSm5jYL9je6fN1K5RJ5QMvHntodEHZRtIvTk"", ""All Data!N2:U""),
      ""select Col8 where Col1 = '"" &amp; D973 &amp; ""' and Col8 is not null"",
      0
    )
  )/100,
""""),
  """"
)
"),"")</f>
        <v/>
      </c>
    </row>
    <row r="972">
      <c r="D972" s="172"/>
      <c r="E972" s="368"/>
      <c r="F972" s="368"/>
      <c r="G972" s="368"/>
      <c r="H972" s="172"/>
      <c r="I972" s="172"/>
      <c r="J972" s="172"/>
      <c r="K972" s="172"/>
      <c r="L972" s="172"/>
      <c r="M972" s="172"/>
      <c r="N972" s="172"/>
      <c r="O972" s="358"/>
      <c r="P972" s="358"/>
      <c r="Q972" s="358"/>
      <c r="R972" s="378"/>
      <c r="S972" s="378"/>
      <c r="T972" s="8"/>
      <c r="U972" s="8"/>
      <c r="V972" s="8"/>
      <c r="W972" s="172"/>
      <c r="X972" s="172"/>
      <c r="Y972" s="8"/>
      <c r="Z972" s="8"/>
      <c r="AA972" s="8"/>
      <c r="AB972" s="172"/>
      <c r="AC972" s="172"/>
      <c r="AD972" s="8"/>
      <c r="AE972" s="8"/>
      <c r="AF972" s="8"/>
      <c r="AG972" s="172"/>
      <c r="AH972" s="172"/>
      <c r="AI972" s="367"/>
      <c r="AJ972" s="362"/>
      <c r="AK972" s="363" t="str">
        <f>IFERROR(__xludf.DUMMYFUNCTION("IFERROR(if(D974&lt;&gt;"""", 
  AVERAGE(
    QUERY(
      IMPORTRANGE(""1-uH1wy6jSm5jYL9je6fN1K5RJ5QMvHntodEHZRtIvTk"", ""All Data!N2:U""),
      ""select Col8 where Col1 = '"" &amp; D974 &amp; ""' and Col8 is not null"",
      0
    )
  )/100,
""""),
  """"
)
"),"")</f>
        <v/>
      </c>
    </row>
    <row r="973">
      <c r="D973" s="172"/>
      <c r="E973" s="368"/>
      <c r="F973" s="368"/>
      <c r="G973" s="368"/>
      <c r="H973" s="172"/>
      <c r="I973" s="172"/>
      <c r="J973" s="172"/>
      <c r="K973" s="172"/>
      <c r="L973" s="172"/>
      <c r="M973" s="172"/>
      <c r="N973" s="172"/>
      <c r="O973" s="358"/>
      <c r="P973" s="358"/>
      <c r="Q973" s="358"/>
      <c r="R973" s="378"/>
      <c r="S973" s="378"/>
      <c r="T973" s="8"/>
      <c r="U973" s="8"/>
      <c r="V973" s="8"/>
      <c r="W973" s="172"/>
      <c r="X973" s="172"/>
      <c r="Y973" s="8"/>
      <c r="Z973" s="8"/>
      <c r="AA973" s="8"/>
      <c r="AB973" s="172"/>
      <c r="AC973" s="172"/>
      <c r="AD973" s="8"/>
      <c r="AE973" s="8"/>
      <c r="AF973" s="8"/>
      <c r="AG973" s="172"/>
      <c r="AH973" s="172"/>
      <c r="AI973" s="367"/>
      <c r="AJ973" s="362"/>
      <c r="AK973" s="363" t="str">
        <f>IFERROR(__xludf.DUMMYFUNCTION("IFERROR(if(D975&lt;&gt;"""", 
  AVERAGE(
    QUERY(
      IMPORTRANGE(""1-uH1wy6jSm5jYL9je6fN1K5RJ5QMvHntodEHZRtIvTk"", ""All Data!N2:U""),
      ""select Col8 where Col1 = '"" &amp; D975 &amp; ""' and Col8 is not null"",
      0
    )
  )/100,
""""),
  """"
)
"),"")</f>
        <v/>
      </c>
    </row>
    <row r="974">
      <c r="D974" s="172"/>
      <c r="E974" s="368"/>
      <c r="F974" s="368"/>
      <c r="G974" s="368"/>
      <c r="H974" s="172"/>
      <c r="I974" s="172"/>
      <c r="J974" s="172"/>
      <c r="K974" s="172"/>
      <c r="L974" s="172"/>
      <c r="M974" s="172"/>
      <c r="N974" s="172"/>
      <c r="O974" s="358"/>
      <c r="P974" s="358"/>
      <c r="Q974" s="358"/>
      <c r="R974" s="378"/>
      <c r="S974" s="378"/>
      <c r="T974" s="8"/>
      <c r="U974" s="8"/>
      <c r="V974" s="8"/>
      <c r="W974" s="172"/>
      <c r="X974" s="172"/>
      <c r="Y974" s="8"/>
      <c r="Z974" s="8"/>
      <c r="AA974" s="8"/>
      <c r="AB974" s="172"/>
      <c r="AC974" s="172"/>
      <c r="AD974" s="8"/>
      <c r="AE974" s="8"/>
      <c r="AF974" s="8"/>
      <c r="AG974" s="172"/>
      <c r="AH974" s="172"/>
      <c r="AI974" s="367"/>
      <c r="AJ974" s="362"/>
      <c r="AK974" s="363" t="str">
        <f>IFERROR(__xludf.DUMMYFUNCTION("IFERROR(if(D976&lt;&gt;"""", 
  AVERAGE(
    QUERY(
      IMPORTRANGE(""1-uH1wy6jSm5jYL9je6fN1K5RJ5QMvHntodEHZRtIvTk"", ""All Data!N2:U""),
      ""select Col8 where Col1 = '"" &amp; D976 &amp; ""' and Col8 is not null"",
      0
    )
  )/100,
""""),
  """"
)
"),"")</f>
        <v/>
      </c>
    </row>
    <row r="975">
      <c r="D975" s="172"/>
      <c r="E975" s="368"/>
      <c r="F975" s="368"/>
      <c r="G975" s="368"/>
      <c r="H975" s="172"/>
      <c r="I975" s="172"/>
      <c r="J975" s="172"/>
      <c r="K975" s="172"/>
      <c r="L975" s="172"/>
      <c r="M975" s="172"/>
      <c r="N975" s="172"/>
      <c r="O975" s="358"/>
      <c r="P975" s="358"/>
      <c r="Q975" s="358"/>
      <c r="R975" s="378"/>
      <c r="S975" s="378"/>
      <c r="T975" s="8"/>
      <c r="U975" s="8"/>
      <c r="V975" s="8"/>
      <c r="W975" s="172"/>
      <c r="X975" s="172"/>
      <c r="Y975" s="8"/>
      <c r="Z975" s="8"/>
      <c r="AA975" s="8"/>
      <c r="AB975" s="172"/>
      <c r="AC975" s="172"/>
      <c r="AD975" s="8"/>
      <c r="AE975" s="8"/>
      <c r="AF975" s="8"/>
      <c r="AG975" s="172"/>
      <c r="AH975" s="172"/>
      <c r="AI975" s="367"/>
      <c r="AJ975" s="362"/>
      <c r="AK975" s="363" t="str">
        <f>IFERROR(__xludf.DUMMYFUNCTION("IFERROR(if(D977&lt;&gt;"""", 
  AVERAGE(
    QUERY(
      IMPORTRANGE(""1-uH1wy6jSm5jYL9je6fN1K5RJ5QMvHntodEHZRtIvTk"", ""All Data!N2:U""),
      ""select Col8 where Col1 = '"" &amp; D977 &amp; ""' and Col8 is not null"",
      0
    )
  )/100,
""""),
  """"
)
"),"")</f>
        <v/>
      </c>
    </row>
    <row r="976">
      <c r="D976" s="172"/>
      <c r="E976" s="368"/>
      <c r="F976" s="368"/>
      <c r="G976" s="368"/>
      <c r="H976" s="172"/>
      <c r="I976" s="172"/>
      <c r="J976" s="172"/>
      <c r="K976" s="172"/>
      <c r="L976" s="172"/>
      <c r="M976" s="172"/>
      <c r="N976" s="172"/>
      <c r="O976" s="358"/>
      <c r="P976" s="358"/>
      <c r="Q976" s="358"/>
      <c r="R976" s="378"/>
      <c r="S976" s="378"/>
      <c r="T976" s="8"/>
      <c r="U976" s="8"/>
      <c r="V976" s="8"/>
      <c r="W976" s="172"/>
      <c r="X976" s="172"/>
      <c r="Y976" s="8"/>
      <c r="Z976" s="8"/>
      <c r="AA976" s="8"/>
      <c r="AB976" s="172"/>
      <c r="AC976" s="172"/>
      <c r="AD976" s="8"/>
      <c r="AE976" s="8"/>
      <c r="AF976" s="8"/>
      <c r="AG976" s="172"/>
      <c r="AH976" s="172"/>
      <c r="AI976" s="367"/>
      <c r="AJ976" s="362"/>
      <c r="AK976" s="363" t="str">
        <f>IFERROR(__xludf.DUMMYFUNCTION("IFERROR(if(D978&lt;&gt;"""", 
  AVERAGE(
    QUERY(
      IMPORTRANGE(""1-uH1wy6jSm5jYL9je6fN1K5RJ5QMvHntodEHZRtIvTk"", ""All Data!N2:U""),
      ""select Col8 where Col1 = '"" &amp; D978 &amp; ""' and Col8 is not null"",
      0
    )
  )/100,
""""),
  """"
)
"),"")</f>
        <v/>
      </c>
    </row>
    <row r="977">
      <c r="D977" s="172"/>
      <c r="E977" s="368"/>
      <c r="F977" s="368"/>
      <c r="G977" s="368"/>
      <c r="H977" s="172"/>
      <c r="I977" s="172"/>
      <c r="J977" s="172"/>
      <c r="K977" s="172"/>
      <c r="L977" s="172"/>
      <c r="M977" s="172"/>
      <c r="N977" s="172"/>
      <c r="O977" s="358"/>
      <c r="P977" s="358"/>
      <c r="Q977" s="358"/>
      <c r="R977" s="378"/>
      <c r="S977" s="378"/>
      <c r="T977" s="8"/>
      <c r="U977" s="8"/>
      <c r="V977" s="8"/>
      <c r="W977" s="172"/>
      <c r="X977" s="172"/>
      <c r="Y977" s="8"/>
      <c r="Z977" s="8"/>
      <c r="AA977" s="8"/>
      <c r="AB977" s="172"/>
      <c r="AC977" s="172"/>
      <c r="AD977" s="8"/>
      <c r="AE977" s="8"/>
      <c r="AF977" s="8"/>
      <c r="AG977" s="172"/>
      <c r="AH977" s="172"/>
      <c r="AI977" s="367"/>
      <c r="AJ977" s="362"/>
      <c r="AK977" s="363" t="str">
        <f>IFERROR(__xludf.DUMMYFUNCTION("IFERROR(if(D979&lt;&gt;"""", 
  AVERAGE(
    QUERY(
      IMPORTRANGE(""1-uH1wy6jSm5jYL9je6fN1K5RJ5QMvHntodEHZRtIvTk"", ""All Data!N2:U""),
      ""select Col8 where Col1 = '"" &amp; D979 &amp; ""' and Col8 is not null"",
      0
    )
  )/100,
""""),
  """"
)
"),"")</f>
        <v/>
      </c>
    </row>
    <row r="978">
      <c r="D978" s="172"/>
      <c r="E978" s="368"/>
      <c r="F978" s="368"/>
      <c r="G978" s="368"/>
      <c r="H978" s="172"/>
      <c r="I978" s="172"/>
      <c r="J978" s="172"/>
      <c r="K978" s="172"/>
      <c r="L978" s="172"/>
      <c r="M978" s="172"/>
      <c r="N978" s="172"/>
      <c r="O978" s="358"/>
      <c r="P978" s="358"/>
      <c r="Q978" s="358"/>
      <c r="R978" s="378"/>
      <c r="S978" s="378"/>
      <c r="T978" s="8"/>
      <c r="U978" s="8"/>
      <c r="V978" s="8"/>
      <c r="W978" s="172"/>
      <c r="X978" s="172"/>
      <c r="Y978" s="8"/>
      <c r="Z978" s="8"/>
      <c r="AA978" s="8"/>
      <c r="AB978" s="172"/>
      <c r="AC978" s="172"/>
      <c r="AD978" s="8"/>
      <c r="AE978" s="8"/>
      <c r="AF978" s="8"/>
      <c r="AG978" s="172"/>
      <c r="AH978" s="172"/>
      <c r="AI978" s="367"/>
      <c r="AJ978" s="362"/>
      <c r="AK978" s="363" t="str">
        <f>IFERROR(__xludf.DUMMYFUNCTION("IFERROR(if(D980&lt;&gt;"""", 
  AVERAGE(
    QUERY(
      IMPORTRANGE(""1-uH1wy6jSm5jYL9je6fN1K5RJ5QMvHntodEHZRtIvTk"", ""All Data!N2:U""),
      ""select Col8 where Col1 = '"" &amp; D980 &amp; ""' and Col8 is not null"",
      0
    )
  )/100,
""""),
  """"
)
"),"")</f>
        <v/>
      </c>
    </row>
    <row r="979">
      <c r="D979" s="172"/>
      <c r="E979" s="368"/>
      <c r="F979" s="368"/>
      <c r="G979" s="368"/>
      <c r="H979" s="172"/>
      <c r="I979" s="172"/>
      <c r="J979" s="172"/>
      <c r="K979" s="172"/>
      <c r="L979" s="172"/>
      <c r="M979" s="172"/>
      <c r="N979" s="172"/>
      <c r="O979" s="358"/>
      <c r="P979" s="358"/>
      <c r="Q979" s="358"/>
      <c r="R979" s="378"/>
      <c r="S979" s="378"/>
      <c r="T979" s="8"/>
      <c r="U979" s="8"/>
      <c r="V979" s="8"/>
      <c r="W979" s="172"/>
      <c r="X979" s="172"/>
      <c r="Y979" s="8"/>
      <c r="Z979" s="8"/>
      <c r="AA979" s="8"/>
      <c r="AB979" s="172"/>
      <c r="AC979" s="172"/>
      <c r="AD979" s="8"/>
      <c r="AE979" s="8"/>
      <c r="AF979" s="8"/>
      <c r="AG979" s="172"/>
      <c r="AH979" s="172"/>
      <c r="AI979" s="367"/>
      <c r="AJ979" s="362"/>
      <c r="AK979" s="363" t="str">
        <f>IFERROR(__xludf.DUMMYFUNCTION("IFERROR(if(D981&lt;&gt;"""", 
  AVERAGE(
    QUERY(
      IMPORTRANGE(""1-uH1wy6jSm5jYL9je6fN1K5RJ5QMvHntodEHZRtIvTk"", ""All Data!N2:U""),
      ""select Col8 where Col1 = '"" &amp; D981 &amp; ""' and Col8 is not null"",
      0
    )
  )/100,
""""),
  """"
)
"),"")</f>
        <v/>
      </c>
    </row>
    <row r="980">
      <c r="D980" s="172"/>
      <c r="E980" s="368"/>
      <c r="F980" s="368"/>
      <c r="G980" s="368"/>
      <c r="H980" s="172"/>
      <c r="I980" s="172"/>
      <c r="J980" s="172"/>
      <c r="K980" s="172"/>
      <c r="L980" s="172"/>
      <c r="M980" s="172"/>
      <c r="N980" s="172"/>
      <c r="O980" s="358"/>
      <c r="P980" s="358"/>
      <c r="Q980" s="358"/>
      <c r="R980" s="378"/>
      <c r="S980" s="378"/>
      <c r="T980" s="8"/>
      <c r="U980" s="8"/>
      <c r="V980" s="8"/>
      <c r="W980" s="172"/>
      <c r="X980" s="172"/>
      <c r="Y980" s="8"/>
      <c r="Z980" s="8"/>
      <c r="AA980" s="8"/>
      <c r="AB980" s="172"/>
      <c r="AC980" s="172"/>
      <c r="AD980" s="8"/>
      <c r="AE980" s="8"/>
      <c r="AF980" s="8"/>
      <c r="AG980" s="172"/>
      <c r="AH980" s="172"/>
      <c r="AI980" s="367"/>
      <c r="AJ980" s="362"/>
      <c r="AK980" s="363" t="str">
        <f>IFERROR(__xludf.DUMMYFUNCTION("IFERROR(if(D982&lt;&gt;"""", 
  AVERAGE(
    QUERY(
      IMPORTRANGE(""1-uH1wy6jSm5jYL9je6fN1K5RJ5QMvHntodEHZRtIvTk"", ""All Data!N2:U""),
      ""select Col8 where Col1 = '"" &amp; D982 &amp; ""' and Col8 is not null"",
      0
    )
  )/100,
""""),
  """"
)
"),"")</f>
        <v/>
      </c>
    </row>
    <row r="981">
      <c r="D981" s="172"/>
      <c r="E981" s="368"/>
      <c r="F981" s="368"/>
      <c r="G981" s="368"/>
      <c r="H981" s="172"/>
      <c r="I981" s="172"/>
      <c r="J981" s="172"/>
      <c r="K981" s="172"/>
      <c r="L981" s="172"/>
      <c r="M981" s="172"/>
      <c r="N981" s="172"/>
      <c r="O981" s="358"/>
      <c r="P981" s="358"/>
      <c r="Q981" s="358"/>
      <c r="R981" s="378"/>
      <c r="S981" s="378"/>
      <c r="T981" s="8"/>
      <c r="U981" s="8"/>
      <c r="V981" s="8"/>
      <c r="W981" s="172"/>
      <c r="X981" s="172"/>
      <c r="Y981" s="8"/>
      <c r="Z981" s="8"/>
      <c r="AA981" s="8"/>
      <c r="AB981" s="172"/>
      <c r="AC981" s="172"/>
      <c r="AD981" s="8"/>
      <c r="AE981" s="8"/>
      <c r="AF981" s="8"/>
      <c r="AG981" s="172"/>
      <c r="AH981" s="172"/>
      <c r="AI981" s="367"/>
      <c r="AJ981" s="362"/>
      <c r="AK981" s="363" t="str">
        <f>IFERROR(__xludf.DUMMYFUNCTION("IFERROR(if(D983&lt;&gt;"""", 
  AVERAGE(
    QUERY(
      IMPORTRANGE(""1-uH1wy6jSm5jYL9je6fN1K5RJ5QMvHntodEHZRtIvTk"", ""All Data!N2:U""),
      ""select Col8 where Col1 = '"" &amp; D983 &amp; ""' and Col8 is not null"",
      0
    )
  )/100,
""""),
  """"
)
"),"")</f>
        <v/>
      </c>
    </row>
    <row r="982">
      <c r="D982" s="172"/>
      <c r="E982" s="368"/>
      <c r="F982" s="368"/>
      <c r="G982" s="368"/>
      <c r="H982" s="172"/>
      <c r="I982" s="172"/>
      <c r="J982" s="172"/>
      <c r="K982" s="172"/>
      <c r="L982" s="172"/>
      <c r="M982" s="172"/>
      <c r="N982" s="172"/>
      <c r="O982" s="358"/>
      <c r="P982" s="358"/>
      <c r="Q982" s="358"/>
      <c r="R982" s="378"/>
      <c r="S982" s="378"/>
      <c r="T982" s="8"/>
      <c r="U982" s="8"/>
      <c r="V982" s="8"/>
      <c r="W982" s="172"/>
      <c r="X982" s="172"/>
      <c r="Y982" s="8"/>
      <c r="Z982" s="8"/>
      <c r="AA982" s="8"/>
      <c r="AB982" s="172"/>
      <c r="AC982" s="172"/>
      <c r="AD982" s="8"/>
      <c r="AE982" s="8"/>
      <c r="AF982" s="8"/>
      <c r="AG982" s="172"/>
      <c r="AH982" s="172"/>
      <c r="AI982" s="367"/>
      <c r="AJ982" s="362"/>
      <c r="AK982" s="363" t="str">
        <f>IFERROR(__xludf.DUMMYFUNCTION("IFERROR(if(D984&lt;&gt;"""", 
  AVERAGE(
    QUERY(
      IMPORTRANGE(""1-uH1wy6jSm5jYL9je6fN1K5RJ5QMvHntodEHZRtIvTk"", ""All Data!N2:U""),
      ""select Col8 where Col1 = '"" &amp; D984 &amp; ""' and Col8 is not null"",
      0
    )
  )/100,
""""),
  """"
)
"),"")</f>
        <v/>
      </c>
    </row>
    <row r="983">
      <c r="D983" s="172"/>
      <c r="E983" s="368"/>
      <c r="F983" s="368"/>
      <c r="G983" s="368"/>
      <c r="H983" s="172"/>
      <c r="I983" s="172"/>
      <c r="J983" s="172"/>
      <c r="K983" s="172"/>
      <c r="L983" s="172"/>
      <c r="M983" s="172"/>
      <c r="N983" s="172"/>
      <c r="O983" s="358"/>
      <c r="P983" s="358"/>
      <c r="Q983" s="358"/>
      <c r="R983" s="378"/>
      <c r="S983" s="378"/>
      <c r="T983" s="8"/>
      <c r="U983" s="8"/>
      <c r="V983" s="8"/>
      <c r="W983" s="172"/>
      <c r="X983" s="172"/>
      <c r="Y983" s="8"/>
      <c r="Z983" s="8"/>
      <c r="AA983" s="8"/>
      <c r="AB983" s="172"/>
      <c r="AC983" s="172"/>
      <c r="AD983" s="8"/>
      <c r="AE983" s="8"/>
      <c r="AF983" s="8"/>
      <c r="AG983" s="172"/>
      <c r="AH983" s="172"/>
      <c r="AI983" s="367"/>
      <c r="AJ983" s="362"/>
      <c r="AK983" s="363" t="str">
        <f>IFERROR(__xludf.DUMMYFUNCTION("IFERROR(if(D985&lt;&gt;"""", 
  AVERAGE(
    QUERY(
      IMPORTRANGE(""1-uH1wy6jSm5jYL9je6fN1K5RJ5QMvHntodEHZRtIvTk"", ""All Data!N2:U""),
      ""select Col8 where Col1 = '"" &amp; D985 &amp; ""' and Col8 is not null"",
      0
    )
  )/100,
""""),
  """"
)
"),"")</f>
        <v/>
      </c>
    </row>
    <row r="984">
      <c r="D984" s="172"/>
      <c r="E984" s="368"/>
      <c r="F984" s="368"/>
      <c r="G984" s="368"/>
      <c r="H984" s="172"/>
      <c r="I984" s="172"/>
      <c r="J984" s="172"/>
      <c r="K984" s="172"/>
      <c r="L984" s="172"/>
      <c r="M984" s="172"/>
      <c r="N984" s="172"/>
      <c r="O984" s="358"/>
      <c r="P984" s="358"/>
      <c r="Q984" s="358"/>
      <c r="R984" s="378"/>
      <c r="S984" s="378"/>
      <c r="T984" s="8"/>
      <c r="U984" s="8"/>
      <c r="V984" s="8"/>
      <c r="W984" s="172"/>
      <c r="X984" s="172"/>
      <c r="Y984" s="8"/>
      <c r="Z984" s="8"/>
      <c r="AA984" s="8"/>
      <c r="AB984" s="172"/>
      <c r="AC984" s="172"/>
      <c r="AD984" s="8"/>
      <c r="AE984" s="8"/>
      <c r="AF984" s="8"/>
      <c r="AG984" s="172"/>
      <c r="AH984" s="172"/>
      <c r="AI984" s="367"/>
      <c r="AJ984" s="362"/>
      <c r="AK984" s="363" t="str">
        <f>IFERROR(__xludf.DUMMYFUNCTION("IFERROR(if(D986&lt;&gt;"""", 
  AVERAGE(
    QUERY(
      IMPORTRANGE(""1-uH1wy6jSm5jYL9je6fN1K5RJ5QMvHntodEHZRtIvTk"", ""All Data!N2:U""),
      ""select Col8 where Col1 = '"" &amp; D986 &amp; ""' and Col8 is not null"",
      0
    )
  )/100,
""""),
  """"
)
"),"")</f>
        <v/>
      </c>
    </row>
    <row r="985">
      <c r="D985" s="172"/>
      <c r="E985" s="368"/>
      <c r="F985" s="368"/>
      <c r="G985" s="368"/>
      <c r="H985" s="172"/>
      <c r="I985" s="172"/>
      <c r="J985" s="172"/>
      <c r="K985" s="172"/>
      <c r="L985" s="172"/>
      <c r="M985" s="172"/>
      <c r="N985" s="172"/>
      <c r="O985" s="358"/>
      <c r="P985" s="358"/>
      <c r="Q985" s="358"/>
      <c r="R985" s="378"/>
      <c r="S985" s="378"/>
      <c r="T985" s="8"/>
      <c r="U985" s="8"/>
      <c r="V985" s="8"/>
      <c r="W985" s="172"/>
      <c r="X985" s="172"/>
      <c r="Y985" s="8"/>
      <c r="Z985" s="8"/>
      <c r="AA985" s="8"/>
      <c r="AB985" s="172"/>
      <c r="AC985" s="172"/>
      <c r="AD985" s="8"/>
      <c r="AE985" s="8"/>
      <c r="AF985" s="8"/>
      <c r="AG985" s="172"/>
      <c r="AH985" s="172"/>
      <c r="AI985" s="367"/>
      <c r="AJ985" s="362"/>
      <c r="AK985" s="363" t="str">
        <f>IFERROR(__xludf.DUMMYFUNCTION("IFERROR(if(D987&lt;&gt;"""", 
  AVERAGE(
    QUERY(
      IMPORTRANGE(""1-uH1wy6jSm5jYL9je6fN1K5RJ5QMvHntodEHZRtIvTk"", ""All Data!N2:U""),
      ""select Col8 where Col1 = '"" &amp; D987 &amp; ""' and Col8 is not null"",
      0
    )
  )/100,
""""),
  """"
)
"),"")</f>
        <v/>
      </c>
    </row>
    <row r="986">
      <c r="D986" s="172"/>
      <c r="E986" s="368"/>
      <c r="F986" s="368"/>
      <c r="G986" s="368"/>
      <c r="H986" s="172"/>
      <c r="I986" s="172"/>
      <c r="J986" s="172"/>
      <c r="K986" s="172"/>
      <c r="L986" s="172"/>
      <c r="M986" s="172"/>
      <c r="N986" s="172"/>
      <c r="O986" s="358"/>
      <c r="P986" s="358"/>
      <c r="Q986" s="358"/>
      <c r="R986" s="378"/>
      <c r="S986" s="378"/>
      <c r="T986" s="8"/>
      <c r="U986" s="8"/>
      <c r="V986" s="8"/>
      <c r="W986" s="172"/>
      <c r="X986" s="172"/>
      <c r="Y986" s="8"/>
      <c r="Z986" s="8"/>
      <c r="AA986" s="8"/>
      <c r="AB986" s="172"/>
      <c r="AC986" s="172"/>
      <c r="AD986" s="8"/>
      <c r="AE986" s="8"/>
      <c r="AF986" s="8"/>
      <c r="AG986" s="172"/>
      <c r="AH986" s="172"/>
      <c r="AI986" s="367"/>
      <c r="AJ986" s="362"/>
      <c r="AK986" s="363" t="str">
        <f>IFERROR(__xludf.DUMMYFUNCTION("IFERROR(if(D988&lt;&gt;"""", 
  AVERAGE(
    QUERY(
      IMPORTRANGE(""1-uH1wy6jSm5jYL9je6fN1K5RJ5QMvHntodEHZRtIvTk"", ""All Data!N2:U""),
      ""select Col8 where Col1 = '"" &amp; D988 &amp; ""' and Col8 is not null"",
      0
    )
  )/100,
""""),
  """"
)
"),"")</f>
        <v/>
      </c>
    </row>
    <row r="987">
      <c r="D987" s="172"/>
      <c r="E987" s="368"/>
      <c r="F987" s="368"/>
      <c r="G987" s="368"/>
      <c r="H987" s="172"/>
      <c r="I987" s="172"/>
      <c r="J987" s="172"/>
      <c r="K987" s="172"/>
      <c r="L987" s="172"/>
      <c r="M987" s="172"/>
      <c r="N987" s="172"/>
      <c r="O987" s="358"/>
      <c r="P987" s="358"/>
      <c r="Q987" s="358"/>
      <c r="R987" s="378"/>
      <c r="S987" s="378"/>
      <c r="T987" s="8"/>
      <c r="U987" s="8"/>
      <c r="V987" s="8"/>
      <c r="W987" s="172"/>
      <c r="X987" s="172"/>
      <c r="Y987" s="8"/>
      <c r="Z987" s="8"/>
      <c r="AA987" s="8"/>
      <c r="AB987" s="172"/>
      <c r="AC987" s="172"/>
      <c r="AD987" s="8"/>
      <c r="AE987" s="8"/>
      <c r="AF987" s="8"/>
      <c r="AG987" s="172"/>
      <c r="AH987" s="172"/>
      <c r="AI987" s="367"/>
      <c r="AJ987" s="362"/>
      <c r="AK987" s="363" t="str">
        <f>IFERROR(__xludf.DUMMYFUNCTION("IFERROR(if(D989&lt;&gt;"""", 
  AVERAGE(
    QUERY(
      IMPORTRANGE(""1-uH1wy6jSm5jYL9je6fN1K5RJ5QMvHntodEHZRtIvTk"", ""All Data!N2:U""),
      ""select Col8 where Col1 = '"" &amp; D989 &amp; ""' and Col8 is not null"",
      0
    )
  )/100,
""""),
  """"
)
"),"")</f>
        <v/>
      </c>
    </row>
    <row r="988">
      <c r="D988" s="172"/>
      <c r="E988" s="368"/>
      <c r="F988" s="368"/>
      <c r="G988" s="368"/>
      <c r="H988" s="172"/>
      <c r="I988" s="172"/>
      <c r="J988" s="172"/>
      <c r="K988" s="172"/>
      <c r="L988" s="172"/>
      <c r="M988" s="172"/>
      <c r="N988" s="172"/>
      <c r="O988" s="358"/>
      <c r="P988" s="358"/>
      <c r="Q988" s="358"/>
      <c r="R988" s="378"/>
      <c r="S988" s="378"/>
      <c r="T988" s="8"/>
      <c r="U988" s="8"/>
      <c r="V988" s="8"/>
      <c r="W988" s="172"/>
      <c r="X988" s="172"/>
      <c r="Y988" s="8"/>
      <c r="Z988" s="8"/>
      <c r="AA988" s="8"/>
      <c r="AB988" s="172"/>
      <c r="AC988" s="172"/>
      <c r="AD988" s="8"/>
      <c r="AE988" s="8"/>
      <c r="AF988" s="8"/>
      <c r="AG988" s="172"/>
      <c r="AH988" s="172"/>
      <c r="AI988" s="367"/>
      <c r="AJ988" s="362"/>
      <c r="AK988" s="363" t="str">
        <f>IFERROR(__xludf.DUMMYFUNCTION("IFERROR(if(D990&lt;&gt;"""", 
  AVERAGE(
    QUERY(
      IMPORTRANGE(""1-uH1wy6jSm5jYL9je6fN1K5RJ5QMvHntodEHZRtIvTk"", ""All Data!N2:U""),
      ""select Col8 where Col1 = '"" &amp; D990 &amp; ""' and Col8 is not null"",
      0
    )
  )/100,
""""),
  """"
)
"),"")</f>
        <v/>
      </c>
    </row>
    <row r="989">
      <c r="D989" s="172"/>
      <c r="E989" s="368"/>
      <c r="F989" s="368"/>
      <c r="G989" s="368"/>
      <c r="H989" s="172"/>
      <c r="I989" s="172"/>
      <c r="J989" s="172"/>
      <c r="K989" s="172"/>
      <c r="L989" s="172"/>
      <c r="M989" s="172"/>
      <c r="N989" s="172"/>
      <c r="O989" s="358"/>
      <c r="P989" s="358"/>
      <c r="Q989" s="358"/>
      <c r="R989" s="378"/>
      <c r="S989" s="378"/>
      <c r="T989" s="8"/>
      <c r="U989" s="8"/>
      <c r="V989" s="8"/>
      <c r="W989" s="172"/>
      <c r="X989" s="172"/>
      <c r="Y989" s="8"/>
      <c r="Z989" s="8"/>
      <c r="AA989" s="8"/>
      <c r="AB989" s="172"/>
      <c r="AC989" s="172"/>
      <c r="AD989" s="8"/>
      <c r="AE989" s="8"/>
      <c r="AF989" s="8"/>
      <c r="AG989" s="172"/>
      <c r="AH989" s="172"/>
      <c r="AI989" s="367"/>
      <c r="AJ989" s="362"/>
      <c r="AK989" s="363" t="str">
        <f>IFERROR(__xludf.DUMMYFUNCTION("IFERROR(if(D991&lt;&gt;"""", 
  AVERAGE(
    QUERY(
      IMPORTRANGE(""1-uH1wy6jSm5jYL9je6fN1K5RJ5QMvHntodEHZRtIvTk"", ""All Data!N2:U""),
      ""select Col8 where Col1 = '"" &amp; D991 &amp; ""' and Col8 is not null"",
      0
    )
  )/100,
""""),
  """"
)
"),"")</f>
        <v/>
      </c>
    </row>
    <row r="990">
      <c r="D990" s="172"/>
      <c r="E990" s="368"/>
      <c r="F990" s="368"/>
      <c r="G990" s="368"/>
      <c r="H990" s="172"/>
      <c r="I990" s="172"/>
      <c r="J990" s="172"/>
      <c r="K990" s="172"/>
      <c r="L990" s="172"/>
      <c r="M990" s="172"/>
      <c r="N990" s="172"/>
      <c r="O990" s="358"/>
      <c r="P990" s="358"/>
      <c r="Q990" s="358"/>
      <c r="R990" s="378"/>
      <c r="S990" s="378"/>
      <c r="T990" s="8"/>
      <c r="U990" s="8"/>
      <c r="V990" s="8"/>
      <c r="W990" s="172"/>
      <c r="X990" s="172"/>
      <c r="Y990" s="8"/>
      <c r="Z990" s="8"/>
      <c r="AA990" s="8"/>
      <c r="AB990" s="172"/>
      <c r="AC990" s="172"/>
      <c r="AD990" s="8"/>
      <c r="AE990" s="8"/>
      <c r="AF990" s="8"/>
      <c r="AG990" s="172"/>
      <c r="AH990" s="172"/>
      <c r="AI990" s="367"/>
      <c r="AJ990" s="362"/>
      <c r="AK990" s="363" t="str">
        <f>IFERROR(__xludf.DUMMYFUNCTION("IFERROR(if(D992&lt;&gt;"""", 
  AVERAGE(
    QUERY(
      IMPORTRANGE(""1-uH1wy6jSm5jYL9je6fN1K5RJ5QMvHntodEHZRtIvTk"", ""All Data!N2:U""),
      ""select Col8 where Col1 = '"" &amp; D992 &amp; ""' and Col8 is not null"",
      0
    )
  )/100,
""""),
  """"
)
"),"")</f>
        <v/>
      </c>
    </row>
    <row r="991">
      <c r="D991" s="172"/>
      <c r="E991" s="368"/>
      <c r="F991" s="368"/>
      <c r="G991" s="368"/>
      <c r="H991" s="172"/>
      <c r="I991" s="172"/>
      <c r="J991" s="172"/>
      <c r="K991" s="172"/>
      <c r="L991" s="172"/>
      <c r="M991" s="172"/>
      <c r="N991" s="172"/>
      <c r="O991" s="358"/>
      <c r="P991" s="358"/>
      <c r="Q991" s="358"/>
      <c r="R991" s="378"/>
      <c r="S991" s="378"/>
      <c r="T991" s="8"/>
      <c r="U991" s="8"/>
      <c r="V991" s="8"/>
      <c r="W991" s="172"/>
      <c r="X991" s="172"/>
      <c r="Y991" s="8"/>
      <c r="Z991" s="8"/>
      <c r="AA991" s="8"/>
      <c r="AB991" s="172"/>
      <c r="AC991" s="172"/>
      <c r="AD991" s="8"/>
      <c r="AE991" s="8"/>
      <c r="AF991" s="8"/>
      <c r="AG991" s="172"/>
      <c r="AH991" s="172"/>
      <c r="AI991" s="367"/>
      <c r="AJ991" s="362"/>
      <c r="AK991" s="363" t="str">
        <f>IFERROR(__xludf.DUMMYFUNCTION("IFERROR(if(D993&lt;&gt;"""", 
  AVERAGE(
    QUERY(
      IMPORTRANGE(""1-uH1wy6jSm5jYL9je6fN1K5RJ5QMvHntodEHZRtIvTk"", ""All Data!N2:U""),
      ""select Col8 where Col1 = '"" &amp; D993 &amp; ""' and Col8 is not null"",
      0
    )
  )/100,
""""),
  """"
)
"),"")</f>
        <v/>
      </c>
    </row>
    <row r="992">
      <c r="D992" s="172"/>
      <c r="E992" s="368"/>
      <c r="F992" s="368"/>
      <c r="G992" s="368"/>
      <c r="H992" s="172"/>
      <c r="I992" s="172"/>
      <c r="J992" s="172"/>
      <c r="K992" s="172"/>
      <c r="L992" s="172"/>
      <c r="M992" s="172"/>
      <c r="N992" s="172"/>
      <c r="O992" s="358"/>
      <c r="P992" s="358"/>
      <c r="Q992" s="358"/>
      <c r="R992" s="378"/>
      <c r="S992" s="378"/>
      <c r="T992" s="8"/>
      <c r="U992" s="8"/>
      <c r="V992" s="8"/>
      <c r="W992" s="172"/>
      <c r="X992" s="172"/>
      <c r="Y992" s="8"/>
      <c r="Z992" s="8"/>
      <c r="AA992" s="8"/>
      <c r="AB992" s="172"/>
      <c r="AC992" s="172"/>
      <c r="AD992" s="8"/>
      <c r="AE992" s="8"/>
      <c r="AF992" s="8"/>
      <c r="AG992" s="172"/>
      <c r="AH992" s="172"/>
      <c r="AI992" s="367"/>
      <c r="AJ992" s="362"/>
      <c r="AK992" s="363" t="str">
        <f>IFERROR(__xludf.DUMMYFUNCTION("IFERROR(if(D994&lt;&gt;"""", 
  AVERAGE(
    QUERY(
      IMPORTRANGE(""1-uH1wy6jSm5jYL9je6fN1K5RJ5QMvHntodEHZRtIvTk"", ""All Data!N2:U""),
      ""select Col8 where Col1 = '"" &amp; D994 &amp; ""' and Col8 is not null"",
      0
    )
  )/100,
""""),
  """"
)
"),"")</f>
        <v/>
      </c>
    </row>
    <row r="993">
      <c r="D993" s="172"/>
      <c r="E993" s="368"/>
      <c r="F993" s="368"/>
      <c r="G993" s="368"/>
      <c r="H993" s="172"/>
      <c r="I993" s="172"/>
      <c r="J993" s="172"/>
      <c r="K993" s="172"/>
      <c r="L993" s="172"/>
      <c r="M993" s="172"/>
      <c r="N993" s="172"/>
      <c r="O993" s="358"/>
      <c r="P993" s="358"/>
      <c r="Q993" s="358"/>
      <c r="R993" s="378"/>
      <c r="S993" s="378"/>
      <c r="T993" s="8"/>
      <c r="U993" s="8"/>
      <c r="V993" s="8"/>
      <c r="W993" s="172"/>
      <c r="X993" s="172"/>
      <c r="Y993" s="8"/>
      <c r="Z993" s="8"/>
      <c r="AA993" s="8"/>
      <c r="AB993" s="172"/>
      <c r="AC993" s="172"/>
      <c r="AD993" s="8"/>
      <c r="AE993" s="8"/>
      <c r="AF993" s="8"/>
      <c r="AG993" s="172"/>
      <c r="AH993" s="172"/>
      <c r="AI993" s="367"/>
      <c r="AJ993" s="362"/>
      <c r="AK993" s="363" t="str">
        <f>IFERROR(__xludf.DUMMYFUNCTION("IFERROR(if(D995&lt;&gt;"""", 
  AVERAGE(
    QUERY(
      IMPORTRANGE(""1-uH1wy6jSm5jYL9je6fN1K5RJ5QMvHntodEHZRtIvTk"", ""All Data!N2:U""),
      ""select Col8 where Col1 = '"" &amp; D995 &amp; ""' and Col8 is not null"",
      0
    )
  )/100,
""""),
  """"
)
"),"")</f>
        <v/>
      </c>
    </row>
    <row r="994">
      <c r="D994" s="172"/>
      <c r="E994" s="368"/>
      <c r="F994" s="368"/>
      <c r="G994" s="368"/>
      <c r="H994" s="172"/>
      <c r="I994" s="172"/>
      <c r="J994" s="172"/>
      <c r="K994" s="172"/>
      <c r="L994" s="172"/>
      <c r="M994" s="172"/>
      <c r="N994" s="172"/>
      <c r="O994" s="358"/>
      <c r="P994" s="358"/>
      <c r="Q994" s="358"/>
      <c r="R994" s="378"/>
      <c r="S994" s="378"/>
      <c r="T994" s="8"/>
      <c r="U994" s="8"/>
      <c r="V994" s="8"/>
      <c r="W994" s="172"/>
      <c r="X994" s="172"/>
      <c r="Y994" s="8"/>
      <c r="Z994" s="8"/>
      <c r="AA994" s="8"/>
      <c r="AB994" s="172"/>
      <c r="AC994" s="172"/>
      <c r="AD994" s="8"/>
      <c r="AE994" s="8"/>
      <c r="AF994" s="8"/>
      <c r="AG994" s="172"/>
      <c r="AH994" s="172"/>
      <c r="AI994" s="367"/>
      <c r="AJ994" s="362"/>
      <c r="AK994" s="363" t="str">
        <f>IFERROR(__xludf.DUMMYFUNCTION("IFERROR(if(D996&lt;&gt;"""", 
  AVERAGE(
    QUERY(
      IMPORTRANGE(""1-uH1wy6jSm5jYL9je6fN1K5RJ5QMvHntodEHZRtIvTk"", ""All Data!N2:U""),
      ""select Col8 where Col1 = '"" &amp; D996 &amp; ""' and Col8 is not null"",
      0
    )
  )/100,
""""),
  """"
)
"),"")</f>
        <v/>
      </c>
    </row>
    <row r="995">
      <c r="D995" s="172"/>
      <c r="E995" s="368"/>
      <c r="F995" s="368"/>
      <c r="G995" s="368"/>
      <c r="H995" s="172"/>
      <c r="I995" s="172"/>
      <c r="J995" s="172"/>
      <c r="K995" s="172"/>
      <c r="L995" s="172"/>
      <c r="M995" s="172"/>
      <c r="N995" s="172"/>
      <c r="O995" s="358"/>
      <c r="P995" s="358"/>
      <c r="Q995" s="358"/>
      <c r="R995" s="378"/>
      <c r="S995" s="378"/>
      <c r="T995" s="8"/>
      <c r="U995" s="8"/>
      <c r="V995" s="8"/>
      <c r="W995" s="172"/>
      <c r="X995" s="172"/>
      <c r="Y995" s="8"/>
      <c r="Z995" s="8"/>
      <c r="AA995" s="8"/>
      <c r="AB995" s="172"/>
      <c r="AC995" s="172"/>
      <c r="AD995" s="8"/>
      <c r="AE995" s="8"/>
      <c r="AF995" s="8"/>
      <c r="AG995" s="172"/>
      <c r="AH995" s="172"/>
      <c r="AI995" s="367"/>
      <c r="AJ995" s="362"/>
      <c r="AK995" s="363" t="str">
        <f>IFERROR(__xludf.DUMMYFUNCTION("IFERROR(if(D997&lt;&gt;"""", 
  AVERAGE(
    QUERY(
      IMPORTRANGE(""1-uH1wy6jSm5jYL9je6fN1K5RJ5QMvHntodEHZRtIvTk"", ""All Data!N2:U""),
      ""select Col8 where Col1 = '"" &amp; D997 &amp; ""' and Col8 is not null"",
      0
    )
  )/100,
""""),
  """"
)
"),"")</f>
        <v/>
      </c>
    </row>
    <row r="996">
      <c r="D996" s="172"/>
      <c r="E996" s="368"/>
      <c r="F996" s="368"/>
      <c r="G996" s="368"/>
      <c r="H996" s="172"/>
      <c r="I996" s="172"/>
      <c r="J996" s="172"/>
      <c r="K996" s="172"/>
      <c r="L996" s="172"/>
      <c r="M996" s="172"/>
      <c r="N996" s="172"/>
      <c r="O996" s="358"/>
      <c r="P996" s="358"/>
      <c r="Q996" s="358"/>
      <c r="R996" s="378"/>
      <c r="S996" s="378"/>
      <c r="T996" s="8"/>
      <c r="U996" s="8"/>
      <c r="V996" s="8"/>
      <c r="W996" s="172"/>
      <c r="X996" s="172"/>
      <c r="Y996" s="8"/>
      <c r="Z996" s="8"/>
      <c r="AA996" s="8"/>
      <c r="AB996" s="172"/>
      <c r="AC996" s="172"/>
      <c r="AD996" s="8"/>
      <c r="AE996" s="8"/>
      <c r="AF996" s="8"/>
      <c r="AG996" s="172"/>
      <c r="AH996" s="172"/>
      <c r="AI996" s="367"/>
      <c r="AJ996" s="362"/>
      <c r="AK996" s="363" t="str">
        <f>IFERROR(__xludf.DUMMYFUNCTION("IFERROR(if(D998&lt;&gt;"""", 
  AVERAGE(
    QUERY(
      IMPORTRANGE(""1-uH1wy6jSm5jYL9je6fN1K5RJ5QMvHntodEHZRtIvTk"", ""All Data!N2:U""),
      ""select Col8 where Col1 = '"" &amp; D998 &amp; ""' and Col8 is not null"",
      0
    )
  )/100,
""""),
  """"
)
"),"")</f>
        <v/>
      </c>
    </row>
    <row r="997">
      <c r="D997" s="172"/>
      <c r="E997" s="368"/>
      <c r="F997" s="368"/>
      <c r="G997" s="368"/>
      <c r="H997" s="172"/>
      <c r="I997" s="172"/>
      <c r="J997" s="172"/>
      <c r="K997" s="172"/>
      <c r="L997" s="172"/>
      <c r="M997" s="172"/>
      <c r="N997" s="172"/>
      <c r="O997" s="358"/>
      <c r="P997" s="358"/>
      <c r="Q997" s="358"/>
      <c r="R997" s="378"/>
      <c r="S997" s="378"/>
      <c r="T997" s="8"/>
      <c r="U997" s="8"/>
      <c r="V997" s="8"/>
      <c r="W997" s="172"/>
      <c r="X997" s="172"/>
      <c r="Y997" s="8"/>
      <c r="Z997" s="8"/>
      <c r="AA997" s="8"/>
      <c r="AB997" s="172"/>
      <c r="AC997" s="172"/>
      <c r="AD997" s="8"/>
      <c r="AE997" s="8"/>
      <c r="AF997" s="8"/>
      <c r="AG997" s="172"/>
      <c r="AH997" s="172"/>
      <c r="AI997" s="367"/>
      <c r="AJ997" s="362"/>
      <c r="AK997" s="363" t="str">
        <f>IFERROR(__xludf.DUMMYFUNCTION("IFERROR(if(D999&lt;&gt;"""", 
  AVERAGE(
    QUERY(
      IMPORTRANGE(""1-uH1wy6jSm5jYL9je6fN1K5RJ5QMvHntodEHZRtIvTk"", ""All Data!N2:U""),
      ""select Col8 where Col1 = '"" &amp; D999 &amp; ""' and Col8 is not null"",
      0
    )
  )/100,
""""),
  """"
)
"),"")</f>
        <v/>
      </c>
    </row>
    <row r="998">
      <c r="D998" s="172"/>
      <c r="E998" s="368"/>
      <c r="F998" s="368"/>
      <c r="G998" s="368"/>
      <c r="H998" s="172"/>
      <c r="I998" s="172"/>
      <c r="J998" s="172"/>
      <c r="K998" s="172"/>
      <c r="L998" s="172"/>
      <c r="M998" s="172"/>
      <c r="N998" s="172"/>
      <c r="O998" s="358"/>
      <c r="P998" s="358"/>
      <c r="Q998" s="358"/>
      <c r="R998" s="378"/>
      <c r="S998" s="378"/>
      <c r="T998" s="8"/>
      <c r="U998" s="8"/>
      <c r="V998" s="8"/>
      <c r="W998" s="172"/>
      <c r="X998" s="172"/>
      <c r="Y998" s="8"/>
      <c r="Z998" s="8"/>
      <c r="AA998" s="8"/>
      <c r="AB998" s="172"/>
      <c r="AC998" s="172"/>
      <c r="AD998" s="8"/>
      <c r="AE998" s="8"/>
      <c r="AF998" s="8"/>
      <c r="AG998" s="172"/>
      <c r="AH998" s="172"/>
      <c r="AI998" s="367"/>
      <c r="AJ998" s="362"/>
      <c r="AK998" s="363" t="str">
        <f>IFERROR(__xludf.DUMMYFUNCTION("IFERROR(if(D1000&lt;&gt;"""", 
  AVERAGE(
    QUERY(
      IMPORTRANGE(""1-uH1wy6jSm5jYL9je6fN1K5RJ5QMvHntodEHZRtIvTk"", ""All Data!N2:U""),
      ""select Col8 where Col1 = '"" &amp; D1000 &amp; ""' and Col8 is not null"",
      0
    )
  )/100,
""""),
  """"
)
"),"")</f>
        <v/>
      </c>
    </row>
    <row r="999">
      <c r="D999" s="172"/>
      <c r="E999" s="368"/>
      <c r="F999" s="368"/>
      <c r="G999" s="368"/>
      <c r="H999" s="172"/>
      <c r="I999" s="172"/>
      <c r="J999" s="172"/>
      <c r="K999" s="172"/>
      <c r="L999" s="172"/>
      <c r="M999" s="172"/>
      <c r="N999" s="172"/>
      <c r="O999" s="358"/>
      <c r="P999" s="358"/>
      <c r="Q999" s="358"/>
      <c r="R999" s="378"/>
      <c r="S999" s="378"/>
      <c r="T999" s="8"/>
      <c r="U999" s="8"/>
      <c r="V999" s="8"/>
      <c r="W999" s="172"/>
      <c r="X999" s="172"/>
      <c r="Y999" s="8"/>
      <c r="Z999" s="8"/>
      <c r="AA999" s="8"/>
      <c r="AB999" s="172"/>
      <c r="AC999" s="172"/>
      <c r="AD999" s="8"/>
      <c r="AE999" s="8"/>
      <c r="AF999" s="8"/>
      <c r="AG999" s="172"/>
      <c r="AH999" s="172"/>
      <c r="AI999" s="367"/>
      <c r="AJ999" s="362"/>
      <c r="AK999" s="363" t="str">
        <f>IFERROR(__xludf.DUMMYFUNCTION("IFERROR(if(D1001&lt;&gt;"""", 
  AVERAGE(
    QUERY(
      IMPORTRANGE(""1-uH1wy6jSm5jYL9je6fN1K5RJ5QMvHntodEHZRtIvTk"", ""All Data!N2:U""),
      ""select Col8 where Col1 = '"" &amp; D1001 &amp; ""' and Col8 is not null"",
      0
    )
  )/100,
""""),
  """"
)
"),"")</f>
        <v/>
      </c>
    </row>
    <row r="1000">
      <c r="D1000" s="172"/>
      <c r="E1000" s="368"/>
      <c r="F1000" s="368"/>
      <c r="G1000" s="368"/>
      <c r="H1000" s="172"/>
      <c r="I1000" s="172"/>
      <c r="J1000" s="172"/>
      <c r="K1000" s="172"/>
      <c r="L1000" s="172"/>
      <c r="M1000" s="172"/>
      <c r="N1000" s="172"/>
      <c r="O1000" s="358"/>
      <c r="P1000" s="358"/>
      <c r="Q1000" s="358"/>
      <c r="R1000" s="378"/>
      <c r="S1000" s="378"/>
      <c r="T1000" s="8"/>
      <c r="U1000" s="8"/>
      <c r="V1000" s="8"/>
      <c r="W1000" s="172"/>
      <c r="X1000" s="172"/>
      <c r="Y1000" s="8"/>
      <c r="Z1000" s="8"/>
      <c r="AA1000" s="8"/>
      <c r="AB1000" s="172"/>
      <c r="AC1000" s="172"/>
      <c r="AD1000" s="8"/>
      <c r="AE1000" s="8"/>
      <c r="AF1000" s="8"/>
      <c r="AG1000" s="172"/>
      <c r="AH1000" s="172"/>
      <c r="AI1000" s="367"/>
      <c r="AJ1000" s="362"/>
      <c r="AK1000" s="363" t="str">
        <f>IFERROR(__xludf.DUMMYFUNCTION("IFERROR(if(D1002&lt;&gt;"""", 
  AVERAGE(
    QUERY(
      IMPORTRANGE(""1-uH1wy6jSm5jYL9je6fN1K5RJ5QMvHntodEHZRtIvTk"", ""All Data!N2:U""),
      ""select Col8 where Col1 = '"" &amp; D1002 &amp; ""' and Col8 is not null"",
      0
    )
  )/100,
""""),
  """"
)
"),"")</f>
        <v/>
      </c>
    </row>
    <row r="1001">
      <c r="D1001" s="172"/>
      <c r="E1001" s="368"/>
      <c r="F1001" s="368"/>
      <c r="G1001" s="368"/>
      <c r="H1001" s="172"/>
      <c r="I1001" s="172"/>
      <c r="J1001" s="172"/>
      <c r="K1001" s="172"/>
      <c r="L1001" s="172"/>
      <c r="M1001" s="172"/>
      <c r="N1001" s="172"/>
      <c r="O1001" s="358"/>
      <c r="P1001" s="358"/>
      <c r="Q1001" s="358"/>
      <c r="R1001" s="378"/>
      <c r="S1001" s="378"/>
      <c r="T1001" s="8"/>
      <c r="U1001" s="8"/>
      <c r="V1001" s="8"/>
      <c r="W1001" s="172"/>
      <c r="X1001" s="172"/>
      <c r="Y1001" s="8"/>
      <c r="Z1001" s="8"/>
      <c r="AA1001" s="8"/>
      <c r="AB1001" s="172"/>
      <c r="AC1001" s="172"/>
      <c r="AD1001" s="8"/>
      <c r="AE1001" s="8"/>
      <c r="AF1001" s="8"/>
      <c r="AG1001" s="172"/>
      <c r="AH1001" s="172"/>
      <c r="AI1001" s="367"/>
      <c r="AJ1001" s="362"/>
      <c r="AK1001" s="363" t="str">
        <f>IFERROR(__xludf.DUMMYFUNCTION("IFERROR(if(D1003&lt;&gt;"""", 
  AVERAGE(
    QUERY(
      IMPORTRANGE(""1-uH1wy6jSm5jYL9je6fN1K5RJ5QMvHntodEHZRtIvTk"", ""All Data!N2:U""),
      ""select Col8 where Col1 = '"" &amp; D1003 &amp; ""' and Col8 is not null"",
      0
    )
  )/100,
""""),
  """"
)
"),"")</f>
        <v/>
      </c>
    </row>
    <row r="1002">
      <c r="D1002" s="172"/>
      <c r="E1002" s="368"/>
      <c r="F1002" s="368"/>
      <c r="G1002" s="368"/>
      <c r="H1002" s="172"/>
      <c r="I1002" s="172"/>
      <c r="J1002" s="172"/>
      <c r="K1002" s="172"/>
      <c r="L1002" s="172"/>
      <c r="M1002" s="172"/>
      <c r="N1002" s="172"/>
      <c r="O1002" s="358"/>
      <c r="P1002" s="358"/>
      <c r="Q1002" s="358"/>
      <c r="R1002" s="378"/>
      <c r="S1002" s="378"/>
      <c r="T1002" s="8"/>
      <c r="U1002" s="8"/>
      <c r="V1002" s="8"/>
      <c r="W1002" s="172"/>
      <c r="X1002" s="172"/>
      <c r="Y1002" s="8"/>
      <c r="Z1002" s="8"/>
      <c r="AA1002" s="8"/>
      <c r="AB1002" s="172"/>
      <c r="AC1002" s="172"/>
      <c r="AD1002" s="8"/>
      <c r="AE1002" s="8"/>
      <c r="AF1002" s="8"/>
      <c r="AG1002" s="172"/>
      <c r="AH1002" s="172"/>
      <c r="AI1002" s="367"/>
      <c r="AJ1002" s="362"/>
      <c r="AK1002" s="363" t="str">
        <f>IFERROR(__xludf.DUMMYFUNCTION("IFERROR(if(D1004&lt;&gt;"""", 
  AVERAGE(
    QUERY(
      IMPORTRANGE(""1-uH1wy6jSm5jYL9je6fN1K5RJ5QMvHntodEHZRtIvTk"", ""All Data!N2:U""),
      ""select Col8 where Col1 = '"" &amp; D1004 &amp; ""' and Col8 is not null"",
      0
    )
  )/100,
""""),
  """"
)
"),"")</f>
        <v/>
      </c>
    </row>
    <row r="1003">
      <c r="D1003" s="172"/>
      <c r="E1003" s="368"/>
      <c r="F1003" s="368"/>
      <c r="G1003" s="368"/>
      <c r="H1003" s="172"/>
      <c r="I1003" s="172"/>
      <c r="J1003" s="172"/>
      <c r="K1003" s="172"/>
      <c r="L1003" s="172"/>
      <c r="M1003" s="172"/>
      <c r="N1003" s="172"/>
      <c r="O1003" s="358"/>
      <c r="P1003" s="358"/>
      <c r="Q1003" s="358"/>
      <c r="R1003" s="378"/>
      <c r="S1003" s="378"/>
      <c r="T1003" s="8"/>
      <c r="U1003" s="8"/>
      <c r="V1003" s="8"/>
      <c r="W1003" s="172"/>
      <c r="X1003" s="172"/>
      <c r="Y1003" s="8"/>
      <c r="Z1003" s="8"/>
      <c r="AA1003" s="8"/>
      <c r="AB1003" s="172"/>
      <c r="AC1003" s="172"/>
      <c r="AD1003" s="8"/>
      <c r="AE1003" s="8"/>
      <c r="AF1003" s="8"/>
      <c r="AG1003" s="172"/>
      <c r="AH1003" s="172"/>
      <c r="AI1003" s="367"/>
      <c r="AJ1003" s="362"/>
      <c r="AK1003" s="363" t="str">
        <f>IFERROR(__xludf.DUMMYFUNCTION("IFERROR(if(D1005&lt;&gt;"""", 
  AVERAGE(
    QUERY(
      IMPORTRANGE(""1-uH1wy6jSm5jYL9je6fN1K5RJ5QMvHntodEHZRtIvTk"", ""All Data!N2:U""),
      ""select Col8 where Col1 = '"" &amp; D1005 &amp; ""' and Col8 is not null"",
      0
    )
  )/100,
""""),
  """"
)
"),"")</f>
        <v/>
      </c>
    </row>
    <row r="1004">
      <c r="D1004" s="172"/>
      <c r="E1004" s="368"/>
      <c r="F1004" s="368"/>
      <c r="G1004" s="368"/>
      <c r="H1004" s="172"/>
      <c r="I1004" s="172"/>
      <c r="J1004" s="172"/>
      <c r="K1004" s="172"/>
      <c r="L1004" s="172"/>
      <c r="M1004" s="172"/>
      <c r="N1004" s="172"/>
      <c r="O1004" s="358"/>
      <c r="P1004" s="358"/>
      <c r="Q1004" s="358"/>
      <c r="R1004" s="378"/>
      <c r="S1004" s="378"/>
      <c r="T1004" s="8"/>
      <c r="U1004" s="8"/>
      <c r="V1004" s="8"/>
      <c r="W1004" s="172"/>
      <c r="X1004" s="172"/>
      <c r="Y1004" s="8"/>
      <c r="Z1004" s="8"/>
      <c r="AA1004" s="8"/>
      <c r="AB1004" s="172"/>
      <c r="AC1004" s="172"/>
      <c r="AD1004" s="8"/>
      <c r="AE1004" s="8"/>
      <c r="AF1004" s="8"/>
      <c r="AG1004" s="172"/>
      <c r="AH1004" s="172"/>
      <c r="AI1004" s="367"/>
      <c r="AJ1004" s="362"/>
      <c r="AK1004" s="363" t="str">
        <f>IFERROR(__xludf.DUMMYFUNCTION("IFERROR(if(D1006&lt;&gt;"""", 
  AVERAGE(
    QUERY(
      IMPORTRANGE(""1-uH1wy6jSm5jYL9je6fN1K5RJ5QMvHntodEHZRtIvTk"", ""All Data!N2:U""),
      ""select Col8 where Col1 = '"" &amp; D1006 &amp; ""' and Col8 is not null"",
      0
    )
  )/100,
""""),
  """"
)
"),"")</f>
        <v/>
      </c>
    </row>
    <row r="1005">
      <c r="D1005" s="172"/>
      <c r="E1005" s="368"/>
      <c r="F1005" s="368"/>
      <c r="G1005" s="368"/>
      <c r="H1005" s="172"/>
      <c r="I1005" s="172"/>
      <c r="J1005" s="172"/>
      <c r="K1005" s="172"/>
      <c r="L1005" s="172"/>
      <c r="M1005" s="172"/>
      <c r="N1005" s="172"/>
      <c r="O1005" s="358"/>
      <c r="P1005" s="358"/>
      <c r="Q1005" s="358"/>
      <c r="R1005" s="378"/>
      <c r="S1005" s="378"/>
      <c r="T1005" s="8"/>
      <c r="U1005" s="8"/>
      <c r="V1005" s="8"/>
      <c r="W1005" s="172"/>
      <c r="X1005" s="172"/>
      <c r="Y1005" s="8"/>
      <c r="Z1005" s="8"/>
      <c r="AA1005" s="8"/>
      <c r="AB1005" s="172"/>
      <c r="AC1005" s="172"/>
      <c r="AD1005" s="8"/>
      <c r="AE1005" s="8"/>
      <c r="AF1005" s="8"/>
      <c r="AG1005" s="172"/>
      <c r="AH1005" s="172"/>
      <c r="AI1005" s="367"/>
      <c r="AJ1005" s="362"/>
      <c r="AK1005" s="363"/>
    </row>
    <row r="1006">
      <c r="D1006" s="172"/>
      <c r="E1006" s="368"/>
      <c r="F1006" s="368"/>
      <c r="G1006" s="368"/>
      <c r="H1006" s="172"/>
      <c r="I1006" s="172"/>
      <c r="J1006" s="172"/>
      <c r="K1006" s="172"/>
      <c r="L1006" s="172"/>
      <c r="M1006" s="172"/>
      <c r="N1006" s="172"/>
      <c r="O1006" s="358"/>
      <c r="P1006" s="358"/>
      <c r="Q1006" s="358"/>
      <c r="R1006" s="378"/>
      <c r="S1006" s="378"/>
      <c r="T1006" s="8"/>
      <c r="U1006" s="8"/>
      <c r="V1006" s="8"/>
      <c r="W1006" s="172"/>
      <c r="X1006" s="172"/>
      <c r="Y1006" s="8"/>
      <c r="Z1006" s="8"/>
      <c r="AA1006" s="8"/>
      <c r="AB1006" s="172"/>
      <c r="AC1006" s="172"/>
      <c r="AD1006" s="8"/>
      <c r="AE1006" s="8"/>
      <c r="AF1006" s="8"/>
      <c r="AG1006" s="172"/>
      <c r="AH1006" s="172"/>
      <c r="AI1006" s="367"/>
      <c r="AJ1006" s="362"/>
      <c r="AK1006" s="363"/>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s>
  <sheetData>
    <row r="2">
      <c r="A2" s="1" t="s">
        <v>2052</v>
      </c>
      <c r="B2" s="85">
        <f>175000/2205</f>
        <v>79.36507937</v>
      </c>
      <c r="C2" s="1" t="s">
        <v>2053</v>
      </c>
    </row>
    <row r="3">
      <c r="A3" s="1" t="s">
        <v>2054</v>
      </c>
      <c r="B3" s="1">
        <v>42.0</v>
      </c>
      <c r="C3" s="1" t="s">
        <v>2055</v>
      </c>
    </row>
    <row r="4">
      <c r="A4" s="1" t="s">
        <v>2056</v>
      </c>
      <c r="B4" s="1">
        <v>20.0</v>
      </c>
      <c r="C4" s="1" t="s">
        <v>2053</v>
      </c>
    </row>
    <row r="6">
      <c r="A6" s="1" t="s">
        <v>2057</v>
      </c>
      <c r="J6" s="1"/>
    </row>
    <row r="7">
      <c r="A7" s="1"/>
      <c r="B7" s="379">
        <v>6500.0</v>
      </c>
      <c r="C7" s="1" t="s">
        <v>2058</v>
      </c>
      <c r="J7" s="1"/>
    </row>
    <row r="8">
      <c r="A8" s="1"/>
      <c r="B8" s="1">
        <v>18.0</v>
      </c>
      <c r="C8" s="1" t="s">
        <v>2059</v>
      </c>
      <c r="J8" s="1"/>
    </row>
    <row r="9">
      <c r="A9" s="1"/>
      <c r="B9" s="1">
        <v>24.0</v>
      </c>
      <c r="C9" s="1" t="s">
        <v>2060</v>
      </c>
      <c r="J9" s="1"/>
    </row>
    <row r="10">
      <c r="A10" s="1"/>
      <c r="B10" s="1">
        <v>1.22</v>
      </c>
      <c r="C10" s="1" t="s">
        <v>2061</v>
      </c>
      <c r="J10" s="1"/>
    </row>
    <row r="11">
      <c r="A11" s="1"/>
      <c r="B11" s="284">
        <f>B10*8.3454</f>
        <v>10.181388</v>
      </c>
      <c r="C11" s="1" t="s">
        <v>2062</v>
      </c>
      <c r="J11" s="1"/>
    </row>
    <row r="12">
      <c r="A12" s="1"/>
      <c r="B12" s="380">
        <f>B11/2204.62</f>
        <v>0.004618205405</v>
      </c>
      <c r="C12" s="1" t="s">
        <v>2063</v>
      </c>
      <c r="J12" s="1"/>
    </row>
    <row r="13">
      <c r="A13" s="1"/>
      <c r="J13" s="1"/>
      <c r="L13" s="90">
        <f>0.9*275</f>
        <v>247.5</v>
      </c>
    </row>
    <row r="14">
      <c r="A14" s="1"/>
      <c r="B14" s="307">
        <f>B12*B7</f>
        <v>30.01833513</v>
      </c>
      <c r="C14" s="1" t="s">
        <v>2064</v>
      </c>
      <c r="J14" s="1"/>
    </row>
    <row r="15">
      <c r="A15" s="1"/>
      <c r="B15" s="87">
        <f>B14/MAX(B8,B9)</f>
        <v>1.250763964</v>
      </c>
      <c r="C15" s="1" t="s">
        <v>2065</v>
      </c>
      <c r="J15" s="1"/>
    </row>
    <row r="16">
      <c r="A16" s="1"/>
      <c r="B16" s="381">
        <f>B15*24</f>
        <v>30.01833513</v>
      </c>
      <c r="C16" s="1" t="s">
        <v>2066</v>
      </c>
      <c r="J16" s="1"/>
    </row>
    <row r="17">
      <c r="A17" s="1"/>
      <c r="J17" s="1"/>
    </row>
    <row r="18">
      <c r="A18" s="1" t="s">
        <v>2067</v>
      </c>
    </row>
    <row r="19">
      <c r="B19" s="379">
        <v>17800.0</v>
      </c>
      <c r="C19" s="1" t="s">
        <v>2058</v>
      </c>
      <c r="J19" s="379"/>
    </row>
    <row r="20">
      <c r="B20" s="1">
        <v>18.0</v>
      </c>
      <c r="C20" s="1" t="s">
        <v>2059</v>
      </c>
      <c r="F20" s="284"/>
      <c r="J20" s="382"/>
    </row>
    <row r="21">
      <c r="B21" s="1">
        <v>24.0</v>
      </c>
      <c r="C21" s="1" t="s">
        <v>2060</v>
      </c>
    </row>
    <row r="22">
      <c r="B22" s="1">
        <v>1.22</v>
      </c>
      <c r="C22" s="1" t="s">
        <v>2061</v>
      </c>
      <c r="E22" s="379"/>
    </row>
    <row r="23">
      <c r="B23" s="284">
        <f>B22*8.345</f>
        <v>10.1809</v>
      </c>
      <c r="C23" s="1" t="s">
        <v>2062</v>
      </c>
      <c r="E23" s="379">
        <v>10.0</v>
      </c>
      <c r="F23" s="1" t="s">
        <v>2068</v>
      </c>
    </row>
    <row r="24">
      <c r="B24" s="380">
        <f>B23/2204.62</f>
        <v>0.004617984052</v>
      </c>
      <c r="C24" s="1" t="s">
        <v>2063</v>
      </c>
      <c r="E24" s="382"/>
    </row>
    <row r="25">
      <c r="E25" s="382"/>
    </row>
    <row r="26">
      <c r="B26" s="307">
        <f>B24*B19</f>
        <v>82.20011612</v>
      </c>
      <c r="C26" s="1" t="s">
        <v>2064</v>
      </c>
    </row>
    <row r="27">
      <c r="B27" s="87">
        <f>B26/MAX(B20,B21)</f>
        <v>3.425004838</v>
      </c>
      <c r="C27" s="1" t="s">
        <v>2065</v>
      </c>
    </row>
    <row r="28">
      <c r="B28" s="382">
        <f>B27*24</f>
        <v>82.20011612</v>
      </c>
      <c r="C28" s="1" t="s">
        <v>2066</v>
      </c>
    </row>
    <row r="30">
      <c r="A30" s="1" t="s">
        <v>2069</v>
      </c>
      <c r="E30" s="1" t="s">
        <v>2070</v>
      </c>
      <c r="G30" s="1" t="s">
        <v>2071</v>
      </c>
    </row>
    <row r="31">
      <c r="B31" s="90">
        <f>30</f>
        <v>30</v>
      </c>
      <c r="C31" s="1" t="s">
        <v>2065</v>
      </c>
      <c r="E31" s="379">
        <v>191900.0</v>
      </c>
      <c r="F31" s="1" t="s">
        <v>2072</v>
      </c>
      <c r="G31" s="382">
        <f>263000-80300</f>
        <v>182700</v>
      </c>
      <c r="H31" s="1" t="s">
        <v>2072</v>
      </c>
    </row>
    <row r="32">
      <c r="E32" s="382">
        <f>E31/10</f>
        <v>19190</v>
      </c>
      <c r="F32" s="1" t="s">
        <v>2073</v>
      </c>
      <c r="G32" s="382">
        <f>G31/10</f>
        <v>18270</v>
      </c>
      <c r="H32" s="1" t="s">
        <v>2073</v>
      </c>
    </row>
    <row r="33">
      <c r="A33" s="1" t="s">
        <v>2074</v>
      </c>
    </row>
    <row r="34">
      <c r="B34" s="85">
        <f>20/1.75</f>
        <v>11.42857143</v>
      </c>
      <c r="C34" s="1" t="s">
        <v>2065</v>
      </c>
    </row>
    <row r="38">
      <c r="B38" s="1">
        <v>0.99</v>
      </c>
      <c r="C38" s="1" t="s">
        <v>2075</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1334</v>
      </c>
      <c r="B1" s="383" t="s">
        <v>1966</v>
      </c>
      <c r="C1" s="384" t="s">
        <v>2076</v>
      </c>
      <c r="E1" s="385"/>
    </row>
    <row r="2">
      <c r="A2" s="108">
        <v>45363.0</v>
      </c>
      <c r="B2" s="386">
        <v>28.8</v>
      </c>
      <c r="C2" s="284">
        <f>B2</f>
        <v>28.8</v>
      </c>
      <c r="E2" s="387">
        <v>45352.0</v>
      </c>
      <c r="F2" s="388">
        <f t="shared" ref="F2:F9" si="1">EOMONTH(E2,0)</f>
        <v>45382</v>
      </c>
      <c r="G2" s="307">
        <f t="shared" ref="G2:G3" si="2">SUMIFS($B:$B,$A:$A,"&gt;="&amp;$E2,$A:$A,"&lt;="&amp;$F2)</f>
        <v>58.43</v>
      </c>
    </row>
    <row r="3">
      <c r="A3" s="108">
        <v>45381.0</v>
      </c>
      <c r="B3" s="386">
        <v>29.63</v>
      </c>
      <c r="C3" s="284">
        <f t="shared" ref="C3:C40" si="3">C2+B3</f>
        <v>58.43</v>
      </c>
      <c r="E3" s="385">
        <f t="shared" ref="E3:E9" si="4">F2+1</f>
        <v>45383</v>
      </c>
      <c r="F3" s="388">
        <f t="shared" si="1"/>
        <v>45412</v>
      </c>
      <c r="G3" s="307">
        <f t="shared" si="2"/>
        <v>92.9</v>
      </c>
    </row>
    <row r="4">
      <c r="A4" s="108">
        <v>45388.0</v>
      </c>
      <c r="B4" s="386">
        <v>31.03</v>
      </c>
      <c r="C4" s="284">
        <f t="shared" si="3"/>
        <v>89.46</v>
      </c>
      <c r="E4" s="385">
        <f t="shared" si="4"/>
        <v>45413</v>
      </c>
      <c r="F4" s="388">
        <f t="shared" si="1"/>
        <v>45443</v>
      </c>
    </row>
    <row r="5">
      <c r="A5" s="108">
        <v>45395.0</v>
      </c>
      <c r="B5" s="386">
        <v>31.04</v>
      </c>
      <c r="C5" s="284">
        <f t="shared" si="3"/>
        <v>120.5</v>
      </c>
      <c r="E5" s="385">
        <f t="shared" si="4"/>
        <v>45444</v>
      </c>
      <c r="F5" s="388">
        <f t="shared" si="1"/>
        <v>45473</v>
      </c>
      <c r="G5" s="307">
        <f>SUMIFS($B:$B,$A:$A,"&gt;="&amp;$E5,$A:$A,"&lt;="&amp;$F5)*0.4</f>
        <v>33.6956127</v>
      </c>
    </row>
    <row r="6">
      <c r="A6" s="108">
        <v>45399.0</v>
      </c>
      <c r="B6" s="386">
        <v>30.83</v>
      </c>
      <c r="C6" s="284">
        <f t="shared" si="3"/>
        <v>151.33</v>
      </c>
      <c r="E6" s="385">
        <f t="shared" si="4"/>
        <v>45474</v>
      </c>
      <c r="F6" s="388">
        <f t="shared" si="1"/>
        <v>45504</v>
      </c>
      <c r="G6" s="307">
        <f t="shared" ref="G6:G8" si="5">SUMIFS($B:$B,$A:$A,"&gt;="&amp;$E6,$A:$A,"&lt;="&amp;$F6)</f>
        <v>55.42</v>
      </c>
    </row>
    <row r="7">
      <c r="A7" s="108">
        <v>45422.0</v>
      </c>
      <c r="B7" s="386">
        <v>30.97</v>
      </c>
      <c r="C7" s="284">
        <f t="shared" si="3"/>
        <v>182.3</v>
      </c>
      <c r="E7" s="385">
        <f t="shared" si="4"/>
        <v>45505</v>
      </c>
      <c r="F7" s="388">
        <f t="shared" si="1"/>
        <v>45535</v>
      </c>
      <c r="G7" s="307">
        <f t="shared" si="5"/>
        <v>103.33</v>
      </c>
    </row>
    <row r="8">
      <c r="A8" s="108">
        <v>45423.0</v>
      </c>
      <c r="B8" s="386">
        <v>20.0</v>
      </c>
      <c r="C8" s="284">
        <f t="shared" si="3"/>
        <v>202.3</v>
      </c>
      <c r="E8" s="385">
        <f t="shared" si="4"/>
        <v>45536</v>
      </c>
      <c r="F8" s="388">
        <f t="shared" si="1"/>
        <v>45565</v>
      </c>
      <c r="G8" s="307">
        <f t="shared" si="5"/>
        <v>198.05</v>
      </c>
    </row>
    <row r="9">
      <c r="A9" s="108">
        <v>45428.0</v>
      </c>
      <c r="B9" s="386">
        <v>39.839999999999996</v>
      </c>
      <c r="C9" s="284">
        <f t="shared" si="3"/>
        <v>242.14</v>
      </c>
      <c r="E9" s="385">
        <f t="shared" si="4"/>
        <v>45566</v>
      </c>
      <c r="F9" s="388">
        <f t="shared" si="1"/>
        <v>45596</v>
      </c>
      <c r="G9" s="389">
        <v>120.0</v>
      </c>
    </row>
    <row r="10">
      <c r="A10" s="108">
        <v>45433.0</v>
      </c>
      <c r="B10" s="386">
        <v>31.68</v>
      </c>
      <c r="C10" s="284">
        <f t="shared" si="3"/>
        <v>273.82</v>
      </c>
      <c r="E10" s="385"/>
    </row>
    <row r="11">
      <c r="A11" s="108">
        <v>45435.0</v>
      </c>
      <c r="B11" s="386">
        <v>18.85</v>
      </c>
      <c r="C11" s="284">
        <f t="shared" si="3"/>
        <v>292.67</v>
      </c>
      <c r="E11" s="385"/>
    </row>
    <row r="12">
      <c r="A12" s="108">
        <v>45436.0</v>
      </c>
      <c r="B12" s="386">
        <v>29.3</v>
      </c>
      <c r="C12" s="284">
        <f t="shared" si="3"/>
        <v>321.97</v>
      </c>
      <c r="E12" s="385"/>
    </row>
    <row r="13">
      <c r="A13" s="108">
        <v>45437.0</v>
      </c>
      <c r="B13" s="386">
        <v>29.92</v>
      </c>
      <c r="C13" s="284">
        <f t="shared" si="3"/>
        <v>351.89</v>
      </c>
      <c r="E13" s="385"/>
    </row>
    <row r="14">
      <c r="A14" s="108">
        <v>45440.0</v>
      </c>
      <c r="B14" s="386">
        <v>28.22</v>
      </c>
      <c r="C14" s="284">
        <f t="shared" si="3"/>
        <v>380.11</v>
      </c>
      <c r="E14" s="385"/>
    </row>
    <row r="15">
      <c r="A15" s="108">
        <v>45442.0</v>
      </c>
      <c r="B15" s="386">
        <v>21.729</v>
      </c>
      <c r="C15" s="284">
        <f t="shared" si="3"/>
        <v>401.839</v>
      </c>
      <c r="E15" s="385"/>
    </row>
    <row r="16">
      <c r="A16" s="108">
        <v>45443.0</v>
      </c>
      <c r="B16" s="386">
        <v>30.479</v>
      </c>
      <c r="C16" s="284">
        <f t="shared" si="3"/>
        <v>432.318</v>
      </c>
      <c r="E16" s="385"/>
    </row>
    <row r="17">
      <c r="A17" s="108">
        <v>45447.0</v>
      </c>
      <c r="B17" s="386">
        <v>14.512471655328799</v>
      </c>
      <c r="C17" s="284">
        <f t="shared" si="3"/>
        <v>446.8304717</v>
      </c>
      <c r="E17" s="385"/>
    </row>
    <row r="18">
      <c r="A18" s="108">
        <v>45449.0</v>
      </c>
      <c r="B18" s="386">
        <v>17.233560090702948</v>
      </c>
      <c r="C18" s="284">
        <f t="shared" si="3"/>
        <v>464.0640317</v>
      </c>
      <c r="E18" s="385"/>
    </row>
    <row r="19">
      <c r="A19" s="108">
        <v>45454.0</v>
      </c>
      <c r="B19" s="386">
        <v>10.0</v>
      </c>
      <c r="C19" s="284">
        <f t="shared" si="3"/>
        <v>474.0640317</v>
      </c>
      <c r="E19" s="385"/>
    </row>
    <row r="20">
      <c r="A20" s="108">
        <v>45457.0</v>
      </c>
      <c r="B20" s="386">
        <v>15.0</v>
      </c>
      <c r="C20" s="284">
        <f t="shared" si="3"/>
        <v>489.0640317</v>
      </c>
      <c r="E20" s="385"/>
    </row>
    <row r="21">
      <c r="A21" s="108">
        <v>45471.0</v>
      </c>
      <c r="B21" s="386">
        <v>27.493</v>
      </c>
      <c r="C21" s="284">
        <f t="shared" si="3"/>
        <v>516.5570317</v>
      </c>
      <c r="E21" s="385"/>
    </row>
    <row r="22">
      <c r="A22" s="108">
        <v>45483.0</v>
      </c>
      <c r="B22" s="386">
        <v>27.94</v>
      </c>
      <c r="C22" s="284">
        <f t="shared" si="3"/>
        <v>544.4970317</v>
      </c>
      <c r="E22" s="385"/>
    </row>
    <row r="23">
      <c r="A23" s="108">
        <v>45496.0</v>
      </c>
      <c r="B23" s="386">
        <v>27.479999999999997</v>
      </c>
      <c r="C23" s="284">
        <f t="shared" si="3"/>
        <v>571.9770317</v>
      </c>
      <c r="E23" s="385"/>
    </row>
    <row r="24">
      <c r="A24" s="108">
        <v>45510.0</v>
      </c>
      <c r="B24" s="386">
        <v>15.580000000000002</v>
      </c>
      <c r="C24" s="284">
        <f t="shared" si="3"/>
        <v>587.5570317</v>
      </c>
      <c r="E24" s="385"/>
    </row>
    <row r="25">
      <c r="A25" s="107">
        <v>45513.0</v>
      </c>
      <c r="B25" s="386">
        <v>20.88</v>
      </c>
      <c r="C25" s="284">
        <f t="shared" si="3"/>
        <v>608.4370317</v>
      </c>
      <c r="E25" s="385"/>
    </row>
    <row r="26">
      <c r="A26" s="107">
        <v>45518.0</v>
      </c>
      <c r="B26" s="386">
        <v>21.07</v>
      </c>
      <c r="C26" s="284">
        <f t="shared" si="3"/>
        <v>629.5070317</v>
      </c>
      <c r="E26" s="385"/>
    </row>
    <row r="27">
      <c r="A27" s="373">
        <v>45520.0</v>
      </c>
      <c r="B27" s="386">
        <v>12.75</v>
      </c>
      <c r="C27" s="284">
        <f t="shared" si="3"/>
        <v>642.2570317</v>
      </c>
      <c r="E27" s="385"/>
    </row>
    <row r="28">
      <c r="A28" s="108">
        <v>45532.0</v>
      </c>
      <c r="B28" s="386">
        <v>16.63</v>
      </c>
      <c r="C28" s="284">
        <f t="shared" si="3"/>
        <v>658.8870317</v>
      </c>
      <c r="E28" s="385"/>
    </row>
    <row r="29">
      <c r="A29" s="373">
        <v>45534.0</v>
      </c>
      <c r="B29" s="386">
        <v>16.42</v>
      </c>
      <c r="C29" s="284">
        <f t="shared" si="3"/>
        <v>675.3070317</v>
      </c>
      <c r="E29" s="385"/>
    </row>
    <row r="30">
      <c r="A30" s="373">
        <v>45538.0</v>
      </c>
      <c r="B30" s="386">
        <v>16.22</v>
      </c>
      <c r="C30" s="284">
        <f t="shared" si="3"/>
        <v>691.5270317</v>
      </c>
      <c r="E30" s="385"/>
    </row>
    <row r="31">
      <c r="A31" s="373">
        <v>45540.0</v>
      </c>
      <c r="B31" s="386">
        <v>16.23</v>
      </c>
      <c r="C31" s="284">
        <f t="shared" si="3"/>
        <v>707.7570317</v>
      </c>
      <c r="E31" s="385"/>
    </row>
    <row r="32">
      <c r="A32" s="108">
        <v>45544.0</v>
      </c>
      <c r="B32" s="386">
        <v>14.89</v>
      </c>
      <c r="C32" s="284">
        <f t="shared" si="3"/>
        <v>722.6470317</v>
      </c>
      <c r="E32" s="385"/>
    </row>
    <row r="33">
      <c r="A33" s="108">
        <v>45546.0</v>
      </c>
      <c r="B33" s="386">
        <v>16.84</v>
      </c>
      <c r="C33" s="284">
        <f t="shared" si="3"/>
        <v>739.4870317</v>
      </c>
      <c r="E33" s="385"/>
    </row>
    <row r="34">
      <c r="A34" s="108">
        <v>45548.0</v>
      </c>
      <c r="B34" s="386">
        <v>17.32</v>
      </c>
      <c r="C34" s="284">
        <f t="shared" si="3"/>
        <v>756.8070317</v>
      </c>
      <c r="E34" s="385"/>
    </row>
    <row r="35">
      <c r="A35" s="108">
        <v>45553.0</v>
      </c>
      <c r="B35" s="386">
        <v>19.07</v>
      </c>
      <c r="C35" s="284">
        <f t="shared" si="3"/>
        <v>775.8770317</v>
      </c>
      <c r="E35" s="385"/>
    </row>
    <row r="36">
      <c r="A36" s="108">
        <v>45555.0</v>
      </c>
      <c r="B36" s="386">
        <v>19.3</v>
      </c>
      <c r="C36" s="284">
        <f t="shared" si="3"/>
        <v>795.1770317</v>
      </c>
      <c r="E36" s="385"/>
    </row>
    <row r="37">
      <c r="A37" s="108">
        <v>45558.0</v>
      </c>
      <c r="B37" s="386">
        <v>20.5</v>
      </c>
      <c r="C37" s="284">
        <f t="shared" si="3"/>
        <v>815.6770317</v>
      </c>
      <c r="E37" s="385"/>
    </row>
    <row r="38">
      <c r="A38" s="108">
        <v>45560.0</v>
      </c>
      <c r="B38" s="386">
        <v>19.52</v>
      </c>
      <c r="C38" s="284">
        <f t="shared" si="3"/>
        <v>835.1970317</v>
      </c>
      <c r="E38" s="385"/>
    </row>
    <row r="39">
      <c r="A39" s="108">
        <v>45561.0</v>
      </c>
      <c r="B39" s="386">
        <v>20.0</v>
      </c>
      <c r="C39" s="284">
        <f t="shared" si="3"/>
        <v>855.1970317</v>
      </c>
      <c r="E39" s="385"/>
    </row>
    <row r="40">
      <c r="A40" s="108">
        <v>45562.0</v>
      </c>
      <c r="B40" s="386">
        <v>18.16</v>
      </c>
      <c r="C40" s="284">
        <f t="shared" si="3"/>
        <v>873.3570317</v>
      </c>
      <c r="E40" s="385"/>
    </row>
    <row r="41">
      <c r="A41" s="137"/>
      <c r="B41" s="386"/>
      <c r="E41" s="385"/>
    </row>
    <row r="42">
      <c r="A42" s="137"/>
      <c r="B42" s="386"/>
      <c r="E42" s="385"/>
    </row>
    <row r="43">
      <c r="A43" s="137"/>
      <c r="B43" s="386"/>
      <c r="E43" s="385"/>
    </row>
    <row r="44">
      <c r="A44" s="137"/>
      <c r="B44" s="386"/>
      <c r="E44" s="385"/>
    </row>
    <row r="45">
      <c r="A45" s="137"/>
      <c r="B45" s="386"/>
      <c r="E45" s="385"/>
    </row>
    <row r="46">
      <c r="A46" s="137"/>
      <c r="B46" s="386"/>
      <c r="E46" s="385"/>
    </row>
    <row r="47">
      <c r="A47" s="137"/>
      <c r="B47" s="386"/>
      <c r="E47" s="385"/>
    </row>
    <row r="48">
      <c r="A48" s="137"/>
      <c r="B48" s="386"/>
      <c r="E48" s="385"/>
    </row>
    <row r="49">
      <c r="A49" s="137"/>
      <c r="B49" s="386"/>
      <c r="E49" s="385"/>
    </row>
    <row r="50">
      <c r="A50" s="137"/>
      <c r="B50" s="386"/>
      <c r="E50" s="385"/>
    </row>
    <row r="51">
      <c r="A51" s="137"/>
      <c r="B51" s="386"/>
      <c r="E51" s="385"/>
    </row>
    <row r="52">
      <c r="A52" s="137"/>
      <c r="B52" s="386"/>
      <c r="E52" s="385"/>
    </row>
    <row r="53">
      <c r="A53" s="137"/>
      <c r="B53" s="386"/>
      <c r="E53" s="385"/>
    </row>
    <row r="54">
      <c r="A54" s="137"/>
      <c r="B54" s="386"/>
      <c r="E54" s="385"/>
    </row>
    <row r="55">
      <c r="A55" s="137"/>
      <c r="B55" s="386"/>
      <c r="E55" s="385"/>
    </row>
    <row r="56">
      <c r="A56" s="137"/>
      <c r="B56" s="386"/>
      <c r="E56" s="385"/>
    </row>
    <row r="57">
      <c r="A57" s="137"/>
      <c r="B57" s="386"/>
      <c r="E57" s="385"/>
    </row>
    <row r="58">
      <c r="A58" s="137"/>
      <c r="B58" s="386"/>
      <c r="E58" s="385"/>
    </row>
    <row r="59">
      <c r="A59" s="137"/>
      <c r="B59" s="386"/>
      <c r="E59" s="385"/>
    </row>
    <row r="60">
      <c r="A60" s="137"/>
      <c r="B60" s="386"/>
      <c r="E60" s="385"/>
    </row>
    <row r="61">
      <c r="A61" s="137"/>
      <c r="B61" s="386"/>
      <c r="E61" s="385"/>
    </row>
    <row r="62">
      <c r="A62" s="137"/>
      <c r="B62" s="386"/>
      <c r="E62" s="385"/>
    </row>
    <row r="63">
      <c r="A63" s="137"/>
      <c r="B63" s="386"/>
      <c r="E63" s="385"/>
    </row>
    <row r="64">
      <c r="A64" s="137"/>
      <c r="B64" s="386"/>
      <c r="E64" s="385"/>
    </row>
    <row r="65">
      <c r="A65" s="137"/>
      <c r="B65" s="386"/>
      <c r="E65" s="385"/>
    </row>
    <row r="66">
      <c r="A66" s="137"/>
      <c r="B66" s="386"/>
      <c r="E66" s="385"/>
    </row>
    <row r="67">
      <c r="A67" s="137"/>
      <c r="B67" s="386"/>
      <c r="E67" s="385"/>
    </row>
    <row r="68">
      <c r="A68" s="137"/>
      <c r="B68" s="386"/>
      <c r="E68" s="385"/>
    </row>
    <row r="69">
      <c r="A69" s="137"/>
      <c r="B69" s="386"/>
      <c r="E69" s="385"/>
    </row>
    <row r="70">
      <c r="A70" s="137"/>
      <c r="B70" s="386"/>
      <c r="E70" s="385"/>
    </row>
    <row r="71">
      <c r="A71" s="137"/>
      <c r="B71" s="386"/>
      <c r="E71" s="385"/>
    </row>
    <row r="72">
      <c r="A72" s="137"/>
      <c r="B72" s="386"/>
      <c r="E72" s="385"/>
    </row>
    <row r="73">
      <c r="A73" s="137"/>
      <c r="B73" s="386"/>
      <c r="E73" s="385"/>
    </row>
    <row r="74">
      <c r="A74" s="137"/>
      <c r="B74" s="386"/>
      <c r="E74" s="385"/>
    </row>
    <row r="75">
      <c r="A75" s="137"/>
      <c r="B75" s="386"/>
      <c r="E75" s="385"/>
    </row>
    <row r="76">
      <c r="A76" s="137"/>
      <c r="B76" s="386"/>
      <c r="E76" s="385"/>
    </row>
    <row r="77">
      <c r="A77" s="137"/>
      <c r="B77" s="386"/>
      <c r="E77" s="385"/>
    </row>
    <row r="78">
      <c r="A78" s="137"/>
      <c r="B78" s="386"/>
      <c r="E78" s="385"/>
    </row>
    <row r="79">
      <c r="A79" s="137"/>
      <c r="B79" s="386"/>
      <c r="E79" s="385"/>
    </row>
    <row r="80">
      <c r="A80" s="172"/>
      <c r="B80" s="386"/>
      <c r="E80" s="385"/>
    </row>
    <row r="81">
      <c r="A81" s="172"/>
      <c r="B81" s="386"/>
      <c r="E81" s="385"/>
    </row>
    <row r="82">
      <c r="A82" s="172"/>
      <c r="B82" s="386"/>
      <c r="E82" s="385"/>
    </row>
    <row r="83">
      <c r="A83" s="172"/>
      <c r="B83" s="386"/>
      <c r="E83" s="385"/>
    </row>
    <row r="84">
      <c r="A84" s="172"/>
      <c r="B84" s="386"/>
      <c r="E84" s="385"/>
    </row>
    <row r="85">
      <c r="A85" s="172"/>
      <c r="B85" s="386"/>
      <c r="E85" s="385"/>
    </row>
    <row r="86">
      <c r="A86" s="172"/>
      <c r="B86" s="386"/>
      <c r="E86" s="385"/>
    </row>
    <row r="87">
      <c r="A87" s="172"/>
      <c r="B87" s="386"/>
      <c r="E87" s="385"/>
    </row>
    <row r="88">
      <c r="A88" s="172"/>
      <c r="B88" s="386"/>
      <c r="E88" s="385"/>
    </row>
    <row r="89">
      <c r="A89" s="172"/>
      <c r="B89" s="386"/>
      <c r="E89" s="385"/>
    </row>
    <row r="90">
      <c r="A90" s="172"/>
      <c r="B90" s="386"/>
      <c r="E90" s="385"/>
    </row>
    <row r="91">
      <c r="A91" s="172"/>
      <c r="B91" s="386"/>
      <c r="E91" s="385"/>
    </row>
    <row r="92">
      <c r="A92" s="172"/>
      <c r="B92" s="386"/>
      <c r="E92" s="385"/>
    </row>
    <row r="93">
      <c r="A93" s="172"/>
      <c r="B93" s="386"/>
      <c r="E93" s="385"/>
    </row>
    <row r="94">
      <c r="A94" s="172"/>
      <c r="B94" s="386"/>
      <c r="E94" s="385"/>
    </row>
    <row r="95">
      <c r="A95" s="172"/>
      <c r="B95" s="386"/>
      <c r="E95" s="385"/>
    </row>
    <row r="96">
      <c r="A96" s="172"/>
      <c r="B96" s="386"/>
      <c r="E96" s="385"/>
    </row>
    <row r="97">
      <c r="A97" s="172"/>
      <c r="B97" s="386"/>
      <c r="E97" s="385"/>
    </row>
    <row r="98">
      <c r="A98" s="172"/>
      <c r="B98" s="386"/>
      <c r="E98" s="385"/>
    </row>
    <row r="99">
      <c r="A99" s="172"/>
      <c r="B99" s="386"/>
      <c r="E99" s="385"/>
    </row>
    <row r="100">
      <c r="A100" s="172"/>
      <c r="B100" s="386"/>
      <c r="E100" s="385"/>
    </row>
    <row r="101">
      <c r="A101" s="172"/>
      <c r="B101" s="386"/>
      <c r="E101" s="385"/>
    </row>
    <row r="102">
      <c r="A102" s="172"/>
      <c r="B102" s="386"/>
      <c r="E102" s="385"/>
    </row>
    <row r="103">
      <c r="A103" s="172"/>
      <c r="B103" s="386"/>
      <c r="E103" s="385"/>
    </row>
    <row r="104">
      <c r="A104" s="172"/>
      <c r="B104" s="386"/>
      <c r="E104" s="385"/>
    </row>
    <row r="105">
      <c r="A105" s="172"/>
      <c r="B105" s="386"/>
      <c r="E105" s="385"/>
    </row>
    <row r="106">
      <c r="A106" s="172"/>
      <c r="B106" s="386"/>
      <c r="E106" s="385"/>
    </row>
    <row r="107">
      <c r="A107" s="172"/>
      <c r="B107" s="386"/>
      <c r="E107" s="385"/>
    </row>
    <row r="108">
      <c r="A108" s="172"/>
      <c r="B108" s="386"/>
      <c r="E108" s="385"/>
    </row>
    <row r="109">
      <c r="A109" s="172"/>
      <c r="B109" s="386"/>
      <c r="E109" s="385"/>
    </row>
    <row r="110">
      <c r="A110" s="172"/>
      <c r="B110" s="386"/>
      <c r="E110" s="385"/>
    </row>
    <row r="111">
      <c r="A111" s="172"/>
      <c r="B111" s="386"/>
      <c r="E111" s="385"/>
    </row>
    <row r="112">
      <c r="A112" s="172"/>
      <c r="B112" s="386"/>
      <c r="E112" s="385"/>
    </row>
    <row r="113">
      <c r="A113" s="172"/>
      <c r="B113" s="386"/>
      <c r="E113" s="385"/>
    </row>
    <row r="114">
      <c r="A114" s="172"/>
      <c r="B114" s="386"/>
      <c r="E114" s="385"/>
    </row>
    <row r="115">
      <c r="A115" s="172"/>
      <c r="B115" s="386"/>
      <c r="E115" s="385"/>
    </row>
    <row r="116">
      <c r="A116" s="172"/>
      <c r="B116" s="386"/>
      <c r="E116" s="385"/>
    </row>
    <row r="117">
      <c r="A117" s="172"/>
      <c r="B117" s="386"/>
      <c r="E117" s="385"/>
    </row>
    <row r="118">
      <c r="A118" s="172"/>
      <c r="B118" s="386"/>
      <c r="E118" s="385"/>
    </row>
    <row r="119">
      <c r="A119" s="172"/>
      <c r="B119" s="386"/>
      <c r="E119" s="385"/>
    </row>
    <row r="120">
      <c r="A120" s="172"/>
      <c r="B120" s="386"/>
      <c r="E120" s="385"/>
    </row>
    <row r="121">
      <c r="A121" s="172"/>
      <c r="B121" s="386"/>
      <c r="E121" s="385"/>
    </row>
    <row r="122">
      <c r="A122" s="172"/>
      <c r="B122" s="386"/>
      <c r="E122" s="385"/>
    </row>
    <row r="123">
      <c r="A123" s="172"/>
      <c r="B123" s="386"/>
      <c r="E123" s="385"/>
    </row>
    <row r="124">
      <c r="A124" s="172"/>
      <c r="B124" s="386"/>
      <c r="E124" s="385"/>
    </row>
    <row r="125">
      <c r="A125" s="172"/>
      <c r="B125" s="386"/>
      <c r="E125" s="385"/>
    </row>
    <row r="126">
      <c r="A126" s="172"/>
      <c r="B126" s="386"/>
      <c r="E126" s="385"/>
    </row>
    <row r="127">
      <c r="A127" s="172"/>
      <c r="B127" s="386"/>
      <c r="E127" s="385"/>
    </row>
    <row r="128">
      <c r="A128" s="172"/>
      <c r="B128" s="386"/>
      <c r="E128" s="385"/>
    </row>
    <row r="129">
      <c r="A129" s="172"/>
      <c r="B129" s="386"/>
      <c r="E129" s="385"/>
    </row>
    <row r="130">
      <c r="A130" s="172"/>
      <c r="B130" s="386"/>
      <c r="E130" s="385"/>
    </row>
    <row r="131">
      <c r="A131" s="172"/>
      <c r="B131" s="386"/>
      <c r="E131" s="385"/>
    </row>
    <row r="132">
      <c r="A132" s="172"/>
      <c r="B132" s="386"/>
      <c r="E132" s="385"/>
    </row>
    <row r="133">
      <c r="A133" s="172"/>
      <c r="B133" s="386"/>
      <c r="E133" s="385"/>
    </row>
    <row r="134">
      <c r="A134" s="172"/>
      <c r="B134" s="386"/>
      <c r="E134" s="385"/>
    </row>
    <row r="135">
      <c r="A135" s="172"/>
      <c r="B135" s="386"/>
      <c r="E135" s="385"/>
    </row>
    <row r="136">
      <c r="A136" s="172"/>
      <c r="B136" s="386"/>
      <c r="E136" s="385"/>
    </row>
    <row r="137">
      <c r="A137" s="172"/>
      <c r="B137" s="386"/>
      <c r="E137" s="385"/>
    </row>
    <row r="138">
      <c r="A138" s="172"/>
      <c r="B138" s="386"/>
      <c r="E138" s="385"/>
    </row>
    <row r="139">
      <c r="A139" s="172"/>
      <c r="B139" s="386"/>
      <c r="E139" s="385"/>
    </row>
    <row r="140">
      <c r="A140" s="172"/>
      <c r="B140" s="386"/>
      <c r="E140" s="385"/>
    </row>
    <row r="141">
      <c r="A141" s="172"/>
      <c r="B141" s="386"/>
      <c r="E141" s="385"/>
    </row>
    <row r="142">
      <c r="A142" s="172"/>
      <c r="B142" s="386"/>
      <c r="E142" s="385"/>
    </row>
    <row r="143">
      <c r="A143" s="172"/>
      <c r="B143" s="386"/>
      <c r="E143" s="385"/>
    </row>
    <row r="144">
      <c r="A144" s="172"/>
      <c r="B144" s="386"/>
      <c r="E144" s="385"/>
    </row>
    <row r="145">
      <c r="A145" s="172"/>
      <c r="B145" s="386"/>
      <c r="E145" s="385"/>
    </row>
    <row r="146">
      <c r="A146" s="172"/>
      <c r="B146" s="386"/>
      <c r="E146" s="385"/>
    </row>
    <row r="147">
      <c r="A147" s="172"/>
      <c r="B147" s="386"/>
      <c r="E147" s="385"/>
    </row>
    <row r="148">
      <c r="A148" s="172"/>
      <c r="B148" s="386"/>
      <c r="E148" s="385"/>
    </row>
    <row r="149">
      <c r="A149" s="172"/>
      <c r="B149" s="386"/>
      <c r="E149" s="385"/>
    </row>
    <row r="150">
      <c r="A150" s="172"/>
      <c r="B150" s="386"/>
      <c r="E150" s="385"/>
    </row>
    <row r="151">
      <c r="A151" s="172"/>
      <c r="B151" s="386"/>
      <c r="E151" s="385"/>
    </row>
    <row r="152">
      <c r="A152" s="172"/>
      <c r="B152" s="386"/>
      <c r="E152" s="385"/>
    </row>
    <row r="153">
      <c r="A153" s="172"/>
      <c r="B153" s="386"/>
      <c r="E153" s="385"/>
    </row>
    <row r="154">
      <c r="A154" s="172"/>
      <c r="B154" s="386"/>
      <c r="E154" s="385"/>
    </row>
    <row r="155">
      <c r="A155" s="172"/>
      <c r="B155" s="386"/>
      <c r="E155" s="385"/>
    </row>
    <row r="156">
      <c r="A156" s="172"/>
      <c r="B156" s="386"/>
      <c r="E156" s="385"/>
    </row>
    <row r="157">
      <c r="A157" s="172"/>
      <c r="B157" s="386"/>
      <c r="E157" s="385"/>
    </row>
    <row r="158">
      <c r="A158" s="172"/>
      <c r="B158" s="386"/>
      <c r="E158" s="385"/>
    </row>
    <row r="159">
      <c r="A159" s="172"/>
      <c r="B159" s="386"/>
      <c r="E159" s="385"/>
    </row>
    <row r="160">
      <c r="A160" s="172"/>
      <c r="B160" s="386"/>
      <c r="E160" s="385"/>
    </row>
    <row r="161">
      <c r="A161" s="172"/>
      <c r="B161" s="386"/>
      <c r="E161" s="385"/>
    </row>
    <row r="162">
      <c r="A162" s="172"/>
      <c r="B162" s="386"/>
      <c r="E162" s="385"/>
    </row>
    <row r="163">
      <c r="A163" s="172"/>
      <c r="B163" s="386"/>
      <c r="E163" s="385"/>
    </row>
    <row r="164">
      <c r="A164" s="172"/>
      <c r="B164" s="386"/>
      <c r="E164" s="385"/>
    </row>
    <row r="165">
      <c r="A165" s="172"/>
      <c r="B165" s="386"/>
      <c r="E165" s="385"/>
    </row>
    <row r="166">
      <c r="A166" s="172"/>
      <c r="B166" s="386"/>
      <c r="E166" s="385"/>
    </row>
    <row r="167">
      <c r="A167" s="172"/>
      <c r="B167" s="386"/>
      <c r="E167" s="385"/>
    </row>
    <row r="168">
      <c r="A168" s="172"/>
      <c r="B168" s="386"/>
      <c r="E168" s="385"/>
    </row>
    <row r="169">
      <c r="A169" s="172"/>
      <c r="B169" s="386"/>
      <c r="E169" s="385"/>
    </row>
    <row r="170">
      <c r="A170" s="172"/>
      <c r="B170" s="386"/>
      <c r="E170" s="385"/>
    </row>
    <row r="171">
      <c r="A171" s="172"/>
      <c r="B171" s="386"/>
      <c r="E171" s="385"/>
    </row>
    <row r="172">
      <c r="A172" s="172"/>
      <c r="B172" s="386"/>
      <c r="E172" s="385"/>
    </row>
    <row r="173">
      <c r="A173" s="172"/>
      <c r="B173" s="386"/>
      <c r="E173" s="385"/>
    </row>
    <row r="174">
      <c r="A174" s="172"/>
      <c r="B174" s="386"/>
      <c r="E174" s="385"/>
    </row>
    <row r="175">
      <c r="A175" s="172"/>
      <c r="B175" s="386"/>
      <c r="E175" s="385"/>
    </row>
    <row r="176">
      <c r="A176" s="172"/>
      <c r="B176" s="386"/>
      <c r="E176" s="385"/>
    </row>
    <row r="177">
      <c r="A177" s="172"/>
      <c r="B177" s="386"/>
      <c r="E177" s="385"/>
    </row>
    <row r="178">
      <c r="A178" s="172"/>
      <c r="B178" s="386"/>
      <c r="E178" s="385"/>
    </row>
    <row r="179">
      <c r="A179" s="172"/>
      <c r="B179" s="386"/>
      <c r="E179" s="385"/>
    </row>
    <row r="180">
      <c r="A180" s="172"/>
      <c r="B180" s="386"/>
      <c r="E180" s="385"/>
    </row>
    <row r="181">
      <c r="A181" s="172"/>
      <c r="B181" s="386"/>
      <c r="E181" s="385"/>
    </row>
    <row r="182">
      <c r="A182" s="172"/>
      <c r="B182" s="386"/>
      <c r="E182" s="385"/>
    </row>
    <row r="183">
      <c r="A183" s="172"/>
      <c r="B183" s="386"/>
      <c r="E183" s="385"/>
    </row>
    <row r="184">
      <c r="A184" s="172"/>
      <c r="B184" s="386"/>
      <c r="E184" s="385"/>
    </row>
    <row r="185">
      <c r="A185" s="172"/>
      <c r="B185" s="386"/>
      <c r="E185" s="385"/>
    </row>
    <row r="186">
      <c r="A186" s="172"/>
      <c r="B186" s="386"/>
      <c r="E186" s="385"/>
    </row>
    <row r="187">
      <c r="A187" s="172"/>
      <c r="B187" s="386"/>
      <c r="E187" s="385"/>
    </row>
    <row r="188">
      <c r="A188" s="172"/>
      <c r="B188" s="386"/>
      <c r="E188" s="385"/>
    </row>
    <row r="189">
      <c r="A189" s="172"/>
      <c r="B189" s="386"/>
      <c r="E189" s="385"/>
    </row>
    <row r="190">
      <c r="A190" s="172"/>
      <c r="B190" s="386"/>
      <c r="E190" s="385"/>
    </row>
    <row r="191">
      <c r="A191" s="172"/>
      <c r="B191" s="386"/>
      <c r="E191" s="385"/>
    </row>
    <row r="192">
      <c r="A192" s="172"/>
      <c r="B192" s="386"/>
      <c r="E192" s="385"/>
    </row>
    <row r="193">
      <c r="A193" s="172"/>
      <c r="B193" s="386"/>
      <c r="E193" s="385"/>
    </row>
    <row r="194">
      <c r="A194" s="172"/>
      <c r="B194" s="386"/>
      <c r="E194" s="385"/>
    </row>
    <row r="195">
      <c r="A195" s="172"/>
      <c r="B195" s="386"/>
      <c r="E195" s="385"/>
    </row>
    <row r="196">
      <c r="A196" s="172"/>
      <c r="B196" s="386"/>
      <c r="E196" s="385"/>
    </row>
    <row r="197">
      <c r="A197" s="172"/>
      <c r="B197" s="386"/>
      <c r="E197" s="385"/>
    </row>
    <row r="198">
      <c r="A198" s="172"/>
      <c r="B198" s="386"/>
      <c r="E198" s="385"/>
    </row>
    <row r="199">
      <c r="A199" s="172"/>
      <c r="B199" s="386"/>
      <c r="E199" s="385"/>
    </row>
    <row r="200">
      <c r="A200" s="172"/>
      <c r="B200" s="386"/>
      <c r="E200" s="385"/>
    </row>
    <row r="201">
      <c r="A201" s="172"/>
      <c r="B201" s="386"/>
      <c r="E201" s="385"/>
    </row>
    <row r="202">
      <c r="A202" s="172"/>
      <c r="B202" s="386"/>
      <c r="E202" s="385"/>
    </row>
    <row r="203">
      <c r="A203" s="172"/>
      <c r="B203" s="386"/>
      <c r="E203" s="385"/>
    </row>
    <row r="204">
      <c r="A204" s="172"/>
      <c r="B204" s="386"/>
      <c r="E204" s="385"/>
    </row>
    <row r="205">
      <c r="A205" s="172"/>
      <c r="B205" s="386"/>
      <c r="E205" s="385"/>
    </row>
    <row r="206">
      <c r="A206" s="172"/>
      <c r="B206" s="386"/>
      <c r="E206" s="385"/>
    </row>
    <row r="207">
      <c r="A207" s="172"/>
      <c r="B207" s="386"/>
      <c r="E207" s="385"/>
    </row>
    <row r="208">
      <c r="A208" s="172"/>
      <c r="B208" s="386"/>
      <c r="E208" s="385"/>
    </row>
    <row r="209">
      <c r="A209" s="172"/>
      <c r="B209" s="386"/>
      <c r="E209" s="385"/>
    </row>
    <row r="210">
      <c r="A210" s="172"/>
      <c r="B210" s="386"/>
      <c r="E210" s="385"/>
    </row>
    <row r="211">
      <c r="A211" s="172"/>
      <c r="B211" s="386"/>
      <c r="E211" s="385"/>
    </row>
    <row r="212">
      <c r="A212" s="172"/>
      <c r="B212" s="386"/>
      <c r="E212" s="385"/>
    </row>
    <row r="213">
      <c r="A213" s="172"/>
      <c r="B213" s="386"/>
      <c r="E213" s="385"/>
    </row>
    <row r="214">
      <c r="A214" s="172"/>
      <c r="B214" s="386"/>
      <c r="E214" s="385"/>
    </row>
    <row r="215">
      <c r="A215" s="172"/>
      <c r="B215" s="386"/>
      <c r="E215" s="385"/>
    </row>
    <row r="216">
      <c r="A216" s="172"/>
      <c r="B216" s="386"/>
      <c r="E216" s="385"/>
    </row>
    <row r="217">
      <c r="A217" s="172"/>
      <c r="B217" s="386"/>
      <c r="E217" s="385"/>
    </row>
    <row r="218">
      <c r="A218" s="172"/>
      <c r="B218" s="386"/>
      <c r="E218" s="385"/>
    </row>
    <row r="219">
      <c r="A219" s="172"/>
      <c r="B219" s="386"/>
      <c r="E219" s="385"/>
    </row>
    <row r="220">
      <c r="A220" s="172"/>
      <c r="B220" s="386"/>
      <c r="E220" s="385"/>
    </row>
    <row r="221">
      <c r="A221" s="172"/>
      <c r="B221" s="386"/>
      <c r="E221" s="385"/>
    </row>
    <row r="222">
      <c r="A222" s="172"/>
      <c r="B222" s="386"/>
      <c r="E222" s="385"/>
    </row>
    <row r="223">
      <c r="A223" s="172"/>
      <c r="B223" s="386"/>
      <c r="E223" s="385"/>
    </row>
    <row r="224">
      <c r="A224" s="172"/>
      <c r="B224" s="386"/>
      <c r="E224" s="385"/>
    </row>
    <row r="225">
      <c r="A225" s="172"/>
      <c r="B225" s="386"/>
      <c r="E225" s="385"/>
    </row>
    <row r="226">
      <c r="A226" s="172"/>
      <c r="B226" s="386"/>
      <c r="E226" s="385"/>
    </row>
    <row r="227">
      <c r="A227" s="172"/>
      <c r="B227" s="386"/>
      <c r="E227" s="385"/>
    </row>
    <row r="228">
      <c r="A228" s="172"/>
      <c r="B228" s="386"/>
      <c r="E228" s="385"/>
    </row>
    <row r="229">
      <c r="A229" s="172"/>
      <c r="B229" s="386"/>
      <c r="E229" s="385"/>
    </row>
    <row r="230">
      <c r="A230" s="172"/>
      <c r="B230" s="386"/>
      <c r="E230" s="385"/>
    </row>
    <row r="231">
      <c r="A231" s="172"/>
      <c r="B231" s="386"/>
      <c r="E231" s="385"/>
    </row>
    <row r="232">
      <c r="A232" s="172"/>
      <c r="B232" s="386"/>
      <c r="E232" s="385"/>
    </row>
    <row r="233">
      <c r="A233" s="172"/>
      <c r="B233" s="386"/>
      <c r="E233" s="385"/>
    </row>
    <row r="234">
      <c r="A234" s="172"/>
      <c r="B234" s="386"/>
      <c r="E234" s="385"/>
    </row>
    <row r="235">
      <c r="A235" s="172"/>
      <c r="B235" s="386"/>
      <c r="E235" s="385"/>
    </row>
    <row r="236">
      <c r="A236" s="172"/>
      <c r="B236" s="386"/>
      <c r="E236" s="385"/>
    </row>
    <row r="237">
      <c r="A237" s="172"/>
      <c r="B237" s="386"/>
      <c r="E237" s="385"/>
    </row>
    <row r="238">
      <c r="A238" s="172"/>
      <c r="B238" s="386"/>
      <c r="E238" s="385"/>
    </row>
    <row r="239">
      <c r="A239" s="172"/>
      <c r="B239" s="386"/>
      <c r="E239" s="385"/>
    </row>
    <row r="240">
      <c r="A240" s="172"/>
      <c r="B240" s="386"/>
      <c r="E240" s="385"/>
    </row>
    <row r="241">
      <c r="A241" s="172"/>
      <c r="B241" s="386"/>
      <c r="E241" s="385"/>
    </row>
    <row r="242">
      <c r="A242" s="172"/>
      <c r="B242" s="386"/>
      <c r="E242" s="385"/>
    </row>
    <row r="243">
      <c r="A243" s="172"/>
      <c r="B243" s="386"/>
      <c r="E243" s="385"/>
    </row>
    <row r="244">
      <c r="A244" s="172"/>
      <c r="B244" s="386"/>
      <c r="E244" s="385"/>
    </row>
    <row r="245">
      <c r="A245" s="172"/>
      <c r="B245" s="386"/>
      <c r="E245" s="385"/>
    </row>
    <row r="246">
      <c r="A246" s="172"/>
      <c r="B246" s="386"/>
      <c r="E246" s="385"/>
    </row>
    <row r="247">
      <c r="A247" s="172"/>
      <c r="B247" s="386"/>
      <c r="E247" s="385"/>
    </row>
    <row r="248">
      <c r="A248" s="172"/>
      <c r="B248" s="386"/>
      <c r="E248" s="385"/>
    </row>
    <row r="249">
      <c r="A249" s="172"/>
      <c r="B249" s="386"/>
      <c r="E249" s="385"/>
    </row>
    <row r="250">
      <c r="A250" s="172"/>
      <c r="B250" s="386"/>
      <c r="E250" s="385"/>
    </row>
    <row r="251">
      <c r="A251" s="172"/>
      <c r="B251" s="386"/>
      <c r="E251" s="385"/>
    </row>
    <row r="252">
      <c r="A252" s="172"/>
      <c r="B252" s="386"/>
      <c r="E252" s="385"/>
    </row>
    <row r="253">
      <c r="A253" s="172"/>
      <c r="B253" s="386"/>
      <c r="E253" s="385"/>
    </row>
    <row r="254">
      <c r="A254" s="172"/>
      <c r="B254" s="386"/>
      <c r="E254" s="385"/>
    </row>
    <row r="255">
      <c r="A255" s="172"/>
      <c r="B255" s="386"/>
      <c r="E255" s="385"/>
    </row>
    <row r="256">
      <c r="A256" s="172"/>
      <c r="B256" s="386"/>
      <c r="E256" s="385"/>
    </row>
    <row r="257">
      <c r="A257" s="172"/>
      <c r="B257" s="386"/>
      <c r="E257" s="385"/>
    </row>
    <row r="258">
      <c r="A258" s="172"/>
      <c r="B258" s="386"/>
      <c r="E258" s="385"/>
    </row>
    <row r="259">
      <c r="A259" s="172"/>
      <c r="B259" s="386"/>
      <c r="E259" s="385"/>
    </row>
    <row r="260">
      <c r="A260" s="172"/>
      <c r="B260" s="386"/>
      <c r="E260" s="385"/>
    </row>
    <row r="261">
      <c r="A261" s="172"/>
      <c r="B261" s="386"/>
      <c r="E261" s="385"/>
    </row>
    <row r="262">
      <c r="A262" s="172"/>
      <c r="B262" s="386"/>
      <c r="E262" s="385"/>
    </row>
    <row r="263">
      <c r="A263" s="172"/>
      <c r="B263" s="386"/>
      <c r="E263" s="385"/>
    </row>
    <row r="264">
      <c r="A264" s="172"/>
      <c r="B264" s="386"/>
      <c r="E264" s="385"/>
    </row>
    <row r="265">
      <c r="A265" s="172"/>
      <c r="B265" s="386"/>
      <c r="E265" s="385"/>
    </row>
    <row r="266">
      <c r="A266" s="172"/>
      <c r="B266" s="386"/>
      <c r="E266" s="385"/>
    </row>
    <row r="267">
      <c r="A267" s="172"/>
      <c r="B267" s="386"/>
      <c r="E267" s="385"/>
    </row>
    <row r="268">
      <c r="A268" s="172"/>
      <c r="B268" s="386"/>
      <c r="E268" s="385"/>
    </row>
    <row r="269">
      <c r="A269" s="172"/>
      <c r="B269" s="386"/>
      <c r="E269" s="385"/>
    </row>
    <row r="270">
      <c r="A270" s="172"/>
      <c r="B270" s="386"/>
      <c r="E270" s="385"/>
    </row>
    <row r="271">
      <c r="A271" s="172"/>
      <c r="B271" s="386"/>
      <c r="E271" s="385"/>
    </row>
    <row r="272">
      <c r="A272" s="172"/>
      <c r="B272" s="386"/>
      <c r="E272" s="385"/>
    </row>
    <row r="273">
      <c r="A273" s="172"/>
      <c r="B273" s="386"/>
      <c r="E273" s="385"/>
    </row>
    <row r="274">
      <c r="A274" s="172"/>
      <c r="B274" s="386"/>
      <c r="E274" s="385"/>
    </row>
    <row r="275">
      <c r="A275" s="172"/>
      <c r="B275" s="386"/>
      <c r="E275" s="385"/>
    </row>
    <row r="276">
      <c r="A276" s="172"/>
      <c r="B276" s="386"/>
      <c r="E276" s="385"/>
    </row>
    <row r="277">
      <c r="A277" s="172"/>
      <c r="B277" s="386"/>
      <c r="E277" s="385"/>
    </row>
    <row r="278">
      <c r="A278" s="172"/>
      <c r="B278" s="386"/>
      <c r="E278" s="385"/>
    </row>
    <row r="279">
      <c r="A279" s="172"/>
      <c r="B279" s="386"/>
      <c r="E279" s="385"/>
    </row>
    <row r="280">
      <c r="A280" s="172"/>
      <c r="B280" s="386"/>
      <c r="E280" s="385"/>
    </row>
    <row r="281">
      <c r="A281" s="172"/>
      <c r="B281" s="386"/>
      <c r="E281" s="385"/>
    </row>
    <row r="282">
      <c r="A282" s="172"/>
      <c r="B282" s="386"/>
      <c r="E282" s="385"/>
    </row>
    <row r="283">
      <c r="A283" s="172"/>
      <c r="B283" s="386"/>
      <c r="E283" s="385"/>
    </row>
    <row r="284">
      <c r="A284" s="172"/>
      <c r="B284" s="386"/>
      <c r="E284" s="385"/>
    </row>
    <row r="285">
      <c r="A285" s="172"/>
      <c r="B285" s="386"/>
      <c r="E285" s="385"/>
    </row>
    <row r="286">
      <c r="A286" s="172"/>
      <c r="B286" s="386"/>
      <c r="E286" s="385"/>
    </row>
    <row r="287">
      <c r="A287" s="172"/>
      <c r="B287" s="386"/>
      <c r="E287" s="385"/>
    </row>
    <row r="288">
      <c r="A288" s="172"/>
      <c r="B288" s="386"/>
      <c r="E288" s="385"/>
    </row>
    <row r="289">
      <c r="A289" s="172"/>
      <c r="B289" s="386"/>
      <c r="E289" s="385"/>
    </row>
    <row r="290">
      <c r="A290" s="172"/>
      <c r="B290" s="386"/>
      <c r="E290" s="385"/>
    </row>
    <row r="291">
      <c r="A291" s="172"/>
      <c r="B291" s="386"/>
      <c r="E291" s="385"/>
    </row>
    <row r="292">
      <c r="A292" s="172"/>
      <c r="B292" s="386"/>
      <c r="E292" s="385"/>
    </row>
    <row r="293">
      <c r="A293" s="172"/>
      <c r="B293" s="386"/>
      <c r="E293" s="385"/>
    </row>
    <row r="294">
      <c r="A294" s="172"/>
      <c r="B294" s="386"/>
      <c r="E294" s="385"/>
    </row>
    <row r="295">
      <c r="A295" s="172"/>
      <c r="B295" s="386"/>
      <c r="E295" s="385"/>
    </row>
    <row r="296">
      <c r="A296" s="172"/>
      <c r="B296" s="386"/>
      <c r="E296" s="385"/>
    </row>
    <row r="297">
      <c r="A297" s="172"/>
      <c r="B297" s="386"/>
      <c r="E297" s="385"/>
    </row>
    <row r="298">
      <c r="A298" s="172"/>
      <c r="B298" s="386"/>
      <c r="E298" s="385"/>
    </row>
    <row r="299">
      <c r="A299" s="172"/>
      <c r="B299" s="386"/>
      <c r="E299" s="385"/>
    </row>
    <row r="300">
      <c r="A300" s="172"/>
      <c r="B300" s="386"/>
      <c r="E300" s="385"/>
    </row>
    <row r="301">
      <c r="A301" s="172"/>
      <c r="B301" s="386"/>
      <c r="E301" s="385"/>
    </row>
    <row r="302">
      <c r="A302" s="172"/>
      <c r="B302" s="386"/>
      <c r="E302" s="385"/>
    </row>
    <row r="303">
      <c r="A303" s="172"/>
      <c r="B303" s="386"/>
      <c r="E303" s="385"/>
    </row>
    <row r="304">
      <c r="A304" s="172"/>
      <c r="B304" s="386"/>
      <c r="E304" s="385"/>
    </row>
    <row r="305">
      <c r="A305" s="172"/>
      <c r="B305" s="386"/>
      <c r="E305" s="385"/>
    </row>
    <row r="306">
      <c r="A306" s="172"/>
      <c r="B306" s="386"/>
      <c r="E306" s="385"/>
    </row>
    <row r="307">
      <c r="A307" s="172"/>
      <c r="B307" s="386"/>
      <c r="E307" s="385"/>
    </row>
    <row r="308">
      <c r="A308" s="172"/>
      <c r="B308" s="386"/>
      <c r="E308" s="385"/>
    </row>
    <row r="309">
      <c r="A309" s="172"/>
      <c r="B309" s="386"/>
      <c r="E309" s="385"/>
    </row>
    <row r="310">
      <c r="A310" s="172"/>
      <c r="B310" s="386"/>
      <c r="E310" s="385"/>
    </row>
    <row r="311">
      <c r="A311" s="172"/>
      <c r="B311" s="386"/>
      <c r="E311" s="385"/>
    </row>
    <row r="312">
      <c r="A312" s="172"/>
      <c r="B312" s="386"/>
      <c r="E312" s="385"/>
    </row>
    <row r="313">
      <c r="A313" s="172"/>
      <c r="B313" s="386"/>
      <c r="E313" s="385"/>
    </row>
    <row r="314">
      <c r="A314" s="172"/>
      <c r="B314" s="386"/>
      <c r="E314" s="385"/>
    </row>
    <row r="315">
      <c r="A315" s="172"/>
      <c r="B315" s="386"/>
      <c r="E315" s="385"/>
    </row>
    <row r="316">
      <c r="A316" s="172"/>
      <c r="B316" s="386"/>
      <c r="E316" s="385"/>
    </row>
    <row r="317">
      <c r="A317" s="172"/>
      <c r="B317" s="386"/>
      <c r="E317" s="385"/>
    </row>
    <row r="318">
      <c r="A318" s="172"/>
      <c r="B318" s="386"/>
      <c r="E318" s="385"/>
    </row>
    <row r="319">
      <c r="A319" s="172"/>
      <c r="B319" s="386"/>
      <c r="E319" s="385"/>
    </row>
    <row r="320">
      <c r="A320" s="172"/>
      <c r="B320" s="386"/>
      <c r="E320" s="385"/>
    </row>
    <row r="321">
      <c r="A321" s="172"/>
      <c r="B321" s="386"/>
      <c r="E321" s="385"/>
    </row>
    <row r="322">
      <c r="A322" s="172"/>
      <c r="B322" s="386"/>
      <c r="E322" s="385"/>
    </row>
    <row r="323">
      <c r="A323" s="172"/>
      <c r="B323" s="386"/>
      <c r="E323" s="385"/>
    </row>
    <row r="324">
      <c r="A324" s="172"/>
      <c r="B324" s="386"/>
      <c r="E324" s="385"/>
    </row>
    <row r="325">
      <c r="A325" s="172"/>
      <c r="B325" s="386"/>
      <c r="E325" s="385"/>
    </row>
    <row r="326">
      <c r="A326" s="172"/>
      <c r="B326" s="386"/>
      <c r="E326" s="385"/>
    </row>
    <row r="327">
      <c r="A327" s="172"/>
      <c r="B327" s="386"/>
      <c r="E327" s="385"/>
    </row>
    <row r="328">
      <c r="A328" s="172"/>
      <c r="B328" s="386"/>
      <c r="E328" s="385"/>
    </row>
    <row r="329">
      <c r="A329" s="172"/>
      <c r="B329" s="386"/>
      <c r="E329" s="385"/>
    </row>
    <row r="330">
      <c r="A330" s="172"/>
      <c r="B330" s="386"/>
      <c r="E330" s="385"/>
    </row>
    <row r="331">
      <c r="A331" s="172"/>
      <c r="B331" s="386"/>
      <c r="E331" s="385"/>
    </row>
    <row r="332">
      <c r="A332" s="172"/>
      <c r="B332" s="386"/>
      <c r="E332" s="385"/>
    </row>
    <row r="333">
      <c r="A333" s="172"/>
      <c r="B333" s="386"/>
      <c r="E333" s="385"/>
    </row>
    <row r="334">
      <c r="A334" s="172"/>
      <c r="B334" s="386"/>
      <c r="E334" s="385"/>
    </row>
    <row r="335">
      <c r="A335" s="172"/>
      <c r="B335" s="386"/>
      <c r="E335" s="385"/>
    </row>
    <row r="336">
      <c r="A336" s="172"/>
      <c r="B336" s="386"/>
      <c r="E336" s="385"/>
    </row>
    <row r="337">
      <c r="A337" s="172"/>
      <c r="B337" s="386"/>
      <c r="E337" s="385"/>
    </row>
    <row r="338">
      <c r="A338" s="172"/>
      <c r="B338" s="386"/>
      <c r="E338" s="385"/>
    </row>
    <row r="339">
      <c r="A339" s="172"/>
      <c r="B339" s="386"/>
      <c r="E339" s="385"/>
    </row>
    <row r="340">
      <c r="A340" s="172"/>
      <c r="B340" s="386"/>
      <c r="E340" s="385"/>
    </row>
    <row r="341">
      <c r="A341" s="172"/>
      <c r="B341" s="386"/>
      <c r="E341" s="385"/>
    </row>
    <row r="342">
      <c r="A342" s="172"/>
      <c r="B342" s="386"/>
      <c r="E342" s="385"/>
    </row>
    <row r="343">
      <c r="A343" s="172"/>
      <c r="B343" s="386"/>
      <c r="E343" s="385"/>
    </row>
    <row r="344">
      <c r="A344" s="172"/>
      <c r="B344" s="386"/>
      <c r="E344" s="385"/>
    </row>
    <row r="345">
      <c r="A345" s="172"/>
      <c r="B345" s="386"/>
      <c r="E345" s="385"/>
    </row>
    <row r="346">
      <c r="A346" s="172"/>
      <c r="B346" s="386"/>
      <c r="E346" s="385"/>
    </row>
    <row r="347">
      <c r="A347" s="172"/>
      <c r="B347" s="386"/>
      <c r="E347" s="385"/>
    </row>
    <row r="348">
      <c r="A348" s="172"/>
      <c r="B348" s="386"/>
      <c r="E348" s="385"/>
    </row>
    <row r="349">
      <c r="A349" s="172"/>
      <c r="B349" s="386"/>
      <c r="E349" s="385"/>
    </row>
    <row r="350">
      <c r="A350" s="172"/>
      <c r="B350" s="386"/>
      <c r="E350" s="385"/>
    </row>
    <row r="351">
      <c r="A351" s="172"/>
      <c r="B351" s="386"/>
      <c r="E351" s="385"/>
    </row>
    <row r="352">
      <c r="A352" s="172"/>
      <c r="B352" s="386"/>
      <c r="E352" s="385"/>
    </row>
    <row r="353">
      <c r="A353" s="172"/>
      <c r="B353" s="386"/>
      <c r="E353" s="385"/>
    </row>
    <row r="354">
      <c r="A354" s="172"/>
      <c r="B354" s="386"/>
      <c r="E354" s="385"/>
    </row>
    <row r="355">
      <c r="A355" s="172"/>
      <c r="B355" s="386"/>
      <c r="E355" s="385"/>
    </row>
    <row r="356">
      <c r="A356" s="172"/>
      <c r="B356" s="386"/>
      <c r="E356" s="385"/>
    </row>
    <row r="357">
      <c r="A357" s="172"/>
      <c r="B357" s="386"/>
      <c r="E357" s="385"/>
    </row>
    <row r="358">
      <c r="A358" s="172"/>
      <c r="B358" s="386"/>
      <c r="E358" s="385"/>
    </row>
    <row r="359">
      <c r="A359" s="172"/>
      <c r="B359" s="386"/>
      <c r="E359" s="385"/>
    </row>
    <row r="360">
      <c r="A360" s="172"/>
      <c r="B360" s="386"/>
      <c r="E360" s="385"/>
    </row>
    <row r="361">
      <c r="A361" s="172"/>
      <c r="B361" s="386"/>
      <c r="E361" s="385"/>
    </row>
    <row r="362">
      <c r="A362" s="172"/>
      <c r="B362" s="386"/>
      <c r="E362" s="385"/>
    </row>
    <row r="363">
      <c r="A363" s="172"/>
      <c r="B363" s="386"/>
      <c r="E363" s="385"/>
    </row>
    <row r="364">
      <c r="A364" s="172"/>
      <c r="B364" s="386"/>
      <c r="E364" s="385"/>
    </row>
    <row r="365">
      <c r="A365" s="172"/>
      <c r="B365" s="386"/>
      <c r="E365" s="385"/>
    </row>
    <row r="366">
      <c r="A366" s="172"/>
      <c r="B366" s="386"/>
      <c r="E366" s="385"/>
    </row>
    <row r="367">
      <c r="A367" s="172"/>
      <c r="B367" s="386"/>
      <c r="E367" s="385"/>
    </row>
    <row r="368">
      <c r="A368" s="172"/>
      <c r="B368" s="386"/>
      <c r="E368" s="385"/>
    </row>
    <row r="369">
      <c r="A369" s="172"/>
      <c r="B369" s="386"/>
      <c r="E369" s="385"/>
    </row>
    <row r="370">
      <c r="A370" s="172"/>
      <c r="B370" s="386"/>
      <c r="E370" s="385"/>
    </row>
    <row r="371">
      <c r="A371" s="172"/>
      <c r="B371" s="386"/>
      <c r="E371" s="385"/>
    </row>
    <row r="372">
      <c r="A372" s="172"/>
      <c r="B372" s="386"/>
      <c r="E372" s="385"/>
    </row>
    <row r="373">
      <c r="A373" s="172"/>
      <c r="B373" s="386"/>
      <c r="E373" s="385"/>
    </row>
    <row r="374">
      <c r="A374" s="172"/>
      <c r="B374" s="386"/>
      <c r="E374" s="385"/>
    </row>
    <row r="375">
      <c r="A375" s="172"/>
      <c r="B375" s="386"/>
      <c r="E375" s="385"/>
    </row>
    <row r="376">
      <c r="A376" s="172"/>
      <c r="B376" s="386"/>
      <c r="E376" s="385"/>
    </row>
    <row r="377">
      <c r="A377" s="172"/>
      <c r="B377" s="386"/>
      <c r="E377" s="385"/>
    </row>
    <row r="378">
      <c r="A378" s="172"/>
      <c r="B378" s="386"/>
      <c r="E378" s="385"/>
    </row>
    <row r="379">
      <c r="A379" s="172"/>
      <c r="B379" s="386"/>
      <c r="E379" s="385"/>
    </row>
    <row r="380">
      <c r="A380" s="172"/>
      <c r="B380" s="386"/>
      <c r="E380" s="385"/>
    </row>
    <row r="381">
      <c r="A381" s="172"/>
      <c r="B381" s="386"/>
      <c r="E381" s="385"/>
    </row>
    <row r="382">
      <c r="A382" s="172"/>
      <c r="B382" s="386"/>
      <c r="E382" s="385"/>
    </row>
    <row r="383">
      <c r="A383" s="172"/>
      <c r="B383" s="386"/>
      <c r="E383" s="385"/>
    </row>
    <row r="384">
      <c r="A384" s="172"/>
      <c r="B384" s="386"/>
      <c r="E384" s="385"/>
    </row>
    <row r="385">
      <c r="A385" s="172"/>
      <c r="B385" s="386"/>
      <c r="E385" s="385"/>
    </row>
    <row r="386">
      <c r="A386" s="172"/>
      <c r="B386" s="386"/>
      <c r="E386" s="385"/>
    </row>
    <row r="387">
      <c r="A387" s="172"/>
      <c r="B387" s="386"/>
      <c r="E387" s="385"/>
    </row>
    <row r="388">
      <c r="A388" s="172"/>
      <c r="B388" s="386"/>
      <c r="E388" s="385"/>
    </row>
    <row r="389">
      <c r="A389" s="172"/>
      <c r="B389" s="386"/>
      <c r="E389" s="385"/>
    </row>
    <row r="390">
      <c r="A390" s="172"/>
      <c r="B390" s="386"/>
      <c r="E390" s="385"/>
    </row>
    <row r="391">
      <c r="A391" s="172"/>
      <c r="B391" s="386"/>
      <c r="E391" s="385"/>
    </row>
    <row r="392">
      <c r="A392" s="172"/>
      <c r="B392" s="386"/>
      <c r="E392" s="385"/>
    </row>
    <row r="393">
      <c r="A393" s="172"/>
      <c r="B393" s="386"/>
      <c r="E393" s="385"/>
    </row>
    <row r="394">
      <c r="A394" s="172"/>
      <c r="B394" s="386"/>
      <c r="E394" s="385"/>
    </row>
    <row r="395">
      <c r="A395" s="172"/>
      <c r="B395" s="386"/>
      <c r="E395" s="385"/>
    </row>
    <row r="396">
      <c r="A396" s="172"/>
      <c r="B396" s="386"/>
      <c r="E396" s="385"/>
    </row>
    <row r="397">
      <c r="A397" s="172"/>
      <c r="B397" s="386"/>
      <c r="E397" s="385"/>
    </row>
    <row r="398">
      <c r="A398" s="172"/>
      <c r="B398" s="386"/>
      <c r="E398" s="385"/>
    </row>
    <row r="399">
      <c r="A399" s="172"/>
      <c r="B399" s="386"/>
      <c r="E399" s="385"/>
    </row>
    <row r="400">
      <c r="A400" s="172"/>
      <c r="B400" s="386"/>
      <c r="E400" s="385"/>
    </row>
    <row r="401">
      <c r="A401" s="172"/>
      <c r="B401" s="386"/>
      <c r="E401" s="385"/>
    </row>
    <row r="402">
      <c r="A402" s="172"/>
      <c r="B402" s="386"/>
      <c r="E402" s="385"/>
    </row>
    <row r="403">
      <c r="A403" s="172"/>
      <c r="B403" s="386"/>
      <c r="E403" s="385"/>
    </row>
    <row r="404">
      <c r="A404" s="172"/>
      <c r="B404" s="386"/>
      <c r="E404" s="385"/>
    </row>
    <row r="405">
      <c r="A405" s="172"/>
      <c r="B405" s="386"/>
      <c r="E405" s="385"/>
    </row>
    <row r="406">
      <c r="A406" s="172"/>
      <c r="B406" s="386"/>
      <c r="E406" s="385"/>
    </row>
    <row r="407">
      <c r="A407" s="172"/>
      <c r="B407" s="386"/>
      <c r="E407" s="385"/>
    </row>
    <row r="408">
      <c r="A408" s="172"/>
      <c r="B408" s="386"/>
      <c r="E408" s="385"/>
    </row>
    <row r="409">
      <c r="A409" s="172"/>
      <c r="B409" s="386"/>
      <c r="E409" s="385"/>
    </row>
    <row r="410">
      <c r="A410" s="172"/>
      <c r="B410" s="386"/>
      <c r="E410" s="385"/>
    </row>
    <row r="411">
      <c r="A411" s="172"/>
      <c r="B411" s="386"/>
      <c r="E411" s="385"/>
    </row>
    <row r="412">
      <c r="A412" s="172"/>
      <c r="B412" s="386"/>
      <c r="E412" s="385"/>
    </row>
    <row r="413">
      <c r="A413" s="172"/>
      <c r="B413" s="386"/>
      <c r="E413" s="385"/>
    </row>
    <row r="414">
      <c r="A414" s="172"/>
      <c r="B414" s="386"/>
      <c r="E414" s="385"/>
    </row>
    <row r="415">
      <c r="A415" s="172"/>
      <c r="B415" s="386"/>
      <c r="E415" s="385"/>
    </row>
    <row r="416">
      <c r="A416" s="172"/>
      <c r="B416" s="386"/>
      <c r="E416" s="385"/>
    </row>
    <row r="417">
      <c r="A417" s="172"/>
      <c r="B417" s="386"/>
      <c r="E417" s="385"/>
    </row>
    <row r="418">
      <c r="A418" s="172"/>
      <c r="B418" s="386"/>
      <c r="E418" s="385"/>
    </row>
    <row r="419">
      <c r="A419" s="172"/>
      <c r="B419" s="386"/>
      <c r="E419" s="385"/>
    </row>
    <row r="420">
      <c r="A420" s="172"/>
      <c r="B420" s="386"/>
      <c r="E420" s="385"/>
    </row>
    <row r="421">
      <c r="A421" s="172"/>
      <c r="B421" s="386"/>
      <c r="E421" s="385"/>
    </row>
    <row r="422">
      <c r="A422" s="172"/>
      <c r="B422" s="386"/>
      <c r="E422" s="385"/>
    </row>
    <row r="423">
      <c r="A423" s="172"/>
      <c r="B423" s="386"/>
      <c r="E423" s="385"/>
    </row>
    <row r="424">
      <c r="A424" s="172"/>
      <c r="B424" s="386"/>
      <c r="E424" s="385"/>
    </row>
    <row r="425">
      <c r="A425" s="172"/>
      <c r="B425" s="386"/>
      <c r="E425" s="385"/>
    </row>
    <row r="426">
      <c r="A426" s="172"/>
      <c r="B426" s="386"/>
      <c r="E426" s="385"/>
    </row>
    <row r="427">
      <c r="A427" s="172"/>
      <c r="B427" s="386"/>
      <c r="E427" s="385"/>
    </row>
    <row r="428">
      <c r="A428" s="172"/>
      <c r="B428" s="386"/>
      <c r="E428" s="385"/>
    </row>
    <row r="429">
      <c r="A429" s="172"/>
      <c r="B429" s="386"/>
      <c r="E429" s="385"/>
    </row>
    <row r="430">
      <c r="A430" s="172"/>
      <c r="B430" s="386"/>
      <c r="E430" s="385"/>
    </row>
    <row r="431">
      <c r="A431" s="172"/>
      <c r="B431" s="386"/>
      <c r="E431" s="385"/>
    </row>
    <row r="432">
      <c r="A432" s="172"/>
      <c r="B432" s="386"/>
      <c r="E432" s="385"/>
    </row>
    <row r="433">
      <c r="A433" s="172"/>
      <c r="B433" s="386"/>
      <c r="E433" s="385"/>
    </row>
    <row r="434">
      <c r="A434" s="172"/>
      <c r="B434" s="386"/>
      <c r="E434" s="385"/>
    </row>
    <row r="435">
      <c r="A435" s="172"/>
      <c r="B435" s="386"/>
      <c r="E435" s="385"/>
    </row>
    <row r="436">
      <c r="A436" s="172"/>
      <c r="B436" s="386"/>
      <c r="E436" s="385"/>
    </row>
    <row r="437">
      <c r="A437" s="172"/>
      <c r="B437" s="386"/>
      <c r="E437" s="385"/>
    </row>
    <row r="438">
      <c r="A438" s="172"/>
      <c r="B438" s="386"/>
      <c r="E438" s="385"/>
    </row>
    <row r="439">
      <c r="A439" s="172"/>
      <c r="B439" s="386"/>
      <c r="E439" s="385"/>
    </row>
    <row r="440">
      <c r="A440" s="172"/>
      <c r="B440" s="386"/>
      <c r="E440" s="385"/>
    </row>
    <row r="441">
      <c r="A441" s="172"/>
      <c r="B441" s="386"/>
      <c r="E441" s="385"/>
    </row>
    <row r="442">
      <c r="A442" s="172"/>
      <c r="B442" s="386"/>
      <c r="E442" s="385"/>
    </row>
    <row r="443">
      <c r="A443" s="172"/>
      <c r="B443" s="386"/>
      <c r="E443" s="385"/>
    </row>
    <row r="444">
      <c r="A444" s="172"/>
      <c r="B444" s="386"/>
      <c r="E444" s="385"/>
    </row>
    <row r="445">
      <c r="A445" s="172"/>
      <c r="B445" s="386"/>
      <c r="E445" s="385"/>
    </row>
    <row r="446">
      <c r="A446" s="172"/>
      <c r="B446" s="386"/>
      <c r="E446" s="385"/>
    </row>
    <row r="447">
      <c r="A447" s="172"/>
      <c r="B447" s="386"/>
      <c r="E447" s="385"/>
    </row>
    <row r="448">
      <c r="A448" s="172"/>
      <c r="B448" s="386"/>
      <c r="E448" s="385"/>
    </row>
    <row r="449">
      <c r="A449" s="172"/>
      <c r="B449" s="386"/>
      <c r="E449" s="385"/>
    </row>
    <row r="450">
      <c r="A450" s="172"/>
      <c r="B450" s="386"/>
      <c r="E450" s="385"/>
    </row>
    <row r="451">
      <c r="A451" s="172"/>
      <c r="B451" s="386"/>
      <c r="E451" s="385"/>
    </row>
    <row r="452">
      <c r="A452" s="172"/>
      <c r="B452" s="386"/>
      <c r="E452" s="385"/>
    </row>
    <row r="453">
      <c r="A453" s="172"/>
      <c r="B453" s="386"/>
      <c r="E453" s="385"/>
    </row>
    <row r="454">
      <c r="A454" s="172"/>
      <c r="B454" s="386"/>
      <c r="E454" s="385"/>
    </row>
    <row r="455">
      <c r="A455" s="172"/>
      <c r="B455" s="386"/>
      <c r="E455" s="385"/>
    </row>
    <row r="456">
      <c r="A456" s="172"/>
      <c r="B456" s="386"/>
      <c r="E456" s="385"/>
    </row>
    <row r="457">
      <c r="A457" s="172"/>
      <c r="B457" s="386"/>
      <c r="E457" s="385"/>
    </row>
    <row r="458">
      <c r="A458" s="172"/>
      <c r="B458" s="386"/>
      <c r="E458" s="385"/>
    </row>
    <row r="459">
      <c r="A459" s="172"/>
      <c r="B459" s="386"/>
      <c r="E459" s="385"/>
    </row>
    <row r="460">
      <c r="A460" s="172"/>
      <c r="B460" s="386"/>
      <c r="E460" s="385"/>
    </row>
    <row r="461">
      <c r="A461" s="172"/>
      <c r="B461" s="386"/>
      <c r="E461" s="385"/>
    </row>
    <row r="462">
      <c r="A462" s="172"/>
      <c r="B462" s="386"/>
      <c r="E462" s="385"/>
    </row>
    <row r="463">
      <c r="A463" s="172"/>
      <c r="B463" s="386"/>
      <c r="E463" s="385"/>
    </row>
    <row r="464">
      <c r="A464" s="172"/>
      <c r="B464" s="386"/>
      <c r="E464" s="385"/>
    </row>
    <row r="465">
      <c r="A465" s="172"/>
      <c r="B465" s="386"/>
      <c r="E465" s="385"/>
    </row>
    <row r="466">
      <c r="A466" s="172"/>
      <c r="B466" s="386"/>
      <c r="E466" s="385"/>
    </row>
    <row r="467">
      <c r="A467" s="172"/>
      <c r="B467" s="386"/>
      <c r="E467" s="385"/>
    </row>
    <row r="468">
      <c r="A468" s="172"/>
      <c r="B468" s="386"/>
      <c r="E468" s="385"/>
    </row>
    <row r="469">
      <c r="A469" s="172"/>
      <c r="B469" s="386"/>
      <c r="E469" s="385"/>
    </row>
    <row r="470">
      <c r="A470" s="172"/>
      <c r="B470" s="386"/>
      <c r="E470" s="385"/>
    </row>
    <row r="471">
      <c r="A471" s="172"/>
      <c r="B471" s="386"/>
      <c r="E471" s="385"/>
    </row>
    <row r="472">
      <c r="A472" s="172"/>
      <c r="B472" s="386"/>
      <c r="E472" s="385"/>
    </row>
    <row r="473">
      <c r="A473" s="172"/>
      <c r="B473" s="386"/>
      <c r="E473" s="385"/>
    </row>
    <row r="474">
      <c r="A474" s="172"/>
      <c r="B474" s="386"/>
      <c r="E474" s="385"/>
    </row>
    <row r="475">
      <c r="A475" s="172"/>
      <c r="B475" s="386"/>
      <c r="E475" s="385"/>
    </row>
    <row r="476">
      <c r="A476" s="172"/>
      <c r="B476" s="386"/>
      <c r="E476" s="385"/>
    </row>
    <row r="477">
      <c r="A477" s="172"/>
      <c r="B477" s="386"/>
      <c r="E477" s="385"/>
    </row>
    <row r="478">
      <c r="A478" s="172"/>
      <c r="B478" s="386"/>
      <c r="E478" s="385"/>
    </row>
    <row r="479">
      <c r="A479" s="172"/>
      <c r="B479" s="386"/>
      <c r="E479" s="385"/>
    </row>
    <row r="480">
      <c r="A480" s="172"/>
      <c r="B480" s="386"/>
      <c r="E480" s="385"/>
    </row>
    <row r="481">
      <c r="A481" s="172"/>
      <c r="B481" s="386"/>
      <c r="E481" s="385"/>
    </row>
    <row r="482">
      <c r="A482" s="172"/>
      <c r="B482" s="386"/>
      <c r="E482" s="385"/>
    </row>
    <row r="483">
      <c r="A483" s="172"/>
      <c r="B483" s="386"/>
      <c r="E483" s="385"/>
    </row>
    <row r="484">
      <c r="A484" s="172"/>
      <c r="B484" s="386"/>
      <c r="E484" s="385"/>
    </row>
    <row r="485">
      <c r="A485" s="172"/>
      <c r="B485" s="386"/>
      <c r="E485" s="385"/>
    </row>
    <row r="486">
      <c r="A486" s="172"/>
      <c r="B486" s="386"/>
      <c r="E486" s="385"/>
    </row>
    <row r="487">
      <c r="A487" s="172"/>
      <c r="B487" s="386"/>
      <c r="E487" s="385"/>
    </row>
    <row r="488">
      <c r="A488" s="172"/>
      <c r="B488" s="386"/>
      <c r="E488" s="385"/>
    </row>
    <row r="489">
      <c r="A489" s="172"/>
      <c r="B489" s="386"/>
      <c r="E489" s="385"/>
    </row>
    <row r="490">
      <c r="A490" s="172"/>
      <c r="B490" s="386"/>
      <c r="E490" s="385"/>
    </row>
    <row r="491">
      <c r="A491" s="172"/>
      <c r="B491" s="386"/>
      <c r="E491" s="385"/>
    </row>
    <row r="492">
      <c r="A492" s="172"/>
      <c r="B492" s="386"/>
      <c r="E492" s="385"/>
    </row>
    <row r="493">
      <c r="A493" s="172"/>
      <c r="B493" s="386"/>
      <c r="E493" s="385"/>
    </row>
    <row r="494">
      <c r="A494" s="172"/>
      <c r="B494" s="386"/>
      <c r="E494" s="385"/>
    </row>
    <row r="495">
      <c r="A495" s="172"/>
      <c r="B495" s="386"/>
      <c r="E495" s="385"/>
    </row>
    <row r="496">
      <c r="A496" s="172"/>
      <c r="B496" s="386"/>
      <c r="E496" s="385"/>
    </row>
    <row r="497">
      <c r="A497" s="172"/>
      <c r="B497" s="386"/>
      <c r="E497" s="385"/>
    </row>
    <row r="498">
      <c r="A498" s="172"/>
      <c r="B498" s="386"/>
      <c r="E498" s="385"/>
    </row>
    <row r="499">
      <c r="A499" s="172"/>
      <c r="B499" s="386"/>
      <c r="E499" s="385"/>
    </row>
    <row r="500">
      <c r="A500" s="172"/>
      <c r="B500" s="386"/>
      <c r="E500" s="385"/>
    </row>
    <row r="501">
      <c r="A501" s="172"/>
      <c r="B501" s="386"/>
      <c r="E501" s="385"/>
    </row>
    <row r="502">
      <c r="A502" s="172"/>
      <c r="B502" s="386"/>
      <c r="E502" s="385"/>
    </row>
    <row r="503">
      <c r="A503" s="172"/>
      <c r="B503" s="386"/>
      <c r="E503" s="385"/>
    </row>
    <row r="504">
      <c r="A504" s="172"/>
      <c r="B504" s="386"/>
      <c r="E504" s="385"/>
    </row>
    <row r="505">
      <c r="A505" s="172"/>
      <c r="B505" s="386"/>
      <c r="E505" s="385"/>
    </row>
    <row r="506">
      <c r="A506" s="172"/>
      <c r="B506" s="386"/>
      <c r="E506" s="385"/>
    </row>
    <row r="507">
      <c r="A507" s="172"/>
      <c r="B507" s="386"/>
      <c r="E507" s="385"/>
    </row>
    <row r="508">
      <c r="A508" s="172"/>
      <c r="B508" s="386"/>
      <c r="E508" s="385"/>
    </row>
    <row r="509">
      <c r="A509" s="172"/>
      <c r="B509" s="386"/>
      <c r="E509" s="385"/>
    </row>
    <row r="510">
      <c r="A510" s="172"/>
      <c r="B510" s="386"/>
      <c r="E510" s="385"/>
    </row>
    <row r="511">
      <c r="A511" s="172"/>
      <c r="B511" s="386"/>
      <c r="E511" s="385"/>
    </row>
    <row r="512">
      <c r="A512" s="172"/>
      <c r="B512" s="386"/>
      <c r="E512" s="385"/>
    </row>
    <row r="513">
      <c r="A513" s="172"/>
      <c r="B513" s="386"/>
      <c r="E513" s="385"/>
    </row>
    <row r="514">
      <c r="A514" s="172"/>
      <c r="B514" s="386"/>
      <c r="E514" s="385"/>
    </row>
    <row r="515">
      <c r="A515" s="172"/>
      <c r="B515" s="386"/>
      <c r="E515" s="385"/>
    </row>
    <row r="516">
      <c r="A516" s="172"/>
      <c r="B516" s="386"/>
      <c r="E516" s="385"/>
    </row>
    <row r="517">
      <c r="A517" s="172"/>
      <c r="B517" s="386"/>
      <c r="E517" s="385"/>
    </row>
    <row r="518">
      <c r="A518" s="172"/>
      <c r="B518" s="386"/>
      <c r="E518" s="385"/>
    </row>
    <row r="519">
      <c r="A519" s="172"/>
      <c r="B519" s="386"/>
      <c r="E519" s="385"/>
    </row>
    <row r="520">
      <c r="A520" s="172"/>
      <c r="B520" s="386"/>
      <c r="E520" s="385"/>
    </row>
    <row r="521">
      <c r="A521" s="172"/>
      <c r="B521" s="386"/>
      <c r="E521" s="385"/>
    </row>
    <row r="522">
      <c r="A522" s="172"/>
      <c r="B522" s="386"/>
      <c r="E522" s="385"/>
    </row>
    <row r="523">
      <c r="A523" s="172"/>
      <c r="B523" s="386"/>
      <c r="E523" s="385"/>
    </row>
    <row r="524">
      <c r="A524" s="172"/>
      <c r="B524" s="386"/>
      <c r="E524" s="385"/>
    </row>
    <row r="525">
      <c r="A525" s="172"/>
      <c r="B525" s="386"/>
      <c r="E525" s="385"/>
    </row>
    <row r="526">
      <c r="A526" s="172"/>
      <c r="B526" s="386"/>
      <c r="E526" s="385"/>
    </row>
    <row r="527">
      <c r="A527" s="172"/>
      <c r="B527" s="386"/>
      <c r="E527" s="385"/>
    </row>
    <row r="528">
      <c r="A528" s="172"/>
      <c r="B528" s="386"/>
      <c r="E528" s="385"/>
    </row>
    <row r="529">
      <c r="A529" s="172"/>
      <c r="B529" s="386"/>
      <c r="E529" s="385"/>
    </row>
    <row r="530">
      <c r="A530" s="172"/>
      <c r="B530" s="386"/>
      <c r="E530" s="385"/>
    </row>
    <row r="531">
      <c r="A531" s="172"/>
      <c r="B531" s="386"/>
      <c r="E531" s="385"/>
    </row>
    <row r="532">
      <c r="A532" s="172"/>
      <c r="B532" s="386"/>
      <c r="E532" s="385"/>
    </row>
    <row r="533">
      <c r="A533" s="172"/>
      <c r="B533" s="386"/>
      <c r="E533" s="385"/>
    </row>
    <row r="534">
      <c r="A534" s="172"/>
      <c r="B534" s="386"/>
      <c r="E534" s="385"/>
    </row>
    <row r="535">
      <c r="A535" s="172"/>
      <c r="B535" s="386"/>
      <c r="E535" s="385"/>
    </row>
    <row r="536">
      <c r="A536" s="172"/>
      <c r="B536" s="386"/>
      <c r="E536" s="385"/>
    </row>
    <row r="537">
      <c r="A537" s="172"/>
      <c r="B537" s="386"/>
      <c r="E537" s="385"/>
    </row>
    <row r="538">
      <c r="A538" s="172"/>
      <c r="B538" s="386"/>
      <c r="E538" s="385"/>
    </row>
    <row r="539">
      <c r="A539" s="172"/>
      <c r="B539" s="386"/>
      <c r="E539" s="385"/>
    </row>
    <row r="540">
      <c r="A540" s="172"/>
      <c r="B540" s="386"/>
      <c r="E540" s="385"/>
    </row>
    <row r="541">
      <c r="A541" s="172"/>
      <c r="B541" s="386"/>
      <c r="E541" s="385"/>
    </row>
    <row r="542">
      <c r="A542" s="172"/>
      <c r="B542" s="386"/>
      <c r="E542" s="385"/>
    </row>
    <row r="543">
      <c r="A543" s="172"/>
      <c r="B543" s="386"/>
      <c r="E543" s="385"/>
    </row>
    <row r="544">
      <c r="A544" s="172"/>
      <c r="B544" s="386"/>
      <c r="E544" s="385"/>
    </row>
    <row r="545">
      <c r="A545" s="172"/>
      <c r="B545" s="386"/>
      <c r="E545" s="385"/>
    </row>
    <row r="546">
      <c r="A546" s="172"/>
      <c r="B546" s="386"/>
      <c r="E546" s="385"/>
    </row>
    <row r="547">
      <c r="A547" s="172"/>
      <c r="B547" s="386"/>
      <c r="E547" s="385"/>
    </row>
    <row r="548">
      <c r="A548" s="172"/>
      <c r="B548" s="386"/>
      <c r="E548" s="385"/>
    </row>
    <row r="549">
      <c r="A549" s="172"/>
      <c r="B549" s="386"/>
      <c r="E549" s="385"/>
    </row>
    <row r="550">
      <c r="A550" s="172"/>
      <c r="B550" s="386"/>
      <c r="E550" s="385"/>
    </row>
    <row r="551">
      <c r="A551" s="172"/>
      <c r="B551" s="386"/>
      <c r="E551" s="385"/>
    </row>
    <row r="552">
      <c r="A552" s="172"/>
      <c r="B552" s="386"/>
      <c r="E552" s="385"/>
    </row>
    <row r="553">
      <c r="A553" s="172"/>
      <c r="B553" s="386"/>
      <c r="E553" s="385"/>
    </row>
    <row r="554">
      <c r="A554" s="172"/>
      <c r="B554" s="386"/>
      <c r="E554" s="385"/>
    </row>
    <row r="555">
      <c r="A555" s="172"/>
      <c r="B555" s="386"/>
      <c r="E555" s="385"/>
    </row>
    <row r="556">
      <c r="A556" s="172"/>
      <c r="B556" s="386"/>
      <c r="E556" s="385"/>
    </row>
    <row r="557">
      <c r="A557" s="172"/>
      <c r="B557" s="386"/>
      <c r="E557" s="385"/>
    </row>
    <row r="558">
      <c r="A558" s="172"/>
      <c r="B558" s="386"/>
      <c r="E558" s="385"/>
    </row>
    <row r="559">
      <c r="A559" s="172"/>
      <c r="B559" s="386"/>
      <c r="E559" s="385"/>
    </row>
    <row r="560">
      <c r="A560" s="172"/>
      <c r="B560" s="386"/>
      <c r="E560" s="385"/>
    </row>
    <row r="561">
      <c r="A561" s="172"/>
      <c r="B561" s="386"/>
      <c r="E561" s="385"/>
    </row>
    <row r="562">
      <c r="A562" s="172"/>
      <c r="B562" s="386"/>
      <c r="E562" s="385"/>
    </row>
    <row r="563">
      <c r="A563" s="172"/>
      <c r="B563" s="386"/>
      <c r="E563" s="385"/>
    </row>
    <row r="564">
      <c r="A564" s="172"/>
      <c r="B564" s="386"/>
      <c r="E564" s="385"/>
    </row>
    <row r="565">
      <c r="A565" s="172"/>
      <c r="B565" s="386"/>
      <c r="E565" s="385"/>
    </row>
    <row r="566">
      <c r="A566" s="172"/>
      <c r="B566" s="386"/>
      <c r="E566" s="385"/>
    </row>
    <row r="567">
      <c r="A567" s="172"/>
      <c r="B567" s="386"/>
      <c r="E567" s="385"/>
    </row>
    <row r="568">
      <c r="A568" s="172"/>
      <c r="B568" s="386"/>
      <c r="E568" s="385"/>
    </row>
    <row r="569">
      <c r="A569" s="172"/>
      <c r="B569" s="386"/>
      <c r="E569" s="385"/>
    </row>
    <row r="570">
      <c r="A570" s="172"/>
      <c r="B570" s="386"/>
      <c r="E570" s="385"/>
    </row>
    <row r="571">
      <c r="A571" s="172"/>
      <c r="B571" s="386"/>
      <c r="E571" s="385"/>
    </row>
    <row r="572">
      <c r="A572" s="172"/>
      <c r="B572" s="386"/>
      <c r="E572" s="385"/>
    </row>
    <row r="573">
      <c r="A573" s="172"/>
      <c r="B573" s="386"/>
      <c r="E573" s="385"/>
    </row>
    <row r="574">
      <c r="A574" s="172"/>
      <c r="B574" s="386"/>
      <c r="E574" s="385"/>
    </row>
    <row r="575">
      <c r="A575" s="172"/>
      <c r="B575" s="386"/>
      <c r="E575" s="385"/>
    </row>
    <row r="576">
      <c r="A576" s="172"/>
      <c r="B576" s="386"/>
      <c r="E576" s="385"/>
    </row>
    <row r="577">
      <c r="A577" s="172"/>
      <c r="B577" s="386"/>
      <c r="E577" s="385"/>
    </row>
    <row r="578">
      <c r="A578" s="172"/>
      <c r="B578" s="386"/>
      <c r="E578" s="385"/>
    </row>
    <row r="579">
      <c r="A579" s="172"/>
      <c r="B579" s="386"/>
      <c r="E579" s="385"/>
    </row>
    <row r="580">
      <c r="A580" s="172"/>
      <c r="B580" s="386"/>
      <c r="E580" s="385"/>
    </row>
    <row r="581">
      <c r="A581" s="172"/>
      <c r="B581" s="386"/>
      <c r="E581" s="385"/>
    </row>
    <row r="582">
      <c r="A582" s="172"/>
      <c r="B582" s="386"/>
      <c r="E582" s="385"/>
    </row>
    <row r="583">
      <c r="A583" s="172"/>
      <c r="B583" s="386"/>
      <c r="E583" s="385"/>
    </row>
    <row r="584">
      <c r="A584" s="172"/>
      <c r="B584" s="386"/>
      <c r="E584" s="385"/>
    </row>
    <row r="585">
      <c r="A585" s="172"/>
      <c r="B585" s="386"/>
      <c r="E585" s="385"/>
    </row>
    <row r="586">
      <c r="A586" s="172"/>
      <c r="B586" s="386"/>
      <c r="E586" s="385"/>
    </row>
    <row r="587">
      <c r="A587" s="172"/>
      <c r="B587" s="386"/>
      <c r="E587" s="385"/>
    </row>
    <row r="588">
      <c r="A588" s="172"/>
      <c r="B588" s="386"/>
      <c r="E588" s="385"/>
    </row>
    <row r="589">
      <c r="A589" s="172"/>
      <c r="B589" s="386"/>
      <c r="E589" s="385"/>
    </row>
    <row r="590">
      <c r="A590" s="172"/>
      <c r="B590" s="386"/>
      <c r="E590" s="385"/>
    </row>
    <row r="591">
      <c r="A591" s="172"/>
      <c r="B591" s="386"/>
      <c r="E591" s="385"/>
    </row>
    <row r="592">
      <c r="A592" s="172"/>
      <c r="B592" s="386"/>
      <c r="E592" s="385"/>
    </row>
    <row r="593">
      <c r="A593" s="172"/>
      <c r="B593" s="386"/>
      <c r="E593" s="385"/>
    </row>
    <row r="594">
      <c r="A594" s="172"/>
      <c r="B594" s="386"/>
      <c r="E594" s="385"/>
    </row>
    <row r="595">
      <c r="A595" s="172"/>
      <c r="B595" s="386"/>
      <c r="E595" s="385"/>
    </row>
    <row r="596">
      <c r="A596" s="172"/>
      <c r="B596" s="386"/>
      <c r="E596" s="385"/>
    </row>
    <row r="597">
      <c r="A597" s="172"/>
      <c r="B597" s="386"/>
      <c r="E597" s="385"/>
    </row>
    <row r="598">
      <c r="A598" s="172"/>
      <c r="B598" s="386"/>
      <c r="E598" s="385"/>
    </row>
    <row r="599">
      <c r="A599" s="172"/>
      <c r="B599" s="386"/>
      <c r="E599" s="385"/>
    </row>
    <row r="600">
      <c r="A600" s="172"/>
      <c r="B600" s="386"/>
      <c r="E600" s="385"/>
    </row>
    <row r="601">
      <c r="A601" s="172"/>
      <c r="B601" s="386"/>
      <c r="E601" s="385"/>
    </row>
    <row r="602">
      <c r="A602" s="172"/>
      <c r="B602" s="386"/>
      <c r="E602" s="385"/>
    </row>
    <row r="603">
      <c r="A603" s="172"/>
      <c r="B603" s="386"/>
      <c r="E603" s="385"/>
    </row>
    <row r="604">
      <c r="A604" s="172"/>
      <c r="B604" s="386"/>
      <c r="E604" s="385"/>
    </row>
    <row r="605">
      <c r="A605" s="172"/>
      <c r="B605" s="386"/>
      <c r="E605" s="385"/>
    </row>
    <row r="606">
      <c r="A606" s="172"/>
      <c r="B606" s="386"/>
      <c r="E606" s="385"/>
    </row>
    <row r="607">
      <c r="A607" s="172"/>
      <c r="B607" s="386"/>
      <c r="E607" s="385"/>
    </row>
    <row r="608">
      <c r="A608" s="172"/>
      <c r="B608" s="386"/>
      <c r="E608" s="385"/>
    </row>
    <row r="609">
      <c r="A609" s="172"/>
      <c r="B609" s="386"/>
      <c r="E609" s="385"/>
    </row>
    <row r="610">
      <c r="A610" s="172"/>
      <c r="B610" s="386"/>
      <c r="E610" s="385"/>
    </row>
    <row r="611">
      <c r="A611" s="172"/>
      <c r="B611" s="386"/>
      <c r="E611" s="385"/>
    </row>
    <row r="612">
      <c r="A612" s="172"/>
      <c r="B612" s="386"/>
      <c r="E612" s="385"/>
    </row>
    <row r="613">
      <c r="A613" s="172"/>
      <c r="B613" s="386"/>
      <c r="E613" s="385"/>
    </row>
    <row r="614">
      <c r="A614" s="172"/>
      <c r="B614" s="386"/>
      <c r="E614" s="385"/>
    </row>
    <row r="615">
      <c r="A615" s="172"/>
      <c r="B615" s="386"/>
      <c r="E615" s="385"/>
    </row>
    <row r="616">
      <c r="A616" s="172"/>
      <c r="B616" s="386"/>
      <c r="E616" s="385"/>
    </row>
    <row r="617">
      <c r="A617" s="172"/>
      <c r="B617" s="386"/>
      <c r="E617" s="385"/>
    </row>
    <row r="618">
      <c r="A618" s="172"/>
      <c r="B618" s="386"/>
      <c r="E618" s="385"/>
    </row>
    <row r="619">
      <c r="A619" s="172"/>
      <c r="B619" s="386"/>
      <c r="E619" s="385"/>
    </row>
    <row r="620">
      <c r="A620" s="172"/>
      <c r="B620" s="386"/>
      <c r="E620" s="385"/>
    </row>
    <row r="621">
      <c r="A621" s="172"/>
      <c r="B621" s="386"/>
      <c r="E621" s="385"/>
    </row>
    <row r="622">
      <c r="A622" s="172"/>
      <c r="B622" s="386"/>
      <c r="E622" s="385"/>
    </row>
    <row r="623">
      <c r="A623" s="172"/>
      <c r="B623" s="386"/>
      <c r="E623" s="385"/>
    </row>
    <row r="624">
      <c r="A624" s="172"/>
      <c r="B624" s="386"/>
      <c r="E624" s="385"/>
    </row>
    <row r="625">
      <c r="A625" s="172"/>
      <c r="B625" s="386"/>
      <c r="E625" s="385"/>
    </row>
    <row r="626">
      <c r="A626" s="172"/>
      <c r="B626" s="386"/>
      <c r="E626" s="385"/>
    </row>
    <row r="627">
      <c r="A627" s="172"/>
      <c r="B627" s="386"/>
      <c r="E627" s="385"/>
    </row>
    <row r="628">
      <c r="A628" s="172"/>
      <c r="B628" s="386"/>
      <c r="E628" s="385"/>
    </row>
    <row r="629">
      <c r="A629" s="172"/>
      <c r="B629" s="386"/>
      <c r="E629" s="385"/>
    </row>
    <row r="630">
      <c r="A630" s="172"/>
      <c r="B630" s="386"/>
      <c r="E630" s="385"/>
    </row>
    <row r="631">
      <c r="A631" s="172"/>
      <c r="B631" s="386"/>
      <c r="E631" s="385"/>
    </row>
    <row r="632">
      <c r="A632" s="172"/>
      <c r="B632" s="386"/>
      <c r="E632" s="385"/>
    </row>
    <row r="633">
      <c r="A633" s="172"/>
      <c r="B633" s="386"/>
      <c r="E633" s="385"/>
    </row>
    <row r="634">
      <c r="A634" s="172"/>
      <c r="B634" s="386"/>
      <c r="E634" s="385"/>
    </row>
    <row r="635">
      <c r="A635" s="172"/>
      <c r="B635" s="386"/>
      <c r="E635" s="385"/>
    </row>
    <row r="636">
      <c r="A636" s="172"/>
      <c r="B636" s="386"/>
      <c r="E636" s="385"/>
    </row>
    <row r="637">
      <c r="A637" s="172"/>
      <c r="B637" s="386"/>
      <c r="E637" s="385"/>
    </row>
    <row r="638">
      <c r="A638" s="172"/>
      <c r="B638" s="386"/>
      <c r="E638" s="385"/>
    </row>
    <row r="639">
      <c r="A639" s="172"/>
      <c r="B639" s="386"/>
      <c r="E639" s="385"/>
    </row>
    <row r="640">
      <c r="A640" s="172"/>
      <c r="B640" s="386"/>
      <c r="E640" s="385"/>
    </row>
    <row r="641">
      <c r="A641" s="172"/>
      <c r="B641" s="386"/>
      <c r="E641" s="385"/>
    </row>
    <row r="642">
      <c r="A642" s="172"/>
      <c r="B642" s="386"/>
      <c r="E642" s="385"/>
    </row>
    <row r="643">
      <c r="A643" s="172"/>
      <c r="B643" s="386"/>
      <c r="E643" s="385"/>
    </row>
    <row r="644">
      <c r="A644" s="172"/>
      <c r="B644" s="386"/>
      <c r="E644" s="385"/>
    </row>
    <row r="645">
      <c r="A645" s="172"/>
      <c r="B645" s="386"/>
      <c r="E645" s="385"/>
    </row>
    <row r="646">
      <c r="A646" s="172"/>
      <c r="B646" s="386"/>
      <c r="E646" s="385"/>
    </row>
    <row r="647">
      <c r="A647" s="172"/>
      <c r="B647" s="386"/>
      <c r="E647" s="385"/>
    </row>
    <row r="648">
      <c r="A648" s="172"/>
      <c r="B648" s="386"/>
      <c r="E648" s="385"/>
    </row>
    <row r="649">
      <c r="A649" s="172"/>
      <c r="B649" s="386"/>
      <c r="E649" s="385"/>
    </row>
    <row r="650">
      <c r="A650" s="172"/>
      <c r="B650" s="386"/>
      <c r="E650" s="385"/>
    </row>
    <row r="651">
      <c r="A651" s="172"/>
      <c r="B651" s="386"/>
      <c r="E651" s="385"/>
    </row>
    <row r="652">
      <c r="A652" s="172"/>
      <c r="B652" s="386"/>
      <c r="E652" s="385"/>
    </row>
    <row r="653">
      <c r="A653" s="172"/>
      <c r="B653" s="386"/>
      <c r="E653" s="385"/>
    </row>
    <row r="654">
      <c r="A654" s="172"/>
      <c r="B654" s="386"/>
      <c r="E654" s="385"/>
    </row>
    <row r="655">
      <c r="A655" s="172"/>
      <c r="B655" s="386"/>
      <c r="E655" s="385"/>
    </row>
    <row r="656">
      <c r="A656" s="172"/>
      <c r="B656" s="386"/>
      <c r="E656" s="385"/>
    </row>
    <row r="657">
      <c r="A657" s="172"/>
      <c r="B657" s="386"/>
      <c r="E657" s="385"/>
    </row>
    <row r="658">
      <c r="A658" s="172"/>
      <c r="B658" s="386"/>
      <c r="E658" s="385"/>
    </row>
    <row r="659">
      <c r="A659" s="172"/>
      <c r="B659" s="386"/>
      <c r="E659" s="385"/>
    </row>
    <row r="660">
      <c r="A660" s="172"/>
      <c r="B660" s="386"/>
      <c r="E660" s="385"/>
    </row>
    <row r="661">
      <c r="A661" s="172"/>
      <c r="B661" s="386"/>
      <c r="E661" s="385"/>
    </row>
    <row r="662">
      <c r="A662" s="172"/>
      <c r="B662" s="386"/>
      <c r="E662" s="385"/>
    </row>
    <row r="663">
      <c r="A663" s="172"/>
      <c r="B663" s="386"/>
      <c r="E663" s="385"/>
    </row>
    <row r="664">
      <c r="A664" s="172"/>
      <c r="B664" s="386"/>
      <c r="E664" s="385"/>
    </row>
    <row r="665">
      <c r="A665" s="172"/>
      <c r="B665" s="386"/>
      <c r="E665" s="385"/>
    </row>
    <row r="666">
      <c r="A666" s="172"/>
      <c r="B666" s="386"/>
      <c r="E666" s="385"/>
    </row>
    <row r="667">
      <c r="A667" s="172"/>
      <c r="B667" s="386"/>
      <c r="E667" s="385"/>
    </row>
    <row r="668">
      <c r="A668" s="172"/>
      <c r="B668" s="386"/>
      <c r="E668" s="385"/>
    </row>
    <row r="669">
      <c r="A669" s="172"/>
      <c r="B669" s="386"/>
      <c r="E669" s="385"/>
    </row>
    <row r="670">
      <c r="A670" s="172"/>
      <c r="B670" s="386"/>
      <c r="E670" s="385"/>
    </row>
    <row r="671">
      <c r="A671" s="172"/>
      <c r="B671" s="386"/>
      <c r="E671" s="385"/>
    </row>
    <row r="672">
      <c r="A672" s="172"/>
      <c r="B672" s="386"/>
      <c r="E672" s="385"/>
    </row>
    <row r="673">
      <c r="A673" s="172"/>
      <c r="B673" s="386"/>
      <c r="E673" s="385"/>
    </row>
    <row r="674">
      <c r="A674" s="172"/>
      <c r="B674" s="386"/>
      <c r="E674" s="385"/>
    </row>
    <row r="675">
      <c r="A675" s="172"/>
      <c r="B675" s="386"/>
      <c r="E675" s="385"/>
    </row>
    <row r="676">
      <c r="A676" s="172"/>
      <c r="B676" s="386"/>
      <c r="E676" s="385"/>
    </row>
    <row r="677">
      <c r="A677" s="172"/>
      <c r="B677" s="386"/>
      <c r="E677" s="385"/>
    </row>
    <row r="678">
      <c r="A678" s="172"/>
      <c r="B678" s="386"/>
      <c r="E678" s="385"/>
    </row>
    <row r="679">
      <c r="A679" s="172"/>
      <c r="B679" s="386"/>
      <c r="E679" s="385"/>
    </row>
    <row r="680">
      <c r="A680" s="172"/>
      <c r="B680" s="386"/>
      <c r="E680" s="385"/>
    </row>
    <row r="681">
      <c r="A681" s="172"/>
      <c r="B681" s="386"/>
      <c r="E681" s="385"/>
    </row>
    <row r="682">
      <c r="A682" s="172"/>
      <c r="B682" s="386"/>
      <c r="E682" s="385"/>
    </row>
    <row r="683">
      <c r="A683" s="172"/>
      <c r="B683" s="386"/>
      <c r="E683" s="385"/>
    </row>
    <row r="684">
      <c r="A684" s="172"/>
      <c r="B684" s="386"/>
      <c r="E684" s="385"/>
    </row>
    <row r="685">
      <c r="A685" s="172"/>
      <c r="B685" s="386"/>
      <c r="E685" s="385"/>
    </row>
    <row r="686">
      <c r="A686" s="172"/>
      <c r="B686" s="386"/>
      <c r="E686" s="385"/>
    </row>
    <row r="687">
      <c r="A687" s="172"/>
      <c r="B687" s="386"/>
      <c r="E687" s="385"/>
    </row>
    <row r="688">
      <c r="A688" s="172"/>
      <c r="B688" s="386"/>
      <c r="E688" s="385"/>
    </row>
    <row r="689">
      <c r="A689" s="172"/>
      <c r="B689" s="386"/>
      <c r="E689" s="385"/>
    </row>
    <row r="690">
      <c r="A690" s="172"/>
      <c r="B690" s="386"/>
      <c r="E690" s="385"/>
    </row>
    <row r="691">
      <c r="A691" s="172"/>
      <c r="B691" s="386"/>
      <c r="E691" s="385"/>
    </row>
    <row r="692">
      <c r="A692" s="172"/>
      <c r="B692" s="386"/>
      <c r="E692" s="385"/>
    </row>
    <row r="693">
      <c r="A693" s="172"/>
      <c r="B693" s="386"/>
      <c r="E693" s="385"/>
    </row>
    <row r="694">
      <c r="A694" s="172"/>
      <c r="B694" s="386"/>
      <c r="E694" s="385"/>
    </row>
    <row r="695">
      <c r="A695" s="172"/>
      <c r="B695" s="386"/>
      <c r="E695" s="385"/>
    </row>
    <row r="696">
      <c r="A696" s="172"/>
      <c r="B696" s="386"/>
      <c r="E696" s="385"/>
    </row>
    <row r="697">
      <c r="A697" s="172"/>
      <c r="B697" s="386"/>
      <c r="E697" s="385"/>
    </row>
    <row r="698">
      <c r="A698" s="172"/>
      <c r="B698" s="386"/>
      <c r="E698" s="385"/>
    </row>
    <row r="699">
      <c r="A699" s="172"/>
      <c r="B699" s="386"/>
      <c r="E699" s="385"/>
    </row>
    <row r="700">
      <c r="A700" s="172"/>
      <c r="B700" s="386"/>
      <c r="E700" s="385"/>
    </row>
    <row r="701">
      <c r="A701" s="172"/>
      <c r="B701" s="386"/>
      <c r="E701" s="385"/>
    </row>
    <row r="702">
      <c r="A702" s="172"/>
      <c r="B702" s="386"/>
      <c r="E702" s="385"/>
    </row>
    <row r="703">
      <c r="A703" s="172"/>
      <c r="B703" s="386"/>
      <c r="E703" s="385"/>
    </row>
    <row r="704">
      <c r="A704" s="172"/>
      <c r="B704" s="386"/>
      <c r="E704" s="385"/>
    </row>
    <row r="705">
      <c r="A705" s="172"/>
      <c r="B705" s="386"/>
      <c r="E705" s="385"/>
    </row>
    <row r="706">
      <c r="A706" s="172"/>
      <c r="B706" s="386"/>
      <c r="E706" s="385"/>
    </row>
    <row r="707">
      <c r="A707" s="172"/>
      <c r="B707" s="386"/>
      <c r="E707" s="385"/>
    </row>
    <row r="708">
      <c r="A708" s="172"/>
      <c r="B708" s="386"/>
      <c r="E708" s="385"/>
    </row>
    <row r="709">
      <c r="A709" s="172"/>
      <c r="B709" s="386"/>
      <c r="E709" s="385"/>
    </row>
    <row r="710">
      <c r="A710" s="172"/>
      <c r="B710" s="386"/>
      <c r="E710" s="385"/>
    </row>
    <row r="711">
      <c r="A711" s="172"/>
      <c r="B711" s="386"/>
      <c r="E711" s="385"/>
    </row>
    <row r="712">
      <c r="A712" s="172"/>
      <c r="B712" s="386"/>
      <c r="E712" s="385"/>
    </row>
    <row r="713">
      <c r="A713" s="172"/>
      <c r="B713" s="386"/>
      <c r="E713" s="385"/>
    </row>
    <row r="714">
      <c r="A714" s="172"/>
      <c r="B714" s="386"/>
      <c r="E714" s="385"/>
    </row>
    <row r="715">
      <c r="A715" s="172"/>
      <c r="B715" s="386"/>
      <c r="E715" s="385"/>
    </row>
    <row r="716">
      <c r="A716" s="172"/>
      <c r="B716" s="386"/>
      <c r="E716" s="385"/>
    </row>
    <row r="717">
      <c r="A717" s="172"/>
      <c r="B717" s="386"/>
      <c r="E717" s="385"/>
    </row>
    <row r="718">
      <c r="A718" s="172"/>
      <c r="B718" s="386"/>
      <c r="E718" s="385"/>
    </row>
    <row r="719">
      <c r="A719" s="172"/>
      <c r="B719" s="386"/>
      <c r="E719" s="385"/>
    </row>
    <row r="720">
      <c r="A720" s="172"/>
      <c r="B720" s="386"/>
      <c r="E720" s="385"/>
    </row>
    <row r="721">
      <c r="A721" s="172"/>
      <c r="B721" s="386"/>
      <c r="E721" s="385"/>
    </row>
    <row r="722">
      <c r="A722" s="172"/>
      <c r="B722" s="386"/>
      <c r="E722" s="385"/>
    </row>
    <row r="723">
      <c r="A723" s="172"/>
      <c r="B723" s="386"/>
      <c r="E723" s="385"/>
    </row>
    <row r="724">
      <c r="A724" s="172"/>
      <c r="B724" s="386"/>
      <c r="E724" s="385"/>
    </row>
    <row r="725">
      <c r="A725" s="172"/>
      <c r="B725" s="386"/>
      <c r="E725" s="385"/>
    </row>
    <row r="726">
      <c r="A726" s="172"/>
      <c r="B726" s="386"/>
      <c r="E726" s="385"/>
    </row>
    <row r="727">
      <c r="A727" s="172"/>
      <c r="B727" s="386"/>
      <c r="E727" s="385"/>
    </row>
    <row r="728">
      <c r="A728" s="172"/>
      <c r="B728" s="386"/>
      <c r="E728" s="385"/>
    </row>
    <row r="729">
      <c r="A729" s="172"/>
      <c r="B729" s="386"/>
      <c r="E729" s="385"/>
    </row>
    <row r="730">
      <c r="A730" s="172"/>
      <c r="B730" s="386"/>
      <c r="E730" s="385"/>
    </row>
    <row r="731">
      <c r="A731" s="172"/>
      <c r="B731" s="386"/>
      <c r="E731" s="385"/>
    </row>
    <row r="732">
      <c r="A732" s="172"/>
      <c r="B732" s="386"/>
      <c r="E732" s="385"/>
    </row>
    <row r="733">
      <c r="A733" s="172"/>
      <c r="B733" s="386"/>
      <c r="E733" s="385"/>
    </row>
    <row r="734">
      <c r="A734" s="172"/>
      <c r="B734" s="386"/>
      <c r="E734" s="385"/>
    </row>
    <row r="735">
      <c r="A735" s="172"/>
      <c r="B735" s="386"/>
      <c r="E735" s="385"/>
    </row>
    <row r="736">
      <c r="A736" s="172"/>
      <c r="B736" s="386"/>
      <c r="E736" s="385"/>
    </row>
    <row r="737">
      <c r="A737" s="172"/>
      <c r="B737" s="386"/>
      <c r="E737" s="385"/>
    </row>
    <row r="738">
      <c r="A738" s="172"/>
      <c r="B738" s="386"/>
      <c r="E738" s="385"/>
    </row>
    <row r="739">
      <c r="A739" s="172"/>
      <c r="B739" s="386"/>
      <c r="E739" s="385"/>
    </row>
    <row r="740">
      <c r="A740" s="172"/>
      <c r="B740" s="386"/>
      <c r="E740" s="385"/>
    </row>
    <row r="741">
      <c r="A741" s="172"/>
      <c r="B741" s="386"/>
      <c r="E741" s="385"/>
    </row>
    <row r="742">
      <c r="A742" s="172"/>
      <c r="B742" s="386"/>
      <c r="E742" s="385"/>
    </row>
    <row r="743">
      <c r="A743" s="172"/>
      <c r="B743" s="386"/>
      <c r="E743" s="385"/>
    </row>
    <row r="744">
      <c r="A744" s="172"/>
      <c r="B744" s="386"/>
      <c r="E744" s="385"/>
    </row>
    <row r="745">
      <c r="A745" s="172"/>
      <c r="B745" s="386"/>
      <c r="E745" s="385"/>
    </row>
    <row r="746">
      <c r="A746" s="172"/>
      <c r="B746" s="386"/>
      <c r="E746" s="385"/>
    </row>
    <row r="747">
      <c r="A747" s="172"/>
      <c r="B747" s="386"/>
      <c r="E747" s="385"/>
    </row>
    <row r="748">
      <c r="A748" s="172"/>
      <c r="B748" s="386"/>
      <c r="E748" s="385"/>
    </row>
    <row r="749">
      <c r="A749" s="172"/>
      <c r="B749" s="386"/>
      <c r="E749" s="385"/>
    </row>
    <row r="750">
      <c r="A750" s="172"/>
      <c r="B750" s="386"/>
      <c r="E750" s="385"/>
    </row>
    <row r="751">
      <c r="A751" s="172"/>
      <c r="B751" s="386"/>
      <c r="E751" s="385"/>
    </row>
    <row r="752">
      <c r="A752" s="172"/>
      <c r="B752" s="386"/>
      <c r="E752" s="385"/>
    </row>
    <row r="753">
      <c r="A753" s="172"/>
      <c r="B753" s="386"/>
      <c r="E753" s="385"/>
    </row>
    <row r="754">
      <c r="A754" s="172"/>
      <c r="B754" s="386"/>
      <c r="E754" s="385"/>
    </row>
    <row r="755">
      <c r="A755" s="172"/>
      <c r="B755" s="386"/>
      <c r="E755" s="385"/>
    </row>
    <row r="756">
      <c r="A756" s="172"/>
      <c r="B756" s="386"/>
      <c r="E756" s="385"/>
    </row>
    <row r="757">
      <c r="A757" s="172"/>
      <c r="B757" s="386"/>
      <c r="E757" s="385"/>
    </row>
    <row r="758">
      <c r="A758" s="172"/>
      <c r="B758" s="386"/>
      <c r="E758" s="385"/>
    </row>
    <row r="759">
      <c r="A759" s="172"/>
      <c r="B759" s="386"/>
      <c r="E759" s="385"/>
    </row>
    <row r="760">
      <c r="A760" s="172"/>
      <c r="B760" s="386"/>
      <c r="E760" s="385"/>
    </row>
    <row r="761">
      <c r="A761" s="172"/>
      <c r="B761" s="386"/>
      <c r="E761" s="385"/>
    </row>
    <row r="762">
      <c r="A762" s="172"/>
      <c r="B762" s="386"/>
      <c r="E762" s="385"/>
    </row>
    <row r="763">
      <c r="A763" s="172"/>
      <c r="B763" s="386"/>
      <c r="E763" s="385"/>
    </row>
    <row r="764">
      <c r="A764" s="172"/>
      <c r="B764" s="386"/>
      <c r="E764" s="385"/>
    </row>
    <row r="765">
      <c r="A765" s="172"/>
      <c r="B765" s="386"/>
      <c r="E765" s="385"/>
    </row>
    <row r="766">
      <c r="A766" s="172"/>
      <c r="B766" s="386"/>
      <c r="E766" s="385"/>
    </row>
    <row r="767">
      <c r="A767" s="172"/>
      <c r="B767" s="386"/>
      <c r="E767" s="385"/>
    </row>
    <row r="768">
      <c r="A768" s="172"/>
      <c r="B768" s="386"/>
      <c r="E768" s="385"/>
    </row>
    <row r="769">
      <c r="A769" s="172"/>
      <c r="B769" s="386"/>
      <c r="E769" s="385"/>
    </row>
    <row r="770">
      <c r="A770" s="172"/>
      <c r="B770" s="386"/>
      <c r="E770" s="385"/>
    </row>
    <row r="771">
      <c r="A771" s="172"/>
      <c r="B771" s="386"/>
      <c r="E771" s="385"/>
    </row>
    <row r="772">
      <c r="A772" s="172"/>
      <c r="B772" s="386"/>
      <c r="E772" s="385"/>
    </row>
    <row r="773">
      <c r="A773" s="172"/>
      <c r="B773" s="386"/>
      <c r="E773" s="385"/>
    </row>
    <row r="774">
      <c r="A774" s="172"/>
      <c r="B774" s="386"/>
      <c r="E774" s="385"/>
    </row>
    <row r="775">
      <c r="A775" s="172"/>
      <c r="B775" s="386"/>
      <c r="E775" s="385"/>
    </row>
    <row r="776">
      <c r="A776" s="172"/>
      <c r="B776" s="386"/>
      <c r="E776" s="385"/>
    </row>
    <row r="777">
      <c r="A777" s="172"/>
      <c r="B777" s="386"/>
      <c r="E777" s="385"/>
    </row>
    <row r="778">
      <c r="A778" s="172"/>
      <c r="B778" s="386"/>
      <c r="E778" s="385"/>
    </row>
    <row r="779">
      <c r="A779" s="172"/>
      <c r="B779" s="386"/>
      <c r="E779" s="385"/>
    </row>
    <row r="780">
      <c r="A780" s="172"/>
      <c r="B780" s="386"/>
      <c r="E780" s="385"/>
    </row>
    <row r="781">
      <c r="A781" s="172"/>
      <c r="B781" s="386"/>
      <c r="E781" s="385"/>
    </row>
    <row r="782">
      <c r="A782" s="172"/>
      <c r="B782" s="386"/>
      <c r="E782" s="385"/>
    </row>
    <row r="783">
      <c r="A783" s="172"/>
      <c r="B783" s="386"/>
      <c r="E783" s="385"/>
    </row>
    <row r="784">
      <c r="A784" s="172"/>
      <c r="B784" s="386"/>
      <c r="E784" s="385"/>
    </row>
    <row r="785">
      <c r="A785" s="172"/>
      <c r="B785" s="386"/>
      <c r="E785" s="385"/>
    </row>
    <row r="786">
      <c r="A786" s="172"/>
      <c r="B786" s="386"/>
      <c r="E786" s="385"/>
    </row>
    <row r="787">
      <c r="A787" s="172"/>
      <c r="B787" s="386"/>
      <c r="E787" s="385"/>
    </row>
    <row r="788">
      <c r="A788" s="172"/>
      <c r="B788" s="386"/>
      <c r="E788" s="385"/>
    </row>
    <row r="789">
      <c r="A789" s="172"/>
      <c r="B789" s="386"/>
      <c r="E789" s="385"/>
    </row>
    <row r="790">
      <c r="A790" s="172"/>
      <c r="B790" s="386"/>
      <c r="E790" s="385"/>
    </row>
    <row r="791">
      <c r="A791" s="172"/>
      <c r="B791" s="386"/>
      <c r="E791" s="385"/>
    </row>
    <row r="792">
      <c r="A792" s="172"/>
      <c r="B792" s="386"/>
      <c r="E792" s="385"/>
    </row>
    <row r="793">
      <c r="A793" s="172"/>
      <c r="B793" s="386"/>
      <c r="E793" s="385"/>
    </row>
    <row r="794">
      <c r="A794" s="172"/>
      <c r="B794" s="386"/>
      <c r="E794" s="385"/>
    </row>
    <row r="795">
      <c r="A795" s="172"/>
      <c r="B795" s="386"/>
      <c r="E795" s="385"/>
    </row>
    <row r="796">
      <c r="A796" s="172"/>
      <c r="B796" s="386"/>
      <c r="E796" s="385"/>
    </row>
    <row r="797">
      <c r="A797" s="172"/>
      <c r="B797" s="386"/>
      <c r="E797" s="385"/>
    </row>
    <row r="798">
      <c r="A798" s="172"/>
      <c r="B798" s="386"/>
      <c r="E798" s="385"/>
    </row>
    <row r="799">
      <c r="A799" s="172"/>
      <c r="B799" s="386"/>
      <c r="E799" s="385"/>
    </row>
    <row r="800">
      <c r="A800" s="172"/>
      <c r="B800" s="386"/>
      <c r="E800" s="385"/>
    </row>
    <row r="801">
      <c r="A801" s="172"/>
      <c r="B801" s="386"/>
      <c r="E801" s="385"/>
    </row>
    <row r="802">
      <c r="A802" s="172"/>
      <c r="B802" s="386"/>
      <c r="E802" s="385"/>
    </row>
    <row r="803">
      <c r="A803" s="172"/>
      <c r="B803" s="386"/>
      <c r="E803" s="385"/>
    </row>
    <row r="804">
      <c r="A804" s="172"/>
      <c r="B804" s="386"/>
      <c r="E804" s="385"/>
    </row>
    <row r="805">
      <c r="A805" s="172"/>
      <c r="B805" s="386"/>
      <c r="E805" s="385"/>
    </row>
    <row r="806">
      <c r="A806" s="172"/>
      <c r="B806" s="386"/>
      <c r="E806" s="385"/>
    </row>
    <row r="807">
      <c r="A807" s="172"/>
      <c r="B807" s="386"/>
      <c r="E807" s="385"/>
    </row>
    <row r="808">
      <c r="A808" s="172"/>
      <c r="B808" s="386"/>
      <c r="E808" s="385"/>
    </row>
    <row r="809">
      <c r="A809" s="172"/>
      <c r="B809" s="386"/>
      <c r="E809" s="385"/>
    </row>
    <row r="810">
      <c r="A810" s="172"/>
      <c r="B810" s="386"/>
      <c r="E810" s="385"/>
    </row>
    <row r="811">
      <c r="A811" s="172"/>
      <c r="B811" s="386"/>
      <c r="E811" s="385"/>
    </row>
    <row r="812">
      <c r="A812" s="172"/>
      <c r="B812" s="386"/>
      <c r="E812" s="385"/>
    </row>
    <row r="813">
      <c r="A813" s="172"/>
      <c r="B813" s="386"/>
      <c r="E813" s="385"/>
    </row>
    <row r="814">
      <c r="A814" s="172"/>
      <c r="B814" s="386"/>
      <c r="E814" s="385"/>
    </row>
    <row r="815">
      <c r="A815" s="172"/>
      <c r="B815" s="386"/>
      <c r="E815" s="385"/>
    </row>
    <row r="816">
      <c r="A816" s="172"/>
      <c r="B816" s="386"/>
      <c r="E816" s="385"/>
    </row>
    <row r="817">
      <c r="A817" s="172"/>
      <c r="B817" s="386"/>
      <c r="E817" s="385"/>
    </row>
    <row r="818">
      <c r="A818" s="172"/>
      <c r="B818" s="386"/>
      <c r="E818" s="385"/>
    </row>
    <row r="819">
      <c r="A819" s="172"/>
      <c r="B819" s="386"/>
      <c r="E819" s="385"/>
    </row>
    <row r="820">
      <c r="A820" s="172"/>
      <c r="B820" s="386"/>
      <c r="E820" s="385"/>
    </row>
    <row r="821">
      <c r="A821" s="172"/>
      <c r="B821" s="386"/>
      <c r="E821" s="385"/>
    </row>
    <row r="822">
      <c r="A822" s="172"/>
      <c r="B822" s="386"/>
      <c r="E822" s="385"/>
    </row>
    <row r="823">
      <c r="A823" s="172"/>
      <c r="B823" s="386"/>
      <c r="E823" s="385"/>
    </row>
    <row r="824">
      <c r="A824" s="172"/>
      <c r="B824" s="386"/>
      <c r="E824" s="385"/>
    </row>
    <row r="825">
      <c r="A825" s="172"/>
      <c r="B825" s="386"/>
      <c r="E825" s="385"/>
    </row>
    <row r="826">
      <c r="A826" s="172"/>
      <c r="B826" s="386"/>
      <c r="E826" s="385"/>
    </row>
    <row r="827">
      <c r="A827" s="172"/>
      <c r="B827" s="386"/>
      <c r="E827" s="385"/>
    </row>
    <row r="828">
      <c r="A828" s="172"/>
      <c r="B828" s="386"/>
      <c r="E828" s="385"/>
    </row>
    <row r="829">
      <c r="A829" s="172"/>
      <c r="B829" s="386"/>
      <c r="E829" s="385"/>
    </row>
    <row r="830">
      <c r="A830" s="172"/>
      <c r="B830" s="386"/>
      <c r="E830" s="385"/>
    </row>
    <row r="831">
      <c r="A831" s="172"/>
      <c r="B831" s="386"/>
      <c r="E831" s="385"/>
    </row>
    <row r="832">
      <c r="A832" s="172"/>
      <c r="B832" s="386"/>
      <c r="E832" s="385"/>
    </row>
    <row r="833">
      <c r="A833" s="172"/>
      <c r="B833" s="386"/>
      <c r="E833" s="385"/>
    </row>
    <row r="834">
      <c r="A834" s="172"/>
      <c r="B834" s="386"/>
      <c r="E834" s="385"/>
    </row>
    <row r="835">
      <c r="A835" s="172"/>
      <c r="B835" s="386"/>
      <c r="E835" s="385"/>
    </row>
    <row r="836">
      <c r="A836" s="172"/>
      <c r="B836" s="386"/>
      <c r="E836" s="385"/>
    </row>
    <row r="837">
      <c r="A837" s="172"/>
      <c r="B837" s="386"/>
      <c r="E837" s="385"/>
    </row>
    <row r="838">
      <c r="A838" s="172"/>
      <c r="B838" s="386"/>
      <c r="E838" s="385"/>
    </row>
    <row r="839">
      <c r="A839" s="172"/>
      <c r="B839" s="386"/>
      <c r="E839" s="385"/>
    </row>
    <row r="840">
      <c r="A840" s="172"/>
      <c r="B840" s="386"/>
      <c r="E840" s="385"/>
    </row>
    <row r="841">
      <c r="A841" s="172"/>
      <c r="B841" s="386"/>
      <c r="E841" s="385"/>
    </row>
    <row r="842">
      <c r="A842" s="172"/>
      <c r="B842" s="386"/>
      <c r="E842" s="385"/>
    </row>
    <row r="843">
      <c r="A843" s="172"/>
      <c r="B843" s="386"/>
      <c r="E843" s="385"/>
    </row>
    <row r="844">
      <c r="A844" s="172"/>
      <c r="B844" s="386"/>
      <c r="E844" s="385"/>
    </row>
    <row r="845">
      <c r="A845" s="172"/>
      <c r="B845" s="386"/>
      <c r="E845" s="385"/>
    </row>
    <row r="846">
      <c r="A846" s="172"/>
      <c r="B846" s="386"/>
      <c r="E846" s="385"/>
    </row>
    <row r="847">
      <c r="A847" s="172"/>
      <c r="B847" s="386"/>
      <c r="E847" s="385"/>
    </row>
    <row r="848">
      <c r="A848" s="172"/>
      <c r="B848" s="386"/>
      <c r="E848" s="385"/>
    </row>
    <row r="849">
      <c r="A849" s="172"/>
      <c r="B849" s="386"/>
      <c r="E849" s="385"/>
    </row>
    <row r="850">
      <c r="A850" s="172"/>
      <c r="B850" s="386"/>
      <c r="E850" s="385"/>
    </row>
    <row r="851">
      <c r="A851" s="172"/>
      <c r="B851" s="386"/>
      <c r="E851" s="385"/>
    </row>
    <row r="852">
      <c r="A852" s="172"/>
      <c r="B852" s="386"/>
      <c r="E852" s="385"/>
    </row>
    <row r="853">
      <c r="A853" s="172"/>
      <c r="B853" s="386"/>
      <c r="E853" s="385"/>
    </row>
    <row r="854">
      <c r="A854" s="172"/>
      <c r="B854" s="386"/>
      <c r="E854" s="385"/>
    </row>
    <row r="855">
      <c r="A855" s="172"/>
      <c r="B855" s="386"/>
      <c r="E855" s="385"/>
    </row>
    <row r="856">
      <c r="A856" s="172"/>
      <c r="B856" s="386"/>
      <c r="E856" s="385"/>
    </row>
    <row r="857">
      <c r="A857" s="172"/>
      <c r="B857" s="386"/>
      <c r="E857" s="385"/>
    </row>
    <row r="858">
      <c r="A858" s="172"/>
      <c r="B858" s="386"/>
      <c r="E858" s="385"/>
    </row>
    <row r="859">
      <c r="A859" s="172"/>
      <c r="B859" s="386"/>
      <c r="E859" s="385"/>
    </row>
    <row r="860">
      <c r="A860" s="172"/>
      <c r="B860" s="386"/>
      <c r="E860" s="385"/>
    </row>
    <row r="861">
      <c r="A861" s="172"/>
      <c r="B861" s="386"/>
      <c r="E861" s="385"/>
    </row>
    <row r="862">
      <c r="A862" s="172"/>
      <c r="B862" s="386"/>
      <c r="E862" s="385"/>
    </row>
    <row r="863">
      <c r="A863" s="172"/>
      <c r="B863" s="386"/>
      <c r="E863" s="385"/>
    </row>
    <row r="864">
      <c r="A864" s="172"/>
      <c r="B864" s="386"/>
      <c r="E864" s="385"/>
    </row>
    <row r="865">
      <c r="A865" s="172"/>
      <c r="B865" s="386"/>
      <c r="E865" s="385"/>
    </row>
    <row r="866">
      <c r="A866" s="172"/>
      <c r="B866" s="386"/>
      <c r="E866" s="385"/>
    </row>
    <row r="867">
      <c r="A867" s="172"/>
      <c r="B867" s="386"/>
      <c r="E867" s="385"/>
    </row>
    <row r="868">
      <c r="A868" s="172"/>
      <c r="B868" s="386"/>
      <c r="E868" s="385"/>
    </row>
    <row r="869">
      <c r="A869" s="172"/>
      <c r="B869" s="386"/>
      <c r="E869" s="385"/>
    </row>
    <row r="870">
      <c r="A870" s="172"/>
      <c r="B870" s="386"/>
      <c r="E870" s="385"/>
    </row>
    <row r="871">
      <c r="A871" s="172"/>
      <c r="B871" s="386"/>
      <c r="E871" s="385"/>
    </row>
    <row r="872">
      <c r="A872" s="172"/>
      <c r="B872" s="386"/>
      <c r="E872" s="385"/>
    </row>
    <row r="873">
      <c r="A873" s="172"/>
      <c r="B873" s="386"/>
      <c r="E873" s="385"/>
    </row>
    <row r="874">
      <c r="A874" s="172"/>
      <c r="B874" s="386"/>
      <c r="E874" s="385"/>
    </row>
    <row r="875">
      <c r="A875" s="172"/>
      <c r="B875" s="386"/>
      <c r="E875" s="385"/>
    </row>
    <row r="876">
      <c r="A876" s="172"/>
      <c r="B876" s="386"/>
      <c r="E876" s="385"/>
    </row>
    <row r="877">
      <c r="A877" s="172"/>
      <c r="B877" s="386"/>
      <c r="E877" s="385"/>
    </row>
    <row r="878">
      <c r="A878" s="172"/>
      <c r="B878" s="386"/>
      <c r="E878" s="385"/>
    </row>
    <row r="879">
      <c r="A879" s="172"/>
      <c r="B879" s="386"/>
      <c r="E879" s="385"/>
    </row>
    <row r="880">
      <c r="A880" s="172"/>
      <c r="B880" s="386"/>
      <c r="E880" s="385"/>
    </row>
    <row r="881">
      <c r="A881" s="172"/>
      <c r="B881" s="386"/>
      <c r="E881" s="385"/>
    </row>
    <row r="882">
      <c r="A882" s="172"/>
      <c r="B882" s="386"/>
      <c r="E882" s="385"/>
    </row>
    <row r="883">
      <c r="A883" s="172"/>
      <c r="B883" s="386"/>
      <c r="E883" s="385"/>
    </row>
    <row r="884">
      <c r="A884" s="172"/>
      <c r="B884" s="386"/>
      <c r="E884" s="385"/>
    </row>
    <row r="885">
      <c r="A885" s="172"/>
      <c r="B885" s="386"/>
      <c r="E885" s="385"/>
    </row>
    <row r="886">
      <c r="A886" s="172"/>
      <c r="B886" s="386"/>
      <c r="E886" s="385"/>
    </row>
    <row r="887">
      <c r="A887" s="172"/>
      <c r="B887" s="386"/>
      <c r="E887" s="385"/>
    </row>
    <row r="888">
      <c r="A888" s="172"/>
      <c r="B888" s="386"/>
      <c r="E888" s="385"/>
    </row>
    <row r="889">
      <c r="A889" s="172"/>
      <c r="B889" s="386"/>
      <c r="E889" s="385"/>
    </row>
    <row r="890">
      <c r="A890" s="172"/>
      <c r="B890" s="386"/>
      <c r="E890" s="385"/>
    </row>
    <row r="891">
      <c r="A891" s="172"/>
      <c r="B891" s="386"/>
      <c r="E891" s="385"/>
    </row>
    <row r="892">
      <c r="A892" s="172"/>
      <c r="B892" s="386"/>
      <c r="E892" s="385"/>
    </row>
    <row r="893">
      <c r="A893" s="172"/>
      <c r="B893" s="386"/>
      <c r="E893" s="385"/>
    </row>
    <row r="894">
      <c r="A894" s="172"/>
      <c r="B894" s="386"/>
      <c r="E894" s="385"/>
    </row>
    <row r="895">
      <c r="A895" s="172"/>
      <c r="B895" s="386"/>
      <c r="E895" s="385"/>
    </row>
    <row r="896">
      <c r="A896" s="172"/>
      <c r="B896" s="386"/>
      <c r="E896" s="385"/>
    </row>
    <row r="897">
      <c r="A897" s="172"/>
      <c r="B897" s="386"/>
      <c r="E897" s="385"/>
    </row>
    <row r="898">
      <c r="A898" s="172"/>
      <c r="B898" s="386"/>
      <c r="E898" s="385"/>
    </row>
    <row r="899">
      <c r="A899" s="172"/>
      <c r="B899" s="386"/>
      <c r="E899" s="385"/>
    </row>
    <row r="900">
      <c r="A900" s="172"/>
      <c r="B900" s="386"/>
      <c r="E900" s="385"/>
    </row>
    <row r="901">
      <c r="A901" s="172"/>
      <c r="B901" s="386"/>
      <c r="E901" s="385"/>
    </row>
    <row r="902">
      <c r="A902" s="172"/>
      <c r="B902" s="386"/>
      <c r="E902" s="385"/>
    </row>
    <row r="903">
      <c r="A903" s="172"/>
      <c r="B903" s="386"/>
      <c r="E903" s="385"/>
    </row>
    <row r="904">
      <c r="A904" s="172"/>
      <c r="B904" s="386"/>
      <c r="E904" s="385"/>
    </row>
    <row r="905">
      <c r="A905" s="172"/>
      <c r="B905" s="386"/>
      <c r="E905" s="385"/>
    </row>
    <row r="906">
      <c r="A906" s="172"/>
      <c r="B906" s="386"/>
      <c r="E906" s="385"/>
    </row>
    <row r="907">
      <c r="A907" s="172"/>
      <c r="B907" s="386"/>
      <c r="E907" s="385"/>
    </row>
    <row r="908">
      <c r="A908" s="172"/>
      <c r="B908" s="386"/>
      <c r="E908" s="385"/>
    </row>
    <row r="909">
      <c r="A909" s="172"/>
      <c r="B909" s="386"/>
      <c r="E909" s="385"/>
    </row>
    <row r="910">
      <c r="A910" s="172"/>
      <c r="B910" s="386"/>
      <c r="E910" s="385"/>
    </row>
    <row r="911">
      <c r="A911" s="172"/>
      <c r="B911" s="386"/>
      <c r="E911" s="385"/>
    </row>
    <row r="912">
      <c r="A912" s="172"/>
      <c r="B912" s="386"/>
      <c r="E912" s="385"/>
    </row>
    <row r="913">
      <c r="A913" s="172"/>
      <c r="B913" s="386"/>
      <c r="E913" s="385"/>
    </row>
    <row r="914">
      <c r="A914" s="172"/>
      <c r="B914" s="386"/>
      <c r="E914" s="385"/>
    </row>
    <row r="915">
      <c r="A915" s="172"/>
      <c r="B915" s="386"/>
      <c r="E915" s="385"/>
    </row>
    <row r="916">
      <c r="A916" s="172"/>
      <c r="B916" s="386"/>
      <c r="E916" s="385"/>
    </row>
    <row r="917">
      <c r="A917" s="172"/>
      <c r="B917" s="386"/>
      <c r="E917" s="385"/>
    </row>
    <row r="918">
      <c r="A918" s="172"/>
      <c r="B918" s="386"/>
      <c r="E918" s="385"/>
    </row>
    <row r="919">
      <c r="A919" s="172"/>
      <c r="B919" s="386"/>
      <c r="E919" s="385"/>
    </row>
    <row r="920">
      <c r="A920" s="172"/>
      <c r="B920" s="386"/>
      <c r="E920" s="385"/>
    </row>
    <row r="921">
      <c r="A921" s="172"/>
      <c r="B921" s="386"/>
      <c r="E921" s="385"/>
    </row>
    <row r="922">
      <c r="A922" s="172"/>
      <c r="B922" s="386"/>
      <c r="E922" s="385"/>
    </row>
    <row r="923">
      <c r="A923" s="172"/>
      <c r="B923" s="386"/>
      <c r="E923" s="385"/>
    </row>
    <row r="924">
      <c r="A924" s="172"/>
      <c r="B924" s="386"/>
      <c r="E924" s="385"/>
    </row>
    <row r="925">
      <c r="A925" s="172"/>
      <c r="B925" s="386"/>
      <c r="E925" s="385"/>
    </row>
    <row r="926">
      <c r="A926" s="172"/>
      <c r="B926" s="386"/>
      <c r="E926" s="385"/>
    </row>
    <row r="927">
      <c r="A927" s="172"/>
      <c r="B927" s="386"/>
      <c r="E927" s="385"/>
    </row>
    <row r="928">
      <c r="A928" s="172"/>
      <c r="B928" s="386"/>
      <c r="E928" s="385"/>
    </row>
    <row r="929">
      <c r="A929" s="172"/>
      <c r="B929" s="386"/>
      <c r="E929" s="385"/>
    </row>
    <row r="930">
      <c r="A930" s="172"/>
      <c r="B930" s="386"/>
      <c r="E930" s="385"/>
    </row>
    <row r="931">
      <c r="A931" s="172"/>
      <c r="B931" s="386"/>
      <c r="E931" s="385"/>
    </row>
    <row r="932">
      <c r="A932" s="172"/>
      <c r="B932" s="386"/>
      <c r="E932" s="385"/>
    </row>
    <row r="933">
      <c r="A933" s="172"/>
      <c r="B933" s="386"/>
      <c r="E933" s="385"/>
    </row>
    <row r="934">
      <c r="A934" s="172"/>
      <c r="B934" s="386"/>
      <c r="E934" s="385"/>
    </row>
    <row r="935">
      <c r="A935" s="172"/>
      <c r="B935" s="386"/>
      <c r="E935" s="385"/>
    </row>
    <row r="936">
      <c r="A936" s="172"/>
      <c r="B936" s="386"/>
      <c r="E936" s="385"/>
    </row>
    <row r="937">
      <c r="A937" s="172"/>
      <c r="B937" s="386"/>
      <c r="E937" s="385"/>
    </row>
    <row r="938">
      <c r="A938" s="172"/>
      <c r="B938" s="386"/>
      <c r="E938" s="385"/>
    </row>
    <row r="939">
      <c r="A939" s="172"/>
      <c r="B939" s="386"/>
      <c r="E939" s="385"/>
    </row>
    <row r="940">
      <c r="A940" s="172"/>
      <c r="B940" s="386"/>
      <c r="E940" s="385"/>
    </row>
    <row r="941">
      <c r="A941" s="172"/>
      <c r="B941" s="386"/>
      <c r="E941" s="385"/>
    </row>
    <row r="942">
      <c r="A942" s="172"/>
      <c r="B942" s="386"/>
      <c r="E942" s="385"/>
    </row>
    <row r="943">
      <c r="A943" s="172"/>
      <c r="B943" s="386"/>
      <c r="E943" s="385"/>
    </row>
    <row r="944">
      <c r="A944" s="172"/>
      <c r="B944" s="386"/>
      <c r="E944" s="385"/>
    </row>
    <row r="945">
      <c r="A945" s="172"/>
      <c r="B945" s="386"/>
      <c r="E945" s="385"/>
    </row>
    <row r="946">
      <c r="A946" s="172"/>
      <c r="B946" s="386"/>
      <c r="E946" s="385"/>
    </row>
    <row r="947">
      <c r="A947" s="172"/>
      <c r="B947" s="386"/>
      <c r="E947" s="385"/>
    </row>
    <row r="948">
      <c r="A948" s="172"/>
      <c r="B948" s="386"/>
      <c r="E948" s="385"/>
    </row>
    <row r="949">
      <c r="A949" s="172"/>
      <c r="B949" s="386"/>
      <c r="E949" s="385"/>
    </row>
    <row r="950">
      <c r="A950" s="172"/>
      <c r="B950" s="386"/>
      <c r="E950" s="385"/>
    </row>
    <row r="951">
      <c r="A951" s="172"/>
      <c r="B951" s="386"/>
      <c r="E951" s="385"/>
    </row>
    <row r="952">
      <c r="A952" s="172"/>
      <c r="B952" s="386"/>
      <c r="E952" s="385"/>
    </row>
    <row r="953">
      <c r="A953" s="172"/>
      <c r="B953" s="386"/>
      <c r="E953" s="385"/>
    </row>
    <row r="954">
      <c r="A954" s="172"/>
      <c r="B954" s="386"/>
      <c r="E954" s="385"/>
    </row>
    <row r="955">
      <c r="A955" s="172"/>
      <c r="B955" s="386"/>
      <c r="E955" s="385"/>
    </row>
    <row r="956">
      <c r="A956" s="172"/>
      <c r="B956" s="386"/>
      <c r="E956" s="385"/>
    </row>
    <row r="957">
      <c r="A957" s="172"/>
      <c r="B957" s="386"/>
      <c r="E957" s="385"/>
    </row>
    <row r="958">
      <c r="A958" s="172"/>
      <c r="B958" s="386"/>
      <c r="E958" s="385"/>
    </row>
    <row r="959">
      <c r="A959" s="172"/>
      <c r="B959" s="386"/>
      <c r="E959" s="385"/>
    </row>
    <row r="960">
      <c r="A960" s="172"/>
      <c r="B960" s="386"/>
      <c r="E960" s="385"/>
    </row>
    <row r="961">
      <c r="A961" s="172"/>
      <c r="B961" s="386"/>
      <c r="E961" s="385"/>
    </row>
    <row r="962">
      <c r="A962" s="172"/>
      <c r="B962" s="386"/>
      <c r="E962" s="385"/>
    </row>
    <row r="963">
      <c r="A963" s="172"/>
      <c r="B963" s="386"/>
      <c r="E963" s="385"/>
    </row>
    <row r="964">
      <c r="A964" s="172"/>
      <c r="B964" s="386"/>
      <c r="E964" s="385"/>
    </row>
    <row r="965">
      <c r="A965" s="172"/>
      <c r="B965" s="386"/>
      <c r="E965" s="385"/>
    </row>
    <row r="966">
      <c r="A966" s="172"/>
      <c r="B966" s="386"/>
      <c r="E966" s="385"/>
    </row>
    <row r="967">
      <c r="A967" s="172"/>
      <c r="B967" s="386"/>
      <c r="E967" s="385"/>
    </row>
    <row r="968">
      <c r="A968" s="172"/>
      <c r="B968" s="386"/>
      <c r="E968" s="385"/>
    </row>
    <row r="969">
      <c r="A969" s="172"/>
      <c r="B969" s="386"/>
      <c r="E969" s="385"/>
    </row>
    <row r="970">
      <c r="A970" s="172"/>
      <c r="B970" s="386"/>
      <c r="E970" s="385"/>
    </row>
    <row r="971">
      <c r="A971" s="172"/>
      <c r="B971" s="386"/>
      <c r="E971" s="385"/>
    </row>
    <row r="972">
      <c r="A972" s="172"/>
      <c r="B972" s="386"/>
      <c r="E972" s="385"/>
    </row>
    <row r="973">
      <c r="A973" s="172"/>
      <c r="B973" s="386"/>
      <c r="E973" s="385"/>
    </row>
    <row r="974">
      <c r="A974" s="172"/>
      <c r="B974" s="386"/>
      <c r="E974" s="385"/>
    </row>
    <row r="975">
      <c r="A975" s="172"/>
      <c r="B975" s="386"/>
      <c r="E975" s="385"/>
    </row>
    <row r="976">
      <c r="A976" s="172"/>
      <c r="B976" s="386"/>
      <c r="E976" s="385"/>
    </row>
    <row r="977">
      <c r="A977" s="172"/>
      <c r="B977" s="386"/>
      <c r="E977" s="385"/>
    </row>
    <row r="978">
      <c r="A978" s="172"/>
      <c r="B978" s="386"/>
      <c r="E978" s="385"/>
    </row>
    <row r="979">
      <c r="A979" s="172"/>
      <c r="B979" s="386"/>
      <c r="E979" s="385"/>
    </row>
    <row r="980">
      <c r="A980" s="172"/>
      <c r="B980" s="386"/>
      <c r="E980" s="385"/>
    </row>
    <row r="981">
      <c r="A981" s="172"/>
      <c r="B981" s="386"/>
      <c r="E981" s="385"/>
    </row>
    <row r="982">
      <c r="A982" s="172"/>
      <c r="B982" s="386"/>
      <c r="E982" s="385"/>
    </row>
    <row r="983">
      <c r="A983" s="172"/>
      <c r="B983" s="386"/>
      <c r="E983" s="385"/>
    </row>
    <row r="984">
      <c r="A984" s="172"/>
      <c r="B984" s="386"/>
      <c r="E984" s="385"/>
    </row>
    <row r="985">
      <c r="A985" s="172"/>
      <c r="B985" s="386"/>
      <c r="E985" s="385"/>
    </row>
    <row r="986">
      <c r="A986" s="172"/>
      <c r="B986" s="386"/>
      <c r="E986" s="385"/>
    </row>
    <row r="987">
      <c r="A987" s="172"/>
      <c r="B987" s="386"/>
      <c r="E987" s="385"/>
    </row>
    <row r="988">
      <c r="A988" s="172"/>
      <c r="B988" s="386"/>
      <c r="E988" s="385"/>
    </row>
    <row r="989">
      <c r="A989" s="172"/>
      <c r="B989" s="386"/>
      <c r="E989" s="385"/>
    </row>
    <row r="990">
      <c r="A990" s="172"/>
      <c r="B990" s="386"/>
      <c r="E990" s="385"/>
    </row>
    <row r="991">
      <c r="A991" s="172"/>
      <c r="B991" s="386"/>
      <c r="E991" s="385"/>
    </row>
    <row r="992">
      <c r="A992" s="172"/>
      <c r="B992" s="386"/>
      <c r="E992" s="385"/>
    </row>
    <row r="993">
      <c r="A993" s="172"/>
      <c r="B993" s="386"/>
      <c r="E993" s="385"/>
    </row>
    <row r="994">
      <c r="A994" s="172"/>
      <c r="B994" s="386"/>
      <c r="E994" s="385"/>
    </row>
    <row r="995">
      <c r="A995" s="172"/>
      <c r="B995" s="386"/>
      <c r="E995" s="385"/>
    </row>
    <row r="996">
      <c r="A996" s="172"/>
      <c r="B996" s="386"/>
      <c r="E996" s="385"/>
    </row>
    <row r="997">
      <c r="A997" s="172"/>
      <c r="B997" s="386"/>
      <c r="E997" s="385"/>
    </row>
    <row r="998">
      <c r="A998" s="172"/>
      <c r="B998" s="386"/>
      <c r="E998" s="385"/>
    </row>
    <row r="999">
      <c r="A999" s="172"/>
      <c r="B999" s="386"/>
      <c r="E999" s="385"/>
    </row>
    <row r="1000">
      <c r="A1000" s="172"/>
      <c r="B1000" s="386"/>
      <c r="E1000" s="385"/>
    </row>
    <row r="1001">
      <c r="A1001" s="172"/>
      <c r="B1001" s="386"/>
      <c r="E1001" s="385"/>
    </row>
    <row r="1002">
      <c r="A1002" s="172"/>
      <c r="B1002" s="386"/>
      <c r="E1002" s="385"/>
    </row>
    <row r="1003">
      <c r="A1003" s="172"/>
      <c r="B1003" s="386"/>
      <c r="E1003" s="385"/>
    </row>
    <row r="1004">
      <c r="A1004" s="172"/>
      <c r="B1004" s="386"/>
      <c r="E1004" s="385"/>
    </row>
    <row r="1005">
      <c r="A1005" s="172"/>
      <c r="B1005" s="386"/>
      <c r="E1005" s="385"/>
    </row>
    <row r="1006">
      <c r="A1006" s="172"/>
      <c r="B1006" s="386"/>
      <c r="E1006" s="385"/>
    </row>
    <row r="1007">
      <c r="A1007" s="172"/>
      <c r="B1007" s="386"/>
      <c r="E1007" s="385"/>
    </row>
    <row r="1008">
      <c r="A1008" s="172"/>
      <c r="B1008" s="386"/>
      <c r="E1008" s="385"/>
    </row>
    <row r="1009">
      <c r="A1009" s="172"/>
      <c r="B1009" s="386"/>
      <c r="E1009" s="385"/>
    </row>
    <row r="1010">
      <c r="A1010" s="172"/>
      <c r="B1010" s="386"/>
      <c r="E1010" s="385"/>
    </row>
    <row r="1011">
      <c r="A1011" s="172"/>
      <c r="B1011" s="386"/>
      <c r="E1011" s="385"/>
    </row>
    <row r="1012">
      <c r="A1012" s="172"/>
      <c r="B1012" s="386"/>
      <c r="E1012" s="385"/>
    </row>
    <row r="1013">
      <c r="A1013" s="172"/>
      <c r="B1013" s="386"/>
      <c r="E1013" s="385"/>
    </row>
    <row r="1014">
      <c r="A1014" s="172"/>
      <c r="B1014" s="386"/>
      <c r="E1014" s="385"/>
    </row>
    <row r="1015">
      <c r="A1015" s="172"/>
      <c r="B1015" s="386"/>
      <c r="E1015" s="385"/>
    </row>
    <row r="1016">
      <c r="A1016" s="172"/>
      <c r="B1016" s="386"/>
      <c r="E1016" s="385"/>
    </row>
    <row r="1017">
      <c r="A1017" s="172"/>
      <c r="B1017" s="386"/>
      <c r="E1017" s="385"/>
    </row>
    <row r="1018">
      <c r="A1018" s="172"/>
      <c r="B1018" s="386"/>
      <c r="E1018" s="385"/>
    </row>
    <row r="1019">
      <c r="A1019" s="172"/>
      <c r="B1019" s="386"/>
      <c r="E1019" s="385"/>
    </row>
    <row r="1020">
      <c r="A1020" s="172"/>
      <c r="B1020" s="386"/>
      <c r="E1020" s="385"/>
    </row>
    <row r="1021">
      <c r="A1021" s="172"/>
      <c r="B1021" s="386"/>
      <c r="E1021" s="385"/>
    </row>
    <row r="1022">
      <c r="A1022" s="172"/>
      <c r="B1022" s="386"/>
      <c r="E1022" s="385"/>
    </row>
    <row r="1023">
      <c r="A1023" s="172"/>
      <c r="B1023" s="386"/>
      <c r="E1023" s="385"/>
    </row>
    <row r="1024">
      <c r="A1024" s="172"/>
      <c r="B1024" s="386"/>
      <c r="E1024" s="385"/>
    </row>
    <row r="1025">
      <c r="A1025" s="172"/>
      <c r="B1025" s="386"/>
      <c r="E1025" s="385"/>
    </row>
    <row r="1026">
      <c r="A1026" s="172"/>
      <c r="B1026" s="386"/>
      <c r="E1026" s="385"/>
    </row>
    <row r="1027">
      <c r="A1027" s="172"/>
      <c r="B1027" s="386"/>
      <c r="E1027" s="385"/>
    </row>
    <row r="1028">
      <c r="A1028" s="172"/>
      <c r="B1028" s="386"/>
      <c r="E1028" s="385"/>
    </row>
    <row r="1029">
      <c r="A1029" s="172"/>
      <c r="B1029" s="386"/>
      <c r="E1029" s="385"/>
    </row>
    <row r="1030">
      <c r="A1030" s="172"/>
      <c r="B1030" s="386"/>
      <c r="E1030" s="385"/>
    </row>
    <row r="1031">
      <c r="A1031" s="172"/>
      <c r="B1031" s="386"/>
      <c r="E1031" s="385"/>
    </row>
    <row r="1032">
      <c r="A1032" s="172"/>
      <c r="B1032" s="386"/>
      <c r="E1032" s="385"/>
    </row>
    <row r="1033">
      <c r="A1033" s="172"/>
      <c r="B1033" s="386"/>
      <c r="E1033" s="385"/>
    </row>
    <row r="1034">
      <c r="A1034" s="172"/>
      <c r="B1034" s="386"/>
      <c r="E1034" s="385"/>
    </row>
    <row r="1035">
      <c r="A1035" s="172"/>
      <c r="B1035" s="386"/>
      <c r="E1035" s="385"/>
    </row>
    <row r="1036">
      <c r="A1036" s="172"/>
      <c r="B1036" s="386"/>
      <c r="E1036" s="385"/>
    </row>
    <row r="1037">
      <c r="A1037" s="172"/>
      <c r="B1037" s="386"/>
      <c r="E1037" s="385"/>
    </row>
    <row r="1038">
      <c r="A1038" s="172"/>
      <c r="B1038" s="386"/>
      <c r="E1038" s="385"/>
    </row>
    <row r="1039">
      <c r="A1039" s="172"/>
      <c r="B1039" s="386"/>
      <c r="E1039" s="385"/>
    </row>
    <row r="1040">
      <c r="A1040" s="172"/>
      <c r="B1040" s="386"/>
      <c r="E1040" s="385"/>
    </row>
    <row r="1041">
      <c r="A1041" s="172"/>
      <c r="B1041" s="386"/>
      <c r="E1041" s="385"/>
    </row>
    <row r="1042">
      <c r="A1042" s="172"/>
      <c r="B1042" s="386"/>
      <c r="E1042" s="385"/>
    </row>
    <row r="1043">
      <c r="A1043" s="172"/>
      <c r="B1043" s="386"/>
      <c r="E1043" s="385"/>
    </row>
    <row r="1044">
      <c r="A1044" s="172"/>
      <c r="B1044" s="386"/>
      <c r="E1044" s="385"/>
    </row>
    <row r="1045">
      <c r="A1045" s="172"/>
      <c r="B1045" s="386"/>
      <c r="E1045" s="385"/>
    </row>
    <row r="1046">
      <c r="A1046" s="172"/>
      <c r="B1046" s="386"/>
      <c r="E1046" s="385"/>
    </row>
    <row r="1047">
      <c r="A1047" s="172"/>
      <c r="B1047" s="386"/>
      <c r="E1047" s="385"/>
    </row>
    <row r="1048">
      <c r="A1048" s="172"/>
      <c r="B1048" s="386"/>
      <c r="E1048" s="385"/>
    </row>
    <row r="1049">
      <c r="A1049" s="172"/>
      <c r="B1049" s="386"/>
      <c r="E1049" s="385"/>
    </row>
    <row r="1050">
      <c r="A1050" s="172"/>
      <c r="B1050" s="386"/>
      <c r="E1050" s="385"/>
    </row>
    <row r="1051">
      <c r="A1051" s="172"/>
      <c r="B1051" s="386"/>
      <c r="E1051" s="385"/>
    </row>
    <row r="1052">
      <c r="A1052" s="172"/>
      <c r="B1052" s="386"/>
      <c r="E1052" s="385"/>
    </row>
    <row r="1053">
      <c r="A1053" s="172"/>
      <c r="B1053" s="386"/>
      <c r="E1053" s="385"/>
    </row>
    <row r="1054">
      <c r="A1054" s="172"/>
      <c r="B1054" s="386"/>
      <c r="E1054" s="385"/>
    </row>
    <row r="1055">
      <c r="A1055" s="172"/>
      <c r="B1055" s="386"/>
      <c r="E1055" s="385"/>
    </row>
    <row r="1056">
      <c r="A1056" s="172"/>
      <c r="B1056" s="386"/>
      <c r="E1056" s="385"/>
    </row>
    <row r="1057">
      <c r="A1057" s="172"/>
      <c r="B1057" s="386"/>
      <c r="E1057" s="385"/>
    </row>
    <row r="1058">
      <c r="A1058" s="172"/>
      <c r="B1058" s="386"/>
      <c r="E1058" s="385"/>
    </row>
    <row r="1059">
      <c r="A1059" s="172"/>
      <c r="B1059" s="386"/>
      <c r="E1059" s="385"/>
    </row>
    <row r="1060">
      <c r="A1060" s="172"/>
      <c r="B1060" s="386"/>
      <c r="E1060" s="385"/>
    </row>
    <row r="1061">
      <c r="A1061" s="172"/>
      <c r="B1061" s="386"/>
      <c r="E1061" s="385"/>
    </row>
    <row r="1062">
      <c r="A1062" s="172"/>
      <c r="B1062" s="386"/>
      <c r="E1062" s="385"/>
    </row>
    <row r="1063">
      <c r="A1063" s="172"/>
      <c r="B1063" s="386"/>
      <c r="E1063" s="385"/>
    </row>
    <row r="1064">
      <c r="A1064" s="172"/>
      <c r="B1064" s="386"/>
      <c r="E1064" s="385"/>
    </row>
    <row r="1065">
      <c r="A1065" s="172"/>
      <c r="B1065" s="386"/>
      <c r="E1065" s="385"/>
    </row>
    <row r="1066">
      <c r="A1066" s="172"/>
      <c r="B1066" s="386"/>
      <c r="E1066" s="385"/>
    </row>
    <row r="1067">
      <c r="A1067" s="172"/>
      <c r="B1067" s="386"/>
      <c r="E1067" s="385"/>
    </row>
    <row r="1068">
      <c r="A1068" s="172"/>
      <c r="B1068" s="386"/>
      <c r="E1068" s="385"/>
    </row>
    <row r="1069">
      <c r="A1069" s="172"/>
      <c r="B1069" s="386"/>
      <c r="E1069" s="385"/>
    </row>
    <row r="1070">
      <c r="A1070" s="172"/>
      <c r="B1070" s="386"/>
      <c r="E1070" s="385"/>
    </row>
    <row r="1071">
      <c r="A1071" s="172"/>
      <c r="B1071" s="386"/>
      <c r="E1071" s="385"/>
    </row>
    <row r="1072">
      <c r="A1072" s="172"/>
      <c r="B1072" s="386"/>
      <c r="E1072" s="385"/>
    </row>
    <row r="1073">
      <c r="A1073" s="172"/>
      <c r="B1073" s="386"/>
      <c r="E1073" s="385"/>
    </row>
    <row r="1074">
      <c r="A1074" s="172"/>
      <c r="B1074" s="386"/>
      <c r="E1074" s="385"/>
    </row>
    <row r="1075">
      <c r="A1075" s="172"/>
      <c r="B1075" s="386"/>
      <c r="E1075" s="385"/>
    </row>
    <row r="1076">
      <c r="A1076" s="172"/>
      <c r="B1076" s="386"/>
      <c r="E1076" s="385"/>
    </row>
    <row r="1077">
      <c r="A1077" s="172"/>
      <c r="B1077" s="386"/>
      <c r="E1077" s="385"/>
    </row>
    <row r="1078">
      <c r="A1078" s="172"/>
      <c r="B1078" s="386"/>
      <c r="E1078" s="385"/>
    </row>
    <row r="1079">
      <c r="A1079" s="172"/>
      <c r="B1079" s="386"/>
      <c r="E1079" s="385"/>
    </row>
    <row r="1080">
      <c r="A1080" s="172"/>
      <c r="B1080" s="386"/>
      <c r="E1080" s="385"/>
    </row>
    <row r="1081">
      <c r="A1081" s="172"/>
      <c r="B1081" s="386"/>
      <c r="E1081" s="385"/>
    </row>
    <row r="1082">
      <c r="A1082" s="172"/>
      <c r="B1082" s="386"/>
      <c r="E1082" s="385"/>
    </row>
    <row r="1083">
      <c r="A1083" s="172"/>
      <c r="B1083" s="386"/>
      <c r="E1083" s="385"/>
    </row>
    <row r="1084">
      <c r="A1084" s="172"/>
      <c r="B1084" s="386"/>
      <c r="E1084" s="385"/>
    </row>
    <row r="1085">
      <c r="A1085" s="172"/>
      <c r="B1085" s="386"/>
      <c r="E1085" s="385"/>
    </row>
    <row r="1086">
      <c r="A1086" s="172"/>
      <c r="B1086" s="386"/>
      <c r="E1086" s="385"/>
    </row>
    <row r="1087">
      <c r="A1087" s="172"/>
      <c r="B1087" s="386"/>
      <c r="E1087" s="385"/>
    </row>
    <row r="1088">
      <c r="A1088" s="172"/>
      <c r="B1088" s="386"/>
      <c r="E1088" s="385"/>
    </row>
    <row r="1089">
      <c r="A1089" s="172"/>
      <c r="B1089" s="386"/>
      <c r="E1089" s="385"/>
    </row>
    <row r="1090">
      <c r="A1090" s="172"/>
      <c r="B1090" s="386"/>
      <c r="E1090" s="385"/>
    </row>
    <row r="1091">
      <c r="A1091" s="172"/>
      <c r="B1091" s="386"/>
      <c r="E1091" s="385"/>
    </row>
    <row r="1092">
      <c r="A1092" s="172"/>
      <c r="B1092" s="386"/>
      <c r="E1092" s="385"/>
    </row>
    <row r="1093">
      <c r="A1093" s="172"/>
      <c r="B1093" s="386"/>
      <c r="E1093" s="385"/>
    </row>
    <row r="1094">
      <c r="A1094" s="172"/>
      <c r="B1094" s="386"/>
      <c r="E1094" s="385"/>
    </row>
    <row r="1095">
      <c r="A1095" s="172"/>
      <c r="B1095" s="386"/>
      <c r="E1095" s="385"/>
    </row>
    <row r="1096">
      <c r="A1096" s="172"/>
      <c r="B1096" s="386"/>
      <c r="E1096" s="385"/>
    </row>
    <row r="1097">
      <c r="A1097" s="172"/>
      <c r="B1097" s="386"/>
      <c r="E1097" s="385"/>
    </row>
    <row r="1098">
      <c r="A1098" s="172"/>
      <c r="B1098" s="386"/>
      <c r="E1098" s="385"/>
    </row>
    <row r="1099">
      <c r="A1099" s="172"/>
      <c r="B1099" s="386"/>
      <c r="E1099" s="385"/>
    </row>
    <row r="1100">
      <c r="A1100" s="172"/>
      <c r="B1100" s="386"/>
      <c r="E1100" s="385"/>
    </row>
    <row r="1101">
      <c r="A1101" s="172"/>
      <c r="B1101" s="386"/>
      <c r="E1101" s="385"/>
    </row>
    <row r="1102">
      <c r="A1102" s="172"/>
      <c r="B1102" s="386"/>
      <c r="E1102" s="385"/>
    </row>
    <row r="1103">
      <c r="A1103" s="172"/>
      <c r="B1103" s="386"/>
      <c r="E1103" s="385"/>
    </row>
    <row r="1104">
      <c r="A1104" s="172"/>
      <c r="B1104" s="386"/>
      <c r="E1104" s="385"/>
    </row>
    <row r="1105">
      <c r="A1105" s="172"/>
      <c r="B1105" s="386"/>
      <c r="E1105" s="385"/>
    </row>
    <row r="1106">
      <c r="A1106" s="172"/>
      <c r="B1106" s="386"/>
      <c r="E1106" s="385"/>
    </row>
    <row r="1107">
      <c r="A1107" s="172"/>
      <c r="B1107" s="386"/>
      <c r="E1107" s="385"/>
    </row>
    <row r="1108">
      <c r="A1108" s="172"/>
      <c r="B1108" s="386"/>
      <c r="E1108" s="385"/>
    </row>
    <row r="1109">
      <c r="A1109" s="172"/>
      <c r="B1109" s="386"/>
      <c r="E1109" s="385"/>
    </row>
    <row r="1110">
      <c r="A1110" s="172"/>
      <c r="B1110" s="386"/>
      <c r="E1110" s="385"/>
    </row>
    <row r="1111">
      <c r="A1111" s="172"/>
      <c r="B1111" s="386"/>
      <c r="E1111" s="385"/>
    </row>
    <row r="1112">
      <c r="A1112" s="172"/>
      <c r="B1112" s="386"/>
      <c r="E1112" s="385"/>
    </row>
    <row r="1113">
      <c r="A1113" s="172"/>
      <c r="B1113" s="386"/>
      <c r="E1113" s="385"/>
    </row>
    <row r="1114">
      <c r="A1114" s="172"/>
      <c r="B1114" s="386"/>
      <c r="E1114" s="385"/>
    </row>
    <row r="1115">
      <c r="A1115" s="172"/>
      <c r="B1115" s="386"/>
      <c r="E1115" s="385"/>
    </row>
    <row r="1116">
      <c r="A1116" s="172"/>
      <c r="B1116" s="386"/>
      <c r="E1116" s="385"/>
    </row>
    <row r="1117">
      <c r="A1117" s="172"/>
      <c r="B1117" s="386"/>
      <c r="E1117" s="385"/>
    </row>
    <row r="1118">
      <c r="A1118" s="172"/>
      <c r="B1118" s="386"/>
      <c r="E1118" s="385"/>
    </row>
    <row r="1119">
      <c r="A1119" s="172"/>
      <c r="B1119" s="386"/>
      <c r="E1119" s="385"/>
    </row>
    <row r="1120">
      <c r="A1120" s="172"/>
      <c r="B1120" s="386"/>
      <c r="E1120" s="385"/>
    </row>
    <row r="1121">
      <c r="A1121" s="172"/>
      <c r="B1121" s="386"/>
      <c r="E1121" s="385"/>
    </row>
    <row r="1122">
      <c r="A1122" s="172"/>
      <c r="B1122" s="386"/>
      <c r="E1122" s="385"/>
    </row>
    <row r="1123">
      <c r="A1123" s="172"/>
      <c r="B1123" s="386"/>
      <c r="E1123" s="385"/>
    </row>
    <row r="1124">
      <c r="A1124" s="172"/>
      <c r="B1124" s="386"/>
      <c r="E1124" s="385"/>
    </row>
    <row r="1125">
      <c r="A1125" s="172"/>
      <c r="B1125" s="386"/>
      <c r="E1125" s="385"/>
    </row>
    <row r="1126">
      <c r="A1126" s="172"/>
      <c r="B1126" s="386"/>
      <c r="E1126" s="385"/>
    </row>
    <row r="1127">
      <c r="A1127" s="172"/>
      <c r="B1127" s="386"/>
      <c r="E1127" s="385"/>
    </row>
    <row r="1128">
      <c r="A1128" s="172"/>
      <c r="B1128" s="386"/>
      <c r="E1128" s="385"/>
    </row>
    <row r="1129">
      <c r="A1129" s="172"/>
      <c r="B1129" s="386"/>
      <c r="E1129" s="385"/>
    </row>
    <row r="1130">
      <c r="A1130" s="172"/>
      <c r="B1130" s="386"/>
      <c r="E1130" s="385"/>
    </row>
    <row r="1131">
      <c r="A1131" s="172"/>
      <c r="B1131" s="386"/>
      <c r="E1131" s="385"/>
    </row>
    <row r="1132">
      <c r="A1132" s="172"/>
      <c r="B1132" s="386"/>
      <c r="E1132" s="385"/>
    </row>
    <row r="1133">
      <c r="A1133" s="172"/>
      <c r="B1133" s="386"/>
      <c r="E1133" s="385"/>
    </row>
    <row r="1134">
      <c r="A1134" s="172"/>
      <c r="B1134" s="386"/>
      <c r="E1134" s="385"/>
    </row>
    <row r="1135">
      <c r="A1135" s="172"/>
      <c r="B1135" s="386"/>
      <c r="E1135" s="385"/>
    </row>
    <row r="1136">
      <c r="A1136" s="172"/>
      <c r="B1136" s="386"/>
      <c r="E1136" s="385"/>
    </row>
    <row r="1137">
      <c r="A1137" s="172"/>
      <c r="B1137" s="386"/>
      <c r="E1137" s="385"/>
    </row>
    <row r="1138">
      <c r="A1138" s="172"/>
      <c r="B1138" s="386"/>
      <c r="E1138" s="385"/>
    </row>
    <row r="1139">
      <c r="A1139" s="172"/>
      <c r="B1139" s="386"/>
      <c r="E1139" s="385"/>
    </row>
    <row r="1140">
      <c r="A1140" s="172"/>
      <c r="B1140" s="386"/>
      <c r="E1140" s="385"/>
    </row>
    <row r="1141">
      <c r="A1141" s="172"/>
      <c r="B1141" s="386"/>
      <c r="E1141" s="385"/>
    </row>
    <row r="1142">
      <c r="A1142" s="172"/>
      <c r="B1142" s="386"/>
      <c r="E1142" s="385"/>
    </row>
    <row r="1143">
      <c r="A1143" s="172"/>
      <c r="B1143" s="386"/>
      <c r="E1143" s="385"/>
    </row>
    <row r="1144">
      <c r="A1144" s="172"/>
      <c r="B1144" s="386"/>
      <c r="E1144" s="385"/>
    </row>
    <row r="1145">
      <c r="A1145" s="172"/>
      <c r="B1145" s="386"/>
      <c r="E1145" s="385"/>
    </row>
    <row r="1146">
      <c r="A1146" s="172"/>
      <c r="B1146" s="386"/>
      <c r="E1146" s="385"/>
    </row>
    <row r="1147">
      <c r="A1147" s="172"/>
      <c r="B1147" s="386"/>
      <c r="E1147" s="385"/>
    </row>
    <row r="1148">
      <c r="A1148" s="172"/>
      <c r="B1148" s="386"/>
      <c r="E1148" s="385"/>
    </row>
    <row r="1149">
      <c r="A1149" s="172"/>
      <c r="B1149" s="386"/>
      <c r="E1149" s="385"/>
    </row>
    <row r="1150">
      <c r="A1150" s="172"/>
      <c r="B1150" s="386"/>
      <c r="E1150" s="385"/>
    </row>
    <row r="1151">
      <c r="A1151" s="172"/>
      <c r="B1151" s="386"/>
      <c r="E1151" s="385"/>
    </row>
    <row r="1152">
      <c r="A1152" s="172"/>
      <c r="B1152" s="386"/>
      <c r="E1152" s="385"/>
    </row>
    <row r="1153">
      <c r="A1153" s="172"/>
      <c r="B1153" s="386"/>
      <c r="E1153" s="385"/>
    </row>
    <row r="1154">
      <c r="A1154" s="172"/>
      <c r="B1154" s="386"/>
      <c r="E1154" s="385"/>
    </row>
    <row r="1155">
      <c r="A1155" s="172"/>
      <c r="B1155" s="386"/>
      <c r="E1155" s="385"/>
    </row>
    <row r="1156">
      <c r="A1156" s="172"/>
      <c r="B1156" s="386"/>
      <c r="E1156" s="385"/>
    </row>
    <row r="1157">
      <c r="A1157" s="172"/>
      <c r="B1157" s="386"/>
      <c r="E1157" s="385"/>
    </row>
    <row r="1158">
      <c r="A1158" s="172"/>
      <c r="B1158" s="386"/>
      <c r="E1158" s="385"/>
    </row>
    <row r="1159">
      <c r="A1159" s="172"/>
      <c r="B1159" s="386"/>
      <c r="E1159" s="385"/>
    </row>
    <row r="1160">
      <c r="A1160" s="172"/>
      <c r="B1160" s="386"/>
      <c r="E1160" s="385"/>
    </row>
    <row r="1161">
      <c r="A1161" s="172"/>
      <c r="B1161" s="386"/>
      <c r="E1161" s="385"/>
    </row>
    <row r="1162">
      <c r="A1162" s="172"/>
      <c r="B1162" s="386"/>
      <c r="E1162" s="385"/>
    </row>
    <row r="1163">
      <c r="A1163" s="172"/>
      <c r="B1163" s="386"/>
      <c r="E1163" s="385"/>
    </row>
    <row r="1164">
      <c r="A1164" s="172"/>
      <c r="B1164" s="386"/>
      <c r="E1164" s="385"/>
    </row>
    <row r="1165">
      <c r="A1165" s="172"/>
      <c r="B1165" s="386"/>
      <c r="E1165" s="385"/>
    </row>
    <row r="1166">
      <c r="A1166" s="172"/>
      <c r="B1166" s="386"/>
      <c r="E1166" s="385"/>
    </row>
    <row r="1167">
      <c r="A1167" s="172"/>
      <c r="B1167" s="386"/>
      <c r="E1167" s="385"/>
    </row>
    <row r="1168">
      <c r="A1168" s="172"/>
      <c r="B1168" s="386"/>
      <c r="E1168" s="385"/>
    </row>
    <row r="1169">
      <c r="A1169" s="172"/>
      <c r="B1169" s="386"/>
      <c r="E1169" s="385"/>
    </row>
    <row r="1170">
      <c r="A1170" s="172"/>
      <c r="B1170" s="386"/>
      <c r="E1170" s="385"/>
    </row>
    <row r="1171">
      <c r="A1171" s="172"/>
      <c r="B1171" s="386"/>
      <c r="E1171" s="385"/>
    </row>
    <row r="1172">
      <c r="A1172" s="172"/>
      <c r="B1172" s="386"/>
      <c r="E1172" s="385"/>
    </row>
    <row r="1173">
      <c r="A1173" s="172"/>
      <c r="B1173" s="386"/>
      <c r="E1173" s="385"/>
    </row>
    <row r="1174">
      <c r="A1174" s="172"/>
      <c r="B1174" s="386"/>
      <c r="E1174" s="385"/>
    </row>
    <row r="1175">
      <c r="A1175" s="172"/>
      <c r="B1175" s="386"/>
      <c r="E1175" s="385"/>
    </row>
    <row r="1176">
      <c r="A1176" s="172"/>
      <c r="B1176" s="386"/>
      <c r="E1176" s="385"/>
    </row>
    <row r="1177">
      <c r="A1177" s="172"/>
      <c r="B1177" s="386"/>
      <c r="E1177" s="385"/>
    </row>
    <row r="1178">
      <c r="A1178" s="172"/>
      <c r="B1178" s="386"/>
      <c r="E1178" s="385"/>
    </row>
    <row r="1179">
      <c r="A1179" s="172"/>
      <c r="B1179" s="386"/>
      <c r="E1179" s="385"/>
    </row>
    <row r="1180">
      <c r="A1180" s="172"/>
      <c r="B1180" s="386"/>
      <c r="E1180" s="385"/>
    </row>
    <row r="1181">
      <c r="A1181" s="172"/>
      <c r="B1181" s="386"/>
      <c r="E1181" s="385"/>
    </row>
    <row r="1182">
      <c r="A1182" s="172"/>
      <c r="B1182" s="386"/>
      <c r="E1182" s="385"/>
    </row>
    <row r="1183">
      <c r="A1183" s="172"/>
      <c r="B1183" s="386"/>
      <c r="E1183" s="385"/>
    </row>
    <row r="1184">
      <c r="A1184" s="172"/>
      <c r="B1184" s="386"/>
      <c r="E1184" s="385"/>
    </row>
    <row r="1185">
      <c r="A1185" s="172"/>
      <c r="B1185" s="386"/>
      <c r="E1185" s="385"/>
    </row>
    <row r="1186">
      <c r="A1186" s="172"/>
      <c r="B1186" s="386"/>
      <c r="E1186" s="385"/>
    </row>
    <row r="1187">
      <c r="A1187" s="172"/>
      <c r="B1187" s="386"/>
      <c r="E1187" s="385"/>
    </row>
    <row r="1188">
      <c r="A1188" s="172"/>
      <c r="B1188" s="386"/>
      <c r="E1188" s="385"/>
    </row>
    <row r="1189">
      <c r="A1189" s="172"/>
      <c r="B1189" s="386"/>
      <c r="E1189" s="385"/>
    </row>
    <row r="1190">
      <c r="A1190" s="172"/>
      <c r="B1190" s="386"/>
      <c r="E1190" s="385"/>
    </row>
    <row r="1191">
      <c r="A1191" s="172"/>
      <c r="B1191" s="386"/>
      <c r="E1191" s="385"/>
    </row>
    <row r="1192">
      <c r="A1192" s="172"/>
      <c r="B1192" s="386"/>
      <c r="E1192" s="385"/>
    </row>
    <row r="1193">
      <c r="A1193" s="172"/>
      <c r="B1193" s="386"/>
      <c r="E1193" s="385"/>
    </row>
    <row r="1194">
      <c r="A1194" s="172"/>
      <c r="B1194" s="386"/>
      <c r="E1194" s="385"/>
    </row>
    <row r="1195">
      <c r="A1195" s="172"/>
      <c r="B1195" s="386"/>
      <c r="E1195" s="385"/>
    </row>
    <row r="1196">
      <c r="A1196" s="172"/>
      <c r="B1196" s="386"/>
      <c r="E1196" s="385"/>
    </row>
    <row r="1197">
      <c r="A1197" s="172"/>
      <c r="B1197" s="386"/>
      <c r="E1197" s="385"/>
    </row>
    <row r="1198">
      <c r="A1198" s="172"/>
      <c r="B1198" s="386"/>
      <c r="E1198" s="385"/>
    </row>
    <row r="1199">
      <c r="A1199" s="172"/>
      <c r="B1199" s="386"/>
      <c r="E1199" s="385"/>
    </row>
    <row r="1200">
      <c r="A1200" s="172"/>
      <c r="B1200" s="386"/>
      <c r="E1200" s="385"/>
    </row>
    <row r="1201">
      <c r="A1201" s="172"/>
      <c r="B1201" s="386"/>
      <c r="E1201" s="385"/>
    </row>
    <row r="1202">
      <c r="A1202" s="172"/>
      <c r="B1202" s="386"/>
      <c r="E1202" s="385"/>
    </row>
    <row r="1203">
      <c r="A1203" s="172"/>
      <c r="B1203" s="386"/>
      <c r="E1203" s="385"/>
    </row>
    <row r="1204">
      <c r="A1204" s="172"/>
      <c r="B1204" s="386"/>
      <c r="E1204" s="385"/>
    </row>
    <row r="1205">
      <c r="A1205" s="172"/>
      <c r="B1205" s="386"/>
      <c r="E1205" s="385"/>
    </row>
    <row r="1206">
      <c r="A1206" s="172"/>
      <c r="B1206" s="386"/>
      <c r="E1206" s="385"/>
    </row>
    <row r="1207">
      <c r="A1207" s="172"/>
      <c r="B1207" s="386"/>
      <c r="E1207" s="385"/>
    </row>
    <row r="1208">
      <c r="A1208" s="172"/>
      <c r="B1208" s="386"/>
      <c r="E1208" s="385"/>
    </row>
    <row r="1209">
      <c r="A1209" s="172"/>
      <c r="B1209" s="386"/>
      <c r="E1209" s="385"/>
    </row>
    <row r="1210">
      <c r="A1210" s="172"/>
      <c r="B1210" s="386"/>
      <c r="E1210" s="385"/>
    </row>
    <row r="1211">
      <c r="A1211" s="172"/>
      <c r="B1211" s="386"/>
      <c r="E1211" s="385"/>
    </row>
    <row r="1212">
      <c r="A1212" s="172"/>
      <c r="B1212" s="386"/>
      <c r="E1212" s="385"/>
    </row>
    <row r="1213">
      <c r="A1213" s="172"/>
      <c r="B1213" s="386"/>
      <c r="E1213" s="385"/>
    </row>
    <row r="1214">
      <c r="A1214" s="172"/>
      <c r="B1214" s="386"/>
      <c r="E1214" s="385"/>
    </row>
    <row r="1215">
      <c r="A1215" s="172"/>
      <c r="B1215" s="386"/>
      <c r="E1215" s="385"/>
    </row>
    <row r="1216">
      <c r="A1216" s="172"/>
      <c r="B1216" s="386"/>
      <c r="E1216" s="385"/>
    </row>
    <row r="1217">
      <c r="A1217" s="172"/>
      <c r="B1217" s="386"/>
      <c r="E1217" s="385"/>
    </row>
    <row r="1218">
      <c r="A1218" s="172"/>
      <c r="B1218" s="386"/>
      <c r="E1218" s="385"/>
    </row>
    <row r="1219">
      <c r="A1219" s="172"/>
      <c r="B1219" s="386"/>
      <c r="E1219" s="385"/>
    </row>
    <row r="1220">
      <c r="A1220" s="172"/>
      <c r="B1220" s="386"/>
      <c r="E1220" s="385"/>
    </row>
    <row r="1221">
      <c r="A1221" s="172"/>
      <c r="B1221" s="386"/>
      <c r="E1221" s="385"/>
    </row>
    <row r="1222">
      <c r="A1222" s="172"/>
      <c r="B1222" s="386"/>
      <c r="E1222" s="385"/>
    </row>
    <row r="1223">
      <c r="A1223" s="172"/>
      <c r="B1223" s="386"/>
      <c r="E1223" s="385"/>
    </row>
    <row r="1224">
      <c r="A1224" s="172"/>
      <c r="B1224" s="386"/>
      <c r="E1224" s="385"/>
    </row>
    <row r="1225">
      <c r="A1225" s="172"/>
      <c r="B1225" s="386"/>
      <c r="E1225" s="385"/>
    </row>
    <row r="1226">
      <c r="A1226" s="172"/>
      <c r="B1226" s="386"/>
      <c r="E1226" s="385"/>
    </row>
    <row r="1227">
      <c r="A1227" s="172"/>
      <c r="B1227" s="386"/>
      <c r="E1227" s="385"/>
    </row>
    <row r="1228">
      <c r="A1228" s="172"/>
      <c r="B1228" s="386"/>
      <c r="E1228" s="385"/>
    </row>
    <row r="1229">
      <c r="A1229" s="172"/>
      <c r="B1229" s="386"/>
      <c r="E1229" s="385"/>
    </row>
    <row r="1230">
      <c r="A1230" s="172"/>
      <c r="B1230" s="386"/>
      <c r="E1230" s="385"/>
    </row>
    <row r="1231">
      <c r="A1231" s="172"/>
      <c r="B1231" s="386"/>
      <c r="E1231" s="385"/>
    </row>
    <row r="1232">
      <c r="A1232" s="172"/>
      <c r="B1232" s="386"/>
      <c r="E1232" s="385"/>
    </row>
    <row r="1233">
      <c r="A1233" s="172"/>
      <c r="B1233" s="386"/>
      <c r="E1233" s="385"/>
    </row>
    <row r="1234">
      <c r="A1234" s="172"/>
      <c r="B1234" s="386"/>
      <c r="E1234" s="385"/>
    </row>
    <row r="1235">
      <c r="A1235" s="172"/>
      <c r="B1235" s="386"/>
      <c r="E1235" s="385"/>
    </row>
    <row r="1236">
      <c r="A1236" s="172"/>
      <c r="B1236" s="386"/>
      <c r="E1236" s="385"/>
    </row>
    <row r="1237">
      <c r="A1237" s="172"/>
      <c r="B1237" s="386"/>
      <c r="E1237" s="385"/>
    </row>
    <row r="1238">
      <c r="A1238" s="172"/>
      <c r="B1238" s="386"/>
      <c r="E1238" s="385"/>
    </row>
    <row r="1239">
      <c r="A1239" s="172"/>
      <c r="B1239" s="386"/>
      <c r="E1239" s="385"/>
    </row>
    <row r="1240">
      <c r="A1240" s="172"/>
      <c r="B1240" s="386"/>
      <c r="E1240" s="385"/>
    </row>
    <row r="1241">
      <c r="A1241" s="172"/>
      <c r="B1241" s="386"/>
      <c r="E1241" s="385"/>
    </row>
    <row r="1242">
      <c r="A1242" s="172"/>
      <c r="B1242" s="386"/>
      <c r="E1242" s="385"/>
    </row>
    <row r="1243">
      <c r="A1243" s="172"/>
      <c r="B1243" s="386"/>
      <c r="E1243" s="385"/>
    </row>
    <row r="1244">
      <c r="A1244" s="172"/>
      <c r="B1244" s="386"/>
      <c r="E1244" s="385"/>
    </row>
    <row r="1245">
      <c r="A1245" s="172"/>
      <c r="B1245" s="386"/>
      <c r="E1245" s="385"/>
    </row>
    <row r="1246">
      <c r="A1246" s="172"/>
      <c r="B1246" s="386"/>
      <c r="E1246" s="385"/>
    </row>
    <row r="1247">
      <c r="A1247" s="172"/>
      <c r="B1247" s="386"/>
      <c r="E1247" s="385"/>
    </row>
    <row r="1248">
      <c r="A1248" s="172"/>
      <c r="B1248" s="386"/>
      <c r="E1248" s="385"/>
    </row>
    <row r="1249">
      <c r="A1249" s="172"/>
      <c r="B1249" s="386"/>
      <c r="E1249" s="385"/>
    </row>
    <row r="1250">
      <c r="A1250" s="172"/>
      <c r="B1250" s="386"/>
      <c r="E1250" s="385"/>
    </row>
    <row r="1251">
      <c r="A1251" s="172"/>
      <c r="B1251" s="386"/>
      <c r="E1251" s="385"/>
    </row>
    <row r="1252">
      <c r="A1252" s="172"/>
      <c r="B1252" s="386"/>
      <c r="E1252" s="385"/>
    </row>
    <row r="1253">
      <c r="A1253" s="172"/>
      <c r="B1253" s="386"/>
      <c r="E1253" s="385"/>
    </row>
    <row r="1254">
      <c r="A1254" s="172"/>
      <c r="B1254" s="386"/>
      <c r="E1254" s="385"/>
    </row>
    <row r="1255">
      <c r="A1255" s="172"/>
      <c r="B1255" s="386"/>
      <c r="E1255" s="385"/>
    </row>
    <row r="1256">
      <c r="A1256" s="172"/>
      <c r="B1256" s="386"/>
      <c r="E1256" s="385"/>
    </row>
    <row r="1257">
      <c r="A1257" s="172"/>
      <c r="B1257" s="386"/>
      <c r="E1257" s="385"/>
    </row>
    <row r="1258">
      <c r="A1258" s="172"/>
      <c r="B1258" s="386"/>
      <c r="E1258" s="385"/>
    </row>
    <row r="1259">
      <c r="A1259" s="172"/>
      <c r="B1259" s="386"/>
      <c r="E1259" s="385"/>
    </row>
    <row r="1260">
      <c r="A1260" s="172"/>
      <c r="B1260" s="386"/>
      <c r="E1260" s="385"/>
    </row>
    <row r="1261">
      <c r="A1261" s="172"/>
      <c r="B1261" s="386"/>
      <c r="E1261" s="385"/>
    </row>
    <row r="1262">
      <c r="A1262" s="172"/>
      <c r="B1262" s="386"/>
      <c r="E1262" s="385"/>
    </row>
    <row r="1263">
      <c r="A1263" s="172"/>
      <c r="B1263" s="386"/>
      <c r="E1263" s="385"/>
    </row>
    <row r="1264">
      <c r="A1264" s="172"/>
      <c r="B1264" s="386"/>
      <c r="E1264" s="385"/>
    </row>
    <row r="1265">
      <c r="A1265" s="172"/>
      <c r="B1265" s="386"/>
      <c r="E1265" s="385"/>
    </row>
    <row r="1266">
      <c r="A1266" s="172"/>
      <c r="B1266" s="386"/>
      <c r="E1266" s="385"/>
    </row>
    <row r="1267">
      <c r="A1267" s="172"/>
      <c r="B1267" s="386"/>
      <c r="E1267" s="385"/>
    </row>
    <row r="1268">
      <c r="A1268" s="172"/>
      <c r="B1268" s="386"/>
      <c r="E1268" s="385"/>
    </row>
    <row r="1269">
      <c r="A1269" s="172"/>
      <c r="B1269" s="386"/>
      <c r="E1269" s="385"/>
    </row>
    <row r="1270">
      <c r="A1270" s="172"/>
      <c r="B1270" s="386"/>
      <c r="E1270" s="385"/>
    </row>
    <row r="1271">
      <c r="A1271" s="172"/>
      <c r="B1271" s="386"/>
      <c r="E1271" s="385"/>
    </row>
    <row r="1272">
      <c r="A1272" s="172"/>
      <c r="B1272" s="386"/>
      <c r="E1272" s="385"/>
    </row>
    <row r="1273">
      <c r="A1273" s="172"/>
      <c r="B1273" s="386"/>
      <c r="E1273" s="385"/>
    </row>
    <row r="1274">
      <c r="A1274" s="172"/>
      <c r="B1274" s="386"/>
      <c r="E1274" s="385"/>
    </row>
    <row r="1275">
      <c r="A1275" s="172"/>
      <c r="B1275" s="386"/>
      <c r="E1275" s="385"/>
    </row>
    <row r="1276">
      <c r="A1276" s="172"/>
      <c r="B1276" s="386"/>
      <c r="E1276" s="385"/>
    </row>
    <row r="1277">
      <c r="A1277" s="172"/>
      <c r="B1277" s="386"/>
      <c r="E1277" s="385"/>
    </row>
    <row r="1278">
      <c r="A1278" s="172"/>
      <c r="B1278" s="386"/>
      <c r="E1278" s="385"/>
    </row>
    <row r="1279">
      <c r="A1279" s="172"/>
      <c r="B1279" s="386"/>
      <c r="E1279" s="385"/>
    </row>
    <row r="1280">
      <c r="A1280" s="172"/>
      <c r="B1280" s="386"/>
      <c r="E1280" s="385"/>
    </row>
    <row r="1281">
      <c r="A1281" s="172"/>
      <c r="B1281" s="386"/>
      <c r="E1281" s="385"/>
    </row>
    <row r="1282">
      <c r="A1282" s="172"/>
      <c r="B1282" s="386"/>
      <c r="E1282" s="385"/>
    </row>
    <row r="1283">
      <c r="A1283" s="172"/>
      <c r="B1283" s="386"/>
      <c r="E1283" s="385"/>
    </row>
    <row r="1284">
      <c r="A1284" s="172"/>
      <c r="B1284" s="386"/>
      <c r="E1284" s="385"/>
    </row>
    <row r="1285">
      <c r="A1285" s="172"/>
      <c r="B1285" s="386"/>
      <c r="E1285" s="385"/>
    </row>
    <row r="1286">
      <c r="A1286" s="172"/>
      <c r="B1286" s="386"/>
      <c r="E1286" s="385"/>
    </row>
    <row r="1287">
      <c r="A1287" s="172"/>
      <c r="B1287" s="386"/>
      <c r="E1287" s="385"/>
    </row>
    <row r="1288">
      <c r="A1288" s="172"/>
      <c r="B1288" s="386"/>
      <c r="E1288" s="385"/>
    </row>
    <row r="1289">
      <c r="A1289" s="172"/>
      <c r="B1289" s="386"/>
      <c r="E1289" s="385"/>
    </row>
    <row r="1290">
      <c r="A1290" s="172"/>
      <c r="B1290" s="386"/>
      <c r="E1290" s="385"/>
    </row>
    <row r="1291">
      <c r="A1291" s="172"/>
      <c r="B1291" s="386"/>
      <c r="E1291" s="385"/>
    </row>
    <row r="1292">
      <c r="A1292" s="172"/>
      <c r="B1292" s="386"/>
      <c r="E1292" s="385"/>
    </row>
    <row r="1293">
      <c r="A1293" s="172"/>
      <c r="B1293" s="386"/>
      <c r="E1293" s="385"/>
    </row>
    <row r="1294">
      <c r="A1294" s="172"/>
      <c r="B1294" s="386"/>
      <c r="E1294" s="385"/>
    </row>
    <row r="1295">
      <c r="A1295" s="172"/>
      <c r="B1295" s="386"/>
      <c r="E1295" s="385"/>
    </row>
    <row r="1296">
      <c r="A1296" s="172"/>
      <c r="B1296" s="386"/>
      <c r="E1296" s="385"/>
    </row>
    <row r="1297">
      <c r="A1297" s="172"/>
      <c r="B1297" s="386"/>
      <c r="E1297" s="385"/>
    </row>
    <row r="1298">
      <c r="A1298" s="172"/>
      <c r="B1298" s="386"/>
      <c r="E1298" s="385"/>
    </row>
    <row r="1299">
      <c r="A1299" s="172"/>
      <c r="B1299" s="386"/>
      <c r="E1299" s="385"/>
    </row>
    <row r="1300">
      <c r="A1300" s="172"/>
      <c r="B1300" s="386"/>
      <c r="E1300" s="385"/>
    </row>
    <row r="1301">
      <c r="A1301" s="172"/>
      <c r="B1301" s="386"/>
      <c r="E1301" s="385"/>
    </row>
    <row r="1302">
      <c r="A1302" s="172"/>
      <c r="B1302" s="386"/>
      <c r="E1302" s="385"/>
    </row>
    <row r="1303">
      <c r="A1303" s="172"/>
      <c r="B1303" s="386"/>
      <c r="E1303" s="385"/>
    </row>
    <row r="1304">
      <c r="A1304" s="172"/>
      <c r="B1304" s="386"/>
      <c r="E1304" s="385"/>
    </row>
    <row r="1305">
      <c r="A1305" s="172"/>
      <c r="B1305" s="386"/>
      <c r="E1305" s="385"/>
    </row>
    <row r="1306">
      <c r="A1306" s="172"/>
      <c r="B1306" s="386"/>
      <c r="E1306" s="385"/>
    </row>
    <row r="1307">
      <c r="A1307" s="172"/>
      <c r="B1307" s="386"/>
      <c r="E1307" s="385"/>
    </row>
    <row r="1308">
      <c r="A1308" s="172"/>
      <c r="B1308" s="386"/>
      <c r="E1308" s="385"/>
    </row>
    <row r="1309">
      <c r="A1309" s="172"/>
      <c r="B1309" s="386"/>
      <c r="E1309" s="385"/>
    </row>
    <row r="1310">
      <c r="A1310" s="172"/>
      <c r="B1310" s="386"/>
      <c r="E1310" s="385"/>
    </row>
    <row r="1311">
      <c r="A1311" s="172"/>
      <c r="B1311" s="386"/>
      <c r="E1311" s="385"/>
    </row>
    <row r="1312">
      <c r="A1312" s="172"/>
      <c r="B1312" s="386"/>
      <c r="E1312" s="385"/>
    </row>
    <row r="1313">
      <c r="A1313" s="172"/>
      <c r="B1313" s="386"/>
      <c r="E1313" s="385"/>
    </row>
    <row r="1314">
      <c r="A1314" s="172"/>
      <c r="B1314" s="386"/>
      <c r="E1314" s="385"/>
    </row>
    <row r="1315">
      <c r="A1315" s="172"/>
      <c r="B1315" s="386"/>
      <c r="E1315" s="385"/>
    </row>
    <row r="1316">
      <c r="A1316" s="172"/>
      <c r="B1316" s="386"/>
      <c r="E1316" s="385"/>
    </row>
    <row r="1317">
      <c r="A1317" s="172"/>
      <c r="B1317" s="386"/>
      <c r="E1317" s="385"/>
    </row>
    <row r="1318">
      <c r="A1318" s="172"/>
      <c r="B1318" s="386"/>
      <c r="E1318" s="385"/>
    </row>
    <row r="1319">
      <c r="A1319" s="172"/>
      <c r="B1319" s="386"/>
      <c r="E1319" s="385"/>
    </row>
    <row r="1320">
      <c r="A1320" s="172"/>
      <c r="B1320" s="386"/>
      <c r="E1320" s="385"/>
    </row>
    <row r="1321">
      <c r="A1321" s="172"/>
      <c r="B1321" s="386"/>
      <c r="E1321" s="385"/>
    </row>
    <row r="1322">
      <c r="A1322" s="172"/>
      <c r="B1322" s="386"/>
      <c r="E1322" s="385"/>
    </row>
    <row r="1323">
      <c r="A1323" s="172"/>
      <c r="B1323" s="386"/>
      <c r="E1323" s="385"/>
    </row>
    <row r="1324">
      <c r="A1324" s="172"/>
      <c r="B1324" s="386"/>
      <c r="E1324" s="385"/>
    </row>
    <row r="1325">
      <c r="A1325" s="172"/>
      <c r="B1325" s="386"/>
      <c r="E1325" s="385"/>
    </row>
    <row r="1326">
      <c r="A1326" s="172"/>
      <c r="B1326" s="386"/>
      <c r="E1326" s="385"/>
    </row>
    <row r="1327">
      <c r="A1327" s="172"/>
      <c r="B1327" s="386"/>
      <c r="E1327" s="385"/>
    </row>
    <row r="1328">
      <c r="A1328" s="172"/>
      <c r="B1328" s="386"/>
      <c r="E1328" s="385"/>
    </row>
    <row r="1329">
      <c r="A1329" s="172"/>
      <c r="B1329" s="386"/>
      <c r="E1329" s="385"/>
    </row>
    <row r="1330">
      <c r="A1330" s="172"/>
      <c r="B1330" s="386"/>
      <c r="E1330" s="385"/>
    </row>
    <row r="1331">
      <c r="A1331" s="172"/>
      <c r="B1331" s="386"/>
      <c r="E1331" s="385"/>
    </row>
    <row r="1332">
      <c r="A1332" s="172"/>
      <c r="B1332" s="386"/>
      <c r="E1332" s="385"/>
    </row>
    <row r="1333">
      <c r="A1333" s="172"/>
      <c r="B1333" s="386"/>
      <c r="E1333" s="385"/>
    </row>
    <row r="1334">
      <c r="A1334" s="172"/>
      <c r="B1334" s="386"/>
      <c r="E1334" s="385"/>
    </row>
    <row r="1335">
      <c r="A1335" s="172"/>
      <c r="B1335" s="386"/>
      <c r="E1335" s="385"/>
    </row>
    <row r="1336">
      <c r="A1336" s="172"/>
      <c r="B1336" s="386"/>
      <c r="E1336" s="385"/>
    </row>
    <row r="1337">
      <c r="A1337" s="172"/>
      <c r="B1337" s="386"/>
      <c r="E1337" s="385"/>
    </row>
    <row r="1338">
      <c r="A1338" s="172"/>
      <c r="B1338" s="386"/>
      <c r="E1338" s="385"/>
    </row>
    <row r="1339">
      <c r="A1339" s="172"/>
      <c r="B1339" s="386"/>
      <c r="E1339" s="385"/>
    </row>
    <row r="1340">
      <c r="A1340" s="172"/>
      <c r="B1340" s="386"/>
      <c r="E1340" s="385"/>
    </row>
    <row r="1341">
      <c r="A1341" s="172"/>
      <c r="B1341" s="386"/>
      <c r="E1341" s="385"/>
    </row>
    <row r="1342">
      <c r="A1342" s="172"/>
      <c r="B1342" s="386"/>
      <c r="E1342" s="385"/>
    </row>
    <row r="1343">
      <c r="A1343" s="172"/>
      <c r="B1343" s="386"/>
      <c r="E1343" s="385"/>
    </row>
    <row r="1344">
      <c r="A1344" s="172"/>
      <c r="B1344" s="386"/>
      <c r="E1344" s="385"/>
    </row>
    <row r="1345">
      <c r="A1345" s="172"/>
      <c r="B1345" s="386"/>
      <c r="E1345" s="385"/>
    </row>
    <row r="1346">
      <c r="A1346" s="172"/>
      <c r="B1346" s="386"/>
      <c r="E1346" s="385"/>
    </row>
    <row r="1347">
      <c r="A1347" s="172"/>
      <c r="B1347" s="386"/>
      <c r="E1347" s="385"/>
    </row>
    <row r="1348">
      <c r="A1348" s="172"/>
      <c r="B1348" s="386"/>
      <c r="E1348" s="385"/>
    </row>
    <row r="1349">
      <c r="A1349" s="172"/>
      <c r="B1349" s="386"/>
      <c r="E1349" s="385"/>
    </row>
    <row r="1350">
      <c r="A1350" s="172"/>
      <c r="B1350" s="386"/>
      <c r="E1350" s="385"/>
    </row>
    <row r="1351">
      <c r="A1351" s="172"/>
      <c r="B1351" s="386"/>
      <c r="E1351" s="385"/>
    </row>
    <row r="1352">
      <c r="A1352" s="172"/>
      <c r="B1352" s="386"/>
      <c r="E1352" s="385"/>
    </row>
    <row r="1353">
      <c r="A1353" s="172"/>
      <c r="B1353" s="386"/>
      <c r="E1353" s="385"/>
    </row>
    <row r="1354">
      <c r="A1354" s="172"/>
      <c r="B1354" s="386"/>
      <c r="E1354" s="385"/>
    </row>
    <row r="1355">
      <c r="A1355" s="172"/>
      <c r="B1355" s="386"/>
      <c r="E1355" s="385"/>
    </row>
    <row r="1356">
      <c r="A1356" s="172"/>
      <c r="B1356" s="386"/>
      <c r="E1356" s="385"/>
    </row>
    <row r="1357">
      <c r="A1357" s="172"/>
      <c r="B1357" s="386"/>
      <c r="E1357" s="385"/>
    </row>
    <row r="1358">
      <c r="A1358" s="172"/>
      <c r="B1358" s="386"/>
      <c r="E1358" s="385"/>
    </row>
    <row r="1359">
      <c r="A1359" s="172"/>
      <c r="B1359" s="386"/>
      <c r="E1359" s="385"/>
    </row>
    <row r="1360">
      <c r="A1360" s="172"/>
      <c r="B1360" s="386"/>
      <c r="E1360" s="385"/>
    </row>
    <row r="1361">
      <c r="A1361" s="172"/>
      <c r="B1361" s="386"/>
      <c r="E1361" s="385"/>
    </row>
    <row r="1362">
      <c r="A1362" s="172"/>
      <c r="B1362" s="386"/>
      <c r="E1362" s="385"/>
    </row>
    <row r="1363">
      <c r="A1363" s="172"/>
      <c r="B1363" s="386"/>
      <c r="E1363" s="385"/>
    </row>
    <row r="1364">
      <c r="A1364" s="172"/>
      <c r="B1364" s="386"/>
      <c r="E1364" s="385"/>
    </row>
    <row r="1365">
      <c r="A1365" s="172"/>
      <c r="B1365" s="386"/>
      <c r="E1365" s="385"/>
    </row>
    <row r="1366">
      <c r="A1366" s="172"/>
      <c r="B1366" s="386"/>
      <c r="E1366" s="385"/>
    </row>
    <row r="1367">
      <c r="A1367" s="172"/>
      <c r="B1367" s="386"/>
      <c r="E1367" s="385"/>
    </row>
    <row r="1368">
      <c r="A1368" s="172"/>
      <c r="B1368" s="386"/>
      <c r="E1368" s="385"/>
    </row>
    <row r="1369">
      <c r="A1369" s="172"/>
      <c r="B1369" s="386"/>
      <c r="E1369" s="385"/>
    </row>
    <row r="1370">
      <c r="A1370" s="172"/>
      <c r="B1370" s="386"/>
      <c r="E1370" s="385"/>
    </row>
    <row r="1371">
      <c r="A1371" s="172"/>
      <c r="B1371" s="386"/>
      <c r="E1371" s="385"/>
    </row>
    <row r="1372">
      <c r="A1372" s="172"/>
      <c r="B1372" s="386"/>
      <c r="E1372" s="385"/>
    </row>
    <row r="1373">
      <c r="A1373" s="172"/>
      <c r="B1373" s="386"/>
      <c r="E1373" s="385"/>
    </row>
    <row r="1374">
      <c r="A1374" s="172"/>
      <c r="B1374" s="386"/>
      <c r="E1374" s="385"/>
    </row>
    <row r="1375">
      <c r="A1375" s="172"/>
      <c r="B1375" s="386"/>
      <c r="E1375" s="385"/>
    </row>
    <row r="1376">
      <c r="A1376" s="172"/>
      <c r="B1376" s="386"/>
      <c r="E1376" s="385"/>
    </row>
    <row r="1377">
      <c r="A1377" s="172"/>
      <c r="B1377" s="386"/>
      <c r="E1377" s="385"/>
    </row>
    <row r="1378">
      <c r="A1378" s="172"/>
      <c r="B1378" s="386"/>
      <c r="E1378" s="385"/>
    </row>
    <row r="1379">
      <c r="A1379" s="172"/>
      <c r="B1379" s="386"/>
      <c r="E1379" s="385"/>
    </row>
    <row r="1380">
      <c r="A1380" s="172"/>
      <c r="B1380" s="386"/>
      <c r="E1380" s="385"/>
    </row>
    <row r="1381">
      <c r="A1381" s="172"/>
      <c r="B1381" s="386"/>
      <c r="E1381" s="385"/>
    </row>
    <row r="1382">
      <c r="A1382" s="172"/>
      <c r="B1382" s="386"/>
      <c r="E1382" s="385"/>
    </row>
    <row r="1383">
      <c r="A1383" s="172"/>
      <c r="B1383" s="386"/>
      <c r="E1383" s="385"/>
    </row>
    <row r="1384">
      <c r="A1384" s="172"/>
      <c r="B1384" s="386"/>
      <c r="E1384" s="385"/>
    </row>
    <row r="1385">
      <c r="A1385" s="172"/>
      <c r="B1385" s="386"/>
      <c r="E1385" s="385"/>
    </row>
    <row r="1386">
      <c r="A1386" s="172"/>
      <c r="B1386" s="386"/>
      <c r="E1386" s="385"/>
    </row>
    <row r="1387">
      <c r="A1387" s="172"/>
      <c r="B1387" s="386"/>
      <c r="E1387" s="385"/>
    </row>
    <row r="1388">
      <c r="A1388" s="172"/>
      <c r="B1388" s="386"/>
      <c r="E1388" s="385"/>
    </row>
    <row r="1389">
      <c r="A1389" s="172"/>
      <c r="B1389" s="386"/>
      <c r="E1389" s="385"/>
    </row>
    <row r="1390">
      <c r="A1390" s="172"/>
      <c r="B1390" s="386"/>
      <c r="E1390" s="385"/>
    </row>
    <row r="1391">
      <c r="A1391" s="172"/>
      <c r="B1391" s="386"/>
      <c r="E1391" s="385"/>
    </row>
    <row r="1392">
      <c r="A1392" s="172"/>
      <c r="B1392" s="386"/>
      <c r="E1392" s="385"/>
    </row>
    <row r="1393">
      <c r="A1393" s="172"/>
      <c r="B1393" s="386"/>
      <c r="E1393" s="385"/>
    </row>
    <row r="1394">
      <c r="A1394" s="172"/>
      <c r="B1394" s="386"/>
      <c r="E1394" s="385"/>
    </row>
    <row r="1395">
      <c r="A1395" s="172"/>
      <c r="B1395" s="386"/>
      <c r="E1395" s="385"/>
    </row>
    <row r="1396">
      <c r="A1396" s="172"/>
      <c r="B1396" s="386"/>
      <c r="E1396" s="385"/>
    </row>
    <row r="1397">
      <c r="A1397" s="172"/>
      <c r="B1397" s="386"/>
      <c r="E1397" s="385"/>
    </row>
    <row r="1398">
      <c r="A1398" s="172"/>
      <c r="B1398" s="386"/>
      <c r="E1398" s="385"/>
    </row>
    <row r="1399">
      <c r="A1399" s="172"/>
      <c r="B1399" s="386"/>
      <c r="E1399" s="385"/>
    </row>
    <row r="1400">
      <c r="A1400" s="172"/>
      <c r="B1400" s="386"/>
      <c r="E1400" s="385"/>
    </row>
    <row r="1401">
      <c r="A1401" s="172"/>
      <c r="B1401" s="386"/>
      <c r="E1401" s="385"/>
    </row>
    <row r="1402">
      <c r="A1402" s="172"/>
      <c r="B1402" s="386"/>
      <c r="E1402" s="385"/>
    </row>
    <row r="1403">
      <c r="A1403" s="172"/>
      <c r="B1403" s="386"/>
      <c r="E1403" s="385"/>
    </row>
    <row r="1404">
      <c r="A1404" s="172"/>
      <c r="B1404" s="386"/>
      <c r="E1404" s="385"/>
    </row>
    <row r="1405">
      <c r="A1405" s="172"/>
      <c r="B1405" s="386"/>
      <c r="E1405" s="385"/>
    </row>
    <row r="1406">
      <c r="A1406" s="172"/>
      <c r="B1406" s="386"/>
      <c r="E1406" s="385"/>
    </row>
    <row r="1407">
      <c r="A1407" s="172"/>
      <c r="B1407" s="386"/>
      <c r="E1407" s="385"/>
    </row>
    <row r="1408">
      <c r="A1408" s="172"/>
      <c r="B1408" s="386"/>
      <c r="E1408" s="385"/>
    </row>
    <row r="1409">
      <c r="A1409" s="172"/>
      <c r="B1409" s="386"/>
      <c r="E1409" s="385"/>
    </row>
    <row r="1410">
      <c r="A1410" s="172"/>
      <c r="B1410" s="386"/>
      <c r="E1410" s="385"/>
    </row>
    <row r="1411">
      <c r="A1411" s="172"/>
      <c r="B1411" s="386"/>
      <c r="E1411" s="385"/>
    </row>
    <row r="1412">
      <c r="A1412" s="172"/>
      <c r="B1412" s="386"/>
      <c r="E1412" s="385"/>
    </row>
    <row r="1413">
      <c r="A1413" s="172"/>
      <c r="B1413" s="386"/>
      <c r="E1413" s="385"/>
    </row>
    <row r="1414">
      <c r="A1414" s="172"/>
      <c r="B1414" s="386"/>
      <c r="E1414" s="385"/>
    </row>
    <row r="1415">
      <c r="A1415" s="172"/>
      <c r="B1415" s="386"/>
      <c r="E1415" s="385"/>
    </row>
    <row r="1416">
      <c r="A1416" s="172"/>
      <c r="B1416" s="386"/>
      <c r="E1416" s="385"/>
    </row>
    <row r="1417">
      <c r="A1417" s="172"/>
      <c r="B1417" s="386"/>
      <c r="E1417" s="385"/>
    </row>
    <row r="1418">
      <c r="A1418" s="172"/>
      <c r="B1418" s="386"/>
      <c r="E1418" s="385"/>
    </row>
    <row r="1419">
      <c r="A1419" s="172"/>
      <c r="B1419" s="386"/>
      <c r="E1419" s="385"/>
    </row>
    <row r="1420">
      <c r="A1420" s="172"/>
      <c r="B1420" s="386"/>
      <c r="E1420" s="385"/>
    </row>
    <row r="1421">
      <c r="A1421" s="172"/>
      <c r="B1421" s="386"/>
      <c r="E1421" s="385"/>
    </row>
    <row r="1422">
      <c r="A1422" s="172"/>
      <c r="B1422" s="386"/>
      <c r="E1422" s="385"/>
    </row>
    <row r="1423">
      <c r="A1423" s="172"/>
      <c r="B1423" s="386"/>
      <c r="E1423" s="385"/>
    </row>
    <row r="1424">
      <c r="A1424" s="172"/>
      <c r="B1424" s="386"/>
      <c r="E1424" s="385"/>
    </row>
    <row r="1425">
      <c r="A1425" s="172"/>
      <c r="B1425" s="386"/>
      <c r="E1425" s="385"/>
    </row>
    <row r="1426">
      <c r="A1426" s="172"/>
      <c r="B1426" s="386"/>
      <c r="E1426" s="385"/>
    </row>
    <row r="1427">
      <c r="A1427" s="172"/>
      <c r="B1427" s="386"/>
      <c r="E1427" s="385"/>
    </row>
    <row r="1428">
      <c r="A1428" s="172"/>
      <c r="B1428" s="386"/>
      <c r="E1428" s="385"/>
    </row>
    <row r="1429">
      <c r="A1429" s="172"/>
      <c r="B1429" s="386"/>
      <c r="E1429" s="385"/>
    </row>
    <row r="1430">
      <c r="A1430" s="172"/>
      <c r="B1430" s="386"/>
      <c r="E1430" s="385"/>
    </row>
    <row r="1431">
      <c r="A1431" s="172"/>
      <c r="B1431" s="386"/>
      <c r="E1431" s="385"/>
    </row>
    <row r="1432">
      <c r="A1432" s="172"/>
      <c r="B1432" s="386"/>
      <c r="E1432" s="385"/>
    </row>
    <row r="1433">
      <c r="A1433" s="172"/>
      <c r="B1433" s="386"/>
      <c r="E1433" s="385"/>
    </row>
    <row r="1434">
      <c r="A1434" s="172"/>
      <c r="B1434" s="386"/>
      <c r="E1434" s="385"/>
    </row>
    <row r="1435">
      <c r="A1435" s="172"/>
      <c r="B1435" s="386"/>
      <c r="E1435" s="385"/>
    </row>
    <row r="1436">
      <c r="A1436" s="172"/>
      <c r="B1436" s="386"/>
      <c r="E1436" s="385"/>
    </row>
    <row r="1437">
      <c r="A1437" s="172"/>
      <c r="B1437" s="386"/>
      <c r="E1437" s="385"/>
    </row>
    <row r="1438">
      <c r="A1438" s="172"/>
      <c r="B1438" s="386"/>
      <c r="E1438" s="385"/>
    </row>
    <row r="1439">
      <c r="A1439" s="172"/>
      <c r="B1439" s="386"/>
      <c r="E1439" s="385"/>
    </row>
    <row r="1440">
      <c r="A1440" s="172"/>
      <c r="B1440" s="386"/>
      <c r="E1440" s="385"/>
    </row>
    <row r="1441">
      <c r="A1441" s="172"/>
      <c r="B1441" s="386"/>
      <c r="E1441" s="385"/>
    </row>
    <row r="1442">
      <c r="A1442" s="172"/>
      <c r="B1442" s="386"/>
      <c r="E1442" s="385"/>
    </row>
    <row r="1443">
      <c r="A1443" s="172"/>
      <c r="B1443" s="386"/>
      <c r="E1443" s="385"/>
    </row>
    <row r="1444">
      <c r="A1444" s="172"/>
      <c r="B1444" s="386"/>
      <c r="E1444" s="385"/>
    </row>
    <row r="1445">
      <c r="A1445" s="172"/>
      <c r="B1445" s="386"/>
      <c r="E1445" s="385"/>
    </row>
    <row r="1446">
      <c r="A1446" s="172"/>
      <c r="B1446" s="386"/>
      <c r="E1446" s="385"/>
    </row>
    <row r="1447">
      <c r="A1447" s="172"/>
      <c r="B1447" s="386"/>
      <c r="E1447" s="385"/>
    </row>
    <row r="1448">
      <c r="A1448" s="172"/>
      <c r="B1448" s="386"/>
      <c r="E1448" s="385"/>
    </row>
    <row r="1449">
      <c r="A1449" s="172"/>
      <c r="B1449" s="386"/>
      <c r="E1449" s="385"/>
    </row>
    <row r="1450">
      <c r="A1450" s="172"/>
      <c r="B1450" s="386"/>
      <c r="E1450" s="385"/>
    </row>
    <row r="1451">
      <c r="A1451" s="172"/>
      <c r="B1451" s="386"/>
      <c r="E1451" s="385"/>
    </row>
    <row r="1452">
      <c r="A1452" s="172"/>
      <c r="B1452" s="386"/>
      <c r="E1452" s="385"/>
    </row>
    <row r="1453">
      <c r="A1453" s="172"/>
      <c r="B1453" s="386"/>
      <c r="E1453" s="385"/>
    </row>
    <row r="1454">
      <c r="A1454" s="172"/>
      <c r="B1454" s="386"/>
      <c r="E1454" s="385"/>
    </row>
    <row r="1455">
      <c r="A1455" s="172"/>
      <c r="B1455" s="386"/>
      <c r="E1455" s="385"/>
    </row>
    <row r="1456">
      <c r="A1456" s="172"/>
      <c r="B1456" s="386"/>
      <c r="E1456" s="385"/>
    </row>
    <row r="1457">
      <c r="A1457" s="172"/>
      <c r="B1457" s="386"/>
      <c r="E1457" s="385"/>
    </row>
    <row r="1458">
      <c r="A1458" s="172"/>
      <c r="B1458" s="386"/>
      <c r="E1458" s="385"/>
    </row>
    <row r="1459">
      <c r="A1459" s="172"/>
      <c r="B1459" s="386"/>
      <c r="E1459" s="385"/>
    </row>
    <row r="1460">
      <c r="A1460" s="172"/>
      <c r="B1460" s="386"/>
      <c r="E1460" s="385"/>
    </row>
    <row r="1461">
      <c r="A1461" s="172"/>
      <c r="B1461" s="386"/>
      <c r="E1461" s="385"/>
    </row>
    <row r="1462">
      <c r="A1462" s="172"/>
      <c r="B1462" s="386"/>
      <c r="E1462" s="385"/>
    </row>
    <row r="1463">
      <c r="A1463" s="172"/>
      <c r="B1463" s="386"/>
      <c r="E1463" s="385"/>
    </row>
    <row r="1464">
      <c r="A1464" s="172"/>
      <c r="B1464" s="386"/>
      <c r="E1464" s="385"/>
    </row>
    <row r="1465">
      <c r="A1465" s="172"/>
      <c r="B1465" s="386"/>
      <c r="E1465" s="385"/>
    </row>
    <row r="1466">
      <c r="A1466" s="172"/>
      <c r="B1466" s="386"/>
      <c r="E1466" s="385"/>
    </row>
    <row r="1467">
      <c r="A1467" s="172"/>
      <c r="B1467" s="386"/>
      <c r="E1467" s="385"/>
    </row>
    <row r="1468">
      <c r="A1468" s="172"/>
      <c r="B1468" s="386"/>
      <c r="E1468" s="385"/>
    </row>
    <row r="1469">
      <c r="A1469" s="172"/>
      <c r="B1469" s="386"/>
      <c r="E1469" s="385"/>
    </row>
    <row r="1470">
      <c r="A1470" s="172"/>
      <c r="B1470" s="386"/>
      <c r="E1470" s="385"/>
    </row>
    <row r="1471">
      <c r="A1471" s="172"/>
      <c r="B1471" s="386"/>
      <c r="E1471" s="385"/>
    </row>
    <row r="1472">
      <c r="A1472" s="172"/>
      <c r="B1472" s="386"/>
      <c r="E1472" s="385"/>
    </row>
    <row r="1473">
      <c r="A1473" s="172"/>
      <c r="B1473" s="386"/>
      <c r="E1473" s="385"/>
    </row>
    <row r="1474">
      <c r="A1474" s="172"/>
      <c r="B1474" s="386"/>
      <c r="E1474" s="385"/>
    </row>
    <row r="1475">
      <c r="A1475" s="172"/>
      <c r="B1475" s="386"/>
      <c r="E1475" s="385"/>
    </row>
    <row r="1476">
      <c r="A1476" s="172"/>
      <c r="B1476" s="386"/>
      <c r="E1476" s="385"/>
    </row>
    <row r="1477">
      <c r="A1477" s="172"/>
      <c r="B1477" s="386"/>
      <c r="E1477" s="385"/>
    </row>
    <row r="1478">
      <c r="A1478" s="172"/>
      <c r="B1478" s="386"/>
      <c r="E1478" s="385"/>
    </row>
    <row r="1479">
      <c r="A1479" s="172"/>
      <c r="B1479" s="386"/>
      <c r="E1479" s="385"/>
    </row>
    <row r="1480">
      <c r="A1480" s="172"/>
      <c r="B1480" s="386"/>
      <c r="E1480" s="385"/>
    </row>
    <row r="1481">
      <c r="A1481" s="172"/>
      <c r="B1481" s="386"/>
      <c r="E1481" s="385"/>
    </row>
    <row r="1482">
      <c r="A1482" s="172"/>
      <c r="B1482" s="386"/>
      <c r="E1482" s="385"/>
    </row>
    <row r="1483">
      <c r="A1483" s="172"/>
      <c r="B1483" s="386"/>
      <c r="E1483" s="385"/>
    </row>
    <row r="1484">
      <c r="A1484" s="172"/>
      <c r="B1484" s="386"/>
      <c r="E1484" s="385"/>
    </row>
    <row r="1485">
      <c r="A1485" s="172"/>
      <c r="B1485" s="386"/>
      <c r="E1485" s="385"/>
    </row>
    <row r="1486">
      <c r="A1486" s="172"/>
      <c r="B1486" s="386"/>
      <c r="E1486" s="385"/>
    </row>
    <row r="1487">
      <c r="A1487" s="172"/>
      <c r="B1487" s="386"/>
      <c r="E1487" s="385"/>
    </row>
    <row r="1488">
      <c r="A1488" s="172"/>
      <c r="B1488" s="386"/>
      <c r="E1488" s="385"/>
    </row>
    <row r="1489">
      <c r="A1489" s="172"/>
      <c r="B1489" s="386"/>
      <c r="E1489" s="385"/>
    </row>
    <row r="1490">
      <c r="A1490" s="172"/>
      <c r="B1490" s="386"/>
      <c r="E1490" s="385"/>
    </row>
    <row r="1491">
      <c r="A1491" s="172"/>
      <c r="B1491" s="386"/>
      <c r="E1491" s="385"/>
    </row>
    <row r="1492">
      <c r="A1492" s="172"/>
      <c r="B1492" s="386"/>
      <c r="E1492" s="385"/>
    </row>
    <row r="1493">
      <c r="A1493" s="172"/>
      <c r="B1493" s="386"/>
      <c r="E1493" s="385"/>
    </row>
    <row r="1494">
      <c r="A1494" s="172"/>
      <c r="B1494" s="386"/>
      <c r="E1494" s="385"/>
    </row>
    <row r="1495">
      <c r="A1495" s="172"/>
      <c r="B1495" s="386"/>
      <c r="E1495" s="385"/>
    </row>
    <row r="1496">
      <c r="A1496" s="172"/>
      <c r="B1496" s="386"/>
      <c r="E1496" s="385"/>
    </row>
    <row r="1497">
      <c r="A1497" s="172"/>
      <c r="B1497" s="386"/>
      <c r="E1497" s="385"/>
    </row>
    <row r="1498">
      <c r="A1498" s="172"/>
      <c r="B1498" s="386"/>
      <c r="E1498" s="385"/>
    </row>
    <row r="1499">
      <c r="A1499" s="172"/>
      <c r="B1499" s="386"/>
      <c r="E1499" s="385"/>
    </row>
    <row r="1500">
      <c r="A1500" s="172"/>
      <c r="B1500" s="386"/>
      <c r="E1500" s="385"/>
    </row>
    <row r="1501">
      <c r="A1501" s="172"/>
      <c r="B1501" s="386"/>
      <c r="E1501" s="385"/>
    </row>
    <row r="1502">
      <c r="A1502" s="172"/>
      <c r="B1502" s="386"/>
      <c r="E1502" s="385"/>
    </row>
    <row r="1503">
      <c r="A1503" s="172"/>
      <c r="B1503" s="386"/>
      <c r="E1503" s="385"/>
    </row>
    <row r="1504">
      <c r="A1504" s="172"/>
      <c r="B1504" s="386"/>
      <c r="E1504" s="385"/>
    </row>
    <row r="1505">
      <c r="A1505" s="172"/>
      <c r="B1505" s="386"/>
      <c r="E1505" s="385"/>
    </row>
    <row r="1506">
      <c r="A1506" s="172"/>
      <c r="B1506" s="386"/>
      <c r="E1506" s="385"/>
    </row>
    <row r="1507">
      <c r="A1507" s="172"/>
      <c r="B1507" s="386"/>
      <c r="E1507" s="385"/>
    </row>
    <row r="1508">
      <c r="A1508" s="172"/>
      <c r="B1508" s="386"/>
      <c r="E1508" s="385"/>
    </row>
    <row r="1509">
      <c r="A1509" s="172"/>
      <c r="B1509" s="386"/>
      <c r="E1509" s="385"/>
    </row>
    <row r="1510">
      <c r="A1510" s="172"/>
      <c r="B1510" s="386"/>
      <c r="E1510" s="385"/>
    </row>
    <row r="1511">
      <c r="A1511" s="172"/>
      <c r="B1511" s="386"/>
      <c r="E1511" s="385"/>
    </row>
    <row r="1512">
      <c r="A1512" s="172"/>
      <c r="B1512" s="386"/>
      <c r="E1512" s="385"/>
    </row>
    <row r="1513">
      <c r="A1513" s="172"/>
      <c r="B1513" s="386"/>
      <c r="E1513" s="385"/>
    </row>
    <row r="1514">
      <c r="A1514" s="172"/>
      <c r="B1514" s="386"/>
      <c r="E1514" s="385"/>
    </row>
    <row r="1515">
      <c r="A1515" s="172"/>
      <c r="B1515" s="386"/>
      <c r="E1515" s="385"/>
    </row>
    <row r="1516">
      <c r="A1516" s="172"/>
      <c r="B1516" s="386"/>
      <c r="E1516" s="385"/>
    </row>
    <row r="1517">
      <c r="A1517" s="172"/>
      <c r="B1517" s="386"/>
      <c r="E1517" s="385"/>
    </row>
    <row r="1518">
      <c r="A1518" s="172"/>
      <c r="B1518" s="386"/>
      <c r="E1518" s="385"/>
    </row>
    <row r="1519">
      <c r="A1519" s="172"/>
      <c r="B1519" s="386"/>
      <c r="E1519" s="385"/>
    </row>
    <row r="1520">
      <c r="A1520" s="172"/>
      <c r="B1520" s="386"/>
      <c r="E1520" s="385"/>
    </row>
    <row r="1521">
      <c r="A1521" s="172"/>
      <c r="B1521" s="386"/>
      <c r="E1521" s="385"/>
    </row>
    <row r="1522">
      <c r="A1522" s="172"/>
      <c r="B1522" s="386"/>
      <c r="E1522" s="385"/>
    </row>
    <row r="1523">
      <c r="A1523" s="172"/>
      <c r="B1523" s="386"/>
      <c r="E1523" s="385"/>
    </row>
    <row r="1524">
      <c r="A1524" s="172"/>
      <c r="B1524" s="386"/>
      <c r="E1524" s="385"/>
    </row>
    <row r="1525">
      <c r="A1525" s="172"/>
      <c r="B1525" s="386"/>
      <c r="E1525" s="385"/>
    </row>
    <row r="1526">
      <c r="A1526" s="172"/>
      <c r="B1526" s="386"/>
      <c r="E1526" s="385"/>
    </row>
    <row r="1527">
      <c r="A1527" s="172"/>
      <c r="B1527" s="386"/>
      <c r="E1527" s="385"/>
    </row>
    <row r="1528">
      <c r="A1528" s="172"/>
      <c r="B1528" s="386"/>
      <c r="E1528" s="385"/>
    </row>
    <row r="1529">
      <c r="A1529" s="172"/>
      <c r="B1529" s="386"/>
      <c r="E1529" s="385"/>
    </row>
    <row r="1530">
      <c r="A1530" s="172"/>
      <c r="B1530" s="386"/>
      <c r="E1530" s="385"/>
    </row>
    <row r="1531">
      <c r="A1531" s="172"/>
      <c r="B1531" s="386"/>
      <c r="E1531" s="385"/>
    </row>
    <row r="1532">
      <c r="A1532" s="172"/>
      <c r="B1532" s="386"/>
      <c r="E1532" s="385"/>
    </row>
    <row r="1533">
      <c r="A1533" s="172"/>
      <c r="B1533" s="386"/>
      <c r="E1533" s="385"/>
    </row>
    <row r="1534">
      <c r="A1534" s="172"/>
      <c r="B1534" s="386"/>
      <c r="E1534" s="385"/>
    </row>
    <row r="1535">
      <c r="A1535" s="172"/>
      <c r="B1535" s="386"/>
      <c r="E1535" s="385"/>
    </row>
    <row r="1536">
      <c r="A1536" s="172"/>
      <c r="B1536" s="386"/>
      <c r="E1536" s="385"/>
    </row>
    <row r="1537">
      <c r="A1537" s="172"/>
      <c r="B1537" s="386"/>
      <c r="E1537" s="385"/>
    </row>
    <row r="1538">
      <c r="A1538" s="172"/>
      <c r="B1538" s="386"/>
      <c r="E1538" s="385"/>
    </row>
    <row r="1539">
      <c r="A1539" s="172"/>
      <c r="B1539" s="386"/>
      <c r="E1539" s="385"/>
    </row>
    <row r="1540">
      <c r="A1540" s="172"/>
      <c r="B1540" s="386"/>
      <c r="E1540" s="385"/>
    </row>
    <row r="1541">
      <c r="A1541" s="172"/>
      <c r="B1541" s="386"/>
      <c r="E1541" s="385"/>
    </row>
    <row r="1542">
      <c r="A1542" s="172"/>
      <c r="B1542" s="386"/>
      <c r="E1542" s="385"/>
    </row>
    <row r="1543">
      <c r="A1543" s="172"/>
      <c r="B1543" s="386"/>
      <c r="E1543" s="385"/>
    </row>
    <row r="1544">
      <c r="A1544" s="172"/>
      <c r="B1544" s="386"/>
      <c r="E1544" s="385"/>
    </row>
    <row r="1545">
      <c r="A1545" s="172"/>
      <c r="B1545" s="386"/>
      <c r="E1545" s="385"/>
    </row>
    <row r="1546">
      <c r="A1546" s="172"/>
      <c r="B1546" s="386"/>
      <c r="E1546" s="385"/>
    </row>
    <row r="1547">
      <c r="A1547" s="172"/>
      <c r="B1547" s="386"/>
      <c r="E1547" s="385"/>
    </row>
    <row r="1548">
      <c r="A1548" s="172"/>
      <c r="B1548" s="386"/>
      <c r="E1548" s="385"/>
    </row>
    <row r="1549">
      <c r="A1549" s="172"/>
      <c r="B1549" s="386"/>
      <c r="E1549" s="385"/>
    </row>
    <row r="1550">
      <c r="A1550" s="172"/>
      <c r="B1550" s="386"/>
      <c r="E1550" s="385"/>
    </row>
    <row r="1551">
      <c r="A1551" s="172"/>
      <c r="B1551" s="386"/>
      <c r="E1551" s="385"/>
    </row>
    <row r="1552">
      <c r="A1552" s="172"/>
      <c r="B1552" s="386"/>
      <c r="E1552" s="385"/>
    </row>
    <row r="1553">
      <c r="A1553" s="172"/>
      <c r="B1553" s="386"/>
      <c r="E1553" s="385"/>
    </row>
    <row r="1554">
      <c r="A1554" s="172"/>
      <c r="B1554" s="386"/>
      <c r="E1554" s="385"/>
    </row>
    <row r="1555">
      <c r="A1555" s="172"/>
      <c r="B1555" s="386"/>
      <c r="E1555" s="385"/>
    </row>
    <row r="1556">
      <c r="A1556" s="172"/>
      <c r="B1556" s="386"/>
      <c r="E1556" s="385"/>
    </row>
    <row r="1557">
      <c r="A1557" s="172"/>
      <c r="B1557" s="386"/>
      <c r="E1557" s="385"/>
    </row>
    <row r="1558">
      <c r="A1558" s="172"/>
      <c r="B1558" s="386"/>
      <c r="E1558" s="385"/>
    </row>
    <row r="1559">
      <c r="A1559" s="172"/>
      <c r="B1559" s="386"/>
      <c r="E1559" s="385"/>
    </row>
    <row r="1560">
      <c r="A1560" s="172"/>
      <c r="B1560" s="386"/>
      <c r="E1560" s="385"/>
    </row>
    <row r="1561">
      <c r="A1561" s="172"/>
      <c r="B1561" s="386"/>
      <c r="E1561" s="385"/>
    </row>
    <row r="1562">
      <c r="A1562" s="172"/>
      <c r="B1562" s="386"/>
      <c r="E1562" s="385"/>
    </row>
    <row r="1563">
      <c r="A1563" s="172"/>
      <c r="B1563" s="386"/>
      <c r="E1563" s="385"/>
    </row>
    <row r="1564">
      <c r="A1564" s="172"/>
      <c r="B1564" s="386"/>
      <c r="E1564" s="385"/>
    </row>
    <row r="1565">
      <c r="A1565" s="172"/>
      <c r="B1565" s="386"/>
      <c r="E1565" s="385"/>
    </row>
    <row r="1566">
      <c r="A1566" s="172"/>
      <c r="B1566" s="386"/>
      <c r="E1566" s="385"/>
    </row>
    <row r="1567">
      <c r="A1567" s="172"/>
      <c r="B1567" s="386"/>
      <c r="E1567" s="385"/>
    </row>
    <row r="1568">
      <c r="A1568" s="172"/>
      <c r="B1568" s="386"/>
      <c r="E1568" s="385"/>
    </row>
    <row r="1569">
      <c r="A1569" s="172"/>
      <c r="B1569" s="386"/>
      <c r="E1569" s="385"/>
    </row>
    <row r="1570">
      <c r="A1570" s="172"/>
      <c r="B1570" s="386"/>
      <c r="E1570" s="385"/>
    </row>
    <row r="1571">
      <c r="A1571" s="172"/>
      <c r="B1571" s="386"/>
      <c r="E1571" s="385"/>
    </row>
    <row r="1572">
      <c r="A1572" s="172"/>
      <c r="B1572" s="386"/>
      <c r="E1572" s="385"/>
    </row>
    <row r="1573">
      <c r="A1573" s="172"/>
      <c r="B1573" s="386"/>
      <c r="E1573" s="385"/>
    </row>
    <row r="1574">
      <c r="A1574" s="172"/>
      <c r="B1574" s="386"/>
      <c r="E1574" s="385"/>
    </row>
    <row r="1575">
      <c r="A1575" s="172"/>
      <c r="B1575" s="386"/>
      <c r="E1575" s="385"/>
    </row>
    <row r="1576">
      <c r="A1576" s="172"/>
      <c r="B1576" s="386"/>
      <c r="E1576" s="385"/>
    </row>
    <row r="1577">
      <c r="A1577" s="172"/>
      <c r="B1577" s="386"/>
      <c r="E1577" s="385"/>
    </row>
    <row r="1578">
      <c r="A1578" s="172"/>
      <c r="B1578" s="386"/>
      <c r="E1578" s="385"/>
    </row>
    <row r="1579">
      <c r="A1579" s="172"/>
      <c r="B1579" s="386"/>
      <c r="E1579" s="385"/>
    </row>
    <row r="1580">
      <c r="A1580" s="172"/>
      <c r="B1580" s="386"/>
      <c r="E1580" s="385"/>
    </row>
    <row r="1581">
      <c r="A1581" s="172"/>
      <c r="B1581" s="386"/>
      <c r="E1581" s="385"/>
    </row>
    <row r="1582">
      <c r="A1582" s="172"/>
      <c r="B1582" s="386"/>
      <c r="E1582" s="385"/>
    </row>
    <row r="1583">
      <c r="A1583" s="172"/>
      <c r="B1583" s="386"/>
      <c r="E1583" s="385"/>
    </row>
    <row r="1584">
      <c r="A1584" s="172"/>
      <c r="B1584" s="386"/>
      <c r="E1584" s="385"/>
    </row>
    <row r="1585">
      <c r="A1585" s="172"/>
      <c r="B1585" s="386"/>
      <c r="E1585" s="385"/>
    </row>
    <row r="1586">
      <c r="A1586" s="172"/>
      <c r="B1586" s="386"/>
      <c r="E1586" s="385"/>
    </row>
    <row r="1587">
      <c r="A1587" s="172"/>
      <c r="B1587" s="386"/>
      <c r="E1587" s="385"/>
    </row>
    <row r="1588">
      <c r="A1588" s="172"/>
      <c r="B1588" s="386"/>
      <c r="E1588" s="385"/>
    </row>
    <row r="1589">
      <c r="A1589" s="172"/>
      <c r="B1589" s="386"/>
      <c r="E1589" s="385"/>
    </row>
    <row r="1590">
      <c r="A1590" s="172"/>
      <c r="B1590" s="386"/>
      <c r="E1590" s="385"/>
    </row>
    <row r="1591">
      <c r="A1591" s="172"/>
      <c r="B1591" s="386"/>
      <c r="E1591" s="385"/>
    </row>
    <row r="1592">
      <c r="A1592" s="172"/>
      <c r="B1592" s="386"/>
      <c r="E1592" s="385"/>
    </row>
    <row r="1593">
      <c r="A1593" s="172"/>
      <c r="B1593" s="386"/>
      <c r="E1593" s="385"/>
    </row>
    <row r="1594">
      <c r="A1594" s="172"/>
      <c r="B1594" s="386"/>
      <c r="E1594" s="385"/>
    </row>
    <row r="1595">
      <c r="A1595" s="172"/>
      <c r="B1595" s="386"/>
      <c r="E1595" s="385"/>
    </row>
    <row r="1596">
      <c r="A1596" s="172"/>
      <c r="B1596" s="386"/>
      <c r="E1596" s="385"/>
    </row>
    <row r="1597">
      <c r="A1597" s="172"/>
      <c r="B1597" s="386"/>
      <c r="E1597" s="385"/>
    </row>
    <row r="1598">
      <c r="A1598" s="172"/>
      <c r="B1598" s="386"/>
      <c r="E1598" s="385"/>
    </row>
    <row r="1599">
      <c r="A1599" s="172"/>
      <c r="B1599" s="386"/>
      <c r="E1599" s="385"/>
    </row>
    <row r="1600">
      <c r="A1600" s="172"/>
      <c r="B1600" s="386"/>
      <c r="E1600" s="385"/>
    </row>
    <row r="1601">
      <c r="A1601" s="172"/>
      <c r="B1601" s="386"/>
      <c r="E1601" s="385"/>
    </row>
    <row r="1602">
      <c r="A1602" s="172"/>
      <c r="B1602" s="386"/>
      <c r="E1602" s="385"/>
    </row>
    <row r="1603">
      <c r="A1603" s="172"/>
      <c r="B1603" s="386"/>
      <c r="E1603" s="385"/>
    </row>
    <row r="1604">
      <c r="A1604" s="172"/>
      <c r="B1604" s="386"/>
      <c r="E1604" s="385"/>
    </row>
    <row r="1605">
      <c r="A1605" s="172"/>
      <c r="B1605" s="386"/>
      <c r="E1605" s="385"/>
    </row>
    <row r="1606">
      <c r="A1606" s="172"/>
      <c r="B1606" s="386"/>
      <c r="E1606" s="385"/>
    </row>
    <row r="1607">
      <c r="A1607" s="172"/>
      <c r="B1607" s="386"/>
      <c r="E1607" s="385"/>
    </row>
    <row r="1608">
      <c r="A1608" s="172"/>
      <c r="B1608" s="386"/>
      <c r="E1608" s="385"/>
    </row>
    <row r="1609">
      <c r="A1609" s="172"/>
      <c r="B1609" s="386"/>
      <c r="E1609" s="385"/>
    </row>
    <row r="1610">
      <c r="A1610" s="172"/>
      <c r="B1610" s="386"/>
      <c r="E1610" s="385"/>
    </row>
    <row r="1611">
      <c r="A1611" s="172"/>
      <c r="B1611" s="386"/>
      <c r="E1611" s="385"/>
    </row>
    <row r="1612">
      <c r="A1612" s="172"/>
      <c r="B1612" s="386"/>
      <c r="E1612" s="385"/>
    </row>
    <row r="1613">
      <c r="A1613" s="172"/>
      <c r="B1613" s="386"/>
      <c r="E1613" s="385"/>
    </row>
    <row r="1614">
      <c r="A1614" s="172"/>
      <c r="B1614" s="386"/>
      <c r="E1614" s="385"/>
    </row>
    <row r="1615">
      <c r="A1615" s="172"/>
      <c r="B1615" s="386"/>
      <c r="E1615" s="385"/>
    </row>
    <row r="1616">
      <c r="A1616" s="172"/>
      <c r="B1616" s="386"/>
      <c r="E1616" s="385"/>
    </row>
    <row r="1617">
      <c r="A1617" s="172"/>
      <c r="B1617" s="386"/>
      <c r="E1617" s="385"/>
    </row>
    <row r="1618">
      <c r="A1618" s="172"/>
      <c r="B1618" s="386"/>
      <c r="E1618" s="385"/>
    </row>
    <row r="1619">
      <c r="A1619" s="172"/>
      <c r="B1619" s="386"/>
      <c r="E1619" s="385"/>
    </row>
    <row r="1620">
      <c r="A1620" s="172"/>
      <c r="B1620" s="386"/>
      <c r="E1620" s="385"/>
    </row>
    <row r="1621">
      <c r="A1621" s="172"/>
      <c r="B1621" s="386"/>
      <c r="E1621" s="385"/>
    </row>
    <row r="1622">
      <c r="A1622" s="172"/>
      <c r="B1622" s="386"/>
      <c r="E1622" s="385"/>
    </row>
    <row r="1623">
      <c r="A1623" s="172"/>
      <c r="B1623" s="386"/>
      <c r="E1623" s="385"/>
    </row>
    <row r="1624">
      <c r="A1624" s="172"/>
      <c r="B1624" s="386"/>
      <c r="E1624" s="385"/>
    </row>
    <row r="1625">
      <c r="A1625" s="172"/>
      <c r="B1625" s="386"/>
      <c r="E1625" s="385"/>
    </row>
    <row r="1626">
      <c r="A1626" s="172"/>
      <c r="B1626" s="386"/>
      <c r="E1626" s="385"/>
    </row>
    <row r="1627">
      <c r="A1627" s="172"/>
      <c r="B1627" s="386"/>
      <c r="E1627" s="385"/>
    </row>
    <row r="1628">
      <c r="A1628" s="172"/>
      <c r="B1628" s="386"/>
      <c r="E1628" s="385"/>
    </row>
    <row r="1629">
      <c r="A1629" s="172"/>
      <c r="B1629" s="386"/>
      <c r="E1629" s="385"/>
    </row>
    <row r="1630">
      <c r="A1630" s="172"/>
      <c r="B1630" s="386"/>
      <c r="E1630" s="385"/>
    </row>
    <row r="1631">
      <c r="A1631" s="172"/>
      <c r="B1631" s="386"/>
      <c r="E1631" s="385"/>
    </row>
    <row r="1632">
      <c r="A1632" s="172"/>
      <c r="B1632" s="386"/>
      <c r="E1632" s="385"/>
    </row>
    <row r="1633">
      <c r="A1633" s="172"/>
      <c r="B1633" s="386"/>
      <c r="E1633" s="385"/>
    </row>
    <row r="1634">
      <c r="A1634" s="172"/>
      <c r="B1634" s="386"/>
      <c r="E1634" s="385"/>
    </row>
    <row r="1635">
      <c r="A1635" s="172"/>
      <c r="B1635" s="386"/>
      <c r="E1635" s="385"/>
    </row>
    <row r="1636">
      <c r="A1636" s="172"/>
      <c r="B1636" s="386"/>
      <c r="E1636" s="385"/>
    </row>
    <row r="1637">
      <c r="A1637" s="172"/>
      <c r="B1637" s="386"/>
      <c r="E1637" s="385"/>
    </row>
    <row r="1638">
      <c r="A1638" s="172"/>
      <c r="B1638" s="386"/>
      <c r="E1638" s="385"/>
    </row>
    <row r="1639">
      <c r="A1639" s="172"/>
      <c r="B1639" s="386"/>
      <c r="E1639" s="385"/>
    </row>
    <row r="1640">
      <c r="A1640" s="172"/>
      <c r="B1640" s="386"/>
      <c r="E1640" s="385"/>
    </row>
    <row r="1641">
      <c r="A1641" s="172"/>
      <c r="B1641" s="386"/>
      <c r="E1641" s="385"/>
    </row>
    <row r="1642">
      <c r="A1642" s="172"/>
      <c r="B1642" s="386"/>
      <c r="E1642" s="385"/>
    </row>
    <row r="1643">
      <c r="A1643" s="172"/>
      <c r="B1643" s="386"/>
      <c r="E1643" s="385"/>
    </row>
    <row r="1644">
      <c r="A1644" s="172"/>
      <c r="B1644" s="386"/>
      <c r="E1644" s="385"/>
    </row>
    <row r="1645">
      <c r="A1645" s="172"/>
      <c r="B1645" s="386"/>
      <c r="E1645" s="385"/>
    </row>
    <row r="1646">
      <c r="A1646" s="172"/>
      <c r="B1646" s="386"/>
      <c r="E1646" s="385"/>
    </row>
    <row r="1647">
      <c r="A1647" s="172"/>
      <c r="B1647" s="386"/>
      <c r="E1647" s="385"/>
    </row>
    <row r="1648">
      <c r="A1648" s="172"/>
      <c r="B1648" s="386"/>
      <c r="E1648" s="385"/>
    </row>
    <row r="1649">
      <c r="A1649" s="172"/>
      <c r="B1649" s="386"/>
      <c r="E1649" s="385"/>
    </row>
    <row r="1650">
      <c r="A1650" s="172"/>
      <c r="B1650" s="386"/>
      <c r="E1650" s="385"/>
    </row>
    <row r="1651">
      <c r="A1651" s="172"/>
      <c r="B1651" s="386"/>
      <c r="E1651" s="385"/>
    </row>
    <row r="1652">
      <c r="A1652" s="172"/>
      <c r="B1652" s="386"/>
      <c r="E1652" s="385"/>
    </row>
    <row r="1653">
      <c r="A1653" s="172"/>
      <c r="B1653" s="386"/>
      <c r="E1653" s="385"/>
    </row>
    <row r="1654">
      <c r="A1654" s="172"/>
      <c r="B1654" s="386"/>
      <c r="E1654" s="385"/>
    </row>
    <row r="1655">
      <c r="A1655" s="172"/>
      <c r="B1655" s="386"/>
      <c r="E1655" s="385"/>
    </row>
    <row r="1656">
      <c r="A1656" s="172"/>
      <c r="B1656" s="386"/>
      <c r="E1656" s="385"/>
    </row>
    <row r="1657">
      <c r="A1657" s="172"/>
      <c r="B1657" s="386"/>
      <c r="E1657" s="385"/>
    </row>
    <row r="1658">
      <c r="A1658" s="172"/>
      <c r="B1658" s="386"/>
      <c r="E1658" s="385"/>
    </row>
    <row r="1659">
      <c r="A1659" s="172"/>
      <c r="B1659" s="386"/>
      <c r="E1659" s="385"/>
    </row>
    <row r="1660">
      <c r="A1660" s="172"/>
      <c r="B1660" s="386"/>
      <c r="E1660" s="385"/>
    </row>
    <row r="1661">
      <c r="A1661" s="172"/>
      <c r="B1661" s="386"/>
      <c r="E1661" s="385"/>
    </row>
    <row r="1662">
      <c r="A1662" s="172"/>
      <c r="B1662" s="386"/>
      <c r="E1662" s="385"/>
    </row>
    <row r="1663">
      <c r="A1663" s="172"/>
      <c r="B1663" s="386"/>
      <c r="E1663" s="385"/>
    </row>
    <row r="1664">
      <c r="A1664" s="172"/>
      <c r="B1664" s="386"/>
      <c r="E1664" s="385"/>
    </row>
    <row r="1665">
      <c r="A1665" s="172"/>
      <c r="B1665" s="386"/>
      <c r="E1665" s="385"/>
    </row>
    <row r="1666">
      <c r="A1666" s="172"/>
      <c r="B1666" s="386"/>
      <c r="E1666" s="385"/>
    </row>
    <row r="1667">
      <c r="A1667" s="172"/>
      <c r="B1667" s="386"/>
      <c r="E1667" s="385"/>
    </row>
    <row r="1668">
      <c r="A1668" s="172"/>
      <c r="B1668" s="386"/>
      <c r="E1668" s="385"/>
    </row>
    <row r="1669">
      <c r="A1669" s="172"/>
      <c r="B1669" s="386"/>
      <c r="E1669" s="385"/>
    </row>
    <row r="1670">
      <c r="A1670" s="172"/>
      <c r="B1670" s="386"/>
      <c r="E1670" s="385"/>
    </row>
    <row r="1671">
      <c r="A1671" s="172"/>
      <c r="B1671" s="386"/>
      <c r="E1671" s="385"/>
    </row>
    <row r="1672">
      <c r="A1672" s="172"/>
      <c r="B1672" s="386"/>
      <c r="E1672" s="385"/>
    </row>
    <row r="1673">
      <c r="A1673" s="172"/>
      <c r="B1673" s="386"/>
      <c r="E1673" s="385"/>
    </row>
    <row r="1674">
      <c r="A1674" s="172"/>
      <c r="B1674" s="386"/>
      <c r="E1674" s="385"/>
    </row>
    <row r="1675">
      <c r="A1675" s="172"/>
      <c r="B1675" s="386"/>
      <c r="E1675" s="385"/>
    </row>
    <row r="1676">
      <c r="A1676" s="172"/>
      <c r="B1676" s="386"/>
      <c r="E1676" s="385"/>
    </row>
    <row r="1677">
      <c r="A1677" s="172"/>
      <c r="B1677" s="386"/>
      <c r="E1677" s="385"/>
    </row>
    <row r="1678">
      <c r="A1678" s="172"/>
      <c r="B1678" s="386"/>
      <c r="E1678" s="385"/>
    </row>
    <row r="1679">
      <c r="A1679" s="172"/>
      <c r="B1679" s="386"/>
      <c r="E1679" s="385"/>
    </row>
    <row r="1680">
      <c r="A1680" s="172"/>
      <c r="B1680" s="386"/>
      <c r="E1680" s="385"/>
    </row>
    <row r="1681">
      <c r="A1681" s="172"/>
      <c r="B1681" s="386"/>
      <c r="E1681" s="385"/>
    </row>
    <row r="1682">
      <c r="A1682" s="172"/>
      <c r="B1682" s="386"/>
      <c r="E1682" s="385"/>
    </row>
    <row r="1683">
      <c r="A1683" s="172"/>
      <c r="B1683" s="386"/>
      <c r="E1683" s="385"/>
    </row>
    <row r="1684">
      <c r="A1684" s="172"/>
      <c r="B1684" s="386"/>
      <c r="E1684" s="385"/>
    </row>
    <row r="1685">
      <c r="A1685" s="172"/>
      <c r="B1685" s="386"/>
      <c r="E1685" s="385"/>
    </row>
    <row r="1686">
      <c r="A1686" s="172"/>
      <c r="B1686" s="386"/>
      <c r="E1686" s="385"/>
    </row>
    <row r="1687">
      <c r="A1687" s="172"/>
      <c r="B1687" s="386"/>
      <c r="E1687" s="385"/>
    </row>
    <row r="1688">
      <c r="A1688" s="172"/>
      <c r="B1688" s="386"/>
      <c r="E1688" s="385"/>
    </row>
    <row r="1689">
      <c r="A1689" s="172"/>
      <c r="B1689" s="386"/>
      <c r="E1689" s="385"/>
    </row>
    <row r="1690">
      <c r="A1690" s="172"/>
      <c r="B1690" s="386"/>
      <c r="E1690" s="385"/>
    </row>
    <row r="1691">
      <c r="A1691" s="172"/>
      <c r="B1691" s="386"/>
      <c r="E1691" s="385"/>
    </row>
    <row r="1692">
      <c r="A1692" s="172"/>
      <c r="B1692" s="386"/>
      <c r="E1692" s="385"/>
    </row>
    <row r="1693">
      <c r="A1693" s="172"/>
      <c r="B1693" s="386"/>
      <c r="E1693" s="385"/>
    </row>
    <row r="1694">
      <c r="A1694" s="172"/>
      <c r="B1694" s="386"/>
      <c r="E1694" s="385"/>
    </row>
    <row r="1695">
      <c r="A1695" s="172"/>
      <c r="B1695" s="386"/>
      <c r="E1695" s="385"/>
    </row>
    <row r="1696">
      <c r="A1696" s="172"/>
      <c r="B1696" s="386"/>
      <c r="E1696" s="385"/>
    </row>
    <row r="1697">
      <c r="A1697" s="172"/>
      <c r="B1697" s="386"/>
      <c r="E1697" s="385"/>
    </row>
    <row r="1698">
      <c r="A1698" s="172"/>
      <c r="B1698" s="386"/>
      <c r="E1698" s="385"/>
    </row>
    <row r="1699">
      <c r="A1699" s="172"/>
      <c r="B1699" s="386"/>
      <c r="E1699" s="385"/>
    </row>
    <row r="1700">
      <c r="A1700" s="172"/>
      <c r="B1700" s="386"/>
      <c r="E1700" s="385"/>
    </row>
    <row r="1701">
      <c r="A1701" s="172"/>
      <c r="B1701" s="386"/>
      <c r="E1701" s="385"/>
    </row>
    <row r="1702">
      <c r="A1702" s="172"/>
      <c r="B1702" s="386"/>
      <c r="E1702" s="385"/>
    </row>
    <row r="1703">
      <c r="A1703" s="172"/>
      <c r="B1703" s="386"/>
      <c r="E1703" s="385"/>
    </row>
    <row r="1704">
      <c r="A1704" s="172"/>
      <c r="B1704" s="386"/>
      <c r="E1704" s="385"/>
    </row>
    <row r="1705">
      <c r="A1705" s="172"/>
      <c r="B1705" s="386"/>
      <c r="E1705" s="385"/>
    </row>
    <row r="1706">
      <c r="A1706" s="172"/>
      <c r="B1706" s="386"/>
      <c r="E1706" s="385"/>
    </row>
    <row r="1707">
      <c r="A1707" s="172"/>
      <c r="B1707" s="386"/>
      <c r="E1707" s="385"/>
    </row>
    <row r="1708">
      <c r="A1708" s="172"/>
      <c r="B1708" s="386"/>
      <c r="E1708" s="385"/>
    </row>
    <row r="1709">
      <c r="A1709" s="172"/>
      <c r="B1709" s="386"/>
      <c r="E1709" s="385"/>
    </row>
    <row r="1710">
      <c r="A1710" s="172"/>
      <c r="B1710" s="386"/>
      <c r="E1710" s="385"/>
    </row>
    <row r="1711">
      <c r="A1711" s="172"/>
      <c r="B1711" s="386"/>
      <c r="E1711" s="385"/>
    </row>
    <row r="1712">
      <c r="A1712" s="172"/>
      <c r="B1712" s="386"/>
      <c r="E1712" s="385"/>
    </row>
    <row r="1713">
      <c r="A1713" s="172"/>
      <c r="B1713" s="386"/>
      <c r="E1713" s="385"/>
    </row>
    <row r="1714">
      <c r="A1714" s="172"/>
      <c r="B1714" s="386"/>
      <c r="E1714" s="385"/>
    </row>
    <row r="1715">
      <c r="A1715" s="172"/>
      <c r="B1715" s="386"/>
      <c r="E1715" s="385"/>
    </row>
    <row r="1716">
      <c r="A1716" s="172"/>
      <c r="B1716" s="386"/>
      <c r="E1716" s="385"/>
    </row>
    <row r="1717">
      <c r="A1717" s="172"/>
      <c r="B1717" s="386"/>
      <c r="E1717" s="385"/>
    </row>
    <row r="1718">
      <c r="A1718" s="172"/>
      <c r="B1718" s="386"/>
      <c r="E1718" s="385"/>
    </row>
    <row r="1719">
      <c r="A1719" s="172"/>
      <c r="B1719" s="386"/>
      <c r="E1719" s="385"/>
    </row>
    <row r="1720">
      <c r="A1720" s="172"/>
      <c r="B1720" s="386"/>
      <c r="E1720" s="385"/>
    </row>
    <row r="1721">
      <c r="A1721" s="172"/>
      <c r="B1721" s="386"/>
      <c r="E1721" s="385"/>
    </row>
    <row r="1722">
      <c r="A1722" s="172"/>
      <c r="B1722" s="386"/>
      <c r="E1722" s="385"/>
    </row>
    <row r="1723">
      <c r="A1723" s="172"/>
      <c r="B1723" s="386"/>
      <c r="E1723" s="385"/>
    </row>
    <row r="1724">
      <c r="A1724" s="172"/>
      <c r="B1724" s="386"/>
      <c r="E1724" s="385"/>
    </row>
    <row r="1725">
      <c r="A1725" s="172"/>
      <c r="B1725" s="386"/>
      <c r="E1725" s="385"/>
    </row>
    <row r="1726">
      <c r="A1726" s="172"/>
      <c r="B1726" s="386"/>
      <c r="E1726" s="385"/>
    </row>
    <row r="1727">
      <c r="A1727" s="172"/>
      <c r="B1727" s="386"/>
      <c r="E1727" s="385"/>
    </row>
    <row r="1728">
      <c r="A1728" s="172"/>
      <c r="B1728" s="386"/>
      <c r="E1728" s="385"/>
    </row>
    <row r="1729">
      <c r="A1729" s="172"/>
      <c r="B1729" s="386"/>
      <c r="E1729" s="385"/>
    </row>
    <row r="1730">
      <c r="A1730" s="172"/>
      <c r="B1730" s="386"/>
      <c r="E1730" s="385"/>
    </row>
    <row r="1731">
      <c r="A1731" s="172"/>
      <c r="B1731" s="386"/>
      <c r="E1731" s="385"/>
    </row>
    <row r="1732">
      <c r="A1732" s="172"/>
      <c r="B1732" s="386"/>
      <c r="E1732" s="385"/>
    </row>
    <row r="1733">
      <c r="A1733" s="172"/>
      <c r="B1733" s="386"/>
      <c r="E1733" s="385"/>
    </row>
    <row r="1734">
      <c r="A1734" s="172"/>
      <c r="B1734" s="386"/>
      <c r="E1734" s="385"/>
    </row>
    <row r="1735">
      <c r="A1735" s="172"/>
      <c r="B1735" s="386"/>
      <c r="E1735" s="385"/>
    </row>
    <row r="1736">
      <c r="A1736" s="172"/>
      <c r="B1736" s="386"/>
      <c r="E1736" s="385"/>
    </row>
    <row r="1737">
      <c r="A1737" s="172"/>
      <c r="B1737" s="386"/>
      <c r="E1737" s="385"/>
    </row>
    <row r="1738">
      <c r="A1738" s="172"/>
      <c r="B1738" s="386"/>
      <c r="E1738" s="385"/>
    </row>
    <row r="1739">
      <c r="A1739" s="172"/>
      <c r="B1739" s="386"/>
      <c r="E1739" s="385"/>
    </row>
    <row r="1740">
      <c r="A1740" s="172"/>
      <c r="B1740" s="386"/>
      <c r="E1740" s="385"/>
    </row>
    <row r="1741">
      <c r="A1741" s="172"/>
      <c r="B1741" s="386"/>
      <c r="E1741" s="385"/>
    </row>
    <row r="1742">
      <c r="A1742" s="172"/>
      <c r="B1742" s="386"/>
      <c r="E1742" s="385"/>
    </row>
    <row r="1743">
      <c r="A1743" s="172"/>
      <c r="B1743" s="386"/>
      <c r="E1743" s="385"/>
    </row>
    <row r="1744">
      <c r="A1744" s="172"/>
      <c r="B1744" s="386"/>
      <c r="E1744" s="385"/>
    </row>
    <row r="1745">
      <c r="A1745" s="172"/>
      <c r="B1745" s="386"/>
      <c r="E1745" s="385"/>
    </row>
    <row r="1746">
      <c r="A1746" s="172"/>
      <c r="B1746" s="386"/>
      <c r="E1746" s="385"/>
    </row>
    <row r="1747">
      <c r="A1747" s="172"/>
      <c r="B1747" s="386"/>
      <c r="E1747" s="385"/>
    </row>
    <row r="1748">
      <c r="A1748" s="172"/>
      <c r="B1748" s="386"/>
      <c r="E1748" s="385"/>
    </row>
    <row r="1749">
      <c r="A1749" s="172"/>
      <c r="B1749" s="386"/>
      <c r="E1749" s="385"/>
    </row>
    <row r="1750">
      <c r="A1750" s="172"/>
      <c r="B1750" s="386"/>
      <c r="E1750" s="385"/>
    </row>
    <row r="1751">
      <c r="A1751" s="172"/>
      <c r="B1751" s="386"/>
      <c r="E1751" s="385"/>
    </row>
    <row r="1752">
      <c r="A1752" s="172"/>
      <c r="B1752" s="386"/>
      <c r="E1752" s="385"/>
    </row>
    <row r="1753">
      <c r="A1753" s="172"/>
      <c r="B1753" s="386"/>
      <c r="E1753" s="385"/>
    </row>
    <row r="1754">
      <c r="A1754" s="172"/>
      <c r="B1754" s="386"/>
      <c r="E1754" s="385"/>
    </row>
    <row r="1755">
      <c r="A1755" s="172"/>
      <c r="B1755" s="386"/>
      <c r="E1755" s="385"/>
    </row>
    <row r="1756">
      <c r="A1756" s="172"/>
      <c r="B1756" s="386"/>
      <c r="E1756" s="385"/>
    </row>
    <row r="1757">
      <c r="A1757" s="172"/>
      <c r="B1757" s="386"/>
      <c r="E1757" s="385"/>
    </row>
    <row r="1758">
      <c r="A1758" s="172"/>
      <c r="B1758" s="386"/>
      <c r="E1758" s="385"/>
    </row>
    <row r="1759">
      <c r="A1759" s="172"/>
      <c r="B1759" s="386"/>
      <c r="E1759" s="385"/>
    </row>
    <row r="1760">
      <c r="A1760" s="172"/>
      <c r="B1760" s="386"/>
      <c r="E1760" s="385"/>
    </row>
    <row r="1761">
      <c r="A1761" s="172"/>
      <c r="B1761" s="386"/>
      <c r="E1761" s="385"/>
    </row>
    <row r="1762">
      <c r="A1762" s="172"/>
      <c r="B1762" s="386"/>
      <c r="E1762" s="385"/>
    </row>
    <row r="1763">
      <c r="A1763" s="172"/>
      <c r="B1763" s="386"/>
      <c r="E1763" s="385"/>
    </row>
    <row r="1764">
      <c r="A1764" s="172"/>
      <c r="B1764" s="386"/>
      <c r="E1764" s="385"/>
    </row>
    <row r="1765">
      <c r="A1765" s="172"/>
      <c r="B1765" s="386"/>
      <c r="E1765" s="385"/>
    </row>
    <row r="1766">
      <c r="A1766" s="172"/>
      <c r="B1766" s="386"/>
      <c r="E1766" s="385"/>
    </row>
    <row r="1767">
      <c r="A1767" s="172"/>
      <c r="B1767" s="386"/>
      <c r="E1767" s="385"/>
    </row>
    <row r="1768">
      <c r="A1768" s="172"/>
      <c r="B1768" s="386"/>
      <c r="E1768" s="385"/>
    </row>
    <row r="1769">
      <c r="A1769" s="172"/>
      <c r="B1769" s="386"/>
      <c r="E1769" s="385"/>
    </row>
    <row r="1770">
      <c r="A1770" s="172"/>
      <c r="B1770" s="386"/>
      <c r="E1770" s="385"/>
    </row>
    <row r="1771">
      <c r="A1771" s="172"/>
      <c r="B1771" s="386"/>
      <c r="E1771" s="385"/>
    </row>
    <row r="1772">
      <c r="A1772" s="172"/>
      <c r="B1772" s="386"/>
      <c r="E1772" s="385"/>
    </row>
    <row r="1773">
      <c r="A1773" s="172"/>
      <c r="B1773" s="386"/>
      <c r="E1773" s="385"/>
    </row>
    <row r="1774">
      <c r="A1774" s="172"/>
      <c r="B1774" s="386"/>
      <c r="E1774" s="385"/>
    </row>
    <row r="1775">
      <c r="A1775" s="172"/>
      <c r="B1775" s="386"/>
      <c r="E1775" s="385"/>
    </row>
    <row r="1776">
      <c r="A1776" s="172"/>
      <c r="B1776" s="386"/>
      <c r="E1776" s="385"/>
    </row>
    <row r="1777">
      <c r="A1777" s="172"/>
      <c r="B1777" s="386"/>
      <c r="E1777" s="385"/>
    </row>
    <row r="1778">
      <c r="A1778" s="172"/>
      <c r="B1778" s="386"/>
      <c r="E1778" s="385"/>
    </row>
    <row r="1779">
      <c r="A1779" s="172"/>
      <c r="B1779" s="386"/>
      <c r="E1779" s="385"/>
    </row>
    <row r="1780">
      <c r="A1780" s="172"/>
      <c r="B1780" s="386"/>
      <c r="E1780" s="385"/>
    </row>
    <row r="1781">
      <c r="A1781" s="172"/>
      <c r="B1781" s="386"/>
      <c r="E1781" s="385"/>
    </row>
    <row r="1782">
      <c r="A1782" s="172"/>
      <c r="B1782" s="386"/>
      <c r="E1782" s="385"/>
    </row>
    <row r="1783">
      <c r="A1783" s="172"/>
      <c r="B1783" s="386"/>
      <c r="E1783" s="385"/>
    </row>
    <row r="1784">
      <c r="A1784" s="172"/>
      <c r="B1784" s="386"/>
      <c r="E1784" s="385"/>
    </row>
    <row r="1785">
      <c r="A1785" s="172"/>
      <c r="B1785" s="386"/>
      <c r="E1785" s="385"/>
    </row>
    <row r="1786">
      <c r="A1786" s="172"/>
      <c r="B1786" s="386"/>
      <c r="E1786" s="385"/>
    </row>
    <row r="1787">
      <c r="A1787" s="172"/>
      <c r="B1787" s="386"/>
      <c r="E1787" s="385"/>
    </row>
    <row r="1788">
      <c r="A1788" s="172"/>
      <c r="B1788" s="386"/>
      <c r="E1788" s="385"/>
    </row>
    <row r="1789">
      <c r="A1789" s="172"/>
      <c r="B1789" s="386"/>
      <c r="E1789" s="385"/>
    </row>
    <row r="1790">
      <c r="A1790" s="172"/>
      <c r="B1790" s="386"/>
      <c r="E1790" s="385"/>
    </row>
    <row r="1791">
      <c r="A1791" s="172"/>
      <c r="B1791" s="386"/>
      <c r="E1791" s="385"/>
    </row>
    <row r="1792">
      <c r="A1792" s="172"/>
      <c r="B1792" s="386"/>
      <c r="E1792" s="385"/>
    </row>
    <row r="1793">
      <c r="A1793" s="172"/>
      <c r="B1793" s="386"/>
      <c r="E1793" s="385"/>
    </row>
    <row r="1794">
      <c r="A1794" s="172"/>
      <c r="B1794" s="386"/>
      <c r="E1794" s="385"/>
    </row>
    <row r="1795">
      <c r="A1795" s="172"/>
      <c r="B1795" s="386"/>
      <c r="E1795" s="385"/>
    </row>
    <row r="1796">
      <c r="A1796" s="172"/>
      <c r="B1796" s="386"/>
      <c r="E1796" s="385"/>
    </row>
    <row r="1797">
      <c r="A1797" s="172"/>
      <c r="B1797" s="386"/>
      <c r="E1797" s="385"/>
    </row>
    <row r="1798">
      <c r="A1798" s="172"/>
      <c r="B1798" s="386"/>
      <c r="E1798" s="385"/>
    </row>
    <row r="1799">
      <c r="A1799" s="172"/>
      <c r="B1799" s="386"/>
      <c r="E1799" s="385"/>
    </row>
    <row r="1800">
      <c r="A1800" s="172"/>
      <c r="B1800" s="386"/>
      <c r="E1800" s="385"/>
    </row>
    <row r="1801">
      <c r="A1801" s="172"/>
      <c r="B1801" s="386"/>
      <c r="E1801" s="385"/>
    </row>
    <row r="1802">
      <c r="A1802" s="172"/>
      <c r="B1802" s="386"/>
      <c r="E1802" s="385"/>
    </row>
    <row r="1803">
      <c r="A1803" s="172"/>
      <c r="B1803" s="386"/>
      <c r="E1803" s="385"/>
    </row>
    <row r="1804">
      <c r="A1804" s="172"/>
      <c r="B1804" s="386"/>
      <c r="E1804" s="385"/>
    </row>
    <row r="1805">
      <c r="A1805" s="172"/>
      <c r="B1805" s="386"/>
      <c r="E1805" s="385"/>
    </row>
    <row r="1806">
      <c r="A1806" s="172"/>
      <c r="B1806" s="386"/>
      <c r="E1806" s="385"/>
    </row>
    <row r="1807">
      <c r="A1807" s="172"/>
      <c r="B1807" s="386"/>
      <c r="E1807" s="385"/>
    </row>
    <row r="1808">
      <c r="A1808" s="172"/>
      <c r="B1808" s="386"/>
      <c r="E1808" s="385"/>
    </row>
    <row r="1809">
      <c r="A1809" s="172"/>
      <c r="B1809" s="386"/>
      <c r="E1809" s="385"/>
    </row>
    <row r="1810">
      <c r="A1810" s="172"/>
      <c r="B1810" s="386"/>
      <c r="E1810" s="385"/>
    </row>
    <row r="1811">
      <c r="A1811" s="172"/>
      <c r="B1811" s="386"/>
      <c r="E1811" s="385"/>
    </row>
    <row r="1812">
      <c r="A1812" s="172"/>
      <c r="B1812" s="386"/>
      <c r="E1812" s="385"/>
    </row>
    <row r="1813">
      <c r="A1813" s="172"/>
      <c r="B1813" s="386"/>
      <c r="E1813" s="385"/>
    </row>
    <row r="1814">
      <c r="A1814" s="172"/>
      <c r="B1814" s="386"/>
      <c r="E1814" s="385"/>
    </row>
    <row r="1815">
      <c r="A1815" s="172"/>
      <c r="B1815" s="386"/>
      <c r="E1815" s="385"/>
    </row>
    <row r="1816">
      <c r="A1816" s="172"/>
      <c r="B1816" s="386"/>
      <c r="E1816" s="385"/>
    </row>
    <row r="1817">
      <c r="A1817" s="172"/>
      <c r="B1817" s="386"/>
      <c r="E1817" s="385"/>
    </row>
    <row r="1818">
      <c r="A1818" s="172"/>
      <c r="B1818" s="386"/>
      <c r="E1818" s="385"/>
    </row>
    <row r="1819">
      <c r="A1819" s="172"/>
      <c r="B1819" s="386"/>
      <c r="E1819" s="385"/>
    </row>
    <row r="1820">
      <c r="A1820" s="172"/>
      <c r="B1820" s="386"/>
      <c r="E1820" s="385"/>
    </row>
    <row r="1821">
      <c r="A1821" s="172"/>
      <c r="B1821" s="386"/>
      <c r="E1821" s="385"/>
    </row>
    <row r="1822">
      <c r="A1822" s="172"/>
      <c r="B1822" s="386"/>
      <c r="E1822" s="385"/>
    </row>
    <row r="1823">
      <c r="A1823" s="172"/>
      <c r="B1823" s="386"/>
      <c r="E1823" s="385"/>
    </row>
    <row r="1824">
      <c r="A1824" s="172"/>
      <c r="B1824" s="386"/>
      <c r="E1824" s="385"/>
    </row>
    <row r="1825">
      <c r="A1825" s="172"/>
      <c r="B1825" s="386"/>
      <c r="E1825" s="385"/>
    </row>
    <row r="1826">
      <c r="A1826" s="172"/>
      <c r="B1826" s="386"/>
      <c r="E1826" s="385"/>
    </row>
    <row r="1827">
      <c r="A1827" s="172"/>
      <c r="B1827" s="386"/>
      <c r="E1827" s="385"/>
    </row>
    <row r="1828">
      <c r="A1828" s="172"/>
      <c r="B1828" s="386"/>
      <c r="E1828" s="385"/>
    </row>
    <row r="1829">
      <c r="A1829" s="172"/>
      <c r="B1829" s="386"/>
      <c r="E1829" s="385"/>
    </row>
    <row r="1830">
      <c r="A1830" s="172"/>
      <c r="B1830" s="386"/>
      <c r="E1830" s="385"/>
    </row>
    <row r="1831">
      <c r="A1831" s="172"/>
      <c r="B1831" s="386"/>
      <c r="E1831" s="385"/>
    </row>
    <row r="1832">
      <c r="A1832" s="172"/>
      <c r="B1832" s="386"/>
      <c r="E1832" s="385"/>
    </row>
    <row r="1833">
      <c r="A1833" s="172"/>
      <c r="B1833" s="386"/>
      <c r="E1833" s="385"/>
    </row>
    <row r="1834">
      <c r="A1834" s="172"/>
      <c r="B1834" s="386"/>
      <c r="E1834" s="385"/>
    </row>
    <row r="1835">
      <c r="A1835" s="172"/>
      <c r="B1835" s="386"/>
      <c r="E1835" s="385"/>
    </row>
    <row r="1836">
      <c r="A1836" s="172"/>
      <c r="B1836" s="386"/>
      <c r="E1836" s="385"/>
    </row>
    <row r="1837">
      <c r="A1837" s="172"/>
      <c r="B1837" s="386"/>
      <c r="E1837" s="385"/>
    </row>
    <row r="1838">
      <c r="A1838" s="172"/>
      <c r="B1838" s="386"/>
      <c r="E1838" s="385"/>
    </row>
    <row r="1839">
      <c r="A1839" s="172"/>
      <c r="B1839" s="386"/>
      <c r="E1839" s="385"/>
    </row>
    <row r="1840">
      <c r="A1840" s="172"/>
      <c r="B1840" s="386"/>
      <c r="E1840" s="385"/>
    </row>
    <row r="1841">
      <c r="A1841" s="172"/>
      <c r="B1841" s="386"/>
      <c r="E1841" s="385"/>
    </row>
    <row r="1842">
      <c r="A1842" s="172"/>
      <c r="B1842" s="386"/>
      <c r="E1842" s="385"/>
    </row>
    <row r="1843">
      <c r="A1843" s="172"/>
      <c r="B1843" s="386"/>
      <c r="E1843" s="385"/>
    </row>
    <row r="1844">
      <c r="A1844" s="172"/>
      <c r="B1844" s="386"/>
      <c r="E1844" s="385"/>
    </row>
    <row r="1845">
      <c r="A1845" s="172"/>
      <c r="B1845" s="386"/>
      <c r="E1845" s="385"/>
    </row>
    <row r="1846">
      <c r="A1846" s="172"/>
      <c r="B1846" s="386"/>
      <c r="E1846" s="385"/>
    </row>
    <row r="1847">
      <c r="A1847" s="172"/>
      <c r="B1847" s="386"/>
      <c r="E1847" s="385"/>
    </row>
    <row r="1848">
      <c r="A1848" s="172"/>
      <c r="B1848" s="386"/>
      <c r="E1848" s="385"/>
    </row>
    <row r="1849">
      <c r="A1849" s="172"/>
      <c r="B1849" s="386"/>
      <c r="E1849" s="385"/>
    </row>
    <row r="1850">
      <c r="A1850" s="172"/>
      <c r="B1850" s="386"/>
      <c r="E1850" s="385"/>
    </row>
    <row r="1851">
      <c r="A1851" s="172"/>
      <c r="B1851" s="386"/>
      <c r="E1851" s="385"/>
    </row>
    <row r="1852">
      <c r="A1852" s="172"/>
      <c r="B1852" s="386"/>
      <c r="E1852" s="385"/>
    </row>
    <row r="1853">
      <c r="A1853" s="172"/>
      <c r="B1853" s="386"/>
      <c r="E1853" s="385"/>
    </row>
    <row r="1854">
      <c r="A1854" s="172"/>
      <c r="B1854" s="386"/>
      <c r="E1854" s="385"/>
    </row>
    <row r="1855">
      <c r="A1855" s="172"/>
      <c r="B1855" s="386"/>
      <c r="E1855" s="385"/>
    </row>
    <row r="1856">
      <c r="A1856" s="172"/>
      <c r="B1856" s="386"/>
      <c r="E1856" s="385"/>
    </row>
    <row r="1857">
      <c r="A1857" s="172"/>
      <c r="B1857" s="386"/>
      <c r="E1857" s="385"/>
    </row>
    <row r="1858">
      <c r="A1858" s="172"/>
      <c r="B1858" s="386"/>
      <c r="E1858" s="385"/>
    </row>
    <row r="1859">
      <c r="A1859" s="172"/>
      <c r="B1859" s="386"/>
      <c r="E1859" s="385"/>
    </row>
    <row r="1860">
      <c r="A1860" s="172"/>
      <c r="B1860" s="386"/>
      <c r="E1860" s="385"/>
    </row>
    <row r="1861">
      <c r="A1861" s="172"/>
      <c r="B1861" s="386"/>
      <c r="E1861" s="385"/>
    </row>
    <row r="1862">
      <c r="A1862" s="172"/>
      <c r="B1862" s="386"/>
      <c r="E1862" s="385"/>
    </row>
    <row r="1863">
      <c r="A1863" s="172"/>
      <c r="B1863" s="386"/>
      <c r="E1863" s="385"/>
    </row>
    <row r="1864">
      <c r="A1864" s="172"/>
      <c r="B1864" s="386"/>
      <c r="E1864" s="385"/>
    </row>
    <row r="1865">
      <c r="A1865" s="172"/>
      <c r="B1865" s="386"/>
      <c r="E1865" s="385"/>
    </row>
    <row r="1866">
      <c r="A1866" s="172"/>
      <c r="B1866" s="386"/>
      <c r="E1866" s="385"/>
    </row>
    <row r="1867">
      <c r="A1867" s="172"/>
      <c r="B1867" s="386"/>
      <c r="E1867" s="385"/>
    </row>
    <row r="1868">
      <c r="A1868" s="172"/>
      <c r="B1868" s="386"/>
      <c r="E1868" s="385"/>
    </row>
    <row r="1869">
      <c r="A1869" s="172"/>
      <c r="B1869" s="386"/>
      <c r="E1869" s="385"/>
    </row>
    <row r="1870">
      <c r="A1870" s="172"/>
      <c r="B1870" s="386"/>
      <c r="E1870" s="385"/>
    </row>
    <row r="1871">
      <c r="A1871" s="172"/>
      <c r="B1871" s="386"/>
      <c r="E1871" s="385"/>
    </row>
    <row r="1872">
      <c r="A1872" s="172"/>
      <c r="B1872" s="386"/>
      <c r="E1872" s="385"/>
    </row>
    <row r="1873">
      <c r="A1873" s="172"/>
      <c r="B1873" s="386"/>
      <c r="E1873" s="385"/>
    </row>
    <row r="1874">
      <c r="A1874" s="172"/>
      <c r="B1874" s="386"/>
      <c r="E1874" s="385"/>
    </row>
    <row r="1875">
      <c r="A1875" s="172"/>
      <c r="B1875" s="386"/>
      <c r="E1875" s="385"/>
    </row>
    <row r="1876">
      <c r="A1876" s="172"/>
      <c r="B1876" s="386"/>
      <c r="E1876" s="385"/>
    </row>
    <row r="1877">
      <c r="A1877" s="172"/>
      <c r="B1877" s="386"/>
      <c r="E1877" s="385"/>
    </row>
    <row r="1878">
      <c r="A1878" s="172"/>
      <c r="B1878" s="386"/>
      <c r="E1878" s="385"/>
    </row>
    <row r="1879">
      <c r="A1879" s="172"/>
      <c r="B1879" s="386"/>
      <c r="E1879" s="385"/>
    </row>
    <row r="1880">
      <c r="A1880" s="172"/>
      <c r="B1880" s="386"/>
      <c r="E1880" s="385"/>
    </row>
    <row r="1881">
      <c r="A1881" s="172"/>
      <c r="B1881" s="386"/>
      <c r="E1881" s="385"/>
    </row>
    <row r="1882">
      <c r="A1882" s="172"/>
      <c r="B1882" s="386"/>
      <c r="E1882" s="385"/>
    </row>
    <row r="1883">
      <c r="A1883" s="172"/>
      <c r="B1883" s="386"/>
      <c r="E1883" s="385"/>
    </row>
    <row r="1884">
      <c r="A1884" s="172"/>
      <c r="B1884" s="386"/>
      <c r="E1884" s="385"/>
    </row>
    <row r="1885">
      <c r="A1885" s="172"/>
      <c r="B1885" s="386"/>
      <c r="E1885" s="385"/>
    </row>
    <row r="1886">
      <c r="A1886" s="172"/>
      <c r="B1886" s="386"/>
      <c r="E1886" s="385"/>
    </row>
    <row r="1887">
      <c r="A1887" s="172"/>
      <c r="B1887" s="386"/>
      <c r="E1887" s="385"/>
    </row>
    <row r="1888">
      <c r="A1888" s="172"/>
      <c r="B1888" s="386"/>
      <c r="E1888" s="385"/>
    </row>
    <row r="1889">
      <c r="A1889" s="172"/>
      <c r="B1889" s="386"/>
      <c r="E1889" s="385"/>
    </row>
    <row r="1890">
      <c r="A1890" s="172"/>
      <c r="B1890" s="386"/>
      <c r="E1890" s="385"/>
    </row>
    <row r="1891">
      <c r="A1891" s="172"/>
      <c r="B1891" s="386"/>
      <c r="E1891" s="385"/>
    </row>
    <row r="1892">
      <c r="A1892" s="172"/>
      <c r="B1892" s="386"/>
      <c r="E1892" s="385"/>
    </row>
    <row r="1893">
      <c r="A1893" s="172"/>
      <c r="B1893" s="386"/>
      <c r="E1893" s="385"/>
    </row>
    <row r="1894">
      <c r="A1894" s="172"/>
      <c r="B1894" s="386"/>
      <c r="E1894" s="385"/>
    </row>
    <row r="1895">
      <c r="A1895" s="172"/>
      <c r="B1895" s="386"/>
      <c r="E1895" s="385"/>
    </row>
    <row r="1896">
      <c r="A1896" s="172"/>
      <c r="B1896" s="386"/>
      <c r="E1896" s="385"/>
    </row>
    <row r="1897">
      <c r="A1897" s="172"/>
      <c r="B1897" s="386"/>
      <c r="E1897" s="385"/>
    </row>
    <row r="1898">
      <c r="A1898" s="172"/>
      <c r="B1898" s="386"/>
      <c r="E1898" s="385"/>
    </row>
    <row r="1899">
      <c r="A1899" s="172"/>
      <c r="B1899" s="386"/>
      <c r="E1899" s="385"/>
    </row>
    <row r="1900">
      <c r="A1900" s="172"/>
      <c r="B1900" s="386"/>
      <c r="E1900" s="385"/>
    </row>
    <row r="1901">
      <c r="A1901" s="172"/>
      <c r="B1901" s="386"/>
      <c r="E1901" s="385"/>
    </row>
    <row r="1902">
      <c r="A1902" s="172"/>
      <c r="B1902" s="386"/>
      <c r="E1902" s="385"/>
    </row>
    <row r="1903">
      <c r="A1903" s="172"/>
      <c r="B1903" s="386"/>
      <c r="E1903" s="385"/>
    </row>
    <row r="1904">
      <c r="A1904" s="172"/>
      <c r="B1904" s="386"/>
      <c r="E1904" s="385"/>
    </row>
    <row r="1905">
      <c r="A1905" s="172"/>
      <c r="B1905" s="386"/>
      <c r="E1905" s="385"/>
    </row>
    <row r="1906">
      <c r="A1906" s="172"/>
      <c r="B1906" s="386"/>
      <c r="E1906" s="385"/>
    </row>
    <row r="1907">
      <c r="A1907" s="172"/>
      <c r="B1907" s="386"/>
      <c r="E1907" s="385"/>
    </row>
    <row r="1908">
      <c r="A1908" s="172"/>
      <c r="B1908" s="386"/>
      <c r="E1908" s="385"/>
    </row>
    <row r="1909">
      <c r="A1909" s="172"/>
      <c r="B1909" s="386"/>
      <c r="E1909" s="385"/>
    </row>
    <row r="1910">
      <c r="A1910" s="172"/>
      <c r="B1910" s="386"/>
      <c r="E1910" s="385"/>
    </row>
    <row r="1911">
      <c r="A1911" s="172"/>
      <c r="B1911" s="386"/>
      <c r="E1911" s="385"/>
    </row>
    <row r="1912">
      <c r="A1912" s="172"/>
      <c r="B1912" s="386"/>
      <c r="E1912" s="385"/>
    </row>
    <row r="1913">
      <c r="A1913" s="172"/>
      <c r="B1913" s="386"/>
      <c r="E1913" s="385"/>
    </row>
    <row r="1914">
      <c r="A1914" s="172"/>
      <c r="B1914" s="386"/>
      <c r="E1914" s="385"/>
    </row>
    <row r="1915">
      <c r="A1915" s="172"/>
      <c r="B1915" s="386"/>
      <c r="E1915" s="385"/>
    </row>
    <row r="1916">
      <c r="A1916" s="172"/>
      <c r="B1916" s="386"/>
      <c r="E1916" s="385"/>
    </row>
    <row r="1917">
      <c r="A1917" s="172"/>
      <c r="B1917" s="386"/>
      <c r="E1917" s="385"/>
    </row>
    <row r="1918">
      <c r="A1918" s="172"/>
      <c r="B1918" s="386"/>
      <c r="E1918" s="385"/>
    </row>
    <row r="1919">
      <c r="A1919" s="172"/>
      <c r="B1919" s="386"/>
      <c r="E1919" s="385"/>
    </row>
    <row r="1920">
      <c r="A1920" s="172"/>
      <c r="B1920" s="386"/>
      <c r="E1920" s="385"/>
    </row>
    <row r="1921">
      <c r="A1921" s="172"/>
      <c r="B1921" s="386"/>
      <c r="E1921" s="385"/>
    </row>
    <row r="1922">
      <c r="A1922" s="172"/>
      <c r="B1922" s="386"/>
      <c r="E1922" s="385"/>
    </row>
    <row r="1923">
      <c r="A1923" s="172"/>
      <c r="B1923" s="386"/>
      <c r="E1923" s="385"/>
    </row>
    <row r="1924">
      <c r="A1924" s="172"/>
      <c r="B1924" s="386"/>
      <c r="E1924" s="385"/>
    </row>
    <row r="1925">
      <c r="A1925" s="172"/>
      <c r="B1925" s="386"/>
      <c r="E1925" s="385"/>
    </row>
    <row r="1926">
      <c r="A1926" s="172"/>
      <c r="B1926" s="386"/>
      <c r="E1926" s="385"/>
    </row>
    <row r="1927">
      <c r="A1927" s="172"/>
      <c r="B1927" s="386"/>
      <c r="E1927" s="385"/>
    </row>
    <row r="1928">
      <c r="A1928" s="172"/>
      <c r="B1928" s="386"/>
      <c r="E1928" s="385"/>
    </row>
    <row r="1929">
      <c r="A1929" s="172"/>
      <c r="B1929" s="386"/>
      <c r="E1929" s="385"/>
    </row>
    <row r="1930">
      <c r="A1930" s="172"/>
      <c r="B1930" s="386"/>
      <c r="E1930" s="385"/>
    </row>
    <row r="1931">
      <c r="A1931" s="172"/>
      <c r="B1931" s="386"/>
      <c r="E1931" s="385"/>
    </row>
    <row r="1932">
      <c r="A1932" s="172"/>
      <c r="B1932" s="386"/>
      <c r="E1932" s="385"/>
    </row>
    <row r="1933">
      <c r="A1933" s="172"/>
      <c r="B1933" s="386"/>
      <c r="E1933" s="385"/>
    </row>
    <row r="1934">
      <c r="A1934" s="172"/>
      <c r="B1934" s="386"/>
      <c r="E1934" s="385"/>
    </row>
    <row r="1935">
      <c r="A1935" s="172"/>
      <c r="B1935" s="386"/>
      <c r="E1935" s="385"/>
    </row>
    <row r="1936">
      <c r="A1936" s="172"/>
      <c r="B1936" s="386"/>
      <c r="E1936" s="385"/>
    </row>
    <row r="1937">
      <c r="A1937" s="172"/>
      <c r="B1937" s="386"/>
      <c r="E1937" s="385"/>
    </row>
    <row r="1938">
      <c r="A1938" s="172"/>
      <c r="B1938" s="386"/>
      <c r="E1938" s="385"/>
    </row>
    <row r="1939">
      <c r="A1939" s="172"/>
      <c r="B1939" s="386"/>
      <c r="E1939" s="385"/>
    </row>
    <row r="1940">
      <c r="A1940" s="172"/>
      <c r="B1940" s="386"/>
      <c r="E1940" s="385"/>
    </row>
    <row r="1941">
      <c r="A1941" s="172"/>
      <c r="B1941" s="386"/>
      <c r="E1941" s="385"/>
    </row>
    <row r="1942">
      <c r="A1942" s="172"/>
      <c r="B1942" s="386"/>
      <c r="E1942" s="385"/>
    </row>
    <row r="1943">
      <c r="A1943" s="172"/>
      <c r="B1943" s="386"/>
      <c r="E1943" s="385"/>
    </row>
    <row r="1944">
      <c r="A1944" s="172"/>
      <c r="B1944" s="386"/>
      <c r="E1944" s="385"/>
    </row>
    <row r="1945">
      <c r="A1945" s="172"/>
      <c r="B1945" s="386"/>
      <c r="E1945" s="385"/>
    </row>
    <row r="1946">
      <c r="A1946" s="172"/>
      <c r="B1946" s="386"/>
      <c r="E1946" s="385"/>
    </row>
    <row r="1947">
      <c r="A1947" s="172"/>
      <c r="B1947" s="386"/>
      <c r="E1947" s="385"/>
    </row>
    <row r="1948">
      <c r="A1948" s="172"/>
      <c r="B1948" s="386"/>
      <c r="E1948" s="385"/>
    </row>
    <row r="1949">
      <c r="A1949" s="172"/>
      <c r="B1949" s="386"/>
      <c r="E1949" s="385"/>
    </row>
    <row r="1950">
      <c r="A1950" s="172"/>
      <c r="B1950" s="386"/>
      <c r="E1950" s="385"/>
    </row>
    <row r="1951">
      <c r="A1951" s="172"/>
      <c r="B1951" s="386"/>
      <c r="E1951" s="385"/>
    </row>
    <row r="1952">
      <c r="A1952" s="172"/>
      <c r="B1952" s="386"/>
      <c r="E1952" s="385"/>
    </row>
    <row r="1953">
      <c r="A1953" s="172"/>
      <c r="B1953" s="386"/>
      <c r="E1953" s="385"/>
    </row>
    <row r="1954">
      <c r="A1954" s="172"/>
      <c r="B1954" s="386"/>
      <c r="E1954" s="385"/>
    </row>
    <row r="1955">
      <c r="A1955" s="172"/>
      <c r="B1955" s="386"/>
      <c r="E1955" s="385"/>
    </row>
    <row r="1956">
      <c r="A1956" s="172"/>
      <c r="B1956" s="386"/>
      <c r="E1956" s="385"/>
    </row>
    <row r="1957">
      <c r="A1957" s="172"/>
      <c r="B1957" s="386"/>
      <c r="E1957" s="385"/>
    </row>
    <row r="1958">
      <c r="A1958" s="172"/>
      <c r="B1958" s="386"/>
      <c r="E1958" s="385"/>
    </row>
    <row r="1959">
      <c r="A1959" s="172"/>
      <c r="B1959" s="386"/>
      <c r="E1959" s="385"/>
    </row>
    <row r="1960">
      <c r="A1960" s="172"/>
      <c r="B1960" s="386"/>
      <c r="E1960" s="385"/>
    </row>
    <row r="1961">
      <c r="A1961" s="172"/>
      <c r="B1961" s="386"/>
      <c r="E1961" s="385"/>
    </row>
    <row r="1962">
      <c r="A1962" s="172"/>
      <c r="B1962" s="386"/>
      <c r="E1962" s="385"/>
    </row>
    <row r="1963">
      <c r="A1963" s="172"/>
      <c r="B1963" s="386"/>
      <c r="E1963" s="385"/>
    </row>
    <row r="1964">
      <c r="A1964" s="172"/>
      <c r="B1964" s="386"/>
      <c r="E1964" s="385"/>
    </row>
    <row r="1965">
      <c r="A1965" s="172"/>
      <c r="B1965" s="386"/>
      <c r="E1965" s="385"/>
    </row>
    <row r="1966">
      <c r="A1966" s="172"/>
      <c r="B1966" s="386"/>
      <c r="E1966" s="385"/>
    </row>
    <row r="1967">
      <c r="A1967" s="172"/>
      <c r="B1967" s="386"/>
      <c r="E1967" s="385"/>
    </row>
    <row r="1968">
      <c r="A1968" s="172"/>
      <c r="B1968" s="386"/>
      <c r="E1968" s="385"/>
    </row>
    <row r="1969">
      <c r="A1969" s="172"/>
      <c r="B1969" s="386"/>
      <c r="E1969" s="385"/>
    </row>
    <row r="1970">
      <c r="A1970" s="172"/>
      <c r="B1970" s="386"/>
      <c r="E1970" s="385"/>
    </row>
    <row r="1971">
      <c r="A1971" s="172"/>
      <c r="B1971" s="386"/>
      <c r="E1971" s="385"/>
    </row>
    <row r="1972">
      <c r="A1972" s="172"/>
      <c r="B1972" s="386"/>
      <c r="E1972" s="385"/>
    </row>
    <row r="1973">
      <c r="A1973" s="172"/>
      <c r="B1973" s="386"/>
      <c r="E1973" s="385"/>
    </row>
    <row r="1974">
      <c r="A1974" s="172"/>
      <c r="B1974" s="386"/>
      <c r="E1974" s="385"/>
    </row>
    <row r="1975">
      <c r="A1975" s="172"/>
      <c r="B1975" s="386"/>
      <c r="E1975" s="385"/>
    </row>
    <row r="1976">
      <c r="A1976" s="172"/>
      <c r="B1976" s="386"/>
      <c r="E1976" s="385"/>
    </row>
    <row r="1977">
      <c r="A1977" s="172"/>
      <c r="B1977" s="386"/>
      <c r="E1977" s="385"/>
    </row>
    <row r="1978">
      <c r="A1978" s="172"/>
      <c r="B1978" s="386"/>
      <c r="E1978" s="385"/>
    </row>
    <row r="1979">
      <c r="A1979" s="172"/>
      <c r="B1979" s="386"/>
      <c r="E1979" s="385"/>
    </row>
    <row r="1980">
      <c r="A1980" s="172"/>
      <c r="B1980" s="386"/>
      <c r="E1980" s="385"/>
    </row>
    <row r="1981">
      <c r="A1981" s="172"/>
      <c r="B1981" s="386"/>
      <c r="E1981" s="385"/>
    </row>
    <row r="1982">
      <c r="A1982" s="172"/>
      <c r="B1982" s="386"/>
      <c r="E1982" s="385"/>
    </row>
    <row r="1983">
      <c r="A1983" s="172"/>
      <c r="B1983" s="386"/>
      <c r="E1983" s="385"/>
    </row>
    <row r="1984">
      <c r="A1984" s="172"/>
      <c r="B1984" s="386"/>
      <c r="E1984" s="385"/>
    </row>
    <row r="1985">
      <c r="A1985" s="172"/>
      <c r="B1985" s="386"/>
      <c r="E1985" s="385"/>
    </row>
    <row r="1986">
      <c r="A1986" s="172"/>
      <c r="B1986" s="386"/>
      <c r="E1986" s="385"/>
    </row>
    <row r="1987">
      <c r="A1987" s="172"/>
      <c r="B1987" s="386"/>
      <c r="E1987" s="385"/>
    </row>
    <row r="1988">
      <c r="A1988" s="172"/>
      <c r="B1988" s="386"/>
      <c r="E1988" s="385"/>
    </row>
    <row r="1989">
      <c r="A1989" s="172"/>
      <c r="B1989" s="386"/>
      <c r="E1989" s="385"/>
    </row>
    <row r="1990">
      <c r="A1990" s="172"/>
      <c r="B1990" s="386"/>
      <c r="E1990" s="385"/>
    </row>
    <row r="1991">
      <c r="A1991" s="172"/>
      <c r="B1991" s="386"/>
      <c r="E1991" s="385"/>
    </row>
    <row r="1992">
      <c r="A1992" s="172"/>
      <c r="B1992" s="386"/>
      <c r="E1992" s="385"/>
    </row>
    <row r="1993">
      <c r="A1993" s="172"/>
      <c r="B1993" s="386"/>
      <c r="E1993" s="385"/>
    </row>
    <row r="1994">
      <c r="A1994" s="172"/>
      <c r="B1994" s="386"/>
      <c r="E1994" s="385"/>
    </row>
    <row r="1995">
      <c r="A1995" s="172"/>
      <c r="B1995" s="386"/>
      <c r="E1995" s="385"/>
    </row>
    <row r="1996">
      <c r="A1996" s="172"/>
      <c r="B1996" s="386"/>
      <c r="E1996" s="385"/>
    </row>
    <row r="1997">
      <c r="A1997" s="172"/>
      <c r="B1997" s="386"/>
      <c r="E1997" s="385"/>
    </row>
    <row r="1998">
      <c r="A1998" s="172"/>
      <c r="B1998" s="386"/>
      <c r="E1998" s="385"/>
    </row>
    <row r="1999">
      <c r="A1999" s="172"/>
      <c r="B1999" s="386"/>
      <c r="E1999" s="385"/>
    </row>
    <row r="2000">
      <c r="A2000" s="172"/>
      <c r="B2000" s="386"/>
      <c r="E2000" s="385"/>
    </row>
    <row r="2001">
      <c r="A2001" s="172"/>
      <c r="B2001" s="386"/>
      <c r="E2001" s="385"/>
    </row>
    <row r="2002">
      <c r="A2002" s="172"/>
      <c r="B2002" s="386"/>
      <c r="E2002" s="385"/>
    </row>
    <row r="2003">
      <c r="A2003" s="172"/>
      <c r="B2003" s="386"/>
      <c r="E2003" s="385"/>
    </row>
    <row r="2004">
      <c r="A2004" s="172"/>
      <c r="B2004" s="386"/>
      <c r="E2004" s="385"/>
    </row>
    <row r="2005">
      <c r="A2005" s="172"/>
      <c r="B2005" s="386"/>
      <c r="E2005" s="385"/>
    </row>
    <row r="2006">
      <c r="A2006" s="172"/>
      <c r="B2006" s="386"/>
      <c r="E2006" s="385"/>
    </row>
    <row r="2007">
      <c r="A2007" s="172"/>
      <c r="B2007" s="386"/>
      <c r="E2007" s="385"/>
    </row>
    <row r="2008">
      <c r="A2008" s="172"/>
      <c r="B2008" s="386"/>
      <c r="E2008" s="385"/>
    </row>
    <row r="2009">
      <c r="A2009" s="172"/>
      <c r="B2009" s="386"/>
      <c r="E2009" s="385"/>
    </row>
    <row r="2010">
      <c r="A2010" s="172"/>
      <c r="B2010" s="386"/>
      <c r="E2010" s="385"/>
    </row>
    <row r="2011">
      <c r="A2011" s="172"/>
      <c r="B2011" s="386"/>
      <c r="E2011" s="385"/>
    </row>
    <row r="2012">
      <c r="A2012" s="172"/>
      <c r="B2012" s="386"/>
      <c r="E2012" s="385"/>
    </row>
    <row r="2013">
      <c r="A2013" s="172"/>
      <c r="B2013" s="386"/>
      <c r="E2013" s="385"/>
    </row>
    <row r="2014">
      <c r="A2014" s="172"/>
      <c r="B2014" s="386"/>
      <c r="E2014" s="385"/>
    </row>
    <row r="2015">
      <c r="A2015" s="172"/>
      <c r="B2015" s="386"/>
      <c r="E2015" s="385"/>
    </row>
    <row r="2016">
      <c r="A2016" s="172"/>
      <c r="B2016" s="386"/>
      <c r="E2016" s="385"/>
    </row>
    <row r="2017">
      <c r="A2017" s="172"/>
      <c r="B2017" s="386"/>
      <c r="E2017" s="385"/>
    </row>
    <row r="2018">
      <c r="A2018" s="172"/>
      <c r="B2018" s="386"/>
      <c r="E2018" s="385"/>
    </row>
    <row r="2019">
      <c r="A2019" s="172"/>
      <c r="B2019" s="386"/>
      <c r="E2019" s="385"/>
    </row>
    <row r="2020">
      <c r="A2020" s="172"/>
      <c r="B2020" s="386"/>
      <c r="E2020" s="385"/>
    </row>
    <row r="2021">
      <c r="A2021" s="172"/>
      <c r="B2021" s="386"/>
      <c r="E2021" s="385"/>
    </row>
    <row r="2022">
      <c r="A2022" s="172"/>
      <c r="B2022" s="386"/>
      <c r="E2022" s="385"/>
    </row>
    <row r="2023">
      <c r="A2023" s="172"/>
      <c r="B2023" s="386"/>
      <c r="E2023" s="385"/>
    </row>
    <row r="2024">
      <c r="A2024" s="172"/>
      <c r="B2024" s="386"/>
      <c r="E2024" s="385"/>
    </row>
    <row r="2025">
      <c r="A2025" s="172"/>
      <c r="B2025" s="386"/>
      <c r="E2025" s="385"/>
    </row>
    <row r="2026">
      <c r="A2026" s="172"/>
      <c r="B2026" s="386"/>
      <c r="E2026" s="385"/>
    </row>
    <row r="2027">
      <c r="A2027" s="172"/>
      <c r="B2027" s="386"/>
      <c r="E2027" s="385"/>
    </row>
    <row r="2028">
      <c r="A2028" s="172"/>
      <c r="B2028" s="386"/>
      <c r="E2028" s="385"/>
    </row>
    <row r="2029">
      <c r="A2029" s="172"/>
      <c r="B2029" s="386"/>
      <c r="E2029" s="385"/>
    </row>
    <row r="2030">
      <c r="A2030" s="172"/>
      <c r="B2030" s="386"/>
      <c r="E2030" s="385"/>
    </row>
    <row r="2031">
      <c r="A2031" s="172"/>
      <c r="B2031" s="386"/>
      <c r="E2031" s="385"/>
    </row>
    <row r="2032">
      <c r="A2032" s="172"/>
      <c r="B2032" s="386"/>
      <c r="E2032" s="385"/>
    </row>
    <row r="2033">
      <c r="A2033" s="172"/>
      <c r="B2033" s="386"/>
      <c r="E2033" s="385"/>
    </row>
    <row r="2034">
      <c r="A2034" s="172"/>
      <c r="B2034" s="386"/>
      <c r="E2034" s="385"/>
    </row>
    <row r="2035">
      <c r="A2035" s="172"/>
      <c r="B2035" s="386"/>
      <c r="E2035" s="385"/>
    </row>
    <row r="2036">
      <c r="A2036" s="172"/>
      <c r="B2036" s="386"/>
      <c r="E2036" s="385"/>
    </row>
    <row r="2037">
      <c r="A2037" s="172"/>
      <c r="B2037" s="386"/>
      <c r="E2037" s="385"/>
    </row>
    <row r="2038">
      <c r="A2038" s="172"/>
      <c r="B2038" s="386"/>
      <c r="E2038" s="385"/>
    </row>
    <row r="2039">
      <c r="A2039" s="172"/>
      <c r="B2039" s="386"/>
      <c r="E2039" s="385"/>
    </row>
    <row r="2040">
      <c r="A2040" s="172"/>
      <c r="B2040" s="386"/>
      <c r="E2040" s="385"/>
    </row>
    <row r="2041">
      <c r="A2041" s="172"/>
      <c r="B2041" s="386"/>
      <c r="E2041" s="385"/>
    </row>
    <row r="2042">
      <c r="A2042" s="172"/>
      <c r="B2042" s="386"/>
      <c r="E2042" s="385"/>
    </row>
    <row r="2043">
      <c r="A2043" s="172"/>
      <c r="B2043" s="386"/>
      <c r="E2043" s="385"/>
    </row>
    <row r="2044">
      <c r="A2044" s="172"/>
      <c r="B2044" s="386"/>
      <c r="E2044" s="385"/>
    </row>
    <row r="2045">
      <c r="A2045" s="172"/>
      <c r="B2045" s="386"/>
      <c r="E2045" s="385"/>
    </row>
    <row r="2046">
      <c r="A2046" s="172"/>
      <c r="B2046" s="386"/>
      <c r="E2046" s="385"/>
    </row>
    <row r="2047">
      <c r="A2047" s="172"/>
      <c r="B2047" s="386"/>
      <c r="E2047" s="385"/>
    </row>
    <row r="2048">
      <c r="A2048" s="172"/>
      <c r="B2048" s="386"/>
      <c r="E2048" s="385"/>
    </row>
    <row r="2049">
      <c r="A2049" s="172"/>
      <c r="B2049" s="386"/>
      <c r="E2049" s="385"/>
    </row>
    <row r="2050">
      <c r="A2050" s="172"/>
      <c r="B2050" s="386"/>
      <c r="E2050" s="385"/>
    </row>
    <row r="2051">
      <c r="A2051" s="172"/>
      <c r="B2051" s="386"/>
      <c r="E2051" s="385"/>
    </row>
    <row r="2052">
      <c r="A2052" s="172"/>
      <c r="B2052" s="386"/>
      <c r="E2052" s="385"/>
    </row>
    <row r="2053">
      <c r="A2053" s="172"/>
      <c r="B2053" s="386"/>
      <c r="E2053" s="385"/>
    </row>
    <row r="2054">
      <c r="A2054" s="172"/>
      <c r="B2054" s="386"/>
      <c r="E2054" s="385"/>
    </row>
    <row r="2055">
      <c r="A2055" s="172"/>
      <c r="B2055" s="386"/>
      <c r="E2055" s="385"/>
    </row>
    <row r="2056">
      <c r="A2056" s="172"/>
      <c r="B2056" s="386"/>
      <c r="E2056" s="385"/>
    </row>
    <row r="2057">
      <c r="A2057" s="172"/>
      <c r="B2057" s="386"/>
      <c r="E2057" s="385"/>
    </row>
    <row r="2058">
      <c r="A2058" s="172"/>
      <c r="B2058" s="386"/>
      <c r="E2058" s="385"/>
    </row>
    <row r="2059">
      <c r="A2059" s="172"/>
      <c r="B2059" s="386"/>
      <c r="E2059" s="385"/>
    </row>
    <row r="2060">
      <c r="A2060" s="172"/>
      <c r="B2060" s="386"/>
      <c r="E2060" s="385"/>
    </row>
    <row r="2061">
      <c r="A2061" s="172"/>
      <c r="B2061" s="386"/>
      <c r="E2061" s="385"/>
    </row>
    <row r="2062">
      <c r="A2062" s="172"/>
      <c r="B2062" s="386"/>
      <c r="E2062" s="385"/>
    </row>
    <row r="2063">
      <c r="A2063" s="172"/>
      <c r="B2063" s="386"/>
      <c r="E2063" s="385"/>
    </row>
    <row r="2064">
      <c r="A2064" s="172"/>
      <c r="B2064" s="386"/>
      <c r="E2064" s="385"/>
    </row>
    <row r="2065">
      <c r="A2065" s="172"/>
      <c r="B2065" s="386"/>
      <c r="E2065" s="385"/>
    </row>
    <row r="2066">
      <c r="A2066" s="172"/>
      <c r="B2066" s="386"/>
      <c r="E2066" s="385"/>
    </row>
    <row r="2067">
      <c r="A2067" s="172"/>
      <c r="B2067" s="386"/>
      <c r="E2067" s="385"/>
    </row>
    <row r="2068">
      <c r="A2068" s="172"/>
      <c r="B2068" s="386"/>
      <c r="E2068" s="385"/>
    </row>
    <row r="2069">
      <c r="A2069" s="172"/>
      <c r="B2069" s="386"/>
      <c r="E2069" s="385"/>
    </row>
    <row r="2070">
      <c r="A2070" s="172"/>
      <c r="B2070" s="386"/>
      <c r="E2070" s="385"/>
    </row>
    <row r="2071">
      <c r="A2071" s="172"/>
      <c r="B2071" s="386"/>
      <c r="E2071" s="385"/>
    </row>
    <row r="2072">
      <c r="A2072" s="172"/>
      <c r="B2072" s="386"/>
      <c r="E2072" s="385"/>
    </row>
    <row r="2073">
      <c r="A2073" s="172"/>
      <c r="B2073" s="386"/>
      <c r="E2073" s="385"/>
    </row>
    <row r="2074">
      <c r="A2074" s="172"/>
      <c r="B2074" s="386"/>
      <c r="E2074" s="385"/>
    </row>
    <row r="2075">
      <c r="A2075" s="172"/>
      <c r="B2075" s="386"/>
      <c r="E2075" s="385"/>
    </row>
    <row r="2076">
      <c r="A2076" s="172"/>
      <c r="B2076" s="386"/>
      <c r="E2076" s="385"/>
    </row>
    <row r="2077">
      <c r="A2077" s="172"/>
      <c r="B2077" s="386"/>
      <c r="E2077" s="385"/>
    </row>
    <row r="2078">
      <c r="A2078" s="172"/>
      <c r="B2078" s="386"/>
      <c r="E2078" s="385"/>
    </row>
    <row r="2079">
      <c r="A2079" s="172"/>
      <c r="B2079" s="386"/>
      <c r="E2079" s="385"/>
    </row>
    <row r="2080">
      <c r="A2080" s="172"/>
      <c r="B2080" s="386"/>
      <c r="E2080" s="385"/>
    </row>
    <row r="2081">
      <c r="A2081" s="172"/>
      <c r="B2081" s="386"/>
      <c r="E2081" s="385"/>
    </row>
    <row r="2082">
      <c r="A2082" s="172"/>
      <c r="B2082" s="386"/>
      <c r="E2082" s="385"/>
    </row>
    <row r="2083">
      <c r="A2083" s="172"/>
      <c r="B2083" s="386"/>
      <c r="E2083" s="385"/>
    </row>
    <row r="2084">
      <c r="A2084" s="172"/>
      <c r="B2084" s="386"/>
      <c r="E2084" s="385"/>
    </row>
    <row r="2085">
      <c r="A2085" s="172"/>
      <c r="B2085" s="386"/>
      <c r="E2085" s="385"/>
    </row>
    <row r="2086">
      <c r="A2086" s="172"/>
      <c r="B2086" s="386"/>
      <c r="E2086" s="385"/>
    </row>
    <row r="2087">
      <c r="A2087" s="172"/>
      <c r="B2087" s="386"/>
      <c r="E2087" s="385"/>
    </row>
    <row r="2088">
      <c r="A2088" s="172"/>
      <c r="B2088" s="386"/>
      <c r="E2088" s="385"/>
    </row>
    <row r="2089">
      <c r="A2089" s="172"/>
      <c r="B2089" s="386"/>
      <c r="E2089" s="385"/>
    </row>
    <row r="2090">
      <c r="A2090" s="172"/>
      <c r="B2090" s="386"/>
      <c r="E2090" s="385"/>
    </row>
    <row r="2091">
      <c r="A2091" s="172"/>
      <c r="B2091" s="386"/>
      <c r="E2091" s="385"/>
    </row>
    <row r="2092">
      <c r="A2092" s="172"/>
      <c r="B2092" s="386"/>
      <c r="E2092" s="385"/>
    </row>
    <row r="2093">
      <c r="A2093" s="172"/>
      <c r="B2093" s="386"/>
      <c r="E2093" s="385"/>
    </row>
    <row r="2094">
      <c r="A2094" s="172"/>
      <c r="B2094" s="386"/>
      <c r="E2094" s="385"/>
    </row>
    <row r="2095">
      <c r="A2095" s="172"/>
      <c r="B2095" s="386"/>
      <c r="E2095" s="385"/>
    </row>
    <row r="2096">
      <c r="A2096" s="172"/>
      <c r="B2096" s="386"/>
      <c r="E2096" s="385"/>
    </row>
    <row r="2097">
      <c r="A2097" s="172"/>
      <c r="B2097" s="386"/>
      <c r="E2097" s="385"/>
    </row>
    <row r="2098">
      <c r="A2098" s="172"/>
      <c r="B2098" s="386"/>
      <c r="E2098" s="385"/>
    </row>
    <row r="2099">
      <c r="A2099" s="172"/>
      <c r="B2099" s="386"/>
      <c r="E2099" s="385"/>
    </row>
    <row r="2100">
      <c r="A2100" s="172"/>
      <c r="B2100" s="386"/>
      <c r="E2100" s="385"/>
    </row>
    <row r="2101">
      <c r="A2101" s="172"/>
      <c r="B2101" s="386"/>
      <c r="E2101" s="385"/>
    </row>
    <row r="2102">
      <c r="A2102" s="172"/>
      <c r="B2102" s="386"/>
      <c r="E2102" s="385"/>
    </row>
    <row r="2103">
      <c r="A2103" s="172"/>
      <c r="B2103" s="386"/>
      <c r="E2103" s="385"/>
    </row>
    <row r="2104">
      <c r="A2104" s="172"/>
      <c r="B2104" s="386"/>
      <c r="E2104" s="385"/>
    </row>
    <row r="2105">
      <c r="A2105" s="172"/>
      <c r="B2105" s="386"/>
      <c r="E2105" s="385"/>
    </row>
    <row r="2106">
      <c r="A2106" s="172"/>
      <c r="B2106" s="386"/>
      <c r="E2106" s="385"/>
    </row>
    <row r="2107">
      <c r="A2107" s="172"/>
      <c r="B2107" s="386"/>
      <c r="E2107" s="385"/>
    </row>
    <row r="2108">
      <c r="A2108" s="172"/>
      <c r="B2108" s="386"/>
      <c r="E2108" s="385"/>
    </row>
    <row r="2109">
      <c r="A2109" s="172"/>
      <c r="B2109" s="386"/>
      <c r="E2109" s="385"/>
    </row>
    <row r="2110">
      <c r="A2110" s="172"/>
      <c r="B2110" s="386"/>
      <c r="E2110" s="385"/>
    </row>
    <row r="2111">
      <c r="A2111" s="172"/>
      <c r="B2111" s="386"/>
      <c r="E2111" s="385"/>
    </row>
    <row r="2112">
      <c r="A2112" s="172"/>
      <c r="B2112" s="386"/>
      <c r="E2112" s="385"/>
    </row>
    <row r="2113">
      <c r="A2113" s="172"/>
      <c r="B2113" s="386"/>
      <c r="E2113" s="385"/>
    </row>
    <row r="2114">
      <c r="A2114" s="172"/>
      <c r="B2114" s="386"/>
      <c r="E2114" s="385"/>
    </row>
    <row r="2115">
      <c r="A2115" s="172"/>
      <c r="B2115" s="386"/>
      <c r="E2115" s="385"/>
    </row>
    <row r="2116">
      <c r="A2116" s="172"/>
      <c r="B2116" s="386"/>
      <c r="E2116" s="385"/>
    </row>
    <row r="2117">
      <c r="A2117" s="172"/>
      <c r="B2117" s="386"/>
      <c r="E2117" s="385"/>
    </row>
    <row r="2118">
      <c r="A2118" s="172"/>
      <c r="B2118" s="386"/>
      <c r="E2118" s="385"/>
    </row>
    <row r="2119">
      <c r="A2119" s="172"/>
      <c r="B2119" s="386"/>
      <c r="E2119" s="385"/>
    </row>
    <row r="2120">
      <c r="A2120" s="172"/>
      <c r="B2120" s="386"/>
      <c r="E2120" s="385"/>
    </row>
    <row r="2121">
      <c r="A2121" s="172"/>
      <c r="B2121" s="386"/>
      <c r="E2121" s="385"/>
    </row>
    <row r="2122">
      <c r="A2122" s="172"/>
      <c r="B2122" s="386"/>
      <c r="E2122" s="385"/>
    </row>
    <row r="2123">
      <c r="A2123" s="172"/>
      <c r="B2123" s="386"/>
      <c r="E2123" s="385"/>
    </row>
    <row r="2124">
      <c r="A2124" s="172"/>
      <c r="B2124" s="386"/>
      <c r="E2124" s="385"/>
    </row>
    <row r="2125">
      <c r="A2125" s="172"/>
      <c r="B2125" s="386"/>
      <c r="E2125" s="385"/>
    </row>
    <row r="2126">
      <c r="A2126" s="172"/>
      <c r="B2126" s="386"/>
      <c r="E2126" s="385"/>
    </row>
    <row r="2127">
      <c r="A2127" s="172"/>
      <c r="B2127" s="386"/>
      <c r="E2127" s="385"/>
    </row>
    <row r="2128">
      <c r="A2128" s="172"/>
      <c r="B2128" s="386"/>
      <c r="E2128" s="385"/>
    </row>
    <row r="2129">
      <c r="A2129" s="172"/>
      <c r="B2129" s="386"/>
      <c r="E2129" s="385"/>
    </row>
    <row r="2130">
      <c r="A2130" s="172"/>
      <c r="B2130" s="386"/>
      <c r="E2130" s="385"/>
    </row>
    <row r="2131">
      <c r="A2131" s="172"/>
      <c r="B2131" s="386"/>
      <c r="E2131" s="385"/>
    </row>
    <row r="2132">
      <c r="A2132" s="172"/>
      <c r="B2132" s="386"/>
      <c r="E2132" s="385"/>
    </row>
    <row r="2133">
      <c r="A2133" s="172"/>
      <c r="B2133" s="386"/>
      <c r="E2133" s="385"/>
    </row>
    <row r="2134">
      <c r="A2134" s="172"/>
      <c r="B2134" s="386"/>
      <c r="E2134" s="385"/>
    </row>
    <row r="2135">
      <c r="A2135" s="172"/>
      <c r="B2135" s="386"/>
      <c r="E2135" s="385"/>
    </row>
    <row r="2136">
      <c r="A2136" s="172"/>
      <c r="B2136" s="386"/>
      <c r="E2136" s="385"/>
    </row>
    <row r="2137">
      <c r="A2137" s="172"/>
      <c r="B2137" s="386"/>
      <c r="E2137" s="385"/>
    </row>
    <row r="2138">
      <c r="A2138" s="172"/>
      <c r="B2138" s="386"/>
      <c r="E2138" s="385"/>
    </row>
    <row r="2139">
      <c r="A2139" s="172"/>
      <c r="B2139" s="386"/>
      <c r="E2139" s="385"/>
    </row>
    <row r="2140">
      <c r="A2140" s="172"/>
      <c r="B2140" s="386"/>
      <c r="E2140" s="385"/>
    </row>
    <row r="2141">
      <c r="A2141" s="172"/>
      <c r="B2141" s="386"/>
      <c r="E2141" s="385"/>
    </row>
    <row r="2142">
      <c r="A2142" s="172"/>
      <c r="B2142" s="386"/>
      <c r="E2142" s="385"/>
    </row>
    <row r="2143">
      <c r="A2143" s="172"/>
      <c r="B2143" s="386"/>
      <c r="E2143" s="385"/>
    </row>
    <row r="2144">
      <c r="A2144" s="172"/>
      <c r="B2144" s="386"/>
      <c r="E2144" s="385"/>
    </row>
    <row r="2145">
      <c r="A2145" s="172"/>
      <c r="B2145" s="386"/>
      <c r="E2145" s="385"/>
    </row>
    <row r="2146">
      <c r="A2146" s="172"/>
      <c r="B2146" s="386"/>
      <c r="E2146" s="385"/>
    </row>
    <row r="2147">
      <c r="A2147" s="172"/>
      <c r="B2147" s="386"/>
      <c r="E2147" s="385"/>
    </row>
    <row r="2148">
      <c r="A2148" s="172"/>
      <c r="B2148" s="386"/>
      <c r="E2148" s="385"/>
    </row>
    <row r="2149">
      <c r="A2149" s="172"/>
      <c r="B2149" s="386"/>
      <c r="E2149" s="385"/>
    </row>
    <row r="2150">
      <c r="A2150" s="172"/>
      <c r="B2150" s="386"/>
      <c r="E2150" s="385"/>
    </row>
    <row r="2151">
      <c r="A2151" s="172"/>
      <c r="B2151" s="386"/>
      <c r="E2151" s="385"/>
    </row>
    <row r="2152">
      <c r="A2152" s="172"/>
      <c r="B2152" s="386"/>
      <c r="E2152" s="385"/>
    </row>
    <row r="2153">
      <c r="A2153" s="172"/>
      <c r="B2153" s="386"/>
      <c r="E2153" s="385"/>
    </row>
    <row r="2154">
      <c r="A2154" s="172"/>
      <c r="B2154" s="386"/>
      <c r="E2154" s="385"/>
    </row>
    <row r="2155">
      <c r="A2155" s="172"/>
      <c r="B2155" s="386"/>
      <c r="E2155" s="385"/>
    </row>
    <row r="2156">
      <c r="A2156" s="172"/>
      <c r="B2156" s="386"/>
      <c r="E2156" s="385"/>
    </row>
    <row r="2157">
      <c r="A2157" s="172"/>
      <c r="B2157" s="386"/>
      <c r="E2157" s="385"/>
    </row>
    <row r="2158">
      <c r="A2158" s="172"/>
      <c r="B2158" s="386"/>
      <c r="E2158" s="385"/>
    </row>
    <row r="2159">
      <c r="A2159" s="172"/>
      <c r="B2159" s="386"/>
      <c r="E2159" s="385"/>
    </row>
    <row r="2160">
      <c r="A2160" s="172"/>
      <c r="B2160" s="386"/>
      <c r="E2160" s="385"/>
    </row>
    <row r="2161">
      <c r="A2161" s="172"/>
      <c r="B2161" s="386"/>
      <c r="E2161" s="385"/>
    </row>
    <row r="2162">
      <c r="A2162" s="172"/>
      <c r="B2162" s="386"/>
      <c r="E2162" s="385"/>
    </row>
    <row r="2163">
      <c r="A2163" s="172"/>
      <c r="B2163" s="386"/>
      <c r="E2163" s="385"/>
    </row>
    <row r="2164">
      <c r="A2164" s="172"/>
      <c r="B2164" s="386"/>
      <c r="E2164" s="385"/>
    </row>
    <row r="2165">
      <c r="A2165" s="172"/>
      <c r="B2165" s="386"/>
      <c r="E2165" s="385"/>
    </row>
    <row r="2166">
      <c r="A2166" s="172"/>
      <c r="B2166" s="386"/>
      <c r="E2166" s="385"/>
    </row>
    <row r="2167">
      <c r="A2167" s="172"/>
      <c r="B2167" s="386"/>
      <c r="E2167" s="385"/>
    </row>
    <row r="2168">
      <c r="A2168" s="172"/>
      <c r="B2168" s="386"/>
      <c r="E2168" s="385"/>
    </row>
    <row r="2169">
      <c r="A2169" s="172"/>
      <c r="B2169" s="386"/>
      <c r="E2169" s="385"/>
    </row>
    <row r="2170">
      <c r="A2170" s="172"/>
      <c r="B2170" s="386"/>
      <c r="E2170" s="385"/>
    </row>
    <row r="2171">
      <c r="A2171" s="172"/>
      <c r="B2171" s="386"/>
      <c r="E2171" s="385"/>
    </row>
    <row r="2172">
      <c r="A2172" s="172"/>
      <c r="B2172" s="386"/>
      <c r="E2172" s="385"/>
    </row>
    <row r="2173">
      <c r="A2173" s="172"/>
      <c r="B2173" s="386"/>
      <c r="E2173" s="385"/>
    </row>
    <row r="2174">
      <c r="A2174" s="172"/>
      <c r="B2174" s="386"/>
      <c r="E2174" s="385"/>
    </row>
    <row r="2175">
      <c r="A2175" s="172"/>
      <c r="B2175" s="386"/>
      <c r="E2175" s="385"/>
    </row>
    <row r="2176">
      <c r="A2176" s="172"/>
      <c r="B2176" s="386"/>
      <c r="E2176" s="385"/>
    </row>
    <row r="2177">
      <c r="A2177" s="172"/>
      <c r="B2177" s="386"/>
      <c r="E2177" s="385"/>
    </row>
    <row r="2178">
      <c r="A2178" s="172"/>
      <c r="B2178" s="386"/>
      <c r="E2178" s="385"/>
    </row>
    <row r="2179">
      <c r="A2179" s="172"/>
      <c r="B2179" s="386"/>
      <c r="E2179" s="385"/>
    </row>
    <row r="2180">
      <c r="A2180" s="172"/>
      <c r="B2180" s="386"/>
      <c r="E2180" s="385"/>
    </row>
    <row r="2181">
      <c r="A2181" s="172"/>
      <c r="B2181" s="386"/>
      <c r="E2181" s="385"/>
    </row>
    <row r="2182">
      <c r="A2182" s="172"/>
      <c r="B2182" s="386"/>
      <c r="E2182" s="385"/>
    </row>
    <row r="2183">
      <c r="A2183" s="172"/>
      <c r="B2183" s="386"/>
      <c r="E2183" s="385"/>
    </row>
    <row r="2184">
      <c r="A2184" s="172"/>
      <c r="B2184" s="386"/>
      <c r="E2184" s="385"/>
    </row>
    <row r="2185">
      <c r="A2185" s="172"/>
      <c r="B2185" s="386"/>
      <c r="E2185" s="385"/>
    </row>
    <row r="2186">
      <c r="A2186" s="172"/>
      <c r="B2186" s="386"/>
      <c r="E2186" s="385"/>
    </row>
    <row r="2187">
      <c r="A2187" s="172"/>
      <c r="B2187" s="386"/>
      <c r="E2187" s="385"/>
    </row>
    <row r="2188">
      <c r="A2188" s="172"/>
      <c r="B2188" s="386"/>
      <c r="E2188" s="385"/>
    </row>
    <row r="2189">
      <c r="A2189" s="172"/>
      <c r="B2189" s="386"/>
      <c r="E2189" s="385"/>
    </row>
    <row r="2190">
      <c r="A2190" s="172"/>
      <c r="B2190" s="386"/>
      <c r="E2190" s="385"/>
    </row>
    <row r="2191">
      <c r="A2191" s="172"/>
      <c r="B2191" s="386"/>
      <c r="E2191" s="385"/>
    </row>
    <row r="2192">
      <c r="A2192" s="172"/>
      <c r="B2192" s="386"/>
      <c r="E2192" s="385"/>
    </row>
    <row r="2193">
      <c r="A2193" s="172"/>
      <c r="B2193" s="386"/>
      <c r="E2193" s="385"/>
    </row>
    <row r="2194">
      <c r="A2194" s="172"/>
      <c r="B2194" s="386"/>
      <c r="E2194" s="385"/>
    </row>
    <row r="2195">
      <c r="A2195" s="172"/>
      <c r="B2195" s="386"/>
      <c r="E2195" s="385"/>
    </row>
    <row r="2196">
      <c r="A2196" s="172"/>
      <c r="B2196" s="386"/>
      <c r="E2196" s="385"/>
    </row>
    <row r="2197">
      <c r="A2197" s="172"/>
      <c r="B2197" s="386"/>
      <c r="E2197" s="385"/>
    </row>
    <row r="2198">
      <c r="A2198" s="172"/>
      <c r="B2198" s="386"/>
      <c r="E2198" s="385"/>
    </row>
    <row r="2199">
      <c r="A2199" s="172"/>
      <c r="B2199" s="386"/>
      <c r="E2199" s="385"/>
    </row>
    <row r="2200">
      <c r="A2200" s="172"/>
      <c r="B2200" s="386"/>
      <c r="E2200" s="385"/>
    </row>
    <row r="2201">
      <c r="A2201" s="172"/>
      <c r="B2201" s="386"/>
      <c r="E2201" s="385"/>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3" max="13" width="12.63"/>
    <col customWidth="1" min="14" max="14" width="1.38"/>
    <col customWidth="1" min="15" max="16" width="12.63"/>
    <col customWidth="1" min="17" max="17" width="18.25"/>
    <col customWidth="1" min="20" max="20" width="25.13"/>
  </cols>
  <sheetData>
    <row r="1">
      <c r="A1" s="328"/>
      <c r="B1" s="328"/>
      <c r="C1" s="328" t="s">
        <v>2077</v>
      </c>
      <c r="E1" s="328" t="s">
        <v>2078</v>
      </c>
      <c r="F1" s="390" t="s">
        <v>2079</v>
      </c>
      <c r="G1" s="390" t="s">
        <v>2080</v>
      </c>
      <c r="H1" s="390" t="s">
        <v>2081</v>
      </c>
      <c r="I1" s="390" t="s">
        <v>2082</v>
      </c>
      <c r="J1" s="390" t="s">
        <v>2083</v>
      </c>
      <c r="K1" s="390" t="s">
        <v>2084</v>
      </c>
      <c r="L1" s="390" t="s">
        <v>2085</v>
      </c>
      <c r="M1" s="390" t="s">
        <v>2086</v>
      </c>
      <c r="N1" s="304"/>
      <c r="O1" s="390" t="s">
        <v>2087</v>
      </c>
      <c r="P1" s="304"/>
      <c r="Q1" s="304"/>
      <c r="R1" s="304"/>
      <c r="S1" s="304"/>
      <c r="T1" s="304"/>
      <c r="U1" s="304"/>
      <c r="V1" s="304"/>
      <c r="W1" s="304"/>
      <c r="X1" s="304"/>
      <c r="Y1" s="304"/>
      <c r="Z1" s="304"/>
      <c r="AA1" s="304"/>
      <c r="AB1" s="304"/>
      <c r="AC1" s="304"/>
      <c r="AD1" s="304"/>
      <c r="AE1" s="304"/>
      <c r="AF1" s="304"/>
      <c r="AG1" s="304"/>
      <c r="AH1" s="304"/>
      <c r="AI1" s="304"/>
    </row>
    <row r="2">
      <c r="A2" s="331"/>
      <c r="B2" s="331" t="s">
        <v>1907</v>
      </c>
      <c r="C2" s="331" t="s">
        <v>81</v>
      </c>
      <c r="D2" s="331" t="s">
        <v>105</v>
      </c>
      <c r="E2" s="331" t="s">
        <v>2088</v>
      </c>
      <c r="F2" s="391"/>
      <c r="G2" s="391"/>
      <c r="H2" s="391"/>
      <c r="I2" s="391"/>
      <c r="J2" s="391"/>
      <c r="K2" s="391"/>
      <c r="L2" s="391"/>
      <c r="M2" s="391"/>
      <c r="N2" s="392"/>
      <c r="O2" s="391"/>
      <c r="P2" s="392"/>
      <c r="Q2" s="393"/>
      <c r="R2" s="393"/>
      <c r="S2" s="393"/>
      <c r="T2" s="393"/>
      <c r="U2" s="393"/>
      <c r="V2" s="393"/>
      <c r="W2" s="393"/>
      <c r="X2" s="393"/>
      <c r="Y2" s="393"/>
      <c r="Z2" s="393"/>
      <c r="AA2" s="393"/>
      <c r="AB2" s="393"/>
      <c r="AC2" s="393"/>
      <c r="AD2" s="393"/>
      <c r="AE2" s="393"/>
      <c r="AF2" s="393"/>
      <c r="AG2" s="393"/>
      <c r="AH2" s="393"/>
      <c r="AI2" s="393"/>
    </row>
    <row r="3">
      <c r="A3" s="334">
        <v>-5.0</v>
      </c>
      <c r="B3" s="194">
        <f t="shared" ref="B3:B7" si="1">$B$8+(7*$A3)</f>
        <v>45453</v>
      </c>
      <c r="C3" s="172">
        <f>COUNTIFS(Loads!$I:$I,"="&amp;C$2,Loads!$O:$O,"&gt;="&amp;$B3,Loads!$O:$O,"&lt;"&amp;$B4)</f>
        <v>4</v>
      </c>
      <c r="D3" s="172">
        <f>COUNTIFS(Loads!$I:$I,"="&amp;D$2,Loads!$O:$O,"&gt;="&amp;$B3,Loads!$O:$O,"&lt;"&amp;$B4)</f>
        <v>0</v>
      </c>
      <c r="E3" s="378">
        <f>SUMIFS(Loads!$Q:$Q,Loads!$O:$O,"&gt;="&amp;$B3,Loads!$O:$O,"&lt;"&amp;$B4)</f>
        <v>82.87</v>
      </c>
      <c r="F3" s="394"/>
      <c r="G3" s="394"/>
      <c r="H3" s="394"/>
      <c r="I3" s="394"/>
      <c r="J3" s="394"/>
      <c r="K3" s="394"/>
      <c r="L3" s="394"/>
      <c r="M3" s="394"/>
      <c r="N3" s="304"/>
      <c r="O3" s="394"/>
    </row>
    <row r="4">
      <c r="A4" s="334">
        <v>-4.0</v>
      </c>
      <c r="B4" s="194">
        <f t="shared" si="1"/>
        <v>45460</v>
      </c>
      <c r="C4" s="172">
        <f>COUNTIFS(Loads!$I:$I,"="&amp;C$2,Loads!$O:$O,"&gt;="&amp;$B4,Loads!$O:$O,"&lt;"&amp;$B5)</f>
        <v>0</v>
      </c>
      <c r="D4" s="172">
        <f>COUNTIFS(Loads!$I:$I,"="&amp;D$2,Loads!$O:$O,"&gt;="&amp;$B4,Loads!$O:$O,"&lt;"&amp;$B5)</f>
        <v>0</v>
      </c>
      <c r="E4" s="378">
        <f>SUMIFS(Loads!$Q:$Q,Loads!$O:$O,"&gt;="&amp;$B4,Loads!$O:$O,"&lt;"&amp;$B5)</f>
        <v>0</v>
      </c>
      <c r="F4" s="394"/>
      <c r="G4" s="394"/>
      <c r="H4" s="394"/>
      <c r="I4" s="394"/>
      <c r="J4" s="394"/>
      <c r="K4" s="394"/>
      <c r="L4" s="394"/>
      <c r="M4" s="394"/>
      <c r="N4" s="304"/>
      <c r="O4" s="394"/>
    </row>
    <row r="5">
      <c r="A5" s="334">
        <v>-3.0</v>
      </c>
      <c r="B5" s="194">
        <f t="shared" si="1"/>
        <v>45467</v>
      </c>
      <c r="C5" s="172">
        <f>COUNTIFS(Loads!$I:$I,"="&amp;C$2,Loads!$O:$O,"&gt;="&amp;$B5,Loads!$O:$O,"&lt;"&amp;$B6)</f>
        <v>1</v>
      </c>
      <c r="D5" s="172">
        <f>COUNTIFS(Loads!$I:$I,"="&amp;D$2,Loads!$O:$O,"&gt;="&amp;$B5,Loads!$O:$O,"&lt;"&amp;$B6)</f>
        <v>0</v>
      </c>
      <c r="E5" s="378">
        <f>SUMIFS(Loads!$Q:$Q,Loads!$O:$O,"&gt;="&amp;$B5,Loads!$O:$O,"&lt;"&amp;$B6)</f>
        <v>21.26</v>
      </c>
      <c r="F5" s="394"/>
      <c r="G5" s="394"/>
      <c r="H5" s="394"/>
      <c r="I5" s="394"/>
      <c r="J5" s="394"/>
      <c r="K5" s="394"/>
      <c r="L5" s="394"/>
      <c r="M5" s="394"/>
      <c r="N5" s="395"/>
      <c r="O5" s="394"/>
      <c r="P5" s="82"/>
      <c r="Q5" s="396" t="s">
        <v>2089</v>
      </c>
      <c r="R5" s="397"/>
      <c r="S5" s="397"/>
      <c r="T5" s="398"/>
    </row>
    <row r="6">
      <c r="A6" s="334">
        <v>-2.0</v>
      </c>
      <c r="B6" s="194">
        <f t="shared" si="1"/>
        <v>45474</v>
      </c>
      <c r="C6" s="172">
        <f>COUNTIFS(Loads!$I:$I,"="&amp;C$2,Loads!$O:$O,"&gt;="&amp;$B6,Loads!$O:$O,"&lt;"&amp;$B7)</f>
        <v>0</v>
      </c>
      <c r="D6" s="172">
        <f>COUNTIFS(Loads!$I:$I,"="&amp;D$2,Loads!$O:$O,"&gt;="&amp;$B6,Loads!$O:$O,"&lt;"&amp;$B7)</f>
        <v>0</v>
      </c>
      <c r="E6" s="378">
        <f>SUMIFS(Loads!$Q:$Q,Loads!$O:$O,"&gt;="&amp;$B6,Loads!$O:$O,"&lt;"&amp;$B7)</f>
        <v>0</v>
      </c>
      <c r="F6" s="394"/>
      <c r="G6" s="394"/>
      <c r="H6" s="394"/>
      <c r="I6" s="394"/>
      <c r="J6" s="394"/>
      <c r="K6" s="394"/>
      <c r="L6" s="394"/>
      <c r="M6" s="394" t="s">
        <v>2090</v>
      </c>
      <c r="N6" s="300"/>
      <c r="O6" s="394"/>
      <c r="P6" s="1"/>
      <c r="Q6" s="399"/>
      <c r="T6" s="400"/>
    </row>
    <row r="7">
      <c r="A7" s="334">
        <v>-1.0</v>
      </c>
      <c r="B7" s="194">
        <f t="shared" si="1"/>
        <v>45481</v>
      </c>
      <c r="C7" s="172">
        <f>COUNTIFS(Loads!$I:$I,"="&amp;C$2,Loads!$O:$O,"&gt;="&amp;$B7,Loads!$O:$O,"&lt;"&amp;$B8)</f>
        <v>0</v>
      </c>
      <c r="D7" s="172">
        <f>COUNTIFS(Loads!$I:$I,"="&amp;D$2,Loads!$O:$O,"&gt;="&amp;$B7,Loads!$O:$O,"&lt;"&amp;$B8)</f>
        <v>0</v>
      </c>
      <c r="E7" s="378">
        <f>SUMIFS(Loads!$Q:$Q,Loads!$O:$O,"&gt;="&amp;$B7,Loads!$O:$O,"&lt;"&amp;$B8)</f>
        <v>0</v>
      </c>
      <c r="F7" s="394"/>
      <c r="G7" s="394"/>
      <c r="H7" s="394"/>
      <c r="I7" s="394"/>
      <c r="J7" s="394"/>
      <c r="K7" s="394"/>
      <c r="L7" s="394"/>
      <c r="M7" s="394"/>
      <c r="N7" s="304"/>
      <c r="O7" s="394"/>
      <c r="Q7" s="401" t="s">
        <v>2091</v>
      </c>
      <c r="R7" s="4"/>
      <c r="T7" s="400"/>
    </row>
    <row r="8">
      <c r="A8" s="334">
        <v>0.0</v>
      </c>
      <c r="B8" s="402">
        <v>45488.0</v>
      </c>
      <c r="C8" s="172">
        <f>COUNTIFS(Loads!$I:$I,"="&amp;C$2,Loads!$O:$O,"&gt;="&amp;$B8,Loads!$O:$O,"&lt;"&amp;$B9)</f>
        <v>0</v>
      </c>
      <c r="D8" s="172">
        <f>COUNTIFS(Loads!$I:$I,"="&amp;D$2,Loads!$O:$O,"&gt;="&amp;$B8,Loads!$O:$O,"&lt;"&amp;$B9)</f>
        <v>0</v>
      </c>
      <c r="E8" s="378">
        <f>SUMIFS(Loads!$Q:$Q,Loads!$O:$O,"&gt;="&amp;$B8,Loads!$O:$O,"&lt;"&amp;$B9)</f>
        <v>0</v>
      </c>
      <c r="F8" s="172">
        <f t="shared" ref="F8:F42" si="2">IF(E8&gt;$R$8,E8-$R$8,0)</f>
        <v>0</v>
      </c>
      <c r="G8" s="284">
        <f t="shared" ref="G8:G42" si="3">IF(E8&lt;$R$8,$R$8-E8,0)</f>
        <v>180</v>
      </c>
      <c r="H8" s="284">
        <f t="shared" ref="H8:H42" si="4">E8+M7</f>
        <v>0</v>
      </c>
      <c r="I8" s="284">
        <f t="shared" ref="I8:I42" si="5">IF(H8&gt;$R$8,$R$8,H8)</f>
        <v>0</v>
      </c>
      <c r="J8" s="90">
        <f t="shared" ref="J8:J42" si="6">IF(I8&gt;E8,I8-E8,0)</f>
        <v>0</v>
      </c>
      <c r="K8" s="284">
        <f t="shared" ref="K8:K42" si="7">H8-I8</f>
        <v>0</v>
      </c>
      <c r="L8" s="284">
        <f t="shared" ref="L8:L42" si="8">K8</f>
        <v>0</v>
      </c>
      <c r="M8" s="284">
        <f t="shared" ref="M8:M9" si="9">L8-J8</f>
        <v>0</v>
      </c>
      <c r="N8" s="300"/>
      <c r="O8" s="394"/>
      <c r="P8" s="1"/>
      <c r="Q8" s="401" t="s">
        <v>2092</v>
      </c>
      <c r="R8" s="4">
        <v>180.0</v>
      </c>
      <c r="S8" s="4" t="s">
        <v>2093</v>
      </c>
      <c r="T8" s="403" t="s">
        <v>2094</v>
      </c>
    </row>
    <row r="9">
      <c r="A9" s="404">
        <v>1.0</v>
      </c>
      <c r="B9" s="194">
        <f t="shared" ref="B9:B42" si="10">$B$8+(7*$A9)</f>
        <v>45495</v>
      </c>
      <c r="C9" s="172">
        <f>COUNTIFS(Loads!$I:$I,"="&amp;C$2,Loads!$O:$O,"&gt;="&amp;$B9,Loads!$O:$O,"&lt;"&amp;$B10)</f>
        <v>0</v>
      </c>
      <c r="D9" s="172">
        <f>COUNTIFS(Loads!$I:$I,"="&amp;D$2,Loads!$O:$O,"&gt;="&amp;$B9,Loads!$O:$O,"&lt;"&amp;$B10)</f>
        <v>0</v>
      </c>
      <c r="E9" s="378">
        <f>SUMIFS(Loads!$Q:$Q,Loads!$O:$O,"&gt;="&amp;$B9,Loads!$O:$O,"&lt;"&amp;$B10)</f>
        <v>0</v>
      </c>
      <c r="F9" s="172">
        <f t="shared" si="2"/>
        <v>0</v>
      </c>
      <c r="G9" s="284">
        <f t="shared" si="3"/>
        <v>180</v>
      </c>
      <c r="H9" s="284">
        <f t="shared" si="4"/>
        <v>0</v>
      </c>
      <c r="I9" s="284">
        <f t="shared" si="5"/>
        <v>0</v>
      </c>
      <c r="J9" s="90">
        <f t="shared" si="6"/>
        <v>0</v>
      </c>
      <c r="K9" s="284">
        <f t="shared" si="7"/>
        <v>0</v>
      </c>
      <c r="L9" s="284">
        <f t="shared" si="8"/>
        <v>0</v>
      </c>
      <c r="M9" s="284">
        <f t="shared" si="9"/>
        <v>0</v>
      </c>
      <c r="N9" s="304"/>
      <c r="O9" s="284">
        <f t="shared" ref="O9:O42" si="11">$R$8-I9</f>
        <v>180</v>
      </c>
      <c r="Q9" s="405" t="s">
        <v>2095</v>
      </c>
      <c r="R9" s="406">
        <v>110.0</v>
      </c>
      <c r="S9" s="406" t="s">
        <v>2096</v>
      </c>
      <c r="T9" s="407" t="s">
        <v>2097</v>
      </c>
    </row>
    <row r="10">
      <c r="A10" s="404">
        <v>2.0</v>
      </c>
      <c r="B10" s="194">
        <f t="shared" si="10"/>
        <v>45502</v>
      </c>
      <c r="C10" s="172">
        <f>COUNTIFS(Loads!$I:$I,"="&amp;C$2,Loads!$O:$O,"&gt;="&amp;$B10,Loads!$O:$O,"&lt;"&amp;$B11)</f>
        <v>0</v>
      </c>
      <c r="D10" s="172">
        <f>COUNTIFS(Loads!$I:$I,"="&amp;D$2,Loads!$O:$O,"&gt;="&amp;$B10,Loads!$O:$O,"&lt;"&amp;$B11)</f>
        <v>1</v>
      </c>
      <c r="E10" s="378">
        <f>SUMIFS(Loads!$Q:$Q,Loads!$O:$O,"&gt;="&amp;$B10,Loads!$O:$O,"&lt;"&amp;$B11)</f>
        <v>81.45</v>
      </c>
      <c r="F10" s="172">
        <f t="shared" si="2"/>
        <v>0</v>
      </c>
      <c r="G10" s="284">
        <f t="shared" si="3"/>
        <v>98.55</v>
      </c>
      <c r="H10" s="284">
        <f t="shared" si="4"/>
        <v>81.45</v>
      </c>
      <c r="I10" s="284">
        <f t="shared" si="5"/>
        <v>81.45</v>
      </c>
      <c r="J10" s="90">
        <f t="shared" si="6"/>
        <v>0</v>
      </c>
      <c r="K10" s="284">
        <f t="shared" si="7"/>
        <v>0</v>
      </c>
      <c r="L10" s="284">
        <f t="shared" si="8"/>
        <v>0</v>
      </c>
      <c r="M10" s="284">
        <f t="shared" ref="M10:M14" si="12">M9+L10-J10</f>
        <v>0</v>
      </c>
      <c r="N10" s="304"/>
      <c r="O10" s="284">
        <f t="shared" si="11"/>
        <v>98.55</v>
      </c>
    </row>
    <row r="11">
      <c r="A11" s="404">
        <v>3.0</v>
      </c>
      <c r="B11" s="194">
        <f t="shared" si="10"/>
        <v>45509</v>
      </c>
      <c r="C11" s="172">
        <f>COUNTIFS(Loads!$I:$I,"="&amp;C$2,Loads!$O:$O,"&gt;="&amp;$B11,Loads!$O:$O,"&lt;"&amp;$B12)</f>
        <v>0</v>
      </c>
      <c r="D11" s="172">
        <f>COUNTIFS(Loads!$I:$I,"="&amp;D$2,Loads!$O:$O,"&gt;="&amp;$B11,Loads!$O:$O,"&lt;"&amp;$B12)</f>
        <v>0</v>
      </c>
      <c r="E11" s="378">
        <f>SUMIFS(Loads!$Q:$Q,Loads!$O:$O,"&gt;="&amp;$B11,Loads!$O:$O,"&lt;"&amp;$B12)</f>
        <v>0</v>
      </c>
      <c r="F11" s="172">
        <f t="shared" si="2"/>
        <v>0</v>
      </c>
      <c r="G11" s="284">
        <f t="shared" si="3"/>
        <v>180</v>
      </c>
      <c r="H11" s="284">
        <f t="shared" si="4"/>
        <v>0</v>
      </c>
      <c r="I11" s="284">
        <f t="shared" si="5"/>
        <v>0</v>
      </c>
      <c r="J11" s="90">
        <f t="shared" si="6"/>
        <v>0</v>
      </c>
      <c r="K11" s="284">
        <f t="shared" si="7"/>
        <v>0</v>
      </c>
      <c r="L11" s="284">
        <f t="shared" si="8"/>
        <v>0</v>
      </c>
      <c r="M11" s="284">
        <f t="shared" si="12"/>
        <v>0</v>
      </c>
      <c r="N11" s="304"/>
      <c r="O11" s="284">
        <f t="shared" si="11"/>
        <v>180</v>
      </c>
      <c r="S11" s="1"/>
    </row>
    <row r="12">
      <c r="A12" s="404">
        <v>4.0</v>
      </c>
      <c r="B12" s="194">
        <f t="shared" si="10"/>
        <v>45516</v>
      </c>
      <c r="C12" s="172">
        <f>COUNTIFS(Loads!$I:$I,"="&amp;C$2,Loads!$O:$O,"&gt;="&amp;$B12,Loads!$O:$O,"&lt;"&amp;$B13)</f>
        <v>0</v>
      </c>
      <c r="D12" s="172">
        <f>COUNTIFS(Loads!$I:$I,"="&amp;D$2,Loads!$O:$O,"&gt;="&amp;$B12,Loads!$O:$O,"&lt;"&amp;$B13)</f>
        <v>0</v>
      </c>
      <c r="E12" s="378">
        <f>SUMIFS(Loads!$Q:$Q,Loads!$O:$O,"&gt;="&amp;$B12,Loads!$O:$O,"&lt;"&amp;$B13)</f>
        <v>0</v>
      </c>
      <c r="F12" s="172">
        <f t="shared" si="2"/>
        <v>0</v>
      </c>
      <c r="G12" s="284">
        <f t="shared" si="3"/>
        <v>180</v>
      </c>
      <c r="H12" s="284">
        <f t="shared" si="4"/>
        <v>0</v>
      </c>
      <c r="I12" s="284">
        <f t="shared" si="5"/>
        <v>0</v>
      </c>
      <c r="J12" s="90">
        <f t="shared" si="6"/>
        <v>0</v>
      </c>
      <c r="K12" s="284">
        <f t="shared" si="7"/>
        <v>0</v>
      </c>
      <c r="L12" s="284">
        <f t="shared" si="8"/>
        <v>0</v>
      </c>
      <c r="M12" s="284">
        <f t="shared" si="12"/>
        <v>0</v>
      </c>
      <c r="N12" s="304"/>
      <c r="O12" s="284">
        <f t="shared" si="11"/>
        <v>180</v>
      </c>
    </row>
    <row r="13">
      <c r="A13" s="404">
        <v>5.0</v>
      </c>
      <c r="B13" s="194">
        <f t="shared" si="10"/>
        <v>45523</v>
      </c>
      <c r="C13" s="172">
        <f>COUNTIFS(Loads!$I:$I,"="&amp;C$2,Loads!$O:$O,"&gt;="&amp;$B13,Loads!$O:$O,"&lt;"&amp;$B14)</f>
        <v>0</v>
      </c>
      <c r="D13" s="172">
        <f>COUNTIFS(Loads!$I:$I,"="&amp;D$2,Loads!$O:$O,"&gt;="&amp;$B13,Loads!$O:$O,"&lt;"&amp;$B14)</f>
        <v>0</v>
      </c>
      <c r="E13" s="378">
        <f>SUMIFS(Loads!$Q:$Q,Loads!$O:$O,"&gt;="&amp;$B13,Loads!$O:$O,"&lt;"&amp;$B14)</f>
        <v>0</v>
      </c>
      <c r="F13" s="172">
        <f t="shared" si="2"/>
        <v>0</v>
      </c>
      <c r="G13" s="284">
        <f t="shared" si="3"/>
        <v>180</v>
      </c>
      <c r="H13" s="284">
        <f t="shared" si="4"/>
        <v>0</v>
      </c>
      <c r="I13" s="284">
        <f t="shared" si="5"/>
        <v>0</v>
      </c>
      <c r="J13" s="90">
        <f t="shared" si="6"/>
        <v>0</v>
      </c>
      <c r="K13" s="284">
        <f t="shared" si="7"/>
        <v>0</v>
      </c>
      <c r="L13" s="284">
        <f t="shared" si="8"/>
        <v>0</v>
      </c>
      <c r="M13" s="284">
        <f t="shared" si="12"/>
        <v>0</v>
      </c>
      <c r="N13" s="304"/>
      <c r="O13" s="284">
        <f t="shared" si="11"/>
        <v>180</v>
      </c>
    </row>
    <row r="14">
      <c r="A14" s="404">
        <v>6.0</v>
      </c>
      <c r="B14" s="194">
        <f t="shared" si="10"/>
        <v>45530</v>
      </c>
      <c r="C14" s="172">
        <f>COUNTIFS(Loads!$I:$I,"="&amp;C$2,Loads!$O:$O,"&gt;="&amp;$B14,Loads!$O:$O,"&lt;"&amp;$B15)</f>
        <v>0</v>
      </c>
      <c r="D14" s="172">
        <f>COUNTIFS(Loads!$I:$I,"="&amp;D$2,Loads!$O:$O,"&gt;="&amp;$B14,Loads!$O:$O,"&lt;"&amp;$B15)</f>
        <v>1</v>
      </c>
      <c r="E14" s="378">
        <f>SUMIFS(Loads!$Q:$Q,Loads!$O:$O,"&gt;="&amp;$B14,Loads!$O:$O,"&lt;"&amp;$B15)</f>
        <v>81.29</v>
      </c>
      <c r="F14" s="172">
        <f t="shared" si="2"/>
        <v>0</v>
      </c>
      <c r="G14" s="284">
        <f t="shared" si="3"/>
        <v>98.71</v>
      </c>
      <c r="H14" s="284">
        <f t="shared" si="4"/>
        <v>81.29</v>
      </c>
      <c r="I14" s="284">
        <f t="shared" si="5"/>
        <v>81.29</v>
      </c>
      <c r="J14" s="90">
        <f t="shared" si="6"/>
        <v>0</v>
      </c>
      <c r="K14" s="284">
        <f t="shared" si="7"/>
        <v>0</v>
      </c>
      <c r="L14" s="284">
        <f t="shared" si="8"/>
        <v>0</v>
      </c>
      <c r="M14" s="284">
        <f t="shared" si="12"/>
        <v>0</v>
      </c>
      <c r="N14" s="304"/>
      <c r="O14" s="284">
        <f t="shared" si="11"/>
        <v>98.71</v>
      </c>
    </row>
    <row r="15">
      <c r="A15" s="404">
        <v>7.0</v>
      </c>
      <c r="B15" s="194">
        <f t="shared" si="10"/>
        <v>45537</v>
      </c>
      <c r="C15" s="172">
        <f>COUNTIFS(Loads!$I:$I,"="&amp;C$2,Loads!$O:$O,"&gt;="&amp;$B15,Loads!$O:$O,"&lt;"&amp;$B16)</f>
        <v>0</v>
      </c>
      <c r="D15" s="172">
        <f>COUNTIFS(Loads!$I:$I,"="&amp;D$2,Loads!$O:$O,"&gt;="&amp;$B15,Loads!$O:$O,"&lt;"&amp;$B16)</f>
        <v>0</v>
      </c>
      <c r="E15" s="378">
        <f>SUMIFS(Loads!$Q:$Q,Loads!$O:$O,"&gt;="&amp;$B15,Loads!$O:$O,"&lt;"&amp;$B16)</f>
        <v>0</v>
      </c>
      <c r="F15" s="172">
        <f t="shared" si="2"/>
        <v>0</v>
      </c>
      <c r="G15" s="284">
        <f t="shared" si="3"/>
        <v>180</v>
      </c>
      <c r="H15" s="284">
        <f t="shared" si="4"/>
        <v>0</v>
      </c>
      <c r="I15" s="284">
        <f t="shared" si="5"/>
        <v>0</v>
      </c>
      <c r="J15" s="90">
        <f t="shared" si="6"/>
        <v>0</v>
      </c>
      <c r="K15" s="284">
        <f t="shared" si="7"/>
        <v>0</v>
      </c>
      <c r="L15" s="284">
        <f t="shared" si="8"/>
        <v>0</v>
      </c>
      <c r="M15" s="408">
        <f t="shared" ref="M15:M16" si="13">L15</f>
        <v>0</v>
      </c>
      <c r="N15" s="304"/>
      <c r="O15" s="284">
        <f t="shared" si="11"/>
        <v>180</v>
      </c>
    </row>
    <row r="16">
      <c r="A16" s="404">
        <v>8.0</v>
      </c>
      <c r="B16" s="194">
        <f t="shared" si="10"/>
        <v>45544</v>
      </c>
      <c r="C16" s="172">
        <f>COUNTIFS(Loads!$I:$I,"="&amp;C$2,Loads!$O:$O,"&gt;="&amp;$B16,Loads!$O:$O,"&lt;"&amp;$B17)</f>
        <v>0</v>
      </c>
      <c r="D16" s="172">
        <f>COUNTIFS(Loads!$I:$I,"="&amp;D$2,Loads!$O:$O,"&gt;="&amp;$B16,Loads!$O:$O,"&lt;"&amp;$B17)</f>
        <v>0</v>
      </c>
      <c r="E16" s="378">
        <f>SUMIFS(Loads!$Q:$Q,Loads!$O:$O,"&gt;="&amp;$B16,Loads!$O:$O,"&lt;"&amp;$B17)</f>
        <v>0</v>
      </c>
      <c r="F16" s="172">
        <f t="shared" si="2"/>
        <v>0</v>
      </c>
      <c r="G16" s="284">
        <f t="shared" si="3"/>
        <v>180</v>
      </c>
      <c r="H16" s="284">
        <f t="shared" si="4"/>
        <v>0</v>
      </c>
      <c r="I16" s="307">
        <f t="shared" si="5"/>
        <v>0</v>
      </c>
      <c r="J16" s="90">
        <f t="shared" si="6"/>
        <v>0</v>
      </c>
      <c r="K16" s="284">
        <f t="shared" si="7"/>
        <v>0</v>
      </c>
      <c r="L16" s="284">
        <f t="shared" si="8"/>
        <v>0</v>
      </c>
      <c r="M16" s="284">
        <f t="shared" si="13"/>
        <v>0</v>
      </c>
      <c r="N16" s="304"/>
      <c r="O16" s="307">
        <f t="shared" si="11"/>
        <v>180</v>
      </c>
    </row>
    <row r="17">
      <c r="A17" s="404">
        <v>9.0</v>
      </c>
      <c r="B17" s="194">
        <f t="shared" si="10"/>
        <v>45551</v>
      </c>
      <c r="C17" s="172">
        <f>COUNTIFS(Loads!$I:$I,"="&amp;C$2,Loads!$O:$O,"&gt;="&amp;$B17,Loads!$O:$O,"&lt;"&amp;$B18)</f>
        <v>0</v>
      </c>
      <c r="D17" s="172">
        <f>COUNTIFS(Loads!$I:$I,"="&amp;D$2,Loads!$O:$O,"&gt;="&amp;$B17,Loads!$O:$O,"&lt;"&amp;$B18)</f>
        <v>1</v>
      </c>
      <c r="E17" s="378">
        <f>SUMIFS(Loads!$Q:$Q,Loads!$O:$O,"&gt;="&amp;$B17,Loads!$O:$O,"&lt;"&amp;$B18)</f>
        <v>81.66</v>
      </c>
      <c r="F17" s="172">
        <f t="shared" si="2"/>
        <v>0</v>
      </c>
      <c r="G17" s="284">
        <f t="shared" si="3"/>
        <v>98.34</v>
      </c>
      <c r="H17" s="284">
        <f t="shared" si="4"/>
        <v>81.66</v>
      </c>
      <c r="I17" s="284">
        <f t="shared" si="5"/>
        <v>81.66</v>
      </c>
      <c r="J17" s="90">
        <f t="shared" si="6"/>
        <v>0</v>
      </c>
      <c r="K17" s="284">
        <f t="shared" si="7"/>
        <v>0</v>
      </c>
      <c r="L17" s="284">
        <f t="shared" si="8"/>
        <v>0</v>
      </c>
      <c r="M17" s="284">
        <f t="shared" ref="M17:M21" si="14">M16+L17-J17</f>
        <v>0</v>
      </c>
      <c r="N17" s="304"/>
      <c r="O17" s="284">
        <f t="shared" si="11"/>
        <v>98.34</v>
      </c>
    </row>
    <row r="18">
      <c r="A18" s="404">
        <v>10.0</v>
      </c>
      <c r="B18" s="194">
        <f t="shared" si="10"/>
        <v>45558</v>
      </c>
      <c r="C18" s="172">
        <f>COUNTIFS(Loads!$I:$I,"="&amp;C$2,Loads!$O:$O,"&gt;="&amp;$B18,Loads!$O:$O,"&lt;"&amp;$B19)</f>
        <v>0</v>
      </c>
      <c r="D18" s="172">
        <f>COUNTIFS(Loads!$I:$I,"="&amp;D$2,Loads!$O:$O,"&gt;="&amp;$B18,Loads!$O:$O,"&lt;"&amp;$B19)</f>
        <v>1</v>
      </c>
      <c r="E18" s="378">
        <f>SUMIFS(Loads!$Q:$Q,Loads!$O:$O,"&gt;="&amp;$B18,Loads!$O:$O,"&lt;"&amp;$B19)</f>
        <v>80.73</v>
      </c>
      <c r="F18" s="172">
        <f t="shared" si="2"/>
        <v>0</v>
      </c>
      <c r="G18" s="284">
        <f t="shared" si="3"/>
        <v>99.27</v>
      </c>
      <c r="H18" s="284">
        <f t="shared" si="4"/>
        <v>80.73</v>
      </c>
      <c r="I18" s="284">
        <f t="shared" si="5"/>
        <v>80.73</v>
      </c>
      <c r="J18" s="90">
        <f t="shared" si="6"/>
        <v>0</v>
      </c>
      <c r="K18" s="284">
        <f t="shared" si="7"/>
        <v>0</v>
      </c>
      <c r="L18" s="284">
        <f t="shared" si="8"/>
        <v>0</v>
      </c>
      <c r="M18" s="284">
        <f t="shared" si="14"/>
        <v>0</v>
      </c>
      <c r="N18" s="304"/>
      <c r="O18" s="284">
        <f t="shared" si="11"/>
        <v>99.27</v>
      </c>
    </row>
    <row r="19">
      <c r="A19" s="404">
        <v>11.0</v>
      </c>
      <c r="B19" s="194">
        <f t="shared" si="10"/>
        <v>45565</v>
      </c>
      <c r="C19" s="172">
        <f>COUNTIFS(Loads!$I:$I,"="&amp;C$2,Loads!$O:$O,"&gt;="&amp;$B19,Loads!$O:$O,"&lt;"&amp;$B20)</f>
        <v>0</v>
      </c>
      <c r="D19" s="172">
        <f>COUNTIFS(Loads!$I:$I,"="&amp;D$2,Loads!$O:$O,"&gt;="&amp;$B19,Loads!$O:$O,"&lt;"&amp;$B20)</f>
        <v>1</v>
      </c>
      <c r="E19" s="378">
        <f>SUMIFS(Loads!$Q:$Q,Loads!$O:$O,"&gt;="&amp;$B19,Loads!$O:$O,"&lt;"&amp;$B20)</f>
        <v>78.74</v>
      </c>
      <c r="F19" s="172">
        <f t="shared" si="2"/>
        <v>0</v>
      </c>
      <c r="G19" s="284">
        <f t="shared" si="3"/>
        <v>101.26</v>
      </c>
      <c r="H19" s="284">
        <f t="shared" si="4"/>
        <v>78.74</v>
      </c>
      <c r="I19" s="284">
        <f t="shared" si="5"/>
        <v>78.74</v>
      </c>
      <c r="J19" s="90">
        <f t="shared" si="6"/>
        <v>0</v>
      </c>
      <c r="K19" s="284">
        <f t="shared" si="7"/>
        <v>0</v>
      </c>
      <c r="L19" s="284">
        <f t="shared" si="8"/>
        <v>0</v>
      </c>
      <c r="M19" s="284">
        <f t="shared" si="14"/>
        <v>0</v>
      </c>
      <c r="N19" s="304"/>
      <c r="O19" s="284">
        <f t="shared" si="11"/>
        <v>101.26</v>
      </c>
    </row>
    <row r="20">
      <c r="A20" s="404">
        <v>12.0</v>
      </c>
      <c r="B20" s="194">
        <f t="shared" si="10"/>
        <v>45572</v>
      </c>
      <c r="C20" s="172">
        <f>COUNTIFS(Loads!$I:$I,"="&amp;C$2,Loads!$O:$O,"&gt;="&amp;$B20,Loads!$O:$O,"&lt;"&amp;$B21)</f>
        <v>0</v>
      </c>
      <c r="D20" s="172">
        <f>COUNTIFS(Loads!$I:$I,"="&amp;D$2,Loads!$O:$O,"&gt;="&amp;$B20,Loads!$O:$O,"&lt;"&amp;$B21)</f>
        <v>1</v>
      </c>
      <c r="E20" s="378">
        <f>SUMIFS(Loads!$Q:$Q,Loads!$O:$O,"&gt;="&amp;$B20,Loads!$O:$O,"&lt;"&amp;$B21)</f>
        <v>80.01</v>
      </c>
      <c r="F20" s="172">
        <f t="shared" si="2"/>
        <v>0</v>
      </c>
      <c r="G20" s="284">
        <f t="shared" si="3"/>
        <v>99.99</v>
      </c>
      <c r="H20" s="284">
        <f t="shared" si="4"/>
        <v>80.01</v>
      </c>
      <c r="I20" s="284">
        <f t="shared" si="5"/>
        <v>80.01</v>
      </c>
      <c r="J20" s="90">
        <f t="shared" si="6"/>
        <v>0</v>
      </c>
      <c r="K20" s="284">
        <f t="shared" si="7"/>
        <v>0</v>
      </c>
      <c r="L20" s="284">
        <f t="shared" si="8"/>
        <v>0</v>
      </c>
      <c r="M20" s="284">
        <f t="shared" si="14"/>
        <v>0</v>
      </c>
      <c r="N20" s="304"/>
      <c r="O20" s="284">
        <f t="shared" si="11"/>
        <v>99.99</v>
      </c>
      <c r="P20" s="1" t="s">
        <v>2098</v>
      </c>
    </row>
    <row r="21">
      <c r="A21" s="334">
        <v>13.0</v>
      </c>
      <c r="B21" s="194">
        <f t="shared" si="10"/>
        <v>45579</v>
      </c>
      <c r="C21" s="172">
        <f>COUNTIFS(Loads!$I:$I,"="&amp;C$2,Loads!$O:$O,"&gt;="&amp;$B21,Loads!$O:$O,"&lt;"&amp;$B22)</f>
        <v>0</v>
      </c>
      <c r="D21" s="172">
        <f>COUNTIFS(Loads!$I:$I,"="&amp;D$2,Loads!$O:$O,"&gt;="&amp;$B21,Loads!$O:$O,"&lt;"&amp;$B22)</f>
        <v>1</v>
      </c>
      <c r="E21" s="378">
        <f>SUMIFS(Loads!$Q:$Q,Loads!$O:$O,"&gt;="&amp;$B21,Loads!$O:$O,"&lt;"&amp;$B22)</f>
        <v>79.73</v>
      </c>
      <c r="F21" s="172">
        <f t="shared" si="2"/>
        <v>0</v>
      </c>
      <c r="G21" s="284">
        <f t="shared" si="3"/>
        <v>100.27</v>
      </c>
      <c r="H21" s="284">
        <f t="shared" si="4"/>
        <v>79.73</v>
      </c>
      <c r="I21" s="284">
        <f t="shared" si="5"/>
        <v>79.73</v>
      </c>
      <c r="J21" s="90">
        <f t="shared" si="6"/>
        <v>0</v>
      </c>
      <c r="K21" s="284">
        <f t="shared" si="7"/>
        <v>0</v>
      </c>
      <c r="L21" s="284">
        <f t="shared" si="8"/>
        <v>0</v>
      </c>
      <c r="M21" s="284">
        <f t="shared" si="14"/>
        <v>0</v>
      </c>
      <c r="N21" s="304"/>
      <c r="O21" s="284">
        <f t="shared" si="11"/>
        <v>100.27</v>
      </c>
    </row>
    <row r="22">
      <c r="A22" s="334">
        <v>14.0</v>
      </c>
      <c r="B22" s="194">
        <f t="shared" si="10"/>
        <v>45586</v>
      </c>
      <c r="C22" s="172">
        <f>COUNTIFS(Loads!$I:$I,"="&amp;C$2,Loads!$O:$O,"&gt;="&amp;$B22,Loads!$O:$O,"&lt;"&amp;$B23)</f>
        <v>0</v>
      </c>
      <c r="D22" s="172">
        <f>COUNTIFS(Loads!$I:$I,"="&amp;D$2,Loads!$O:$O,"&gt;="&amp;$B22,Loads!$O:$O,"&lt;"&amp;$B23)</f>
        <v>2</v>
      </c>
      <c r="E22" s="378">
        <f>SUMIFS(Loads!$Q:$Q,Loads!$O:$O,"&gt;="&amp;$B22,Loads!$O:$O,"&lt;"&amp;$B23)</f>
        <v>159.87</v>
      </c>
      <c r="F22" s="172">
        <f t="shared" si="2"/>
        <v>0</v>
      </c>
      <c r="G22" s="284">
        <f t="shared" si="3"/>
        <v>20.13</v>
      </c>
      <c r="H22" s="284">
        <f t="shared" si="4"/>
        <v>159.87</v>
      </c>
      <c r="I22" s="284">
        <f t="shared" si="5"/>
        <v>159.87</v>
      </c>
      <c r="J22" s="90">
        <f t="shared" si="6"/>
        <v>0</v>
      </c>
      <c r="K22" s="284">
        <f t="shared" si="7"/>
        <v>0</v>
      </c>
      <c r="L22" s="284">
        <f t="shared" si="8"/>
        <v>0</v>
      </c>
      <c r="M22" s="284">
        <f t="shared" ref="M22:M42" si="15">L22</f>
        <v>0</v>
      </c>
      <c r="N22" s="304"/>
      <c r="O22" s="284">
        <f t="shared" si="11"/>
        <v>20.13</v>
      </c>
    </row>
    <row r="23">
      <c r="A23" s="334">
        <v>15.0</v>
      </c>
      <c r="B23" s="194">
        <f t="shared" si="10"/>
        <v>45593</v>
      </c>
      <c r="C23" s="172">
        <f>COUNTIFS(Loads!$I:$I,"="&amp;C$2,Loads!$O:$O,"&gt;="&amp;$B23,Loads!$O:$O,"&lt;"&amp;$B24)</f>
        <v>1</v>
      </c>
      <c r="D23" s="172">
        <f>COUNTIFS(Loads!$I:$I,"="&amp;D$2,Loads!$O:$O,"&gt;="&amp;$B23,Loads!$O:$O,"&lt;"&amp;$B24)</f>
        <v>2</v>
      </c>
      <c r="E23" s="378">
        <f>SUMIFS(Loads!$Q:$Q,Loads!$O:$O,"&gt;="&amp;$B23,Loads!$O:$O,"&lt;"&amp;$B24)</f>
        <v>179.26</v>
      </c>
      <c r="F23" s="172">
        <f t="shared" si="2"/>
        <v>0</v>
      </c>
      <c r="G23" s="284">
        <f t="shared" si="3"/>
        <v>0.74</v>
      </c>
      <c r="H23" s="284">
        <f t="shared" si="4"/>
        <v>179.26</v>
      </c>
      <c r="I23" s="284">
        <f t="shared" si="5"/>
        <v>179.26</v>
      </c>
      <c r="J23" s="90">
        <f t="shared" si="6"/>
        <v>0</v>
      </c>
      <c r="K23" s="284">
        <f t="shared" si="7"/>
        <v>0</v>
      </c>
      <c r="L23" s="284">
        <f t="shared" si="8"/>
        <v>0</v>
      </c>
      <c r="M23" s="284">
        <f t="shared" si="15"/>
        <v>0</v>
      </c>
      <c r="N23" s="304"/>
      <c r="O23" s="284">
        <f t="shared" si="11"/>
        <v>0.74</v>
      </c>
    </row>
    <row r="24">
      <c r="A24" s="334">
        <v>16.0</v>
      </c>
      <c r="B24" s="194">
        <f t="shared" si="10"/>
        <v>45600</v>
      </c>
      <c r="C24" s="172">
        <f>COUNTIFS(Loads!$I:$I,"="&amp;C$2,Loads!$O:$O,"&gt;="&amp;$B24,Loads!$O:$O,"&lt;"&amp;$B25)</f>
        <v>0</v>
      </c>
      <c r="D24" s="172">
        <f>COUNTIFS(Loads!$I:$I,"="&amp;D$2,Loads!$O:$O,"&gt;="&amp;$B24,Loads!$O:$O,"&lt;"&amp;$B25)</f>
        <v>0</v>
      </c>
      <c r="E24" s="378">
        <f>SUMIFS(Loads!$Q:$Q,Loads!$O:$O,"&gt;="&amp;$B24,Loads!$O:$O,"&lt;"&amp;$B25)</f>
        <v>0</v>
      </c>
      <c r="F24" s="172">
        <f t="shared" si="2"/>
        <v>0</v>
      </c>
      <c r="G24" s="284">
        <f t="shared" si="3"/>
        <v>180</v>
      </c>
      <c r="H24" s="284">
        <f t="shared" si="4"/>
        <v>0</v>
      </c>
      <c r="I24" s="284">
        <f t="shared" si="5"/>
        <v>0</v>
      </c>
      <c r="J24" s="90">
        <f t="shared" si="6"/>
        <v>0</v>
      </c>
      <c r="K24" s="284">
        <f t="shared" si="7"/>
        <v>0</v>
      </c>
      <c r="L24" s="284">
        <f t="shared" si="8"/>
        <v>0</v>
      </c>
      <c r="M24" s="284">
        <f t="shared" si="15"/>
        <v>0</v>
      </c>
      <c r="N24" s="304"/>
      <c r="O24" s="284">
        <f t="shared" si="11"/>
        <v>180</v>
      </c>
    </row>
    <row r="25">
      <c r="A25" s="334">
        <v>17.0</v>
      </c>
      <c r="B25" s="194">
        <f t="shared" si="10"/>
        <v>45607</v>
      </c>
      <c r="C25" s="172">
        <f>COUNTIFS(Loads!$I:$I,"="&amp;C$2,Loads!$O:$O,"&gt;="&amp;$B25,Loads!$O:$O,"&lt;"&amp;$B26)</f>
        <v>5</v>
      </c>
      <c r="D25" s="172">
        <f>COUNTIFS(Loads!$I:$I,"="&amp;D$2,Loads!$O:$O,"&gt;="&amp;$B25,Loads!$O:$O,"&lt;"&amp;$B26)</f>
        <v>0</v>
      </c>
      <c r="E25" s="378">
        <f>SUMIFS(Loads!$Q:$Q,Loads!$O:$O,"&gt;="&amp;$B25,Loads!$O:$O,"&lt;"&amp;$B26)</f>
        <v>102.32</v>
      </c>
      <c r="F25" s="172">
        <f t="shared" si="2"/>
        <v>0</v>
      </c>
      <c r="G25" s="284">
        <f t="shared" si="3"/>
        <v>77.68</v>
      </c>
      <c r="H25" s="284">
        <f t="shared" si="4"/>
        <v>102.32</v>
      </c>
      <c r="I25" s="284">
        <f t="shared" si="5"/>
        <v>102.32</v>
      </c>
      <c r="J25" s="90">
        <f t="shared" si="6"/>
        <v>0</v>
      </c>
      <c r="K25" s="284">
        <f t="shared" si="7"/>
        <v>0</v>
      </c>
      <c r="L25" s="284">
        <f t="shared" si="8"/>
        <v>0</v>
      </c>
      <c r="M25" s="284">
        <f t="shared" si="15"/>
        <v>0</v>
      </c>
      <c r="N25" s="304"/>
      <c r="O25" s="284">
        <f t="shared" si="11"/>
        <v>77.68</v>
      </c>
    </row>
    <row r="26">
      <c r="A26" s="334">
        <v>18.0</v>
      </c>
      <c r="B26" s="194">
        <f t="shared" si="10"/>
        <v>45614</v>
      </c>
      <c r="C26" s="172">
        <f>COUNTIFS(Loads!$I:$I,"="&amp;C$2,Loads!$O:$O,"&gt;="&amp;$B26,Loads!$O:$O,"&lt;"&amp;$B27)</f>
        <v>4</v>
      </c>
      <c r="D26" s="172">
        <f>COUNTIFS(Loads!$I:$I,"="&amp;D$2,Loads!$O:$O,"&gt;="&amp;$B26,Loads!$O:$O,"&lt;"&amp;$B27)</f>
        <v>1</v>
      </c>
      <c r="E26" s="378">
        <f>SUMIFS(Loads!$Q:$Q,Loads!$O:$O,"&gt;="&amp;$B26,Loads!$O:$O,"&lt;"&amp;$B27)</f>
        <v>164.06</v>
      </c>
      <c r="F26" s="172">
        <f t="shared" si="2"/>
        <v>0</v>
      </c>
      <c r="G26" s="284">
        <f t="shared" si="3"/>
        <v>15.94</v>
      </c>
      <c r="H26" s="284">
        <f t="shared" si="4"/>
        <v>164.06</v>
      </c>
      <c r="I26" s="284">
        <f t="shared" si="5"/>
        <v>164.06</v>
      </c>
      <c r="J26" s="90">
        <f t="shared" si="6"/>
        <v>0</v>
      </c>
      <c r="K26" s="284">
        <f t="shared" si="7"/>
        <v>0</v>
      </c>
      <c r="L26" s="284">
        <f t="shared" si="8"/>
        <v>0</v>
      </c>
      <c r="M26" s="284">
        <f t="shared" si="15"/>
        <v>0</v>
      </c>
      <c r="N26" s="304"/>
      <c r="O26" s="284">
        <f t="shared" si="11"/>
        <v>15.94</v>
      </c>
    </row>
    <row r="27">
      <c r="A27" s="334">
        <v>19.0</v>
      </c>
      <c r="B27" s="194">
        <f t="shared" si="10"/>
        <v>45621</v>
      </c>
      <c r="C27" s="172">
        <f>COUNTIFS(Loads!$I:$I,"="&amp;C$2,Loads!$O:$O,"&gt;="&amp;$B27,Loads!$O:$O,"&lt;"&amp;$B28)</f>
        <v>6</v>
      </c>
      <c r="D27" s="172">
        <f>COUNTIFS(Loads!$I:$I,"="&amp;D$2,Loads!$O:$O,"&gt;="&amp;$B27,Loads!$O:$O,"&lt;"&amp;$B28)</f>
        <v>2</v>
      </c>
      <c r="E27" s="378">
        <f>SUMIFS(Loads!$Q:$Q,Loads!$O:$O,"&gt;="&amp;$B27,Loads!$O:$O,"&lt;"&amp;$B28)</f>
        <v>281.84</v>
      </c>
      <c r="F27" s="378">
        <f t="shared" si="2"/>
        <v>101.84</v>
      </c>
      <c r="G27" s="90">
        <f t="shared" si="3"/>
        <v>0</v>
      </c>
      <c r="H27" s="284">
        <f t="shared" si="4"/>
        <v>281.84</v>
      </c>
      <c r="I27" s="90">
        <f t="shared" si="5"/>
        <v>180</v>
      </c>
      <c r="J27" s="90">
        <f t="shared" si="6"/>
        <v>0</v>
      </c>
      <c r="K27" s="284">
        <f t="shared" si="7"/>
        <v>101.84</v>
      </c>
      <c r="L27" s="284">
        <f t="shared" si="8"/>
        <v>101.84</v>
      </c>
      <c r="M27" s="284">
        <f t="shared" si="15"/>
        <v>101.84</v>
      </c>
      <c r="N27" s="304"/>
      <c r="O27" s="90">
        <f t="shared" si="11"/>
        <v>0</v>
      </c>
    </row>
    <row r="28">
      <c r="A28" s="334">
        <v>20.0</v>
      </c>
      <c r="B28" s="194">
        <f t="shared" si="10"/>
        <v>45628</v>
      </c>
      <c r="C28" s="172">
        <f>COUNTIFS(Loads!$I:$I,"="&amp;C$2,Loads!$O:$O,"&gt;="&amp;$B28,Loads!$O:$O,"&lt;"&amp;$B29)</f>
        <v>6</v>
      </c>
      <c r="D28" s="172">
        <f>COUNTIFS(Loads!$I:$I,"="&amp;D$2,Loads!$O:$O,"&gt;="&amp;$B28,Loads!$O:$O,"&lt;"&amp;$B29)</f>
        <v>0</v>
      </c>
      <c r="E28" s="378">
        <f>SUMIFS(Loads!$Q:$Q,Loads!$O:$O,"&gt;="&amp;$B28,Loads!$O:$O,"&lt;"&amp;$B29)</f>
        <v>121.1</v>
      </c>
      <c r="F28" s="172">
        <f t="shared" si="2"/>
        <v>0</v>
      </c>
      <c r="G28" s="284">
        <f t="shared" si="3"/>
        <v>58.9</v>
      </c>
      <c r="H28" s="284">
        <f t="shared" si="4"/>
        <v>222.94</v>
      </c>
      <c r="I28" s="90">
        <f t="shared" si="5"/>
        <v>180</v>
      </c>
      <c r="J28" s="284">
        <f t="shared" si="6"/>
        <v>58.9</v>
      </c>
      <c r="K28" s="284">
        <f t="shared" si="7"/>
        <v>42.94</v>
      </c>
      <c r="L28" s="284">
        <f t="shared" si="8"/>
        <v>42.94</v>
      </c>
      <c r="M28" s="284">
        <f t="shared" si="15"/>
        <v>42.94</v>
      </c>
      <c r="N28" s="304"/>
      <c r="O28" s="90">
        <f t="shared" si="11"/>
        <v>0</v>
      </c>
    </row>
    <row r="29">
      <c r="A29" s="334">
        <v>21.0</v>
      </c>
      <c r="B29" s="194">
        <f t="shared" si="10"/>
        <v>45635</v>
      </c>
      <c r="C29" s="172">
        <f>COUNTIFS(Loads!$I:$I,"="&amp;C$2,Loads!$O:$O,"&gt;="&amp;$B29,Loads!$O:$O,"&lt;"&amp;$B30)</f>
        <v>4</v>
      </c>
      <c r="D29" s="172">
        <f>COUNTIFS(Loads!$I:$I,"="&amp;D$2,Loads!$O:$O,"&gt;="&amp;$B29,Loads!$O:$O,"&lt;"&amp;$B30)</f>
        <v>0</v>
      </c>
      <c r="E29" s="378">
        <f>SUMIFS(Loads!$Q:$Q,Loads!$O:$O,"&gt;="&amp;$B29,Loads!$O:$O,"&lt;"&amp;$B30)</f>
        <v>82.32</v>
      </c>
      <c r="F29" s="172">
        <f t="shared" si="2"/>
        <v>0</v>
      </c>
      <c r="G29" s="284">
        <f t="shared" si="3"/>
        <v>97.68</v>
      </c>
      <c r="H29" s="284">
        <f t="shared" si="4"/>
        <v>125.26</v>
      </c>
      <c r="I29" s="284">
        <f t="shared" si="5"/>
        <v>125.26</v>
      </c>
      <c r="J29" s="284">
        <f t="shared" si="6"/>
        <v>42.94</v>
      </c>
      <c r="K29" s="284">
        <f t="shared" si="7"/>
        <v>0</v>
      </c>
      <c r="L29" s="284">
        <f t="shared" si="8"/>
        <v>0</v>
      </c>
      <c r="M29" s="284">
        <f t="shared" si="15"/>
        <v>0</v>
      </c>
      <c r="N29" s="304"/>
      <c r="O29" s="284">
        <f t="shared" si="11"/>
        <v>54.74</v>
      </c>
    </row>
    <row r="30">
      <c r="A30" s="334">
        <v>22.0</v>
      </c>
      <c r="B30" s="194">
        <f t="shared" si="10"/>
        <v>45642</v>
      </c>
      <c r="C30" s="172">
        <f>COUNTIFS(Loads!$I:$I,"="&amp;C$2,Loads!$O:$O,"&gt;="&amp;$B30,Loads!$O:$O,"&lt;"&amp;$B31)</f>
        <v>0</v>
      </c>
      <c r="D30" s="172">
        <f>COUNTIFS(Loads!$I:$I,"="&amp;D$2,Loads!$O:$O,"&gt;="&amp;$B30,Loads!$O:$O,"&lt;"&amp;$B31)</f>
        <v>0</v>
      </c>
      <c r="E30" s="378">
        <f>SUMIFS(Loads!$Q:$Q,Loads!$O:$O,"&gt;="&amp;$B30,Loads!$O:$O,"&lt;"&amp;$B31)</f>
        <v>0</v>
      </c>
      <c r="F30" s="172">
        <f t="shared" si="2"/>
        <v>0</v>
      </c>
      <c r="G30" s="284">
        <f t="shared" si="3"/>
        <v>180</v>
      </c>
      <c r="H30" s="284">
        <f t="shared" si="4"/>
        <v>0</v>
      </c>
      <c r="I30" s="284">
        <f t="shared" si="5"/>
        <v>0</v>
      </c>
      <c r="J30" s="90">
        <f t="shared" si="6"/>
        <v>0</v>
      </c>
      <c r="K30" s="284">
        <f t="shared" si="7"/>
        <v>0</v>
      </c>
      <c r="L30" s="284">
        <f t="shared" si="8"/>
        <v>0</v>
      </c>
      <c r="M30" s="284">
        <f t="shared" si="15"/>
        <v>0</v>
      </c>
      <c r="N30" s="304"/>
      <c r="O30" s="284">
        <f t="shared" si="11"/>
        <v>180</v>
      </c>
    </row>
    <row r="31">
      <c r="A31" s="334">
        <v>23.0</v>
      </c>
      <c r="B31" s="194">
        <f t="shared" si="10"/>
        <v>45649</v>
      </c>
      <c r="C31" s="172">
        <f>COUNTIFS(Loads!$I:$I,"="&amp;C$2,Loads!$O:$O,"&gt;="&amp;$B31,Loads!$O:$O,"&lt;"&amp;$B32)</f>
        <v>4</v>
      </c>
      <c r="D31" s="172">
        <f>COUNTIFS(Loads!$I:$I,"="&amp;D$2,Loads!$O:$O,"&gt;="&amp;$B31,Loads!$O:$O,"&lt;"&amp;$B32)</f>
        <v>0</v>
      </c>
      <c r="E31" s="378">
        <f>SUMIFS(Loads!$Q:$Q,Loads!$O:$O,"&gt;="&amp;$B31,Loads!$O:$O,"&lt;"&amp;$B32)</f>
        <v>59.95</v>
      </c>
      <c r="F31" s="172">
        <f t="shared" si="2"/>
        <v>0</v>
      </c>
      <c r="G31" s="284">
        <f t="shared" si="3"/>
        <v>120.05</v>
      </c>
      <c r="H31" s="284">
        <f t="shared" si="4"/>
        <v>59.95</v>
      </c>
      <c r="I31" s="284">
        <f t="shared" si="5"/>
        <v>59.95</v>
      </c>
      <c r="J31" s="90">
        <f t="shared" si="6"/>
        <v>0</v>
      </c>
      <c r="K31" s="284">
        <f t="shared" si="7"/>
        <v>0</v>
      </c>
      <c r="L31" s="284">
        <f t="shared" si="8"/>
        <v>0</v>
      </c>
      <c r="M31" s="284">
        <f t="shared" si="15"/>
        <v>0</v>
      </c>
      <c r="N31" s="304"/>
      <c r="O31" s="284">
        <f t="shared" si="11"/>
        <v>120.05</v>
      </c>
    </row>
    <row r="32">
      <c r="A32" s="334">
        <v>24.0</v>
      </c>
      <c r="B32" s="194">
        <f t="shared" si="10"/>
        <v>45656</v>
      </c>
      <c r="C32" s="172">
        <f>COUNTIFS(Loads!$I:$I,"="&amp;C$2,Loads!$O:$O,"&gt;="&amp;$B32,Loads!$O:$O,"&lt;"&amp;$B33)</f>
        <v>6</v>
      </c>
      <c r="D32" s="172">
        <f>COUNTIFS(Loads!$I:$I,"="&amp;D$2,Loads!$O:$O,"&gt;="&amp;$B32,Loads!$O:$O,"&lt;"&amp;$B33)</f>
        <v>0</v>
      </c>
      <c r="E32" s="378">
        <f>SUMIFS(Loads!$Q:$Q,Loads!$O:$O,"&gt;="&amp;$B32,Loads!$O:$O,"&lt;"&amp;$B33)</f>
        <v>117.91</v>
      </c>
      <c r="F32" s="172">
        <f t="shared" si="2"/>
        <v>0</v>
      </c>
      <c r="G32" s="284">
        <f t="shared" si="3"/>
        <v>62.09</v>
      </c>
      <c r="H32" s="284">
        <f t="shared" si="4"/>
        <v>117.91</v>
      </c>
      <c r="I32" s="284">
        <f t="shared" si="5"/>
        <v>117.91</v>
      </c>
      <c r="J32" s="90">
        <f t="shared" si="6"/>
        <v>0</v>
      </c>
      <c r="K32" s="284">
        <f t="shared" si="7"/>
        <v>0</v>
      </c>
      <c r="L32" s="284">
        <f t="shared" si="8"/>
        <v>0</v>
      </c>
      <c r="M32" s="284">
        <f t="shared" si="15"/>
        <v>0</v>
      </c>
      <c r="N32" s="304"/>
      <c r="O32" s="284">
        <f t="shared" si="11"/>
        <v>62.09</v>
      </c>
    </row>
    <row r="33">
      <c r="A33" s="334">
        <v>25.0</v>
      </c>
      <c r="B33" s="194">
        <f t="shared" si="10"/>
        <v>45663</v>
      </c>
      <c r="C33" s="172">
        <f>COUNTIFS(Loads!$I:$I,"="&amp;C$2,Loads!$O:$O,"&gt;="&amp;$B33,Loads!$O:$O,"&lt;"&amp;$B34)</f>
        <v>5</v>
      </c>
      <c r="D33" s="172">
        <f>COUNTIFS(Loads!$I:$I,"="&amp;D$2,Loads!$O:$O,"&gt;="&amp;$B33,Loads!$O:$O,"&lt;"&amp;$B34)</f>
        <v>0</v>
      </c>
      <c r="E33" s="378">
        <f>SUMIFS(Loads!$Q:$Q,Loads!$O:$O,"&gt;="&amp;$B33,Loads!$O:$O,"&lt;"&amp;$B34)</f>
        <v>79.41</v>
      </c>
      <c r="F33" s="172">
        <f t="shared" si="2"/>
        <v>0</v>
      </c>
      <c r="G33" s="284">
        <f t="shared" si="3"/>
        <v>100.59</v>
      </c>
      <c r="H33" s="284">
        <f t="shared" si="4"/>
        <v>79.41</v>
      </c>
      <c r="I33" s="284">
        <f t="shared" si="5"/>
        <v>79.41</v>
      </c>
      <c r="J33" s="90">
        <f t="shared" si="6"/>
        <v>0</v>
      </c>
      <c r="K33" s="284">
        <f t="shared" si="7"/>
        <v>0</v>
      </c>
      <c r="L33" s="284">
        <f t="shared" si="8"/>
        <v>0</v>
      </c>
      <c r="M33" s="284">
        <f t="shared" si="15"/>
        <v>0</v>
      </c>
      <c r="N33" s="304"/>
      <c r="O33" s="284">
        <f t="shared" si="11"/>
        <v>100.59</v>
      </c>
    </row>
    <row r="34">
      <c r="A34" s="334">
        <v>26.0</v>
      </c>
      <c r="B34" s="194">
        <f t="shared" si="10"/>
        <v>45670</v>
      </c>
      <c r="C34" s="172">
        <f>COUNTIFS(Loads!$I:$I,"="&amp;C$2,Loads!$O:$O,"&gt;="&amp;$B34,Loads!$O:$O,"&lt;"&amp;$B35)</f>
        <v>1</v>
      </c>
      <c r="D34" s="172">
        <f>COUNTIFS(Loads!$I:$I,"="&amp;D$2,Loads!$O:$O,"&gt;="&amp;$B34,Loads!$O:$O,"&lt;"&amp;$B35)</f>
        <v>0</v>
      </c>
      <c r="E34" s="378">
        <f>SUMIFS(Loads!$Q:$Q,Loads!$O:$O,"&gt;="&amp;$B34,Loads!$O:$O,"&lt;"&amp;$B35)</f>
        <v>19.95</v>
      </c>
      <c r="F34" s="172">
        <f t="shared" si="2"/>
        <v>0</v>
      </c>
      <c r="G34" s="284">
        <f t="shared" si="3"/>
        <v>160.05</v>
      </c>
      <c r="H34" s="284">
        <f t="shared" si="4"/>
        <v>19.95</v>
      </c>
      <c r="I34" s="284">
        <f t="shared" si="5"/>
        <v>19.95</v>
      </c>
      <c r="J34" s="90">
        <f t="shared" si="6"/>
        <v>0</v>
      </c>
      <c r="K34" s="284">
        <f t="shared" si="7"/>
        <v>0</v>
      </c>
      <c r="L34" s="284">
        <f t="shared" si="8"/>
        <v>0</v>
      </c>
      <c r="M34" s="284">
        <f t="shared" si="15"/>
        <v>0</v>
      </c>
      <c r="N34" s="304"/>
      <c r="O34" s="284">
        <f t="shared" si="11"/>
        <v>160.05</v>
      </c>
    </row>
    <row r="35">
      <c r="A35" s="334">
        <v>27.0</v>
      </c>
      <c r="B35" s="194">
        <f t="shared" si="10"/>
        <v>45677</v>
      </c>
      <c r="C35" s="172">
        <f>COUNTIFS(Loads!$I:$I,"="&amp;C$2,Loads!$O:$O,"&gt;="&amp;$B35,Loads!$O:$O,"&lt;"&amp;$B36)</f>
        <v>5</v>
      </c>
      <c r="D35" s="172">
        <f>COUNTIFS(Loads!$I:$I,"="&amp;D$2,Loads!$O:$O,"&gt;="&amp;$B35,Loads!$O:$O,"&lt;"&amp;$B36)</f>
        <v>0</v>
      </c>
      <c r="E35" s="378">
        <f>SUMIFS(Loads!$Q:$Q,Loads!$O:$O,"&gt;="&amp;$B35,Loads!$O:$O,"&lt;"&amp;$B36)</f>
        <v>100.69</v>
      </c>
      <c r="F35" s="172">
        <f t="shared" si="2"/>
        <v>0</v>
      </c>
      <c r="G35" s="284">
        <f t="shared" si="3"/>
        <v>79.31</v>
      </c>
      <c r="H35" s="284">
        <f t="shared" si="4"/>
        <v>100.69</v>
      </c>
      <c r="I35" s="284">
        <f t="shared" si="5"/>
        <v>100.69</v>
      </c>
      <c r="J35" s="90">
        <f t="shared" si="6"/>
        <v>0</v>
      </c>
      <c r="K35" s="284">
        <f t="shared" si="7"/>
        <v>0</v>
      </c>
      <c r="L35" s="284">
        <f t="shared" si="8"/>
        <v>0</v>
      </c>
      <c r="M35" s="284">
        <f t="shared" si="15"/>
        <v>0</v>
      </c>
      <c r="N35" s="304"/>
      <c r="O35" s="284">
        <f t="shared" si="11"/>
        <v>79.31</v>
      </c>
    </row>
    <row r="36">
      <c r="A36" s="334">
        <v>28.0</v>
      </c>
      <c r="B36" s="194">
        <f t="shared" si="10"/>
        <v>45684</v>
      </c>
      <c r="C36" s="172">
        <f>COUNTIFS(Loads!$I:$I,"="&amp;C$2,Loads!$O:$O,"&gt;="&amp;$B36,Loads!$O:$O,"&lt;"&amp;$B37)</f>
        <v>5</v>
      </c>
      <c r="D36" s="172">
        <f>COUNTIFS(Loads!$I:$I,"="&amp;D$2,Loads!$O:$O,"&gt;="&amp;$B36,Loads!$O:$O,"&lt;"&amp;$B37)</f>
        <v>0</v>
      </c>
      <c r="E36" s="378">
        <f>SUMIFS(Loads!$Q:$Q,Loads!$O:$O,"&gt;="&amp;$B36,Loads!$O:$O,"&lt;"&amp;$B37)</f>
        <v>99.33</v>
      </c>
      <c r="F36" s="172">
        <f t="shared" si="2"/>
        <v>0</v>
      </c>
      <c r="G36" s="284">
        <f t="shared" si="3"/>
        <v>80.67</v>
      </c>
      <c r="H36" s="284">
        <f t="shared" si="4"/>
        <v>99.33</v>
      </c>
      <c r="I36" s="284">
        <f t="shared" si="5"/>
        <v>99.33</v>
      </c>
      <c r="J36" s="90">
        <f t="shared" si="6"/>
        <v>0</v>
      </c>
      <c r="K36" s="284">
        <f t="shared" si="7"/>
        <v>0</v>
      </c>
      <c r="L36" s="284">
        <f t="shared" si="8"/>
        <v>0</v>
      </c>
      <c r="M36" s="284">
        <f t="shared" si="15"/>
        <v>0</v>
      </c>
      <c r="N36" s="304"/>
      <c r="O36" s="284">
        <f t="shared" si="11"/>
        <v>80.67</v>
      </c>
    </row>
    <row r="37">
      <c r="A37" s="334">
        <v>29.0</v>
      </c>
      <c r="B37" s="194">
        <f t="shared" si="10"/>
        <v>45691</v>
      </c>
      <c r="C37" s="172">
        <f>COUNTIFS(Loads!$I:$I,"="&amp;C$2,Loads!$O:$O,"&gt;="&amp;$B37,Loads!$O:$O,"&lt;"&amp;$B38)</f>
        <v>4</v>
      </c>
      <c r="D37" s="172">
        <f>COUNTIFS(Loads!$I:$I,"="&amp;D$2,Loads!$O:$O,"&gt;="&amp;$B37,Loads!$O:$O,"&lt;"&amp;$B38)</f>
        <v>0</v>
      </c>
      <c r="E37" s="378">
        <f>SUMIFS(Loads!$Q:$Q,Loads!$O:$O,"&gt;="&amp;$B37,Loads!$O:$O,"&lt;"&amp;$B38)</f>
        <v>78.37</v>
      </c>
      <c r="F37" s="172">
        <f t="shared" si="2"/>
        <v>0</v>
      </c>
      <c r="G37" s="284">
        <f t="shared" si="3"/>
        <v>101.63</v>
      </c>
      <c r="H37" s="284">
        <f t="shared" si="4"/>
        <v>78.37</v>
      </c>
      <c r="I37" s="284">
        <f t="shared" si="5"/>
        <v>78.37</v>
      </c>
      <c r="J37" s="90">
        <f t="shared" si="6"/>
        <v>0</v>
      </c>
      <c r="K37" s="284">
        <f t="shared" si="7"/>
        <v>0</v>
      </c>
      <c r="L37" s="284">
        <f t="shared" si="8"/>
        <v>0</v>
      </c>
      <c r="M37" s="284">
        <f t="shared" si="15"/>
        <v>0</v>
      </c>
      <c r="N37" s="304"/>
      <c r="O37" s="284">
        <f t="shared" si="11"/>
        <v>101.63</v>
      </c>
    </row>
    <row r="38">
      <c r="A38" s="334">
        <v>30.0</v>
      </c>
      <c r="B38" s="194">
        <f t="shared" si="10"/>
        <v>45698</v>
      </c>
      <c r="C38" s="172">
        <f>COUNTIFS(Loads!$I:$I,"="&amp;C$2,Loads!$O:$O,"&gt;="&amp;$B38,Loads!$O:$O,"&lt;"&amp;$B39)</f>
        <v>4</v>
      </c>
      <c r="D38" s="172">
        <f>COUNTIFS(Loads!$I:$I,"="&amp;D$2,Loads!$O:$O,"&gt;="&amp;$B38,Loads!$O:$O,"&lt;"&amp;$B39)</f>
        <v>0</v>
      </c>
      <c r="E38" s="378">
        <f>SUMIFS(Loads!$Q:$Q,Loads!$O:$O,"&gt;="&amp;$B38,Loads!$O:$O,"&lt;"&amp;$B39)</f>
        <v>80.48</v>
      </c>
      <c r="F38" s="172">
        <f t="shared" si="2"/>
        <v>0</v>
      </c>
      <c r="G38" s="284">
        <f t="shared" si="3"/>
        <v>99.52</v>
      </c>
      <c r="H38" s="284">
        <f t="shared" si="4"/>
        <v>80.48</v>
      </c>
      <c r="I38" s="284">
        <f t="shared" si="5"/>
        <v>80.48</v>
      </c>
      <c r="J38" s="90">
        <f t="shared" si="6"/>
        <v>0</v>
      </c>
      <c r="K38" s="284">
        <f t="shared" si="7"/>
        <v>0</v>
      </c>
      <c r="L38" s="284">
        <f t="shared" si="8"/>
        <v>0</v>
      </c>
      <c r="M38" s="284">
        <f t="shared" si="15"/>
        <v>0</v>
      </c>
      <c r="N38" s="304"/>
      <c r="O38" s="284">
        <f t="shared" si="11"/>
        <v>99.52</v>
      </c>
    </row>
    <row r="39">
      <c r="A39" s="334">
        <v>31.0</v>
      </c>
      <c r="B39" s="194">
        <f t="shared" si="10"/>
        <v>45705</v>
      </c>
      <c r="C39" s="172">
        <f>COUNTIFS(Loads!$I:$I,"="&amp;C$2,Loads!$O:$O,"&gt;="&amp;$B39,Loads!$O:$O,"&lt;"&amp;$B40)</f>
        <v>2</v>
      </c>
      <c r="D39" s="172">
        <f>COUNTIFS(Loads!$I:$I,"="&amp;D$2,Loads!$O:$O,"&gt;="&amp;$B39,Loads!$O:$O,"&lt;"&amp;$B40)</f>
        <v>0</v>
      </c>
      <c r="E39" s="378">
        <f>SUMIFS(Loads!$Q:$Q,Loads!$O:$O,"&gt;="&amp;$B39,Loads!$O:$O,"&lt;"&amp;$B40)</f>
        <v>40.74</v>
      </c>
      <c r="F39" s="172">
        <f t="shared" si="2"/>
        <v>0</v>
      </c>
      <c r="G39" s="284">
        <f t="shared" si="3"/>
        <v>139.26</v>
      </c>
      <c r="H39" s="284">
        <f t="shared" si="4"/>
        <v>40.74</v>
      </c>
      <c r="I39" s="284">
        <f t="shared" si="5"/>
        <v>40.74</v>
      </c>
      <c r="J39" s="90">
        <f t="shared" si="6"/>
        <v>0</v>
      </c>
      <c r="K39" s="284">
        <f t="shared" si="7"/>
        <v>0</v>
      </c>
      <c r="L39" s="284">
        <f t="shared" si="8"/>
        <v>0</v>
      </c>
      <c r="M39" s="284">
        <f t="shared" si="15"/>
        <v>0</v>
      </c>
      <c r="N39" s="304"/>
      <c r="O39" s="284">
        <f t="shared" si="11"/>
        <v>139.26</v>
      </c>
    </row>
    <row r="40">
      <c r="A40" s="334">
        <v>32.0</v>
      </c>
      <c r="B40" s="194">
        <f t="shared" si="10"/>
        <v>45712</v>
      </c>
      <c r="C40" s="172">
        <f>COUNTIFS(Loads!$I:$I,"="&amp;C$2,Loads!$O:$O,"&gt;="&amp;$B40,Loads!$O:$O,"&lt;"&amp;$B41)</f>
        <v>2</v>
      </c>
      <c r="D40" s="172">
        <f>COUNTIFS(Loads!$I:$I,"="&amp;D$2,Loads!$O:$O,"&gt;="&amp;$B40,Loads!$O:$O,"&lt;"&amp;$B41)</f>
        <v>0</v>
      </c>
      <c r="E40" s="378">
        <f>SUMIFS(Loads!$Q:$Q,Loads!$O:$O,"&gt;="&amp;$B40,Loads!$O:$O,"&lt;"&amp;$B41)</f>
        <v>40.12</v>
      </c>
      <c r="F40" s="172">
        <f t="shared" si="2"/>
        <v>0</v>
      </c>
      <c r="G40" s="284">
        <f t="shared" si="3"/>
        <v>139.88</v>
      </c>
      <c r="H40" s="284">
        <f t="shared" si="4"/>
        <v>40.12</v>
      </c>
      <c r="I40" s="284">
        <f t="shared" si="5"/>
        <v>40.12</v>
      </c>
      <c r="J40" s="90">
        <f t="shared" si="6"/>
        <v>0</v>
      </c>
      <c r="K40" s="284">
        <f t="shared" si="7"/>
        <v>0</v>
      </c>
      <c r="L40" s="284">
        <f t="shared" si="8"/>
        <v>0</v>
      </c>
      <c r="M40" s="284">
        <f t="shared" si="15"/>
        <v>0</v>
      </c>
      <c r="N40" s="304"/>
      <c r="O40" s="284">
        <f t="shared" si="11"/>
        <v>139.88</v>
      </c>
    </row>
    <row r="41">
      <c r="A41" s="334">
        <v>33.0</v>
      </c>
      <c r="B41" s="194">
        <f t="shared" si="10"/>
        <v>45719</v>
      </c>
      <c r="C41" s="172">
        <f>COUNTIFS(Loads!$I:$I,"="&amp;C$2,Loads!$O:$O,"&gt;="&amp;$B41,Loads!$O:$O,"&lt;"&amp;$B42)</f>
        <v>5</v>
      </c>
      <c r="D41" s="172">
        <f>COUNTIFS(Loads!$I:$I,"="&amp;D$2,Loads!$O:$O,"&gt;="&amp;$B41,Loads!$O:$O,"&lt;"&amp;$B42)</f>
        <v>0</v>
      </c>
      <c r="E41" s="378">
        <f>SUMIFS(Loads!$Q:$Q,Loads!$O:$O,"&gt;="&amp;$B41,Loads!$O:$O,"&lt;"&amp;$B42)</f>
        <v>100.02</v>
      </c>
      <c r="F41" s="172">
        <f t="shared" si="2"/>
        <v>0</v>
      </c>
      <c r="G41" s="284">
        <f t="shared" si="3"/>
        <v>79.98</v>
      </c>
      <c r="H41" s="284">
        <f t="shared" si="4"/>
        <v>100.02</v>
      </c>
      <c r="I41" s="284">
        <f t="shared" si="5"/>
        <v>100.02</v>
      </c>
      <c r="J41" s="90">
        <f t="shared" si="6"/>
        <v>0</v>
      </c>
      <c r="K41" s="284">
        <f t="shared" si="7"/>
        <v>0</v>
      </c>
      <c r="L41" s="284">
        <f t="shared" si="8"/>
        <v>0</v>
      </c>
      <c r="M41" s="284">
        <f t="shared" si="15"/>
        <v>0</v>
      </c>
      <c r="N41" s="304"/>
      <c r="O41" s="284">
        <f t="shared" si="11"/>
        <v>79.98</v>
      </c>
    </row>
    <row r="42">
      <c r="A42" s="334">
        <v>34.0</v>
      </c>
      <c r="B42" s="194">
        <f t="shared" si="10"/>
        <v>45726</v>
      </c>
      <c r="C42" s="172">
        <f>COUNTIFS(Loads!$I:$I,"="&amp;C$2,Loads!$O:$O,"&gt;="&amp;$B42,Loads!$O:$O,"&lt;"&amp;#REF!)</f>
        <v>0</v>
      </c>
      <c r="D42" s="172">
        <f>COUNTIFS(Loads!$I:$I,"="&amp;D$2,Loads!$O:$O,"&gt;="&amp;$B42,Loads!$O:$O,"&lt;"&amp;#REF!)</f>
        <v>0</v>
      </c>
      <c r="E42" s="378">
        <f>SUMIFS(Loads!$Q:$Q,Loads!$O:$O,"&gt;="&amp;$B42,Loads!$O:$O,"&lt;"&amp;$B43)</f>
        <v>0</v>
      </c>
      <c r="F42" s="172">
        <f t="shared" si="2"/>
        <v>0</v>
      </c>
      <c r="G42" s="284">
        <f t="shared" si="3"/>
        <v>180</v>
      </c>
      <c r="H42" s="284">
        <f t="shared" si="4"/>
        <v>0</v>
      </c>
      <c r="I42" s="284">
        <f t="shared" si="5"/>
        <v>0</v>
      </c>
      <c r="J42" s="90">
        <f t="shared" si="6"/>
        <v>0</v>
      </c>
      <c r="K42" s="284">
        <f t="shared" si="7"/>
        <v>0</v>
      </c>
      <c r="L42" s="284">
        <f t="shared" si="8"/>
        <v>0</v>
      </c>
      <c r="M42" s="284">
        <f t="shared" si="15"/>
        <v>0</v>
      </c>
      <c r="N42" s="304"/>
      <c r="O42" s="284">
        <f t="shared" si="11"/>
        <v>180</v>
      </c>
    </row>
    <row r="43">
      <c r="B43" s="172"/>
      <c r="C43" s="172"/>
      <c r="D43" s="172"/>
      <c r="E43" s="172"/>
      <c r="F43" s="172"/>
      <c r="N43" s="304"/>
    </row>
    <row r="44">
      <c r="B44" s="172"/>
      <c r="C44" s="172"/>
      <c r="D44" s="172"/>
      <c r="E44" s="172"/>
      <c r="F44" s="172"/>
      <c r="N44" s="304"/>
      <c r="O44" s="284">
        <f>SUM(O12:O42)</f>
        <v>3190.1</v>
      </c>
      <c r="P44" s="1" t="s">
        <v>2099</v>
      </c>
    </row>
    <row r="45">
      <c r="B45" s="172"/>
      <c r="C45" s="172"/>
      <c r="D45" s="172"/>
      <c r="E45" s="172"/>
      <c r="F45" s="172"/>
      <c r="N45" s="304"/>
    </row>
    <row r="46">
      <c r="B46" s="172"/>
      <c r="C46" s="172"/>
      <c r="D46" s="172"/>
      <c r="E46" s="172"/>
      <c r="F46" s="172"/>
      <c r="N46" s="304"/>
    </row>
    <row r="47">
      <c r="B47" s="172"/>
      <c r="C47" s="172"/>
      <c r="D47" s="172"/>
      <c r="E47" s="172"/>
      <c r="F47" s="172"/>
      <c r="N47" s="304"/>
    </row>
    <row r="48">
      <c r="B48" s="172"/>
      <c r="C48" s="172"/>
      <c r="D48" s="172"/>
      <c r="E48" s="172"/>
      <c r="F48" s="172"/>
      <c r="N48" s="304"/>
    </row>
    <row r="49">
      <c r="B49" s="172"/>
      <c r="C49" s="172"/>
      <c r="D49" s="172"/>
      <c r="E49" s="172"/>
      <c r="F49" s="172"/>
      <c r="N49" s="304"/>
    </row>
    <row r="50">
      <c r="B50" s="172"/>
      <c r="C50" s="172"/>
      <c r="D50" s="172"/>
      <c r="E50" s="172"/>
      <c r="F50" s="172"/>
      <c r="N50" s="304"/>
    </row>
    <row r="51">
      <c r="B51" s="172"/>
      <c r="C51" s="172"/>
      <c r="D51" s="172"/>
      <c r="E51" s="172"/>
      <c r="F51" s="172"/>
      <c r="N51" s="304"/>
    </row>
    <row r="52">
      <c r="B52" s="172"/>
      <c r="C52" s="172"/>
      <c r="D52" s="172"/>
      <c r="E52" s="172"/>
      <c r="F52" s="172"/>
      <c r="N52" s="304"/>
    </row>
    <row r="53">
      <c r="B53" s="172"/>
      <c r="C53" s="172"/>
      <c r="D53" s="172"/>
      <c r="E53" s="172"/>
      <c r="F53" s="172"/>
      <c r="N53" s="304"/>
    </row>
    <row r="54">
      <c r="B54" s="172"/>
      <c r="C54" s="172"/>
      <c r="D54" s="172"/>
      <c r="E54" s="172"/>
      <c r="F54" s="172"/>
      <c r="N54" s="304"/>
    </row>
    <row r="55">
      <c r="B55" s="172"/>
      <c r="C55" s="172"/>
      <c r="D55" s="172"/>
      <c r="E55" s="172"/>
      <c r="F55" s="172"/>
      <c r="N55" s="304"/>
    </row>
    <row r="56">
      <c r="B56" s="172"/>
      <c r="C56" s="172"/>
      <c r="D56" s="172"/>
      <c r="E56" s="172"/>
      <c r="F56" s="172"/>
      <c r="N56" s="304"/>
    </row>
    <row r="57">
      <c r="B57" s="172"/>
      <c r="C57" s="172"/>
      <c r="D57" s="172"/>
      <c r="E57" s="172"/>
      <c r="F57" s="172"/>
      <c r="N57" s="304"/>
    </row>
    <row r="58">
      <c r="B58" s="172"/>
      <c r="C58" s="172"/>
      <c r="D58" s="172"/>
      <c r="E58" s="172"/>
      <c r="F58" s="172"/>
      <c r="N58" s="304"/>
    </row>
    <row r="59">
      <c r="B59" s="172"/>
      <c r="C59" s="172"/>
      <c r="D59" s="172"/>
      <c r="E59" s="172"/>
      <c r="F59" s="172"/>
      <c r="N59" s="304"/>
    </row>
    <row r="60">
      <c r="B60" s="172"/>
      <c r="C60" s="172"/>
      <c r="D60" s="172"/>
      <c r="E60" s="172"/>
      <c r="F60" s="172"/>
      <c r="N60" s="304"/>
    </row>
    <row r="61">
      <c r="B61" s="172"/>
      <c r="C61" s="172"/>
      <c r="D61" s="172"/>
      <c r="E61" s="172"/>
      <c r="F61" s="172"/>
      <c r="N61" s="304"/>
    </row>
    <row r="62">
      <c r="B62" s="172"/>
      <c r="C62" s="172"/>
      <c r="D62" s="172"/>
      <c r="E62" s="172"/>
      <c r="F62" s="172"/>
      <c r="N62" s="304"/>
    </row>
    <row r="63">
      <c r="B63" s="172"/>
      <c r="C63" s="172"/>
      <c r="D63" s="172"/>
      <c r="E63" s="172"/>
      <c r="F63" s="172"/>
      <c r="N63" s="304"/>
    </row>
    <row r="64">
      <c r="B64" s="172"/>
      <c r="C64" s="172"/>
      <c r="D64" s="172"/>
      <c r="E64" s="172"/>
      <c r="F64" s="172"/>
      <c r="N64" s="304"/>
    </row>
    <row r="65">
      <c r="B65" s="172"/>
      <c r="C65" s="172"/>
      <c r="D65" s="172"/>
      <c r="E65" s="172"/>
      <c r="F65" s="172"/>
      <c r="N65" s="304"/>
    </row>
    <row r="66">
      <c r="B66" s="172"/>
      <c r="C66" s="172"/>
      <c r="D66" s="172"/>
      <c r="E66" s="172"/>
      <c r="F66" s="172"/>
      <c r="N66" s="304"/>
    </row>
    <row r="67">
      <c r="B67" s="172"/>
      <c r="C67" s="172"/>
      <c r="D67" s="172"/>
      <c r="E67" s="172"/>
      <c r="F67" s="172"/>
      <c r="N67" s="304"/>
    </row>
    <row r="68">
      <c r="B68" s="172"/>
      <c r="C68" s="172"/>
      <c r="D68" s="172"/>
      <c r="E68" s="172"/>
      <c r="F68" s="172"/>
      <c r="N68" s="304"/>
    </row>
    <row r="69">
      <c r="B69" s="172"/>
      <c r="C69" s="172"/>
      <c r="D69" s="172"/>
      <c r="E69" s="172"/>
      <c r="F69" s="172"/>
      <c r="N69" s="304"/>
    </row>
    <row r="70">
      <c r="B70" s="172"/>
      <c r="C70" s="172"/>
      <c r="D70" s="172"/>
      <c r="E70" s="172"/>
      <c r="F70" s="172"/>
      <c r="N70" s="304"/>
    </row>
    <row r="71">
      <c r="B71" s="172"/>
      <c r="C71" s="172"/>
      <c r="D71" s="172"/>
      <c r="E71" s="172"/>
      <c r="F71" s="172"/>
      <c r="N71" s="304"/>
    </row>
    <row r="72">
      <c r="B72" s="172"/>
      <c r="C72" s="172"/>
      <c r="D72" s="172"/>
      <c r="E72" s="172"/>
      <c r="F72" s="172"/>
      <c r="N72" s="304"/>
    </row>
    <row r="73">
      <c r="B73" s="172"/>
      <c r="C73" s="172"/>
      <c r="D73" s="172"/>
      <c r="E73" s="172"/>
      <c r="F73" s="172"/>
      <c r="N73" s="304"/>
    </row>
    <row r="74">
      <c r="B74" s="172"/>
      <c r="C74" s="172"/>
      <c r="D74" s="172"/>
      <c r="E74" s="172"/>
      <c r="F74" s="172"/>
      <c r="N74" s="304"/>
    </row>
    <row r="75">
      <c r="B75" s="172"/>
      <c r="C75" s="172"/>
      <c r="D75" s="172"/>
      <c r="E75" s="172"/>
      <c r="F75" s="172"/>
      <c r="N75" s="304"/>
    </row>
    <row r="76">
      <c r="B76" s="172"/>
      <c r="C76" s="172"/>
      <c r="D76" s="172"/>
      <c r="E76" s="172"/>
      <c r="F76" s="172"/>
      <c r="N76" s="304"/>
    </row>
    <row r="77">
      <c r="B77" s="172"/>
      <c r="C77" s="172"/>
      <c r="D77" s="172"/>
      <c r="E77" s="172"/>
      <c r="F77" s="172"/>
      <c r="N77" s="304"/>
    </row>
    <row r="78">
      <c r="B78" s="172"/>
      <c r="C78" s="172"/>
      <c r="D78" s="172"/>
      <c r="E78" s="172"/>
      <c r="F78" s="172"/>
      <c r="N78" s="304"/>
    </row>
    <row r="79">
      <c r="B79" s="172"/>
      <c r="C79" s="172"/>
      <c r="D79" s="172"/>
      <c r="E79" s="172"/>
      <c r="F79" s="172"/>
      <c r="N79" s="304"/>
    </row>
    <row r="80">
      <c r="B80" s="172"/>
      <c r="C80" s="172"/>
      <c r="D80" s="172"/>
      <c r="E80" s="172"/>
      <c r="F80" s="172"/>
      <c r="N80" s="304"/>
    </row>
    <row r="81">
      <c r="B81" s="172"/>
      <c r="C81" s="172"/>
      <c r="D81" s="172"/>
      <c r="E81" s="172"/>
      <c r="F81" s="172"/>
      <c r="N81" s="304"/>
    </row>
    <row r="82">
      <c r="B82" s="172"/>
      <c r="C82" s="172"/>
      <c r="D82" s="172"/>
      <c r="E82" s="172"/>
      <c r="F82" s="172"/>
      <c r="N82" s="304"/>
    </row>
    <row r="83">
      <c r="B83" s="172"/>
      <c r="C83" s="172"/>
      <c r="D83" s="172"/>
      <c r="E83" s="172"/>
      <c r="F83" s="172"/>
      <c r="N83" s="304"/>
    </row>
    <row r="84">
      <c r="B84" s="172"/>
      <c r="C84" s="172"/>
      <c r="D84" s="172"/>
      <c r="E84" s="172"/>
      <c r="F84" s="172"/>
      <c r="N84" s="304"/>
    </row>
    <row r="85">
      <c r="B85" s="172"/>
      <c r="C85" s="172"/>
      <c r="D85" s="172"/>
      <c r="E85" s="172"/>
      <c r="F85" s="172"/>
      <c r="N85" s="304"/>
    </row>
    <row r="86">
      <c r="B86" s="172"/>
      <c r="C86" s="172"/>
      <c r="D86" s="172"/>
      <c r="E86" s="172"/>
      <c r="F86" s="172"/>
      <c r="N86" s="304"/>
    </row>
    <row r="87">
      <c r="B87" s="172"/>
      <c r="C87" s="172"/>
      <c r="D87" s="172"/>
      <c r="E87" s="172"/>
      <c r="F87" s="172"/>
      <c r="N87" s="304"/>
    </row>
    <row r="88">
      <c r="B88" s="172"/>
      <c r="C88" s="172"/>
      <c r="D88" s="172"/>
      <c r="E88" s="172"/>
      <c r="F88" s="172"/>
      <c r="N88" s="304"/>
    </row>
    <row r="89">
      <c r="B89" s="172"/>
      <c r="C89" s="172"/>
      <c r="D89" s="172"/>
      <c r="E89" s="172"/>
      <c r="F89" s="172"/>
      <c r="N89" s="304"/>
    </row>
    <row r="90">
      <c r="B90" s="172"/>
      <c r="C90" s="172"/>
      <c r="D90" s="172"/>
      <c r="E90" s="172"/>
      <c r="F90" s="172"/>
      <c r="N90" s="304"/>
    </row>
    <row r="91">
      <c r="B91" s="172"/>
      <c r="C91" s="172"/>
      <c r="D91" s="172"/>
      <c r="E91" s="172"/>
      <c r="F91" s="172"/>
      <c r="N91" s="304"/>
    </row>
    <row r="92">
      <c r="B92" s="172"/>
      <c r="C92" s="172"/>
      <c r="D92" s="172"/>
      <c r="E92" s="172"/>
      <c r="F92" s="172"/>
      <c r="N92" s="304"/>
    </row>
    <row r="93">
      <c r="B93" s="172"/>
      <c r="C93" s="172"/>
      <c r="D93" s="172"/>
      <c r="E93" s="172"/>
      <c r="F93" s="172"/>
      <c r="N93" s="304"/>
    </row>
    <row r="94">
      <c r="B94" s="172"/>
      <c r="C94" s="172"/>
      <c r="D94" s="172"/>
      <c r="E94" s="172"/>
      <c r="F94" s="172"/>
      <c r="N94" s="304"/>
    </row>
    <row r="95">
      <c r="B95" s="172"/>
      <c r="C95" s="172"/>
      <c r="D95" s="172"/>
      <c r="E95" s="172"/>
      <c r="F95" s="172"/>
      <c r="N95" s="304"/>
    </row>
    <row r="96">
      <c r="B96" s="172"/>
      <c r="C96" s="172"/>
      <c r="D96" s="172"/>
      <c r="E96" s="172"/>
      <c r="F96" s="172"/>
      <c r="N96" s="304"/>
    </row>
    <row r="97">
      <c r="B97" s="172"/>
      <c r="C97" s="172"/>
      <c r="D97" s="172"/>
      <c r="E97" s="172"/>
      <c r="F97" s="172"/>
      <c r="N97" s="304"/>
    </row>
    <row r="98">
      <c r="B98" s="172"/>
      <c r="C98" s="172"/>
      <c r="D98" s="172"/>
      <c r="E98" s="172"/>
      <c r="F98" s="172"/>
      <c r="N98" s="304"/>
    </row>
    <row r="99">
      <c r="B99" s="172"/>
      <c r="C99" s="172"/>
      <c r="D99" s="172"/>
      <c r="E99" s="172"/>
      <c r="F99" s="172"/>
      <c r="N99" s="304"/>
    </row>
    <row r="100">
      <c r="B100" s="172"/>
      <c r="C100" s="172"/>
      <c r="D100" s="172"/>
      <c r="E100" s="172"/>
      <c r="F100" s="172"/>
      <c r="N100" s="304"/>
    </row>
    <row r="101">
      <c r="B101" s="172"/>
      <c r="C101" s="172"/>
      <c r="D101" s="172"/>
      <c r="E101" s="172"/>
      <c r="F101" s="172"/>
      <c r="N101" s="304"/>
    </row>
    <row r="102">
      <c r="B102" s="172"/>
      <c r="C102" s="172"/>
      <c r="D102" s="172"/>
      <c r="E102" s="172"/>
      <c r="F102" s="172"/>
      <c r="N102" s="304"/>
    </row>
    <row r="103">
      <c r="B103" s="172"/>
      <c r="C103" s="172"/>
      <c r="D103" s="172"/>
      <c r="E103" s="172"/>
      <c r="F103" s="172"/>
      <c r="N103" s="304"/>
    </row>
    <row r="104">
      <c r="B104" s="172"/>
      <c r="C104" s="172"/>
      <c r="D104" s="172"/>
      <c r="E104" s="172"/>
      <c r="F104" s="172"/>
      <c r="N104" s="304"/>
    </row>
    <row r="105">
      <c r="B105" s="172"/>
      <c r="C105" s="172"/>
      <c r="D105" s="172"/>
      <c r="E105" s="172"/>
      <c r="F105" s="172"/>
      <c r="N105" s="304"/>
    </row>
    <row r="106">
      <c r="B106" s="172"/>
      <c r="C106" s="172"/>
      <c r="D106" s="172"/>
      <c r="E106" s="172"/>
      <c r="F106" s="172"/>
      <c r="N106" s="304"/>
    </row>
    <row r="107">
      <c r="B107" s="172"/>
      <c r="C107" s="172"/>
      <c r="D107" s="172"/>
      <c r="E107" s="172"/>
      <c r="F107" s="172"/>
      <c r="N107" s="304"/>
    </row>
    <row r="108">
      <c r="B108" s="172"/>
      <c r="C108" s="172"/>
      <c r="D108" s="172"/>
      <c r="E108" s="172"/>
      <c r="F108" s="172"/>
      <c r="N108" s="304"/>
    </row>
    <row r="109">
      <c r="B109" s="172"/>
      <c r="C109" s="172"/>
      <c r="D109" s="172"/>
      <c r="E109" s="172"/>
      <c r="F109" s="172"/>
      <c r="N109" s="304"/>
    </row>
    <row r="110">
      <c r="B110" s="172"/>
      <c r="C110" s="172"/>
      <c r="D110" s="172"/>
      <c r="E110" s="172"/>
      <c r="F110" s="172"/>
      <c r="N110" s="304"/>
    </row>
    <row r="111">
      <c r="B111" s="172"/>
      <c r="C111" s="172"/>
      <c r="D111" s="172"/>
      <c r="E111" s="172"/>
      <c r="F111" s="172"/>
      <c r="N111" s="304"/>
    </row>
    <row r="112">
      <c r="B112" s="172"/>
      <c r="C112" s="172"/>
      <c r="D112" s="172"/>
      <c r="E112" s="172"/>
      <c r="F112" s="172"/>
      <c r="N112" s="304"/>
    </row>
    <row r="113">
      <c r="B113" s="172"/>
      <c r="C113" s="172"/>
      <c r="D113" s="172"/>
      <c r="E113" s="172"/>
      <c r="F113" s="172"/>
      <c r="N113" s="304"/>
    </row>
    <row r="114">
      <c r="B114" s="172"/>
      <c r="C114" s="172"/>
      <c r="D114" s="172"/>
      <c r="E114" s="172"/>
      <c r="F114" s="172"/>
      <c r="N114" s="304"/>
    </row>
    <row r="115">
      <c r="B115" s="172"/>
      <c r="C115" s="172"/>
      <c r="D115" s="172"/>
      <c r="E115" s="172"/>
      <c r="F115" s="172"/>
      <c r="N115" s="304"/>
    </row>
    <row r="116">
      <c r="B116" s="172"/>
      <c r="C116" s="172"/>
      <c r="D116" s="172"/>
      <c r="E116" s="172"/>
      <c r="F116" s="172"/>
      <c r="N116" s="304"/>
    </row>
    <row r="117">
      <c r="B117" s="172"/>
      <c r="C117" s="172"/>
      <c r="D117" s="172"/>
      <c r="E117" s="172"/>
      <c r="F117" s="172"/>
      <c r="N117" s="304"/>
    </row>
    <row r="118">
      <c r="B118" s="172"/>
      <c r="C118" s="172"/>
      <c r="D118" s="172"/>
      <c r="E118" s="172"/>
      <c r="F118" s="172"/>
      <c r="N118" s="304"/>
    </row>
    <row r="119">
      <c r="B119" s="172"/>
      <c r="C119" s="172"/>
      <c r="D119" s="172"/>
      <c r="E119" s="172"/>
      <c r="F119" s="172"/>
      <c r="N119" s="304"/>
    </row>
    <row r="120">
      <c r="B120" s="172"/>
      <c r="C120" s="172"/>
      <c r="D120" s="172"/>
      <c r="E120" s="172"/>
      <c r="F120" s="172"/>
      <c r="N120" s="304"/>
    </row>
    <row r="121">
      <c r="B121" s="172"/>
      <c r="C121" s="172"/>
      <c r="D121" s="172"/>
      <c r="E121" s="172"/>
      <c r="F121" s="172"/>
      <c r="N121" s="304"/>
    </row>
    <row r="122">
      <c r="B122" s="172"/>
      <c r="C122" s="172"/>
      <c r="D122" s="172"/>
      <c r="E122" s="172"/>
      <c r="F122" s="172"/>
      <c r="N122" s="304"/>
    </row>
    <row r="123">
      <c r="B123" s="172"/>
      <c r="C123" s="172"/>
      <c r="D123" s="172"/>
      <c r="E123" s="172"/>
      <c r="F123" s="172"/>
      <c r="N123" s="304"/>
    </row>
    <row r="124">
      <c r="B124" s="172"/>
      <c r="C124" s="172"/>
      <c r="D124" s="172"/>
      <c r="E124" s="172"/>
      <c r="F124" s="172"/>
      <c r="N124" s="304"/>
    </row>
    <row r="125">
      <c r="B125" s="172"/>
      <c r="C125" s="172"/>
      <c r="D125" s="172"/>
      <c r="E125" s="172"/>
      <c r="F125" s="172"/>
      <c r="N125" s="304"/>
    </row>
    <row r="126">
      <c r="B126" s="172"/>
      <c r="C126" s="172"/>
      <c r="D126" s="172"/>
      <c r="E126" s="172"/>
      <c r="F126" s="172"/>
      <c r="N126" s="304"/>
    </row>
    <row r="127">
      <c r="B127" s="172"/>
      <c r="C127" s="172"/>
      <c r="D127" s="172"/>
      <c r="E127" s="172"/>
      <c r="F127" s="172"/>
      <c r="N127" s="304"/>
    </row>
    <row r="128">
      <c r="B128" s="172"/>
      <c r="C128" s="172"/>
      <c r="D128" s="172"/>
      <c r="E128" s="172"/>
      <c r="F128" s="172"/>
      <c r="N128" s="304"/>
    </row>
    <row r="129">
      <c r="B129" s="172"/>
      <c r="C129" s="172"/>
      <c r="D129" s="172"/>
      <c r="E129" s="172"/>
      <c r="F129" s="172"/>
      <c r="N129" s="304"/>
    </row>
    <row r="130">
      <c r="B130" s="172"/>
      <c r="C130" s="172"/>
      <c r="D130" s="172"/>
      <c r="E130" s="172"/>
      <c r="F130" s="172"/>
      <c r="N130" s="304"/>
    </row>
    <row r="131">
      <c r="B131" s="172"/>
      <c r="C131" s="172"/>
      <c r="D131" s="172"/>
      <c r="E131" s="172"/>
      <c r="F131" s="172"/>
      <c r="N131" s="304"/>
    </row>
    <row r="132">
      <c r="B132" s="172"/>
      <c r="C132" s="172"/>
      <c r="D132" s="172"/>
      <c r="E132" s="172"/>
      <c r="F132" s="172"/>
      <c r="N132" s="304"/>
    </row>
    <row r="133">
      <c r="B133" s="172"/>
      <c r="C133" s="172"/>
      <c r="D133" s="172"/>
      <c r="E133" s="172"/>
      <c r="F133" s="172"/>
      <c r="N133" s="304"/>
    </row>
    <row r="134">
      <c r="B134" s="172"/>
      <c r="C134" s="172"/>
      <c r="D134" s="172"/>
      <c r="E134" s="172"/>
      <c r="F134" s="172"/>
      <c r="N134" s="304"/>
    </row>
    <row r="135">
      <c r="B135" s="172"/>
      <c r="C135" s="172"/>
      <c r="D135" s="172"/>
      <c r="E135" s="172"/>
      <c r="F135" s="172"/>
      <c r="N135" s="304"/>
    </row>
    <row r="136">
      <c r="B136" s="172"/>
      <c r="C136" s="172"/>
      <c r="D136" s="172"/>
      <c r="E136" s="172"/>
      <c r="F136" s="172"/>
      <c r="N136" s="304"/>
    </row>
    <row r="137">
      <c r="B137" s="172"/>
      <c r="C137" s="172"/>
      <c r="D137" s="172"/>
      <c r="E137" s="172"/>
      <c r="F137" s="172"/>
      <c r="N137" s="304"/>
    </row>
    <row r="138">
      <c r="B138" s="172"/>
      <c r="C138" s="172"/>
      <c r="D138" s="172"/>
      <c r="E138" s="172"/>
      <c r="F138" s="172"/>
      <c r="N138" s="304"/>
    </row>
    <row r="139">
      <c r="B139" s="172"/>
      <c r="C139" s="172"/>
      <c r="D139" s="172"/>
      <c r="E139" s="172"/>
      <c r="F139" s="172"/>
      <c r="N139" s="304"/>
    </row>
    <row r="140">
      <c r="B140" s="172"/>
      <c r="C140" s="172"/>
      <c r="D140" s="172"/>
      <c r="E140" s="172"/>
      <c r="F140" s="172"/>
      <c r="N140" s="304"/>
    </row>
    <row r="141">
      <c r="B141" s="172"/>
      <c r="C141" s="172"/>
      <c r="D141" s="172"/>
      <c r="E141" s="172"/>
      <c r="F141" s="172"/>
      <c r="N141" s="304"/>
    </row>
    <row r="142">
      <c r="B142" s="172"/>
      <c r="C142" s="172"/>
      <c r="D142" s="172"/>
      <c r="E142" s="172"/>
      <c r="F142" s="172"/>
      <c r="N142" s="304"/>
    </row>
    <row r="143">
      <c r="B143" s="172"/>
      <c r="C143" s="172"/>
      <c r="D143" s="172"/>
      <c r="E143" s="172"/>
      <c r="F143" s="172"/>
      <c r="N143" s="304"/>
    </row>
    <row r="144">
      <c r="B144" s="172"/>
      <c r="C144" s="172"/>
      <c r="D144" s="172"/>
      <c r="E144" s="172"/>
      <c r="F144" s="172"/>
      <c r="N144" s="304"/>
    </row>
    <row r="145">
      <c r="B145" s="172"/>
      <c r="C145" s="172"/>
      <c r="D145" s="172"/>
      <c r="E145" s="172"/>
      <c r="F145" s="172"/>
      <c r="N145" s="304"/>
    </row>
    <row r="146">
      <c r="B146" s="172"/>
      <c r="C146" s="172"/>
      <c r="D146" s="172"/>
      <c r="E146" s="172"/>
      <c r="F146" s="172"/>
      <c r="N146" s="304"/>
    </row>
    <row r="147">
      <c r="B147" s="172"/>
      <c r="C147" s="172"/>
      <c r="D147" s="172"/>
      <c r="E147" s="172"/>
      <c r="F147" s="172"/>
      <c r="N147" s="304"/>
    </row>
    <row r="148">
      <c r="B148" s="172"/>
      <c r="C148" s="172"/>
      <c r="D148" s="172"/>
      <c r="E148" s="172"/>
      <c r="F148" s="172"/>
      <c r="N148" s="304"/>
    </row>
    <row r="149">
      <c r="B149" s="172"/>
      <c r="C149" s="172"/>
      <c r="D149" s="172"/>
      <c r="E149" s="172"/>
      <c r="F149" s="172"/>
      <c r="N149" s="304"/>
    </row>
    <row r="150">
      <c r="B150" s="172"/>
      <c r="C150" s="172"/>
      <c r="D150" s="172"/>
      <c r="E150" s="172"/>
      <c r="F150" s="172"/>
      <c r="N150" s="304"/>
    </row>
    <row r="151">
      <c r="B151" s="172"/>
      <c r="C151" s="172"/>
      <c r="D151" s="172"/>
      <c r="E151" s="172"/>
      <c r="F151" s="172"/>
      <c r="N151" s="304"/>
    </row>
    <row r="152">
      <c r="B152" s="172"/>
      <c r="C152" s="172"/>
      <c r="D152" s="172"/>
      <c r="E152" s="172"/>
      <c r="F152" s="172"/>
      <c r="N152" s="304"/>
    </row>
    <row r="153">
      <c r="B153" s="172"/>
      <c r="C153" s="172"/>
      <c r="D153" s="172"/>
      <c r="E153" s="172"/>
      <c r="F153" s="172"/>
      <c r="N153" s="304"/>
    </row>
    <row r="154">
      <c r="B154" s="172"/>
      <c r="C154" s="172"/>
      <c r="D154" s="172"/>
      <c r="E154" s="172"/>
      <c r="F154" s="172"/>
      <c r="N154" s="304"/>
    </row>
    <row r="155">
      <c r="B155" s="172"/>
      <c r="C155" s="172"/>
      <c r="D155" s="172"/>
      <c r="E155" s="172"/>
      <c r="F155" s="172"/>
      <c r="N155" s="304"/>
    </row>
    <row r="156">
      <c r="B156" s="172"/>
      <c r="C156" s="172"/>
      <c r="D156" s="172"/>
      <c r="E156" s="172"/>
      <c r="F156" s="172"/>
      <c r="N156" s="304"/>
    </row>
    <row r="157">
      <c r="B157" s="172"/>
      <c r="C157" s="172"/>
      <c r="D157" s="172"/>
      <c r="E157" s="172"/>
      <c r="F157" s="172"/>
      <c r="N157" s="304"/>
    </row>
    <row r="158">
      <c r="B158" s="172"/>
      <c r="C158" s="172"/>
      <c r="D158" s="172"/>
      <c r="E158" s="172"/>
      <c r="F158" s="172"/>
      <c r="N158" s="304"/>
    </row>
    <row r="159">
      <c r="B159" s="172"/>
      <c r="C159" s="172"/>
      <c r="D159" s="172"/>
      <c r="E159" s="172"/>
      <c r="F159" s="172"/>
      <c r="N159" s="304"/>
    </row>
    <row r="160">
      <c r="B160" s="172"/>
      <c r="C160" s="172"/>
      <c r="D160" s="172"/>
      <c r="E160" s="172"/>
      <c r="F160" s="172"/>
      <c r="N160" s="304"/>
    </row>
    <row r="161">
      <c r="B161" s="172"/>
      <c r="C161" s="172"/>
      <c r="D161" s="172"/>
      <c r="E161" s="172"/>
      <c r="F161" s="172"/>
      <c r="N161" s="304"/>
    </row>
    <row r="162">
      <c r="B162" s="172"/>
      <c r="C162" s="172"/>
      <c r="D162" s="172"/>
      <c r="E162" s="172"/>
      <c r="F162" s="172"/>
      <c r="N162" s="304"/>
    </row>
    <row r="163">
      <c r="B163" s="172"/>
      <c r="C163" s="172"/>
      <c r="D163" s="172"/>
      <c r="E163" s="172"/>
      <c r="F163" s="172"/>
      <c r="N163" s="304"/>
    </row>
    <row r="164">
      <c r="B164" s="172"/>
      <c r="C164" s="172"/>
      <c r="D164" s="172"/>
      <c r="E164" s="172"/>
      <c r="F164" s="172"/>
      <c r="N164" s="304"/>
    </row>
    <row r="165">
      <c r="B165" s="172"/>
      <c r="C165" s="172"/>
      <c r="D165" s="172"/>
      <c r="E165" s="172"/>
      <c r="F165" s="172"/>
      <c r="N165" s="304"/>
    </row>
    <row r="166">
      <c r="B166" s="172"/>
      <c r="C166" s="172"/>
      <c r="D166" s="172"/>
      <c r="E166" s="172"/>
      <c r="F166" s="172"/>
      <c r="N166" s="304"/>
    </row>
    <row r="167">
      <c r="B167" s="172"/>
      <c r="C167" s="172"/>
      <c r="D167" s="172"/>
      <c r="E167" s="172"/>
      <c r="F167" s="172"/>
      <c r="N167" s="304"/>
    </row>
    <row r="168">
      <c r="B168" s="172"/>
      <c r="C168" s="172"/>
      <c r="D168" s="172"/>
      <c r="E168" s="172"/>
      <c r="F168" s="172"/>
      <c r="N168" s="304"/>
    </row>
    <row r="169">
      <c r="B169" s="172"/>
      <c r="C169" s="172"/>
      <c r="D169" s="172"/>
      <c r="E169" s="172"/>
      <c r="F169" s="172"/>
      <c r="N169" s="304"/>
    </row>
    <row r="170">
      <c r="B170" s="172"/>
      <c r="C170" s="172"/>
      <c r="D170" s="172"/>
      <c r="E170" s="172"/>
      <c r="F170" s="172"/>
      <c r="N170" s="304"/>
    </row>
    <row r="171">
      <c r="B171" s="172"/>
      <c r="C171" s="172"/>
      <c r="D171" s="172"/>
      <c r="E171" s="172"/>
      <c r="F171" s="172"/>
      <c r="N171" s="304"/>
    </row>
    <row r="172">
      <c r="B172" s="172"/>
      <c r="C172" s="172"/>
      <c r="D172" s="172"/>
      <c r="E172" s="172"/>
      <c r="F172" s="172"/>
      <c r="N172" s="304"/>
    </row>
    <row r="173">
      <c r="B173" s="172"/>
      <c r="C173" s="172"/>
      <c r="D173" s="172"/>
      <c r="E173" s="172"/>
      <c r="F173" s="172"/>
      <c r="N173" s="304"/>
    </row>
    <row r="174">
      <c r="B174" s="172"/>
      <c r="C174" s="172"/>
      <c r="D174" s="172"/>
      <c r="E174" s="172"/>
      <c r="F174" s="172"/>
      <c r="N174" s="304"/>
    </row>
    <row r="175">
      <c r="B175" s="172"/>
      <c r="C175" s="172"/>
      <c r="D175" s="172"/>
      <c r="E175" s="172"/>
      <c r="F175" s="172"/>
      <c r="N175" s="304"/>
    </row>
    <row r="176">
      <c r="B176" s="172"/>
      <c r="C176" s="172"/>
      <c r="D176" s="172"/>
      <c r="E176" s="172"/>
      <c r="F176" s="172"/>
      <c r="N176" s="304"/>
    </row>
    <row r="177">
      <c r="B177" s="172"/>
      <c r="C177" s="172"/>
      <c r="D177" s="172"/>
      <c r="E177" s="172"/>
      <c r="F177" s="172"/>
      <c r="N177" s="304"/>
    </row>
    <row r="178">
      <c r="B178" s="172"/>
      <c r="C178" s="172"/>
      <c r="D178" s="172"/>
      <c r="E178" s="172"/>
      <c r="F178" s="172"/>
      <c r="N178" s="304"/>
    </row>
    <row r="179">
      <c r="B179" s="172"/>
      <c r="C179" s="172"/>
      <c r="D179" s="172"/>
      <c r="E179" s="172"/>
      <c r="F179" s="172"/>
      <c r="N179" s="304"/>
    </row>
    <row r="180">
      <c r="B180" s="172"/>
      <c r="C180" s="172"/>
      <c r="D180" s="172"/>
      <c r="E180" s="172"/>
      <c r="F180" s="172"/>
      <c r="N180" s="304"/>
    </row>
    <row r="181">
      <c r="B181" s="172"/>
      <c r="C181" s="172"/>
      <c r="D181" s="172"/>
      <c r="E181" s="172"/>
      <c r="F181" s="172"/>
      <c r="N181" s="304"/>
    </row>
    <row r="182">
      <c r="B182" s="172"/>
      <c r="C182" s="172"/>
      <c r="D182" s="172"/>
      <c r="E182" s="172"/>
      <c r="F182" s="172"/>
      <c r="N182" s="304"/>
    </row>
    <row r="183">
      <c r="B183" s="172"/>
      <c r="C183" s="172"/>
      <c r="D183" s="172"/>
      <c r="E183" s="172"/>
      <c r="F183" s="172"/>
      <c r="N183" s="304"/>
    </row>
    <row r="184">
      <c r="B184" s="172"/>
      <c r="C184" s="172"/>
      <c r="D184" s="172"/>
      <c r="E184" s="172"/>
      <c r="F184" s="172"/>
      <c r="N184" s="304"/>
    </row>
    <row r="185">
      <c r="B185" s="172"/>
      <c r="C185" s="172"/>
      <c r="D185" s="172"/>
      <c r="E185" s="172"/>
      <c r="F185" s="172"/>
      <c r="N185" s="304"/>
    </row>
    <row r="186">
      <c r="B186" s="172"/>
      <c r="C186" s="172"/>
      <c r="D186" s="172"/>
      <c r="E186" s="172"/>
      <c r="F186" s="172"/>
      <c r="N186" s="304"/>
    </row>
    <row r="187">
      <c r="B187" s="172"/>
      <c r="C187" s="172"/>
      <c r="D187" s="172"/>
      <c r="E187" s="172"/>
      <c r="F187" s="172"/>
      <c r="N187" s="304"/>
    </row>
    <row r="188">
      <c r="B188" s="172"/>
      <c r="C188" s="172"/>
      <c r="D188" s="172"/>
      <c r="E188" s="172"/>
      <c r="F188" s="172"/>
      <c r="N188" s="304"/>
    </row>
    <row r="189">
      <c r="B189" s="172"/>
      <c r="C189" s="172"/>
      <c r="D189" s="172"/>
      <c r="E189" s="172"/>
      <c r="F189" s="172"/>
      <c r="N189" s="304"/>
    </row>
    <row r="190">
      <c r="B190" s="172"/>
      <c r="C190" s="172"/>
      <c r="D190" s="172"/>
      <c r="E190" s="172"/>
      <c r="F190" s="172"/>
      <c r="N190" s="304"/>
    </row>
    <row r="191">
      <c r="B191" s="172"/>
      <c r="C191" s="172"/>
      <c r="D191" s="172"/>
      <c r="E191" s="172"/>
      <c r="F191" s="172"/>
      <c r="N191" s="304"/>
    </row>
    <row r="192">
      <c r="B192" s="172"/>
      <c r="C192" s="172"/>
      <c r="D192" s="172"/>
      <c r="E192" s="172"/>
      <c r="F192" s="172"/>
      <c r="N192" s="304"/>
    </row>
    <row r="193">
      <c r="B193" s="172"/>
      <c r="C193" s="172"/>
      <c r="D193" s="172"/>
      <c r="E193" s="172"/>
      <c r="F193" s="172"/>
      <c r="N193" s="304"/>
    </row>
    <row r="194">
      <c r="B194" s="172"/>
      <c r="C194" s="172"/>
      <c r="D194" s="172"/>
      <c r="E194" s="172"/>
      <c r="F194" s="172"/>
      <c r="N194" s="304"/>
    </row>
    <row r="195">
      <c r="B195" s="172"/>
      <c r="C195" s="172"/>
      <c r="D195" s="172"/>
      <c r="E195" s="172"/>
      <c r="F195" s="172"/>
      <c r="N195" s="304"/>
    </row>
    <row r="196">
      <c r="B196" s="172"/>
      <c r="C196" s="172"/>
      <c r="D196" s="172"/>
      <c r="E196" s="172"/>
      <c r="F196" s="172"/>
      <c r="N196" s="304"/>
    </row>
    <row r="197">
      <c r="B197" s="172"/>
      <c r="C197" s="172"/>
      <c r="D197" s="172"/>
      <c r="E197" s="172"/>
      <c r="F197" s="172"/>
      <c r="N197" s="304"/>
    </row>
    <row r="198">
      <c r="B198" s="172"/>
      <c r="C198" s="172"/>
      <c r="D198" s="172"/>
      <c r="E198" s="172"/>
      <c r="F198" s="172"/>
      <c r="N198" s="304"/>
    </row>
    <row r="199">
      <c r="B199" s="172"/>
      <c r="C199" s="172"/>
      <c r="D199" s="172"/>
      <c r="E199" s="172"/>
      <c r="F199" s="172"/>
      <c r="N199" s="304"/>
    </row>
    <row r="200">
      <c r="B200" s="172"/>
      <c r="C200" s="172"/>
      <c r="D200" s="172"/>
      <c r="E200" s="172"/>
      <c r="F200" s="172"/>
      <c r="N200" s="304"/>
    </row>
    <row r="201">
      <c r="B201" s="172"/>
      <c r="C201" s="172"/>
      <c r="D201" s="172"/>
      <c r="E201" s="172"/>
      <c r="F201" s="172"/>
      <c r="N201" s="304"/>
    </row>
    <row r="202">
      <c r="B202" s="172"/>
      <c r="C202" s="172"/>
      <c r="D202" s="172"/>
      <c r="E202" s="172"/>
      <c r="F202" s="172"/>
      <c r="N202" s="304"/>
    </row>
    <row r="203">
      <c r="B203" s="172"/>
      <c r="C203" s="172"/>
      <c r="D203" s="172"/>
      <c r="E203" s="172"/>
      <c r="F203" s="172"/>
      <c r="N203" s="304"/>
    </row>
    <row r="204">
      <c r="B204" s="172"/>
      <c r="C204" s="172"/>
      <c r="D204" s="172"/>
      <c r="E204" s="172"/>
      <c r="F204" s="172"/>
      <c r="N204" s="304"/>
    </row>
    <row r="205">
      <c r="B205" s="172"/>
      <c r="C205" s="172"/>
      <c r="D205" s="172"/>
      <c r="E205" s="172"/>
      <c r="F205" s="172"/>
      <c r="N205" s="304"/>
    </row>
    <row r="206">
      <c r="B206" s="172"/>
      <c r="C206" s="172"/>
      <c r="D206" s="172"/>
      <c r="E206" s="172"/>
      <c r="F206" s="172"/>
      <c r="N206" s="304"/>
    </row>
    <row r="207">
      <c r="B207" s="172"/>
      <c r="C207" s="172"/>
      <c r="D207" s="172"/>
      <c r="E207" s="172"/>
      <c r="F207" s="172"/>
      <c r="N207" s="304"/>
    </row>
    <row r="208">
      <c r="B208" s="172"/>
      <c r="C208" s="172"/>
      <c r="D208" s="172"/>
      <c r="E208" s="172"/>
      <c r="F208" s="172"/>
      <c r="N208" s="304"/>
    </row>
    <row r="209">
      <c r="B209" s="172"/>
      <c r="C209" s="172"/>
      <c r="D209" s="172"/>
      <c r="E209" s="172"/>
      <c r="F209" s="172"/>
      <c r="N209" s="304"/>
    </row>
    <row r="210">
      <c r="B210" s="172"/>
      <c r="C210" s="172"/>
      <c r="D210" s="172"/>
      <c r="E210" s="172"/>
      <c r="F210" s="172"/>
      <c r="N210" s="304"/>
    </row>
    <row r="211">
      <c r="B211" s="172"/>
      <c r="C211" s="172"/>
      <c r="D211" s="172"/>
      <c r="E211" s="172"/>
      <c r="F211" s="172"/>
      <c r="N211" s="304"/>
    </row>
    <row r="212">
      <c r="B212" s="172"/>
      <c r="C212" s="172"/>
      <c r="D212" s="172"/>
      <c r="E212" s="172"/>
      <c r="F212" s="172"/>
      <c r="N212" s="304"/>
    </row>
    <row r="213">
      <c r="B213" s="172"/>
      <c r="C213" s="172"/>
      <c r="D213" s="172"/>
      <c r="E213" s="172"/>
      <c r="F213" s="172"/>
      <c r="N213" s="304"/>
    </row>
    <row r="214">
      <c r="B214" s="172"/>
      <c r="C214" s="172"/>
      <c r="D214" s="172"/>
      <c r="E214" s="172"/>
      <c r="F214" s="172"/>
      <c r="N214" s="304"/>
    </row>
    <row r="215">
      <c r="B215" s="172"/>
      <c r="C215" s="172"/>
      <c r="D215" s="172"/>
      <c r="E215" s="172"/>
      <c r="F215" s="172"/>
      <c r="N215" s="304"/>
    </row>
    <row r="216">
      <c r="B216" s="172"/>
      <c r="C216" s="172"/>
      <c r="D216" s="172"/>
      <c r="E216" s="172"/>
      <c r="F216" s="172"/>
      <c r="N216" s="304"/>
    </row>
    <row r="217">
      <c r="B217" s="172"/>
      <c r="C217" s="172"/>
      <c r="D217" s="172"/>
      <c r="E217" s="172"/>
      <c r="F217" s="172"/>
      <c r="N217" s="304"/>
    </row>
    <row r="218">
      <c r="B218" s="172"/>
      <c r="C218" s="172"/>
      <c r="D218" s="172"/>
      <c r="E218" s="172"/>
      <c r="F218" s="172"/>
      <c r="N218" s="304"/>
    </row>
    <row r="219">
      <c r="B219" s="172"/>
      <c r="C219" s="172"/>
      <c r="D219" s="172"/>
      <c r="E219" s="172"/>
      <c r="F219" s="172"/>
      <c r="N219" s="304"/>
    </row>
    <row r="220">
      <c r="B220" s="172"/>
      <c r="C220" s="172"/>
      <c r="D220" s="172"/>
      <c r="E220" s="172"/>
      <c r="F220" s="172"/>
      <c r="N220" s="304"/>
    </row>
    <row r="221">
      <c r="B221" s="172"/>
      <c r="C221" s="172"/>
      <c r="D221" s="172"/>
      <c r="E221" s="172"/>
      <c r="F221" s="172"/>
      <c r="N221" s="304"/>
    </row>
    <row r="222">
      <c r="B222" s="172"/>
      <c r="C222" s="172"/>
      <c r="D222" s="172"/>
      <c r="E222" s="172"/>
      <c r="F222" s="172"/>
      <c r="N222" s="304"/>
    </row>
    <row r="223">
      <c r="B223" s="172"/>
      <c r="C223" s="172"/>
      <c r="D223" s="172"/>
      <c r="E223" s="172"/>
      <c r="F223" s="172"/>
      <c r="N223" s="304"/>
    </row>
    <row r="224">
      <c r="B224" s="172"/>
      <c r="C224" s="172"/>
      <c r="D224" s="172"/>
      <c r="E224" s="172"/>
      <c r="F224" s="172"/>
      <c r="N224" s="304"/>
    </row>
    <row r="225">
      <c r="B225" s="172"/>
      <c r="C225" s="172"/>
      <c r="D225" s="172"/>
      <c r="E225" s="172"/>
      <c r="F225" s="172"/>
      <c r="N225" s="304"/>
    </row>
    <row r="226">
      <c r="B226" s="172"/>
      <c r="C226" s="172"/>
      <c r="D226" s="172"/>
      <c r="E226" s="172"/>
      <c r="F226" s="172"/>
      <c r="N226" s="304"/>
    </row>
    <row r="227">
      <c r="B227" s="172"/>
      <c r="C227" s="172"/>
      <c r="D227" s="172"/>
      <c r="E227" s="172"/>
      <c r="F227" s="172"/>
      <c r="N227" s="304"/>
    </row>
    <row r="228">
      <c r="B228" s="172"/>
      <c r="C228" s="172"/>
      <c r="D228" s="172"/>
      <c r="E228" s="172"/>
      <c r="F228" s="172"/>
      <c r="N228" s="304"/>
    </row>
    <row r="229">
      <c r="B229" s="172"/>
      <c r="C229" s="172"/>
      <c r="D229" s="172"/>
      <c r="E229" s="172"/>
      <c r="F229" s="172"/>
      <c r="N229" s="304"/>
    </row>
    <row r="230">
      <c r="B230" s="172"/>
      <c r="C230" s="172"/>
      <c r="D230" s="172"/>
      <c r="E230" s="172"/>
      <c r="F230" s="172"/>
      <c r="N230" s="304"/>
    </row>
    <row r="231">
      <c r="B231" s="172"/>
      <c r="C231" s="172"/>
      <c r="D231" s="172"/>
      <c r="E231" s="172"/>
      <c r="F231" s="172"/>
      <c r="N231" s="304"/>
    </row>
    <row r="232">
      <c r="B232" s="172"/>
      <c r="C232" s="172"/>
      <c r="D232" s="172"/>
      <c r="E232" s="172"/>
      <c r="F232" s="172"/>
      <c r="N232" s="304"/>
    </row>
    <row r="233">
      <c r="B233" s="172"/>
      <c r="C233" s="172"/>
      <c r="D233" s="172"/>
      <c r="E233" s="172"/>
      <c r="F233" s="172"/>
      <c r="N233" s="304"/>
    </row>
    <row r="234">
      <c r="B234" s="172"/>
      <c r="C234" s="172"/>
      <c r="D234" s="172"/>
      <c r="E234" s="172"/>
      <c r="F234" s="172"/>
      <c r="N234" s="304"/>
    </row>
    <row r="235">
      <c r="B235" s="172"/>
      <c r="C235" s="172"/>
      <c r="D235" s="172"/>
      <c r="E235" s="172"/>
      <c r="F235" s="172"/>
      <c r="N235" s="304"/>
    </row>
    <row r="236">
      <c r="B236" s="172"/>
      <c r="C236" s="172"/>
      <c r="D236" s="172"/>
      <c r="E236" s="172"/>
      <c r="F236" s="172"/>
      <c r="N236" s="304"/>
    </row>
    <row r="237">
      <c r="B237" s="172"/>
      <c r="C237" s="172"/>
      <c r="D237" s="172"/>
      <c r="E237" s="172"/>
      <c r="F237" s="172"/>
      <c r="N237" s="304"/>
    </row>
    <row r="238">
      <c r="B238" s="172"/>
      <c r="C238" s="172"/>
      <c r="D238" s="172"/>
      <c r="E238" s="172"/>
      <c r="F238" s="172"/>
      <c r="N238" s="304"/>
    </row>
    <row r="239">
      <c r="B239" s="172"/>
      <c r="C239" s="172"/>
      <c r="D239" s="172"/>
      <c r="E239" s="172"/>
      <c r="F239" s="172"/>
      <c r="N239" s="304"/>
    </row>
    <row r="240">
      <c r="B240" s="172"/>
      <c r="C240" s="172"/>
      <c r="D240" s="172"/>
      <c r="E240" s="172"/>
      <c r="F240" s="172"/>
      <c r="N240" s="304"/>
    </row>
    <row r="241">
      <c r="B241" s="172"/>
      <c r="C241" s="172"/>
      <c r="D241" s="172"/>
      <c r="E241" s="172"/>
      <c r="F241" s="172"/>
      <c r="N241" s="304"/>
    </row>
    <row r="242">
      <c r="B242" s="172"/>
      <c r="C242" s="172"/>
      <c r="D242" s="172"/>
      <c r="E242" s="172"/>
      <c r="F242" s="172"/>
      <c r="N242" s="304"/>
    </row>
    <row r="243">
      <c r="B243" s="172"/>
      <c r="C243" s="172"/>
      <c r="D243" s="172"/>
      <c r="E243" s="172"/>
      <c r="F243" s="172"/>
      <c r="N243" s="304"/>
    </row>
    <row r="244">
      <c r="B244" s="172"/>
      <c r="C244" s="172"/>
      <c r="D244" s="172"/>
      <c r="E244" s="172"/>
      <c r="F244" s="172"/>
      <c r="N244" s="304"/>
    </row>
    <row r="245">
      <c r="B245" s="172"/>
      <c r="C245" s="172"/>
      <c r="D245" s="172"/>
      <c r="E245" s="172"/>
      <c r="F245" s="172"/>
      <c r="N245" s="304"/>
    </row>
    <row r="246">
      <c r="B246" s="172"/>
      <c r="C246" s="172"/>
      <c r="D246" s="172"/>
      <c r="E246" s="172"/>
      <c r="F246" s="172"/>
      <c r="N246" s="304"/>
    </row>
    <row r="247">
      <c r="B247" s="172"/>
      <c r="C247" s="172"/>
      <c r="D247" s="172"/>
      <c r="E247" s="172"/>
      <c r="F247" s="172"/>
      <c r="N247" s="304"/>
    </row>
    <row r="248">
      <c r="B248" s="172"/>
      <c r="C248" s="172"/>
      <c r="D248" s="172"/>
      <c r="E248" s="172"/>
      <c r="F248" s="172"/>
      <c r="N248" s="304"/>
    </row>
    <row r="249">
      <c r="B249" s="172"/>
      <c r="C249" s="172"/>
      <c r="D249" s="172"/>
      <c r="E249" s="172"/>
      <c r="F249" s="172"/>
      <c r="N249" s="304"/>
    </row>
    <row r="250">
      <c r="B250" s="172"/>
      <c r="C250" s="172"/>
      <c r="D250" s="172"/>
      <c r="E250" s="172"/>
      <c r="F250" s="172"/>
      <c r="N250" s="304"/>
    </row>
    <row r="251">
      <c r="B251" s="172"/>
      <c r="C251" s="172"/>
      <c r="D251" s="172"/>
      <c r="E251" s="172"/>
      <c r="F251" s="172"/>
      <c r="N251" s="304"/>
    </row>
    <row r="252">
      <c r="B252" s="172"/>
      <c r="C252" s="172"/>
      <c r="D252" s="172"/>
      <c r="E252" s="172"/>
      <c r="F252" s="172"/>
      <c r="N252" s="304"/>
    </row>
    <row r="253">
      <c r="B253" s="172"/>
      <c r="C253" s="172"/>
      <c r="D253" s="172"/>
      <c r="E253" s="172"/>
      <c r="F253" s="172"/>
      <c r="N253" s="304"/>
    </row>
    <row r="254">
      <c r="B254" s="172"/>
      <c r="C254" s="172"/>
      <c r="D254" s="172"/>
      <c r="E254" s="172"/>
      <c r="F254" s="172"/>
      <c r="N254" s="304"/>
    </row>
    <row r="255">
      <c r="B255" s="172"/>
      <c r="C255" s="172"/>
      <c r="D255" s="172"/>
      <c r="E255" s="172"/>
      <c r="F255" s="172"/>
      <c r="N255" s="304"/>
    </row>
    <row r="256">
      <c r="B256" s="172"/>
      <c r="C256" s="172"/>
      <c r="D256" s="172"/>
      <c r="E256" s="172"/>
      <c r="F256" s="172"/>
      <c r="N256" s="304"/>
    </row>
    <row r="257">
      <c r="B257" s="172"/>
      <c r="C257" s="172"/>
      <c r="D257" s="172"/>
      <c r="E257" s="172"/>
      <c r="F257" s="172"/>
      <c r="N257" s="304"/>
    </row>
    <row r="258">
      <c r="B258" s="172"/>
      <c r="C258" s="172"/>
      <c r="D258" s="172"/>
      <c r="E258" s="172"/>
      <c r="F258" s="172"/>
      <c r="N258" s="304"/>
    </row>
    <row r="259">
      <c r="B259" s="172"/>
      <c r="C259" s="172"/>
      <c r="D259" s="172"/>
      <c r="E259" s="172"/>
      <c r="F259" s="172"/>
      <c r="N259" s="304"/>
    </row>
    <row r="260">
      <c r="B260" s="172"/>
      <c r="C260" s="172"/>
      <c r="D260" s="172"/>
      <c r="E260" s="172"/>
      <c r="F260" s="172"/>
      <c r="N260" s="304"/>
    </row>
    <row r="261">
      <c r="B261" s="172"/>
      <c r="C261" s="172"/>
      <c r="D261" s="172"/>
      <c r="E261" s="172"/>
      <c r="F261" s="172"/>
      <c r="N261" s="304"/>
    </row>
    <row r="262">
      <c r="B262" s="172"/>
      <c r="C262" s="172"/>
      <c r="D262" s="172"/>
      <c r="E262" s="172"/>
      <c r="F262" s="172"/>
      <c r="N262" s="304"/>
    </row>
    <row r="263">
      <c r="B263" s="172"/>
      <c r="C263" s="172"/>
      <c r="D263" s="172"/>
      <c r="E263" s="172"/>
      <c r="F263" s="172"/>
      <c r="N263" s="304"/>
    </row>
    <row r="264">
      <c r="B264" s="172"/>
      <c r="C264" s="172"/>
      <c r="D264" s="172"/>
      <c r="E264" s="172"/>
      <c r="F264" s="172"/>
      <c r="N264" s="304"/>
    </row>
    <row r="265">
      <c r="B265" s="172"/>
      <c r="C265" s="172"/>
      <c r="D265" s="172"/>
      <c r="E265" s="172"/>
      <c r="F265" s="172"/>
      <c r="N265" s="304"/>
    </row>
    <row r="266">
      <c r="B266" s="172"/>
      <c r="C266" s="172"/>
      <c r="D266" s="172"/>
      <c r="E266" s="172"/>
      <c r="F266" s="172"/>
      <c r="N266" s="304"/>
    </row>
    <row r="267">
      <c r="B267" s="172"/>
      <c r="C267" s="172"/>
      <c r="D267" s="172"/>
      <c r="E267" s="172"/>
      <c r="F267" s="172"/>
      <c r="N267" s="304"/>
    </row>
    <row r="268">
      <c r="B268" s="172"/>
      <c r="C268" s="172"/>
      <c r="D268" s="172"/>
      <c r="E268" s="172"/>
      <c r="F268" s="172"/>
      <c r="N268" s="304"/>
    </row>
    <row r="269">
      <c r="B269" s="172"/>
      <c r="C269" s="172"/>
      <c r="D269" s="172"/>
      <c r="E269" s="172"/>
      <c r="F269" s="172"/>
      <c r="N269" s="304"/>
    </row>
    <row r="270">
      <c r="B270" s="172"/>
      <c r="C270" s="172"/>
      <c r="D270" s="172"/>
      <c r="E270" s="172"/>
      <c r="F270" s="172"/>
      <c r="N270" s="304"/>
    </row>
    <row r="271">
      <c r="B271" s="172"/>
      <c r="C271" s="172"/>
      <c r="D271" s="172"/>
      <c r="E271" s="172"/>
      <c r="F271" s="172"/>
      <c r="N271" s="304"/>
    </row>
    <row r="272">
      <c r="B272" s="172"/>
      <c r="C272" s="172"/>
      <c r="D272" s="172"/>
      <c r="E272" s="172"/>
      <c r="F272" s="172"/>
      <c r="N272" s="304"/>
    </row>
    <row r="273">
      <c r="B273" s="172"/>
      <c r="C273" s="172"/>
      <c r="D273" s="172"/>
      <c r="E273" s="172"/>
      <c r="F273" s="172"/>
      <c r="N273" s="304"/>
    </row>
    <row r="274">
      <c r="B274" s="172"/>
      <c r="C274" s="172"/>
      <c r="D274" s="172"/>
      <c r="E274" s="172"/>
      <c r="F274" s="172"/>
      <c r="N274" s="304"/>
    </row>
    <row r="275">
      <c r="B275" s="172"/>
      <c r="C275" s="172"/>
      <c r="D275" s="172"/>
      <c r="E275" s="172"/>
      <c r="F275" s="172"/>
      <c r="N275" s="304"/>
    </row>
    <row r="276">
      <c r="B276" s="172"/>
      <c r="C276" s="172"/>
      <c r="D276" s="172"/>
      <c r="E276" s="172"/>
      <c r="F276" s="172"/>
      <c r="N276" s="304"/>
    </row>
    <row r="277">
      <c r="B277" s="172"/>
      <c r="C277" s="172"/>
      <c r="D277" s="172"/>
      <c r="E277" s="172"/>
      <c r="F277" s="172"/>
      <c r="N277" s="304"/>
    </row>
    <row r="278">
      <c r="B278" s="172"/>
      <c r="C278" s="172"/>
      <c r="D278" s="172"/>
      <c r="E278" s="172"/>
      <c r="F278" s="172"/>
      <c r="N278" s="304"/>
    </row>
    <row r="279">
      <c r="B279" s="172"/>
      <c r="C279" s="172"/>
      <c r="D279" s="172"/>
      <c r="E279" s="172"/>
      <c r="F279" s="172"/>
      <c r="N279" s="304"/>
    </row>
    <row r="280">
      <c r="B280" s="172"/>
      <c r="C280" s="172"/>
      <c r="D280" s="172"/>
      <c r="E280" s="172"/>
      <c r="F280" s="172"/>
      <c r="N280" s="304"/>
    </row>
    <row r="281">
      <c r="B281" s="172"/>
      <c r="C281" s="172"/>
      <c r="D281" s="172"/>
      <c r="E281" s="172"/>
      <c r="F281" s="172"/>
      <c r="N281" s="304"/>
    </row>
    <row r="282">
      <c r="B282" s="172"/>
      <c r="C282" s="172"/>
      <c r="D282" s="172"/>
      <c r="E282" s="172"/>
      <c r="F282" s="172"/>
      <c r="N282" s="304"/>
    </row>
    <row r="283">
      <c r="B283" s="172"/>
      <c r="C283" s="172"/>
      <c r="D283" s="172"/>
      <c r="E283" s="172"/>
      <c r="F283" s="172"/>
      <c r="N283" s="304"/>
    </row>
    <row r="284">
      <c r="B284" s="172"/>
      <c r="C284" s="172"/>
      <c r="D284" s="172"/>
      <c r="E284" s="172"/>
      <c r="F284" s="172"/>
      <c r="N284" s="304"/>
    </row>
    <row r="285">
      <c r="B285" s="172"/>
      <c r="C285" s="172"/>
      <c r="D285" s="172"/>
      <c r="E285" s="172"/>
      <c r="F285" s="172"/>
      <c r="N285" s="304"/>
    </row>
    <row r="286">
      <c r="B286" s="172"/>
      <c r="C286" s="172"/>
      <c r="D286" s="172"/>
      <c r="E286" s="172"/>
      <c r="F286" s="172"/>
      <c r="N286" s="304"/>
    </row>
    <row r="287">
      <c r="B287" s="172"/>
      <c r="C287" s="172"/>
      <c r="D287" s="172"/>
      <c r="E287" s="172"/>
      <c r="F287" s="172"/>
      <c r="N287" s="304"/>
    </row>
    <row r="288">
      <c r="B288" s="172"/>
      <c r="C288" s="172"/>
      <c r="D288" s="172"/>
      <c r="E288" s="172"/>
      <c r="F288" s="172"/>
      <c r="N288" s="304"/>
    </row>
    <row r="289">
      <c r="B289" s="172"/>
      <c r="C289" s="172"/>
      <c r="D289" s="172"/>
      <c r="E289" s="172"/>
      <c r="F289" s="172"/>
      <c r="N289" s="304"/>
    </row>
    <row r="290">
      <c r="B290" s="172"/>
      <c r="C290" s="172"/>
      <c r="D290" s="172"/>
      <c r="E290" s="172"/>
      <c r="F290" s="172"/>
      <c r="N290" s="304"/>
    </row>
    <row r="291">
      <c r="B291" s="172"/>
      <c r="C291" s="172"/>
      <c r="D291" s="172"/>
      <c r="E291" s="172"/>
      <c r="F291" s="172"/>
      <c r="N291" s="304"/>
    </row>
    <row r="292">
      <c r="B292" s="172"/>
      <c r="C292" s="172"/>
      <c r="D292" s="172"/>
      <c r="E292" s="172"/>
      <c r="F292" s="172"/>
      <c r="N292" s="304"/>
    </row>
    <row r="293">
      <c r="B293" s="172"/>
      <c r="C293" s="172"/>
      <c r="D293" s="172"/>
      <c r="E293" s="172"/>
      <c r="F293" s="172"/>
      <c r="N293" s="304"/>
    </row>
    <row r="294">
      <c r="B294" s="172"/>
      <c r="C294" s="172"/>
      <c r="D294" s="172"/>
      <c r="E294" s="172"/>
      <c r="F294" s="172"/>
      <c r="N294" s="304"/>
    </row>
    <row r="295">
      <c r="B295" s="172"/>
      <c r="C295" s="172"/>
      <c r="D295" s="172"/>
      <c r="E295" s="172"/>
      <c r="F295" s="172"/>
      <c r="N295" s="304"/>
    </row>
    <row r="296">
      <c r="B296" s="172"/>
      <c r="C296" s="172"/>
      <c r="D296" s="172"/>
      <c r="E296" s="172"/>
      <c r="F296" s="172"/>
      <c r="N296" s="304"/>
    </row>
    <row r="297">
      <c r="B297" s="172"/>
      <c r="C297" s="172"/>
      <c r="D297" s="172"/>
      <c r="E297" s="172"/>
      <c r="F297" s="172"/>
      <c r="N297" s="304"/>
    </row>
    <row r="298">
      <c r="B298" s="172"/>
      <c r="C298" s="172"/>
      <c r="D298" s="172"/>
      <c r="E298" s="172"/>
      <c r="F298" s="172"/>
      <c r="N298" s="304"/>
    </row>
    <row r="299">
      <c r="B299" s="172"/>
      <c r="C299" s="172"/>
      <c r="D299" s="172"/>
      <c r="E299" s="172"/>
      <c r="F299" s="172"/>
      <c r="N299" s="304"/>
    </row>
    <row r="300">
      <c r="B300" s="172"/>
      <c r="C300" s="172"/>
      <c r="D300" s="172"/>
      <c r="E300" s="172"/>
      <c r="F300" s="172"/>
      <c r="N300" s="304"/>
    </row>
    <row r="301">
      <c r="B301" s="172"/>
      <c r="C301" s="172"/>
      <c r="D301" s="172"/>
      <c r="E301" s="172"/>
      <c r="F301" s="172"/>
      <c r="N301" s="304"/>
    </row>
    <row r="302">
      <c r="B302" s="172"/>
      <c r="C302" s="172"/>
      <c r="D302" s="172"/>
      <c r="E302" s="172"/>
      <c r="F302" s="172"/>
      <c r="N302" s="304"/>
    </row>
    <row r="303">
      <c r="B303" s="172"/>
      <c r="C303" s="172"/>
      <c r="D303" s="172"/>
      <c r="E303" s="172"/>
      <c r="F303" s="172"/>
      <c r="N303" s="304"/>
    </row>
    <row r="304">
      <c r="B304" s="172"/>
      <c r="C304" s="172"/>
      <c r="D304" s="172"/>
      <c r="E304" s="172"/>
      <c r="F304" s="172"/>
      <c r="N304" s="304"/>
    </row>
    <row r="305">
      <c r="B305" s="172"/>
      <c r="C305" s="172"/>
      <c r="D305" s="172"/>
      <c r="E305" s="172"/>
      <c r="F305" s="172"/>
      <c r="N305" s="304"/>
    </row>
    <row r="306">
      <c r="B306" s="172"/>
      <c r="C306" s="172"/>
      <c r="D306" s="172"/>
      <c r="E306" s="172"/>
      <c r="F306" s="172"/>
      <c r="N306" s="304"/>
    </row>
    <row r="307">
      <c r="B307" s="172"/>
      <c r="C307" s="172"/>
      <c r="D307" s="172"/>
      <c r="E307" s="172"/>
      <c r="F307" s="172"/>
      <c r="N307" s="304"/>
    </row>
    <row r="308">
      <c r="B308" s="172"/>
      <c r="C308" s="172"/>
      <c r="D308" s="172"/>
      <c r="E308" s="172"/>
      <c r="F308" s="172"/>
      <c r="N308" s="304"/>
    </row>
    <row r="309">
      <c r="B309" s="172"/>
      <c r="C309" s="172"/>
      <c r="D309" s="172"/>
      <c r="E309" s="172"/>
      <c r="F309" s="172"/>
      <c r="N309" s="304"/>
    </row>
    <row r="310">
      <c r="B310" s="172"/>
      <c r="C310" s="172"/>
      <c r="D310" s="172"/>
      <c r="E310" s="172"/>
      <c r="F310" s="172"/>
      <c r="N310" s="304"/>
    </row>
    <row r="311">
      <c r="B311" s="172"/>
      <c r="C311" s="172"/>
      <c r="D311" s="172"/>
      <c r="E311" s="172"/>
      <c r="F311" s="172"/>
      <c r="N311" s="304"/>
    </row>
    <row r="312">
      <c r="B312" s="172"/>
      <c r="C312" s="172"/>
      <c r="D312" s="172"/>
      <c r="E312" s="172"/>
      <c r="F312" s="172"/>
      <c r="N312" s="304"/>
    </row>
    <row r="313">
      <c r="B313" s="172"/>
      <c r="C313" s="172"/>
      <c r="D313" s="172"/>
      <c r="E313" s="172"/>
      <c r="F313" s="172"/>
      <c r="N313" s="304"/>
    </row>
    <row r="314">
      <c r="B314" s="172"/>
      <c r="C314" s="172"/>
      <c r="D314" s="172"/>
      <c r="E314" s="172"/>
      <c r="F314" s="172"/>
      <c r="N314" s="304"/>
    </row>
    <row r="315">
      <c r="B315" s="172"/>
      <c r="C315" s="172"/>
      <c r="D315" s="172"/>
      <c r="E315" s="172"/>
      <c r="F315" s="172"/>
      <c r="N315" s="304"/>
    </row>
    <row r="316">
      <c r="B316" s="172"/>
      <c r="C316" s="172"/>
      <c r="D316" s="172"/>
      <c r="E316" s="172"/>
      <c r="F316" s="172"/>
      <c r="N316" s="304"/>
    </row>
    <row r="317">
      <c r="B317" s="172"/>
      <c r="C317" s="172"/>
      <c r="D317" s="172"/>
      <c r="E317" s="172"/>
      <c r="F317" s="172"/>
      <c r="N317" s="304"/>
    </row>
    <row r="318">
      <c r="B318" s="172"/>
      <c r="C318" s="172"/>
      <c r="D318" s="172"/>
      <c r="E318" s="172"/>
      <c r="F318" s="172"/>
      <c r="N318" s="304"/>
    </row>
    <row r="319">
      <c r="B319" s="172"/>
      <c r="C319" s="172"/>
      <c r="D319" s="172"/>
      <c r="E319" s="172"/>
      <c r="F319" s="172"/>
      <c r="N319" s="304"/>
    </row>
    <row r="320">
      <c r="B320" s="172"/>
      <c r="C320" s="172"/>
      <c r="D320" s="172"/>
      <c r="E320" s="172"/>
      <c r="F320" s="172"/>
      <c r="N320" s="304"/>
    </row>
    <row r="321">
      <c r="B321" s="172"/>
      <c r="C321" s="172"/>
      <c r="D321" s="172"/>
      <c r="E321" s="172"/>
      <c r="F321" s="172"/>
      <c r="N321" s="304"/>
    </row>
    <row r="322">
      <c r="B322" s="172"/>
      <c r="C322" s="172"/>
      <c r="D322" s="172"/>
      <c r="E322" s="172"/>
      <c r="F322" s="172"/>
      <c r="N322" s="304"/>
    </row>
    <row r="323">
      <c r="B323" s="172"/>
      <c r="C323" s="172"/>
      <c r="D323" s="172"/>
      <c r="E323" s="172"/>
      <c r="F323" s="172"/>
      <c r="N323" s="304"/>
    </row>
    <row r="324">
      <c r="B324" s="172"/>
      <c r="C324" s="172"/>
      <c r="D324" s="172"/>
      <c r="E324" s="172"/>
      <c r="F324" s="172"/>
      <c r="N324" s="304"/>
    </row>
    <row r="325">
      <c r="B325" s="172"/>
      <c r="C325" s="172"/>
      <c r="D325" s="172"/>
      <c r="E325" s="172"/>
      <c r="F325" s="172"/>
      <c r="N325" s="304"/>
    </row>
    <row r="326">
      <c r="B326" s="172"/>
      <c r="C326" s="172"/>
      <c r="D326" s="172"/>
      <c r="E326" s="172"/>
      <c r="F326" s="172"/>
      <c r="N326" s="304"/>
    </row>
    <row r="327">
      <c r="B327" s="172"/>
      <c r="C327" s="172"/>
      <c r="D327" s="172"/>
      <c r="E327" s="172"/>
      <c r="F327" s="172"/>
      <c r="N327" s="304"/>
    </row>
    <row r="328">
      <c r="B328" s="172"/>
      <c r="C328" s="172"/>
      <c r="D328" s="172"/>
      <c r="E328" s="172"/>
      <c r="F328" s="172"/>
      <c r="N328" s="304"/>
    </row>
    <row r="329">
      <c r="B329" s="172"/>
      <c r="C329" s="172"/>
      <c r="D329" s="172"/>
      <c r="E329" s="172"/>
      <c r="F329" s="172"/>
      <c r="N329" s="304"/>
    </row>
    <row r="330">
      <c r="B330" s="172"/>
      <c r="C330" s="172"/>
      <c r="D330" s="172"/>
      <c r="E330" s="172"/>
      <c r="F330" s="172"/>
      <c r="N330" s="304"/>
    </row>
    <row r="331">
      <c r="B331" s="172"/>
      <c r="C331" s="172"/>
      <c r="D331" s="172"/>
      <c r="E331" s="172"/>
      <c r="F331" s="172"/>
      <c r="N331" s="304"/>
    </row>
    <row r="332">
      <c r="B332" s="172"/>
      <c r="C332" s="172"/>
      <c r="D332" s="172"/>
      <c r="E332" s="172"/>
      <c r="F332" s="172"/>
      <c r="N332" s="304"/>
    </row>
    <row r="333">
      <c r="B333" s="172"/>
      <c r="C333" s="172"/>
      <c r="D333" s="172"/>
      <c r="E333" s="172"/>
      <c r="F333" s="172"/>
      <c r="N333" s="304"/>
    </row>
    <row r="334">
      <c r="B334" s="172"/>
      <c r="C334" s="172"/>
      <c r="D334" s="172"/>
      <c r="E334" s="172"/>
      <c r="F334" s="172"/>
      <c r="N334" s="304"/>
    </row>
    <row r="335">
      <c r="B335" s="172"/>
      <c r="C335" s="172"/>
      <c r="D335" s="172"/>
      <c r="E335" s="172"/>
      <c r="F335" s="172"/>
      <c r="N335" s="304"/>
    </row>
    <row r="336">
      <c r="B336" s="172"/>
      <c r="C336" s="172"/>
      <c r="D336" s="172"/>
      <c r="E336" s="172"/>
      <c r="F336" s="172"/>
      <c r="N336" s="304"/>
    </row>
    <row r="337">
      <c r="B337" s="172"/>
      <c r="C337" s="172"/>
      <c r="D337" s="172"/>
      <c r="E337" s="172"/>
      <c r="F337" s="172"/>
      <c r="N337" s="304"/>
    </row>
    <row r="338">
      <c r="B338" s="172"/>
      <c r="C338" s="172"/>
      <c r="D338" s="172"/>
      <c r="E338" s="172"/>
      <c r="F338" s="172"/>
      <c r="N338" s="304"/>
    </row>
    <row r="339">
      <c r="B339" s="172"/>
      <c r="C339" s="172"/>
      <c r="D339" s="172"/>
      <c r="E339" s="172"/>
      <c r="F339" s="172"/>
      <c r="N339" s="304"/>
    </row>
    <row r="340">
      <c r="B340" s="172"/>
      <c r="C340" s="172"/>
      <c r="D340" s="172"/>
      <c r="E340" s="172"/>
      <c r="F340" s="172"/>
      <c r="N340" s="304"/>
    </row>
    <row r="341">
      <c r="B341" s="172"/>
      <c r="C341" s="172"/>
      <c r="D341" s="172"/>
      <c r="E341" s="172"/>
      <c r="F341" s="172"/>
      <c r="N341" s="304"/>
    </row>
    <row r="342">
      <c r="B342" s="172"/>
      <c r="C342" s="172"/>
      <c r="D342" s="172"/>
      <c r="E342" s="172"/>
      <c r="F342" s="172"/>
      <c r="N342" s="304"/>
    </row>
    <row r="343">
      <c r="B343" s="172"/>
      <c r="C343" s="172"/>
      <c r="D343" s="172"/>
      <c r="E343" s="172"/>
      <c r="F343" s="172"/>
      <c r="N343" s="304"/>
    </row>
    <row r="344">
      <c r="B344" s="172"/>
      <c r="C344" s="172"/>
      <c r="D344" s="172"/>
      <c r="E344" s="172"/>
      <c r="F344" s="172"/>
      <c r="N344" s="304"/>
    </row>
    <row r="345">
      <c r="B345" s="172"/>
      <c r="C345" s="172"/>
      <c r="D345" s="172"/>
      <c r="E345" s="172"/>
      <c r="F345" s="172"/>
      <c r="N345" s="304"/>
    </row>
    <row r="346">
      <c r="B346" s="172"/>
      <c r="C346" s="172"/>
      <c r="D346" s="172"/>
      <c r="E346" s="172"/>
      <c r="F346" s="172"/>
      <c r="N346" s="304"/>
    </row>
    <row r="347">
      <c r="B347" s="172"/>
      <c r="C347" s="172"/>
      <c r="D347" s="172"/>
      <c r="E347" s="172"/>
      <c r="F347" s="172"/>
      <c r="N347" s="304"/>
    </row>
    <row r="348">
      <c r="B348" s="172"/>
      <c r="C348" s="172"/>
      <c r="D348" s="172"/>
      <c r="E348" s="172"/>
      <c r="F348" s="172"/>
      <c r="N348" s="304"/>
    </row>
    <row r="349">
      <c r="B349" s="172"/>
      <c r="C349" s="172"/>
      <c r="D349" s="172"/>
      <c r="E349" s="172"/>
      <c r="F349" s="172"/>
      <c r="N349" s="304"/>
    </row>
    <row r="350">
      <c r="B350" s="172"/>
      <c r="C350" s="172"/>
      <c r="D350" s="172"/>
      <c r="E350" s="172"/>
      <c r="F350" s="172"/>
      <c r="N350" s="304"/>
    </row>
    <row r="351">
      <c r="B351" s="172"/>
      <c r="C351" s="172"/>
      <c r="D351" s="172"/>
      <c r="E351" s="172"/>
      <c r="F351" s="172"/>
      <c r="N351" s="304"/>
    </row>
    <row r="352">
      <c r="B352" s="172"/>
      <c r="C352" s="172"/>
      <c r="D352" s="172"/>
      <c r="E352" s="172"/>
      <c r="F352" s="172"/>
      <c r="N352" s="304"/>
    </row>
    <row r="353">
      <c r="B353" s="172"/>
      <c r="C353" s="172"/>
      <c r="D353" s="172"/>
      <c r="E353" s="172"/>
      <c r="F353" s="172"/>
      <c r="N353" s="304"/>
    </row>
    <row r="354">
      <c r="B354" s="172"/>
      <c r="C354" s="172"/>
      <c r="D354" s="172"/>
      <c r="E354" s="172"/>
      <c r="F354" s="172"/>
      <c r="N354" s="304"/>
    </row>
    <row r="355">
      <c r="B355" s="172"/>
      <c r="C355" s="172"/>
      <c r="D355" s="172"/>
      <c r="E355" s="172"/>
      <c r="F355" s="172"/>
      <c r="N355" s="304"/>
    </row>
    <row r="356">
      <c r="B356" s="172"/>
      <c r="C356" s="172"/>
      <c r="D356" s="172"/>
      <c r="E356" s="172"/>
      <c r="F356" s="172"/>
      <c r="N356" s="304"/>
    </row>
    <row r="357">
      <c r="B357" s="172"/>
      <c r="C357" s="172"/>
      <c r="D357" s="172"/>
      <c r="E357" s="172"/>
      <c r="F357" s="172"/>
      <c r="N357" s="304"/>
    </row>
    <row r="358">
      <c r="B358" s="172"/>
      <c r="C358" s="172"/>
      <c r="D358" s="172"/>
      <c r="E358" s="172"/>
      <c r="F358" s="172"/>
      <c r="N358" s="304"/>
    </row>
    <row r="359">
      <c r="B359" s="172"/>
      <c r="C359" s="172"/>
      <c r="D359" s="172"/>
      <c r="E359" s="172"/>
      <c r="F359" s="172"/>
      <c r="N359" s="304"/>
    </row>
    <row r="360">
      <c r="B360" s="172"/>
      <c r="C360" s="172"/>
      <c r="D360" s="172"/>
      <c r="E360" s="172"/>
      <c r="F360" s="172"/>
      <c r="N360" s="304"/>
    </row>
    <row r="361">
      <c r="B361" s="172"/>
      <c r="C361" s="172"/>
      <c r="D361" s="172"/>
      <c r="E361" s="172"/>
      <c r="F361" s="172"/>
      <c r="N361" s="304"/>
    </row>
    <row r="362">
      <c r="B362" s="172"/>
      <c r="C362" s="172"/>
      <c r="D362" s="172"/>
      <c r="E362" s="172"/>
      <c r="F362" s="172"/>
      <c r="N362" s="304"/>
    </row>
    <row r="363">
      <c r="B363" s="172"/>
      <c r="C363" s="172"/>
      <c r="D363" s="172"/>
      <c r="E363" s="172"/>
      <c r="F363" s="172"/>
      <c r="N363" s="304"/>
    </row>
    <row r="364">
      <c r="B364" s="172"/>
      <c r="C364" s="172"/>
      <c r="D364" s="172"/>
      <c r="E364" s="172"/>
      <c r="F364" s="172"/>
      <c r="N364" s="304"/>
    </row>
    <row r="365">
      <c r="B365" s="172"/>
      <c r="C365" s="172"/>
      <c r="D365" s="172"/>
      <c r="E365" s="172"/>
      <c r="F365" s="172"/>
      <c r="N365" s="304"/>
    </row>
    <row r="366">
      <c r="B366" s="172"/>
      <c r="C366" s="172"/>
      <c r="D366" s="172"/>
      <c r="E366" s="172"/>
      <c r="F366" s="172"/>
      <c r="N366" s="304"/>
    </row>
    <row r="367">
      <c r="B367" s="172"/>
      <c r="C367" s="172"/>
      <c r="D367" s="172"/>
      <c r="E367" s="172"/>
      <c r="F367" s="172"/>
      <c r="N367" s="304"/>
    </row>
    <row r="368">
      <c r="B368" s="172"/>
      <c r="C368" s="172"/>
      <c r="D368" s="172"/>
      <c r="E368" s="172"/>
      <c r="F368" s="172"/>
      <c r="N368" s="304"/>
    </row>
    <row r="369">
      <c r="B369" s="172"/>
      <c r="C369" s="172"/>
      <c r="D369" s="172"/>
      <c r="E369" s="172"/>
      <c r="F369" s="172"/>
      <c r="N369" s="304"/>
    </row>
    <row r="370">
      <c r="B370" s="172"/>
      <c r="C370" s="172"/>
      <c r="D370" s="172"/>
      <c r="E370" s="172"/>
      <c r="F370" s="172"/>
      <c r="N370" s="304"/>
    </row>
    <row r="371">
      <c r="B371" s="172"/>
      <c r="C371" s="172"/>
      <c r="D371" s="172"/>
      <c r="E371" s="172"/>
      <c r="F371" s="172"/>
      <c r="N371" s="304"/>
    </row>
    <row r="372">
      <c r="B372" s="172"/>
      <c r="C372" s="172"/>
      <c r="D372" s="172"/>
      <c r="E372" s="172"/>
      <c r="F372" s="172"/>
      <c r="N372" s="304"/>
    </row>
    <row r="373">
      <c r="B373" s="172"/>
      <c r="C373" s="172"/>
      <c r="D373" s="172"/>
      <c r="E373" s="172"/>
      <c r="F373" s="172"/>
      <c r="N373" s="304"/>
    </row>
    <row r="374">
      <c r="B374" s="172"/>
      <c r="C374" s="172"/>
      <c r="D374" s="172"/>
      <c r="E374" s="172"/>
      <c r="F374" s="172"/>
      <c r="N374" s="304"/>
    </row>
    <row r="375">
      <c r="B375" s="172"/>
      <c r="C375" s="172"/>
      <c r="D375" s="172"/>
      <c r="E375" s="172"/>
      <c r="F375" s="172"/>
      <c r="N375" s="304"/>
    </row>
    <row r="376">
      <c r="B376" s="172"/>
      <c r="C376" s="172"/>
      <c r="D376" s="172"/>
      <c r="E376" s="172"/>
      <c r="F376" s="172"/>
      <c r="N376" s="304"/>
    </row>
    <row r="377">
      <c r="B377" s="172"/>
      <c r="C377" s="172"/>
      <c r="D377" s="172"/>
      <c r="E377" s="172"/>
      <c r="F377" s="172"/>
      <c r="N377" s="304"/>
    </row>
    <row r="378">
      <c r="B378" s="172"/>
      <c r="C378" s="172"/>
      <c r="D378" s="172"/>
      <c r="E378" s="172"/>
      <c r="F378" s="172"/>
      <c r="N378" s="304"/>
    </row>
    <row r="379">
      <c r="B379" s="172"/>
      <c r="C379" s="172"/>
      <c r="D379" s="172"/>
      <c r="E379" s="172"/>
      <c r="F379" s="172"/>
      <c r="N379" s="304"/>
    </row>
    <row r="380">
      <c r="B380" s="172"/>
      <c r="C380" s="172"/>
      <c r="D380" s="172"/>
      <c r="E380" s="172"/>
      <c r="F380" s="172"/>
      <c r="N380" s="304"/>
    </row>
    <row r="381">
      <c r="B381" s="172"/>
      <c r="C381" s="172"/>
      <c r="D381" s="172"/>
      <c r="E381" s="172"/>
      <c r="F381" s="172"/>
      <c r="N381" s="304"/>
    </row>
    <row r="382">
      <c r="B382" s="172"/>
      <c r="C382" s="172"/>
      <c r="D382" s="172"/>
      <c r="E382" s="172"/>
      <c r="F382" s="172"/>
      <c r="N382" s="304"/>
    </row>
    <row r="383">
      <c r="B383" s="172"/>
      <c r="C383" s="172"/>
      <c r="D383" s="172"/>
      <c r="E383" s="172"/>
      <c r="F383" s="172"/>
      <c r="N383" s="304"/>
    </row>
    <row r="384">
      <c r="B384" s="172"/>
      <c r="C384" s="172"/>
      <c r="D384" s="172"/>
      <c r="E384" s="172"/>
      <c r="F384" s="172"/>
      <c r="N384" s="304"/>
    </row>
    <row r="385">
      <c r="B385" s="172"/>
      <c r="C385" s="172"/>
      <c r="D385" s="172"/>
      <c r="E385" s="172"/>
      <c r="F385" s="172"/>
      <c r="N385" s="304"/>
    </row>
    <row r="386">
      <c r="B386" s="172"/>
      <c r="C386" s="172"/>
      <c r="D386" s="172"/>
      <c r="E386" s="172"/>
      <c r="F386" s="172"/>
      <c r="N386" s="304"/>
    </row>
    <row r="387">
      <c r="B387" s="172"/>
      <c r="C387" s="172"/>
      <c r="D387" s="172"/>
      <c r="E387" s="172"/>
      <c r="F387" s="172"/>
      <c r="N387" s="304"/>
    </row>
    <row r="388">
      <c r="B388" s="172"/>
      <c r="C388" s="172"/>
      <c r="D388" s="172"/>
      <c r="E388" s="172"/>
      <c r="F388" s="172"/>
      <c r="N388" s="304"/>
    </row>
    <row r="389">
      <c r="B389" s="172"/>
      <c r="C389" s="172"/>
      <c r="D389" s="172"/>
      <c r="E389" s="172"/>
      <c r="F389" s="172"/>
      <c r="N389" s="304"/>
    </row>
    <row r="390">
      <c r="B390" s="172"/>
      <c r="C390" s="172"/>
      <c r="D390" s="172"/>
      <c r="E390" s="172"/>
      <c r="F390" s="172"/>
      <c r="N390" s="304"/>
    </row>
    <row r="391">
      <c r="B391" s="172"/>
      <c r="C391" s="172"/>
      <c r="D391" s="172"/>
      <c r="E391" s="172"/>
      <c r="F391" s="172"/>
      <c r="N391" s="304"/>
    </row>
    <row r="392">
      <c r="B392" s="172"/>
      <c r="C392" s="172"/>
      <c r="D392" s="172"/>
      <c r="E392" s="172"/>
      <c r="F392" s="172"/>
      <c r="N392" s="304"/>
    </row>
    <row r="393">
      <c r="B393" s="172"/>
      <c r="C393" s="172"/>
      <c r="D393" s="172"/>
      <c r="E393" s="172"/>
      <c r="F393" s="172"/>
      <c r="N393" s="304"/>
    </row>
    <row r="394">
      <c r="B394" s="172"/>
      <c r="C394" s="172"/>
      <c r="D394" s="172"/>
      <c r="E394" s="172"/>
      <c r="F394" s="172"/>
      <c r="N394" s="304"/>
    </row>
    <row r="395">
      <c r="B395" s="172"/>
      <c r="C395" s="172"/>
      <c r="D395" s="172"/>
      <c r="E395" s="172"/>
      <c r="F395" s="172"/>
      <c r="N395" s="304"/>
    </row>
    <row r="396">
      <c r="B396" s="172"/>
      <c r="C396" s="172"/>
      <c r="D396" s="172"/>
      <c r="E396" s="172"/>
      <c r="F396" s="172"/>
      <c r="N396" s="304"/>
    </row>
    <row r="397">
      <c r="B397" s="172"/>
      <c r="C397" s="172"/>
      <c r="D397" s="172"/>
      <c r="E397" s="172"/>
      <c r="F397" s="172"/>
      <c r="N397" s="304"/>
    </row>
    <row r="398">
      <c r="B398" s="172"/>
      <c r="C398" s="172"/>
      <c r="D398" s="172"/>
      <c r="E398" s="172"/>
      <c r="F398" s="172"/>
      <c r="N398" s="304"/>
    </row>
    <row r="399">
      <c r="B399" s="172"/>
      <c r="C399" s="172"/>
      <c r="D399" s="172"/>
      <c r="E399" s="172"/>
      <c r="F399" s="172"/>
      <c r="N399" s="304"/>
    </row>
    <row r="400">
      <c r="B400" s="172"/>
      <c r="C400" s="172"/>
      <c r="D400" s="172"/>
      <c r="E400" s="172"/>
      <c r="F400" s="172"/>
      <c r="N400" s="304"/>
    </row>
    <row r="401">
      <c r="B401" s="172"/>
      <c r="C401" s="172"/>
      <c r="D401" s="172"/>
      <c r="E401" s="172"/>
      <c r="F401" s="172"/>
      <c r="N401" s="304"/>
    </row>
    <row r="402">
      <c r="B402" s="172"/>
      <c r="C402" s="172"/>
      <c r="D402" s="172"/>
      <c r="E402" s="172"/>
      <c r="F402" s="172"/>
      <c r="N402" s="304"/>
    </row>
    <row r="403">
      <c r="B403" s="172"/>
      <c r="C403" s="172"/>
      <c r="D403" s="172"/>
      <c r="E403" s="172"/>
      <c r="F403" s="172"/>
      <c r="N403" s="304"/>
    </row>
    <row r="404">
      <c r="B404" s="172"/>
      <c r="C404" s="172"/>
      <c r="D404" s="172"/>
      <c r="E404" s="172"/>
      <c r="F404" s="172"/>
      <c r="N404" s="304"/>
    </row>
    <row r="405">
      <c r="B405" s="172"/>
      <c r="C405" s="172"/>
      <c r="D405" s="172"/>
      <c r="E405" s="172"/>
      <c r="F405" s="172"/>
      <c r="N405" s="304"/>
    </row>
    <row r="406">
      <c r="B406" s="172"/>
      <c r="C406" s="172"/>
      <c r="D406" s="172"/>
      <c r="E406" s="172"/>
      <c r="F406" s="172"/>
      <c r="N406" s="304"/>
    </row>
    <row r="407">
      <c r="B407" s="172"/>
      <c r="C407" s="172"/>
      <c r="D407" s="172"/>
      <c r="E407" s="172"/>
      <c r="F407" s="172"/>
      <c r="N407" s="304"/>
    </row>
    <row r="408">
      <c r="B408" s="172"/>
      <c r="C408" s="172"/>
      <c r="D408" s="172"/>
      <c r="E408" s="172"/>
      <c r="F408" s="172"/>
      <c r="N408" s="304"/>
    </row>
    <row r="409">
      <c r="B409" s="172"/>
      <c r="C409" s="172"/>
      <c r="D409" s="172"/>
      <c r="E409" s="172"/>
      <c r="F409" s="172"/>
      <c r="N409" s="304"/>
    </row>
    <row r="410">
      <c r="B410" s="172"/>
      <c r="C410" s="172"/>
      <c r="D410" s="172"/>
      <c r="E410" s="172"/>
      <c r="F410" s="172"/>
      <c r="N410" s="304"/>
    </row>
    <row r="411">
      <c r="B411" s="172"/>
      <c r="C411" s="172"/>
      <c r="D411" s="172"/>
      <c r="E411" s="172"/>
      <c r="F411" s="172"/>
      <c r="N411" s="304"/>
    </row>
    <row r="412">
      <c r="B412" s="172"/>
      <c r="C412" s="172"/>
      <c r="D412" s="172"/>
      <c r="E412" s="172"/>
      <c r="F412" s="172"/>
      <c r="N412" s="304"/>
    </row>
    <row r="413">
      <c r="B413" s="172"/>
      <c r="C413" s="172"/>
      <c r="D413" s="172"/>
      <c r="E413" s="172"/>
      <c r="F413" s="172"/>
      <c r="N413" s="304"/>
    </row>
    <row r="414">
      <c r="B414" s="172"/>
      <c r="C414" s="172"/>
      <c r="D414" s="172"/>
      <c r="E414" s="172"/>
      <c r="F414" s="172"/>
      <c r="N414" s="304"/>
    </row>
    <row r="415">
      <c r="B415" s="172"/>
      <c r="C415" s="172"/>
      <c r="D415" s="172"/>
      <c r="E415" s="172"/>
      <c r="F415" s="172"/>
      <c r="N415" s="304"/>
    </row>
    <row r="416">
      <c r="B416" s="172"/>
      <c r="C416" s="172"/>
      <c r="D416" s="172"/>
      <c r="E416" s="172"/>
      <c r="F416" s="172"/>
      <c r="N416" s="304"/>
    </row>
    <row r="417">
      <c r="B417" s="172"/>
      <c r="C417" s="172"/>
      <c r="D417" s="172"/>
      <c r="E417" s="172"/>
      <c r="F417" s="172"/>
      <c r="N417" s="304"/>
    </row>
    <row r="418">
      <c r="B418" s="172"/>
      <c r="C418" s="172"/>
      <c r="D418" s="172"/>
      <c r="E418" s="172"/>
      <c r="F418" s="172"/>
      <c r="N418" s="304"/>
    </row>
    <row r="419">
      <c r="B419" s="172"/>
      <c r="C419" s="172"/>
      <c r="D419" s="172"/>
      <c r="E419" s="172"/>
      <c r="F419" s="172"/>
      <c r="N419" s="304"/>
    </row>
    <row r="420">
      <c r="B420" s="172"/>
      <c r="C420" s="172"/>
      <c r="D420" s="172"/>
      <c r="E420" s="172"/>
      <c r="F420" s="172"/>
      <c r="N420" s="304"/>
    </row>
    <row r="421">
      <c r="B421" s="172"/>
      <c r="C421" s="172"/>
      <c r="D421" s="172"/>
      <c r="E421" s="172"/>
      <c r="F421" s="172"/>
      <c r="N421" s="304"/>
    </row>
    <row r="422">
      <c r="B422" s="172"/>
      <c r="C422" s="172"/>
      <c r="D422" s="172"/>
      <c r="E422" s="172"/>
      <c r="F422" s="172"/>
      <c r="N422" s="304"/>
    </row>
    <row r="423">
      <c r="B423" s="172"/>
      <c r="C423" s="172"/>
      <c r="D423" s="172"/>
      <c r="E423" s="172"/>
      <c r="F423" s="172"/>
      <c r="N423" s="304"/>
    </row>
    <row r="424">
      <c r="B424" s="172"/>
      <c r="C424" s="172"/>
      <c r="D424" s="172"/>
      <c r="E424" s="172"/>
      <c r="F424" s="172"/>
      <c r="N424" s="304"/>
    </row>
    <row r="425">
      <c r="B425" s="172"/>
      <c r="C425" s="172"/>
      <c r="D425" s="172"/>
      <c r="E425" s="172"/>
      <c r="F425" s="172"/>
      <c r="N425" s="304"/>
    </row>
    <row r="426">
      <c r="B426" s="172"/>
      <c r="C426" s="172"/>
      <c r="D426" s="172"/>
      <c r="E426" s="172"/>
      <c r="F426" s="172"/>
      <c r="N426" s="304"/>
    </row>
    <row r="427">
      <c r="B427" s="172"/>
      <c r="C427" s="172"/>
      <c r="D427" s="172"/>
      <c r="E427" s="172"/>
      <c r="F427" s="172"/>
      <c r="N427" s="304"/>
    </row>
    <row r="428">
      <c r="B428" s="172"/>
      <c r="C428" s="172"/>
      <c r="D428" s="172"/>
      <c r="E428" s="172"/>
      <c r="F428" s="172"/>
      <c r="N428" s="304"/>
    </row>
    <row r="429">
      <c r="B429" s="172"/>
      <c r="C429" s="172"/>
      <c r="D429" s="172"/>
      <c r="E429" s="172"/>
      <c r="F429" s="172"/>
      <c r="N429" s="304"/>
    </row>
    <row r="430">
      <c r="B430" s="172"/>
      <c r="C430" s="172"/>
      <c r="D430" s="172"/>
      <c r="E430" s="172"/>
      <c r="F430" s="172"/>
      <c r="N430" s="304"/>
    </row>
    <row r="431">
      <c r="B431" s="172"/>
      <c r="C431" s="172"/>
      <c r="D431" s="172"/>
      <c r="E431" s="172"/>
      <c r="F431" s="172"/>
      <c r="N431" s="304"/>
    </row>
    <row r="432">
      <c r="B432" s="172"/>
      <c r="C432" s="172"/>
      <c r="D432" s="172"/>
      <c r="E432" s="172"/>
      <c r="F432" s="172"/>
      <c r="N432" s="304"/>
    </row>
    <row r="433">
      <c r="B433" s="172"/>
      <c r="C433" s="172"/>
      <c r="D433" s="172"/>
      <c r="E433" s="172"/>
      <c r="F433" s="172"/>
      <c r="N433" s="304"/>
    </row>
    <row r="434">
      <c r="B434" s="172"/>
      <c r="C434" s="172"/>
      <c r="D434" s="172"/>
      <c r="E434" s="172"/>
      <c r="F434" s="172"/>
      <c r="N434" s="304"/>
    </row>
    <row r="435">
      <c r="B435" s="172"/>
      <c r="C435" s="172"/>
      <c r="D435" s="172"/>
      <c r="E435" s="172"/>
      <c r="F435" s="172"/>
      <c r="N435" s="304"/>
    </row>
    <row r="436">
      <c r="B436" s="172"/>
      <c r="C436" s="172"/>
      <c r="D436" s="172"/>
      <c r="E436" s="172"/>
      <c r="F436" s="172"/>
      <c r="N436" s="304"/>
    </row>
    <row r="437">
      <c r="B437" s="172"/>
      <c r="C437" s="172"/>
      <c r="D437" s="172"/>
      <c r="E437" s="172"/>
      <c r="F437" s="172"/>
      <c r="N437" s="304"/>
    </row>
    <row r="438">
      <c r="B438" s="172"/>
      <c r="C438" s="172"/>
      <c r="D438" s="172"/>
      <c r="E438" s="172"/>
      <c r="F438" s="172"/>
      <c r="N438" s="304"/>
    </row>
    <row r="439">
      <c r="B439" s="172"/>
      <c r="C439" s="172"/>
      <c r="D439" s="172"/>
      <c r="E439" s="172"/>
      <c r="F439" s="172"/>
      <c r="N439" s="304"/>
    </row>
    <row r="440">
      <c r="B440" s="172"/>
      <c r="C440" s="172"/>
      <c r="D440" s="172"/>
      <c r="E440" s="172"/>
      <c r="F440" s="172"/>
      <c r="N440" s="304"/>
    </row>
    <row r="441">
      <c r="B441" s="172"/>
      <c r="C441" s="172"/>
      <c r="D441" s="172"/>
      <c r="E441" s="172"/>
      <c r="F441" s="172"/>
      <c r="N441" s="304"/>
    </row>
    <row r="442">
      <c r="B442" s="172"/>
      <c r="C442" s="172"/>
      <c r="D442" s="172"/>
      <c r="E442" s="172"/>
      <c r="F442" s="172"/>
      <c r="N442" s="304"/>
    </row>
    <row r="443">
      <c r="B443" s="172"/>
      <c r="C443" s="172"/>
      <c r="D443" s="172"/>
      <c r="E443" s="172"/>
      <c r="F443" s="172"/>
      <c r="N443" s="304"/>
    </row>
    <row r="444">
      <c r="B444" s="172"/>
      <c r="C444" s="172"/>
      <c r="D444" s="172"/>
      <c r="E444" s="172"/>
      <c r="F444" s="172"/>
      <c r="N444" s="304"/>
    </row>
    <row r="445">
      <c r="B445" s="172"/>
      <c r="C445" s="172"/>
      <c r="D445" s="172"/>
      <c r="E445" s="172"/>
      <c r="F445" s="172"/>
      <c r="N445" s="304"/>
    </row>
    <row r="446">
      <c r="B446" s="172"/>
      <c r="C446" s="172"/>
      <c r="D446" s="172"/>
      <c r="E446" s="172"/>
      <c r="F446" s="172"/>
      <c r="N446" s="304"/>
    </row>
    <row r="447">
      <c r="B447" s="172"/>
      <c r="C447" s="172"/>
      <c r="D447" s="172"/>
      <c r="E447" s="172"/>
      <c r="F447" s="172"/>
      <c r="N447" s="304"/>
    </row>
    <row r="448">
      <c r="B448" s="172"/>
      <c r="C448" s="172"/>
      <c r="D448" s="172"/>
      <c r="E448" s="172"/>
      <c r="F448" s="172"/>
      <c r="N448" s="304"/>
    </row>
    <row r="449">
      <c r="B449" s="172"/>
      <c r="C449" s="172"/>
      <c r="D449" s="172"/>
      <c r="E449" s="172"/>
      <c r="F449" s="172"/>
      <c r="N449" s="304"/>
    </row>
    <row r="450">
      <c r="B450" s="172"/>
      <c r="C450" s="172"/>
      <c r="D450" s="172"/>
      <c r="E450" s="172"/>
      <c r="F450" s="172"/>
      <c r="N450" s="304"/>
    </row>
    <row r="451">
      <c r="B451" s="172"/>
      <c r="C451" s="172"/>
      <c r="D451" s="172"/>
      <c r="E451" s="172"/>
      <c r="F451" s="172"/>
      <c r="N451" s="304"/>
    </row>
    <row r="452">
      <c r="B452" s="172"/>
      <c r="C452" s="172"/>
      <c r="D452" s="172"/>
      <c r="E452" s="172"/>
      <c r="F452" s="172"/>
      <c r="N452" s="304"/>
    </row>
    <row r="453">
      <c r="B453" s="172"/>
      <c r="C453" s="172"/>
      <c r="D453" s="172"/>
      <c r="E453" s="172"/>
      <c r="F453" s="172"/>
      <c r="N453" s="304"/>
    </row>
    <row r="454">
      <c r="B454" s="172"/>
      <c r="C454" s="172"/>
      <c r="D454" s="172"/>
      <c r="E454" s="172"/>
      <c r="F454" s="172"/>
      <c r="N454" s="304"/>
    </row>
    <row r="455">
      <c r="B455" s="172"/>
      <c r="C455" s="172"/>
      <c r="D455" s="172"/>
      <c r="E455" s="172"/>
      <c r="F455" s="172"/>
      <c r="N455" s="304"/>
    </row>
    <row r="456">
      <c r="B456" s="172"/>
      <c r="C456" s="172"/>
      <c r="D456" s="172"/>
      <c r="E456" s="172"/>
      <c r="F456" s="172"/>
      <c r="N456" s="304"/>
    </row>
    <row r="457">
      <c r="B457" s="172"/>
      <c r="C457" s="172"/>
      <c r="D457" s="172"/>
      <c r="E457" s="172"/>
      <c r="F457" s="172"/>
      <c r="N457" s="304"/>
    </row>
    <row r="458">
      <c r="B458" s="172"/>
      <c r="C458" s="172"/>
      <c r="D458" s="172"/>
      <c r="E458" s="172"/>
      <c r="F458" s="172"/>
      <c r="N458" s="304"/>
    </row>
    <row r="459">
      <c r="B459" s="172"/>
      <c r="C459" s="172"/>
      <c r="D459" s="172"/>
      <c r="E459" s="172"/>
      <c r="F459" s="172"/>
      <c r="N459" s="304"/>
    </row>
    <row r="460">
      <c r="B460" s="172"/>
      <c r="C460" s="172"/>
      <c r="D460" s="172"/>
      <c r="E460" s="172"/>
      <c r="F460" s="172"/>
      <c r="N460" s="304"/>
    </row>
    <row r="461">
      <c r="B461" s="172"/>
      <c r="C461" s="172"/>
      <c r="D461" s="172"/>
      <c r="E461" s="172"/>
      <c r="F461" s="172"/>
      <c r="N461" s="304"/>
    </row>
    <row r="462">
      <c r="B462" s="172"/>
      <c r="C462" s="172"/>
      <c r="D462" s="172"/>
      <c r="E462" s="172"/>
      <c r="F462" s="172"/>
      <c r="N462" s="304"/>
    </row>
    <row r="463">
      <c r="B463" s="172"/>
      <c r="C463" s="172"/>
      <c r="D463" s="172"/>
      <c r="E463" s="172"/>
      <c r="F463" s="172"/>
      <c r="N463" s="304"/>
    </row>
    <row r="464">
      <c r="B464" s="172"/>
      <c r="C464" s="172"/>
      <c r="D464" s="172"/>
      <c r="E464" s="172"/>
      <c r="F464" s="172"/>
      <c r="N464" s="304"/>
    </row>
    <row r="465">
      <c r="B465" s="172"/>
      <c r="C465" s="172"/>
      <c r="D465" s="172"/>
      <c r="E465" s="172"/>
      <c r="F465" s="172"/>
      <c r="N465" s="304"/>
    </row>
    <row r="466">
      <c r="B466" s="172"/>
      <c r="C466" s="172"/>
      <c r="D466" s="172"/>
      <c r="E466" s="172"/>
      <c r="F466" s="172"/>
      <c r="N466" s="304"/>
    </row>
    <row r="467">
      <c r="B467" s="172"/>
      <c r="C467" s="172"/>
      <c r="D467" s="172"/>
      <c r="E467" s="172"/>
      <c r="F467" s="172"/>
      <c r="N467" s="304"/>
    </row>
    <row r="468">
      <c r="B468" s="172"/>
      <c r="C468" s="172"/>
      <c r="D468" s="172"/>
      <c r="E468" s="172"/>
      <c r="F468" s="172"/>
      <c r="N468" s="304"/>
    </row>
    <row r="469">
      <c r="B469" s="172"/>
      <c r="C469" s="172"/>
      <c r="D469" s="172"/>
      <c r="E469" s="172"/>
      <c r="F469" s="172"/>
      <c r="N469" s="304"/>
    </row>
    <row r="470">
      <c r="B470" s="172"/>
      <c r="C470" s="172"/>
      <c r="D470" s="172"/>
      <c r="E470" s="172"/>
      <c r="F470" s="172"/>
      <c r="N470" s="304"/>
    </row>
    <row r="471">
      <c r="B471" s="172"/>
      <c r="C471" s="172"/>
      <c r="D471" s="172"/>
      <c r="E471" s="172"/>
      <c r="F471" s="172"/>
      <c r="N471" s="304"/>
    </row>
    <row r="472">
      <c r="B472" s="172"/>
      <c r="C472" s="172"/>
      <c r="D472" s="172"/>
      <c r="E472" s="172"/>
      <c r="F472" s="172"/>
      <c r="N472" s="304"/>
    </row>
    <row r="473">
      <c r="B473" s="172"/>
      <c r="C473" s="172"/>
      <c r="D473" s="172"/>
      <c r="E473" s="172"/>
      <c r="F473" s="172"/>
      <c r="N473" s="304"/>
    </row>
    <row r="474">
      <c r="B474" s="172"/>
      <c r="C474" s="172"/>
      <c r="D474" s="172"/>
      <c r="E474" s="172"/>
      <c r="F474" s="172"/>
      <c r="N474" s="304"/>
    </row>
    <row r="475">
      <c r="B475" s="172"/>
      <c r="C475" s="172"/>
      <c r="D475" s="172"/>
      <c r="E475" s="172"/>
      <c r="F475" s="172"/>
      <c r="N475" s="304"/>
    </row>
    <row r="476">
      <c r="B476" s="172"/>
      <c r="C476" s="172"/>
      <c r="D476" s="172"/>
      <c r="E476" s="172"/>
      <c r="F476" s="172"/>
      <c r="N476" s="304"/>
    </row>
    <row r="477">
      <c r="B477" s="172"/>
      <c r="C477" s="172"/>
      <c r="D477" s="172"/>
      <c r="E477" s="172"/>
      <c r="F477" s="172"/>
      <c r="N477" s="304"/>
    </row>
    <row r="478">
      <c r="B478" s="172"/>
      <c r="C478" s="172"/>
      <c r="D478" s="172"/>
      <c r="E478" s="172"/>
      <c r="F478" s="172"/>
      <c r="N478" s="304"/>
    </row>
    <row r="479">
      <c r="B479" s="172"/>
      <c r="C479" s="172"/>
      <c r="D479" s="172"/>
      <c r="E479" s="172"/>
      <c r="F479" s="172"/>
      <c r="N479" s="304"/>
    </row>
    <row r="480">
      <c r="B480" s="172"/>
      <c r="C480" s="172"/>
      <c r="D480" s="172"/>
      <c r="E480" s="172"/>
      <c r="F480" s="172"/>
      <c r="N480" s="304"/>
    </row>
    <row r="481">
      <c r="B481" s="172"/>
      <c r="C481" s="172"/>
      <c r="D481" s="172"/>
      <c r="E481" s="172"/>
      <c r="F481" s="172"/>
      <c r="N481" s="304"/>
    </row>
    <row r="482">
      <c r="B482" s="172"/>
      <c r="C482" s="172"/>
      <c r="D482" s="172"/>
      <c r="E482" s="172"/>
      <c r="F482" s="172"/>
      <c r="N482" s="304"/>
    </row>
    <row r="483">
      <c r="B483" s="172"/>
      <c r="C483" s="172"/>
      <c r="D483" s="172"/>
      <c r="E483" s="172"/>
      <c r="F483" s="172"/>
      <c r="N483" s="304"/>
    </row>
    <row r="484">
      <c r="B484" s="172"/>
      <c r="C484" s="172"/>
      <c r="D484" s="172"/>
      <c r="E484" s="172"/>
      <c r="F484" s="172"/>
      <c r="N484" s="304"/>
    </row>
    <row r="485">
      <c r="B485" s="172"/>
      <c r="C485" s="172"/>
      <c r="D485" s="172"/>
      <c r="E485" s="172"/>
      <c r="F485" s="172"/>
      <c r="N485" s="304"/>
    </row>
    <row r="486">
      <c r="B486" s="172"/>
      <c r="C486" s="172"/>
      <c r="D486" s="172"/>
      <c r="E486" s="172"/>
      <c r="F486" s="172"/>
      <c r="N486" s="304"/>
    </row>
    <row r="487">
      <c r="B487" s="172"/>
      <c r="C487" s="172"/>
      <c r="D487" s="172"/>
      <c r="E487" s="172"/>
      <c r="F487" s="172"/>
      <c r="N487" s="304"/>
    </row>
    <row r="488">
      <c r="B488" s="172"/>
      <c r="C488" s="172"/>
      <c r="D488" s="172"/>
      <c r="E488" s="172"/>
      <c r="F488" s="172"/>
      <c r="N488" s="304"/>
    </row>
    <row r="489">
      <c r="B489" s="172"/>
      <c r="C489" s="172"/>
      <c r="D489" s="172"/>
      <c r="E489" s="172"/>
      <c r="F489" s="172"/>
      <c r="N489" s="304"/>
    </row>
    <row r="490">
      <c r="B490" s="172"/>
      <c r="C490" s="172"/>
      <c r="D490" s="172"/>
      <c r="E490" s="172"/>
      <c r="F490" s="172"/>
      <c r="N490" s="304"/>
    </row>
    <row r="491">
      <c r="B491" s="172"/>
      <c r="C491" s="172"/>
      <c r="D491" s="172"/>
      <c r="E491" s="172"/>
      <c r="F491" s="172"/>
      <c r="N491" s="304"/>
    </row>
    <row r="492">
      <c r="B492" s="172"/>
      <c r="C492" s="172"/>
      <c r="D492" s="172"/>
      <c r="E492" s="172"/>
      <c r="F492" s="172"/>
      <c r="N492" s="304"/>
    </row>
    <row r="493">
      <c r="B493" s="172"/>
      <c r="C493" s="172"/>
      <c r="D493" s="172"/>
      <c r="E493" s="172"/>
      <c r="F493" s="172"/>
      <c r="N493" s="304"/>
    </row>
    <row r="494">
      <c r="B494" s="172"/>
      <c r="C494" s="172"/>
      <c r="D494" s="172"/>
      <c r="E494" s="172"/>
      <c r="F494" s="172"/>
      <c r="N494" s="304"/>
    </row>
    <row r="495">
      <c r="B495" s="172"/>
      <c r="C495" s="172"/>
      <c r="D495" s="172"/>
      <c r="E495" s="172"/>
      <c r="F495" s="172"/>
      <c r="N495" s="304"/>
    </row>
    <row r="496">
      <c r="B496" s="172"/>
      <c r="C496" s="172"/>
      <c r="D496" s="172"/>
      <c r="E496" s="172"/>
      <c r="F496" s="172"/>
      <c r="N496" s="304"/>
    </row>
    <row r="497">
      <c r="B497" s="172"/>
      <c r="C497" s="172"/>
      <c r="D497" s="172"/>
      <c r="E497" s="172"/>
      <c r="F497" s="172"/>
      <c r="N497" s="304"/>
    </row>
    <row r="498">
      <c r="B498" s="172"/>
      <c r="C498" s="172"/>
      <c r="D498" s="172"/>
      <c r="E498" s="172"/>
      <c r="F498" s="172"/>
      <c r="N498" s="304"/>
    </row>
    <row r="499">
      <c r="B499" s="172"/>
      <c r="C499" s="172"/>
      <c r="D499" s="172"/>
      <c r="E499" s="172"/>
      <c r="F499" s="172"/>
      <c r="N499" s="304"/>
    </row>
    <row r="500">
      <c r="B500" s="172"/>
      <c r="C500" s="172"/>
      <c r="D500" s="172"/>
      <c r="E500" s="172"/>
      <c r="F500" s="172"/>
      <c r="N500" s="304"/>
    </row>
    <row r="501">
      <c r="B501" s="172"/>
      <c r="C501" s="172"/>
      <c r="D501" s="172"/>
      <c r="E501" s="172"/>
      <c r="F501" s="172"/>
      <c r="N501" s="304"/>
    </row>
    <row r="502">
      <c r="B502" s="172"/>
      <c r="C502" s="172"/>
      <c r="D502" s="172"/>
      <c r="E502" s="172"/>
      <c r="F502" s="172"/>
      <c r="N502" s="304"/>
    </row>
    <row r="503">
      <c r="B503" s="172"/>
      <c r="C503" s="172"/>
      <c r="D503" s="172"/>
      <c r="E503" s="172"/>
      <c r="F503" s="172"/>
      <c r="N503" s="304"/>
    </row>
    <row r="504">
      <c r="B504" s="172"/>
      <c r="C504" s="172"/>
      <c r="D504" s="172"/>
      <c r="E504" s="172"/>
      <c r="F504" s="172"/>
      <c r="N504" s="304"/>
    </row>
    <row r="505">
      <c r="B505" s="172"/>
      <c r="C505" s="172"/>
      <c r="D505" s="172"/>
      <c r="E505" s="172"/>
      <c r="F505" s="172"/>
      <c r="N505" s="304"/>
    </row>
    <row r="506">
      <c r="B506" s="172"/>
      <c r="C506" s="172"/>
      <c r="D506" s="172"/>
      <c r="E506" s="172"/>
      <c r="F506" s="172"/>
      <c r="N506" s="304"/>
    </row>
    <row r="507">
      <c r="B507" s="172"/>
      <c r="C507" s="172"/>
      <c r="D507" s="172"/>
      <c r="E507" s="172"/>
      <c r="F507" s="172"/>
      <c r="N507" s="304"/>
    </row>
    <row r="508">
      <c r="B508" s="172"/>
      <c r="C508" s="172"/>
      <c r="D508" s="172"/>
      <c r="E508" s="172"/>
      <c r="F508" s="172"/>
      <c r="N508" s="304"/>
    </row>
    <row r="509">
      <c r="B509" s="172"/>
      <c r="C509" s="172"/>
      <c r="D509" s="172"/>
      <c r="E509" s="172"/>
      <c r="F509" s="172"/>
      <c r="N509" s="304"/>
    </row>
    <row r="510">
      <c r="B510" s="172"/>
      <c r="C510" s="172"/>
      <c r="D510" s="172"/>
      <c r="E510" s="172"/>
      <c r="F510" s="172"/>
      <c r="N510" s="304"/>
    </row>
    <row r="511">
      <c r="B511" s="172"/>
      <c r="C511" s="172"/>
      <c r="D511" s="172"/>
      <c r="E511" s="172"/>
      <c r="F511" s="172"/>
      <c r="N511" s="304"/>
    </row>
    <row r="512">
      <c r="B512" s="172"/>
      <c r="C512" s="172"/>
      <c r="D512" s="172"/>
      <c r="E512" s="172"/>
      <c r="F512" s="172"/>
      <c r="N512" s="304"/>
    </row>
    <row r="513">
      <c r="B513" s="172"/>
      <c r="C513" s="172"/>
      <c r="D513" s="172"/>
      <c r="E513" s="172"/>
      <c r="F513" s="172"/>
      <c r="N513" s="304"/>
    </row>
    <row r="514">
      <c r="B514" s="172"/>
      <c r="C514" s="172"/>
      <c r="D514" s="172"/>
      <c r="E514" s="172"/>
      <c r="F514" s="172"/>
      <c r="N514" s="304"/>
    </row>
    <row r="515">
      <c r="B515" s="172"/>
      <c r="C515" s="172"/>
      <c r="D515" s="172"/>
      <c r="E515" s="172"/>
      <c r="F515" s="172"/>
      <c r="N515" s="304"/>
    </row>
    <row r="516">
      <c r="B516" s="172"/>
      <c r="C516" s="172"/>
      <c r="D516" s="172"/>
      <c r="E516" s="172"/>
      <c r="F516" s="172"/>
      <c r="N516" s="304"/>
    </row>
    <row r="517">
      <c r="B517" s="172"/>
      <c r="C517" s="172"/>
      <c r="D517" s="172"/>
      <c r="E517" s="172"/>
      <c r="F517" s="172"/>
      <c r="N517" s="304"/>
    </row>
    <row r="518">
      <c r="B518" s="172"/>
      <c r="C518" s="172"/>
      <c r="D518" s="172"/>
      <c r="E518" s="172"/>
      <c r="F518" s="172"/>
      <c r="N518" s="304"/>
    </row>
    <row r="519">
      <c r="B519" s="172"/>
      <c r="C519" s="172"/>
      <c r="D519" s="172"/>
      <c r="E519" s="172"/>
      <c r="F519" s="172"/>
      <c r="N519" s="304"/>
    </row>
    <row r="520">
      <c r="B520" s="172"/>
      <c r="C520" s="172"/>
      <c r="D520" s="172"/>
      <c r="E520" s="172"/>
      <c r="F520" s="172"/>
      <c r="N520" s="304"/>
    </row>
    <row r="521">
      <c r="B521" s="172"/>
      <c r="C521" s="172"/>
      <c r="D521" s="172"/>
      <c r="E521" s="172"/>
      <c r="F521" s="172"/>
      <c r="N521" s="304"/>
    </row>
    <row r="522">
      <c r="B522" s="172"/>
      <c r="C522" s="172"/>
      <c r="D522" s="172"/>
      <c r="E522" s="172"/>
      <c r="F522" s="172"/>
      <c r="N522" s="304"/>
    </row>
    <row r="523">
      <c r="B523" s="172"/>
      <c r="C523" s="172"/>
      <c r="D523" s="172"/>
      <c r="E523" s="172"/>
      <c r="F523" s="172"/>
      <c r="N523" s="304"/>
    </row>
    <row r="524">
      <c r="B524" s="172"/>
      <c r="C524" s="172"/>
      <c r="D524" s="172"/>
      <c r="E524" s="172"/>
      <c r="F524" s="172"/>
      <c r="N524" s="304"/>
    </row>
    <row r="525">
      <c r="B525" s="172"/>
      <c r="C525" s="172"/>
      <c r="D525" s="172"/>
      <c r="E525" s="172"/>
      <c r="F525" s="172"/>
      <c r="N525" s="304"/>
    </row>
    <row r="526">
      <c r="B526" s="172"/>
      <c r="C526" s="172"/>
      <c r="D526" s="172"/>
      <c r="E526" s="172"/>
      <c r="F526" s="172"/>
      <c r="N526" s="304"/>
    </row>
    <row r="527">
      <c r="B527" s="172"/>
      <c r="C527" s="172"/>
      <c r="D527" s="172"/>
      <c r="E527" s="172"/>
      <c r="F527" s="172"/>
      <c r="N527" s="304"/>
    </row>
    <row r="528">
      <c r="B528" s="172"/>
      <c r="C528" s="172"/>
      <c r="D528" s="172"/>
      <c r="E528" s="172"/>
      <c r="F528" s="172"/>
      <c r="N528" s="304"/>
    </row>
    <row r="529">
      <c r="B529" s="172"/>
      <c r="C529" s="172"/>
      <c r="D529" s="172"/>
      <c r="E529" s="172"/>
      <c r="F529" s="172"/>
      <c r="N529" s="304"/>
    </row>
    <row r="530">
      <c r="B530" s="172"/>
      <c r="C530" s="172"/>
      <c r="D530" s="172"/>
      <c r="E530" s="172"/>
      <c r="F530" s="172"/>
      <c r="N530" s="304"/>
    </row>
    <row r="531">
      <c r="B531" s="172"/>
      <c r="C531" s="172"/>
      <c r="D531" s="172"/>
      <c r="E531" s="172"/>
      <c r="F531" s="172"/>
      <c r="N531" s="304"/>
    </row>
    <row r="532">
      <c r="B532" s="172"/>
      <c r="C532" s="172"/>
      <c r="D532" s="172"/>
      <c r="E532" s="172"/>
      <c r="F532" s="172"/>
      <c r="N532" s="304"/>
    </row>
    <row r="533">
      <c r="B533" s="172"/>
      <c r="C533" s="172"/>
      <c r="D533" s="172"/>
      <c r="E533" s="172"/>
      <c r="F533" s="172"/>
      <c r="N533" s="304"/>
    </row>
    <row r="534">
      <c r="B534" s="172"/>
      <c r="C534" s="172"/>
      <c r="D534" s="172"/>
      <c r="E534" s="172"/>
      <c r="F534" s="172"/>
      <c r="N534" s="304"/>
    </row>
    <row r="535">
      <c r="B535" s="172"/>
      <c r="C535" s="172"/>
      <c r="D535" s="172"/>
      <c r="E535" s="172"/>
      <c r="F535" s="172"/>
      <c r="N535" s="304"/>
    </row>
    <row r="536">
      <c r="B536" s="172"/>
      <c r="C536" s="172"/>
      <c r="D536" s="172"/>
      <c r="E536" s="172"/>
      <c r="F536" s="172"/>
      <c r="N536" s="304"/>
    </row>
    <row r="537">
      <c r="B537" s="172"/>
      <c r="C537" s="172"/>
      <c r="D537" s="172"/>
      <c r="E537" s="172"/>
      <c r="F537" s="172"/>
      <c r="N537" s="304"/>
    </row>
    <row r="538">
      <c r="B538" s="172"/>
      <c r="C538" s="172"/>
      <c r="D538" s="172"/>
      <c r="E538" s="172"/>
      <c r="F538" s="172"/>
      <c r="N538" s="304"/>
    </row>
    <row r="539">
      <c r="B539" s="172"/>
      <c r="C539" s="172"/>
      <c r="D539" s="172"/>
      <c r="E539" s="172"/>
      <c r="F539" s="172"/>
      <c r="N539" s="304"/>
    </row>
    <row r="540">
      <c r="B540" s="172"/>
      <c r="C540" s="172"/>
      <c r="D540" s="172"/>
      <c r="E540" s="172"/>
      <c r="F540" s="172"/>
      <c r="N540" s="304"/>
    </row>
    <row r="541">
      <c r="B541" s="172"/>
      <c r="C541" s="172"/>
      <c r="D541" s="172"/>
      <c r="E541" s="172"/>
      <c r="F541" s="172"/>
      <c r="N541" s="304"/>
    </row>
    <row r="542">
      <c r="B542" s="172"/>
      <c r="C542" s="172"/>
      <c r="D542" s="172"/>
      <c r="E542" s="172"/>
      <c r="F542" s="172"/>
      <c r="N542" s="304"/>
    </row>
    <row r="543">
      <c r="B543" s="172"/>
      <c r="C543" s="172"/>
      <c r="D543" s="172"/>
      <c r="E543" s="172"/>
      <c r="F543" s="172"/>
      <c r="N543" s="304"/>
    </row>
    <row r="544">
      <c r="B544" s="172"/>
      <c r="C544" s="172"/>
      <c r="D544" s="172"/>
      <c r="E544" s="172"/>
      <c r="F544" s="172"/>
      <c r="N544" s="304"/>
    </row>
    <row r="545">
      <c r="B545" s="172"/>
      <c r="C545" s="172"/>
      <c r="D545" s="172"/>
      <c r="E545" s="172"/>
      <c r="F545" s="172"/>
      <c r="N545" s="304"/>
    </row>
    <row r="546">
      <c r="B546" s="172"/>
      <c r="C546" s="172"/>
      <c r="D546" s="172"/>
      <c r="E546" s="172"/>
      <c r="F546" s="172"/>
      <c r="N546" s="304"/>
    </row>
    <row r="547">
      <c r="B547" s="172"/>
      <c r="C547" s="172"/>
      <c r="D547" s="172"/>
      <c r="E547" s="172"/>
      <c r="F547" s="172"/>
      <c r="N547" s="304"/>
    </row>
    <row r="548">
      <c r="B548" s="172"/>
      <c r="C548" s="172"/>
      <c r="D548" s="172"/>
      <c r="E548" s="172"/>
      <c r="F548" s="172"/>
      <c r="N548" s="304"/>
    </row>
    <row r="549">
      <c r="B549" s="172"/>
      <c r="C549" s="172"/>
      <c r="D549" s="172"/>
      <c r="E549" s="172"/>
      <c r="F549" s="172"/>
      <c r="N549" s="304"/>
    </row>
    <row r="550">
      <c r="B550" s="172"/>
      <c r="C550" s="172"/>
      <c r="D550" s="172"/>
      <c r="E550" s="172"/>
      <c r="F550" s="172"/>
      <c r="N550" s="304"/>
    </row>
    <row r="551">
      <c r="B551" s="172"/>
      <c r="C551" s="172"/>
      <c r="D551" s="172"/>
      <c r="E551" s="172"/>
      <c r="F551" s="172"/>
      <c r="N551" s="304"/>
    </row>
    <row r="552">
      <c r="B552" s="172"/>
      <c r="C552" s="172"/>
      <c r="D552" s="172"/>
      <c r="E552" s="172"/>
      <c r="F552" s="172"/>
      <c r="N552" s="304"/>
    </row>
    <row r="553">
      <c r="B553" s="172"/>
      <c r="C553" s="172"/>
      <c r="D553" s="172"/>
      <c r="E553" s="172"/>
      <c r="F553" s="172"/>
      <c r="N553" s="304"/>
    </row>
    <row r="554">
      <c r="B554" s="172"/>
      <c r="C554" s="172"/>
      <c r="D554" s="172"/>
      <c r="E554" s="172"/>
      <c r="F554" s="172"/>
      <c r="N554" s="304"/>
    </row>
    <row r="555">
      <c r="B555" s="172"/>
      <c r="C555" s="172"/>
      <c r="D555" s="172"/>
      <c r="E555" s="172"/>
      <c r="F555" s="172"/>
      <c r="N555" s="304"/>
    </row>
    <row r="556">
      <c r="B556" s="172"/>
      <c r="C556" s="172"/>
      <c r="D556" s="172"/>
      <c r="E556" s="172"/>
      <c r="F556" s="172"/>
      <c r="N556" s="304"/>
    </row>
    <row r="557">
      <c r="B557" s="172"/>
      <c r="C557" s="172"/>
      <c r="D557" s="172"/>
      <c r="E557" s="172"/>
      <c r="F557" s="172"/>
      <c r="N557" s="304"/>
    </row>
    <row r="558">
      <c r="B558" s="172"/>
      <c r="C558" s="172"/>
      <c r="D558" s="172"/>
      <c r="E558" s="172"/>
      <c r="F558" s="172"/>
      <c r="N558" s="304"/>
    </row>
    <row r="559">
      <c r="B559" s="172"/>
      <c r="C559" s="172"/>
      <c r="D559" s="172"/>
      <c r="E559" s="172"/>
      <c r="F559" s="172"/>
      <c r="N559" s="304"/>
    </row>
    <row r="560">
      <c r="B560" s="172"/>
      <c r="C560" s="172"/>
      <c r="D560" s="172"/>
      <c r="E560" s="172"/>
      <c r="F560" s="172"/>
      <c r="N560" s="304"/>
    </row>
    <row r="561">
      <c r="B561" s="172"/>
      <c r="C561" s="172"/>
      <c r="D561" s="172"/>
      <c r="E561" s="172"/>
      <c r="F561" s="172"/>
      <c r="N561" s="304"/>
    </row>
    <row r="562">
      <c r="B562" s="172"/>
      <c r="C562" s="172"/>
      <c r="D562" s="172"/>
      <c r="E562" s="172"/>
      <c r="F562" s="172"/>
      <c r="N562" s="304"/>
    </row>
    <row r="563">
      <c r="B563" s="172"/>
      <c r="C563" s="172"/>
      <c r="D563" s="172"/>
      <c r="E563" s="172"/>
      <c r="F563" s="172"/>
      <c r="N563" s="304"/>
    </row>
    <row r="564">
      <c r="B564" s="172"/>
      <c r="C564" s="172"/>
      <c r="D564" s="172"/>
      <c r="E564" s="172"/>
      <c r="F564" s="172"/>
      <c r="N564" s="304"/>
    </row>
    <row r="565">
      <c r="B565" s="172"/>
      <c r="C565" s="172"/>
      <c r="D565" s="172"/>
      <c r="E565" s="172"/>
      <c r="F565" s="172"/>
      <c r="N565" s="304"/>
    </row>
    <row r="566">
      <c r="B566" s="172"/>
      <c r="C566" s="172"/>
      <c r="D566" s="172"/>
      <c r="E566" s="172"/>
      <c r="F566" s="172"/>
      <c r="N566" s="304"/>
    </row>
    <row r="567">
      <c r="B567" s="172"/>
      <c r="C567" s="172"/>
      <c r="D567" s="172"/>
      <c r="E567" s="172"/>
      <c r="F567" s="172"/>
      <c r="N567" s="304"/>
    </row>
    <row r="568">
      <c r="B568" s="172"/>
      <c r="C568" s="172"/>
      <c r="D568" s="172"/>
      <c r="E568" s="172"/>
      <c r="F568" s="172"/>
      <c r="N568" s="304"/>
    </row>
    <row r="569">
      <c r="B569" s="172"/>
      <c r="C569" s="172"/>
      <c r="D569" s="172"/>
      <c r="E569" s="172"/>
      <c r="F569" s="172"/>
      <c r="N569" s="304"/>
    </row>
    <row r="570">
      <c r="B570" s="172"/>
      <c r="C570" s="172"/>
      <c r="D570" s="172"/>
      <c r="E570" s="172"/>
      <c r="F570" s="172"/>
      <c r="N570" s="304"/>
    </row>
    <row r="571">
      <c r="B571" s="172"/>
      <c r="C571" s="172"/>
      <c r="D571" s="172"/>
      <c r="E571" s="172"/>
      <c r="F571" s="172"/>
      <c r="N571" s="304"/>
    </row>
    <row r="572">
      <c r="B572" s="172"/>
      <c r="C572" s="172"/>
      <c r="D572" s="172"/>
      <c r="E572" s="172"/>
      <c r="F572" s="172"/>
      <c r="N572" s="304"/>
    </row>
    <row r="573">
      <c r="B573" s="172"/>
      <c r="C573" s="172"/>
      <c r="D573" s="172"/>
      <c r="E573" s="172"/>
      <c r="F573" s="172"/>
      <c r="N573" s="304"/>
    </row>
    <row r="574">
      <c r="B574" s="172"/>
      <c r="C574" s="172"/>
      <c r="D574" s="172"/>
      <c r="E574" s="172"/>
      <c r="F574" s="172"/>
      <c r="N574" s="304"/>
    </row>
    <row r="575">
      <c r="B575" s="172"/>
      <c r="C575" s="172"/>
      <c r="D575" s="172"/>
      <c r="E575" s="172"/>
      <c r="F575" s="172"/>
      <c r="N575" s="304"/>
    </row>
    <row r="576">
      <c r="B576" s="172"/>
      <c r="C576" s="172"/>
      <c r="D576" s="172"/>
      <c r="E576" s="172"/>
      <c r="F576" s="172"/>
      <c r="N576" s="304"/>
    </row>
    <row r="577">
      <c r="B577" s="172"/>
      <c r="C577" s="172"/>
      <c r="D577" s="172"/>
      <c r="E577" s="172"/>
      <c r="F577" s="172"/>
      <c r="N577" s="304"/>
    </row>
    <row r="578">
      <c r="B578" s="172"/>
      <c r="C578" s="172"/>
      <c r="D578" s="172"/>
      <c r="E578" s="172"/>
      <c r="F578" s="172"/>
      <c r="N578" s="304"/>
    </row>
    <row r="579">
      <c r="B579" s="172"/>
      <c r="C579" s="172"/>
      <c r="D579" s="172"/>
      <c r="E579" s="172"/>
      <c r="F579" s="172"/>
      <c r="N579" s="304"/>
    </row>
    <row r="580">
      <c r="B580" s="172"/>
      <c r="C580" s="172"/>
      <c r="D580" s="172"/>
      <c r="E580" s="172"/>
      <c r="F580" s="172"/>
      <c r="N580" s="304"/>
    </row>
    <row r="581">
      <c r="B581" s="172"/>
      <c r="C581" s="172"/>
      <c r="D581" s="172"/>
      <c r="E581" s="172"/>
      <c r="F581" s="172"/>
      <c r="N581" s="304"/>
    </row>
    <row r="582">
      <c r="B582" s="172"/>
      <c r="C582" s="172"/>
      <c r="D582" s="172"/>
      <c r="E582" s="172"/>
      <c r="F582" s="172"/>
      <c r="N582" s="304"/>
    </row>
    <row r="583">
      <c r="B583" s="172"/>
      <c r="C583" s="172"/>
      <c r="D583" s="172"/>
      <c r="E583" s="172"/>
      <c r="F583" s="172"/>
      <c r="N583" s="304"/>
    </row>
    <row r="584">
      <c r="B584" s="172"/>
      <c r="C584" s="172"/>
      <c r="D584" s="172"/>
      <c r="E584" s="172"/>
      <c r="F584" s="172"/>
      <c r="N584" s="304"/>
    </row>
    <row r="585">
      <c r="B585" s="172"/>
      <c r="C585" s="172"/>
      <c r="D585" s="172"/>
      <c r="E585" s="172"/>
      <c r="F585" s="172"/>
      <c r="N585" s="304"/>
    </row>
    <row r="586">
      <c r="B586" s="172"/>
      <c r="C586" s="172"/>
      <c r="D586" s="172"/>
      <c r="E586" s="172"/>
      <c r="F586" s="172"/>
      <c r="N586" s="304"/>
    </row>
    <row r="587">
      <c r="B587" s="172"/>
      <c r="C587" s="172"/>
      <c r="D587" s="172"/>
      <c r="E587" s="172"/>
      <c r="F587" s="172"/>
      <c r="N587" s="304"/>
    </row>
    <row r="588">
      <c r="B588" s="172"/>
      <c r="C588" s="172"/>
      <c r="D588" s="172"/>
      <c r="E588" s="172"/>
      <c r="F588" s="172"/>
      <c r="N588" s="304"/>
    </row>
    <row r="589">
      <c r="B589" s="172"/>
      <c r="C589" s="172"/>
      <c r="D589" s="172"/>
      <c r="E589" s="172"/>
      <c r="F589" s="172"/>
      <c r="N589" s="304"/>
    </row>
    <row r="590">
      <c r="B590" s="172"/>
      <c r="C590" s="172"/>
      <c r="D590" s="172"/>
      <c r="E590" s="172"/>
      <c r="F590" s="172"/>
      <c r="N590" s="304"/>
    </row>
    <row r="591">
      <c r="B591" s="172"/>
      <c r="C591" s="172"/>
      <c r="D591" s="172"/>
      <c r="E591" s="172"/>
      <c r="F591" s="172"/>
      <c r="N591" s="304"/>
    </row>
    <row r="592">
      <c r="B592" s="172"/>
      <c r="C592" s="172"/>
      <c r="D592" s="172"/>
      <c r="E592" s="172"/>
      <c r="F592" s="172"/>
      <c r="N592" s="304"/>
    </row>
    <row r="593">
      <c r="B593" s="172"/>
      <c r="C593" s="172"/>
      <c r="D593" s="172"/>
      <c r="E593" s="172"/>
      <c r="F593" s="172"/>
      <c r="N593" s="304"/>
    </row>
    <row r="594">
      <c r="B594" s="172"/>
      <c r="C594" s="172"/>
      <c r="D594" s="172"/>
      <c r="E594" s="172"/>
      <c r="F594" s="172"/>
      <c r="N594" s="304"/>
    </row>
    <row r="595">
      <c r="B595" s="172"/>
      <c r="C595" s="172"/>
      <c r="D595" s="172"/>
      <c r="E595" s="172"/>
      <c r="F595" s="172"/>
      <c r="N595" s="304"/>
    </row>
    <row r="596">
      <c r="B596" s="172"/>
      <c r="C596" s="172"/>
      <c r="D596" s="172"/>
      <c r="E596" s="172"/>
      <c r="F596" s="172"/>
      <c r="N596" s="304"/>
    </row>
    <row r="597">
      <c r="B597" s="172"/>
      <c r="C597" s="172"/>
      <c r="D597" s="172"/>
      <c r="E597" s="172"/>
      <c r="F597" s="172"/>
      <c r="N597" s="304"/>
    </row>
    <row r="598">
      <c r="B598" s="172"/>
      <c r="C598" s="172"/>
      <c r="D598" s="172"/>
      <c r="E598" s="172"/>
      <c r="F598" s="172"/>
      <c r="N598" s="304"/>
    </row>
    <row r="599">
      <c r="B599" s="172"/>
      <c r="C599" s="172"/>
      <c r="D599" s="172"/>
      <c r="E599" s="172"/>
      <c r="F599" s="172"/>
      <c r="N599" s="304"/>
    </row>
    <row r="600">
      <c r="B600" s="172"/>
      <c r="C600" s="172"/>
      <c r="D600" s="172"/>
      <c r="E600" s="172"/>
      <c r="F600" s="172"/>
      <c r="N600" s="304"/>
    </row>
    <row r="601">
      <c r="B601" s="172"/>
      <c r="C601" s="172"/>
      <c r="D601" s="172"/>
      <c r="E601" s="172"/>
      <c r="F601" s="172"/>
      <c r="N601" s="304"/>
    </row>
    <row r="602">
      <c r="B602" s="172"/>
      <c r="C602" s="172"/>
      <c r="D602" s="172"/>
      <c r="E602" s="172"/>
      <c r="F602" s="172"/>
      <c r="N602" s="304"/>
    </row>
    <row r="603">
      <c r="B603" s="172"/>
      <c r="C603" s="172"/>
      <c r="D603" s="172"/>
      <c r="E603" s="172"/>
      <c r="F603" s="172"/>
      <c r="N603" s="304"/>
    </row>
    <row r="604">
      <c r="B604" s="172"/>
      <c r="C604" s="172"/>
      <c r="D604" s="172"/>
      <c r="E604" s="172"/>
      <c r="F604" s="172"/>
      <c r="N604" s="304"/>
    </row>
    <row r="605">
      <c r="B605" s="172"/>
      <c r="C605" s="172"/>
      <c r="D605" s="172"/>
      <c r="E605" s="172"/>
      <c r="F605" s="172"/>
      <c r="N605" s="304"/>
    </row>
    <row r="606">
      <c r="B606" s="172"/>
      <c r="C606" s="172"/>
      <c r="D606" s="172"/>
      <c r="E606" s="172"/>
      <c r="F606" s="172"/>
      <c r="N606" s="304"/>
    </row>
    <row r="607">
      <c r="B607" s="172"/>
      <c r="C607" s="172"/>
      <c r="D607" s="172"/>
      <c r="E607" s="172"/>
      <c r="F607" s="172"/>
      <c r="N607" s="304"/>
    </row>
    <row r="608">
      <c r="B608" s="172"/>
      <c r="C608" s="172"/>
      <c r="D608" s="172"/>
      <c r="E608" s="172"/>
      <c r="F608" s="172"/>
      <c r="N608" s="304"/>
    </row>
    <row r="609">
      <c r="B609" s="172"/>
      <c r="C609" s="172"/>
      <c r="D609" s="172"/>
      <c r="E609" s="172"/>
      <c r="F609" s="172"/>
      <c r="N609" s="304"/>
    </row>
    <row r="610">
      <c r="B610" s="172"/>
      <c r="C610" s="172"/>
      <c r="D610" s="172"/>
      <c r="E610" s="172"/>
      <c r="F610" s="172"/>
      <c r="N610" s="304"/>
    </row>
    <row r="611">
      <c r="B611" s="172"/>
      <c r="C611" s="172"/>
      <c r="D611" s="172"/>
      <c r="E611" s="172"/>
      <c r="F611" s="172"/>
      <c r="N611" s="304"/>
    </row>
    <row r="612">
      <c r="B612" s="172"/>
      <c r="C612" s="172"/>
      <c r="D612" s="172"/>
      <c r="E612" s="172"/>
      <c r="F612" s="172"/>
      <c r="N612" s="304"/>
    </row>
    <row r="613">
      <c r="B613" s="172"/>
      <c r="C613" s="172"/>
      <c r="D613" s="172"/>
      <c r="E613" s="172"/>
      <c r="F613" s="172"/>
      <c r="N613" s="304"/>
    </row>
    <row r="614">
      <c r="B614" s="172"/>
      <c r="C614" s="172"/>
      <c r="D614" s="172"/>
      <c r="E614" s="172"/>
      <c r="F614" s="172"/>
      <c r="N614" s="304"/>
    </row>
    <row r="615">
      <c r="B615" s="172"/>
      <c r="C615" s="172"/>
      <c r="D615" s="172"/>
      <c r="E615" s="172"/>
      <c r="F615" s="172"/>
      <c r="N615" s="304"/>
    </row>
    <row r="616">
      <c r="B616" s="172"/>
      <c r="C616" s="172"/>
      <c r="D616" s="172"/>
      <c r="E616" s="172"/>
      <c r="F616" s="172"/>
      <c r="N616" s="304"/>
    </row>
    <row r="617">
      <c r="B617" s="172"/>
      <c r="C617" s="172"/>
      <c r="D617" s="172"/>
      <c r="E617" s="172"/>
      <c r="F617" s="172"/>
      <c r="N617" s="304"/>
    </row>
    <row r="618">
      <c r="B618" s="172"/>
      <c r="C618" s="172"/>
      <c r="D618" s="172"/>
      <c r="E618" s="172"/>
      <c r="F618" s="172"/>
      <c r="N618" s="304"/>
    </row>
    <row r="619">
      <c r="B619" s="172"/>
      <c r="C619" s="172"/>
      <c r="D619" s="172"/>
      <c r="E619" s="172"/>
      <c r="F619" s="172"/>
      <c r="N619" s="304"/>
    </row>
    <row r="620">
      <c r="B620" s="172"/>
      <c r="C620" s="172"/>
      <c r="D620" s="172"/>
      <c r="E620" s="172"/>
      <c r="F620" s="172"/>
      <c r="N620" s="304"/>
    </row>
    <row r="621">
      <c r="B621" s="172"/>
      <c r="C621" s="172"/>
      <c r="D621" s="172"/>
      <c r="E621" s="172"/>
      <c r="F621" s="172"/>
      <c r="N621" s="304"/>
    </row>
    <row r="622">
      <c r="B622" s="172"/>
      <c r="C622" s="172"/>
      <c r="D622" s="172"/>
      <c r="E622" s="172"/>
      <c r="F622" s="172"/>
      <c r="N622" s="304"/>
    </row>
    <row r="623">
      <c r="B623" s="172"/>
      <c r="C623" s="172"/>
      <c r="D623" s="172"/>
      <c r="E623" s="172"/>
      <c r="F623" s="172"/>
      <c r="N623" s="304"/>
    </row>
    <row r="624">
      <c r="B624" s="172"/>
      <c r="C624" s="172"/>
      <c r="D624" s="172"/>
      <c r="E624" s="172"/>
      <c r="F624" s="172"/>
      <c r="N624" s="304"/>
    </row>
    <row r="625">
      <c r="B625" s="172"/>
      <c r="C625" s="172"/>
      <c r="D625" s="172"/>
      <c r="E625" s="172"/>
      <c r="F625" s="172"/>
      <c r="N625" s="304"/>
    </row>
    <row r="626">
      <c r="B626" s="172"/>
      <c r="C626" s="172"/>
      <c r="D626" s="172"/>
      <c r="E626" s="172"/>
      <c r="F626" s="172"/>
      <c r="N626" s="304"/>
    </row>
    <row r="627">
      <c r="B627" s="172"/>
      <c r="C627" s="172"/>
      <c r="D627" s="172"/>
      <c r="E627" s="172"/>
      <c r="F627" s="172"/>
      <c r="N627" s="304"/>
    </row>
    <row r="628">
      <c r="B628" s="172"/>
      <c r="C628" s="172"/>
      <c r="D628" s="172"/>
      <c r="E628" s="172"/>
      <c r="F628" s="172"/>
      <c r="N628" s="304"/>
    </row>
    <row r="629">
      <c r="B629" s="172"/>
      <c r="C629" s="172"/>
      <c r="D629" s="172"/>
      <c r="E629" s="172"/>
      <c r="F629" s="172"/>
      <c r="N629" s="304"/>
    </row>
    <row r="630">
      <c r="B630" s="172"/>
      <c r="C630" s="172"/>
      <c r="D630" s="172"/>
      <c r="E630" s="172"/>
      <c r="F630" s="172"/>
      <c r="N630" s="304"/>
    </row>
    <row r="631">
      <c r="B631" s="172"/>
      <c r="C631" s="172"/>
      <c r="D631" s="172"/>
      <c r="E631" s="172"/>
      <c r="F631" s="172"/>
      <c r="N631" s="304"/>
    </row>
    <row r="632">
      <c r="B632" s="172"/>
      <c r="C632" s="172"/>
      <c r="D632" s="172"/>
      <c r="E632" s="172"/>
      <c r="F632" s="172"/>
      <c r="N632" s="304"/>
    </row>
    <row r="633">
      <c r="B633" s="172"/>
      <c r="C633" s="172"/>
      <c r="D633" s="172"/>
      <c r="E633" s="172"/>
      <c r="F633" s="172"/>
      <c r="N633" s="304"/>
    </row>
    <row r="634">
      <c r="B634" s="172"/>
      <c r="C634" s="172"/>
      <c r="D634" s="172"/>
      <c r="E634" s="172"/>
      <c r="F634" s="172"/>
      <c r="N634" s="304"/>
    </row>
    <row r="635">
      <c r="B635" s="172"/>
      <c r="C635" s="172"/>
      <c r="D635" s="172"/>
      <c r="E635" s="172"/>
      <c r="F635" s="172"/>
      <c r="N635" s="304"/>
    </row>
    <row r="636">
      <c r="B636" s="172"/>
      <c r="C636" s="172"/>
      <c r="D636" s="172"/>
      <c r="E636" s="172"/>
      <c r="F636" s="172"/>
      <c r="N636" s="304"/>
    </row>
    <row r="637">
      <c r="B637" s="172"/>
      <c r="C637" s="172"/>
      <c r="D637" s="172"/>
      <c r="E637" s="172"/>
      <c r="F637" s="172"/>
      <c r="N637" s="304"/>
    </row>
    <row r="638">
      <c r="B638" s="172"/>
      <c r="C638" s="172"/>
      <c r="D638" s="172"/>
      <c r="E638" s="172"/>
      <c r="F638" s="172"/>
      <c r="N638" s="304"/>
    </row>
    <row r="639">
      <c r="B639" s="172"/>
      <c r="C639" s="172"/>
      <c r="D639" s="172"/>
      <c r="E639" s="172"/>
      <c r="F639" s="172"/>
      <c r="N639" s="304"/>
    </row>
    <row r="640">
      <c r="B640" s="172"/>
      <c r="C640" s="172"/>
      <c r="D640" s="172"/>
      <c r="E640" s="172"/>
      <c r="F640" s="172"/>
      <c r="N640" s="304"/>
    </row>
    <row r="641">
      <c r="B641" s="172"/>
      <c r="C641" s="172"/>
      <c r="D641" s="172"/>
      <c r="E641" s="172"/>
      <c r="F641" s="172"/>
      <c r="N641" s="304"/>
    </row>
    <row r="642">
      <c r="B642" s="172"/>
      <c r="C642" s="172"/>
      <c r="D642" s="172"/>
      <c r="E642" s="172"/>
      <c r="F642" s="172"/>
      <c r="N642" s="304"/>
    </row>
    <row r="643">
      <c r="B643" s="172"/>
      <c r="C643" s="172"/>
      <c r="D643" s="172"/>
      <c r="E643" s="172"/>
      <c r="F643" s="172"/>
      <c r="N643" s="304"/>
    </row>
    <row r="644">
      <c r="B644" s="172"/>
      <c r="C644" s="172"/>
      <c r="D644" s="172"/>
      <c r="E644" s="172"/>
      <c r="F644" s="172"/>
      <c r="N644" s="304"/>
    </row>
    <row r="645">
      <c r="B645" s="172"/>
      <c r="C645" s="172"/>
      <c r="D645" s="172"/>
      <c r="E645" s="172"/>
      <c r="F645" s="172"/>
      <c r="N645" s="304"/>
    </row>
    <row r="646">
      <c r="B646" s="172"/>
      <c r="C646" s="172"/>
      <c r="D646" s="172"/>
      <c r="E646" s="172"/>
      <c r="F646" s="172"/>
      <c r="N646" s="304"/>
    </row>
    <row r="647">
      <c r="B647" s="172"/>
      <c r="C647" s="172"/>
      <c r="D647" s="172"/>
      <c r="E647" s="172"/>
      <c r="F647" s="172"/>
      <c r="N647" s="304"/>
    </row>
    <row r="648">
      <c r="B648" s="172"/>
      <c r="C648" s="172"/>
      <c r="D648" s="172"/>
      <c r="E648" s="172"/>
      <c r="F648" s="172"/>
      <c r="N648" s="304"/>
    </row>
    <row r="649">
      <c r="B649" s="172"/>
      <c r="C649" s="172"/>
      <c r="D649" s="172"/>
      <c r="E649" s="172"/>
      <c r="F649" s="172"/>
      <c r="N649" s="304"/>
    </row>
    <row r="650">
      <c r="B650" s="172"/>
      <c r="C650" s="172"/>
      <c r="D650" s="172"/>
      <c r="E650" s="172"/>
      <c r="F650" s="172"/>
      <c r="N650" s="304"/>
    </row>
    <row r="651">
      <c r="B651" s="172"/>
      <c r="C651" s="172"/>
      <c r="D651" s="172"/>
      <c r="E651" s="172"/>
      <c r="F651" s="172"/>
      <c r="N651" s="304"/>
    </row>
    <row r="652">
      <c r="B652" s="172"/>
      <c r="C652" s="172"/>
      <c r="D652" s="172"/>
      <c r="E652" s="172"/>
      <c r="F652" s="172"/>
      <c r="N652" s="304"/>
    </row>
    <row r="653">
      <c r="B653" s="172"/>
      <c r="C653" s="172"/>
      <c r="D653" s="172"/>
      <c r="E653" s="172"/>
      <c r="F653" s="172"/>
      <c r="N653" s="304"/>
    </row>
    <row r="654">
      <c r="B654" s="172"/>
      <c r="C654" s="172"/>
      <c r="D654" s="172"/>
      <c r="E654" s="172"/>
      <c r="F654" s="172"/>
      <c r="N654" s="304"/>
    </row>
    <row r="655">
      <c r="B655" s="172"/>
      <c r="C655" s="172"/>
      <c r="D655" s="172"/>
      <c r="E655" s="172"/>
      <c r="F655" s="172"/>
      <c r="N655" s="304"/>
    </row>
    <row r="656">
      <c r="B656" s="172"/>
      <c r="C656" s="172"/>
      <c r="D656" s="172"/>
      <c r="E656" s="172"/>
      <c r="F656" s="172"/>
      <c r="N656" s="304"/>
    </row>
    <row r="657">
      <c r="B657" s="172"/>
      <c r="C657" s="172"/>
      <c r="D657" s="172"/>
      <c r="E657" s="172"/>
      <c r="F657" s="172"/>
      <c r="N657" s="304"/>
    </row>
    <row r="658">
      <c r="B658" s="172"/>
      <c r="C658" s="172"/>
      <c r="D658" s="172"/>
      <c r="E658" s="172"/>
      <c r="F658" s="172"/>
      <c r="N658" s="304"/>
    </row>
    <row r="659">
      <c r="B659" s="172"/>
      <c r="C659" s="172"/>
      <c r="D659" s="172"/>
      <c r="E659" s="172"/>
      <c r="F659" s="172"/>
      <c r="N659" s="304"/>
    </row>
    <row r="660">
      <c r="B660" s="172"/>
      <c r="C660" s="172"/>
      <c r="D660" s="172"/>
      <c r="E660" s="172"/>
      <c r="F660" s="172"/>
      <c r="N660" s="304"/>
    </row>
    <row r="661">
      <c r="B661" s="172"/>
      <c r="C661" s="172"/>
      <c r="D661" s="172"/>
      <c r="E661" s="172"/>
      <c r="F661" s="172"/>
      <c r="N661" s="304"/>
    </row>
    <row r="662">
      <c r="B662" s="172"/>
      <c r="C662" s="172"/>
      <c r="D662" s="172"/>
      <c r="E662" s="172"/>
      <c r="F662" s="172"/>
      <c r="N662" s="304"/>
    </row>
    <row r="663">
      <c r="B663" s="172"/>
      <c r="C663" s="172"/>
      <c r="D663" s="172"/>
      <c r="E663" s="172"/>
      <c r="F663" s="172"/>
      <c r="N663" s="304"/>
    </row>
    <row r="664">
      <c r="B664" s="172"/>
      <c r="C664" s="172"/>
      <c r="D664" s="172"/>
      <c r="E664" s="172"/>
      <c r="F664" s="172"/>
      <c r="N664" s="304"/>
    </row>
    <row r="665">
      <c r="B665" s="172"/>
      <c r="C665" s="172"/>
      <c r="D665" s="172"/>
      <c r="E665" s="172"/>
      <c r="F665" s="172"/>
      <c r="N665" s="304"/>
    </row>
    <row r="666">
      <c r="B666" s="172"/>
      <c r="C666" s="172"/>
      <c r="D666" s="172"/>
      <c r="E666" s="172"/>
      <c r="F666" s="172"/>
      <c r="N666" s="304"/>
    </row>
    <row r="667">
      <c r="B667" s="172"/>
      <c r="C667" s="172"/>
      <c r="D667" s="172"/>
      <c r="E667" s="172"/>
      <c r="F667" s="172"/>
      <c r="N667" s="304"/>
    </row>
    <row r="668">
      <c r="B668" s="172"/>
      <c r="C668" s="172"/>
      <c r="D668" s="172"/>
      <c r="E668" s="172"/>
      <c r="F668" s="172"/>
      <c r="N668" s="304"/>
    </row>
    <row r="669">
      <c r="B669" s="172"/>
      <c r="C669" s="172"/>
      <c r="D669" s="172"/>
      <c r="E669" s="172"/>
      <c r="F669" s="172"/>
      <c r="N669" s="304"/>
    </row>
    <row r="670">
      <c r="B670" s="172"/>
      <c r="C670" s="172"/>
      <c r="D670" s="172"/>
      <c r="E670" s="172"/>
      <c r="F670" s="172"/>
      <c r="N670" s="304"/>
    </row>
    <row r="671">
      <c r="B671" s="172"/>
      <c r="C671" s="172"/>
      <c r="D671" s="172"/>
      <c r="E671" s="172"/>
      <c r="F671" s="172"/>
      <c r="N671" s="304"/>
    </row>
    <row r="672">
      <c r="B672" s="172"/>
      <c r="C672" s="172"/>
      <c r="D672" s="172"/>
      <c r="E672" s="172"/>
      <c r="F672" s="172"/>
      <c r="N672" s="304"/>
    </row>
    <row r="673">
      <c r="B673" s="172"/>
      <c r="C673" s="172"/>
      <c r="D673" s="172"/>
      <c r="E673" s="172"/>
      <c r="F673" s="172"/>
      <c r="N673" s="304"/>
    </row>
    <row r="674">
      <c r="B674" s="172"/>
      <c r="C674" s="172"/>
      <c r="D674" s="172"/>
      <c r="E674" s="172"/>
      <c r="F674" s="172"/>
      <c r="N674" s="304"/>
    </row>
    <row r="675">
      <c r="B675" s="172"/>
      <c r="C675" s="172"/>
      <c r="D675" s="172"/>
      <c r="E675" s="172"/>
      <c r="F675" s="172"/>
      <c r="N675" s="304"/>
    </row>
    <row r="676">
      <c r="B676" s="172"/>
      <c r="C676" s="172"/>
      <c r="D676" s="172"/>
      <c r="E676" s="172"/>
      <c r="F676" s="172"/>
      <c r="N676" s="304"/>
    </row>
    <row r="677">
      <c r="B677" s="172"/>
      <c r="C677" s="172"/>
      <c r="D677" s="172"/>
      <c r="E677" s="172"/>
      <c r="F677" s="172"/>
      <c r="N677" s="304"/>
    </row>
    <row r="678">
      <c r="B678" s="172"/>
      <c r="C678" s="172"/>
      <c r="D678" s="172"/>
      <c r="E678" s="172"/>
      <c r="F678" s="172"/>
      <c r="N678" s="304"/>
    </row>
    <row r="679">
      <c r="B679" s="172"/>
      <c r="C679" s="172"/>
      <c r="D679" s="172"/>
      <c r="E679" s="172"/>
      <c r="F679" s="172"/>
      <c r="N679" s="304"/>
    </row>
    <row r="680">
      <c r="B680" s="172"/>
      <c r="C680" s="172"/>
      <c r="D680" s="172"/>
      <c r="E680" s="172"/>
      <c r="F680" s="172"/>
      <c r="N680" s="304"/>
    </row>
    <row r="681">
      <c r="B681" s="172"/>
      <c r="C681" s="172"/>
      <c r="D681" s="172"/>
      <c r="E681" s="172"/>
      <c r="F681" s="172"/>
      <c r="N681" s="304"/>
    </row>
    <row r="682">
      <c r="B682" s="172"/>
      <c r="C682" s="172"/>
      <c r="D682" s="172"/>
      <c r="E682" s="172"/>
      <c r="F682" s="172"/>
      <c r="N682" s="304"/>
    </row>
    <row r="683">
      <c r="B683" s="172"/>
      <c r="C683" s="172"/>
      <c r="D683" s="172"/>
      <c r="E683" s="172"/>
      <c r="F683" s="172"/>
      <c r="N683" s="304"/>
    </row>
    <row r="684">
      <c r="B684" s="172"/>
      <c r="C684" s="172"/>
      <c r="D684" s="172"/>
      <c r="E684" s="172"/>
      <c r="F684" s="172"/>
      <c r="N684" s="304"/>
    </row>
    <row r="685">
      <c r="B685" s="172"/>
      <c r="C685" s="172"/>
      <c r="D685" s="172"/>
      <c r="E685" s="172"/>
      <c r="F685" s="172"/>
      <c r="N685" s="304"/>
    </row>
    <row r="686">
      <c r="B686" s="172"/>
      <c r="C686" s="172"/>
      <c r="D686" s="172"/>
      <c r="E686" s="172"/>
      <c r="F686" s="172"/>
      <c r="N686" s="304"/>
    </row>
    <row r="687">
      <c r="B687" s="172"/>
      <c r="C687" s="172"/>
      <c r="D687" s="172"/>
      <c r="E687" s="172"/>
      <c r="F687" s="172"/>
      <c r="N687" s="304"/>
    </row>
    <row r="688">
      <c r="B688" s="172"/>
      <c r="C688" s="172"/>
      <c r="D688" s="172"/>
      <c r="E688" s="172"/>
      <c r="F688" s="172"/>
      <c r="N688" s="304"/>
    </row>
    <row r="689">
      <c r="B689" s="172"/>
      <c r="C689" s="172"/>
      <c r="D689" s="172"/>
      <c r="E689" s="172"/>
      <c r="F689" s="172"/>
      <c r="N689" s="304"/>
    </row>
    <row r="690">
      <c r="B690" s="172"/>
      <c r="C690" s="172"/>
      <c r="D690" s="172"/>
      <c r="E690" s="172"/>
      <c r="F690" s="172"/>
      <c r="N690" s="304"/>
    </row>
    <row r="691">
      <c r="B691" s="172"/>
      <c r="C691" s="172"/>
      <c r="D691" s="172"/>
      <c r="E691" s="172"/>
      <c r="F691" s="172"/>
      <c r="N691" s="304"/>
    </row>
    <row r="692">
      <c r="B692" s="172"/>
      <c r="C692" s="172"/>
      <c r="D692" s="172"/>
      <c r="E692" s="172"/>
      <c r="F692" s="172"/>
      <c r="N692" s="304"/>
    </row>
    <row r="693">
      <c r="B693" s="172"/>
      <c r="C693" s="172"/>
      <c r="D693" s="172"/>
      <c r="E693" s="172"/>
      <c r="F693" s="172"/>
      <c r="N693" s="304"/>
    </row>
    <row r="694">
      <c r="B694" s="172"/>
      <c r="C694" s="172"/>
      <c r="D694" s="172"/>
      <c r="E694" s="172"/>
      <c r="F694" s="172"/>
      <c r="N694" s="304"/>
    </row>
    <row r="695">
      <c r="B695" s="172"/>
      <c r="C695" s="172"/>
      <c r="D695" s="172"/>
      <c r="E695" s="172"/>
      <c r="F695" s="172"/>
      <c r="N695" s="304"/>
    </row>
    <row r="696">
      <c r="B696" s="172"/>
      <c r="C696" s="172"/>
      <c r="D696" s="172"/>
      <c r="E696" s="172"/>
      <c r="F696" s="172"/>
      <c r="N696" s="304"/>
    </row>
    <row r="697">
      <c r="B697" s="172"/>
      <c r="C697" s="172"/>
      <c r="D697" s="172"/>
      <c r="E697" s="172"/>
      <c r="F697" s="172"/>
      <c r="N697" s="304"/>
    </row>
    <row r="698">
      <c r="B698" s="172"/>
      <c r="C698" s="172"/>
      <c r="D698" s="172"/>
      <c r="E698" s="172"/>
      <c r="F698" s="172"/>
      <c r="N698" s="304"/>
    </row>
    <row r="699">
      <c r="B699" s="172"/>
      <c r="C699" s="172"/>
      <c r="D699" s="172"/>
      <c r="E699" s="172"/>
      <c r="F699" s="172"/>
      <c r="N699" s="304"/>
    </row>
    <row r="700">
      <c r="B700" s="172"/>
      <c r="C700" s="172"/>
      <c r="D700" s="172"/>
      <c r="E700" s="172"/>
      <c r="F700" s="172"/>
      <c r="N700" s="304"/>
    </row>
    <row r="701">
      <c r="B701" s="172"/>
      <c r="C701" s="172"/>
      <c r="D701" s="172"/>
      <c r="E701" s="172"/>
      <c r="F701" s="172"/>
      <c r="N701" s="304"/>
    </row>
    <row r="702">
      <c r="B702" s="172"/>
      <c r="C702" s="172"/>
      <c r="D702" s="172"/>
      <c r="E702" s="172"/>
      <c r="F702" s="172"/>
      <c r="N702" s="304"/>
    </row>
    <row r="703">
      <c r="B703" s="172"/>
      <c r="C703" s="172"/>
      <c r="D703" s="172"/>
      <c r="E703" s="172"/>
      <c r="F703" s="172"/>
      <c r="N703" s="304"/>
    </row>
    <row r="704">
      <c r="B704" s="172"/>
      <c r="C704" s="172"/>
      <c r="D704" s="172"/>
      <c r="E704" s="172"/>
      <c r="F704" s="172"/>
      <c r="N704" s="304"/>
    </row>
    <row r="705">
      <c r="B705" s="172"/>
      <c r="C705" s="172"/>
      <c r="D705" s="172"/>
      <c r="E705" s="172"/>
      <c r="F705" s="172"/>
      <c r="N705" s="304"/>
    </row>
    <row r="706">
      <c r="B706" s="172"/>
      <c r="C706" s="172"/>
      <c r="D706" s="172"/>
      <c r="E706" s="172"/>
      <c r="F706" s="172"/>
      <c r="N706" s="304"/>
    </row>
    <row r="707">
      <c r="B707" s="172"/>
      <c r="C707" s="172"/>
      <c r="D707" s="172"/>
      <c r="E707" s="172"/>
      <c r="F707" s="172"/>
      <c r="N707" s="304"/>
    </row>
    <row r="708">
      <c r="B708" s="172"/>
      <c r="C708" s="172"/>
      <c r="D708" s="172"/>
      <c r="E708" s="172"/>
      <c r="F708" s="172"/>
      <c r="N708" s="304"/>
    </row>
    <row r="709">
      <c r="B709" s="172"/>
      <c r="C709" s="172"/>
      <c r="D709" s="172"/>
      <c r="E709" s="172"/>
      <c r="F709" s="172"/>
      <c r="N709" s="304"/>
    </row>
    <row r="710">
      <c r="B710" s="172"/>
      <c r="C710" s="172"/>
      <c r="D710" s="172"/>
      <c r="E710" s="172"/>
      <c r="F710" s="172"/>
      <c r="N710" s="304"/>
    </row>
    <row r="711">
      <c r="B711" s="172"/>
      <c r="C711" s="172"/>
      <c r="D711" s="172"/>
      <c r="E711" s="172"/>
      <c r="F711" s="172"/>
      <c r="N711" s="304"/>
    </row>
    <row r="712">
      <c r="B712" s="172"/>
      <c r="C712" s="172"/>
      <c r="D712" s="172"/>
      <c r="E712" s="172"/>
      <c r="F712" s="172"/>
      <c r="N712" s="304"/>
    </row>
    <row r="713">
      <c r="B713" s="172"/>
      <c r="C713" s="172"/>
      <c r="D713" s="172"/>
      <c r="E713" s="172"/>
      <c r="F713" s="172"/>
      <c r="N713" s="304"/>
    </row>
    <row r="714">
      <c r="B714" s="172"/>
      <c r="C714" s="172"/>
      <c r="D714" s="172"/>
      <c r="E714" s="172"/>
      <c r="F714" s="172"/>
      <c r="N714" s="304"/>
    </row>
    <row r="715">
      <c r="B715" s="172"/>
      <c r="C715" s="172"/>
      <c r="D715" s="172"/>
      <c r="E715" s="172"/>
      <c r="F715" s="172"/>
      <c r="N715" s="304"/>
    </row>
    <row r="716">
      <c r="B716" s="172"/>
      <c r="C716" s="172"/>
      <c r="D716" s="172"/>
      <c r="E716" s="172"/>
      <c r="F716" s="172"/>
      <c r="N716" s="304"/>
    </row>
    <row r="717">
      <c r="B717" s="172"/>
      <c r="C717" s="172"/>
      <c r="D717" s="172"/>
      <c r="E717" s="172"/>
      <c r="F717" s="172"/>
      <c r="N717" s="304"/>
    </row>
    <row r="718">
      <c r="B718" s="172"/>
      <c r="C718" s="172"/>
      <c r="D718" s="172"/>
      <c r="E718" s="172"/>
      <c r="F718" s="172"/>
      <c r="N718" s="304"/>
    </row>
    <row r="719">
      <c r="B719" s="172"/>
      <c r="C719" s="172"/>
      <c r="D719" s="172"/>
      <c r="E719" s="172"/>
      <c r="F719" s="172"/>
      <c r="N719" s="304"/>
    </row>
    <row r="720">
      <c r="B720" s="172"/>
      <c r="C720" s="172"/>
      <c r="D720" s="172"/>
      <c r="E720" s="172"/>
      <c r="F720" s="172"/>
      <c r="N720" s="304"/>
    </row>
    <row r="721">
      <c r="B721" s="172"/>
      <c r="C721" s="172"/>
      <c r="D721" s="172"/>
      <c r="E721" s="172"/>
      <c r="F721" s="172"/>
      <c r="N721" s="304"/>
    </row>
    <row r="722">
      <c r="B722" s="172"/>
      <c r="C722" s="172"/>
      <c r="D722" s="172"/>
      <c r="E722" s="172"/>
      <c r="F722" s="172"/>
      <c r="N722" s="304"/>
    </row>
    <row r="723">
      <c r="B723" s="172"/>
      <c r="C723" s="172"/>
      <c r="D723" s="172"/>
      <c r="E723" s="172"/>
      <c r="F723" s="172"/>
      <c r="N723" s="304"/>
    </row>
    <row r="724">
      <c r="B724" s="172"/>
      <c r="C724" s="172"/>
      <c r="D724" s="172"/>
      <c r="E724" s="172"/>
      <c r="F724" s="172"/>
      <c r="N724" s="304"/>
    </row>
    <row r="725">
      <c r="B725" s="172"/>
      <c r="C725" s="172"/>
      <c r="D725" s="172"/>
      <c r="E725" s="172"/>
      <c r="F725" s="172"/>
      <c r="N725" s="304"/>
    </row>
    <row r="726">
      <c r="B726" s="172"/>
      <c r="C726" s="172"/>
      <c r="D726" s="172"/>
      <c r="E726" s="172"/>
      <c r="F726" s="172"/>
      <c r="N726" s="304"/>
    </row>
    <row r="727">
      <c r="B727" s="172"/>
      <c r="C727" s="172"/>
      <c r="D727" s="172"/>
      <c r="E727" s="172"/>
      <c r="F727" s="172"/>
      <c r="N727" s="304"/>
    </row>
    <row r="728">
      <c r="B728" s="172"/>
      <c r="C728" s="172"/>
      <c r="D728" s="172"/>
      <c r="E728" s="172"/>
      <c r="F728" s="172"/>
      <c r="N728" s="304"/>
    </row>
    <row r="729">
      <c r="B729" s="172"/>
      <c r="C729" s="172"/>
      <c r="D729" s="172"/>
      <c r="E729" s="172"/>
      <c r="F729" s="172"/>
      <c r="N729" s="304"/>
    </row>
    <row r="730">
      <c r="B730" s="172"/>
      <c r="C730" s="172"/>
      <c r="D730" s="172"/>
      <c r="E730" s="172"/>
      <c r="F730" s="172"/>
      <c r="N730" s="304"/>
    </row>
    <row r="731">
      <c r="B731" s="172"/>
      <c r="C731" s="172"/>
      <c r="D731" s="172"/>
      <c r="E731" s="172"/>
      <c r="F731" s="172"/>
      <c r="N731" s="304"/>
    </row>
    <row r="732">
      <c r="B732" s="172"/>
      <c r="C732" s="172"/>
      <c r="D732" s="172"/>
      <c r="E732" s="172"/>
      <c r="F732" s="172"/>
      <c r="N732" s="304"/>
    </row>
    <row r="733">
      <c r="B733" s="172"/>
      <c r="C733" s="172"/>
      <c r="D733" s="172"/>
      <c r="E733" s="172"/>
      <c r="F733" s="172"/>
      <c r="N733" s="304"/>
    </row>
    <row r="734">
      <c r="B734" s="172"/>
      <c r="C734" s="172"/>
      <c r="D734" s="172"/>
      <c r="E734" s="172"/>
      <c r="F734" s="172"/>
      <c r="N734" s="304"/>
    </row>
    <row r="735">
      <c r="B735" s="172"/>
      <c r="C735" s="172"/>
      <c r="D735" s="172"/>
      <c r="E735" s="172"/>
      <c r="F735" s="172"/>
      <c r="N735" s="304"/>
    </row>
    <row r="736">
      <c r="B736" s="172"/>
      <c r="C736" s="172"/>
      <c r="D736" s="172"/>
      <c r="E736" s="172"/>
      <c r="F736" s="172"/>
      <c r="N736" s="304"/>
    </row>
    <row r="737">
      <c r="B737" s="172"/>
      <c r="C737" s="172"/>
      <c r="D737" s="172"/>
      <c r="E737" s="172"/>
      <c r="F737" s="172"/>
      <c r="N737" s="304"/>
    </row>
    <row r="738">
      <c r="B738" s="172"/>
      <c r="C738" s="172"/>
      <c r="D738" s="172"/>
      <c r="E738" s="172"/>
      <c r="F738" s="172"/>
      <c r="N738" s="304"/>
    </row>
    <row r="739">
      <c r="B739" s="172"/>
      <c r="C739" s="172"/>
      <c r="D739" s="172"/>
      <c r="E739" s="172"/>
      <c r="F739" s="172"/>
      <c r="N739" s="304"/>
    </row>
    <row r="740">
      <c r="B740" s="172"/>
      <c r="C740" s="172"/>
      <c r="D740" s="172"/>
      <c r="E740" s="172"/>
      <c r="F740" s="172"/>
      <c r="N740" s="304"/>
    </row>
    <row r="741">
      <c r="B741" s="172"/>
      <c r="C741" s="172"/>
      <c r="D741" s="172"/>
      <c r="E741" s="172"/>
      <c r="F741" s="172"/>
      <c r="N741" s="304"/>
    </row>
    <row r="742">
      <c r="B742" s="172"/>
      <c r="C742" s="172"/>
      <c r="D742" s="172"/>
      <c r="E742" s="172"/>
      <c r="F742" s="172"/>
      <c r="N742" s="304"/>
    </row>
    <row r="743">
      <c r="B743" s="172"/>
      <c r="C743" s="172"/>
      <c r="D743" s="172"/>
      <c r="E743" s="172"/>
      <c r="F743" s="172"/>
      <c r="N743" s="304"/>
    </row>
    <row r="744">
      <c r="B744" s="172"/>
      <c r="C744" s="172"/>
      <c r="D744" s="172"/>
      <c r="E744" s="172"/>
      <c r="F744" s="172"/>
      <c r="N744" s="304"/>
    </row>
    <row r="745">
      <c r="B745" s="172"/>
      <c r="C745" s="172"/>
      <c r="D745" s="172"/>
      <c r="E745" s="172"/>
      <c r="F745" s="172"/>
      <c r="N745" s="304"/>
    </row>
    <row r="746">
      <c r="B746" s="172"/>
      <c r="C746" s="172"/>
      <c r="D746" s="172"/>
      <c r="E746" s="172"/>
      <c r="F746" s="172"/>
      <c r="N746" s="304"/>
    </row>
    <row r="747">
      <c r="B747" s="172"/>
      <c r="C747" s="172"/>
      <c r="D747" s="172"/>
      <c r="E747" s="172"/>
      <c r="F747" s="172"/>
      <c r="N747" s="304"/>
    </row>
    <row r="748">
      <c r="B748" s="172"/>
      <c r="C748" s="172"/>
      <c r="D748" s="172"/>
      <c r="E748" s="172"/>
      <c r="F748" s="172"/>
      <c r="N748" s="304"/>
    </row>
    <row r="749">
      <c r="B749" s="172"/>
      <c r="C749" s="172"/>
      <c r="D749" s="172"/>
      <c r="E749" s="172"/>
      <c r="F749" s="172"/>
      <c r="N749" s="304"/>
    </row>
    <row r="750">
      <c r="B750" s="172"/>
      <c r="C750" s="172"/>
      <c r="D750" s="172"/>
      <c r="E750" s="172"/>
      <c r="F750" s="172"/>
      <c r="N750" s="304"/>
    </row>
    <row r="751">
      <c r="B751" s="172"/>
      <c r="C751" s="172"/>
      <c r="D751" s="172"/>
      <c r="E751" s="172"/>
      <c r="F751" s="172"/>
      <c r="N751" s="304"/>
    </row>
    <row r="752">
      <c r="B752" s="172"/>
      <c r="C752" s="172"/>
      <c r="D752" s="172"/>
      <c r="E752" s="172"/>
      <c r="F752" s="172"/>
      <c r="N752" s="304"/>
    </row>
    <row r="753">
      <c r="B753" s="172"/>
      <c r="C753" s="172"/>
      <c r="D753" s="172"/>
      <c r="E753" s="172"/>
      <c r="F753" s="172"/>
      <c r="N753" s="304"/>
    </row>
    <row r="754">
      <c r="B754" s="172"/>
      <c r="C754" s="172"/>
      <c r="D754" s="172"/>
      <c r="E754" s="172"/>
      <c r="F754" s="172"/>
      <c r="N754" s="304"/>
    </row>
    <row r="755">
      <c r="B755" s="172"/>
      <c r="C755" s="172"/>
      <c r="D755" s="172"/>
      <c r="E755" s="172"/>
      <c r="F755" s="172"/>
      <c r="N755" s="304"/>
    </row>
    <row r="756">
      <c r="B756" s="172"/>
      <c r="C756" s="172"/>
      <c r="D756" s="172"/>
      <c r="E756" s="172"/>
      <c r="F756" s="172"/>
      <c r="N756" s="304"/>
    </row>
    <row r="757">
      <c r="B757" s="172"/>
      <c r="C757" s="172"/>
      <c r="D757" s="172"/>
      <c r="E757" s="172"/>
      <c r="F757" s="172"/>
      <c r="N757" s="304"/>
    </row>
    <row r="758">
      <c r="B758" s="172"/>
      <c r="C758" s="172"/>
      <c r="D758" s="172"/>
      <c r="E758" s="172"/>
      <c r="F758" s="172"/>
      <c r="N758" s="304"/>
    </row>
    <row r="759">
      <c r="B759" s="172"/>
      <c r="C759" s="172"/>
      <c r="D759" s="172"/>
      <c r="E759" s="172"/>
      <c r="F759" s="172"/>
      <c r="N759" s="304"/>
    </row>
    <row r="760">
      <c r="B760" s="172"/>
      <c r="C760" s="172"/>
      <c r="D760" s="172"/>
      <c r="E760" s="172"/>
      <c r="F760" s="172"/>
      <c r="N760" s="304"/>
    </row>
    <row r="761">
      <c r="B761" s="172"/>
      <c r="C761" s="172"/>
      <c r="D761" s="172"/>
      <c r="E761" s="172"/>
      <c r="F761" s="172"/>
      <c r="N761" s="304"/>
    </row>
    <row r="762">
      <c r="B762" s="172"/>
      <c r="C762" s="172"/>
      <c r="D762" s="172"/>
      <c r="E762" s="172"/>
      <c r="F762" s="172"/>
      <c r="N762" s="304"/>
    </row>
    <row r="763">
      <c r="B763" s="172"/>
      <c r="C763" s="172"/>
      <c r="D763" s="172"/>
      <c r="E763" s="172"/>
      <c r="F763" s="172"/>
      <c r="N763" s="304"/>
    </row>
    <row r="764">
      <c r="B764" s="172"/>
      <c r="C764" s="172"/>
      <c r="D764" s="172"/>
      <c r="E764" s="172"/>
      <c r="F764" s="172"/>
      <c r="N764" s="304"/>
    </row>
    <row r="765">
      <c r="B765" s="172"/>
      <c r="C765" s="172"/>
      <c r="D765" s="172"/>
      <c r="E765" s="172"/>
      <c r="F765" s="172"/>
      <c r="N765" s="304"/>
    </row>
    <row r="766">
      <c r="B766" s="172"/>
      <c r="C766" s="172"/>
      <c r="D766" s="172"/>
      <c r="E766" s="172"/>
      <c r="F766" s="172"/>
      <c r="N766" s="304"/>
    </row>
    <row r="767">
      <c r="B767" s="172"/>
      <c r="C767" s="172"/>
      <c r="D767" s="172"/>
      <c r="E767" s="172"/>
      <c r="F767" s="172"/>
      <c r="N767" s="304"/>
    </row>
    <row r="768">
      <c r="B768" s="172"/>
      <c r="C768" s="172"/>
      <c r="D768" s="172"/>
      <c r="E768" s="172"/>
      <c r="F768" s="172"/>
      <c r="N768" s="304"/>
    </row>
    <row r="769">
      <c r="B769" s="172"/>
      <c r="C769" s="172"/>
      <c r="D769" s="172"/>
      <c r="E769" s="172"/>
      <c r="F769" s="172"/>
      <c r="N769" s="304"/>
    </row>
    <row r="770">
      <c r="B770" s="172"/>
      <c r="C770" s="172"/>
      <c r="D770" s="172"/>
      <c r="E770" s="172"/>
      <c r="F770" s="172"/>
      <c r="N770" s="304"/>
    </row>
    <row r="771">
      <c r="B771" s="172"/>
      <c r="C771" s="172"/>
      <c r="D771" s="172"/>
      <c r="E771" s="172"/>
      <c r="F771" s="172"/>
      <c r="N771" s="304"/>
    </row>
    <row r="772">
      <c r="B772" s="172"/>
      <c r="C772" s="172"/>
      <c r="D772" s="172"/>
      <c r="E772" s="172"/>
      <c r="F772" s="172"/>
      <c r="N772" s="304"/>
    </row>
    <row r="773">
      <c r="B773" s="172"/>
      <c r="C773" s="172"/>
      <c r="D773" s="172"/>
      <c r="E773" s="172"/>
      <c r="F773" s="172"/>
      <c r="N773" s="304"/>
    </row>
    <row r="774">
      <c r="B774" s="172"/>
      <c r="C774" s="172"/>
      <c r="D774" s="172"/>
      <c r="E774" s="172"/>
      <c r="F774" s="172"/>
      <c r="N774" s="304"/>
    </row>
    <row r="775">
      <c r="B775" s="172"/>
      <c r="C775" s="172"/>
      <c r="D775" s="172"/>
      <c r="E775" s="172"/>
      <c r="F775" s="172"/>
      <c r="N775" s="304"/>
    </row>
    <row r="776">
      <c r="B776" s="172"/>
      <c r="C776" s="172"/>
      <c r="D776" s="172"/>
      <c r="E776" s="172"/>
      <c r="F776" s="172"/>
      <c r="N776" s="304"/>
    </row>
    <row r="777">
      <c r="B777" s="172"/>
      <c r="C777" s="172"/>
      <c r="D777" s="172"/>
      <c r="E777" s="172"/>
      <c r="F777" s="172"/>
      <c r="N777" s="304"/>
    </row>
    <row r="778">
      <c r="B778" s="172"/>
      <c r="C778" s="172"/>
      <c r="D778" s="172"/>
      <c r="E778" s="172"/>
      <c r="F778" s="172"/>
      <c r="N778" s="304"/>
    </row>
    <row r="779">
      <c r="B779" s="172"/>
      <c r="C779" s="172"/>
      <c r="D779" s="172"/>
      <c r="E779" s="172"/>
      <c r="F779" s="172"/>
      <c r="N779" s="304"/>
    </row>
    <row r="780">
      <c r="B780" s="172"/>
      <c r="C780" s="172"/>
      <c r="D780" s="172"/>
      <c r="E780" s="172"/>
      <c r="F780" s="172"/>
      <c r="N780" s="304"/>
    </row>
    <row r="781">
      <c r="B781" s="172"/>
      <c r="C781" s="172"/>
      <c r="D781" s="172"/>
      <c r="E781" s="172"/>
      <c r="F781" s="172"/>
      <c r="N781" s="304"/>
    </row>
    <row r="782">
      <c r="B782" s="172"/>
      <c r="C782" s="172"/>
      <c r="D782" s="172"/>
      <c r="E782" s="172"/>
      <c r="F782" s="172"/>
      <c r="N782" s="304"/>
    </row>
    <row r="783">
      <c r="B783" s="172"/>
      <c r="C783" s="172"/>
      <c r="D783" s="172"/>
      <c r="E783" s="172"/>
      <c r="F783" s="172"/>
      <c r="N783" s="304"/>
    </row>
    <row r="784">
      <c r="B784" s="172"/>
      <c r="C784" s="172"/>
      <c r="D784" s="172"/>
      <c r="E784" s="172"/>
      <c r="F784" s="172"/>
      <c r="N784" s="304"/>
    </row>
    <row r="785">
      <c r="B785" s="172"/>
      <c r="C785" s="172"/>
      <c r="D785" s="172"/>
      <c r="E785" s="172"/>
      <c r="F785" s="172"/>
      <c r="N785" s="304"/>
    </row>
    <row r="786">
      <c r="B786" s="172"/>
      <c r="C786" s="172"/>
      <c r="D786" s="172"/>
      <c r="E786" s="172"/>
      <c r="F786" s="172"/>
      <c r="N786" s="304"/>
    </row>
    <row r="787">
      <c r="B787" s="172"/>
      <c r="C787" s="172"/>
      <c r="D787" s="172"/>
      <c r="E787" s="172"/>
      <c r="F787" s="172"/>
      <c r="N787" s="304"/>
    </row>
    <row r="788">
      <c r="B788" s="172"/>
      <c r="C788" s="172"/>
      <c r="D788" s="172"/>
      <c r="E788" s="172"/>
      <c r="F788" s="172"/>
      <c r="N788" s="304"/>
    </row>
    <row r="789">
      <c r="B789" s="172"/>
      <c r="C789" s="172"/>
      <c r="D789" s="172"/>
      <c r="E789" s="172"/>
      <c r="F789" s="172"/>
      <c r="N789" s="304"/>
    </row>
    <row r="790">
      <c r="B790" s="172"/>
      <c r="C790" s="172"/>
      <c r="D790" s="172"/>
      <c r="E790" s="172"/>
      <c r="F790" s="172"/>
      <c r="N790" s="304"/>
    </row>
    <row r="791">
      <c r="B791" s="172"/>
      <c r="C791" s="172"/>
      <c r="D791" s="172"/>
      <c r="E791" s="172"/>
      <c r="F791" s="172"/>
      <c r="N791" s="304"/>
    </row>
    <row r="792">
      <c r="B792" s="172"/>
      <c r="C792" s="172"/>
      <c r="D792" s="172"/>
      <c r="E792" s="172"/>
      <c r="F792" s="172"/>
      <c r="N792" s="304"/>
    </row>
    <row r="793">
      <c r="B793" s="172"/>
      <c r="C793" s="172"/>
      <c r="D793" s="172"/>
      <c r="E793" s="172"/>
      <c r="F793" s="172"/>
      <c r="N793" s="304"/>
    </row>
    <row r="794">
      <c r="B794" s="172"/>
      <c r="C794" s="172"/>
      <c r="D794" s="172"/>
      <c r="E794" s="172"/>
      <c r="F794" s="172"/>
      <c r="N794" s="304"/>
    </row>
    <row r="795">
      <c r="B795" s="172"/>
      <c r="C795" s="172"/>
      <c r="D795" s="172"/>
      <c r="E795" s="172"/>
      <c r="F795" s="172"/>
      <c r="N795" s="304"/>
    </row>
    <row r="796">
      <c r="B796" s="172"/>
      <c r="C796" s="172"/>
      <c r="D796" s="172"/>
      <c r="E796" s="172"/>
      <c r="F796" s="172"/>
      <c r="N796" s="304"/>
    </row>
    <row r="797">
      <c r="B797" s="172"/>
      <c r="C797" s="172"/>
      <c r="D797" s="172"/>
      <c r="E797" s="172"/>
      <c r="F797" s="172"/>
      <c r="N797" s="304"/>
    </row>
    <row r="798">
      <c r="B798" s="172"/>
      <c r="C798" s="172"/>
      <c r="D798" s="172"/>
      <c r="E798" s="172"/>
      <c r="F798" s="172"/>
      <c r="N798" s="304"/>
    </row>
    <row r="799">
      <c r="B799" s="172"/>
      <c r="C799" s="172"/>
      <c r="D799" s="172"/>
      <c r="E799" s="172"/>
      <c r="F799" s="172"/>
      <c r="N799" s="304"/>
    </row>
    <row r="800">
      <c r="B800" s="172"/>
      <c r="C800" s="172"/>
      <c r="D800" s="172"/>
      <c r="E800" s="172"/>
      <c r="F800" s="172"/>
      <c r="N800" s="304"/>
    </row>
    <row r="801">
      <c r="B801" s="172"/>
      <c r="C801" s="172"/>
      <c r="D801" s="172"/>
      <c r="E801" s="172"/>
      <c r="F801" s="172"/>
      <c r="N801" s="304"/>
    </row>
    <row r="802">
      <c r="B802" s="172"/>
      <c r="C802" s="172"/>
      <c r="D802" s="172"/>
      <c r="E802" s="172"/>
      <c r="F802" s="172"/>
      <c r="N802" s="304"/>
    </row>
    <row r="803">
      <c r="B803" s="172"/>
      <c r="C803" s="172"/>
      <c r="D803" s="172"/>
      <c r="E803" s="172"/>
      <c r="F803" s="172"/>
      <c r="N803" s="304"/>
    </row>
    <row r="804">
      <c r="B804" s="172"/>
      <c r="C804" s="172"/>
      <c r="D804" s="172"/>
      <c r="E804" s="172"/>
      <c r="F804" s="172"/>
      <c r="N804" s="304"/>
    </row>
    <row r="805">
      <c r="B805" s="172"/>
      <c r="C805" s="172"/>
      <c r="D805" s="172"/>
      <c r="E805" s="172"/>
      <c r="F805" s="172"/>
      <c r="N805" s="304"/>
    </row>
    <row r="806">
      <c r="B806" s="172"/>
      <c r="C806" s="172"/>
      <c r="D806" s="172"/>
      <c r="E806" s="172"/>
      <c r="F806" s="172"/>
      <c r="N806" s="304"/>
    </row>
    <row r="807">
      <c r="B807" s="172"/>
      <c r="C807" s="172"/>
      <c r="D807" s="172"/>
      <c r="E807" s="172"/>
      <c r="F807" s="172"/>
      <c r="N807" s="304"/>
    </row>
    <row r="808">
      <c r="B808" s="172"/>
      <c r="C808" s="172"/>
      <c r="D808" s="172"/>
      <c r="E808" s="172"/>
      <c r="F808" s="172"/>
      <c r="N808" s="304"/>
    </row>
    <row r="809">
      <c r="B809" s="172"/>
      <c r="C809" s="172"/>
      <c r="D809" s="172"/>
      <c r="E809" s="172"/>
      <c r="F809" s="172"/>
      <c r="N809" s="304"/>
    </row>
    <row r="810">
      <c r="B810" s="172"/>
      <c r="C810" s="172"/>
      <c r="D810" s="172"/>
      <c r="E810" s="172"/>
      <c r="F810" s="172"/>
      <c r="N810" s="304"/>
    </row>
    <row r="811">
      <c r="B811" s="172"/>
      <c r="C811" s="172"/>
      <c r="D811" s="172"/>
      <c r="E811" s="172"/>
      <c r="F811" s="172"/>
      <c r="N811" s="304"/>
    </row>
    <row r="812">
      <c r="B812" s="172"/>
      <c r="C812" s="172"/>
      <c r="D812" s="172"/>
      <c r="E812" s="172"/>
      <c r="F812" s="172"/>
      <c r="N812" s="304"/>
    </row>
    <row r="813">
      <c r="B813" s="172"/>
      <c r="C813" s="172"/>
      <c r="D813" s="172"/>
      <c r="E813" s="172"/>
      <c r="F813" s="172"/>
      <c r="N813" s="304"/>
    </row>
    <row r="814">
      <c r="B814" s="172"/>
      <c r="C814" s="172"/>
      <c r="D814" s="172"/>
      <c r="E814" s="172"/>
      <c r="F814" s="172"/>
      <c r="N814" s="304"/>
    </row>
    <row r="815">
      <c r="B815" s="172"/>
      <c r="C815" s="172"/>
      <c r="D815" s="172"/>
      <c r="E815" s="172"/>
      <c r="F815" s="172"/>
      <c r="N815" s="304"/>
    </row>
    <row r="816">
      <c r="B816" s="172"/>
      <c r="C816" s="172"/>
      <c r="D816" s="172"/>
      <c r="E816" s="172"/>
      <c r="F816" s="172"/>
      <c r="N816" s="304"/>
    </row>
    <row r="817">
      <c r="B817" s="172"/>
      <c r="C817" s="172"/>
      <c r="D817" s="172"/>
      <c r="E817" s="172"/>
      <c r="F817" s="172"/>
      <c r="N817" s="304"/>
    </row>
    <row r="818">
      <c r="B818" s="172"/>
      <c r="C818" s="172"/>
      <c r="D818" s="172"/>
      <c r="E818" s="172"/>
      <c r="F818" s="172"/>
      <c r="N818" s="304"/>
    </row>
    <row r="819">
      <c r="B819" s="172"/>
      <c r="C819" s="172"/>
      <c r="D819" s="172"/>
      <c r="E819" s="172"/>
      <c r="F819" s="172"/>
      <c r="N819" s="304"/>
    </row>
    <row r="820">
      <c r="B820" s="172"/>
      <c r="C820" s="172"/>
      <c r="D820" s="172"/>
      <c r="E820" s="172"/>
      <c r="F820" s="172"/>
      <c r="N820" s="304"/>
    </row>
    <row r="821">
      <c r="B821" s="172"/>
      <c r="C821" s="172"/>
      <c r="D821" s="172"/>
      <c r="E821" s="172"/>
      <c r="F821" s="172"/>
      <c r="N821" s="304"/>
    </row>
    <row r="822">
      <c r="B822" s="172"/>
      <c r="C822" s="172"/>
      <c r="D822" s="172"/>
      <c r="E822" s="172"/>
      <c r="F822" s="172"/>
      <c r="N822" s="304"/>
    </row>
    <row r="823">
      <c r="B823" s="172"/>
      <c r="C823" s="172"/>
      <c r="D823" s="172"/>
      <c r="E823" s="172"/>
      <c r="F823" s="172"/>
      <c r="N823" s="304"/>
    </row>
    <row r="824">
      <c r="B824" s="172"/>
      <c r="C824" s="172"/>
      <c r="D824" s="172"/>
      <c r="E824" s="172"/>
      <c r="F824" s="172"/>
      <c r="N824" s="304"/>
    </row>
    <row r="825">
      <c r="B825" s="172"/>
      <c r="C825" s="172"/>
      <c r="D825" s="172"/>
      <c r="E825" s="172"/>
      <c r="F825" s="172"/>
      <c r="N825" s="304"/>
    </row>
    <row r="826">
      <c r="B826" s="172"/>
      <c r="C826" s="172"/>
      <c r="D826" s="172"/>
      <c r="E826" s="172"/>
      <c r="F826" s="172"/>
      <c r="N826" s="304"/>
    </row>
    <row r="827">
      <c r="B827" s="172"/>
      <c r="C827" s="172"/>
      <c r="D827" s="172"/>
      <c r="E827" s="172"/>
      <c r="F827" s="172"/>
      <c r="N827" s="304"/>
    </row>
    <row r="828">
      <c r="B828" s="172"/>
      <c r="C828" s="172"/>
      <c r="D828" s="172"/>
      <c r="E828" s="172"/>
      <c r="F828" s="172"/>
      <c r="N828" s="304"/>
    </row>
    <row r="829">
      <c r="B829" s="172"/>
      <c r="C829" s="172"/>
      <c r="D829" s="172"/>
      <c r="E829" s="172"/>
      <c r="F829" s="172"/>
      <c r="N829" s="304"/>
    </row>
    <row r="830">
      <c r="B830" s="172"/>
      <c r="C830" s="172"/>
      <c r="D830" s="172"/>
      <c r="E830" s="172"/>
      <c r="F830" s="172"/>
      <c r="N830" s="304"/>
    </row>
    <row r="831">
      <c r="B831" s="172"/>
      <c r="C831" s="172"/>
      <c r="D831" s="172"/>
      <c r="E831" s="172"/>
      <c r="F831" s="172"/>
      <c r="N831" s="304"/>
    </row>
    <row r="832">
      <c r="B832" s="172"/>
      <c r="C832" s="172"/>
      <c r="D832" s="172"/>
      <c r="E832" s="172"/>
      <c r="F832" s="172"/>
      <c r="N832" s="304"/>
    </row>
    <row r="833">
      <c r="B833" s="172"/>
      <c r="C833" s="172"/>
      <c r="D833" s="172"/>
      <c r="E833" s="172"/>
      <c r="F833" s="172"/>
      <c r="N833" s="304"/>
    </row>
    <row r="834">
      <c r="B834" s="172"/>
      <c r="C834" s="172"/>
      <c r="D834" s="172"/>
      <c r="E834" s="172"/>
      <c r="F834" s="172"/>
      <c r="N834" s="304"/>
    </row>
    <row r="835">
      <c r="B835" s="172"/>
      <c r="C835" s="172"/>
      <c r="D835" s="172"/>
      <c r="E835" s="172"/>
      <c r="F835" s="172"/>
      <c r="N835" s="304"/>
    </row>
    <row r="836">
      <c r="B836" s="172"/>
      <c r="C836" s="172"/>
      <c r="D836" s="172"/>
      <c r="E836" s="172"/>
      <c r="F836" s="172"/>
      <c r="N836" s="304"/>
    </row>
    <row r="837">
      <c r="B837" s="172"/>
      <c r="C837" s="172"/>
      <c r="D837" s="172"/>
      <c r="E837" s="172"/>
      <c r="F837" s="172"/>
      <c r="N837" s="304"/>
    </row>
    <row r="838">
      <c r="B838" s="172"/>
      <c r="C838" s="172"/>
      <c r="D838" s="172"/>
      <c r="E838" s="172"/>
      <c r="F838" s="172"/>
      <c r="N838" s="304"/>
    </row>
    <row r="839">
      <c r="B839" s="172"/>
      <c r="C839" s="172"/>
      <c r="D839" s="172"/>
      <c r="E839" s="172"/>
      <c r="F839" s="172"/>
      <c r="N839" s="304"/>
    </row>
    <row r="840">
      <c r="B840" s="172"/>
      <c r="C840" s="172"/>
      <c r="D840" s="172"/>
      <c r="E840" s="172"/>
      <c r="F840" s="172"/>
      <c r="N840" s="304"/>
    </row>
    <row r="841">
      <c r="B841" s="172"/>
      <c r="C841" s="172"/>
      <c r="D841" s="172"/>
      <c r="E841" s="172"/>
      <c r="F841" s="172"/>
      <c r="N841" s="304"/>
    </row>
    <row r="842">
      <c r="B842" s="172"/>
      <c r="C842" s="172"/>
      <c r="D842" s="172"/>
      <c r="E842" s="172"/>
      <c r="F842" s="172"/>
      <c r="N842" s="304"/>
    </row>
    <row r="843">
      <c r="B843" s="172"/>
      <c r="C843" s="172"/>
      <c r="D843" s="172"/>
      <c r="E843" s="172"/>
      <c r="F843" s="172"/>
      <c r="N843" s="304"/>
    </row>
    <row r="844">
      <c r="B844" s="172"/>
      <c r="C844" s="172"/>
      <c r="D844" s="172"/>
      <c r="E844" s="172"/>
      <c r="F844" s="172"/>
      <c r="N844" s="304"/>
    </row>
    <row r="845">
      <c r="B845" s="172"/>
      <c r="C845" s="172"/>
      <c r="D845" s="172"/>
      <c r="E845" s="172"/>
      <c r="F845" s="172"/>
      <c r="N845" s="304"/>
    </row>
    <row r="846">
      <c r="B846" s="172"/>
      <c r="C846" s="172"/>
      <c r="D846" s="172"/>
      <c r="E846" s="172"/>
      <c r="F846" s="172"/>
      <c r="N846" s="304"/>
    </row>
    <row r="847">
      <c r="B847" s="172"/>
      <c r="C847" s="172"/>
      <c r="D847" s="172"/>
      <c r="E847" s="172"/>
      <c r="F847" s="172"/>
      <c r="N847" s="304"/>
    </row>
    <row r="848">
      <c r="B848" s="172"/>
      <c r="C848" s="172"/>
      <c r="D848" s="172"/>
      <c r="E848" s="172"/>
      <c r="F848" s="172"/>
      <c r="N848" s="304"/>
    </row>
    <row r="849">
      <c r="B849" s="172"/>
      <c r="C849" s="172"/>
      <c r="D849" s="172"/>
      <c r="E849" s="172"/>
      <c r="F849" s="172"/>
      <c r="N849" s="304"/>
    </row>
    <row r="850">
      <c r="B850" s="172"/>
      <c r="C850" s="172"/>
      <c r="D850" s="172"/>
      <c r="E850" s="172"/>
      <c r="F850" s="172"/>
      <c r="N850" s="304"/>
    </row>
    <row r="851">
      <c r="B851" s="172"/>
      <c r="C851" s="172"/>
      <c r="D851" s="172"/>
      <c r="E851" s="172"/>
      <c r="F851" s="172"/>
      <c r="N851" s="304"/>
    </row>
    <row r="852">
      <c r="B852" s="172"/>
      <c r="C852" s="172"/>
      <c r="D852" s="172"/>
      <c r="E852" s="172"/>
      <c r="F852" s="172"/>
      <c r="N852" s="304"/>
    </row>
    <row r="853">
      <c r="B853" s="172"/>
      <c r="C853" s="172"/>
      <c r="D853" s="172"/>
      <c r="E853" s="172"/>
      <c r="F853" s="172"/>
      <c r="N853" s="304"/>
    </row>
    <row r="854">
      <c r="B854" s="172"/>
      <c r="C854" s="172"/>
      <c r="D854" s="172"/>
      <c r="E854" s="172"/>
      <c r="F854" s="172"/>
      <c r="N854" s="304"/>
    </row>
    <row r="855">
      <c r="B855" s="172"/>
      <c r="C855" s="172"/>
      <c r="D855" s="172"/>
      <c r="E855" s="172"/>
      <c r="F855" s="172"/>
      <c r="N855" s="304"/>
    </row>
    <row r="856">
      <c r="B856" s="172"/>
      <c r="C856" s="172"/>
      <c r="D856" s="172"/>
      <c r="E856" s="172"/>
      <c r="F856" s="172"/>
      <c r="N856" s="304"/>
    </row>
    <row r="857">
      <c r="B857" s="172"/>
      <c r="C857" s="172"/>
      <c r="D857" s="172"/>
      <c r="E857" s="172"/>
      <c r="F857" s="172"/>
      <c r="N857" s="304"/>
    </row>
    <row r="858">
      <c r="B858" s="172"/>
      <c r="C858" s="172"/>
      <c r="D858" s="172"/>
      <c r="E858" s="172"/>
      <c r="F858" s="172"/>
      <c r="N858" s="304"/>
    </row>
    <row r="859">
      <c r="B859" s="172"/>
      <c r="C859" s="172"/>
      <c r="D859" s="172"/>
      <c r="E859" s="172"/>
      <c r="F859" s="172"/>
      <c r="N859" s="304"/>
    </row>
    <row r="860">
      <c r="B860" s="172"/>
      <c r="C860" s="172"/>
      <c r="D860" s="172"/>
      <c r="E860" s="172"/>
      <c r="F860" s="172"/>
      <c r="N860" s="304"/>
    </row>
    <row r="861">
      <c r="B861" s="172"/>
      <c r="C861" s="172"/>
      <c r="D861" s="172"/>
      <c r="E861" s="172"/>
      <c r="F861" s="172"/>
      <c r="N861" s="304"/>
    </row>
    <row r="862">
      <c r="B862" s="172"/>
      <c r="C862" s="172"/>
      <c r="D862" s="172"/>
      <c r="E862" s="172"/>
      <c r="F862" s="172"/>
      <c r="N862" s="304"/>
    </row>
    <row r="863">
      <c r="B863" s="172"/>
      <c r="C863" s="172"/>
      <c r="D863" s="172"/>
      <c r="E863" s="172"/>
      <c r="F863" s="172"/>
      <c r="N863" s="304"/>
    </row>
    <row r="864">
      <c r="B864" s="172"/>
      <c r="C864" s="172"/>
      <c r="D864" s="172"/>
      <c r="E864" s="172"/>
      <c r="F864" s="172"/>
      <c r="N864" s="304"/>
    </row>
    <row r="865">
      <c r="B865" s="172"/>
      <c r="C865" s="172"/>
      <c r="D865" s="172"/>
      <c r="E865" s="172"/>
      <c r="F865" s="172"/>
      <c r="N865" s="304"/>
    </row>
    <row r="866">
      <c r="B866" s="172"/>
      <c r="C866" s="172"/>
      <c r="D866" s="172"/>
      <c r="E866" s="172"/>
      <c r="F866" s="172"/>
      <c r="N866" s="304"/>
    </row>
    <row r="867">
      <c r="B867" s="172"/>
      <c r="C867" s="172"/>
      <c r="D867" s="172"/>
      <c r="E867" s="172"/>
      <c r="F867" s="172"/>
      <c r="N867" s="304"/>
    </row>
    <row r="868">
      <c r="B868" s="172"/>
      <c r="C868" s="172"/>
      <c r="D868" s="172"/>
      <c r="E868" s="172"/>
      <c r="F868" s="172"/>
      <c r="N868" s="304"/>
    </row>
    <row r="869">
      <c r="B869" s="172"/>
      <c r="C869" s="172"/>
      <c r="D869" s="172"/>
      <c r="E869" s="172"/>
      <c r="F869" s="172"/>
      <c r="N869" s="304"/>
    </row>
    <row r="870">
      <c r="B870" s="172"/>
      <c r="C870" s="172"/>
      <c r="D870" s="172"/>
      <c r="E870" s="172"/>
      <c r="F870" s="172"/>
      <c r="N870" s="304"/>
    </row>
    <row r="871">
      <c r="B871" s="172"/>
      <c r="C871" s="172"/>
      <c r="D871" s="172"/>
      <c r="E871" s="172"/>
      <c r="F871" s="172"/>
      <c r="N871" s="304"/>
    </row>
    <row r="872">
      <c r="B872" s="172"/>
      <c r="C872" s="172"/>
      <c r="D872" s="172"/>
      <c r="E872" s="172"/>
      <c r="F872" s="172"/>
      <c r="N872" s="304"/>
    </row>
    <row r="873">
      <c r="B873" s="172"/>
      <c r="C873" s="172"/>
      <c r="D873" s="172"/>
      <c r="E873" s="172"/>
      <c r="F873" s="172"/>
      <c r="N873" s="304"/>
    </row>
    <row r="874">
      <c r="B874" s="172"/>
      <c r="C874" s="172"/>
      <c r="D874" s="172"/>
      <c r="E874" s="172"/>
      <c r="F874" s="172"/>
      <c r="N874" s="304"/>
    </row>
    <row r="875">
      <c r="B875" s="172"/>
      <c r="C875" s="172"/>
      <c r="D875" s="172"/>
      <c r="E875" s="172"/>
      <c r="F875" s="172"/>
      <c r="N875" s="304"/>
    </row>
    <row r="876">
      <c r="B876" s="172"/>
      <c r="C876" s="172"/>
      <c r="D876" s="172"/>
      <c r="E876" s="172"/>
      <c r="F876" s="172"/>
      <c r="N876" s="304"/>
    </row>
    <row r="877">
      <c r="B877" s="172"/>
      <c r="C877" s="172"/>
      <c r="D877" s="172"/>
      <c r="E877" s="172"/>
      <c r="F877" s="172"/>
      <c r="N877" s="304"/>
    </row>
    <row r="878">
      <c r="B878" s="172"/>
      <c r="C878" s="172"/>
      <c r="D878" s="172"/>
      <c r="E878" s="172"/>
      <c r="F878" s="172"/>
      <c r="N878" s="304"/>
    </row>
    <row r="879">
      <c r="B879" s="172"/>
      <c r="C879" s="172"/>
      <c r="D879" s="172"/>
      <c r="E879" s="172"/>
      <c r="F879" s="172"/>
      <c r="N879" s="304"/>
    </row>
    <row r="880">
      <c r="B880" s="172"/>
      <c r="C880" s="172"/>
      <c r="D880" s="172"/>
      <c r="E880" s="172"/>
      <c r="F880" s="172"/>
      <c r="N880" s="304"/>
    </row>
    <row r="881">
      <c r="B881" s="172"/>
      <c r="C881" s="172"/>
      <c r="D881" s="172"/>
      <c r="E881" s="172"/>
      <c r="F881" s="172"/>
      <c r="N881" s="304"/>
    </row>
    <row r="882">
      <c r="B882" s="172"/>
      <c r="C882" s="172"/>
      <c r="D882" s="172"/>
      <c r="E882" s="172"/>
      <c r="F882" s="172"/>
      <c r="N882" s="304"/>
    </row>
    <row r="883">
      <c r="B883" s="172"/>
      <c r="C883" s="172"/>
      <c r="D883" s="172"/>
      <c r="E883" s="172"/>
      <c r="F883" s="172"/>
      <c r="N883" s="304"/>
    </row>
    <row r="884">
      <c r="B884" s="172"/>
      <c r="C884" s="172"/>
      <c r="D884" s="172"/>
      <c r="E884" s="172"/>
      <c r="F884" s="172"/>
      <c r="N884" s="304"/>
    </row>
    <row r="885">
      <c r="B885" s="172"/>
      <c r="C885" s="172"/>
      <c r="D885" s="172"/>
      <c r="E885" s="172"/>
      <c r="F885" s="172"/>
      <c r="N885" s="304"/>
    </row>
    <row r="886">
      <c r="B886" s="172"/>
      <c r="C886" s="172"/>
      <c r="D886" s="172"/>
      <c r="E886" s="172"/>
      <c r="F886" s="172"/>
      <c r="N886" s="304"/>
    </row>
    <row r="887">
      <c r="B887" s="172"/>
      <c r="C887" s="172"/>
      <c r="D887" s="172"/>
      <c r="E887" s="172"/>
      <c r="F887" s="172"/>
      <c r="N887" s="304"/>
    </row>
    <row r="888">
      <c r="B888" s="172"/>
      <c r="C888" s="172"/>
      <c r="D888" s="172"/>
      <c r="E888" s="172"/>
      <c r="F888" s="172"/>
      <c r="N888" s="304"/>
    </row>
    <row r="889">
      <c r="B889" s="172"/>
      <c r="C889" s="172"/>
      <c r="D889" s="172"/>
      <c r="E889" s="172"/>
      <c r="F889" s="172"/>
      <c r="N889" s="304"/>
    </row>
    <row r="890">
      <c r="B890" s="172"/>
      <c r="C890" s="172"/>
      <c r="D890" s="172"/>
      <c r="E890" s="172"/>
      <c r="F890" s="172"/>
      <c r="N890" s="304"/>
    </row>
    <row r="891">
      <c r="B891" s="172"/>
      <c r="C891" s="172"/>
      <c r="D891" s="172"/>
      <c r="E891" s="172"/>
      <c r="F891" s="172"/>
      <c r="N891" s="304"/>
    </row>
    <row r="892">
      <c r="B892" s="172"/>
      <c r="C892" s="172"/>
      <c r="D892" s="172"/>
      <c r="E892" s="172"/>
      <c r="F892" s="172"/>
      <c r="N892" s="304"/>
    </row>
    <row r="893">
      <c r="B893" s="172"/>
      <c r="C893" s="172"/>
      <c r="D893" s="172"/>
      <c r="E893" s="172"/>
      <c r="F893" s="172"/>
      <c r="N893" s="304"/>
    </row>
    <row r="894">
      <c r="B894" s="172"/>
      <c r="C894" s="172"/>
      <c r="D894" s="172"/>
      <c r="E894" s="172"/>
      <c r="F894" s="172"/>
      <c r="N894" s="304"/>
    </row>
    <row r="895">
      <c r="B895" s="172"/>
      <c r="C895" s="172"/>
      <c r="D895" s="172"/>
      <c r="E895" s="172"/>
      <c r="F895" s="172"/>
      <c r="N895" s="304"/>
    </row>
    <row r="896">
      <c r="B896" s="172"/>
      <c r="C896" s="172"/>
      <c r="D896" s="172"/>
      <c r="E896" s="172"/>
      <c r="F896" s="172"/>
      <c r="N896" s="304"/>
    </row>
    <row r="897">
      <c r="B897" s="172"/>
      <c r="C897" s="172"/>
      <c r="D897" s="172"/>
      <c r="E897" s="172"/>
      <c r="F897" s="172"/>
      <c r="N897" s="304"/>
    </row>
    <row r="898">
      <c r="B898" s="172"/>
      <c r="C898" s="172"/>
      <c r="D898" s="172"/>
      <c r="E898" s="172"/>
      <c r="F898" s="172"/>
      <c r="N898" s="304"/>
    </row>
    <row r="899">
      <c r="B899" s="172"/>
      <c r="C899" s="172"/>
      <c r="D899" s="172"/>
      <c r="E899" s="172"/>
      <c r="F899" s="172"/>
      <c r="N899" s="304"/>
    </row>
    <row r="900">
      <c r="B900" s="172"/>
      <c r="C900" s="172"/>
      <c r="D900" s="172"/>
      <c r="E900" s="172"/>
      <c r="F900" s="172"/>
      <c r="N900" s="304"/>
    </row>
    <row r="901">
      <c r="B901" s="172"/>
      <c r="C901" s="172"/>
      <c r="D901" s="172"/>
      <c r="E901" s="172"/>
      <c r="F901" s="172"/>
      <c r="N901" s="304"/>
    </row>
    <row r="902">
      <c r="B902" s="172"/>
      <c r="C902" s="172"/>
      <c r="D902" s="172"/>
      <c r="E902" s="172"/>
      <c r="F902" s="172"/>
      <c r="N902" s="304"/>
    </row>
    <row r="903">
      <c r="B903" s="172"/>
      <c r="C903" s="172"/>
      <c r="D903" s="172"/>
      <c r="E903" s="172"/>
      <c r="F903" s="172"/>
      <c r="N903" s="304"/>
    </row>
    <row r="904">
      <c r="B904" s="172"/>
      <c r="C904" s="172"/>
      <c r="D904" s="172"/>
      <c r="E904" s="172"/>
      <c r="F904" s="172"/>
      <c r="N904" s="304"/>
    </row>
    <row r="905">
      <c r="B905" s="172"/>
      <c r="C905" s="172"/>
      <c r="D905" s="172"/>
      <c r="E905" s="172"/>
      <c r="F905" s="172"/>
      <c r="N905" s="304"/>
    </row>
    <row r="906">
      <c r="B906" s="172"/>
      <c r="C906" s="172"/>
      <c r="D906" s="172"/>
      <c r="E906" s="172"/>
      <c r="F906" s="172"/>
      <c r="N906" s="304"/>
    </row>
    <row r="907">
      <c r="B907" s="172"/>
      <c r="C907" s="172"/>
      <c r="D907" s="172"/>
      <c r="E907" s="172"/>
      <c r="F907" s="172"/>
      <c r="N907" s="304"/>
    </row>
    <row r="908">
      <c r="B908" s="172"/>
      <c r="C908" s="172"/>
      <c r="D908" s="172"/>
      <c r="E908" s="172"/>
      <c r="F908" s="172"/>
      <c r="N908" s="304"/>
    </row>
    <row r="909">
      <c r="B909" s="172"/>
      <c r="C909" s="172"/>
      <c r="D909" s="172"/>
      <c r="E909" s="172"/>
      <c r="F909" s="172"/>
      <c r="N909" s="304"/>
    </row>
    <row r="910">
      <c r="B910" s="172"/>
      <c r="C910" s="172"/>
      <c r="D910" s="172"/>
      <c r="E910" s="172"/>
      <c r="F910" s="172"/>
      <c r="N910" s="304"/>
    </row>
    <row r="911">
      <c r="B911" s="172"/>
      <c r="C911" s="172"/>
      <c r="D911" s="172"/>
      <c r="E911" s="172"/>
      <c r="F911" s="172"/>
      <c r="N911" s="304"/>
    </row>
    <row r="912">
      <c r="B912" s="172"/>
      <c r="C912" s="172"/>
      <c r="D912" s="172"/>
      <c r="E912" s="172"/>
      <c r="F912" s="172"/>
      <c r="N912" s="304"/>
    </row>
    <row r="913">
      <c r="B913" s="172"/>
      <c r="C913" s="172"/>
      <c r="D913" s="172"/>
      <c r="E913" s="172"/>
      <c r="F913" s="172"/>
      <c r="N913" s="304"/>
    </row>
    <row r="914">
      <c r="B914" s="172"/>
      <c r="C914" s="172"/>
      <c r="D914" s="172"/>
      <c r="E914" s="172"/>
      <c r="F914" s="172"/>
      <c r="N914" s="304"/>
    </row>
    <row r="915">
      <c r="B915" s="172"/>
      <c r="C915" s="172"/>
      <c r="D915" s="172"/>
      <c r="E915" s="172"/>
      <c r="F915" s="172"/>
      <c r="N915" s="304"/>
    </row>
    <row r="916">
      <c r="B916" s="172"/>
      <c r="C916" s="172"/>
      <c r="D916" s="172"/>
      <c r="E916" s="172"/>
      <c r="F916" s="172"/>
      <c r="N916" s="304"/>
    </row>
    <row r="917">
      <c r="B917" s="172"/>
      <c r="C917" s="172"/>
      <c r="D917" s="172"/>
      <c r="E917" s="172"/>
      <c r="F917" s="172"/>
      <c r="N917" s="304"/>
    </row>
    <row r="918">
      <c r="B918" s="172"/>
      <c r="C918" s="172"/>
      <c r="D918" s="172"/>
      <c r="E918" s="172"/>
      <c r="F918" s="172"/>
      <c r="N918" s="304"/>
    </row>
    <row r="919">
      <c r="B919" s="172"/>
      <c r="C919" s="172"/>
      <c r="D919" s="172"/>
      <c r="E919" s="172"/>
      <c r="F919" s="172"/>
      <c r="N919" s="304"/>
    </row>
    <row r="920">
      <c r="B920" s="172"/>
      <c r="C920" s="172"/>
      <c r="D920" s="172"/>
      <c r="E920" s="172"/>
      <c r="F920" s="172"/>
      <c r="N920" s="304"/>
    </row>
    <row r="921">
      <c r="B921" s="172"/>
      <c r="C921" s="172"/>
      <c r="D921" s="172"/>
      <c r="E921" s="172"/>
      <c r="F921" s="172"/>
      <c r="N921" s="304"/>
    </row>
    <row r="922">
      <c r="B922" s="172"/>
      <c r="C922" s="172"/>
      <c r="D922" s="172"/>
      <c r="E922" s="172"/>
      <c r="F922" s="172"/>
      <c r="N922" s="304"/>
    </row>
    <row r="923">
      <c r="B923" s="172"/>
      <c r="C923" s="172"/>
      <c r="D923" s="172"/>
      <c r="E923" s="172"/>
      <c r="F923" s="172"/>
      <c r="N923" s="304"/>
    </row>
    <row r="924">
      <c r="B924" s="172"/>
      <c r="C924" s="172"/>
      <c r="D924" s="172"/>
      <c r="E924" s="172"/>
      <c r="F924" s="172"/>
      <c r="N924" s="304"/>
    </row>
    <row r="925">
      <c r="B925" s="172"/>
      <c r="C925" s="172"/>
      <c r="D925" s="172"/>
      <c r="E925" s="172"/>
      <c r="F925" s="172"/>
      <c r="N925" s="304"/>
    </row>
    <row r="926">
      <c r="B926" s="172"/>
      <c r="C926" s="172"/>
      <c r="D926" s="172"/>
      <c r="E926" s="172"/>
      <c r="F926" s="172"/>
      <c r="N926" s="304"/>
    </row>
    <row r="927">
      <c r="B927" s="172"/>
      <c r="C927" s="172"/>
      <c r="D927" s="172"/>
      <c r="E927" s="172"/>
      <c r="F927" s="172"/>
      <c r="N927" s="304"/>
    </row>
    <row r="928">
      <c r="B928" s="172"/>
      <c r="C928" s="172"/>
      <c r="D928" s="172"/>
      <c r="E928" s="172"/>
      <c r="F928" s="172"/>
      <c r="N928" s="304"/>
    </row>
    <row r="929">
      <c r="B929" s="172"/>
      <c r="C929" s="172"/>
      <c r="D929" s="172"/>
      <c r="E929" s="172"/>
      <c r="F929" s="172"/>
      <c r="N929" s="304"/>
    </row>
    <row r="930">
      <c r="B930" s="172"/>
      <c r="C930" s="172"/>
      <c r="D930" s="172"/>
      <c r="E930" s="172"/>
      <c r="F930" s="172"/>
      <c r="N930" s="304"/>
    </row>
    <row r="931">
      <c r="B931" s="172"/>
      <c r="C931" s="172"/>
      <c r="D931" s="172"/>
      <c r="E931" s="172"/>
      <c r="F931" s="172"/>
      <c r="N931" s="304"/>
    </row>
    <row r="932">
      <c r="B932" s="172"/>
      <c r="C932" s="172"/>
      <c r="D932" s="172"/>
      <c r="E932" s="172"/>
      <c r="F932" s="172"/>
      <c r="N932" s="304"/>
    </row>
    <row r="933">
      <c r="B933" s="172"/>
      <c r="C933" s="172"/>
      <c r="D933" s="172"/>
      <c r="E933" s="172"/>
      <c r="F933" s="172"/>
      <c r="N933" s="304"/>
    </row>
    <row r="934">
      <c r="B934" s="172"/>
      <c r="C934" s="172"/>
      <c r="D934" s="172"/>
      <c r="E934" s="172"/>
      <c r="F934" s="172"/>
      <c r="N934" s="304"/>
    </row>
    <row r="935">
      <c r="B935" s="172"/>
      <c r="C935" s="172"/>
      <c r="D935" s="172"/>
      <c r="E935" s="172"/>
      <c r="F935" s="172"/>
      <c r="N935" s="304"/>
    </row>
    <row r="936">
      <c r="B936" s="172"/>
      <c r="C936" s="172"/>
      <c r="D936" s="172"/>
      <c r="E936" s="172"/>
      <c r="F936" s="172"/>
      <c r="N936" s="304"/>
    </row>
    <row r="937">
      <c r="B937" s="172"/>
      <c r="C937" s="172"/>
      <c r="D937" s="172"/>
      <c r="E937" s="172"/>
      <c r="F937" s="172"/>
      <c r="N937" s="304"/>
    </row>
    <row r="938">
      <c r="B938" s="172"/>
      <c r="C938" s="172"/>
      <c r="D938" s="172"/>
      <c r="E938" s="172"/>
      <c r="F938" s="172"/>
      <c r="N938" s="304"/>
    </row>
    <row r="939">
      <c r="B939" s="172"/>
      <c r="C939" s="172"/>
      <c r="D939" s="172"/>
      <c r="E939" s="172"/>
      <c r="F939" s="172"/>
      <c r="N939" s="304"/>
    </row>
    <row r="940">
      <c r="B940" s="172"/>
      <c r="C940" s="172"/>
      <c r="D940" s="172"/>
      <c r="E940" s="172"/>
      <c r="F940" s="172"/>
      <c r="N940" s="304"/>
    </row>
    <row r="941">
      <c r="B941" s="172"/>
      <c r="C941" s="172"/>
      <c r="D941" s="172"/>
      <c r="E941" s="172"/>
      <c r="F941" s="172"/>
      <c r="N941" s="304"/>
    </row>
    <row r="942">
      <c r="B942" s="172"/>
      <c r="C942" s="172"/>
      <c r="D942" s="172"/>
      <c r="E942" s="172"/>
      <c r="F942" s="172"/>
      <c r="N942" s="304"/>
    </row>
    <row r="943">
      <c r="B943" s="172"/>
      <c r="C943" s="172"/>
      <c r="D943" s="172"/>
      <c r="E943" s="172"/>
      <c r="F943" s="172"/>
      <c r="N943" s="304"/>
    </row>
    <row r="944">
      <c r="B944" s="172"/>
      <c r="C944" s="172"/>
      <c r="D944" s="172"/>
      <c r="E944" s="172"/>
      <c r="F944" s="172"/>
      <c r="N944" s="304"/>
    </row>
    <row r="945">
      <c r="B945" s="172"/>
      <c r="C945" s="172"/>
      <c r="D945" s="172"/>
      <c r="E945" s="172"/>
      <c r="F945" s="172"/>
      <c r="N945" s="304"/>
    </row>
    <row r="946">
      <c r="B946" s="172"/>
      <c r="C946" s="172"/>
      <c r="D946" s="172"/>
      <c r="E946" s="172"/>
      <c r="F946" s="172"/>
      <c r="N946" s="304"/>
    </row>
    <row r="947">
      <c r="B947" s="172"/>
      <c r="C947" s="172"/>
      <c r="D947" s="172"/>
      <c r="E947" s="172"/>
      <c r="F947" s="172"/>
      <c r="N947" s="304"/>
    </row>
    <row r="948">
      <c r="B948" s="172"/>
      <c r="C948" s="172"/>
      <c r="D948" s="172"/>
      <c r="E948" s="172"/>
      <c r="F948" s="172"/>
      <c r="N948" s="304"/>
    </row>
    <row r="949">
      <c r="B949" s="172"/>
      <c r="C949" s="172"/>
      <c r="D949" s="172"/>
      <c r="E949" s="172"/>
      <c r="F949" s="172"/>
      <c r="N949" s="304"/>
    </row>
    <row r="950">
      <c r="B950" s="172"/>
      <c r="C950" s="172"/>
      <c r="D950" s="172"/>
      <c r="E950" s="172"/>
      <c r="F950" s="172"/>
      <c r="N950" s="304"/>
    </row>
    <row r="951">
      <c r="B951" s="172"/>
      <c r="C951" s="172"/>
      <c r="D951" s="172"/>
      <c r="E951" s="172"/>
      <c r="F951" s="172"/>
      <c r="N951" s="304"/>
    </row>
    <row r="952">
      <c r="B952" s="172"/>
      <c r="C952" s="172"/>
      <c r="D952" s="172"/>
      <c r="E952" s="172"/>
      <c r="F952" s="172"/>
      <c r="N952" s="304"/>
    </row>
    <row r="953">
      <c r="B953" s="172"/>
      <c r="C953" s="172"/>
      <c r="D953" s="172"/>
      <c r="E953" s="172"/>
      <c r="F953" s="172"/>
      <c r="N953" s="304"/>
    </row>
    <row r="954">
      <c r="B954" s="172"/>
      <c r="C954" s="172"/>
      <c r="D954" s="172"/>
      <c r="E954" s="172"/>
      <c r="F954" s="172"/>
      <c r="N954" s="304"/>
    </row>
    <row r="955">
      <c r="B955" s="172"/>
      <c r="C955" s="172"/>
      <c r="D955" s="172"/>
      <c r="E955" s="172"/>
      <c r="F955" s="172"/>
      <c r="N955" s="304"/>
    </row>
    <row r="956">
      <c r="B956" s="172"/>
      <c r="C956" s="172"/>
      <c r="D956" s="172"/>
      <c r="E956" s="172"/>
      <c r="F956" s="172"/>
      <c r="N956" s="304"/>
    </row>
    <row r="957">
      <c r="B957" s="172"/>
      <c r="C957" s="172"/>
      <c r="D957" s="172"/>
      <c r="E957" s="172"/>
      <c r="F957" s="172"/>
      <c r="N957" s="304"/>
    </row>
    <row r="958">
      <c r="B958" s="172"/>
      <c r="C958" s="172"/>
      <c r="D958" s="172"/>
      <c r="E958" s="172"/>
      <c r="F958" s="172"/>
      <c r="N958" s="304"/>
    </row>
    <row r="959">
      <c r="B959" s="172"/>
      <c r="C959" s="172"/>
      <c r="D959" s="172"/>
      <c r="E959" s="172"/>
      <c r="F959" s="172"/>
      <c r="N959" s="304"/>
    </row>
    <row r="960">
      <c r="B960" s="172"/>
      <c r="C960" s="172"/>
      <c r="D960" s="172"/>
      <c r="E960" s="172"/>
      <c r="F960" s="172"/>
      <c r="N960" s="304"/>
    </row>
    <row r="961">
      <c r="B961" s="172"/>
      <c r="C961" s="172"/>
      <c r="D961" s="172"/>
      <c r="E961" s="172"/>
      <c r="F961" s="172"/>
      <c r="N961" s="304"/>
    </row>
    <row r="962">
      <c r="B962" s="172"/>
      <c r="C962" s="172"/>
      <c r="D962" s="172"/>
      <c r="E962" s="172"/>
      <c r="F962" s="172"/>
      <c r="N962" s="304"/>
    </row>
    <row r="963">
      <c r="B963" s="172"/>
      <c r="C963" s="172"/>
      <c r="D963" s="172"/>
      <c r="E963" s="172"/>
      <c r="F963" s="172"/>
      <c r="N963" s="304"/>
    </row>
    <row r="964">
      <c r="B964" s="172"/>
      <c r="C964" s="172"/>
      <c r="D964" s="172"/>
      <c r="E964" s="172"/>
      <c r="F964" s="172"/>
      <c r="N964" s="304"/>
    </row>
    <row r="965">
      <c r="B965" s="172"/>
      <c r="C965" s="172"/>
      <c r="D965" s="172"/>
      <c r="E965" s="172"/>
      <c r="F965" s="172"/>
      <c r="N965" s="304"/>
    </row>
    <row r="966">
      <c r="B966" s="172"/>
      <c r="C966" s="172"/>
      <c r="D966" s="172"/>
      <c r="E966" s="172"/>
      <c r="F966" s="172"/>
      <c r="N966" s="304"/>
    </row>
    <row r="967">
      <c r="B967" s="172"/>
      <c r="C967" s="172"/>
      <c r="D967" s="172"/>
      <c r="E967" s="172"/>
      <c r="F967" s="172"/>
      <c r="N967" s="304"/>
    </row>
    <row r="968">
      <c r="B968" s="172"/>
      <c r="C968" s="172"/>
      <c r="D968" s="172"/>
      <c r="E968" s="172"/>
      <c r="F968" s="172"/>
      <c r="N968" s="304"/>
    </row>
    <row r="969">
      <c r="B969" s="172"/>
      <c r="C969" s="172"/>
      <c r="D969" s="172"/>
      <c r="E969" s="172"/>
      <c r="F969" s="172"/>
      <c r="N969" s="304"/>
    </row>
    <row r="970">
      <c r="B970" s="172"/>
      <c r="C970" s="172"/>
      <c r="D970" s="172"/>
      <c r="E970" s="172"/>
      <c r="F970" s="172"/>
      <c r="N970" s="304"/>
    </row>
    <row r="971">
      <c r="B971" s="172"/>
      <c r="C971" s="172"/>
      <c r="D971" s="172"/>
      <c r="E971" s="172"/>
      <c r="F971" s="172"/>
      <c r="N971" s="304"/>
    </row>
    <row r="972">
      <c r="B972" s="172"/>
      <c r="C972" s="172"/>
      <c r="D972" s="172"/>
      <c r="E972" s="172"/>
      <c r="F972" s="172"/>
      <c r="N972" s="304"/>
    </row>
    <row r="973">
      <c r="B973" s="172"/>
      <c r="C973" s="172"/>
      <c r="D973" s="172"/>
      <c r="E973" s="172"/>
      <c r="F973" s="172"/>
      <c r="N973" s="304"/>
    </row>
    <row r="974">
      <c r="B974" s="172"/>
      <c r="C974" s="172"/>
      <c r="D974" s="172"/>
      <c r="E974" s="172"/>
      <c r="F974" s="172"/>
      <c r="N974" s="304"/>
    </row>
    <row r="975">
      <c r="B975" s="172"/>
      <c r="C975" s="172"/>
      <c r="D975" s="172"/>
      <c r="E975" s="172"/>
      <c r="F975" s="172"/>
      <c r="N975" s="304"/>
    </row>
    <row r="976">
      <c r="B976" s="172"/>
      <c r="C976" s="172"/>
      <c r="D976" s="172"/>
      <c r="E976" s="172"/>
      <c r="F976" s="172"/>
      <c r="N976" s="304"/>
    </row>
    <row r="977">
      <c r="B977" s="172"/>
      <c r="C977" s="172"/>
      <c r="D977" s="172"/>
      <c r="E977" s="172"/>
      <c r="F977" s="172"/>
      <c r="N977" s="304"/>
    </row>
    <row r="978">
      <c r="B978" s="172"/>
      <c r="C978" s="172"/>
      <c r="D978" s="172"/>
      <c r="E978" s="172"/>
      <c r="F978" s="172"/>
      <c r="N978" s="304"/>
    </row>
    <row r="979">
      <c r="B979" s="172"/>
      <c r="C979" s="172"/>
      <c r="D979" s="172"/>
      <c r="E979" s="172"/>
      <c r="F979" s="172"/>
      <c r="N979" s="304"/>
    </row>
    <row r="980">
      <c r="B980" s="172"/>
      <c r="C980" s="172"/>
      <c r="D980" s="172"/>
      <c r="E980" s="172"/>
      <c r="F980" s="172"/>
      <c r="N980" s="304"/>
    </row>
    <row r="981">
      <c r="B981" s="172"/>
      <c r="C981" s="172"/>
      <c r="D981" s="172"/>
      <c r="E981" s="172"/>
      <c r="F981" s="172"/>
      <c r="N981" s="304"/>
    </row>
    <row r="982">
      <c r="B982" s="172"/>
      <c r="C982" s="172"/>
      <c r="D982" s="172"/>
      <c r="E982" s="172"/>
      <c r="F982" s="172"/>
      <c r="N982" s="304"/>
    </row>
    <row r="983">
      <c r="B983" s="172"/>
      <c r="C983" s="172"/>
      <c r="D983" s="172"/>
      <c r="E983" s="172"/>
      <c r="F983" s="172"/>
      <c r="N983" s="304"/>
    </row>
    <row r="984">
      <c r="B984" s="172"/>
      <c r="C984" s="172"/>
      <c r="D984" s="172"/>
      <c r="E984" s="172"/>
      <c r="F984" s="172"/>
      <c r="N984" s="304"/>
    </row>
    <row r="985">
      <c r="B985" s="172"/>
      <c r="C985" s="172"/>
      <c r="D985" s="172"/>
      <c r="E985" s="172"/>
      <c r="F985" s="172"/>
      <c r="N985" s="304"/>
    </row>
    <row r="986">
      <c r="B986" s="172"/>
      <c r="C986" s="172"/>
      <c r="D986" s="172"/>
      <c r="E986" s="172"/>
      <c r="F986" s="172"/>
      <c r="N986" s="304"/>
    </row>
    <row r="987">
      <c r="B987" s="172"/>
      <c r="C987" s="172"/>
      <c r="D987" s="172"/>
      <c r="E987" s="172"/>
      <c r="F987" s="172"/>
      <c r="N987" s="304"/>
    </row>
    <row r="988">
      <c r="B988" s="172"/>
      <c r="C988" s="172"/>
      <c r="D988" s="172"/>
      <c r="E988" s="172"/>
      <c r="F988" s="172"/>
      <c r="N988" s="304"/>
    </row>
    <row r="989">
      <c r="B989" s="172"/>
      <c r="C989" s="172"/>
      <c r="D989" s="172"/>
      <c r="E989" s="172"/>
      <c r="F989" s="172"/>
      <c r="N989" s="304"/>
    </row>
    <row r="990">
      <c r="B990" s="172"/>
      <c r="C990" s="172"/>
      <c r="D990" s="172"/>
      <c r="E990" s="172"/>
      <c r="F990" s="172"/>
      <c r="N990" s="304"/>
    </row>
    <row r="991">
      <c r="B991" s="172"/>
      <c r="C991" s="172"/>
      <c r="D991" s="172"/>
      <c r="E991" s="172"/>
      <c r="F991" s="172"/>
      <c r="N991" s="304"/>
    </row>
    <row r="992">
      <c r="B992" s="172"/>
      <c r="C992" s="172"/>
      <c r="D992" s="172"/>
      <c r="E992" s="172"/>
      <c r="F992" s="172"/>
      <c r="N992" s="304"/>
    </row>
    <row r="993">
      <c r="B993" s="172"/>
      <c r="C993" s="172"/>
      <c r="D993" s="172"/>
      <c r="E993" s="172"/>
      <c r="F993" s="172"/>
      <c r="N993" s="304"/>
    </row>
    <row r="994">
      <c r="B994" s="172"/>
      <c r="C994" s="172"/>
      <c r="D994" s="172"/>
      <c r="E994" s="172"/>
      <c r="F994" s="172"/>
      <c r="N994" s="304"/>
    </row>
    <row r="995">
      <c r="B995" s="172"/>
      <c r="C995" s="172"/>
      <c r="D995" s="172"/>
      <c r="E995" s="172"/>
      <c r="F995" s="172"/>
      <c r="N995" s="304"/>
    </row>
    <row r="996">
      <c r="B996" s="172"/>
      <c r="C996" s="172"/>
      <c r="D996" s="172"/>
      <c r="E996" s="172"/>
      <c r="F996" s="172"/>
      <c r="N996" s="304"/>
    </row>
    <row r="997">
      <c r="B997" s="172"/>
      <c r="C997" s="172"/>
      <c r="D997" s="172"/>
      <c r="E997" s="172"/>
      <c r="F997" s="172"/>
      <c r="N997" s="304"/>
    </row>
    <row r="998">
      <c r="B998" s="172"/>
      <c r="C998" s="172"/>
      <c r="D998" s="172"/>
      <c r="E998" s="172"/>
      <c r="F998" s="172"/>
      <c r="N998" s="304"/>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5" max="7" width="13.63"/>
  </cols>
  <sheetData>
    <row r="1">
      <c r="A1" s="409" t="s">
        <v>1329</v>
      </c>
      <c r="B1" s="410" t="s">
        <v>2100</v>
      </c>
      <c r="C1" s="411" t="s">
        <v>1334</v>
      </c>
      <c r="D1" s="412" t="s">
        <v>2101</v>
      </c>
      <c r="E1" s="412" t="s">
        <v>71</v>
      </c>
      <c r="F1" s="412" t="s">
        <v>2102</v>
      </c>
      <c r="G1" s="412" t="s">
        <v>1344</v>
      </c>
      <c r="H1" s="410"/>
      <c r="I1" s="410"/>
      <c r="J1" s="410"/>
      <c r="K1" s="410"/>
      <c r="L1" s="413">
        <f>TODAY()+30</f>
        <v>46176</v>
      </c>
      <c r="M1" s="277"/>
      <c r="N1" s="277"/>
      <c r="O1" s="277"/>
      <c r="P1" s="277"/>
      <c r="Q1" s="277"/>
      <c r="R1" s="277"/>
      <c r="S1" s="277"/>
      <c r="T1" s="277"/>
      <c r="U1" s="277"/>
      <c r="V1" s="277"/>
      <c r="W1" s="277"/>
      <c r="X1" s="277"/>
      <c r="Y1" s="277"/>
      <c r="Z1" s="277"/>
      <c r="AA1" s="277"/>
      <c r="AB1" s="277"/>
    </row>
    <row r="2">
      <c r="B2" s="172">
        <v>20001.0</v>
      </c>
      <c r="C2" s="414">
        <v>45363.0</v>
      </c>
      <c r="D2" s="378">
        <v>28.0</v>
      </c>
      <c r="E2" s="359">
        <v>0.99</v>
      </c>
      <c r="F2" s="415">
        <v>28.512</v>
      </c>
      <c r="G2" s="416" t="s">
        <v>1431</v>
      </c>
    </row>
    <row r="3">
      <c r="B3" s="172"/>
      <c r="C3" s="414">
        <v>45381.0</v>
      </c>
      <c r="D3" s="378">
        <v>29.63</v>
      </c>
      <c r="E3" s="359">
        <v>1.007660556345216</v>
      </c>
      <c r="F3" s="378">
        <v>29.856982284508746</v>
      </c>
      <c r="G3" s="416" t="s">
        <v>1431</v>
      </c>
    </row>
    <row r="4">
      <c r="B4" s="172">
        <v>20002.0</v>
      </c>
      <c r="C4" s="414">
        <v>45388.0</v>
      </c>
      <c r="D4" s="378">
        <v>31.03</v>
      </c>
      <c r="E4" s="359">
        <v>1.0091857075918402</v>
      </c>
      <c r="F4" s="378">
        <v>31.315032506574802</v>
      </c>
      <c r="G4" s="416" t="s">
        <v>1431</v>
      </c>
    </row>
    <row r="5">
      <c r="B5" s="172">
        <v>20003.0</v>
      </c>
      <c r="C5" s="414">
        <v>45395.0</v>
      </c>
      <c r="D5" s="378">
        <v>31.04</v>
      </c>
      <c r="E5" s="359">
        <v>1.0191414488588493</v>
      </c>
      <c r="F5" s="378">
        <v>31.634150572578683</v>
      </c>
      <c r="G5" s="416" t="s">
        <v>1431</v>
      </c>
    </row>
    <row r="6">
      <c r="B6" s="172">
        <v>20004.0</v>
      </c>
      <c r="C6" s="414">
        <v>45399.0</v>
      </c>
      <c r="D6" s="378">
        <v>30.83</v>
      </c>
      <c r="E6" s="359">
        <v>0.9870429045317781</v>
      </c>
      <c r="F6" s="378">
        <v>30.430532746714718</v>
      </c>
      <c r="G6" s="416" t="s">
        <v>1431</v>
      </c>
    </row>
    <row r="7">
      <c r="B7" s="172">
        <v>20005.0</v>
      </c>
      <c r="C7" s="414">
        <v>45422.0</v>
      </c>
      <c r="D7" s="378">
        <v>30.97</v>
      </c>
      <c r="E7" s="359">
        <v>0.9960724541038078</v>
      </c>
      <c r="F7" s="378">
        <v>30.84836390359493</v>
      </c>
      <c r="G7" s="416" t="s">
        <v>1431</v>
      </c>
    </row>
    <row r="8">
      <c r="B8" s="172">
        <v>20006.0</v>
      </c>
      <c r="C8" s="414">
        <v>45423.0</v>
      </c>
      <c r="D8" s="378">
        <v>20.0</v>
      </c>
      <c r="E8" s="359">
        <v>0.9961242134871238</v>
      </c>
      <c r="F8" s="378">
        <v>19.922484269742476</v>
      </c>
      <c r="G8" s="416" t="s">
        <v>1431</v>
      </c>
    </row>
    <row r="9">
      <c r="B9" s="172">
        <v>20007.0</v>
      </c>
      <c r="C9" s="414">
        <v>45428.0</v>
      </c>
      <c r="D9" s="378">
        <v>39.839999999999996</v>
      </c>
      <c r="E9" s="359">
        <v>0.9522474018197955</v>
      </c>
      <c r="F9" s="378">
        <v>37.93753648850065</v>
      </c>
      <c r="G9" s="416" t="s">
        <v>1431</v>
      </c>
    </row>
    <row r="10">
      <c r="B10" s="172">
        <v>20008.0</v>
      </c>
      <c r="C10" s="414">
        <v>45433.0</v>
      </c>
      <c r="D10" s="378">
        <v>31.68</v>
      </c>
      <c r="E10" s="359">
        <v>0.9438452901328059</v>
      </c>
      <c r="F10" s="378">
        <v>29.901018791407292</v>
      </c>
      <c r="G10" s="416" t="s">
        <v>1431</v>
      </c>
    </row>
    <row r="11">
      <c r="B11" s="172">
        <v>20009.0</v>
      </c>
      <c r="C11" s="414">
        <v>45435.0</v>
      </c>
      <c r="D11" s="378">
        <v>18.85</v>
      </c>
      <c r="E11" s="359">
        <v>0.9934697412261623</v>
      </c>
      <c r="F11" s="378">
        <v>18.72690462211316</v>
      </c>
      <c r="G11" s="416" t="s">
        <v>1431</v>
      </c>
    </row>
    <row r="12">
      <c r="B12" s="172">
        <v>200010.0</v>
      </c>
      <c r="C12" s="414">
        <v>45436.0</v>
      </c>
      <c r="D12" s="378">
        <v>29.3</v>
      </c>
      <c r="E12" s="359">
        <v>0.9940185679783783</v>
      </c>
      <c r="F12" s="378">
        <v>29.124744041766483</v>
      </c>
      <c r="G12" s="416" t="s">
        <v>1431</v>
      </c>
    </row>
    <row r="13">
      <c r="B13" s="172">
        <v>200011.0</v>
      </c>
      <c r="C13" s="414">
        <v>45437.0</v>
      </c>
      <c r="D13" s="378">
        <v>29.92</v>
      </c>
      <c r="E13" s="359">
        <v>0.9941930764028432</v>
      </c>
      <c r="F13" s="378">
        <v>29.74625684597307</v>
      </c>
      <c r="G13" s="416" t="s">
        <v>1431</v>
      </c>
    </row>
    <row r="14">
      <c r="B14" s="172">
        <v>200012.0</v>
      </c>
      <c r="C14" s="414">
        <v>45440.0</v>
      </c>
      <c r="D14" s="378">
        <v>28.22</v>
      </c>
      <c r="E14" s="359">
        <v>0.9946984385069328</v>
      </c>
      <c r="F14" s="378">
        <v>28.070389934665645</v>
      </c>
      <c r="G14" s="416" t="s">
        <v>1431</v>
      </c>
    </row>
    <row r="15">
      <c r="B15" s="172">
        <v>200013.0</v>
      </c>
      <c r="C15" s="414">
        <v>45441.0</v>
      </c>
      <c r="D15" s="378">
        <v>21.729</v>
      </c>
      <c r="E15" s="359">
        <v>0.9900000000000001</v>
      </c>
      <c r="F15" s="378">
        <v>21.51171</v>
      </c>
      <c r="G15" s="416" t="s">
        <v>1431</v>
      </c>
    </row>
    <row r="16">
      <c r="B16" s="172">
        <v>200014.0</v>
      </c>
      <c r="C16" s="414">
        <v>45442.0</v>
      </c>
      <c r="D16" s="378">
        <v>30.479</v>
      </c>
      <c r="E16" s="359">
        <v>0.9958109893607743</v>
      </c>
      <c r="F16" s="378">
        <v>30.35132314472704</v>
      </c>
      <c r="G16" s="416" t="s">
        <v>1431</v>
      </c>
    </row>
    <row r="17">
      <c r="B17" s="172">
        <v>200015.0</v>
      </c>
      <c r="C17" s="417">
        <v>45447.0</v>
      </c>
      <c r="D17" s="4">
        <v>14.5</v>
      </c>
      <c r="E17" s="4">
        <v>0.99</v>
      </c>
      <c r="F17" s="415">
        <f t="shared" ref="F17:F18" si="1">D17*E17</f>
        <v>14.355</v>
      </c>
      <c r="G17" s="416" t="s">
        <v>1431</v>
      </c>
    </row>
    <row r="18">
      <c r="B18" s="172">
        <v>200016.0</v>
      </c>
      <c r="C18" s="417">
        <v>45449.0</v>
      </c>
      <c r="D18" s="4">
        <v>17.2</v>
      </c>
      <c r="E18" s="4">
        <v>0.99</v>
      </c>
      <c r="F18" s="415">
        <f t="shared" si="1"/>
        <v>17.028</v>
      </c>
      <c r="G18" s="416" t="s">
        <v>1431</v>
      </c>
    </row>
    <row r="19">
      <c r="B19" s="172">
        <v>200017.0</v>
      </c>
      <c r="C19" s="417">
        <v>45454.0</v>
      </c>
      <c r="D19" s="4">
        <v>10.0</v>
      </c>
      <c r="E19" s="4">
        <v>0.99</v>
      </c>
      <c r="F19" s="415">
        <v>10.0</v>
      </c>
      <c r="G19" s="416" t="s">
        <v>1431</v>
      </c>
    </row>
    <row r="20">
      <c r="B20" s="172">
        <v>200018.0</v>
      </c>
      <c r="C20" s="417">
        <v>45457.0</v>
      </c>
      <c r="D20" s="4">
        <v>15.0</v>
      </c>
      <c r="E20" s="4">
        <v>0.99</v>
      </c>
      <c r="F20" s="415">
        <v>15.0</v>
      </c>
      <c r="G20" s="416" t="s">
        <v>1431</v>
      </c>
    </row>
    <row r="21">
      <c r="B21" s="172">
        <v>200019.0</v>
      </c>
      <c r="C21" s="417">
        <v>45471.0</v>
      </c>
      <c r="D21" s="4">
        <v>20.0</v>
      </c>
      <c r="E21" s="4">
        <v>0.99</v>
      </c>
      <c r="F21" s="415">
        <f t="shared" ref="F21:F41" si="2">D21*E21</f>
        <v>19.8</v>
      </c>
      <c r="G21" s="416" t="s">
        <v>1431</v>
      </c>
    </row>
    <row r="22">
      <c r="B22" s="172">
        <v>200020.0</v>
      </c>
      <c r="C22" s="417">
        <v>45475.0</v>
      </c>
      <c r="D22" s="136">
        <f t="shared" ref="D22:D23" si="3">28.8/2</f>
        <v>14.4</v>
      </c>
      <c r="E22" s="136">
        <v>0.989999999999999</v>
      </c>
      <c r="F22" s="418">
        <f t="shared" si="2"/>
        <v>14.256</v>
      </c>
      <c r="G22" s="416" t="s">
        <v>1436</v>
      </c>
    </row>
    <row r="23">
      <c r="B23" s="172">
        <v>200023.0</v>
      </c>
      <c r="C23" s="417">
        <v>45478.0</v>
      </c>
      <c r="D23" s="136">
        <f t="shared" si="3"/>
        <v>14.4</v>
      </c>
      <c r="E23" s="136">
        <v>0.989999999999999</v>
      </c>
      <c r="F23" s="418">
        <f t="shared" si="2"/>
        <v>14.256</v>
      </c>
      <c r="G23" s="416" t="s">
        <v>1436</v>
      </c>
    </row>
    <row r="24">
      <c r="B24" s="172">
        <v>200025.0</v>
      </c>
      <c r="C24" s="417">
        <v>45482.0</v>
      </c>
      <c r="D24" s="136">
        <v>28.8</v>
      </c>
      <c r="E24" s="136">
        <v>0.989999999999999</v>
      </c>
      <c r="F24" s="418">
        <f t="shared" si="2"/>
        <v>28.512</v>
      </c>
      <c r="G24" s="416" t="s">
        <v>1436</v>
      </c>
    </row>
    <row r="25">
      <c r="B25" s="172">
        <v>200028.0</v>
      </c>
      <c r="C25" s="417">
        <v>45485.0</v>
      </c>
      <c r="D25" s="136">
        <v>28.8</v>
      </c>
      <c r="E25" s="136">
        <v>0.989999999999999</v>
      </c>
      <c r="F25" s="418">
        <f t="shared" si="2"/>
        <v>28.512</v>
      </c>
      <c r="G25" s="416" t="s">
        <v>1436</v>
      </c>
    </row>
    <row r="26">
      <c r="B26" s="172">
        <v>200029.0</v>
      </c>
      <c r="C26" s="417">
        <v>45486.0</v>
      </c>
      <c r="D26" s="136">
        <v>28.8</v>
      </c>
      <c r="E26" s="136">
        <v>0.989999999999999</v>
      </c>
      <c r="F26" s="418">
        <f t="shared" si="2"/>
        <v>28.512</v>
      </c>
      <c r="G26" s="416" t="s">
        <v>1436</v>
      </c>
    </row>
    <row r="27">
      <c r="B27" s="172">
        <v>200030.0</v>
      </c>
      <c r="C27" s="417">
        <v>45488.0</v>
      </c>
      <c r="D27" s="136">
        <v>28.8</v>
      </c>
      <c r="E27" s="136">
        <v>0.989999999999999</v>
      </c>
      <c r="F27" s="418">
        <f t="shared" si="2"/>
        <v>28.512</v>
      </c>
      <c r="G27" s="416" t="s">
        <v>1436</v>
      </c>
    </row>
    <row r="28">
      <c r="B28" s="172">
        <v>200031.0</v>
      </c>
      <c r="C28" s="417">
        <v>45489.0</v>
      </c>
      <c r="D28" s="136">
        <v>28.8</v>
      </c>
      <c r="E28" s="136">
        <v>0.989999999999999</v>
      </c>
      <c r="F28" s="418">
        <f t="shared" si="2"/>
        <v>28.512</v>
      </c>
      <c r="G28" s="416" t="s">
        <v>1436</v>
      </c>
    </row>
    <row r="29">
      <c r="B29" s="172">
        <v>200032.0</v>
      </c>
      <c r="C29" s="417">
        <v>45490.0</v>
      </c>
      <c r="D29" s="136">
        <v>28.8</v>
      </c>
      <c r="E29" s="136">
        <v>0.989999999999999</v>
      </c>
      <c r="F29" s="418">
        <f t="shared" si="2"/>
        <v>28.512</v>
      </c>
      <c r="G29" s="416" t="s">
        <v>1436</v>
      </c>
    </row>
    <row r="30">
      <c r="B30" s="172">
        <v>200033.0</v>
      </c>
      <c r="C30" s="417">
        <v>45491.0</v>
      </c>
      <c r="D30" s="136">
        <v>28.8</v>
      </c>
      <c r="E30" s="136">
        <v>0.989999999999999</v>
      </c>
      <c r="F30" s="418">
        <f t="shared" si="2"/>
        <v>28.512</v>
      </c>
      <c r="G30" s="416" t="s">
        <v>1436</v>
      </c>
    </row>
    <row r="31">
      <c r="B31" s="172">
        <v>200034.0</v>
      </c>
      <c r="C31" s="417">
        <v>45492.0</v>
      </c>
      <c r="D31" s="136">
        <v>28.8</v>
      </c>
      <c r="E31" s="136">
        <v>0.989999999999999</v>
      </c>
      <c r="F31" s="418">
        <f t="shared" si="2"/>
        <v>28.512</v>
      </c>
      <c r="G31" s="416" t="s">
        <v>1436</v>
      </c>
    </row>
    <row r="32">
      <c r="B32" s="172">
        <v>200035.0</v>
      </c>
      <c r="C32" s="417">
        <v>45493.0</v>
      </c>
      <c r="D32" s="136">
        <v>28.8</v>
      </c>
      <c r="E32" s="136">
        <v>0.989999999999999</v>
      </c>
      <c r="F32" s="418">
        <f t="shared" si="2"/>
        <v>28.512</v>
      </c>
      <c r="G32" s="416" t="s">
        <v>1436</v>
      </c>
    </row>
    <row r="33">
      <c r="B33" s="172">
        <v>200036.0</v>
      </c>
      <c r="C33" s="417">
        <v>45495.0</v>
      </c>
      <c r="D33" s="136">
        <v>28.8</v>
      </c>
      <c r="E33" s="136">
        <v>0.989999999999999</v>
      </c>
      <c r="F33" s="418">
        <f t="shared" si="2"/>
        <v>28.512</v>
      </c>
      <c r="G33" s="416" t="s">
        <v>1436</v>
      </c>
    </row>
    <row r="34">
      <c r="B34" s="172">
        <v>200037.0</v>
      </c>
      <c r="C34" s="417">
        <v>45496.0</v>
      </c>
      <c r="D34" s="136">
        <v>28.8</v>
      </c>
      <c r="E34" s="136">
        <v>0.989999999999999</v>
      </c>
      <c r="F34" s="418">
        <f t="shared" si="2"/>
        <v>28.512</v>
      </c>
      <c r="G34" s="416" t="s">
        <v>1436</v>
      </c>
    </row>
    <row r="35">
      <c r="B35" s="172">
        <v>200038.0</v>
      </c>
      <c r="C35" s="417">
        <v>45497.0</v>
      </c>
      <c r="D35" s="136">
        <v>28.8</v>
      </c>
      <c r="E35" s="136">
        <v>0.989999999999999</v>
      </c>
      <c r="F35" s="418">
        <f t="shared" si="2"/>
        <v>28.512</v>
      </c>
      <c r="G35" s="416" t="s">
        <v>1436</v>
      </c>
    </row>
    <row r="36">
      <c r="B36" s="172">
        <v>200039.0</v>
      </c>
      <c r="C36" s="417">
        <v>45498.0</v>
      </c>
      <c r="D36" s="136">
        <v>28.8</v>
      </c>
      <c r="E36" s="136">
        <v>0.989999999999999</v>
      </c>
      <c r="F36" s="418">
        <f t="shared" si="2"/>
        <v>28.512</v>
      </c>
      <c r="G36" s="416" t="s">
        <v>1436</v>
      </c>
    </row>
    <row r="37">
      <c r="B37" s="172">
        <v>200040.0</v>
      </c>
      <c r="C37" s="417">
        <v>45499.0</v>
      </c>
      <c r="D37" s="136">
        <v>28.8</v>
      </c>
      <c r="E37" s="136">
        <v>0.989999999999999</v>
      </c>
      <c r="F37" s="418">
        <f t="shared" si="2"/>
        <v>28.512</v>
      </c>
      <c r="G37" s="416" t="s">
        <v>1436</v>
      </c>
    </row>
    <row r="38">
      <c r="B38" s="172">
        <v>200041.0</v>
      </c>
      <c r="C38" s="417">
        <v>45500.0</v>
      </c>
      <c r="D38" s="136">
        <v>28.8</v>
      </c>
      <c r="E38" s="136">
        <v>0.989999999999999</v>
      </c>
      <c r="F38" s="418">
        <f t="shared" si="2"/>
        <v>28.512</v>
      </c>
      <c r="G38" s="416" t="s">
        <v>1436</v>
      </c>
    </row>
    <row r="39">
      <c r="B39" s="172">
        <v>200042.0</v>
      </c>
      <c r="C39" s="417">
        <v>45502.0</v>
      </c>
      <c r="D39" s="136">
        <v>28.8</v>
      </c>
      <c r="E39" s="136">
        <v>0.989999999999999</v>
      </c>
      <c r="F39" s="418">
        <f t="shared" si="2"/>
        <v>28.512</v>
      </c>
      <c r="G39" s="416" t="s">
        <v>1436</v>
      </c>
    </row>
    <row r="40">
      <c r="B40" s="172">
        <v>200043.0</v>
      </c>
      <c r="C40" s="417">
        <v>45503.0</v>
      </c>
      <c r="D40" s="136">
        <v>28.8</v>
      </c>
      <c r="E40" s="136">
        <v>0.989999999999999</v>
      </c>
      <c r="F40" s="418">
        <f t="shared" si="2"/>
        <v>28.512</v>
      </c>
      <c r="G40" s="416" t="s">
        <v>1436</v>
      </c>
    </row>
    <row r="41">
      <c r="B41" s="172">
        <v>200044.0</v>
      </c>
      <c r="C41" s="417">
        <v>45504.0</v>
      </c>
      <c r="D41" s="136">
        <v>28.8</v>
      </c>
      <c r="E41" s="136">
        <v>0.989999999999999</v>
      </c>
      <c r="F41" s="418">
        <f t="shared" si="2"/>
        <v>28.512</v>
      </c>
      <c r="G41" s="416" t="s">
        <v>1436</v>
      </c>
    </row>
    <row r="42">
      <c r="B42" s="172"/>
      <c r="C42" s="414"/>
      <c r="D42" s="172"/>
      <c r="E42" s="172"/>
      <c r="G42" s="179"/>
    </row>
    <row r="43">
      <c r="B43" s="172"/>
      <c r="C43" s="414"/>
      <c r="D43" s="172"/>
      <c r="E43" s="172"/>
      <c r="G43" s="179"/>
    </row>
    <row r="44">
      <c r="B44" s="172"/>
      <c r="C44" s="414"/>
      <c r="D44" s="172"/>
      <c r="E44" s="172"/>
      <c r="G44" s="179"/>
    </row>
    <row r="45">
      <c r="B45" s="172"/>
      <c r="C45" s="414"/>
      <c r="D45" s="172"/>
      <c r="E45" s="172"/>
      <c r="G45" s="179"/>
    </row>
    <row r="46">
      <c r="B46" s="172"/>
      <c r="C46" s="414"/>
      <c r="D46" s="172"/>
      <c r="E46" s="172"/>
      <c r="G46" s="179"/>
    </row>
    <row r="47">
      <c r="B47" s="172"/>
      <c r="C47" s="414"/>
      <c r="D47" s="172"/>
      <c r="E47" s="172"/>
      <c r="G47" s="179"/>
    </row>
    <row r="48">
      <c r="B48" s="172"/>
      <c r="C48" s="414"/>
      <c r="D48" s="172"/>
      <c r="E48" s="172"/>
      <c r="G48" s="179"/>
    </row>
    <row r="49">
      <c r="B49" s="172"/>
      <c r="C49" s="414"/>
      <c r="D49" s="172"/>
      <c r="E49" s="172"/>
      <c r="G49" s="179"/>
    </row>
    <row r="50">
      <c r="B50" s="172"/>
      <c r="C50" s="414"/>
      <c r="D50" s="172"/>
      <c r="E50" s="172"/>
      <c r="G50" s="179"/>
    </row>
    <row r="51">
      <c r="B51" s="172"/>
      <c r="C51" s="414"/>
      <c r="D51" s="172"/>
      <c r="E51" s="172"/>
      <c r="G51" s="179"/>
    </row>
    <row r="52">
      <c r="B52" s="172"/>
      <c r="C52" s="414"/>
      <c r="D52" s="172"/>
      <c r="E52" s="172"/>
      <c r="G52" s="179"/>
    </row>
    <row r="53">
      <c r="B53" s="172"/>
      <c r="C53" s="414"/>
      <c r="D53" s="172"/>
      <c r="E53" s="172"/>
      <c r="G53" s="179"/>
    </row>
    <row r="54">
      <c r="B54" s="172"/>
      <c r="C54" s="414"/>
      <c r="D54" s="172"/>
      <c r="E54" s="172"/>
      <c r="G54" s="179"/>
    </row>
    <row r="55">
      <c r="B55" s="172"/>
      <c r="C55" s="414"/>
      <c r="D55" s="172"/>
      <c r="E55" s="172"/>
      <c r="G55" s="179"/>
    </row>
    <row r="56">
      <c r="B56" s="172"/>
      <c r="C56" s="414"/>
      <c r="D56" s="172"/>
      <c r="E56" s="172"/>
      <c r="G56" s="179"/>
    </row>
    <row r="57">
      <c r="B57" s="172"/>
      <c r="C57" s="414"/>
      <c r="D57" s="172"/>
      <c r="E57" s="172"/>
      <c r="G57" s="179"/>
    </row>
    <row r="58">
      <c r="B58" s="172"/>
      <c r="C58" s="414"/>
      <c r="D58" s="172"/>
      <c r="E58" s="172"/>
      <c r="G58" s="179"/>
    </row>
    <row r="59">
      <c r="B59" s="172"/>
      <c r="C59" s="414"/>
      <c r="D59" s="172"/>
      <c r="E59" s="172"/>
      <c r="G59" s="179"/>
    </row>
    <row r="60">
      <c r="B60" s="172"/>
      <c r="C60" s="414"/>
      <c r="D60" s="172"/>
      <c r="E60" s="172"/>
      <c r="G60" s="179"/>
    </row>
    <row r="61">
      <c r="B61" s="172"/>
      <c r="C61" s="414"/>
      <c r="D61" s="172"/>
      <c r="E61" s="172"/>
      <c r="G61" s="179"/>
    </row>
    <row r="62">
      <c r="B62" s="172"/>
      <c r="C62" s="414"/>
      <c r="D62" s="172"/>
      <c r="E62" s="172"/>
      <c r="G62" s="179"/>
    </row>
    <row r="63">
      <c r="B63" s="172"/>
      <c r="C63" s="414"/>
      <c r="D63" s="172"/>
      <c r="E63" s="172"/>
      <c r="G63" s="179"/>
    </row>
    <row r="64">
      <c r="B64" s="172"/>
      <c r="C64" s="414"/>
      <c r="D64" s="172"/>
      <c r="E64" s="172"/>
      <c r="G64" s="179"/>
    </row>
    <row r="65">
      <c r="B65" s="172"/>
      <c r="C65" s="414"/>
      <c r="D65" s="172"/>
      <c r="E65" s="172"/>
      <c r="G65" s="179"/>
    </row>
    <row r="66">
      <c r="B66" s="172"/>
      <c r="C66" s="414"/>
      <c r="D66" s="172"/>
      <c r="E66" s="172"/>
      <c r="G66" s="179"/>
    </row>
    <row r="67">
      <c r="B67" s="172"/>
      <c r="C67" s="414"/>
      <c r="D67" s="172"/>
      <c r="E67" s="172"/>
      <c r="G67" s="179"/>
    </row>
    <row r="68">
      <c r="B68" s="172"/>
      <c r="C68" s="414"/>
      <c r="D68" s="172"/>
      <c r="E68" s="172"/>
      <c r="G68" s="179"/>
    </row>
    <row r="69">
      <c r="B69" s="172"/>
      <c r="C69" s="414"/>
      <c r="D69" s="172"/>
      <c r="E69" s="172"/>
      <c r="G69" s="179"/>
    </row>
    <row r="70">
      <c r="B70" s="172"/>
      <c r="C70" s="414"/>
      <c r="D70" s="172"/>
      <c r="E70" s="172"/>
      <c r="G70" s="179"/>
    </row>
    <row r="71">
      <c r="B71" s="172"/>
      <c r="C71" s="414"/>
      <c r="D71" s="172"/>
      <c r="E71" s="172"/>
      <c r="G71" s="179"/>
    </row>
    <row r="72">
      <c r="B72" s="172"/>
      <c r="C72" s="414"/>
      <c r="D72" s="172"/>
      <c r="E72" s="172"/>
      <c r="G72" s="179"/>
    </row>
    <row r="73">
      <c r="B73" s="172"/>
      <c r="C73" s="414"/>
      <c r="D73" s="172"/>
      <c r="E73" s="172"/>
      <c r="G73" s="179"/>
    </row>
    <row r="74">
      <c r="B74" s="172"/>
      <c r="C74" s="414"/>
      <c r="D74" s="172"/>
      <c r="E74" s="172"/>
      <c r="G74" s="179"/>
    </row>
    <row r="75">
      <c r="B75" s="172"/>
      <c r="C75" s="414"/>
      <c r="D75" s="172"/>
      <c r="E75" s="172"/>
      <c r="G75" s="179"/>
    </row>
    <row r="76">
      <c r="B76" s="172"/>
      <c r="C76" s="414"/>
      <c r="D76" s="172"/>
      <c r="E76" s="172"/>
      <c r="G76" s="179"/>
    </row>
    <row r="77">
      <c r="B77" s="172"/>
      <c r="C77" s="414"/>
      <c r="D77" s="172"/>
      <c r="E77" s="172"/>
      <c r="G77" s="179"/>
    </row>
    <row r="78">
      <c r="B78" s="172"/>
      <c r="C78" s="414"/>
      <c r="D78" s="172"/>
      <c r="E78" s="172"/>
      <c r="G78" s="179"/>
    </row>
    <row r="79">
      <c r="B79" s="172"/>
      <c r="C79" s="414"/>
      <c r="D79" s="172"/>
      <c r="E79" s="172"/>
      <c r="G79" s="179"/>
    </row>
    <row r="80">
      <c r="B80" s="172"/>
      <c r="C80" s="414"/>
      <c r="D80" s="172"/>
      <c r="E80" s="172"/>
      <c r="G80" s="179"/>
    </row>
    <row r="81">
      <c r="B81" s="172"/>
      <c r="C81" s="414"/>
      <c r="D81" s="172"/>
      <c r="E81" s="172"/>
      <c r="G81" s="179"/>
    </row>
    <row r="82">
      <c r="B82" s="172"/>
      <c r="C82" s="414"/>
      <c r="D82" s="172"/>
      <c r="E82" s="172"/>
      <c r="G82" s="179"/>
    </row>
    <row r="83">
      <c r="B83" s="172"/>
      <c r="C83" s="414"/>
      <c r="D83" s="172"/>
      <c r="E83" s="172"/>
      <c r="G83" s="179"/>
    </row>
    <row r="84">
      <c r="B84" s="172"/>
      <c r="C84" s="414"/>
      <c r="D84" s="172"/>
      <c r="E84" s="172"/>
      <c r="G84" s="179"/>
    </row>
    <row r="85">
      <c r="B85" s="172"/>
      <c r="C85" s="414"/>
      <c r="D85" s="172"/>
      <c r="E85" s="172"/>
      <c r="G85" s="179"/>
    </row>
    <row r="86">
      <c r="B86" s="172"/>
      <c r="C86" s="414"/>
      <c r="D86" s="172"/>
      <c r="E86" s="172"/>
      <c r="G86" s="179"/>
    </row>
    <row r="87">
      <c r="B87" s="172"/>
      <c r="C87" s="414"/>
      <c r="D87" s="172"/>
      <c r="E87" s="172"/>
      <c r="G87" s="179"/>
    </row>
    <row r="88">
      <c r="B88" s="172"/>
      <c r="C88" s="414"/>
      <c r="D88" s="172"/>
      <c r="E88" s="172"/>
      <c r="G88" s="179"/>
    </row>
    <row r="89">
      <c r="B89" s="172"/>
      <c r="C89" s="414"/>
      <c r="D89" s="172"/>
      <c r="E89" s="172"/>
      <c r="G89" s="179"/>
    </row>
    <row r="90">
      <c r="B90" s="172"/>
      <c r="C90" s="414"/>
      <c r="D90" s="172"/>
      <c r="E90" s="172"/>
      <c r="G90" s="179"/>
    </row>
    <row r="91">
      <c r="B91" s="172"/>
      <c r="C91" s="414"/>
      <c r="D91" s="172"/>
      <c r="E91" s="172"/>
      <c r="G91" s="179"/>
    </row>
    <row r="92">
      <c r="B92" s="172"/>
      <c r="C92" s="414"/>
      <c r="D92" s="172"/>
      <c r="E92" s="172"/>
      <c r="G92" s="179"/>
    </row>
    <row r="93">
      <c r="B93" s="172"/>
      <c r="C93" s="414"/>
      <c r="D93" s="172"/>
      <c r="E93" s="172"/>
      <c r="G93" s="179"/>
    </row>
    <row r="94">
      <c r="B94" s="172"/>
      <c r="C94" s="414"/>
      <c r="D94" s="172"/>
      <c r="E94" s="172"/>
      <c r="G94" s="179"/>
    </row>
    <row r="95">
      <c r="B95" s="172"/>
      <c r="C95" s="414"/>
      <c r="D95" s="172"/>
      <c r="E95" s="172"/>
      <c r="G95" s="179"/>
    </row>
    <row r="96">
      <c r="B96" s="172"/>
      <c r="C96" s="414"/>
      <c r="D96" s="172"/>
      <c r="E96" s="172"/>
      <c r="G96" s="179"/>
    </row>
    <row r="97">
      <c r="B97" s="172"/>
      <c r="C97" s="414"/>
      <c r="D97" s="172"/>
      <c r="E97" s="172"/>
      <c r="G97" s="179"/>
    </row>
    <row r="98">
      <c r="B98" s="172"/>
      <c r="C98" s="414"/>
      <c r="D98" s="172"/>
      <c r="E98" s="172"/>
      <c r="G98" s="179"/>
    </row>
    <row r="99">
      <c r="B99" s="172"/>
      <c r="C99" s="414"/>
      <c r="D99" s="172"/>
      <c r="E99" s="172"/>
      <c r="G99" s="179"/>
    </row>
    <row r="100">
      <c r="B100" s="172"/>
      <c r="C100" s="414"/>
      <c r="D100" s="172"/>
      <c r="E100" s="172"/>
      <c r="G100" s="179"/>
    </row>
    <row r="101">
      <c r="B101" s="172"/>
      <c r="C101" s="414"/>
      <c r="D101" s="172"/>
      <c r="E101" s="172"/>
      <c r="G101" s="179"/>
    </row>
    <row r="102">
      <c r="B102" s="172"/>
      <c r="C102" s="414"/>
      <c r="D102" s="172"/>
      <c r="E102" s="172"/>
      <c r="G102" s="179"/>
    </row>
    <row r="103">
      <c r="B103" s="172"/>
      <c r="C103" s="414"/>
      <c r="D103" s="172"/>
      <c r="E103" s="172"/>
      <c r="G103" s="179"/>
    </row>
    <row r="104">
      <c r="B104" s="172"/>
      <c r="C104" s="414"/>
      <c r="D104" s="172"/>
      <c r="E104" s="172"/>
      <c r="G104" s="179"/>
    </row>
    <row r="105">
      <c r="B105" s="172"/>
      <c r="C105" s="414"/>
      <c r="D105" s="172"/>
      <c r="E105" s="172"/>
      <c r="G105" s="179"/>
    </row>
    <row r="106">
      <c r="B106" s="172"/>
      <c r="C106" s="414"/>
      <c r="D106" s="172"/>
      <c r="E106" s="172"/>
      <c r="G106" s="179"/>
    </row>
    <row r="107">
      <c r="B107" s="172"/>
      <c r="C107" s="414"/>
      <c r="D107" s="172"/>
      <c r="E107" s="172"/>
      <c r="G107" s="179"/>
    </row>
    <row r="108">
      <c r="B108" s="172"/>
      <c r="C108" s="414"/>
      <c r="D108" s="172"/>
      <c r="E108" s="172"/>
      <c r="G108" s="179"/>
    </row>
    <row r="109">
      <c r="B109" s="172"/>
      <c r="C109" s="414"/>
      <c r="D109" s="172"/>
      <c r="E109" s="172"/>
      <c r="G109" s="179"/>
    </row>
    <row r="110">
      <c r="B110" s="172"/>
      <c r="C110" s="414"/>
      <c r="D110" s="172"/>
      <c r="E110" s="172"/>
      <c r="G110" s="179"/>
    </row>
    <row r="111">
      <c r="B111" s="172"/>
      <c r="C111" s="414"/>
      <c r="D111" s="172"/>
      <c r="E111" s="172"/>
      <c r="G111" s="179"/>
    </row>
    <row r="112">
      <c r="B112" s="172"/>
      <c r="C112" s="414"/>
      <c r="D112" s="172"/>
      <c r="E112" s="172"/>
      <c r="G112" s="179"/>
    </row>
    <row r="113">
      <c r="B113" s="172"/>
      <c r="C113" s="414"/>
      <c r="D113" s="172"/>
      <c r="E113" s="172"/>
      <c r="G113" s="179"/>
    </row>
    <row r="114">
      <c r="B114" s="172"/>
      <c r="C114" s="414"/>
      <c r="D114" s="172"/>
      <c r="E114" s="172"/>
      <c r="G114" s="179"/>
    </row>
    <row r="115">
      <c r="B115" s="172"/>
      <c r="C115" s="414"/>
      <c r="D115" s="172"/>
      <c r="E115" s="172"/>
      <c r="G115" s="179"/>
    </row>
    <row r="116">
      <c r="B116" s="172"/>
      <c r="C116" s="414"/>
      <c r="D116" s="172"/>
      <c r="E116" s="172"/>
      <c r="G116" s="179"/>
    </row>
    <row r="117">
      <c r="B117" s="172"/>
      <c r="C117" s="414"/>
      <c r="D117" s="172"/>
      <c r="E117" s="172"/>
      <c r="G117" s="179"/>
    </row>
    <row r="118">
      <c r="B118" s="172"/>
      <c r="C118" s="414"/>
      <c r="D118" s="172"/>
      <c r="E118" s="172"/>
      <c r="G118" s="179"/>
    </row>
    <row r="119">
      <c r="B119" s="172"/>
      <c r="C119" s="414"/>
      <c r="D119" s="172"/>
      <c r="E119" s="172"/>
      <c r="G119" s="179"/>
    </row>
    <row r="120">
      <c r="B120" s="172"/>
      <c r="C120" s="414"/>
      <c r="D120" s="172"/>
      <c r="E120" s="172"/>
      <c r="G120" s="179"/>
    </row>
    <row r="121">
      <c r="B121" s="172"/>
      <c r="C121" s="414"/>
      <c r="D121" s="172"/>
      <c r="E121" s="172"/>
      <c r="G121" s="179"/>
    </row>
    <row r="122">
      <c r="B122" s="172"/>
      <c r="C122" s="414"/>
      <c r="D122" s="172"/>
      <c r="E122" s="172"/>
      <c r="G122" s="179"/>
    </row>
    <row r="123">
      <c r="B123" s="172"/>
      <c r="C123" s="414"/>
      <c r="D123" s="172"/>
      <c r="E123" s="172"/>
      <c r="G123" s="179"/>
    </row>
    <row r="124">
      <c r="B124" s="172"/>
      <c r="C124" s="414"/>
      <c r="D124" s="172"/>
      <c r="E124" s="172"/>
      <c r="G124" s="179"/>
    </row>
    <row r="125">
      <c r="B125" s="172"/>
      <c r="C125" s="414"/>
      <c r="D125" s="172"/>
      <c r="E125" s="172"/>
      <c r="G125" s="179"/>
    </row>
    <row r="126">
      <c r="B126" s="172"/>
      <c r="C126" s="414"/>
      <c r="D126" s="172"/>
      <c r="E126" s="172"/>
      <c r="G126" s="179"/>
    </row>
    <row r="127">
      <c r="B127" s="172"/>
      <c r="C127" s="414"/>
      <c r="D127" s="172"/>
      <c r="E127" s="172"/>
      <c r="G127" s="179"/>
    </row>
    <row r="128">
      <c r="B128" s="172"/>
      <c r="C128" s="414"/>
      <c r="D128" s="172"/>
      <c r="E128" s="172"/>
      <c r="G128" s="179"/>
    </row>
    <row r="129">
      <c r="B129" s="172"/>
      <c r="C129" s="414"/>
      <c r="D129" s="172"/>
      <c r="E129" s="172"/>
      <c r="G129" s="179"/>
    </row>
    <row r="130">
      <c r="B130" s="172"/>
      <c r="C130" s="414"/>
      <c r="D130" s="172"/>
      <c r="E130" s="172"/>
      <c r="G130" s="179"/>
    </row>
    <row r="131">
      <c r="B131" s="172"/>
      <c r="C131" s="414"/>
      <c r="D131" s="172"/>
      <c r="E131" s="172"/>
      <c r="G131" s="179"/>
    </row>
    <row r="132">
      <c r="B132" s="172"/>
      <c r="C132" s="414"/>
      <c r="D132" s="172"/>
      <c r="E132" s="172"/>
      <c r="G132" s="179"/>
    </row>
    <row r="133">
      <c r="B133" s="172"/>
      <c r="C133" s="414"/>
      <c r="D133" s="172"/>
      <c r="E133" s="172"/>
      <c r="G133" s="179"/>
    </row>
    <row r="134">
      <c r="B134" s="172"/>
      <c r="C134" s="414"/>
      <c r="D134" s="172"/>
      <c r="E134" s="172"/>
      <c r="G134" s="179"/>
    </row>
    <row r="135">
      <c r="B135" s="172"/>
      <c r="C135" s="414"/>
      <c r="D135" s="172"/>
      <c r="E135" s="172"/>
      <c r="G135" s="179"/>
    </row>
    <row r="136">
      <c r="B136" s="172"/>
      <c r="C136" s="414"/>
      <c r="D136" s="172"/>
      <c r="E136" s="172"/>
      <c r="G136" s="179"/>
    </row>
    <row r="137">
      <c r="B137" s="172"/>
      <c r="C137" s="414"/>
      <c r="D137" s="172"/>
      <c r="E137" s="172"/>
      <c r="G137" s="179"/>
    </row>
    <row r="138">
      <c r="B138" s="172"/>
      <c r="C138" s="414"/>
      <c r="D138" s="172"/>
      <c r="E138" s="172"/>
      <c r="G138" s="179"/>
    </row>
    <row r="139">
      <c r="B139" s="172"/>
      <c r="C139" s="414"/>
      <c r="D139" s="172"/>
      <c r="E139" s="172"/>
      <c r="G139" s="179"/>
    </row>
    <row r="140">
      <c r="B140" s="172"/>
      <c r="C140" s="414"/>
      <c r="D140" s="172"/>
      <c r="E140" s="172"/>
      <c r="G140" s="179"/>
    </row>
    <row r="141">
      <c r="B141" s="172"/>
      <c r="C141" s="414"/>
      <c r="D141" s="172"/>
      <c r="E141" s="172"/>
      <c r="G141" s="179"/>
    </row>
    <row r="142">
      <c r="B142" s="172"/>
      <c r="C142" s="414"/>
      <c r="D142" s="172"/>
      <c r="E142" s="172"/>
      <c r="G142" s="179"/>
    </row>
    <row r="143">
      <c r="B143" s="172"/>
      <c r="C143" s="414"/>
      <c r="D143" s="172"/>
      <c r="E143" s="172"/>
      <c r="G143" s="179"/>
    </row>
    <row r="144">
      <c r="B144" s="172"/>
      <c r="C144" s="414"/>
      <c r="D144" s="172"/>
      <c r="E144" s="172"/>
      <c r="G144" s="179"/>
    </row>
    <row r="145">
      <c r="B145" s="172"/>
      <c r="C145" s="414"/>
      <c r="D145" s="172"/>
      <c r="E145" s="172"/>
      <c r="G145" s="179"/>
    </row>
    <row r="146">
      <c r="B146" s="172"/>
      <c r="C146" s="414"/>
      <c r="D146" s="172"/>
      <c r="E146" s="172"/>
      <c r="G146" s="179"/>
    </row>
    <row r="147">
      <c r="B147" s="172"/>
      <c r="C147" s="414"/>
      <c r="D147" s="172"/>
      <c r="E147" s="172"/>
      <c r="G147" s="179"/>
    </row>
    <row r="148">
      <c r="B148" s="172"/>
      <c r="C148" s="414"/>
      <c r="D148" s="172"/>
      <c r="E148" s="172"/>
      <c r="G148" s="179"/>
    </row>
    <row r="149">
      <c r="B149" s="172"/>
      <c r="C149" s="414"/>
      <c r="D149" s="172"/>
      <c r="E149" s="172"/>
      <c r="G149" s="179"/>
    </row>
    <row r="150">
      <c r="B150" s="172"/>
      <c r="C150" s="414"/>
      <c r="D150" s="172"/>
      <c r="E150" s="172"/>
      <c r="G150" s="179"/>
    </row>
    <row r="151">
      <c r="B151" s="172"/>
      <c r="C151" s="414"/>
      <c r="D151" s="172"/>
      <c r="E151" s="172"/>
      <c r="G151" s="179"/>
    </row>
    <row r="152">
      <c r="B152" s="172"/>
      <c r="C152" s="414"/>
      <c r="D152" s="172"/>
      <c r="E152" s="172"/>
      <c r="G152" s="179"/>
    </row>
    <row r="153">
      <c r="B153" s="172"/>
      <c r="C153" s="414"/>
      <c r="D153" s="172"/>
      <c r="E153" s="172"/>
      <c r="G153" s="179"/>
    </row>
    <row r="154">
      <c r="B154" s="172"/>
      <c r="C154" s="414"/>
      <c r="D154" s="172"/>
      <c r="E154" s="172"/>
      <c r="G154" s="179"/>
    </row>
    <row r="155">
      <c r="B155" s="172"/>
      <c r="C155" s="414"/>
      <c r="D155" s="172"/>
      <c r="E155" s="172"/>
      <c r="G155" s="179"/>
    </row>
    <row r="156">
      <c r="B156" s="172"/>
      <c r="C156" s="414"/>
      <c r="D156" s="172"/>
      <c r="E156" s="172"/>
      <c r="G156" s="179"/>
    </row>
    <row r="157">
      <c r="B157" s="172"/>
      <c r="C157" s="414"/>
      <c r="D157" s="172"/>
      <c r="E157" s="172"/>
      <c r="G157" s="179"/>
    </row>
    <row r="158">
      <c r="B158" s="172"/>
      <c r="C158" s="414"/>
      <c r="D158" s="172"/>
      <c r="E158" s="172"/>
      <c r="G158" s="179"/>
    </row>
    <row r="159">
      <c r="B159" s="172"/>
      <c r="C159" s="414"/>
      <c r="D159" s="172"/>
      <c r="E159" s="172"/>
      <c r="G159" s="179"/>
    </row>
    <row r="160">
      <c r="B160" s="172"/>
      <c r="C160" s="414"/>
      <c r="D160" s="172"/>
      <c r="E160" s="172"/>
      <c r="G160" s="179"/>
    </row>
    <row r="161">
      <c r="B161" s="172"/>
      <c r="C161" s="414"/>
      <c r="D161" s="172"/>
      <c r="E161" s="172"/>
      <c r="G161" s="179"/>
    </row>
    <row r="162">
      <c r="B162" s="172"/>
      <c r="C162" s="414"/>
      <c r="D162" s="172"/>
      <c r="E162" s="172"/>
      <c r="G162" s="179"/>
    </row>
    <row r="163">
      <c r="B163" s="172"/>
      <c r="C163" s="414"/>
      <c r="D163" s="172"/>
      <c r="E163" s="172"/>
      <c r="G163" s="179"/>
    </row>
    <row r="164">
      <c r="B164" s="172"/>
      <c r="C164" s="414"/>
      <c r="D164" s="172"/>
      <c r="E164" s="172"/>
      <c r="G164" s="179"/>
    </row>
    <row r="165">
      <c r="B165" s="172"/>
      <c r="C165" s="414"/>
      <c r="D165" s="172"/>
      <c r="E165" s="172"/>
      <c r="G165" s="179"/>
    </row>
    <row r="166">
      <c r="B166" s="172"/>
      <c r="C166" s="414"/>
      <c r="D166" s="172"/>
      <c r="E166" s="172"/>
      <c r="G166" s="179"/>
    </row>
    <row r="167">
      <c r="B167" s="172"/>
      <c r="C167" s="414"/>
      <c r="D167" s="172"/>
      <c r="E167" s="172"/>
      <c r="G167" s="179"/>
    </row>
    <row r="168">
      <c r="B168" s="172"/>
      <c r="C168" s="414"/>
      <c r="D168" s="172"/>
      <c r="E168" s="172"/>
      <c r="G168" s="179"/>
    </row>
    <row r="169">
      <c r="B169" s="172"/>
      <c r="C169" s="414"/>
      <c r="D169" s="172"/>
      <c r="E169" s="172"/>
      <c r="G169" s="179"/>
    </row>
    <row r="170">
      <c r="B170" s="172"/>
      <c r="C170" s="414"/>
      <c r="D170" s="172"/>
      <c r="E170" s="172"/>
      <c r="G170" s="179"/>
    </row>
    <row r="171">
      <c r="B171" s="172"/>
      <c r="C171" s="414"/>
      <c r="D171" s="172"/>
      <c r="E171" s="172"/>
      <c r="G171" s="179"/>
    </row>
    <row r="172">
      <c r="B172" s="172"/>
      <c r="C172" s="414"/>
      <c r="D172" s="172"/>
      <c r="E172" s="172"/>
      <c r="G172" s="179"/>
    </row>
    <row r="173">
      <c r="B173" s="172"/>
      <c r="C173" s="414"/>
      <c r="D173" s="172"/>
      <c r="E173" s="172"/>
      <c r="G173" s="179"/>
    </row>
    <row r="174">
      <c r="B174" s="172"/>
      <c r="C174" s="414"/>
      <c r="D174" s="172"/>
      <c r="E174" s="172"/>
      <c r="G174" s="179"/>
    </row>
    <row r="175">
      <c r="B175" s="172"/>
      <c r="C175" s="414"/>
      <c r="D175" s="172"/>
      <c r="E175" s="172"/>
      <c r="G175" s="179"/>
    </row>
    <row r="176">
      <c r="B176" s="172"/>
      <c r="C176" s="414"/>
      <c r="D176" s="172"/>
      <c r="E176" s="172"/>
      <c r="G176" s="179"/>
    </row>
    <row r="177">
      <c r="B177" s="172"/>
      <c r="C177" s="414"/>
      <c r="D177" s="172"/>
      <c r="E177" s="172"/>
      <c r="G177" s="179"/>
    </row>
    <row r="178">
      <c r="B178" s="172"/>
      <c r="C178" s="414"/>
      <c r="D178" s="172"/>
      <c r="E178" s="172"/>
      <c r="G178" s="179"/>
    </row>
    <row r="179">
      <c r="B179" s="172"/>
      <c r="C179" s="414"/>
      <c r="D179" s="172"/>
      <c r="E179" s="172"/>
      <c r="G179" s="179"/>
    </row>
    <row r="180">
      <c r="B180" s="172"/>
      <c r="C180" s="414"/>
      <c r="D180" s="172"/>
      <c r="E180" s="172"/>
      <c r="G180" s="179"/>
    </row>
    <row r="181">
      <c r="B181" s="172"/>
      <c r="C181" s="414"/>
      <c r="D181" s="172"/>
      <c r="E181" s="172"/>
      <c r="G181" s="179"/>
    </row>
    <row r="182">
      <c r="B182" s="172"/>
      <c r="C182" s="414"/>
      <c r="D182" s="172"/>
      <c r="E182" s="172"/>
      <c r="G182" s="179"/>
    </row>
    <row r="183">
      <c r="B183" s="172"/>
      <c r="C183" s="414"/>
      <c r="D183" s="172"/>
      <c r="E183" s="172"/>
      <c r="G183" s="179"/>
    </row>
    <row r="184">
      <c r="B184" s="172"/>
      <c r="C184" s="414"/>
      <c r="D184" s="172"/>
      <c r="E184" s="172"/>
      <c r="G184" s="179"/>
    </row>
    <row r="185">
      <c r="B185" s="172"/>
      <c r="C185" s="414"/>
      <c r="D185" s="172"/>
      <c r="E185" s="172"/>
      <c r="G185" s="179"/>
    </row>
    <row r="186">
      <c r="B186" s="172"/>
      <c r="C186" s="414"/>
      <c r="D186" s="172"/>
      <c r="E186" s="172"/>
      <c r="G186" s="179"/>
    </row>
    <row r="187">
      <c r="B187" s="172"/>
      <c r="C187" s="414"/>
      <c r="D187" s="172"/>
      <c r="E187" s="172"/>
      <c r="G187" s="179"/>
    </row>
    <row r="188">
      <c r="B188" s="172"/>
      <c r="C188" s="414"/>
      <c r="D188" s="172"/>
      <c r="E188" s="172"/>
      <c r="G188" s="179"/>
    </row>
    <row r="189">
      <c r="B189" s="172"/>
      <c r="C189" s="414"/>
      <c r="D189" s="172"/>
      <c r="E189" s="172"/>
      <c r="G189" s="179"/>
    </row>
    <row r="190">
      <c r="B190" s="172"/>
      <c r="C190" s="414"/>
      <c r="D190" s="172"/>
      <c r="E190" s="172"/>
      <c r="G190" s="179"/>
    </row>
    <row r="191">
      <c r="B191" s="172"/>
      <c r="C191" s="414"/>
      <c r="D191" s="172"/>
      <c r="E191" s="172"/>
      <c r="G191" s="179"/>
    </row>
    <row r="192">
      <c r="B192" s="172"/>
      <c r="C192" s="414"/>
      <c r="D192" s="172"/>
      <c r="E192" s="172"/>
      <c r="G192" s="179"/>
    </row>
    <row r="193">
      <c r="B193" s="172"/>
      <c r="C193" s="414"/>
      <c r="D193" s="172"/>
      <c r="E193" s="172"/>
      <c r="G193" s="179"/>
    </row>
    <row r="194">
      <c r="B194" s="172"/>
      <c r="C194" s="414"/>
      <c r="D194" s="172"/>
      <c r="E194" s="172"/>
      <c r="G194" s="179"/>
    </row>
    <row r="195">
      <c r="B195" s="172"/>
      <c r="C195" s="414"/>
      <c r="D195" s="172"/>
      <c r="E195" s="172"/>
      <c r="G195" s="179"/>
    </row>
    <row r="196">
      <c r="B196" s="172"/>
      <c r="C196" s="414"/>
      <c r="D196" s="172"/>
      <c r="E196" s="172"/>
      <c r="G196" s="179"/>
    </row>
    <row r="197">
      <c r="B197" s="172"/>
      <c r="C197" s="414"/>
      <c r="D197" s="172"/>
      <c r="E197" s="172"/>
      <c r="G197" s="179"/>
    </row>
    <row r="198">
      <c r="B198" s="172"/>
      <c r="C198" s="414"/>
      <c r="D198" s="172"/>
      <c r="E198" s="172"/>
      <c r="G198" s="179"/>
    </row>
    <row r="199">
      <c r="B199" s="172"/>
      <c r="C199" s="414"/>
      <c r="D199" s="172"/>
      <c r="E199" s="172"/>
      <c r="G199" s="179"/>
    </row>
    <row r="200">
      <c r="B200" s="172"/>
      <c r="C200" s="414"/>
      <c r="D200" s="172"/>
      <c r="E200" s="172"/>
      <c r="G200" s="179"/>
    </row>
    <row r="201">
      <c r="B201" s="172"/>
      <c r="C201" s="414"/>
      <c r="D201" s="172"/>
      <c r="E201" s="172"/>
      <c r="G201" s="179"/>
    </row>
    <row r="202">
      <c r="B202" s="172"/>
      <c r="C202" s="414"/>
      <c r="D202" s="172"/>
      <c r="E202" s="172"/>
      <c r="G202" s="179"/>
    </row>
    <row r="203">
      <c r="B203" s="172"/>
      <c r="C203" s="414"/>
      <c r="D203" s="172"/>
      <c r="E203" s="172"/>
      <c r="G203" s="179"/>
    </row>
    <row r="204">
      <c r="B204" s="172"/>
      <c r="C204" s="414"/>
      <c r="D204" s="172"/>
      <c r="E204" s="172"/>
      <c r="G204" s="179"/>
    </row>
    <row r="205">
      <c r="B205" s="172"/>
      <c r="C205" s="414"/>
      <c r="D205" s="172"/>
      <c r="E205" s="172"/>
      <c r="G205" s="179"/>
    </row>
    <row r="206">
      <c r="B206" s="172"/>
      <c r="C206" s="414"/>
      <c r="D206" s="172"/>
      <c r="E206" s="172"/>
      <c r="G206" s="179"/>
    </row>
    <row r="207">
      <c r="B207" s="172"/>
      <c r="C207" s="414"/>
      <c r="D207" s="172"/>
      <c r="E207" s="172"/>
      <c r="G207" s="179"/>
    </row>
    <row r="208">
      <c r="B208" s="172"/>
      <c r="C208" s="414"/>
      <c r="D208" s="172"/>
      <c r="E208" s="172"/>
      <c r="G208" s="179"/>
    </row>
    <row r="209">
      <c r="B209" s="172"/>
      <c r="C209" s="414"/>
      <c r="D209" s="172"/>
      <c r="E209" s="172"/>
      <c r="G209" s="179"/>
    </row>
    <row r="210">
      <c r="B210" s="172"/>
      <c r="C210" s="414"/>
      <c r="D210" s="172"/>
      <c r="E210" s="172"/>
      <c r="G210" s="179"/>
    </row>
    <row r="211">
      <c r="B211" s="172"/>
      <c r="C211" s="414"/>
      <c r="D211" s="172"/>
      <c r="E211" s="172"/>
      <c r="G211" s="179"/>
    </row>
    <row r="212">
      <c r="B212" s="172"/>
      <c r="C212" s="414"/>
      <c r="D212" s="172"/>
      <c r="E212" s="172"/>
      <c r="G212" s="179"/>
    </row>
    <row r="213">
      <c r="B213" s="172"/>
      <c r="C213" s="414"/>
      <c r="D213" s="172"/>
      <c r="E213" s="172"/>
      <c r="G213" s="179"/>
    </row>
    <row r="214">
      <c r="B214" s="172"/>
      <c r="C214" s="414"/>
      <c r="D214" s="172"/>
      <c r="E214" s="172"/>
      <c r="G214" s="179"/>
    </row>
    <row r="215">
      <c r="B215" s="172"/>
      <c r="C215" s="414"/>
      <c r="D215" s="172"/>
      <c r="E215" s="172"/>
      <c r="G215" s="179"/>
    </row>
    <row r="216">
      <c r="B216" s="172"/>
      <c r="C216" s="414"/>
      <c r="D216" s="172"/>
      <c r="E216" s="172"/>
      <c r="G216" s="179"/>
    </row>
    <row r="217">
      <c r="B217" s="172"/>
      <c r="C217" s="414"/>
      <c r="D217" s="172"/>
      <c r="E217" s="172"/>
      <c r="G217" s="179"/>
    </row>
    <row r="218">
      <c r="B218" s="172"/>
      <c r="C218" s="414"/>
      <c r="D218" s="172"/>
      <c r="E218" s="172"/>
      <c r="G218" s="179"/>
    </row>
    <row r="219">
      <c r="B219" s="172"/>
      <c r="C219" s="414"/>
      <c r="D219" s="172"/>
      <c r="E219" s="172"/>
      <c r="G219" s="179"/>
    </row>
    <row r="220">
      <c r="B220" s="172"/>
      <c r="C220" s="414"/>
      <c r="D220" s="172"/>
      <c r="E220" s="172"/>
      <c r="G220" s="179"/>
    </row>
    <row r="221">
      <c r="B221" s="172"/>
      <c r="C221" s="414"/>
      <c r="D221" s="172"/>
      <c r="E221" s="172"/>
      <c r="G221" s="179"/>
    </row>
    <row r="222">
      <c r="B222" s="172"/>
      <c r="C222" s="414"/>
      <c r="D222" s="172"/>
      <c r="E222" s="172"/>
      <c r="G222" s="179"/>
    </row>
    <row r="223">
      <c r="B223" s="172"/>
      <c r="C223" s="414"/>
      <c r="D223" s="172"/>
      <c r="E223" s="172"/>
      <c r="G223" s="179"/>
    </row>
    <row r="224">
      <c r="B224" s="172"/>
      <c r="C224" s="414"/>
      <c r="D224" s="172"/>
      <c r="E224" s="172"/>
      <c r="G224" s="179"/>
    </row>
    <row r="225">
      <c r="B225" s="172"/>
      <c r="C225" s="414"/>
      <c r="D225" s="172"/>
      <c r="E225" s="172"/>
      <c r="G225" s="179"/>
    </row>
    <row r="226">
      <c r="B226" s="172"/>
      <c r="C226" s="414"/>
      <c r="D226" s="172"/>
      <c r="E226" s="172"/>
      <c r="G226" s="179"/>
    </row>
    <row r="227">
      <c r="B227" s="172"/>
      <c r="C227" s="414"/>
      <c r="D227" s="172"/>
      <c r="E227" s="172"/>
      <c r="G227" s="179"/>
    </row>
    <row r="228">
      <c r="B228" s="172"/>
      <c r="C228" s="414"/>
      <c r="D228" s="172"/>
      <c r="E228" s="172"/>
      <c r="G228" s="179"/>
    </row>
    <row r="229">
      <c r="B229" s="172"/>
      <c r="C229" s="414"/>
      <c r="D229" s="172"/>
      <c r="E229" s="172"/>
      <c r="G229" s="179"/>
    </row>
    <row r="230">
      <c r="B230" s="172"/>
      <c r="C230" s="414"/>
      <c r="D230" s="172"/>
      <c r="E230" s="172"/>
      <c r="G230" s="179"/>
    </row>
    <row r="231">
      <c r="B231" s="172"/>
      <c r="C231" s="414"/>
      <c r="D231" s="172"/>
      <c r="E231" s="172"/>
      <c r="G231" s="179"/>
    </row>
    <row r="232">
      <c r="B232" s="172"/>
      <c r="C232" s="414"/>
      <c r="D232" s="172"/>
      <c r="E232" s="172"/>
      <c r="G232" s="179"/>
    </row>
    <row r="233">
      <c r="B233" s="172"/>
      <c r="C233" s="414"/>
      <c r="D233" s="172"/>
      <c r="E233" s="172"/>
      <c r="G233" s="179"/>
    </row>
    <row r="234">
      <c r="B234" s="172"/>
      <c r="C234" s="414"/>
      <c r="D234" s="172"/>
      <c r="E234" s="172"/>
      <c r="G234" s="179"/>
    </row>
    <row r="235">
      <c r="B235" s="172"/>
      <c r="C235" s="414"/>
      <c r="D235" s="172"/>
      <c r="E235" s="172"/>
      <c r="G235" s="179"/>
    </row>
    <row r="236">
      <c r="B236" s="172"/>
      <c r="C236" s="414"/>
      <c r="D236" s="172"/>
      <c r="E236" s="172"/>
      <c r="G236" s="179"/>
    </row>
    <row r="237">
      <c r="B237" s="172"/>
      <c r="C237" s="414"/>
      <c r="D237" s="172"/>
      <c r="E237" s="172"/>
      <c r="G237" s="179"/>
    </row>
    <row r="238">
      <c r="B238" s="172"/>
      <c r="C238" s="414"/>
      <c r="D238" s="172"/>
      <c r="E238" s="172"/>
      <c r="G238" s="179"/>
    </row>
    <row r="239">
      <c r="B239" s="172"/>
      <c r="C239" s="414"/>
      <c r="D239" s="172"/>
      <c r="E239" s="172"/>
      <c r="G239" s="179"/>
    </row>
    <row r="240">
      <c r="B240" s="172"/>
      <c r="C240" s="414"/>
      <c r="D240" s="172"/>
      <c r="E240" s="172"/>
      <c r="G240" s="179"/>
    </row>
    <row r="241">
      <c r="B241" s="172"/>
      <c r="C241" s="414"/>
      <c r="D241" s="172"/>
      <c r="E241" s="172"/>
      <c r="G241" s="179"/>
    </row>
    <row r="242">
      <c r="B242" s="172"/>
      <c r="C242" s="414"/>
      <c r="D242" s="172"/>
      <c r="E242" s="172"/>
      <c r="G242" s="179"/>
    </row>
    <row r="243">
      <c r="B243" s="172"/>
      <c r="C243" s="414"/>
      <c r="D243" s="172"/>
      <c r="E243" s="172"/>
      <c r="G243" s="179"/>
    </row>
    <row r="244">
      <c r="B244" s="172"/>
      <c r="C244" s="414"/>
      <c r="D244" s="172"/>
      <c r="E244" s="172"/>
      <c r="G244" s="179"/>
    </row>
    <row r="245">
      <c r="B245" s="172"/>
      <c r="C245" s="414"/>
      <c r="D245" s="172"/>
      <c r="E245" s="172"/>
      <c r="G245" s="179"/>
    </row>
    <row r="246">
      <c r="B246" s="172"/>
      <c r="C246" s="414"/>
      <c r="D246" s="172"/>
      <c r="E246" s="172"/>
      <c r="G246" s="179"/>
    </row>
    <row r="247">
      <c r="B247" s="172"/>
      <c r="C247" s="414"/>
      <c r="D247" s="172"/>
      <c r="E247" s="172"/>
      <c r="G247" s="179"/>
    </row>
    <row r="248">
      <c r="B248" s="172"/>
      <c r="C248" s="414"/>
      <c r="D248" s="172"/>
      <c r="E248" s="172"/>
      <c r="G248" s="179"/>
    </row>
    <row r="249">
      <c r="B249" s="172"/>
      <c r="C249" s="414"/>
      <c r="D249" s="172"/>
      <c r="E249" s="172"/>
      <c r="G249" s="179"/>
    </row>
    <row r="250">
      <c r="B250" s="172"/>
      <c r="C250" s="414"/>
      <c r="D250" s="172"/>
      <c r="E250" s="172"/>
      <c r="G250" s="179"/>
    </row>
    <row r="251">
      <c r="B251" s="172"/>
      <c r="C251" s="414"/>
      <c r="D251" s="172"/>
      <c r="E251" s="172"/>
      <c r="G251" s="179"/>
    </row>
    <row r="252">
      <c r="B252" s="172"/>
      <c r="C252" s="414"/>
      <c r="D252" s="172"/>
      <c r="E252" s="172"/>
      <c r="G252" s="179"/>
    </row>
    <row r="253">
      <c r="B253" s="172"/>
      <c r="C253" s="414"/>
      <c r="D253" s="172"/>
      <c r="E253" s="172"/>
      <c r="G253" s="179"/>
    </row>
    <row r="254">
      <c r="B254" s="172"/>
      <c r="C254" s="414"/>
      <c r="D254" s="172"/>
      <c r="E254" s="172"/>
      <c r="G254" s="179"/>
    </row>
    <row r="255">
      <c r="B255" s="172"/>
      <c r="C255" s="414"/>
      <c r="D255" s="172"/>
      <c r="E255" s="172"/>
      <c r="G255" s="179"/>
    </row>
    <row r="256">
      <c r="B256" s="172"/>
      <c r="C256" s="414"/>
      <c r="D256" s="172"/>
      <c r="E256" s="172"/>
      <c r="G256" s="179"/>
    </row>
    <row r="257">
      <c r="B257" s="172"/>
      <c r="C257" s="414"/>
      <c r="D257" s="172"/>
      <c r="E257" s="172"/>
      <c r="G257" s="179"/>
    </row>
    <row r="258">
      <c r="B258" s="172"/>
      <c r="C258" s="414"/>
      <c r="D258" s="172"/>
      <c r="E258" s="172"/>
      <c r="G258" s="179"/>
    </row>
    <row r="259">
      <c r="B259" s="172"/>
      <c r="C259" s="414"/>
      <c r="D259" s="172"/>
      <c r="E259" s="172"/>
      <c r="G259" s="179"/>
    </row>
    <row r="260">
      <c r="B260" s="172"/>
      <c r="C260" s="414"/>
      <c r="D260" s="172"/>
      <c r="E260" s="172"/>
      <c r="G260" s="179"/>
    </row>
    <row r="261">
      <c r="B261" s="172"/>
      <c r="C261" s="414"/>
      <c r="D261" s="172"/>
      <c r="E261" s="172"/>
      <c r="G261" s="179"/>
    </row>
    <row r="262">
      <c r="B262" s="172"/>
      <c r="C262" s="414"/>
      <c r="D262" s="172"/>
      <c r="E262" s="172"/>
      <c r="G262" s="179"/>
    </row>
    <row r="263">
      <c r="B263" s="172"/>
      <c r="C263" s="414"/>
      <c r="D263" s="172"/>
      <c r="E263" s="172"/>
      <c r="G263" s="179"/>
    </row>
    <row r="264">
      <c r="B264" s="172"/>
      <c r="C264" s="414"/>
      <c r="D264" s="172"/>
      <c r="E264" s="172"/>
      <c r="G264" s="179"/>
    </row>
    <row r="265">
      <c r="B265" s="172"/>
      <c r="C265" s="414"/>
      <c r="D265" s="172"/>
      <c r="E265" s="172"/>
      <c r="G265" s="179"/>
    </row>
    <row r="266">
      <c r="B266" s="172"/>
      <c r="C266" s="414"/>
      <c r="D266" s="172"/>
      <c r="E266" s="172"/>
      <c r="G266" s="179"/>
    </row>
    <row r="267">
      <c r="B267" s="172"/>
      <c r="C267" s="414"/>
      <c r="D267" s="172"/>
      <c r="E267" s="172"/>
      <c r="G267" s="179"/>
    </row>
    <row r="268">
      <c r="B268" s="172"/>
      <c r="C268" s="414"/>
      <c r="D268" s="172"/>
      <c r="E268" s="172"/>
      <c r="G268" s="179"/>
    </row>
    <row r="269">
      <c r="B269" s="172"/>
      <c r="C269" s="414"/>
      <c r="D269" s="172"/>
      <c r="E269" s="172"/>
      <c r="G269" s="179"/>
    </row>
    <row r="270">
      <c r="B270" s="172"/>
      <c r="C270" s="414"/>
      <c r="D270" s="172"/>
      <c r="E270" s="172"/>
      <c r="G270" s="179"/>
    </row>
    <row r="271">
      <c r="B271" s="172"/>
      <c r="C271" s="414"/>
      <c r="D271" s="172"/>
      <c r="E271" s="172"/>
      <c r="G271" s="179"/>
    </row>
    <row r="272">
      <c r="B272" s="172"/>
      <c r="C272" s="414"/>
      <c r="D272" s="172"/>
      <c r="E272" s="172"/>
      <c r="G272" s="179"/>
    </row>
    <row r="273">
      <c r="B273" s="172"/>
      <c r="C273" s="414"/>
      <c r="D273" s="172"/>
      <c r="E273" s="172"/>
      <c r="G273" s="179"/>
    </row>
    <row r="274">
      <c r="B274" s="172"/>
      <c r="C274" s="414"/>
      <c r="D274" s="172"/>
      <c r="E274" s="172"/>
      <c r="G274" s="179"/>
    </row>
    <row r="275">
      <c r="B275" s="172"/>
      <c r="C275" s="414"/>
      <c r="D275" s="172"/>
      <c r="E275" s="172"/>
      <c r="G275" s="179"/>
    </row>
    <row r="276">
      <c r="B276" s="172"/>
      <c r="C276" s="414"/>
      <c r="D276" s="172"/>
      <c r="E276" s="172"/>
      <c r="G276" s="179"/>
    </row>
    <row r="277">
      <c r="B277" s="172"/>
      <c r="C277" s="414"/>
      <c r="D277" s="172"/>
      <c r="E277" s="172"/>
      <c r="G277" s="179"/>
    </row>
    <row r="278">
      <c r="B278" s="172"/>
      <c r="C278" s="414"/>
      <c r="D278" s="172"/>
      <c r="E278" s="172"/>
      <c r="G278" s="179"/>
    </row>
    <row r="279">
      <c r="B279" s="172"/>
      <c r="C279" s="414"/>
      <c r="D279" s="172"/>
      <c r="E279" s="172"/>
      <c r="G279" s="179"/>
    </row>
    <row r="280">
      <c r="B280" s="172"/>
      <c r="C280" s="414"/>
      <c r="D280" s="172"/>
      <c r="E280" s="172"/>
      <c r="G280" s="179"/>
    </row>
    <row r="281">
      <c r="B281" s="172"/>
      <c r="C281" s="414"/>
      <c r="D281" s="172"/>
      <c r="E281" s="172"/>
      <c r="G281" s="179"/>
    </row>
    <row r="282">
      <c r="B282" s="172"/>
      <c r="C282" s="414"/>
      <c r="D282" s="172"/>
      <c r="E282" s="172"/>
      <c r="G282" s="179"/>
    </row>
    <row r="283">
      <c r="B283" s="172"/>
      <c r="C283" s="414"/>
      <c r="D283" s="172"/>
      <c r="E283" s="172"/>
      <c r="G283" s="179"/>
    </row>
    <row r="284">
      <c r="B284" s="172"/>
      <c r="C284" s="414"/>
      <c r="D284" s="172"/>
      <c r="E284" s="172"/>
      <c r="G284" s="179"/>
    </row>
    <row r="285">
      <c r="B285" s="172"/>
      <c r="C285" s="414"/>
      <c r="D285" s="172"/>
      <c r="E285" s="172"/>
      <c r="G285" s="179"/>
    </row>
    <row r="286">
      <c r="B286" s="172"/>
      <c r="C286" s="414"/>
      <c r="D286" s="172"/>
      <c r="E286" s="172"/>
      <c r="G286" s="179"/>
    </row>
    <row r="287">
      <c r="B287" s="172"/>
      <c r="C287" s="414"/>
      <c r="D287" s="172"/>
      <c r="E287" s="172"/>
      <c r="G287" s="179"/>
    </row>
    <row r="288">
      <c r="B288" s="172"/>
      <c r="C288" s="414"/>
      <c r="D288" s="172"/>
      <c r="E288" s="172"/>
      <c r="G288" s="179"/>
    </row>
    <row r="289">
      <c r="B289" s="172"/>
      <c r="C289" s="414"/>
      <c r="D289" s="172"/>
      <c r="E289" s="172"/>
      <c r="G289" s="179"/>
    </row>
    <row r="290">
      <c r="B290" s="172"/>
      <c r="C290" s="414"/>
      <c r="D290" s="172"/>
      <c r="E290" s="172"/>
      <c r="G290" s="179"/>
    </row>
    <row r="291">
      <c r="B291" s="172"/>
      <c r="C291" s="414"/>
      <c r="D291" s="172"/>
      <c r="E291" s="172"/>
      <c r="G291" s="179"/>
    </row>
    <row r="292">
      <c r="B292" s="172"/>
      <c r="C292" s="414"/>
      <c r="D292" s="172"/>
      <c r="E292" s="172"/>
      <c r="G292" s="179"/>
    </row>
    <row r="293">
      <c r="B293" s="172"/>
      <c r="C293" s="414"/>
      <c r="D293" s="172"/>
      <c r="E293" s="172"/>
      <c r="G293" s="179"/>
    </row>
    <row r="294">
      <c r="B294" s="172"/>
      <c r="C294" s="414"/>
      <c r="D294" s="172"/>
      <c r="E294" s="172"/>
      <c r="G294" s="179"/>
    </row>
    <row r="295">
      <c r="B295" s="172"/>
      <c r="C295" s="414"/>
      <c r="D295" s="172"/>
      <c r="E295" s="172"/>
      <c r="G295" s="179"/>
    </row>
    <row r="296">
      <c r="B296" s="172"/>
      <c r="C296" s="414"/>
      <c r="D296" s="172"/>
      <c r="E296" s="172"/>
      <c r="G296" s="179"/>
    </row>
    <row r="297">
      <c r="B297" s="172"/>
      <c r="C297" s="414"/>
      <c r="D297" s="172"/>
      <c r="E297" s="172"/>
      <c r="G297" s="179"/>
    </row>
    <row r="298">
      <c r="B298" s="172"/>
      <c r="C298" s="414"/>
      <c r="D298" s="172"/>
      <c r="E298" s="172"/>
      <c r="G298" s="179"/>
    </row>
    <row r="299">
      <c r="B299" s="172"/>
      <c r="C299" s="414"/>
      <c r="D299" s="172"/>
      <c r="E299" s="172"/>
      <c r="G299" s="179"/>
    </row>
    <row r="300">
      <c r="B300" s="172"/>
      <c r="C300" s="414"/>
      <c r="D300" s="172"/>
      <c r="E300" s="172"/>
      <c r="G300" s="179"/>
    </row>
    <row r="301">
      <c r="B301" s="172"/>
      <c r="C301" s="414"/>
      <c r="D301" s="172"/>
      <c r="E301" s="172"/>
      <c r="G301" s="179"/>
    </row>
    <row r="302">
      <c r="B302" s="172"/>
      <c r="C302" s="414"/>
      <c r="D302" s="172"/>
      <c r="E302" s="172"/>
      <c r="G302" s="179"/>
    </row>
    <row r="303">
      <c r="B303" s="172"/>
      <c r="C303" s="414"/>
      <c r="D303" s="172"/>
      <c r="E303" s="172"/>
      <c r="G303" s="179"/>
    </row>
    <row r="304">
      <c r="B304" s="172"/>
      <c r="C304" s="414"/>
      <c r="D304" s="172"/>
      <c r="E304" s="172"/>
      <c r="G304" s="179"/>
    </row>
    <row r="305">
      <c r="B305" s="172"/>
      <c r="C305" s="414"/>
      <c r="D305" s="172"/>
      <c r="E305" s="172"/>
      <c r="G305" s="179"/>
    </row>
    <row r="306">
      <c r="B306" s="172"/>
      <c r="C306" s="414"/>
      <c r="D306" s="172"/>
      <c r="E306" s="172"/>
      <c r="G306" s="179"/>
    </row>
    <row r="307">
      <c r="B307" s="172"/>
      <c r="C307" s="414"/>
      <c r="D307" s="172"/>
      <c r="E307" s="172"/>
      <c r="G307" s="179"/>
    </row>
    <row r="308">
      <c r="B308" s="172"/>
      <c r="C308" s="414"/>
      <c r="D308" s="172"/>
      <c r="E308" s="172"/>
      <c r="G308" s="179"/>
    </row>
    <row r="309">
      <c r="B309" s="172"/>
      <c r="C309" s="414"/>
      <c r="D309" s="172"/>
      <c r="E309" s="172"/>
      <c r="G309" s="179"/>
    </row>
    <row r="310">
      <c r="B310" s="172"/>
      <c r="C310" s="414"/>
      <c r="D310" s="172"/>
      <c r="E310" s="172"/>
      <c r="G310" s="179"/>
    </row>
    <row r="311">
      <c r="B311" s="172"/>
      <c r="C311" s="414"/>
      <c r="D311" s="172"/>
      <c r="E311" s="172"/>
      <c r="G311" s="179"/>
    </row>
    <row r="312">
      <c r="B312" s="172"/>
      <c r="C312" s="414"/>
      <c r="D312" s="172"/>
      <c r="E312" s="172"/>
      <c r="G312" s="179"/>
    </row>
    <row r="313">
      <c r="B313" s="172"/>
      <c r="C313" s="414"/>
      <c r="D313" s="172"/>
      <c r="E313" s="172"/>
      <c r="G313" s="179"/>
    </row>
    <row r="314">
      <c r="B314" s="172"/>
      <c r="C314" s="414"/>
      <c r="D314" s="172"/>
      <c r="E314" s="172"/>
      <c r="G314" s="179"/>
    </row>
    <row r="315">
      <c r="B315" s="172"/>
      <c r="C315" s="414"/>
      <c r="D315" s="172"/>
      <c r="E315" s="172"/>
      <c r="G315" s="179"/>
    </row>
    <row r="316">
      <c r="B316" s="172"/>
      <c r="C316" s="414"/>
      <c r="D316" s="172"/>
      <c r="E316" s="172"/>
      <c r="G316" s="179"/>
    </row>
    <row r="317">
      <c r="B317" s="172"/>
      <c r="C317" s="414"/>
      <c r="D317" s="172"/>
      <c r="E317" s="172"/>
      <c r="G317" s="179"/>
    </row>
    <row r="318">
      <c r="B318" s="172"/>
      <c r="C318" s="414"/>
      <c r="D318" s="172"/>
      <c r="E318" s="172"/>
      <c r="G318" s="179"/>
    </row>
    <row r="319">
      <c r="B319" s="172"/>
      <c r="C319" s="414"/>
      <c r="D319" s="172"/>
      <c r="E319" s="172"/>
      <c r="G319" s="179"/>
    </row>
    <row r="320">
      <c r="B320" s="172"/>
      <c r="C320" s="414"/>
      <c r="D320" s="172"/>
      <c r="E320" s="172"/>
      <c r="G320" s="179"/>
    </row>
    <row r="321">
      <c r="B321" s="172"/>
      <c r="C321" s="414"/>
      <c r="D321" s="172"/>
      <c r="E321" s="172"/>
      <c r="G321" s="179"/>
    </row>
    <row r="322">
      <c r="B322" s="172"/>
      <c r="C322" s="414"/>
      <c r="D322" s="172"/>
      <c r="E322" s="172"/>
      <c r="G322" s="179"/>
    </row>
    <row r="323">
      <c r="B323" s="172"/>
      <c r="C323" s="414"/>
      <c r="D323" s="172"/>
      <c r="E323" s="172"/>
      <c r="G323" s="179"/>
    </row>
    <row r="324">
      <c r="B324" s="172"/>
      <c r="C324" s="414"/>
      <c r="D324" s="172"/>
      <c r="E324" s="172"/>
      <c r="G324" s="179"/>
    </row>
    <row r="325">
      <c r="B325" s="172"/>
      <c r="C325" s="414"/>
      <c r="D325" s="172"/>
      <c r="E325" s="172"/>
      <c r="G325" s="179"/>
    </row>
    <row r="326">
      <c r="B326" s="172"/>
      <c r="C326" s="414"/>
      <c r="D326" s="172"/>
      <c r="E326" s="172"/>
      <c r="G326" s="179"/>
    </row>
    <row r="327">
      <c r="B327" s="172"/>
      <c r="C327" s="414"/>
      <c r="D327" s="172"/>
      <c r="E327" s="172"/>
      <c r="G327" s="179"/>
    </row>
    <row r="328">
      <c r="B328" s="172"/>
      <c r="C328" s="414"/>
      <c r="D328" s="172"/>
      <c r="E328" s="172"/>
      <c r="G328" s="179"/>
    </row>
    <row r="329">
      <c r="B329" s="172"/>
      <c r="C329" s="414"/>
      <c r="D329" s="172"/>
      <c r="E329" s="172"/>
      <c r="G329" s="179"/>
    </row>
    <row r="330">
      <c r="B330" s="172"/>
      <c r="C330" s="414"/>
      <c r="D330" s="172"/>
      <c r="E330" s="172"/>
      <c r="G330" s="179"/>
    </row>
    <row r="331">
      <c r="B331" s="172"/>
      <c r="C331" s="414"/>
      <c r="D331" s="172"/>
      <c r="E331" s="172"/>
      <c r="G331" s="179"/>
    </row>
    <row r="332">
      <c r="B332" s="172"/>
      <c r="C332" s="414"/>
      <c r="D332" s="172"/>
      <c r="E332" s="172"/>
      <c r="G332" s="179"/>
    </row>
    <row r="333">
      <c r="B333" s="172"/>
      <c r="C333" s="414"/>
      <c r="D333" s="172"/>
      <c r="E333" s="172"/>
      <c r="G333" s="179"/>
    </row>
    <row r="334">
      <c r="B334" s="172"/>
      <c r="C334" s="414"/>
      <c r="D334" s="172"/>
      <c r="E334" s="172"/>
      <c r="G334" s="179"/>
    </row>
    <row r="335">
      <c r="B335" s="172"/>
      <c r="C335" s="414"/>
      <c r="D335" s="172"/>
      <c r="E335" s="172"/>
      <c r="G335" s="179"/>
    </row>
    <row r="336">
      <c r="B336" s="172"/>
      <c r="C336" s="414"/>
      <c r="D336" s="172"/>
      <c r="E336" s="172"/>
      <c r="G336" s="179"/>
    </row>
    <row r="337">
      <c r="B337" s="172"/>
      <c r="C337" s="414"/>
      <c r="D337" s="172"/>
      <c r="E337" s="172"/>
      <c r="G337" s="179"/>
    </row>
    <row r="338">
      <c r="B338" s="172"/>
      <c r="C338" s="414"/>
      <c r="D338" s="172"/>
      <c r="E338" s="172"/>
      <c r="G338" s="179"/>
    </row>
    <row r="339">
      <c r="B339" s="172"/>
      <c r="C339" s="414"/>
      <c r="D339" s="172"/>
      <c r="E339" s="172"/>
      <c r="G339" s="179"/>
    </row>
    <row r="340">
      <c r="B340" s="172"/>
      <c r="C340" s="414"/>
      <c r="D340" s="172"/>
      <c r="E340" s="172"/>
      <c r="G340" s="179"/>
    </row>
    <row r="341">
      <c r="B341" s="172"/>
      <c r="C341" s="414"/>
      <c r="D341" s="172"/>
      <c r="E341" s="172"/>
      <c r="G341" s="179"/>
    </row>
    <row r="342">
      <c r="B342" s="172"/>
      <c r="C342" s="414"/>
      <c r="D342" s="172"/>
      <c r="E342" s="172"/>
      <c r="G342" s="179"/>
    </row>
    <row r="343">
      <c r="B343" s="172"/>
      <c r="C343" s="414"/>
      <c r="D343" s="172"/>
      <c r="E343" s="172"/>
      <c r="G343" s="179"/>
    </row>
    <row r="344">
      <c r="B344" s="172"/>
      <c r="C344" s="414"/>
      <c r="D344" s="172"/>
      <c r="E344" s="172"/>
      <c r="G344" s="179"/>
    </row>
    <row r="345">
      <c r="B345" s="172"/>
      <c r="C345" s="414"/>
      <c r="D345" s="172"/>
      <c r="E345" s="172"/>
      <c r="G345" s="179"/>
    </row>
    <row r="346">
      <c r="B346" s="172"/>
      <c r="C346" s="414"/>
      <c r="D346" s="172"/>
      <c r="E346" s="172"/>
      <c r="G346" s="179"/>
    </row>
    <row r="347">
      <c r="B347" s="172"/>
      <c r="C347" s="414"/>
      <c r="D347" s="172"/>
      <c r="E347" s="172"/>
      <c r="G347" s="179"/>
    </row>
    <row r="348">
      <c r="B348" s="172"/>
      <c r="C348" s="414"/>
      <c r="D348" s="172"/>
      <c r="E348" s="172"/>
      <c r="G348" s="179"/>
    </row>
    <row r="349">
      <c r="B349" s="172"/>
      <c r="C349" s="414"/>
      <c r="D349" s="172"/>
      <c r="E349" s="172"/>
      <c r="G349" s="179"/>
    </row>
    <row r="350">
      <c r="B350" s="172"/>
      <c r="C350" s="414"/>
      <c r="D350" s="172"/>
      <c r="E350" s="172"/>
      <c r="G350" s="179"/>
    </row>
    <row r="351">
      <c r="B351" s="172"/>
      <c r="C351" s="414"/>
      <c r="D351" s="172"/>
      <c r="E351" s="172"/>
      <c r="G351" s="179"/>
    </row>
    <row r="352">
      <c r="B352" s="172"/>
      <c r="C352" s="414"/>
      <c r="D352" s="172"/>
      <c r="E352" s="172"/>
      <c r="G352" s="179"/>
    </row>
    <row r="353">
      <c r="B353" s="172"/>
      <c r="C353" s="414"/>
      <c r="D353" s="172"/>
      <c r="E353" s="172"/>
      <c r="G353" s="179"/>
    </row>
    <row r="354">
      <c r="B354" s="172"/>
      <c r="C354" s="414"/>
      <c r="D354" s="172"/>
      <c r="E354" s="172"/>
      <c r="G354" s="179"/>
    </row>
    <row r="355">
      <c r="B355" s="172"/>
      <c r="C355" s="414"/>
      <c r="D355" s="172"/>
      <c r="E355" s="172"/>
      <c r="G355" s="179"/>
    </row>
    <row r="356">
      <c r="B356" s="172"/>
      <c r="C356" s="414"/>
      <c r="D356" s="172"/>
      <c r="E356" s="172"/>
      <c r="G356" s="179"/>
    </row>
    <row r="357">
      <c r="B357" s="172"/>
      <c r="C357" s="414"/>
      <c r="D357" s="172"/>
      <c r="E357" s="172"/>
      <c r="G357" s="179"/>
    </row>
    <row r="358">
      <c r="B358" s="172"/>
      <c r="C358" s="414"/>
      <c r="D358" s="172"/>
      <c r="E358" s="172"/>
      <c r="G358" s="179"/>
    </row>
    <row r="359">
      <c r="B359" s="172"/>
      <c r="C359" s="414"/>
      <c r="D359" s="172"/>
      <c r="E359" s="172"/>
      <c r="G359" s="179"/>
    </row>
    <row r="360">
      <c r="B360" s="172"/>
      <c r="C360" s="414"/>
      <c r="D360" s="172"/>
      <c r="E360" s="172"/>
      <c r="G360" s="179"/>
    </row>
    <row r="361">
      <c r="B361" s="172"/>
      <c r="C361" s="414"/>
      <c r="D361" s="172"/>
      <c r="E361" s="172"/>
      <c r="G361" s="179"/>
    </row>
    <row r="362">
      <c r="B362" s="172"/>
      <c r="C362" s="414"/>
      <c r="D362" s="172"/>
      <c r="E362" s="172"/>
      <c r="G362" s="179"/>
    </row>
    <row r="363">
      <c r="B363" s="172"/>
      <c r="C363" s="414"/>
      <c r="D363" s="172"/>
      <c r="E363" s="172"/>
      <c r="G363" s="179"/>
    </row>
    <row r="364">
      <c r="B364" s="172"/>
      <c r="C364" s="414"/>
      <c r="D364" s="172"/>
      <c r="E364" s="172"/>
      <c r="G364" s="179"/>
    </row>
    <row r="365">
      <c r="B365" s="172"/>
      <c r="C365" s="414"/>
      <c r="D365" s="172"/>
      <c r="E365" s="172"/>
      <c r="G365" s="179"/>
    </row>
    <row r="366">
      <c r="B366" s="172"/>
      <c r="C366" s="414"/>
      <c r="D366" s="172"/>
      <c r="E366" s="172"/>
      <c r="G366" s="179"/>
    </row>
    <row r="367">
      <c r="B367" s="172"/>
      <c r="C367" s="414"/>
      <c r="D367" s="172"/>
      <c r="E367" s="172"/>
      <c r="G367" s="179"/>
    </row>
    <row r="368">
      <c r="B368" s="172"/>
      <c r="C368" s="414"/>
      <c r="D368" s="172"/>
      <c r="E368" s="172"/>
      <c r="G368" s="179"/>
    </row>
    <row r="369">
      <c r="B369" s="172"/>
      <c r="C369" s="414"/>
      <c r="D369" s="172"/>
      <c r="E369" s="172"/>
      <c r="G369" s="179"/>
    </row>
    <row r="370">
      <c r="B370" s="172"/>
      <c r="C370" s="414"/>
      <c r="D370" s="172"/>
      <c r="E370" s="172"/>
      <c r="G370" s="179"/>
    </row>
    <row r="371">
      <c r="B371" s="172"/>
      <c r="C371" s="414"/>
      <c r="D371" s="172"/>
      <c r="E371" s="172"/>
      <c r="G371" s="179"/>
    </row>
    <row r="372">
      <c r="B372" s="172"/>
      <c r="C372" s="414"/>
      <c r="D372" s="172"/>
      <c r="E372" s="172"/>
      <c r="G372" s="179"/>
    </row>
    <row r="373">
      <c r="B373" s="172"/>
      <c r="C373" s="414"/>
      <c r="D373" s="172"/>
      <c r="E373" s="172"/>
      <c r="G373" s="179"/>
    </row>
    <row r="374">
      <c r="B374" s="172"/>
      <c r="C374" s="414"/>
      <c r="D374" s="172"/>
      <c r="E374" s="172"/>
      <c r="G374" s="179"/>
    </row>
    <row r="375">
      <c r="B375" s="172"/>
      <c r="C375" s="414"/>
      <c r="D375" s="172"/>
      <c r="E375" s="172"/>
      <c r="G375" s="179"/>
    </row>
    <row r="376">
      <c r="B376" s="172"/>
      <c r="C376" s="414"/>
      <c r="D376" s="172"/>
      <c r="E376" s="172"/>
      <c r="G376" s="179"/>
    </row>
    <row r="377">
      <c r="B377" s="172"/>
      <c r="C377" s="414"/>
      <c r="D377" s="172"/>
      <c r="E377" s="172"/>
      <c r="G377" s="179"/>
    </row>
    <row r="378">
      <c r="B378" s="172"/>
      <c r="C378" s="414"/>
      <c r="D378" s="172"/>
      <c r="E378" s="172"/>
      <c r="G378" s="179"/>
    </row>
    <row r="379">
      <c r="B379" s="172"/>
      <c r="C379" s="414"/>
      <c r="D379" s="172"/>
      <c r="E379" s="172"/>
      <c r="G379" s="179"/>
    </row>
    <row r="380">
      <c r="B380" s="172"/>
      <c r="C380" s="414"/>
      <c r="D380" s="172"/>
      <c r="E380" s="172"/>
      <c r="G380" s="179"/>
    </row>
    <row r="381">
      <c r="B381" s="172"/>
      <c r="C381" s="414"/>
      <c r="D381" s="172"/>
      <c r="E381" s="172"/>
      <c r="G381" s="179"/>
    </row>
    <row r="382">
      <c r="B382" s="172"/>
      <c r="C382" s="414"/>
      <c r="D382" s="172"/>
      <c r="E382" s="172"/>
      <c r="G382" s="179"/>
    </row>
    <row r="383">
      <c r="B383" s="172"/>
      <c r="C383" s="414"/>
      <c r="D383" s="172"/>
      <c r="E383" s="172"/>
      <c r="G383" s="179"/>
    </row>
    <row r="384">
      <c r="B384" s="172"/>
      <c r="C384" s="414"/>
      <c r="D384" s="172"/>
      <c r="E384" s="172"/>
      <c r="G384" s="179"/>
    </row>
    <row r="385">
      <c r="B385" s="172"/>
      <c r="C385" s="414"/>
      <c r="D385" s="172"/>
      <c r="E385" s="172"/>
      <c r="G385" s="179"/>
    </row>
    <row r="386">
      <c r="B386" s="172"/>
      <c r="C386" s="414"/>
      <c r="D386" s="172"/>
      <c r="E386" s="172"/>
      <c r="G386" s="179"/>
    </row>
    <row r="387">
      <c r="B387" s="172"/>
      <c r="C387" s="414"/>
      <c r="D387" s="172"/>
      <c r="E387" s="172"/>
      <c r="G387" s="179"/>
    </row>
    <row r="388">
      <c r="B388" s="172"/>
      <c r="C388" s="414"/>
      <c r="D388" s="172"/>
      <c r="E388" s="172"/>
      <c r="G388" s="179"/>
    </row>
    <row r="389">
      <c r="B389" s="172"/>
      <c r="C389" s="414"/>
      <c r="D389" s="172"/>
      <c r="E389" s="172"/>
      <c r="G389" s="179"/>
    </row>
    <row r="390">
      <c r="B390" s="172"/>
      <c r="C390" s="414"/>
      <c r="D390" s="172"/>
      <c r="E390" s="172"/>
      <c r="G390" s="179"/>
    </row>
    <row r="391">
      <c r="B391" s="172"/>
      <c r="C391" s="414"/>
      <c r="D391" s="172"/>
      <c r="E391" s="172"/>
      <c r="G391" s="179"/>
    </row>
    <row r="392">
      <c r="B392" s="172"/>
      <c r="C392" s="414"/>
      <c r="D392" s="172"/>
      <c r="E392" s="172"/>
      <c r="G392" s="179"/>
    </row>
    <row r="393">
      <c r="B393" s="172"/>
      <c r="C393" s="414"/>
      <c r="D393" s="172"/>
      <c r="E393" s="172"/>
      <c r="G393" s="179"/>
    </row>
    <row r="394">
      <c r="B394" s="172"/>
      <c r="C394" s="414"/>
      <c r="D394" s="172"/>
      <c r="E394" s="172"/>
      <c r="G394" s="179"/>
    </row>
    <row r="395">
      <c r="B395" s="172"/>
      <c r="C395" s="414"/>
      <c r="D395" s="172"/>
      <c r="E395" s="172"/>
      <c r="G395" s="179"/>
    </row>
    <row r="396">
      <c r="B396" s="172"/>
      <c r="C396" s="414"/>
      <c r="D396" s="172"/>
      <c r="E396" s="172"/>
      <c r="G396" s="179"/>
    </row>
    <row r="397">
      <c r="B397" s="172"/>
      <c r="C397" s="414"/>
      <c r="D397" s="172"/>
      <c r="E397" s="172"/>
      <c r="G397" s="179"/>
    </row>
    <row r="398">
      <c r="B398" s="172"/>
      <c r="C398" s="414"/>
      <c r="D398" s="172"/>
      <c r="E398" s="172"/>
      <c r="G398" s="179"/>
    </row>
    <row r="399">
      <c r="B399" s="172"/>
      <c r="C399" s="414"/>
      <c r="D399" s="172"/>
      <c r="E399" s="172"/>
      <c r="G399" s="179"/>
    </row>
    <row r="400">
      <c r="B400" s="172"/>
      <c r="C400" s="414"/>
      <c r="D400" s="172"/>
      <c r="E400" s="172"/>
      <c r="G400" s="179"/>
    </row>
    <row r="401">
      <c r="B401" s="172"/>
      <c r="C401" s="414"/>
      <c r="D401" s="172"/>
      <c r="E401" s="172"/>
      <c r="G401" s="179"/>
    </row>
    <row r="402">
      <c r="B402" s="172"/>
      <c r="C402" s="414"/>
      <c r="D402" s="172"/>
      <c r="E402" s="172"/>
      <c r="G402" s="179"/>
    </row>
    <row r="403">
      <c r="B403" s="172"/>
      <c r="C403" s="414"/>
      <c r="D403" s="172"/>
      <c r="E403" s="172"/>
      <c r="G403" s="179"/>
    </row>
    <row r="404">
      <c r="B404" s="172"/>
      <c r="C404" s="414"/>
      <c r="D404" s="172"/>
      <c r="E404" s="172"/>
      <c r="G404" s="179"/>
    </row>
    <row r="405">
      <c r="B405" s="172"/>
      <c r="C405" s="414"/>
      <c r="D405" s="172"/>
      <c r="E405" s="172"/>
      <c r="G405" s="179"/>
    </row>
    <row r="406">
      <c r="B406" s="172"/>
      <c r="C406" s="414"/>
      <c r="D406" s="172"/>
      <c r="E406" s="172"/>
      <c r="G406" s="179"/>
    </row>
    <row r="407">
      <c r="B407" s="172"/>
      <c r="C407" s="414"/>
      <c r="D407" s="172"/>
      <c r="E407" s="172"/>
      <c r="G407" s="179"/>
    </row>
    <row r="408">
      <c r="B408" s="172"/>
      <c r="C408" s="414"/>
      <c r="D408" s="172"/>
      <c r="E408" s="172"/>
      <c r="G408" s="179"/>
    </row>
    <row r="409">
      <c r="B409" s="172"/>
      <c r="C409" s="414"/>
      <c r="D409" s="172"/>
      <c r="E409" s="172"/>
      <c r="G409" s="179"/>
    </row>
    <row r="410">
      <c r="B410" s="172"/>
      <c r="C410" s="414"/>
      <c r="D410" s="172"/>
      <c r="E410" s="172"/>
      <c r="G410" s="179"/>
    </row>
    <row r="411">
      <c r="B411" s="172"/>
      <c r="C411" s="414"/>
      <c r="D411" s="172"/>
      <c r="E411" s="172"/>
      <c r="G411" s="179"/>
    </row>
    <row r="412">
      <c r="B412" s="172"/>
      <c r="C412" s="414"/>
      <c r="D412" s="172"/>
      <c r="E412" s="172"/>
      <c r="G412" s="179"/>
    </row>
    <row r="413">
      <c r="B413" s="172"/>
      <c r="C413" s="414"/>
      <c r="D413" s="172"/>
      <c r="E413" s="172"/>
      <c r="G413" s="179"/>
    </row>
    <row r="414">
      <c r="B414" s="172"/>
      <c r="C414" s="414"/>
      <c r="D414" s="172"/>
      <c r="E414" s="172"/>
      <c r="G414" s="179"/>
    </row>
    <row r="415">
      <c r="B415" s="172"/>
      <c r="C415" s="414"/>
      <c r="D415" s="172"/>
      <c r="E415" s="172"/>
      <c r="G415" s="179"/>
    </row>
    <row r="416">
      <c r="B416" s="172"/>
      <c r="C416" s="414"/>
      <c r="D416" s="172"/>
      <c r="E416" s="172"/>
      <c r="G416" s="179"/>
    </row>
    <row r="417">
      <c r="B417" s="172"/>
      <c r="C417" s="414"/>
      <c r="D417" s="172"/>
      <c r="E417" s="172"/>
      <c r="G417" s="179"/>
    </row>
    <row r="418">
      <c r="B418" s="172"/>
      <c r="C418" s="414"/>
      <c r="D418" s="172"/>
      <c r="E418" s="172"/>
      <c r="G418" s="179"/>
    </row>
    <row r="419">
      <c r="B419" s="172"/>
      <c r="C419" s="414"/>
      <c r="D419" s="172"/>
      <c r="E419" s="172"/>
      <c r="G419" s="179"/>
    </row>
    <row r="420">
      <c r="B420" s="172"/>
      <c r="C420" s="414"/>
      <c r="D420" s="172"/>
      <c r="E420" s="172"/>
      <c r="G420" s="179"/>
    </row>
    <row r="421">
      <c r="B421" s="172"/>
      <c r="C421" s="414"/>
      <c r="D421" s="172"/>
      <c r="E421" s="172"/>
      <c r="G421" s="179"/>
    </row>
    <row r="422">
      <c r="B422" s="172"/>
      <c r="C422" s="414"/>
      <c r="D422" s="172"/>
      <c r="E422" s="172"/>
      <c r="G422" s="179"/>
    </row>
    <row r="423">
      <c r="B423" s="172"/>
      <c r="C423" s="414"/>
      <c r="D423" s="172"/>
      <c r="E423" s="172"/>
      <c r="G423" s="179"/>
    </row>
    <row r="424">
      <c r="B424" s="172"/>
      <c r="C424" s="414"/>
      <c r="D424" s="172"/>
      <c r="E424" s="172"/>
      <c r="G424" s="179"/>
    </row>
    <row r="425">
      <c r="B425" s="172"/>
      <c r="C425" s="414"/>
      <c r="D425" s="172"/>
      <c r="E425" s="172"/>
      <c r="G425" s="179"/>
    </row>
    <row r="426">
      <c r="B426" s="172"/>
      <c r="C426" s="414"/>
      <c r="D426" s="172"/>
      <c r="E426" s="172"/>
      <c r="G426" s="179"/>
    </row>
    <row r="427">
      <c r="B427" s="172"/>
      <c r="C427" s="414"/>
      <c r="D427" s="172"/>
      <c r="E427" s="172"/>
      <c r="G427" s="179"/>
    </row>
    <row r="428">
      <c r="B428" s="172"/>
      <c r="C428" s="414"/>
      <c r="D428" s="172"/>
      <c r="E428" s="172"/>
      <c r="G428" s="179"/>
    </row>
    <row r="429">
      <c r="B429" s="172"/>
      <c r="C429" s="414"/>
      <c r="D429" s="172"/>
      <c r="E429" s="172"/>
      <c r="G429" s="179"/>
    </row>
    <row r="430">
      <c r="B430" s="172"/>
      <c r="C430" s="414"/>
      <c r="D430" s="172"/>
      <c r="E430" s="172"/>
      <c r="G430" s="179"/>
    </row>
    <row r="431">
      <c r="B431" s="172"/>
      <c r="C431" s="414"/>
      <c r="D431" s="172"/>
      <c r="E431" s="172"/>
      <c r="G431" s="179"/>
    </row>
    <row r="432">
      <c r="B432" s="172"/>
      <c r="C432" s="414"/>
      <c r="D432" s="172"/>
      <c r="E432" s="172"/>
      <c r="G432" s="179"/>
    </row>
    <row r="433">
      <c r="B433" s="172"/>
      <c r="C433" s="414"/>
      <c r="D433" s="172"/>
      <c r="E433" s="172"/>
      <c r="G433" s="179"/>
    </row>
    <row r="434">
      <c r="B434" s="172"/>
      <c r="C434" s="414"/>
      <c r="D434" s="172"/>
      <c r="E434" s="172"/>
      <c r="G434" s="179"/>
    </row>
    <row r="435">
      <c r="B435" s="172"/>
      <c r="C435" s="414"/>
      <c r="D435" s="172"/>
      <c r="E435" s="172"/>
      <c r="G435" s="179"/>
    </row>
    <row r="436">
      <c r="B436" s="172"/>
      <c r="C436" s="414"/>
      <c r="D436" s="172"/>
      <c r="E436" s="172"/>
      <c r="G436" s="179"/>
    </row>
    <row r="437">
      <c r="B437" s="172"/>
      <c r="C437" s="414"/>
      <c r="D437" s="172"/>
      <c r="E437" s="172"/>
      <c r="G437" s="179"/>
    </row>
    <row r="438">
      <c r="B438" s="172"/>
      <c r="C438" s="414"/>
      <c r="D438" s="172"/>
      <c r="E438" s="172"/>
      <c r="G438" s="179"/>
    </row>
    <row r="439">
      <c r="B439" s="172"/>
      <c r="C439" s="414"/>
      <c r="D439" s="172"/>
      <c r="E439" s="172"/>
      <c r="G439" s="179"/>
    </row>
    <row r="440">
      <c r="B440" s="172"/>
      <c r="C440" s="414"/>
      <c r="D440" s="172"/>
      <c r="E440" s="172"/>
      <c r="G440" s="179"/>
    </row>
    <row r="441">
      <c r="B441" s="172"/>
      <c r="C441" s="414"/>
      <c r="D441" s="172"/>
      <c r="E441" s="172"/>
      <c r="G441" s="179"/>
    </row>
    <row r="442">
      <c r="B442" s="172"/>
      <c r="C442" s="414"/>
      <c r="D442" s="172"/>
      <c r="E442" s="172"/>
      <c r="G442" s="179"/>
    </row>
    <row r="443">
      <c r="B443" s="172"/>
      <c r="C443" s="414"/>
      <c r="D443" s="172"/>
      <c r="E443" s="172"/>
      <c r="G443" s="179"/>
    </row>
    <row r="444">
      <c r="B444" s="172"/>
      <c r="C444" s="414"/>
      <c r="D444" s="172"/>
      <c r="E444" s="172"/>
      <c r="G444" s="179"/>
    </row>
    <row r="445">
      <c r="B445" s="172"/>
      <c r="C445" s="414"/>
      <c r="D445" s="172"/>
      <c r="E445" s="172"/>
      <c r="G445" s="179"/>
    </row>
    <row r="446">
      <c r="B446" s="172"/>
      <c r="C446" s="414"/>
      <c r="D446" s="172"/>
      <c r="E446" s="172"/>
      <c r="G446" s="179"/>
    </row>
    <row r="447">
      <c r="B447" s="172"/>
      <c r="C447" s="414"/>
      <c r="D447" s="172"/>
      <c r="E447" s="172"/>
      <c r="G447" s="179"/>
    </row>
    <row r="448">
      <c r="B448" s="172"/>
      <c r="C448" s="414"/>
      <c r="D448" s="172"/>
      <c r="E448" s="172"/>
      <c r="G448" s="179"/>
    </row>
    <row r="449">
      <c r="B449" s="172"/>
      <c r="C449" s="414"/>
      <c r="D449" s="172"/>
      <c r="E449" s="172"/>
      <c r="G449" s="179"/>
    </row>
    <row r="450">
      <c r="B450" s="172"/>
      <c r="C450" s="414"/>
      <c r="D450" s="172"/>
      <c r="E450" s="172"/>
      <c r="G450" s="179"/>
    </row>
    <row r="451">
      <c r="B451" s="172"/>
      <c r="C451" s="414"/>
      <c r="D451" s="172"/>
      <c r="E451" s="172"/>
      <c r="G451" s="179"/>
    </row>
    <row r="452">
      <c r="B452" s="172"/>
      <c r="C452" s="414"/>
      <c r="D452" s="172"/>
      <c r="E452" s="172"/>
      <c r="G452" s="179"/>
    </row>
    <row r="453">
      <c r="B453" s="172"/>
      <c r="C453" s="414"/>
      <c r="D453" s="172"/>
      <c r="E453" s="172"/>
      <c r="G453" s="179"/>
    </row>
    <row r="454">
      <c r="B454" s="172"/>
      <c r="C454" s="414"/>
      <c r="D454" s="172"/>
      <c r="E454" s="172"/>
      <c r="G454" s="179"/>
    </row>
    <row r="455">
      <c r="B455" s="172"/>
      <c r="C455" s="414"/>
      <c r="D455" s="172"/>
      <c r="E455" s="172"/>
      <c r="G455" s="179"/>
    </row>
    <row r="456">
      <c r="B456" s="172"/>
      <c r="C456" s="414"/>
      <c r="D456" s="172"/>
      <c r="E456" s="172"/>
      <c r="G456" s="179"/>
    </row>
    <row r="457">
      <c r="B457" s="172"/>
      <c r="C457" s="414"/>
      <c r="D457" s="172"/>
      <c r="E457" s="172"/>
      <c r="G457" s="179"/>
    </row>
    <row r="458">
      <c r="B458" s="172"/>
      <c r="C458" s="414"/>
      <c r="D458" s="172"/>
      <c r="E458" s="172"/>
      <c r="G458" s="179"/>
    </row>
    <row r="459">
      <c r="B459" s="172"/>
      <c r="C459" s="414"/>
      <c r="D459" s="172"/>
      <c r="E459" s="172"/>
      <c r="G459" s="179"/>
    </row>
    <row r="460">
      <c r="B460" s="172"/>
      <c r="C460" s="414"/>
      <c r="D460" s="172"/>
      <c r="E460" s="172"/>
      <c r="G460" s="179"/>
    </row>
    <row r="461">
      <c r="B461" s="172"/>
      <c r="C461" s="414"/>
      <c r="D461" s="172"/>
      <c r="E461" s="172"/>
      <c r="G461" s="179"/>
    </row>
    <row r="462">
      <c r="B462" s="172"/>
      <c r="C462" s="414"/>
      <c r="D462" s="172"/>
      <c r="E462" s="172"/>
      <c r="G462" s="179"/>
    </row>
    <row r="463">
      <c r="B463" s="172"/>
      <c r="C463" s="414"/>
      <c r="D463" s="172"/>
      <c r="E463" s="172"/>
      <c r="G463" s="179"/>
    </row>
    <row r="464">
      <c r="B464" s="172"/>
      <c r="C464" s="414"/>
      <c r="D464" s="172"/>
      <c r="E464" s="172"/>
      <c r="G464" s="179"/>
    </row>
    <row r="465">
      <c r="B465" s="172"/>
      <c r="C465" s="414"/>
      <c r="D465" s="172"/>
      <c r="E465" s="172"/>
      <c r="G465" s="179"/>
    </row>
    <row r="466">
      <c r="B466" s="172"/>
      <c r="C466" s="414"/>
      <c r="D466" s="172"/>
      <c r="E466" s="172"/>
      <c r="G466" s="179"/>
    </row>
    <row r="467">
      <c r="B467" s="172"/>
      <c r="C467" s="414"/>
      <c r="D467" s="172"/>
      <c r="E467" s="172"/>
      <c r="G467" s="179"/>
    </row>
    <row r="468">
      <c r="B468" s="172"/>
      <c r="C468" s="414"/>
      <c r="D468" s="172"/>
      <c r="E468" s="172"/>
      <c r="G468" s="179"/>
    </row>
    <row r="469">
      <c r="B469" s="172"/>
      <c r="C469" s="414"/>
      <c r="D469" s="172"/>
      <c r="E469" s="172"/>
      <c r="G469" s="179"/>
    </row>
    <row r="470">
      <c r="B470" s="172"/>
      <c r="C470" s="414"/>
      <c r="D470" s="172"/>
      <c r="E470" s="172"/>
      <c r="G470" s="179"/>
    </row>
    <row r="471">
      <c r="B471" s="172"/>
      <c r="C471" s="414"/>
      <c r="D471" s="172"/>
      <c r="E471" s="172"/>
      <c r="G471" s="179"/>
    </row>
    <row r="472">
      <c r="B472" s="172"/>
      <c r="C472" s="414"/>
      <c r="D472" s="172"/>
      <c r="E472" s="172"/>
      <c r="G472" s="179"/>
    </row>
    <row r="473">
      <c r="B473" s="172"/>
      <c r="C473" s="414"/>
      <c r="D473" s="172"/>
      <c r="E473" s="172"/>
      <c r="G473" s="179"/>
    </row>
    <row r="474">
      <c r="B474" s="172"/>
      <c r="C474" s="414"/>
      <c r="D474" s="172"/>
      <c r="E474" s="172"/>
      <c r="G474" s="179"/>
    </row>
    <row r="475">
      <c r="B475" s="172"/>
      <c r="C475" s="414"/>
      <c r="D475" s="172"/>
      <c r="E475" s="172"/>
      <c r="G475" s="179"/>
    </row>
    <row r="476">
      <c r="B476" s="172"/>
      <c r="C476" s="414"/>
      <c r="D476" s="172"/>
      <c r="E476" s="172"/>
      <c r="G476" s="179"/>
    </row>
    <row r="477">
      <c r="B477" s="172"/>
      <c r="C477" s="414"/>
      <c r="D477" s="172"/>
      <c r="E477" s="172"/>
      <c r="G477" s="179"/>
    </row>
    <row r="478">
      <c r="B478" s="172"/>
      <c r="C478" s="414"/>
      <c r="D478" s="172"/>
      <c r="E478" s="172"/>
      <c r="G478" s="179"/>
    </row>
    <row r="479">
      <c r="B479" s="172"/>
      <c r="C479" s="414"/>
      <c r="D479" s="172"/>
      <c r="E479" s="172"/>
      <c r="G479" s="179"/>
    </row>
    <row r="480">
      <c r="B480" s="172"/>
      <c r="C480" s="414"/>
      <c r="D480" s="172"/>
      <c r="E480" s="172"/>
      <c r="G480" s="179"/>
    </row>
    <row r="481">
      <c r="B481" s="172"/>
      <c r="C481" s="414"/>
      <c r="D481" s="172"/>
      <c r="E481" s="172"/>
      <c r="G481" s="179"/>
    </row>
    <row r="482">
      <c r="B482" s="172"/>
      <c r="C482" s="414"/>
      <c r="D482" s="172"/>
      <c r="E482" s="172"/>
      <c r="G482" s="179"/>
    </row>
    <row r="483">
      <c r="B483" s="172"/>
      <c r="C483" s="414"/>
      <c r="D483" s="172"/>
      <c r="E483" s="172"/>
      <c r="G483" s="179"/>
    </row>
    <row r="484">
      <c r="B484" s="172"/>
      <c r="C484" s="414"/>
      <c r="D484" s="172"/>
      <c r="E484" s="172"/>
      <c r="G484" s="179"/>
    </row>
    <row r="485">
      <c r="B485" s="172"/>
      <c r="C485" s="414"/>
      <c r="D485" s="172"/>
      <c r="E485" s="172"/>
      <c r="G485" s="179"/>
    </row>
    <row r="486">
      <c r="B486" s="172"/>
      <c r="C486" s="414"/>
      <c r="D486" s="172"/>
      <c r="E486" s="172"/>
      <c r="G486" s="179"/>
    </row>
    <row r="487">
      <c r="B487" s="172"/>
      <c r="C487" s="414"/>
      <c r="D487" s="172"/>
      <c r="E487" s="172"/>
      <c r="G487" s="179"/>
    </row>
    <row r="488">
      <c r="B488" s="172"/>
      <c r="C488" s="414"/>
      <c r="D488" s="172"/>
      <c r="E488" s="172"/>
      <c r="G488" s="179"/>
    </row>
    <row r="489">
      <c r="B489" s="172"/>
      <c r="C489" s="414"/>
      <c r="D489" s="172"/>
      <c r="E489" s="172"/>
      <c r="G489" s="179"/>
    </row>
    <row r="490">
      <c r="B490" s="172"/>
      <c r="C490" s="414"/>
      <c r="D490" s="172"/>
      <c r="E490" s="172"/>
      <c r="G490" s="179"/>
    </row>
    <row r="491">
      <c r="B491" s="172"/>
      <c r="C491" s="414"/>
      <c r="D491" s="172"/>
      <c r="E491" s="172"/>
      <c r="G491" s="179"/>
    </row>
    <row r="492">
      <c r="B492" s="172"/>
      <c r="C492" s="414"/>
      <c r="D492" s="172"/>
      <c r="E492" s="172"/>
      <c r="G492" s="179"/>
    </row>
    <row r="493">
      <c r="B493" s="172"/>
      <c r="C493" s="414"/>
      <c r="D493" s="172"/>
      <c r="E493" s="172"/>
      <c r="G493" s="179"/>
    </row>
    <row r="494">
      <c r="B494" s="172"/>
      <c r="C494" s="414"/>
      <c r="D494" s="172"/>
      <c r="E494" s="172"/>
      <c r="G494" s="179"/>
    </row>
    <row r="495">
      <c r="B495" s="172"/>
      <c r="C495" s="414"/>
      <c r="D495" s="172"/>
      <c r="E495" s="172"/>
      <c r="G495" s="179"/>
    </row>
    <row r="496">
      <c r="B496" s="172"/>
      <c r="C496" s="414"/>
      <c r="D496" s="172"/>
      <c r="E496" s="172"/>
      <c r="G496" s="179"/>
    </row>
    <row r="497">
      <c r="B497" s="172"/>
      <c r="C497" s="414"/>
      <c r="D497" s="172"/>
      <c r="E497" s="172"/>
      <c r="G497" s="179"/>
    </row>
    <row r="498">
      <c r="B498" s="172"/>
      <c r="C498" s="414"/>
      <c r="D498" s="172"/>
      <c r="E498" s="172"/>
      <c r="G498" s="179"/>
    </row>
    <row r="499">
      <c r="B499" s="172"/>
      <c r="C499" s="414"/>
      <c r="D499" s="172"/>
      <c r="E499" s="172"/>
      <c r="G499" s="179"/>
    </row>
    <row r="500">
      <c r="B500" s="172"/>
      <c r="C500" s="414"/>
      <c r="D500" s="172"/>
      <c r="E500" s="172"/>
      <c r="G500" s="179"/>
    </row>
    <row r="501">
      <c r="B501" s="172"/>
      <c r="C501" s="414"/>
      <c r="D501" s="172"/>
      <c r="E501" s="172"/>
      <c r="G501" s="179"/>
    </row>
    <row r="502">
      <c r="B502" s="172"/>
      <c r="C502" s="414"/>
      <c r="D502" s="172"/>
      <c r="E502" s="172"/>
      <c r="G502" s="179"/>
    </row>
    <row r="503">
      <c r="B503" s="172"/>
      <c r="C503" s="414"/>
      <c r="D503" s="172"/>
      <c r="E503" s="172"/>
      <c r="G503" s="179"/>
    </row>
    <row r="504">
      <c r="B504" s="172"/>
      <c r="C504" s="414"/>
      <c r="D504" s="172"/>
      <c r="E504" s="172"/>
      <c r="G504" s="179"/>
    </row>
    <row r="505">
      <c r="B505" s="172"/>
      <c r="C505" s="414"/>
      <c r="D505" s="172"/>
      <c r="E505" s="172"/>
      <c r="G505" s="179"/>
    </row>
    <row r="506">
      <c r="B506" s="172"/>
      <c r="C506" s="414"/>
      <c r="D506" s="172"/>
      <c r="E506" s="172"/>
      <c r="G506" s="179"/>
    </row>
    <row r="507">
      <c r="B507" s="172"/>
      <c r="C507" s="414"/>
      <c r="D507" s="172"/>
      <c r="E507" s="172"/>
      <c r="G507" s="179"/>
    </row>
    <row r="508">
      <c r="B508" s="172"/>
      <c r="C508" s="414"/>
      <c r="D508" s="172"/>
      <c r="E508" s="172"/>
      <c r="G508" s="179"/>
    </row>
    <row r="509">
      <c r="B509" s="172"/>
      <c r="C509" s="414"/>
      <c r="D509" s="172"/>
      <c r="E509" s="172"/>
      <c r="G509" s="179"/>
    </row>
    <row r="510">
      <c r="B510" s="172"/>
      <c r="C510" s="414"/>
      <c r="D510" s="172"/>
      <c r="E510" s="172"/>
      <c r="G510" s="179"/>
    </row>
    <row r="511">
      <c r="B511" s="172"/>
      <c r="C511" s="414"/>
      <c r="D511" s="172"/>
      <c r="E511" s="172"/>
      <c r="G511" s="179"/>
    </row>
    <row r="512">
      <c r="B512" s="172"/>
      <c r="C512" s="414"/>
      <c r="D512" s="172"/>
      <c r="E512" s="172"/>
      <c r="G512" s="179"/>
    </row>
    <row r="513">
      <c r="B513" s="172"/>
      <c r="C513" s="414"/>
      <c r="D513" s="172"/>
      <c r="E513" s="172"/>
      <c r="G513" s="179"/>
    </row>
    <row r="514">
      <c r="B514" s="172"/>
      <c r="C514" s="414"/>
      <c r="D514" s="172"/>
      <c r="E514" s="172"/>
      <c r="G514" s="179"/>
    </row>
    <row r="515">
      <c r="B515" s="172"/>
      <c r="C515" s="414"/>
      <c r="D515" s="172"/>
      <c r="E515" s="172"/>
      <c r="G515" s="179"/>
    </row>
    <row r="516">
      <c r="B516" s="172"/>
      <c r="C516" s="414"/>
      <c r="D516" s="172"/>
      <c r="E516" s="172"/>
      <c r="G516" s="179"/>
    </row>
    <row r="517">
      <c r="B517" s="172"/>
      <c r="C517" s="414"/>
      <c r="D517" s="172"/>
      <c r="E517" s="172"/>
      <c r="G517" s="179"/>
    </row>
    <row r="518">
      <c r="B518" s="172"/>
      <c r="C518" s="414"/>
      <c r="D518" s="172"/>
      <c r="E518" s="172"/>
      <c r="G518" s="179"/>
    </row>
    <row r="519">
      <c r="B519" s="172"/>
      <c r="C519" s="414"/>
      <c r="D519" s="172"/>
      <c r="E519" s="172"/>
      <c r="G519" s="179"/>
    </row>
    <row r="520">
      <c r="B520" s="172"/>
      <c r="C520" s="414"/>
      <c r="D520" s="172"/>
      <c r="E520" s="172"/>
      <c r="G520" s="179"/>
    </row>
    <row r="521">
      <c r="B521" s="172"/>
      <c r="C521" s="414"/>
      <c r="D521" s="172"/>
      <c r="E521" s="172"/>
      <c r="G521" s="179"/>
    </row>
    <row r="522">
      <c r="B522" s="172"/>
      <c r="C522" s="414"/>
      <c r="D522" s="172"/>
      <c r="E522" s="172"/>
      <c r="G522" s="179"/>
    </row>
    <row r="523">
      <c r="B523" s="172"/>
      <c r="C523" s="414"/>
      <c r="D523" s="172"/>
      <c r="E523" s="172"/>
      <c r="G523" s="179"/>
    </row>
    <row r="524">
      <c r="B524" s="172"/>
      <c r="C524" s="414"/>
      <c r="D524" s="172"/>
      <c r="E524" s="172"/>
      <c r="G524" s="179"/>
    </row>
    <row r="525">
      <c r="B525" s="172"/>
      <c r="C525" s="414"/>
      <c r="D525" s="172"/>
      <c r="E525" s="172"/>
      <c r="G525" s="179"/>
    </row>
    <row r="526">
      <c r="B526" s="172"/>
      <c r="C526" s="414"/>
      <c r="D526" s="172"/>
      <c r="E526" s="172"/>
      <c r="G526" s="179"/>
    </row>
    <row r="527">
      <c r="B527" s="172"/>
      <c r="C527" s="414"/>
      <c r="D527" s="172"/>
      <c r="E527" s="172"/>
      <c r="G527" s="179"/>
    </row>
    <row r="528">
      <c r="B528" s="172"/>
      <c r="C528" s="414"/>
      <c r="D528" s="172"/>
      <c r="E528" s="172"/>
      <c r="G528" s="179"/>
    </row>
    <row r="529">
      <c r="B529" s="172"/>
      <c r="C529" s="414"/>
      <c r="D529" s="172"/>
      <c r="E529" s="172"/>
      <c r="G529" s="179"/>
    </row>
    <row r="530">
      <c r="B530" s="172"/>
      <c r="C530" s="414"/>
      <c r="D530" s="172"/>
      <c r="E530" s="172"/>
      <c r="G530" s="179"/>
    </row>
    <row r="531">
      <c r="B531" s="172"/>
      <c r="C531" s="414"/>
      <c r="D531" s="172"/>
      <c r="E531" s="172"/>
      <c r="G531" s="179"/>
    </row>
    <row r="532">
      <c r="B532" s="172"/>
      <c r="C532" s="414"/>
      <c r="D532" s="172"/>
      <c r="E532" s="172"/>
      <c r="G532" s="179"/>
    </row>
    <row r="533">
      <c r="B533" s="172"/>
      <c r="C533" s="414"/>
      <c r="D533" s="172"/>
      <c r="E533" s="172"/>
      <c r="G533" s="179"/>
    </row>
    <row r="534">
      <c r="B534" s="172"/>
      <c r="C534" s="414"/>
      <c r="D534" s="172"/>
      <c r="E534" s="172"/>
      <c r="G534" s="179"/>
    </row>
    <row r="535">
      <c r="B535" s="172"/>
      <c r="C535" s="414"/>
      <c r="D535" s="172"/>
      <c r="E535" s="172"/>
      <c r="G535" s="179"/>
    </row>
    <row r="536">
      <c r="B536" s="172"/>
      <c r="C536" s="414"/>
      <c r="D536" s="172"/>
      <c r="E536" s="172"/>
      <c r="G536" s="179"/>
    </row>
    <row r="537">
      <c r="B537" s="172"/>
      <c r="C537" s="414"/>
      <c r="D537" s="172"/>
      <c r="E537" s="172"/>
      <c r="G537" s="179"/>
    </row>
    <row r="538">
      <c r="B538" s="172"/>
      <c r="C538" s="414"/>
      <c r="D538" s="172"/>
      <c r="E538" s="172"/>
      <c r="G538" s="179"/>
    </row>
    <row r="539">
      <c r="B539" s="172"/>
      <c r="C539" s="414"/>
      <c r="D539" s="172"/>
      <c r="E539" s="172"/>
      <c r="G539" s="179"/>
    </row>
    <row r="540">
      <c r="B540" s="172"/>
      <c r="C540" s="414"/>
      <c r="D540" s="172"/>
      <c r="E540" s="172"/>
      <c r="G540" s="179"/>
    </row>
    <row r="541">
      <c r="B541" s="172"/>
      <c r="C541" s="414"/>
      <c r="D541" s="172"/>
      <c r="E541" s="172"/>
      <c r="G541" s="179"/>
    </row>
    <row r="542">
      <c r="B542" s="172"/>
      <c r="C542" s="414"/>
      <c r="D542" s="172"/>
      <c r="E542" s="172"/>
      <c r="G542" s="179"/>
    </row>
    <row r="543">
      <c r="B543" s="172"/>
      <c r="C543" s="414"/>
      <c r="D543" s="172"/>
      <c r="E543" s="172"/>
      <c r="G543" s="179"/>
    </row>
    <row r="544">
      <c r="B544" s="172"/>
      <c r="C544" s="414"/>
      <c r="D544" s="172"/>
      <c r="E544" s="172"/>
      <c r="G544" s="179"/>
    </row>
    <row r="545">
      <c r="B545" s="172"/>
      <c r="C545" s="414"/>
      <c r="D545" s="172"/>
      <c r="E545" s="172"/>
      <c r="G545" s="179"/>
    </row>
    <row r="546">
      <c r="B546" s="172"/>
      <c r="C546" s="414"/>
      <c r="D546" s="172"/>
      <c r="E546" s="172"/>
      <c r="G546" s="179"/>
    </row>
    <row r="547">
      <c r="B547" s="172"/>
      <c r="C547" s="414"/>
      <c r="D547" s="172"/>
      <c r="E547" s="172"/>
      <c r="G547" s="179"/>
    </row>
    <row r="548">
      <c r="B548" s="172"/>
      <c r="C548" s="414"/>
      <c r="D548" s="172"/>
      <c r="E548" s="172"/>
      <c r="G548" s="179"/>
    </row>
    <row r="549">
      <c r="B549" s="172"/>
      <c r="C549" s="414"/>
      <c r="D549" s="172"/>
      <c r="E549" s="172"/>
      <c r="G549" s="179"/>
    </row>
    <row r="550">
      <c r="B550" s="172"/>
      <c r="C550" s="414"/>
      <c r="D550" s="172"/>
      <c r="E550" s="172"/>
      <c r="G550" s="179"/>
    </row>
    <row r="551">
      <c r="B551" s="172"/>
      <c r="C551" s="414"/>
      <c r="D551" s="172"/>
      <c r="E551" s="172"/>
      <c r="G551" s="179"/>
    </row>
    <row r="552">
      <c r="B552" s="172"/>
      <c r="C552" s="414"/>
      <c r="D552" s="172"/>
      <c r="E552" s="172"/>
      <c r="G552" s="179"/>
    </row>
    <row r="553">
      <c r="B553" s="172"/>
      <c r="C553" s="414"/>
      <c r="D553" s="172"/>
      <c r="E553" s="172"/>
      <c r="G553" s="179"/>
    </row>
    <row r="554">
      <c r="B554" s="172"/>
      <c r="C554" s="414"/>
      <c r="D554" s="172"/>
      <c r="E554" s="172"/>
      <c r="G554" s="179"/>
    </row>
    <row r="555">
      <c r="B555" s="172"/>
      <c r="C555" s="414"/>
      <c r="D555" s="172"/>
      <c r="E555" s="172"/>
      <c r="G555" s="179"/>
    </row>
    <row r="556">
      <c r="B556" s="172"/>
      <c r="C556" s="414"/>
      <c r="D556" s="172"/>
      <c r="E556" s="172"/>
      <c r="G556" s="179"/>
    </row>
    <row r="557">
      <c r="B557" s="172"/>
      <c r="C557" s="414"/>
      <c r="D557" s="172"/>
      <c r="E557" s="172"/>
      <c r="G557" s="179"/>
    </row>
    <row r="558">
      <c r="B558" s="172"/>
      <c r="C558" s="414"/>
      <c r="D558" s="172"/>
      <c r="E558" s="172"/>
      <c r="G558" s="179"/>
    </row>
    <row r="559">
      <c r="B559" s="172"/>
      <c r="C559" s="414"/>
      <c r="D559" s="172"/>
      <c r="E559" s="172"/>
      <c r="G559" s="179"/>
    </row>
    <row r="560">
      <c r="B560" s="172"/>
      <c r="C560" s="414"/>
      <c r="D560" s="172"/>
      <c r="E560" s="172"/>
      <c r="G560" s="179"/>
    </row>
    <row r="561">
      <c r="B561" s="172"/>
      <c r="C561" s="414"/>
      <c r="D561" s="172"/>
      <c r="E561" s="172"/>
      <c r="G561" s="179"/>
    </row>
    <row r="562">
      <c r="B562" s="172"/>
      <c r="C562" s="414"/>
      <c r="D562" s="172"/>
      <c r="E562" s="172"/>
      <c r="G562" s="179"/>
    </row>
    <row r="563">
      <c r="B563" s="172"/>
      <c r="C563" s="414"/>
      <c r="D563" s="172"/>
      <c r="E563" s="172"/>
      <c r="G563" s="179"/>
    </row>
    <row r="564">
      <c r="B564" s="172"/>
      <c r="C564" s="414"/>
      <c r="D564" s="172"/>
      <c r="E564" s="172"/>
      <c r="G564" s="179"/>
    </row>
    <row r="565">
      <c r="B565" s="172"/>
      <c r="C565" s="414"/>
      <c r="D565" s="172"/>
      <c r="E565" s="172"/>
      <c r="G565" s="179"/>
    </row>
    <row r="566">
      <c r="B566" s="172"/>
      <c r="C566" s="414"/>
      <c r="D566" s="172"/>
      <c r="E566" s="172"/>
      <c r="G566" s="179"/>
    </row>
    <row r="567">
      <c r="B567" s="172"/>
      <c r="C567" s="414"/>
      <c r="D567" s="172"/>
      <c r="E567" s="172"/>
      <c r="G567" s="179"/>
    </row>
    <row r="568">
      <c r="B568" s="172"/>
      <c r="C568" s="414"/>
      <c r="D568" s="172"/>
      <c r="E568" s="172"/>
      <c r="G568" s="179"/>
    </row>
    <row r="569">
      <c r="B569" s="172"/>
      <c r="C569" s="414"/>
      <c r="D569" s="172"/>
      <c r="E569" s="172"/>
      <c r="G569" s="179"/>
    </row>
    <row r="570">
      <c r="B570" s="172"/>
      <c r="C570" s="414"/>
      <c r="D570" s="172"/>
      <c r="E570" s="172"/>
      <c r="G570" s="179"/>
    </row>
    <row r="571">
      <c r="B571" s="172"/>
      <c r="C571" s="414"/>
      <c r="D571" s="172"/>
      <c r="E571" s="172"/>
      <c r="G571" s="179"/>
    </row>
    <row r="572">
      <c r="B572" s="172"/>
      <c r="C572" s="414"/>
      <c r="D572" s="172"/>
      <c r="E572" s="172"/>
      <c r="G572" s="179"/>
    </row>
    <row r="573">
      <c r="B573" s="172"/>
      <c r="C573" s="414"/>
      <c r="D573" s="172"/>
      <c r="E573" s="172"/>
      <c r="G573" s="179"/>
    </row>
    <row r="574">
      <c r="B574" s="172"/>
      <c r="C574" s="414"/>
      <c r="D574" s="172"/>
      <c r="E574" s="172"/>
      <c r="G574" s="179"/>
    </row>
    <row r="575">
      <c r="B575" s="172"/>
      <c r="C575" s="414"/>
      <c r="D575" s="172"/>
      <c r="E575" s="172"/>
      <c r="G575" s="179"/>
    </row>
    <row r="576">
      <c r="B576" s="172"/>
      <c r="C576" s="414"/>
      <c r="D576" s="172"/>
      <c r="E576" s="172"/>
      <c r="G576" s="179"/>
    </row>
    <row r="577">
      <c r="B577" s="172"/>
      <c r="C577" s="414"/>
      <c r="D577" s="172"/>
      <c r="E577" s="172"/>
      <c r="G577" s="179"/>
    </row>
    <row r="578">
      <c r="B578" s="172"/>
      <c r="C578" s="414"/>
      <c r="D578" s="172"/>
      <c r="E578" s="172"/>
      <c r="G578" s="179"/>
    </row>
    <row r="579">
      <c r="B579" s="172"/>
      <c r="C579" s="414"/>
      <c r="D579" s="172"/>
      <c r="E579" s="172"/>
      <c r="G579" s="179"/>
    </row>
    <row r="580">
      <c r="B580" s="172"/>
      <c r="C580" s="414"/>
      <c r="D580" s="172"/>
      <c r="E580" s="172"/>
      <c r="G580" s="179"/>
    </row>
    <row r="581">
      <c r="B581" s="172"/>
      <c r="C581" s="414"/>
      <c r="D581" s="172"/>
      <c r="E581" s="172"/>
      <c r="G581" s="179"/>
    </row>
    <row r="582">
      <c r="B582" s="172"/>
      <c r="C582" s="414"/>
      <c r="D582" s="172"/>
      <c r="E582" s="172"/>
      <c r="G582" s="179"/>
    </row>
    <row r="583">
      <c r="B583" s="172"/>
      <c r="C583" s="414"/>
      <c r="D583" s="172"/>
      <c r="E583" s="172"/>
      <c r="G583" s="179"/>
    </row>
    <row r="584">
      <c r="B584" s="172"/>
      <c r="C584" s="414"/>
      <c r="D584" s="172"/>
      <c r="E584" s="172"/>
      <c r="G584" s="179"/>
    </row>
    <row r="585">
      <c r="B585" s="172"/>
      <c r="C585" s="414"/>
      <c r="D585" s="172"/>
      <c r="E585" s="172"/>
      <c r="G585" s="179"/>
    </row>
    <row r="586">
      <c r="B586" s="172"/>
      <c r="C586" s="414"/>
      <c r="D586" s="172"/>
      <c r="E586" s="172"/>
      <c r="G586" s="179"/>
    </row>
    <row r="587">
      <c r="B587" s="172"/>
      <c r="C587" s="414"/>
      <c r="D587" s="172"/>
      <c r="E587" s="172"/>
      <c r="G587" s="179"/>
    </row>
    <row r="588">
      <c r="B588" s="172"/>
      <c r="C588" s="414"/>
      <c r="D588" s="172"/>
      <c r="E588" s="172"/>
      <c r="G588" s="179"/>
    </row>
    <row r="589">
      <c r="B589" s="172"/>
      <c r="C589" s="414"/>
      <c r="D589" s="172"/>
      <c r="E589" s="172"/>
      <c r="G589" s="179"/>
    </row>
    <row r="590">
      <c r="B590" s="172"/>
      <c r="C590" s="414"/>
      <c r="D590" s="172"/>
      <c r="E590" s="172"/>
      <c r="G590" s="179"/>
    </row>
    <row r="591">
      <c r="B591" s="172"/>
      <c r="C591" s="414"/>
      <c r="D591" s="172"/>
      <c r="E591" s="172"/>
      <c r="G591" s="179"/>
    </row>
    <row r="592">
      <c r="B592" s="172"/>
      <c r="C592" s="414"/>
      <c r="D592" s="172"/>
      <c r="E592" s="172"/>
      <c r="G592" s="179"/>
    </row>
    <row r="593">
      <c r="B593" s="172"/>
      <c r="C593" s="414"/>
      <c r="D593" s="172"/>
      <c r="E593" s="172"/>
      <c r="G593" s="179"/>
    </row>
    <row r="594">
      <c r="B594" s="172"/>
      <c r="C594" s="414"/>
      <c r="D594" s="172"/>
      <c r="E594" s="172"/>
      <c r="G594" s="179"/>
    </row>
    <row r="595">
      <c r="B595" s="172"/>
      <c r="C595" s="414"/>
      <c r="D595" s="172"/>
      <c r="E595" s="172"/>
      <c r="G595" s="179"/>
    </row>
    <row r="596">
      <c r="B596" s="172"/>
      <c r="C596" s="414"/>
      <c r="D596" s="172"/>
      <c r="E596" s="172"/>
      <c r="G596" s="179"/>
    </row>
    <row r="597">
      <c r="B597" s="172"/>
      <c r="C597" s="414"/>
      <c r="D597" s="172"/>
      <c r="E597" s="172"/>
      <c r="G597" s="179"/>
    </row>
    <row r="598">
      <c r="B598" s="172"/>
      <c r="C598" s="414"/>
      <c r="D598" s="172"/>
      <c r="E598" s="172"/>
      <c r="G598" s="179"/>
    </row>
    <row r="599">
      <c r="B599" s="172"/>
      <c r="C599" s="414"/>
      <c r="D599" s="172"/>
      <c r="E599" s="172"/>
      <c r="G599" s="179"/>
    </row>
    <row r="600">
      <c r="B600" s="172"/>
      <c r="C600" s="414"/>
      <c r="D600" s="172"/>
      <c r="E600" s="172"/>
      <c r="G600" s="179"/>
    </row>
    <row r="601">
      <c r="B601" s="172"/>
      <c r="C601" s="414"/>
      <c r="D601" s="172"/>
      <c r="E601" s="172"/>
      <c r="G601" s="179"/>
    </row>
    <row r="602">
      <c r="B602" s="172"/>
      <c r="C602" s="414"/>
      <c r="D602" s="172"/>
      <c r="E602" s="172"/>
      <c r="G602" s="179"/>
    </row>
    <row r="603">
      <c r="B603" s="172"/>
      <c r="C603" s="414"/>
      <c r="D603" s="172"/>
      <c r="E603" s="172"/>
      <c r="G603" s="179"/>
    </row>
    <row r="604">
      <c r="B604" s="172"/>
      <c r="C604" s="414"/>
      <c r="D604" s="172"/>
      <c r="E604" s="172"/>
      <c r="G604" s="179"/>
    </row>
    <row r="605">
      <c r="B605" s="172"/>
      <c r="C605" s="414"/>
      <c r="D605" s="172"/>
      <c r="E605" s="172"/>
      <c r="G605" s="179"/>
    </row>
    <row r="606">
      <c r="B606" s="172"/>
      <c r="C606" s="414"/>
      <c r="D606" s="172"/>
      <c r="E606" s="172"/>
      <c r="G606" s="179"/>
    </row>
    <row r="607">
      <c r="B607" s="172"/>
      <c r="C607" s="414"/>
      <c r="D607" s="172"/>
      <c r="E607" s="172"/>
      <c r="G607" s="179"/>
    </row>
    <row r="608">
      <c r="B608" s="172"/>
      <c r="C608" s="414"/>
      <c r="D608" s="172"/>
      <c r="E608" s="172"/>
      <c r="G608" s="179"/>
    </row>
    <row r="609">
      <c r="B609" s="172"/>
      <c r="C609" s="414"/>
      <c r="D609" s="172"/>
      <c r="E609" s="172"/>
      <c r="G609" s="179"/>
    </row>
    <row r="610">
      <c r="B610" s="172"/>
      <c r="C610" s="414"/>
      <c r="D610" s="172"/>
      <c r="E610" s="172"/>
      <c r="G610" s="179"/>
    </row>
    <row r="611">
      <c r="B611" s="172"/>
      <c r="C611" s="414"/>
      <c r="D611" s="172"/>
      <c r="E611" s="172"/>
      <c r="G611" s="179"/>
    </row>
    <row r="612">
      <c r="B612" s="172"/>
      <c r="C612" s="414"/>
      <c r="D612" s="172"/>
      <c r="E612" s="172"/>
      <c r="G612" s="179"/>
    </row>
    <row r="613">
      <c r="B613" s="172"/>
      <c r="C613" s="414"/>
      <c r="D613" s="172"/>
      <c r="E613" s="172"/>
      <c r="G613" s="179"/>
    </row>
    <row r="614">
      <c r="B614" s="172"/>
      <c r="C614" s="414"/>
      <c r="D614" s="172"/>
      <c r="E614" s="172"/>
      <c r="G614" s="179"/>
    </row>
    <row r="615">
      <c r="B615" s="172"/>
      <c r="C615" s="414"/>
      <c r="D615" s="172"/>
      <c r="E615" s="172"/>
      <c r="G615" s="179"/>
    </row>
    <row r="616">
      <c r="B616" s="172"/>
      <c r="C616" s="414"/>
      <c r="D616" s="172"/>
      <c r="E616" s="172"/>
      <c r="G616" s="179"/>
    </row>
    <row r="617">
      <c r="B617" s="172"/>
      <c r="C617" s="414"/>
      <c r="D617" s="172"/>
      <c r="E617" s="172"/>
      <c r="G617" s="179"/>
    </row>
    <row r="618">
      <c r="B618" s="172"/>
      <c r="C618" s="414"/>
      <c r="D618" s="172"/>
      <c r="E618" s="172"/>
      <c r="G618" s="179"/>
    </row>
    <row r="619">
      <c r="B619" s="172"/>
      <c r="C619" s="414"/>
      <c r="D619" s="172"/>
      <c r="E619" s="172"/>
      <c r="G619" s="179"/>
    </row>
    <row r="620">
      <c r="B620" s="172"/>
      <c r="C620" s="414"/>
      <c r="D620" s="172"/>
      <c r="E620" s="172"/>
      <c r="G620" s="179"/>
    </row>
    <row r="621">
      <c r="B621" s="172"/>
      <c r="C621" s="414"/>
      <c r="D621" s="172"/>
      <c r="E621" s="172"/>
      <c r="G621" s="179"/>
    </row>
    <row r="622">
      <c r="B622" s="172"/>
      <c r="C622" s="414"/>
      <c r="D622" s="172"/>
      <c r="E622" s="172"/>
      <c r="G622" s="179"/>
    </row>
    <row r="623">
      <c r="B623" s="172"/>
      <c r="C623" s="414"/>
      <c r="D623" s="172"/>
      <c r="E623" s="172"/>
      <c r="G623" s="179"/>
    </row>
    <row r="624">
      <c r="B624" s="172"/>
      <c r="C624" s="414"/>
      <c r="D624" s="172"/>
      <c r="E624" s="172"/>
      <c r="G624" s="179"/>
    </row>
    <row r="625">
      <c r="B625" s="172"/>
      <c r="C625" s="414"/>
      <c r="D625" s="172"/>
      <c r="E625" s="172"/>
      <c r="G625" s="179"/>
    </row>
    <row r="626">
      <c r="B626" s="172"/>
      <c r="C626" s="414"/>
      <c r="D626" s="172"/>
      <c r="E626" s="172"/>
      <c r="G626" s="179"/>
    </row>
    <row r="627">
      <c r="B627" s="172"/>
      <c r="C627" s="414"/>
      <c r="D627" s="172"/>
      <c r="E627" s="172"/>
      <c r="G627" s="179"/>
    </row>
    <row r="628">
      <c r="B628" s="172"/>
      <c r="C628" s="414"/>
      <c r="D628" s="172"/>
      <c r="E628" s="172"/>
      <c r="G628" s="179"/>
    </row>
    <row r="629">
      <c r="B629" s="172"/>
      <c r="C629" s="414"/>
      <c r="D629" s="172"/>
      <c r="E629" s="172"/>
      <c r="G629" s="179"/>
    </row>
    <row r="630">
      <c r="B630" s="172"/>
      <c r="C630" s="414"/>
      <c r="D630" s="172"/>
      <c r="E630" s="172"/>
      <c r="G630" s="179"/>
    </row>
    <row r="631">
      <c r="B631" s="172"/>
      <c r="C631" s="414"/>
      <c r="D631" s="172"/>
      <c r="E631" s="172"/>
      <c r="G631" s="179"/>
    </row>
    <row r="632">
      <c r="B632" s="172"/>
      <c r="C632" s="414"/>
      <c r="D632" s="172"/>
      <c r="E632" s="172"/>
      <c r="G632" s="179"/>
    </row>
    <row r="633">
      <c r="B633" s="172"/>
      <c r="C633" s="414"/>
      <c r="D633" s="172"/>
      <c r="E633" s="172"/>
      <c r="G633" s="179"/>
    </row>
    <row r="634">
      <c r="B634" s="172"/>
      <c r="C634" s="414"/>
      <c r="D634" s="172"/>
      <c r="E634" s="172"/>
      <c r="G634" s="179"/>
    </row>
    <row r="635">
      <c r="B635" s="172"/>
      <c r="C635" s="414"/>
      <c r="D635" s="172"/>
      <c r="E635" s="172"/>
      <c r="G635" s="179"/>
    </row>
    <row r="636">
      <c r="B636" s="172"/>
      <c r="C636" s="414"/>
      <c r="D636" s="172"/>
      <c r="E636" s="172"/>
      <c r="G636" s="179"/>
    </row>
    <row r="637">
      <c r="B637" s="172"/>
      <c r="C637" s="414"/>
      <c r="D637" s="172"/>
      <c r="E637" s="172"/>
      <c r="G637" s="179"/>
    </row>
    <row r="638">
      <c r="B638" s="172"/>
      <c r="C638" s="414"/>
      <c r="D638" s="172"/>
      <c r="E638" s="172"/>
      <c r="G638" s="179"/>
    </row>
    <row r="639">
      <c r="B639" s="172"/>
      <c r="C639" s="414"/>
      <c r="D639" s="172"/>
      <c r="E639" s="172"/>
      <c r="G639" s="179"/>
    </row>
    <row r="640">
      <c r="B640" s="172"/>
      <c r="C640" s="414"/>
      <c r="D640" s="172"/>
      <c r="E640" s="172"/>
      <c r="G640" s="179"/>
    </row>
    <row r="641">
      <c r="B641" s="172"/>
      <c r="C641" s="414"/>
      <c r="D641" s="172"/>
      <c r="E641" s="172"/>
      <c r="G641" s="179"/>
    </row>
    <row r="642">
      <c r="B642" s="172"/>
      <c r="C642" s="414"/>
      <c r="D642" s="172"/>
      <c r="E642" s="172"/>
      <c r="G642" s="179"/>
    </row>
    <row r="643">
      <c r="B643" s="172"/>
      <c r="C643" s="414"/>
      <c r="D643" s="172"/>
      <c r="E643" s="172"/>
      <c r="G643" s="179"/>
    </row>
    <row r="644">
      <c r="B644" s="172"/>
      <c r="C644" s="414"/>
      <c r="D644" s="172"/>
      <c r="E644" s="172"/>
      <c r="G644" s="179"/>
    </row>
    <row r="645">
      <c r="B645" s="172"/>
      <c r="C645" s="414"/>
      <c r="D645" s="172"/>
      <c r="E645" s="172"/>
      <c r="G645" s="179"/>
    </row>
    <row r="646">
      <c r="B646" s="172"/>
      <c r="C646" s="414"/>
      <c r="D646" s="172"/>
      <c r="E646" s="172"/>
      <c r="G646" s="179"/>
    </row>
    <row r="647">
      <c r="B647" s="172"/>
      <c r="C647" s="414"/>
      <c r="D647" s="172"/>
      <c r="E647" s="172"/>
      <c r="G647" s="179"/>
    </row>
    <row r="648">
      <c r="B648" s="172"/>
      <c r="C648" s="414"/>
      <c r="D648" s="172"/>
      <c r="E648" s="172"/>
      <c r="G648" s="179"/>
    </row>
    <row r="649">
      <c r="B649" s="172"/>
      <c r="C649" s="414"/>
      <c r="D649" s="172"/>
      <c r="E649" s="172"/>
      <c r="G649" s="179"/>
    </row>
    <row r="650">
      <c r="B650" s="172"/>
      <c r="C650" s="414"/>
      <c r="D650" s="172"/>
      <c r="E650" s="172"/>
      <c r="G650" s="179"/>
    </row>
    <row r="651">
      <c r="B651" s="172"/>
      <c r="C651" s="414"/>
      <c r="D651" s="172"/>
      <c r="E651" s="172"/>
      <c r="G651" s="179"/>
    </row>
    <row r="652">
      <c r="B652" s="172"/>
      <c r="C652" s="414"/>
      <c r="D652" s="172"/>
      <c r="E652" s="172"/>
      <c r="G652" s="179"/>
    </row>
    <row r="653">
      <c r="B653" s="172"/>
      <c r="C653" s="414"/>
      <c r="D653" s="172"/>
      <c r="E653" s="172"/>
      <c r="G653" s="179"/>
    </row>
    <row r="654">
      <c r="B654" s="172"/>
      <c r="C654" s="414"/>
      <c r="D654" s="172"/>
      <c r="E654" s="172"/>
      <c r="G654" s="179"/>
    </row>
    <row r="655">
      <c r="B655" s="172"/>
      <c r="C655" s="414"/>
      <c r="D655" s="172"/>
      <c r="E655" s="172"/>
      <c r="G655" s="179"/>
    </row>
    <row r="656">
      <c r="B656" s="172"/>
      <c r="C656" s="414"/>
      <c r="D656" s="172"/>
      <c r="E656" s="172"/>
      <c r="G656" s="179"/>
    </row>
    <row r="657">
      <c r="B657" s="172"/>
      <c r="C657" s="414"/>
      <c r="D657" s="172"/>
      <c r="E657" s="172"/>
      <c r="G657" s="179"/>
    </row>
    <row r="658">
      <c r="B658" s="172"/>
      <c r="C658" s="414"/>
      <c r="D658" s="172"/>
      <c r="E658" s="172"/>
      <c r="G658" s="179"/>
    </row>
    <row r="659">
      <c r="B659" s="172"/>
      <c r="C659" s="414"/>
      <c r="D659" s="172"/>
      <c r="E659" s="172"/>
      <c r="G659" s="179"/>
    </row>
    <row r="660">
      <c r="B660" s="172"/>
      <c r="C660" s="414"/>
      <c r="D660" s="172"/>
      <c r="E660" s="172"/>
      <c r="G660" s="179"/>
    </row>
    <row r="661">
      <c r="B661" s="172"/>
      <c r="C661" s="414"/>
      <c r="D661" s="172"/>
      <c r="E661" s="172"/>
      <c r="G661" s="179"/>
    </row>
    <row r="662">
      <c r="B662" s="172"/>
      <c r="C662" s="414"/>
      <c r="D662" s="172"/>
      <c r="E662" s="172"/>
      <c r="G662" s="179"/>
    </row>
    <row r="663">
      <c r="B663" s="172"/>
      <c r="C663" s="414"/>
      <c r="D663" s="172"/>
      <c r="E663" s="172"/>
      <c r="G663" s="179"/>
    </row>
    <row r="664">
      <c r="B664" s="172"/>
      <c r="C664" s="414"/>
      <c r="D664" s="172"/>
      <c r="E664" s="172"/>
      <c r="G664" s="179"/>
    </row>
    <row r="665">
      <c r="B665" s="172"/>
      <c r="C665" s="414"/>
      <c r="D665" s="172"/>
      <c r="E665" s="172"/>
      <c r="G665" s="179"/>
    </row>
    <row r="666">
      <c r="B666" s="172"/>
      <c r="C666" s="414"/>
      <c r="D666" s="172"/>
      <c r="E666" s="172"/>
      <c r="G666" s="179"/>
    </row>
    <row r="667">
      <c r="B667" s="172"/>
      <c r="C667" s="414"/>
      <c r="D667" s="172"/>
      <c r="E667" s="172"/>
      <c r="G667" s="179"/>
    </row>
    <row r="668">
      <c r="B668" s="172"/>
      <c r="C668" s="414"/>
      <c r="D668" s="172"/>
      <c r="E668" s="172"/>
      <c r="G668" s="179"/>
    </row>
    <row r="669">
      <c r="B669" s="172"/>
      <c r="C669" s="414"/>
      <c r="D669" s="172"/>
      <c r="E669" s="172"/>
      <c r="G669" s="179"/>
    </row>
    <row r="670">
      <c r="B670" s="172"/>
      <c r="C670" s="414"/>
      <c r="D670" s="172"/>
      <c r="E670" s="172"/>
      <c r="G670" s="179"/>
    </row>
    <row r="671">
      <c r="B671" s="172"/>
      <c r="C671" s="414"/>
      <c r="D671" s="172"/>
      <c r="E671" s="172"/>
      <c r="G671" s="179"/>
    </row>
    <row r="672">
      <c r="B672" s="172"/>
      <c r="C672" s="414"/>
      <c r="D672" s="172"/>
      <c r="E672" s="172"/>
      <c r="G672" s="179"/>
    </row>
    <row r="673">
      <c r="B673" s="172"/>
      <c r="C673" s="414"/>
      <c r="D673" s="172"/>
      <c r="E673" s="172"/>
      <c r="G673" s="179"/>
    </row>
    <row r="674">
      <c r="B674" s="172"/>
      <c r="C674" s="414"/>
      <c r="D674" s="172"/>
      <c r="E674" s="172"/>
      <c r="G674" s="179"/>
    </row>
    <row r="675">
      <c r="B675" s="172"/>
      <c r="C675" s="414"/>
      <c r="D675" s="172"/>
      <c r="E675" s="172"/>
      <c r="G675" s="179"/>
    </row>
    <row r="676">
      <c r="B676" s="172"/>
      <c r="C676" s="414"/>
      <c r="D676" s="172"/>
      <c r="E676" s="172"/>
      <c r="G676" s="179"/>
    </row>
    <row r="677">
      <c r="B677" s="172"/>
      <c r="C677" s="414"/>
      <c r="D677" s="172"/>
      <c r="E677" s="172"/>
      <c r="G677" s="179"/>
    </row>
    <row r="678">
      <c r="B678" s="172"/>
      <c r="C678" s="414"/>
      <c r="D678" s="172"/>
      <c r="E678" s="172"/>
      <c r="G678" s="179"/>
    </row>
    <row r="679">
      <c r="B679" s="172"/>
      <c r="C679" s="414"/>
      <c r="D679" s="172"/>
      <c r="E679" s="172"/>
      <c r="G679" s="179"/>
    </row>
    <row r="680">
      <c r="B680" s="172"/>
      <c r="C680" s="414"/>
      <c r="D680" s="172"/>
      <c r="E680" s="172"/>
      <c r="G680" s="179"/>
    </row>
    <row r="681">
      <c r="B681" s="172"/>
      <c r="C681" s="414"/>
      <c r="D681" s="172"/>
      <c r="E681" s="172"/>
      <c r="G681" s="179"/>
    </row>
    <row r="682">
      <c r="B682" s="172"/>
      <c r="C682" s="414"/>
      <c r="D682" s="172"/>
      <c r="E682" s="172"/>
      <c r="G682" s="179"/>
    </row>
    <row r="683">
      <c r="B683" s="172"/>
      <c r="C683" s="414"/>
      <c r="D683" s="172"/>
      <c r="E683" s="172"/>
      <c r="G683" s="179"/>
    </row>
    <row r="684">
      <c r="B684" s="172"/>
      <c r="C684" s="414"/>
      <c r="D684" s="172"/>
      <c r="E684" s="172"/>
      <c r="G684" s="179"/>
    </row>
    <row r="685">
      <c r="B685" s="172"/>
      <c r="C685" s="414"/>
      <c r="D685" s="172"/>
      <c r="E685" s="172"/>
      <c r="G685" s="179"/>
    </row>
    <row r="686">
      <c r="B686" s="172"/>
      <c r="C686" s="414"/>
      <c r="D686" s="172"/>
      <c r="E686" s="172"/>
      <c r="G686" s="179"/>
    </row>
    <row r="687">
      <c r="B687" s="172"/>
      <c r="C687" s="414"/>
      <c r="D687" s="172"/>
      <c r="E687" s="172"/>
      <c r="G687" s="179"/>
    </row>
    <row r="688">
      <c r="B688" s="172"/>
      <c r="C688" s="414"/>
      <c r="D688" s="172"/>
      <c r="E688" s="172"/>
      <c r="G688" s="179"/>
    </row>
    <row r="689">
      <c r="B689" s="172"/>
      <c r="C689" s="414"/>
      <c r="D689" s="172"/>
      <c r="E689" s="172"/>
      <c r="G689" s="179"/>
    </row>
    <row r="690">
      <c r="B690" s="172"/>
      <c r="C690" s="414"/>
      <c r="D690" s="172"/>
      <c r="E690" s="172"/>
      <c r="G690" s="179"/>
    </row>
    <row r="691">
      <c r="B691" s="172"/>
      <c r="C691" s="414"/>
      <c r="D691" s="172"/>
      <c r="E691" s="172"/>
      <c r="G691" s="179"/>
    </row>
    <row r="692">
      <c r="B692" s="172"/>
      <c r="C692" s="414"/>
      <c r="D692" s="172"/>
      <c r="E692" s="172"/>
      <c r="G692" s="179"/>
    </row>
    <row r="693">
      <c r="B693" s="172"/>
      <c r="C693" s="414"/>
      <c r="D693" s="172"/>
      <c r="E693" s="172"/>
      <c r="G693" s="179"/>
    </row>
    <row r="694">
      <c r="B694" s="172"/>
      <c r="C694" s="414"/>
      <c r="D694" s="172"/>
      <c r="E694" s="172"/>
      <c r="G694" s="179"/>
    </row>
    <row r="695">
      <c r="B695" s="172"/>
      <c r="C695" s="414"/>
      <c r="D695" s="172"/>
      <c r="E695" s="172"/>
      <c r="G695" s="179"/>
    </row>
    <row r="696">
      <c r="B696" s="172"/>
      <c r="C696" s="414"/>
      <c r="D696" s="172"/>
      <c r="E696" s="172"/>
      <c r="G696" s="179"/>
    </row>
    <row r="697">
      <c r="B697" s="172"/>
      <c r="C697" s="414"/>
      <c r="D697" s="172"/>
      <c r="E697" s="172"/>
      <c r="G697" s="179"/>
    </row>
    <row r="698">
      <c r="B698" s="172"/>
      <c r="C698" s="414"/>
      <c r="D698" s="172"/>
      <c r="E698" s="172"/>
      <c r="G698" s="179"/>
    </row>
    <row r="699">
      <c r="B699" s="172"/>
      <c r="C699" s="414"/>
      <c r="D699" s="172"/>
      <c r="E699" s="172"/>
      <c r="G699" s="179"/>
    </row>
    <row r="700">
      <c r="B700" s="172"/>
      <c r="C700" s="414"/>
      <c r="D700" s="172"/>
      <c r="E700" s="172"/>
      <c r="G700" s="179"/>
    </row>
    <row r="701">
      <c r="B701" s="172"/>
      <c r="C701" s="414"/>
      <c r="D701" s="172"/>
      <c r="E701" s="172"/>
      <c r="G701" s="179"/>
    </row>
    <row r="702">
      <c r="B702" s="172"/>
      <c r="C702" s="414"/>
      <c r="D702" s="172"/>
      <c r="E702" s="172"/>
      <c r="G702" s="179"/>
    </row>
    <row r="703">
      <c r="B703" s="172"/>
      <c r="C703" s="414"/>
      <c r="D703" s="172"/>
      <c r="E703" s="172"/>
      <c r="G703" s="179"/>
    </row>
    <row r="704">
      <c r="B704" s="172"/>
      <c r="C704" s="414"/>
      <c r="D704" s="172"/>
      <c r="E704" s="172"/>
      <c r="G704" s="179"/>
    </row>
    <row r="705">
      <c r="B705" s="172"/>
      <c r="C705" s="414"/>
      <c r="D705" s="172"/>
      <c r="E705" s="172"/>
      <c r="G705" s="179"/>
    </row>
    <row r="706">
      <c r="B706" s="172"/>
      <c r="C706" s="414"/>
      <c r="D706" s="172"/>
      <c r="E706" s="172"/>
      <c r="G706" s="179"/>
    </row>
    <row r="707">
      <c r="B707" s="172"/>
      <c r="C707" s="414"/>
      <c r="D707" s="172"/>
      <c r="E707" s="172"/>
      <c r="G707" s="179"/>
    </row>
    <row r="708">
      <c r="B708" s="172"/>
      <c r="C708" s="414"/>
      <c r="D708" s="172"/>
      <c r="E708" s="172"/>
      <c r="G708" s="179"/>
    </row>
    <row r="709">
      <c r="B709" s="172"/>
      <c r="C709" s="414"/>
      <c r="D709" s="172"/>
      <c r="E709" s="172"/>
      <c r="G709" s="179"/>
    </row>
    <row r="710">
      <c r="B710" s="172"/>
      <c r="C710" s="414"/>
      <c r="D710" s="172"/>
      <c r="E710" s="172"/>
      <c r="G710" s="179"/>
    </row>
    <row r="711">
      <c r="B711" s="172"/>
      <c r="C711" s="414"/>
      <c r="D711" s="172"/>
      <c r="E711" s="172"/>
      <c r="G711" s="179"/>
    </row>
    <row r="712">
      <c r="B712" s="172"/>
      <c r="C712" s="414"/>
      <c r="D712" s="172"/>
      <c r="E712" s="172"/>
      <c r="G712" s="179"/>
    </row>
    <row r="713">
      <c r="B713" s="172"/>
      <c r="C713" s="414"/>
      <c r="D713" s="172"/>
      <c r="E713" s="172"/>
      <c r="G713" s="179"/>
    </row>
    <row r="714">
      <c r="B714" s="172"/>
      <c r="C714" s="414"/>
      <c r="D714" s="172"/>
      <c r="E714" s="172"/>
      <c r="G714" s="179"/>
    </row>
    <row r="715">
      <c r="B715" s="172"/>
      <c r="C715" s="414"/>
      <c r="D715" s="172"/>
      <c r="E715" s="172"/>
      <c r="G715" s="179"/>
    </row>
    <row r="716">
      <c r="B716" s="172"/>
      <c r="C716" s="414"/>
      <c r="D716" s="172"/>
      <c r="E716" s="172"/>
      <c r="G716" s="179"/>
    </row>
    <row r="717">
      <c r="B717" s="172"/>
      <c r="C717" s="414"/>
      <c r="D717" s="172"/>
      <c r="E717" s="172"/>
      <c r="G717" s="179"/>
    </row>
    <row r="718">
      <c r="B718" s="172"/>
      <c r="C718" s="414"/>
      <c r="D718" s="172"/>
      <c r="E718" s="172"/>
      <c r="G718" s="179"/>
    </row>
    <row r="719">
      <c r="B719" s="172"/>
      <c r="C719" s="414"/>
      <c r="D719" s="172"/>
      <c r="E719" s="172"/>
      <c r="G719" s="179"/>
    </row>
    <row r="720">
      <c r="B720" s="172"/>
      <c r="C720" s="414"/>
      <c r="D720" s="172"/>
      <c r="E720" s="172"/>
      <c r="G720" s="179"/>
    </row>
    <row r="721">
      <c r="B721" s="172"/>
      <c r="C721" s="414"/>
      <c r="D721" s="172"/>
      <c r="E721" s="172"/>
      <c r="G721" s="179"/>
    </row>
    <row r="722">
      <c r="B722" s="172"/>
      <c r="C722" s="414"/>
      <c r="D722" s="172"/>
      <c r="E722" s="172"/>
      <c r="G722" s="179"/>
    </row>
    <row r="723">
      <c r="B723" s="172"/>
      <c r="C723" s="414"/>
      <c r="D723" s="172"/>
      <c r="E723" s="172"/>
      <c r="G723" s="179"/>
    </row>
    <row r="724">
      <c r="B724" s="172"/>
      <c r="C724" s="414"/>
      <c r="D724" s="172"/>
      <c r="E724" s="172"/>
      <c r="G724" s="179"/>
    </row>
    <row r="725">
      <c r="B725" s="172"/>
      <c r="C725" s="414"/>
      <c r="D725" s="172"/>
      <c r="E725" s="172"/>
      <c r="G725" s="179"/>
    </row>
    <row r="726">
      <c r="B726" s="172"/>
      <c r="C726" s="414"/>
      <c r="D726" s="172"/>
      <c r="E726" s="172"/>
      <c r="G726" s="179"/>
    </row>
    <row r="727">
      <c r="B727" s="172"/>
      <c r="C727" s="414"/>
      <c r="D727" s="172"/>
      <c r="E727" s="172"/>
      <c r="G727" s="179"/>
    </row>
    <row r="728">
      <c r="B728" s="172"/>
      <c r="C728" s="414"/>
      <c r="D728" s="172"/>
      <c r="E728" s="172"/>
      <c r="G728" s="179"/>
    </row>
    <row r="729">
      <c r="B729" s="172"/>
      <c r="C729" s="414"/>
      <c r="D729" s="172"/>
      <c r="E729" s="172"/>
      <c r="G729" s="179"/>
    </row>
    <row r="730">
      <c r="B730" s="172"/>
      <c r="C730" s="414"/>
      <c r="D730" s="172"/>
      <c r="E730" s="172"/>
      <c r="G730" s="179"/>
    </row>
    <row r="731">
      <c r="B731" s="172"/>
      <c r="C731" s="414"/>
      <c r="D731" s="172"/>
      <c r="E731" s="172"/>
      <c r="G731" s="179"/>
    </row>
    <row r="732">
      <c r="B732" s="172"/>
      <c r="C732" s="414"/>
      <c r="D732" s="172"/>
      <c r="E732" s="172"/>
      <c r="G732" s="179"/>
    </row>
    <row r="733">
      <c r="B733" s="172"/>
      <c r="C733" s="414"/>
      <c r="D733" s="172"/>
      <c r="E733" s="172"/>
      <c r="G733" s="179"/>
    </row>
    <row r="734">
      <c r="B734" s="172"/>
      <c r="C734" s="414"/>
      <c r="D734" s="172"/>
      <c r="E734" s="172"/>
      <c r="G734" s="179"/>
    </row>
    <row r="735">
      <c r="B735" s="172"/>
      <c r="C735" s="414"/>
      <c r="D735" s="172"/>
      <c r="E735" s="172"/>
      <c r="G735" s="179"/>
    </row>
    <row r="736">
      <c r="B736" s="172"/>
      <c r="C736" s="414"/>
      <c r="D736" s="172"/>
      <c r="E736" s="172"/>
      <c r="G736" s="179"/>
    </row>
    <row r="737">
      <c r="B737" s="172"/>
      <c r="C737" s="414"/>
      <c r="D737" s="172"/>
      <c r="E737" s="172"/>
      <c r="G737" s="179"/>
    </row>
    <row r="738">
      <c r="B738" s="172"/>
      <c r="C738" s="414"/>
      <c r="D738" s="172"/>
      <c r="E738" s="172"/>
      <c r="G738" s="179"/>
    </row>
    <row r="739">
      <c r="B739" s="172"/>
      <c r="C739" s="414"/>
      <c r="D739" s="172"/>
      <c r="E739" s="172"/>
      <c r="G739" s="179"/>
    </row>
    <row r="740">
      <c r="B740" s="172"/>
      <c r="C740" s="414"/>
      <c r="D740" s="172"/>
      <c r="E740" s="172"/>
      <c r="G740" s="179"/>
    </row>
    <row r="741">
      <c r="B741" s="172"/>
      <c r="C741" s="414"/>
      <c r="D741" s="172"/>
      <c r="E741" s="172"/>
      <c r="G741" s="179"/>
    </row>
    <row r="742">
      <c r="B742" s="172"/>
      <c r="C742" s="414"/>
      <c r="D742" s="172"/>
      <c r="E742" s="172"/>
      <c r="G742" s="179"/>
    </row>
    <row r="743">
      <c r="B743" s="172"/>
      <c r="C743" s="414"/>
      <c r="D743" s="172"/>
      <c r="E743" s="172"/>
      <c r="G743" s="179"/>
    </row>
    <row r="744">
      <c r="B744" s="172"/>
      <c r="C744" s="414"/>
      <c r="D744" s="172"/>
      <c r="E744" s="172"/>
      <c r="G744" s="179"/>
    </row>
    <row r="745">
      <c r="B745" s="172"/>
      <c r="C745" s="414"/>
      <c r="D745" s="172"/>
      <c r="E745" s="172"/>
      <c r="G745" s="179"/>
    </row>
    <row r="746">
      <c r="B746" s="172"/>
      <c r="C746" s="414"/>
      <c r="D746" s="172"/>
      <c r="E746" s="172"/>
      <c r="G746" s="179"/>
    </row>
    <row r="747">
      <c r="B747" s="172"/>
      <c r="C747" s="414"/>
      <c r="D747" s="172"/>
      <c r="E747" s="172"/>
      <c r="G747" s="179"/>
    </row>
    <row r="748">
      <c r="B748" s="172"/>
      <c r="C748" s="414"/>
      <c r="D748" s="172"/>
      <c r="E748" s="172"/>
      <c r="G748" s="179"/>
    </row>
    <row r="749">
      <c r="B749" s="172"/>
      <c r="C749" s="414"/>
      <c r="D749" s="172"/>
      <c r="E749" s="172"/>
      <c r="G749" s="179"/>
    </row>
    <row r="750">
      <c r="B750" s="172"/>
      <c r="C750" s="414"/>
      <c r="D750" s="172"/>
      <c r="E750" s="172"/>
      <c r="G750" s="179"/>
    </row>
    <row r="751">
      <c r="B751" s="172"/>
      <c r="C751" s="414"/>
      <c r="D751" s="172"/>
      <c r="E751" s="172"/>
      <c r="G751" s="179"/>
    </row>
    <row r="752">
      <c r="B752" s="172"/>
      <c r="C752" s="414"/>
      <c r="D752" s="172"/>
      <c r="E752" s="172"/>
      <c r="G752" s="179"/>
    </row>
    <row r="753">
      <c r="B753" s="172"/>
      <c r="C753" s="414"/>
      <c r="D753" s="172"/>
      <c r="E753" s="172"/>
      <c r="G753" s="179"/>
    </row>
    <row r="754">
      <c r="B754" s="172"/>
      <c r="C754" s="414"/>
      <c r="D754" s="172"/>
      <c r="E754" s="172"/>
      <c r="G754" s="179"/>
    </row>
    <row r="755">
      <c r="B755" s="172"/>
      <c r="C755" s="414"/>
      <c r="D755" s="172"/>
      <c r="E755" s="172"/>
      <c r="G755" s="179"/>
    </row>
    <row r="756">
      <c r="B756" s="172"/>
      <c r="C756" s="414"/>
      <c r="D756" s="172"/>
      <c r="E756" s="172"/>
      <c r="G756" s="179"/>
    </row>
    <row r="757">
      <c r="B757" s="172"/>
      <c r="C757" s="414"/>
      <c r="D757" s="172"/>
      <c r="E757" s="172"/>
      <c r="G757" s="179"/>
    </row>
    <row r="758">
      <c r="B758" s="172"/>
      <c r="C758" s="414"/>
      <c r="D758" s="172"/>
      <c r="E758" s="172"/>
      <c r="G758" s="179"/>
    </row>
    <row r="759">
      <c r="B759" s="172"/>
      <c r="C759" s="414"/>
      <c r="D759" s="172"/>
      <c r="E759" s="172"/>
      <c r="G759" s="179"/>
    </row>
    <row r="760">
      <c r="B760" s="172"/>
      <c r="C760" s="414"/>
      <c r="D760" s="172"/>
      <c r="E760" s="172"/>
      <c r="G760" s="179"/>
    </row>
    <row r="761">
      <c r="B761" s="172"/>
      <c r="C761" s="414"/>
      <c r="D761" s="172"/>
      <c r="E761" s="172"/>
      <c r="G761" s="179"/>
    </row>
    <row r="762">
      <c r="B762" s="172"/>
      <c r="C762" s="414"/>
      <c r="D762" s="172"/>
      <c r="E762" s="172"/>
      <c r="G762" s="179"/>
    </row>
    <row r="763">
      <c r="B763" s="172"/>
      <c r="C763" s="414"/>
      <c r="D763" s="172"/>
      <c r="E763" s="172"/>
      <c r="G763" s="179"/>
    </row>
    <row r="764">
      <c r="B764" s="172"/>
      <c r="C764" s="414"/>
      <c r="D764" s="172"/>
      <c r="E764" s="172"/>
      <c r="G764" s="179"/>
    </row>
    <row r="765">
      <c r="B765" s="172"/>
      <c r="C765" s="414"/>
      <c r="D765" s="172"/>
      <c r="E765" s="172"/>
      <c r="G765" s="179"/>
    </row>
    <row r="766">
      <c r="B766" s="172"/>
      <c r="C766" s="414"/>
      <c r="D766" s="172"/>
      <c r="E766" s="172"/>
      <c r="G766" s="179"/>
    </row>
    <row r="767">
      <c r="B767" s="172"/>
      <c r="C767" s="414"/>
      <c r="D767" s="172"/>
      <c r="E767" s="172"/>
      <c r="G767" s="179"/>
    </row>
    <row r="768">
      <c r="B768" s="172"/>
      <c r="C768" s="414"/>
      <c r="D768" s="172"/>
      <c r="E768" s="172"/>
      <c r="G768" s="179"/>
    </row>
    <row r="769">
      <c r="B769" s="172"/>
      <c r="C769" s="414"/>
      <c r="D769" s="172"/>
      <c r="E769" s="172"/>
      <c r="G769" s="179"/>
    </row>
    <row r="770">
      <c r="B770" s="172"/>
      <c r="C770" s="414"/>
      <c r="D770" s="172"/>
      <c r="E770" s="172"/>
      <c r="G770" s="179"/>
    </row>
    <row r="771">
      <c r="B771" s="172"/>
      <c r="C771" s="414"/>
      <c r="D771" s="172"/>
      <c r="E771" s="172"/>
      <c r="G771" s="179"/>
    </row>
    <row r="772">
      <c r="B772" s="172"/>
      <c r="C772" s="414"/>
      <c r="D772" s="172"/>
      <c r="E772" s="172"/>
      <c r="G772" s="179"/>
    </row>
    <row r="773">
      <c r="B773" s="172"/>
      <c r="C773" s="414"/>
      <c r="D773" s="172"/>
      <c r="E773" s="172"/>
      <c r="G773" s="179"/>
    </row>
    <row r="774">
      <c r="B774" s="172"/>
      <c r="C774" s="414"/>
      <c r="D774" s="172"/>
      <c r="E774" s="172"/>
      <c r="G774" s="179"/>
    </row>
    <row r="775">
      <c r="B775" s="172"/>
      <c r="C775" s="414"/>
      <c r="D775" s="172"/>
      <c r="E775" s="172"/>
      <c r="G775" s="179"/>
    </row>
    <row r="776">
      <c r="B776" s="172"/>
      <c r="C776" s="414"/>
      <c r="D776" s="172"/>
      <c r="E776" s="172"/>
      <c r="G776" s="179"/>
    </row>
    <row r="777">
      <c r="B777" s="172"/>
      <c r="C777" s="414"/>
      <c r="D777" s="172"/>
      <c r="E777" s="172"/>
      <c r="G777" s="179"/>
    </row>
    <row r="778">
      <c r="B778" s="172"/>
      <c r="C778" s="414"/>
      <c r="D778" s="172"/>
      <c r="E778" s="172"/>
      <c r="G778" s="179"/>
    </row>
    <row r="779">
      <c r="B779" s="172"/>
      <c r="C779" s="414"/>
      <c r="D779" s="172"/>
      <c r="E779" s="172"/>
      <c r="G779" s="179"/>
    </row>
    <row r="780">
      <c r="B780" s="172"/>
      <c r="C780" s="414"/>
      <c r="D780" s="172"/>
      <c r="E780" s="172"/>
      <c r="G780" s="179"/>
    </row>
    <row r="781">
      <c r="B781" s="172"/>
      <c r="C781" s="414"/>
      <c r="D781" s="172"/>
      <c r="E781" s="172"/>
      <c r="G781" s="179"/>
    </row>
    <row r="782">
      <c r="B782" s="172"/>
      <c r="C782" s="414"/>
      <c r="D782" s="172"/>
      <c r="E782" s="172"/>
      <c r="G782" s="179"/>
    </row>
    <row r="783">
      <c r="B783" s="172"/>
      <c r="C783" s="414"/>
      <c r="D783" s="172"/>
      <c r="E783" s="172"/>
      <c r="G783" s="179"/>
    </row>
    <row r="784">
      <c r="B784" s="172"/>
      <c r="C784" s="414"/>
      <c r="D784" s="172"/>
      <c r="E784" s="172"/>
      <c r="G784" s="179"/>
    </row>
    <row r="785">
      <c r="B785" s="172"/>
      <c r="C785" s="414"/>
      <c r="D785" s="172"/>
      <c r="E785" s="172"/>
      <c r="G785" s="179"/>
    </row>
    <row r="786">
      <c r="B786" s="172"/>
      <c r="C786" s="414"/>
      <c r="D786" s="172"/>
      <c r="E786" s="172"/>
      <c r="G786" s="179"/>
    </row>
    <row r="787">
      <c r="B787" s="172"/>
      <c r="C787" s="414"/>
      <c r="D787" s="172"/>
      <c r="E787" s="172"/>
      <c r="G787" s="179"/>
    </row>
    <row r="788">
      <c r="B788" s="172"/>
      <c r="C788" s="414"/>
      <c r="D788" s="172"/>
      <c r="E788" s="172"/>
      <c r="G788" s="179"/>
    </row>
    <row r="789">
      <c r="B789" s="172"/>
      <c r="C789" s="414"/>
      <c r="D789" s="172"/>
      <c r="E789" s="172"/>
      <c r="G789" s="179"/>
    </row>
    <row r="790">
      <c r="B790" s="172"/>
      <c r="C790" s="414"/>
      <c r="D790" s="172"/>
      <c r="E790" s="172"/>
      <c r="G790" s="179"/>
    </row>
    <row r="791">
      <c r="B791" s="172"/>
      <c r="C791" s="414"/>
      <c r="D791" s="172"/>
      <c r="E791" s="172"/>
      <c r="G791" s="179"/>
    </row>
    <row r="792">
      <c r="B792" s="172"/>
      <c r="C792" s="414"/>
      <c r="D792" s="172"/>
      <c r="E792" s="172"/>
      <c r="G792" s="179"/>
    </row>
    <row r="793">
      <c r="B793" s="172"/>
      <c r="C793" s="414"/>
      <c r="D793" s="172"/>
      <c r="E793" s="172"/>
      <c r="G793" s="179"/>
    </row>
    <row r="794">
      <c r="B794" s="172"/>
      <c r="C794" s="414"/>
      <c r="D794" s="172"/>
      <c r="E794" s="172"/>
      <c r="G794" s="179"/>
    </row>
    <row r="795">
      <c r="B795" s="172"/>
      <c r="C795" s="414"/>
      <c r="D795" s="172"/>
      <c r="E795" s="172"/>
      <c r="G795" s="179"/>
    </row>
    <row r="796">
      <c r="B796" s="172"/>
      <c r="C796" s="414"/>
      <c r="D796" s="172"/>
      <c r="E796" s="172"/>
      <c r="G796" s="179"/>
    </row>
    <row r="797">
      <c r="B797" s="172"/>
      <c r="C797" s="414"/>
      <c r="D797" s="172"/>
      <c r="E797" s="172"/>
      <c r="G797" s="179"/>
    </row>
    <row r="798">
      <c r="B798" s="172"/>
      <c r="C798" s="414"/>
      <c r="D798" s="172"/>
      <c r="E798" s="172"/>
      <c r="G798" s="179"/>
    </row>
    <row r="799">
      <c r="B799" s="172"/>
      <c r="C799" s="414"/>
      <c r="D799" s="172"/>
      <c r="E799" s="172"/>
      <c r="G799" s="179"/>
    </row>
    <row r="800">
      <c r="B800" s="172"/>
      <c r="C800" s="414"/>
      <c r="D800" s="172"/>
      <c r="E800" s="172"/>
      <c r="G800" s="179"/>
    </row>
    <row r="801">
      <c r="B801" s="172"/>
      <c r="C801" s="414"/>
      <c r="D801" s="172"/>
      <c r="E801" s="172"/>
      <c r="G801" s="179"/>
    </row>
    <row r="802">
      <c r="B802" s="172"/>
      <c r="C802" s="414"/>
      <c r="D802" s="172"/>
      <c r="E802" s="172"/>
      <c r="G802" s="179"/>
    </row>
    <row r="803">
      <c r="B803" s="172"/>
      <c r="C803" s="414"/>
      <c r="D803" s="172"/>
      <c r="E803" s="172"/>
      <c r="G803" s="179"/>
    </row>
    <row r="804">
      <c r="B804" s="172"/>
      <c r="C804" s="414"/>
      <c r="D804" s="172"/>
      <c r="E804" s="172"/>
      <c r="G804" s="179"/>
    </row>
    <row r="805">
      <c r="B805" s="172"/>
      <c r="C805" s="414"/>
      <c r="D805" s="172"/>
      <c r="E805" s="172"/>
      <c r="G805" s="179"/>
    </row>
    <row r="806">
      <c r="B806" s="172"/>
      <c r="C806" s="414"/>
      <c r="D806" s="172"/>
      <c r="E806" s="172"/>
      <c r="G806" s="179"/>
    </row>
    <row r="807">
      <c r="B807" s="172"/>
      <c r="C807" s="414"/>
      <c r="D807" s="172"/>
      <c r="E807" s="172"/>
      <c r="G807" s="179"/>
    </row>
    <row r="808">
      <c r="B808" s="172"/>
      <c r="C808" s="414"/>
      <c r="D808" s="172"/>
      <c r="E808" s="172"/>
      <c r="G808" s="179"/>
    </row>
    <row r="809">
      <c r="B809" s="172"/>
      <c r="C809" s="414"/>
      <c r="D809" s="172"/>
      <c r="E809" s="172"/>
      <c r="G809" s="179"/>
    </row>
    <row r="810">
      <c r="B810" s="172"/>
      <c r="C810" s="414"/>
      <c r="D810" s="172"/>
      <c r="E810" s="172"/>
      <c r="G810" s="179"/>
    </row>
    <row r="811">
      <c r="B811" s="172"/>
      <c r="C811" s="414"/>
      <c r="D811" s="172"/>
      <c r="E811" s="172"/>
      <c r="G811" s="179"/>
    </row>
    <row r="812">
      <c r="B812" s="172"/>
      <c r="C812" s="414"/>
      <c r="D812" s="172"/>
      <c r="E812" s="172"/>
      <c r="G812" s="179"/>
    </row>
    <row r="813">
      <c r="B813" s="172"/>
      <c r="C813" s="414"/>
      <c r="D813" s="172"/>
      <c r="E813" s="172"/>
      <c r="G813" s="179"/>
    </row>
    <row r="814">
      <c r="B814" s="172"/>
      <c r="C814" s="414"/>
      <c r="D814" s="172"/>
      <c r="E814" s="172"/>
      <c r="G814" s="179"/>
    </row>
    <row r="815">
      <c r="B815" s="172"/>
      <c r="C815" s="414"/>
      <c r="D815" s="172"/>
      <c r="E815" s="172"/>
      <c r="G815" s="179"/>
    </row>
    <row r="816">
      <c r="B816" s="172"/>
      <c r="C816" s="414"/>
      <c r="D816" s="172"/>
      <c r="E816" s="172"/>
      <c r="G816" s="179"/>
    </row>
    <row r="817">
      <c r="B817" s="172"/>
      <c r="C817" s="414"/>
      <c r="D817" s="172"/>
      <c r="E817" s="172"/>
      <c r="G817" s="179"/>
    </row>
    <row r="818">
      <c r="B818" s="172"/>
      <c r="C818" s="414"/>
      <c r="D818" s="172"/>
      <c r="E818" s="172"/>
      <c r="G818" s="179"/>
    </row>
    <row r="819">
      <c r="B819" s="172"/>
      <c r="C819" s="414"/>
      <c r="D819" s="172"/>
      <c r="E819" s="172"/>
      <c r="G819" s="179"/>
    </row>
    <row r="820">
      <c r="B820" s="172"/>
      <c r="C820" s="414"/>
      <c r="D820" s="172"/>
      <c r="E820" s="172"/>
      <c r="G820" s="179"/>
    </row>
    <row r="821">
      <c r="B821" s="172"/>
      <c r="C821" s="414"/>
      <c r="D821" s="172"/>
      <c r="E821" s="172"/>
      <c r="G821" s="179"/>
    </row>
    <row r="822">
      <c r="B822" s="172"/>
      <c r="C822" s="414"/>
      <c r="D822" s="172"/>
      <c r="E822" s="172"/>
      <c r="G822" s="179"/>
    </row>
    <row r="823">
      <c r="B823" s="172"/>
      <c r="C823" s="414"/>
      <c r="D823" s="172"/>
      <c r="E823" s="172"/>
      <c r="G823" s="179"/>
    </row>
    <row r="824">
      <c r="B824" s="172"/>
      <c r="C824" s="414"/>
      <c r="D824" s="172"/>
      <c r="E824" s="172"/>
      <c r="G824" s="179"/>
    </row>
    <row r="825">
      <c r="B825" s="172"/>
      <c r="C825" s="414"/>
      <c r="D825" s="172"/>
      <c r="E825" s="172"/>
      <c r="G825" s="179"/>
    </row>
    <row r="826">
      <c r="B826" s="172"/>
      <c r="C826" s="414"/>
      <c r="D826" s="172"/>
      <c r="E826" s="172"/>
      <c r="G826" s="179"/>
    </row>
    <row r="827">
      <c r="B827" s="172"/>
      <c r="C827" s="414"/>
      <c r="D827" s="172"/>
      <c r="E827" s="172"/>
      <c r="G827" s="179"/>
    </row>
    <row r="828">
      <c r="B828" s="172"/>
      <c r="C828" s="414"/>
      <c r="D828" s="172"/>
      <c r="E828" s="172"/>
      <c r="G828" s="179"/>
    </row>
    <row r="829">
      <c r="B829" s="172"/>
      <c r="C829" s="414"/>
      <c r="D829" s="172"/>
      <c r="E829" s="172"/>
      <c r="G829" s="179"/>
    </row>
    <row r="830">
      <c r="B830" s="172"/>
      <c r="C830" s="414"/>
      <c r="D830" s="172"/>
      <c r="E830" s="172"/>
      <c r="G830" s="179"/>
    </row>
    <row r="831">
      <c r="B831" s="172"/>
      <c r="C831" s="414"/>
      <c r="D831" s="172"/>
      <c r="E831" s="172"/>
      <c r="G831" s="179"/>
    </row>
    <row r="832">
      <c r="B832" s="172"/>
      <c r="C832" s="414"/>
      <c r="D832" s="172"/>
      <c r="E832" s="172"/>
      <c r="G832" s="179"/>
    </row>
    <row r="833">
      <c r="B833" s="172"/>
      <c r="C833" s="414"/>
      <c r="D833" s="172"/>
      <c r="E833" s="172"/>
      <c r="G833" s="179"/>
    </row>
    <row r="834">
      <c r="B834" s="172"/>
      <c r="C834" s="414"/>
      <c r="D834" s="172"/>
      <c r="E834" s="172"/>
      <c r="G834" s="179"/>
    </row>
    <row r="835">
      <c r="B835" s="172"/>
      <c r="C835" s="414"/>
      <c r="D835" s="172"/>
      <c r="E835" s="172"/>
      <c r="G835" s="179"/>
    </row>
    <row r="836">
      <c r="B836" s="172"/>
      <c r="C836" s="414"/>
      <c r="D836" s="172"/>
      <c r="E836" s="172"/>
      <c r="G836" s="179"/>
    </row>
    <row r="837">
      <c r="B837" s="172"/>
      <c r="C837" s="414"/>
      <c r="D837" s="172"/>
      <c r="E837" s="172"/>
      <c r="G837" s="179"/>
    </row>
    <row r="838">
      <c r="B838" s="172"/>
      <c r="C838" s="414"/>
      <c r="D838" s="172"/>
      <c r="E838" s="172"/>
      <c r="G838" s="179"/>
    </row>
    <row r="839">
      <c r="B839" s="172"/>
      <c r="C839" s="414"/>
      <c r="D839" s="172"/>
      <c r="E839" s="172"/>
      <c r="G839" s="179"/>
    </row>
    <row r="840">
      <c r="B840" s="172"/>
      <c r="C840" s="414"/>
      <c r="D840" s="172"/>
      <c r="E840" s="172"/>
      <c r="G840" s="179"/>
    </row>
    <row r="841">
      <c r="B841" s="172"/>
      <c r="C841" s="414"/>
      <c r="D841" s="172"/>
      <c r="E841" s="172"/>
      <c r="G841" s="179"/>
    </row>
    <row r="842">
      <c r="B842" s="172"/>
      <c r="C842" s="414"/>
      <c r="D842" s="172"/>
      <c r="E842" s="172"/>
      <c r="G842" s="179"/>
    </row>
    <row r="843">
      <c r="B843" s="172"/>
      <c r="C843" s="414"/>
      <c r="D843" s="172"/>
      <c r="E843" s="172"/>
      <c r="G843" s="179"/>
    </row>
    <row r="844">
      <c r="B844" s="172"/>
      <c r="C844" s="414"/>
      <c r="D844" s="172"/>
      <c r="E844" s="172"/>
      <c r="G844" s="179"/>
    </row>
    <row r="845">
      <c r="B845" s="172"/>
      <c r="C845" s="414"/>
      <c r="D845" s="172"/>
      <c r="E845" s="172"/>
      <c r="G845" s="179"/>
    </row>
    <row r="846">
      <c r="B846" s="172"/>
      <c r="C846" s="414"/>
      <c r="D846" s="172"/>
      <c r="E846" s="172"/>
      <c r="G846" s="179"/>
    </row>
    <row r="847">
      <c r="B847" s="172"/>
      <c r="C847" s="414"/>
      <c r="D847" s="172"/>
      <c r="E847" s="172"/>
      <c r="G847" s="179"/>
    </row>
    <row r="848">
      <c r="B848" s="172"/>
      <c r="C848" s="414"/>
      <c r="D848" s="172"/>
      <c r="E848" s="172"/>
      <c r="G848" s="179"/>
    </row>
    <row r="849">
      <c r="B849" s="172"/>
      <c r="C849" s="414"/>
      <c r="D849" s="172"/>
      <c r="E849" s="172"/>
      <c r="G849" s="179"/>
    </row>
    <row r="850">
      <c r="B850" s="172"/>
      <c r="C850" s="414"/>
      <c r="D850" s="172"/>
      <c r="E850" s="172"/>
      <c r="G850" s="179"/>
    </row>
    <row r="851">
      <c r="B851" s="172"/>
      <c r="C851" s="414"/>
      <c r="D851" s="172"/>
      <c r="E851" s="172"/>
      <c r="G851" s="179"/>
    </row>
    <row r="852">
      <c r="B852" s="172"/>
      <c r="C852" s="414"/>
      <c r="D852" s="172"/>
      <c r="E852" s="172"/>
      <c r="G852" s="179"/>
    </row>
    <row r="853">
      <c r="B853" s="172"/>
      <c r="C853" s="414"/>
      <c r="D853" s="172"/>
      <c r="E853" s="172"/>
      <c r="G853" s="179"/>
    </row>
    <row r="854">
      <c r="B854" s="172"/>
      <c r="C854" s="414"/>
      <c r="D854" s="172"/>
      <c r="E854" s="172"/>
      <c r="G854" s="179"/>
    </row>
    <row r="855">
      <c r="B855" s="172"/>
      <c r="C855" s="414"/>
      <c r="D855" s="172"/>
      <c r="E855" s="172"/>
      <c r="G855" s="179"/>
    </row>
    <row r="856">
      <c r="B856" s="172"/>
      <c r="C856" s="414"/>
      <c r="D856" s="172"/>
      <c r="E856" s="172"/>
      <c r="G856" s="179"/>
    </row>
    <row r="857">
      <c r="B857" s="172"/>
      <c r="C857" s="414"/>
      <c r="D857" s="172"/>
      <c r="E857" s="172"/>
      <c r="G857" s="179"/>
    </row>
    <row r="858">
      <c r="B858" s="172"/>
      <c r="C858" s="414"/>
      <c r="D858" s="172"/>
      <c r="E858" s="172"/>
      <c r="G858" s="179"/>
    </row>
    <row r="859">
      <c r="B859" s="172"/>
      <c r="C859" s="414"/>
      <c r="D859" s="172"/>
      <c r="E859" s="172"/>
      <c r="G859" s="179"/>
    </row>
    <row r="860">
      <c r="B860" s="172"/>
      <c r="C860" s="414"/>
      <c r="D860" s="172"/>
      <c r="E860" s="172"/>
      <c r="G860" s="179"/>
    </row>
    <row r="861">
      <c r="B861" s="172"/>
      <c r="C861" s="414"/>
      <c r="D861" s="172"/>
      <c r="E861" s="172"/>
      <c r="G861" s="179"/>
    </row>
    <row r="862">
      <c r="B862" s="172"/>
      <c r="C862" s="414"/>
      <c r="D862" s="172"/>
      <c r="E862" s="172"/>
      <c r="G862" s="179"/>
    </row>
    <row r="863">
      <c r="B863" s="172"/>
      <c r="C863" s="414"/>
      <c r="D863" s="172"/>
      <c r="E863" s="172"/>
      <c r="G863" s="179"/>
    </row>
    <row r="864">
      <c r="B864" s="172"/>
      <c r="C864" s="414"/>
      <c r="D864" s="172"/>
      <c r="E864" s="172"/>
      <c r="G864" s="179"/>
    </row>
    <row r="865">
      <c r="B865" s="172"/>
      <c r="C865" s="414"/>
      <c r="D865" s="172"/>
      <c r="E865" s="172"/>
      <c r="G865" s="179"/>
    </row>
    <row r="866">
      <c r="B866" s="172"/>
      <c r="C866" s="414"/>
      <c r="D866" s="172"/>
      <c r="E866" s="172"/>
      <c r="G866" s="179"/>
    </row>
    <row r="867">
      <c r="B867" s="172"/>
      <c r="C867" s="414"/>
      <c r="D867" s="172"/>
      <c r="E867" s="172"/>
      <c r="G867" s="179"/>
    </row>
    <row r="868">
      <c r="B868" s="172"/>
      <c r="C868" s="414"/>
      <c r="D868" s="172"/>
      <c r="E868" s="172"/>
      <c r="G868" s="179"/>
    </row>
    <row r="869">
      <c r="B869" s="172"/>
      <c r="C869" s="414"/>
      <c r="D869" s="172"/>
      <c r="E869" s="172"/>
      <c r="G869" s="179"/>
    </row>
    <row r="870">
      <c r="B870" s="172"/>
      <c r="C870" s="414"/>
      <c r="D870" s="172"/>
      <c r="E870" s="172"/>
      <c r="G870" s="179"/>
    </row>
    <row r="871">
      <c r="B871" s="172"/>
      <c r="C871" s="414"/>
      <c r="D871" s="172"/>
      <c r="E871" s="172"/>
      <c r="G871" s="179"/>
    </row>
    <row r="872">
      <c r="B872" s="172"/>
      <c r="C872" s="414"/>
      <c r="D872" s="172"/>
      <c r="E872" s="172"/>
      <c r="G872" s="179"/>
    </row>
    <row r="873">
      <c r="B873" s="172"/>
      <c r="C873" s="414"/>
      <c r="D873" s="172"/>
      <c r="E873" s="172"/>
      <c r="G873" s="179"/>
    </row>
    <row r="874">
      <c r="B874" s="172"/>
      <c r="C874" s="414"/>
      <c r="D874" s="172"/>
      <c r="E874" s="172"/>
      <c r="G874" s="179"/>
    </row>
    <row r="875">
      <c r="B875" s="172"/>
      <c r="C875" s="414"/>
      <c r="D875" s="172"/>
      <c r="E875" s="172"/>
      <c r="G875" s="179"/>
    </row>
    <row r="876">
      <c r="B876" s="172"/>
      <c r="C876" s="414"/>
      <c r="D876" s="172"/>
      <c r="E876" s="172"/>
      <c r="G876" s="179"/>
    </row>
    <row r="877">
      <c r="B877" s="172"/>
      <c r="C877" s="414"/>
      <c r="D877" s="172"/>
      <c r="E877" s="172"/>
      <c r="G877" s="179"/>
    </row>
    <row r="878">
      <c r="B878" s="172"/>
      <c r="C878" s="414"/>
      <c r="D878" s="172"/>
      <c r="E878" s="172"/>
      <c r="G878" s="179"/>
    </row>
    <row r="879">
      <c r="B879" s="172"/>
      <c r="C879" s="414"/>
      <c r="D879" s="172"/>
      <c r="E879" s="172"/>
      <c r="G879" s="179"/>
    </row>
    <row r="880">
      <c r="B880" s="172"/>
      <c r="C880" s="414"/>
      <c r="D880" s="172"/>
      <c r="E880" s="172"/>
      <c r="G880" s="179"/>
    </row>
    <row r="881">
      <c r="B881" s="172"/>
      <c r="C881" s="414"/>
      <c r="D881" s="172"/>
      <c r="E881" s="172"/>
      <c r="G881" s="179"/>
    </row>
    <row r="882">
      <c r="B882" s="172"/>
      <c r="C882" s="414"/>
      <c r="D882" s="172"/>
      <c r="E882" s="172"/>
      <c r="G882" s="179"/>
    </row>
    <row r="883">
      <c r="B883" s="172"/>
      <c r="C883" s="414"/>
      <c r="D883" s="172"/>
      <c r="E883" s="172"/>
      <c r="G883" s="179"/>
    </row>
    <row r="884">
      <c r="B884" s="172"/>
      <c r="C884" s="414"/>
      <c r="D884" s="172"/>
      <c r="E884" s="172"/>
      <c r="G884" s="179"/>
    </row>
    <row r="885">
      <c r="B885" s="172"/>
      <c r="C885" s="414"/>
      <c r="D885" s="172"/>
      <c r="E885" s="172"/>
      <c r="G885" s="179"/>
    </row>
    <row r="886">
      <c r="B886" s="172"/>
      <c r="C886" s="414"/>
      <c r="D886" s="172"/>
      <c r="E886" s="172"/>
      <c r="G886" s="179"/>
    </row>
    <row r="887">
      <c r="B887" s="172"/>
      <c r="C887" s="414"/>
      <c r="D887" s="172"/>
      <c r="E887" s="172"/>
      <c r="G887" s="179"/>
    </row>
    <row r="888">
      <c r="B888" s="172"/>
      <c r="C888" s="414"/>
      <c r="D888" s="172"/>
      <c r="E888" s="172"/>
      <c r="G888" s="179"/>
    </row>
    <row r="889">
      <c r="B889" s="172"/>
      <c r="C889" s="414"/>
      <c r="D889" s="172"/>
      <c r="E889" s="172"/>
      <c r="G889" s="179"/>
    </row>
    <row r="890">
      <c r="B890" s="172"/>
      <c r="C890" s="414"/>
      <c r="D890" s="172"/>
      <c r="E890" s="172"/>
      <c r="G890" s="179"/>
    </row>
    <row r="891">
      <c r="B891" s="172"/>
      <c r="C891" s="414"/>
      <c r="D891" s="172"/>
      <c r="E891" s="172"/>
      <c r="G891" s="179"/>
    </row>
    <row r="892">
      <c r="B892" s="172"/>
      <c r="C892" s="414"/>
      <c r="D892" s="172"/>
      <c r="E892" s="172"/>
      <c r="G892" s="179"/>
    </row>
    <row r="893">
      <c r="B893" s="172"/>
      <c r="C893" s="414"/>
      <c r="D893" s="172"/>
      <c r="E893" s="172"/>
      <c r="G893" s="179"/>
    </row>
    <row r="894">
      <c r="B894" s="172"/>
      <c r="C894" s="414"/>
      <c r="D894" s="172"/>
      <c r="E894" s="172"/>
      <c r="G894" s="179"/>
    </row>
    <row r="895">
      <c r="B895" s="172"/>
      <c r="C895" s="414"/>
      <c r="D895" s="172"/>
      <c r="E895" s="172"/>
      <c r="G895" s="179"/>
    </row>
    <row r="896">
      <c r="B896" s="172"/>
      <c r="C896" s="414"/>
      <c r="D896" s="172"/>
      <c r="E896" s="172"/>
      <c r="G896" s="179"/>
    </row>
    <row r="897">
      <c r="B897" s="172"/>
      <c r="C897" s="414"/>
      <c r="D897" s="172"/>
      <c r="E897" s="172"/>
      <c r="G897" s="179"/>
    </row>
    <row r="898">
      <c r="B898" s="172"/>
      <c r="C898" s="414"/>
      <c r="D898" s="172"/>
      <c r="E898" s="172"/>
      <c r="G898" s="179"/>
    </row>
    <row r="899">
      <c r="B899" s="172"/>
      <c r="C899" s="414"/>
      <c r="D899" s="172"/>
      <c r="E899" s="172"/>
      <c r="G899" s="179"/>
    </row>
    <row r="900">
      <c r="B900" s="172"/>
      <c r="C900" s="414"/>
      <c r="D900" s="172"/>
      <c r="E900" s="172"/>
      <c r="G900" s="179"/>
    </row>
    <row r="901">
      <c r="B901" s="172"/>
      <c r="C901" s="414"/>
      <c r="D901" s="172"/>
      <c r="E901" s="172"/>
      <c r="G901" s="179"/>
    </row>
    <row r="902">
      <c r="B902" s="172"/>
      <c r="C902" s="414"/>
      <c r="D902" s="172"/>
      <c r="E902" s="172"/>
      <c r="G902" s="179"/>
    </row>
    <row r="903">
      <c r="B903" s="172"/>
      <c r="C903" s="414"/>
      <c r="D903" s="172"/>
      <c r="E903" s="172"/>
      <c r="G903" s="179"/>
    </row>
    <row r="904">
      <c r="B904" s="172"/>
      <c r="C904" s="414"/>
      <c r="D904" s="172"/>
      <c r="E904" s="172"/>
      <c r="G904" s="179"/>
    </row>
    <row r="905">
      <c r="B905" s="172"/>
      <c r="C905" s="414"/>
      <c r="D905" s="172"/>
      <c r="E905" s="172"/>
      <c r="G905" s="179"/>
    </row>
    <row r="906">
      <c r="B906" s="172"/>
      <c r="C906" s="414"/>
      <c r="D906" s="172"/>
      <c r="E906" s="172"/>
      <c r="G906" s="179"/>
    </row>
    <row r="907">
      <c r="B907" s="172"/>
      <c r="C907" s="414"/>
      <c r="D907" s="172"/>
      <c r="E907" s="172"/>
      <c r="G907" s="179"/>
    </row>
    <row r="908">
      <c r="B908" s="172"/>
      <c r="C908" s="414"/>
      <c r="D908" s="172"/>
      <c r="E908" s="172"/>
      <c r="G908" s="179"/>
    </row>
    <row r="909">
      <c r="B909" s="172"/>
      <c r="C909" s="414"/>
      <c r="D909" s="172"/>
      <c r="E909" s="172"/>
      <c r="G909" s="179"/>
    </row>
    <row r="910">
      <c r="B910" s="172"/>
      <c r="C910" s="414"/>
      <c r="D910" s="172"/>
      <c r="E910" s="172"/>
      <c r="G910" s="179"/>
    </row>
    <row r="911">
      <c r="B911" s="172"/>
      <c r="C911" s="414"/>
      <c r="D911" s="172"/>
      <c r="E911" s="172"/>
      <c r="G911" s="179"/>
    </row>
    <row r="912">
      <c r="B912" s="172"/>
      <c r="C912" s="414"/>
      <c r="D912" s="172"/>
      <c r="E912" s="172"/>
      <c r="G912" s="179"/>
    </row>
    <row r="913">
      <c r="B913" s="172"/>
      <c r="C913" s="414"/>
      <c r="D913" s="172"/>
      <c r="E913" s="172"/>
      <c r="G913" s="179"/>
    </row>
    <row r="914">
      <c r="B914" s="172"/>
      <c r="C914" s="414"/>
      <c r="D914" s="172"/>
      <c r="E914" s="172"/>
      <c r="G914" s="179"/>
    </row>
    <row r="915">
      <c r="B915" s="172"/>
      <c r="C915" s="414"/>
      <c r="D915" s="172"/>
      <c r="E915" s="172"/>
      <c r="G915" s="179"/>
    </row>
    <row r="916">
      <c r="B916" s="172"/>
      <c r="C916" s="414"/>
      <c r="D916" s="172"/>
      <c r="E916" s="172"/>
      <c r="G916" s="179"/>
    </row>
    <row r="917">
      <c r="B917" s="172"/>
      <c r="C917" s="414"/>
      <c r="D917" s="172"/>
      <c r="E917" s="172"/>
      <c r="G917" s="179"/>
    </row>
    <row r="918">
      <c r="B918" s="172"/>
      <c r="C918" s="414"/>
      <c r="D918" s="172"/>
      <c r="E918" s="172"/>
      <c r="G918" s="179"/>
    </row>
    <row r="919">
      <c r="B919" s="172"/>
      <c r="C919" s="414"/>
      <c r="D919" s="172"/>
      <c r="E919" s="172"/>
      <c r="G919" s="179"/>
    </row>
    <row r="920">
      <c r="B920" s="172"/>
      <c r="C920" s="414"/>
      <c r="D920" s="172"/>
      <c r="E920" s="172"/>
      <c r="G920" s="179"/>
    </row>
    <row r="921">
      <c r="B921" s="172"/>
      <c r="C921" s="414"/>
      <c r="D921" s="172"/>
      <c r="E921" s="172"/>
      <c r="G921" s="179"/>
    </row>
    <row r="922">
      <c r="B922" s="172"/>
      <c r="C922" s="414"/>
      <c r="D922" s="172"/>
      <c r="E922" s="172"/>
      <c r="G922" s="179"/>
    </row>
    <row r="923">
      <c r="B923" s="172"/>
      <c r="C923" s="414"/>
      <c r="D923" s="172"/>
      <c r="E923" s="172"/>
      <c r="G923" s="179"/>
    </row>
    <row r="924">
      <c r="B924" s="172"/>
      <c r="C924" s="414"/>
      <c r="D924" s="172"/>
      <c r="E924" s="172"/>
      <c r="G924" s="179"/>
    </row>
    <row r="925">
      <c r="B925" s="172"/>
      <c r="C925" s="414"/>
      <c r="D925" s="172"/>
      <c r="E925" s="172"/>
      <c r="G925" s="179"/>
    </row>
    <row r="926">
      <c r="B926" s="172"/>
      <c r="C926" s="414"/>
      <c r="D926" s="172"/>
      <c r="E926" s="172"/>
      <c r="G926" s="179"/>
    </row>
    <row r="927">
      <c r="B927" s="172"/>
      <c r="C927" s="414"/>
      <c r="D927" s="172"/>
      <c r="E927" s="172"/>
      <c r="G927" s="179"/>
    </row>
    <row r="928">
      <c r="B928" s="172"/>
      <c r="C928" s="414"/>
      <c r="D928" s="172"/>
      <c r="E928" s="172"/>
      <c r="G928" s="179"/>
    </row>
    <row r="929">
      <c r="B929" s="172"/>
      <c r="C929" s="414"/>
      <c r="D929" s="172"/>
      <c r="E929" s="172"/>
      <c r="G929" s="179"/>
    </row>
    <row r="930">
      <c r="B930" s="172"/>
      <c r="C930" s="414"/>
      <c r="D930" s="172"/>
      <c r="E930" s="172"/>
      <c r="G930" s="179"/>
    </row>
    <row r="931">
      <c r="B931" s="172"/>
      <c r="C931" s="414"/>
      <c r="D931" s="172"/>
      <c r="E931" s="172"/>
      <c r="G931" s="179"/>
    </row>
    <row r="932">
      <c r="B932" s="172"/>
      <c r="C932" s="414"/>
      <c r="D932" s="172"/>
      <c r="E932" s="172"/>
      <c r="G932" s="179"/>
    </row>
    <row r="933">
      <c r="B933" s="172"/>
      <c r="C933" s="414"/>
      <c r="D933" s="172"/>
      <c r="E933" s="172"/>
      <c r="G933" s="179"/>
    </row>
    <row r="934">
      <c r="B934" s="172"/>
      <c r="C934" s="414"/>
      <c r="D934" s="172"/>
      <c r="E934" s="172"/>
      <c r="G934" s="179"/>
    </row>
    <row r="935">
      <c r="B935" s="172"/>
      <c r="C935" s="414"/>
      <c r="D935" s="172"/>
      <c r="E935" s="172"/>
      <c r="G935" s="179"/>
    </row>
    <row r="936">
      <c r="B936" s="172"/>
      <c r="C936" s="414"/>
      <c r="D936" s="172"/>
      <c r="E936" s="172"/>
      <c r="G936" s="179"/>
    </row>
    <row r="937">
      <c r="B937" s="172"/>
      <c r="C937" s="414"/>
      <c r="D937" s="172"/>
      <c r="E937" s="172"/>
      <c r="G937" s="179"/>
    </row>
    <row r="938">
      <c r="B938" s="172"/>
      <c r="C938" s="414"/>
      <c r="D938" s="172"/>
      <c r="E938" s="172"/>
      <c r="G938" s="179"/>
    </row>
    <row r="939">
      <c r="B939" s="172"/>
      <c r="C939" s="414"/>
      <c r="D939" s="172"/>
      <c r="E939" s="172"/>
      <c r="G939" s="179"/>
    </row>
    <row r="940">
      <c r="B940" s="172"/>
      <c r="C940" s="414"/>
      <c r="D940" s="172"/>
      <c r="E940" s="172"/>
      <c r="G940" s="179"/>
    </row>
    <row r="941">
      <c r="B941" s="172"/>
      <c r="C941" s="414"/>
      <c r="D941" s="172"/>
      <c r="E941" s="172"/>
      <c r="G941" s="179"/>
    </row>
    <row r="942">
      <c r="B942" s="172"/>
      <c r="C942" s="414"/>
      <c r="D942" s="172"/>
      <c r="E942" s="172"/>
      <c r="G942" s="179"/>
    </row>
    <row r="943">
      <c r="B943" s="172"/>
      <c r="C943" s="414"/>
      <c r="D943" s="172"/>
      <c r="E943" s="172"/>
      <c r="G943" s="179"/>
    </row>
    <row r="944">
      <c r="B944" s="172"/>
      <c r="C944" s="414"/>
      <c r="D944" s="172"/>
      <c r="E944" s="172"/>
      <c r="G944" s="179"/>
    </row>
    <row r="945">
      <c r="B945" s="172"/>
      <c r="C945" s="414"/>
      <c r="D945" s="172"/>
      <c r="E945" s="172"/>
      <c r="G945" s="179"/>
    </row>
    <row r="946">
      <c r="B946" s="172"/>
      <c r="C946" s="414"/>
      <c r="D946" s="172"/>
      <c r="E946" s="172"/>
      <c r="G946" s="179"/>
    </row>
    <row r="947">
      <c r="B947" s="172"/>
      <c r="C947" s="414"/>
      <c r="D947" s="172"/>
      <c r="E947" s="172"/>
      <c r="G947" s="179"/>
    </row>
    <row r="948">
      <c r="B948" s="172"/>
      <c r="C948" s="414"/>
      <c r="D948" s="172"/>
      <c r="E948" s="172"/>
      <c r="G948" s="179"/>
    </row>
    <row r="949">
      <c r="B949" s="172"/>
      <c r="C949" s="414"/>
      <c r="D949" s="172"/>
      <c r="E949" s="172"/>
      <c r="G949" s="179"/>
    </row>
    <row r="950">
      <c r="B950" s="172"/>
      <c r="C950" s="414"/>
      <c r="D950" s="172"/>
      <c r="E950" s="172"/>
      <c r="G950" s="179"/>
    </row>
    <row r="951">
      <c r="B951" s="172"/>
      <c r="C951" s="414"/>
      <c r="D951" s="172"/>
      <c r="E951" s="172"/>
      <c r="G951" s="179"/>
    </row>
    <row r="952">
      <c r="B952" s="172"/>
      <c r="C952" s="414"/>
      <c r="D952" s="172"/>
      <c r="E952" s="172"/>
      <c r="G952" s="179"/>
    </row>
    <row r="953">
      <c r="B953" s="172"/>
      <c r="C953" s="414"/>
      <c r="D953" s="172"/>
      <c r="E953" s="172"/>
      <c r="G953" s="179"/>
    </row>
    <row r="954">
      <c r="B954" s="172"/>
      <c r="C954" s="414"/>
      <c r="D954" s="172"/>
      <c r="E954" s="172"/>
      <c r="G954" s="179"/>
    </row>
    <row r="955">
      <c r="B955" s="172"/>
      <c r="C955" s="414"/>
      <c r="D955" s="172"/>
      <c r="E955" s="172"/>
      <c r="G955" s="179"/>
    </row>
    <row r="956">
      <c r="B956" s="172"/>
      <c r="C956" s="414"/>
      <c r="D956" s="172"/>
      <c r="E956" s="172"/>
      <c r="G956" s="179"/>
    </row>
    <row r="957">
      <c r="B957" s="172"/>
      <c r="C957" s="414"/>
      <c r="D957" s="172"/>
      <c r="E957" s="172"/>
      <c r="G957" s="179"/>
    </row>
    <row r="958">
      <c r="B958" s="172"/>
      <c r="C958" s="414"/>
      <c r="D958" s="172"/>
      <c r="E958" s="172"/>
      <c r="G958" s="179"/>
    </row>
    <row r="959">
      <c r="B959" s="172"/>
      <c r="C959" s="414"/>
      <c r="D959" s="172"/>
      <c r="E959" s="172"/>
      <c r="G959" s="179"/>
    </row>
    <row r="960">
      <c r="B960" s="172"/>
      <c r="C960" s="414"/>
      <c r="D960" s="172"/>
      <c r="E960" s="172"/>
      <c r="G960" s="179"/>
    </row>
    <row r="961">
      <c r="B961" s="172"/>
      <c r="C961" s="414"/>
      <c r="D961" s="172"/>
      <c r="E961" s="172"/>
      <c r="G961" s="179"/>
    </row>
    <row r="962">
      <c r="B962" s="172"/>
      <c r="C962" s="414"/>
      <c r="D962" s="172"/>
      <c r="E962" s="172"/>
      <c r="G962" s="179"/>
    </row>
    <row r="963">
      <c r="B963" s="172"/>
      <c r="C963" s="414"/>
      <c r="D963" s="172"/>
      <c r="E963" s="172"/>
      <c r="G963" s="179"/>
    </row>
    <row r="964">
      <c r="B964" s="172"/>
      <c r="C964" s="414"/>
      <c r="D964" s="172"/>
      <c r="E964" s="172"/>
      <c r="G964" s="179"/>
    </row>
    <row r="965">
      <c r="B965" s="172"/>
      <c r="C965" s="414"/>
      <c r="D965" s="172"/>
      <c r="E965" s="172"/>
      <c r="G965" s="179"/>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94"/>
      <c r="B1" s="94"/>
      <c r="C1" s="94"/>
      <c r="D1" s="94"/>
      <c r="E1" s="94"/>
      <c r="F1" s="94"/>
      <c r="G1" s="94"/>
      <c r="H1" s="95"/>
      <c r="I1" s="94"/>
      <c r="J1" s="95"/>
      <c r="K1" s="419"/>
      <c r="L1" s="420"/>
      <c r="M1" s="419"/>
      <c r="N1" s="419"/>
      <c r="O1" s="421"/>
      <c r="P1" s="421"/>
      <c r="Q1" s="421"/>
      <c r="R1" s="421"/>
      <c r="S1" s="421"/>
      <c r="T1" s="421"/>
      <c r="U1" s="421"/>
      <c r="V1" s="419"/>
      <c r="W1" s="422"/>
      <c r="X1" s="419"/>
      <c r="Y1" s="105"/>
      <c r="Z1" s="105"/>
      <c r="AA1" s="105"/>
      <c r="AB1" s="105"/>
      <c r="AC1" s="105"/>
      <c r="AD1" s="105"/>
      <c r="AE1" s="105"/>
      <c r="AF1" s="105"/>
      <c r="AG1" s="105"/>
      <c r="AH1" s="105"/>
      <c r="AI1" s="105"/>
      <c r="AJ1" s="105"/>
      <c r="AK1" s="105"/>
    </row>
    <row r="2">
      <c r="A2" s="94"/>
      <c r="B2" s="94"/>
      <c r="C2" s="94"/>
      <c r="D2" s="94" t="s">
        <v>2103</v>
      </c>
      <c r="E2" s="94" t="s">
        <v>1331</v>
      </c>
      <c r="F2" s="94" t="s">
        <v>1332</v>
      </c>
      <c r="G2" s="94" t="s">
        <v>1892</v>
      </c>
      <c r="H2" s="94" t="s">
        <v>47</v>
      </c>
      <c r="I2" s="94" t="s">
        <v>48</v>
      </c>
      <c r="J2" s="95" t="s">
        <v>1334</v>
      </c>
      <c r="K2" s="419"/>
      <c r="L2" s="420"/>
      <c r="M2" s="419"/>
      <c r="N2" s="419"/>
      <c r="O2" s="421"/>
      <c r="P2" s="421"/>
      <c r="Q2" s="421"/>
      <c r="R2" s="421"/>
      <c r="S2" s="421"/>
      <c r="T2" s="421"/>
      <c r="U2" s="421"/>
      <c r="V2" s="419"/>
      <c r="W2" s="422"/>
      <c r="X2" s="419"/>
      <c r="Y2" s="105"/>
      <c r="Z2" s="105"/>
      <c r="AA2" s="105"/>
      <c r="AB2" s="105"/>
      <c r="AC2" s="105"/>
      <c r="AD2" s="105"/>
      <c r="AE2" s="105"/>
      <c r="AF2" s="105"/>
      <c r="AG2" s="105"/>
      <c r="AH2" s="105"/>
      <c r="AI2" s="105"/>
      <c r="AJ2" s="105"/>
      <c r="AK2" s="105"/>
    </row>
    <row r="3">
      <c r="A3" s="70"/>
      <c r="B3" s="70"/>
      <c r="C3" s="4"/>
      <c r="D3" s="4"/>
      <c r="E3" s="4"/>
      <c r="F3" s="4"/>
      <c r="G3" s="159" t="s">
        <v>2104</v>
      </c>
      <c r="H3" s="142">
        <v>45537.0</v>
      </c>
      <c r="I3" s="139"/>
      <c r="J3" s="142"/>
      <c r="K3" s="4"/>
      <c r="L3" s="114"/>
      <c r="M3" s="136"/>
      <c r="N3" s="158"/>
      <c r="O3" s="359"/>
      <c r="P3" s="359"/>
      <c r="Q3" s="119"/>
      <c r="R3" s="119"/>
      <c r="S3" s="121"/>
      <c r="T3" s="119"/>
      <c r="U3" s="119"/>
      <c r="V3" s="119"/>
      <c r="W3" s="119"/>
      <c r="X3" s="158"/>
      <c r="Y3" s="140"/>
      <c r="Z3" s="140"/>
      <c r="AA3" s="140"/>
      <c r="AF3" s="161"/>
      <c r="AG3" s="155"/>
    </row>
    <row r="4">
      <c r="A4" s="423" t="s">
        <v>1894</v>
      </c>
      <c r="C4" s="4"/>
      <c r="D4" s="4">
        <v>1.0</v>
      </c>
      <c r="E4" s="4" t="s">
        <v>80</v>
      </c>
      <c r="F4" s="4" t="s">
        <v>105</v>
      </c>
      <c r="H4" s="142">
        <v>45394.0</v>
      </c>
      <c r="I4" s="139">
        <v>45415.0</v>
      </c>
      <c r="J4" s="142">
        <v>45423.0</v>
      </c>
      <c r="K4" s="4"/>
      <c r="L4" s="114"/>
      <c r="M4" s="136"/>
      <c r="N4" s="158"/>
      <c r="O4" s="359"/>
      <c r="P4" s="359"/>
      <c r="Q4" s="119"/>
      <c r="R4" s="119"/>
      <c r="S4" s="121"/>
      <c r="T4" s="119"/>
      <c r="U4" s="119"/>
      <c r="V4" s="119"/>
      <c r="W4" s="119"/>
      <c r="X4" s="158"/>
      <c r="Y4" s="140"/>
      <c r="Z4" s="140"/>
      <c r="AA4" s="140"/>
      <c r="AF4" s="161"/>
      <c r="AG4" s="155"/>
    </row>
    <row r="5">
      <c r="C5" s="4"/>
      <c r="D5" s="4">
        <v>2.0</v>
      </c>
      <c r="E5" s="4" t="s">
        <v>80</v>
      </c>
      <c r="F5" s="4" t="s">
        <v>105</v>
      </c>
      <c r="G5" s="159" t="s">
        <v>2105</v>
      </c>
      <c r="H5" s="142">
        <v>45490.0</v>
      </c>
      <c r="I5" s="142">
        <f>J5-5</f>
        <v>45532</v>
      </c>
      <c r="J5" s="145">
        <f>H3</f>
        <v>45537</v>
      </c>
      <c r="K5" s="4"/>
      <c r="L5" s="424"/>
      <c r="M5" s="136"/>
      <c r="N5" s="158"/>
      <c r="O5" s="359"/>
      <c r="P5" s="359"/>
      <c r="Q5" s="119"/>
      <c r="R5" s="119"/>
      <c r="S5" s="121"/>
      <c r="T5" s="119"/>
      <c r="U5" s="119"/>
      <c r="V5" s="119"/>
      <c r="W5" s="119"/>
      <c r="X5" s="158"/>
    </row>
    <row r="6">
      <c r="C6" s="4"/>
      <c r="D6" s="4">
        <v>3.0</v>
      </c>
      <c r="E6" s="4" t="s">
        <v>80</v>
      </c>
      <c r="F6" s="4" t="s">
        <v>105</v>
      </c>
      <c r="G6" s="159" t="s">
        <v>2105</v>
      </c>
      <c r="H6" s="145">
        <f t="shared" ref="H6:H9" si="1">I5+23</f>
        <v>45555</v>
      </c>
      <c r="I6" s="145">
        <f t="shared" ref="I6:I9" si="2">H6+21</f>
        <v>45576</v>
      </c>
      <c r="J6" s="145">
        <f t="shared" ref="J6:J9" si="3">IF(F6="truck",I6+3,IF(F6="train",I6+5,""))</f>
        <v>45581</v>
      </c>
      <c r="K6" s="4"/>
      <c r="L6" s="157"/>
      <c r="M6" s="136"/>
      <c r="N6" s="158"/>
      <c r="O6" s="359"/>
      <c r="P6" s="359"/>
      <c r="Q6" s="119"/>
      <c r="R6" s="119"/>
      <c r="S6" s="121"/>
      <c r="T6" s="119"/>
      <c r="U6" s="119"/>
      <c r="V6" s="119"/>
      <c r="W6" s="119"/>
      <c r="X6" s="158"/>
    </row>
    <row r="7">
      <c r="C7" s="4"/>
      <c r="D7" s="4">
        <v>4.0</v>
      </c>
      <c r="E7" s="4" t="s">
        <v>80</v>
      </c>
      <c r="F7" s="4" t="s">
        <v>105</v>
      </c>
      <c r="G7" s="159" t="s">
        <v>2105</v>
      </c>
      <c r="H7" s="145">
        <f t="shared" si="1"/>
        <v>45599</v>
      </c>
      <c r="I7" s="145">
        <f t="shared" si="2"/>
        <v>45620</v>
      </c>
      <c r="J7" s="145">
        <f t="shared" si="3"/>
        <v>45625</v>
      </c>
      <c r="K7" s="4"/>
      <c r="L7" s="157"/>
      <c r="M7" s="136"/>
      <c r="N7" s="158"/>
      <c r="O7" s="359"/>
      <c r="P7" s="359"/>
      <c r="Q7" s="119"/>
      <c r="R7" s="119"/>
      <c r="S7" s="121"/>
      <c r="T7" s="119"/>
      <c r="U7" s="119"/>
      <c r="V7" s="119"/>
      <c r="W7" s="119"/>
      <c r="X7" s="158"/>
    </row>
    <row r="8">
      <c r="C8" s="4"/>
      <c r="D8" s="4">
        <v>5.0</v>
      </c>
      <c r="E8" s="4" t="s">
        <v>80</v>
      </c>
      <c r="F8" s="4" t="s">
        <v>105</v>
      </c>
      <c r="G8" s="159" t="s">
        <v>2105</v>
      </c>
      <c r="H8" s="145">
        <f t="shared" si="1"/>
        <v>45643</v>
      </c>
      <c r="I8" s="145">
        <f t="shared" si="2"/>
        <v>45664</v>
      </c>
      <c r="J8" s="145">
        <f t="shared" si="3"/>
        <v>45669</v>
      </c>
      <c r="K8" s="4"/>
      <c r="L8" s="157"/>
      <c r="M8" s="136"/>
      <c r="N8" s="158"/>
      <c r="O8" s="359"/>
      <c r="P8" s="359"/>
      <c r="Q8" s="119"/>
      <c r="R8" s="119"/>
      <c r="S8" s="121"/>
      <c r="T8" s="119"/>
      <c r="U8" s="119"/>
      <c r="V8" s="119"/>
      <c r="W8" s="119"/>
      <c r="X8" s="158"/>
    </row>
    <row r="9">
      <c r="C9" s="4"/>
      <c r="D9" s="4">
        <v>6.0</v>
      </c>
      <c r="E9" s="4" t="s">
        <v>80</v>
      </c>
      <c r="F9" s="4" t="s">
        <v>105</v>
      </c>
      <c r="G9" s="159" t="s">
        <v>2105</v>
      </c>
      <c r="H9" s="145">
        <f t="shared" si="1"/>
        <v>45687</v>
      </c>
      <c r="I9" s="145">
        <f t="shared" si="2"/>
        <v>45708</v>
      </c>
      <c r="J9" s="145">
        <f t="shared" si="3"/>
        <v>45713</v>
      </c>
      <c r="K9" s="2"/>
      <c r="L9" s="157"/>
      <c r="M9" s="136"/>
      <c r="N9" s="158"/>
      <c r="O9" s="359"/>
      <c r="P9" s="359"/>
      <c r="Q9" s="119"/>
      <c r="R9" s="119"/>
      <c r="S9" s="121"/>
      <c r="T9" s="119"/>
      <c r="U9" s="119"/>
      <c r="V9" s="119"/>
      <c r="W9" s="119"/>
      <c r="X9" s="158"/>
    </row>
    <row r="10">
      <c r="A10" s="70"/>
      <c r="B10" s="70"/>
      <c r="C10" s="4"/>
      <c r="D10" s="4"/>
      <c r="E10" s="4"/>
      <c r="F10" s="4"/>
      <c r="G10" s="159"/>
      <c r="H10" s="142"/>
      <c r="I10" s="139"/>
      <c r="J10" s="139"/>
      <c r="K10" s="136"/>
      <c r="L10" s="157"/>
      <c r="M10" s="136"/>
      <c r="N10" s="158"/>
      <c r="O10" s="359"/>
      <c r="P10" s="359"/>
      <c r="Q10" s="119"/>
      <c r="R10" s="119"/>
      <c r="S10" s="121"/>
      <c r="T10" s="119"/>
      <c r="U10" s="119"/>
      <c r="V10" s="119"/>
      <c r="W10" s="119"/>
      <c r="X10" s="158"/>
    </row>
    <row r="11">
      <c r="A11" s="70"/>
      <c r="B11" s="70"/>
      <c r="C11" s="4"/>
      <c r="D11" s="4"/>
      <c r="E11" s="4"/>
      <c r="F11" s="4"/>
      <c r="G11" s="159" t="s">
        <v>2104</v>
      </c>
      <c r="H11" s="142">
        <v>45505.0</v>
      </c>
      <c r="I11" s="139"/>
      <c r="J11" s="139"/>
      <c r="K11" s="136"/>
      <c r="L11" s="157"/>
      <c r="M11" s="136"/>
      <c r="N11" s="158"/>
      <c r="O11" s="359"/>
      <c r="P11" s="359"/>
      <c r="Q11" s="119"/>
      <c r="R11" s="119"/>
      <c r="S11" s="121"/>
      <c r="T11" s="119"/>
      <c r="U11" s="119"/>
      <c r="V11" s="119"/>
      <c r="W11" s="119"/>
      <c r="X11" s="158"/>
    </row>
    <row r="12">
      <c r="A12" s="425" t="s">
        <v>1895</v>
      </c>
      <c r="C12" s="4"/>
      <c r="D12" s="4">
        <v>1.0</v>
      </c>
      <c r="E12" s="4" t="s">
        <v>80</v>
      </c>
      <c r="F12" s="4" t="s">
        <v>105</v>
      </c>
      <c r="G12" s="159" t="s">
        <v>1895</v>
      </c>
      <c r="H12" s="142">
        <v>45415.0</v>
      </c>
      <c r="I12" s="139">
        <f>IF(F12="truck",H12+4,IF(F12="train",H12+21,""))</f>
        <v>45436</v>
      </c>
      <c r="J12" s="139">
        <f>H11</f>
        <v>45505</v>
      </c>
      <c r="K12" s="136"/>
      <c r="L12" s="157"/>
      <c r="M12" s="136"/>
      <c r="N12" s="158"/>
      <c r="O12" s="359"/>
      <c r="P12" s="359"/>
      <c r="Q12" s="119"/>
      <c r="R12" s="119"/>
      <c r="S12" s="121"/>
      <c r="T12" s="119"/>
      <c r="U12" s="119"/>
      <c r="V12" s="119"/>
      <c r="W12" s="119"/>
      <c r="X12" s="158"/>
    </row>
    <row r="13">
      <c r="C13" s="4"/>
      <c r="D13" s="4">
        <v>2.0</v>
      </c>
      <c r="E13" s="4" t="s">
        <v>80</v>
      </c>
      <c r="F13" s="4" t="s">
        <v>105</v>
      </c>
      <c r="G13" s="159" t="s">
        <v>1895</v>
      </c>
      <c r="H13" s="145">
        <f>H11+21+3</f>
        <v>45529</v>
      </c>
      <c r="I13" s="145">
        <f t="shared" ref="I13:I16" si="4">H13+21</f>
        <v>45550</v>
      </c>
      <c r="J13" s="145">
        <f t="shared" ref="J13:J16" si="5">IF(F13="truck",I13+3,IF(F13="train",I13+5,""))</f>
        <v>45555</v>
      </c>
      <c r="K13" s="136"/>
      <c r="L13" s="157"/>
      <c r="M13" s="4"/>
      <c r="N13" s="158"/>
      <c r="O13" s="359"/>
      <c r="P13" s="359"/>
      <c r="Q13" s="119"/>
      <c r="R13" s="119"/>
      <c r="S13" s="121"/>
      <c r="T13" s="119"/>
      <c r="U13" s="119"/>
      <c r="V13" s="119"/>
      <c r="W13" s="119"/>
      <c r="X13" s="158"/>
    </row>
    <row r="14">
      <c r="C14" s="4"/>
      <c r="D14" s="4">
        <v>3.0</v>
      </c>
      <c r="E14" s="4" t="s">
        <v>80</v>
      </c>
      <c r="F14" s="4" t="s">
        <v>105</v>
      </c>
      <c r="G14" s="159" t="s">
        <v>1895</v>
      </c>
      <c r="H14" s="145">
        <f t="shared" ref="H14:H16" si="6">I13+23</f>
        <v>45573</v>
      </c>
      <c r="I14" s="145">
        <f t="shared" si="4"/>
        <v>45594</v>
      </c>
      <c r="J14" s="145">
        <f t="shared" si="5"/>
        <v>45599</v>
      </c>
      <c r="K14" s="136"/>
      <c r="L14" s="157"/>
      <c r="M14" s="4"/>
      <c r="N14" s="158"/>
      <c r="O14" s="359"/>
      <c r="P14" s="359"/>
      <c r="Q14" s="119"/>
      <c r="R14" s="119"/>
      <c r="S14" s="121"/>
      <c r="T14" s="119"/>
      <c r="U14" s="119"/>
      <c r="V14" s="119"/>
      <c r="W14" s="119"/>
      <c r="X14" s="158"/>
    </row>
    <row r="15">
      <c r="C15" s="4"/>
      <c r="D15" s="4">
        <v>4.0</v>
      </c>
      <c r="E15" s="4" t="s">
        <v>80</v>
      </c>
      <c r="F15" s="4" t="s">
        <v>105</v>
      </c>
      <c r="G15" s="159" t="s">
        <v>1895</v>
      </c>
      <c r="H15" s="145">
        <f t="shared" si="6"/>
        <v>45617</v>
      </c>
      <c r="I15" s="145">
        <f t="shared" si="4"/>
        <v>45638</v>
      </c>
      <c r="J15" s="145">
        <f t="shared" si="5"/>
        <v>45643</v>
      </c>
      <c r="K15" s="136"/>
      <c r="L15" s="157"/>
      <c r="M15" s="4"/>
      <c r="N15" s="158"/>
      <c r="O15" s="359"/>
      <c r="P15" s="359"/>
      <c r="Q15" s="119"/>
      <c r="R15" s="119"/>
      <c r="S15" s="121"/>
      <c r="T15" s="119"/>
      <c r="U15" s="119"/>
      <c r="V15" s="119"/>
      <c r="W15" s="119"/>
      <c r="X15" s="158"/>
    </row>
    <row r="16">
      <c r="C16" s="4"/>
      <c r="D16" s="4">
        <v>5.0</v>
      </c>
      <c r="E16" s="4" t="s">
        <v>80</v>
      </c>
      <c r="F16" s="4" t="s">
        <v>105</v>
      </c>
      <c r="G16" s="159" t="s">
        <v>1895</v>
      </c>
      <c r="H16" s="145">
        <f t="shared" si="6"/>
        <v>45661</v>
      </c>
      <c r="I16" s="145">
        <f t="shared" si="4"/>
        <v>45682</v>
      </c>
      <c r="J16" s="145">
        <f t="shared" si="5"/>
        <v>45687</v>
      </c>
      <c r="K16" s="136"/>
      <c r="L16" s="157"/>
      <c r="M16" s="4"/>
      <c r="N16" s="158"/>
      <c r="O16" s="359"/>
      <c r="P16" s="359"/>
      <c r="Q16" s="119"/>
      <c r="R16" s="119"/>
      <c r="S16" s="121"/>
      <c r="T16" s="119"/>
      <c r="U16" s="119"/>
      <c r="V16" s="119"/>
      <c r="W16" s="119"/>
      <c r="X16" s="158"/>
    </row>
    <row r="17">
      <c r="C17" s="4"/>
      <c r="D17" s="4"/>
      <c r="E17" s="4"/>
      <c r="F17" s="4"/>
      <c r="G17" s="159"/>
      <c r="H17" s="145"/>
      <c r="I17" s="145"/>
      <c r="J17" s="145"/>
      <c r="K17" s="136"/>
      <c r="L17" s="157"/>
      <c r="M17" s="4"/>
      <c r="N17" s="158"/>
      <c r="O17" s="359"/>
      <c r="P17" s="359"/>
      <c r="Q17" s="119"/>
      <c r="R17" s="119"/>
      <c r="S17" s="121"/>
      <c r="T17" s="119"/>
      <c r="U17" s="119"/>
      <c r="V17" s="119"/>
      <c r="W17" s="119"/>
      <c r="X17" s="158"/>
    </row>
    <row r="18">
      <c r="A18" s="70"/>
      <c r="B18" s="70"/>
      <c r="C18" s="4"/>
      <c r="D18" s="4"/>
      <c r="E18" s="4"/>
      <c r="F18" s="4"/>
      <c r="G18" s="159" t="s">
        <v>2104</v>
      </c>
      <c r="H18" s="142">
        <v>45509.0</v>
      </c>
      <c r="I18" s="139"/>
      <c r="J18" s="139"/>
      <c r="K18" s="136"/>
      <c r="L18" s="157"/>
      <c r="M18" s="4"/>
      <c r="N18" s="158"/>
      <c r="O18" s="359"/>
      <c r="P18" s="359"/>
      <c r="Q18" s="119"/>
      <c r="R18" s="119"/>
      <c r="S18" s="121"/>
      <c r="T18" s="119"/>
      <c r="U18" s="119"/>
      <c r="V18" s="119"/>
      <c r="W18" s="119"/>
      <c r="X18" s="158"/>
    </row>
    <row r="19">
      <c r="A19" s="425" t="s">
        <v>1897</v>
      </c>
      <c r="C19" s="4"/>
      <c r="D19" s="4">
        <v>1.0</v>
      </c>
      <c r="E19" s="4" t="s">
        <v>80</v>
      </c>
      <c r="F19" s="4" t="s">
        <v>105</v>
      </c>
      <c r="G19" s="159" t="s">
        <v>1897</v>
      </c>
      <c r="H19" s="142">
        <v>45418.0</v>
      </c>
      <c r="I19" s="139">
        <f t="shared" ref="I19:I23" si="7">IF(F19="truck",H19+4,IF(F19="train",H19+21,""))</f>
        <v>45439</v>
      </c>
      <c r="J19" s="139">
        <f>H18</f>
        <v>45509</v>
      </c>
      <c r="K19" s="136"/>
      <c r="L19" s="157"/>
      <c r="M19" s="136"/>
      <c r="N19" s="158"/>
      <c r="O19" s="359"/>
      <c r="P19" s="359"/>
      <c r="Q19" s="119"/>
      <c r="R19" s="119"/>
      <c r="S19" s="121"/>
      <c r="T19" s="119"/>
      <c r="U19" s="119"/>
      <c r="V19" s="119"/>
      <c r="W19" s="119"/>
      <c r="X19" s="158"/>
    </row>
    <row r="20">
      <c r="C20" s="4"/>
      <c r="D20" s="4">
        <v>2.0</v>
      </c>
      <c r="E20" s="4" t="s">
        <v>80</v>
      </c>
      <c r="F20" s="4" t="s">
        <v>105</v>
      </c>
      <c r="G20" s="159" t="s">
        <v>1897</v>
      </c>
      <c r="H20" s="145">
        <f>H18+21+3</f>
        <v>45533</v>
      </c>
      <c r="I20" s="145">
        <f t="shared" si="7"/>
        <v>45554</v>
      </c>
      <c r="J20" s="145">
        <f t="shared" ref="J20:J23" si="8">IF(F20="truck",I20+3,IF(F20="train",I20+5,""))</f>
        <v>45559</v>
      </c>
      <c r="K20" s="136"/>
      <c r="L20" s="157"/>
      <c r="M20" s="4"/>
      <c r="N20" s="158"/>
      <c r="O20" s="359"/>
      <c r="P20" s="359"/>
      <c r="Q20" s="119"/>
      <c r="R20" s="119"/>
      <c r="S20" s="121"/>
      <c r="T20" s="119"/>
      <c r="U20" s="119"/>
      <c r="V20" s="119"/>
      <c r="W20" s="119"/>
      <c r="X20" s="158"/>
    </row>
    <row r="21">
      <c r="C21" s="4"/>
      <c r="D21" s="4">
        <v>3.0</v>
      </c>
      <c r="E21" s="4" t="s">
        <v>80</v>
      </c>
      <c r="F21" s="4" t="s">
        <v>105</v>
      </c>
      <c r="G21" s="159" t="s">
        <v>1897</v>
      </c>
      <c r="H21" s="145">
        <f t="shared" ref="H21:H23" si="9">I20+23</f>
        <v>45577</v>
      </c>
      <c r="I21" s="145">
        <f t="shared" si="7"/>
        <v>45598</v>
      </c>
      <c r="J21" s="145">
        <f t="shared" si="8"/>
        <v>45603</v>
      </c>
      <c r="K21" s="136"/>
      <c r="L21" s="157"/>
      <c r="M21" s="4"/>
      <c r="N21" s="158"/>
      <c r="O21" s="359"/>
      <c r="P21" s="359"/>
      <c r="Q21" s="119"/>
      <c r="R21" s="119"/>
      <c r="S21" s="121"/>
      <c r="T21" s="119"/>
      <c r="U21" s="119"/>
      <c r="V21" s="119"/>
      <c r="W21" s="119"/>
      <c r="X21" s="158"/>
    </row>
    <row r="22">
      <c r="C22" s="4"/>
      <c r="D22" s="4">
        <v>4.0</v>
      </c>
      <c r="E22" s="4" t="s">
        <v>80</v>
      </c>
      <c r="F22" s="4" t="s">
        <v>105</v>
      </c>
      <c r="G22" s="159" t="s">
        <v>1897</v>
      </c>
      <c r="H22" s="145">
        <f t="shared" si="9"/>
        <v>45621</v>
      </c>
      <c r="I22" s="145">
        <f t="shared" si="7"/>
        <v>45642</v>
      </c>
      <c r="J22" s="145">
        <f t="shared" si="8"/>
        <v>45647</v>
      </c>
      <c r="K22" s="136"/>
      <c r="L22" s="157"/>
      <c r="M22" s="4"/>
      <c r="N22" s="158"/>
      <c r="O22" s="359"/>
      <c r="P22" s="359"/>
      <c r="Q22" s="119"/>
      <c r="R22" s="119"/>
      <c r="S22" s="121"/>
      <c r="T22" s="119"/>
      <c r="U22" s="119"/>
      <c r="V22" s="119"/>
      <c r="W22" s="119"/>
      <c r="X22" s="158"/>
    </row>
    <row r="23">
      <c r="C23" s="4"/>
      <c r="D23" s="4">
        <v>5.0</v>
      </c>
      <c r="E23" s="4" t="s">
        <v>80</v>
      </c>
      <c r="F23" s="4" t="s">
        <v>105</v>
      </c>
      <c r="G23" s="159" t="s">
        <v>1897</v>
      </c>
      <c r="H23" s="145">
        <f t="shared" si="9"/>
        <v>45665</v>
      </c>
      <c r="I23" s="145">
        <f t="shared" si="7"/>
        <v>45686</v>
      </c>
      <c r="J23" s="145">
        <f t="shared" si="8"/>
        <v>45691</v>
      </c>
      <c r="K23" s="136"/>
      <c r="L23" s="157"/>
      <c r="M23" s="4"/>
      <c r="N23" s="158"/>
      <c r="O23" s="359"/>
      <c r="P23" s="359"/>
      <c r="Q23" s="119"/>
      <c r="R23" s="119"/>
      <c r="S23" s="121"/>
      <c r="T23" s="119"/>
      <c r="U23" s="119"/>
      <c r="V23" s="119"/>
      <c r="W23" s="119"/>
      <c r="X23" s="158"/>
    </row>
    <row r="24">
      <c r="C24" s="4"/>
      <c r="D24" s="4"/>
      <c r="E24" s="4"/>
      <c r="F24" s="4"/>
      <c r="G24" s="159"/>
      <c r="H24" s="145"/>
      <c r="I24" s="145"/>
      <c r="J24" s="145"/>
      <c r="K24" s="136"/>
      <c r="L24" s="157"/>
      <c r="M24" s="4"/>
      <c r="N24" s="158"/>
      <c r="O24" s="359"/>
      <c r="P24" s="359"/>
      <c r="Q24" s="119"/>
      <c r="R24" s="119"/>
      <c r="S24" s="121"/>
      <c r="T24" s="119"/>
      <c r="U24" s="119"/>
      <c r="V24" s="119"/>
      <c r="W24" s="119"/>
      <c r="X24" s="158"/>
    </row>
    <row r="25">
      <c r="A25" s="70"/>
      <c r="C25" s="4"/>
      <c r="D25" s="4"/>
      <c r="E25" s="4"/>
      <c r="F25" s="4"/>
      <c r="G25" s="159" t="s">
        <v>2104</v>
      </c>
      <c r="H25" s="142">
        <v>45513.0</v>
      </c>
      <c r="I25" s="139"/>
      <c r="J25" s="139"/>
      <c r="K25" s="136"/>
      <c r="L25" s="157"/>
      <c r="M25" s="4"/>
      <c r="N25" s="158"/>
      <c r="O25" s="359"/>
      <c r="P25" s="359"/>
      <c r="Q25" s="119"/>
      <c r="R25" s="119"/>
      <c r="S25" s="121"/>
      <c r="T25" s="119"/>
      <c r="U25" s="119"/>
      <c r="V25" s="119"/>
      <c r="W25" s="119"/>
      <c r="X25" s="158"/>
    </row>
    <row r="26">
      <c r="A26" s="425" t="s">
        <v>1898</v>
      </c>
      <c r="C26" s="4"/>
      <c r="D26" s="4">
        <v>1.0</v>
      </c>
      <c r="E26" s="4" t="s">
        <v>80</v>
      </c>
      <c r="F26" s="4" t="s">
        <v>105</v>
      </c>
      <c r="G26" s="159" t="s">
        <v>1898</v>
      </c>
      <c r="H26" s="142">
        <v>45419.0</v>
      </c>
      <c r="I26" s="139">
        <f t="shared" ref="I26:I30" si="10">IF(F26="truck",H26+4,IF(F26="train",H26+21,""))</f>
        <v>45440</v>
      </c>
      <c r="J26" s="139">
        <f>H25</f>
        <v>45513</v>
      </c>
      <c r="K26" s="426"/>
      <c r="L26" s="157"/>
      <c r="M26" s="136"/>
      <c r="N26" s="158"/>
      <c r="O26" s="359"/>
      <c r="P26" s="359"/>
      <c r="Q26" s="119"/>
      <c r="R26" s="119"/>
      <c r="S26" s="121"/>
      <c r="T26" s="119"/>
      <c r="U26" s="119"/>
      <c r="V26" s="119"/>
      <c r="W26" s="119"/>
      <c r="X26" s="158"/>
    </row>
    <row r="27">
      <c r="C27" s="4"/>
      <c r="D27" s="4">
        <v>2.0</v>
      </c>
      <c r="E27" s="4" t="s">
        <v>80</v>
      </c>
      <c r="F27" s="4" t="s">
        <v>105</v>
      </c>
      <c r="G27" s="159" t="s">
        <v>1898</v>
      </c>
      <c r="H27" s="145">
        <f>H25+21+3</f>
        <v>45537</v>
      </c>
      <c r="I27" s="145">
        <f t="shared" si="10"/>
        <v>45558</v>
      </c>
      <c r="J27" s="145">
        <f t="shared" ref="J27:J30" si="11">IF(F27="truck",I27+3,IF(F27="train",I27+5,""))</f>
        <v>45563</v>
      </c>
      <c r="K27" s="136"/>
      <c r="L27" s="157"/>
      <c r="M27" s="4"/>
      <c r="N27" s="158"/>
      <c r="O27" s="359"/>
      <c r="P27" s="359"/>
      <c r="Q27" s="119"/>
      <c r="R27" s="119"/>
      <c r="S27" s="121"/>
      <c r="T27" s="119"/>
      <c r="U27" s="119"/>
      <c r="V27" s="119"/>
      <c r="W27" s="119"/>
      <c r="X27" s="158"/>
    </row>
    <row r="28">
      <c r="C28" s="4"/>
      <c r="D28" s="4">
        <v>3.0</v>
      </c>
      <c r="E28" s="4" t="s">
        <v>80</v>
      </c>
      <c r="F28" s="4" t="s">
        <v>105</v>
      </c>
      <c r="G28" s="159" t="s">
        <v>1898</v>
      </c>
      <c r="H28" s="145">
        <f t="shared" ref="H28:H30" si="12">I27+23</f>
        <v>45581</v>
      </c>
      <c r="I28" s="145">
        <f t="shared" si="10"/>
        <v>45602</v>
      </c>
      <c r="J28" s="145">
        <f t="shared" si="11"/>
        <v>45607</v>
      </c>
      <c r="K28" s="136"/>
      <c r="L28" s="157"/>
      <c r="M28" s="4"/>
      <c r="N28" s="158"/>
      <c r="O28" s="359"/>
      <c r="P28" s="359"/>
      <c r="Q28" s="119"/>
      <c r="R28" s="119"/>
      <c r="S28" s="121"/>
      <c r="T28" s="119"/>
      <c r="U28" s="119"/>
      <c r="V28" s="119"/>
      <c r="W28" s="119"/>
      <c r="X28" s="158"/>
    </row>
    <row r="29">
      <c r="C29" s="4"/>
      <c r="D29" s="4">
        <v>4.0</v>
      </c>
      <c r="E29" s="4" t="s">
        <v>80</v>
      </c>
      <c r="F29" s="4" t="s">
        <v>105</v>
      </c>
      <c r="G29" s="159" t="s">
        <v>1898</v>
      </c>
      <c r="H29" s="145">
        <f t="shared" si="12"/>
        <v>45625</v>
      </c>
      <c r="I29" s="145">
        <f t="shared" si="10"/>
        <v>45646</v>
      </c>
      <c r="J29" s="145">
        <f t="shared" si="11"/>
        <v>45651</v>
      </c>
      <c r="K29" s="136"/>
      <c r="L29" s="157"/>
      <c r="M29" s="4"/>
      <c r="N29" s="158"/>
      <c r="O29" s="359"/>
      <c r="P29" s="359"/>
      <c r="Q29" s="119"/>
      <c r="R29" s="119"/>
      <c r="S29" s="121"/>
      <c r="T29" s="119"/>
      <c r="U29" s="119"/>
      <c r="V29" s="119"/>
      <c r="W29" s="119"/>
      <c r="X29" s="158"/>
    </row>
    <row r="30">
      <c r="C30" s="4"/>
      <c r="D30" s="4">
        <v>5.0</v>
      </c>
      <c r="E30" s="4" t="s">
        <v>80</v>
      </c>
      <c r="F30" s="4" t="s">
        <v>105</v>
      </c>
      <c r="G30" s="159" t="s">
        <v>1898</v>
      </c>
      <c r="H30" s="145">
        <f t="shared" si="12"/>
        <v>45669</v>
      </c>
      <c r="I30" s="145">
        <f t="shared" si="10"/>
        <v>45690</v>
      </c>
      <c r="J30" s="145">
        <f t="shared" si="11"/>
        <v>45695</v>
      </c>
      <c r="K30" s="136"/>
      <c r="L30" s="157"/>
      <c r="M30" s="4"/>
      <c r="N30" s="158"/>
      <c r="O30" s="359"/>
      <c r="P30" s="359"/>
      <c r="Q30" s="119"/>
      <c r="R30" s="119"/>
      <c r="S30" s="121"/>
      <c r="T30" s="119"/>
      <c r="U30" s="119"/>
      <c r="V30" s="119"/>
      <c r="W30" s="119"/>
      <c r="X30" s="158"/>
    </row>
    <row r="31">
      <c r="C31" s="4"/>
      <c r="D31" s="4"/>
      <c r="E31" s="4"/>
      <c r="F31" s="4"/>
      <c r="G31" s="159"/>
      <c r="H31" s="145"/>
      <c r="I31" s="145"/>
      <c r="J31" s="145"/>
      <c r="K31" s="136"/>
      <c r="L31" s="157"/>
      <c r="M31" s="4"/>
      <c r="N31" s="158"/>
      <c r="O31" s="359"/>
      <c r="P31" s="359"/>
      <c r="Q31" s="119"/>
      <c r="R31" s="119"/>
      <c r="S31" s="121"/>
      <c r="T31" s="119"/>
      <c r="U31" s="119"/>
      <c r="V31" s="119"/>
      <c r="W31" s="119"/>
      <c r="X31" s="158"/>
    </row>
    <row r="32">
      <c r="A32" s="70"/>
      <c r="B32" s="70"/>
      <c r="C32" s="4"/>
      <c r="D32" s="4"/>
      <c r="E32" s="4"/>
      <c r="F32" s="4"/>
      <c r="G32" s="159" t="s">
        <v>2106</v>
      </c>
      <c r="H32" s="142">
        <v>45542.0</v>
      </c>
      <c r="I32" s="139"/>
      <c r="J32" s="139"/>
      <c r="K32" s="136"/>
      <c r="L32" s="157"/>
      <c r="M32" s="4"/>
      <c r="N32" s="158"/>
      <c r="O32" s="359"/>
      <c r="P32" s="359"/>
      <c r="Q32" s="119"/>
      <c r="R32" s="119"/>
      <c r="S32" s="121"/>
      <c r="T32" s="119"/>
      <c r="U32" s="119"/>
      <c r="V32" s="119"/>
      <c r="W32" s="119"/>
      <c r="X32" s="158"/>
    </row>
    <row r="33">
      <c r="A33" s="425" t="s">
        <v>2107</v>
      </c>
      <c r="C33" s="4"/>
      <c r="D33" s="4">
        <v>1.0</v>
      </c>
      <c r="E33" s="4" t="s">
        <v>80</v>
      </c>
      <c r="F33" s="4" t="s">
        <v>105</v>
      </c>
      <c r="G33" s="159" t="s">
        <v>2107</v>
      </c>
      <c r="H33" s="145">
        <v>45491.0</v>
      </c>
      <c r="I33" s="145">
        <f>J33-5</f>
        <v>45537</v>
      </c>
      <c r="J33" s="145">
        <f>H32</f>
        <v>45542</v>
      </c>
      <c r="K33" s="136"/>
      <c r="L33" s="424"/>
      <c r="M33" s="4"/>
      <c r="N33" s="158"/>
      <c r="O33" s="359"/>
      <c r="P33" s="359"/>
      <c r="Q33" s="119"/>
      <c r="R33" s="119"/>
      <c r="S33" s="121"/>
      <c r="T33" s="119"/>
      <c r="U33" s="119"/>
      <c r="V33" s="119"/>
      <c r="W33" s="119"/>
      <c r="X33" s="158"/>
    </row>
    <row r="34">
      <c r="C34" s="4"/>
      <c r="D34" s="4">
        <v>2.0</v>
      </c>
      <c r="E34" s="4" t="s">
        <v>80</v>
      </c>
      <c r="F34" s="4" t="s">
        <v>105</v>
      </c>
      <c r="G34" s="159" t="s">
        <v>2107</v>
      </c>
      <c r="H34" s="145">
        <f t="shared" ref="H34:H37" si="13">I33+23</f>
        <v>45560</v>
      </c>
      <c r="I34" s="145">
        <f t="shared" ref="I34:I37" si="14">IF(F34="truck",H34+4,IF(F34="train",H34+21,""))</f>
        <v>45581</v>
      </c>
      <c r="J34" s="145">
        <f t="shared" ref="J34:J37" si="15">IF(F34="truck",I34+3,IF(F34="train",I34+5,""))</f>
        <v>45586</v>
      </c>
      <c r="K34" s="136"/>
      <c r="L34" s="157"/>
      <c r="M34" s="4"/>
      <c r="N34" s="158"/>
      <c r="O34" s="359"/>
      <c r="P34" s="359"/>
      <c r="Q34" s="119"/>
      <c r="R34" s="119"/>
      <c r="S34" s="121"/>
      <c r="T34" s="119"/>
      <c r="U34" s="119"/>
      <c r="V34" s="119"/>
      <c r="W34" s="119"/>
      <c r="X34" s="158"/>
    </row>
    <row r="35">
      <c r="C35" s="4"/>
      <c r="D35" s="4">
        <v>3.0</v>
      </c>
      <c r="E35" s="4" t="s">
        <v>80</v>
      </c>
      <c r="F35" s="4" t="s">
        <v>105</v>
      </c>
      <c r="G35" s="159" t="s">
        <v>2107</v>
      </c>
      <c r="H35" s="145">
        <f t="shared" si="13"/>
        <v>45604</v>
      </c>
      <c r="I35" s="145">
        <f t="shared" si="14"/>
        <v>45625</v>
      </c>
      <c r="J35" s="145">
        <f t="shared" si="15"/>
        <v>45630</v>
      </c>
      <c r="K35" s="136"/>
      <c r="L35" s="157"/>
      <c r="M35" s="4"/>
      <c r="N35" s="158"/>
      <c r="O35" s="359"/>
      <c r="P35" s="359"/>
      <c r="Q35" s="119"/>
      <c r="R35" s="119"/>
      <c r="S35" s="121"/>
      <c r="T35" s="119"/>
      <c r="U35" s="119"/>
      <c r="V35" s="119"/>
      <c r="W35" s="119"/>
      <c r="X35" s="158"/>
    </row>
    <row r="36">
      <c r="C36" s="4"/>
      <c r="D36" s="4">
        <v>4.0</v>
      </c>
      <c r="E36" s="4" t="s">
        <v>80</v>
      </c>
      <c r="F36" s="4" t="s">
        <v>105</v>
      </c>
      <c r="G36" s="159" t="s">
        <v>2107</v>
      </c>
      <c r="H36" s="145">
        <f t="shared" si="13"/>
        <v>45648</v>
      </c>
      <c r="I36" s="145">
        <f t="shared" si="14"/>
        <v>45669</v>
      </c>
      <c r="J36" s="145">
        <f t="shared" si="15"/>
        <v>45674</v>
      </c>
      <c r="K36" s="136"/>
      <c r="L36" s="157"/>
      <c r="M36" s="4"/>
      <c r="N36" s="158"/>
      <c r="O36" s="359"/>
      <c r="P36" s="359"/>
      <c r="Q36" s="119"/>
      <c r="R36" s="119"/>
      <c r="S36" s="121"/>
      <c r="T36" s="119"/>
      <c r="U36" s="119"/>
      <c r="V36" s="119"/>
      <c r="W36" s="119"/>
      <c r="X36" s="158"/>
    </row>
    <row r="37">
      <c r="C37" s="4"/>
      <c r="D37" s="4">
        <v>5.0</v>
      </c>
      <c r="E37" s="4" t="s">
        <v>80</v>
      </c>
      <c r="F37" s="4" t="s">
        <v>105</v>
      </c>
      <c r="G37" s="159" t="s">
        <v>2107</v>
      </c>
      <c r="H37" s="145">
        <f t="shared" si="13"/>
        <v>45692</v>
      </c>
      <c r="I37" s="145">
        <f t="shared" si="14"/>
        <v>45713</v>
      </c>
      <c r="J37" s="145">
        <f t="shared" si="15"/>
        <v>45718</v>
      </c>
      <c r="K37" s="136"/>
      <c r="L37" s="157"/>
      <c r="M37" s="4"/>
      <c r="N37" s="158"/>
      <c r="O37" s="359"/>
      <c r="P37" s="359"/>
      <c r="Q37" s="119"/>
      <c r="R37" s="119"/>
      <c r="S37" s="121"/>
      <c r="T37" s="119"/>
      <c r="U37" s="119"/>
      <c r="V37" s="119"/>
      <c r="W37" s="119"/>
      <c r="X37" s="158"/>
    </row>
    <row r="38">
      <c r="A38" s="70"/>
      <c r="B38" s="70"/>
      <c r="C38" s="4"/>
      <c r="D38" s="4"/>
      <c r="E38" s="4"/>
      <c r="F38" s="4"/>
      <c r="G38" s="427"/>
      <c r="H38" s="139"/>
      <c r="I38" s="139"/>
      <c r="J38" s="139"/>
      <c r="K38" s="136"/>
      <c r="L38" s="157"/>
      <c r="M38" s="4"/>
      <c r="N38" s="158"/>
      <c r="O38" s="359"/>
      <c r="P38" s="359"/>
      <c r="Q38" s="119"/>
      <c r="R38" s="119"/>
      <c r="S38" s="121"/>
      <c r="T38" s="119"/>
      <c r="U38" s="119"/>
      <c r="V38" s="119"/>
      <c r="W38" s="119"/>
      <c r="X38" s="158"/>
    </row>
    <row r="39">
      <c r="A39" s="70"/>
      <c r="B39" s="70"/>
      <c r="C39" s="4"/>
      <c r="D39" s="4"/>
      <c r="E39" s="4"/>
      <c r="F39" s="4"/>
      <c r="G39" s="427" t="s">
        <v>2104</v>
      </c>
      <c r="H39" s="139">
        <v>45522.0</v>
      </c>
      <c r="I39" s="139"/>
      <c r="J39" s="139"/>
      <c r="K39" s="136"/>
      <c r="L39" s="157"/>
      <c r="M39" s="4"/>
      <c r="N39" s="158"/>
      <c r="O39" s="359"/>
      <c r="P39" s="359"/>
      <c r="Q39" s="119"/>
      <c r="R39" s="119"/>
      <c r="S39" s="121"/>
      <c r="T39" s="119"/>
      <c r="U39" s="119"/>
      <c r="V39" s="119"/>
      <c r="W39" s="119"/>
      <c r="X39" s="158"/>
    </row>
    <row r="40">
      <c r="A40" s="425" t="s">
        <v>2108</v>
      </c>
      <c r="C40" s="4"/>
      <c r="D40" s="4">
        <v>1.0</v>
      </c>
      <c r="E40" s="4" t="s">
        <v>80</v>
      </c>
      <c r="F40" s="4" t="s">
        <v>105</v>
      </c>
      <c r="G40" s="322" t="s">
        <v>2108</v>
      </c>
      <c r="H40" s="145">
        <v>45482.0</v>
      </c>
      <c r="I40" s="145">
        <f>J40-5</f>
        <v>45517</v>
      </c>
      <c r="J40" s="145">
        <f>H39</f>
        <v>45522</v>
      </c>
      <c r="K40" s="136"/>
      <c r="L40" s="157"/>
      <c r="M40" s="4"/>
      <c r="N40" s="158"/>
      <c r="O40" s="359"/>
      <c r="P40" s="359"/>
      <c r="Q40" s="119"/>
      <c r="R40" s="119"/>
      <c r="S40" s="121"/>
      <c r="T40" s="119"/>
      <c r="U40" s="119"/>
      <c r="V40" s="119"/>
      <c r="W40" s="119"/>
      <c r="X40" s="158"/>
    </row>
    <row r="41">
      <c r="C41" s="4"/>
      <c r="D41" s="4">
        <v>2.0</v>
      </c>
      <c r="E41" s="4" t="s">
        <v>80</v>
      </c>
      <c r="F41" s="4" t="s">
        <v>105</v>
      </c>
      <c r="G41" s="322" t="s">
        <v>2108</v>
      </c>
      <c r="H41" s="145">
        <f t="shared" ref="H41:H44" si="16">I40+23</f>
        <v>45540</v>
      </c>
      <c r="I41" s="145">
        <f t="shared" ref="I41:I44" si="17">IF(F41="truck",H41+4,IF(F41="train",H41+21,""))</f>
        <v>45561</v>
      </c>
      <c r="J41" s="145">
        <f t="shared" ref="J41:J44" si="18">IF(F41="truck",I41+3,IF(F41="train",I41+5,""))</f>
        <v>45566</v>
      </c>
      <c r="K41" s="136"/>
      <c r="L41" s="157"/>
      <c r="M41" s="4"/>
      <c r="N41" s="158"/>
      <c r="O41" s="359"/>
      <c r="P41" s="359"/>
      <c r="Q41" s="119"/>
      <c r="R41" s="119"/>
      <c r="S41" s="121"/>
      <c r="T41" s="119"/>
      <c r="U41" s="119"/>
      <c r="V41" s="119"/>
      <c r="W41" s="119"/>
      <c r="X41" s="158"/>
    </row>
    <row r="42">
      <c r="C42" s="4"/>
      <c r="D42" s="4">
        <v>3.0</v>
      </c>
      <c r="E42" s="4" t="s">
        <v>80</v>
      </c>
      <c r="F42" s="4" t="s">
        <v>105</v>
      </c>
      <c r="G42" s="322" t="s">
        <v>2108</v>
      </c>
      <c r="H42" s="145">
        <f t="shared" si="16"/>
        <v>45584</v>
      </c>
      <c r="I42" s="145">
        <f t="shared" si="17"/>
        <v>45605</v>
      </c>
      <c r="J42" s="145">
        <f t="shared" si="18"/>
        <v>45610</v>
      </c>
      <c r="K42" s="136"/>
      <c r="L42" s="157"/>
      <c r="M42" s="4"/>
      <c r="N42" s="158"/>
      <c r="O42" s="359"/>
      <c r="P42" s="359"/>
      <c r="Q42" s="119"/>
      <c r="R42" s="119"/>
      <c r="S42" s="121"/>
      <c r="T42" s="119"/>
      <c r="U42" s="119"/>
      <c r="V42" s="119"/>
      <c r="W42" s="119"/>
      <c r="X42" s="158"/>
    </row>
    <row r="43">
      <c r="C43" s="4"/>
      <c r="D43" s="4">
        <v>4.0</v>
      </c>
      <c r="E43" s="4" t="s">
        <v>80</v>
      </c>
      <c r="F43" s="4" t="s">
        <v>105</v>
      </c>
      <c r="G43" s="322" t="s">
        <v>2108</v>
      </c>
      <c r="H43" s="145">
        <f t="shared" si="16"/>
        <v>45628</v>
      </c>
      <c r="I43" s="145">
        <f t="shared" si="17"/>
        <v>45649</v>
      </c>
      <c r="J43" s="145">
        <f t="shared" si="18"/>
        <v>45654</v>
      </c>
      <c r="K43" s="136"/>
      <c r="L43" s="157"/>
      <c r="M43" s="4"/>
      <c r="N43" s="158"/>
      <c r="O43" s="359"/>
      <c r="P43" s="359"/>
      <c r="Q43" s="119"/>
      <c r="R43" s="119"/>
      <c r="S43" s="121"/>
      <c r="T43" s="119"/>
      <c r="U43" s="119"/>
      <c r="V43" s="119"/>
      <c r="W43" s="119"/>
      <c r="X43" s="158"/>
    </row>
    <row r="44">
      <c r="C44" s="4"/>
      <c r="D44" s="4">
        <v>5.0</v>
      </c>
      <c r="E44" s="4" t="s">
        <v>80</v>
      </c>
      <c r="F44" s="4" t="s">
        <v>105</v>
      </c>
      <c r="G44" s="322" t="s">
        <v>2108</v>
      </c>
      <c r="H44" s="145">
        <f t="shared" si="16"/>
        <v>45672</v>
      </c>
      <c r="I44" s="145">
        <f t="shared" si="17"/>
        <v>45693</v>
      </c>
      <c r="J44" s="145">
        <f t="shared" si="18"/>
        <v>45698</v>
      </c>
      <c r="K44" s="136"/>
      <c r="L44" s="157"/>
      <c r="M44" s="4"/>
      <c r="N44" s="158"/>
      <c r="O44" s="359"/>
      <c r="P44" s="359"/>
      <c r="Q44" s="119"/>
      <c r="R44" s="119"/>
      <c r="S44" s="121"/>
      <c r="T44" s="119"/>
      <c r="U44" s="119"/>
      <c r="V44" s="119"/>
      <c r="W44" s="119"/>
      <c r="X44" s="158"/>
    </row>
    <row r="45">
      <c r="A45" s="70"/>
      <c r="C45" s="4"/>
      <c r="D45" s="4"/>
      <c r="E45" s="4"/>
      <c r="F45" s="4"/>
      <c r="G45" s="427"/>
      <c r="H45" s="139"/>
      <c r="I45" s="139"/>
      <c r="J45" s="139"/>
      <c r="K45" s="136"/>
      <c r="L45" s="157"/>
      <c r="M45" s="4"/>
      <c r="N45" s="158"/>
      <c r="O45" s="359"/>
      <c r="P45" s="359"/>
      <c r="Q45" s="119"/>
      <c r="R45" s="119"/>
      <c r="S45" s="121"/>
      <c r="T45" s="119"/>
      <c r="U45" s="119"/>
      <c r="V45" s="119"/>
      <c r="W45" s="119"/>
      <c r="X45" s="158"/>
    </row>
    <row r="46">
      <c r="A46" s="70"/>
      <c r="C46" s="4"/>
      <c r="D46" s="4"/>
      <c r="E46" s="4"/>
      <c r="F46" s="4"/>
      <c r="G46" s="427" t="s">
        <v>2106</v>
      </c>
      <c r="H46" s="139">
        <v>45527.0</v>
      </c>
      <c r="I46" s="139"/>
      <c r="J46" s="139"/>
      <c r="K46" s="136"/>
      <c r="L46" s="157"/>
      <c r="M46" s="4"/>
      <c r="N46" s="158"/>
      <c r="O46" s="359"/>
      <c r="P46" s="359"/>
      <c r="Q46" s="119"/>
      <c r="R46" s="119"/>
      <c r="S46" s="121"/>
      <c r="T46" s="119"/>
      <c r="U46" s="119"/>
      <c r="V46" s="119"/>
      <c r="W46" s="119"/>
      <c r="X46" s="158"/>
    </row>
    <row r="47">
      <c r="A47" s="425" t="s">
        <v>2109</v>
      </c>
      <c r="C47" s="4"/>
      <c r="D47" s="4">
        <v>1.0</v>
      </c>
      <c r="E47" s="4" t="s">
        <v>80</v>
      </c>
      <c r="F47" s="4" t="s">
        <v>105</v>
      </c>
      <c r="G47" s="322" t="s">
        <v>2109</v>
      </c>
      <c r="H47" s="145">
        <v>45482.0</v>
      </c>
      <c r="I47" s="145">
        <f>J47-5</f>
        <v>45522</v>
      </c>
      <c r="J47" s="145">
        <f>H46</f>
        <v>45527</v>
      </c>
      <c r="K47" s="136"/>
      <c r="L47" s="157"/>
      <c r="M47" s="4"/>
      <c r="N47" s="158"/>
      <c r="O47" s="359"/>
      <c r="P47" s="359"/>
      <c r="Q47" s="119"/>
      <c r="R47" s="119"/>
      <c r="S47" s="121"/>
      <c r="T47" s="119"/>
      <c r="U47" s="119"/>
      <c r="V47" s="119"/>
      <c r="W47" s="119"/>
      <c r="X47" s="158"/>
    </row>
    <row r="48">
      <c r="C48" s="4"/>
      <c r="D48" s="4">
        <v>2.0</v>
      </c>
      <c r="E48" s="4" t="s">
        <v>80</v>
      </c>
      <c r="F48" s="4" t="s">
        <v>105</v>
      </c>
      <c r="G48" s="322" t="s">
        <v>2109</v>
      </c>
      <c r="H48" s="145">
        <f t="shared" ref="H48:H51" si="19">I47+23</f>
        <v>45545</v>
      </c>
      <c r="I48" s="145">
        <f t="shared" ref="I48:I51" si="20">IF(F48="truck",H48+4,IF(F48="train",H48+21,""))</f>
        <v>45566</v>
      </c>
      <c r="J48" s="145">
        <f t="shared" ref="J48:J51" si="21">IF(F48="truck",I48+3,IF(F48="train",I48+5,""))</f>
        <v>45571</v>
      </c>
      <c r="K48" s="136"/>
      <c r="L48" s="157"/>
      <c r="M48" s="4"/>
      <c r="N48" s="158"/>
      <c r="O48" s="359"/>
      <c r="P48" s="359"/>
      <c r="Q48" s="119"/>
      <c r="R48" s="119"/>
      <c r="S48" s="121"/>
      <c r="T48" s="119"/>
      <c r="U48" s="119"/>
      <c r="V48" s="119"/>
      <c r="W48" s="119"/>
      <c r="X48" s="158"/>
    </row>
    <row r="49">
      <c r="C49" s="4"/>
      <c r="D49" s="4">
        <v>3.0</v>
      </c>
      <c r="E49" s="4" t="s">
        <v>80</v>
      </c>
      <c r="F49" s="4" t="s">
        <v>105</v>
      </c>
      <c r="G49" s="322" t="s">
        <v>2109</v>
      </c>
      <c r="H49" s="145">
        <f t="shared" si="19"/>
        <v>45589</v>
      </c>
      <c r="I49" s="145">
        <f t="shared" si="20"/>
        <v>45610</v>
      </c>
      <c r="J49" s="145">
        <f t="shared" si="21"/>
        <v>45615</v>
      </c>
      <c r="K49" s="136"/>
      <c r="L49" s="157"/>
      <c r="M49" s="4"/>
      <c r="N49" s="158"/>
      <c r="O49" s="359"/>
      <c r="P49" s="359"/>
      <c r="Q49" s="119"/>
      <c r="R49" s="119"/>
      <c r="S49" s="121"/>
      <c r="T49" s="119"/>
      <c r="U49" s="119"/>
      <c r="V49" s="119"/>
      <c r="W49" s="119"/>
      <c r="X49" s="158"/>
    </row>
    <row r="50">
      <c r="C50" s="4"/>
      <c r="D50" s="4">
        <v>4.0</v>
      </c>
      <c r="E50" s="4" t="s">
        <v>80</v>
      </c>
      <c r="F50" s="4" t="s">
        <v>105</v>
      </c>
      <c r="G50" s="322" t="s">
        <v>2109</v>
      </c>
      <c r="H50" s="145">
        <f t="shared" si="19"/>
        <v>45633</v>
      </c>
      <c r="I50" s="145">
        <f t="shared" si="20"/>
        <v>45654</v>
      </c>
      <c r="J50" s="145">
        <f t="shared" si="21"/>
        <v>45659</v>
      </c>
      <c r="K50" s="136"/>
      <c r="L50" s="157"/>
      <c r="M50" s="4"/>
      <c r="N50" s="158"/>
      <c r="O50" s="359"/>
      <c r="P50" s="359"/>
      <c r="Q50" s="119"/>
      <c r="R50" s="119"/>
      <c r="S50" s="121"/>
      <c r="T50" s="119"/>
      <c r="U50" s="119"/>
      <c r="V50" s="119"/>
      <c r="W50" s="119"/>
      <c r="X50" s="158"/>
    </row>
    <row r="51">
      <c r="C51" s="4"/>
      <c r="D51" s="4">
        <v>5.0</v>
      </c>
      <c r="E51" s="4" t="s">
        <v>80</v>
      </c>
      <c r="F51" s="4" t="s">
        <v>105</v>
      </c>
      <c r="G51" s="322" t="s">
        <v>2109</v>
      </c>
      <c r="H51" s="145">
        <f t="shared" si="19"/>
        <v>45677</v>
      </c>
      <c r="I51" s="145">
        <f t="shared" si="20"/>
        <v>45698</v>
      </c>
      <c r="J51" s="145">
        <f t="shared" si="21"/>
        <v>45703</v>
      </c>
      <c r="K51" s="136"/>
      <c r="L51" s="157"/>
      <c r="M51" s="4"/>
      <c r="N51" s="158"/>
      <c r="O51" s="359"/>
      <c r="P51" s="359"/>
      <c r="Q51" s="119"/>
      <c r="R51" s="119"/>
      <c r="S51" s="121"/>
      <c r="T51" s="119"/>
      <c r="U51" s="119"/>
      <c r="V51" s="119"/>
      <c r="W51" s="119"/>
      <c r="X51" s="158"/>
    </row>
    <row r="52">
      <c r="A52" s="70"/>
      <c r="B52" s="70"/>
      <c r="C52" s="4"/>
      <c r="D52" s="4"/>
      <c r="E52" s="4"/>
      <c r="F52" s="4"/>
      <c r="G52" s="427"/>
      <c r="H52" s="139"/>
      <c r="I52" s="139"/>
      <c r="J52" s="139"/>
      <c r="K52" s="136"/>
      <c r="L52" s="157"/>
      <c r="M52" s="4"/>
      <c r="N52" s="158"/>
      <c r="O52" s="359"/>
      <c r="P52" s="359"/>
      <c r="Q52" s="119"/>
      <c r="R52" s="119"/>
      <c r="S52" s="121"/>
      <c r="T52" s="119"/>
      <c r="U52" s="119"/>
      <c r="V52" s="119"/>
      <c r="W52" s="119"/>
      <c r="X52" s="158"/>
    </row>
    <row r="53">
      <c r="A53" s="70"/>
      <c r="B53" s="70"/>
      <c r="C53" s="4"/>
      <c r="D53" s="4"/>
      <c r="E53" s="4"/>
      <c r="F53" s="4"/>
      <c r="G53" s="427" t="s">
        <v>2110</v>
      </c>
      <c r="H53" s="139">
        <v>45517.0</v>
      </c>
      <c r="I53" s="139"/>
      <c r="J53" s="139"/>
      <c r="K53" s="136"/>
      <c r="L53" s="157"/>
      <c r="M53" s="4"/>
      <c r="N53" s="158"/>
      <c r="O53" s="359"/>
      <c r="P53" s="359"/>
      <c r="Q53" s="119"/>
      <c r="R53" s="119"/>
      <c r="S53" s="121"/>
      <c r="T53" s="119"/>
      <c r="U53" s="119"/>
      <c r="V53" s="119"/>
      <c r="W53" s="119"/>
      <c r="X53" s="158"/>
    </row>
    <row r="54">
      <c r="A54" s="425" t="s">
        <v>2111</v>
      </c>
      <c r="C54" s="4"/>
      <c r="D54" s="4">
        <v>1.0</v>
      </c>
      <c r="E54" s="4" t="s">
        <v>80</v>
      </c>
      <c r="F54" s="4" t="s">
        <v>105</v>
      </c>
      <c r="G54" s="159" t="s">
        <v>2111</v>
      </c>
      <c r="H54" s="142">
        <v>45471.0</v>
      </c>
      <c r="I54" s="145">
        <f>J54-5</f>
        <v>45512</v>
      </c>
      <c r="J54" s="145">
        <f>H53</f>
        <v>45517</v>
      </c>
      <c r="K54" s="136"/>
      <c r="L54" s="157"/>
      <c r="M54" s="4"/>
      <c r="N54" s="158"/>
      <c r="O54" s="359"/>
      <c r="P54" s="359"/>
      <c r="Q54" s="119"/>
      <c r="R54" s="119"/>
      <c r="S54" s="121"/>
      <c r="T54" s="119"/>
      <c r="U54" s="119"/>
      <c r="V54" s="119"/>
      <c r="W54" s="119"/>
      <c r="X54" s="158"/>
    </row>
    <row r="55">
      <c r="C55" s="4"/>
      <c r="D55" s="4">
        <v>2.0</v>
      </c>
      <c r="E55" s="4" t="s">
        <v>80</v>
      </c>
      <c r="F55" s="4" t="s">
        <v>105</v>
      </c>
      <c r="G55" s="159" t="s">
        <v>2111</v>
      </c>
      <c r="H55" s="145">
        <f t="shared" ref="H55:H58" si="22">I54+23</f>
        <v>45535</v>
      </c>
      <c r="I55" s="145">
        <f t="shared" ref="I55:I58" si="23">IF(F55="truck",H55+4,IF(F55="train",H55+21,""))</f>
        <v>45556</v>
      </c>
      <c r="J55" s="145">
        <f t="shared" ref="J55:J58" si="24">IF(F55="truck",I55+3,IF(F55="train",I55+5,""))</f>
        <v>45561</v>
      </c>
      <c r="K55" s="136"/>
      <c r="L55" s="157"/>
      <c r="M55" s="4"/>
      <c r="N55" s="158"/>
      <c r="O55" s="359"/>
      <c r="P55" s="359"/>
      <c r="Q55" s="119"/>
      <c r="R55" s="119"/>
      <c r="S55" s="121"/>
      <c r="T55" s="119"/>
      <c r="U55" s="119"/>
      <c r="V55" s="119"/>
      <c r="W55" s="119"/>
      <c r="X55" s="158"/>
    </row>
    <row r="56">
      <c r="C56" s="4"/>
      <c r="D56" s="4">
        <v>3.0</v>
      </c>
      <c r="E56" s="4" t="s">
        <v>80</v>
      </c>
      <c r="F56" s="4" t="s">
        <v>105</v>
      </c>
      <c r="G56" s="159" t="s">
        <v>2111</v>
      </c>
      <c r="H56" s="145">
        <f t="shared" si="22"/>
        <v>45579</v>
      </c>
      <c r="I56" s="145">
        <f t="shared" si="23"/>
        <v>45600</v>
      </c>
      <c r="J56" s="145">
        <f t="shared" si="24"/>
        <v>45605</v>
      </c>
      <c r="K56" s="136"/>
      <c r="L56" s="157"/>
      <c r="M56" s="4"/>
      <c r="N56" s="158"/>
      <c r="O56" s="359"/>
      <c r="P56" s="359"/>
      <c r="Q56" s="119"/>
      <c r="R56" s="119"/>
      <c r="S56" s="121"/>
      <c r="T56" s="119"/>
      <c r="U56" s="119"/>
      <c r="V56" s="119"/>
      <c r="W56" s="119"/>
      <c r="X56" s="158"/>
    </row>
    <row r="57">
      <c r="C57" s="4"/>
      <c r="D57" s="4">
        <v>4.0</v>
      </c>
      <c r="E57" s="4" t="s">
        <v>80</v>
      </c>
      <c r="F57" s="4" t="s">
        <v>105</v>
      </c>
      <c r="G57" s="159" t="s">
        <v>2111</v>
      </c>
      <c r="H57" s="145">
        <f t="shared" si="22"/>
        <v>45623</v>
      </c>
      <c r="I57" s="145">
        <f t="shared" si="23"/>
        <v>45644</v>
      </c>
      <c r="J57" s="145">
        <f t="shared" si="24"/>
        <v>45649</v>
      </c>
      <c r="K57" s="136"/>
      <c r="L57" s="157"/>
      <c r="M57" s="4"/>
      <c r="N57" s="158"/>
      <c r="O57" s="359"/>
      <c r="P57" s="359"/>
      <c r="Q57" s="119"/>
      <c r="R57" s="119"/>
      <c r="S57" s="121"/>
      <c r="T57" s="119"/>
      <c r="U57" s="119"/>
      <c r="V57" s="119"/>
      <c r="W57" s="119"/>
      <c r="X57" s="158"/>
    </row>
    <row r="58">
      <c r="C58" s="4"/>
      <c r="D58" s="4">
        <v>5.0</v>
      </c>
      <c r="E58" s="4" t="s">
        <v>80</v>
      </c>
      <c r="F58" s="4" t="s">
        <v>105</v>
      </c>
      <c r="G58" s="159" t="s">
        <v>2111</v>
      </c>
      <c r="H58" s="145">
        <f t="shared" si="22"/>
        <v>45667</v>
      </c>
      <c r="I58" s="145">
        <f t="shared" si="23"/>
        <v>45688</v>
      </c>
      <c r="J58" s="145">
        <f t="shared" si="24"/>
        <v>45693</v>
      </c>
      <c r="K58" s="136"/>
      <c r="L58" s="157"/>
      <c r="M58" s="4"/>
      <c r="N58" s="158"/>
      <c r="O58" s="359"/>
      <c r="P58" s="359"/>
      <c r="Q58" s="119"/>
      <c r="R58" s="119"/>
      <c r="S58" s="121"/>
      <c r="T58" s="119"/>
      <c r="U58" s="119"/>
      <c r="V58" s="119"/>
      <c r="W58" s="119"/>
      <c r="X58" s="158"/>
    </row>
    <row r="59">
      <c r="A59" s="70"/>
      <c r="C59" s="4"/>
      <c r="D59" s="4"/>
      <c r="E59" s="4"/>
      <c r="F59" s="4"/>
      <c r="G59" s="427"/>
      <c r="H59" s="139"/>
      <c r="I59" s="139"/>
      <c r="J59" s="139"/>
      <c r="K59" s="136"/>
      <c r="L59" s="157"/>
      <c r="M59" s="4"/>
      <c r="N59" s="158"/>
      <c r="O59" s="359"/>
      <c r="P59" s="359"/>
      <c r="Q59" s="119"/>
      <c r="R59" s="119"/>
      <c r="S59" s="121"/>
      <c r="T59" s="119"/>
      <c r="U59" s="119"/>
      <c r="V59" s="119"/>
      <c r="W59" s="119"/>
      <c r="X59" s="158"/>
    </row>
    <row r="60">
      <c r="A60" s="70"/>
      <c r="C60" s="4"/>
      <c r="D60" s="4"/>
      <c r="E60" s="4"/>
      <c r="F60" s="4"/>
      <c r="G60" s="427" t="s">
        <v>2110</v>
      </c>
      <c r="H60" s="139">
        <v>45532.0</v>
      </c>
      <c r="I60" s="139"/>
      <c r="J60" s="139"/>
      <c r="K60" s="136"/>
      <c r="L60" s="157"/>
      <c r="M60" s="4"/>
      <c r="N60" s="158"/>
      <c r="O60" s="359"/>
      <c r="P60" s="359"/>
      <c r="Q60" s="119"/>
      <c r="R60" s="119"/>
      <c r="S60" s="121"/>
      <c r="T60" s="119"/>
      <c r="U60" s="119"/>
      <c r="V60" s="119"/>
      <c r="W60" s="119"/>
      <c r="X60" s="158"/>
    </row>
    <row r="61">
      <c r="A61" s="425" t="s">
        <v>2112</v>
      </c>
      <c r="C61" s="4"/>
      <c r="D61" s="4">
        <v>1.0</v>
      </c>
      <c r="E61" s="4" t="s">
        <v>80</v>
      </c>
      <c r="F61" s="4" t="s">
        <v>105</v>
      </c>
      <c r="G61" s="322" t="s">
        <v>2112</v>
      </c>
      <c r="H61" s="145">
        <v>45490.0</v>
      </c>
      <c r="I61" s="145">
        <f>J61-5</f>
        <v>45527</v>
      </c>
      <c r="J61" s="145">
        <f>H60</f>
        <v>45532</v>
      </c>
      <c r="K61" s="136"/>
      <c r="L61" s="157"/>
      <c r="M61" s="4"/>
      <c r="N61" s="158"/>
      <c r="O61" s="359"/>
      <c r="P61" s="359"/>
      <c r="Q61" s="119"/>
      <c r="R61" s="119"/>
      <c r="S61" s="121"/>
      <c r="T61" s="119"/>
      <c r="U61" s="119"/>
      <c r="V61" s="119"/>
      <c r="W61" s="119"/>
      <c r="X61" s="158"/>
    </row>
    <row r="62">
      <c r="C62" s="4"/>
      <c r="D62" s="4">
        <v>2.0</v>
      </c>
      <c r="E62" s="4" t="s">
        <v>80</v>
      </c>
      <c r="F62" s="4" t="s">
        <v>105</v>
      </c>
      <c r="G62" s="322" t="s">
        <v>2112</v>
      </c>
      <c r="H62" s="145">
        <f t="shared" ref="H62:H65" si="25">I61+23</f>
        <v>45550</v>
      </c>
      <c r="I62" s="145">
        <f t="shared" ref="I62:I65" si="26">IF(F62="truck",H62+4,IF(F62="train",H62+21,""))</f>
        <v>45571</v>
      </c>
      <c r="J62" s="145">
        <f t="shared" ref="J62:J65" si="27">IF(F62="truck",I62+3,IF(F62="train",I62+5,""))</f>
        <v>45576</v>
      </c>
      <c r="K62" s="136"/>
      <c r="L62" s="157"/>
      <c r="M62" s="4"/>
      <c r="N62" s="158"/>
      <c r="O62" s="359"/>
      <c r="P62" s="359"/>
      <c r="Q62" s="119"/>
      <c r="R62" s="119"/>
      <c r="S62" s="121"/>
      <c r="T62" s="119"/>
      <c r="U62" s="119"/>
      <c r="V62" s="119"/>
      <c r="W62" s="119"/>
      <c r="X62" s="158"/>
    </row>
    <row r="63">
      <c r="C63" s="4"/>
      <c r="D63" s="4">
        <v>3.0</v>
      </c>
      <c r="E63" s="4" t="s">
        <v>80</v>
      </c>
      <c r="F63" s="4" t="s">
        <v>105</v>
      </c>
      <c r="G63" s="322" t="s">
        <v>2112</v>
      </c>
      <c r="H63" s="145">
        <f t="shared" si="25"/>
        <v>45594</v>
      </c>
      <c r="I63" s="145">
        <f t="shared" si="26"/>
        <v>45615</v>
      </c>
      <c r="J63" s="145">
        <f t="shared" si="27"/>
        <v>45620</v>
      </c>
      <c r="K63" s="136"/>
      <c r="L63" s="157"/>
      <c r="M63" s="4"/>
      <c r="N63" s="158"/>
      <c r="O63" s="359"/>
      <c r="P63" s="359"/>
      <c r="Q63" s="119"/>
      <c r="R63" s="119"/>
      <c r="S63" s="121"/>
      <c r="T63" s="119"/>
      <c r="U63" s="119"/>
      <c r="V63" s="119"/>
      <c r="W63" s="119"/>
      <c r="X63" s="158"/>
    </row>
    <row r="64">
      <c r="C64" s="4"/>
      <c r="D64" s="4">
        <v>4.0</v>
      </c>
      <c r="E64" s="4" t="s">
        <v>80</v>
      </c>
      <c r="F64" s="4" t="s">
        <v>105</v>
      </c>
      <c r="G64" s="322" t="s">
        <v>2112</v>
      </c>
      <c r="H64" s="145">
        <f t="shared" si="25"/>
        <v>45638</v>
      </c>
      <c r="I64" s="145">
        <f t="shared" si="26"/>
        <v>45659</v>
      </c>
      <c r="J64" s="145">
        <f t="shared" si="27"/>
        <v>45664</v>
      </c>
      <c r="K64" s="136"/>
      <c r="L64" s="157"/>
      <c r="M64" s="4"/>
      <c r="N64" s="158"/>
      <c r="O64" s="359"/>
      <c r="P64" s="359"/>
      <c r="Q64" s="119"/>
      <c r="R64" s="119"/>
      <c r="S64" s="121"/>
      <c r="T64" s="119"/>
      <c r="U64" s="119"/>
      <c r="V64" s="119"/>
      <c r="W64" s="119"/>
      <c r="X64" s="158"/>
    </row>
    <row r="65">
      <c r="C65" s="4"/>
      <c r="D65" s="4">
        <v>5.0</v>
      </c>
      <c r="E65" s="4" t="s">
        <v>80</v>
      </c>
      <c r="F65" s="4" t="s">
        <v>105</v>
      </c>
      <c r="G65" s="322" t="s">
        <v>2112</v>
      </c>
      <c r="H65" s="145">
        <f t="shared" si="25"/>
        <v>45682</v>
      </c>
      <c r="I65" s="145">
        <f t="shared" si="26"/>
        <v>45703</v>
      </c>
      <c r="J65" s="145">
        <f t="shared" si="27"/>
        <v>45708</v>
      </c>
      <c r="K65" s="136"/>
      <c r="L65" s="157"/>
      <c r="M65" s="4"/>
      <c r="N65" s="158"/>
      <c r="O65" s="359"/>
      <c r="P65" s="359"/>
      <c r="Q65" s="119"/>
      <c r="R65" s="119"/>
      <c r="S65" s="121"/>
      <c r="T65" s="119"/>
      <c r="U65" s="119"/>
      <c r="V65" s="119"/>
      <c r="W65" s="119"/>
      <c r="X65" s="158"/>
    </row>
    <row r="66">
      <c r="A66" s="70"/>
      <c r="C66" s="4"/>
      <c r="D66" s="4"/>
      <c r="E66" s="4"/>
      <c r="F66" s="4"/>
      <c r="G66" s="427"/>
      <c r="H66" s="139"/>
      <c r="I66" s="139"/>
      <c r="J66" s="139"/>
      <c r="K66" s="136"/>
      <c r="L66" s="157"/>
      <c r="M66" s="4"/>
      <c r="N66" s="158"/>
      <c r="O66" s="359"/>
      <c r="P66" s="359"/>
      <c r="Q66" s="119"/>
      <c r="R66" s="119"/>
      <c r="S66" s="121"/>
      <c r="T66" s="119"/>
      <c r="U66" s="119"/>
      <c r="V66" s="119"/>
      <c r="W66" s="119"/>
      <c r="X66" s="158"/>
    </row>
    <row r="67">
      <c r="A67" s="70"/>
      <c r="C67" s="4"/>
      <c r="D67" s="4"/>
      <c r="E67" s="4"/>
      <c r="F67" s="4"/>
      <c r="G67" s="427" t="s">
        <v>2113</v>
      </c>
      <c r="H67" s="139">
        <v>45527.0</v>
      </c>
      <c r="I67" s="139"/>
      <c r="J67" s="139"/>
      <c r="K67" s="136"/>
      <c r="L67" s="157"/>
      <c r="M67" s="4"/>
      <c r="N67" s="158"/>
      <c r="O67" s="359"/>
      <c r="P67" s="359"/>
      <c r="Q67" s="119"/>
      <c r="R67" s="119"/>
      <c r="S67" s="121"/>
      <c r="T67" s="119"/>
      <c r="U67" s="119"/>
      <c r="V67" s="119"/>
      <c r="W67" s="119"/>
      <c r="X67" s="158"/>
    </row>
    <row r="68">
      <c r="A68" s="425"/>
      <c r="B68" s="425"/>
      <c r="C68" s="4"/>
      <c r="D68" s="4"/>
      <c r="E68" s="4"/>
      <c r="F68" s="4"/>
      <c r="G68" s="322"/>
      <c r="H68" s="145"/>
      <c r="I68" s="145"/>
      <c r="J68" s="145"/>
      <c r="K68" s="136"/>
      <c r="L68" s="157"/>
      <c r="M68" s="4"/>
      <c r="N68" s="158"/>
      <c r="O68" s="359"/>
      <c r="P68" s="359"/>
      <c r="Q68" s="119"/>
      <c r="R68" s="119"/>
      <c r="S68" s="121"/>
      <c r="T68" s="119"/>
      <c r="U68" s="119"/>
      <c r="V68" s="119"/>
      <c r="W68" s="119"/>
      <c r="X68" s="158"/>
    </row>
    <row r="69">
      <c r="A69" s="425" t="s">
        <v>2114</v>
      </c>
      <c r="C69" s="4"/>
      <c r="D69" s="4">
        <v>1.0</v>
      </c>
      <c r="E69" s="4" t="s">
        <v>80</v>
      </c>
      <c r="F69" s="4" t="s">
        <v>105</v>
      </c>
      <c r="G69" s="322" t="s">
        <v>2114</v>
      </c>
      <c r="H69" s="145">
        <f>H67+7</f>
        <v>45534</v>
      </c>
      <c r="I69" s="145">
        <f t="shared" ref="I69:I72" si="28">IF(F69="truck",H69+4,IF(F69="train",H69+21,""))</f>
        <v>45555</v>
      </c>
      <c r="J69" s="145">
        <f t="shared" ref="J69:J72" si="29">IF(F69="truck",I69+3,IF(F69="train",I69+5,""))</f>
        <v>45560</v>
      </c>
      <c r="K69" s="136"/>
      <c r="L69" s="157"/>
      <c r="M69" s="4"/>
      <c r="N69" s="158"/>
      <c r="O69" s="359"/>
      <c r="P69" s="359"/>
      <c r="Q69" s="119"/>
      <c r="R69" s="119"/>
      <c r="S69" s="121"/>
      <c r="T69" s="119"/>
      <c r="U69" s="119"/>
      <c r="V69" s="119"/>
      <c r="W69" s="119"/>
      <c r="X69" s="158"/>
    </row>
    <row r="70">
      <c r="C70" s="4"/>
      <c r="D70" s="4">
        <v>2.0</v>
      </c>
      <c r="E70" s="4" t="s">
        <v>80</v>
      </c>
      <c r="F70" s="4" t="s">
        <v>105</v>
      </c>
      <c r="G70" s="322" t="s">
        <v>2114</v>
      </c>
      <c r="H70" s="145">
        <f t="shared" ref="H70:H72" si="30">I69+23</f>
        <v>45578</v>
      </c>
      <c r="I70" s="145">
        <f t="shared" si="28"/>
        <v>45599</v>
      </c>
      <c r="J70" s="145">
        <f t="shared" si="29"/>
        <v>45604</v>
      </c>
      <c r="K70" s="207"/>
      <c r="L70" s="157"/>
      <c r="M70" s="4"/>
      <c r="N70" s="158"/>
      <c r="O70" s="359"/>
      <c r="P70" s="359"/>
      <c r="Q70" s="119"/>
      <c r="R70" s="119"/>
      <c r="S70" s="121"/>
      <c r="T70" s="119"/>
      <c r="U70" s="119"/>
      <c r="V70" s="119"/>
      <c r="W70" s="119"/>
      <c r="X70" s="158"/>
    </row>
    <row r="71">
      <c r="C71" s="4"/>
      <c r="D71" s="4">
        <v>3.0</v>
      </c>
      <c r="E71" s="4" t="s">
        <v>80</v>
      </c>
      <c r="F71" s="4" t="s">
        <v>105</v>
      </c>
      <c r="G71" s="322" t="s">
        <v>2114</v>
      </c>
      <c r="H71" s="145">
        <f t="shared" si="30"/>
        <v>45622</v>
      </c>
      <c r="I71" s="145">
        <f t="shared" si="28"/>
        <v>45643</v>
      </c>
      <c r="J71" s="145">
        <f t="shared" si="29"/>
        <v>45648</v>
      </c>
      <c r="K71" s="136"/>
      <c r="L71" s="157"/>
      <c r="M71" s="4"/>
      <c r="N71" s="158"/>
      <c r="O71" s="359"/>
      <c r="P71" s="359"/>
      <c r="Q71" s="119"/>
      <c r="R71" s="119"/>
      <c r="S71" s="121"/>
      <c r="T71" s="119"/>
      <c r="U71" s="119"/>
      <c r="V71" s="119"/>
      <c r="W71" s="119"/>
      <c r="X71" s="158"/>
    </row>
    <row r="72">
      <c r="C72" s="4"/>
      <c r="D72" s="4">
        <v>4.0</v>
      </c>
      <c r="E72" s="4" t="s">
        <v>80</v>
      </c>
      <c r="F72" s="4" t="s">
        <v>105</v>
      </c>
      <c r="G72" s="322" t="s">
        <v>2114</v>
      </c>
      <c r="H72" s="145">
        <f t="shared" si="30"/>
        <v>45666</v>
      </c>
      <c r="I72" s="145">
        <f t="shared" si="28"/>
        <v>45687</v>
      </c>
      <c r="J72" s="145">
        <f t="shared" si="29"/>
        <v>45692</v>
      </c>
      <c r="K72" s="136"/>
      <c r="L72" s="157"/>
      <c r="M72" s="4"/>
      <c r="N72" s="158"/>
      <c r="O72" s="359"/>
      <c r="P72" s="359"/>
      <c r="Q72" s="119"/>
      <c r="R72" s="119"/>
      <c r="S72" s="121"/>
      <c r="T72" s="119"/>
      <c r="U72" s="119"/>
      <c r="V72" s="119"/>
      <c r="W72" s="119"/>
      <c r="X72" s="158"/>
    </row>
    <row r="73">
      <c r="A73" s="70"/>
      <c r="C73" s="4"/>
      <c r="D73" s="4"/>
      <c r="E73" s="4"/>
      <c r="F73" s="4"/>
      <c r="G73" s="427" t="s">
        <v>2113</v>
      </c>
      <c r="H73" s="139">
        <v>45506.0</v>
      </c>
      <c r="I73" s="139"/>
      <c r="J73" s="139"/>
      <c r="K73" s="136"/>
      <c r="L73" s="157"/>
      <c r="M73" s="4"/>
      <c r="N73" s="158"/>
      <c r="O73" s="359"/>
      <c r="P73" s="359"/>
      <c r="Q73" s="119"/>
      <c r="R73" s="119"/>
      <c r="S73" s="121"/>
      <c r="T73" s="119"/>
      <c r="U73" s="119"/>
      <c r="V73" s="119"/>
      <c r="W73" s="119"/>
      <c r="X73" s="158"/>
    </row>
    <row r="74">
      <c r="A74" s="425"/>
      <c r="B74" s="425"/>
      <c r="C74" s="4"/>
      <c r="D74" s="4"/>
      <c r="E74" s="4"/>
      <c r="F74" s="4"/>
      <c r="G74" s="322" t="s">
        <v>2110</v>
      </c>
      <c r="H74" s="139">
        <v>45552.0</v>
      </c>
      <c r="I74" s="145"/>
      <c r="J74" s="145"/>
      <c r="K74" s="136"/>
      <c r="L74" s="157"/>
      <c r="M74" s="4"/>
      <c r="N74" s="158"/>
      <c r="O74" s="359"/>
      <c r="P74" s="359"/>
      <c r="Q74" s="119"/>
      <c r="R74" s="119"/>
      <c r="S74" s="121"/>
      <c r="T74" s="119"/>
      <c r="U74" s="119"/>
      <c r="V74" s="119"/>
      <c r="W74" s="119"/>
      <c r="X74" s="158"/>
    </row>
    <row r="75">
      <c r="A75" s="425" t="s">
        <v>1842</v>
      </c>
      <c r="C75" s="4"/>
      <c r="D75" s="4">
        <v>1.0</v>
      </c>
      <c r="E75" s="4" t="s">
        <v>80</v>
      </c>
      <c r="F75" s="4" t="s">
        <v>105</v>
      </c>
      <c r="G75" s="322" t="s">
        <v>1842</v>
      </c>
      <c r="H75" s="161">
        <f>H73+7</f>
        <v>45513</v>
      </c>
      <c r="I75" s="145">
        <f>J75-5</f>
        <v>45547</v>
      </c>
      <c r="J75" s="145">
        <f>H74</f>
        <v>45552</v>
      </c>
      <c r="K75" s="136"/>
      <c r="L75" s="157"/>
      <c r="M75" s="4"/>
      <c r="N75" s="158"/>
      <c r="O75" s="359"/>
      <c r="P75" s="359"/>
      <c r="Q75" s="119"/>
      <c r="R75" s="119"/>
      <c r="S75" s="121"/>
      <c r="T75" s="119"/>
      <c r="U75" s="119"/>
      <c r="V75" s="119"/>
      <c r="W75" s="119"/>
      <c r="X75" s="158"/>
    </row>
    <row r="76">
      <c r="C76" s="4"/>
      <c r="D76" s="4">
        <v>2.0</v>
      </c>
      <c r="E76" s="4" t="s">
        <v>80</v>
      </c>
      <c r="F76" s="4" t="s">
        <v>105</v>
      </c>
      <c r="G76" s="322" t="s">
        <v>1842</v>
      </c>
      <c r="H76" s="145">
        <f t="shared" ref="H76:H79" si="31">I75+23</f>
        <v>45570</v>
      </c>
      <c r="I76" s="145">
        <f t="shared" ref="I76:I79" si="32">IF(F76="truck",H76+4,IF(F76="train",H76+21,""))</f>
        <v>45591</v>
      </c>
      <c r="J76" s="145">
        <f t="shared" ref="J76:J79" si="33">IF(F76="truck",I76+3,IF(F76="train",I76+5,""))</f>
        <v>45596</v>
      </c>
      <c r="K76" s="136"/>
      <c r="L76" s="157"/>
      <c r="M76" s="4"/>
      <c r="N76" s="158"/>
      <c r="O76" s="359"/>
      <c r="P76" s="359"/>
      <c r="Q76" s="119"/>
      <c r="R76" s="119"/>
      <c r="S76" s="121"/>
      <c r="T76" s="119"/>
      <c r="U76" s="119"/>
      <c r="V76" s="119"/>
      <c r="W76" s="119"/>
      <c r="X76" s="158"/>
    </row>
    <row r="77">
      <c r="C77" s="4"/>
      <c r="D77" s="4">
        <v>3.0</v>
      </c>
      <c r="E77" s="4" t="s">
        <v>80</v>
      </c>
      <c r="F77" s="4" t="s">
        <v>105</v>
      </c>
      <c r="G77" s="322" t="s">
        <v>1842</v>
      </c>
      <c r="H77" s="145">
        <f t="shared" si="31"/>
        <v>45614</v>
      </c>
      <c r="I77" s="145">
        <f t="shared" si="32"/>
        <v>45635</v>
      </c>
      <c r="J77" s="145">
        <f t="shared" si="33"/>
        <v>45640</v>
      </c>
      <c r="K77" s="136"/>
      <c r="L77" s="157"/>
      <c r="M77" s="4"/>
      <c r="N77" s="158"/>
      <c r="O77" s="359"/>
      <c r="P77" s="359"/>
      <c r="Q77" s="119"/>
      <c r="R77" s="119"/>
      <c r="S77" s="121"/>
      <c r="T77" s="119"/>
      <c r="U77" s="119"/>
      <c r="V77" s="119"/>
      <c r="W77" s="119"/>
      <c r="X77" s="158"/>
    </row>
    <row r="78">
      <c r="C78" s="4"/>
      <c r="D78" s="4">
        <v>4.0</v>
      </c>
      <c r="E78" s="4" t="s">
        <v>80</v>
      </c>
      <c r="F78" s="4" t="s">
        <v>105</v>
      </c>
      <c r="G78" s="322" t="s">
        <v>1842</v>
      </c>
      <c r="H78" s="145">
        <f t="shared" si="31"/>
        <v>45658</v>
      </c>
      <c r="I78" s="145">
        <f t="shared" si="32"/>
        <v>45679</v>
      </c>
      <c r="J78" s="145">
        <f t="shared" si="33"/>
        <v>45684</v>
      </c>
      <c r="K78" s="136"/>
      <c r="L78" s="157"/>
      <c r="M78" s="4"/>
      <c r="N78" s="158"/>
      <c r="O78" s="359"/>
      <c r="P78" s="359"/>
      <c r="Q78" s="119"/>
      <c r="R78" s="119"/>
      <c r="S78" s="121"/>
      <c r="T78" s="119"/>
      <c r="U78" s="119"/>
      <c r="V78" s="119"/>
      <c r="W78" s="119"/>
      <c r="X78" s="158"/>
    </row>
    <row r="79">
      <c r="C79" s="4"/>
      <c r="D79" s="4">
        <v>5.0</v>
      </c>
      <c r="E79" s="4" t="s">
        <v>80</v>
      </c>
      <c r="F79" s="4" t="s">
        <v>105</v>
      </c>
      <c r="G79" s="322" t="s">
        <v>1842</v>
      </c>
      <c r="H79" s="145">
        <f t="shared" si="31"/>
        <v>45702</v>
      </c>
      <c r="I79" s="145">
        <f t="shared" si="32"/>
        <v>45723</v>
      </c>
      <c r="J79" s="145">
        <f t="shared" si="33"/>
        <v>45728</v>
      </c>
      <c r="K79" s="136"/>
      <c r="L79" s="157"/>
      <c r="M79" s="4"/>
      <c r="N79" s="158"/>
      <c r="O79" s="359"/>
      <c r="P79" s="359"/>
      <c r="Q79" s="119"/>
      <c r="R79" s="119"/>
      <c r="S79" s="121"/>
      <c r="T79" s="119"/>
      <c r="U79" s="119"/>
      <c r="V79" s="119"/>
      <c r="W79" s="119"/>
      <c r="X79" s="158"/>
    </row>
    <row r="80">
      <c r="A80" s="70"/>
      <c r="C80" s="4"/>
      <c r="D80" s="4"/>
      <c r="E80" s="4"/>
      <c r="F80" s="4"/>
      <c r="G80" s="322"/>
      <c r="H80" s="139"/>
      <c r="I80" s="139"/>
      <c r="J80" s="139"/>
      <c r="K80" s="136"/>
      <c r="L80" s="157"/>
      <c r="M80" s="4"/>
      <c r="N80" s="158"/>
      <c r="O80" s="359"/>
      <c r="P80" s="359"/>
      <c r="Q80" s="119"/>
      <c r="R80" s="119"/>
      <c r="S80" s="121"/>
      <c r="T80" s="119"/>
      <c r="U80" s="119"/>
      <c r="V80" s="119"/>
      <c r="W80" s="119"/>
      <c r="X80" s="158"/>
    </row>
    <row r="81">
      <c r="A81" s="425"/>
      <c r="B81" s="425"/>
      <c r="C81" s="4"/>
      <c r="D81" s="4"/>
      <c r="E81" s="4"/>
      <c r="F81" s="4"/>
      <c r="G81" s="322" t="s">
        <v>2110</v>
      </c>
      <c r="H81" s="145">
        <v>45547.0</v>
      </c>
      <c r="I81" s="145"/>
      <c r="J81" s="145"/>
      <c r="K81" s="136"/>
      <c r="L81" s="157"/>
      <c r="M81" s="4"/>
      <c r="N81" s="158"/>
      <c r="O81" s="359"/>
      <c r="P81" s="359"/>
      <c r="Q81" s="119"/>
      <c r="R81" s="119"/>
      <c r="S81" s="121"/>
      <c r="T81" s="119"/>
      <c r="U81" s="119"/>
      <c r="V81" s="119"/>
      <c r="W81" s="119"/>
      <c r="X81" s="158"/>
    </row>
    <row r="82">
      <c r="A82" s="425" t="s">
        <v>2115</v>
      </c>
      <c r="C82" s="4"/>
      <c r="D82" s="4">
        <v>1.0</v>
      </c>
      <c r="E82" s="4" t="s">
        <v>80</v>
      </c>
      <c r="F82" s="4" t="s">
        <v>105</v>
      </c>
      <c r="G82" s="322" t="s">
        <v>2115</v>
      </c>
      <c r="H82" s="145">
        <v>45492.0</v>
      </c>
      <c r="I82" s="145">
        <f>J82-5</f>
        <v>45542</v>
      </c>
      <c r="J82" s="145">
        <f>H81</f>
        <v>45547</v>
      </c>
      <c r="K82" s="136"/>
      <c r="L82" s="157"/>
      <c r="M82" s="4"/>
      <c r="N82" s="158"/>
      <c r="O82" s="359"/>
      <c r="P82" s="359"/>
      <c r="Q82" s="119"/>
      <c r="R82" s="119"/>
      <c r="S82" s="121"/>
      <c r="T82" s="119"/>
      <c r="U82" s="119"/>
      <c r="V82" s="119"/>
      <c r="W82" s="119"/>
      <c r="X82" s="158"/>
    </row>
    <row r="83">
      <c r="C83" s="4"/>
      <c r="D83" s="4">
        <v>2.0</v>
      </c>
      <c r="E83" s="4" t="s">
        <v>80</v>
      </c>
      <c r="F83" s="4" t="s">
        <v>105</v>
      </c>
      <c r="G83" s="322" t="s">
        <v>2115</v>
      </c>
      <c r="H83" s="145">
        <f t="shared" ref="H83:H86" si="34">I82+23</f>
        <v>45565</v>
      </c>
      <c r="I83" s="145">
        <f t="shared" ref="I83:I86" si="35">IF(F83="truck",H83+4,IF(F83="train",H83+21,""))</f>
        <v>45586</v>
      </c>
      <c r="J83" s="145">
        <f t="shared" ref="J83:J86" si="36">IF(F83="truck",I83+3,IF(F83="train",I83+5,""))</f>
        <v>45591</v>
      </c>
      <c r="K83" s="136"/>
      <c r="L83" s="157"/>
      <c r="M83" s="4"/>
      <c r="N83" s="158"/>
      <c r="O83" s="359"/>
      <c r="P83" s="359"/>
      <c r="Q83" s="119"/>
      <c r="R83" s="119"/>
      <c r="S83" s="121"/>
      <c r="T83" s="119"/>
      <c r="U83" s="119"/>
      <c r="V83" s="119"/>
      <c r="W83" s="119"/>
      <c r="X83" s="158"/>
    </row>
    <row r="84">
      <c r="C84" s="4"/>
      <c r="D84" s="4">
        <v>3.0</v>
      </c>
      <c r="E84" s="4" t="s">
        <v>80</v>
      </c>
      <c r="F84" s="4" t="s">
        <v>105</v>
      </c>
      <c r="G84" s="322" t="s">
        <v>2115</v>
      </c>
      <c r="H84" s="145">
        <f t="shared" si="34"/>
        <v>45609</v>
      </c>
      <c r="I84" s="145">
        <f t="shared" si="35"/>
        <v>45630</v>
      </c>
      <c r="J84" s="145">
        <f t="shared" si="36"/>
        <v>45635</v>
      </c>
      <c r="K84" s="136"/>
      <c r="L84" s="157"/>
      <c r="M84" s="4"/>
      <c r="N84" s="158"/>
      <c r="O84" s="359"/>
      <c r="P84" s="359"/>
      <c r="Q84" s="119"/>
      <c r="R84" s="119"/>
      <c r="S84" s="121"/>
      <c r="T84" s="119"/>
      <c r="U84" s="119"/>
      <c r="V84" s="119"/>
      <c r="W84" s="119"/>
      <c r="X84" s="158"/>
    </row>
    <row r="85">
      <c r="C85" s="4"/>
      <c r="D85" s="4">
        <v>4.0</v>
      </c>
      <c r="E85" s="4" t="s">
        <v>80</v>
      </c>
      <c r="F85" s="4" t="s">
        <v>105</v>
      </c>
      <c r="G85" s="322" t="s">
        <v>2115</v>
      </c>
      <c r="H85" s="145">
        <f t="shared" si="34"/>
        <v>45653</v>
      </c>
      <c r="I85" s="145">
        <f t="shared" si="35"/>
        <v>45674</v>
      </c>
      <c r="J85" s="145">
        <f t="shared" si="36"/>
        <v>45679</v>
      </c>
      <c r="K85" s="136"/>
      <c r="L85" s="157"/>
      <c r="M85" s="4"/>
      <c r="N85" s="158"/>
      <c r="O85" s="359"/>
      <c r="P85" s="359"/>
      <c r="Q85" s="119"/>
      <c r="R85" s="119"/>
      <c r="S85" s="121"/>
      <c r="T85" s="119"/>
      <c r="U85" s="119"/>
      <c r="V85" s="119"/>
      <c r="W85" s="119"/>
      <c r="X85" s="158"/>
    </row>
    <row r="86">
      <c r="C86" s="4"/>
      <c r="D86" s="4">
        <v>5.0</v>
      </c>
      <c r="E86" s="4" t="s">
        <v>80</v>
      </c>
      <c r="F86" s="4" t="s">
        <v>105</v>
      </c>
      <c r="G86" s="322" t="s">
        <v>2115</v>
      </c>
      <c r="H86" s="145">
        <f t="shared" si="34"/>
        <v>45697</v>
      </c>
      <c r="I86" s="145">
        <f t="shared" si="35"/>
        <v>45718</v>
      </c>
      <c r="J86" s="145">
        <f t="shared" si="36"/>
        <v>45723</v>
      </c>
      <c r="K86" s="136"/>
      <c r="L86" s="157"/>
      <c r="M86" s="4"/>
      <c r="N86" s="158"/>
      <c r="O86" s="359"/>
      <c r="P86" s="359"/>
      <c r="Q86" s="119"/>
      <c r="R86" s="119"/>
      <c r="S86" s="121"/>
      <c r="T86" s="119"/>
      <c r="U86" s="119"/>
      <c r="V86" s="119"/>
      <c r="W86" s="119"/>
      <c r="X86" s="158"/>
    </row>
    <row r="87">
      <c r="A87" s="70"/>
      <c r="C87" s="4"/>
      <c r="D87" s="4"/>
      <c r="E87" s="4"/>
      <c r="F87" s="4"/>
      <c r="G87" s="322"/>
      <c r="H87" s="139"/>
      <c r="I87" s="139"/>
      <c r="J87" s="139"/>
      <c r="K87" s="136"/>
      <c r="L87" s="157"/>
      <c r="M87" s="4"/>
      <c r="N87" s="158"/>
      <c r="O87" s="359"/>
      <c r="P87" s="359"/>
      <c r="Q87" s="119"/>
      <c r="R87" s="119"/>
      <c r="S87" s="121"/>
      <c r="T87" s="119"/>
      <c r="U87" s="119"/>
      <c r="V87" s="119"/>
      <c r="W87" s="119"/>
      <c r="X87" s="158"/>
    </row>
    <row r="88">
      <c r="A88" s="70"/>
      <c r="C88" s="4"/>
      <c r="D88" s="4"/>
      <c r="E88" s="4"/>
      <c r="F88" s="4"/>
      <c r="G88" s="322"/>
      <c r="H88" s="139"/>
      <c r="I88" s="139"/>
      <c r="J88" s="139"/>
      <c r="K88" s="136"/>
      <c r="L88" s="157"/>
      <c r="M88" s="4"/>
      <c r="N88" s="158"/>
      <c r="O88" s="359"/>
      <c r="P88" s="359"/>
      <c r="Q88" s="119"/>
      <c r="R88" s="119"/>
      <c r="S88" s="121"/>
      <c r="T88" s="119"/>
      <c r="U88" s="119"/>
      <c r="V88" s="119"/>
      <c r="W88" s="119"/>
      <c r="X88" s="158"/>
    </row>
    <row r="89">
      <c r="A89" s="70"/>
      <c r="C89" s="4"/>
      <c r="D89" s="4"/>
      <c r="E89" s="4"/>
      <c r="F89" s="4"/>
      <c r="G89" s="322"/>
      <c r="H89" s="139"/>
      <c r="I89" s="139"/>
      <c r="J89" s="139"/>
      <c r="K89" s="136"/>
      <c r="L89" s="157"/>
      <c r="M89" s="4"/>
      <c r="N89" s="158"/>
      <c r="O89" s="359"/>
      <c r="P89" s="359"/>
      <c r="Q89" s="119"/>
      <c r="R89" s="119"/>
      <c r="S89" s="121"/>
      <c r="T89" s="119"/>
      <c r="U89" s="119"/>
      <c r="V89" s="119"/>
      <c r="W89" s="119"/>
      <c r="X89" s="158"/>
    </row>
    <row r="90">
      <c r="A90" s="70"/>
      <c r="C90" s="4"/>
      <c r="D90" s="4"/>
      <c r="E90" s="4"/>
      <c r="F90" s="4"/>
      <c r="G90" s="322"/>
      <c r="H90" s="139"/>
      <c r="I90" s="139"/>
      <c r="J90" s="139"/>
      <c r="K90" s="136"/>
      <c r="L90" s="157"/>
      <c r="M90" s="4"/>
      <c r="N90" s="158"/>
      <c r="O90" s="359"/>
      <c r="P90" s="359"/>
      <c r="Q90" s="119"/>
      <c r="R90" s="119"/>
      <c r="S90" s="121"/>
      <c r="T90" s="119"/>
      <c r="U90" s="119"/>
      <c r="V90" s="119"/>
      <c r="W90" s="119"/>
      <c r="X90" s="158"/>
    </row>
    <row r="91">
      <c r="A91" s="70"/>
      <c r="C91" s="4"/>
      <c r="D91" s="4"/>
      <c r="E91" s="4"/>
      <c r="F91" s="4"/>
      <c r="G91" s="322"/>
      <c r="H91" s="139"/>
      <c r="I91" s="139"/>
      <c r="J91" s="139"/>
      <c r="K91" s="136"/>
      <c r="L91" s="157"/>
      <c r="M91" s="4"/>
      <c r="N91" s="158"/>
      <c r="O91" s="359"/>
      <c r="P91" s="359"/>
      <c r="Q91" s="119"/>
      <c r="R91" s="119"/>
      <c r="S91" s="121"/>
      <c r="T91" s="119"/>
      <c r="U91" s="119"/>
      <c r="V91" s="119"/>
      <c r="W91" s="119"/>
      <c r="X91" s="158"/>
    </row>
    <row r="92">
      <c r="A92" s="70"/>
      <c r="C92" s="4"/>
      <c r="D92" s="4"/>
      <c r="E92" s="4"/>
      <c r="F92" s="4"/>
      <c r="G92" s="322"/>
      <c r="H92" s="139"/>
      <c r="I92" s="139"/>
      <c r="J92" s="139"/>
      <c r="K92" s="136"/>
      <c r="L92" s="157"/>
      <c r="M92" s="4"/>
      <c r="N92" s="158"/>
      <c r="O92" s="359"/>
      <c r="P92" s="359"/>
      <c r="Q92" s="119"/>
      <c r="R92" s="119"/>
      <c r="S92" s="121"/>
      <c r="T92" s="119"/>
      <c r="U92" s="119"/>
      <c r="V92" s="119"/>
      <c r="W92" s="119"/>
      <c r="X92" s="158"/>
    </row>
    <row r="93">
      <c r="A93" s="70"/>
      <c r="C93" s="4"/>
      <c r="D93" s="4"/>
      <c r="E93" s="4"/>
      <c r="F93" s="4"/>
      <c r="G93" s="322"/>
      <c r="H93" s="139"/>
      <c r="I93" s="139"/>
      <c r="J93" s="139"/>
      <c r="K93" s="136"/>
      <c r="L93" s="157"/>
      <c r="M93" s="4"/>
      <c r="N93" s="158"/>
      <c r="O93" s="359"/>
      <c r="P93" s="359"/>
      <c r="Q93" s="119"/>
      <c r="R93" s="119"/>
      <c r="S93" s="121"/>
      <c r="T93" s="119"/>
      <c r="U93" s="119"/>
      <c r="V93" s="119"/>
      <c r="W93" s="119"/>
      <c r="X93" s="158"/>
    </row>
    <row r="94">
      <c r="A94" s="70"/>
      <c r="C94" s="4"/>
      <c r="D94" s="4"/>
      <c r="E94" s="4"/>
      <c r="F94" s="4"/>
      <c r="G94" s="322"/>
      <c r="H94" s="139"/>
      <c r="I94" s="139"/>
      <c r="J94" s="139"/>
      <c r="K94" s="136"/>
      <c r="L94" s="157"/>
      <c r="M94" s="4"/>
      <c r="N94" s="158"/>
      <c r="O94" s="359"/>
      <c r="P94" s="359"/>
      <c r="Q94" s="119"/>
      <c r="R94" s="119"/>
      <c r="S94" s="121"/>
      <c r="T94" s="119"/>
      <c r="U94" s="119"/>
      <c r="V94" s="119"/>
      <c r="W94" s="119"/>
      <c r="X94" s="158"/>
    </row>
    <row r="95">
      <c r="A95" s="70"/>
      <c r="C95" s="4"/>
      <c r="D95" s="4"/>
      <c r="E95" s="4"/>
      <c r="F95" s="4"/>
      <c r="G95" s="322"/>
      <c r="H95" s="139"/>
      <c r="I95" s="139"/>
      <c r="J95" s="139"/>
      <c r="K95" s="136"/>
      <c r="L95" s="157"/>
      <c r="M95" s="4"/>
      <c r="N95" s="158"/>
      <c r="O95" s="359"/>
      <c r="P95" s="359"/>
      <c r="Q95" s="119"/>
      <c r="R95" s="119"/>
      <c r="S95" s="121"/>
      <c r="T95" s="119"/>
      <c r="U95" s="119"/>
      <c r="V95" s="119"/>
      <c r="W95" s="119"/>
      <c r="X95" s="158"/>
    </row>
    <row r="96">
      <c r="A96" s="70"/>
      <c r="C96" s="4"/>
      <c r="D96" s="4"/>
      <c r="E96" s="4"/>
      <c r="F96" s="4"/>
      <c r="G96" s="322"/>
      <c r="H96" s="139"/>
      <c r="I96" s="139"/>
      <c r="J96" s="139"/>
      <c r="K96" s="136"/>
      <c r="L96" s="157"/>
      <c r="M96" s="4"/>
      <c r="N96" s="158"/>
      <c r="O96" s="359"/>
      <c r="P96" s="359"/>
      <c r="Q96" s="119"/>
      <c r="R96" s="119"/>
      <c r="S96" s="121"/>
      <c r="T96" s="119"/>
      <c r="U96" s="119"/>
      <c r="V96" s="119"/>
      <c r="W96" s="119"/>
      <c r="X96" s="158"/>
    </row>
    <row r="97">
      <c r="C97" s="172"/>
      <c r="D97" s="172"/>
      <c r="E97" s="172"/>
      <c r="F97" s="172"/>
      <c r="G97" s="173"/>
      <c r="H97" s="137"/>
      <c r="I97" s="137"/>
      <c r="J97" s="137"/>
      <c r="K97" s="129"/>
      <c r="L97" s="323"/>
      <c r="N97" s="121"/>
      <c r="O97" s="359"/>
      <c r="P97" s="359"/>
      <c r="Q97" s="119"/>
      <c r="R97" s="119"/>
      <c r="S97" s="121"/>
      <c r="T97" s="119"/>
      <c r="U97" s="119"/>
      <c r="V97" s="119"/>
      <c r="W97" s="119"/>
      <c r="X97" s="158"/>
    </row>
    <row r="98">
      <c r="C98" s="172"/>
      <c r="D98" s="172"/>
      <c r="E98" s="172"/>
      <c r="F98" s="172"/>
      <c r="G98" s="173"/>
      <c r="H98" s="137"/>
      <c r="I98" s="137"/>
      <c r="J98" s="137"/>
      <c r="K98" s="129"/>
      <c r="L98" s="323"/>
      <c r="N98" s="121"/>
      <c r="O98" s="359"/>
      <c r="P98" s="359"/>
      <c r="Q98" s="119"/>
      <c r="R98" s="119"/>
      <c r="S98" s="121"/>
      <c r="T98" s="119"/>
      <c r="U98" s="119"/>
      <c r="V98" s="119"/>
      <c r="W98" s="119"/>
      <c r="X98" s="158"/>
    </row>
    <row r="99">
      <c r="C99" s="172"/>
      <c r="D99" s="172"/>
      <c r="E99" s="172"/>
      <c r="F99" s="172"/>
      <c r="G99" s="173"/>
      <c r="H99" s="137"/>
      <c r="I99" s="137"/>
      <c r="J99" s="137"/>
      <c r="K99" s="129"/>
      <c r="L99" s="323"/>
      <c r="N99" s="121"/>
      <c r="O99" s="359"/>
      <c r="P99" s="359"/>
      <c r="Q99" s="119"/>
      <c r="R99" s="119"/>
      <c r="S99" s="121"/>
      <c r="T99" s="119"/>
      <c r="U99" s="119"/>
      <c r="V99" s="119"/>
      <c r="W99" s="119"/>
      <c r="X99" s="158"/>
    </row>
    <row r="100">
      <c r="C100" s="172"/>
      <c r="D100" s="172"/>
      <c r="E100" s="172"/>
      <c r="F100" s="172"/>
      <c r="G100" s="173"/>
      <c r="H100" s="137"/>
      <c r="I100" s="137"/>
      <c r="J100" s="137"/>
      <c r="K100" s="129"/>
      <c r="L100" s="323"/>
      <c r="N100" s="121"/>
      <c r="O100" s="359"/>
      <c r="P100" s="359"/>
      <c r="Q100" s="119"/>
      <c r="R100" s="119"/>
      <c r="S100" s="121"/>
      <c r="T100" s="119"/>
      <c r="U100" s="119"/>
      <c r="V100" s="119"/>
      <c r="W100" s="119"/>
      <c r="X100" s="158"/>
    </row>
    <row r="101">
      <c r="C101" s="172"/>
      <c r="D101" s="172"/>
      <c r="E101" s="172"/>
      <c r="F101" s="172"/>
      <c r="G101" s="173"/>
      <c r="H101" s="137"/>
      <c r="I101" s="137"/>
      <c r="J101" s="137"/>
      <c r="K101" s="129"/>
      <c r="L101" s="323"/>
      <c r="N101" s="121"/>
      <c r="O101" s="359"/>
      <c r="P101" s="359"/>
      <c r="Q101" s="119"/>
      <c r="R101" s="119"/>
      <c r="S101" s="121"/>
      <c r="T101" s="119"/>
      <c r="U101" s="119"/>
      <c r="V101" s="119"/>
      <c r="W101" s="119"/>
      <c r="X101" s="158"/>
    </row>
    <row r="102">
      <c r="C102" s="172"/>
      <c r="D102" s="172"/>
      <c r="E102" s="172"/>
      <c r="F102" s="172"/>
      <c r="G102" s="173"/>
      <c r="H102" s="137"/>
      <c r="I102" s="137"/>
      <c r="J102" s="137"/>
      <c r="K102" s="129"/>
      <c r="L102" s="323"/>
      <c r="N102" s="121"/>
      <c r="O102" s="359"/>
      <c r="P102" s="359"/>
      <c r="Q102" s="119"/>
      <c r="R102" s="119"/>
      <c r="S102" s="121"/>
      <c r="T102" s="119"/>
      <c r="U102" s="119"/>
      <c r="V102" s="119"/>
      <c r="W102" s="119"/>
      <c r="X102" s="158"/>
    </row>
    <row r="103">
      <c r="C103" s="172"/>
      <c r="D103" s="172"/>
      <c r="E103" s="172"/>
      <c r="F103" s="172"/>
      <c r="G103" s="173"/>
      <c r="H103" s="137"/>
      <c r="I103" s="137"/>
      <c r="J103" s="137"/>
      <c r="K103" s="129"/>
      <c r="L103" s="323"/>
      <c r="N103" s="121"/>
      <c r="O103" s="359"/>
      <c r="P103" s="359"/>
      <c r="Q103" s="119"/>
      <c r="R103" s="119"/>
      <c r="S103" s="121"/>
      <c r="T103" s="119"/>
      <c r="U103" s="119"/>
      <c r="V103" s="119"/>
      <c r="W103" s="119"/>
      <c r="X103" s="158"/>
    </row>
    <row r="104">
      <c r="C104" s="172"/>
      <c r="D104" s="172"/>
      <c r="E104" s="172"/>
      <c r="F104" s="172"/>
      <c r="G104" s="173"/>
      <c r="H104" s="137"/>
      <c r="I104" s="137"/>
      <c r="J104" s="137"/>
      <c r="K104" s="129"/>
      <c r="L104" s="323"/>
      <c r="N104" s="121"/>
      <c r="O104" s="359"/>
      <c r="P104" s="359"/>
      <c r="Q104" s="119"/>
      <c r="R104" s="119"/>
      <c r="S104" s="121"/>
      <c r="T104" s="119"/>
      <c r="U104" s="119"/>
      <c r="V104" s="119"/>
      <c r="W104" s="119"/>
      <c r="X104" s="158"/>
    </row>
    <row r="105">
      <c r="C105" s="172"/>
      <c r="D105" s="172"/>
      <c r="E105" s="172"/>
      <c r="F105" s="172"/>
      <c r="G105" s="173"/>
      <c r="H105" s="137"/>
      <c r="I105" s="137"/>
      <c r="J105" s="137"/>
      <c r="K105" s="129"/>
      <c r="L105" s="323"/>
      <c r="N105" s="121"/>
      <c r="O105" s="359"/>
      <c r="P105" s="359"/>
      <c r="Q105" s="119"/>
      <c r="R105" s="119"/>
      <c r="S105" s="121"/>
      <c r="T105" s="119"/>
      <c r="U105" s="119"/>
      <c r="V105" s="119"/>
      <c r="W105" s="119"/>
      <c r="X105" s="158"/>
    </row>
    <row r="106">
      <c r="C106" s="172"/>
      <c r="D106" s="172"/>
      <c r="E106" s="172"/>
      <c r="F106" s="172"/>
      <c r="G106" s="173"/>
      <c r="H106" s="137"/>
      <c r="I106" s="137"/>
      <c r="J106" s="137"/>
      <c r="K106" s="129"/>
      <c r="L106" s="323"/>
      <c r="N106" s="121"/>
      <c r="O106" s="359"/>
      <c r="P106" s="359"/>
      <c r="Q106" s="119"/>
      <c r="R106" s="119"/>
      <c r="S106" s="121"/>
      <c r="T106" s="119"/>
      <c r="U106" s="119"/>
      <c r="V106" s="119"/>
      <c r="W106" s="119"/>
      <c r="X106" s="158"/>
    </row>
    <row r="107">
      <c r="C107" s="172"/>
      <c r="D107" s="172"/>
      <c r="E107" s="172"/>
      <c r="F107" s="172"/>
      <c r="G107" s="173"/>
      <c r="H107" s="137"/>
      <c r="I107" s="137"/>
      <c r="J107" s="137"/>
      <c r="K107" s="129"/>
      <c r="L107" s="323"/>
      <c r="N107" s="121"/>
      <c r="O107" s="359"/>
      <c r="P107" s="359"/>
      <c r="Q107" s="119"/>
      <c r="R107" s="119"/>
      <c r="S107" s="121"/>
      <c r="T107" s="119"/>
      <c r="U107" s="119"/>
      <c r="V107" s="119"/>
      <c r="W107" s="119"/>
      <c r="X107" s="158"/>
    </row>
    <row r="108">
      <c r="C108" s="172"/>
      <c r="D108" s="172"/>
      <c r="E108" s="172"/>
      <c r="F108" s="172"/>
      <c r="G108" s="173"/>
      <c r="H108" s="137"/>
      <c r="I108" s="137"/>
      <c r="J108" s="137"/>
      <c r="K108" s="129"/>
      <c r="L108" s="323"/>
      <c r="N108" s="121"/>
      <c r="O108" s="359"/>
      <c r="P108" s="359"/>
      <c r="Q108" s="119"/>
      <c r="R108" s="119"/>
      <c r="S108" s="121"/>
      <c r="T108" s="119"/>
      <c r="U108" s="119"/>
      <c r="V108" s="119"/>
      <c r="W108" s="119"/>
      <c r="X108" s="158"/>
    </row>
    <row r="109">
      <c r="C109" s="172"/>
      <c r="D109" s="172"/>
      <c r="E109" s="172"/>
      <c r="F109" s="172"/>
      <c r="G109" s="173"/>
      <c r="H109" s="137"/>
      <c r="I109" s="137"/>
      <c r="J109" s="137"/>
      <c r="K109" s="129"/>
      <c r="L109" s="323"/>
      <c r="N109" s="121"/>
      <c r="O109" s="359"/>
      <c r="P109" s="359"/>
      <c r="Q109" s="119"/>
      <c r="R109" s="119"/>
      <c r="S109" s="121"/>
      <c r="T109" s="119"/>
      <c r="U109" s="119"/>
      <c r="V109" s="119"/>
      <c r="W109" s="119"/>
      <c r="X109" s="158"/>
    </row>
    <row r="110">
      <c r="C110" s="172"/>
      <c r="D110" s="172"/>
      <c r="E110" s="172"/>
      <c r="F110" s="172"/>
      <c r="G110" s="173"/>
      <c r="H110" s="137"/>
      <c r="I110" s="137"/>
      <c r="J110" s="137"/>
      <c r="K110" s="129"/>
      <c r="L110" s="323"/>
      <c r="N110" s="121"/>
      <c r="O110" s="359"/>
      <c r="P110" s="359"/>
      <c r="Q110" s="119"/>
      <c r="R110" s="119"/>
      <c r="S110" s="121"/>
      <c r="T110" s="119"/>
      <c r="U110" s="119"/>
      <c r="V110" s="119"/>
      <c r="W110" s="119"/>
      <c r="X110" s="158"/>
    </row>
    <row r="111">
      <c r="C111" s="172"/>
      <c r="D111" s="172"/>
      <c r="E111" s="172"/>
      <c r="F111" s="172"/>
      <c r="G111" s="173"/>
      <c r="H111" s="137"/>
      <c r="I111" s="137"/>
      <c r="J111" s="137"/>
      <c r="K111" s="129"/>
      <c r="L111" s="323"/>
      <c r="N111" s="121"/>
      <c r="O111" s="359"/>
      <c r="P111" s="359"/>
      <c r="Q111" s="119"/>
      <c r="R111" s="119"/>
      <c r="S111" s="121"/>
      <c r="T111" s="119"/>
      <c r="U111" s="119"/>
      <c r="V111" s="119"/>
      <c r="W111" s="119"/>
      <c r="X111" s="158"/>
    </row>
    <row r="112">
      <c r="C112" s="172"/>
      <c r="D112" s="172"/>
      <c r="E112" s="172"/>
      <c r="F112" s="172"/>
      <c r="G112" s="173"/>
      <c r="H112" s="137"/>
      <c r="I112" s="137"/>
      <c r="J112" s="137"/>
      <c r="K112" s="129"/>
      <c r="L112" s="323"/>
      <c r="N112" s="121"/>
      <c r="O112" s="359"/>
      <c r="P112" s="359"/>
      <c r="Q112" s="119"/>
      <c r="R112" s="119"/>
      <c r="S112" s="121"/>
      <c r="T112" s="119"/>
      <c r="U112" s="119"/>
      <c r="V112" s="119"/>
      <c r="W112" s="119"/>
      <c r="X112" s="158"/>
    </row>
    <row r="113">
      <c r="C113" s="172"/>
      <c r="D113" s="172"/>
      <c r="E113" s="172"/>
      <c r="F113" s="172"/>
      <c r="G113" s="173"/>
      <c r="H113" s="137"/>
      <c r="I113" s="137"/>
      <c r="J113" s="137"/>
      <c r="K113" s="129"/>
      <c r="L113" s="323"/>
      <c r="N113" s="121"/>
      <c r="O113" s="359"/>
      <c r="P113" s="359"/>
      <c r="Q113" s="119"/>
      <c r="R113" s="119"/>
      <c r="S113" s="121"/>
      <c r="T113" s="119"/>
      <c r="U113" s="119"/>
      <c r="V113" s="119"/>
      <c r="W113" s="119"/>
      <c r="X113" s="158"/>
    </row>
    <row r="114">
      <c r="C114" s="172"/>
      <c r="D114" s="172"/>
      <c r="E114" s="172"/>
      <c r="F114" s="172"/>
      <c r="G114" s="173"/>
      <c r="H114" s="137"/>
      <c r="I114" s="137"/>
      <c r="J114" s="137"/>
      <c r="K114" s="129"/>
      <c r="L114" s="323"/>
      <c r="N114" s="121"/>
      <c r="O114" s="359"/>
      <c r="P114" s="359"/>
      <c r="Q114" s="119"/>
      <c r="R114" s="119"/>
      <c r="S114" s="121"/>
      <c r="T114" s="119"/>
      <c r="U114" s="119"/>
      <c r="V114" s="119"/>
      <c r="W114" s="119"/>
      <c r="X114" s="158"/>
    </row>
    <row r="115">
      <c r="C115" s="172"/>
      <c r="D115" s="172"/>
      <c r="E115" s="172"/>
      <c r="F115" s="172"/>
      <c r="G115" s="173"/>
      <c r="H115" s="137"/>
      <c r="I115" s="137"/>
      <c r="J115" s="137"/>
      <c r="K115" s="129"/>
      <c r="L115" s="323"/>
      <c r="N115" s="121"/>
      <c r="O115" s="359"/>
      <c r="P115" s="359"/>
      <c r="Q115" s="119"/>
      <c r="R115" s="119"/>
      <c r="S115" s="121"/>
      <c r="T115" s="119"/>
      <c r="U115" s="119"/>
      <c r="V115" s="119"/>
      <c r="W115" s="119"/>
      <c r="X115" s="158"/>
    </row>
    <row r="116">
      <c r="C116" s="172"/>
      <c r="D116" s="172"/>
      <c r="E116" s="172"/>
      <c r="F116" s="172"/>
      <c r="G116" s="173"/>
      <c r="H116" s="137"/>
      <c r="I116" s="137"/>
      <c r="J116" s="137"/>
      <c r="K116" s="129"/>
      <c r="L116" s="323"/>
      <c r="N116" s="121"/>
      <c r="O116" s="359"/>
      <c r="P116" s="359"/>
      <c r="Q116" s="119"/>
      <c r="R116" s="119"/>
      <c r="S116" s="121"/>
      <c r="T116" s="119"/>
      <c r="U116" s="119"/>
      <c r="V116" s="119"/>
      <c r="W116" s="119"/>
      <c r="X116" s="158"/>
    </row>
    <row r="117">
      <c r="C117" s="172"/>
      <c r="D117" s="172"/>
      <c r="E117" s="172"/>
      <c r="F117" s="172"/>
      <c r="G117" s="173"/>
      <c r="H117" s="137"/>
      <c r="I117" s="137"/>
      <c r="J117" s="137"/>
      <c r="K117" s="129"/>
      <c r="L117" s="323"/>
      <c r="N117" s="121"/>
      <c r="O117" s="359"/>
      <c r="P117" s="359"/>
      <c r="Q117" s="119"/>
      <c r="R117" s="119"/>
      <c r="S117" s="121"/>
      <c r="T117" s="119"/>
      <c r="U117" s="119"/>
      <c r="V117" s="119"/>
      <c r="W117" s="119"/>
      <c r="X117" s="158"/>
    </row>
    <row r="118">
      <c r="C118" s="172"/>
      <c r="D118" s="172"/>
      <c r="E118" s="172"/>
      <c r="F118" s="172"/>
      <c r="G118" s="173"/>
      <c r="H118" s="137"/>
      <c r="I118" s="137"/>
      <c r="J118" s="137"/>
      <c r="K118" s="129"/>
      <c r="L118" s="323"/>
      <c r="N118" s="121"/>
      <c r="O118" s="359"/>
      <c r="P118" s="359"/>
      <c r="Q118" s="119"/>
      <c r="R118" s="119"/>
      <c r="S118" s="121"/>
      <c r="T118" s="119"/>
      <c r="U118" s="119"/>
      <c r="V118" s="119"/>
      <c r="W118" s="119"/>
      <c r="X118" s="158"/>
    </row>
    <row r="119">
      <c r="C119" s="172"/>
      <c r="D119" s="172"/>
      <c r="E119" s="172"/>
      <c r="F119" s="172"/>
      <c r="G119" s="173"/>
      <c r="H119" s="137"/>
      <c r="I119" s="137"/>
      <c r="J119" s="137"/>
      <c r="K119" s="129"/>
      <c r="L119" s="323"/>
      <c r="N119" s="121"/>
      <c r="O119" s="359"/>
      <c r="P119" s="359"/>
      <c r="Q119" s="119"/>
      <c r="R119" s="119"/>
      <c r="S119" s="121"/>
      <c r="T119" s="119"/>
      <c r="U119" s="119"/>
      <c r="V119" s="119"/>
      <c r="W119" s="119"/>
      <c r="X119" s="158"/>
    </row>
    <row r="120">
      <c r="C120" s="172"/>
      <c r="D120" s="172"/>
      <c r="E120" s="172"/>
      <c r="F120" s="172"/>
      <c r="G120" s="173"/>
      <c r="H120" s="137"/>
      <c r="I120" s="137"/>
      <c r="J120" s="137"/>
      <c r="K120" s="129"/>
      <c r="L120" s="323"/>
      <c r="N120" s="121"/>
      <c r="O120" s="359"/>
      <c r="P120" s="359"/>
      <c r="Q120" s="119"/>
      <c r="R120" s="119"/>
      <c r="S120" s="121"/>
      <c r="T120" s="119"/>
      <c r="U120" s="119"/>
      <c r="V120" s="119"/>
      <c r="W120" s="119"/>
      <c r="X120" s="158"/>
    </row>
    <row r="121">
      <c r="C121" s="172"/>
      <c r="D121" s="172"/>
      <c r="E121" s="172"/>
      <c r="F121" s="172"/>
      <c r="G121" s="173"/>
      <c r="H121" s="137"/>
      <c r="I121" s="137"/>
      <c r="J121" s="137"/>
      <c r="K121" s="129"/>
      <c r="L121" s="323"/>
      <c r="N121" s="121"/>
      <c r="O121" s="359"/>
      <c r="P121" s="359"/>
      <c r="Q121" s="119"/>
      <c r="R121" s="119"/>
      <c r="S121" s="121"/>
      <c r="T121" s="119"/>
      <c r="U121" s="119"/>
      <c r="V121" s="119"/>
      <c r="W121" s="119"/>
      <c r="X121" s="158"/>
    </row>
    <row r="122">
      <c r="C122" s="172"/>
      <c r="D122" s="172"/>
      <c r="E122" s="172"/>
      <c r="F122" s="172"/>
      <c r="G122" s="173"/>
      <c r="H122" s="137"/>
      <c r="I122" s="137"/>
      <c r="J122" s="137"/>
      <c r="K122" s="129"/>
      <c r="L122" s="323"/>
      <c r="N122" s="121"/>
      <c r="O122" s="359"/>
      <c r="P122" s="359"/>
      <c r="Q122" s="119"/>
      <c r="R122" s="119"/>
      <c r="S122" s="121"/>
      <c r="T122" s="119"/>
      <c r="U122" s="119"/>
      <c r="V122" s="119"/>
      <c r="W122" s="119"/>
      <c r="X122" s="158"/>
    </row>
    <row r="123">
      <c r="C123" s="172"/>
      <c r="D123" s="172"/>
      <c r="E123" s="172"/>
      <c r="F123" s="172"/>
      <c r="G123" s="173"/>
      <c r="H123" s="137"/>
      <c r="I123" s="137"/>
      <c r="J123" s="137"/>
      <c r="K123" s="129"/>
      <c r="L123" s="323"/>
      <c r="N123" s="121"/>
      <c r="O123" s="359"/>
      <c r="P123" s="359"/>
      <c r="Q123" s="119"/>
      <c r="R123" s="119"/>
      <c r="S123" s="121"/>
      <c r="T123" s="119"/>
      <c r="U123" s="119"/>
      <c r="V123" s="119"/>
      <c r="W123" s="119"/>
      <c r="X123" s="158"/>
    </row>
    <row r="124">
      <c r="C124" s="172"/>
      <c r="D124" s="172"/>
      <c r="E124" s="172"/>
      <c r="F124" s="172"/>
      <c r="G124" s="173"/>
      <c r="H124" s="137"/>
      <c r="I124" s="137"/>
      <c r="J124" s="137"/>
      <c r="K124" s="129"/>
      <c r="L124" s="323"/>
      <c r="N124" s="121"/>
      <c r="O124" s="359"/>
      <c r="P124" s="359"/>
      <c r="Q124" s="119"/>
      <c r="R124" s="119"/>
      <c r="S124" s="121"/>
      <c r="T124" s="119"/>
      <c r="U124" s="119"/>
      <c r="V124" s="119"/>
      <c r="W124" s="119"/>
      <c r="X124" s="158"/>
    </row>
    <row r="125">
      <c r="C125" s="172"/>
      <c r="D125" s="172"/>
      <c r="E125" s="172"/>
      <c r="F125" s="172"/>
      <c r="G125" s="173"/>
      <c r="H125" s="137"/>
      <c r="I125" s="137"/>
      <c r="J125" s="137"/>
      <c r="K125" s="129"/>
      <c r="L125" s="323"/>
      <c r="N125" s="121"/>
      <c r="O125" s="359"/>
      <c r="P125" s="359"/>
      <c r="Q125" s="119"/>
      <c r="R125" s="119"/>
      <c r="S125" s="121"/>
      <c r="T125" s="119"/>
      <c r="U125" s="119"/>
      <c r="V125" s="119"/>
      <c r="W125" s="119"/>
      <c r="X125" s="158"/>
    </row>
    <row r="126">
      <c r="C126" s="172"/>
      <c r="D126" s="172"/>
      <c r="E126" s="172"/>
      <c r="F126" s="172"/>
      <c r="G126" s="173"/>
      <c r="H126" s="137"/>
      <c r="I126" s="137"/>
      <c r="J126" s="137"/>
      <c r="K126" s="129"/>
      <c r="L126" s="323"/>
      <c r="N126" s="121"/>
      <c r="O126" s="359"/>
      <c r="P126" s="359"/>
      <c r="Q126" s="119"/>
      <c r="R126" s="119"/>
      <c r="S126" s="121"/>
      <c r="T126" s="119"/>
      <c r="U126" s="119"/>
      <c r="V126" s="119"/>
      <c r="W126" s="119"/>
      <c r="X126" s="158"/>
    </row>
    <row r="127">
      <c r="C127" s="172"/>
      <c r="D127" s="172"/>
      <c r="E127" s="172"/>
      <c r="F127" s="172"/>
      <c r="G127" s="173"/>
      <c r="H127" s="137"/>
      <c r="I127" s="137"/>
      <c r="J127" s="137"/>
      <c r="K127" s="129"/>
      <c r="L127" s="323"/>
      <c r="N127" s="121"/>
      <c r="O127" s="359"/>
      <c r="P127" s="359"/>
      <c r="Q127" s="119"/>
      <c r="R127" s="119"/>
      <c r="S127" s="121"/>
      <c r="T127" s="119"/>
      <c r="U127" s="119"/>
      <c r="V127" s="119"/>
      <c r="W127" s="119"/>
      <c r="X127" s="158"/>
    </row>
    <row r="128">
      <c r="C128" s="172"/>
      <c r="D128" s="172"/>
      <c r="E128" s="172"/>
      <c r="F128" s="172"/>
      <c r="G128" s="173"/>
      <c r="H128" s="137"/>
      <c r="I128" s="137"/>
      <c r="J128" s="137"/>
      <c r="K128" s="129"/>
      <c r="L128" s="323"/>
      <c r="N128" s="121"/>
      <c r="O128" s="359"/>
      <c r="P128" s="359"/>
      <c r="Q128" s="119"/>
      <c r="R128" s="119"/>
      <c r="S128" s="121"/>
      <c r="T128" s="119"/>
      <c r="U128" s="119"/>
      <c r="V128" s="119"/>
      <c r="W128" s="119"/>
      <c r="X128" s="158"/>
    </row>
    <row r="129">
      <c r="C129" s="172"/>
      <c r="D129" s="172"/>
      <c r="E129" s="172"/>
      <c r="F129" s="172"/>
      <c r="G129" s="173"/>
      <c r="H129" s="137"/>
      <c r="I129" s="137"/>
      <c r="J129" s="137"/>
      <c r="K129" s="129"/>
      <c r="L129" s="323"/>
      <c r="N129" s="121"/>
      <c r="O129" s="359"/>
      <c r="P129" s="359"/>
      <c r="Q129" s="119"/>
      <c r="R129" s="119"/>
      <c r="S129" s="121"/>
      <c r="T129" s="119"/>
      <c r="U129" s="119"/>
      <c r="V129" s="119"/>
      <c r="W129" s="119"/>
      <c r="X129" s="158"/>
    </row>
    <row r="130">
      <c r="C130" s="172"/>
      <c r="D130" s="172"/>
      <c r="E130" s="172"/>
      <c r="F130" s="172"/>
      <c r="G130" s="173"/>
      <c r="H130" s="137"/>
      <c r="I130" s="137"/>
      <c r="J130" s="137"/>
      <c r="K130" s="129"/>
      <c r="L130" s="323"/>
      <c r="N130" s="121"/>
      <c r="O130" s="359"/>
      <c r="P130" s="359"/>
      <c r="Q130" s="119"/>
      <c r="R130" s="119"/>
      <c r="S130" s="121"/>
      <c r="T130" s="119"/>
      <c r="U130" s="119"/>
      <c r="V130" s="119"/>
      <c r="W130" s="119"/>
      <c r="X130" s="158"/>
    </row>
    <row r="131">
      <c r="C131" s="172"/>
      <c r="D131" s="172"/>
      <c r="E131" s="172"/>
      <c r="F131" s="172"/>
      <c r="G131" s="173"/>
      <c r="H131" s="137"/>
      <c r="I131" s="137"/>
      <c r="J131" s="137"/>
      <c r="K131" s="129"/>
      <c r="L131" s="323"/>
      <c r="N131" s="121"/>
      <c r="O131" s="359"/>
      <c r="P131" s="359"/>
      <c r="Q131" s="119"/>
      <c r="R131" s="119"/>
      <c r="S131" s="121"/>
      <c r="T131" s="119"/>
      <c r="U131" s="119"/>
      <c r="V131" s="119"/>
      <c r="W131" s="119"/>
      <c r="X131" s="158"/>
    </row>
    <row r="132">
      <c r="C132" s="172"/>
      <c r="D132" s="172"/>
      <c r="E132" s="172"/>
      <c r="F132" s="172"/>
      <c r="G132" s="173"/>
      <c r="H132" s="137"/>
      <c r="I132" s="137"/>
      <c r="J132" s="137"/>
      <c r="K132" s="129"/>
      <c r="L132" s="323"/>
      <c r="N132" s="121"/>
      <c r="O132" s="359"/>
      <c r="P132" s="359"/>
      <c r="Q132" s="119"/>
      <c r="R132" s="119"/>
      <c r="S132" s="121"/>
      <c r="T132" s="119"/>
      <c r="U132" s="119"/>
      <c r="V132" s="119"/>
      <c r="W132" s="119"/>
      <c r="X132" s="158"/>
    </row>
    <row r="133">
      <c r="C133" s="172"/>
      <c r="D133" s="172"/>
      <c r="E133" s="172"/>
      <c r="F133" s="172"/>
      <c r="G133" s="173"/>
      <c r="H133" s="137"/>
      <c r="I133" s="137"/>
      <c r="J133" s="137"/>
      <c r="K133" s="129"/>
      <c r="L133" s="323"/>
      <c r="N133" s="121"/>
      <c r="O133" s="359"/>
      <c r="P133" s="359"/>
      <c r="Q133" s="119"/>
      <c r="R133" s="119"/>
      <c r="S133" s="121"/>
      <c r="T133" s="119"/>
      <c r="U133" s="119"/>
      <c r="V133" s="119"/>
      <c r="W133" s="119"/>
      <c r="X133" s="158"/>
    </row>
    <row r="134">
      <c r="C134" s="172"/>
      <c r="D134" s="172"/>
      <c r="E134" s="172"/>
      <c r="F134" s="172"/>
      <c r="G134" s="173"/>
      <c r="H134" s="137"/>
      <c r="I134" s="137"/>
      <c r="J134" s="137"/>
      <c r="K134" s="129"/>
      <c r="L134" s="323"/>
      <c r="N134" s="121"/>
      <c r="O134" s="359"/>
      <c r="P134" s="359"/>
      <c r="Q134" s="119"/>
      <c r="R134" s="119"/>
      <c r="S134" s="121"/>
      <c r="T134" s="119"/>
      <c r="U134" s="119"/>
      <c r="V134" s="119"/>
      <c r="W134" s="119"/>
      <c r="X134" s="158"/>
    </row>
    <row r="135">
      <c r="C135" s="172"/>
      <c r="D135" s="172"/>
      <c r="E135" s="172"/>
      <c r="F135" s="172"/>
      <c r="G135" s="173"/>
      <c r="H135" s="137"/>
      <c r="I135" s="137"/>
      <c r="J135" s="137"/>
      <c r="K135" s="129"/>
      <c r="L135" s="323"/>
      <c r="N135" s="121"/>
      <c r="O135" s="359"/>
      <c r="P135" s="359"/>
      <c r="Q135" s="119"/>
      <c r="R135" s="119"/>
      <c r="S135" s="121"/>
      <c r="T135" s="119"/>
      <c r="U135" s="119"/>
      <c r="V135" s="119"/>
      <c r="W135" s="119"/>
      <c r="X135" s="158"/>
    </row>
    <row r="136">
      <c r="C136" s="172"/>
      <c r="D136" s="172"/>
      <c r="E136" s="172"/>
      <c r="F136" s="172"/>
      <c r="G136" s="173"/>
      <c r="H136" s="137"/>
      <c r="I136" s="137"/>
      <c r="J136" s="137"/>
      <c r="K136" s="129"/>
      <c r="L136" s="323"/>
      <c r="N136" s="121"/>
      <c r="O136" s="359"/>
      <c r="P136" s="359"/>
      <c r="Q136" s="119"/>
      <c r="R136" s="119"/>
      <c r="S136" s="121"/>
      <c r="T136" s="119"/>
      <c r="U136" s="119"/>
      <c r="V136" s="119"/>
      <c r="W136" s="119"/>
      <c r="X136" s="158"/>
    </row>
    <row r="137">
      <c r="C137" s="172"/>
      <c r="D137" s="172"/>
      <c r="E137" s="172"/>
      <c r="F137" s="172"/>
      <c r="G137" s="173"/>
      <c r="H137" s="137"/>
      <c r="I137" s="137"/>
      <c r="J137" s="137"/>
      <c r="K137" s="129"/>
      <c r="L137" s="323"/>
      <c r="N137" s="121"/>
      <c r="O137" s="359"/>
      <c r="P137" s="359"/>
      <c r="Q137" s="119"/>
      <c r="R137" s="119"/>
      <c r="S137" s="121"/>
      <c r="T137" s="119"/>
      <c r="U137" s="119"/>
      <c r="V137" s="119"/>
      <c r="W137" s="119"/>
      <c r="X137" s="158"/>
    </row>
    <row r="138">
      <c r="C138" s="172"/>
      <c r="D138" s="172"/>
      <c r="E138" s="172"/>
      <c r="F138" s="172"/>
      <c r="G138" s="173"/>
      <c r="H138" s="137"/>
      <c r="I138" s="137"/>
      <c r="J138" s="137"/>
      <c r="K138" s="129"/>
      <c r="L138" s="323"/>
      <c r="N138" s="121"/>
      <c r="O138" s="359"/>
      <c r="P138" s="359"/>
      <c r="Q138" s="119"/>
      <c r="R138" s="119"/>
      <c r="S138" s="121"/>
      <c r="T138" s="119"/>
      <c r="U138" s="119"/>
      <c r="V138" s="119"/>
      <c r="W138" s="119"/>
      <c r="X138" s="158"/>
    </row>
    <row r="139">
      <c r="C139" s="172"/>
      <c r="D139" s="172"/>
      <c r="E139" s="172"/>
      <c r="F139" s="172"/>
      <c r="G139" s="173"/>
      <c r="H139" s="137"/>
      <c r="I139" s="137"/>
      <c r="J139" s="137"/>
      <c r="K139" s="129"/>
      <c r="L139" s="323"/>
      <c r="N139" s="121"/>
      <c r="O139" s="359"/>
      <c r="P139" s="359"/>
      <c r="Q139" s="119"/>
      <c r="R139" s="119"/>
      <c r="S139" s="121"/>
      <c r="T139" s="119"/>
      <c r="U139" s="119"/>
      <c r="V139" s="119"/>
      <c r="W139" s="119"/>
      <c r="X139" s="158"/>
    </row>
    <row r="140">
      <c r="C140" s="172"/>
      <c r="D140" s="172"/>
      <c r="E140" s="172"/>
      <c r="F140" s="172"/>
      <c r="G140" s="173"/>
      <c r="H140" s="137"/>
      <c r="I140" s="137"/>
      <c r="J140" s="137"/>
      <c r="K140" s="129"/>
      <c r="L140" s="323"/>
      <c r="N140" s="121"/>
      <c r="O140" s="359"/>
      <c r="P140" s="359"/>
      <c r="Q140" s="119"/>
      <c r="R140" s="119"/>
      <c r="S140" s="121"/>
      <c r="T140" s="119"/>
      <c r="U140" s="119"/>
      <c r="V140" s="119"/>
      <c r="W140" s="119"/>
      <c r="X140" s="158"/>
    </row>
    <row r="141">
      <c r="C141" s="172"/>
      <c r="D141" s="172"/>
      <c r="E141" s="172"/>
      <c r="F141" s="172"/>
      <c r="G141" s="173"/>
      <c r="H141" s="137"/>
      <c r="I141" s="137"/>
      <c r="J141" s="137"/>
      <c r="K141" s="129"/>
      <c r="L141" s="323"/>
      <c r="N141" s="121"/>
      <c r="O141" s="359"/>
      <c r="P141" s="359"/>
      <c r="Q141" s="119"/>
      <c r="R141" s="119"/>
      <c r="S141" s="121"/>
      <c r="T141" s="119"/>
      <c r="U141" s="119"/>
      <c r="V141" s="119"/>
      <c r="W141" s="119"/>
      <c r="X141" s="158"/>
    </row>
    <row r="142">
      <c r="C142" s="172"/>
      <c r="D142" s="172"/>
      <c r="E142" s="172"/>
      <c r="F142" s="172"/>
      <c r="G142" s="173"/>
      <c r="H142" s="137"/>
      <c r="I142" s="137"/>
      <c r="J142" s="137"/>
      <c r="K142" s="129"/>
      <c r="L142" s="323"/>
      <c r="N142" s="121"/>
      <c r="O142" s="359"/>
      <c r="P142" s="359"/>
      <c r="Q142" s="119"/>
      <c r="R142" s="119"/>
      <c r="S142" s="121"/>
      <c r="T142" s="119"/>
      <c r="U142" s="119"/>
      <c r="V142" s="119"/>
      <c r="W142" s="119"/>
      <c r="X142" s="158"/>
    </row>
    <row r="143">
      <c r="C143" s="172"/>
      <c r="D143" s="172"/>
      <c r="E143" s="172"/>
      <c r="F143" s="172"/>
      <c r="G143" s="173"/>
      <c r="H143" s="137"/>
      <c r="I143" s="137"/>
      <c r="J143" s="137"/>
      <c r="K143" s="129"/>
      <c r="L143" s="323"/>
      <c r="N143" s="121"/>
      <c r="O143" s="359"/>
      <c r="P143" s="359"/>
      <c r="Q143" s="119"/>
      <c r="R143" s="119"/>
      <c r="S143" s="121"/>
      <c r="T143" s="119"/>
      <c r="U143" s="119"/>
      <c r="V143" s="119"/>
      <c r="W143" s="119"/>
      <c r="X143" s="158"/>
    </row>
    <row r="144">
      <c r="C144" s="172"/>
      <c r="D144" s="172"/>
      <c r="E144" s="172"/>
      <c r="F144" s="172"/>
      <c r="G144" s="173"/>
      <c r="H144" s="137"/>
      <c r="I144" s="137"/>
      <c r="J144" s="137"/>
      <c r="K144" s="129"/>
      <c r="L144" s="323"/>
      <c r="N144" s="121"/>
      <c r="O144" s="359"/>
      <c r="P144" s="359"/>
      <c r="Q144" s="119"/>
      <c r="R144" s="119"/>
      <c r="S144" s="121"/>
      <c r="T144" s="119"/>
      <c r="U144" s="119"/>
      <c r="V144" s="119"/>
      <c r="W144" s="119"/>
      <c r="X144" s="158"/>
    </row>
    <row r="145">
      <c r="C145" s="172"/>
      <c r="D145" s="172"/>
      <c r="E145" s="172"/>
      <c r="F145" s="172"/>
      <c r="G145" s="173"/>
      <c r="H145" s="137"/>
      <c r="I145" s="137"/>
      <c r="J145" s="137"/>
      <c r="K145" s="129"/>
      <c r="L145" s="323"/>
      <c r="N145" s="121"/>
      <c r="O145" s="359"/>
      <c r="P145" s="359"/>
      <c r="Q145" s="119"/>
      <c r="R145" s="119"/>
      <c r="S145" s="121"/>
      <c r="T145" s="119"/>
      <c r="U145" s="119"/>
      <c r="V145" s="119"/>
      <c r="W145" s="119"/>
      <c r="X145" s="158"/>
    </row>
    <row r="146">
      <c r="C146" s="172"/>
      <c r="D146" s="172"/>
      <c r="E146" s="172"/>
      <c r="F146" s="172"/>
      <c r="G146" s="173"/>
      <c r="H146" s="137"/>
      <c r="I146" s="137"/>
      <c r="J146" s="137"/>
      <c r="K146" s="129"/>
      <c r="L146" s="323"/>
      <c r="N146" s="121"/>
      <c r="O146" s="359"/>
      <c r="P146" s="359"/>
      <c r="Q146" s="119"/>
      <c r="R146" s="119"/>
      <c r="S146" s="121"/>
      <c r="T146" s="119"/>
      <c r="U146" s="119"/>
      <c r="V146" s="119"/>
      <c r="W146" s="119"/>
      <c r="X146" s="158"/>
    </row>
    <row r="147">
      <c r="C147" s="172"/>
      <c r="D147" s="172"/>
      <c r="E147" s="172"/>
      <c r="F147" s="172"/>
      <c r="G147" s="173"/>
      <c r="H147" s="137"/>
      <c r="I147" s="137"/>
      <c r="J147" s="137"/>
      <c r="K147" s="129"/>
      <c r="L147" s="323"/>
      <c r="N147" s="121"/>
      <c r="O147" s="359"/>
      <c r="P147" s="359"/>
      <c r="Q147" s="119"/>
      <c r="R147" s="119"/>
      <c r="S147" s="121"/>
      <c r="T147" s="119"/>
      <c r="U147" s="119"/>
      <c r="V147" s="119"/>
      <c r="W147" s="119"/>
      <c r="X147" s="158"/>
    </row>
    <row r="148">
      <c r="C148" s="172"/>
      <c r="D148" s="172"/>
      <c r="E148" s="172"/>
      <c r="F148" s="172"/>
      <c r="G148" s="173"/>
      <c r="H148" s="137"/>
      <c r="I148" s="137"/>
      <c r="J148" s="137"/>
      <c r="K148" s="129"/>
      <c r="L148" s="323"/>
      <c r="N148" s="121"/>
      <c r="O148" s="359"/>
      <c r="P148" s="359"/>
      <c r="Q148" s="119"/>
      <c r="R148" s="119"/>
      <c r="S148" s="121"/>
      <c r="T148" s="119"/>
      <c r="U148" s="119"/>
      <c r="V148" s="119"/>
      <c r="W148" s="119"/>
      <c r="X148" s="158"/>
    </row>
    <row r="149">
      <c r="C149" s="172"/>
      <c r="D149" s="172"/>
      <c r="E149" s="172"/>
      <c r="F149" s="172"/>
      <c r="G149" s="173"/>
      <c r="H149" s="137"/>
      <c r="I149" s="137"/>
      <c r="J149" s="137"/>
      <c r="K149" s="129"/>
      <c r="L149" s="323"/>
      <c r="N149" s="121"/>
      <c r="O149" s="359"/>
      <c r="P149" s="359"/>
      <c r="Q149" s="119"/>
      <c r="R149" s="119"/>
      <c r="S149" s="121"/>
      <c r="T149" s="119"/>
      <c r="U149" s="119"/>
      <c r="V149" s="119"/>
      <c r="W149" s="119"/>
      <c r="X149" s="158"/>
    </row>
    <row r="150">
      <c r="C150" s="172"/>
      <c r="D150" s="172"/>
      <c r="E150" s="172"/>
      <c r="F150" s="172"/>
      <c r="G150" s="173"/>
      <c r="H150" s="137"/>
      <c r="I150" s="137"/>
      <c r="J150" s="137"/>
      <c r="K150" s="129"/>
      <c r="L150" s="323"/>
      <c r="N150" s="121"/>
      <c r="O150" s="359"/>
      <c r="P150" s="359"/>
      <c r="Q150" s="119"/>
      <c r="R150" s="119"/>
      <c r="S150" s="121"/>
      <c r="T150" s="119"/>
      <c r="U150" s="119"/>
      <c r="V150" s="119"/>
      <c r="W150" s="119"/>
      <c r="X150" s="158"/>
    </row>
    <row r="151">
      <c r="C151" s="172"/>
      <c r="D151" s="172"/>
      <c r="E151" s="172"/>
      <c r="F151" s="172"/>
      <c r="G151" s="173"/>
      <c r="H151" s="137"/>
      <c r="I151" s="137"/>
      <c r="J151" s="137"/>
      <c r="K151" s="129"/>
      <c r="L151" s="323"/>
      <c r="N151" s="121"/>
      <c r="O151" s="359"/>
      <c r="P151" s="359"/>
      <c r="Q151" s="119"/>
      <c r="R151" s="119"/>
      <c r="S151" s="121"/>
      <c r="T151" s="119"/>
      <c r="U151" s="119"/>
      <c r="V151" s="119"/>
      <c r="W151" s="119"/>
      <c r="X151" s="158"/>
    </row>
    <row r="152">
      <c r="C152" s="172"/>
      <c r="D152" s="172"/>
      <c r="E152" s="172"/>
      <c r="F152" s="172"/>
      <c r="G152" s="173"/>
      <c r="H152" s="137"/>
      <c r="I152" s="137"/>
      <c r="J152" s="137"/>
      <c r="K152" s="129"/>
      <c r="L152" s="323"/>
      <c r="N152" s="121"/>
      <c r="O152" s="359"/>
      <c r="P152" s="359"/>
      <c r="Q152" s="119"/>
      <c r="R152" s="119"/>
      <c r="S152" s="121"/>
      <c r="T152" s="119"/>
      <c r="U152" s="119"/>
      <c r="V152" s="119"/>
      <c r="W152" s="119"/>
      <c r="X152" s="158"/>
    </row>
    <row r="153">
      <c r="C153" s="172"/>
      <c r="D153" s="172"/>
      <c r="E153" s="172"/>
      <c r="F153" s="172"/>
      <c r="G153" s="173"/>
      <c r="H153" s="137"/>
      <c r="I153" s="137"/>
      <c r="J153" s="137"/>
      <c r="K153" s="129"/>
      <c r="L153" s="323"/>
      <c r="N153" s="121"/>
      <c r="O153" s="359"/>
      <c r="P153" s="359"/>
      <c r="Q153" s="119"/>
      <c r="R153" s="119"/>
      <c r="S153" s="121"/>
      <c r="T153" s="119"/>
      <c r="U153" s="119"/>
      <c r="V153" s="119"/>
      <c r="W153" s="119"/>
      <c r="X153" s="158"/>
    </row>
    <row r="154">
      <c r="C154" s="172"/>
      <c r="D154" s="172"/>
      <c r="E154" s="172"/>
      <c r="F154" s="172"/>
      <c r="G154" s="173"/>
      <c r="H154" s="137"/>
      <c r="I154" s="137"/>
      <c r="J154" s="137"/>
      <c r="K154" s="129"/>
      <c r="L154" s="323"/>
      <c r="N154" s="121"/>
      <c r="O154" s="359"/>
      <c r="P154" s="359"/>
      <c r="Q154" s="119"/>
      <c r="R154" s="119"/>
      <c r="S154" s="121"/>
      <c r="T154" s="119"/>
      <c r="U154" s="119"/>
      <c r="V154" s="119"/>
      <c r="W154" s="119"/>
      <c r="X154" s="158"/>
    </row>
    <row r="155">
      <c r="C155" s="172"/>
      <c r="D155" s="172"/>
      <c r="E155" s="172"/>
      <c r="F155" s="172"/>
      <c r="G155" s="173"/>
      <c r="H155" s="137"/>
      <c r="I155" s="137"/>
      <c r="J155" s="137"/>
      <c r="K155" s="129"/>
      <c r="L155" s="323"/>
      <c r="N155" s="121"/>
      <c r="O155" s="359"/>
      <c r="P155" s="359"/>
      <c r="Q155" s="119"/>
      <c r="R155" s="119"/>
      <c r="S155" s="121"/>
      <c r="T155" s="119"/>
      <c r="U155" s="119"/>
      <c r="V155" s="119"/>
      <c r="W155" s="119"/>
      <c r="X155" s="158"/>
    </row>
    <row r="156">
      <c r="C156" s="172"/>
      <c r="D156" s="172"/>
      <c r="E156" s="172"/>
      <c r="F156" s="172"/>
      <c r="G156" s="173"/>
      <c r="H156" s="137"/>
      <c r="I156" s="137"/>
      <c r="J156" s="137"/>
      <c r="K156" s="129"/>
      <c r="L156" s="323"/>
      <c r="N156" s="121"/>
      <c r="O156" s="359"/>
      <c r="P156" s="359"/>
      <c r="Q156" s="119"/>
      <c r="R156" s="119"/>
      <c r="S156" s="121"/>
      <c r="T156" s="119"/>
      <c r="U156" s="119"/>
      <c r="V156" s="119"/>
      <c r="W156" s="119"/>
      <c r="X156" s="158"/>
    </row>
    <row r="157">
      <c r="C157" s="172"/>
      <c r="D157" s="172"/>
      <c r="E157" s="172"/>
      <c r="F157" s="172"/>
      <c r="G157" s="173"/>
      <c r="H157" s="137"/>
      <c r="I157" s="137"/>
      <c r="J157" s="137"/>
      <c r="K157" s="129"/>
      <c r="L157" s="323"/>
      <c r="N157" s="121"/>
      <c r="O157" s="359"/>
      <c r="P157" s="359"/>
      <c r="Q157" s="119"/>
      <c r="R157" s="119"/>
      <c r="S157" s="121"/>
      <c r="T157" s="119"/>
      <c r="U157" s="119"/>
      <c r="V157" s="119"/>
      <c r="W157" s="119"/>
      <c r="X157" s="158"/>
    </row>
    <row r="158">
      <c r="C158" s="172"/>
      <c r="D158" s="172"/>
      <c r="E158" s="172"/>
      <c r="F158" s="172"/>
      <c r="G158" s="173"/>
      <c r="H158" s="137"/>
      <c r="I158" s="137"/>
      <c r="J158" s="137"/>
      <c r="K158" s="129"/>
      <c r="L158" s="323"/>
      <c r="N158" s="121"/>
      <c r="O158" s="359"/>
      <c r="P158" s="359"/>
      <c r="Q158" s="119"/>
      <c r="R158" s="119"/>
      <c r="S158" s="121"/>
      <c r="T158" s="119"/>
      <c r="U158" s="119"/>
      <c r="V158" s="119"/>
      <c r="W158" s="119"/>
      <c r="X158" s="158"/>
    </row>
    <row r="159">
      <c r="C159" s="172"/>
      <c r="D159" s="172"/>
      <c r="E159" s="172"/>
      <c r="F159" s="172"/>
      <c r="G159" s="173"/>
      <c r="H159" s="137"/>
      <c r="I159" s="137"/>
      <c r="J159" s="137"/>
      <c r="K159" s="129"/>
      <c r="L159" s="323"/>
      <c r="N159" s="121"/>
      <c r="O159" s="359"/>
      <c r="P159" s="359"/>
      <c r="Q159" s="119"/>
      <c r="R159" s="119"/>
      <c r="S159" s="121"/>
      <c r="T159" s="119"/>
      <c r="U159" s="119"/>
      <c r="V159" s="119"/>
      <c r="W159" s="119"/>
      <c r="X159" s="158"/>
    </row>
    <row r="160">
      <c r="C160" s="172"/>
      <c r="D160" s="172"/>
      <c r="E160" s="172"/>
      <c r="F160" s="172"/>
      <c r="G160" s="173"/>
      <c r="H160" s="137"/>
      <c r="I160" s="137"/>
      <c r="J160" s="137"/>
      <c r="K160" s="129"/>
      <c r="L160" s="323"/>
      <c r="N160" s="121"/>
      <c r="O160" s="359"/>
      <c r="P160" s="359"/>
      <c r="Q160" s="119"/>
      <c r="R160" s="119"/>
      <c r="S160" s="121"/>
      <c r="T160" s="119"/>
      <c r="U160" s="119"/>
      <c r="V160" s="119"/>
      <c r="W160" s="119"/>
      <c r="X160" s="158"/>
    </row>
    <row r="161">
      <c r="C161" s="172"/>
      <c r="D161" s="172"/>
      <c r="E161" s="172"/>
      <c r="F161" s="172"/>
      <c r="G161" s="173"/>
      <c r="H161" s="137"/>
      <c r="I161" s="137"/>
      <c r="J161" s="137"/>
      <c r="K161" s="129"/>
      <c r="L161" s="323"/>
      <c r="N161" s="121"/>
      <c r="O161" s="359"/>
      <c r="P161" s="359"/>
      <c r="Q161" s="119"/>
      <c r="R161" s="119"/>
      <c r="S161" s="121"/>
      <c r="T161" s="119"/>
      <c r="U161" s="119"/>
      <c r="V161" s="119"/>
      <c r="W161" s="119"/>
      <c r="X161" s="158"/>
    </row>
    <row r="162">
      <c r="C162" s="172"/>
      <c r="D162" s="172"/>
      <c r="E162" s="172"/>
      <c r="F162" s="172"/>
      <c r="G162" s="173"/>
      <c r="H162" s="137"/>
      <c r="I162" s="137"/>
      <c r="J162" s="137"/>
      <c r="K162" s="129"/>
      <c r="L162" s="323"/>
      <c r="N162" s="121"/>
      <c r="O162" s="359"/>
      <c r="P162" s="359"/>
      <c r="Q162" s="119"/>
      <c r="R162" s="119"/>
      <c r="S162" s="121"/>
      <c r="T162" s="119"/>
      <c r="U162" s="119"/>
      <c r="V162" s="119"/>
      <c r="W162" s="119"/>
      <c r="X162" s="158"/>
    </row>
    <row r="163">
      <c r="C163" s="172"/>
      <c r="D163" s="172"/>
      <c r="E163" s="172"/>
      <c r="F163" s="172"/>
      <c r="G163" s="173"/>
      <c r="H163" s="137"/>
      <c r="I163" s="137"/>
      <c r="J163" s="137"/>
      <c r="K163" s="129"/>
      <c r="L163" s="323"/>
      <c r="N163" s="121"/>
      <c r="O163" s="359"/>
      <c r="P163" s="359"/>
      <c r="Q163" s="119"/>
      <c r="R163" s="119"/>
      <c r="S163" s="121"/>
      <c r="T163" s="119"/>
      <c r="U163" s="119"/>
      <c r="V163" s="119"/>
      <c r="W163" s="119"/>
      <c r="X163" s="158"/>
    </row>
    <row r="164">
      <c r="C164" s="172"/>
      <c r="D164" s="172"/>
      <c r="E164" s="172"/>
      <c r="F164" s="172"/>
      <c r="G164" s="173"/>
      <c r="H164" s="137"/>
      <c r="I164" s="137"/>
      <c r="J164" s="137"/>
      <c r="K164" s="129"/>
      <c r="L164" s="323"/>
      <c r="N164" s="121"/>
      <c r="O164" s="359"/>
      <c r="P164" s="359"/>
      <c r="Q164" s="119"/>
      <c r="R164" s="119"/>
      <c r="S164" s="121"/>
      <c r="T164" s="119"/>
      <c r="U164" s="119"/>
      <c r="V164" s="119"/>
      <c r="W164" s="119"/>
      <c r="X164" s="158"/>
    </row>
    <row r="165">
      <c r="C165" s="172"/>
      <c r="D165" s="172"/>
      <c r="E165" s="172"/>
      <c r="F165" s="172"/>
      <c r="G165" s="173"/>
      <c r="H165" s="137"/>
      <c r="I165" s="137"/>
      <c r="J165" s="137"/>
      <c r="K165" s="129"/>
      <c r="L165" s="323"/>
      <c r="N165" s="121"/>
      <c r="O165" s="359"/>
      <c r="P165" s="359"/>
      <c r="Q165" s="119"/>
      <c r="R165" s="119"/>
      <c r="S165" s="121"/>
      <c r="T165" s="119"/>
      <c r="U165" s="119"/>
      <c r="V165" s="119"/>
      <c r="W165" s="119"/>
      <c r="X165" s="158"/>
    </row>
    <row r="166">
      <c r="C166" s="172"/>
      <c r="D166" s="172"/>
      <c r="E166" s="172"/>
      <c r="F166" s="172"/>
      <c r="G166" s="173"/>
      <c r="H166" s="137"/>
      <c r="I166" s="137"/>
      <c r="J166" s="137"/>
      <c r="K166" s="129"/>
      <c r="L166" s="323"/>
      <c r="N166" s="121"/>
      <c r="O166" s="359"/>
      <c r="P166" s="359"/>
      <c r="Q166" s="119"/>
      <c r="R166" s="119"/>
      <c r="S166" s="121"/>
      <c r="T166" s="119"/>
      <c r="U166" s="119"/>
      <c r="V166" s="119"/>
      <c r="W166" s="119"/>
      <c r="X166" s="158"/>
    </row>
    <row r="167">
      <c r="C167" s="172"/>
      <c r="D167" s="172"/>
      <c r="E167" s="172"/>
      <c r="F167" s="172"/>
      <c r="G167" s="173"/>
      <c r="H167" s="137"/>
      <c r="I167" s="137"/>
      <c r="J167" s="137"/>
      <c r="K167" s="129"/>
      <c r="L167" s="323"/>
      <c r="N167" s="121"/>
      <c r="O167" s="359"/>
      <c r="P167" s="359"/>
      <c r="Q167" s="119"/>
      <c r="R167" s="119"/>
      <c r="S167" s="121"/>
      <c r="T167" s="119"/>
      <c r="U167" s="119"/>
      <c r="V167" s="119"/>
      <c r="W167" s="119"/>
      <c r="X167" s="158"/>
    </row>
    <row r="168">
      <c r="C168" s="172"/>
      <c r="D168" s="172"/>
      <c r="E168" s="172"/>
      <c r="F168" s="172"/>
      <c r="G168" s="173"/>
      <c r="H168" s="137"/>
      <c r="I168" s="137"/>
      <c r="J168" s="137"/>
      <c r="K168" s="129"/>
      <c r="L168" s="323"/>
      <c r="N168" s="121"/>
      <c r="O168" s="359"/>
      <c r="P168" s="359"/>
      <c r="Q168" s="119"/>
      <c r="R168" s="119"/>
      <c r="S168" s="121"/>
      <c r="T168" s="119"/>
      <c r="U168" s="119"/>
      <c r="V168" s="119"/>
      <c r="W168" s="119"/>
      <c r="X168" s="158"/>
    </row>
    <row r="169">
      <c r="C169" s="172"/>
      <c r="D169" s="172"/>
      <c r="E169" s="172"/>
      <c r="F169" s="172"/>
      <c r="G169" s="173"/>
      <c r="H169" s="137"/>
      <c r="I169" s="137"/>
      <c r="J169" s="137"/>
      <c r="K169" s="129"/>
      <c r="L169" s="323"/>
      <c r="N169" s="121"/>
      <c r="O169" s="359"/>
      <c r="P169" s="359"/>
      <c r="Q169" s="119"/>
      <c r="R169" s="119"/>
      <c r="S169" s="121"/>
      <c r="T169" s="119"/>
      <c r="U169" s="119"/>
      <c r="V169" s="119"/>
      <c r="W169" s="119"/>
      <c r="X169" s="158"/>
    </row>
    <row r="170">
      <c r="C170" s="172"/>
      <c r="D170" s="172"/>
      <c r="E170" s="172"/>
      <c r="F170" s="172"/>
      <c r="G170" s="173"/>
      <c r="H170" s="137"/>
      <c r="I170" s="137"/>
      <c r="J170" s="137"/>
      <c r="K170" s="129"/>
      <c r="L170" s="323"/>
      <c r="N170" s="121"/>
      <c r="O170" s="359"/>
      <c r="P170" s="359"/>
      <c r="Q170" s="119"/>
      <c r="R170" s="119"/>
      <c r="S170" s="121"/>
      <c r="T170" s="119"/>
      <c r="U170" s="119"/>
      <c r="V170" s="119"/>
      <c r="W170" s="119"/>
      <c r="X170" s="158"/>
    </row>
    <row r="171">
      <c r="C171" s="172"/>
      <c r="D171" s="172"/>
      <c r="E171" s="172"/>
      <c r="F171" s="172"/>
      <c r="G171" s="173"/>
      <c r="H171" s="137"/>
      <c r="I171" s="137"/>
      <c r="J171" s="137"/>
      <c r="K171" s="129"/>
      <c r="L171" s="323"/>
      <c r="N171" s="121"/>
      <c r="O171" s="359"/>
      <c r="P171" s="359"/>
      <c r="Q171" s="119"/>
      <c r="R171" s="119"/>
      <c r="S171" s="121"/>
      <c r="T171" s="119"/>
      <c r="U171" s="119"/>
      <c r="V171" s="119"/>
      <c r="W171" s="119"/>
      <c r="X171" s="158"/>
    </row>
    <row r="172">
      <c r="C172" s="172"/>
      <c r="D172" s="172"/>
      <c r="E172" s="172"/>
      <c r="F172" s="172"/>
      <c r="G172" s="173"/>
      <c r="H172" s="137"/>
      <c r="I172" s="137"/>
      <c r="J172" s="137"/>
      <c r="K172" s="129"/>
      <c r="L172" s="323"/>
      <c r="N172" s="121"/>
      <c r="O172" s="359"/>
      <c r="P172" s="359"/>
      <c r="Q172" s="119"/>
      <c r="R172" s="119"/>
      <c r="S172" s="121"/>
      <c r="T172" s="119"/>
      <c r="U172" s="119"/>
      <c r="V172" s="119"/>
      <c r="W172" s="119"/>
      <c r="X172" s="158"/>
    </row>
    <row r="173">
      <c r="C173" s="172"/>
      <c r="D173" s="172"/>
      <c r="E173" s="172"/>
      <c r="F173" s="172"/>
      <c r="G173" s="173"/>
      <c r="H173" s="137"/>
      <c r="I173" s="137"/>
      <c r="J173" s="137"/>
      <c r="K173" s="129"/>
      <c r="L173" s="323"/>
      <c r="N173" s="121"/>
      <c r="O173" s="359"/>
      <c r="P173" s="359"/>
      <c r="Q173" s="119"/>
      <c r="R173" s="119"/>
      <c r="S173" s="121"/>
      <c r="T173" s="119"/>
      <c r="U173" s="119"/>
      <c r="V173" s="119"/>
      <c r="W173" s="119"/>
      <c r="X173" s="158"/>
    </row>
    <row r="174">
      <c r="C174" s="172"/>
      <c r="D174" s="172"/>
      <c r="E174" s="172"/>
      <c r="F174" s="172"/>
      <c r="G174" s="173"/>
      <c r="H174" s="137"/>
      <c r="I174" s="137"/>
      <c r="J174" s="137"/>
      <c r="K174" s="129"/>
      <c r="L174" s="323"/>
      <c r="N174" s="121"/>
      <c r="O174" s="359"/>
      <c r="P174" s="359"/>
      <c r="Q174" s="119"/>
      <c r="R174" s="119"/>
      <c r="S174" s="121"/>
      <c r="T174" s="119"/>
      <c r="U174" s="119"/>
      <c r="V174" s="119"/>
      <c r="W174" s="119"/>
      <c r="X174" s="158"/>
    </row>
    <row r="175">
      <c r="C175" s="172"/>
      <c r="D175" s="172"/>
      <c r="E175" s="172"/>
      <c r="F175" s="172"/>
      <c r="G175" s="173"/>
      <c r="H175" s="137"/>
      <c r="I175" s="137"/>
      <c r="J175" s="137"/>
      <c r="K175" s="129"/>
      <c r="L175" s="323"/>
      <c r="N175" s="121"/>
      <c r="O175" s="359"/>
      <c r="P175" s="359"/>
      <c r="Q175" s="119"/>
      <c r="R175" s="119"/>
      <c r="S175" s="121"/>
      <c r="T175" s="119"/>
      <c r="U175" s="119"/>
      <c r="V175" s="119"/>
      <c r="W175" s="119"/>
      <c r="X175" s="158"/>
    </row>
    <row r="176">
      <c r="C176" s="172"/>
      <c r="D176" s="172"/>
      <c r="E176" s="172"/>
      <c r="F176" s="172"/>
      <c r="G176" s="173"/>
      <c r="H176" s="137"/>
      <c r="I176" s="137"/>
      <c r="J176" s="137"/>
      <c r="K176" s="129"/>
      <c r="L176" s="323"/>
      <c r="N176" s="121"/>
      <c r="O176" s="359"/>
      <c r="P176" s="359"/>
      <c r="Q176" s="119"/>
      <c r="R176" s="119"/>
      <c r="S176" s="121"/>
      <c r="T176" s="119"/>
      <c r="U176" s="119"/>
      <c r="V176" s="119"/>
      <c r="W176" s="119"/>
      <c r="X176" s="158"/>
    </row>
    <row r="177">
      <c r="C177" s="172"/>
      <c r="D177" s="172"/>
      <c r="E177" s="172"/>
      <c r="F177" s="172"/>
      <c r="G177" s="173"/>
      <c r="H177" s="137"/>
      <c r="I177" s="137"/>
      <c r="J177" s="137"/>
      <c r="K177" s="129"/>
      <c r="L177" s="323"/>
      <c r="N177" s="121"/>
      <c r="O177" s="359"/>
      <c r="P177" s="359"/>
      <c r="Q177" s="119"/>
      <c r="R177" s="119"/>
      <c r="S177" s="121"/>
      <c r="T177" s="119"/>
      <c r="U177" s="119"/>
      <c r="V177" s="119"/>
      <c r="W177" s="119"/>
      <c r="X177" s="158"/>
    </row>
    <row r="178">
      <c r="C178" s="172"/>
      <c r="D178" s="172"/>
      <c r="E178" s="172"/>
      <c r="F178" s="172"/>
      <c r="G178" s="173"/>
      <c r="H178" s="137"/>
      <c r="I178" s="137"/>
      <c r="J178" s="137"/>
      <c r="K178" s="129"/>
      <c r="L178" s="323"/>
      <c r="N178" s="121"/>
      <c r="O178" s="359"/>
      <c r="P178" s="359"/>
      <c r="Q178" s="119"/>
      <c r="R178" s="119"/>
      <c r="S178" s="121"/>
      <c r="T178" s="119"/>
      <c r="U178" s="119"/>
      <c r="V178" s="119"/>
      <c r="W178" s="119"/>
      <c r="X178" s="158"/>
    </row>
    <row r="179">
      <c r="C179" s="172"/>
      <c r="D179" s="172"/>
      <c r="E179" s="172"/>
      <c r="F179" s="172"/>
      <c r="G179" s="173"/>
      <c r="H179" s="137"/>
      <c r="I179" s="137"/>
      <c r="J179" s="137"/>
      <c r="K179" s="129"/>
      <c r="L179" s="323"/>
      <c r="N179" s="121"/>
      <c r="O179" s="359"/>
      <c r="P179" s="359"/>
      <c r="Q179" s="119"/>
      <c r="R179" s="119"/>
      <c r="S179" s="121"/>
      <c r="T179" s="119"/>
      <c r="U179" s="119"/>
      <c r="V179" s="119"/>
      <c r="W179" s="119"/>
      <c r="X179" s="158"/>
    </row>
    <row r="180">
      <c r="C180" s="172"/>
      <c r="D180" s="172"/>
      <c r="E180" s="172"/>
      <c r="F180" s="172"/>
      <c r="G180" s="173"/>
      <c r="H180" s="137"/>
      <c r="I180" s="137"/>
      <c r="J180" s="137"/>
      <c r="K180" s="129"/>
      <c r="L180" s="323"/>
      <c r="N180" s="121"/>
      <c r="O180" s="359"/>
      <c r="P180" s="359"/>
      <c r="Q180" s="119"/>
      <c r="R180" s="119"/>
      <c r="S180" s="121"/>
      <c r="T180" s="119"/>
      <c r="U180" s="119"/>
      <c r="V180" s="119"/>
      <c r="W180" s="119"/>
      <c r="X180" s="158"/>
    </row>
    <row r="181">
      <c r="C181" s="172"/>
      <c r="D181" s="172"/>
      <c r="E181" s="172"/>
      <c r="F181" s="172"/>
      <c r="G181" s="173"/>
      <c r="H181" s="137"/>
      <c r="I181" s="137"/>
      <c r="J181" s="137"/>
      <c r="K181" s="129"/>
      <c r="L181" s="323"/>
      <c r="N181" s="121"/>
      <c r="O181" s="359"/>
      <c r="P181" s="359"/>
      <c r="Q181" s="119"/>
      <c r="R181" s="119"/>
      <c r="S181" s="121"/>
      <c r="T181" s="119"/>
      <c r="U181" s="119"/>
      <c r="V181" s="119"/>
      <c r="W181" s="119"/>
      <c r="X181" s="158"/>
    </row>
    <row r="182">
      <c r="C182" s="172"/>
      <c r="D182" s="172"/>
      <c r="E182" s="172"/>
      <c r="F182" s="172"/>
      <c r="G182" s="173"/>
      <c r="H182" s="137"/>
      <c r="I182" s="137"/>
      <c r="J182" s="137"/>
      <c r="K182" s="129"/>
      <c r="L182" s="323"/>
      <c r="N182" s="121"/>
      <c r="O182" s="359"/>
      <c r="P182" s="359"/>
      <c r="Q182" s="119"/>
      <c r="R182" s="119"/>
      <c r="S182" s="121"/>
      <c r="T182" s="119"/>
      <c r="U182" s="119"/>
      <c r="V182" s="119"/>
      <c r="W182" s="119"/>
      <c r="X182" s="158"/>
    </row>
    <row r="183">
      <c r="C183" s="172"/>
      <c r="D183" s="172"/>
      <c r="E183" s="172"/>
      <c r="F183" s="172"/>
      <c r="G183" s="173"/>
      <c r="H183" s="137"/>
      <c r="I183" s="137"/>
      <c r="J183" s="137"/>
      <c r="K183" s="129"/>
      <c r="L183" s="323"/>
      <c r="N183" s="121"/>
      <c r="O183" s="359"/>
      <c r="P183" s="359"/>
      <c r="Q183" s="119"/>
      <c r="R183" s="119"/>
      <c r="S183" s="121"/>
      <c r="T183" s="119"/>
      <c r="U183" s="119"/>
      <c r="V183" s="119"/>
      <c r="W183" s="119"/>
      <c r="X183" s="158"/>
    </row>
    <row r="184">
      <c r="C184" s="172"/>
      <c r="D184" s="172"/>
      <c r="E184" s="172"/>
      <c r="F184" s="172"/>
      <c r="G184" s="173"/>
      <c r="H184" s="137"/>
      <c r="I184" s="137"/>
      <c r="J184" s="137"/>
      <c r="K184" s="129"/>
      <c r="L184" s="323"/>
      <c r="N184" s="121"/>
      <c r="O184" s="359"/>
      <c r="P184" s="359"/>
      <c r="Q184" s="119"/>
      <c r="R184" s="119"/>
      <c r="S184" s="121"/>
      <c r="T184" s="119"/>
      <c r="U184" s="119"/>
      <c r="V184" s="119"/>
      <c r="W184" s="119"/>
      <c r="X184" s="158"/>
    </row>
    <row r="185">
      <c r="C185" s="172"/>
      <c r="D185" s="172"/>
      <c r="E185" s="172"/>
      <c r="F185" s="172"/>
      <c r="G185" s="173"/>
      <c r="H185" s="137"/>
      <c r="I185" s="137"/>
      <c r="J185" s="137"/>
      <c r="K185" s="129"/>
      <c r="L185" s="323"/>
      <c r="N185" s="121"/>
      <c r="O185" s="359"/>
      <c r="P185" s="359"/>
      <c r="Q185" s="119"/>
      <c r="R185" s="119"/>
      <c r="S185" s="121"/>
      <c r="T185" s="119"/>
      <c r="U185" s="119"/>
      <c r="V185" s="119"/>
      <c r="W185" s="119"/>
      <c r="X185" s="158"/>
    </row>
    <row r="186">
      <c r="C186" s="172"/>
      <c r="D186" s="172"/>
      <c r="E186" s="172"/>
      <c r="F186" s="172"/>
      <c r="G186" s="173"/>
      <c r="H186" s="137"/>
      <c r="I186" s="137"/>
      <c r="J186" s="137"/>
      <c r="K186" s="129"/>
      <c r="L186" s="323"/>
      <c r="N186" s="121"/>
      <c r="O186" s="359"/>
      <c r="P186" s="359"/>
      <c r="Q186" s="119"/>
      <c r="R186" s="119"/>
      <c r="S186" s="121"/>
      <c r="T186" s="119"/>
      <c r="U186" s="119"/>
      <c r="V186" s="119"/>
      <c r="W186" s="119"/>
      <c r="X186" s="158"/>
    </row>
    <row r="187">
      <c r="C187" s="172"/>
      <c r="D187" s="172"/>
      <c r="E187" s="172"/>
      <c r="F187" s="172"/>
      <c r="G187" s="173"/>
      <c r="H187" s="137"/>
      <c r="I187" s="137"/>
      <c r="J187" s="137"/>
      <c r="K187" s="129"/>
      <c r="L187" s="323"/>
      <c r="N187" s="121"/>
      <c r="O187" s="359"/>
      <c r="P187" s="359"/>
      <c r="Q187" s="119"/>
      <c r="R187" s="119"/>
      <c r="S187" s="121"/>
      <c r="T187" s="119"/>
      <c r="U187" s="119"/>
      <c r="V187" s="119"/>
      <c r="W187" s="119"/>
      <c r="X187" s="158"/>
    </row>
    <row r="188">
      <c r="C188" s="172"/>
      <c r="D188" s="172"/>
      <c r="E188" s="172"/>
      <c r="F188" s="172"/>
      <c r="G188" s="173"/>
      <c r="H188" s="137"/>
      <c r="I188" s="137"/>
      <c r="J188" s="137"/>
      <c r="K188" s="129"/>
      <c r="L188" s="323"/>
      <c r="N188" s="121"/>
      <c r="O188" s="359"/>
      <c r="P188" s="359"/>
      <c r="Q188" s="119"/>
      <c r="R188" s="119"/>
      <c r="S188" s="121"/>
      <c r="T188" s="119"/>
      <c r="U188" s="119"/>
      <c r="V188" s="119"/>
      <c r="W188" s="119"/>
      <c r="X188" s="158"/>
    </row>
    <row r="189">
      <c r="C189" s="172"/>
      <c r="D189" s="172"/>
      <c r="E189" s="172"/>
      <c r="F189" s="172"/>
      <c r="G189" s="173"/>
      <c r="H189" s="137"/>
      <c r="I189" s="137"/>
      <c r="J189" s="137"/>
      <c r="K189" s="129"/>
      <c r="L189" s="323"/>
      <c r="N189" s="121"/>
      <c r="O189" s="359"/>
      <c r="P189" s="359"/>
      <c r="Q189" s="119"/>
      <c r="R189" s="119"/>
      <c r="S189" s="121"/>
      <c r="T189" s="119"/>
      <c r="U189" s="119"/>
      <c r="V189" s="119"/>
      <c r="W189" s="119"/>
      <c r="X189" s="158"/>
    </row>
    <row r="190">
      <c r="C190" s="172"/>
      <c r="D190" s="172"/>
      <c r="E190" s="172"/>
      <c r="F190" s="172"/>
      <c r="G190" s="173"/>
      <c r="H190" s="137"/>
      <c r="I190" s="137"/>
      <c r="J190" s="137"/>
      <c r="K190" s="129"/>
      <c r="L190" s="323"/>
      <c r="N190" s="121"/>
      <c r="O190" s="359"/>
      <c r="P190" s="359"/>
      <c r="Q190" s="119"/>
      <c r="R190" s="119"/>
      <c r="S190" s="121"/>
      <c r="T190" s="119"/>
      <c r="U190" s="119"/>
      <c r="V190" s="119"/>
      <c r="W190" s="119"/>
      <c r="X190" s="158"/>
    </row>
    <row r="191">
      <c r="C191" s="172"/>
      <c r="D191" s="172"/>
      <c r="E191" s="172"/>
      <c r="F191" s="172"/>
      <c r="G191" s="173"/>
      <c r="H191" s="137"/>
      <c r="I191" s="137"/>
      <c r="J191" s="137"/>
      <c r="K191" s="129"/>
      <c r="L191" s="323"/>
      <c r="N191" s="121"/>
      <c r="O191" s="359"/>
      <c r="P191" s="359"/>
      <c r="Q191" s="119"/>
      <c r="R191" s="119"/>
      <c r="S191" s="121"/>
      <c r="T191" s="119"/>
      <c r="U191" s="119"/>
      <c r="V191" s="119"/>
      <c r="W191" s="119"/>
      <c r="X191" s="158"/>
    </row>
    <row r="192">
      <c r="C192" s="172"/>
      <c r="D192" s="172"/>
      <c r="E192" s="172"/>
      <c r="F192" s="172"/>
      <c r="G192" s="173"/>
      <c r="H192" s="137"/>
      <c r="I192" s="137"/>
      <c r="J192" s="137"/>
      <c r="K192" s="129"/>
      <c r="L192" s="323"/>
      <c r="N192" s="121"/>
      <c r="O192" s="359"/>
      <c r="P192" s="359"/>
      <c r="Q192" s="119"/>
      <c r="R192" s="119"/>
      <c r="S192" s="121"/>
      <c r="T192" s="119"/>
      <c r="U192" s="119"/>
      <c r="V192" s="119"/>
      <c r="W192" s="119"/>
      <c r="X192" s="158"/>
    </row>
    <row r="193">
      <c r="C193" s="172"/>
      <c r="D193" s="172"/>
      <c r="E193" s="172"/>
      <c r="F193" s="172"/>
      <c r="G193" s="173"/>
      <c r="H193" s="137"/>
      <c r="I193" s="137"/>
      <c r="J193" s="137"/>
      <c r="K193" s="129"/>
      <c r="L193" s="323"/>
      <c r="N193" s="121"/>
      <c r="O193" s="359"/>
      <c r="P193" s="359"/>
      <c r="Q193" s="119"/>
      <c r="R193" s="119"/>
      <c r="S193" s="121"/>
      <c r="T193" s="119"/>
      <c r="U193" s="119"/>
      <c r="V193" s="119"/>
      <c r="W193" s="119"/>
      <c r="X193" s="158"/>
    </row>
    <row r="194">
      <c r="C194" s="172"/>
      <c r="D194" s="172"/>
      <c r="E194" s="172"/>
      <c r="F194" s="172"/>
      <c r="G194" s="173"/>
      <c r="H194" s="137"/>
      <c r="I194" s="137"/>
      <c r="J194" s="137"/>
      <c r="K194" s="129"/>
      <c r="L194" s="323"/>
      <c r="N194" s="121"/>
      <c r="O194" s="359"/>
      <c r="P194" s="359"/>
      <c r="Q194" s="119"/>
      <c r="R194" s="119"/>
      <c r="S194" s="121"/>
      <c r="T194" s="119"/>
      <c r="U194" s="119"/>
      <c r="V194" s="119"/>
      <c r="W194" s="119"/>
      <c r="X194" s="158"/>
    </row>
    <row r="195">
      <c r="C195" s="172"/>
      <c r="D195" s="172"/>
      <c r="E195" s="172"/>
      <c r="F195" s="172"/>
      <c r="G195" s="173"/>
      <c r="H195" s="137"/>
      <c r="I195" s="137"/>
      <c r="J195" s="137"/>
      <c r="K195" s="129"/>
      <c r="L195" s="323"/>
      <c r="N195" s="121"/>
      <c r="O195" s="359"/>
      <c r="P195" s="359"/>
      <c r="Q195" s="119"/>
      <c r="R195" s="119"/>
      <c r="S195" s="121"/>
      <c r="T195" s="119"/>
      <c r="U195" s="119"/>
      <c r="V195" s="119"/>
      <c r="W195" s="119"/>
      <c r="X195" s="158"/>
    </row>
    <row r="196">
      <c r="C196" s="172"/>
      <c r="D196" s="172"/>
      <c r="E196" s="172"/>
      <c r="F196" s="172"/>
      <c r="G196" s="173"/>
      <c r="H196" s="137"/>
      <c r="I196" s="137"/>
      <c r="J196" s="137"/>
      <c r="K196" s="129"/>
      <c r="L196" s="323"/>
      <c r="N196" s="121"/>
      <c r="O196" s="359"/>
      <c r="P196" s="359"/>
      <c r="Q196" s="119"/>
      <c r="R196" s="119"/>
      <c r="S196" s="121"/>
      <c r="T196" s="119"/>
      <c r="U196" s="119"/>
      <c r="V196" s="119"/>
      <c r="W196" s="119"/>
      <c r="X196" s="158"/>
    </row>
    <row r="197">
      <c r="C197" s="172"/>
      <c r="D197" s="172"/>
      <c r="E197" s="172"/>
      <c r="F197" s="172"/>
      <c r="G197" s="173"/>
      <c r="H197" s="137"/>
      <c r="I197" s="137"/>
      <c r="J197" s="137"/>
      <c r="K197" s="129"/>
      <c r="L197" s="323"/>
      <c r="N197" s="121"/>
      <c r="O197" s="359"/>
      <c r="P197" s="359"/>
      <c r="Q197" s="119"/>
      <c r="R197" s="119"/>
      <c r="S197" s="121"/>
      <c r="T197" s="119"/>
      <c r="U197" s="119"/>
      <c r="V197" s="119"/>
      <c r="W197" s="119"/>
      <c r="X197" s="158"/>
    </row>
    <row r="198">
      <c r="C198" s="172"/>
      <c r="D198" s="172"/>
      <c r="E198" s="172"/>
      <c r="F198" s="172"/>
      <c r="G198" s="173"/>
      <c r="H198" s="137"/>
      <c r="I198" s="137"/>
      <c r="J198" s="137"/>
      <c r="K198" s="129"/>
      <c r="L198" s="323"/>
      <c r="N198" s="121"/>
      <c r="O198" s="359"/>
      <c r="P198" s="359"/>
      <c r="Q198" s="119"/>
      <c r="R198" s="119"/>
      <c r="S198" s="121"/>
      <c r="T198" s="119"/>
      <c r="U198" s="119"/>
      <c r="V198" s="119"/>
      <c r="W198" s="119"/>
      <c r="X198" s="158"/>
    </row>
    <row r="199">
      <c r="C199" s="172"/>
      <c r="D199" s="172"/>
      <c r="E199" s="172"/>
      <c r="F199" s="172"/>
      <c r="G199" s="173"/>
      <c r="H199" s="137"/>
      <c r="I199" s="137"/>
      <c r="J199" s="137"/>
      <c r="K199" s="129"/>
      <c r="L199" s="323"/>
      <c r="N199" s="121"/>
      <c r="O199" s="359"/>
      <c r="P199" s="359"/>
      <c r="Q199" s="119"/>
      <c r="R199" s="119"/>
      <c r="S199" s="121"/>
      <c r="T199" s="119"/>
      <c r="U199" s="119"/>
      <c r="V199" s="119"/>
      <c r="W199" s="119"/>
      <c r="X199" s="158"/>
    </row>
    <row r="200">
      <c r="C200" s="172"/>
      <c r="D200" s="172"/>
      <c r="E200" s="172"/>
      <c r="F200" s="172"/>
      <c r="G200" s="173"/>
      <c r="H200" s="137"/>
      <c r="I200" s="137"/>
      <c r="J200" s="137"/>
      <c r="K200" s="129"/>
      <c r="L200" s="323"/>
      <c r="N200" s="121"/>
      <c r="O200" s="359"/>
      <c r="P200" s="359"/>
      <c r="Q200" s="119"/>
      <c r="R200" s="119"/>
      <c r="S200" s="121"/>
      <c r="T200" s="119"/>
      <c r="U200" s="119"/>
      <c r="V200" s="119"/>
      <c r="W200" s="119"/>
      <c r="X200" s="158"/>
    </row>
    <row r="201">
      <c r="C201" s="172"/>
      <c r="D201" s="172"/>
      <c r="E201" s="172"/>
      <c r="F201" s="172"/>
      <c r="G201" s="173"/>
      <c r="H201" s="137"/>
      <c r="I201" s="137"/>
      <c r="J201" s="137"/>
      <c r="K201" s="129"/>
      <c r="L201" s="323"/>
      <c r="N201" s="121"/>
      <c r="O201" s="359"/>
      <c r="P201" s="359"/>
      <c r="Q201" s="119"/>
      <c r="R201" s="119"/>
      <c r="S201" s="121"/>
      <c r="T201" s="119"/>
      <c r="U201" s="119"/>
      <c r="V201" s="119"/>
      <c r="W201" s="119"/>
      <c r="X201" s="158"/>
    </row>
    <row r="202">
      <c r="C202" s="172"/>
      <c r="D202" s="172"/>
      <c r="E202" s="172"/>
      <c r="F202" s="172"/>
      <c r="G202" s="173"/>
      <c r="H202" s="137"/>
      <c r="I202" s="137"/>
      <c r="J202" s="137"/>
      <c r="K202" s="129"/>
      <c r="L202" s="323"/>
      <c r="N202" s="121"/>
      <c r="O202" s="359"/>
      <c r="P202" s="359"/>
      <c r="Q202" s="119"/>
      <c r="R202" s="119"/>
      <c r="S202" s="121"/>
      <c r="T202" s="119"/>
      <c r="U202" s="119"/>
      <c r="V202" s="119"/>
      <c r="W202" s="119"/>
      <c r="X202" s="158"/>
    </row>
    <row r="203">
      <c r="C203" s="172"/>
      <c r="D203" s="172"/>
      <c r="E203" s="172"/>
      <c r="F203" s="172"/>
      <c r="G203" s="173"/>
      <c r="H203" s="137"/>
      <c r="I203" s="137"/>
      <c r="J203" s="137"/>
      <c r="K203" s="129"/>
      <c r="L203" s="323"/>
      <c r="N203" s="121"/>
      <c r="O203" s="359"/>
      <c r="P203" s="359"/>
      <c r="Q203" s="119"/>
      <c r="R203" s="119"/>
      <c r="S203" s="121"/>
      <c r="T203" s="119"/>
      <c r="U203" s="119"/>
      <c r="V203" s="119"/>
      <c r="W203" s="119"/>
      <c r="X203" s="158"/>
    </row>
    <row r="204">
      <c r="C204" s="172"/>
      <c r="D204" s="172"/>
      <c r="E204" s="172"/>
      <c r="F204" s="172"/>
      <c r="G204" s="173"/>
      <c r="H204" s="137"/>
      <c r="I204" s="137"/>
      <c r="J204" s="137"/>
      <c r="K204" s="129"/>
      <c r="L204" s="323"/>
      <c r="N204" s="121"/>
      <c r="O204" s="359"/>
      <c r="P204" s="359"/>
      <c r="Q204" s="119"/>
      <c r="R204" s="119"/>
      <c r="S204" s="121"/>
      <c r="T204" s="119"/>
      <c r="U204" s="119"/>
      <c r="V204" s="119"/>
      <c r="W204" s="119"/>
      <c r="X204" s="158"/>
    </row>
    <row r="205">
      <c r="C205" s="172"/>
      <c r="D205" s="172"/>
      <c r="E205" s="172"/>
      <c r="F205" s="172"/>
      <c r="G205" s="173"/>
      <c r="H205" s="137"/>
      <c r="I205" s="137"/>
      <c r="J205" s="137"/>
      <c r="K205" s="129"/>
      <c r="L205" s="323"/>
      <c r="N205" s="121"/>
      <c r="O205" s="359"/>
      <c r="P205" s="359"/>
      <c r="Q205" s="119"/>
      <c r="R205" s="119"/>
      <c r="S205" s="121"/>
      <c r="T205" s="119"/>
      <c r="U205" s="119"/>
      <c r="V205" s="119"/>
      <c r="W205" s="119"/>
      <c r="X205" s="158"/>
    </row>
    <row r="206">
      <c r="C206" s="172"/>
      <c r="D206" s="172"/>
      <c r="E206" s="172"/>
      <c r="F206" s="172"/>
      <c r="G206" s="173"/>
      <c r="H206" s="137"/>
      <c r="I206" s="137"/>
      <c r="J206" s="137"/>
      <c r="K206" s="129"/>
      <c r="L206" s="323"/>
      <c r="N206" s="121"/>
      <c r="O206" s="359"/>
      <c r="P206" s="359"/>
      <c r="Q206" s="119"/>
      <c r="R206" s="119"/>
      <c r="S206" s="121"/>
      <c r="T206" s="119"/>
      <c r="U206" s="119"/>
      <c r="V206" s="119"/>
      <c r="W206" s="119"/>
      <c r="X206" s="158"/>
    </row>
    <row r="207">
      <c r="C207" s="172"/>
      <c r="D207" s="172"/>
      <c r="E207" s="172"/>
      <c r="F207" s="172"/>
      <c r="G207" s="173"/>
      <c r="H207" s="137"/>
      <c r="I207" s="137"/>
      <c r="J207" s="137"/>
      <c r="K207" s="129"/>
      <c r="L207" s="323"/>
      <c r="N207" s="121"/>
      <c r="O207" s="359"/>
      <c r="P207" s="359"/>
      <c r="Q207" s="119"/>
      <c r="R207" s="119"/>
      <c r="S207" s="121"/>
      <c r="T207" s="119"/>
      <c r="U207" s="119"/>
      <c r="V207" s="119"/>
      <c r="W207" s="119"/>
      <c r="X207" s="158"/>
    </row>
    <row r="208">
      <c r="C208" s="172"/>
      <c r="D208" s="172"/>
      <c r="E208" s="172"/>
      <c r="F208" s="172"/>
      <c r="G208" s="173"/>
      <c r="H208" s="137"/>
      <c r="I208" s="137"/>
      <c r="J208" s="137"/>
      <c r="K208" s="129"/>
      <c r="L208" s="323"/>
      <c r="N208" s="121"/>
      <c r="O208" s="359"/>
      <c r="P208" s="359"/>
      <c r="Q208" s="119"/>
      <c r="R208" s="119"/>
      <c r="S208" s="121"/>
      <c r="T208" s="119"/>
      <c r="U208" s="119"/>
      <c r="V208" s="119"/>
      <c r="W208" s="119"/>
      <c r="X208" s="158"/>
    </row>
    <row r="209">
      <c r="C209" s="172"/>
      <c r="D209" s="172"/>
      <c r="E209" s="172"/>
      <c r="F209" s="172"/>
      <c r="G209" s="173"/>
      <c r="H209" s="137"/>
      <c r="I209" s="137"/>
      <c r="J209" s="137"/>
      <c r="K209" s="129"/>
      <c r="L209" s="323"/>
      <c r="N209" s="121"/>
      <c r="O209" s="359"/>
      <c r="P209" s="359"/>
      <c r="Q209" s="119"/>
      <c r="R209" s="119"/>
      <c r="S209" s="121"/>
      <c r="T209" s="119"/>
      <c r="U209" s="119"/>
      <c r="V209" s="119"/>
      <c r="W209" s="119"/>
      <c r="X209" s="158"/>
    </row>
    <row r="210">
      <c r="C210" s="172"/>
      <c r="D210" s="172"/>
      <c r="E210" s="172"/>
      <c r="F210" s="172"/>
      <c r="G210" s="173"/>
      <c r="H210" s="137"/>
      <c r="I210" s="137"/>
      <c r="J210" s="137"/>
      <c r="K210" s="129"/>
      <c r="L210" s="323"/>
      <c r="N210" s="121"/>
      <c r="O210" s="359"/>
      <c r="P210" s="359"/>
      <c r="Q210" s="119"/>
      <c r="R210" s="119"/>
      <c r="S210" s="121"/>
      <c r="T210" s="119"/>
      <c r="U210" s="119"/>
      <c r="V210" s="119"/>
      <c r="W210" s="119"/>
      <c r="X210" s="158"/>
    </row>
    <row r="211">
      <c r="C211" s="172"/>
      <c r="D211" s="172"/>
      <c r="E211" s="172"/>
      <c r="F211" s="172"/>
      <c r="G211" s="173"/>
      <c r="H211" s="137"/>
      <c r="I211" s="137"/>
      <c r="J211" s="137"/>
      <c r="K211" s="129"/>
      <c r="L211" s="323"/>
      <c r="N211" s="121"/>
      <c r="O211" s="359"/>
      <c r="P211" s="359"/>
      <c r="Q211" s="119"/>
      <c r="R211" s="119"/>
      <c r="S211" s="121"/>
      <c r="T211" s="119"/>
      <c r="U211" s="119"/>
      <c r="V211" s="119"/>
      <c r="W211" s="119"/>
      <c r="X211" s="158"/>
    </row>
    <row r="212">
      <c r="C212" s="172"/>
      <c r="D212" s="172"/>
      <c r="E212" s="172"/>
      <c r="F212" s="172"/>
      <c r="G212" s="173"/>
      <c r="H212" s="137"/>
      <c r="I212" s="137"/>
      <c r="J212" s="137"/>
      <c r="K212" s="129"/>
      <c r="L212" s="323"/>
      <c r="N212" s="121"/>
      <c r="O212" s="359"/>
      <c r="P212" s="359"/>
      <c r="Q212" s="119"/>
      <c r="R212" s="119"/>
      <c r="S212" s="121"/>
      <c r="T212" s="119"/>
      <c r="U212" s="119"/>
      <c r="V212" s="119"/>
      <c r="W212" s="119"/>
      <c r="X212" s="158"/>
    </row>
    <row r="213">
      <c r="C213" s="172"/>
      <c r="D213" s="172"/>
      <c r="E213" s="172"/>
      <c r="F213" s="172"/>
      <c r="G213" s="173"/>
      <c r="H213" s="137"/>
      <c r="I213" s="137"/>
      <c r="J213" s="137"/>
      <c r="K213" s="129"/>
      <c r="L213" s="323"/>
      <c r="N213" s="121"/>
      <c r="O213" s="359"/>
      <c r="P213" s="359"/>
      <c r="Q213" s="119"/>
      <c r="R213" s="119"/>
      <c r="S213" s="121"/>
      <c r="T213" s="119"/>
      <c r="U213" s="119"/>
      <c r="V213" s="119"/>
      <c r="W213" s="119"/>
      <c r="X213" s="158"/>
    </row>
    <row r="214">
      <c r="C214" s="172"/>
      <c r="D214" s="172"/>
      <c r="E214" s="172"/>
      <c r="F214" s="172"/>
      <c r="G214" s="173"/>
      <c r="H214" s="137"/>
      <c r="I214" s="137"/>
      <c r="J214" s="137"/>
      <c r="K214" s="129"/>
      <c r="L214" s="323"/>
      <c r="N214" s="121"/>
      <c r="O214" s="359"/>
      <c r="P214" s="359"/>
      <c r="Q214" s="119"/>
      <c r="R214" s="119"/>
      <c r="S214" s="121"/>
      <c r="T214" s="119"/>
      <c r="U214" s="119"/>
      <c r="V214" s="119"/>
      <c r="W214" s="119"/>
      <c r="X214" s="158"/>
    </row>
    <row r="215">
      <c r="C215" s="172"/>
      <c r="D215" s="172"/>
      <c r="E215" s="172"/>
      <c r="F215" s="172"/>
      <c r="G215" s="173"/>
      <c r="H215" s="137"/>
      <c r="I215" s="137"/>
      <c r="J215" s="137"/>
      <c r="K215" s="129"/>
      <c r="L215" s="323"/>
      <c r="N215" s="121"/>
      <c r="O215" s="359"/>
      <c r="P215" s="359"/>
      <c r="Q215" s="119"/>
      <c r="R215" s="119"/>
      <c r="S215" s="121"/>
      <c r="T215" s="119"/>
      <c r="U215" s="119"/>
      <c r="V215" s="119"/>
      <c r="W215" s="119"/>
      <c r="X215" s="158"/>
    </row>
    <row r="216">
      <c r="C216" s="172"/>
      <c r="D216" s="172"/>
      <c r="E216" s="172"/>
      <c r="F216" s="172"/>
      <c r="G216" s="173"/>
      <c r="H216" s="137"/>
      <c r="I216" s="137"/>
      <c r="J216" s="137"/>
      <c r="K216" s="129"/>
      <c r="L216" s="323"/>
      <c r="N216" s="121"/>
      <c r="O216" s="359"/>
      <c r="P216" s="359"/>
      <c r="Q216" s="119"/>
      <c r="R216" s="119"/>
      <c r="S216" s="121"/>
      <c r="T216" s="119"/>
      <c r="U216" s="119"/>
      <c r="V216" s="119"/>
      <c r="W216" s="119"/>
      <c r="X216" s="158"/>
    </row>
    <row r="217">
      <c r="C217" s="172"/>
      <c r="D217" s="172"/>
      <c r="E217" s="172"/>
      <c r="F217" s="172"/>
      <c r="G217" s="173"/>
      <c r="H217" s="137"/>
      <c r="I217" s="137"/>
      <c r="J217" s="137"/>
      <c r="K217" s="129"/>
      <c r="L217" s="323"/>
      <c r="N217" s="121"/>
      <c r="O217" s="359"/>
      <c r="P217" s="359"/>
      <c r="Q217" s="119"/>
      <c r="R217" s="119"/>
      <c r="S217" s="121"/>
      <c r="T217" s="119"/>
      <c r="U217" s="119"/>
      <c r="V217" s="119"/>
      <c r="W217" s="119"/>
      <c r="X217" s="158"/>
    </row>
    <row r="218">
      <c r="C218" s="172"/>
      <c r="D218" s="172"/>
      <c r="E218" s="172"/>
      <c r="F218" s="172"/>
      <c r="G218" s="173"/>
      <c r="H218" s="137"/>
      <c r="I218" s="137"/>
      <c r="J218" s="137"/>
      <c r="K218" s="129"/>
      <c r="L218" s="323"/>
      <c r="N218" s="121"/>
      <c r="O218" s="359"/>
      <c r="P218" s="359"/>
      <c r="Q218" s="119"/>
      <c r="R218" s="119"/>
      <c r="S218" s="121"/>
      <c r="T218" s="119"/>
      <c r="U218" s="119"/>
      <c r="V218" s="119"/>
      <c r="W218" s="119"/>
      <c r="X218" s="158"/>
    </row>
    <row r="219">
      <c r="C219" s="172"/>
      <c r="D219" s="172"/>
      <c r="E219" s="172"/>
      <c r="F219" s="172"/>
      <c r="G219" s="173"/>
      <c r="H219" s="137"/>
      <c r="I219" s="137"/>
      <c r="J219" s="137"/>
      <c r="K219" s="129"/>
      <c r="L219" s="323"/>
      <c r="N219" s="121"/>
      <c r="O219" s="359"/>
      <c r="P219" s="359"/>
      <c r="Q219" s="119"/>
      <c r="R219" s="119"/>
      <c r="S219" s="121"/>
      <c r="T219" s="119"/>
      <c r="U219" s="119"/>
      <c r="V219" s="119"/>
      <c r="W219" s="119"/>
      <c r="X219" s="158"/>
    </row>
    <row r="220">
      <c r="C220" s="172"/>
      <c r="D220" s="172"/>
      <c r="E220" s="172"/>
      <c r="F220" s="172"/>
      <c r="G220" s="173"/>
      <c r="H220" s="137"/>
      <c r="I220" s="137"/>
      <c r="J220" s="137"/>
      <c r="K220" s="129"/>
      <c r="L220" s="323"/>
      <c r="N220" s="121"/>
      <c r="O220" s="359"/>
      <c r="P220" s="359"/>
      <c r="Q220" s="119"/>
      <c r="R220" s="119"/>
      <c r="S220" s="121"/>
      <c r="T220" s="119"/>
      <c r="U220" s="119"/>
      <c r="V220" s="119"/>
      <c r="W220" s="119"/>
      <c r="X220" s="158"/>
    </row>
    <row r="221">
      <c r="C221" s="172"/>
      <c r="D221" s="172"/>
      <c r="E221" s="172"/>
      <c r="F221" s="172"/>
      <c r="G221" s="173"/>
      <c r="H221" s="137"/>
      <c r="I221" s="137"/>
      <c r="J221" s="137"/>
      <c r="K221" s="129"/>
      <c r="L221" s="323"/>
      <c r="N221" s="121"/>
      <c r="O221" s="359"/>
      <c r="P221" s="359"/>
      <c r="Q221" s="119"/>
      <c r="R221" s="119"/>
      <c r="S221" s="121"/>
      <c r="T221" s="119"/>
      <c r="U221" s="119"/>
      <c r="V221" s="119"/>
      <c r="W221" s="119"/>
      <c r="X221" s="158"/>
    </row>
    <row r="222">
      <c r="C222" s="172"/>
      <c r="D222" s="172"/>
      <c r="E222" s="172"/>
      <c r="F222" s="172"/>
      <c r="G222" s="173"/>
      <c r="H222" s="137"/>
      <c r="I222" s="137"/>
      <c r="J222" s="137"/>
      <c r="K222" s="129"/>
      <c r="L222" s="323"/>
      <c r="N222" s="121"/>
      <c r="O222" s="359"/>
      <c r="P222" s="359"/>
      <c r="Q222" s="119"/>
      <c r="R222" s="119"/>
      <c r="S222" s="121"/>
      <c r="T222" s="119"/>
      <c r="U222" s="119"/>
      <c r="V222" s="119"/>
      <c r="W222" s="119"/>
      <c r="X222" s="158"/>
    </row>
    <row r="223">
      <c r="C223" s="172"/>
      <c r="D223" s="172"/>
      <c r="E223" s="172"/>
      <c r="F223" s="172"/>
      <c r="G223" s="173"/>
      <c r="H223" s="137"/>
      <c r="I223" s="137"/>
      <c r="J223" s="137"/>
      <c r="K223" s="129"/>
      <c r="L223" s="323"/>
      <c r="N223" s="121"/>
      <c r="O223" s="359"/>
      <c r="P223" s="359"/>
      <c r="Q223" s="119"/>
      <c r="R223" s="119"/>
      <c r="S223" s="121"/>
      <c r="T223" s="119"/>
      <c r="U223" s="119"/>
      <c r="V223" s="119"/>
      <c r="W223" s="119"/>
      <c r="X223" s="158"/>
    </row>
    <row r="224">
      <c r="C224" s="172"/>
      <c r="D224" s="172"/>
      <c r="E224" s="172"/>
      <c r="F224" s="172"/>
      <c r="G224" s="173"/>
      <c r="H224" s="137"/>
      <c r="I224" s="137"/>
      <c r="J224" s="137"/>
      <c r="K224" s="129"/>
      <c r="L224" s="323"/>
      <c r="N224" s="121"/>
      <c r="O224" s="359"/>
      <c r="P224" s="359"/>
      <c r="Q224" s="119"/>
      <c r="R224" s="119"/>
      <c r="S224" s="121"/>
      <c r="T224" s="119"/>
      <c r="U224" s="119"/>
      <c r="V224" s="119"/>
      <c r="W224" s="119"/>
      <c r="X224" s="158"/>
    </row>
    <row r="225">
      <c r="C225" s="172"/>
      <c r="D225" s="172"/>
      <c r="E225" s="172"/>
      <c r="F225" s="172"/>
      <c r="G225" s="173"/>
      <c r="H225" s="137"/>
      <c r="I225" s="137"/>
      <c r="J225" s="137"/>
      <c r="K225" s="129"/>
      <c r="L225" s="323"/>
      <c r="N225" s="121"/>
      <c r="O225" s="359"/>
      <c r="P225" s="359"/>
      <c r="Q225" s="119"/>
      <c r="R225" s="119"/>
      <c r="S225" s="121"/>
      <c r="T225" s="119"/>
      <c r="U225" s="119"/>
      <c r="V225" s="119"/>
      <c r="W225" s="119"/>
      <c r="X225" s="158"/>
    </row>
    <row r="226">
      <c r="C226" s="172"/>
      <c r="D226" s="172"/>
      <c r="E226" s="172"/>
      <c r="F226" s="172"/>
      <c r="G226" s="173"/>
      <c r="H226" s="137"/>
      <c r="I226" s="137"/>
      <c r="J226" s="137"/>
      <c r="K226" s="129"/>
      <c r="L226" s="323"/>
      <c r="N226" s="121"/>
      <c r="O226" s="359"/>
      <c r="P226" s="359"/>
      <c r="Q226" s="119"/>
      <c r="R226" s="119"/>
      <c r="S226" s="121"/>
      <c r="T226" s="119"/>
      <c r="U226" s="119"/>
      <c r="V226" s="119"/>
      <c r="W226" s="119"/>
      <c r="X226" s="158"/>
    </row>
    <row r="227">
      <c r="C227" s="172"/>
      <c r="D227" s="172"/>
      <c r="E227" s="172"/>
      <c r="F227" s="172"/>
      <c r="G227" s="173"/>
      <c r="H227" s="137"/>
      <c r="I227" s="137"/>
      <c r="J227" s="137"/>
      <c r="K227" s="129"/>
      <c r="L227" s="323"/>
      <c r="N227" s="121"/>
      <c r="O227" s="359"/>
      <c r="P227" s="359"/>
      <c r="Q227" s="119"/>
      <c r="R227" s="119"/>
      <c r="S227" s="121"/>
      <c r="T227" s="119"/>
      <c r="U227" s="119"/>
      <c r="V227" s="119"/>
      <c r="W227" s="119"/>
      <c r="X227" s="158"/>
    </row>
    <row r="228">
      <c r="C228" s="172"/>
      <c r="D228" s="172"/>
      <c r="E228" s="172"/>
      <c r="F228" s="172"/>
      <c r="G228" s="173"/>
      <c r="H228" s="137"/>
      <c r="I228" s="137"/>
      <c r="J228" s="137"/>
      <c r="K228" s="129"/>
      <c r="L228" s="323"/>
      <c r="N228" s="121"/>
      <c r="O228" s="359"/>
      <c r="P228" s="359"/>
      <c r="Q228" s="119"/>
      <c r="R228" s="119"/>
      <c r="S228" s="121"/>
      <c r="T228" s="119"/>
      <c r="U228" s="119"/>
      <c r="V228" s="119"/>
      <c r="W228" s="119"/>
      <c r="X228" s="158"/>
    </row>
    <row r="229">
      <c r="C229" s="172"/>
      <c r="D229" s="172"/>
      <c r="E229" s="172"/>
      <c r="F229" s="172"/>
      <c r="G229" s="173"/>
      <c r="H229" s="137"/>
      <c r="I229" s="137"/>
      <c r="J229" s="137"/>
      <c r="K229" s="129"/>
      <c r="L229" s="323"/>
      <c r="N229" s="121"/>
      <c r="O229" s="359"/>
      <c r="P229" s="359"/>
      <c r="Q229" s="119"/>
      <c r="R229" s="119"/>
      <c r="S229" s="121"/>
      <c r="T229" s="119"/>
      <c r="U229" s="119"/>
      <c r="V229" s="119"/>
      <c r="W229" s="119"/>
      <c r="X229" s="158"/>
    </row>
    <row r="230">
      <c r="C230" s="172"/>
      <c r="D230" s="172"/>
      <c r="E230" s="172"/>
      <c r="F230" s="172"/>
      <c r="G230" s="173"/>
      <c r="H230" s="137"/>
      <c r="I230" s="137"/>
      <c r="J230" s="137"/>
      <c r="K230" s="129"/>
      <c r="L230" s="323"/>
      <c r="N230" s="121"/>
      <c r="O230" s="359"/>
      <c r="P230" s="359"/>
      <c r="Q230" s="119"/>
      <c r="R230" s="119"/>
      <c r="S230" s="121"/>
      <c r="T230" s="119"/>
      <c r="U230" s="119"/>
      <c r="V230" s="119"/>
      <c r="W230" s="119"/>
      <c r="X230" s="158"/>
    </row>
    <row r="231">
      <c r="C231" s="172"/>
      <c r="D231" s="172"/>
      <c r="E231" s="172"/>
      <c r="F231" s="172"/>
      <c r="G231" s="173"/>
      <c r="H231" s="137"/>
      <c r="I231" s="137"/>
      <c r="J231" s="137"/>
      <c r="K231" s="129"/>
      <c r="L231" s="323"/>
      <c r="N231" s="121"/>
      <c r="O231" s="359"/>
      <c r="P231" s="359"/>
      <c r="Q231" s="119"/>
      <c r="R231" s="119"/>
      <c r="S231" s="121"/>
      <c r="T231" s="119"/>
      <c r="U231" s="119"/>
      <c r="V231" s="119"/>
      <c r="W231" s="119"/>
      <c r="X231" s="158"/>
    </row>
    <row r="232">
      <c r="C232" s="172"/>
      <c r="D232" s="172"/>
      <c r="E232" s="172"/>
      <c r="F232" s="172"/>
      <c r="G232" s="173"/>
      <c r="H232" s="137"/>
      <c r="I232" s="137"/>
      <c r="J232" s="137"/>
      <c r="K232" s="129"/>
      <c r="L232" s="323"/>
      <c r="N232" s="121"/>
      <c r="O232" s="359"/>
      <c r="P232" s="359"/>
      <c r="Q232" s="119"/>
      <c r="R232" s="119"/>
      <c r="S232" s="121"/>
      <c r="T232" s="119"/>
      <c r="U232" s="119"/>
      <c r="V232" s="119"/>
      <c r="W232" s="119"/>
      <c r="X232" s="158"/>
    </row>
    <row r="233">
      <c r="C233" s="172"/>
      <c r="D233" s="172"/>
      <c r="E233" s="172"/>
      <c r="F233" s="172"/>
      <c r="G233" s="173"/>
      <c r="H233" s="137"/>
      <c r="I233" s="137"/>
      <c r="J233" s="137"/>
      <c r="K233" s="129"/>
      <c r="L233" s="323"/>
      <c r="N233" s="121"/>
      <c r="O233" s="359"/>
      <c r="P233" s="359"/>
      <c r="Q233" s="119"/>
      <c r="R233" s="119"/>
      <c r="S233" s="121"/>
      <c r="T233" s="119"/>
      <c r="U233" s="119"/>
      <c r="V233" s="119"/>
      <c r="W233" s="119"/>
      <c r="X233" s="158"/>
    </row>
    <row r="234">
      <c r="C234" s="172"/>
      <c r="D234" s="172"/>
      <c r="E234" s="172"/>
      <c r="F234" s="172"/>
      <c r="G234" s="173"/>
      <c r="H234" s="137"/>
      <c r="I234" s="137"/>
      <c r="J234" s="137"/>
      <c r="K234" s="129"/>
      <c r="L234" s="323"/>
      <c r="N234" s="121"/>
      <c r="O234" s="359"/>
      <c r="P234" s="359"/>
      <c r="Q234" s="119"/>
      <c r="R234" s="119"/>
      <c r="S234" s="121"/>
      <c r="T234" s="119"/>
      <c r="U234" s="119"/>
      <c r="V234" s="119"/>
      <c r="W234" s="119"/>
      <c r="X234" s="158"/>
    </row>
    <row r="235">
      <c r="C235" s="172"/>
      <c r="D235" s="172"/>
      <c r="E235" s="172"/>
      <c r="F235" s="172"/>
      <c r="G235" s="173"/>
      <c r="H235" s="137"/>
      <c r="I235" s="137"/>
      <c r="J235" s="137"/>
      <c r="K235" s="129"/>
      <c r="L235" s="323"/>
      <c r="N235" s="121"/>
      <c r="O235" s="359"/>
      <c r="P235" s="359"/>
      <c r="Q235" s="119"/>
      <c r="R235" s="119"/>
      <c r="S235" s="121"/>
      <c r="T235" s="119"/>
      <c r="U235" s="119"/>
      <c r="V235" s="119"/>
      <c r="W235" s="119"/>
      <c r="X235" s="158"/>
    </row>
    <row r="236">
      <c r="C236" s="172"/>
      <c r="D236" s="172"/>
      <c r="E236" s="172"/>
      <c r="F236" s="172"/>
      <c r="G236" s="173"/>
      <c r="H236" s="137"/>
      <c r="I236" s="137"/>
      <c r="J236" s="137"/>
      <c r="K236" s="129"/>
      <c r="L236" s="323"/>
      <c r="N236" s="121"/>
      <c r="O236" s="359"/>
      <c r="P236" s="359"/>
      <c r="Q236" s="119"/>
      <c r="R236" s="119"/>
      <c r="S236" s="121"/>
      <c r="T236" s="119"/>
      <c r="U236" s="119"/>
      <c r="V236" s="119"/>
      <c r="W236" s="119"/>
      <c r="X236" s="158"/>
    </row>
    <row r="237">
      <c r="C237" s="172"/>
      <c r="D237" s="172"/>
      <c r="E237" s="172"/>
      <c r="F237" s="172"/>
      <c r="G237" s="173"/>
      <c r="H237" s="137"/>
      <c r="I237" s="137"/>
      <c r="J237" s="137"/>
      <c r="K237" s="129"/>
      <c r="L237" s="323"/>
      <c r="N237" s="121"/>
      <c r="O237" s="359"/>
      <c r="P237" s="359"/>
      <c r="Q237" s="119"/>
      <c r="R237" s="119"/>
      <c r="S237" s="121"/>
      <c r="T237" s="119"/>
      <c r="U237" s="119"/>
      <c r="V237" s="119"/>
      <c r="W237" s="119"/>
      <c r="X237" s="158"/>
    </row>
    <row r="238">
      <c r="C238" s="172"/>
      <c r="D238" s="172"/>
      <c r="E238" s="172"/>
      <c r="F238" s="172"/>
      <c r="G238" s="173"/>
      <c r="H238" s="137"/>
      <c r="I238" s="137"/>
      <c r="J238" s="137"/>
      <c r="K238" s="129"/>
      <c r="L238" s="323"/>
      <c r="N238" s="121"/>
      <c r="O238" s="359"/>
      <c r="P238" s="359"/>
      <c r="Q238" s="119"/>
      <c r="R238" s="119"/>
      <c r="S238" s="121"/>
      <c r="T238" s="119"/>
      <c r="U238" s="119"/>
      <c r="V238" s="119"/>
      <c r="W238" s="119"/>
      <c r="X238" s="158"/>
    </row>
    <row r="239">
      <c r="C239" s="172"/>
      <c r="D239" s="172"/>
      <c r="E239" s="172"/>
      <c r="F239" s="172"/>
      <c r="G239" s="173"/>
      <c r="H239" s="137"/>
      <c r="I239" s="137"/>
      <c r="J239" s="137"/>
      <c r="K239" s="129"/>
      <c r="L239" s="323"/>
      <c r="N239" s="121"/>
      <c r="O239" s="359"/>
      <c r="P239" s="359"/>
      <c r="Q239" s="119"/>
      <c r="R239" s="119"/>
      <c r="S239" s="121"/>
      <c r="T239" s="119"/>
      <c r="U239" s="119"/>
      <c r="V239" s="119"/>
      <c r="W239" s="119"/>
      <c r="X239" s="158"/>
    </row>
    <row r="240">
      <c r="C240" s="172"/>
      <c r="D240" s="172"/>
      <c r="E240" s="172"/>
      <c r="F240" s="172"/>
      <c r="G240" s="173"/>
      <c r="H240" s="137"/>
      <c r="I240" s="137"/>
      <c r="J240" s="137"/>
      <c r="K240" s="129"/>
      <c r="L240" s="323"/>
      <c r="N240" s="121"/>
      <c r="O240" s="359"/>
      <c r="P240" s="359"/>
      <c r="Q240" s="119"/>
      <c r="R240" s="119"/>
      <c r="S240" s="121"/>
      <c r="T240" s="119"/>
      <c r="U240" s="119"/>
      <c r="V240" s="119"/>
      <c r="W240" s="119"/>
      <c r="X240" s="158"/>
    </row>
    <row r="241">
      <c r="C241" s="172"/>
      <c r="D241" s="172"/>
      <c r="E241" s="172"/>
      <c r="F241" s="172"/>
      <c r="G241" s="173"/>
      <c r="H241" s="137"/>
      <c r="I241" s="137"/>
      <c r="J241" s="137"/>
      <c r="K241" s="129"/>
      <c r="L241" s="323"/>
      <c r="N241" s="121"/>
      <c r="O241" s="359"/>
      <c r="P241" s="359"/>
      <c r="Q241" s="119"/>
      <c r="R241" s="119"/>
      <c r="S241" s="121"/>
      <c r="T241" s="119"/>
      <c r="U241" s="119"/>
      <c r="V241" s="119"/>
      <c r="W241" s="119"/>
      <c r="X241" s="158"/>
    </row>
    <row r="242">
      <c r="C242" s="172"/>
      <c r="D242" s="172"/>
      <c r="E242" s="172"/>
      <c r="F242" s="172"/>
      <c r="G242" s="173"/>
      <c r="H242" s="137"/>
      <c r="I242" s="137"/>
      <c r="J242" s="137"/>
      <c r="K242" s="129"/>
      <c r="L242" s="323"/>
      <c r="N242" s="121"/>
      <c r="O242" s="359"/>
      <c r="P242" s="359"/>
      <c r="Q242" s="119"/>
      <c r="R242" s="119"/>
      <c r="S242" s="121"/>
      <c r="T242" s="119"/>
      <c r="U242" s="119"/>
      <c r="V242" s="119"/>
      <c r="W242" s="119"/>
      <c r="X242" s="158"/>
    </row>
    <row r="243">
      <c r="C243" s="172"/>
      <c r="D243" s="172"/>
      <c r="E243" s="172"/>
      <c r="F243" s="172"/>
      <c r="G243" s="173"/>
      <c r="H243" s="137"/>
      <c r="I243" s="137"/>
      <c r="J243" s="137"/>
      <c r="K243" s="129"/>
      <c r="L243" s="323"/>
      <c r="N243" s="121"/>
      <c r="O243" s="359"/>
      <c r="P243" s="359"/>
      <c r="Q243" s="119"/>
      <c r="R243" s="119"/>
      <c r="S243" s="121"/>
      <c r="T243" s="119"/>
      <c r="U243" s="119"/>
      <c r="V243" s="119"/>
      <c r="W243" s="119"/>
      <c r="X243" s="158"/>
    </row>
    <row r="244">
      <c r="C244" s="172"/>
      <c r="D244" s="172"/>
      <c r="E244" s="172"/>
      <c r="F244" s="172"/>
      <c r="G244" s="173"/>
      <c r="H244" s="137"/>
      <c r="I244" s="137"/>
      <c r="J244" s="137"/>
      <c r="K244" s="129"/>
      <c r="L244" s="323"/>
      <c r="N244" s="121"/>
      <c r="O244" s="359"/>
      <c r="P244" s="359"/>
      <c r="Q244" s="119"/>
      <c r="R244" s="119"/>
      <c r="S244" s="121"/>
      <c r="T244" s="119"/>
      <c r="U244" s="119"/>
      <c r="V244" s="119"/>
      <c r="W244" s="119"/>
      <c r="X244" s="158"/>
    </row>
    <row r="245">
      <c r="C245" s="172"/>
      <c r="D245" s="172"/>
      <c r="E245" s="172"/>
      <c r="F245" s="172"/>
      <c r="G245" s="173"/>
      <c r="H245" s="137"/>
      <c r="I245" s="137"/>
      <c r="J245" s="137"/>
      <c r="K245" s="129"/>
      <c r="L245" s="323"/>
      <c r="N245" s="121"/>
      <c r="O245" s="359"/>
      <c r="P245" s="359"/>
      <c r="Q245" s="119"/>
      <c r="R245" s="119"/>
      <c r="S245" s="121"/>
      <c r="T245" s="119"/>
      <c r="U245" s="119"/>
      <c r="V245" s="119"/>
      <c r="W245" s="119"/>
      <c r="X245" s="158"/>
    </row>
    <row r="246">
      <c r="C246" s="172"/>
      <c r="D246" s="172"/>
      <c r="E246" s="172"/>
      <c r="F246" s="172"/>
      <c r="G246" s="173"/>
      <c r="H246" s="137"/>
      <c r="I246" s="137"/>
      <c r="J246" s="137"/>
      <c r="K246" s="129"/>
      <c r="L246" s="323"/>
      <c r="N246" s="121"/>
      <c r="O246" s="359"/>
      <c r="P246" s="359"/>
      <c r="Q246" s="119"/>
      <c r="R246" s="119"/>
      <c r="S246" s="121"/>
      <c r="T246" s="119"/>
      <c r="U246" s="119"/>
      <c r="V246" s="119"/>
      <c r="W246" s="119"/>
      <c r="X246" s="158"/>
    </row>
    <row r="247">
      <c r="C247" s="172"/>
      <c r="D247" s="172"/>
      <c r="E247" s="172"/>
      <c r="F247" s="172"/>
      <c r="G247" s="173"/>
      <c r="H247" s="137"/>
      <c r="I247" s="137"/>
      <c r="J247" s="137"/>
      <c r="K247" s="129"/>
      <c r="L247" s="323"/>
      <c r="N247" s="121"/>
      <c r="O247" s="359"/>
      <c r="P247" s="359"/>
      <c r="Q247" s="119"/>
      <c r="R247" s="119"/>
      <c r="S247" s="121"/>
      <c r="T247" s="119"/>
      <c r="U247" s="119"/>
      <c r="V247" s="119"/>
      <c r="W247" s="119"/>
      <c r="X247" s="158"/>
    </row>
    <row r="248">
      <c r="C248" s="172"/>
      <c r="D248" s="172"/>
      <c r="E248" s="172"/>
      <c r="F248" s="172"/>
      <c r="G248" s="173"/>
      <c r="H248" s="137"/>
      <c r="I248" s="137"/>
      <c r="J248" s="137"/>
      <c r="K248" s="129"/>
      <c r="L248" s="323"/>
      <c r="N248" s="121"/>
      <c r="O248" s="359"/>
      <c r="P248" s="359"/>
      <c r="Q248" s="119"/>
      <c r="R248" s="119"/>
      <c r="S248" s="121"/>
      <c r="T248" s="119"/>
      <c r="U248" s="119"/>
      <c r="V248" s="119"/>
      <c r="W248" s="119"/>
      <c r="X248" s="158"/>
    </row>
    <row r="249">
      <c r="C249" s="172"/>
      <c r="D249" s="172"/>
      <c r="E249" s="172"/>
      <c r="F249" s="172"/>
      <c r="G249" s="173"/>
      <c r="H249" s="137"/>
      <c r="I249" s="137"/>
      <c r="J249" s="137"/>
      <c r="K249" s="129"/>
      <c r="L249" s="323"/>
      <c r="N249" s="121"/>
      <c r="O249" s="359"/>
      <c r="P249" s="359"/>
      <c r="Q249" s="119"/>
      <c r="R249" s="119"/>
      <c r="S249" s="121"/>
      <c r="T249" s="119"/>
      <c r="U249" s="119"/>
      <c r="V249" s="119"/>
      <c r="W249" s="119"/>
      <c r="X249" s="158"/>
    </row>
    <row r="250">
      <c r="C250" s="172"/>
      <c r="D250" s="172"/>
      <c r="E250" s="172"/>
      <c r="F250" s="172"/>
      <c r="G250" s="173"/>
      <c r="H250" s="137"/>
      <c r="I250" s="137"/>
      <c r="J250" s="137"/>
      <c r="K250" s="129"/>
      <c r="L250" s="323"/>
      <c r="N250" s="121"/>
      <c r="O250" s="359"/>
      <c r="P250" s="359"/>
      <c r="Q250" s="119"/>
      <c r="R250" s="119"/>
      <c r="S250" s="121"/>
      <c r="T250" s="119"/>
      <c r="U250" s="119"/>
      <c r="V250" s="119"/>
      <c r="W250" s="119"/>
      <c r="X250" s="158"/>
    </row>
    <row r="251">
      <c r="C251" s="172"/>
      <c r="D251" s="172"/>
      <c r="E251" s="172"/>
      <c r="F251" s="172"/>
      <c r="G251" s="173"/>
      <c r="H251" s="137"/>
      <c r="I251" s="137"/>
      <c r="J251" s="137"/>
      <c r="K251" s="129"/>
      <c r="L251" s="323"/>
      <c r="N251" s="121"/>
      <c r="O251" s="359"/>
      <c r="P251" s="359"/>
      <c r="Q251" s="119"/>
      <c r="R251" s="119"/>
      <c r="S251" s="121"/>
      <c r="T251" s="119"/>
      <c r="U251" s="119"/>
      <c r="V251" s="119"/>
      <c r="W251" s="119"/>
      <c r="X251" s="158"/>
    </row>
    <row r="252">
      <c r="C252" s="172"/>
      <c r="D252" s="172"/>
      <c r="E252" s="172"/>
      <c r="F252" s="172"/>
      <c r="G252" s="173"/>
      <c r="H252" s="137"/>
      <c r="I252" s="137"/>
      <c r="J252" s="137"/>
      <c r="K252" s="129"/>
      <c r="L252" s="323"/>
      <c r="N252" s="121"/>
      <c r="O252" s="359"/>
      <c r="P252" s="359"/>
      <c r="Q252" s="119"/>
      <c r="R252" s="119"/>
      <c r="S252" s="121"/>
      <c r="T252" s="119"/>
      <c r="U252" s="119"/>
      <c r="V252" s="119"/>
      <c r="W252" s="119"/>
      <c r="X252" s="158"/>
    </row>
    <row r="253">
      <c r="C253" s="172"/>
      <c r="D253" s="172"/>
      <c r="E253" s="172"/>
      <c r="F253" s="172"/>
      <c r="G253" s="173"/>
      <c r="H253" s="137"/>
      <c r="I253" s="137"/>
      <c r="J253" s="137"/>
      <c r="K253" s="129"/>
      <c r="L253" s="323"/>
      <c r="N253" s="121"/>
      <c r="O253" s="359"/>
      <c r="P253" s="359"/>
      <c r="Q253" s="119"/>
      <c r="R253" s="119"/>
      <c r="S253" s="121"/>
      <c r="T253" s="119"/>
      <c r="U253" s="119"/>
      <c r="V253" s="119"/>
      <c r="W253" s="119"/>
      <c r="X253" s="158"/>
    </row>
    <row r="254">
      <c r="C254" s="172"/>
      <c r="D254" s="172"/>
      <c r="E254" s="172"/>
      <c r="F254" s="172"/>
      <c r="G254" s="173"/>
      <c r="H254" s="137"/>
      <c r="I254" s="137"/>
      <c r="J254" s="137"/>
      <c r="K254" s="129"/>
      <c r="L254" s="323"/>
      <c r="N254" s="121"/>
      <c r="O254" s="359"/>
      <c r="P254" s="359"/>
      <c r="Q254" s="119"/>
      <c r="R254" s="119"/>
      <c r="S254" s="121"/>
      <c r="T254" s="119"/>
      <c r="U254" s="119"/>
      <c r="V254" s="119"/>
      <c r="W254" s="119"/>
      <c r="X254" s="158"/>
    </row>
    <row r="255">
      <c r="C255" s="172"/>
      <c r="D255" s="172"/>
      <c r="E255" s="172"/>
      <c r="F255" s="172"/>
      <c r="G255" s="173"/>
      <c r="H255" s="137"/>
      <c r="I255" s="137"/>
      <c r="J255" s="137"/>
      <c r="K255" s="129"/>
      <c r="L255" s="323"/>
      <c r="N255" s="121"/>
      <c r="O255" s="359"/>
      <c r="P255" s="359"/>
      <c r="Q255" s="119"/>
      <c r="R255" s="119"/>
      <c r="S255" s="121"/>
      <c r="T255" s="119"/>
      <c r="U255" s="119"/>
      <c r="V255" s="119"/>
      <c r="W255" s="119"/>
      <c r="X255" s="158"/>
    </row>
    <row r="256">
      <c r="C256" s="172"/>
      <c r="D256" s="172"/>
      <c r="E256" s="172"/>
      <c r="F256" s="172"/>
      <c r="G256" s="173"/>
      <c r="H256" s="137"/>
      <c r="I256" s="137"/>
      <c r="J256" s="137"/>
      <c r="K256" s="129"/>
      <c r="L256" s="323"/>
      <c r="N256" s="121"/>
      <c r="O256" s="359"/>
      <c r="P256" s="359"/>
      <c r="Q256" s="119"/>
      <c r="R256" s="119"/>
      <c r="S256" s="121"/>
      <c r="T256" s="119"/>
      <c r="U256" s="119"/>
      <c r="V256" s="119"/>
      <c r="W256" s="119"/>
      <c r="X256" s="158"/>
    </row>
    <row r="257">
      <c r="C257" s="172"/>
      <c r="D257" s="172"/>
      <c r="E257" s="172"/>
      <c r="F257" s="172"/>
      <c r="G257" s="173"/>
      <c r="H257" s="137"/>
      <c r="I257" s="137"/>
      <c r="J257" s="137"/>
      <c r="K257" s="129"/>
      <c r="L257" s="323"/>
      <c r="N257" s="121"/>
      <c r="O257" s="359"/>
      <c r="P257" s="359"/>
      <c r="Q257" s="119"/>
      <c r="R257" s="119"/>
      <c r="S257" s="121"/>
      <c r="T257" s="119"/>
      <c r="U257" s="119"/>
      <c r="V257" s="119"/>
      <c r="W257" s="119"/>
      <c r="X257" s="158"/>
    </row>
    <row r="258">
      <c r="C258" s="172"/>
      <c r="D258" s="172"/>
      <c r="E258" s="172"/>
      <c r="F258" s="172"/>
      <c r="G258" s="173"/>
      <c r="H258" s="137"/>
      <c r="I258" s="137"/>
      <c r="J258" s="137"/>
      <c r="K258" s="129"/>
      <c r="L258" s="323"/>
      <c r="N258" s="121"/>
      <c r="O258" s="359"/>
      <c r="P258" s="359"/>
      <c r="Q258" s="119"/>
      <c r="R258" s="119"/>
      <c r="S258" s="121"/>
      <c r="T258" s="119"/>
      <c r="U258" s="119"/>
      <c r="V258" s="119"/>
      <c r="W258" s="119"/>
      <c r="X258" s="158"/>
    </row>
    <row r="259">
      <c r="C259" s="172"/>
      <c r="D259" s="172"/>
      <c r="E259" s="172"/>
      <c r="F259" s="172"/>
      <c r="G259" s="173"/>
      <c r="H259" s="137"/>
      <c r="I259" s="137"/>
      <c r="J259" s="137"/>
      <c r="K259" s="129"/>
      <c r="L259" s="323"/>
      <c r="N259" s="121"/>
      <c r="O259" s="359"/>
      <c r="P259" s="359"/>
      <c r="Q259" s="119"/>
      <c r="R259" s="119"/>
      <c r="S259" s="121"/>
      <c r="T259" s="119"/>
      <c r="U259" s="119"/>
      <c r="V259" s="119"/>
      <c r="W259" s="119"/>
      <c r="X259" s="158"/>
    </row>
    <row r="260">
      <c r="C260" s="172"/>
      <c r="D260" s="172"/>
      <c r="E260" s="172"/>
      <c r="F260" s="172"/>
      <c r="G260" s="173"/>
      <c r="H260" s="137"/>
      <c r="I260" s="137"/>
      <c r="J260" s="137"/>
      <c r="K260" s="129"/>
      <c r="L260" s="323"/>
      <c r="N260" s="121"/>
      <c r="O260" s="359"/>
      <c r="P260" s="359"/>
      <c r="Q260" s="119"/>
      <c r="R260" s="119"/>
      <c r="S260" s="121"/>
      <c r="T260" s="119"/>
      <c r="U260" s="119"/>
      <c r="V260" s="119"/>
      <c r="W260" s="119"/>
      <c r="X260" s="158"/>
    </row>
    <row r="261">
      <c r="C261" s="172"/>
      <c r="D261" s="172"/>
      <c r="E261" s="172"/>
      <c r="F261" s="172"/>
      <c r="G261" s="173"/>
      <c r="H261" s="137"/>
      <c r="I261" s="137"/>
      <c r="J261" s="137"/>
      <c r="K261" s="129"/>
      <c r="L261" s="323"/>
      <c r="N261" s="121"/>
      <c r="O261" s="359"/>
      <c r="P261" s="359"/>
      <c r="Q261" s="119"/>
      <c r="R261" s="119"/>
      <c r="S261" s="121"/>
      <c r="T261" s="119"/>
      <c r="U261" s="119"/>
      <c r="V261" s="119"/>
      <c r="W261" s="119"/>
      <c r="X261" s="158"/>
    </row>
    <row r="262">
      <c r="C262" s="172"/>
      <c r="D262" s="172"/>
      <c r="E262" s="172"/>
      <c r="F262" s="172"/>
      <c r="G262" s="173"/>
      <c r="H262" s="137"/>
      <c r="I262" s="137"/>
      <c r="J262" s="137"/>
      <c r="K262" s="129"/>
      <c r="L262" s="323"/>
      <c r="N262" s="121"/>
      <c r="O262" s="359"/>
      <c r="P262" s="359"/>
      <c r="Q262" s="119"/>
      <c r="R262" s="119"/>
      <c r="S262" s="121"/>
      <c r="T262" s="119"/>
      <c r="U262" s="119"/>
      <c r="V262" s="119"/>
      <c r="W262" s="119"/>
      <c r="X262" s="158"/>
    </row>
    <row r="263">
      <c r="C263" s="172"/>
      <c r="D263" s="172"/>
      <c r="E263" s="172"/>
      <c r="F263" s="172"/>
      <c r="G263" s="173"/>
      <c r="H263" s="137"/>
      <c r="I263" s="137"/>
      <c r="J263" s="137"/>
      <c r="K263" s="129"/>
      <c r="L263" s="323"/>
      <c r="N263" s="121"/>
      <c r="O263" s="359"/>
      <c r="P263" s="359"/>
      <c r="Q263" s="119"/>
      <c r="R263" s="119"/>
      <c r="S263" s="121"/>
      <c r="T263" s="119"/>
      <c r="U263" s="119"/>
      <c r="V263" s="119"/>
      <c r="W263" s="119"/>
      <c r="X263" s="158"/>
    </row>
    <row r="264">
      <c r="C264" s="172"/>
      <c r="D264" s="172"/>
      <c r="E264" s="172"/>
      <c r="F264" s="172"/>
      <c r="G264" s="173"/>
      <c r="H264" s="137"/>
      <c r="I264" s="137"/>
      <c r="J264" s="137"/>
      <c r="K264" s="129"/>
      <c r="L264" s="323"/>
      <c r="N264" s="121"/>
      <c r="O264" s="359"/>
      <c r="P264" s="359"/>
      <c r="Q264" s="119"/>
      <c r="R264" s="119"/>
      <c r="S264" s="121"/>
      <c r="T264" s="119"/>
      <c r="U264" s="119"/>
      <c r="V264" s="119"/>
      <c r="W264" s="119"/>
      <c r="X264" s="158"/>
    </row>
    <row r="265">
      <c r="C265" s="172"/>
      <c r="D265" s="172"/>
      <c r="E265" s="172"/>
      <c r="F265" s="172"/>
      <c r="G265" s="173"/>
      <c r="H265" s="137"/>
      <c r="I265" s="137"/>
      <c r="J265" s="137"/>
      <c r="K265" s="129"/>
      <c r="L265" s="323"/>
      <c r="N265" s="121"/>
      <c r="O265" s="359"/>
      <c r="P265" s="359"/>
      <c r="Q265" s="119"/>
      <c r="R265" s="119"/>
      <c r="S265" s="121"/>
      <c r="T265" s="119"/>
      <c r="U265" s="119"/>
      <c r="V265" s="119"/>
      <c r="W265" s="119"/>
      <c r="X265" s="158"/>
    </row>
    <row r="266">
      <c r="C266" s="172"/>
      <c r="D266" s="172"/>
      <c r="E266" s="172"/>
      <c r="F266" s="172"/>
      <c r="G266" s="173"/>
      <c r="H266" s="137"/>
      <c r="I266" s="137"/>
      <c r="J266" s="137"/>
      <c r="K266" s="129"/>
      <c r="L266" s="323"/>
      <c r="N266" s="121"/>
      <c r="O266" s="359"/>
      <c r="P266" s="359"/>
      <c r="Q266" s="119"/>
      <c r="R266" s="119"/>
      <c r="S266" s="121"/>
      <c r="T266" s="119"/>
      <c r="U266" s="119"/>
      <c r="V266" s="119"/>
      <c r="W266" s="119"/>
      <c r="X266" s="158"/>
    </row>
    <row r="267">
      <c r="C267" s="172"/>
      <c r="D267" s="172"/>
      <c r="E267" s="172"/>
      <c r="F267" s="172"/>
      <c r="G267" s="173"/>
      <c r="H267" s="137"/>
      <c r="I267" s="137"/>
      <c r="J267" s="137"/>
      <c r="K267" s="129"/>
      <c r="L267" s="323"/>
      <c r="N267" s="121"/>
      <c r="O267" s="359"/>
      <c r="P267" s="359"/>
      <c r="Q267" s="119"/>
      <c r="R267" s="119"/>
      <c r="S267" s="121"/>
      <c r="T267" s="119"/>
      <c r="U267" s="119"/>
      <c r="V267" s="119"/>
      <c r="W267" s="119"/>
      <c r="X267" s="158"/>
    </row>
    <row r="268">
      <c r="C268" s="172"/>
      <c r="D268" s="172"/>
      <c r="E268" s="172"/>
      <c r="F268" s="172"/>
      <c r="G268" s="173"/>
      <c r="H268" s="137"/>
      <c r="I268" s="137"/>
      <c r="J268" s="137"/>
      <c r="K268" s="129"/>
      <c r="L268" s="323"/>
      <c r="N268" s="121"/>
      <c r="O268" s="359"/>
      <c r="P268" s="359"/>
      <c r="Q268" s="119"/>
      <c r="R268" s="119"/>
      <c r="S268" s="121"/>
      <c r="T268" s="119"/>
      <c r="U268" s="119"/>
      <c r="V268" s="119"/>
      <c r="W268" s="119"/>
      <c r="X268" s="158"/>
    </row>
    <row r="269">
      <c r="C269" s="172"/>
      <c r="D269" s="172"/>
      <c r="E269" s="172"/>
      <c r="F269" s="172"/>
      <c r="G269" s="173"/>
      <c r="H269" s="137"/>
      <c r="I269" s="137"/>
      <c r="J269" s="137"/>
      <c r="K269" s="129"/>
      <c r="L269" s="323"/>
      <c r="N269" s="121"/>
      <c r="O269" s="359"/>
      <c r="P269" s="359"/>
      <c r="Q269" s="119"/>
      <c r="R269" s="119"/>
      <c r="S269" s="121"/>
      <c r="T269" s="119"/>
      <c r="U269" s="119"/>
      <c r="V269" s="119"/>
      <c r="W269" s="119"/>
      <c r="X269" s="158"/>
    </row>
    <row r="270">
      <c r="C270" s="172"/>
      <c r="D270" s="172"/>
      <c r="E270" s="172"/>
      <c r="F270" s="172"/>
      <c r="G270" s="173"/>
      <c r="H270" s="137"/>
      <c r="I270" s="137"/>
      <c r="J270" s="137"/>
      <c r="K270" s="129"/>
      <c r="L270" s="323"/>
      <c r="N270" s="121"/>
      <c r="O270" s="359"/>
      <c r="P270" s="359"/>
      <c r="Q270" s="119"/>
      <c r="R270" s="119"/>
      <c r="S270" s="121"/>
      <c r="T270" s="119"/>
      <c r="U270" s="119"/>
      <c r="V270" s="119"/>
      <c r="W270" s="119"/>
      <c r="X270" s="158"/>
    </row>
    <row r="271">
      <c r="C271" s="172"/>
      <c r="D271" s="172"/>
      <c r="E271" s="172"/>
      <c r="F271" s="172"/>
      <c r="G271" s="173"/>
      <c r="H271" s="137"/>
      <c r="I271" s="137"/>
      <c r="J271" s="137"/>
      <c r="K271" s="129"/>
      <c r="L271" s="323"/>
      <c r="N271" s="121"/>
      <c r="O271" s="359"/>
      <c r="P271" s="359"/>
      <c r="Q271" s="119"/>
      <c r="R271" s="119"/>
      <c r="S271" s="121"/>
      <c r="T271" s="119"/>
      <c r="U271" s="119"/>
      <c r="V271" s="119"/>
      <c r="W271" s="119"/>
      <c r="X271" s="158"/>
    </row>
    <row r="272">
      <c r="C272" s="172"/>
      <c r="D272" s="172"/>
      <c r="E272" s="172"/>
      <c r="F272" s="172"/>
      <c r="G272" s="173"/>
      <c r="H272" s="137"/>
      <c r="I272" s="137"/>
      <c r="J272" s="137"/>
      <c r="K272" s="129"/>
      <c r="L272" s="323"/>
      <c r="N272" s="121"/>
      <c r="O272" s="359"/>
      <c r="P272" s="359"/>
      <c r="Q272" s="119"/>
      <c r="R272" s="119"/>
      <c r="S272" s="121"/>
      <c r="T272" s="119"/>
      <c r="U272" s="119"/>
      <c r="V272" s="119"/>
      <c r="W272" s="119"/>
      <c r="X272" s="158"/>
    </row>
    <row r="273">
      <c r="C273" s="172"/>
      <c r="D273" s="172"/>
      <c r="E273" s="172"/>
      <c r="F273" s="172"/>
      <c r="G273" s="173"/>
      <c r="H273" s="137"/>
      <c r="I273" s="137"/>
      <c r="J273" s="137"/>
      <c r="K273" s="129"/>
      <c r="L273" s="323"/>
      <c r="N273" s="121"/>
      <c r="O273" s="359"/>
      <c r="P273" s="359"/>
      <c r="Q273" s="119"/>
      <c r="R273" s="119"/>
      <c r="S273" s="121"/>
      <c r="T273" s="119"/>
      <c r="U273" s="119"/>
      <c r="V273" s="119"/>
      <c r="W273" s="119"/>
      <c r="X273" s="158"/>
    </row>
    <row r="274">
      <c r="C274" s="172"/>
      <c r="D274" s="172"/>
      <c r="E274" s="172"/>
      <c r="F274" s="172"/>
      <c r="G274" s="173"/>
      <c r="H274" s="137"/>
      <c r="I274" s="137"/>
      <c r="J274" s="137"/>
      <c r="K274" s="129"/>
      <c r="L274" s="323"/>
      <c r="N274" s="121"/>
      <c r="O274" s="359"/>
      <c r="P274" s="359"/>
      <c r="Q274" s="119"/>
      <c r="R274" s="119"/>
      <c r="S274" s="121"/>
      <c r="T274" s="119"/>
      <c r="U274" s="119"/>
      <c r="V274" s="119"/>
      <c r="W274" s="119"/>
      <c r="X274" s="158"/>
    </row>
    <row r="275">
      <c r="C275" s="172"/>
      <c r="D275" s="172"/>
      <c r="E275" s="172"/>
      <c r="F275" s="172"/>
      <c r="G275" s="173"/>
      <c r="H275" s="137"/>
      <c r="I275" s="137"/>
      <c r="J275" s="137"/>
      <c r="K275" s="129"/>
      <c r="L275" s="323"/>
      <c r="N275" s="121"/>
      <c r="O275" s="359"/>
      <c r="P275" s="359"/>
      <c r="Q275" s="119"/>
      <c r="R275" s="119"/>
      <c r="S275" s="121"/>
      <c r="T275" s="119"/>
      <c r="U275" s="119"/>
      <c r="V275" s="119"/>
      <c r="W275" s="119"/>
      <c r="X275" s="158"/>
    </row>
    <row r="276">
      <c r="C276" s="172"/>
      <c r="D276" s="172"/>
      <c r="E276" s="172"/>
      <c r="F276" s="172"/>
      <c r="G276" s="173"/>
      <c r="H276" s="137"/>
      <c r="I276" s="137"/>
      <c r="J276" s="137"/>
      <c r="K276" s="129"/>
      <c r="L276" s="323"/>
      <c r="N276" s="121"/>
      <c r="O276" s="359"/>
      <c r="P276" s="359"/>
      <c r="Q276" s="119"/>
      <c r="R276" s="119"/>
      <c r="S276" s="121"/>
      <c r="T276" s="119"/>
      <c r="U276" s="119"/>
      <c r="V276" s="119"/>
      <c r="W276" s="119"/>
      <c r="X276" s="158"/>
    </row>
    <row r="277">
      <c r="C277" s="172"/>
      <c r="D277" s="172"/>
      <c r="E277" s="172"/>
      <c r="F277" s="172"/>
      <c r="G277" s="173"/>
      <c r="H277" s="137"/>
      <c r="I277" s="137"/>
      <c r="J277" s="137"/>
      <c r="K277" s="129"/>
      <c r="L277" s="323"/>
      <c r="N277" s="121"/>
      <c r="O277" s="359"/>
      <c r="P277" s="359"/>
      <c r="Q277" s="119"/>
      <c r="R277" s="119"/>
      <c r="S277" s="121"/>
      <c r="T277" s="119"/>
      <c r="U277" s="119"/>
      <c r="V277" s="119"/>
      <c r="W277" s="119"/>
      <c r="X277" s="158"/>
    </row>
    <row r="278">
      <c r="C278" s="172"/>
      <c r="D278" s="172"/>
      <c r="E278" s="172"/>
      <c r="F278" s="172"/>
      <c r="G278" s="173"/>
      <c r="H278" s="137"/>
      <c r="I278" s="137"/>
      <c r="J278" s="137"/>
      <c r="K278" s="129"/>
      <c r="L278" s="323"/>
      <c r="N278" s="121"/>
      <c r="O278" s="359"/>
      <c r="P278" s="359"/>
      <c r="Q278" s="119"/>
      <c r="R278" s="119"/>
      <c r="S278" s="121"/>
      <c r="T278" s="119"/>
      <c r="U278" s="119"/>
      <c r="V278" s="119"/>
      <c r="W278" s="119"/>
      <c r="X278" s="158"/>
    </row>
    <row r="279">
      <c r="C279" s="172"/>
      <c r="D279" s="172"/>
      <c r="E279" s="172"/>
      <c r="F279" s="172"/>
      <c r="G279" s="173"/>
      <c r="H279" s="137"/>
      <c r="I279" s="137"/>
      <c r="J279" s="137"/>
      <c r="K279" s="129"/>
      <c r="L279" s="323"/>
      <c r="N279" s="121"/>
      <c r="O279" s="359"/>
      <c r="P279" s="359"/>
      <c r="Q279" s="119"/>
      <c r="R279" s="119"/>
      <c r="S279" s="121"/>
      <c r="T279" s="119"/>
      <c r="U279" s="119"/>
      <c r="V279" s="119"/>
      <c r="W279" s="119"/>
      <c r="X279" s="158"/>
    </row>
    <row r="280">
      <c r="C280" s="172"/>
      <c r="D280" s="172"/>
      <c r="E280" s="172"/>
      <c r="F280" s="172"/>
      <c r="G280" s="173"/>
      <c r="H280" s="137"/>
      <c r="I280" s="137"/>
      <c r="J280" s="137"/>
      <c r="K280" s="129"/>
      <c r="L280" s="323"/>
      <c r="N280" s="121"/>
      <c r="O280" s="359"/>
      <c r="P280" s="359"/>
      <c r="Q280" s="119"/>
      <c r="R280" s="119"/>
      <c r="S280" s="121"/>
      <c r="T280" s="119"/>
      <c r="U280" s="119"/>
      <c r="V280" s="119"/>
      <c r="W280" s="119"/>
      <c r="X280" s="158"/>
    </row>
    <row r="281">
      <c r="C281" s="172"/>
      <c r="D281" s="172"/>
      <c r="E281" s="172"/>
      <c r="F281" s="172"/>
      <c r="G281" s="173"/>
      <c r="H281" s="137"/>
      <c r="I281" s="137"/>
      <c r="J281" s="137"/>
      <c r="K281" s="129"/>
      <c r="L281" s="323"/>
      <c r="N281" s="121"/>
      <c r="O281" s="359"/>
      <c r="P281" s="359"/>
      <c r="Q281" s="119"/>
      <c r="R281" s="119"/>
      <c r="S281" s="121"/>
      <c r="T281" s="119"/>
      <c r="U281" s="119"/>
      <c r="V281" s="119"/>
      <c r="W281" s="119"/>
      <c r="X281" s="158"/>
    </row>
    <row r="282">
      <c r="C282" s="172"/>
      <c r="D282" s="172"/>
      <c r="E282" s="172"/>
      <c r="F282" s="172"/>
      <c r="G282" s="173"/>
      <c r="H282" s="137"/>
      <c r="I282" s="137"/>
      <c r="J282" s="137"/>
      <c r="K282" s="129"/>
      <c r="L282" s="323"/>
      <c r="N282" s="121"/>
      <c r="O282" s="359"/>
      <c r="P282" s="359"/>
      <c r="Q282" s="119"/>
      <c r="R282" s="119"/>
      <c r="S282" s="121"/>
      <c r="T282" s="119"/>
      <c r="U282" s="119"/>
      <c r="V282" s="119"/>
      <c r="W282" s="119"/>
      <c r="X282" s="158"/>
    </row>
    <row r="283">
      <c r="C283" s="172"/>
      <c r="D283" s="172"/>
      <c r="E283" s="172"/>
      <c r="F283" s="172"/>
      <c r="G283" s="173"/>
      <c r="H283" s="137"/>
      <c r="I283" s="137"/>
      <c r="J283" s="137"/>
      <c r="K283" s="129"/>
      <c r="L283" s="323"/>
      <c r="N283" s="121"/>
      <c r="O283" s="359"/>
      <c r="P283" s="359"/>
      <c r="Q283" s="119"/>
      <c r="R283" s="119"/>
      <c r="S283" s="121"/>
      <c r="T283" s="119"/>
      <c r="U283" s="119"/>
      <c r="V283" s="119"/>
      <c r="W283" s="119"/>
      <c r="X283" s="158"/>
    </row>
    <row r="284">
      <c r="C284" s="172"/>
      <c r="D284" s="172"/>
      <c r="E284" s="172"/>
      <c r="F284" s="172"/>
      <c r="G284" s="173"/>
      <c r="H284" s="137"/>
      <c r="I284" s="137"/>
      <c r="J284" s="137"/>
      <c r="K284" s="129"/>
      <c r="L284" s="323"/>
      <c r="N284" s="121"/>
      <c r="O284" s="359"/>
      <c r="P284" s="359"/>
      <c r="Q284" s="119"/>
      <c r="R284" s="119"/>
      <c r="S284" s="121"/>
      <c r="T284" s="119"/>
      <c r="U284" s="119"/>
      <c r="V284" s="119"/>
      <c r="W284" s="119"/>
      <c r="X284" s="158"/>
    </row>
    <row r="285">
      <c r="C285" s="172"/>
      <c r="D285" s="172"/>
      <c r="E285" s="172"/>
      <c r="F285" s="172"/>
      <c r="G285" s="173"/>
      <c r="H285" s="137"/>
      <c r="I285" s="137"/>
      <c r="J285" s="137"/>
      <c r="K285" s="129"/>
      <c r="L285" s="323"/>
      <c r="N285" s="121"/>
      <c r="O285" s="359"/>
      <c r="P285" s="359"/>
      <c r="Q285" s="119"/>
      <c r="R285" s="119"/>
      <c r="S285" s="121"/>
      <c r="T285" s="119"/>
      <c r="U285" s="119"/>
      <c r="V285" s="119"/>
      <c r="W285" s="119"/>
      <c r="X285" s="158"/>
    </row>
    <row r="286">
      <c r="C286" s="172"/>
      <c r="D286" s="172"/>
      <c r="E286" s="172"/>
      <c r="F286" s="172"/>
      <c r="G286" s="173"/>
      <c r="H286" s="137"/>
      <c r="I286" s="137"/>
      <c r="J286" s="137"/>
      <c r="K286" s="129"/>
      <c r="L286" s="323"/>
      <c r="N286" s="121"/>
      <c r="O286" s="359"/>
      <c r="P286" s="359"/>
      <c r="Q286" s="119"/>
      <c r="R286" s="119"/>
      <c r="S286" s="121"/>
      <c r="T286" s="119"/>
      <c r="U286" s="119"/>
      <c r="V286" s="119"/>
      <c r="W286" s="119"/>
      <c r="X286" s="158"/>
    </row>
    <row r="287">
      <c r="C287" s="172"/>
      <c r="D287" s="172"/>
      <c r="E287" s="172"/>
      <c r="F287" s="172"/>
      <c r="G287" s="173"/>
      <c r="H287" s="137"/>
      <c r="I287" s="137"/>
      <c r="J287" s="137"/>
      <c r="K287" s="129"/>
      <c r="L287" s="323"/>
      <c r="N287" s="121"/>
      <c r="O287" s="359"/>
      <c r="P287" s="359"/>
      <c r="Q287" s="119"/>
      <c r="R287" s="119"/>
      <c r="S287" s="121"/>
      <c r="T287" s="119"/>
      <c r="U287" s="119"/>
      <c r="V287" s="119"/>
      <c r="W287" s="119"/>
      <c r="X287" s="158"/>
    </row>
    <row r="288">
      <c r="C288" s="172"/>
      <c r="D288" s="172"/>
      <c r="E288" s="172"/>
      <c r="F288" s="172"/>
      <c r="G288" s="173"/>
      <c r="H288" s="137"/>
      <c r="I288" s="137"/>
      <c r="J288" s="137"/>
      <c r="K288" s="129"/>
      <c r="L288" s="323"/>
      <c r="N288" s="121"/>
      <c r="O288" s="359"/>
      <c r="P288" s="359"/>
      <c r="Q288" s="119"/>
      <c r="R288" s="119"/>
      <c r="S288" s="121"/>
      <c r="T288" s="119"/>
      <c r="U288" s="119"/>
      <c r="V288" s="119"/>
      <c r="W288" s="119"/>
      <c r="X288" s="158"/>
    </row>
    <row r="289">
      <c r="C289" s="172"/>
      <c r="D289" s="172"/>
      <c r="E289" s="172"/>
      <c r="F289" s="172"/>
      <c r="G289" s="173"/>
      <c r="H289" s="137"/>
      <c r="I289" s="137"/>
      <c r="J289" s="137"/>
      <c r="K289" s="129"/>
      <c r="L289" s="323"/>
      <c r="N289" s="121"/>
      <c r="O289" s="359"/>
      <c r="P289" s="359"/>
      <c r="Q289" s="119"/>
      <c r="R289" s="119"/>
      <c r="S289" s="121"/>
      <c r="T289" s="119"/>
      <c r="U289" s="119"/>
      <c r="V289" s="119"/>
      <c r="W289" s="119"/>
      <c r="X289" s="158"/>
    </row>
    <row r="290">
      <c r="C290" s="172"/>
      <c r="D290" s="172"/>
      <c r="E290" s="172"/>
      <c r="F290" s="172"/>
      <c r="G290" s="173"/>
      <c r="H290" s="137"/>
      <c r="I290" s="137"/>
      <c r="J290" s="137"/>
      <c r="K290" s="129"/>
      <c r="L290" s="323"/>
      <c r="N290" s="121"/>
      <c r="O290" s="359"/>
      <c r="P290" s="359"/>
      <c r="Q290" s="119"/>
      <c r="R290" s="119"/>
      <c r="S290" s="121"/>
      <c r="T290" s="119"/>
      <c r="U290" s="119"/>
      <c r="V290" s="119"/>
      <c r="W290" s="119"/>
      <c r="X290" s="158"/>
    </row>
    <row r="291">
      <c r="C291" s="172"/>
      <c r="D291" s="172"/>
      <c r="E291" s="172"/>
      <c r="F291" s="172"/>
      <c r="G291" s="173"/>
      <c r="H291" s="137"/>
      <c r="I291" s="137"/>
      <c r="J291" s="137"/>
      <c r="K291" s="129"/>
      <c r="L291" s="323"/>
      <c r="N291" s="121"/>
      <c r="O291" s="359"/>
      <c r="P291" s="359"/>
      <c r="Q291" s="119"/>
      <c r="R291" s="119"/>
      <c r="S291" s="121"/>
      <c r="T291" s="119"/>
      <c r="U291" s="119"/>
      <c r="V291" s="119"/>
      <c r="W291" s="119"/>
      <c r="X291" s="158"/>
    </row>
    <row r="292">
      <c r="C292" s="172"/>
      <c r="D292" s="172"/>
      <c r="E292" s="172"/>
      <c r="F292" s="172"/>
      <c r="G292" s="173"/>
      <c r="H292" s="137"/>
      <c r="I292" s="137"/>
      <c r="J292" s="137"/>
      <c r="K292" s="129"/>
      <c r="L292" s="323"/>
      <c r="N292" s="121"/>
      <c r="O292" s="359"/>
      <c r="P292" s="359"/>
      <c r="Q292" s="119"/>
      <c r="R292" s="119"/>
      <c r="S292" s="121"/>
      <c r="T292" s="119"/>
      <c r="U292" s="119"/>
      <c r="V292" s="119"/>
      <c r="W292" s="119"/>
      <c r="X292" s="158"/>
    </row>
    <row r="293">
      <c r="C293" s="172"/>
      <c r="D293" s="172"/>
      <c r="E293" s="172"/>
      <c r="F293" s="172"/>
      <c r="G293" s="173"/>
      <c r="H293" s="137"/>
      <c r="I293" s="137"/>
      <c r="J293" s="137"/>
      <c r="K293" s="129"/>
      <c r="L293" s="323"/>
      <c r="N293" s="121"/>
      <c r="O293" s="359"/>
      <c r="P293" s="359"/>
      <c r="Q293" s="119"/>
      <c r="R293" s="119"/>
      <c r="S293" s="121"/>
      <c r="T293" s="119"/>
      <c r="U293" s="119"/>
      <c r="V293" s="119"/>
      <c r="W293" s="119"/>
      <c r="X293" s="158"/>
    </row>
    <row r="294">
      <c r="C294" s="172"/>
      <c r="D294" s="172"/>
      <c r="E294" s="172"/>
      <c r="F294" s="172"/>
      <c r="G294" s="173"/>
      <c r="H294" s="137"/>
      <c r="I294" s="137"/>
      <c r="J294" s="137"/>
      <c r="K294" s="129"/>
      <c r="L294" s="323"/>
      <c r="N294" s="121"/>
      <c r="O294" s="359"/>
      <c r="P294" s="359"/>
      <c r="Q294" s="119"/>
      <c r="R294" s="119"/>
      <c r="S294" s="121"/>
      <c r="T294" s="119"/>
      <c r="U294" s="119"/>
      <c r="V294" s="119"/>
      <c r="W294" s="119"/>
      <c r="X294" s="158"/>
    </row>
    <row r="295">
      <c r="C295" s="172"/>
      <c r="D295" s="172"/>
      <c r="E295" s="172"/>
      <c r="F295" s="172"/>
      <c r="G295" s="173"/>
      <c r="H295" s="137"/>
      <c r="I295" s="137"/>
      <c r="J295" s="137"/>
      <c r="K295" s="129"/>
      <c r="L295" s="323"/>
      <c r="N295" s="121"/>
      <c r="O295" s="359"/>
      <c r="P295" s="359"/>
      <c r="Q295" s="119"/>
      <c r="R295" s="119"/>
      <c r="S295" s="121"/>
      <c r="T295" s="119"/>
      <c r="U295" s="119"/>
      <c r="V295" s="119"/>
      <c r="W295" s="119"/>
      <c r="X295" s="158"/>
    </row>
    <row r="296">
      <c r="C296" s="172"/>
      <c r="D296" s="172"/>
      <c r="E296" s="172"/>
      <c r="F296" s="172"/>
      <c r="G296" s="173"/>
      <c r="H296" s="137"/>
      <c r="I296" s="137"/>
      <c r="J296" s="137"/>
      <c r="K296" s="129"/>
      <c r="L296" s="323"/>
      <c r="N296" s="121"/>
      <c r="O296" s="359"/>
      <c r="P296" s="359"/>
      <c r="Q296" s="119"/>
      <c r="R296" s="119"/>
      <c r="S296" s="121"/>
      <c r="T296" s="119"/>
      <c r="U296" s="119"/>
      <c r="V296" s="119"/>
      <c r="W296" s="119"/>
      <c r="X296" s="158"/>
    </row>
    <row r="297">
      <c r="C297" s="172"/>
      <c r="D297" s="172"/>
      <c r="E297" s="172"/>
      <c r="F297" s="172"/>
      <c r="G297" s="173"/>
      <c r="H297" s="137"/>
      <c r="I297" s="137"/>
      <c r="J297" s="137"/>
      <c r="K297" s="129"/>
      <c r="L297" s="323"/>
      <c r="N297" s="121"/>
      <c r="O297" s="359"/>
      <c r="P297" s="359"/>
      <c r="Q297" s="119"/>
      <c r="R297" s="119"/>
      <c r="S297" s="121"/>
      <c r="T297" s="119"/>
      <c r="U297" s="119"/>
      <c r="V297" s="119"/>
      <c r="W297" s="119"/>
      <c r="X297" s="158"/>
    </row>
    <row r="298">
      <c r="C298" s="172"/>
      <c r="D298" s="172"/>
      <c r="E298" s="172"/>
      <c r="F298" s="172"/>
      <c r="G298" s="173"/>
      <c r="H298" s="137"/>
      <c r="I298" s="137"/>
      <c r="J298" s="137"/>
      <c r="K298" s="129"/>
      <c r="L298" s="323"/>
      <c r="N298" s="121"/>
      <c r="O298" s="359"/>
      <c r="P298" s="359"/>
      <c r="Q298" s="119"/>
      <c r="R298" s="119"/>
      <c r="S298" s="121"/>
      <c r="T298" s="119"/>
      <c r="U298" s="119"/>
      <c r="V298" s="119"/>
      <c r="W298" s="119"/>
      <c r="X298" s="158"/>
    </row>
    <row r="299">
      <c r="C299" s="172"/>
      <c r="D299" s="172"/>
      <c r="E299" s="172"/>
      <c r="F299" s="172"/>
      <c r="G299" s="173"/>
      <c r="H299" s="137"/>
      <c r="I299" s="137"/>
      <c r="J299" s="137"/>
      <c r="K299" s="129"/>
      <c r="L299" s="323"/>
      <c r="N299" s="121"/>
      <c r="O299" s="359"/>
      <c r="P299" s="359"/>
      <c r="Q299" s="119"/>
      <c r="R299" s="119"/>
      <c r="S299" s="121"/>
      <c r="T299" s="119"/>
      <c r="U299" s="119"/>
      <c r="V299" s="119"/>
      <c r="W299" s="119"/>
      <c r="X299" s="158"/>
    </row>
    <row r="300">
      <c r="C300" s="172"/>
      <c r="D300" s="172"/>
      <c r="E300" s="172"/>
      <c r="F300" s="172"/>
      <c r="G300" s="173"/>
      <c r="H300" s="137"/>
      <c r="I300" s="137"/>
      <c r="J300" s="137"/>
      <c r="K300" s="129"/>
      <c r="L300" s="323"/>
      <c r="N300" s="121"/>
      <c r="O300" s="359"/>
      <c r="P300" s="359"/>
      <c r="Q300" s="119"/>
      <c r="R300" s="119"/>
      <c r="S300" s="121"/>
      <c r="T300" s="119"/>
      <c r="U300" s="119"/>
      <c r="V300" s="119"/>
      <c r="W300" s="119"/>
      <c r="X300" s="158"/>
    </row>
    <row r="301">
      <c r="C301" s="172"/>
      <c r="D301" s="172"/>
      <c r="E301" s="172"/>
      <c r="F301" s="172"/>
      <c r="G301" s="173"/>
      <c r="H301" s="137"/>
      <c r="I301" s="137"/>
      <c r="J301" s="137"/>
      <c r="K301" s="129"/>
      <c r="L301" s="323"/>
      <c r="N301" s="121"/>
      <c r="O301" s="359"/>
      <c r="P301" s="359"/>
      <c r="Q301" s="119"/>
      <c r="R301" s="119"/>
      <c r="S301" s="121"/>
      <c r="T301" s="119"/>
      <c r="U301" s="119"/>
      <c r="V301" s="119"/>
      <c r="W301" s="119"/>
      <c r="X301" s="158"/>
    </row>
    <row r="302">
      <c r="C302" s="172"/>
      <c r="D302" s="172"/>
      <c r="E302" s="172"/>
      <c r="F302" s="172"/>
      <c r="G302" s="173"/>
      <c r="H302" s="137"/>
      <c r="I302" s="137"/>
      <c r="J302" s="137"/>
      <c r="K302" s="129"/>
      <c r="L302" s="323"/>
      <c r="N302" s="121"/>
      <c r="O302" s="359"/>
      <c r="P302" s="359"/>
      <c r="Q302" s="119"/>
      <c r="R302" s="119"/>
      <c r="S302" s="121"/>
      <c r="T302" s="119"/>
      <c r="U302" s="119"/>
      <c r="V302" s="119"/>
      <c r="W302" s="119"/>
      <c r="X302" s="158"/>
    </row>
    <row r="303">
      <c r="C303" s="172"/>
      <c r="D303" s="172"/>
      <c r="E303" s="172"/>
      <c r="F303" s="172"/>
      <c r="G303" s="173"/>
      <c r="H303" s="137"/>
      <c r="I303" s="137"/>
      <c r="J303" s="137"/>
      <c r="K303" s="129"/>
      <c r="L303" s="323"/>
      <c r="N303" s="121"/>
      <c r="O303" s="359"/>
      <c r="P303" s="359"/>
      <c r="Q303" s="119"/>
      <c r="R303" s="119"/>
      <c r="S303" s="121"/>
      <c r="T303" s="119"/>
      <c r="U303" s="119"/>
      <c r="V303" s="119"/>
      <c r="W303" s="119"/>
      <c r="X303" s="158"/>
    </row>
    <row r="304">
      <c r="C304" s="172"/>
      <c r="D304" s="172"/>
      <c r="E304" s="172"/>
      <c r="F304" s="172"/>
      <c r="G304" s="173"/>
      <c r="H304" s="137"/>
      <c r="I304" s="137"/>
      <c r="J304" s="137"/>
      <c r="K304" s="129"/>
      <c r="L304" s="323"/>
      <c r="N304" s="121"/>
      <c r="O304" s="359"/>
      <c r="P304" s="359"/>
      <c r="Q304" s="119"/>
      <c r="R304" s="119"/>
      <c r="S304" s="121"/>
      <c r="T304" s="119"/>
      <c r="U304" s="119"/>
      <c r="V304" s="119"/>
      <c r="W304" s="119"/>
      <c r="X304" s="158"/>
    </row>
    <row r="305">
      <c r="C305" s="172"/>
      <c r="D305" s="172"/>
      <c r="E305" s="172"/>
      <c r="F305" s="172"/>
      <c r="G305" s="173"/>
      <c r="H305" s="137"/>
      <c r="I305" s="137"/>
      <c r="J305" s="137"/>
      <c r="K305" s="129"/>
      <c r="L305" s="323"/>
      <c r="N305" s="121"/>
      <c r="O305" s="359"/>
      <c r="P305" s="359"/>
      <c r="Q305" s="119"/>
      <c r="R305" s="119"/>
      <c r="S305" s="121"/>
      <c r="T305" s="119"/>
      <c r="U305" s="119"/>
      <c r="V305" s="119"/>
      <c r="W305" s="119"/>
      <c r="X305" s="158"/>
    </row>
    <row r="306">
      <c r="C306" s="172"/>
      <c r="D306" s="172"/>
      <c r="E306" s="172"/>
      <c r="F306" s="172"/>
      <c r="G306" s="173"/>
      <c r="H306" s="137"/>
      <c r="I306" s="137"/>
      <c r="J306" s="137"/>
      <c r="K306" s="129"/>
      <c r="L306" s="323"/>
      <c r="N306" s="121"/>
      <c r="O306" s="359"/>
      <c r="P306" s="359"/>
      <c r="Q306" s="119"/>
      <c r="R306" s="119"/>
      <c r="S306" s="121"/>
      <c r="T306" s="119"/>
      <c r="U306" s="119"/>
      <c r="V306" s="119"/>
      <c r="W306" s="119"/>
      <c r="X306" s="158"/>
    </row>
    <row r="307">
      <c r="C307" s="172"/>
      <c r="D307" s="172"/>
      <c r="E307" s="172"/>
      <c r="F307" s="172"/>
      <c r="G307" s="173"/>
      <c r="H307" s="137"/>
      <c r="I307" s="137"/>
      <c r="J307" s="137"/>
      <c r="K307" s="129"/>
      <c r="L307" s="323"/>
      <c r="N307" s="121"/>
      <c r="O307" s="359"/>
      <c r="P307" s="359"/>
      <c r="Q307" s="119"/>
      <c r="R307" s="119"/>
      <c r="S307" s="121"/>
      <c r="T307" s="119"/>
      <c r="U307" s="119"/>
      <c r="V307" s="119"/>
      <c r="W307" s="119"/>
      <c r="X307" s="158"/>
    </row>
    <row r="308">
      <c r="C308" s="172"/>
      <c r="D308" s="172"/>
      <c r="E308" s="172"/>
      <c r="F308" s="172"/>
      <c r="G308" s="173"/>
      <c r="H308" s="137"/>
      <c r="I308" s="137"/>
      <c r="J308" s="137"/>
      <c r="K308" s="129"/>
      <c r="L308" s="323"/>
      <c r="N308" s="121"/>
      <c r="O308" s="359"/>
      <c r="P308" s="359"/>
      <c r="Q308" s="119"/>
      <c r="R308" s="119"/>
      <c r="S308" s="121"/>
      <c r="T308" s="119"/>
      <c r="U308" s="119"/>
      <c r="V308" s="119"/>
      <c r="W308" s="119"/>
      <c r="X308" s="158"/>
    </row>
    <row r="309">
      <c r="C309" s="172"/>
      <c r="D309" s="172"/>
      <c r="E309" s="172"/>
      <c r="F309" s="172"/>
      <c r="G309" s="173"/>
      <c r="H309" s="137"/>
      <c r="I309" s="137"/>
      <c r="J309" s="137"/>
      <c r="K309" s="129"/>
      <c r="L309" s="323"/>
      <c r="N309" s="121"/>
      <c r="O309" s="359"/>
      <c r="P309" s="359"/>
      <c r="Q309" s="119"/>
      <c r="R309" s="119"/>
      <c r="S309" s="121"/>
      <c r="T309" s="119"/>
      <c r="U309" s="119"/>
      <c r="V309" s="119"/>
      <c r="W309" s="119"/>
      <c r="X309" s="158"/>
    </row>
    <row r="310">
      <c r="C310" s="172"/>
      <c r="D310" s="172"/>
      <c r="E310" s="172"/>
      <c r="F310" s="172"/>
      <c r="G310" s="173"/>
      <c r="H310" s="137"/>
      <c r="I310" s="137"/>
      <c r="J310" s="137"/>
      <c r="K310" s="129"/>
      <c r="L310" s="323"/>
      <c r="N310" s="121"/>
      <c r="O310" s="359"/>
      <c r="P310" s="359"/>
      <c r="Q310" s="119"/>
      <c r="R310" s="119"/>
      <c r="S310" s="121"/>
      <c r="T310" s="119"/>
      <c r="U310" s="119"/>
      <c r="V310" s="119"/>
      <c r="W310" s="119"/>
      <c r="X310" s="158"/>
    </row>
    <row r="311">
      <c r="C311" s="172"/>
      <c r="D311" s="172"/>
      <c r="E311" s="172"/>
      <c r="F311" s="172"/>
      <c r="G311" s="173"/>
      <c r="H311" s="137"/>
      <c r="I311" s="137"/>
      <c r="J311" s="137"/>
      <c r="K311" s="129"/>
      <c r="L311" s="323"/>
      <c r="N311" s="121"/>
      <c r="O311" s="359"/>
      <c r="P311" s="359"/>
      <c r="Q311" s="119"/>
      <c r="R311" s="119"/>
      <c r="S311" s="121"/>
      <c r="T311" s="119"/>
      <c r="U311" s="119"/>
      <c r="V311" s="119"/>
      <c r="W311" s="119"/>
      <c r="X311" s="158"/>
    </row>
    <row r="312">
      <c r="C312" s="172"/>
      <c r="D312" s="172"/>
      <c r="E312" s="172"/>
      <c r="F312" s="172"/>
      <c r="G312" s="173"/>
      <c r="H312" s="137"/>
      <c r="I312" s="137"/>
      <c r="J312" s="137"/>
      <c r="K312" s="129"/>
      <c r="L312" s="323"/>
      <c r="N312" s="121"/>
      <c r="O312" s="359"/>
      <c r="P312" s="359"/>
      <c r="Q312" s="119"/>
      <c r="R312" s="119"/>
      <c r="S312" s="121"/>
      <c r="T312" s="119"/>
      <c r="U312" s="119"/>
      <c r="V312" s="119"/>
      <c r="W312" s="119"/>
      <c r="X312" s="158"/>
    </row>
    <row r="313">
      <c r="C313" s="172"/>
      <c r="D313" s="172"/>
      <c r="E313" s="172"/>
      <c r="F313" s="172"/>
      <c r="G313" s="173"/>
      <c r="H313" s="137"/>
      <c r="I313" s="137"/>
      <c r="J313" s="137"/>
      <c r="K313" s="129"/>
      <c r="L313" s="323"/>
      <c r="N313" s="121"/>
      <c r="O313" s="359"/>
      <c r="P313" s="359"/>
      <c r="Q313" s="119"/>
      <c r="R313" s="119"/>
      <c r="S313" s="121"/>
      <c r="T313" s="119"/>
      <c r="U313" s="119"/>
      <c r="V313" s="119"/>
      <c r="W313" s="119"/>
      <c r="X313" s="158"/>
    </row>
    <row r="314">
      <c r="C314" s="172"/>
      <c r="D314" s="172"/>
      <c r="E314" s="172"/>
      <c r="F314" s="172"/>
      <c r="G314" s="173"/>
      <c r="H314" s="137"/>
      <c r="I314" s="137"/>
      <c r="J314" s="137"/>
      <c r="K314" s="129"/>
      <c r="L314" s="323"/>
      <c r="N314" s="121"/>
      <c r="O314" s="359"/>
      <c r="P314" s="359"/>
      <c r="Q314" s="119"/>
      <c r="R314" s="119"/>
      <c r="S314" s="121"/>
      <c r="T314" s="119"/>
      <c r="U314" s="119"/>
      <c r="V314" s="119"/>
      <c r="W314" s="119"/>
      <c r="X314" s="158"/>
    </row>
    <row r="315">
      <c r="C315" s="172"/>
      <c r="D315" s="172"/>
      <c r="E315" s="172"/>
      <c r="F315" s="172"/>
      <c r="G315" s="173"/>
      <c r="H315" s="137"/>
      <c r="I315" s="137"/>
      <c r="J315" s="137"/>
      <c r="K315" s="129"/>
      <c r="L315" s="323"/>
      <c r="N315" s="121"/>
      <c r="O315" s="359"/>
      <c r="P315" s="359"/>
      <c r="Q315" s="119"/>
      <c r="R315" s="119"/>
      <c r="S315" s="121"/>
      <c r="T315" s="119"/>
      <c r="U315" s="119"/>
      <c r="V315" s="119"/>
      <c r="W315" s="119"/>
      <c r="X315" s="158"/>
    </row>
    <row r="316">
      <c r="C316" s="172"/>
      <c r="D316" s="172"/>
      <c r="E316" s="172"/>
      <c r="F316" s="172"/>
      <c r="G316" s="173"/>
      <c r="H316" s="137"/>
      <c r="I316" s="137"/>
      <c r="J316" s="137"/>
      <c r="K316" s="129"/>
      <c r="L316" s="323"/>
      <c r="N316" s="121"/>
      <c r="O316" s="359"/>
      <c r="P316" s="359"/>
      <c r="Q316" s="119"/>
      <c r="R316" s="119"/>
      <c r="S316" s="121"/>
      <c r="T316" s="119"/>
      <c r="U316" s="119"/>
      <c r="V316" s="119"/>
      <c r="W316" s="119"/>
      <c r="X316" s="158"/>
    </row>
    <row r="317">
      <c r="C317" s="172"/>
      <c r="D317" s="172"/>
      <c r="E317" s="172"/>
      <c r="F317" s="172"/>
      <c r="G317" s="173"/>
      <c r="H317" s="137"/>
      <c r="I317" s="137"/>
      <c r="J317" s="137"/>
      <c r="K317" s="129"/>
      <c r="L317" s="323"/>
      <c r="N317" s="121"/>
      <c r="O317" s="359"/>
      <c r="P317" s="359"/>
      <c r="Q317" s="119"/>
      <c r="R317" s="119"/>
      <c r="S317" s="121"/>
      <c r="T317" s="119"/>
      <c r="U317" s="119"/>
      <c r="V317" s="119"/>
      <c r="W317" s="119"/>
      <c r="X317" s="158"/>
    </row>
    <row r="318">
      <c r="C318" s="172"/>
      <c r="D318" s="172"/>
      <c r="E318" s="172"/>
      <c r="F318" s="172"/>
      <c r="G318" s="173"/>
      <c r="H318" s="137"/>
      <c r="I318" s="137"/>
      <c r="J318" s="137"/>
      <c r="K318" s="129"/>
      <c r="L318" s="323"/>
      <c r="N318" s="121"/>
      <c r="O318" s="359"/>
      <c r="P318" s="359"/>
      <c r="Q318" s="119"/>
      <c r="R318" s="119"/>
      <c r="S318" s="121"/>
      <c r="T318" s="119"/>
      <c r="U318" s="119"/>
      <c r="V318" s="119"/>
      <c r="W318" s="119"/>
      <c r="X318" s="158"/>
    </row>
    <row r="319">
      <c r="C319" s="172"/>
      <c r="D319" s="172"/>
      <c r="E319" s="172"/>
      <c r="F319" s="172"/>
      <c r="G319" s="173"/>
      <c r="H319" s="137"/>
      <c r="I319" s="137"/>
      <c r="J319" s="137"/>
      <c r="K319" s="129"/>
      <c r="L319" s="323"/>
      <c r="N319" s="121"/>
      <c r="O319" s="359"/>
      <c r="P319" s="359"/>
      <c r="Q319" s="119"/>
      <c r="R319" s="119"/>
      <c r="S319" s="121"/>
      <c r="T319" s="119"/>
      <c r="U319" s="119"/>
      <c r="V319" s="119"/>
      <c r="W319" s="119"/>
      <c r="X319" s="158"/>
    </row>
    <row r="320">
      <c r="C320" s="172"/>
      <c r="D320" s="172"/>
      <c r="E320" s="172"/>
      <c r="F320" s="172"/>
      <c r="G320" s="173"/>
      <c r="H320" s="137"/>
      <c r="I320" s="137"/>
      <c r="J320" s="137"/>
      <c r="K320" s="129"/>
      <c r="L320" s="323"/>
      <c r="N320" s="121"/>
      <c r="O320" s="359"/>
      <c r="P320" s="359"/>
      <c r="Q320" s="119"/>
      <c r="R320" s="119"/>
      <c r="S320" s="121"/>
      <c r="T320" s="119"/>
      <c r="U320" s="119"/>
      <c r="V320" s="119"/>
      <c r="W320" s="119"/>
      <c r="X320" s="158"/>
    </row>
    <row r="321">
      <c r="C321" s="172"/>
      <c r="D321" s="172"/>
      <c r="E321" s="172"/>
      <c r="F321" s="172"/>
      <c r="G321" s="173"/>
      <c r="H321" s="137"/>
      <c r="I321" s="137"/>
      <c r="J321" s="137"/>
      <c r="K321" s="129"/>
      <c r="L321" s="323"/>
      <c r="N321" s="121"/>
      <c r="O321" s="359"/>
      <c r="P321" s="359"/>
      <c r="Q321" s="119"/>
      <c r="R321" s="119"/>
      <c r="S321" s="121"/>
      <c r="T321" s="119"/>
      <c r="U321" s="119"/>
      <c r="V321" s="119"/>
      <c r="W321" s="119"/>
      <c r="X321" s="158"/>
    </row>
    <row r="322">
      <c r="C322" s="172"/>
      <c r="D322" s="172"/>
      <c r="E322" s="172"/>
      <c r="F322" s="172"/>
      <c r="G322" s="173"/>
      <c r="H322" s="137"/>
      <c r="I322" s="137"/>
      <c r="J322" s="137"/>
      <c r="K322" s="129"/>
      <c r="L322" s="323"/>
      <c r="N322" s="121"/>
      <c r="O322" s="359"/>
      <c r="P322" s="359"/>
      <c r="Q322" s="119"/>
      <c r="R322" s="119"/>
      <c r="S322" s="121"/>
      <c r="T322" s="119"/>
      <c r="U322" s="119"/>
      <c r="V322" s="119"/>
      <c r="W322" s="119"/>
      <c r="X322" s="158"/>
    </row>
    <row r="323">
      <c r="C323" s="172"/>
      <c r="D323" s="172"/>
      <c r="E323" s="172"/>
      <c r="F323" s="172"/>
      <c r="G323" s="173"/>
      <c r="H323" s="137"/>
      <c r="I323" s="137"/>
      <c r="J323" s="137"/>
      <c r="K323" s="129"/>
      <c r="L323" s="323"/>
      <c r="N323" s="121"/>
      <c r="O323" s="359"/>
      <c r="P323" s="359"/>
      <c r="Q323" s="119"/>
      <c r="R323" s="119"/>
      <c r="S323" s="121"/>
      <c r="T323" s="119"/>
      <c r="U323" s="119"/>
      <c r="V323" s="119"/>
      <c r="W323" s="119"/>
      <c r="X323" s="158"/>
    </row>
    <row r="324">
      <c r="C324" s="172"/>
      <c r="D324" s="172"/>
      <c r="E324" s="172"/>
      <c r="F324" s="172"/>
      <c r="G324" s="173"/>
      <c r="H324" s="137"/>
      <c r="I324" s="137"/>
      <c r="J324" s="137"/>
      <c r="K324" s="129"/>
      <c r="L324" s="323"/>
      <c r="N324" s="121"/>
      <c r="O324" s="359"/>
      <c r="P324" s="359"/>
      <c r="Q324" s="119"/>
      <c r="R324" s="119"/>
      <c r="S324" s="121"/>
      <c r="T324" s="119"/>
      <c r="U324" s="119"/>
      <c r="V324" s="119"/>
      <c r="W324" s="119"/>
      <c r="X324" s="158"/>
    </row>
    <row r="325">
      <c r="C325" s="172"/>
      <c r="D325" s="172"/>
      <c r="E325" s="172"/>
      <c r="F325" s="172"/>
      <c r="G325" s="173"/>
      <c r="H325" s="137"/>
      <c r="I325" s="137"/>
      <c r="J325" s="137"/>
      <c r="K325" s="129"/>
      <c r="L325" s="323"/>
      <c r="N325" s="121"/>
      <c r="O325" s="359"/>
      <c r="P325" s="359"/>
      <c r="Q325" s="119"/>
      <c r="R325" s="119"/>
      <c r="S325" s="121"/>
      <c r="T325" s="119"/>
      <c r="U325" s="119"/>
      <c r="V325" s="119"/>
      <c r="W325" s="119"/>
      <c r="X325" s="158"/>
    </row>
    <row r="326">
      <c r="C326" s="172"/>
      <c r="D326" s="172"/>
      <c r="E326" s="172"/>
      <c r="F326" s="172"/>
      <c r="G326" s="173"/>
      <c r="H326" s="137"/>
      <c r="I326" s="137"/>
      <c r="J326" s="137"/>
      <c r="K326" s="129"/>
      <c r="L326" s="323"/>
      <c r="N326" s="121"/>
      <c r="O326" s="359"/>
      <c r="P326" s="359"/>
      <c r="Q326" s="119"/>
      <c r="R326" s="119"/>
      <c r="S326" s="121"/>
      <c r="T326" s="119"/>
      <c r="U326" s="119"/>
      <c r="V326" s="119"/>
      <c r="W326" s="119"/>
      <c r="X326" s="158"/>
    </row>
    <row r="327">
      <c r="C327" s="172"/>
      <c r="D327" s="172"/>
      <c r="E327" s="172"/>
      <c r="F327" s="172"/>
      <c r="G327" s="173"/>
      <c r="H327" s="137"/>
      <c r="I327" s="137"/>
      <c r="J327" s="137"/>
      <c r="K327" s="129"/>
      <c r="L327" s="323"/>
      <c r="N327" s="121"/>
      <c r="O327" s="359"/>
      <c r="P327" s="359"/>
      <c r="Q327" s="119"/>
      <c r="R327" s="119"/>
      <c r="S327" s="121"/>
      <c r="T327" s="119"/>
      <c r="U327" s="119"/>
      <c r="V327" s="119"/>
      <c r="W327" s="119"/>
      <c r="X327" s="158"/>
    </row>
    <row r="328">
      <c r="C328" s="172"/>
      <c r="D328" s="172"/>
      <c r="E328" s="172"/>
      <c r="F328" s="172"/>
      <c r="G328" s="173"/>
      <c r="H328" s="137"/>
      <c r="I328" s="137"/>
      <c r="J328" s="137"/>
      <c r="K328" s="129"/>
      <c r="L328" s="323"/>
      <c r="N328" s="121"/>
      <c r="O328" s="359"/>
      <c r="P328" s="359"/>
      <c r="Q328" s="119"/>
      <c r="R328" s="119"/>
      <c r="S328" s="121"/>
      <c r="T328" s="119"/>
      <c r="U328" s="119"/>
      <c r="V328" s="119"/>
      <c r="W328" s="119"/>
      <c r="X328" s="158"/>
    </row>
    <row r="329">
      <c r="C329" s="172"/>
      <c r="D329" s="172"/>
      <c r="E329" s="172"/>
      <c r="F329" s="172"/>
      <c r="G329" s="173"/>
      <c r="H329" s="137"/>
      <c r="I329" s="137"/>
      <c r="J329" s="137"/>
      <c r="K329" s="129"/>
      <c r="L329" s="323"/>
      <c r="N329" s="121"/>
      <c r="O329" s="359"/>
      <c r="P329" s="359"/>
      <c r="Q329" s="119"/>
      <c r="R329" s="119"/>
      <c r="S329" s="121"/>
      <c r="T329" s="119"/>
      <c r="U329" s="119"/>
      <c r="V329" s="119"/>
      <c r="W329" s="119"/>
      <c r="X329" s="158"/>
    </row>
    <row r="330">
      <c r="C330" s="172"/>
      <c r="D330" s="172"/>
      <c r="E330" s="172"/>
      <c r="F330" s="172"/>
      <c r="G330" s="173"/>
      <c r="H330" s="137"/>
      <c r="I330" s="137"/>
      <c r="J330" s="137"/>
      <c r="K330" s="129"/>
      <c r="L330" s="323"/>
      <c r="N330" s="121"/>
      <c r="O330" s="359"/>
      <c r="P330" s="359"/>
      <c r="Q330" s="119"/>
      <c r="R330" s="119"/>
      <c r="S330" s="121"/>
      <c r="T330" s="119"/>
      <c r="U330" s="119"/>
      <c r="V330" s="119"/>
      <c r="W330" s="119"/>
      <c r="X330" s="158"/>
    </row>
    <row r="331">
      <c r="C331" s="172"/>
      <c r="D331" s="172"/>
      <c r="E331" s="172"/>
      <c r="F331" s="172"/>
      <c r="G331" s="173"/>
      <c r="H331" s="137"/>
      <c r="I331" s="137"/>
      <c r="J331" s="137"/>
      <c r="K331" s="129"/>
      <c r="L331" s="323"/>
      <c r="N331" s="121"/>
      <c r="O331" s="359"/>
      <c r="P331" s="359"/>
      <c r="Q331" s="119"/>
      <c r="R331" s="119"/>
      <c r="S331" s="121"/>
      <c r="T331" s="119"/>
      <c r="U331" s="119"/>
      <c r="V331" s="119"/>
      <c r="W331" s="119"/>
      <c r="X331" s="158"/>
    </row>
    <row r="332">
      <c r="C332" s="172"/>
      <c r="D332" s="172"/>
      <c r="E332" s="172"/>
      <c r="F332" s="172"/>
      <c r="G332" s="173"/>
      <c r="H332" s="137"/>
      <c r="I332" s="137"/>
      <c r="J332" s="137"/>
      <c r="K332" s="129"/>
      <c r="L332" s="323"/>
      <c r="N332" s="121"/>
      <c r="O332" s="359"/>
      <c r="P332" s="359"/>
      <c r="Q332" s="119"/>
      <c r="R332" s="119"/>
      <c r="S332" s="121"/>
      <c r="T332" s="119"/>
      <c r="U332" s="119"/>
      <c r="V332" s="119"/>
      <c r="W332" s="119"/>
      <c r="X332" s="158"/>
    </row>
    <row r="333">
      <c r="C333" s="172"/>
      <c r="D333" s="172"/>
      <c r="E333" s="172"/>
      <c r="F333" s="172"/>
      <c r="G333" s="173"/>
      <c r="H333" s="137"/>
      <c r="I333" s="137"/>
      <c r="J333" s="137"/>
      <c r="K333" s="129"/>
      <c r="L333" s="323"/>
      <c r="N333" s="121"/>
      <c r="O333" s="359"/>
      <c r="P333" s="359"/>
      <c r="Q333" s="119"/>
      <c r="R333" s="119"/>
      <c r="S333" s="121"/>
      <c r="T333" s="119"/>
      <c r="U333" s="119"/>
      <c r="V333" s="119"/>
      <c r="W333" s="119"/>
      <c r="X333" s="158"/>
    </row>
    <row r="334">
      <c r="C334" s="172"/>
      <c r="D334" s="172"/>
      <c r="E334" s="172"/>
      <c r="F334" s="172"/>
      <c r="G334" s="173"/>
      <c r="H334" s="137"/>
      <c r="I334" s="137"/>
      <c r="J334" s="137"/>
      <c r="K334" s="129"/>
      <c r="L334" s="323"/>
      <c r="N334" s="121"/>
      <c r="O334" s="359"/>
      <c r="P334" s="359"/>
      <c r="Q334" s="119"/>
      <c r="R334" s="119"/>
      <c r="S334" s="121"/>
      <c r="T334" s="119"/>
      <c r="U334" s="119"/>
      <c r="V334" s="119"/>
      <c r="W334" s="119"/>
      <c r="X334" s="158"/>
    </row>
    <row r="335">
      <c r="C335" s="172"/>
      <c r="D335" s="172"/>
      <c r="E335" s="172"/>
      <c r="F335" s="172"/>
      <c r="G335" s="173"/>
      <c r="H335" s="137"/>
      <c r="I335" s="137"/>
      <c r="J335" s="137"/>
      <c r="K335" s="129"/>
      <c r="L335" s="323"/>
      <c r="N335" s="121"/>
      <c r="O335" s="359"/>
      <c r="P335" s="359"/>
      <c r="Q335" s="119"/>
      <c r="R335" s="119"/>
      <c r="S335" s="121"/>
      <c r="T335" s="119"/>
      <c r="U335" s="119"/>
      <c r="V335" s="119"/>
      <c r="W335" s="119"/>
      <c r="X335" s="158"/>
    </row>
    <row r="336">
      <c r="C336" s="172"/>
      <c r="D336" s="172"/>
      <c r="E336" s="172"/>
      <c r="F336" s="172"/>
      <c r="G336" s="173"/>
      <c r="H336" s="137"/>
      <c r="I336" s="137"/>
      <c r="J336" s="137"/>
      <c r="K336" s="129"/>
      <c r="L336" s="323"/>
      <c r="N336" s="121"/>
      <c r="O336" s="359"/>
      <c r="P336" s="359"/>
      <c r="Q336" s="119"/>
      <c r="R336" s="119"/>
      <c r="S336" s="121"/>
      <c r="T336" s="119"/>
      <c r="U336" s="119"/>
      <c r="V336" s="119"/>
      <c r="W336" s="119"/>
      <c r="X336" s="158"/>
    </row>
    <row r="337">
      <c r="C337" s="172"/>
      <c r="D337" s="172"/>
      <c r="E337" s="172"/>
      <c r="F337" s="172"/>
      <c r="G337" s="173"/>
      <c r="H337" s="137"/>
      <c r="I337" s="137"/>
      <c r="J337" s="137"/>
      <c r="K337" s="129"/>
      <c r="L337" s="323"/>
      <c r="N337" s="121"/>
      <c r="O337" s="359"/>
      <c r="P337" s="359"/>
      <c r="Q337" s="119"/>
      <c r="R337" s="119"/>
      <c r="S337" s="121"/>
      <c r="T337" s="119"/>
      <c r="U337" s="119"/>
      <c r="V337" s="119"/>
      <c r="W337" s="119"/>
      <c r="X337" s="158"/>
    </row>
    <row r="338">
      <c r="C338" s="172"/>
      <c r="D338" s="172"/>
      <c r="E338" s="172"/>
      <c r="F338" s="172"/>
      <c r="G338" s="173"/>
      <c r="H338" s="137"/>
      <c r="I338" s="137"/>
      <c r="J338" s="137"/>
      <c r="K338" s="129"/>
      <c r="L338" s="323"/>
      <c r="N338" s="121"/>
      <c r="O338" s="359"/>
      <c r="P338" s="359"/>
      <c r="Q338" s="119"/>
      <c r="R338" s="119"/>
      <c r="S338" s="121"/>
      <c r="T338" s="119"/>
      <c r="U338" s="119"/>
      <c r="V338" s="119"/>
      <c r="W338" s="119"/>
      <c r="X338" s="158"/>
    </row>
    <row r="339">
      <c r="C339" s="172"/>
      <c r="D339" s="172"/>
      <c r="E339" s="172"/>
      <c r="F339" s="172"/>
      <c r="G339" s="173"/>
      <c r="H339" s="137"/>
      <c r="I339" s="137"/>
      <c r="J339" s="137"/>
      <c r="K339" s="129"/>
      <c r="L339" s="323"/>
      <c r="N339" s="121"/>
      <c r="O339" s="359"/>
      <c r="P339" s="359"/>
      <c r="Q339" s="119"/>
      <c r="R339" s="119"/>
      <c r="S339" s="121"/>
      <c r="T339" s="119"/>
      <c r="U339" s="119"/>
      <c r="V339" s="119"/>
      <c r="W339" s="119"/>
      <c r="X339" s="158"/>
    </row>
    <row r="340">
      <c r="C340" s="172"/>
      <c r="D340" s="172"/>
      <c r="E340" s="172"/>
      <c r="F340" s="172"/>
      <c r="G340" s="173"/>
      <c r="H340" s="137"/>
      <c r="I340" s="137"/>
      <c r="J340" s="137"/>
      <c r="K340" s="129"/>
      <c r="L340" s="323"/>
      <c r="N340" s="121"/>
      <c r="O340" s="359"/>
      <c r="P340" s="359"/>
      <c r="Q340" s="119"/>
      <c r="R340" s="119"/>
      <c r="S340" s="121"/>
      <c r="T340" s="119"/>
      <c r="U340" s="119"/>
      <c r="V340" s="119"/>
      <c r="W340" s="119"/>
      <c r="X340" s="158"/>
    </row>
    <row r="341">
      <c r="C341" s="172"/>
      <c r="D341" s="172"/>
      <c r="E341" s="172"/>
      <c r="F341" s="172"/>
      <c r="G341" s="173"/>
      <c r="H341" s="137"/>
      <c r="I341" s="137"/>
      <c r="J341" s="137"/>
      <c r="K341" s="129"/>
      <c r="L341" s="323"/>
      <c r="N341" s="121"/>
      <c r="O341" s="359"/>
      <c r="P341" s="359"/>
      <c r="Q341" s="119"/>
      <c r="R341" s="119"/>
      <c r="S341" s="121"/>
      <c r="T341" s="119"/>
      <c r="U341" s="119"/>
      <c r="V341" s="119"/>
      <c r="W341" s="119"/>
      <c r="X341" s="158"/>
    </row>
    <row r="342">
      <c r="C342" s="172"/>
      <c r="D342" s="172"/>
      <c r="E342" s="172"/>
      <c r="F342" s="172"/>
      <c r="G342" s="173"/>
      <c r="H342" s="137"/>
      <c r="I342" s="137"/>
      <c r="J342" s="137"/>
      <c r="K342" s="129"/>
      <c r="L342" s="323"/>
      <c r="N342" s="121"/>
      <c r="O342" s="359"/>
      <c r="P342" s="359"/>
      <c r="Q342" s="119"/>
      <c r="R342" s="119"/>
      <c r="S342" s="121"/>
      <c r="T342" s="119"/>
      <c r="U342" s="119"/>
      <c r="V342" s="119"/>
      <c r="W342" s="119"/>
      <c r="X342" s="158"/>
    </row>
    <row r="343">
      <c r="C343" s="172"/>
      <c r="D343" s="172"/>
      <c r="E343" s="172"/>
      <c r="F343" s="172"/>
      <c r="G343" s="173"/>
      <c r="H343" s="137"/>
      <c r="I343" s="137"/>
      <c r="J343" s="137"/>
      <c r="K343" s="129"/>
      <c r="L343" s="323"/>
      <c r="N343" s="121"/>
      <c r="O343" s="359"/>
      <c r="P343" s="359"/>
      <c r="Q343" s="119"/>
      <c r="R343" s="119"/>
      <c r="S343" s="121"/>
      <c r="T343" s="119"/>
      <c r="U343" s="119"/>
      <c r="V343" s="119"/>
      <c r="W343" s="119"/>
      <c r="X343" s="158"/>
    </row>
    <row r="344">
      <c r="C344" s="172"/>
      <c r="D344" s="172"/>
      <c r="E344" s="172"/>
      <c r="F344" s="172"/>
      <c r="G344" s="173"/>
      <c r="H344" s="137"/>
      <c r="I344" s="137"/>
      <c r="J344" s="137"/>
      <c r="K344" s="129"/>
      <c r="L344" s="323"/>
      <c r="N344" s="121"/>
      <c r="O344" s="359"/>
      <c r="P344" s="359"/>
      <c r="Q344" s="119"/>
      <c r="R344" s="119"/>
      <c r="S344" s="121"/>
      <c r="T344" s="119"/>
      <c r="U344" s="119"/>
      <c r="V344" s="119"/>
      <c r="W344" s="119"/>
      <c r="X344" s="158"/>
    </row>
    <row r="345">
      <c r="C345" s="172"/>
      <c r="D345" s="172"/>
      <c r="E345" s="172"/>
      <c r="F345" s="172"/>
      <c r="G345" s="173"/>
      <c r="H345" s="137"/>
      <c r="I345" s="137"/>
      <c r="J345" s="137"/>
      <c r="K345" s="129"/>
      <c r="L345" s="323"/>
      <c r="N345" s="121"/>
      <c r="O345" s="359"/>
      <c r="P345" s="359"/>
      <c r="Q345" s="119"/>
      <c r="R345" s="119"/>
      <c r="S345" s="121"/>
      <c r="T345" s="119"/>
      <c r="U345" s="119"/>
      <c r="V345" s="119"/>
      <c r="W345" s="119"/>
      <c r="X345" s="158"/>
    </row>
    <row r="346">
      <c r="C346" s="172"/>
      <c r="D346" s="172"/>
      <c r="E346" s="172"/>
      <c r="F346" s="172"/>
      <c r="G346" s="173"/>
      <c r="H346" s="137"/>
      <c r="I346" s="137"/>
      <c r="J346" s="137"/>
      <c r="K346" s="129"/>
      <c r="L346" s="323"/>
      <c r="N346" s="121"/>
      <c r="O346" s="359"/>
      <c r="P346" s="359"/>
      <c r="Q346" s="119"/>
      <c r="R346" s="119"/>
      <c r="S346" s="121"/>
      <c r="T346" s="119"/>
      <c r="U346" s="119"/>
      <c r="V346" s="119"/>
      <c r="W346" s="119"/>
      <c r="X346" s="158"/>
    </row>
    <row r="347">
      <c r="C347" s="172"/>
      <c r="D347" s="172"/>
      <c r="E347" s="172"/>
      <c r="F347" s="172"/>
      <c r="G347" s="173"/>
      <c r="H347" s="137"/>
      <c r="I347" s="137"/>
      <c r="J347" s="137"/>
      <c r="K347" s="129"/>
      <c r="L347" s="323"/>
      <c r="N347" s="121"/>
      <c r="O347" s="359"/>
      <c r="P347" s="359"/>
      <c r="Q347" s="119"/>
      <c r="R347" s="119"/>
      <c r="S347" s="121"/>
      <c r="T347" s="119"/>
      <c r="U347" s="119"/>
      <c r="V347" s="119"/>
      <c r="W347" s="119"/>
      <c r="X347" s="158"/>
    </row>
    <row r="348">
      <c r="C348" s="172"/>
      <c r="D348" s="172"/>
      <c r="E348" s="172"/>
      <c r="F348" s="172"/>
      <c r="G348" s="173"/>
      <c r="H348" s="137"/>
      <c r="I348" s="137"/>
      <c r="J348" s="137"/>
      <c r="K348" s="129"/>
      <c r="L348" s="323"/>
      <c r="N348" s="121"/>
      <c r="O348" s="359"/>
      <c r="P348" s="359"/>
      <c r="Q348" s="119"/>
      <c r="R348" s="119"/>
      <c r="S348" s="121"/>
      <c r="T348" s="119"/>
      <c r="U348" s="119"/>
      <c r="V348" s="119"/>
      <c r="W348" s="119"/>
      <c r="X348" s="158"/>
    </row>
    <row r="349">
      <c r="C349" s="172"/>
      <c r="D349" s="172"/>
      <c r="E349" s="172"/>
      <c r="F349" s="172"/>
      <c r="G349" s="173"/>
      <c r="H349" s="137"/>
      <c r="I349" s="137"/>
      <c r="J349" s="137"/>
      <c r="K349" s="129"/>
      <c r="L349" s="323"/>
      <c r="N349" s="121"/>
      <c r="O349" s="359"/>
      <c r="P349" s="359"/>
      <c r="Q349" s="119"/>
      <c r="R349" s="119"/>
      <c r="S349" s="121"/>
      <c r="T349" s="119"/>
      <c r="U349" s="119"/>
      <c r="V349" s="119"/>
      <c r="W349" s="119"/>
      <c r="X349" s="158"/>
    </row>
    <row r="350">
      <c r="C350" s="172"/>
      <c r="D350" s="172"/>
      <c r="E350" s="172"/>
      <c r="F350" s="172"/>
      <c r="G350" s="173"/>
      <c r="H350" s="137"/>
      <c r="I350" s="137"/>
      <c r="J350" s="137"/>
      <c r="K350" s="129"/>
      <c r="L350" s="323"/>
      <c r="N350" s="121"/>
      <c r="O350" s="359"/>
      <c r="P350" s="359"/>
      <c r="Q350" s="119"/>
      <c r="R350" s="119"/>
      <c r="S350" s="121"/>
      <c r="T350" s="119"/>
      <c r="U350" s="119"/>
      <c r="V350" s="119"/>
      <c r="W350" s="119"/>
      <c r="X350" s="158"/>
    </row>
    <row r="351">
      <c r="C351" s="172"/>
      <c r="D351" s="172"/>
      <c r="E351" s="172"/>
      <c r="F351" s="172"/>
      <c r="G351" s="173"/>
      <c r="H351" s="137"/>
      <c r="I351" s="137"/>
      <c r="J351" s="137"/>
      <c r="K351" s="129"/>
      <c r="L351" s="323"/>
      <c r="N351" s="121"/>
      <c r="O351" s="359"/>
      <c r="P351" s="359"/>
      <c r="Q351" s="119"/>
      <c r="R351" s="119"/>
      <c r="S351" s="121"/>
      <c r="T351" s="119"/>
      <c r="U351" s="119"/>
      <c r="V351" s="119"/>
      <c r="W351" s="119"/>
      <c r="X351" s="158"/>
    </row>
    <row r="352">
      <c r="C352" s="172"/>
      <c r="D352" s="172"/>
      <c r="E352" s="172"/>
      <c r="F352" s="172"/>
      <c r="G352" s="173"/>
      <c r="H352" s="137"/>
      <c r="I352" s="137"/>
      <c r="J352" s="137"/>
      <c r="K352" s="129"/>
      <c r="L352" s="323"/>
      <c r="N352" s="121"/>
      <c r="O352" s="359"/>
      <c r="P352" s="359"/>
      <c r="Q352" s="119"/>
      <c r="R352" s="119"/>
      <c r="S352" s="121"/>
      <c r="T352" s="119"/>
      <c r="U352" s="119"/>
      <c r="V352" s="119"/>
      <c r="W352" s="119"/>
      <c r="X352" s="158"/>
    </row>
    <row r="353">
      <c r="C353" s="172"/>
      <c r="D353" s="172"/>
      <c r="E353" s="172"/>
      <c r="F353" s="172"/>
      <c r="G353" s="173"/>
      <c r="H353" s="137"/>
      <c r="I353" s="137"/>
      <c r="J353" s="137"/>
      <c r="K353" s="129"/>
      <c r="L353" s="323"/>
      <c r="N353" s="121"/>
      <c r="O353" s="359"/>
      <c r="P353" s="359"/>
      <c r="Q353" s="119"/>
      <c r="R353" s="119"/>
      <c r="S353" s="121"/>
      <c r="T353" s="119"/>
      <c r="U353" s="119"/>
      <c r="V353" s="119"/>
      <c r="W353" s="119"/>
      <c r="X353" s="158"/>
    </row>
    <row r="354">
      <c r="C354" s="172"/>
      <c r="D354" s="172"/>
      <c r="E354" s="172"/>
      <c r="F354" s="172"/>
      <c r="G354" s="173"/>
      <c r="H354" s="137"/>
      <c r="I354" s="137"/>
      <c r="J354" s="137"/>
      <c r="K354" s="129"/>
      <c r="L354" s="323"/>
      <c r="N354" s="121"/>
      <c r="O354" s="359"/>
      <c r="P354" s="359"/>
      <c r="Q354" s="119"/>
      <c r="R354" s="119"/>
      <c r="S354" s="121"/>
      <c r="T354" s="119"/>
      <c r="U354" s="119"/>
      <c r="V354" s="119"/>
      <c r="W354" s="119"/>
      <c r="X354" s="158"/>
    </row>
    <row r="355">
      <c r="C355" s="172"/>
      <c r="D355" s="172"/>
      <c r="E355" s="172"/>
      <c r="F355" s="172"/>
      <c r="G355" s="173"/>
      <c r="H355" s="137"/>
      <c r="I355" s="137"/>
      <c r="J355" s="137"/>
      <c r="K355" s="129"/>
      <c r="L355" s="323"/>
      <c r="N355" s="121"/>
      <c r="O355" s="359"/>
      <c r="P355" s="359"/>
      <c r="Q355" s="119"/>
      <c r="R355" s="119"/>
      <c r="S355" s="121"/>
      <c r="T355" s="119"/>
      <c r="U355" s="119"/>
      <c r="V355" s="119"/>
      <c r="W355" s="119"/>
      <c r="X355" s="158"/>
    </row>
    <row r="356">
      <c r="C356" s="172"/>
      <c r="D356" s="172"/>
      <c r="E356" s="172"/>
      <c r="F356" s="172"/>
      <c r="G356" s="173"/>
      <c r="H356" s="137"/>
      <c r="I356" s="137"/>
      <c r="J356" s="137"/>
      <c r="K356" s="129"/>
      <c r="L356" s="323"/>
      <c r="N356" s="121"/>
      <c r="O356" s="359"/>
      <c r="P356" s="359"/>
      <c r="Q356" s="119"/>
      <c r="R356" s="119"/>
      <c r="S356" s="121"/>
      <c r="T356" s="119"/>
      <c r="U356" s="119"/>
      <c r="V356" s="119"/>
      <c r="W356" s="119"/>
      <c r="X356" s="158"/>
    </row>
    <row r="357">
      <c r="C357" s="172"/>
      <c r="D357" s="172"/>
      <c r="E357" s="172"/>
      <c r="F357" s="172"/>
      <c r="G357" s="173"/>
      <c r="H357" s="137"/>
      <c r="I357" s="137"/>
      <c r="J357" s="137"/>
      <c r="K357" s="129"/>
      <c r="L357" s="323"/>
      <c r="N357" s="121"/>
      <c r="O357" s="359"/>
      <c r="P357" s="359"/>
      <c r="Q357" s="119"/>
      <c r="R357" s="119"/>
      <c r="S357" s="121"/>
      <c r="T357" s="119"/>
      <c r="U357" s="119"/>
      <c r="V357" s="119"/>
      <c r="W357" s="119"/>
      <c r="X357" s="158"/>
    </row>
    <row r="358">
      <c r="C358" s="172"/>
      <c r="D358" s="172"/>
      <c r="E358" s="172"/>
      <c r="F358" s="172"/>
      <c r="G358" s="173"/>
      <c r="H358" s="137"/>
      <c r="I358" s="137"/>
      <c r="J358" s="137"/>
      <c r="K358" s="129"/>
      <c r="L358" s="323"/>
      <c r="N358" s="121"/>
      <c r="O358" s="359"/>
      <c r="P358" s="359"/>
      <c r="Q358" s="119"/>
      <c r="R358" s="119"/>
      <c r="S358" s="121"/>
      <c r="T358" s="119"/>
      <c r="U358" s="119"/>
      <c r="V358" s="119"/>
      <c r="W358" s="119"/>
      <c r="X358" s="158"/>
    </row>
    <row r="359">
      <c r="C359" s="172"/>
      <c r="D359" s="172"/>
      <c r="E359" s="172"/>
      <c r="F359" s="172"/>
      <c r="G359" s="173"/>
      <c r="H359" s="137"/>
      <c r="I359" s="137"/>
      <c r="J359" s="137"/>
      <c r="K359" s="129"/>
      <c r="L359" s="323"/>
      <c r="N359" s="121"/>
      <c r="O359" s="359"/>
      <c r="P359" s="359"/>
      <c r="Q359" s="119"/>
      <c r="R359" s="119"/>
      <c r="S359" s="121"/>
      <c r="T359" s="119"/>
      <c r="U359" s="119"/>
      <c r="V359" s="119"/>
      <c r="W359" s="119"/>
      <c r="X359" s="158"/>
    </row>
    <row r="360">
      <c r="C360" s="172"/>
      <c r="D360" s="172"/>
      <c r="E360" s="172"/>
      <c r="F360" s="172"/>
      <c r="G360" s="173"/>
      <c r="H360" s="137"/>
      <c r="I360" s="137"/>
      <c r="J360" s="137"/>
      <c r="K360" s="129"/>
      <c r="L360" s="323"/>
      <c r="N360" s="121"/>
      <c r="O360" s="359"/>
      <c r="P360" s="359"/>
      <c r="Q360" s="119"/>
      <c r="R360" s="119"/>
      <c r="S360" s="121"/>
      <c r="T360" s="119"/>
      <c r="U360" s="119"/>
      <c r="V360" s="119"/>
      <c r="W360" s="119"/>
      <c r="X360" s="158"/>
    </row>
    <row r="361">
      <c r="C361" s="172"/>
      <c r="D361" s="172"/>
      <c r="E361" s="172"/>
      <c r="F361" s="172"/>
      <c r="G361" s="173"/>
      <c r="H361" s="137"/>
      <c r="I361" s="137"/>
      <c r="J361" s="137"/>
      <c r="K361" s="129"/>
      <c r="L361" s="323"/>
      <c r="N361" s="121"/>
      <c r="O361" s="359"/>
      <c r="P361" s="359"/>
      <c r="Q361" s="119"/>
      <c r="R361" s="119"/>
      <c r="S361" s="121"/>
      <c r="T361" s="119"/>
      <c r="U361" s="119"/>
      <c r="V361" s="119"/>
      <c r="W361" s="119"/>
      <c r="X361" s="158"/>
    </row>
    <row r="362">
      <c r="C362" s="172"/>
      <c r="D362" s="172"/>
      <c r="E362" s="172"/>
      <c r="F362" s="172"/>
      <c r="G362" s="173"/>
      <c r="H362" s="137"/>
      <c r="I362" s="137"/>
      <c r="J362" s="137"/>
      <c r="K362" s="129"/>
      <c r="L362" s="323"/>
      <c r="N362" s="121"/>
      <c r="O362" s="359"/>
      <c r="P362" s="359"/>
      <c r="Q362" s="119"/>
      <c r="R362" s="119"/>
      <c r="S362" s="121"/>
      <c r="T362" s="119"/>
      <c r="U362" s="119"/>
      <c r="V362" s="119"/>
      <c r="W362" s="119"/>
      <c r="X362" s="158"/>
    </row>
    <row r="363">
      <c r="C363" s="172"/>
      <c r="D363" s="172"/>
      <c r="E363" s="172"/>
      <c r="F363" s="172"/>
      <c r="G363" s="173"/>
      <c r="H363" s="137"/>
      <c r="I363" s="137"/>
      <c r="J363" s="137"/>
      <c r="K363" s="129"/>
      <c r="L363" s="323"/>
      <c r="N363" s="121"/>
      <c r="O363" s="359"/>
      <c r="P363" s="359"/>
      <c r="Q363" s="119"/>
      <c r="R363" s="119"/>
      <c r="S363" s="121"/>
      <c r="T363" s="119"/>
      <c r="U363" s="119"/>
      <c r="V363" s="119"/>
      <c r="W363" s="119"/>
      <c r="X363" s="158"/>
    </row>
    <row r="364">
      <c r="C364" s="172"/>
      <c r="D364" s="172"/>
      <c r="E364" s="172"/>
      <c r="F364" s="172"/>
      <c r="G364" s="173"/>
      <c r="H364" s="137"/>
      <c r="I364" s="137"/>
      <c r="J364" s="137"/>
      <c r="K364" s="129"/>
      <c r="L364" s="323"/>
      <c r="N364" s="121"/>
      <c r="O364" s="359"/>
      <c r="P364" s="359"/>
      <c r="Q364" s="119"/>
      <c r="R364" s="119"/>
      <c r="S364" s="121"/>
      <c r="T364" s="119"/>
      <c r="U364" s="119"/>
      <c r="V364" s="119"/>
      <c r="W364" s="119"/>
      <c r="X364" s="158"/>
    </row>
    <row r="365">
      <c r="C365" s="172"/>
      <c r="D365" s="172"/>
      <c r="E365" s="172"/>
      <c r="F365" s="172"/>
      <c r="G365" s="173"/>
      <c r="H365" s="137"/>
      <c r="I365" s="137"/>
      <c r="J365" s="137"/>
      <c r="K365" s="129"/>
      <c r="L365" s="323"/>
      <c r="N365" s="121"/>
      <c r="O365" s="359"/>
      <c r="P365" s="359"/>
      <c r="Q365" s="119"/>
      <c r="R365" s="119"/>
      <c r="S365" s="121"/>
      <c r="T365" s="119"/>
      <c r="U365" s="119"/>
      <c r="V365" s="119"/>
      <c r="W365" s="119"/>
      <c r="X365" s="158"/>
    </row>
    <row r="366">
      <c r="C366" s="172"/>
      <c r="D366" s="172"/>
      <c r="E366" s="172"/>
      <c r="F366" s="172"/>
      <c r="G366" s="173"/>
      <c r="H366" s="137"/>
      <c r="I366" s="137"/>
      <c r="J366" s="137"/>
      <c r="K366" s="129"/>
      <c r="L366" s="323"/>
      <c r="N366" s="121"/>
      <c r="O366" s="359"/>
      <c r="P366" s="359"/>
      <c r="Q366" s="119"/>
      <c r="R366" s="119"/>
      <c r="S366" s="121"/>
      <c r="T366" s="119"/>
      <c r="U366" s="119"/>
      <c r="V366" s="119"/>
      <c r="W366" s="119"/>
      <c r="X366" s="158"/>
    </row>
    <row r="367">
      <c r="C367" s="172"/>
      <c r="D367" s="172"/>
      <c r="E367" s="172"/>
      <c r="F367" s="172"/>
      <c r="G367" s="173"/>
      <c r="H367" s="137"/>
      <c r="I367" s="137"/>
      <c r="J367" s="137"/>
      <c r="K367" s="129"/>
      <c r="L367" s="323"/>
      <c r="N367" s="121"/>
      <c r="O367" s="359"/>
      <c r="P367" s="359"/>
      <c r="Q367" s="119"/>
      <c r="R367" s="119"/>
      <c r="S367" s="121"/>
      <c r="T367" s="119"/>
      <c r="U367" s="119"/>
      <c r="V367" s="119"/>
      <c r="W367" s="119"/>
      <c r="X367" s="158"/>
    </row>
    <row r="368">
      <c r="C368" s="172"/>
      <c r="D368" s="172"/>
      <c r="E368" s="172"/>
      <c r="F368" s="172"/>
      <c r="G368" s="173"/>
      <c r="H368" s="137"/>
      <c r="I368" s="137"/>
      <c r="J368" s="137"/>
      <c r="K368" s="129"/>
      <c r="L368" s="323"/>
      <c r="N368" s="121"/>
      <c r="O368" s="359"/>
      <c r="P368" s="359"/>
      <c r="Q368" s="119"/>
      <c r="R368" s="119"/>
      <c r="S368" s="121"/>
      <c r="T368" s="119"/>
      <c r="U368" s="119"/>
      <c r="V368" s="119"/>
      <c r="W368" s="119"/>
      <c r="X368" s="158"/>
    </row>
    <row r="369">
      <c r="C369" s="172"/>
      <c r="D369" s="172"/>
      <c r="E369" s="172"/>
      <c r="F369" s="172"/>
      <c r="G369" s="173"/>
      <c r="H369" s="137"/>
      <c r="I369" s="137"/>
      <c r="J369" s="137"/>
      <c r="K369" s="129"/>
      <c r="L369" s="323"/>
      <c r="N369" s="121"/>
      <c r="O369" s="359"/>
      <c r="P369" s="359"/>
      <c r="Q369" s="119"/>
      <c r="R369" s="119"/>
      <c r="S369" s="121"/>
      <c r="T369" s="119"/>
      <c r="U369" s="119"/>
      <c r="V369" s="119"/>
      <c r="W369" s="119"/>
      <c r="X369" s="158"/>
    </row>
    <row r="370">
      <c r="C370" s="172"/>
      <c r="D370" s="172"/>
      <c r="E370" s="172"/>
      <c r="F370" s="172"/>
      <c r="G370" s="173"/>
      <c r="H370" s="137"/>
      <c r="I370" s="137"/>
      <c r="J370" s="137"/>
      <c r="K370" s="129"/>
      <c r="L370" s="323"/>
      <c r="N370" s="121"/>
      <c r="O370" s="359"/>
      <c r="P370" s="359"/>
      <c r="Q370" s="119"/>
      <c r="R370" s="119"/>
      <c r="S370" s="121"/>
      <c r="T370" s="119"/>
      <c r="U370" s="119"/>
      <c r="V370" s="119"/>
      <c r="W370" s="119"/>
      <c r="X370" s="158"/>
    </row>
    <row r="371">
      <c r="C371" s="172"/>
      <c r="D371" s="172"/>
      <c r="E371" s="172"/>
      <c r="F371" s="172"/>
      <c r="G371" s="173"/>
      <c r="H371" s="137"/>
      <c r="I371" s="137"/>
      <c r="J371" s="137"/>
      <c r="K371" s="129"/>
      <c r="L371" s="323"/>
      <c r="N371" s="121"/>
      <c r="O371" s="359"/>
      <c r="P371" s="359"/>
      <c r="Q371" s="119"/>
      <c r="R371" s="119"/>
      <c r="S371" s="121"/>
      <c r="T371" s="119"/>
      <c r="U371" s="119"/>
      <c r="V371" s="119"/>
      <c r="W371" s="119"/>
      <c r="X371" s="158"/>
    </row>
    <row r="372">
      <c r="C372" s="172"/>
      <c r="D372" s="172"/>
      <c r="E372" s="172"/>
      <c r="F372" s="172"/>
      <c r="G372" s="173"/>
      <c r="H372" s="137"/>
      <c r="I372" s="137"/>
      <c r="J372" s="137"/>
      <c r="K372" s="129"/>
      <c r="L372" s="323"/>
      <c r="N372" s="121"/>
      <c r="O372" s="359"/>
      <c r="P372" s="359"/>
      <c r="Q372" s="119"/>
      <c r="R372" s="119"/>
      <c r="S372" s="121"/>
      <c r="T372" s="119"/>
      <c r="U372" s="119"/>
      <c r="V372" s="119"/>
      <c r="W372" s="119"/>
      <c r="X372" s="158"/>
    </row>
    <row r="373">
      <c r="C373" s="172"/>
      <c r="D373" s="172"/>
      <c r="E373" s="172"/>
      <c r="F373" s="172"/>
      <c r="G373" s="173"/>
      <c r="H373" s="137"/>
      <c r="I373" s="137"/>
      <c r="J373" s="137"/>
      <c r="K373" s="129"/>
      <c r="L373" s="323"/>
      <c r="N373" s="121"/>
      <c r="O373" s="359"/>
      <c r="P373" s="359"/>
      <c r="Q373" s="119"/>
      <c r="R373" s="119"/>
      <c r="S373" s="121"/>
      <c r="T373" s="119"/>
      <c r="U373" s="119"/>
      <c r="V373" s="119"/>
      <c r="W373" s="119"/>
      <c r="X373" s="158"/>
    </row>
    <row r="374">
      <c r="C374" s="172"/>
      <c r="D374" s="172"/>
      <c r="E374" s="172"/>
      <c r="F374" s="172"/>
      <c r="G374" s="173"/>
      <c r="H374" s="137"/>
      <c r="I374" s="137"/>
      <c r="J374" s="137"/>
      <c r="K374" s="129"/>
      <c r="L374" s="323"/>
      <c r="N374" s="121"/>
      <c r="O374" s="359"/>
      <c r="P374" s="359"/>
      <c r="Q374" s="119"/>
      <c r="R374" s="119"/>
      <c r="S374" s="121"/>
      <c r="T374" s="119"/>
      <c r="U374" s="119"/>
      <c r="V374" s="119"/>
      <c r="W374" s="119"/>
      <c r="X374" s="158"/>
    </row>
    <row r="375">
      <c r="C375" s="172"/>
      <c r="D375" s="172"/>
      <c r="E375" s="172"/>
      <c r="F375" s="172"/>
      <c r="G375" s="173"/>
      <c r="H375" s="137"/>
      <c r="I375" s="137"/>
      <c r="J375" s="137"/>
      <c r="K375" s="129"/>
      <c r="L375" s="323"/>
      <c r="N375" s="121"/>
      <c r="O375" s="359"/>
      <c r="P375" s="359"/>
      <c r="Q375" s="119"/>
      <c r="R375" s="119"/>
      <c r="S375" s="121"/>
      <c r="T375" s="119"/>
      <c r="U375" s="119"/>
      <c r="V375" s="119"/>
      <c r="W375" s="119"/>
      <c r="X375" s="158"/>
    </row>
    <row r="376">
      <c r="C376" s="172"/>
      <c r="D376" s="172"/>
      <c r="E376" s="172"/>
      <c r="F376" s="172"/>
      <c r="G376" s="173"/>
      <c r="H376" s="137"/>
      <c r="I376" s="137"/>
      <c r="J376" s="137"/>
      <c r="K376" s="129"/>
      <c r="L376" s="323"/>
      <c r="N376" s="121"/>
      <c r="O376" s="359"/>
      <c r="P376" s="359"/>
      <c r="Q376" s="119"/>
      <c r="R376" s="119"/>
      <c r="S376" s="121"/>
      <c r="T376" s="119"/>
      <c r="U376" s="119"/>
      <c r="V376" s="119"/>
      <c r="W376" s="119"/>
      <c r="X376" s="158"/>
    </row>
    <row r="377">
      <c r="C377" s="172"/>
      <c r="D377" s="172"/>
      <c r="E377" s="172"/>
      <c r="F377" s="172"/>
      <c r="G377" s="173"/>
      <c r="H377" s="137"/>
      <c r="I377" s="137"/>
      <c r="J377" s="137"/>
      <c r="K377" s="129"/>
      <c r="L377" s="323"/>
      <c r="N377" s="121"/>
      <c r="O377" s="359"/>
      <c r="P377" s="359"/>
      <c r="Q377" s="119"/>
      <c r="R377" s="119"/>
      <c r="S377" s="121"/>
      <c r="T377" s="119"/>
      <c r="U377" s="119"/>
      <c r="V377" s="119"/>
      <c r="W377" s="119"/>
      <c r="X377" s="158"/>
    </row>
    <row r="378">
      <c r="C378" s="172"/>
      <c r="D378" s="172"/>
      <c r="E378" s="172"/>
      <c r="F378" s="172"/>
      <c r="G378" s="173"/>
      <c r="H378" s="137"/>
      <c r="I378" s="137"/>
      <c r="J378" s="137"/>
      <c r="K378" s="129"/>
      <c r="L378" s="323"/>
      <c r="N378" s="121"/>
      <c r="O378" s="359"/>
      <c r="P378" s="359"/>
      <c r="Q378" s="119"/>
      <c r="R378" s="119"/>
      <c r="S378" s="121"/>
      <c r="T378" s="119"/>
      <c r="U378" s="119"/>
      <c r="V378" s="119"/>
      <c r="W378" s="119"/>
      <c r="X378" s="158"/>
    </row>
    <row r="379">
      <c r="C379" s="172"/>
      <c r="D379" s="172"/>
      <c r="E379" s="172"/>
      <c r="F379" s="172"/>
      <c r="G379" s="173"/>
      <c r="H379" s="137"/>
      <c r="I379" s="137"/>
      <c r="J379" s="137"/>
      <c r="K379" s="129"/>
      <c r="L379" s="323"/>
      <c r="N379" s="121"/>
      <c r="O379" s="359"/>
      <c r="P379" s="359"/>
      <c r="Q379" s="119"/>
      <c r="R379" s="119"/>
      <c r="S379" s="121"/>
      <c r="T379" s="119"/>
      <c r="U379" s="119"/>
      <c r="V379" s="119"/>
      <c r="W379" s="119"/>
      <c r="X379" s="158"/>
    </row>
    <row r="380">
      <c r="C380" s="172"/>
      <c r="D380" s="172"/>
      <c r="E380" s="172"/>
      <c r="F380" s="172"/>
      <c r="G380" s="173"/>
      <c r="H380" s="137"/>
      <c r="I380" s="137"/>
      <c r="J380" s="137"/>
      <c r="K380" s="129"/>
      <c r="L380" s="323"/>
      <c r="N380" s="121"/>
      <c r="O380" s="359"/>
      <c r="P380" s="359"/>
      <c r="Q380" s="119"/>
      <c r="R380" s="119"/>
      <c r="S380" s="121"/>
      <c r="T380" s="119"/>
      <c r="U380" s="119"/>
      <c r="V380" s="119"/>
      <c r="W380" s="119"/>
      <c r="X380" s="158"/>
    </row>
    <row r="381">
      <c r="C381" s="172"/>
      <c r="D381" s="172"/>
      <c r="E381" s="172"/>
      <c r="F381" s="172"/>
      <c r="G381" s="173"/>
      <c r="H381" s="137"/>
      <c r="I381" s="137"/>
      <c r="J381" s="137"/>
      <c r="K381" s="129"/>
      <c r="L381" s="323"/>
      <c r="N381" s="121"/>
      <c r="O381" s="359"/>
      <c r="P381" s="359"/>
      <c r="Q381" s="119"/>
      <c r="R381" s="119"/>
      <c r="S381" s="121"/>
      <c r="T381" s="119"/>
      <c r="U381" s="119"/>
      <c r="V381" s="119"/>
      <c r="W381" s="119"/>
      <c r="X381" s="158"/>
    </row>
    <row r="382">
      <c r="C382" s="172"/>
      <c r="D382" s="172"/>
      <c r="E382" s="172"/>
      <c r="F382" s="172"/>
      <c r="G382" s="173"/>
      <c r="H382" s="137"/>
      <c r="I382" s="137"/>
      <c r="J382" s="137"/>
      <c r="K382" s="129"/>
      <c r="L382" s="323"/>
      <c r="N382" s="121"/>
      <c r="O382" s="359"/>
      <c r="P382" s="359"/>
      <c r="Q382" s="119"/>
      <c r="R382" s="119"/>
      <c r="S382" s="121"/>
      <c r="T382" s="119"/>
      <c r="U382" s="119"/>
      <c r="V382" s="119"/>
      <c r="W382" s="119"/>
      <c r="X382" s="158"/>
    </row>
    <row r="383">
      <c r="C383" s="172"/>
      <c r="D383" s="172"/>
      <c r="E383" s="172"/>
      <c r="F383" s="172"/>
      <c r="G383" s="173"/>
      <c r="H383" s="137"/>
      <c r="I383" s="137"/>
      <c r="J383" s="137"/>
      <c r="K383" s="129"/>
      <c r="L383" s="323"/>
      <c r="N383" s="121"/>
      <c r="O383" s="359"/>
      <c r="P383" s="359"/>
      <c r="Q383" s="119"/>
      <c r="R383" s="119"/>
      <c r="S383" s="121"/>
      <c r="T383" s="119"/>
      <c r="U383" s="119"/>
      <c r="V383" s="119"/>
      <c r="W383" s="119"/>
      <c r="X383" s="158"/>
    </row>
    <row r="384">
      <c r="C384" s="172"/>
      <c r="D384" s="172"/>
      <c r="E384" s="172"/>
      <c r="F384" s="172"/>
      <c r="G384" s="173"/>
      <c r="H384" s="137"/>
      <c r="I384" s="137"/>
      <c r="J384" s="137"/>
      <c r="K384" s="129"/>
      <c r="L384" s="323"/>
      <c r="N384" s="121"/>
      <c r="O384" s="359"/>
      <c r="P384" s="359"/>
      <c r="Q384" s="119"/>
      <c r="R384" s="119"/>
      <c r="S384" s="121"/>
      <c r="T384" s="119"/>
      <c r="U384" s="119"/>
      <c r="V384" s="119"/>
      <c r="W384" s="119"/>
      <c r="X384" s="158"/>
    </row>
    <row r="385">
      <c r="C385" s="172"/>
      <c r="D385" s="172"/>
      <c r="E385" s="172"/>
      <c r="F385" s="172"/>
      <c r="G385" s="173"/>
      <c r="H385" s="137"/>
      <c r="I385" s="137"/>
      <c r="J385" s="137"/>
      <c r="K385" s="129"/>
      <c r="L385" s="323"/>
      <c r="N385" s="121"/>
      <c r="O385" s="359"/>
      <c r="P385" s="359"/>
      <c r="Q385" s="119"/>
      <c r="R385" s="119"/>
      <c r="S385" s="121"/>
      <c r="T385" s="119"/>
      <c r="U385" s="119"/>
      <c r="V385" s="119"/>
      <c r="W385" s="119"/>
      <c r="X385" s="158"/>
    </row>
    <row r="386">
      <c r="C386" s="172"/>
      <c r="D386" s="172"/>
      <c r="E386" s="172"/>
      <c r="F386" s="172"/>
      <c r="G386" s="173"/>
      <c r="H386" s="137"/>
      <c r="I386" s="137"/>
      <c r="J386" s="137"/>
      <c r="K386" s="129"/>
      <c r="L386" s="323"/>
      <c r="N386" s="121"/>
      <c r="O386" s="359"/>
      <c r="P386" s="359"/>
      <c r="Q386" s="119"/>
      <c r="R386" s="119"/>
      <c r="S386" s="121"/>
      <c r="T386" s="119"/>
      <c r="U386" s="119"/>
      <c r="V386" s="119"/>
      <c r="W386" s="119"/>
      <c r="X386" s="158"/>
    </row>
    <row r="387">
      <c r="C387" s="172"/>
      <c r="D387" s="172"/>
      <c r="E387" s="172"/>
      <c r="F387" s="172"/>
      <c r="G387" s="173"/>
      <c r="H387" s="137"/>
      <c r="I387" s="137"/>
      <c r="J387" s="137"/>
      <c r="K387" s="129"/>
      <c r="L387" s="323"/>
      <c r="N387" s="121"/>
      <c r="O387" s="359"/>
      <c r="P387" s="359"/>
      <c r="Q387" s="119"/>
      <c r="R387" s="119"/>
      <c r="S387" s="121"/>
      <c r="T387" s="119"/>
      <c r="U387" s="119"/>
      <c r="V387" s="119"/>
      <c r="W387" s="119"/>
      <c r="X387" s="158"/>
    </row>
    <row r="388">
      <c r="C388" s="172"/>
      <c r="D388" s="172"/>
      <c r="E388" s="172"/>
      <c r="F388" s="172"/>
      <c r="G388" s="173"/>
      <c r="H388" s="137"/>
      <c r="I388" s="137"/>
      <c r="J388" s="137"/>
      <c r="K388" s="129"/>
      <c r="L388" s="323"/>
      <c r="N388" s="121"/>
      <c r="O388" s="359"/>
      <c r="P388" s="359"/>
      <c r="Q388" s="119"/>
      <c r="R388" s="119"/>
      <c r="S388" s="121"/>
      <c r="T388" s="119"/>
      <c r="U388" s="119"/>
      <c r="V388" s="119"/>
      <c r="W388" s="119"/>
      <c r="X388" s="158"/>
    </row>
    <row r="389">
      <c r="C389" s="172"/>
      <c r="D389" s="172"/>
      <c r="E389" s="172"/>
      <c r="F389" s="172"/>
      <c r="G389" s="173"/>
      <c r="H389" s="137"/>
      <c r="I389" s="137"/>
      <c r="J389" s="137"/>
      <c r="K389" s="129"/>
      <c r="L389" s="323"/>
      <c r="N389" s="121"/>
      <c r="O389" s="359"/>
      <c r="P389" s="359"/>
      <c r="Q389" s="119"/>
      <c r="R389" s="119"/>
      <c r="S389" s="121"/>
      <c r="T389" s="119"/>
      <c r="U389" s="119"/>
      <c r="V389" s="119"/>
      <c r="W389" s="119"/>
      <c r="X389" s="158"/>
    </row>
    <row r="390">
      <c r="C390" s="172"/>
      <c r="D390" s="172"/>
      <c r="E390" s="172"/>
      <c r="F390" s="172"/>
      <c r="G390" s="173"/>
      <c r="H390" s="137"/>
      <c r="I390" s="137"/>
      <c r="J390" s="137"/>
      <c r="K390" s="129"/>
      <c r="L390" s="323"/>
      <c r="N390" s="121"/>
      <c r="O390" s="359"/>
      <c r="P390" s="359"/>
      <c r="Q390" s="119"/>
      <c r="R390" s="119"/>
      <c r="S390" s="121"/>
      <c r="T390" s="119"/>
      <c r="U390" s="119"/>
      <c r="V390" s="119"/>
      <c r="W390" s="119"/>
      <c r="X390" s="158"/>
    </row>
    <row r="391">
      <c r="C391" s="172"/>
      <c r="D391" s="172"/>
      <c r="E391" s="172"/>
      <c r="F391" s="172"/>
      <c r="G391" s="173"/>
      <c r="H391" s="137"/>
      <c r="I391" s="137"/>
      <c r="J391" s="137"/>
      <c r="K391" s="129"/>
      <c r="L391" s="323"/>
      <c r="N391" s="121"/>
      <c r="O391" s="359"/>
      <c r="P391" s="359"/>
      <c r="Q391" s="119"/>
      <c r="R391" s="119"/>
      <c r="S391" s="121"/>
      <c r="T391" s="119"/>
      <c r="U391" s="119"/>
      <c r="V391" s="119"/>
      <c r="W391" s="119"/>
      <c r="X391" s="158"/>
    </row>
    <row r="392">
      <c r="C392" s="172"/>
      <c r="D392" s="172"/>
      <c r="E392" s="172"/>
      <c r="F392" s="172"/>
      <c r="G392" s="173"/>
      <c r="H392" s="137"/>
      <c r="I392" s="137"/>
      <c r="J392" s="137"/>
      <c r="K392" s="129"/>
      <c r="L392" s="323"/>
      <c r="N392" s="121"/>
      <c r="O392" s="359"/>
      <c r="P392" s="359"/>
      <c r="Q392" s="119"/>
      <c r="R392" s="119"/>
      <c r="S392" s="121"/>
      <c r="T392" s="119"/>
      <c r="U392" s="119"/>
      <c r="V392" s="119"/>
      <c r="W392" s="119"/>
      <c r="X392" s="158"/>
    </row>
    <row r="393">
      <c r="C393" s="172"/>
      <c r="D393" s="172"/>
      <c r="E393" s="172"/>
      <c r="F393" s="172"/>
      <c r="G393" s="173"/>
      <c r="H393" s="137"/>
      <c r="I393" s="137"/>
      <c r="J393" s="137"/>
      <c r="K393" s="129"/>
      <c r="L393" s="323"/>
      <c r="N393" s="121"/>
      <c r="O393" s="359"/>
      <c r="P393" s="359"/>
      <c r="Q393" s="119"/>
      <c r="R393" s="119"/>
      <c r="S393" s="121"/>
      <c r="T393" s="119"/>
      <c r="U393" s="119"/>
      <c r="V393" s="119"/>
      <c r="W393" s="119"/>
      <c r="X393" s="158"/>
    </row>
    <row r="394">
      <c r="C394" s="172"/>
      <c r="D394" s="172"/>
      <c r="E394" s="172"/>
      <c r="F394" s="172"/>
      <c r="G394" s="173"/>
      <c r="H394" s="137"/>
      <c r="I394" s="137"/>
      <c r="J394" s="137"/>
      <c r="K394" s="129"/>
      <c r="L394" s="323"/>
      <c r="N394" s="121"/>
      <c r="O394" s="359"/>
      <c r="P394" s="359"/>
      <c r="Q394" s="119"/>
      <c r="R394" s="119"/>
      <c r="S394" s="121"/>
      <c r="T394" s="119"/>
      <c r="U394" s="119"/>
      <c r="V394" s="119"/>
      <c r="W394" s="119"/>
      <c r="X394" s="158"/>
    </row>
    <row r="395">
      <c r="C395" s="172"/>
      <c r="D395" s="172"/>
      <c r="E395" s="172"/>
      <c r="F395" s="172"/>
      <c r="G395" s="173"/>
      <c r="H395" s="137"/>
      <c r="I395" s="137"/>
      <c r="J395" s="137"/>
      <c r="K395" s="129"/>
      <c r="L395" s="323"/>
      <c r="N395" s="172"/>
      <c r="O395" s="172"/>
      <c r="P395" s="172"/>
      <c r="Q395" s="172"/>
      <c r="R395" s="172"/>
      <c r="S395" s="428"/>
      <c r="T395" s="172"/>
      <c r="U395" s="172"/>
      <c r="V395" s="172"/>
      <c r="W395" s="429"/>
      <c r="X395" s="158"/>
    </row>
    <row r="396">
      <c r="C396" s="172"/>
      <c r="D396" s="172"/>
      <c r="E396" s="172"/>
      <c r="F396" s="172"/>
      <c r="G396" s="173"/>
      <c r="H396" s="137"/>
      <c r="I396" s="137"/>
      <c r="J396" s="137"/>
      <c r="K396" s="129"/>
      <c r="L396" s="323"/>
      <c r="N396" s="172"/>
      <c r="O396" s="172"/>
      <c r="P396" s="172"/>
      <c r="Q396" s="172"/>
      <c r="R396" s="172"/>
      <c r="S396" s="428"/>
      <c r="T396" s="172"/>
      <c r="U396" s="172"/>
      <c r="V396" s="172"/>
      <c r="W396" s="429"/>
      <c r="X396" s="158"/>
    </row>
    <row r="397">
      <c r="C397" s="172"/>
      <c r="D397" s="172"/>
      <c r="E397" s="172"/>
      <c r="F397" s="172"/>
      <c r="G397" s="173"/>
      <c r="H397" s="137"/>
      <c r="I397" s="137"/>
      <c r="J397" s="137"/>
      <c r="K397" s="129"/>
      <c r="L397" s="323"/>
      <c r="N397" s="172"/>
      <c r="O397" s="172"/>
      <c r="P397" s="172"/>
      <c r="Q397" s="172"/>
      <c r="R397" s="172"/>
      <c r="S397" s="428"/>
      <c r="T397" s="172"/>
      <c r="U397" s="172"/>
      <c r="V397" s="172"/>
      <c r="W397" s="429"/>
    </row>
    <row r="398">
      <c r="C398" s="172"/>
      <c r="D398" s="172"/>
      <c r="E398" s="172"/>
      <c r="F398" s="172"/>
      <c r="G398" s="173"/>
      <c r="H398" s="137"/>
      <c r="I398" s="137"/>
      <c r="J398" s="137"/>
      <c r="K398" s="129"/>
      <c r="L398" s="323"/>
      <c r="N398" s="172"/>
      <c r="O398" s="172"/>
      <c r="P398" s="172"/>
      <c r="Q398" s="172"/>
      <c r="R398" s="172"/>
      <c r="S398" s="428"/>
      <c r="T398" s="172"/>
      <c r="U398" s="172"/>
      <c r="V398" s="172"/>
      <c r="W398" s="429"/>
    </row>
    <row r="399">
      <c r="C399" s="172"/>
      <c r="D399" s="172"/>
      <c r="E399" s="172"/>
      <c r="F399" s="172"/>
      <c r="G399" s="173"/>
      <c r="H399" s="137"/>
      <c r="I399" s="137"/>
      <c r="J399" s="137"/>
      <c r="K399" s="129"/>
      <c r="L399" s="323"/>
      <c r="N399" s="172"/>
      <c r="O399" s="172"/>
      <c r="P399" s="172"/>
      <c r="Q399" s="172"/>
      <c r="R399" s="172"/>
      <c r="S399" s="428"/>
      <c r="T399" s="172"/>
      <c r="U399" s="172"/>
      <c r="V399" s="172"/>
      <c r="W399" s="429"/>
    </row>
    <row r="400">
      <c r="C400" s="172"/>
      <c r="D400" s="172"/>
      <c r="E400" s="172"/>
      <c r="F400" s="172"/>
      <c r="G400" s="173"/>
      <c r="H400" s="137"/>
      <c r="I400" s="137"/>
      <c r="J400" s="137"/>
      <c r="K400" s="129"/>
      <c r="L400" s="323"/>
      <c r="N400" s="172"/>
      <c r="O400" s="172"/>
      <c r="P400" s="172"/>
      <c r="Q400" s="172"/>
      <c r="R400" s="172"/>
      <c r="S400" s="428"/>
      <c r="T400" s="172"/>
      <c r="U400" s="172"/>
      <c r="V400" s="172"/>
      <c r="W400" s="429"/>
    </row>
    <row r="401">
      <c r="C401" s="172"/>
      <c r="D401" s="172"/>
      <c r="E401" s="172"/>
      <c r="F401" s="172"/>
      <c r="G401" s="173"/>
      <c r="H401" s="137"/>
      <c r="I401" s="137"/>
      <c r="J401" s="137"/>
      <c r="K401" s="129"/>
      <c r="L401" s="323"/>
      <c r="N401" s="172"/>
      <c r="O401" s="172"/>
      <c r="P401" s="172"/>
      <c r="Q401" s="172"/>
      <c r="R401" s="172"/>
      <c r="S401" s="428"/>
      <c r="T401" s="172"/>
      <c r="U401" s="172"/>
      <c r="V401" s="172"/>
      <c r="W401" s="429"/>
    </row>
    <row r="402">
      <c r="C402" s="172"/>
      <c r="D402" s="172"/>
      <c r="E402" s="172"/>
      <c r="F402" s="172"/>
      <c r="G402" s="173"/>
      <c r="H402" s="137"/>
      <c r="I402" s="137"/>
      <c r="J402" s="137"/>
      <c r="K402" s="129"/>
      <c r="L402" s="323"/>
      <c r="N402" s="172"/>
      <c r="O402" s="172"/>
      <c r="P402" s="172"/>
      <c r="Q402" s="172"/>
      <c r="R402" s="172"/>
      <c r="S402" s="428"/>
      <c r="T402" s="172"/>
      <c r="U402" s="172"/>
      <c r="V402" s="172"/>
      <c r="W402" s="429"/>
    </row>
    <row r="403">
      <c r="C403" s="172"/>
      <c r="D403" s="172"/>
      <c r="E403" s="172"/>
      <c r="F403" s="172"/>
      <c r="G403" s="173"/>
      <c r="H403" s="137"/>
      <c r="I403" s="137"/>
      <c r="J403" s="137"/>
      <c r="K403" s="129"/>
      <c r="L403" s="323"/>
      <c r="N403" s="172"/>
      <c r="O403" s="172"/>
      <c r="P403" s="172"/>
      <c r="Q403" s="172"/>
      <c r="R403" s="172"/>
      <c r="S403" s="428"/>
      <c r="T403" s="172"/>
      <c r="U403" s="172"/>
      <c r="V403" s="172"/>
      <c r="W403" s="429"/>
    </row>
    <row r="404">
      <c r="C404" s="172"/>
      <c r="D404" s="172"/>
      <c r="E404" s="172"/>
      <c r="F404" s="172"/>
      <c r="G404" s="173"/>
      <c r="H404" s="137"/>
      <c r="I404" s="137"/>
      <c r="J404" s="137"/>
      <c r="K404" s="129"/>
      <c r="L404" s="323"/>
      <c r="N404" s="172"/>
      <c r="O404" s="172"/>
      <c r="P404" s="172"/>
      <c r="Q404" s="172"/>
      <c r="R404" s="172"/>
      <c r="S404" s="428"/>
      <c r="T404" s="172"/>
      <c r="U404" s="172"/>
      <c r="V404" s="172"/>
      <c r="W404" s="429"/>
    </row>
    <row r="405">
      <c r="C405" s="172"/>
      <c r="D405" s="172"/>
      <c r="E405" s="172"/>
      <c r="F405" s="172"/>
      <c r="G405" s="173"/>
      <c r="H405" s="137"/>
      <c r="I405" s="137"/>
      <c r="J405" s="137"/>
      <c r="K405" s="129"/>
      <c r="L405" s="323"/>
      <c r="N405" s="172"/>
      <c r="O405" s="172"/>
      <c r="P405" s="172"/>
      <c r="Q405" s="172"/>
      <c r="R405" s="172"/>
      <c r="S405" s="428"/>
      <c r="T405" s="172"/>
      <c r="U405" s="172"/>
      <c r="V405" s="172"/>
      <c r="W405" s="429"/>
    </row>
    <row r="406">
      <c r="C406" s="172"/>
      <c r="D406" s="172"/>
      <c r="E406" s="172"/>
      <c r="F406" s="172"/>
      <c r="G406" s="173"/>
      <c r="H406" s="137"/>
      <c r="I406" s="137"/>
      <c r="J406" s="137"/>
      <c r="K406" s="129"/>
      <c r="L406" s="323"/>
      <c r="N406" s="172"/>
      <c r="O406" s="172"/>
      <c r="P406" s="172"/>
      <c r="Q406" s="172"/>
      <c r="R406" s="172"/>
      <c r="S406" s="428"/>
      <c r="T406" s="172"/>
      <c r="U406" s="172"/>
      <c r="V406" s="172"/>
      <c r="W406" s="429"/>
    </row>
    <row r="407">
      <c r="C407" s="172"/>
      <c r="D407" s="172"/>
      <c r="E407" s="172"/>
      <c r="F407" s="172"/>
      <c r="G407" s="173"/>
      <c r="H407" s="137"/>
      <c r="I407" s="137"/>
      <c r="J407" s="137"/>
      <c r="K407" s="129"/>
      <c r="L407" s="323"/>
      <c r="N407" s="172"/>
      <c r="O407" s="172"/>
      <c r="P407" s="172"/>
      <c r="Q407" s="172"/>
      <c r="R407" s="172"/>
      <c r="S407" s="428"/>
      <c r="T407" s="172"/>
      <c r="U407" s="172"/>
      <c r="V407" s="172"/>
      <c r="W407" s="429"/>
    </row>
    <row r="408">
      <c r="C408" s="172"/>
      <c r="D408" s="172"/>
      <c r="E408" s="172"/>
      <c r="F408" s="172"/>
      <c r="G408" s="173"/>
      <c r="H408" s="137"/>
      <c r="I408" s="137"/>
      <c r="J408" s="137"/>
      <c r="K408" s="129"/>
      <c r="L408" s="323"/>
      <c r="N408" s="172"/>
      <c r="O408" s="172"/>
      <c r="P408" s="172"/>
      <c r="Q408" s="172"/>
      <c r="R408" s="172"/>
      <c r="S408" s="428"/>
      <c r="T408" s="172"/>
      <c r="U408" s="172"/>
      <c r="V408" s="172"/>
      <c r="W408" s="429"/>
    </row>
    <row r="409">
      <c r="C409" s="172"/>
      <c r="D409" s="172"/>
      <c r="E409" s="172"/>
      <c r="F409" s="172"/>
      <c r="G409" s="173"/>
      <c r="H409" s="137"/>
      <c r="I409" s="137"/>
      <c r="J409" s="137"/>
      <c r="K409" s="129"/>
      <c r="L409" s="323"/>
      <c r="N409" s="172"/>
      <c r="O409" s="172"/>
      <c r="P409" s="172"/>
      <c r="Q409" s="172"/>
      <c r="R409" s="172"/>
      <c r="S409" s="428"/>
      <c r="T409" s="172"/>
      <c r="U409" s="172"/>
      <c r="V409" s="172"/>
      <c r="W409" s="429"/>
    </row>
    <row r="410">
      <c r="C410" s="172"/>
      <c r="D410" s="172"/>
      <c r="E410" s="172"/>
      <c r="F410" s="172"/>
      <c r="G410" s="173"/>
      <c r="H410" s="137"/>
      <c r="I410" s="137"/>
      <c r="J410" s="137"/>
      <c r="K410" s="129"/>
      <c r="L410" s="323"/>
      <c r="N410" s="172"/>
      <c r="O410" s="172"/>
      <c r="P410" s="172"/>
      <c r="Q410" s="172"/>
      <c r="R410" s="172"/>
      <c r="S410" s="428"/>
      <c r="T410" s="172"/>
      <c r="U410" s="172"/>
      <c r="V410" s="172"/>
      <c r="W410" s="429"/>
    </row>
    <row r="411">
      <c r="C411" s="172"/>
      <c r="D411" s="172"/>
      <c r="E411" s="172"/>
      <c r="F411" s="172"/>
      <c r="G411" s="173"/>
      <c r="H411" s="137"/>
      <c r="I411" s="137"/>
      <c r="J411" s="137"/>
      <c r="K411" s="129"/>
      <c r="L411" s="323"/>
      <c r="N411" s="172"/>
      <c r="O411" s="172"/>
      <c r="P411" s="172"/>
      <c r="Q411" s="172"/>
      <c r="R411" s="172"/>
      <c r="S411" s="428"/>
      <c r="T411" s="172"/>
      <c r="U411" s="172"/>
      <c r="V411" s="172"/>
      <c r="W411" s="429"/>
    </row>
    <row r="412">
      <c r="C412" s="172"/>
      <c r="D412" s="172"/>
      <c r="E412" s="172"/>
      <c r="F412" s="172"/>
      <c r="G412" s="173"/>
      <c r="H412" s="137"/>
      <c r="I412" s="137"/>
      <c r="J412" s="137"/>
      <c r="K412" s="129"/>
      <c r="L412" s="323"/>
      <c r="N412" s="172"/>
      <c r="O412" s="172"/>
      <c r="P412" s="172"/>
      <c r="Q412" s="172"/>
      <c r="R412" s="172"/>
      <c r="S412" s="428"/>
      <c r="T412" s="172"/>
      <c r="U412" s="172"/>
      <c r="V412" s="172"/>
      <c r="W412" s="429"/>
    </row>
    <row r="413">
      <c r="C413" s="172"/>
      <c r="D413" s="172"/>
      <c r="E413" s="172"/>
      <c r="F413" s="172"/>
      <c r="G413" s="173"/>
      <c r="H413" s="137"/>
      <c r="I413" s="137"/>
      <c r="J413" s="137"/>
      <c r="K413" s="129"/>
      <c r="L413" s="323"/>
      <c r="N413" s="172"/>
      <c r="O413" s="172"/>
      <c r="P413" s="172"/>
      <c r="Q413" s="172"/>
      <c r="R413" s="172"/>
      <c r="S413" s="428"/>
      <c r="T413" s="172"/>
      <c r="U413" s="172"/>
      <c r="V413" s="172"/>
      <c r="W413" s="429"/>
    </row>
    <row r="414">
      <c r="C414" s="172"/>
      <c r="D414" s="172"/>
      <c r="E414" s="172"/>
      <c r="F414" s="172"/>
      <c r="G414" s="173"/>
      <c r="H414" s="137"/>
      <c r="I414" s="137"/>
      <c r="J414" s="137"/>
      <c r="K414" s="129"/>
      <c r="L414" s="323"/>
      <c r="N414" s="172"/>
      <c r="O414" s="172"/>
      <c r="P414" s="172"/>
      <c r="Q414" s="172"/>
      <c r="R414" s="172"/>
      <c r="S414" s="428"/>
      <c r="T414" s="172"/>
      <c r="U414" s="172"/>
      <c r="V414" s="172"/>
      <c r="W414" s="429"/>
    </row>
    <row r="415">
      <c r="C415" s="172"/>
      <c r="D415" s="172"/>
      <c r="E415" s="172"/>
      <c r="F415" s="172"/>
      <c r="G415" s="173"/>
      <c r="H415" s="137"/>
      <c r="I415" s="137"/>
      <c r="J415" s="137"/>
      <c r="K415" s="129"/>
      <c r="L415" s="323"/>
      <c r="N415" s="172"/>
      <c r="O415" s="172"/>
      <c r="P415" s="172"/>
      <c r="Q415" s="172"/>
      <c r="R415" s="172"/>
      <c r="S415" s="428"/>
      <c r="T415" s="172"/>
      <c r="U415" s="172"/>
      <c r="V415" s="172"/>
      <c r="W415" s="429"/>
    </row>
    <row r="416">
      <c r="C416" s="172"/>
      <c r="D416" s="172"/>
      <c r="E416" s="172"/>
      <c r="F416" s="172"/>
      <c r="G416" s="173"/>
      <c r="H416" s="137"/>
      <c r="I416" s="137"/>
      <c r="J416" s="137"/>
      <c r="K416" s="129"/>
      <c r="L416" s="323"/>
      <c r="N416" s="172"/>
      <c r="O416" s="172"/>
      <c r="P416" s="172"/>
      <c r="Q416" s="172"/>
      <c r="R416" s="172"/>
      <c r="S416" s="428"/>
      <c r="T416" s="172"/>
      <c r="U416" s="172"/>
      <c r="V416" s="172"/>
      <c r="W416" s="429"/>
    </row>
    <row r="417">
      <c r="C417" s="172"/>
      <c r="D417" s="172"/>
      <c r="E417" s="172"/>
      <c r="F417" s="172"/>
      <c r="G417" s="173"/>
      <c r="H417" s="137"/>
      <c r="I417" s="137"/>
      <c r="J417" s="137"/>
      <c r="K417" s="129"/>
      <c r="L417" s="323"/>
      <c r="N417" s="172"/>
      <c r="O417" s="172"/>
      <c r="P417" s="172"/>
      <c r="Q417" s="172"/>
      <c r="R417" s="172"/>
      <c r="S417" s="428"/>
      <c r="T417" s="172"/>
      <c r="U417" s="172"/>
      <c r="V417" s="172"/>
      <c r="W417" s="429"/>
    </row>
    <row r="418">
      <c r="C418" s="172"/>
      <c r="D418" s="172"/>
      <c r="E418" s="172"/>
      <c r="F418" s="172"/>
      <c r="G418" s="173"/>
      <c r="H418" s="137"/>
      <c r="I418" s="137"/>
      <c r="J418" s="137"/>
      <c r="K418" s="129"/>
      <c r="L418" s="323"/>
      <c r="N418" s="172"/>
      <c r="O418" s="172"/>
      <c r="P418" s="172"/>
      <c r="Q418" s="172"/>
      <c r="R418" s="172"/>
      <c r="S418" s="428"/>
      <c r="T418" s="172"/>
      <c r="U418" s="172"/>
      <c r="V418" s="172"/>
      <c r="W418" s="429"/>
    </row>
    <row r="419">
      <c r="C419" s="172"/>
      <c r="D419" s="172"/>
      <c r="E419" s="172"/>
      <c r="F419" s="172"/>
      <c r="G419" s="173"/>
      <c r="H419" s="137"/>
      <c r="I419" s="137"/>
      <c r="J419" s="137"/>
      <c r="K419" s="129"/>
      <c r="L419" s="323"/>
      <c r="N419" s="172"/>
      <c r="O419" s="172"/>
      <c r="P419" s="172"/>
      <c r="Q419" s="172"/>
      <c r="R419" s="172"/>
      <c r="S419" s="428"/>
      <c r="T419" s="172"/>
      <c r="U419" s="172"/>
      <c r="V419" s="172"/>
      <c r="W419" s="429"/>
    </row>
    <row r="420">
      <c r="C420" s="172"/>
      <c r="D420" s="172"/>
      <c r="E420" s="172"/>
      <c r="F420" s="172"/>
      <c r="G420" s="173"/>
      <c r="H420" s="137"/>
      <c r="I420" s="137"/>
      <c r="J420" s="137"/>
      <c r="K420" s="129"/>
      <c r="L420" s="323"/>
      <c r="N420" s="172"/>
      <c r="O420" s="172"/>
      <c r="P420" s="172"/>
      <c r="Q420" s="172"/>
      <c r="R420" s="172"/>
      <c r="S420" s="428"/>
      <c r="T420" s="172"/>
      <c r="U420" s="172"/>
      <c r="V420" s="172"/>
      <c r="W420" s="429"/>
    </row>
    <row r="421">
      <c r="C421" s="172"/>
      <c r="D421" s="172"/>
      <c r="E421" s="172"/>
      <c r="F421" s="172"/>
      <c r="G421" s="173"/>
      <c r="H421" s="137"/>
      <c r="I421" s="137"/>
      <c r="J421" s="137"/>
      <c r="K421" s="129"/>
      <c r="L421" s="323"/>
      <c r="N421" s="172"/>
      <c r="O421" s="172"/>
      <c r="P421" s="172"/>
      <c r="Q421" s="172"/>
      <c r="R421" s="172"/>
      <c r="S421" s="428"/>
      <c r="T421" s="172"/>
      <c r="U421" s="172"/>
      <c r="V421" s="172"/>
      <c r="W421" s="429"/>
    </row>
    <row r="422">
      <c r="C422" s="172"/>
      <c r="D422" s="172"/>
      <c r="E422" s="172"/>
      <c r="F422" s="172"/>
      <c r="G422" s="173"/>
      <c r="H422" s="137"/>
      <c r="I422" s="137"/>
      <c r="J422" s="137"/>
      <c r="K422" s="129"/>
      <c r="L422" s="323"/>
      <c r="N422" s="172"/>
      <c r="O422" s="172"/>
      <c r="P422" s="172"/>
      <c r="Q422" s="172"/>
      <c r="R422" s="172"/>
      <c r="S422" s="428"/>
      <c r="T422" s="172"/>
      <c r="U422" s="172"/>
      <c r="V422" s="172"/>
      <c r="W422" s="429"/>
    </row>
    <row r="423">
      <c r="C423" s="172"/>
      <c r="D423" s="172"/>
      <c r="E423" s="172"/>
      <c r="F423" s="172"/>
      <c r="G423" s="173"/>
      <c r="H423" s="137"/>
      <c r="I423" s="137"/>
      <c r="J423" s="137"/>
      <c r="K423" s="129"/>
      <c r="L423" s="323"/>
      <c r="N423" s="172"/>
      <c r="O423" s="172"/>
      <c r="P423" s="172"/>
      <c r="Q423" s="172"/>
      <c r="R423" s="172"/>
      <c r="S423" s="428"/>
      <c r="T423" s="172"/>
      <c r="U423" s="172"/>
      <c r="V423" s="172"/>
      <c r="W423" s="429"/>
    </row>
    <row r="424">
      <c r="C424" s="172"/>
      <c r="D424" s="172"/>
      <c r="E424" s="172"/>
      <c r="F424" s="172"/>
      <c r="G424" s="173"/>
      <c r="H424" s="137"/>
      <c r="I424" s="137"/>
      <c r="J424" s="137"/>
      <c r="K424" s="129"/>
      <c r="L424" s="323"/>
      <c r="N424" s="172"/>
      <c r="O424" s="172"/>
      <c r="P424" s="172"/>
      <c r="Q424" s="172"/>
      <c r="R424" s="172"/>
      <c r="S424" s="428"/>
      <c r="T424" s="172"/>
      <c r="U424" s="172"/>
      <c r="V424" s="172"/>
      <c r="W424" s="429"/>
    </row>
    <row r="425">
      <c r="C425" s="172"/>
      <c r="D425" s="172"/>
      <c r="E425" s="172"/>
      <c r="F425" s="172"/>
      <c r="G425" s="173"/>
      <c r="H425" s="137"/>
      <c r="I425" s="137"/>
      <c r="J425" s="137"/>
      <c r="K425" s="129"/>
      <c r="L425" s="323"/>
      <c r="N425" s="172"/>
      <c r="O425" s="172"/>
      <c r="P425" s="172"/>
      <c r="Q425" s="172"/>
      <c r="R425" s="172"/>
      <c r="S425" s="428"/>
      <c r="T425" s="172"/>
      <c r="U425" s="172"/>
      <c r="V425" s="172"/>
      <c r="W425" s="429"/>
    </row>
    <row r="426">
      <c r="C426" s="172"/>
      <c r="D426" s="172"/>
      <c r="E426" s="172"/>
      <c r="F426" s="172"/>
      <c r="G426" s="173"/>
      <c r="H426" s="137"/>
      <c r="I426" s="137"/>
      <c r="J426" s="137"/>
      <c r="K426" s="129"/>
      <c r="L426" s="323"/>
      <c r="N426" s="172"/>
      <c r="O426" s="172"/>
      <c r="P426" s="172"/>
      <c r="Q426" s="172"/>
      <c r="R426" s="172"/>
      <c r="S426" s="428"/>
      <c r="T426" s="172"/>
      <c r="U426" s="172"/>
      <c r="V426" s="172"/>
      <c r="W426" s="429"/>
    </row>
    <row r="427">
      <c r="C427" s="172"/>
      <c r="D427" s="172"/>
      <c r="E427" s="172"/>
      <c r="F427" s="172"/>
      <c r="G427" s="173"/>
      <c r="H427" s="137"/>
      <c r="I427" s="137"/>
      <c r="J427" s="137"/>
      <c r="K427" s="129"/>
      <c r="L427" s="323"/>
      <c r="N427" s="172"/>
      <c r="O427" s="172"/>
      <c r="P427" s="172"/>
      <c r="Q427" s="172"/>
      <c r="R427" s="172"/>
      <c r="S427" s="428"/>
      <c r="T427" s="172"/>
      <c r="U427" s="172"/>
      <c r="V427" s="172"/>
      <c r="W427" s="429"/>
    </row>
    <row r="428">
      <c r="C428" s="172"/>
      <c r="D428" s="172"/>
      <c r="E428" s="172"/>
      <c r="F428" s="172"/>
      <c r="G428" s="173"/>
      <c r="H428" s="137"/>
      <c r="I428" s="137"/>
      <c r="J428" s="137"/>
      <c r="K428" s="129"/>
      <c r="L428" s="323"/>
      <c r="N428" s="172"/>
      <c r="O428" s="172"/>
      <c r="P428" s="172"/>
      <c r="Q428" s="172"/>
      <c r="R428" s="172"/>
      <c r="S428" s="428"/>
      <c r="T428" s="172"/>
      <c r="U428" s="172"/>
      <c r="V428" s="172"/>
      <c r="W428" s="429"/>
    </row>
    <row r="429">
      <c r="C429" s="172"/>
      <c r="D429" s="172"/>
      <c r="E429" s="172"/>
      <c r="F429" s="172"/>
      <c r="G429" s="173"/>
      <c r="H429" s="137"/>
      <c r="I429" s="137"/>
      <c r="J429" s="137"/>
      <c r="K429" s="129"/>
      <c r="L429" s="323"/>
      <c r="N429" s="172"/>
      <c r="O429" s="172"/>
      <c r="P429" s="172"/>
      <c r="Q429" s="172"/>
      <c r="R429" s="172"/>
      <c r="S429" s="428"/>
      <c r="T429" s="172"/>
      <c r="U429" s="172"/>
      <c r="V429" s="172"/>
      <c r="W429" s="429"/>
    </row>
    <row r="430">
      <c r="C430" s="172"/>
      <c r="D430" s="172"/>
      <c r="E430" s="172"/>
      <c r="F430" s="172"/>
      <c r="G430" s="173"/>
      <c r="H430" s="137"/>
      <c r="I430" s="137"/>
      <c r="J430" s="137"/>
      <c r="K430" s="129"/>
      <c r="L430" s="323"/>
      <c r="N430" s="172"/>
      <c r="O430" s="172"/>
      <c r="P430" s="172"/>
      <c r="Q430" s="172"/>
      <c r="R430" s="172"/>
      <c r="S430" s="428"/>
      <c r="T430" s="172"/>
      <c r="U430" s="172"/>
      <c r="V430" s="172"/>
      <c r="W430" s="429"/>
    </row>
    <row r="431">
      <c r="C431" s="172"/>
      <c r="D431" s="172"/>
      <c r="E431" s="172"/>
      <c r="F431" s="172"/>
      <c r="G431" s="173"/>
      <c r="H431" s="137"/>
      <c r="I431" s="137"/>
      <c r="J431" s="137"/>
      <c r="K431" s="129"/>
      <c r="L431" s="323"/>
      <c r="N431" s="172"/>
      <c r="O431" s="172"/>
      <c r="P431" s="172"/>
      <c r="Q431" s="172"/>
      <c r="R431" s="172"/>
      <c r="S431" s="428"/>
      <c r="T431" s="172"/>
      <c r="U431" s="172"/>
      <c r="V431" s="172"/>
      <c r="W431" s="429"/>
    </row>
    <row r="432">
      <c r="C432" s="172"/>
      <c r="D432" s="172"/>
      <c r="E432" s="172"/>
      <c r="F432" s="172"/>
      <c r="G432" s="173"/>
      <c r="H432" s="137"/>
      <c r="I432" s="137"/>
      <c r="J432" s="137"/>
      <c r="K432" s="129"/>
      <c r="L432" s="323"/>
      <c r="N432" s="172"/>
      <c r="O432" s="172"/>
      <c r="P432" s="172"/>
      <c r="Q432" s="172"/>
      <c r="R432" s="172"/>
      <c r="S432" s="428"/>
      <c r="T432" s="172"/>
      <c r="U432" s="172"/>
      <c r="V432" s="172"/>
      <c r="W432" s="429"/>
    </row>
    <row r="433">
      <c r="C433" s="172"/>
      <c r="D433" s="172"/>
      <c r="E433" s="172"/>
      <c r="F433" s="172"/>
      <c r="G433" s="173"/>
      <c r="H433" s="137"/>
      <c r="I433" s="137"/>
      <c r="J433" s="137"/>
      <c r="K433" s="129"/>
      <c r="L433" s="323"/>
      <c r="N433" s="172"/>
      <c r="O433" s="172"/>
      <c r="P433" s="172"/>
      <c r="Q433" s="172"/>
      <c r="R433" s="172"/>
      <c r="S433" s="428"/>
      <c r="T433" s="172"/>
      <c r="U433" s="172"/>
      <c r="V433" s="172"/>
      <c r="W433" s="429"/>
    </row>
    <row r="434">
      <c r="C434" s="172"/>
      <c r="D434" s="172"/>
      <c r="E434" s="172"/>
      <c r="F434" s="172"/>
      <c r="G434" s="173"/>
      <c r="H434" s="137"/>
      <c r="I434" s="137"/>
      <c r="J434" s="137"/>
      <c r="K434" s="129"/>
      <c r="L434" s="323"/>
      <c r="N434" s="172"/>
      <c r="O434" s="172"/>
      <c r="P434" s="172"/>
      <c r="Q434" s="172"/>
      <c r="R434" s="172"/>
      <c r="S434" s="428"/>
      <c r="T434" s="172"/>
      <c r="U434" s="172"/>
      <c r="V434" s="172"/>
      <c r="W434" s="429"/>
    </row>
    <row r="435">
      <c r="C435" s="172"/>
      <c r="D435" s="172"/>
      <c r="E435" s="172"/>
      <c r="F435" s="172"/>
      <c r="G435" s="173"/>
      <c r="H435" s="137"/>
      <c r="I435" s="137"/>
      <c r="J435" s="137"/>
      <c r="K435" s="129"/>
      <c r="L435" s="323"/>
      <c r="N435" s="172"/>
      <c r="O435" s="172"/>
      <c r="P435" s="172"/>
      <c r="Q435" s="172"/>
      <c r="R435" s="172"/>
      <c r="S435" s="428"/>
      <c r="T435" s="172"/>
      <c r="U435" s="172"/>
      <c r="V435" s="172"/>
      <c r="W435" s="429"/>
    </row>
    <row r="436">
      <c r="C436" s="172"/>
      <c r="D436" s="172"/>
      <c r="E436" s="172"/>
      <c r="F436" s="172"/>
      <c r="G436" s="173"/>
      <c r="H436" s="137"/>
      <c r="I436" s="137"/>
      <c r="J436" s="137"/>
      <c r="K436" s="129"/>
      <c r="L436" s="323"/>
      <c r="N436" s="172"/>
      <c r="O436" s="172"/>
      <c r="P436" s="172"/>
      <c r="Q436" s="172"/>
      <c r="R436" s="172"/>
      <c r="S436" s="428"/>
      <c r="T436" s="172"/>
      <c r="U436" s="172"/>
      <c r="V436" s="172"/>
      <c r="W436" s="429"/>
    </row>
    <row r="437">
      <c r="C437" s="172"/>
      <c r="D437" s="172"/>
      <c r="E437" s="172"/>
      <c r="F437" s="172"/>
      <c r="G437" s="173"/>
      <c r="H437" s="137"/>
      <c r="I437" s="137"/>
      <c r="J437" s="137"/>
      <c r="K437" s="129"/>
      <c r="L437" s="323"/>
      <c r="N437" s="172"/>
      <c r="O437" s="172"/>
      <c r="P437" s="172"/>
      <c r="Q437" s="172"/>
      <c r="R437" s="172"/>
      <c r="S437" s="428"/>
      <c r="T437" s="172"/>
      <c r="U437" s="172"/>
      <c r="V437" s="172"/>
      <c r="W437" s="429"/>
    </row>
    <row r="438">
      <c r="C438" s="172"/>
      <c r="D438" s="172"/>
      <c r="E438" s="172"/>
      <c r="F438" s="172"/>
      <c r="G438" s="173"/>
      <c r="H438" s="137"/>
      <c r="I438" s="137"/>
      <c r="J438" s="137"/>
      <c r="K438" s="129"/>
      <c r="L438" s="323"/>
      <c r="N438" s="172"/>
      <c r="O438" s="172"/>
      <c r="P438" s="172"/>
      <c r="Q438" s="172"/>
      <c r="R438" s="172"/>
      <c r="S438" s="428"/>
      <c r="T438" s="172"/>
      <c r="U438" s="172"/>
      <c r="V438" s="172"/>
      <c r="W438" s="429"/>
    </row>
    <row r="439">
      <c r="C439" s="172"/>
      <c r="D439" s="172"/>
      <c r="E439" s="172"/>
      <c r="F439" s="172"/>
      <c r="G439" s="173"/>
      <c r="H439" s="137"/>
      <c r="I439" s="137"/>
      <c r="J439" s="137"/>
      <c r="K439" s="129"/>
      <c r="L439" s="323"/>
      <c r="N439" s="172"/>
      <c r="O439" s="172"/>
      <c r="P439" s="172"/>
      <c r="Q439" s="172"/>
      <c r="R439" s="172"/>
      <c r="S439" s="428"/>
      <c r="T439" s="172"/>
      <c r="U439" s="172"/>
      <c r="V439" s="172"/>
      <c r="W439" s="429"/>
    </row>
    <row r="440">
      <c r="C440" s="172"/>
      <c r="D440" s="172"/>
      <c r="E440" s="172"/>
      <c r="F440" s="172"/>
      <c r="G440" s="173"/>
      <c r="H440" s="137"/>
      <c r="I440" s="137"/>
      <c r="J440" s="137"/>
      <c r="K440" s="129"/>
      <c r="L440" s="323"/>
      <c r="N440" s="172"/>
      <c r="O440" s="172"/>
      <c r="P440" s="172"/>
      <c r="Q440" s="172"/>
      <c r="R440" s="172"/>
      <c r="S440" s="428"/>
      <c r="T440" s="172"/>
      <c r="U440" s="172"/>
      <c r="V440" s="172"/>
      <c r="W440" s="429"/>
    </row>
    <row r="441">
      <c r="C441" s="172"/>
      <c r="D441" s="172"/>
      <c r="E441" s="172"/>
      <c r="F441" s="172"/>
      <c r="G441" s="173"/>
      <c r="H441" s="137"/>
      <c r="I441" s="137"/>
      <c r="J441" s="137"/>
      <c r="K441" s="129"/>
      <c r="L441" s="323"/>
      <c r="N441" s="172"/>
      <c r="O441" s="172"/>
      <c r="P441" s="172"/>
      <c r="Q441" s="172"/>
      <c r="R441" s="172"/>
      <c r="S441" s="428"/>
      <c r="T441" s="172"/>
      <c r="U441" s="172"/>
      <c r="V441" s="172"/>
      <c r="W441" s="429"/>
    </row>
    <row r="442">
      <c r="C442" s="172"/>
      <c r="D442" s="172"/>
      <c r="E442" s="172"/>
      <c r="F442" s="172"/>
      <c r="G442" s="173"/>
      <c r="H442" s="137"/>
      <c r="I442" s="137"/>
      <c r="J442" s="137"/>
      <c r="K442" s="129"/>
      <c r="L442" s="323"/>
      <c r="N442" s="172"/>
      <c r="O442" s="172"/>
      <c r="P442" s="172"/>
      <c r="Q442" s="172"/>
      <c r="R442" s="172"/>
      <c r="S442" s="428"/>
      <c r="T442" s="172"/>
      <c r="U442" s="172"/>
      <c r="V442" s="172"/>
      <c r="W442" s="429"/>
    </row>
    <row r="443">
      <c r="C443" s="172"/>
      <c r="D443" s="172"/>
      <c r="E443" s="172"/>
      <c r="F443" s="172"/>
      <c r="G443" s="173"/>
      <c r="H443" s="137"/>
      <c r="I443" s="137"/>
      <c r="J443" s="137"/>
      <c r="K443" s="129"/>
      <c r="L443" s="323"/>
      <c r="N443" s="172"/>
      <c r="O443" s="172"/>
      <c r="P443" s="172"/>
      <c r="Q443" s="172"/>
      <c r="R443" s="172"/>
      <c r="S443" s="428"/>
      <c r="T443" s="172"/>
      <c r="U443" s="172"/>
      <c r="V443" s="172"/>
      <c r="W443" s="429"/>
    </row>
    <row r="444">
      <c r="C444" s="172"/>
      <c r="D444" s="172"/>
      <c r="E444" s="172"/>
      <c r="F444" s="172"/>
      <c r="G444" s="173"/>
      <c r="H444" s="137"/>
      <c r="I444" s="137"/>
      <c r="J444" s="137"/>
      <c r="K444" s="129"/>
      <c r="L444" s="323"/>
      <c r="N444" s="172"/>
      <c r="O444" s="172"/>
      <c r="P444" s="172"/>
      <c r="Q444" s="172"/>
      <c r="R444" s="172"/>
      <c r="S444" s="428"/>
      <c r="T444" s="172"/>
      <c r="U444" s="172"/>
      <c r="V444" s="172"/>
      <c r="W444" s="429"/>
    </row>
    <row r="445">
      <c r="C445" s="172"/>
      <c r="D445" s="172"/>
      <c r="E445" s="172"/>
      <c r="F445" s="172"/>
      <c r="G445" s="173"/>
      <c r="H445" s="137"/>
      <c r="I445" s="137"/>
      <c r="J445" s="137"/>
      <c r="K445" s="129"/>
      <c r="L445" s="323"/>
      <c r="N445" s="172"/>
      <c r="O445" s="172"/>
      <c r="P445" s="172"/>
      <c r="Q445" s="172"/>
      <c r="R445" s="172"/>
      <c r="S445" s="428"/>
      <c r="T445" s="172"/>
      <c r="U445" s="172"/>
      <c r="V445" s="172"/>
      <c r="W445" s="429"/>
    </row>
    <row r="446">
      <c r="C446" s="172"/>
      <c r="D446" s="172"/>
      <c r="E446" s="172"/>
      <c r="F446" s="172"/>
      <c r="G446" s="173"/>
      <c r="H446" s="137"/>
      <c r="I446" s="137"/>
      <c r="J446" s="137"/>
      <c r="K446" s="129"/>
      <c r="L446" s="323"/>
      <c r="N446" s="172"/>
      <c r="O446" s="172"/>
      <c r="P446" s="172"/>
      <c r="Q446" s="172"/>
      <c r="R446" s="172"/>
      <c r="S446" s="428"/>
      <c r="T446" s="172"/>
      <c r="U446" s="172"/>
      <c r="V446" s="172"/>
      <c r="W446" s="429"/>
    </row>
    <row r="447">
      <c r="C447" s="172"/>
      <c r="D447" s="172"/>
      <c r="E447" s="172"/>
      <c r="F447" s="172"/>
      <c r="G447" s="173"/>
      <c r="H447" s="137"/>
      <c r="I447" s="137"/>
      <c r="J447" s="137"/>
      <c r="K447" s="129"/>
      <c r="L447" s="323"/>
      <c r="N447" s="172"/>
      <c r="O447" s="172"/>
      <c r="P447" s="172"/>
      <c r="Q447" s="172"/>
      <c r="R447" s="172"/>
      <c r="S447" s="428"/>
      <c r="T447" s="172"/>
      <c r="U447" s="172"/>
      <c r="V447" s="172"/>
      <c r="W447" s="429"/>
    </row>
    <row r="448">
      <c r="C448" s="172"/>
      <c r="D448" s="172"/>
      <c r="E448" s="172"/>
      <c r="F448" s="172"/>
      <c r="G448" s="173"/>
      <c r="H448" s="137"/>
      <c r="I448" s="137"/>
      <c r="J448" s="137"/>
      <c r="K448" s="129"/>
      <c r="L448" s="323"/>
      <c r="N448" s="172"/>
      <c r="O448" s="172"/>
      <c r="P448" s="172"/>
      <c r="Q448" s="172"/>
      <c r="R448" s="172"/>
      <c r="S448" s="428"/>
      <c r="T448" s="172"/>
      <c r="U448" s="172"/>
      <c r="V448" s="172"/>
      <c r="W448" s="429"/>
    </row>
    <row r="449">
      <c r="C449" s="172"/>
      <c r="D449" s="172"/>
      <c r="E449" s="172"/>
      <c r="F449" s="172"/>
      <c r="G449" s="173"/>
      <c r="H449" s="137"/>
      <c r="I449" s="137"/>
      <c r="J449" s="137"/>
      <c r="K449" s="129"/>
      <c r="L449" s="323"/>
      <c r="N449" s="172"/>
      <c r="O449" s="172"/>
      <c r="P449" s="172"/>
      <c r="Q449" s="172"/>
      <c r="R449" s="172"/>
      <c r="S449" s="428"/>
      <c r="T449" s="172"/>
      <c r="U449" s="172"/>
      <c r="V449" s="172"/>
      <c r="W449" s="429"/>
    </row>
    <row r="450">
      <c r="C450" s="172"/>
      <c r="D450" s="172"/>
      <c r="E450" s="172"/>
      <c r="F450" s="172"/>
      <c r="G450" s="173"/>
      <c r="H450" s="137"/>
      <c r="I450" s="137"/>
      <c r="J450" s="137"/>
      <c r="K450" s="129"/>
      <c r="L450" s="323"/>
      <c r="N450" s="172"/>
      <c r="O450" s="172"/>
      <c r="P450" s="172"/>
      <c r="Q450" s="172"/>
      <c r="R450" s="172"/>
      <c r="S450" s="428"/>
      <c r="T450" s="172"/>
      <c r="U450" s="172"/>
      <c r="V450" s="172"/>
      <c r="W450" s="429"/>
    </row>
    <row r="451">
      <c r="C451" s="172"/>
      <c r="D451" s="172"/>
      <c r="E451" s="172"/>
      <c r="F451" s="172"/>
      <c r="G451" s="173"/>
      <c r="H451" s="137"/>
      <c r="I451" s="137"/>
      <c r="J451" s="137"/>
      <c r="K451" s="129"/>
      <c r="L451" s="323"/>
      <c r="N451" s="172"/>
      <c r="O451" s="172"/>
      <c r="P451" s="172"/>
      <c r="Q451" s="172"/>
      <c r="R451" s="172"/>
      <c r="S451" s="428"/>
      <c r="T451" s="172"/>
      <c r="U451" s="172"/>
      <c r="V451" s="172"/>
      <c r="W451" s="429"/>
    </row>
    <row r="452">
      <c r="C452" s="172"/>
      <c r="D452" s="172"/>
      <c r="E452" s="172"/>
      <c r="F452" s="172"/>
      <c r="G452" s="173"/>
      <c r="H452" s="137"/>
      <c r="I452" s="137"/>
      <c r="J452" s="137"/>
      <c r="K452" s="129"/>
      <c r="L452" s="323"/>
      <c r="N452" s="172"/>
      <c r="O452" s="172"/>
      <c r="P452" s="172"/>
      <c r="Q452" s="172"/>
      <c r="R452" s="172"/>
      <c r="S452" s="428"/>
      <c r="T452" s="172"/>
      <c r="U452" s="172"/>
      <c r="V452" s="172"/>
      <c r="W452" s="429"/>
    </row>
    <row r="453">
      <c r="C453" s="172"/>
      <c r="D453" s="172"/>
      <c r="E453" s="172"/>
      <c r="F453" s="172"/>
      <c r="G453" s="173"/>
      <c r="H453" s="137"/>
      <c r="I453" s="137"/>
      <c r="J453" s="137"/>
      <c r="K453" s="129"/>
      <c r="L453" s="323"/>
      <c r="N453" s="172"/>
      <c r="O453" s="172"/>
      <c r="P453" s="172"/>
      <c r="Q453" s="172"/>
      <c r="R453" s="172"/>
      <c r="S453" s="428"/>
      <c r="T453" s="172"/>
      <c r="U453" s="172"/>
      <c r="V453" s="172"/>
      <c r="W453" s="429"/>
    </row>
    <row r="454">
      <c r="C454" s="172"/>
      <c r="D454" s="172"/>
      <c r="E454" s="172"/>
      <c r="F454" s="172"/>
      <c r="G454" s="173"/>
      <c r="H454" s="137"/>
      <c r="I454" s="137"/>
      <c r="J454" s="137"/>
      <c r="K454" s="129"/>
      <c r="L454" s="323"/>
      <c r="N454" s="172"/>
      <c r="O454" s="172"/>
      <c r="P454" s="172"/>
      <c r="Q454" s="172"/>
      <c r="R454" s="172"/>
      <c r="S454" s="428"/>
      <c r="T454" s="172"/>
      <c r="U454" s="172"/>
      <c r="V454" s="172"/>
      <c r="W454" s="429"/>
    </row>
    <row r="455">
      <c r="C455" s="172"/>
      <c r="D455" s="172"/>
      <c r="E455" s="172"/>
      <c r="F455" s="172"/>
      <c r="G455" s="173"/>
      <c r="H455" s="137"/>
      <c r="I455" s="137"/>
      <c r="J455" s="137"/>
      <c r="K455" s="129"/>
      <c r="L455" s="323"/>
      <c r="N455" s="172"/>
      <c r="O455" s="172"/>
      <c r="P455" s="172"/>
      <c r="Q455" s="172"/>
      <c r="R455" s="172"/>
      <c r="S455" s="428"/>
      <c r="T455" s="172"/>
      <c r="U455" s="172"/>
      <c r="V455" s="172"/>
      <c r="W455" s="429"/>
    </row>
    <row r="456">
      <c r="C456" s="172"/>
      <c r="D456" s="172"/>
      <c r="E456" s="172"/>
      <c r="F456" s="172"/>
      <c r="G456" s="173"/>
      <c r="H456" s="137"/>
      <c r="I456" s="137"/>
      <c r="J456" s="137"/>
      <c r="K456" s="129"/>
      <c r="L456" s="323"/>
      <c r="N456" s="172"/>
      <c r="O456" s="172"/>
      <c r="P456" s="172"/>
      <c r="Q456" s="172"/>
      <c r="R456" s="172"/>
      <c r="S456" s="428"/>
      <c r="T456" s="172"/>
      <c r="U456" s="172"/>
      <c r="V456" s="172"/>
      <c r="W456" s="429"/>
    </row>
    <row r="457">
      <c r="C457" s="172"/>
      <c r="D457" s="172"/>
      <c r="E457" s="172"/>
      <c r="F457" s="172"/>
      <c r="G457" s="173"/>
      <c r="H457" s="137"/>
      <c r="I457" s="137"/>
      <c r="J457" s="137"/>
      <c r="K457" s="129"/>
      <c r="L457" s="323"/>
      <c r="N457" s="172"/>
      <c r="O457" s="172"/>
      <c r="P457" s="172"/>
      <c r="Q457" s="172"/>
      <c r="R457" s="172"/>
      <c r="S457" s="428"/>
      <c r="T457" s="172"/>
      <c r="U457" s="172"/>
      <c r="V457" s="172"/>
      <c r="W457" s="429"/>
    </row>
    <row r="458">
      <c r="C458" s="172"/>
      <c r="D458" s="172"/>
      <c r="E458" s="172"/>
      <c r="F458" s="172"/>
      <c r="G458" s="173"/>
      <c r="H458" s="137"/>
      <c r="I458" s="137"/>
      <c r="J458" s="137"/>
      <c r="K458" s="129"/>
      <c r="L458" s="323"/>
      <c r="N458" s="172"/>
      <c r="O458" s="172"/>
      <c r="P458" s="172"/>
      <c r="Q458" s="172"/>
      <c r="R458" s="172"/>
      <c r="S458" s="428"/>
      <c r="T458" s="172"/>
      <c r="U458" s="172"/>
      <c r="V458" s="172"/>
      <c r="W458" s="429"/>
    </row>
    <row r="459">
      <c r="C459" s="172"/>
      <c r="D459" s="172"/>
      <c r="E459" s="172"/>
      <c r="F459" s="172"/>
      <c r="G459" s="173"/>
      <c r="H459" s="137"/>
      <c r="I459" s="137"/>
      <c r="J459" s="137"/>
      <c r="K459" s="129"/>
      <c r="L459" s="323"/>
      <c r="N459" s="172"/>
      <c r="O459" s="172"/>
      <c r="P459" s="172"/>
      <c r="Q459" s="172"/>
      <c r="R459" s="172"/>
      <c r="S459" s="428"/>
      <c r="T459" s="172"/>
      <c r="U459" s="172"/>
      <c r="V459" s="172"/>
      <c r="W459" s="429"/>
    </row>
    <row r="460">
      <c r="C460" s="172"/>
      <c r="D460" s="172"/>
      <c r="E460" s="172"/>
      <c r="F460" s="172"/>
      <c r="G460" s="173"/>
      <c r="H460" s="137"/>
      <c r="I460" s="137"/>
      <c r="J460" s="137"/>
      <c r="K460" s="129"/>
      <c r="L460" s="323"/>
      <c r="N460" s="172"/>
      <c r="O460" s="172"/>
      <c r="P460" s="172"/>
      <c r="Q460" s="172"/>
      <c r="R460" s="172"/>
      <c r="S460" s="428"/>
      <c r="T460" s="172"/>
      <c r="U460" s="172"/>
      <c r="V460" s="172"/>
      <c r="W460" s="429"/>
    </row>
    <row r="461">
      <c r="C461" s="172"/>
      <c r="D461" s="172"/>
      <c r="E461" s="172"/>
      <c r="F461" s="172"/>
      <c r="G461" s="173"/>
      <c r="H461" s="137"/>
      <c r="I461" s="137"/>
      <c r="J461" s="137"/>
      <c r="K461" s="129"/>
      <c r="L461" s="323"/>
      <c r="N461" s="172"/>
      <c r="O461" s="172"/>
      <c r="P461" s="172"/>
      <c r="Q461" s="172"/>
      <c r="R461" s="172"/>
      <c r="S461" s="428"/>
      <c r="T461" s="172"/>
      <c r="U461" s="172"/>
      <c r="V461" s="172"/>
      <c r="W461" s="429"/>
    </row>
    <row r="462">
      <c r="C462" s="172"/>
      <c r="D462" s="172"/>
      <c r="E462" s="172"/>
      <c r="F462" s="172"/>
      <c r="G462" s="173"/>
      <c r="H462" s="137"/>
      <c r="I462" s="137"/>
      <c r="J462" s="137"/>
      <c r="K462" s="129"/>
      <c r="L462" s="323"/>
      <c r="N462" s="172"/>
      <c r="O462" s="172"/>
      <c r="P462" s="172"/>
      <c r="Q462" s="172"/>
      <c r="R462" s="172"/>
      <c r="S462" s="428"/>
      <c r="T462" s="172"/>
      <c r="U462" s="172"/>
      <c r="V462" s="172"/>
      <c r="W462" s="429"/>
    </row>
    <row r="463">
      <c r="C463" s="172"/>
      <c r="D463" s="172"/>
      <c r="E463" s="172"/>
      <c r="F463" s="172"/>
      <c r="G463" s="173"/>
      <c r="H463" s="137"/>
      <c r="I463" s="137"/>
      <c r="J463" s="137"/>
      <c r="K463" s="129"/>
      <c r="L463" s="323"/>
      <c r="N463" s="172"/>
      <c r="O463" s="172"/>
      <c r="P463" s="172"/>
      <c r="Q463" s="172"/>
      <c r="R463" s="172"/>
      <c r="S463" s="428"/>
      <c r="T463" s="172"/>
      <c r="U463" s="172"/>
      <c r="V463" s="172"/>
      <c r="W463" s="429"/>
    </row>
    <row r="464">
      <c r="C464" s="172"/>
      <c r="D464" s="172"/>
      <c r="E464" s="172"/>
      <c r="F464" s="172"/>
      <c r="G464" s="173"/>
      <c r="H464" s="137"/>
      <c r="I464" s="137"/>
      <c r="J464" s="137"/>
      <c r="K464" s="129"/>
      <c r="L464" s="323"/>
      <c r="N464" s="172"/>
      <c r="O464" s="172"/>
      <c r="P464" s="172"/>
      <c r="Q464" s="172"/>
      <c r="R464" s="172"/>
      <c r="S464" s="428"/>
      <c r="T464" s="172"/>
      <c r="U464" s="172"/>
      <c r="V464" s="172"/>
      <c r="W464" s="429"/>
    </row>
    <row r="465">
      <c r="C465" s="172"/>
      <c r="D465" s="172"/>
      <c r="E465" s="172"/>
      <c r="F465" s="172"/>
      <c r="G465" s="173"/>
      <c r="H465" s="137"/>
      <c r="I465" s="137"/>
      <c r="J465" s="137"/>
      <c r="K465" s="129"/>
      <c r="L465" s="323"/>
      <c r="N465" s="172"/>
      <c r="O465" s="172"/>
      <c r="P465" s="172"/>
      <c r="Q465" s="172"/>
      <c r="R465" s="172"/>
      <c r="S465" s="428"/>
      <c r="T465" s="172"/>
      <c r="U465" s="172"/>
      <c r="V465" s="172"/>
      <c r="W465" s="429"/>
    </row>
    <row r="466">
      <c r="C466" s="172"/>
      <c r="D466" s="172"/>
      <c r="E466" s="172"/>
      <c r="F466" s="172"/>
      <c r="G466" s="173"/>
      <c r="H466" s="137"/>
      <c r="I466" s="137"/>
      <c r="J466" s="137"/>
      <c r="K466" s="129"/>
      <c r="L466" s="323"/>
      <c r="N466" s="172"/>
      <c r="O466" s="172"/>
      <c r="P466" s="172"/>
      <c r="Q466" s="172"/>
      <c r="R466" s="172"/>
      <c r="S466" s="428"/>
      <c r="T466" s="172"/>
      <c r="U466" s="172"/>
      <c r="V466" s="172"/>
      <c r="W466" s="429"/>
    </row>
    <row r="467">
      <c r="C467" s="172"/>
      <c r="D467" s="172"/>
      <c r="E467" s="172"/>
      <c r="F467" s="172"/>
      <c r="G467" s="173"/>
      <c r="H467" s="137"/>
      <c r="I467" s="137"/>
      <c r="J467" s="137"/>
      <c r="K467" s="129"/>
      <c r="L467" s="323"/>
      <c r="N467" s="172"/>
      <c r="O467" s="172"/>
      <c r="P467" s="172"/>
      <c r="Q467" s="172"/>
      <c r="R467" s="172"/>
      <c r="S467" s="428"/>
      <c r="T467" s="172"/>
      <c r="U467" s="172"/>
      <c r="V467" s="172"/>
      <c r="W467" s="429"/>
    </row>
    <row r="468">
      <c r="C468" s="172"/>
      <c r="D468" s="172"/>
      <c r="E468" s="172"/>
      <c r="F468" s="172"/>
      <c r="G468" s="173"/>
      <c r="H468" s="137"/>
      <c r="I468" s="137"/>
      <c r="J468" s="137"/>
      <c r="K468" s="129"/>
      <c r="L468" s="323"/>
      <c r="N468" s="172"/>
      <c r="O468" s="172"/>
      <c r="P468" s="172"/>
      <c r="Q468" s="172"/>
      <c r="R468" s="172"/>
      <c r="S468" s="428"/>
      <c r="T468" s="172"/>
      <c r="U468" s="172"/>
      <c r="V468" s="172"/>
      <c r="W468" s="429"/>
    </row>
    <row r="469">
      <c r="C469" s="172"/>
      <c r="D469" s="172"/>
      <c r="E469" s="172"/>
      <c r="F469" s="172"/>
      <c r="G469" s="173"/>
      <c r="H469" s="137"/>
      <c r="I469" s="137"/>
      <c r="J469" s="137"/>
      <c r="K469" s="129"/>
      <c r="L469" s="323"/>
      <c r="N469" s="172"/>
      <c r="O469" s="172"/>
      <c r="P469" s="172"/>
      <c r="Q469" s="172"/>
      <c r="R469" s="172"/>
      <c r="S469" s="428"/>
      <c r="T469" s="172"/>
      <c r="U469" s="172"/>
      <c r="V469" s="172"/>
      <c r="W469" s="429"/>
    </row>
    <row r="470">
      <c r="C470" s="172"/>
      <c r="D470" s="172"/>
      <c r="E470" s="172"/>
      <c r="F470" s="172"/>
      <c r="G470" s="173"/>
      <c r="H470" s="137"/>
      <c r="I470" s="137"/>
      <c r="J470" s="137"/>
      <c r="K470" s="129"/>
      <c r="L470" s="323"/>
      <c r="N470" s="172"/>
      <c r="O470" s="172"/>
      <c r="P470" s="172"/>
      <c r="Q470" s="172"/>
      <c r="R470" s="172"/>
      <c r="S470" s="428"/>
      <c r="T470" s="172"/>
      <c r="U470" s="172"/>
      <c r="V470" s="172"/>
      <c r="W470" s="429"/>
    </row>
    <row r="471">
      <c r="C471" s="172"/>
      <c r="D471" s="172"/>
      <c r="E471" s="172"/>
      <c r="F471" s="172"/>
      <c r="G471" s="173"/>
      <c r="H471" s="137"/>
      <c r="I471" s="137"/>
      <c r="J471" s="137"/>
      <c r="K471" s="129"/>
      <c r="L471" s="323"/>
      <c r="N471" s="172"/>
      <c r="O471" s="172"/>
      <c r="P471" s="172"/>
      <c r="Q471" s="172"/>
      <c r="R471" s="172"/>
      <c r="S471" s="428"/>
      <c r="T471" s="172"/>
      <c r="U471" s="172"/>
      <c r="V471" s="172"/>
      <c r="W471" s="429"/>
    </row>
    <row r="472">
      <c r="C472" s="172"/>
      <c r="D472" s="172"/>
      <c r="E472" s="172"/>
      <c r="F472" s="172"/>
      <c r="G472" s="173"/>
      <c r="H472" s="137"/>
      <c r="I472" s="137"/>
      <c r="J472" s="137"/>
      <c r="K472" s="129"/>
      <c r="L472" s="323"/>
      <c r="N472" s="172"/>
      <c r="O472" s="172"/>
      <c r="P472" s="172"/>
      <c r="Q472" s="172"/>
      <c r="R472" s="172"/>
      <c r="S472" s="428"/>
      <c r="T472" s="172"/>
      <c r="U472" s="172"/>
      <c r="V472" s="172"/>
      <c r="W472" s="429"/>
    </row>
    <row r="473">
      <c r="C473" s="172"/>
      <c r="D473" s="172"/>
      <c r="E473" s="172"/>
      <c r="F473" s="172"/>
      <c r="G473" s="173"/>
      <c r="H473" s="137"/>
      <c r="I473" s="137"/>
      <c r="J473" s="137"/>
      <c r="K473" s="129"/>
      <c r="L473" s="323"/>
      <c r="N473" s="172"/>
      <c r="O473" s="172"/>
      <c r="P473" s="172"/>
      <c r="Q473" s="172"/>
      <c r="R473" s="172"/>
      <c r="S473" s="428"/>
      <c r="T473" s="172"/>
      <c r="U473" s="172"/>
      <c r="V473" s="172"/>
      <c r="W473" s="429"/>
    </row>
    <row r="474">
      <c r="C474" s="172"/>
      <c r="D474" s="172"/>
      <c r="E474" s="172"/>
      <c r="F474" s="172"/>
      <c r="G474" s="173"/>
      <c r="H474" s="137"/>
      <c r="I474" s="137"/>
      <c r="J474" s="137"/>
      <c r="K474" s="129"/>
      <c r="L474" s="323"/>
      <c r="N474" s="172"/>
      <c r="O474" s="172"/>
      <c r="P474" s="172"/>
      <c r="Q474" s="172"/>
      <c r="R474" s="172"/>
      <c r="S474" s="428"/>
      <c r="T474" s="172"/>
      <c r="U474" s="172"/>
      <c r="V474" s="172"/>
      <c r="W474" s="429"/>
    </row>
    <row r="475">
      <c r="C475" s="172"/>
      <c r="D475" s="172"/>
      <c r="E475" s="172"/>
      <c r="F475" s="172"/>
      <c r="G475" s="173"/>
      <c r="H475" s="137"/>
      <c r="I475" s="137"/>
      <c r="J475" s="137"/>
      <c r="K475" s="129"/>
      <c r="L475" s="323"/>
      <c r="N475" s="172"/>
      <c r="O475" s="172"/>
      <c r="P475" s="172"/>
      <c r="Q475" s="172"/>
      <c r="R475" s="172"/>
      <c r="S475" s="428"/>
      <c r="T475" s="172"/>
      <c r="U475" s="172"/>
      <c r="V475" s="172"/>
      <c r="W475" s="429"/>
    </row>
    <row r="476">
      <c r="C476" s="172"/>
      <c r="D476" s="172"/>
      <c r="E476" s="172"/>
      <c r="F476" s="172"/>
      <c r="G476" s="173"/>
      <c r="H476" s="137"/>
      <c r="I476" s="137"/>
      <c r="J476" s="137"/>
      <c r="K476" s="129"/>
      <c r="L476" s="323"/>
      <c r="N476" s="172"/>
      <c r="O476" s="172"/>
      <c r="P476" s="172"/>
      <c r="Q476" s="172"/>
      <c r="R476" s="172"/>
      <c r="S476" s="428"/>
      <c r="T476" s="172"/>
      <c r="U476" s="172"/>
      <c r="V476" s="172"/>
      <c r="W476" s="429"/>
    </row>
    <row r="477">
      <c r="C477" s="172"/>
      <c r="D477" s="172"/>
      <c r="E477" s="172"/>
      <c r="F477" s="172"/>
      <c r="G477" s="173"/>
      <c r="H477" s="137"/>
      <c r="I477" s="137"/>
      <c r="J477" s="137"/>
      <c r="K477" s="129"/>
      <c r="L477" s="323"/>
      <c r="N477" s="172"/>
      <c r="O477" s="172"/>
      <c r="P477" s="172"/>
      <c r="Q477" s="172"/>
      <c r="R477" s="172"/>
      <c r="S477" s="428"/>
      <c r="T477" s="172"/>
      <c r="U477" s="172"/>
      <c r="V477" s="172"/>
      <c r="W477" s="429"/>
    </row>
    <row r="478">
      <c r="C478" s="172"/>
      <c r="D478" s="172"/>
      <c r="E478" s="172"/>
      <c r="F478" s="172"/>
      <c r="G478" s="173"/>
      <c r="H478" s="137"/>
      <c r="I478" s="137"/>
      <c r="J478" s="137"/>
      <c r="K478" s="129"/>
      <c r="L478" s="323"/>
      <c r="N478" s="172"/>
      <c r="O478" s="172"/>
      <c r="P478" s="172"/>
      <c r="Q478" s="172"/>
      <c r="R478" s="172"/>
      <c r="S478" s="428"/>
      <c r="T478" s="172"/>
      <c r="U478" s="172"/>
      <c r="V478" s="172"/>
      <c r="W478" s="429"/>
    </row>
    <row r="479">
      <c r="C479" s="172"/>
      <c r="D479" s="172"/>
      <c r="E479" s="172"/>
      <c r="F479" s="172"/>
      <c r="G479" s="173"/>
      <c r="H479" s="137"/>
      <c r="I479" s="137"/>
      <c r="J479" s="137"/>
      <c r="K479" s="129"/>
      <c r="L479" s="323"/>
      <c r="N479" s="172"/>
      <c r="O479" s="172"/>
      <c r="P479" s="172"/>
      <c r="Q479" s="172"/>
      <c r="R479" s="172"/>
      <c r="S479" s="428"/>
      <c r="T479" s="172"/>
      <c r="U479" s="172"/>
      <c r="V479" s="172"/>
      <c r="W479" s="429"/>
    </row>
    <row r="480">
      <c r="C480" s="172"/>
      <c r="D480" s="172"/>
      <c r="E480" s="172"/>
      <c r="F480" s="172"/>
      <c r="G480" s="173"/>
      <c r="H480" s="137"/>
      <c r="I480" s="137"/>
      <c r="J480" s="137"/>
      <c r="K480" s="129"/>
      <c r="L480" s="323"/>
      <c r="N480" s="172"/>
      <c r="O480" s="172"/>
      <c r="P480" s="172"/>
      <c r="Q480" s="172"/>
      <c r="R480" s="172"/>
      <c r="S480" s="428"/>
      <c r="T480" s="172"/>
      <c r="U480" s="172"/>
      <c r="V480" s="172"/>
      <c r="W480" s="429"/>
    </row>
    <row r="481">
      <c r="C481" s="172"/>
      <c r="D481" s="172"/>
      <c r="E481" s="172"/>
      <c r="F481" s="172"/>
      <c r="G481" s="173"/>
      <c r="H481" s="137"/>
      <c r="I481" s="137"/>
      <c r="J481" s="137"/>
      <c r="K481" s="129"/>
      <c r="L481" s="323"/>
      <c r="N481" s="172"/>
      <c r="O481" s="172"/>
      <c r="P481" s="172"/>
      <c r="Q481" s="172"/>
      <c r="R481" s="172"/>
      <c r="S481" s="428"/>
      <c r="T481" s="172"/>
      <c r="U481" s="172"/>
      <c r="V481" s="172"/>
      <c r="W481" s="429"/>
    </row>
    <row r="482">
      <c r="C482" s="172"/>
      <c r="D482" s="172"/>
      <c r="E482" s="172"/>
      <c r="F482" s="172"/>
      <c r="G482" s="173"/>
      <c r="H482" s="137"/>
      <c r="I482" s="137"/>
      <c r="J482" s="137"/>
      <c r="K482" s="129"/>
      <c r="L482" s="323"/>
      <c r="N482" s="172"/>
      <c r="O482" s="172"/>
      <c r="P482" s="172"/>
      <c r="Q482" s="172"/>
      <c r="R482" s="172"/>
      <c r="S482" s="428"/>
      <c r="T482" s="172"/>
      <c r="U482" s="172"/>
      <c r="V482" s="172"/>
      <c r="W482" s="429"/>
    </row>
    <row r="483">
      <c r="C483" s="172"/>
      <c r="D483" s="172"/>
      <c r="E483" s="172"/>
      <c r="F483" s="172"/>
      <c r="G483" s="173"/>
      <c r="H483" s="137"/>
      <c r="I483" s="137"/>
      <c r="J483" s="137"/>
      <c r="K483" s="129"/>
      <c r="L483" s="323"/>
      <c r="N483" s="172"/>
      <c r="O483" s="172"/>
      <c r="P483" s="172"/>
      <c r="Q483" s="172"/>
      <c r="R483" s="172"/>
      <c r="S483" s="428"/>
      <c r="T483" s="172"/>
      <c r="U483" s="172"/>
      <c r="V483" s="172"/>
      <c r="W483" s="429"/>
    </row>
    <row r="484">
      <c r="C484" s="172"/>
      <c r="D484" s="172"/>
      <c r="E484" s="172"/>
      <c r="F484" s="172"/>
      <c r="G484" s="173"/>
      <c r="H484" s="137"/>
      <c r="I484" s="137"/>
      <c r="J484" s="137"/>
      <c r="K484" s="129"/>
      <c r="L484" s="323"/>
      <c r="N484" s="172"/>
      <c r="O484" s="172"/>
      <c r="P484" s="172"/>
      <c r="Q484" s="172"/>
      <c r="R484" s="172"/>
      <c r="S484" s="428"/>
      <c r="T484" s="172"/>
      <c r="U484" s="172"/>
      <c r="V484" s="172"/>
      <c r="W484" s="429"/>
    </row>
    <row r="485">
      <c r="C485" s="172"/>
      <c r="D485" s="172"/>
      <c r="E485" s="172"/>
      <c r="F485" s="172"/>
      <c r="G485" s="173"/>
      <c r="H485" s="137"/>
      <c r="I485" s="137"/>
      <c r="J485" s="137"/>
      <c r="K485" s="129"/>
      <c r="L485" s="323"/>
      <c r="N485" s="172"/>
      <c r="O485" s="172"/>
      <c r="P485" s="172"/>
      <c r="Q485" s="172"/>
      <c r="R485" s="172"/>
      <c r="S485" s="428"/>
      <c r="T485" s="172"/>
      <c r="U485" s="172"/>
      <c r="V485" s="172"/>
      <c r="W485" s="429"/>
    </row>
    <row r="486">
      <c r="C486" s="172"/>
      <c r="D486" s="172"/>
      <c r="E486" s="172"/>
      <c r="F486" s="172"/>
      <c r="G486" s="173"/>
      <c r="H486" s="137"/>
      <c r="I486" s="137"/>
      <c r="J486" s="137"/>
      <c r="K486" s="129"/>
      <c r="L486" s="323"/>
      <c r="N486" s="172"/>
      <c r="O486" s="172"/>
      <c r="P486" s="172"/>
      <c r="Q486" s="172"/>
      <c r="R486" s="172"/>
      <c r="S486" s="428"/>
      <c r="T486" s="172"/>
      <c r="U486" s="172"/>
      <c r="V486" s="172"/>
      <c r="W486" s="429"/>
    </row>
    <row r="487">
      <c r="C487" s="172"/>
      <c r="D487" s="172"/>
      <c r="E487" s="172"/>
      <c r="F487" s="172"/>
      <c r="G487" s="173"/>
      <c r="H487" s="137"/>
      <c r="I487" s="137"/>
      <c r="J487" s="137"/>
      <c r="K487" s="129"/>
      <c r="L487" s="323"/>
      <c r="N487" s="172"/>
      <c r="O487" s="172"/>
      <c r="P487" s="172"/>
      <c r="Q487" s="172"/>
      <c r="R487" s="172"/>
      <c r="S487" s="428"/>
      <c r="T487" s="172"/>
      <c r="U487" s="172"/>
      <c r="V487" s="172"/>
      <c r="W487" s="429"/>
    </row>
    <row r="488">
      <c r="C488" s="172"/>
      <c r="D488" s="172"/>
      <c r="E488" s="172"/>
      <c r="F488" s="172"/>
      <c r="G488" s="173"/>
      <c r="H488" s="137"/>
      <c r="I488" s="137"/>
      <c r="J488" s="137"/>
      <c r="K488" s="129"/>
      <c r="L488" s="323"/>
      <c r="N488" s="172"/>
      <c r="O488" s="172"/>
      <c r="P488" s="172"/>
      <c r="Q488" s="172"/>
      <c r="R488" s="172"/>
      <c r="S488" s="428"/>
      <c r="T488" s="172"/>
      <c r="U488" s="172"/>
      <c r="V488" s="172"/>
      <c r="W488" s="429"/>
    </row>
    <row r="489">
      <c r="C489" s="172"/>
      <c r="D489" s="172"/>
      <c r="E489" s="172"/>
      <c r="F489" s="172"/>
      <c r="G489" s="173"/>
      <c r="H489" s="137"/>
      <c r="I489" s="137"/>
      <c r="J489" s="137"/>
      <c r="K489" s="129"/>
      <c r="L489" s="323"/>
      <c r="N489" s="172"/>
      <c r="O489" s="172"/>
      <c r="P489" s="172"/>
      <c r="Q489" s="172"/>
      <c r="R489" s="172"/>
      <c r="S489" s="428"/>
      <c r="T489" s="172"/>
      <c r="U489" s="172"/>
      <c r="V489" s="172"/>
      <c r="W489" s="429"/>
    </row>
    <row r="490">
      <c r="C490" s="172"/>
      <c r="D490" s="172"/>
      <c r="E490" s="172"/>
      <c r="F490" s="172"/>
      <c r="G490" s="173"/>
      <c r="H490" s="137"/>
      <c r="I490" s="137"/>
      <c r="J490" s="137"/>
      <c r="K490" s="129"/>
      <c r="L490" s="323"/>
      <c r="N490" s="172"/>
      <c r="O490" s="172"/>
      <c r="P490" s="172"/>
      <c r="Q490" s="172"/>
      <c r="R490" s="172"/>
      <c r="S490" s="428"/>
      <c r="T490" s="172"/>
      <c r="U490" s="172"/>
      <c r="V490" s="172"/>
      <c r="W490" s="429"/>
    </row>
    <row r="491">
      <c r="C491" s="172"/>
      <c r="D491" s="172"/>
      <c r="E491" s="172"/>
      <c r="F491" s="172"/>
      <c r="G491" s="173"/>
      <c r="H491" s="137"/>
      <c r="I491" s="137"/>
      <c r="J491" s="137"/>
      <c r="K491" s="129"/>
      <c r="L491" s="323"/>
      <c r="N491" s="172"/>
      <c r="O491" s="172"/>
      <c r="P491" s="172"/>
      <c r="Q491" s="172"/>
      <c r="R491" s="172"/>
      <c r="S491" s="428"/>
      <c r="T491" s="172"/>
      <c r="U491" s="172"/>
      <c r="V491" s="172"/>
      <c r="W491" s="429"/>
    </row>
    <row r="492">
      <c r="C492" s="172"/>
      <c r="D492" s="172"/>
      <c r="E492" s="172"/>
      <c r="F492" s="172"/>
      <c r="G492" s="173"/>
      <c r="H492" s="137"/>
      <c r="I492" s="137"/>
      <c r="J492" s="137"/>
      <c r="K492" s="129"/>
      <c r="L492" s="323"/>
      <c r="N492" s="172"/>
      <c r="O492" s="172"/>
      <c r="P492" s="172"/>
      <c r="Q492" s="172"/>
      <c r="R492" s="172"/>
      <c r="S492" s="428"/>
      <c r="T492" s="172"/>
      <c r="U492" s="172"/>
      <c r="V492" s="172"/>
      <c r="W492" s="429"/>
    </row>
    <row r="493">
      <c r="C493" s="172"/>
      <c r="D493" s="172"/>
      <c r="E493" s="172"/>
      <c r="F493" s="172"/>
      <c r="G493" s="173"/>
      <c r="H493" s="137"/>
      <c r="I493" s="137"/>
      <c r="J493" s="137"/>
      <c r="K493" s="129"/>
      <c r="L493" s="323"/>
      <c r="N493" s="172"/>
      <c r="O493" s="172"/>
      <c r="P493" s="172"/>
      <c r="Q493" s="172"/>
      <c r="R493" s="172"/>
      <c r="S493" s="428"/>
      <c r="T493" s="172"/>
      <c r="U493" s="172"/>
      <c r="V493" s="172"/>
      <c r="W493" s="429"/>
    </row>
    <row r="494">
      <c r="C494" s="172"/>
      <c r="D494" s="172"/>
      <c r="E494" s="172"/>
      <c r="F494" s="172"/>
      <c r="G494" s="173"/>
      <c r="H494" s="137"/>
      <c r="I494" s="137"/>
      <c r="J494" s="137"/>
      <c r="K494" s="129"/>
      <c r="L494" s="323"/>
      <c r="N494" s="172"/>
      <c r="O494" s="172"/>
      <c r="P494" s="172"/>
      <c r="Q494" s="172"/>
      <c r="R494" s="172"/>
      <c r="S494" s="428"/>
      <c r="T494" s="172"/>
      <c r="U494" s="172"/>
      <c r="V494" s="172"/>
      <c r="W494" s="429"/>
    </row>
    <row r="495">
      <c r="C495" s="172"/>
      <c r="D495" s="172"/>
      <c r="E495" s="172"/>
      <c r="F495" s="172"/>
      <c r="G495" s="173"/>
      <c r="H495" s="137"/>
      <c r="I495" s="137"/>
      <c r="J495" s="137"/>
      <c r="K495" s="129"/>
      <c r="L495" s="323"/>
      <c r="N495" s="172"/>
      <c r="O495" s="172"/>
      <c r="P495" s="172"/>
      <c r="Q495" s="172"/>
      <c r="R495" s="172"/>
      <c r="S495" s="428"/>
      <c r="T495" s="172"/>
      <c r="U495" s="172"/>
      <c r="V495" s="172"/>
      <c r="W495" s="429"/>
    </row>
    <row r="496">
      <c r="C496" s="172"/>
      <c r="D496" s="172"/>
      <c r="E496" s="172"/>
      <c r="F496" s="172"/>
      <c r="G496" s="173"/>
      <c r="H496" s="137"/>
      <c r="I496" s="137"/>
      <c r="J496" s="137"/>
      <c r="K496" s="129"/>
      <c r="L496" s="323"/>
      <c r="N496" s="172"/>
      <c r="O496" s="172"/>
      <c r="P496" s="172"/>
      <c r="Q496" s="172"/>
      <c r="R496" s="172"/>
      <c r="S496" s="428"/>
      <c r="T496" s="172"/>
      <c r="U496" s="172"/>
      <c r="V496" s="172"/>
      <c r="W496" s="429"/>
    </row>
    <row r="497">
      <c r="C497" s="172"/>
      <c r="D497" s="172"/>
      <c r="E497" s="172"/>
      <c r="F497" s="172"/>
      <c r="G497" s="173"/>
      <c r="H497" s="137"/>
      <c r="I497" s="137"/>
      <c r="J497" s="137"/>
      <c r="K497" s="129"/>
      <c r="L497" s="323"/>
      <c r="N497" s="172"/>
      <c r="O497" s="172"/>
      <c r="P497" s="172"/>
      <c r="Q497" s="172"/>
      <c r="R497" s="172"/>
      <c r="S497" s="428"/>
      <c r="T497" s="172"/>
      <c r="U497" s="172"/>
      <c r="V497" s="172"/>
      <c r="W497" s="429"/>
    </row>
    <row r="498">
      <c r="C498" s="172"/>
      <c r="D498" s="172"/>
      <c r="E498" s="172"/>
      <c r="F498" s="172"/>
      <c r="G498" s="173"/>
      <c r="H498" s="137"/>
      <c r="I498" s="137"/>
      <c r="J498" s="137"/>
      <c r="K498" s="129"/>
      <c r="L498" s="323"/>
      <c r="N498" s="172"/>
      <c r="O498" s="172"/>
      <c r="P498" s="172"/>
      <c r="Q498" s="172"/>
      <c r="R498" s="172"/>
      <c r="S498" s="428"/>
      <c r="T498" s="172"/>
      <c r="U498" s="172"/>
      <c r="V498" s="172"/>
      <c r="W498" s="429"/>
    </row>
    <row r="499">
      <c r="C499" s="172"/>
      <c r="D499" s="172"/>
      <c r="E499" s="172"/>
      <c r="F499" s="172"/>
      <c r="G499" s="173"/>
      <c r="H499" s="137"/>
      <c r="I499" s="137"/>
      <c r="J499" s="137"/>
      <c r="K499" s="129"/>
      <c r="L499" s="323"/>
      <c r="N499" s="172"/>
      <c r="O499" s="172"/>
      <c r="P499" s="172"/>
      <c r="Q499" s="172"/>
      <c r="R499" s="172"/>
      <c r="S499" s="428"/>
      <c r="T499" s="172"/>
      <c r="U499" s="172"/>
      <c r="V499" s="172"/>
      <c r="W499" s="429"/>
    </row>
    <row r="500">
      <c r="C500" s="172"/>
      <c r="D500" s="172"/>
      <c r="E500" s="172"/>
      <c r="F500" s="172"/>
      <c r="G500" s="173"/>
      <c r="H500" s="137"/>
      <c r="I500" s="137"/>
      <c r="J500" s="137"/>
      <c r="K500" s="129"/>
      <c r="L500" s="323"/>
      <c r="N500" s="172"/>
      <c r="O500" s="172"/>
      <c r="P500" s="172"/>
      <c r="Q500" s="172"/>
      <c r="R500" s="172"/>
      <c r="S500" s="428"/>
      <c r="T500" s="172"/>
      <c r="U500" s="172"/>
      <c r="V500" s="172"/>
      <c r="W500" s="429"/>
    </row>
    <row r="501">
      <c r="C501" s="172"/>
      <c r="D501" s="172"/>
      <c r="E501" s="172"/>
      <c r="F501" s="172"/>
      <c r="G501" s="173"/>
      <c r="H501" s="137"/>
      <c r="I501" s="137"/>
      <c r="J501" s="137"/>
      <c r="K501" s="129"/>
      <c r="L501" s="323"/>
      <c r="N501" s="172"/>
      <c r="O501" s="172"/>
      <c r="P501" s="172"/>
      <c r="Q501" s="172"/>
      <c r="R501" s="172"/>
      <c r="S501" s="428"/>
      <c r="T501" s="172"/>
      <c r="U501" s="172"/>
      <c r="V501" s="172"/>
      <c r="W501" s="429"/>
    </row>
    <row r="502">
      <c r="C502" s="172"/>
      <c r="D502" s="172"/>
      <c r="E502" s="172"/>
      <c r="F502" s="172"/>
      <c r="G502" s="173"/>
      <c r="H502" s="137"/>
      <c r="I502" s="137"/>
      <c r="J502" s="137"/>
      <c r="K502" s="129"/>
      <c r="L502" s="323"/>
      <c r="N502" s="172"/>
      <c r="O502" s="172"/>
      <c r="P502" s="172"/>
      <c r="Q502" s="172"/>
      <c r="R502" s="172"/>
      <c r="S502" s="428"/>
      <c r="T502" s="172"/>
      <c r="U502" s="172"/>
      <c r="V502" s="172"/>
      <c r="W502" s="429"/>
    </row>
    <row r="503">
      <c r="C503" s="172"/>
      <c r="D503" s="172"/>
      <c r="E503" s="172"/>
      <c r="F503" s="172"/>
      <c r="G503" s="173"/>
      <c r="H503" s="137"/>
      <c r="I503" s="137"/>
      <c r="J503" s="137"/>
      <c r="K503" s="129"/>
      <c r="L503" s="323"/>
      <c r="N503" s="172"/>
      <c r="O503" s="172"/>
      <c r="P503" s="172"/>
      <c r="Q503" s="172"/>
      <c r="R503" s="172"/>
      <c r="S503" s="428"/>
      <c r="T503" s="172"/>
      <c r="U503" s="172"/>
      <c r="V503" s="172"/>
      <c r="W503" s="429"/>
    </row>
    <row r="504">
      <c r="C504" s="172"/>
      <c r="D504" s="172"/>
      <c r="E504" s="172"/>
      <c r="F504" s="172"/>
      <c r="G504" s="173"/>
      <c r="H504" s="137"/>
      <c r="I504" s="137"/>
      <c r="J504" s="137"/>
      <c r="K504" s="129"/>
      <c r="L504" s="323"/>
      <c r="N504" s="172"/>
      <c r="O504" s="172"/>
      <c r="P504" s="172"/>
      <c r="Q504" s="172"/>
      <c r="R504" s="172"/>
      <c r="S504" s="428"/>
      <c r="T504" s="172"/>
      <c r="U504" s="172"/>
      <c r="V504" s="172"/>
      <c r="W504" s="429"/>
    </row>
    <row r="505">
      <c r="C505" s="172"/>
      <c r="D505" s="172"/>
      <c r="E505" s="172"/>
      <c r="F505" s="172"/>
      <c r="G505" s="173"/>
      <c r="H505" s="137"/>
      <c r="I505" s="137"/>
      <c r="J505" s="137"/>
      <c r="K505" s="129"/>
      <c r="L505" s="323"/>
      <c r="N505" s="172"/>
      <c r="O505" s="172"/>
      <c r="P505" s="172"/>
      <c r="Q505" s="172"/>
      <c r="R505" s="172"/>
      <c r="S505" s="428"/>
      <c r="T505" s="172"/>
      <c r="U505" s="172"/>
      <c r="V505" s="172"/>
      <c r="W505" s="429"/>
    </row>
    <row r="506">
      <c r="C506" s="172"/>
      <c r="D506" s="172"/>
      <c r="E506" s="172"/>
      <c r="F506" s="172"/>
      <c r="G506" s="173"/>
      <c r="H506" s="137"/>
      <c r="I506" s="137"/>
      <c r="J506" s="137"/>
      <c r="K506" s="129"/>
      <c r="L506" s="323"/>
      <c r="N506" s="172"/>
      <c r="O506" s="172"/>
      <c r="P506" s="172"/>
      <c r="Q506" s="172"/>
      <c r="R506" s="172"/>
      <c r="S506" s="428"/>
      <c r="T506" s="172"/>
      <c r="U506" s="172"/>
      <c r="V506" s="172"/>
      <c r="W506" s="429"/>
    </row>
    <row r="507">
      <c r="C507" s="172"/>
      <c r="D507" s="172"/>
      <c r="E507" s="172"/>
      <c r="F507" s="172"/>
      <c r="G507" s="173"/>
      <c r="H507" s="137"/>
      <c r="I507" s="137"/>
      <c r="J507" s="137"/>
      <c r="K507" s="129"/>
      <c r="L507" s="323"/>
      <c r="N507" s="172"/>
      <c r="O507" s="172"/>
      <c r="P507" s="172"/>
      <c r="Q507" s="172"/>
      <c r="R507" s="172"/>
      <c r="S507" s="428"/>
      <c r="T507" s="172"/>
      <c r="U507" s="172"/>
      <c r="V507" s="172"/>
      <c r="W507" s="429"/>
    </row>
    <row r="508">
      <c r="C508" s="172"/>
      <c r="D508" s="172"/>
      <c r="E508" s="172"/>
      <c r="F508" s="172"/>
      <c r="G508" s="173"/>
      <c r="H508" s="137"/>
      <c r="I508" s="137"/>
      <c r="J508" s="137"/>
      <c r="K508" s="129"/>
      <c r="L508" s="323"/>
      <c r="N508" s="172"/>
      <c r="O508" s="172"/>
      <c r="P508" s="172"/>
      <c r="Q508" s="172"/>
      <c r="R508" s="172"/>
      <c r="S508" s="428"/>
      <c r="T508" s="172"/>
      <c r="U508" s="172"/>
      <c r="V508" s="172"/>
      <c r="W508" s="429"/>
    </row>
    <row r="509">
      <c r="C509" s="172"/>
      <c r="D509" s="172"/>
      <c r="E509" s="172"/>
      <c r="F509" s="172"/>
      <c r="G509" s="173"/>
      <c r="H509" s="137"/>
      <c r="I509" s="137"/>
      <c r="J509" s="137"/>
      <c r="K509" s="129"/>
      <c r="L509" s="323"/>
      <c r="N509" s="172"/>
      <c r="O509" s="172"/>
      <c r="P509" s="172"/>
      <c r="Q509" s="172"/>
      <c r="R509" s="172"/>
      <c r="S509" s="428"/>
      <c r="T509" s="172"/>
      <c r="U509" s="172"/>
      <c r="V509" s="172"/>
      <c r="W509" s="429"/>
    </row>
    <row r="510">
      <c r="C510" s="172"/>
      <c r="D510" s="172"/>
      <c r="E510" s="172"/>
      <c r="F510" s="172"/>
      <c r="G510" s="173"/>
      <c r="H510" s="137"/>
      <c r="I510" s="137"/>
      <c r="J510" s="137"/>
      <c r="K510" s="129"/>
      <c r="L510" s="323"/>
      <c r="N510" s="172"/>
      <c r="O510" s="172"/>
      <c r="P510" s="172"/>
      <c r="Q510" s="172"/>
      <c r="R510" s="172"/>
      <c r="S510" s="428"/>
      <c r="T510" s="172"/>
      <c r="U510" s="172"/>
      <c r="V510" s="172"/>
      <c r="W510" s="429"/>
    </row>
    <row r="511">
      <c r="C511" s="172"/>
      <c r="D511" s="172"/>
      <c r="E511" s="172"/>
      <c r="F511" s="172"/>
      <c r="G511" s="173"/>
      <c r="H511" s="137"/>
      <c r="I511" s="137"/>
      <c r="J511" s="137"/>
      <c r="K511" s="129"/>
      <c r="L511" s="323"/>
      <c r="N511" s="172"/>
      <c r="O511" s="172"/>
      <c r="P511" s="172"/>
      <c r="Q511" s="172"/>
      <c r="R511" s="172"/>
      <c r="S511" s="428"/>
      <c r="T511" s="172"/>
      <c r="U511" s="172"/>
      <c r="V511" s="172"/>
      <c r="W511" s="429"/>
    </row>
    <row r="512">
      <c r="C512" s="172"/>
      <c r="D512" s="172"/>
      <c r="E512" s="172"/>
      <c r="F512" s="172"/>
      <c r="G512" s="173"/>
      <c r="H512" s="137"/>
      <c r="I512" s="137"/>
      <c r="J512" s="137"/>
      <c r="K512" s="129"/>
      <c r="L512" s="323"/>
      <c r="N512" s="172"/>
      <c r="O512" s="172"/>
      <c r="P512" s="172"/>
      <c r="Q512" s="172"/>
      <c r="R512" s="172"/>
      <c r="S512" s="428"/>
      <c r="T512" s="172"/>
      <c r="U512" s="172"/>
      <c r="V512" s="172"/>
      <c r="W512" s="429"/>
    </row>
    <row r="513">
      <c r="C513" s="172"/>
      <c r="D513" s="172"/>
      <c r="E513" s="172"/>
      <c r="F513" s="172"/>
      <c r="G513" s="173"/>
      <c r="H513" s="137"/>
      <c r="I513" s="137"/>
      <c r="J513" s="137"/>
      <c r="K513" s="129"/>
      <c r="L513" s="323"/>
      <c r="N513" s="172"/>
      <c r="O513" s="172"/>
      <c r="P513" s="172"/>
      <c r="Q513" s="172"/>
      <c r="R513" s="172"/>
      <c r="S513" s="428"/>
      <c r="T513" s="172"/>
      <c r="U513" s="172"/>
      <c r="V513" s="172"/>
      <c r="W513" s="429"/>
    </row>
    <row r="514">
      <c r="C514" s="172"/>
      <c r="D514" s="172"/>
      <c r="E514" s="172"/>
      <c r="F514" s="172"/>
      <c r="G514" s="173"/>
      <c r="H514" s="137"/>
      <c r="I514" s="137"/>
      <c r="J514" s="137"/>
      <c r="K514" s="129"/>
      <c r="L514" s="323"/>
      <c r="N514" s="172"/>
      <c r="O514" s="172"/>
      <c r="P514" s="172"/>
      <c r="Q514" s="172"/>
      <c r="R514" s="172"/>
      <c r="S514" s="428"/>
      <c r="T514" s="172"/>
      <c r="U514" s="172"/>
      <c r="V514" s="172"/>
      <c r="W514" s="429"/>
    </row>
    <row r="515">
      <c r="C515" s="172"/>
      <c r="D515" s="172"/>
      <c r="E515" s="172"/>
      <c r="F515" s="172"/>
      <c r="G515" s="173"/>
      <c r="H515" s="137"/>
      <c r="I515" s="137"/>
      <c r="J515" s="137"/>
      <c r="K515" s="129"/>
      <c r="L515" s="323"/>
      <c r="N515" s="172"/>
      <c r="O515" s="172"/>
      <c r="P515" s="172"/>
      <c r="Q515" s="172"/>
      <c r="R515" s="172"/>
      <c r="S515" s="428"/>
      <c r="T515" s="172"/>
      <c r="U515" s="172"/>
      <c r="V515" s="172"/>
      <c r="W515" s="429"/>
    </row>
    <row r="516">
      <c r="C516" s="172"/>
      <c r="D516" s="172"/>
      <c r="E516" s="172"/>
      <c r="F516" s="172"/>
      <c r="G516" s="173"/>
      <c r="H516" s="137"/>
      <c r="I516" s="137"/>
      <c r="J516" s="137"/>
      <c r="K516" s="129"/>
      <c r="L516" s="323"/>
      <c r="N516" s="172"/>
      <c r="O516" s="172"/>
      <c r="P516" s="172"/>
      <c r="Q516" s="172"/>
      <c r="R516" s="172"/>
      <c r="S516" s="428"/>
      <c r="T516" s="172"/>
      <c r="U516" s="172"/>
      <c r="V516" s="172"/>
      <c r="W516" s="429"/>
    </row>
    <row r="517">
      <c r="C517" s="172"/>
      <c r="D517" s="172"/>
      <c r="E517" s="172"/>
      <c r="F517" s="172"/>
      <c r="G517" s="173"/>
      <c r="H517" s="137"/>
      <c r="I517" s="137"/>
      <c r="J517" s="137"/>
      <c r="K517" s="129"/>
      <c r="L517" s="323"/>
      <c r="N517" s="172"/>
      <c r="O517" s="172"/>
      <c r="P517" s="172"/>
      <c r="Q517" s="172"/>
      <c r="R517" s="172"/>
      <c r="S517" s="428"/>
      <c r="T517" s="172"/>
      <c r="U517" s="172"/>
      <c r="V517" s="172"/>
      <c r="W517" s="429"/>
    </row>
    <row r="518">
      <c r="C518" s="172"/>
      <c r="D518" s="172"/>
      <c r="E518" s="172"/>
      <c r="F518" s="172"/>
      <c r="G518" s="173"/>
      <c r="H518" s="137"/>
      <c r="I518" s="137"/>
      <c r="J518" s="137"/>
      <c r="K518" s="129"/>
      <c r="L518" s="323"/>
      <c r="N518" s="172"/>
      <c r="O518" s="172"/>
      <c r="P518" s="172"/>
      <c r="Q518" s="172"/>
      <c r="R518" s="172"/>
      <c r="S518" s="428"/>
      <c r="T518" s="172"/>
      <c r="U518" s="172"/>
      <c r="V518" s="172"/>
      <c r="W518" s="429"/>
    </row>
    <row r="519">
      <c r="C519" s="172"/>
      <c r="D519" s="172"/>
      <c r="E519" s="172"/>
      <c r="F519" s="172"/>
      <c r="G519" s="173"/>
      <c r="H519" s="137"/>
      <c r="I519" s="137"/>
      <c r="J519" s="137"/>
      <c r="K519" s="129"/>
      <c r="L519" s="323"/>
      <c r="N519" s="172"/>
      <c r="O519" s="172"/>
      <c r="P519" s="172"/>
      <c r="Q519" s="172"/>
      <c r="R519" s="172"/>
      <c r="S519" s="428"/>
      <c r="T519" s="172"/>
      <c r="U519" s="172"/>
      <c r="V519" s="172"/>
      <c r="W519" s="429"/>
    </row>
    <row r="520">
      <c r="C520" s="172"/>
      <c r="D520" s="172"/>
      <c r="E520" s="172"/>
      <c r="F520" s="172"/>
      <c r="G520" s="173"/>
      <c r="H520" s="137"/>
      <c r="I520" s="137"/>
      <c r="J520" s="137"/>
      <c r="K520" s="129"/>
      <c r="L520" s="323"/>
      <c r="N520" s="172"/>
      <c r="O520" s="172"/>
      <c r="P520" s="172"/>
      <c r="Q520" s="172"/>
      <c r="R520" s="172"/>
      <c r="S520" s="428"/>
      <c r="T520" s="172"/>
      <c r="U520" s="172"/>
      <c r="V520" s="172"/>
      <c r="W520" s="429"/>
    </row>
    <row r="521">
      <c r="C521" s="172"/>
      <c r="D521" s="172"/>
      <c r="E521" s="172"/>
      <c r="F521" s="172"/>
      <c r="G521" s="173"/>
      <c r="H521" s="137"/>
      <c r="I521" s="137"/>
      <c r="J521" s="137"/>
      <c r="K521" s="129"/>
      <c r="L521" s="323"/>
      <c r="N521" s="172"/>
      <c r="O521" s="172"/>
      <c r="P521" s="172"/>
      <c r="Q521" s="172"/>
      <c r="R521" s="172"/>
      <c r="S521" s="428"/>
      <c r="T521" s="172"/>
      <c r="U521" s="172"/>
      <c r="V521" s="172"/>
      <c r="W521" s="429"/>
    </row>
    <row r="522">
      <c r="C522" s="172"/>
      <c r="D522" s="172"/>
      <c r="E522" s="172"/>
      <c r="F522" s="172"/>
      <c r="G522" s="173"/>
      <c r="H522" s="137"/>
      <c r="I522" s="137"/>
      <c r="J522" s="137"/>
      <c r="K522" s="129"/>
      <c r="L522" s="323"/>
      <c r="N522" s="172"/>
      <c r="O522" s="172"/>
      <c r="P522" s="172"/>
      <c r="Q522" s="172"/>
      <c r="R522" s="172"/>
      <c r="S522" s="428"/>
      <c r="T522" s="172"/>
      <c r="U522" s="172"/>
      <c r="V522" s="172"/>
      <c r="W522" s="429"/>
    </row>
    <row r="523">
      <c r="C523" s="172"/>
      <c r="D523" s="172"/>
      <c r="E523" s="172"/>
      <c r="F523" s="172"/>
      <c r="G523" s="173"/>
      <c r="H523" s="137"/>
      <c r="I523" s="137"/>
      <c r="J523" s="137"/>
      <c r="K523" s="129"/>
      <c r="L523" s="323"/>
      <c r="N523" s="172"/>
      <c r="O523" s="172"/>
      <c r="P523" s="172"/>
      <c r="Q523" s="172"/>
      <c r="R523" s="172"/>
      <c r="S523" s="428"/>
      <c r="T523" s="172"/>
      <c r="U523" s="172"/>
      <c r="V523" s="172"/>
      <c r="W523" s="429"/>
    </row>
    <row r="524">
      <c r="C524" s="172"/>
      <c r="D524" s="172"/>
      <c r="E524" s="172"/>
      <c r="F524" s="172"/>
      <c r="G524" s="173"/>
      <c r="H524" s="137"/>
      <c r="I524" s="137"/>
      <c r="J524" s="137"/>
      <c r="K524" s="129"/>
      <c r="L524" s="323"/>
      <c r="N524" s="172"/>
      <c r="O524" s="172"/>
      <c r="P524" s="172"/>
      <c r="Q524" s="172"/>
      <c r="R524" s="172"/>
      <c r="S524" s="428"/>
      <c r="T524" s="172"/>
      <c r="U524" s="172"/>
      <c r="V524" s="172"/>
      <c r="W524" s="429"/>
    </row>
    <row r="525">
      <c r="C525" s="172"/>
      <c r="D525" s="172"/>
      <c r="E525" s="172"/>
      <c r="F525" s="172"/>
      <c r="G525" s="173"/>
      <c r="H525" s="137"/>
      <c r="I525" s="137"/>
      <c r="J525" s="137"/>
      <c r="K525" s="129"/>
      <c r="L525" s="323"/>
      <c r="N525" s="172"/>
      <c r="O525" s="172"/>
      <c r="P525" s="172"/>
      <c r="Q525" s="172"/>
      <c r="R525" s="172"/>
      <c r="S525" s="428"/>
      <c r="T525" s="172"/>
      <c r="U525" s="172"/>
      <c r="V525" s="172"/>
      <c r="W525" s="429"/>
    </row>
    <row r="526">
      <c r="C526" s="172"/>
      <c r="D526" s="172"/>
      <c r="E526" s="172"/>
      <c r="F526" s="172"/>
      <c r="G526" s="173"/>
      <c r="H526" s="137"/>
      <c r="I526" s="137"/>
      <c r="J526" s="137"/>
      <c r="K526" s="129"/>
      <c r="L526" s="323"/>
      <c r="N526" s="172"/>
      <c r="O526" s="172"/>
      <c r="P526" s="172"/>
      <c r="Q526" s="172"/>
      <c r="R526" s="172"/>
      <c r="S526" s="428"/>
      <c r="T526" s="172"/>
      <c r="U526" s="172"/>
      <c r="V526" s="172"/>
      <c r="W526" s="429"/>
    </row>
    <row r="527">
      <c r="C527" s="172"/>
      <c r="D527" s="172"/>
      <c r="E527" s="172"/>
      <c r="F527" s="172"/>
      <c r="G527" s="173"/>
      <c r="H527" s="137"/>
      <c r="I527" s="137"/>
      <c r="J527" s="137"/>
      <c r="K527" s="129"/>
      <c r="L527" s="323"/>
      <c r="N527" s="172"/>
      <c r="O527" s="172"/>
      <c r="P527" s="172"/>
      <c r="Q527" s="172"/>
      <c r="R527" s="172"/>
      <c r="S527" s="428"/>
      <c r="T527" s="172"/>
      <c r="U527" s="172"/>
      <c r="V527" s="172"/>
      <c r="W527" s="429"/>
    </row>
    <row r="528">
      <c r="C528" s="172"/>
      <c r="D528" s="172"/>
      <c r="E528" s="172"/>
      <c r="F528" s="172"/>
      <c r="G528" s="173"/>
      <c r="H528" s="137"/>
      <c r="I528" s="137"/>
      <c r="J528" s="137"/>
      <c r="K528" s="129"/>
      <c r="L528" s="323"/>
      <c r="N528" s="172"/>
      <c r="O528" s="172"/>
      <c r="P528" s="172"/>
      <c r="Q528" s="172"/>
      <c r="R528" s="172"/>
      <c r="S528" s="428"/>
      <c r="T528" s="172"/>
      <c r="U528" s="172"/>
      <c r="V528" s="172"/>
      <c r="W528" s="429"/>
    </row>
    <row r="529">
      <c r="C529" s="172"/>
      <c r="D529" s="172"/>
      <c r="E529" s="172"/>
      <c r="F529" s="172"/>
      <c r="G529" s="173"/>
      <c r="H529" s="137"/>
      <c r="I529" s="137"/>
      <c r="J529" s="137"/>
      <c r="K529" s="129"/>
      <c r="L529" s="323"/>
      <c r="N529" s="172"/>
      <c r="O529" s="172"/>
      <c r="P529" s="172"/>
      <c r="Q529" s="172"/>
      <c r="R529" s="172"/>
      <c r="S529" s="428"/>
      <c r="T529" s="172"/>
      <c r="U529" s="172"/>
      <c r="V529" s="172"/>
      <c r="W529" s="429"/>
    </row>
    <row r="530">
      <c r="C530" s="172"/>
      <c r="D530" s="172"/>
      <c r="E530" s="172"/>
      <c r="F530" s="172"/>
      <c r="G530" s="173"/>
      <c r="H530" s="137"/>
      <c r="I530" s="137"/>
      <c r="J530" s="137"/>
      <c r="K530" s="129"/>
      <c r="L530" s="323"/>
      <c r="N530" s="172"/>
      <c r="O530" s="172"/>
      <c r="P530" s="172"/>
      <c r="Q530" s="172"/>
      <c r="R530" s="172"/>
      <c r="S530" s="428"/>
      <c r="T530" s="172"/>
      <c r="U530" s="172"/>
      <c r="V530" s="172"/>
      <c r="W530" s="429"/>
    </row>
    <row r="531">
      <c r="C531" s="172"/>
      <c r="D531" s="172"/>
      <c r="E531" s="172"/>
      <c r="F531" s="172"/>
      <c r="G531" s="173"/>
      <c r="H531" s="137"/>
      <c r="I531" s="137"/>
      <c r="J531" s="137"/>
      <c r="K531" s="129"/>
      <c r="L531" s="323"/>
      <c r="N531" s="172"/>
      <c r="O531" s="172"/>
      <c r="P531" s="172"/>
      <c r="Q531" s="172"/>
      <c r="R531" s="172"/>
      <c r="S531" s="428"/>
      <c r="T531" s="172"/>
      <c r="U531" s="172"/>
      <c r="V531" s="172"/>
      <c r="W531" s="429"/>
    </row>
    <row r="532">
      <c r="C532" s="172"/>
      <c r="D532" s="172"/>
      <c r="E532" s="172"/>
      <c r="F532" s="172"/>
      <c r="G532" s="173"/>
      <c r="H532" s="137"/>
      <c r="I532" s="137"/>
      <c r="J532" s="137"/>
      <c r="K532" s="129"/>
      <c r="L532" s="323"/>
      <c r="N532" s="172"/>
      <c r="O532" s="172"/>
      <c r="P532" s="172"/>
      <c r="Q532" s="172"/>
      <c r="R532" s="172"/>
      <c r="S532" s="428"/>
      <c r="T532" s="172"/>
      <c r="U532" s="172"/>
      <c r="V532" s="172"/>
      <c r="W532" s="429"/>
    </row>
    <row r="533">
      <c r="C533" s="172"/>
      <c r="D533" s="172"/>
      <c r="E533" s="172"/>
      <c r="F533" s="172"/>
      <c r="G533" s="173"/>
      <c r="H533" s="137"/>
      <c r="I533" s="137"/>
      <c r="J533" s="137"/>
      <c r="K533" s="129"/>
      <c r="L533" s="323"/>
      <c r="N533" s="172"/>
      <c r="O533" s="172"/>
      <c r="P533" s="172"/>
      <c r="Q533" s="172"/>
      <c r="R533" s="172"/>
      <c r="S533" s="428"/>
      <c r="T533" s="172"/>
      <c r="U533" s="172"/>
      <c r="V533" s="172"/>
      <c r="W533" s="429"/>
    </row>
    <row r="534">
      <c r="C534" s="172"/>
      <c r="D534" s="172"/>
      <c r="E534" s="172"/>
      <c r="F534" s="172"/>
      <c r="G534" s="173"/>
      <c r="H534" s="137"/>
      <c r="I534" s="137"/>
      <c r="J534" s="137"/>
      <c r="K534" s="129"/>
      <c r="L534" s="323"/>
      <c r="N534" s="172"/>
      <c r="O534" s="172"/>
      <c r="P534" s="172"/>
      <c r="Q534" s="172"/>
      <c r="R534" s="172"/>
      <c r="S534" s="428"/>
      <c r="T534" s="172"/>
      <c r="U534" s="172"/>
      <c r="V534" s="172"/>
      <c r="W534" s="429"/>
    </row>
    <row r="535">
      <c r="C535" s="172"/>
      <c r="D535" s="172"/>
      <c r="E535" s="172"/>
      <c r="F535" s="172"/>
      <c r="G535" s="173"/>
      <c r="H535" s="137"/>
      <c r="I535" s="137"/>
      <c r="J535" s="137"/>
      <c r="K535" s="129"/>
      <c r="L535" s="323"/>
      <c r="N535" s="172"/>
      <c r="O535" s="172"/>
      <c r="P535" s="172"/>
      <c r="Q535" s="172"/>
      <c r="R535" s="172"/>
      <c r="S535" s="428"/>
      <c r="T535" s="172"/>
      <c r="U535" s="172"/>
      <c r="V535" s="172"/>
      <c r="W535" s="429"/>
    </row>
    <row r="536">
      <c r="C536" s="172"/>
      <c r="D536" s="172"/>
      <c r="E536" s="172"/>
      <c r="F536" s="172"/>
      <c r="G536" s="173"/>
      <c r="H536" s="137"/>
      <c r="I536" s="137"/>
      <c r="J536" s="137"/>
      <c r="K536" s="129"/>
      <c r="L536" s="323"/>
      <c r="N536" s="172"/>
      <c r="O536" s="172"/>
      <c r="P536" s="172"/>
      <c r="Q536" s="172"/>
      <c r="R536" s="172"/>
      <c r="S536" s="428"/>
      <c r="T536" s="172"/>
      <c r="U536" s="172"/>
      <c r="V536" s="172"/>
      <c r="W536" s="429"/>
    </row>
    <row r="537">
      <c r="C537" s="172"/>
      <c r="D537" s="172"/>
      <c r="E537" s="172"/>
      <c r="F537" s="172"/>
      <c r="G537" s="173"/>
      <c r="H537" s="137"/>
      <c r="I537" s="137"/>
      <c r="J537" s="137"/>
      <c r="K537" s="129"/>
      <c r="L537" s="323"/>
      <c r="N537" s="172"/>
      <c r="O537" s="172"/>
      <c r="P537" s="172"/>
      <c r="Q537" s="172"/>
      <c r="R537" s="172"/>
      <c r="S537" s="428"/>
      <c r="T537" s="172"/>
      <c r="U537" s="172"/>
      <c r="V537" s="172"/>
      <c r="W537" s="429"/>
    </row>
    <row r="538">
      <c r="C538" s="172"/>
      <c r="D538" s="172"/>
      <c r="E538" s="172"/>
      <c r="F538" s="172"/>
      <c r="G538" s="173"/>
      <c r="H538" s="137"/>
      <c r="I538" s="137"/>
      <c r="J538" s="137"/>
      <c r="K538" s="129"/>
      <c r="L538" s="323"/>
      <c r="N538" s="172"/>
      <c r="O538" s="172"/>
      <c r="P538" s="172"/>
      <c r="Q538" s="172"/>
      <c r="R538" s="172"/>
      <c r="S538" s="428"/>
      <c r="T538" s="172"/>
      <c r="U538" s="172"/>
      <c r="V538" s="172"/>
      <c r="W538" s="429"/>
    </row>
    <row r="539">
      <c r="C539" s="172"/>
      <c r="D539" s="172"/>
      <c r="E539" s="172"/>
      <c r="F539" s="172"/>
      <c r="G539" s="173"/>
      <c r="H539" s="137"/>
      <c r="I539" s="137"/>
      <c r="J539" s="137"/>
      <c r="K539" s="129"/>
      <c r="L539" s="323"/>
      <c r="N539" s="172"/>
      <c r="O539" s="172"/>
      <c r="P539" s="172"/>
      <c r="Q539" s="172"/>
      <c r="R539" s="172"/>
      <c r="S539" s="428"/>
      <c r="T539" s="172"/>
      <c r="U539" s="172"/>
      <c r="V539" s="172"/>
      <c r="W539" s="429"/>
    </row>
    <row r="540">
      <c r="C540" s="172"/>
      <c r="D540" s="172"/>
      <c r="E540" s="172"/>
      <c r="F540" s="172"/>
      <c r="G540" s="173"/>
      <c r="H540" s="137"/>
      <c r="I540" s="137"/>
      <c r="J540" s="137"/>
      <c r="K540" s="129"/>
      <c r="L540" s="323"/>
      <c r="N540" s="172"/>
      <c r="O540" s="172"/>
      <c r="P540" s="172"/>
      <c r="Q540" s="172"/>
      <c r="R540" s="172"/>
      <c r="S540" s="428"/>
      <c r="T540" s="172"/>
      <c r="U540" s="172"/>
      <c r="V540" s="172"/>
      <c r="W540" s="429"/>
    </row>
    <row r="541">
      <c r="C541" s="172"/>
      <c r="D541" s="172"/>
      <c r="E541" s="172"/>
      <c r="F541" s="172"/>
      <c r="G541" s="173"/>
      <c r="H541" s="137"/>
      <c r="I541" s="137"/>
      <c r="J541" s="137"/>
      <c r="K541" s="129"/>
      <c r="L541" s="323"/>
      <c r="N541" s="172"/>
      <c r="O541" s="172"/>
      <c r="P541" s="172"/>
      <c r="Q541" s="172"/>
      <c r="R541" s="172"/>
      <c r="S541" s="428"/>
      <c r="T541" s="172"/>
      <c r="U541" s="172"/>
      <c r="V541" s="172"/>
      <c r="W541" s="429"/>
    </row>
    <row r="542">
      <c r="C542" s="172"/>
      <c r="D542" s="172"/>
      <c r="E542" s="172"/>
      <c r="F542" s="172"/>
      <c r="G542" s="173"/>
      <c r="H542" s="137"/>
      <c r="I542" s="137"/>
      <c r="J542" s="137"/>
      <c r="K542" s="129"/>
      <c r="L542" s="323"/>
      <c r="N542" s="172"/>
      <c r="O542" s="172"/>
      <c r="P542" s="172"/>
      <c r="Q542" s="172"/>
      <c r="R542" s="172"/>
      <c r="S542" s="428"/>
      <c r="T542" s="172"/>
      <c r="U542" s="172"/>
      <c r="V542" s="172"/>
      <c r="W542" s="429"/>
    </row>
    <row r="543">
      <c r="C543" s="172"/>
      <c r="D543" s="172"/>
      <c r="E543" s="172"/>
      <c r="F543" s="172"/>
      <c r="G543" s="173"/>
      <c r="H543" s="137"/>
      <c r="I543" s="137"/>
      <c r="J543" s="137"/>
      <c r="K543" s="129"/>
      <c r="L543" s="323"/>
      <c r="N543" s="172"/>
      <c r="O543" s="172"/>
      <c r="P543" s="172"/>
      <c r="Q543" s="172"/>
      <c r="R543" s="172"/>
      <c r="S543" s="428"/>
      <c r="T543" s="172"/>
      <c r="U543" s="172"/>
      <c r="V543" s="172"/>
      <c r="W543" s="429"/>
    </row>
    <row r="544">
      <c r="C544" s="172"/>
      <c r="D544" s="172"/>
      <c r="E544" s="172"/>
      <c r="F544" s="172"/>
      <c r="G544" s="173"/>
      <c r="H544" s="137"/>
      <c r="I544" s="137"/>
      <c r="J544" s="137"/>
      <c r="K544" s="129"/>
      <c r="L544" s="323"/>
      <c r="N544" s="172"/>
      <c r="O544" s="172"/>
      <c r="P544" s="172"/>
      <c r="Q544" s="172"/>
      <c r="R544" s="172"/>
      <c r="S544" s="428"/>
      <c r="T544" s="172"/>
      <c r="U544" s="172"/>
      <c r="V544" s="172"/>
      <c r="W544" s="429"/>
    </row>
    <row r="545">
      <c r="C545" s="172"/>
      <c r="D545" s="172"/>
      <c r="E545" s="172"/>
      <c r="F545" s="172"/>
      <c r="G545" s="173"/>
      <c r="H545" s="137"/>
      <c r="I545" s="137"/>
      <c r="J545" s="137"/>
      <c r="K545" s="129"/>
      <c r="L545" s="323"/>
      <c r="N545" s="172"/>
      <c r="O545" s="172"/>
      <c r="P545" s="172"/>
      <c r="Q545" s="172"/>
      <c r="R545" s="172"/>
      <c r="S545" s="428"/>
      <c r="T545" s="172"/>
      <c r="U545" s="172"/>
      <c r="V545" s="172"/>
      <c r="W545" s="429"/>
    </row>
    <row r="546">
      <c r="C546" s="172"/>
      <c r="D546" s="172"/>
      <c r="E546" s="172"/>
      <c r="F546" s="172"/>
      <c r="G546" s="173"/>
      <c r="H546" s="137"/>
      <c r="I546" s="137"/>
      <c r="J546" s="137"/>
      <c r="K546" s="129"/>
      <c r="L546" s="323"/>
      <c r="N546" s="172"/>
      <c r="O546" s="172"/>
      <c r="P546" s="172"/>
      <c r="Q546" s="172"/>
      <c r="R546" s="172"/>
      <c r="S546" s="428"/>
      <c r="T546" s="172"/>
      <c r="U546" s="172"/>
      <c r="V546" s="172"/>
      <c r="W546" s="429"/>
    </row>
    <row r="547">
      <c r="C547" s="172"/>
      <c r="D547" s="172"/>
      <c r="E547" s="172"/>
      <c r="F547" s="172"/>
      <c r="G547" s="173"/>
      <c r="H547" s="137"/>
      <c r="I547" s="137"/>
      <c r="J547" s="137"/>
      <c r="K547" s="129"/>
      <c r="L547" s="323"/>
      <c r="N547" s="172"/>
      <c r="O547" s="172"/>
      <c r="P547" s="172"/>
      <c r="Q547" s="172"/>
      <c r="R547" s="172"/>
      <c r="S547" s="428"/>
      <c r="T547" s="172"/>
      <c r="U547" s="172"/>
      <c r="V547" s="172"/>
      <c r="W547" s="429"/>
    </row>
    <row r="548">
      <c r="C548" s="172"/>
      <c r="D548" s="172"/>
      <c r="E548" s="172"/>
      <c r="F548" s="172"/>
      <c r="G548" s="173"/>
      <c r="H548" s="137"/>
      <c r="I548" s="137"/>
      <c r="J548" s="137"/>
      <c r="K548" s="129"/>
      <c r="L548" s="323"/>
      <c r="N548" s="172"/>
      <c r="O548" s="172"/>
      <c r="P548" s="172"/>
      <c r="Q548" s="172"/>
      <c r="R548" s="172"/>
      <c r="S548" s="428"/>
      <c r="T548" s="172"/>
      <c r="U548" s="172"/>
      <c r="V548" s="172"/>
      <c r="W548" s="429"/>
    </row>
    <row r="549">
      <c r="C549" s="172"/>
      <c r="D549" s="172"/>
      <c r="E549" s="172"/>
      <c r="F549" s="172"/>
      <c r="G549" s="173"/>
      <c r="H549" s="137"/>
      <c r="I549" s="137"/>
      <c r="J549" s="137"/>
      <c r="K549" s="129"/>
      <c r="L549" s="323"/>
      <c r="N549" s="172"/>
      <c r="O549" s="172"/>
      <c r="P549" s="172"/>
      <c r="Q549" s="172"/>
      <c r="R549" s="172"/>
      <c r="S549" s="428"/>
      <c r="T549" s="172"/>
      <c r="U549" s="172"/>
      <c r="V549" s="172"/>
      <c r="W549" s="429"/>
    </row>
    <row r="550">
      <c r="C550" s="172"/>
      <c r="D550" s="172"/>
      <c r="E550" s="172"/>
      <c r="F550" s="172"/>
      <c r="G550" s="173"/>
      <c r="H550" s="137"/>
      <c r="I550" s="137"/>
      <c r="J550" s="137"/>
      <c r="K550" s="129"/>
      <c r="L550" s="323"/>
      <c r="N550" s="172"/>
      <c r="O550" s="172"/>
      <c r="P550" s="172"/>
      <c r="Q550" s="172"/>
      <c r="R550" s="172"/>
      <c r="S550" s="428"/>
      <c r="T550" s="172"/>
      <c r="U550" s="172"/>
      <c r="V550" s="172"/>
      <c r="W550" s="429"/>
    </row>
    <row r="551">
      <c r="C551" s="172"/>
      <c r="D551" s="172"/>
      <c r="E551" s="172"/>
      <c r="F551" s="172"/>
      <c r="G551" s="173"/>
      <c r="H551" s="137"/>
      <c r="I551" s="137"/>
      <c r="J551" s="137"/>
      <c r="K551" s="129"/>
      <c r="L551" s="323"/>
      <c r="N551" s="172"/>
      <c r="O551" s="172"/>
      <c r="P551" s="172"/>
      <c r="Q551" s="172"/>
      <c r="R551" s="172"/>
      <c r="S551" s="428"/>
      <c r="T551" s="172"/>
      <c r="U551" s="172"/>
      <c r="V551" s="172"/>
      <c r="W551" s="429"/>
    </row>
    <row r="552">
      <c r="C552" s="172"/>
      <c r="D552" s="172"/>
      <c r="E552" s="172"/>
      <c r="F552" s="172"/>
      <c r="G552" s="173"/>
      <c r="H552" s="137"/>
      <c r="I552" s="137"/>
      <c r="J552" s="137"/>
      <c r="K552" s="129"/>
      <c r="L552" s="323"/>
      <c r="N552" s="172"/>
      <c r="O552" s="172"/>
      <c r="P552" s="172"/>
      <c r="Q552" s="172"/>
      <c r="R552" s="172"/>
      <c r="S552" s="428"/>
      <c r="T552" s="172"/>
      <c r="U552" s="172"/>
      <c r="V552" s="172"/>
      <c r="W552" s="429"/>
    </row>
    <row r="553">
      <c r="C553" s="172"/>
      <c r="D553" s="172"/>
      <c r="E553" s="172"/>
      <c r="F553" s="172"/>
      <c r="G553" s="173"/>
      <c r="H553" s="137"/>
      <c r="I553" s="137"/>
      <c r="J553" s="137"/>
      <c r="K553" s="129"/>
      <c r="L553" s="323"/>
      <c r="N553" s="172"/>
      <c r="O553" s="172"/>
      <c r="P553" s="172"/>
      <c r="Q553" s="172"/>
      <c r="R553" s="172"/>
      <c r="S553" s="428"/>
      <c r="T553" s="172"/>
      <c r="U553" s="172"/>
      <c r="V553" s="172"/>
      <c r="W553" s="429"/>
    </row>
    <row r="554">
      <c r="C554" s="172"/>
      <c r="D554" s="172"/>
      <c r="E554" s="172"/>
      <c r="F554" s="172"/>
      <c r="G554" s="173"/>
      <c r="H554" s="137"/>
      <c r="I554" s="137"/>
      <c r="J554" s="137"/>
      <c r="K554" s="129"/>
      <c r="L554" s="323"/>
      <c r="N554" s="172"/>
      <c r="O554" s="172"/>
      <c r="P554" s="172"/>
      <c r="Q554" s="172"/>
      <c r="R554" s="172"/>
      <c r="S554" s="428"/>
      <c r="T554" s="172"/>
      <c r="U554" s="172"/>
      <c r="V554" s="172"/>
      <c r="W554" s="429"/>
    </row>
    <row r="555">
      <c r="C555" s="172"/>
      <c r="D555" s="172"/>
      <c r="E555" s="172"/>
      <c r="F555" s="172"/>
      <c r="G555" s="173"/>
      <c r="H555" s="137"/>
      <c r="I555" s="137"/>
      <c r="J555" s="137"/>
      <c r="K555" s="129"/>
      <c r="L555" s="323"/>
      <c r="N555" s="172"/>
      <c r="O555" s="172"/>
      <c r="P555" s="172"/>
      <c r="Q555" s="172"/>
      <c r="R555" s="172"/>
      <c r="S555" s="428"/>
      <c r="T555" s="172"/>
      <c r="U555" s="172"/>
      <c r="V555" s="172"/>
      <c r="W555" s="429"/>
    </row>
    <row r="556">
      <c r="C556" s="172"/>
      <c r="D556" s="172"/>
      <c r="E556" s="172"/>
      <c r="F556" s="172"/>
      <c r="G556" s="173"/>
      <c r="H556" s="137"/>
      <c r="I556" s="137"/>
      <c r="J556" s="137"/>
      <c r="K556" s="129"/>
      <c r="L556" s="323"/>
      <c r="N556" s="172"/>
      <c r="O556" s="172"/>
      <c r="P556" s="172"/>
      <c r="Q556" s="172"/>
      <c r="R556" s="172"/>
      <c r="S556" s="428"/>
      <c r="T556" s="172"/>
      <c r="U556" s="172"/>
      <c r="V556" s="172"/>
      <c r="W556" s="429"/>
    </row>
    <row r="557">
      <c r="C557" s="172"/>
      <c r="D557" s="172"/>
      <c r="E557" s="172"/>
      <c r="F557" s="172"/>
      <c r="G557" s="173"/>
      <c r="H557" s="137"/>
      <c r="I557" s="137"/>
      <c r="J557" s="137"/>
      <c r="K557" s="129"/>
      <c r="L557" s="323"/>
      <c r="N557" s="172"/>
      <c r="O557" s="172"/>
      <c r="P557" s="172"/>
      <c r="Q557" s="172"/>
      <c r="R557" s="172"/>
      <c r="S557" s="428"/>
      <c r="T557" s="172"/>
      <c r="U557" s="172"/>
      <c r="V557" s="172"/>
      <c r="W557" s="429"/>
    </row>
    <row r="558">
      <c r="C558" s="172"/>
      <c r="D558" s="172"/>
      <c r="E558" s="172"/>
      <c r="F558" s="172"/>
      <c r="G558" s="173"/>
      <c r="H558" s="137"/>
      <c r="I558" s="137"/>
      <c r="J558" s="137"/>
      <c r="K558" s="129"/>
      <c r="L558" s="323"/>
      <c r="N558" s="172"/>
      <c r="O558" s="172"/>
      <c r="P558" s="172"/>
      <c r="Q558" s="172"/>
      <c r="R558" s="172"/>
      <c r="S558" s="428"/>
      <c r="T558" s="172"/>
      <c r="U558" s="172"/>
      <c r="V558" s="172"/>
      <c r="W558" s="429"/>
    </row>
    <row r="559">
      <c r="C559" s="172"/>
      <c r="D559" s="172"/>
      <c r="E559" s="172"/>
      <c r="F559" s="172"/>
      <c r="G559" s="173"/>
      <c r="H559" s="137"/>
      <c r="I559" s="137"/>
      <c r="J559" s="137"/>
      <c r="K559" s="129"/>
      <c r="L559" s="323"/>
      <c r="N559" s="172"/>
      <c r="O559" s="172"/>
      <c r="P559" s="172"/>
      <c r="Q559" s="172"/>
      <c r="R559" s="172"/>
      <c r="S559" s="428"/>
      <c r="T559" s="172"/>
      <c r="U559" s="172"/>
      <c r="V559" s="172"/>
      <c r="W559" s="429"/>
    </row>
    <row r="560">
      <c r="C560" s="172"/>
      <c r="D560" s="172"/>
      <c r="E560" s="172"/>
      <c r="F560" s="172"/>
      <c r="G560" s="173"/>
      <c r="H560" s="137"/>
      <c r="I560" s="137"/>
      <c r="J560" s="137"/>
      <c r="K560" s="129"/>
      <c r="L560" s="323"/>
      <c r="N560" s="172"/>
      <c r="O560" s="172"/>
      <c r="P560" s="172"/>
      <c r="Q560" s="172"/>
      <c r="R560" s="172"/>
      <c r="S560" s="428"/>
      <c r="T560" s="172"/>
      <c r="U560" s="172"/>
      <c r="V560" s="172"/>
      <c r="W560" s="429"/>
    </row>
    <row r="561">
      <c r="C561" s="172"/>
      <c r="D561" s="172"/>
      <c r="E561" s="172"/>
      <c r="F561" s="172"/>
      <c r="G561" s="173"/>
      <c r="H561" s="137"/>
      <c r="I561" s="137"/>
      <c r="J561" s="137"/>
      <c r="K561" s="129"/>
      <c r="L561" s="323"/>
      <c r="N561" s="172"/>
      <c r="O561" s="172"/>
      <c r="P561" s="172"/>
      <c r="Q561" s="172"/>
      <c r="R561" s="172"/>
      <c r="S561" s="428"/>
      <c r="T561" s="172"/>
      <c r="U561" s="172"/>
      <c r="V561" s="172"/>
      <c r="W561" s="429"/>
    </row>
    <row r="562">
      <c r="C562" s="172"/>
      <c r="D562" s="172"/>
      <c r="E562" s="172"/>
      <c r="F562" s="172"/>
      <c r="G562" s="173"/>
      <c r="H562" s="137"/>
      <c r="I562" s="137"/>
      <c r="J562" s="137"/>
      <c r="K562" s="129"/>
      <c r="L562" s="323"/>
      <c r="N562" s="172"/>
      <c r="O562" s="172"/>
      <c r="P562" s="172"/>
      <c r="Q562" s="172"/>
      <c r="R562" s="172"/>
      <c r="S562" s="428"/>
      <c r="T562" s="172"/>
      <c r="U562" s="172"/>
      <c r="V562" s="172"/>
      <c r="W562" s="429"/>
    </row>
    <row r="563">
      <c r="C563" s="172"/>
      <c r="D563" s="172"/>
      <c r="E563" s="172"/>
      <c r="F563" s="172"/>
      <c r="G563" s="173"/>
      <c r="H563" s="137"/>
      <c r="I563" s="137"/>
      <c r="J563" s="137"/>
      <c r="K563" s="129"/>
      <c r="L563" s="323"/>
      <c r="N563" s="172"/>
      <c r="O563" s="172"/>
      <c r="P563" s="172"/>
      <c r="Q563" s="172"/>
      <c r="R563" s="172"/>
      <c r="S563" s="428"/>
      <c r="T563" s="172"/>
      <c r="U563" s="172"/>
      <c r="V563" s="172"/>
      <c r="W563" s="429"/>
    </row>
    <row r="564">
      <c r="C564" s="172"/>
      <c r="D564" s="172"/>
      <c r="E564" s="172"/>
      <c r="F564" s="172"/>
      <c r="G564" s="173"/>
      <c r="H564" s="137"/>
      <c r="I564" s="137"/>
      <c r="J564" s="137"/>
      <c r="K564" s="129"/>
      <c r="L564" s="323"/>
      <c r="N564" s="172"/>
      <c r="O564" s="172"/>
      <c r="P564" s="172"/>
      <c r="Q564" s="172"/>
      <c r="R564" s="172"/>
      <c r="S564" s="428"/>
      <c r="T564" s="172"/>
      <c r="U564" s="172"/>
      <c r="V564" s="172"/>
      <c r="W564" s="429"/>
    </row>
    <row r="565">
      <c r="C565" s="172"/>
      <c r="D565" s="172"/>
      <c r="E565" s="172"/>
      <c r="F565" s="172"/>
      <c r="G565" s="173"/>
      <c r="H565" s="137"/>
      <c r="I565" s="137"/>
      <c r="J565" s="137"/>
      <c r="K565" s="129"/>
      <c r="L565" s="323"/>
      <c r="N565" s="172"/>
      <c r="O565" s="172"/>
      <c r="P565" s="172"/>
      <c r="Q565" s="172"/>
      <c r="R565" s="172"/>
      <c r="S565" s="428"/>
      <c r="T565" s="172"/>
      <c r="U565" s="172"/>
      <c r="V565" s="172"/>
      <c r="W565" s="429"/>
    </row>
    <row r="566">
      <c r="C566" s="172"/>
      <c r="D566" s="172"/>
      <c r="E566" s="172"/>
      <c r="F566" s="172"/>
      <c r="G566" s="173"/>
      <c r="H566" s="137"/>
      <c r="I566" s="137"/>
      <c r="J566" s="137"/>
      <c r="K566" s="129"/>
      <c r="L566" s="323"/>
      <c r="N566" s="172"/>
      <c r="O566" s="172"/>
      <c r="P566" s="172"/>
      <c r="Q566" s="172"/>
      <c r="R566" s="172"/>
      <c r="S566" s="428"/>
      <c r="T566" s="172"/>
      <c r="U566" s="172"/>
      <c r="V566" s="172"/>
      <c r="W566" s="429"/>
    </row>
    <row r="567">
      <c r="C567" s="172"/>
      <c r="D567" s="172"/>
      <c r="E567" s="172"/>
      <c r="F567" s="172"/>
      <c r="G567" s="173"/>
      <c r="H567" s="137"/>
      <c r="I567" s="137"/>
      <c r="J567" s="137"/>
      <c r="K567" s="129"/>
      <c r="L567" s="323"/>
      <c r="N567" s="172"/>
      <c r="O567" s="172"/>
      <c r="P567" s="172"/>
      <c r="Q567" s="172"/>
      <c r="R567" s="172"/>
      <c r="S567" s="428"/>
      <c r="T567" s="172"/>
      <c r="U567" s="172"/>
      <c r="V567" s="172"/>
      <c r="W567" s="429"/>
    </row>
    <row r="568">
      <c r="C568" s="172"/>
      <c r="D568" s="172"/>
      <c r="E568" s="172"/>
      <c r="F568" s="172"/>
      <c r="G568" s="173"/>
      <c r="H568" s="137"/>
      <c r="I568" s="137"/>
      <c r="J568" s="137"/>
      <c r="K568" s="129"/>
      <c r="L568" s="323"/>
      <c r="N568" s="172"/>
      <c r="O568" s="172"/>
      <c r="P568" s="172"/>
      <c r="Q568" s="172"/>
      <c r="R568" s="172"/>
      <c r="S568" s="428"/>
      <c r="T568" s="172"/>
      <c r="U568" s="172"/>
      <c r="V568" s="172"/>
      <c r="W568" s="429"/>
    </row>
    <row r="569">
      <c r="C569" s="172"/>
      <c r="D569" s="172"/>
      <c r="E569" s="172"/>
      <c r="F569" s="172"/>
      <c r="G569" s="173"/>
      <c r="H569" s="137"/>
      <c r="I569" s="137"/>
      <c r="J569" s="137"/>
      <c r="K569" s="129"/>
      <c r="L569" s="323"/>
      <c r="N569" s="172"/>
      <c r="O569" s="172"/>
      <c r="P569" s="172"/>
      <c r="Q569" s="172"/>
      <c r="R569" s="172"/>
      <c r="S569" s="428"/>
      <c r="T569" s="172"/>
      <c r="U569" s="172"/>
      <c r="V569" s="172"/>
      <c r="W569" s="429"/>
    </row>
    <row r="570">
      <c r="C570" s="172"/>
      <c r="D570" s="172"/>
      <c r="E570" s="172"/>
      <c r="F570" s="172"/>
      <c r="G570" s="173"/>
      <c r="H570" s="137"/>
      <c r="I570" s="137"/>
      <c r="J570" s="137"/>
      <c r="K570" s="129"/>
      <c r="L570" s="323"/>
      <c r="N570" s="172"/>
      <c r="O570" s="172"/>
      <c r="P570" s="172"/>
      <c r="Q570" s="172"/>
      <c r="R570" s="172"/>
      <c r="S570" s="428"/>
      <c r="T570" s="172"/>
      <c r="U570" s="172"/>
      <c r="V570" s="172"/>
      <c r="W570" s="429"/>
    </row>
    <row r="571">
      <c r="C571" s="172"/>
      <c r="D571" s="172"/>
      <c r="E571" s="172"/>
      <c r="F571" s="172"/>
      <c r="G571" s="173"/>
      <c r="H571" s="137"/>
      <c r="I571" s="137"/>
      <c r="J571" s="137"/>
      <c r="K571" s="129"/>
      <c r="L571" s="323"/>
      <c r="N571" s="172"/>
      <c r="O571" s="172"/>
      <c r="P571" s="172"/>
      <c r="Q571" s="172"/>
      <c r="R571" s="172"/>
      <c r="S571" s="428"/>
      <c r="T571" s="172"/>
      <c r="U571" s="172"/>
      <c r="V571" s="172"/>
      <c r="W571" s="429"/>
    </row>
    <row r="572">
      <c r="C572" s="172"/>
      <c r="D572" s="172"/>
      <c r="E572" s="172"/>
      <c r="F572" s="172"/>
      <c r="G572" s="173"/>
      <c r="H572" s="137"/>
      <c r="I572" s="137"/>
      <c r="J572" s="137"/>
      <c r="K572" s="129"/>
      <c r="L572" s="323"/>
      <c r="N572" s="172"/>
      <c r="O572" s="172"/>
      <c r="P572" s="172"/>
      <c r="Q572" s="172"/>
      <c r="R572" s="172"/>
      <c r="S572" s="428"/>
      <c r="T572" s="172"/>
      <c r="U572" s="172"/>
      <c r="V572" s="172"/>
      <c r="W572" s="429"/>
    </row>
    <row r="573">
      <c r="C573" s="172"/>
      <c r="D573" s="172"/>
      <c r="E573" s="172"/>
      <c r="F573" s="172"/>
      <c r="G573" s="173"/>
      <c r="H573" s="137"/>
      <c r="I573" s="137"/>
      <c r="J573" s="137"/>
      <c r="K573" s="129"/>
      <c r="L573" s="323"/>
      <c r="N573" s="172"/>
      <c r="O573" s="172"/>
      <c r="P573" s="172"/>
      <c r="Q573" s="172"/>
      <c r="R573" s="172"/>
      <c r="S573" s="428"/>
      <c r="T573" s="172"/>
      <c r="U573" s="172"/>
      <c r="V573" s="172"/>
      <c r="W573" s="429"/>
    </row>
    <row r="574">
      <c r="C574" s="172"/>
      <c r="D574" s="172"/>
      <c r="E574" s="172"/>
      <c r="F574" s="172"/>
      <c r="G574" s="173"/>
      <c r="H574" s="137"/>
      <c r="I574" s="137"/>
      <c r="J574" s="137"/>
      <c r="K574" s="129"/>
      <c r="L574" s="323"/>
      <c r="N574" s="172"/>
      <c r="O574" s="172"/>
      <c r="P574" s="172"/>
      <c r="Q574" s="172"/>
      <c r="R574" s="172"/>
      <c r="S574" s="428"/>
      <c r="T574" s="172"/>
      <c r="U574" s="172"/>
      <c r="V574" s="172"/>
      <c r="W574" s="429"/>
    </row>
    <row r="575">
      <c r="C575" s="172"/>
      <c r="D575" s="172"/>
      <c r="E575" s="172"/>
      <c r="F575" s="172"/>
      <c r="G575" s="173"/>
      <c r="H575" s="137"/>
      <c r="I575" s="137"/>
      <c r="J575" s="137"/>
      <c r="K575" s="129"/>
      <c r="L575" s="323"/>
      <c r="N575" s="172"/>
      <c r="O575" s="172"/>
      <c r="P575" s="172"/>
      <c r="Q575" s="172"/>
      <c r="R575" s="172"/>
      <c r="S575" s="428"/>
      <c r="T575" s="172"/>
      <c r="U575" s="172"/>
      <c r="V575" s="172"/>
      <c r="W575" s="429"/>
    </row>
    <row r="576">
      <c r="C576" s="172"/>
      <c r="D576" s="172"/>
      <c r="E576" s="172"/>
      <c r="F576" s="172"/>
      <c r="G576" s="173"/>
      <c r="H576" s="137"/>
      <c r="I576" s="137"/>
      <c r="J576" s="137"/>
      <c r="K576" s="129"/>
      <c r="L576" s="323"/>
      <c r="N576" s="172"/>
      <c r="O576" s="172"/>
      <c r="P576" s="172"/>
      <c r="Q576" s="172"/>
      <c r="R576" s="172"/>
      <c r="S576" s="428"/>
      <c r="T576" s="172"/>
      <c r="U576" s="172"/>
      <c r="V576" s="172"/>
      <c r="W576" s="429"/>
    </row>
    <row r="577">
      <c r="C577" s="172"/>
      <c r="D577" s="172"/>
      <c r="E577" s="172"/>
      <c r="F577" s="172"/>
      <c r="G577" s="173"/>
      <c r="H577" s="137"/>
      <c r="I577" s="137"/>
      <c r="J577" s="137"/>
      <c r="K577" s="129"/>
      <c r="L577" s="323"/>
      <c r="N577" s="172"/>
      <c r="O577" s="172"/>
      <c r="P577" s="172"/>
      <c r="Q577" s="172"/>
      <c r="R577" s="172"/>
      <c r="S577" s="428"/>
      <c r="T577" s="172"/>
      <c r="U577" s="172"/>
      <c r="V577" s="172"/>
      <c r="W577" s="429"/>
    </row>
    <row r="578">
      <c r="C578" s="172"/>
      <c r="D578" s="172"/>
      <c r="E578" s="172"/>
      <c r="F578" s="172"/>
      <c r="G578" s="173"/>
      <c r="H578" s="137"/>
      <c r="I578" s="137"/>
      <c r="J578" s="137"/>
      <c r="K578" s="129"/>
      <c r="L578" s="323"/>
      <c r="N578" s="172"/>
      <c r="O578" s="172"/>
      <c r="P578" s="172"/>
      <c r="Q578" s="172"/>
      <c r="R578" s="172"/>
      <c r="S578" s="428"/>
      <c r="T578" s="172"/>
      <c r="U578" s="172"/>
      <c r="V578" s="172"/>
      <c r="W578" s="429"/>
    </row>
    <row r="579">
      <c r="C579" s="172"/>
      <c r="D579" s="172"/>
      <c r="E579" s="172"/>
      <c r="F579" s="172"/>
      <c r="G579" s="173"/>
      <c r="H579" s="137"/>
      <c r="I579" s="137"/>
      <c r="J579" s="137"/>
      <c r="K579" s="129"/>
      <c r="L579" s="323"/>
      <c r="N579" s="172"/>
      <c r="O579" s="172"/>
      <c r="P579" s="172"/>
      <c r="Q579" s="172"/>
      <c r="R579" s="172"/>
      <c r="S579" s="428"/>
      <c r="T579" s="172"/>
      <c r="U579" s="172"/>
      <c r="V579" s="172"/>
      <c r="W579" s="429"/>
    </row>
    <row r="580">
      <c r="C580" s="172"/>
      <c r="D580" s="172"/>
      <c r="E580" s="172"/>
      <c r="F580" s="172"/>
      <c r="G580" s="173"/>
      <c r="H580" s="137"/>
      <c r="I580" s="137"/>
      <c r="J580" s="137"/>
      <c r="K580" s="129"/>
      <c r="L580" s="323"/>
      <c r="N580" s="172"/>
      <c r="O580" s="172"/>
      <c r="P580" s="172"/>
      <c r="Q580" s="172"/>
      <c r="R580" s="172"/>
      <c r="S580" s="428"/>
      <c r="T580" s="172"/>
      <c r="U580" s="172"/>
      <c r="V580" s="172"/>
      <c r="W580" s="429"/>
    </row>
    <row r="581">
      <c r="C581" s="172"/>
      <c r="D581" s="172"/>
      <c r="E581" s="172"/>
      <c r="F581" s="172"/>
      <c r="G581" s="173"/>
      <c r="H581" s="137"/>
      <c r="I581" s="137"/>
      <c r="J581" s="137"/>
      <c r="K581" s="129"/>
      <c r="L581" s="323"/>
      <c r="N581" s="172"/>
      <c r="O581" s="172"/>
      <c r="P581" s="172"/>
      <c r="Q581" s="172"/>
      <c r="R581" s="172"/>
      <c r="S581" s="428"/>
      <c r="T581" s="172"/>
      <c r="U581" s="172"/>
      <c r="V581" s="172"/>
      <c r="W581" s="429"/>
    </row>
    <row r="582">
      <c r="C582" s="172"/>
      <c r="D582" s="172"/>
      <c r="E582" s="172"/>
      <c r="F582" s="172"/>
      <c r="G582" s="173"/>
      <c r="H582" s="137"/>
      <c r="I582" s="137"/>
      <c r="J582" s="137"/>
      <c r="K582" s="129"/>
      <c r="L582" s="323"/>
      <c r="N582" s="172"/>
      <c r="O582" s="172"/>
      <c r="P582" s="172"/>
      <c r="Q582" s="172"/>
      <c r="R582" s="172"/>
      <c r="S582" s="428"/>
      <c r="T582" s="172"/>
      <c r="U582" s="172"/>
      <c r="V582" s="172"/>
      <c r="W582" s="429"/>
    </row>
    <row r="583">
      <c r="C583" s="172"/>
      <c r="D583" s="172"/>
      <c r="E583" s="172"/>
      <c r="F583" s="172"/>
      <c r="G583" s="173"/>
      <c r="H583" s="137"/>
      <c r="I583" s="137"/>
      <c r="J583" s="137"/>
      <c r="K583" s="129"/>
      <c r="L583" s="323"/>
      <c r="N583" s="172"/>
      <c r="O583" s="172"/>
      <c r="P583" s="172"/>
      <c r="Q583" s="172"/>
      <c r="R583" s="172"/>
      <c r="S583" s="428"/>
      <c r="T583" s="172"/>
      <c r="U583" s="172"/>
      <c r="V583" s="172"/>
      <c r="W583" s="429"/>
    </row>
    <row r="584">
      <c r="C584" s="172"/>
      <c r="D584" s="172"/>
      <c r="E584" s="172"/>
      <c r="F584" s="172"/>
      <c r="G584" s="173"/>
      <c r="H584" s="137"/>
      <c r="I584" s="137"/>
      <c r="J584" s="137"/>
      <c r="K584" s="129"/>
      <c r="L584" s="323"/>
      <c r="N584" s="172"/>
      <c r="O584" s="172"/>
      <c r="P584" s="172"/>
      <c r="Q584" s="172"/>
      <c r="R584" s="172"/>
      <c r="S584" s="428"/>
      <c r="T584" s="172"/>
      <c r="U584" s="172"/>
      <c r="V584" s="172"/>
      <c r="W584" s="429"/>
    </row>
    <row r="585">
      <c r="C585" s="172"/>
      <c r="D585" s="172"/>
      <c r="E585" s="172"/>
      <c r="F585" s="172"/>
      <c r="G585" s="173"/>
      <c r="H585" s="137"/>
      <c r="I585" s="137"/>
      <c r="J585" s="137"/>
      <c r="K585" s="129"/>
      <c r="L585" s="323"/>
      <c r="N585" s="172"/>
      <c r="O585" s="172"/>
      <c r="P585" s="172"/>
      <c r="Q585" s="172"/>
      <c r="R585" s="172"/>
      <c r="S585" s="428"/>
      <c r="T585" s="172"/>
      <c r="U585" s="172"/>
      <c r="V585" s="172"/>
      <c r="W585" s="429"/>
    </row>
    <row r="586">
      <c r="C586" s="172"/>
      <c r="D586" s="172"/>
      <c r="E586" s="172"/>
      <c r="F586" s="172"/>
      <c r="G586" s="173"/>
      <c r="H586" s="137"/>
      <c r="I586" s="137"/>
      <c r="J586" s="137"/>
      <c r="K586" s="129"/>
      <c r="L586" s="323"/>
      <c r="N586" s="172"/>
      <c r="O586" s="172"/>
      <c r="P586" s="172"/>
      <c r="Q586" s="172"/>
      <c r="R586" s="172"/>
      <c r="S586" s="428"/>
      <c r="T586" s="172"/>
      <c r="U586" s="172"/>
      <c r="V586" s="172"/>
      <c r="W586" s="429"/>
    </row>
    <row r="587">
      <c r="C587" s="172"/>
      <c r="D587" s="172"/>
      <c r="E587" s="172"/>
      <c r="F587" s="172"/>
      <c r="G587" s="173"/>
      <c r="H587" s="137"/>
      <c r="I587" s="137"/>
      <c r="J587" s="137"/>
      <c r="K587" s="129"/>
      <c r="L587" s="323"/>
      <c r="N587" s="172"/>
      <c r="O587" s="172"/>
      <c r="P587" s="172"/>
      <c r="Q587" s="172"/>
      <c r="R587" s="172"/>
      <c r="S587" s="428"/>
      <c r="T587" s="172"/>
      <c r="U587" s="172"/>
      <c r="V587" s="172"/>
      <c r="W587" s="429"/>
    </row>
    <row r="588">
      <c r="C588" s="172"/>
      <c r="D588" s="172"/>
      <c r="E588" s="172"/>
      <c r="F588" s="172"/>
      <c r="G588" s="173"/>
      <c r="H588" s="137"/>
      <c r="I588" s="137"/>
      <c r="J588" s="137"/>
      <c r="K588" s="129"/>
      <c r="L588" s="323"/>
      <c r="N588" s="172"/>
      <c r="O588" s="172"/>
      <c r="P588" s="172"/>
      <c r="Q588" s="172"/>
      <c r="R588" s="172"/>
      <c r="S588" s="428"/>
      <c r="T588" s="172"/>
      <c r="U588" s="172"/>
      <c r="V588" s="172"/>
      <c r="W588" s="429"/>
    </row>
    <row r="589">
      <c r="C589" s="172"/>
      <c r="D589" s="172"/>
      <c r="E589" s="172"/>
      <c r="F589" s="172"/>
      <c r="G589" s="173"/>
      <c r="H589" s="137"/>
      <c r="I589" s="137"/>
      <c r="J589" s="137"/>
      <c r="K589" s="129"/>
      <c r="L589" s="323"/>
      <c r="N589" s="172"/>
      <c r="O589" s="172"/>
      <c r="P589" s="172"/>
      <c r="Q589" s="172"/>
      <c r="R589" s="172"/>
      <c r="S589" s="428"/>
      <c r="T589" s="172"/>
      <c r="U589" s="172"/>
      <c r="V589" s="172"/>
      <c r="W589" s="429"/>
    </row>
    <row r="590">
      <c r="C590" s="172"/>
      <c r="D590" s="172"/>
      <c r="E590" s="172"/>
      <c r="F590" s="172"/>
      <c r="G590" s="173"/>
      <c r="H590" s="137"/>
      <c r="I590" s="137"/>
      <c r="J590" s="137"/>
      <c r="K590" s="129"/>
      <c r="L590" s="323"/>
      <c r="N590" s="172"/>
      <c r="O590" s="172"/>
      <c r="P590" s="172"/>
      <c r="Q590" s="172"/>
      <c r="R590" s="172"/>
      <c r="S590" s="428"/>
      <c r="T590" s="172"/>
      <c r="U590" s="172"/>
      <c r="V590" s="172"/>
      <c r="W590" s="429"/>
    </row>
    <row r="591">
      <c r="C591" s="172"/>
      <c r="D591" s="172"/>
      <c r="E591" s="172"/>
      <c r="F591" s="172"/>
      <c r="G591" s="173"/>
      <c r="H591" s="137"/>
      <c r="I591" s="137"/>
      <c r="J591" s="137"/>
      <c r="K591" s="129"/>
      <c r="L591" s="323"/>
      <c r="N591" s="172"/>
      <c r="O591" s="172"/>
      <c r="P591" s="172"/>
      <c r="Q591" s="172"/>
      <c r="R591" s="172"/>
      <c r="S591" s="428"/>
      <c r="T591" s="172"/>
      <c r="U591" s="172"/>
      <c r="V591" s="172"/>
      <c r="W591" s="429"/>
    </row>
    <row r="592">
      <c r="C592" s="172"/>
      <c r="D592" s="172"/>
      <c r="E592" s="172"/>
      <c r="F592" s="172"/>
      <c r="G592" s="173"/>
      <c r="H592" s="137"/>
      <c r="I592" s="137"/>
      <c r="J592" s="137"/>
      <c r="K592" s="129"/>
      <c r="L592" s="323"/>
      <c r="N592" s="172"/>
      <c r="O592" s="172"/>
      <c r="P592" s="172"/>
      <c r="Q592" s="172"/>
      <c r="R592" s="172"/>
      <c r="S592" s="428"/>
      <c r="T592" s="172"/>
      <c r="U592" s="172"/>
      <c r="V592" s="172"/>
      <c r="W592" s="429"/>
    </row>
    <row r="593">
      <c r="C593" s="172"/>
      <c r="D593" s="172"/>
      <c r="E593" s="172"/>
      <c r="F593" s="172"/>
      <c r="G593" s="173"/>
      <c r="H593" s="137"/>
      <c r="I593" s="137"/>
      <c r="J593" s="137"/>
      <c r="K593" s="129"/>
      <c r="L593" s="323"/>
      <c r="N593" s="172"/>
      <c r="O593" s="172"/>
      <c r="P593" s="172"/>
      <c r="Q593" s="172"/>
      <c r="R593" s="172"/>
      <c r="S593" s="428"/>
      <c r="T593" s="172"/>
      <c r="U593" s="172"/>
      <c r="V593" s="172"/>
      <c r="W593" s="429"/>
    </row>
    <row r="594">
      <c r="C594" s="172"/>
      <c r="D594" s="172"/>
      <c r="E594" s="172"/>
      <c r="F594" s="172"/>
      <c r="G594" s="173"/>
      <c r="H594" s="137"/>
      <c r="I594" s="137"/>
      <c r="J594" s="137"/>
      <c r="K594" s="129"/>
      <c r="L594" s="323"/>
      <c r="N594" s="172"/>
      <c r="O594" s="172"/>
      <c r="P594" s="172"/>
      <c r="Q594" s="172"/>
      <c r="R594" s="172"/>
      <c r="S594" s="428"/>
      <c r="T594" s="172"/>
      <c r="U594" s="172"/>
      <c r="V594" s="172"/>
      <c r="W594" s="429"/>
    </row>
    <row r="595">
      <c r="C595" s="172"/>
      <c r="D595" s="172"/>
      <c r="E595" s="172"/>
      <c r="F595" s="172"/>
      <c r="G595" s="173"/>
      <c r="H595" s="137"/>
      <c r="I595" s="137"/>
      <c r="J595" s="137"/>
      <c r="K595" s="129"/>
      <c r="L595" s="323"/>
      <c r="N595" s="172"/>
      <c r="O595" s="172"/>
      <c r="P595" s="172"/>
      <c r="Q595" s="172"/>
      <c r="R595" s="172"/>
      <c r="S595" s="428"/>
      <c r="T595" s="172"/>
      <c r="U595" s="172"/>
      <c r="V595" s="172"/>
      <c r="W595" s="429"/>
    </row>
    <row r="596">
      <c r="C596" s="172"/>
      <c r="D596" s="172"/>
      <c r="E596" s="172"/>
      <c r="F596" s="172"/>
      <c r="G596" s="173"/>
      <c r="H596" s="137"/>
      <c r="I596" s="137"/>
      <c r="J596" s="137"/>
      <c r="K596" s="129"/>
      <c r="L596" s="323"/>
      <c r="N596" s="172"/>
      <c r="O596" s="172"/>
      <c r="P596" s="172"/>
      <c r="Q596" s="172"/>
      <c r="R596" s="172"/>
      <c r="S596" s="428"/>
      <c r="T596" s="172"/>
      <c r="U596" s="172"/>
      <c r="V596" s="172"/>
      <c r="W596" s="429"/>
    </row>
    <row r="597">
      <c r="C597" s="172"/>
      <c r="D597" s="172"/>
      <c r="E597" s="172"/>
      <c r="F597" s="172"/>
      <c r="G597" s="173"/>
      <c r="H597" s="137"/>
      <c r="I597" s="137"/>
      <c r="J597" s="137"/>
      <c r="K597" s="129"/>
      <c r="L597" s="323"/>
      <c r="N597" s="172"/>
      <c r="O597" s="172"/>
      <c r="P597" s="172"/>
      <c r="Q597" s="172"/>
      <c r="R597" s="172"/>
      <c r="S597" s="428"/>
      <c r="T597" s="172"/>
      <c r="U597" s="172"/>
      <c r="V597" s="172"/>
      <c r="W597" s="429"/>
    </row>
    <row r="598">
      <c r="C598" s="172"/>
      <c r="D598" s="172"/>
      <c r="E598" s="172"/>
      <c r="F598" s="172"/>
      <c r="G598" s="173"/>
      <c r="H598" s="137"/>
      <c r="I598" s="137"/>
      <c r="J598" s="137"/>
      <c r="K598" s="129"/>
      <c r="L598" s="323"/>
      <c r="N598" s="172"/>
      <c r="O598" s="172"/>
      <c r="P598" s="172"/>
      <c r="Q598" s="172"/>
      <c r="R598" s="172"/>
      <c r="S598" s="428"/>
      <c r="T598" s="172"/>
      <c r="U598" s="172"/>
      <c r="V598" s="172"/>
      <c r="W598" s="429"/>
    </row>
    <row r="599">
      <c r="C599" s="172"/>
      <c r="D599" s="172"/>
      <c r="E599" s="172"/>
      <c r="F599" s="172"/>
      <c r="G599" s="173"/>
      <c r="H599" s="137"/>
      <c r="I599" s="137"/>
      <c r="J599" s="137"/>
      <c r="K599" s="129"/>
      <c r="L599" s="323"/>
      <c r="N599" s="172"/>
      <c r="O599" s="172"/>
      <c r="P599" s="172"/>
      <c r="Q599" s="172"/>
      <c r="R599" s="172"/>
      <c r="S599" s="428"/>
      <c r="T599" s="172"/>
      <c r="U599" s="172"/>
      <c r="V599" s="172"/>
      <c r="W599" s="429"/>
    </row>
    <row r="600">
      <c r="C600" s="172"/>
      <c r="D600" s="172"/>
      <c r="E600" s="172"/>
      <c r="F600" s="172"/>
      <c r="G600" s="173"/>
      <c r="H600" s="137"/>
      <c r="I600" s="137"/>
      <c r="J600" s="137"/>
      <c r="K600" s="129"/>
      <c r="L600" s="323"/>
      <c r="N600" s="172"/>
      <c r="O600" s="172"/>
      <c r="P600" s="172"/>
      <c r="Q600" s="172"/>
      <c r="R600" s="172"/>
      <c r="S600" s="428"/>
      <c r="T600" s="172"/>
      <c r="U600" s="172"/>
      <c r="V600" s="172"/>
      <c r="W600" s="429"/>
    </row>
    <row r="601">
      <c r="C601" s="172"/>
      <c r="D601" s="172"/>
      <c r="E601" s="172"/>
      <c r="F601" s="172"/>
      <c r="G601" s="173"/>
      <c r="H601" s="137"/>
      <c r="I601" s="137"/>
      <c r="J601" s="137"/>
      <c r="K601" s="129"/>
      <c r="L601" s="323"/>
      <c r="N601" s="172"/>
      <c r="O601" s="172"/>
      <c r="P601" s="172"/>
      <c r="Q601" s="172"/>
      <c r="R601" s="172"/>
      <c r="S601" s="428"/>
      <c r="T601" s="172"/>
      <c r="U601" s="172"/>
      <c r="V601" s="172"/>
      <c r="W601" s="429"/>
    </row>
    <row r="602">
      <c r="C602" s="172"/>
      <c r="D602" s="172"/>
      <c r="E602" s="172"/>
      <c r="F602" s="172"/>
      <c r="G602" s="173"/>
      <c r="H602" s="137"/>
      <c r="I602" s="137"/>
      <c r="J602" s="137"/>
      <c r="K602" s="129"/>
      <c r="L602" s="323"/>
      <c r="N602" s="172"/>
      <c r="O602" s="172"/>
      <c r="P602" s="172"/>
      <c r="Q602" s="172"/>
      <c r="R602" s="172"/>
      <c r="S602" s="428"/>
      <c r="T602" s="172"/>
      <c r="U602" s="172"/>
      <c r="V602" s="172"/>
      <c r="W602" s="429"/>
    </row>
    <row r="603">
      <c r="C603" s="172"/>
      <c r="D603" s="172"/>
      <c r="E603" s="172"/>
      <c r="F603" s="172"/>
      <c r="G603" s="173"/>
      <c r="H603" s="137"/>
      <c r="I603" s="137"/>
      <c r="J603" s="137"/>
      <c r="K603" s="129"/>
      <c r="L603" s="323"/>
      <c r="N603" s="172"/>
      <c r="O603" s="172"/>
      <c r="P603" s="172"/>
      <c r="Q603" s="172"/>
      <c r="R603" s="172"/>
      <c r="S603" s="428"/>
      <c r="T603" s="172"/>
      <c r="U603" s="172"/>
      <c r="V603" s="172"/>
      <c r="W603" s="429"/>
    </row>
    <row r="604">
      <c r="C604" s="172"/>
      <c r="D604" s="172"/>
      <c r="E604" s="172"/>
      <c r="F604" s="172"/>
      <c r="G604" s="173"/>
      <c r="H604" s="137"/>
      <c r="I604" s="137"/>
      <c r="J604" s="137"/>
      <c r="K604" s="129"/>
      <c r="L604" s="323"/>
      <c r="N604" s="172"/>
      <c r="O604" s="172"/>
      <c r="P604" s="172"/>
      <c r="Q604" s="172"/>
      <c r="R604" s="172"/>
      <c r="S604" s="428"/>
      <c r="T604" s="172"/>
      <c r="U604" s="172"/>
      <c r="V604" s="172"/>
      <c r="W604" s="429"/>
    </row>
    <row r="605">
      <c r="C605" s="172"/>
      <c r="D605" s="172"/>
      <c r="E605" s="172"/>
      <c r="F605" s="172"/>
      <c r="G605" s="173"/>
      <c r="H605" s="137"/>
      <c r="I605" s="137"/>
      <c r="J605" s="137"/>
      <c r="K605" s="129"/>
      <c r="L605" s="323"/>
      <c r="N605" s="172"/>
      <c r="O605" s="172"/>
      <c r="P605" s="172"/>
      <c r="Q605" s="172"/>
      <c r="R605" s="172"/>
      <c r="S605" s="428"/>
      <c r="T605" s="172"/>
      <c r="U605" s="172"/>
      <c r="V605" s="172"/>
      <c r="W605" s="429"/>
    </row>
    <row r="606">
      <c r="C606" s="172"/>
      <c r="D606" s="172"/>
      <c r="E606" s="172"/>
      <c r="F606" s="172"/>
      <c r="G606" s="173"/>
      <c r="H606" s="137"/>
      <c r="I606" s="137"/>
      <c r="J606" s="137"/>
      <c r="K606" s="129"/>
      <c r="L606" s="323"/>
      <c r="N606" s="172"/>
      <c r="O606" s="172"/>
      <c r="P606" s="172"/>
      <c r="Q606" s="172"/>
      <c r="R606" s="172"/>
      <c r="S606" s="428"/>
      <c r="T606" s="172"/>
      <c r="U606" s="172"/>
      <c r="V606" s="172"/>
      <c r="W606" s="429"/>
    </row>
    <row r="607">
      <c r="C607" s="172"/>
      <c r="D607" s="172"/>
      <c r="E607" s="172"/>
      <c r="F607" s="172"/>
      <c r="G607" s="173"/>
      <c r="H607" s="137"/>
      <c r="I607" s="137"/>
      <c r="J607" s="137"/>
      <c r="K607" s="129"/>
      <c r="L607" s="323"/>
      <c r="N607" s="172"/>
      <c r="O607" s="172"/>
      <c r="P607" s="172"/>
      <c r="Q607" s="172"/>
      <c r="R607" s="172"/>
      <c r="S607" s="428"/>
      <c r="T607" s="172"/>
      <c r="U607" s="172"/>
      <c r="V607" s="172"/>
      <c r="W607" s="429"/>
    </row>
    <row r="608">
      <c r="C608" s="172"/>
      <c r="D608" s="172"/>
      <c r="E608" s="172"/>
      <c r="F608" s="172"/>
      <c r="G608" s="173"/>
      <c r="H608" s="137"/>
      <c r="I608" s="137"/>
      <c r="J608" s="137"/>
      <c r="K608" s="129"/>
      <c r="L608" s="323"/>
      <c r="N608" s="172"/>
      <c r="O608" s="172"/>
      <c r="P608" s="172"/>
      <c r="Q608" s="172"/>
      <c r="R608" s="172"/>
      <c r="S608" s="428"/>
      <c r="T608" s="172"/>
      <c r="U608" s="172"/>
      <c r="V608" s="172"/>
      <c r="W608" s="429"/>
    </row>
    <row r="609">
      <c r="C609" s="172"/>
      <c r="D609" s="172"/>
      <c r="E609" s="172"/>
      <c r="F609" s="172"/>
      <c r="G609" s="173"/>
      <c r="H609" s="137"/>
      <c r="I609" s="137"/>
      <c r="J609" s="137"/>
      <c r="K609" s="129"/>
      <c r="L609" s="323"/>
      <c r="N609" s="172"/>
      <c r="O609" s="172"/>
      <c r="P609" s="172"/>
      <c r="Q609" s="172"/>
      <c r="R609" s="172"/>
      <c r="S609" s="428"/>
      <c r="T609" s="172"/>
      <c r="U609" s="172"/>
      <c r="V609" s="172"/>
      <c r="W609" s="429"/>
    </row>
    <row r="610">
      <c r="C610" s="172"/>
      <c r="D610" s="172"/>
      <c r="E610" s="172"/>
      <c r="F610" s="172"/>
      <c r="G610" s="173"/>
      <c r="H610" s="137"/>
      <c r="I610" s="137"/>
      <c r="J610" s="137"/>
      <c r="K610" s="129"/>
      <c r="L610" s="323"/>
      <c r="N610" s="172"/>
      <c r="O610" s="172"/>
      <c r="P610" s="172"/>
      <c r="Q610" s="172"/>
      <c r="R610" s="172"/>
      <c r="S610" s="428"/>
      <c r="T610" s="172"/>
      <c r="U610" s="172"/>
      <c r="V610" s="172"/>
      <c r="W610" s="429"/>
    </row>
    <row r="611">
      <c r="C611" s="172"/>
      <c r="D611" s="172"/>
      <c r="E611" s="172"/>
      <c r="F611" s="172"/>
      <c r="G611" s="173"/>
      <c r="H611" s="137"/>
      <c r="I611" s="137"/>
      <c r="J611" s="137"/>
      <c r="K611" s="129"/>
      <c r="L611" s="323"/>
      <c r="N611" s="172"/>
      <c r="O611" s="172"/>
      <c r="P611" s="172"/>
      <c r="Q611" s="172"/>
      <c r="R611" s="172"/>
      <c r="S611" s="428"/>
      <c r="T611" s="172"/>
      <c r="U611" s="172"/>
      <c r="V611" s="172"/>
      <c r="W611" s="429"/>
    </row>
    <row r="612">
      <c r="C612" s="172"/>
      <c r="D612" s="172"/>
      <c r="E612" s="172"/>
      <c r="F612" s="172"/>
      <c r="G612" s="173"/>
      <c r="H612" s="137"/>
      <c r="I612" s="137"/>
      <c r="J612" s="137"/>
      <c r="K612" s="129"/>
      <c r="L612" s="323"/>
      <c r="N612" s="172"/>
      <c r="O612" s="172"/>
      <c r="P612" s="172"/>
      <c r="Q612" s="172"/>
      <c r="R612" s="172"/>
      <c r="S612" s="428"/>
      <c r="T612" s="172"/>
      <c r="U612" s="172"/>
      <c r="V612" s="172"/>
      <c r="W612" s="429"/>
    </row>
    <row r="613">
      <c r="C613" s="172"/>
      <c r="D613" s="172"/>
      <c r="E613" s="172"/>
      <c r="F613" s="172"/>
      <c r="G613" s="173"/>
      <c r="H613" s="137"/>
      <c r="I613" s="137"/>
      <c r="J613" s="137"/>
      <c r="K613" s="129"/>
      <c r="L613" s="323"/>
      <c r="N613" s="172"/>
      <c r="O613" s="172"/>
      <c r="P613" s="172"/>
      <c r="Q613" s="172"/>
      <c r="R613" s="172"/>
      <c r="S613" s="428"/>
      <c r="T613" s="172"/>
      <c r="U613" s="172"/>
      <c r="V613" s="172"/>
      <c r="W613" s="429"/>
    </row>
    <row r="614">
      <c r="C614" s="172"/>
      <c r="D614" s="172"/>
      <c r="E614" s="172"/>
      <c r="F614" s="172"/>
      <c r="G614" s="173"/>
      <c r="H614" s="137"/>
      <c r="I614" s="137"/>
      <c r="J614" s="137"/>
      <c r="K614" s="129"/>
      <c r="L614" s="323"/>
      <c r="N614" s="172"/>
      <c r="O614" s="172"/>
      <c r="P614" s="172"/>
      <c r="Q614" s="172"/>
      <c r="R614" s="172"/>
      <c r="S614" s="428"/>
      <c r="T614" s="172"/>
      <c r="U614" s="172"/>
      <c r="V614" s="172"/>
      <c r="W614" s="429"/>
    </row>
    <row r="615">
      <c r="C615" s="172"/>
      <c r="D615" s="172"/>
      <c r="E615" s="172"/>
      <c r="F615" s="172"/>
      <c r="G615" s="173"/>
      <c r="H615" s="137"/>
      <c r="I615" s="137"/>
      <c r="J615" s="137"/>
      <c r="K615" s="129"/>
      <c r="L615" s="323"/>
      <c r="N615" s="172"/>
      <c r="O615" s="172"/>
      <c r="P615" s="172"/>
      <c r="Q615" s="172"/>
      <c r="R615" s="172"/>
      <c r="S615" s="428"/>
      <c r="T615" s="172"/>
      <c r="U615" s="172"/>
      <c r="V615" s="172"/>
      <c r="W615" s="429"/>
    </row>
    <row r="616">
      <c r="C616" s="172"/>
      <c r="D616" s="172"/>
      <c r="E616" s="172"/>
      <c r="F616" s="172"/>
      <c r="G616" s="173"/>
      <c r="H616" s="137"/>
      <c r="I616" s="137"/>
      <c r="J616" s="137"/>
      <c r="K616" s="129"/>
      <c r="L616" s="323"/>
      <c r="N616" s="172"/>
      <c r="O616" s="172"/>
      <c r="P616" s="172"/>
      <c r="Q616" s="172"/>
      <c r="R616" s="172"/>
      <c r="S616" s="428"/>
      <c r="T616" s="172"/>
      <c r="U616" s="172"/>
      <c r="V616" s="172"/>
      <c r="W616" s="429"/>
    </row>
    <row r="617">
      <c r="C617" s="172"/>
      <c r="D617" s="172"/>
      <c r="E617" s="172"/>
      <c r="F617" s="172"/>
      <c r="G617" s="173"/>
      <c r="H617" s="137"/>
      <c r="I617" s="137"/>
      <c r="J617" s="137"/>
      <c r="K617" s="129"/>
      <c r="L617" s="323"/>
      <c r="N617" s="172"/>
      <c r="O617" s="172"/>
      <c r="P617" s="172"/>
      <c r="Q617" s="172"/>
      <c r="R617" s="172"/>
      <c r="S617" s="428"/>
      <c r="T617" s="172"/>
      <c r="U617" s="172"/>
      <c r="V617" s="172"/>
      <c r="W617" s="429"/>
    </row>
    <row r="618">
      <c r="C618" s="172"/>
      <c r="D618" s="172"/>
      <c r="E618" s="172"/>
      <c r="F618" s="172"/>
      <c r="G618" s="173"/>
      <c r="H618" s="137"/>
      <c r="I618" s="137"/>
      <c r="J618" s="137"/>
      <c r="K618" s="129"/>
      <c r="L618" s="323"/>
      <c r="N618" s="172"/>
      <c r="O618" s="172"/>
      <c r="P618" s="172"/>
      <c r="Q618" s="172"/>
      <c r="R618" s="172"/>
      <c r="S618" s="428"/>
      <c r="T618" s="172"/>
      <c r="U618" s="172"/>
      <c r="V618" s="172"/>
      <c r="W618" s="429"/>
    </row>
    <row r="619">
      <c r="C619" s="172"/>
      <c r="D619" s="172"/>
      <c r="E619" s="172"/>
      <c r="F619" s="172"/>
      <c r="G619" s="173"/>
      <c r="H619" s="137"/>
      <c r="I619" s="137"/>
      <c r="J619" s="137"/>
      <c r="K619" s="129"/>
      <c r="L619" s="323"/>
      <c r="N619" s="172"/>
      <c r="O619" s="172"/>
      <c r="P619" s="172"/>
      <c r="Q619" s="172"/>
      <c r="R619" s="172"/>
      <c r="S619" s="428"/>
      <c r="T619" s="172"/>
      <c r="U619" s="172"/>
      <c r="V619" s="172"/>
      <c r="W619" s="429"/>
    </row>
    <row r="620">
      <c r="C620" s="172"/>
      <c r="D620" s="172"/>
      <c r="E620" s="172"/>
      <c r="F620" s="172"/>
      <c r="G620" s="173"/>
      <c r="H620" s="137"/>
      <c r="I620" s="137"/>
      <c r="J620" s="137"/>
      <c r="K620" s="129"/>
      <c r="L620" s="323"/>
      <c r="N620" s="172"/>
      <c r="O620" s="172"/>
      <c r="P620" s="172"/>
      <c r="Q620" s="172"/>
      <c r="R620" s="172"/>
      <c r="S620" s="428"/>
      <c r="T620" s="172"/>
      <c r="U620" s="172"/>
      <c r="V620" s="172"/>
      <c r="W620" s="429"/>
    </row>
    <row r="621">
      <c r="C621" s="172"/>
      <c r="D621" s="172"/>
      <c r="E621" s="172"/>
      <c r="F621" s="172"/>
      <c r="G621" s="173"/>
      <c r="H621" s="137"/>
      <c r="I621" s="137"/>
      <c r="J621" s="137"/>
      <c r="K621" s="129"/>
      <c r="L621" s="323"/>
      <c r="N621" s="172"/>
      <c r="O621" s="172"/>
      <c r="P621" s="172"/>
      <c r="Q621" s="172"/>
      <c r="R621" s="172"/>
      <c r="S621" s="428"/>
      <c r="T621" s="172"/>
      <c r="U621" s="172"/>
      <c r="V621" s="172"/>
      <c r="W621" s="429"/>
    </row>
    <row r="622">
      <c r="C622" s="172"/>
      <c r="D622" s="172"/>
      <c r="E622" s="172"/>
      <c r="F622" s="172"/>
      <c r="G622" s="173"/>
      <c r="H622" s="137"/>
      <c r="I622" s="137"/>
      <c r="J622" s="137"/>
      <c r="K622" s="129"/>
      <c r="L622" s="323"/>
      <c r="N622" s="172"/>
      <c r="O622" s="172"/>
      <c r="P622" s="172"/>
      <c r="Q622" s="172"/>
      <c r="R622" s="172"/>
      <c r="S622" s="428"/>
      <c r="T622" s="172"/>
      <c r="U622" s="172"/>
      <c r="V622" s="172"/>
      <c r="W622" s="429"/>
    </row>
    <row r="623">
      <c r="C623" s="172"/>
      <c r="D623" s="172"/>
      <c r="E623" s="172"/>
      <c r="F623" s="172"/>
      <c r="G623" s="173"/>
      <c r="H623" s="137"/>
      <c r="I623" s="137"/>
      <c r="J623" s="137"/>
      <c r="K623" s="129"/>
      <c r="L623" s="323"/>
      <c r="N623" s="172"/>
      <c r="O623" s="172"/>
      <c r="P623" s="172"/>
      <c r="Q623" s="172"/>
      <c r="R623" s="172"/>
      <c r="S623" s="428"/>
      <c r="T623" s="172"/>
      <c r="U623" s="172"/>
      <c r="V623" s="172"/>
      <c r="W623" s="429"/>
    </row>
    <row r="624">
      <c r="C624" s="172"/>
      <c r="D624" s="172"/>
      <c r="E624" s="172"/>
      <c r="F624" s="172"/>
      <c r="G624" s="173"/>
      <c r="H624" s="137"/>
      <c r="I624" s="137"/>
      <c r="J624" s="137"/>
      <c r="K624" s="129"/>
      <c r="L624" s="323"/>
      <c r="N624" s="172"/>
      <c r="O624" s="172"/>
      <c r="P624" s="172"/>
      <c r="Q624" s="172"/>
      <c r="R624" s="172"/>
      <c r="S624" s="428"/>
      <c r="T624" s="172"/>
      <c r="U624" s="172"/>
      <c r="V624" s="172"/>
      <c r="W624" s="429"/>
    </row>
    <row r="625">
      <c r="C625" s="172"/>
      <c r="D625" s="172"/>
      <c r="E625" s="172"/>
      <c r="F625" s="172"/>
      <c r="G625" s="173"/>
      <c r="H625" s="137"/>
      <c r="I625" s="137"/>
      <c r="J625" s="137"/>
      <c r="K625" s="129"/>
      <c r="L625" s="323"/>
      <c r="N625" s="172"/>
      <c r="O625" s="172"/>
      <c r="P625" s="172"/>
      <c r="Q625" s="172"/>
      <c r="R625" s="172"/>
      <c r="S625" s="428"/>
      <c r="T625" s="172"/>
      <c r="U625" s="172"/>
      <c r="V625" s="172"/>
      <c r="W625" s="429"/>
    </row>
    <row r="626">
      <c r="C626" s="172"/>
      <c r="D626" s="172"/>
      <c r="E626" s="172"/>
      <c r="F626" s="172"/>
      <c r="G626" s="173"/>
      <c r="H626" s="137"/>
      <c r="I626" s="137"/>
      <c r="J626" s="137"/>
      <c r="K626" s="129"/>
      <c r="L626" s="323"/>
      <c r="N626" s="172"/>
      <c r="O626" s="172"/>
      <c r="P626" s="172"/>
      <c r="Q626" s="172"/>
      <c r="R626" s="172"/>
      <c r="S626" s="428"/>
      <c r="T626" s="172"/>
      <c r="U626" s="172"/>
      <c r="V626" s="172"/>
      <c r="W626" s="429"/>
    </row>
    <row r="627">
      <c r="C627" s="172"/>
      <c r="D627" s="172"/>
      <c r="E627" s="172"/>
      <c r="F627" s="172"/>
      <c r="G627" s="173"/>
      <c r="H627" s="137"/>
      <c r="I627" s="137"/>
      <c r="J627" s="137"/>
      <c r="K627" s="129"/>
      <c r="L627" s="323"/>
      <c r="N627" s="172"/>
      <c r="O627" s="172"/>
      <c r="P627" s="172"/>
      <c r="Q627" s="172"/>
      <c r="R627" s="172"/>
      <c r="S627" s="428"/>
      <c r="T627" s="172"/>
      <c r="U627" s="172"/>
      <c r="V627" s="172"/>
      <c r="W627" s="429"/>
    </row>
    <row r="628">
      <c r="C628" s="172"/>
      <c r="D628" s="172"/>
      <c r="E628" s="172"/>
      <c r="F628" s="172"/>
      <c r="G628" s="173"/>
      <c r="H628" s="137"/>
      <c r="I628" s="137"/>
      <c r="J628" s="137"/>
      <c r="K628" s="129"/>
      <c r="L628" s="323"/>
      <c r="N628" s="172"/>
      <c r="O628" s="172"/>
      <c r="P628" s="172"/>
      <c r="Q628" s="172"/>
      <c r="R628" s="172"/>
      <c r="S628" s="428"/>
      <c r="T628" s="172"/>
      <c r="U628" s="172"/>
      <c r="V628" s="172"/>
      <c r="W628" s="429"/>
    </row>
    <row r="629">
      <c r="C629" s="172"/>
      <c r="D629" s="172"/>
      <c r="E629" s="172"/>
      <c r="F629" s="172"/>
      <c r="G629" s="173"/>
      <c r="H629" s="137"/>
      <c r="I629" s="137"/>
      <c r="J629" s="137"/>
      <c r="K629" s="129"/>
      <c r="L629" s="323"/>
      <c r="N629" s="172"/>
      <c r="O629" s="172"/>
      <c r="P629" s="172"/>
      <c r="Q629" s="172"/>
      <c r="R629" s="172"/>
      <c r="S629" s="428"/>
      <c r="T629" s="172"/>
      <c r="U629" s="172"/>
      <c r="V629" s="172"/>
      <c r="W629" s="429"/>
    </row>
    <row r="630">
      <c r="C630" s="172"/>
      <c r="D630" s="172"/>
      <c r="E630" s="172"/>
      <c r="F630" s="172"/>
      <c r="G630" s="173"/>
      <c r="H630" s="137"/>
      <c r="I630" s="137"/>
      <c r="J630" s="137"/>
      <c r="K630" s="129"/>
      <c r="L630" s="323"/>
      <c r="N630" s="172"/>
      <c r="O630" s="172"/>
      <c r="P630" s="172"/>
      <c r="Q630" s="172"/>
      <c r="R630" s="172"/>
      <c r="S630" s="428"/>
      <c r="T630" s="172"/>
      <c r="U630" s="172"/>
      <c r="V630" s="172"/>
      <c r="W630" s="429"/>
    </row>
    <row r="631">
      <c r="C631" s="172"/>
      <c r="D631" s="172"/>
      <c r="E631" s="172"/>
      <c r="F631" s="172"/>
      <c r="G631" s="173"/>
      <c r="H631" s="137"/>
      <c r="I631" s="137"/>
      <c r="J631" s="137"/>
      <c r="K631" s="129"/>
      <c r="L631" s="323"/>
      <c r="N631" s="172"/>
      <c r="O631" s="172"/>
      <c r="P631" s="172"/>
      <c r="Q631" s="172"/>
      <c r="R631" s="172"/>
      <c r="S631" s="428"/>
      <c r="T631" s="172"/>
      <c r="U631" s="172"/>
      <c r="V631" s="172"/>
      <c r="W631" s="429"/>
    </row>
    <row r="632">
      <c r="C632" s="172"/>
      <c r="D632" s="172"/>
      <c r="E632" s="172"/>
      <c r="F632" s="172"/>
      <c r="G632" s="173"/>
      <c r="H632" s="137"/>
      <c r="I632" s="137"/>
      <c r="J632" s="137"/>
      <c r="K632" s="129"/>
      <c r="L632" s="323"/>
      <c r="N632" s="172"/>
      <c r="O632" s="172"/>
      <c r="P632" s="172"/>
      <c r="Q632" s="172"/>
      <c r="R632" s="172"/>
      <c r="S632" s="428"/>
      <c r="T632" s="172"/>
      <c r="U632" s="172"/>
      <c r="V632" s="172"/>
      <c r="W632" s="429"/>
    </row>
    <row r="633">
      <c r="C633" s="172"/>
      <c r="D633" s="172"/>
      <c r="E633" s="172"/>
      <c r="F633" s="172"/>
      <c r="G633" s="173"/>
      <c r="H633" s="137"/>
      <c r="I633" s="137"/>
      <c r="J633" s="137"/>
      <c r="K633" s="129"/>
      <c r="L633" s="323"/>
      <c r="N633" s="172"/>
      <c r="O633" s="172"/>
      <c r="P633" s="172"/>
      <c r="Q633" s="172"/>
      <c r="R633" s="172"/>
      <c r="S633" s="428"/>
      <c r="T633" s="172"/>
      <c r="U633" s="172"/>
      <c r="V633" s="172"/>
      <c r="W633" s="429"/>
    </row>
    <row r="634">
      <c r="C634" s="172"/>
      <c r="D634" s="172"/>
      <c r="E634" s="172"/>
      <c r="F634" s="172"/>
      <c r="G634" s="173"/>
      <c r="H634" s="137"/>
      <c r="I634" s="137"/>
      <c r="J634" s="137"/>
      <c r="K634" s="129"/>
      <c r="L634" s="323"/>
      <c r="N634" s="172"/>
      <c r="O634" s="172"/>
      <c r="P634" s="172"/>
      <c r="Q634" s="172"/>
      <c r="R634" s="172"/>
      <c r="S634" s="428"/>
      <c r="T634" s="172"/>
      <c r="U634" s="172"/>
      <c r="V634" s="172"/>
      <c r="W634" s="429"/>
    </row>
    <row r="635">
      <c r="C635" s="172"/>
      <c r="D635" s="172"/>
      <c r="E635" s="172"/>
      <c r="F635" s="172"/>
      <c r="G635" s="173"/>
      <c r="H635" s="137"/>
      <c r="I635" s="137"/>
      <c r="J635" s="137"/>
      <c r="K635" s="129"/>
      <c r="L635" s="323"/>
      <c r="N635" s="172"/>
      <c r="O635" s="172"/>
      <c r="P635" s="172"/>
      <c r="Q635" s="172"/>
      <c r="R635" s="172"/>
      <c r="S635" s="428"/>
      <c r="T635" s="172"/>
      <c r="U635" s="172"/>
      <c r="V635" s="172"/>
      <c r="W635" s="429"/>
    </row>
    <row r="636">
      <c r="C636" s="172"/>
      <c r="D636" s="172"/>
      <c r="E636" s="172"/>
      <c r="F636" s="172"/>
      <c r="G636" s="173"/>
      <c r="H636" s="137"/>
      <c r="I636" s="137"/>
      <c r="J636" s="137"/>
      <c r="K636" s="129"/>
      <c r="L636" s="323"/>
      <c r="N636" s="172"/>
      <c r="O636" s="172"/>
      <c r="P636" s="172"/>
      <c r="Q636" s="172"/>
      <c r="R636" s="172"/>
      <c r="S636" s="428"/>
      <c r="T636" s="172"/>
      <c r="U636" s="172"/>
      <c r="V636" s="172"/>
      <c r="W636" s="429"/>
    </row>
    <row r="637">
      <c r="C637" s="172"/>
      <c r="D637" s="172"/>
      <c r="E637" s="172"/>
      <c r="F637" s="172"/>
      <c r="G637" s="173"/>
      <c r="H637" s="137"/>
      <c r="I637" s="137"/>
      <c r="J637" s="137"/>
      <c r="K637" s="129"/>
      <c r="L637" s="323"/>
      <c r="N637" s="172"/>
      <c r="O637" s="172"/>
      <c r="P637" s="172"/>
      <c r="Q637" s="172"/>
      <c r="R637" s="172"/>
      <c r="S637" s="428"/>
      <c r="T637" s="172"/>
      <c r="U637" s="172"/>
      <c r="V637" s="172"/>
      <c r="W637" s="429"/>
    </row>
    <row r="638">
      <c r="C638" s="172"/>
      <c r="D638" s="172"/>
      <c r="E638" s="172"/>
      <c r="F638" s="172"/>
      <c r="G638" s="173"/>
      <c r="H638" s="137"/>
      <c r="I638" s="137"/>
      <c r="J638" s="137"/>
      <c r="K638" s="129"/>
      <c r="L638" s="323"/>
      <c r="N638" s="172"/>
      <c r="O638" s="172"/>
      <c r="P638" s="172"/>
      <c r="Q638" s="172"/>
      <c r="R638" s="172"/>
      <c r="S638" s="428"/>
      <c r="T638" s="172"/>
      <c r="U638" s="172"/>
      <c r="V638" s="172"/>
      <c r="W638" s="429"/>
    </row>
    <row r="639">
      <c r="C639" s="172"/>
      <c r="D639" s="172"/>
      <c r="E639" s="172"/>
      <c r="F639" s="172"/>
      <c r="G639" s="173"/>
      <c r="H639" s="137"/>
      <c r="I639" s="137"/>
      <c r="J639" s="137"/>
      <c r="K639" s="129"/>
      <c r="L639" s="323"/>
      <c r="N639" s="172"/>
      <c r="O639" s="172"/>
      <c r="P639" s="172"/>
      <c r="Q639" s="172"/>
      <c r="R639" s="172"/>
      <c r="S639" s="428"/>
      <c r="T639" s="172"/>
      <c r="U639" s="172"/>
      <c r="V639" s="172"/>
      <c r="W639" s="429"/>
    </row>
    <row r="640">
      <c r="C640" s="172"/>
      <c r="D640" s="172"/>
      <c r="E640" s="172"/>
      <c r="F640" s="172"/>
      <c r="G640" s="173"/>
      <c r="H640" s="137"/>
      <c r="I640" s="137"/>
      <c r="J640" s="137"/>
      <c r="K640" s="129"/>
      <c r="L640" s="323"/>
      <c r="N640" s="172"/>
      <c r="O640" s="172"/>
      <c r="P640" s="172"/>
      <c r="Q640" s="172"/>
      <c r="R640" s="172"/>
      <c r="S640" s="428"/>
      <c r="T640" s="172"/>
      <c r="U640" s="172"/>
      <c r="V640" s="172"/>
      <c r="W640" s="429"/>
    </row>
    <row r="641">
      <c r="C641" s="172"/>
      <c r="D641" s="172"/>
      <c r="E641" s="172"/>
      <c r="F641" s="172"/>
      <c r="G641" s="173"/>
      <c r="H641" s="137"/>
      <c r="I641" s="137"/>
      <c r="J641" s="137"/>
      <c r="K641" s="129"/>
      <c r="L641" s="323"/>
      <c r="N641" s="172"/>
      <c r="O641" s="172"/>
      <c r="P641" s="172"/>
      <c r="Q641" s="172"/>
      <c r="R641" s="172"/>
      <c r="S641" s="428"/>
      <c r="T641" s="172"/>
      <c r="U641" s="172"/>
      <c r="V641" s="172"/>
      <c r="W641" s="429"/>
    </row>
    <row r="642">
      <c r="C642" s="172"/>
      <c r="D642" s="172"/>
      <c r="E642" s="172"/>
      <c r="F642" s="172"/>
      <c r="G642" s="173"/>
      <c r="H642" s="137"/>
      <c r="I642" s="137"/>
      <c r="J642" s="137"/>
      <c r="K642" s="129"/>
      <c r="L642" s="323"/>
      <c r="N642" s="172"/>
      <c r="O642" s="172"/>
      <c r="P642" s="172"/>
      <c r="Q642" s="172"/>
      <c r="R642" s="172"/>
      <c r="S642" s="428"/>
      <c r="T642" s="172"/>
      <c r="U642" s="172"/>
      <c r="V642" s="172"/>
      <c r="W642" s="429"/>
    </row>
    <row r="643">
      <c r="C643" s="172"/>
      <c r="D643" s="172"/>
      <c r="E643" s="172"/>
      <c r="F643" s="172"/>
      <c r="G643" s="173"/>
      <c r="H643" s="137"/>
      <c r="I643" s="137"/>
      <c r="J643" s="137"/>
      <c r="K643" s="129"/>
      <c r="L643" s="323"/>
      <c r="N643" s="172"/>
      <c r="O643" s="172"/>
      <c r="P643" s="172"/>
      <c r="Q643" s="172"/>
      <c r="R643" s="172"/>
      <c r="S643" s="428"/>
      <c r="T643" s="172"/>
      <c r="U643" s="172"/>
      <c r="V643" s="172"/>
      <c r="W643" s="429"/>
    </row>
    <row r="644">
      <c r="C644" s="172"/>
      <c r="D644" s="172"/>
      <c r="E644" s="172"/>
      <c r="F644" s="172"/>
      <c r="G644" s="173"/>
      <c r="H644" s="137"/>
      <c r="I644" s="137"/>
      <c r="J644" s="137"/>
      <c r="K644" s="129"/>
      <c r="L644" s="323"/>
      <c r="N644" s="172"/>
      <c r="O644" s="172"/>
      <c r="P644" s="172"/>
      <c r="Q644" s="172"/>
      <c r="R644" s="172"/>
      <c r="S644" s="428"/>
      <c r="T644" s="172"/>
      <c r="U644" s="172"/>
      <c r="V644" s="172"/>
      <c r="W644" s="429"/>
    </row>
    <row r="645">
      <c r="C645" s="172"/>
      <c r="D645" s="172"/>
      <c r="E645" s="172"/>
      <c r="F645" s="172"/>
      <c r="G645" s="173"/>
      <c r="H645" s="137"/>
      <c r="I645" s="137"/>
      <c r="J645" s="137"/>
      <c r="K645" s="129"/>
      <c r="L645" s="323"/>
      <c r="N645" s="172"/>
      <c r="O645" s="172"/>
      <c r="P645" s="172"/>
      <c r="Q645" s="172"/>
      <c r="R645" s="172"/>
      <c r="S645" s="428"/>
      <c r="T645" s="172"/>
      <c r="U645" s="172"/>
      <c r="V645" s="172"/>
      <c r="W645" s="429"/>
    </row>
    <row r="646">
      <c r="C646" s="172"/>
      <c r="D646" s="172"/>
      <c r="E646" s="172"/>
      <c r="F646" s="172"/>
      <c r="G646" s="173"/>
      <c r="H646" s="137"/>
      <c r="I646" s="137"/>
      <c r="J646" s="137"/>
      <c r="K646" s="129"/>
      <c r="L646" s="323"/>
      <c r="N646" s="172"/>
      <c r="O646" s="172"/>
      <c r="P646" s="172"/>
      <c r="Q646" s="172"/>
      <c r="R646" s="172"/>
      <c r="S646" s="428"/>
      <c r="T646" s="172"/>
      <c r="U646" s="172"/>
      <c r="V646" s="172"/>
      <c r="W646" s="429"/>
    </row>
    <row r="647">
      <c r="C647" s="172"/>
      <c r="D647" s="172"/>
      <c r="E647" s="172"/>
      <c r="F647" s="172"/>
      <c r="G647" s="173"/>
      <c r="H647" s="137"/>
      <c r="I647" s="137"/>
      <c r="J647" s="137"/>
      <c r="K647" s="129"/>
      <c r="L647" s="323"/>
      <c r="N647" s="172"/>
      <c r="O647" s="172"/>
      <c r="P647" s="172"/>
      <c r="Q647" s="172"/>
      <c r="R647" s="172"/>
      <c r="S647" s="428"/>
      <c r="T647" s="172"/>
      <c r="U647" s="172"/>
      <c r="V647" s="172"/>
      <c r="W647" s="429"/>
    </row>
    <row r="648">
      <c r="C648" s="172"/>
      <c r="D648" s="172"/>
      <c r="E648" s="172"/>
      <c r="F648" s="172"/>
      <c r="G648" s="173"/>
      <c r="H648" s="137"/>
      <c r="I648" s="137"/>
      <c r="J648" s="137"/>
      <c r="K648" s="129"/>
      <c r="L648" s="323"/>
      <c r="N648" s="172"/>
      <c r="O648" s="172"/>
      <c r="P648" s="172"/>
      <c r="Q648" s="172"/>
      <c r="R648" s="172"/>
      <c r="S648" s="428"/>
      <c r="T648" s="172"/>
      <c r="U648" s="172"/>
      <c r="V648" s="172"/>
      <c r="W648" s="429"/>
    </row>
    <row r="649">
      <c r="C649" s="172"/>
      <c r="D649" s="172"/>
      <c r="E649" s="172"/>
      <c r="F649" s="172"/>
      <c r="G649" s="173"/>
      <c r="H649" s="137"/>
      <c r="I649" s="137"/>
      <c r="J649" s="137"/>
      <c r="K649" s="129"/>
      <c r="L649" s="323"/>
      <c r="N649" s="172"/>
      <c r="O649" s="172"/>
      <c r="P649" s="172"/>
      <c r="Q649" s="172"/>
      <c r="R649" s="172"/>
      <c r="S649" s="428"/>
      <c r="T649" s="172"/>
      <c r="U649" s="172"/>
      <c r="V649" s="172"/>
      <c r="W649" s="429"/>
    </row>
    <row r="650">
      <c r="C650" s="172"/>
      <c r="D650" s="172"/>
      <c r="E650" s="172"/>
      <c r="F650" s="172"/>
      <c r="G650" s="173"/>
      <c r="H650" s="137"/>
      <c r="I650" s="137"/>
      <c r="J650" s="137"/>
      <c r="K650" s="129"/>
      <c r="L650" s="323"/>
      <c r="N650" s="172"/>
      <c r="O650" s="172"/>
      <c r="P650" s="172"/>
      <c r="Q650" s="172"/>
      <c r="R650" s="172"/>
      <c r="S650" s="428"/>
      <c r="T650" s="172"/>
      <c r="U650" s="172"/>
      <c r="V650" s="172"/>
      <c r="W650" s="429"/>
    </row>
    <row r="651">
      <c r="C651" s="172"/>
      <c r="D651" s="172"/>
      <c r="E651" s="172"/>
      <c r="F651" s="172"/>
      <c r="G651" s="173"/>
      <c r="H651" s="137"/>
      <c r="I651" s="137"/>
      <c r="J651" s="137"/>
      <c r="K651" s="129"/>
      <c r="L651" s="323"/>
      <c r="N651" s="172"/>
      <c r="O651" s="172"/>
      <c r="P651" s="172"/>
      <c r="Q651" s="172"/>
      <c r="R651" s="172"/>
      <c r="S651" s="428"/>
      <c r="T651" s="172"/>
      <c r="U651" s="172"/>
      <c r="V651" s="172"/>
      <c r="W651" s="429"/>
    </row>
    <row r="652">
      <c r="C652" s="172"/>
      <c r="D652" s="172"/>
      <c r="E652" s="172"/>
      <c r="F652" s="172"/>
      <c r="G652" s="173"/>
      <c r="H652" s="137"/>
      <c r="I652" s="137"/>
      <c r="J652" s="137"/>
      <c r="K652" s="129"/>
      <c r="L652" s="323"/>
      <c r="N652" s="172"/>
      <c r="O652" s="172"/>
      <c r="P652" s="172"/>
      <c r="Q652" s="172"/>
      <c r="R652" s="172"/>
      <c r="S652" s="428"/>
      <c r="T652" s="172"/>
      <c r="U652" s="172"/>
      <c r="V652" s="172"/>
      <c r="W652" s="429"/>
    </row>
    <row r="653">
      <c r="C653" s="172"/>
      <c r="D653" s="172"/>
      <c r="E653" s="172"/>
      <c r="F653" s="172"/>
      <c r="G653" s="173"/>
      <c r="H653" s="137"/>
      <c r="I653" s="137"/>
      <c r="J653" s="137"/>
      <c r="K653" s="129"/>
      <c r="L653" s="323"/>
      <c r="N653" s="172"/>
      <c r="O653" s="172"/>
      <c r="P653" s="172"/>
      <c r="Q653" s="172"/>
      <c r="R653" s="172"/>
      <c r="S653" s="428"/>
      <c r="T653" s="172"/>
      <c r="U653" s="172"/>
      <c r="V653" s="172"/>
      <c r="W653" s="429"/>
    </row>
    <row r="654">
      <c r="C654" s="172"/>
      <c r="D654" s="172"/>
      <c r="E654" s="172"/>
      <c r="F654" s="172"/>
      <c r="G654" s="173"/>
      <c r="H654" s="137"/>
      <c r="I654" s="137"/>
      <c r="J654" s="137"/>
      <c r="K654" s="129"/>
      <c r="L654" s="323"/>
      <c r="N654" s="172"/>
      <c r="O654" s="172"/>
      <c r="P654" s="172"/>
      <c r="Q654" s="172"/>
      <c r="R654" s="172"/>
      <c r="S654" s="428"/>
      <c r="T654" s="172"/>
      <c r="U654" s="172"/>
      <c r="V654" s="172"/>
      <c r="W654" s="429"/>
    </row>
    <row r="655">
      <c r="C655" s="172"/>
      <c r="D655" s="172"/>
      <c r="E655" s="172"/>
      <c r="F655" s="172"/>
      <c r="G655" s="173"/>
      <c r="H655" s="137"/>
      <c r="I655" s="137"/>
      <c r="J655" s="137"/>
      <c r="K655" s="129"/>
      <c r="L655" s="323"/>
      <c r="N655" s="172"/>
      <c r="O655" s="172"/>
      <c r="P655" s="172"/>
      <c r="Q655" s="172"/>
      <c r="R655" s="172"/>
      <c r="S655" s="428"/>
      <c r="T655" s="172"/>
      <c r="U655" s="172"/>
      <c r="V655" s="172"/>
      <c r="W655" s="429"/>
    </row>
    <row r="656">
      <c r="C656" s="172"/>
      <c r="D656" s="172"/>
      <c r="E656" s="172"/>
      <c r="F656" s="172"/>
      <c r="G656" s="173"/>
      <c r="H656" s="137"/>
      <c r="I656" s="137"/>
      <c r="J656" s="137"/>
      <c r="K656" s="129"/>
      <c r="L656" s="323"/>
      <c r="N656" s="172"/>
      <c r="O656" s="172"/>
      <c r="P656" s="172"/>
      <c r="Q656" s="172"/>
      <c r="R656" s="172"/>
      <c r="S656" s="428"/>
      <c r="T656" s="172"/>
      <c r="U656" s="172"/>
      <c r="V656" s="172"/>
      <c r="W656" s="429"/>
    </row>
    <row r="657">
      <c r="C657" s="172"/>
      <c r="D657" s="172"/>
      <c r="E657" s="172"/>
      <c r="F657" s="172"/>
      <c r="G657" s="173"/>
      <c r="H657" s="137"/>
      <c r="I657" s="137"/>
      <c r="J657" s="137"/>
      <c r="K657" s="129"/>
      <c r="L657" s="323"/>
      <c r="N657" s="172"/>
      <c r="O657" s="172"/>
      <c r="P657" s="172"/>
      <c r="Q657" s="172"/>
      <c r="R657" s="172"/>
      <c r="S657" s="428"/>
      <c r="T657" s="172"/>
      <c r="U657" s="172"/>
      <c r="V657" s="172"/>
      <c r="W657" s="429"/>
    </row>
    <row r="658">
      <c r="C658" s="172"/>
      <c r="D658" s="172"/>
      <c r="E658" s="172"/>
      <c r="F658" s="172"/>
      <c r="G658" s="173"/>
      <c r="H658" s="137"/>
      <c r="I658" s="137"/>
      <c r="J658" s="137"/>
      <c r="K658" s="129"/>
      <c r="L658" s="323"/>
      <c r="N658" s="172"/>
      <c r="O658" s="172"/>
      <c r="P658" s="172"/>
      <c r="Q658" s="172"/>
      <c r="R658" s="172"/>
      <c r="S658" s="428"/>
      <c r="T658" s="172"/>
      <c r="U658" s="172"/>
      <c r="V658" s="172"/>
      <c r="W658" s="429"/>
    </row>
    <row r="659">
      <c r="C659" s="172"/>
      <c r="D659" s="172"/>
      <c r="E659" s="172"/>
      <c r="F659" s="172"/>
      <c r="G659" s="173"/>
      <c r="H659" s="137"/>
      <c r="I659" s="137"/>
      <c r="J659" s="137"/>
      <c r="K659" s="129"/>
      <c r="L659" s="323"/>
      <c r="N659" s="172"/>
      <c r="O659" s="172"/>
      <c r="P659" s="172"/>
      <c r="Q659" s="172"/>
      <c r="R659" s="172"/>
      <c r="S659" s="428"/>
      <c r="T659" s="172"/>
      <c r="U659" s="172"/>
      <c r="V659" s="172"/>
      <c r="W659" s="429"/>
    </row>
    <row r="660">
      <c r="C660" s="172"/>
      <c r="D660" s="172"/>
      <c r="E660" s="172"/>
      <c r="F660" s="172"/>
      <c r="G660" s="173"/>
      <c r="H660" s="137"/>
      <c r="I660" s="137"/>
      <c r="J660" s="137"/>
      <c r="K660" s="129"/>
      <c r="L660" s="323"/>
      <c r="N660" s="172"/>
      <c r="O660" s="172"/>
      <c r="P660" s="172"/>
      <c r="Q660" s="172"/>
      <c r="R660" s="172"/>
      <c r="S660" s="428"/>
      <c r="T660" s="172"/>
      <c r="U660" s="172"/>
      <c r="V660" s="172"/>
      <c r="W660" s="429"/>
    </row>
    <row r="661">
      <c r="C661" s="172"/>
      <c r="D661" s="172"/>
      <c r="E661" s="172"/>
      <c r="F661" s="172"/>
      <c r="G661" s="173"/>
      <c r="H661" s="137"/>
      <c r="I661" s="137"/>
      <c r="J661" s="137"/>
      <c r="K661" s="129"/>
      <c r="L661" s="323"/>
      <c r="N661" s="172"/>
      <c r="O661" s="172"/>
      <c r="P661" s="172"/>
      <c r="Q661" s="172"/>
      <c r="R661" s="172"/>
      <c r="S661" s="428"/>
      <c r="T661" s="172"/>
      <c r="U661" s="172"/>
      <c r="V661" s="172"/>
      <c r="W661" s="429"/>
    </row>
    <row r="662">
      <c r="C662" s="172"/>
      <c r="D662" s="172"/>
      <c r="E662" s="172"/>
      <c r="F662" s="172"/>
      <c r="G662" s="173"/>
      <c r="H662" s="137"/>
      <c r="I662" s="137"/>
      <c r="J662" s="137"/>
      <c r="K662" s="129"/>
      <c r="L662" s="323"/>
      <c r="N662" s="172"/>
      <c r="O662" s="172"/>
      <c r="P662" s="172"/>
      <c r="Q662" s="172"/>
      <c r="R662" s="172"/>
      <c r="S662" s="428"/>
      <c r="T662" s="172"/>
      <c r="U662" s="172"/>
      <c r="V662" s="172"/>
      <c r="W662" s="429"/>
    </row>
    <row r="663">
      <c r="C663" s="172"/>
      <c r="D663" s="172"/>
      <c r="E663" s="172"/>
      <c r="F663" s="172"/>
      <c r="G663" s="173"/>
      <c r="H663" s="137"/>
      <c r="I663" s="137"/>
      <c r="J663" s="137"/>
      <c r="K663" s="129"/>
      <c r="L663" s="323"/>
      <c r="N663" s="172"/>
      <c r="O663" s="172"/>
      <c r="P663" s="172"/>
      <c r="Q663" s="172"/>
      <c r="R663" s="172"/>
      <c r="S663" s="428"/>
      <c r="T663" s="172"/>
      <c r="U663" s="172"/>
      <c r="V663" s="172"/>
      <c r="W663" s="429"/>
    </row>
    <row r="664">
      <c r="C664" s="172"/>
      <c r="D664" s="172"/>
      <c r="E664" s="172"/>
      <c r="F664" s="172"/>
      <c r="G664" s="173"/>
      <c r="H664" s="137"/>
      <c r="I664" s="137"/>
      <c r="J664" s="137"/>
      <c r="K664" s="129"/>
      <c r="L664" s="323"/>
      <c r="N664" s="172"/>
      <c r="O664" s="172"/>
      <c r="P664" s="172"/>
      <c r="Q664" s="172"/>
      <c r="R664" s="172"/>
      <c r="S664" s="428"/>
      <c r="T664" s="172"/>
      <c r="U664" s="172"/>
      <c r="V664" s="172"/>
      <c r="W664" s="429"/>
    </row>
    <row r="665">
      <c r="C665" s="172"/>
      <c r="D665" s="172"/>
      <c r="E665" s="172"/>
      <c r="F665" s="172"/>
      <c r="G665" s="173"/>
      <c r="H665" s="137"/>
      <c r="I665" s="137"/>
      <c r="J665" s="137"/>
      <c r="K665" s="129"/>
      <c r="L665" s="323"/>
      <c r="N665" s="172"/>
      <c r="O665" s="172"/>
      <c r="P665" s="172"/>
      <c r="Q665" s="172"/>
      <c r="R665" s="172"/>
      <c r="S665" s="428"/>
      <c r="T665" s="172"/>
      <c r="U665" s="172"/>
      <c r="V665" s="172"/>
      <c r="W665" s="429"/>
    </row>
    <row r="666">
      <c r="C666" s="172"/>
      <c r="D666" s="172"/>
      <c r="E666" s="172"/>
      <c r="F666" s="172"/>
      <c r="G666" s="173"/>
      <c r="H666" s="137"/>
      <c r="I666" s="137"/>
      <c r="J666" s="137"/>
      <c r="K666" s="129"/>
      <c r="L666" s="323"/>
      <c r="N666" s="172"/>
      <c r="O666" s="172"/>
      <c r="P666" s="172"/>
      <c r="Q666" s="172"/>
      <c r="R666" s="172"/>
      <c r="S666" s="428"/>
      <c r="T666" s="172"/>
      <c r="U666" s="172"/>
      <c r="V666" s="172"/>
      <c r="W666" s="429"/>
    </row>
    <row r="667">
      <c r="C667" s="172"/>
      <c r="D667" s="172"/>
      <c r="E667" s="172"/>
      <c r="F667" s="172"/>
      <c r="G667" s="173"/>
      <c r="H667" s="137"/>
      <c r="I667" s="137"/>
      <c r="J667" s="137"/>
      <c r="K667" s="129"/>
      <c r="L667" s="323"/>
      <c r="N667" s="172"/>
      <c r="O667" s="172"/>
      <c r="P667" s="172"/>
      <c r="Q667" s="172"/>
      <c r="R667" s="172"/>
      <c r="S667" s="428"/>
      <c r="T667" s="172"/>
      <c r="U667" s="172"/>
      <c r="V667" s="172"/>
      <c r="W667" s="429"/>
    </row>
    <row r="668">
      <c r="C668" s="172"/>
      <c r="D668" s="172"/>
      <c r="E668" s="172"/>
      <c r="F668" s="172"/>
      <c r="G668" s="173"/>
      <c r="H668" s="137"/>
      <c r="I668" s="137"/>
      <c r="J668" s="137"/>
      <c r="K668" s="129"/>
      <c r="L668" s="323"/>
      <c r="N668" s="172"/>
      <c r="O668" s="172"/>
      <c r="P668" s="172"/>
      <c r="Q668" s="172"/>
      <c r="R668" s="172"/>
      <c r="S668" s="428"/>
      <c r="T668" s="172"/>
      <c r="U668" s="172"/>
      <c r="V668" s="172"/>
      <c r="W668" s="429"/>
    </row>
    <row r="669">
      <c r="C669" s="172"/>
      <c r="D669" s="172"/>
      <c r="E669" s="172"/>
      <c r="F669" s="172"/>
      <c r="G669" s="173"/>
      <c r="H669" s="137"/>
      <c r="I669" s="137"/>
      <c r="J669" s="137"/>
      <c r="K669" s="129"/>
      <c r="L669" s="323"/>
      <c r="N669" s="172"/>
      <c r="O669" s="172"/>
      <c r="P669" s="172"/>
      <c r="Q669" s="172"/>
      <c r="R669" s="172"/>
      <c r="S669" s="428"/>
      <c r="T669" s="172"/>
      <c r="U669" s="172"/>
      <c r="V669" s="172"/>
      <c r="W669" s="429"/>
    </row>
    <row r="670">
      <c r="C670" s="172"/>
      <c r="D670" s="172"/>
      <c r="E670" s="172"/>
      <c r="F670" s="172"/>
      <c r="G670" s="173"/>
      <c r="H670" s="137"/>
      <c r="I670" s="137"/>
      <c r="J670" s="137"/>
      <c r="K670" s="129"/>
      <c r="L670" s="323"/>
      <c r="N670" s="172"/>
      <c r="O670" s="172"/>
      <c r="P670" s="172"/>
      <c r="Q670" s="172"/>
      <c r="R670" s="172"/>
      <c r="S670" s="428"/>
      <c r="T670" s="172"/>
      <c r="U670" s="172"/>
      <c r="V670" s="172"/>
      <c r="W670" s="429"/>
    </row>
    <row r="671">
      <c r="C671" s="172"/>
      <c r="D671" s="172"/>
      <c r="E671" s="172"/>
      <c r="F671" s="172"/>
      <c r="G671" s="173"/>
      <c r="H671" s="137"/>
      <c r="I671" s="137"/>
      <c r="J671" s="137"/>
      <c r="K671" s="129"/>
      <c r="L671" s="323"/>
      <c r="N671" s="172"/>
      <c r="O671" s="172"/>
      <c r="P671" s="172"/>
      <c r="Q671" s="172"/>
      <c r="R671" s="172"/>
      <c r="S671" s="428"/>
      <c r="T671" s="172"/>
      <c r="U671" s="172"/>
      <c r="V671" s="172"/>
      <c r="W671" s="429"/>
    </row>
    <row r="672">
      <c r="C672" s="172"/>
      <c r="D672" s="172"/>
      <c r="E672" s="172"/>
      <c r="F672" s="172"/>
      <c r="G672" s="173"/>
      <c r="H672" s="137"/>
      <c r="I672" s="137"/>
      <c r="J672" s="137"/>
      <c r="K672" s="129"/>
      <c r="L672" s="323"/>
      <c r="N672" s="172"/>
      <c r="O672" s="172"/>
      <c r="P672" s="172"/>
      <c r="Q672" s="172"/>
      <c r="R672" s="172"/>
      <c r="S672" s="428"/>
      <c r="T672" s="172"/>
      <c r="U672" s="172"/>
      <c r="V672" s="172"/>
      <c r="W672" s="429"/>
    </row>
    <row r="673">
      <c r="C673" s="172"/>
      <c r="D673" s="172"/>
      <c r="E673" s="172"/>
      <c r="F673" s="172"/>
      <c r="G673" s="173"/>
      <c r="H673" s="137"/>
      <c r="I673" s="137"/>
      <c r="J673" s="137"/>
      <c r="K673" s="129"/>
      <c r="L673" s="323"/>
      <c r="N673" s="172"/>
      <c r="O673" s="172"/>
      <c r="P673" s="172"/>
      <c r="Q673" s="172"/>
      <c r="R673" s="172"/>
      <c r="S673" s="428"/>
      <c r="T673" s="172"/>
      <c r="U673" s="172"/>
      <c r="V673" s="172"/>
      <c r="W673" s="429"/>
    </row>
    <row r="674">
      <c r="C674" s="172"/>
      <c r="D674" s="172"/>
      <c r="E674" s="172"/>
      <c r="F674" s="172"/>
      <c r="G674" s="173"/>
      <c r="H674" s="137"/>
      <c r="I674" s="137"/>
      <c r="J674" s="137"/>
      <c r="K674" s="129"/>
      <c r="L674" s="323"/>
      <c r="N674" s="172"/>
      <c r="O674" s="172"/>
      <c r="P674" s="172"/>
      <c r="Q674" s="172"/>
      <c r="R674" s="172"/>
      <c r="S674" s="428"/>
      <c r="T674" s="172"/>
      <c r="U674" s="172"/>
      <c r="V674" s="172"/>
      <c r="W674" s="429"/>
    </row>
    <row r="675">
      <c r="C675" s="172"/>
      <c r="D675" s="172"/>
      <c r="E675" s="172"/>
      <c r="F675" s="172"/>
      <c r="G675" s="173"/>
      <c r="H675" s="137"/>
      <c r="I675" s="137"/>
      <c r="J675" s="137"/>
      <c r="K675" s="129"/>
      <c r="L675" s="323"/>
      <c r="N675" s="172"/>
      <c r="O675" s="172"/>
      <c r="P675" s="172"/>
      <c r="Q675" s="172"/>
      <c r="R675" s="172"/>
      <c r="S675" s="428"/>
      <c r="T675" s="172"/>
      <c r="U675" s="172"/>
      <c r="V675" s="172"/>
      <c r="W675" s="429"/>
    </row>
    <row r="676">
      <c r="C676" s="172"/>
      <c r="D676" s="172"/>
      <c r="E676" s="172"/>
      <c r="F676" s="172"/>
      <c r="G676" s="173"/>
      <c r="H676" s="137"/>
      <c r="I676" s="137"/>
      <c r="J676" s="137"/>
      <c r="K676" s="129"/>
      <c r="L676" s="323"/>
      <c r="N676" s="172"/>
      <c r="O676" s="172"/>
      <c r="P676" s="172"/>
      <c r="Q676" s="172"/>
      <c r="R676" s="172"/>
      <c r="S676" s="428"/>
      <c r="T676" s="172"/>
      <c r="U676" s="172"/>
      <c r="V676" s="172"/>
      <c r="W676" s="429"/>
    </row>
    <row r="677">
      <c r="C677" s="172"/>
      <c r="D677" s="172"/>
      <c r="E677" s="172"/>
      <c r="F677" s="172"/>
      <c r="G677" s="173"/>
      <c r="H677" s="137"/>
      <c r="I677" s="137"/>
      <c r="J677" s="137"/>
      <c r="K677" s="129"/>
      <c r="L677" s="323"/>
      <c r="N677" s="172"/>
      <c r="O677" s="172"/>
      <c r="P677" s="172"/>
      <c r="Q677" s="172"/>
      <c r="R677" s="172"/>
      <c r="S677" s="428"/>
      <c r="T677" s="172"/>
      <c r="U677" s="172"/>
      <c r="V677" s="172"/>
      <c r="W677" s="429"/>
    </row>
    <row r="678">
      <c r="C678" s="172"/>
      <c r="D678" s="172"/>
      <c r="E678" s="172"/>
      <c r="F678" s="172"/>
      <c r="G678" s="173"/>
      <c r="H678" s="137"/>
      <c r="I678" s="137"/>
      <c r="J678" s="137"/>
      <c r="K678" s="129"/>
      <c r="L678" s="323"/>
      <c r="N678" s="172"/>
      <c r="O678" s="172"/>
      <c r="P678" s="172"/>
      <c r="Q678" s="172"/>
      <c r="R678" s="172"/>
      <c r="S678" s="428"/>
      <c r="T678" s="172"/>
      <c r="U678" s="172"/>
      <c r="V678" s="172"/>
      <c r="W678" s="429"/>
    </row>
    <row r="679">
      <c r="C679" s="172"/>
      <c r="D679" s="172"/>
      <c r="E679" s="172"/>
      <c r="F679" s="172"/>
      <c r="G679" s="173"/>
      <c r="H679" s="137"/>
      <c r="I679" s="137"/>
      <c r="J679" s="137"/>
      <c r="K679" s="129"/>
      <c r="L679" s="323"/>
      <c r="N679" s="172"/>
      <c r="O679" s="172"/>
      <c r="P679" s="172"/>
      <c r="Q679" s="172"/>
      <c r="R679" s="172"/>
      <c r="S679" s="428"/>
      <c r="T679" s="172"/>
      <c r="U679" s="172"/>
      <c r="V679" s="172"/>
      <c r="W679" s="429"/>
    </row>
    <row r="680">
      <c r="C680" s="172"/>
      <c r="D680" s="172"/>
      <c r="E680" s="172"/>
      <c r="F680" s="172"/>
      <c r="G680" s="173"/>
      <c r="H680" s="137"/>
      <c r="I680" s="137"/>
      <c r="J680" s="137"/>
      <c r="K680" s="129"/>
      <c r="L680" s="323"/>
      <c r="N680" s="172"/>
      <c r="O680" s="172"/>
      <c r="P680" s="172"/>
      <c r="Q680" s="172"/>
      <c r="R680" s="172"/>
      <c r="S680" s="428"/>
      <c r="T680" s="172"/>
      <c r="U680" s="172"/>
      <c r="V680" s="172"/>
      <c r="W680" s="429"/>
    </row>
    <row r="681">
      <c r="C681" s="172"/>
      <c r="D681" s="172"/>
      <c r="E681" s="172"/>
      <c r="F681" s="172"/>
      <c r="G681" s="173"/>
      <c r="H681" s="137"/>
      <c r="I681" s="137"/>
      <c r="J681" s="137"/>
      <c r="K681" s="129"/>
      <c r="L681" s="323"/>
      <c r="N681" s="172"/>
      <c r="O681" s="172"/>
      <c r="P681" s="172"/>
      <c r="Q681" s="172"/>
      <c r="R681" s="172"/>
      <c r="S681" s="428"/>
      <c r="T681" s="172"/>
      <c r="U681" s="172"/>
      <c r="V681" s="172"/>
      <c r="W681" s="429"/>
    </row>
    <row r="682">
      <c r="C682" s="172"/>
      <c r="D682" s="172"/>
      <c r="E682" s="172"/>
      <c r="F682" s="172"/>
      <c r="G682" s="173"/>
      <c r="H682" s="137"/>
      <c r="I682" s="137"/>
      <c r="J682" s="137"/>
      <c r="K682" s="129"/>
      <c r="L682" s="323"/>
      <c r="N682" s="172"/>
      <c r="O682" s="172"/>
      <c r="P682" s="172"/>
      <c r="Q682" s="172"/>
      <c r="R682" s="172"/>
      <c r="S682" s="428"/>
      <c r="T682" s="172"/>
      <c r="U682" s="172"/>
      <c r="V682" s="172"/>
      <c r="W682" s="429"/>
    </row>
    <row r="683">
      <c r="C683" s="172"/>
      <c r="D683" s="172"/>
      <c r="E683" s="172"/>
      <c r="F683" s="172"/>
      <c r="G683" s="173"/>
      <c r="H683" s="137"/>
      <c r="I683" s="137"/>
      <c r="J683" s="137"/>
      <c r="K683" s="129"/>
      <c r="L683" s="323"/>
      <c r="N683" s="172"/>
      <c r="O683" s="172"/>
      <c r="P683" s="172"/>
      <c r="Q683" s="172"/>
      <c r="R683" s="172"/>
      <c r="S683" s="428"/>
      <c r="T683" s="172"/>
      <c r="U683" s="172"/>
      <c r="V683" s="172"/>
      <c r="W683" s="429"/>
    </row>
    <row r="684">
      <c r="C684" s="172"/>
      <c r="D684" s="172"/>
      <c r="E684" s="172"/>
      <c r="F684" s="172"/>
      <c r="G684" s="173"/>
      <c r="H684" s="137"/>
      <c r="I684" s="137"/>
      <c r="J684" s="137"/>
      <c r="K684" s="129"/>
      <c r="L684" s="323"/>
      <c r="N684" s="172"/>
      <c r="O684" s="172"/>
      <c r="P684" s="172"/>
      <c r="Q684" s="172"/>
      <c r="R684" s="172"/>
      <c r="S684" s="428"/>
      <c r="T684" s="172"/>
      <c r="U684" s="172"/>
      <c r="V684" s="172"/>
      <c r="W684" s="429"/>
    </row>
    <row r="685">
      <c r="C685" s="172"/>
      <c r="D685" s="172"/>
      <c r="E685" s="172"/>
      <c r="F685" s="172"/>
      <c r="G685" s="173"/>
      <c r="H685" s="137"/>
      <c r="I685" s="137"/>
      <c r="J685" s="137"/>
      <c r="K685" s="129"/>
      <c r="L685" s="323"/>
      <c r="N685" s="172"/>
      <c r="O685" s="172"/>
      <c r="P685" s="172"/>
      <c r="Q685" s="172"/>
      <c r="R685" s="172"/>
      <c r="S685" s="428"/>
      <c r="T685" s="172"/>
      <c r="U685" s="172"/>
      <c r="V685" s="172"/>
      <c r="W685" s="429"/>
    </row>
    <row r="686">
      <c r="C686" s="172"/>
      <c r="D686" s="172"/>
      <c r="E686" s="172"/>
      <c r="F686" s="172"/>
      <c r="G686" s="173"/>
      <c r="H686" s="137"/>
      <c r="I686" s="137"/>
      <c r="J686" s="137"/>
      <c r="K686" s="129"/>
      <c r="L686" s="323"/>
      <c r="N686" s="172"/>
      <c r="O686" s="172"/>
      <c r="P686" s="172"/>
      <c r="Q686" s="172"/>
      <c r="R686" s="172"/>
      <c r="S686" s="428"/>
      <c r="T686" s="172"/>
      <c r="U686" s="172"/>
      <c r="V686" s="172"/>
      <c r="W686" s="429"/>
    </row>
    <row r="687">
      <c r="C687" s="172"/>
      <c r="D687" s="172"/>
      <c r="E687" s="172"/>
      <c r="F687" s="172"/>
      <c r="G687" s="173"/>
      <c r="H687" s="137"/>
      <c r="I687" s="137"/>
      <c r="J687" s="137"/>
      <c r="K687" s="129"/>
      <c r="L687" s="323"/>
      <c r="N687" s="172"/>
      <c r="O687" s="172"/>
      <c r="P687" s="172"/>
      <c r="Q687" s="172"/>
      <c r="R687" s="172"/>
      <c r="S687" s="428"/>
      <c r="T687" s="172"/>
      <c r="U687" s="172"/>
      <c r="V687" s="172"/>
      <c r="W687" s="429"/>
    </row>
    <row r="688">
      <c r="C688" s="172"/>
      <c r="D688" s="172"/>
      <c r="E688" s="172"/>
      <c r="F688" s="172"/>
      <c r="G688" s="173"/>
      <c r="H688" s="137"/>
      <c r="I688" s="137"/>
      <c r="J688" s="137"/>
      <c r="K688" s="129"/>
      <c r="L688" s="323"/>
      <c r="N688" s="172"/>
      <c r="O688" s="172"/>
      <c r="P688" s="172"/>
      <c r="Q688" s="172"/>
      <c r="R688" s="172"/>
      <c r="S688" s="428"/>
      <c r="T688" s="172"/>
      <c r="U688" s="172"/>
      <c r="V688" s="172"/>
      <c r="W688" s="429"/>
    </row>
    <row r="689">
      <c r="C689" s="172"/>
      <c r="D689" s="172"/>
      <c r="E689" s="172"/>
      <c r="F689" s="172"/>
      <c r="G689" s="173"/>
      <c r="H689" s="137"/>
      <c r="I689" s="137"/>
      <c r="J689" s="137"/>
      <c r="K689" s="129"/>
      <c r="L689" s="323"/>
      <c r="N689" s="172"/>
      <c r="O689" s="172"/>
      <c r="P689" s="172"/>
      <c r="Q689" s="172"/>
      <c r="R689" s="172"/>
      <c r="S689" s="428"/>
      <c r="T689" s="172"/>
      <c r="U689" s="172"/>
      <c r="V689" s="172"/>
      <c r="W689" s="429"/>
    </row>
    <row r="690">
      <c r="C690" s="172"/>
      <c r="D690" s="172"/>
      <c r="E690" s="172"/>
      <c r="F690" s="172"/>
      <c r="G690" s="173"/>
      <c r="H690" s="137"/>
      <c r="I690" s="137"/>
      <c r="J690" s="137"/>
      <c r="K690" s="129"/>
      <c r="L690" s="323"/>
      <c r="N690" s="172"/>
      <c r="O690" s="172"/>
      <c r="P690" s="172"/>
      <c r="Q690" s="172"/>
      <c r="R690" s="172"/>
      <c r="S690" s="428"/>
      <c r="T690" s="172"/>
      <c r="U690" s="172"/>
      <c r="V690" s="172"/>
      <c r="W690" s="429"/>
    </row>
    <row r="691">
      <c r="C691" s="172"/>
      <c r="D691" s="172"/>
      <c r="E691" s="172"/>
      <c r="F691" s="172"/>
      <c r="G691" s="173"/>
      <c r="H691" s="137"/>
      <c r="I691" s="137"/>
      <c r="J691" s="137"/>
      <c r="K691" s="129"/>
      <c r="L691" s="323"/>
      <c r="N691" s="172"/>
      <c r="O691" s="172"/>
      <c r="P691" s="172"/>
      <c r="Q691" s="172"/>
      <c r="R691" s="172"/>
      <c r="S691" s="428"/>
      <c r="T691" s="172"/>
      <c r="U691" s="172"/>
      <c r="V691" s="172"/>
      <c r="W691" s="429"/>
    </row>
    <row r="692">
      <c r="C692" s="172"/>
      <c r="D692" s="172"/>
      <c r="E692" s="172"/>
      <c r="F692" s="172"/>
      <c r="G692" s="173"/>
      <c r="H692" s="137"/>
      <c r="I692" s="137"/>
      <c r="J692" s="137"/>
      <c r="K692" s="129"/>
      <c r="L692" s="323"/>
      <c r="N692" s="172"/>
      <c r="O692" s="172"/>
      <c r="P692" s="172"/>
      <c r="Q692" s="172"/>
      <c r="R692" s="172"/>
      <c r="S692" s="428"/>
      <c r="T692" s="172"/>
      <c r="U692" s="172"/>
      <c r="V692" s="172"/>
      <c r="W692" s="429"/>
    </row>
    <row r="693">
      <c r="C693" s="172"/>
      <c r="D693" s="172"/>
      <c r="E693" s="172"/>
      <c r="F693" s="172"/>
      <c r="G693" s="173"/>
      <c r="H693" s="137"/>
      <c r="I693" s="137"/>
      <c r="J693" s="137"/>
      <c r="K693" s="129"/>
      <c r="L693" s="323"/>
      <c r="N693" s="172"/>
      <c r="O693" s="172"/>
      <c r="P693" s="172"/>
      <c r="Q693" s="172"/>
      <c r="R693" s="172"/>
      <c r="S693" s="428"/>
      <c r="T693" s="172"/>
      <c r="U693" s="172"/>
      <c r="V693" s="172"/>
      <c r="W693" s="429"/>
    </row>
    <row r="694">
      <c r="C694" s="172"/>
      <c r="D694" s="172"/>
      <c r="E694" s="172"/>
      <c r="F694" s="172"/>
      <c r="G694" s="173"/>
      <c r="H694" s="137"/>
      <c r="I694" s="137"/>
      <c r="J694" s="137"/>
      <c r="K694" s="129"/>
      <c r="L694" s="323"/>
      <c r="N694" s="172"/>
      <c r="O694" s="172"/>
      <c r="P694" s="172"/>
      <c r="Q694" s="172"/>
      <c r="R694" s="172"/>
      <c r="S694" s="428"/>
      <c r="T694" s="172"/>
      <c r="U694" s="172"/>
      <c r="V694" s="172"/>
      <c r="W694" s="429"/>
    </row>
    <row r="695">
      <c r="C695" s="172"/>
      <c r="D695" s="172"/>
      <c r="E695" s="172"/>
      <c r="F695" s="172"/>
      <c r="G695" s="173"/>
      <c r="H695" s="137"/>
      <c r="I695" s="137"/>
      <c r="J695" s="137"/>
      <c r="K695" s="129"/>
      <c r="L695" s="323"/>
      <c r="N695" s="172"/>
      <c r="O695" s="172"/>
      <c r="P695" s="172"/>
      <c r="Q695" s="172"/>
      <c r="R695" s="172"/>
      <c r="S695" s="428"/>
      <c r="T695" s="172"/>
      <c r="U695" s="172"/>
      <c r="V695" s="172"/>
      <c r="W695" s="429"/>
    </row>
    <row r="696">
      <c r="C696" s="172"/>
      <c r="D696" s="172"/>
      <c r="E696" s="172"/>
      <c r="F696" s="172"/>
      <c r="G696" s="173"/>
      <c r="H696" s="137"/>
      <c r="I696" s="137"/>
      <c r="J696" s="137"/>
      <c r="K696" s="129"/>
      <c r="L696" s="323"/>
      <c r="N696" s="172"/>
      <c r="O696" s="172"/>
      <c r="P696" s="172"/>
      <c r="Q696" s="172"/>
      <c r="R696" s="172"/>
      <c r="S696" s="428"/>
      <c r="T696" s="172"/>
      <c r="U696" s="172"/>
      <c r="V696" s="172"/>
      <c r="W696" s="429"/>
    </row>
    <row r="697">
      <c r="C697" s="172"/>
      <c r="D697" s="172"/>
      <c r="E697" s="172"/>
      <c r="F697" s="172"/>
      <c r="G697" s="173"/>
      <c r="H697" s="137"/>
      <c r="I697" s="137"/>
      <c r="J697" s="137"/>
      <c r="K697" s="129"/>
      <c r="L697" s="323"/>
      <c r="N697" s="172"/>
      <c r="O697" s="172"/>
      <c r="P697" s="172"/>
      <c r="Q697" s="172"/>
      <c r="R697" s="172"/>
      <c r="S697" s="428"/>
      <c r="T697" s="172"/>
      <c r="U697" s="172"/>
      <c r="V697" s="172"/>
      <c r="W697" s="429"/>
    </row>
    <row r="698">
      <c r="C698" s="172"/>
      <c r="D698" s="172"/>
      <c r="E698" s="172"/>
      <c r="F698" s="172"/>
      <c r="G698" s="173"/>
      <c r="H698" s="137"/>
      <c r="I698" s="137"/>
      <c r="J698" s="137"/>
      <c r="K698" s="129"/>
      <c r="L698" s="323"/>
      <c r="N698" s="172"/>
      <c r="O698" s="172"/>
      <c r="P698" s="172"/>
      <c r="Q698" s="172"/>
      <c r="R698" s="172"/>
      <c r="S698" s="428"/>
      <c r="T698" s="172"/>
      <c r="U698" s="172"/>
      <c r="V698" s="172"/>
      <c r="W698" s="429"/>
    </row>
    <row r="699">
      <c r="C699" s="172"/>
      <c r="D699" s="172"/>
      <c r="E699" s="172"/>
      <c r="F699" s="172"/>
      <c r="G699" s="173"/>
      <c r="H699" s="137"/>
      <c r="I699" s="137"/>
      <c r="J699" s="137"/>
      <c r="K699" s="129"/>
      <c r="L699" s="323"/>
      <c r="N699" s="172"/>
      <c r="O699" s="172"/>
      <c r="P699" s="172"/>
      <c r="Q699" s="172"/>
      <c r="R699" s="172"/>
      <c r="S699" s="428"/>
      <c r="T699" s="172"/>
      <c r="U699" s="172"/>
      <c r="V699" s="172"/>
      <c r="W699" s="429"/>
    </row>
    <row r="700">
      <c r="C700" s="172"/>
      <c r="D700" s="172"/>
      <c r="E700" s="172"/>
      <c r="F700" s="172"/>
      <c r="G700" s="173"/>
      <c r="H700" s="137"/>
      <c r="I700" s="137"/>
      <c r="J700" s="137"/>
      <c r="K700" s="129"/>
      <c r="L700" s="323"/>
      <c r="N700" s="172"/>
      <c r="O700" s="172"/>
      <c r="P700" s="172"/>
      <c r="Q700" s="172"/>
      <c r="R700" s="172"/>
      <c r="S700" s="428"/>
      <c r="T700" s="172"/>
      <c r="U700" s="172"/>
      <c r="V700" s="172"/>
      <c r="W700" s="429"/>
    </row>
    <row r="701">
      <c r="C701" s="172"/>
      <c r="D701" s="172"/>
      <c r="E701" s="172"/>
      <c r="F701" s="172"/>
      <c r="G701" s="173"/>
      <c r="H701" s="137"/>
      <c r="I701" s="137"/>
      <c r="J701" s="137"/>
      <c r="K701" s="129"/>
      <c r="L701" s="323"/>
      <c r="N701" s="172"/>
      <c r="O701" s="172"/>
      <c r="P701" s="172"/>
      <c r="Q701" s="172"/>
      <c r="R701" s="172"/>
      <c r="S701" s="428"/>
      <c r="T701" s="172"/>
      <c r="U701" s="172"/>
      <c r="V701" s="172"/>
      <c r="W701" s="429"/>
    </row>
    <row r="702">
      <c r="C702" s="172"/>
      <c r="D702" s="172"/>
      <c r="E702" s="172"/>
      <c r="F702" s="172"/>
      <c r="G702" s="173"/>
      <c r="H702" s="137"/>
      <c r="I702" s="137"/>
      <c r="J702" s="137"/>
      <c r="K702" s="129"/>
      <c r="L702" s="323"/>
      <c r="N702" s="172"/>
      <c r="O702" s="172"/>
      <c r="P702" s="172"/>
      <c r="Q702" s="172"/>
      <c r="R702" s="172"/>
      <c r="S702" s="428"/>
      <c r="T702" s="172"/>
      <c r="U702" s="172"/>
      <c r="V702" s="172"/>
      <c r="W702" s="429"/>
    </row>
    <row r="703">
      <c r="C703" s="172"/>
      <c r="D703" s="172"/>
      <c r="E703" s="172"/>
      <c r="F703" s="172"/>
      <c r="G703" s="173"/>
      <c r="H703" s="137"/>
      <c r="I703" s="137"/>
      <c r="J703" s="137"/>
      <c r="K703" s="129"/>
      <c r="L703" s="323"/>
      <c r="N703" s="172"/>
      <c r="O703" s="172"/>
      <c r="P703" s="172"/>
      <c r="Q703" s="172"/>
      <c r="R703" s="172"/>
      <c r="S703" s="428"/>
      <c r="T703" s="172"/>
      <c r="U703" s="172"/>
      <c r="V703" s="172"/>
      <c r="W703" s="429"/>
    </row>
    <row r="704">
      <c r="C704" s="172"/>
      <c r="D704" s="172"/>
      <c r="E704" s="172"/>
      <c r="F704" s="172"/>
      <c r="G704" s="173"/>
      <c r="H704" s="137"/>
      <c r="I704" s="137"/>
      <c r="J704" s="137"/>
      <c r="K704" s="129"/>
      <c r="L704" s="323"/>
      <c r="N704" s="172"/>
      <c r="O704" s="172"/>
      <c r="P704" s="172"/>
      <c r="Q704" s="172"/>
      <c r="R704" s="172"/>
      <c r="S704" s="428"/>
      <c r="T704" s="172"/>
      <c r="U704" s="172"/>
      <c r="V704" s="172"/>
      <c r="W704" s="429"/>
    </row>
    <row r="705">
      <c r="C705" s="172"/>
      <c r="D705" s="172"/>
      <c r="E705" s="172"/>
      <c r="F705" s="172"/>
      <c r="G705" s="173"/>
      <c r="H705" s="137"/>
      <c r="I705" s="137"/>
      <c r="J705" s="137"/>
      <c r="K705" s="129"/>
      <c r="L705" s="323"/>
      <c r="N705" s="172"/>
      <c r="O705" s="172"/>
      <c r="P705" s="172"/>
      <c r="Q705" s="172"/>
      <c r="R705" s="172"/>
      <c r="S705" s="428"/>
      <c r="T705" s="172"/>
      <c r="U705" s="172"/>
      <c r="V705" s="172"/>
      <c r="W705" s="429"/>
    </row>
    <row r="706">
      <c r="C706" s="172"/>
      <c r="D706" s="172"/>
      <c r="E706" s="172"/>
      <c r="F706" s="172"/>
      <c r="G706" s="173"/>
      <c r="H706" s="137"/>
      <c r="I706" s="137"/>
      <c r="J706" s="137"/>
      <c r="K706" s="129"/>
      <c r="L706" s="323"/>
      <c r="N706" s="172"/>
      <c r="O706" s="172"/>
      <c r="P706" s="172"/>
      <c r="Q706" s="172"/>
      <c r="R706" s="172"/>
      <c r="S706" s="428"/>
      <c r="T706" s="172"/>
      <c r="U706" s="172"/>
      <c r="V706" s="172"/>
      <c r="W706" s="429"/>
    </row>
    <row r="707">
      <c r="C707" s="172"/>
      <c r="D707" s="172"/>
      <c r="E707" s="172"/>
      <c r="F707" s="172"/>
      <c r="G707" s="173"/>
      <c r="H707" s="137"/>
      <c r="I707" s="137"/>
      <c r="J707" s="137"/>
      <c r="K707" s="129"/>
      <c r="L707" s="323"/>
      <c r="N707" s="172"/>
      <c r="O707" s="172"/>
      <c r="P707" s="172"/>
      <c r="Q707" s="172"/>
      <c r="R707" s="172"/>
      <c r="S707" s="428"/>
      <c r="T707" s="172"/>
      <c r="U707" s="172"/>
      <c r="V707" s="172"/>
      <c r="W707" s="429"/>
    </row>
    <row r="708">
      <c r="C708" s="172"/>
      <c r="D708" s="172"/>
      <c r="E708" s="172"/>
      <c r="F708" s="172"/>
      <c r="G708" s="173"/>
      <c r="H708" s="137"/>
      <c r="I708" s="137"/>
      <c r="J708" s="137"/>
      <c r="K708" s="129"/>
      <c r="L708" s="323"/>
      <c r="N708" s="172"/>
      <c r="O708" s="172"/>
      <c r="P708" s="172"/>
      <c r="Q708" s="172"/>
      <c r="R708" s="172"/>
      <c r="S708" s="428"/>
      <c r="T708" s="172"/>
      <c r="U708" s="172"/>
      <c r="V708" s="172"/>
      <c r="W708" s="429"/>
    </row>
    <row r="709">
      <c r="C709" s="172"/>
      <c r="D709" s="172"/>
      <c r="E709" s="172"/>
      <c r="F709" s="172"/>
      <c r="G709" s="173"/>
      <c r="H709" s="137"/>
      <c r="I709" s="137"/>
      <c r="J709" s="137"/>
      <c r="K709" s="129"/>
      <c r="L709" s="323"/>
      <c r="N709" s="172"/>
      <c r="O709" s="172"/>
      <c r="P709" s="172"/>
      <c r="Q709" s="172"/>
      <c r="R709" s="172"/>
      <c r="S709" s="428"/>
      <c r="T709" s="172"/>
      <c r="U709" s="172"/>
      <c r="V709" s="172"/>
      <c r="W709" s="429"/>
    </row>
    <row r="710">
      <c r="C710" s="172"/>
      <c r="D710" s="172"/>
      <c r="E710" s="172"/>
      <c r="F710" s="172"/>
      <c r="G710" s="173"/>
      <c r="H710" s="137"/>
      <c r="I710" s="137"/>
      <c r="J710" s="137"/>
      <c r="K710" s="129"/>
      <c r="L710" s="323"/>
      <c r="N710" s="172"/>
      <c r="O710" s="172"/>
      <c r="P710" s="172"/>
      <c r="Q710" s="172"/>
      <c r="R710" s="172"/>
      <c r="S710" s="428"/>
      <c r="T710" s="172"/>
      <c r="U710" s="172"/>
      <c r="V710" s="172"/>
      <c r="W710" s="429"/>
    </row>
    <row r="711">
      <c r="C711" s="172"/>
      <c r="D711" s="172"/>
      <c r="E711" s="172"/>
      <c r="F711" s="172"/>
      <c r="G711" s="173"/>
      <c r="H711" s="137"/>
      <c r="I711" s="137"/>
      <c r="J711" s="137"/>
      <c r="K711" s="129"/>
      <c r="L711" s="323"/>
      <c r="N711" s="172"/>
      <c r="O711" s="172"/>
      <c r="P711" s="172"/>
      <c r="Q711" s="172"/>
      <c r="R711" s="172"/>
      <c r="S711" s="428"/>
      <c r="T711" s="172"/>
      <c r="U711" s="172"/>
      <c r="V711" s="172"/>
      <c r="W711" s="429"/>
    </row>
    <row r="712">
      <c r="C712" s="172"/>
      <c r="D712" s="172"/>
      <c r="E712" s="172"/>
      <c r="F712" s="172"/>
      <c r="G712" s="173"/>
      <c r="H712" s="137"/>
      <c r="I712" s="137"/>
      <c r="J712" s="137"/>
      <c r="K712" s="129"/>
      <c r="L712" s="323"/>
      <c r="N712" s="172"/>
      <c r="O712" s="172"/>
      <c r="P712" s="172"/>
      <c r="Q712" s="172"/>
      <c r="R712" s="172"/>
      <c r="S712" s="428"/>
      <c r="T712" s="172"/>
      <c r="U712" s="172"/>
      <c r="V712" s="172"/>
      <c r="W712" s="429"/>
    </row>
    <row r="713">
      <c r="C713" s="172"/>
      <c r="D713" s="172"/>
      <c r="E713" s="172"/>
      <c r="F713" s="172"/>
      <c r="G713" s="173"/>
      <c r="H713" s="137"/>
      <c r="I713" s="137"/>
      <c r="J713" s="137"/>
      <c r="K713" s="129"/>
      <c r="L713" s="323"/>
      <c r="N713" s="172"/>
      <c r="O713" s="172"/>
      <c r="P713" s="172"/>
      <c r="Q713" s="172"/>
      <c r="R713" s="172"/>
      <c r="S713" s="428"/>
      <c r="T713" s="172"/>
      <c r="U713" s="172"/>
      <c r="V713" s="172"/>
      <c r="W713" s="429"/>
    </row>
    <row r="714">
      <c r="C714" s="172"/>
      <c r="D714" s="172"/>
      <c r="E714" s="172"/>
      <c r="F714" s="172"/>
      <c r="G714" s="173"/>
      <c r="H714" s="137"/>
      <c r="I714" s="137"/>
      <c r="J714" s="137"/>
      <c r="K714" s="129"/>
      <c r="L714" s="323"/>
      <c r="N714" s="172"/>
      <c r="O714" s="172"/>
      <c r="P714" s="172"/>
      <c r="Q714" s="172"/>
      <c r="R714" s="172"/>
      <c r="S714" s="428"/>
      <c r="T714" s="172"/>
      <c r="U714" s="172"/>
      <c r="V714" s="172"/>
      <c r="W714" s="429"/>
    </row>
    <row r="715">
      <c r="C715" s="172"/>
      <c r="D715" s="172"/>
      <c r="E715" s="172"/>
      <c r="F715" s="172"/>
      <c r="G715" s="173"/>
      <c r="H715" s="137"/>
      <c r="I715" s="137"/>
      <c r="J715" s="137"/>
      <c r="K715" s="129"/>
      <c r="L715" s="323"/>
      <c r="N715" s="172"/>
      <c r="O715" s="172"/>
      <c r="P715" s="172"/>
      <c r="Q715" s="172"/>
      <c r="R715" s="172"/>
      <c r="S715" s="428"/>
      <c r="T715" s="172"/>
      <c r="U715" s="172"/>
      <c r="V715" s="172"/>
      <c r="W715" s="429"/>
    </row>
    <row r="716">
      <c r="C716" s="172"/>
      <c r="D716" s="172"/>
      <c r="E716" s="172"/>
      <c r="F716" s="172"/>
      <c r="G716" s="173"/>
      <c r="H716" s="137"/>
      <c r="I716" s="137"/>
      <c r="J716" s="137"/>
      <c r="K716" s="129"/>
      <c r="L716" s="323"/>
      <c r="N716" s="172"/>
      <c r="O716" s="172"/>
      <c r="P716" s="172"/>
      <c r="Q716" s="172"/>
      <c r="R716" s="172"/>
      <c r="S716" s="428"/>
      <c r="T716" s="172"/>
      <c r="U716" s="172"/>
      <c r="V716" s="172"/>
      <c r="W716" s="429"/>
    </row>
    <row r="717">
      <c r="C717" s="172"/>
      <c r="D717" s="172"/>
      <c r="E717" s="172"/>
      <c r="F717" s="172"/>
      <c r="G717" s="173"/>
      <c r="H717" s="137"/>
      <c r="I717" s="137"/>
      <c r="J717" s="137"/>
      <c r="K717" s="129"/>
      <c r="L717" s="323"/>
      <c r="N717" s="172"/>
      <c r="O717" s="172"/>
      <c r="P717" s="172"/>
      <c r="Q717" s="172"/>
      <c r="R717" s="172"/>
      <c r="S717" s="428"/>
      <c r="T717" s="172"/>
      <c r="U717" s="172"/>
      <c r="V717" s="172"/>
      <c r="W717" s="429"/>
    </row>
    <row r="718">
      <c r="C718" s="172"/>
      <c r="D718" s="172"/>
      <c r="E718" s="172"/>
      <c r="F718" s="172"/>
      <c r="G718" s="173"/>
      <c r="H718" s="137"/>
      <c r="I718" s="137"/>
      <c r="J718" s="137"/>
      <c r="K718" s="129"/>
      <c r="L718" s="323"/>
      <c r="N718" s="172"/>
      <c r="O718" s="172"/>
      <c r="P718" s="172"/>
      <c r="Q718" s="172"/>
      <c r="R718" s="172"/>
      <c r="S718" s="428"/>
      <c r="T718" s="172"/>
      <c r="U718" s="172"/>
      <c r="V718" s="172"/>
      <c r="W718" s="429"/>
    </row>
    <row r="719">
      <c r="C719" s="172"/>
      <c r="D719" s="172"/>
      <c r="E719" s="172"/>
      <c r="F719" s="172"/>
      <c r="G719" s="173"/>
      <c r="H719" s="137"/>
      <c r="I719" s="137"/>
      <c r="J719" s="137"/>
      <c r="K719" s="129"/>
      <c r="L719" s="323"/>
      <c r="N719" s="172"/>
      <c r="O719" s="172"/>
      <c r="P719" s="172"/>
      <c r="Q719" s="172"/>
      <c r="R719" s="172"/>
      <c r="S719" s="428"/>
      <c r="T719" s="172"/>
      <c r="U719" s="172"/>
      <c r="V719" s="172"/>
      <c r="W719" s="429"/>
    </row>
    <row r="720">
      <c r="C720" s="172"/>
      <c r="D720" s="172"/>
      <c r="E720" s="172"/>
      <c r="F720" s="172"/>
      <c r="G720" s="173"/>
      <c r="H720" s="137"/>
      <c r="I720" s="137"/>
      <c r="J720" s="137"/>
      <c r="K720" s="129"/>
      <c r="L720" s="323"/>
      <c r="N720" s="172"/>
      <c r="O720" s="172"/>
      <c r="P720" s="172"/>
      <c r="Q720" s="172"/>
      <c r="R720" s="172"/>
      <c r="S720" s="428"/>
      <c r="T720" s="172"/>
      <c r="U720" s="172"/>
      <c r="V720" s="172"/>
      <c r="W720" s="429"/>
    </row>
    <row r="721">
      <c r="C721" s="172"/>
      <c r="D721" s="172"/>
      <c r="E721" s="172"/>
      <c r="F721" s="172"/>
      <c r="G721" s="173"/>
      <c r="H721" s="137"/>
      <c r="I721" s="137"/>
      <c r="J721" s="137"/>
      <c r="K721" s="129"/>
      <c r="L721" s="323"/>
      <c r="N721" s="172"/>
      <c r="O721" s="172"/>
      <c r="P721" s="172"/>
      <c r="Q721" s="172"/>
      <c r="R721" s="172"/>
      <c r="S721" s="428"/>
      <c r="T721" s="172"/>
      <c r="U721" s="172"/>
      <c r="V721" s="172"/>
      <c r="W721" s="429"/>
    </row>
    <row r="722">
      <c r="C722" s="172"/>
      <c r="D722" s="172"/>
      <c r="E722" s="172"/>
      <c r="F722" s="172"/>
      <c r="G722" s="173"/>
      <c r="H722" s="137"/>
      <c r="I722" s="137"/>
      <c r="J722" s="137"/>
      <c r="K722" s="129"/>
      <c r="L722" s="323"/>
      <c r="N722" s="172"/>
      <c r="O722" s="172"/>
      <c r="P722" s="172"/>
      <c r="Q722" s="172"/>
      <c r="R722" s="172"/>
      <c r="S722" s="428"/>
      <c r="T722" s="172"/>
      <c r="U722" s="172"/>
      <c r="V722" s="172"/>
      <c r="W722" s="429"/>
    </row>
    <row r="723">
      <c r="C723" s="172"/>
      <c r="D723" s="172"/>
      <c r="E723" s="172"/>
      <c r="F723" s="172"/>
      <c r="G723" s="173"/>
      <c r="H723" s="137"/>
      <c r="I723" s="137"/>
      <c r="J723" s="137"/>
      <c r="K723" s="129"/>
      <c r="L723" s="323"/>
      <c r="N723" s="172"/>
      <c r="O723" s="172"/>
      <c r="P723" s="172"/>
      <c r="Q723" s="172"/>
      <c r="R723" s="172"/>
      <c r="S723" s="428"/>
      <c r="T723" s="172"/>
      <c r="U723" s="172"/>
      <c r="V723" s="172"/>
      <c r="W723" s="429"/>
    </row>
    <row r="724">
      <c r="C724" s="172"/>
      <c r="D724" s="172"/>
      <c r="E724" s="172"/>
      <c r="F724" s="172"/>
      <c r="G724" s="173"/>
      <c r="H724" s="137"/>
      <c r="I724" s="137"/>
      <c r="J724" s="137"/>
      <c r="K724" s="129"/>
      <c r="L724" s="323"/>
      <c r="N724" s="172"/>
      <c r="O724" s="172"/>
      <c r="P724" s="172"/>
      <c r="Q724" s="172"/>
      <c r="R724" s="172"/>
      <c r="S724" s="428"/>
      <c r="T724" s="172"/>
      <c r="U724" s="172"/>
      <c r="V724" s="172"/>
      <c r="W724" s="429"/>
    </row>
    <row r="725">
      <c r="C725" s="172"/>
      <c r="D725" s="172"/>
      <c r="E725" s="172"/>
      <c r="F725" s="172"/>
      <c r="G725" s="173"/>
      <c r="H725" s="137"/>
      <c r="I725" s="137"/>
      <c r="J725" s="137"/>
      <c r="K725" s="129"/>
      <c r="L725" s="323"/>
      <c r="N725" s="172"/>
      <c r="O725" s="172"/>
      <c r="P725" s="172"/>
      <c r="Q725" s="172"/>
      <c r="R725" s="172"/>
      <c r="S725" s="428"/>
      <c r="T725" s="172"/>
      <c r="U725" s="172"/>
      <c r="V725" s="172"/>
      <c r="W725" s="429"/>
    </row>
    <row r="726">
      <c r="C726" s="172"/>
      <c r="D726" s="172"/>
      <c r="E726" s="172"/>
      <c r="F726" s="172"/>
      <c r="G726" s="173"/>
      <c r="H726" s="137"/>
      <c r="I726" s="137"/>
      <c r="J726" s="137"/>
      <c r="K726" s="129"/>
      <c r="L726" s="323"/>
      <c r="N726" s="172"/>
      <c r="O726" s="172"/>
      <c r="P726" s="172"/>
      <c r="Q726" s="172"/>
      <c r="R726" s="172"/>
      <c r="S726" s="428"/>
      <c r="T726" s="172"/>
      <c r="U726" s="172"/>
      <c r="V726" s="172"/>
      <c r="W726" s="429"/>
    </row>
    <row r="727">
      <c r="C727" s="172"/>
      <c r="D727" s="172"/>
      <c r="E727" s="172"/>
      <c r="F727" s="172"/>
      <c r="G727" s="173"/>
      <c r="H727" s="137"/>
      <c r="I727" s="137"/>
      <c r="J727" s="137"/>
      <c r="K727" s="129"/>
      <c r="L727" s="323"/>
      <c r="N727" s="172"/>
      <c r="O727" s="172"/>
      <c r="P727" s="172"/>
      <c r="Q727" s="172"/>
      <c r="R727" s="172"/>
      <c r="S727" s="428"/>
      <c r="T727" s="172"/>
      <c r="U727" s="172"/>
      <c r="V727" s="172"/>
      <c r="W727" s="429"/>
    </row>
    <row r="728">
      <c r="C728" s="172"/>
      <c r="D728" s="172"/>
      <c r="E728" s="172"/>
      <c r="F728" s="172"/>
      <c r="G728" s="173"/>
      <c r="H728" s="137"/>
      <c r="I728" s="137"/>
      <c r="J728" s="137"/>
      <c r="K728" s="129"/>
      <c r="L728" s="323"/>
      <c r="N728" s="172"/>
      <c r="O728" s="172"/>
      <c r="P728" s="172"/>
      <c r="Q728" s="172"/>
      <c r="R728" s="172"/>
      <c r="S728" s="428"/>
      <c r="T728" s="172"/>
      <c r="U728" s="172"/>
      <c r="V728" s="172"/>
      <c r="W728" s="429"/>
    </row>
    <row r="729">
      <c r="C729" s="172"/>
      <c r="D729" s="172"/>
      <c r="E729" s="172"/>
      <c r="F729" s="172"/>
      <c r="G729" s="173"/>
      <c r="H729" s="137"/>
      <c r="I729" s="137"/>
      <c r="J729" s="137"/>
      <c r="K729" s="129"/>
      <c r="L729" s="323"/>
      <c r="N729" s="172"/>
      <c r="O729" s="172"/>
      <c r="P729" s="172"/>
      <c r="Q729" s="172"/>
      <c r="R729" s="172"/>
      <c r="S729" s="428"/>
      <c r="T729" s="172"/>
      <c r="U729" s="172"/>
      <c r="V729" s="172"/>
      <c r="W729" s="429"/>
    </row>
    <row r="730">
      <c r="C730" s="172"/>
      <c r="D730" s="172"/>
      <c r="E730" s="172"/>
      <c r="F730" s="172"/>
      <c r="G730" s="173"/>
      <c r="H730" s="137"/>
      <c r="I730" s="137"/>
      <c r="J730" s="137"/>
      <c r="K730" s="129"/>
      <c r="L730" s="323"/>
      <c r="N730" s="172"/>
      <c r="O730" s="172"/>
      <c r="P730" s="172"/>
      <c r="Q730" s="172"/>
      <c r="R730" s="172"/>
      <c r="S730" s="428"/>
      <c r="T730" s="172"/>
      <c r="U730" s="172"/>
      <c r="V730" s="172"/>
      <c r="W730" s="429"/>
    </row>
    <row r="731">
      <c r="C731" s="172"/>
      <c r="D731" s="172"/>
      <c r="E731" s="172"/>
      <c r="F731" s="172"/>
      <c r="G731" s="173"/>
      <c r="H731" s="137"/>
      <c r="I731" s="137"/>
      <c r="J731" s="137"/>
      <c r="K731" s="129"/>
      <c r="L731" s="323"/>
      <c r="N731" s="172"/>
      <c r="O731" s="172"/>
      <c r="P731" s="172"/>
      <c r="Q731" s="172"/>
      <c r="R731" s="172"/>
      <c r="S731" s="428"/>
      <c r="T731" s="172"/>
      <c r="U731" s="172"/>
      <c r="V731" s="172"/>
      <c r="W731" s="429"/>
    </row>
    <row r="732">
      <c r="C732" s="172"/>
      <c r="D732" s="172"/>
      <c r="E732" s="172"/>
      <c r="F732" s="172"/>
      <c r="G732" s="173"/>
      <c r="H732" s="137"/>
      <c r="I732" s="137"/>
      <c r="J732" s="137"/>
      <c r="K732" s="129"/>
      <c r="L732" s="323"/>
      <c r="N732" s="172"/>
      <c r="O732" s="172"/>
      <c r="P732" s="172"/>
      <c r="Q732" s="172"/>
      <c r="R732" s="172"/>
      <c r="S732" s="428"/>
      <c r="T732" s="172"/>
      <c r="U732" s="172"/>
      <c r="V732" s="172"/>
      <c r="W732" s="429"/>
    </row>
    <row r="733">
      <c r="C733" s="172"/>
      <c r="D733" s="172"/>
      <c r="E733" s="172"/>
      <c r="F733" s="172"/>
      <c r="G733" s="173"/>
      <c r="H733" s="137"/>
      <c r="I733" s="137"/>
      <c r="J733" s="137"/>
      <c r="K733" s="129"/>
      <c r="L733" s="323"/>
      <c r="N733" s="172"/>
      <c r="O733" s="172"/>
      <c r="P733" s="172"/>
      <c r="Q733" s="172"/>
      <c r="R733" s="172"/>
      <c r="S733" s="428"/>
      <c r="T733" s="172"/>
      <c r="U733" s="172"/>
      <c r="V733" s="172"/>
      <c r="W733" s="429"/>
    </row>
    <row r="734">
      <c r="C734" s="172"/>
      <c r="D734" s="172"/>
      <c r="E734" s="172"/>
      <c r="F734" s="172"/>
      <c r="G734" s="173"/>
      <c r="H734" s="137"/>
      <c r="I734" s="137"/>
      <c r="J734" s="137"/>
      <c r="K734" s="129"/>
      <c r="L734" s="323"/>
      <c r="N734" s="172"/>
      <c r="O734" s="172"/>
      <c r="P734" s="172"/>
      <c r="Q734" s="172"/>
      <c r="R734" s="172"/>
      <c r="S734" s="428"/>
      <c r="T734" s="172"/>
      <c r="U734" s="172"/>
      <c r="V734" s="172"/>
      <c r="W734" s="429"/>
    </row>
    <row r="735">
      <c r="C735" s="172"/>
      <c r="D735" s="172"/>
      <c r="E735" s="172"/>
      <c r="F735" s="172"/>
      <c r="G735" s="173"/>
      <c r="H735" s="137"/>
      <c r="I735" s="137"/>
      <c r="J735" s="137"/>
      <c r="K735" s="129"/>
      <c r="L735" s="323"/>
      <c r="N735" s="172"/>
      <c r="O735" s="172"/>
      <c r="P735" s="172"/>
      <c r="Q735" s="172"/>
      <c r="R735" s="172"/>
      <c r="S735" s="428"/>
      <c r="T735" s="172"/>
      <c r="U735" s="172"/>
      <c r="V735" s="172"/>
      <c r="W735" s="429"/>
    </row>
    <row r="736">
      <c r="C736" s="172"/>
      <c r="D736" s="172"/>
      <c r="E736" s="172"/>
      <c r="F736" s="172"/>
      <c r="G736" s="173"/>
      <c r="H736" s="137"/>
      <c r="I736" s="137"/>
      <c r="J736" s="137"/>
      <c r="K736" s="129"/>
      <c r="L736" s="323"/>
      <c r="N736" s="172"/>
      <c r="O736" s="172"/>
      <c r="P736" s="172"/>
      <c r="Q736" s="172"/>
      <c r="R736" s="172"/>
      <c r="S736" s="428"/>
      <c r="T736" s="172"/>
      <c r="U736" s="172"/>
      <c r="V736" s="172"/>
      <c r="W736" s="429"/>
    </row>
    <row r="737">
      <c r="C737" s="172"/>
      <c r="D737" s="172"/>
      <c r="E737" s="172"/>
      <c r="F737" s="172"/>
      <c r="G737" s="173"/>
      <c r="H737" s="137"/>
      <c r="I737" s="137"/>
      <c r="J737" s="137"/>
      <c r="K737" s="129"/>
      <c r="L737" s="323"/>
      <c r="N737" s="172"/>
      <c r="O737" s="172"/>
      <c r="P737" s="172"/>
      <c r="Q737" s="172"/>
      <c r="R737" s="172"/>
      <c r="S737" s="428"/>
      <c r="T737" s="172"/>
      <c r="U737" s="172"/>
      <c r="V737" s="172"/>
      <c r="W737" s="429"/>
    </row>
    <row r="738">
      <c r="C738" s="172"/>
      <c r="D738" s="172"/>
      <c r="E738" s="172"/>
      <c r="F738" s="172"/>
      <c r="G738" s="173"/>
      <c r="H738" s="137"/>
      <c r="I738" s="137"/>
      <c r="J738" s="137"/>
      <c r="K738" s="129"/>
      <c r="L738" s="323"/>
      <c r="N738" s="172"/>
      <c r="O738" s="172"/>
      <c r="P738" s="172"/>
      <c r="Q738" s="172"/>
      <c r="R738" s="172"/>
      <c r="S738" s="428"/>
      <c r="T738" s="172"/>
      <c r="U738" s="172"/>
      <c r="V738" s="172"/>
      <c r="W738" s="429"/>
    </row>
    <row r="739">
      <c r="C739" s="172"/>
      <c r="D739" s="172"/>
      <c r="E739" s="172"/>
      <c r="F739" s="172"/>
      <c r="G739" s="173"/>
      <c r="H739" s="137"/>
      <c r="I739" s="137"/>
      <c r="J739" s="137"/>
      <c r="K739" s="129"/>
      <c r="L739" s="323"/>
      <c r="N739" s="172"/>
      <c r="O739" s="172"/>
      <c r="P739" s="172"/>
      <c r="Q739" s="172"/>
      <c r="R739" s="172"/>
      <c r="S739" s="428"/>
      <c r="T739" s="172"/>
      <c r="U739" s="172"/>
      <c r="V739" s="172"/>
      <c r="W739" s="429"/>
    </row>
    <row r="740">
      <c r="C740" s="172"/>
      <c r="D740" s="172"/>
      <c r="E740" s="172"/>
      <c r="F740" s="172"/>
      <c r="G740" s="173"/>
      <c r="H740" s="137"/>
      <c r="I740" s="137"/>
      <c r="J740" s="137"/>
      <c r="K740" s="129"/>
      <c r="L740" s="323"/>
      <c r="N740" s="172"/>
      <c r="O740" s="172"/>
      <c r="P740" s="172"/>
      <c r="Q740" s="172"/>
      <c r="R740" s="172"/>
      <c r="S740" s="428"/>
      <c r="T740" s="172"/>
      <c r="U740" s="172"/>
      <c r="V740" s="172"/>
      <c r="W740" s="429"/>
    </row>
    <row r="741">
      <c r="C741" s="172"/>
      <c r="D741" s="172"/>
      <c r="E741" s="172"/>
      <c r="F741" s="172"/>
      <c r="G741" s="173"/>
      <c r="H741" s="137"/>
      <c r="I741" s="137"/>
      <c r="J741" s="137"/>
      <c r="K741" s="129"/>
      <c r="L741" s="323"/>
      <c r="N741" s="172"/>
      <c r="O741" s="172"/>
      <c r="P741" s="172"/>
      <c r="Q741" s="172"/>
      <c r="R741" s="172"/>
      <c r="S741" s="428"/>
      <c r="T741" s="172"/>
      <c r="U741" s="172"/>
      <c r="V741" s="172"/>
      <c r="W741" s="429"/>
    </row>
    <row r="742">
      <c r="C742" s="172"/>
      <c r="D742" s="172"/>
      <c r="E742" s="172"/>
      <c r="F742" s="172"/>
      <c r="G742" s="173"/>
      <c r="H742" s="137"/>
      <c r="I742" s="137"/>
      <c r="J742" s="137"/>
      <c r="K742" s="129"/>
      <c r="L742" s="323"/>
      <c r="N742" s="172"/>
      <c r="O742" s="172"/>
      <c r="P742" s="172"/>
      <c r="Q742" s="172"/>
      <c r="R742" s="172"/>
      <c r="S742" s="428"/>
      <c r="T742" s="172"/>
      <c r="U742" s="172"/>
      <c r="V742" s="172"/>
      <c r="W742" s="429"/>
    </row>
    <row r="743">
      <c r="C743" s="172"/>
      <c r="D743" s="172"/>
      <c r="E743" s="172"/>
      <c r="F743" s="172"/>
      <c r="G743" s="173"/>
      <c r="H743" s="137"/>
      <c r="I743" s="137"/>
      <c r="J743" s="137"/>
      <c r="K743" s="129"/>
      <c r="L743" s="323"/>
      <c r="N743" s="172"/>
      <c r="O743" s="172"/>
      <c r="P743" s="172"/>
      <c r="Q743" s="172"/>
      <c r="R743" s="172"/>
      <c r="S743" s="428"/>
      <c r="T743" s="172"/>
      <c r="U743" s="172"/>
      <c r="V743" s="172"/>
      <c r="W743" s="429"/>
    </row>
    <row r="744">
      <c r="C744" s="172"/>
      <c r="D744" s="172"/>
      <c r="E744" s="172"/>
      <c r="F744" s="172"/>
      <c r="G744" s="173"/>
      <c r="H744" s="137"/>
      <c r="I744" s="137"/>
      <c r="J744" s="137"/>
      <c r="K744" s="129"/>
      <c r="L744" s="323"/>
      <c r="N744" s="172"/>
      <c r="O744" s="172"/>
      <c r="P744" s="172"/>
      <c r="Q744" s="172"/>
      <c r="R744" s="172"/>
      <c r="S744" s="428"/>
      <c r="T744" s="172"/>
      <c r="U744" s="172"/>
      <c r="V744" s="172"/>
      <c r="W744" s="429"/>
    </row>
    <row r="745">
      <c r="C745" s="172"/>
      <c r="D745" s="172"/>
      <c r="E745" s="172"/>
      <c r="F745" s="172"/>
      <c r="G745" s="173"/>
      <c r="H745" s="137"/>
      <c r="I745" s="137"/>
      <c r="J745" s="137"/>
      <c r="K745" s="129"/>
      <c r="L745" s="323"/>
      <c r="N745" s="172"/>
      <c r="O745" s="172"/>
      <c r="P745" s="172"/>
      <c r="Q745" s="172"/>
      <c r="R745" s="172"/>
      <c r="S745" s="428"/>
      <c r="T745" s="172"/>
      <c r="U745" s="172"/>
      <c r="V745" s="172"/>
      <c r="W745" s="429"/>
    </row>
    <row r="746">
      <c r="C746" s="172"/>
      <c r="D746" s="172"/>
      <c r="E746" s="172"/>
      <c r="F746" s="172"/>
      <c r="G746" s="173"/>
      <c r="H746" s="137"/>
      <c r="I746" s="137"/>
      <c r="J746" s="137"/>
      <c r="K746" s="129"/>
      <c r="L746" s="323"/>
      <c r="N746" s="172"/>
      <c r="O746" s="172"/>
      <c r="P746" s="172"/>
      <c r="Q746" s="172"/>
      <c r="R746" s="172"/>
      <c r="S746" s="428"/>
      <c r="T746" s="172"/>
      <c r="U746" s="172"/>
      <c r="V746" s="172"/>
      <c r="W746" s="429"/>
    </row>
    <row r="747">
      <c r="C747" s="172"/>
      <c r="D747" s="172"/>
      <c r="E747" s="172"/>
      <c r="F747" s="172"/>
      <c r="G747" s="173"/>
      <c r="H747" s="137"/>
      <c r="I747" s="137"/>
      <c r="J747" s="137"/>
      <c r="K747" s="129"/>
      <c r="L747" s="323"/>
      <c r="N747" s="172"/>
      <c r="O747" s="172"/>
      <c r="P747" s="172"/>
      <c r="Q747" s="172"/>
      <c r="R747" s="172"/>
      <c r="S747" s="428"/>
      <c r="T747" s="172"/>
      <c r="U747" s="172"/>
      <c r="V747" s="172"/>
      <c r="W747" s="429"/>
    </row>
    <row r="748">
      <c r="C748" s="172"/>
      <c r="D748" s="172"/>
      <c r="E748" s="172"/>
      <c r="F748" s="172"/>
      <c r="G748" s="173"/>
      <c r="H748" s="137"/>
      <c r="I748" s="137"/>
      <c r="J748" s="137"/>
      <c r="K748" s="129"/>
      <c r="L748" s="323"/>
      <c r="N748" s="172"/>
      <c r="O748" s="172"/>
      <c r="P748" s="172"/>
      <c r="Q748" s="172"/>
      <c r="R748" s="172"/>
      <c r="S748" s="428"/>
      <c r="T748" s="172"/>
      <c r="U748" s="172"/>
      <c r="V748" s="172"/>
      <c r="W748" s="429"/>
    </row>
    <row r="749">
      <c r="C749" s="172"/>
      <c r="D749" s="172"/>
      <c r="E749" s="172"/>
      <c r="F749" s="172"/>
      <c r="G749" s="173"/>
      <c r="H749" s="137"/>
      <c r="I749" s="137"/>
      <c r="J749" s="137"/>
      <c r="K749" s="129"/>
      <c r="L749" s="323"/>
      <c r="N749" s="172"/>
      <c r="O749" s="172"/>
      <c r="P749" s="172"/>
      <c r="Q749" s="172"/>
      <c r="R749" s="172"/>
      <c r="S749" s="428"/>
      <c r="T749" s="172"/>
      <c r="U749" s="172"/>
      <c r="V749" s="172"/>
      <c r="W749" s="429"/>
    </row>
    <row r="750">
      <c r="C750" s="172"/>
      <c r="D750" s="172"/>
      <c r="E750" s="172"/>
      <c r="F750" s="172"/>
      <c r="G750" s="173"/>
      <c r="H750" s="137"/>
      <c r="I750" s="137"/>
      <c r="J750" s="137"/>
      <c r="K750" s="129"/>
      <c r="L750" s="323"/>
      <c r="N750" s="172"/>
      <c r="O750" s="172"/>
      <c r="P750" s="172"/>
      <c r="Q750" s="172"/>
      <c r="R750" s="172"/>
      <c r="S750" s="428"/>
      <c r="T750" s="172"/>
      <c r="U750" s="172"/>
      <c r="V750" s="172"/>
      <c r="W750" s="429"/>
    </row>
    <row r="751">
      <c r="C751" s="172"/>
      <c r="D751" s="172"/>
      <c r="E751" s="172"/>
      <c r="F751" s="172"/>
      <c r="G751" s="173"/>
      <c r="H751" s="137"/>
      <c r="I751" s="137"/>
      <c r="J751" s="137"/>
      <c r="K751" s="129"/>
      <c r="L751" s="323"/>
      <c r="N751" s="172"/>
      <c r="O751" s="172"/>
      <c r="P751" s="172"/>
      <c r="Q751" s="172"/>
      <c r="R751" s="172"/>
      <c r="S751" s="428"/>
      <c r="T751" s="172"/>
      <c r="U751" s="172"/>
      <c r="V751" s="172"/>
      <c r="W751" s="429"/>
    </row>
    <row r="752">
      <c r="C752" s="172"/>
      <c r="D752" s="172"/>
      <c r="E752" s="172"/>
      <c r="F752" s="172"/>
      <c r="G752" s="173"/>
      <c r="H752" s="137"/>
      <c r="I752" s="137"/>
      <c r="J752" s="137"/>
      <c r="K752" s="129"/>
      <c r="L752" s="323"/>
      <c r="N752" s="172"/>
      <c r="O752" s="172"/>
      <c r="P752" s="172"/>
      <c r="Q752" s="172"/>
      <c r="R752" s="172"/>
      <c r="S752" s="428"/>
      <c r="T752" s="172"/>
      <c r="U752" s="172"/>
      <c r="V752" s="172"/>
      <c r="W752" s="429"/>
    </row>
    <row r="753">
      <c r="C753" s="172"/>
      <c r="D753" s="172"/>
      <c r="E753" s="172"/>
      <c r="F753" s="172"/>
      <c r="G753" s="173"/>
      <c r="H753" s="137"/>
      <c r="I753" s="137"/>
      <c r="J753" s="137"/>
      <c r="K753" s="129"/>
      <c r="L753" s="323"/>
      <c r="N753" s="172"/>
      <c r="O753" s="172"/>
      <c r="P753" s="172"/>
      <c r="Q753" s="172"/>
      <c r="R753" s="172"/>
      <c r="S753" s="428"/>
      <c r="T753" s="172"/>
      <c r="U753" s="172"/>
      <c r="V753" s="172"/>
      <c r="W753" s="429"/>
    </row>
    <row r="754">
      <c r="C754" s="172"/>
      <c r="D754" s="172"/>
      <c r="E754" s="172"/>
      <c r="F754" s="172"/>
      <c r="G754" s="173"/>
      <c r="H754" s="137"/>
      <c r="I754" s="137"/>
      <c r="J754" s="137"/>
      <c r="K754" s="129"/>
      <c r="L754" s="323"/>
      <c r="N754" s="172"/>
      <c r="O754" s="172"/>
      <c r="P754" s="172"/>
      <c r="Q754" s="172"/>
      <c r="R754" s="172"/>
      <c r="S754" s="428"/>
      <c r="T754" s="172"/>
      <c r="U754" s="172"/>
      <c r="V754" s="172"/>
      <c r="W754" s="429"/>
    </row>
    <row r="755">
      <c r="C755" s="172"/>
      <c r="D755" s="172"/>
      <c r="E755" s="172"/>
      <c r="F755" s="172"/>
      <c r="G755" s="173"/>
      <c r="H755" s="137"/>
      <c r="I755" s="137"/>
      <c r="J755" s="137"/>
      <c r="K755" s="129"/>
      <c r="L755" s="323"/>
      <c r="N755" s="172"/>
      <c r="O755" s="172"/>
      <c r="P755" s="172"/>
      <c r="Q755" s="172"/>
      <c r="R755" s="172"/>
      <c r="S755" s="428"/>
      <c r="T755" s="172"/>
      <c r="U755" s="172"/>
      <c r="V755" s="172"/>
      <c r="W755" s="429"/>
    </row>
    <row r="756">
      <c r="C756" s="172"/>
      <c r="D756" s="172"/>
      <c r="E756" s="172"/>
      <c r="F756" s="172"/>
      <c r="G756" s="173"/>
      <c r="H756" s="137"/>
      <c r="I756" s="137"/>
      <c r="J756" s="137"/>
      <c r="K756" s="129"/>
      <c r="L756" s="323"/>
      <c r="N756" s="172"/>
      <c r="O756" s="172"/>
      <c r="P756" s="172"/>
      <c r="Q756" s="172"/>
      <c r="R756" s="172"/>
      <c r="S756" s="428"/>
      <c r="T756" s="172"/>
      <c r="U756" s="172"/>
      <c r="V756" s="172"/>
      <c r="W756" s="429"/>
    </row>
    <row r="757">
      <c r="C757" s="172"/>
      <c r="D757" s="172"/>
      <c r="E757" s="172"/>
      <c r="F757" s="172"/>
      <c r="G757" s="173"/>
      <c r="H757" s="137"/>
      <c r="I757" s="137"/>
      <c r="J757" s="137"/>
      <c r="K757" s="129"/>
      <c r="L757" s="323"/>
      <c r="N757" s="172"/>
      <c r="O757" s="172"/>
      <c r="P757" s="172"/>
      <c r="Q757" s="172"/>
      <c r="R757" s="172"/>
      <c r="S757" s="428"/>
      <c r="T757" s="172"/>
      <c r="U757" s="172"/>
      <c r="V757" s="172"/>
      <c r="W757" s="429"/>
    </row>
    <row r="758">
      <c r="C758" s="172"/>
      <c r="D758" s="172"/>
      <c r="E758" s="172"/>
      <c r="F758" s="172"/>
      <c r="G758" s="173"/>
      <c r="H758" s="137"/>
      <c r="I758" s="137"/>
      <c r="J758" s="137"/>
      <c r="K758" s="129"/>
      <c r="L758" s="323"/>
      <c r="N758" s="172"/>
      <c r="O758" s="172"/>
      <c r="P758" s="172"/>
      <c r="Q758" s="172"/>
      <c r="R758" s="172"/>
      <c r="S758" s="428"/>
      <c r="T758" s="172"/>
      <c r="U758" s="172"/>
      <c r="V758" s="172"/>
      <c r="W758" s="429"/>
    </row>
    <row r="759">
      <c r="C759" s="172"/>
      <c r="D759" s="172"/>
      <c r="E759" s="172"/>
      <c r="F759" s="172"/>
      <c r="G759" s="173"/>
      <c r="H759" s="137"/>
      <c r="I759" s="137"/>
      <c r="J759" s="137"/>
      <c r="K759" s="129"/>
      <c r="L759" s="323"/>
      <c r="N759" s="172"/>
      <c r="O759" s="172"/>
      <c r="P759" s="172"/>
      <c r="Q759" s="172"/>
      <c r="R759" s="172"/>
      <c r="S759" s="428"/>
      <c r="T759" s="172"/>
      <c r="U759" s="172"/>
      <c r="V759" s="172"/>
      <c r="W759" s="429"/>
    </row>
    <row r="760">
      <c r="C760" s="172"/>
      <c r="D760" s="172"/>
      <c r="E760" s="172"/>
      <c r="F760" s="172"/>
      <c r="G760" s="173"/>
      <c r="H760" s="137"/>
      <c r="I760" s="137"/>
      <c r="J760" s="137"/>
      <c r="K760" s="129"/>
      <c r="L760" s="323"/>
      <c r="N760" s="172"/>
      <c r="O760" s="172"/>
      <c r="P760" s="172"/>
      <c r="Q760" s="172"/>
      <c r="R760" s="172"/>
      <c r="S760" s="428"/>
      <c r="T760" s="172"/>
      <c r="U760" s="172"/>
      <c r="V760" s="172"/>
      <c r="W760" s="429"/>
    </row>
    <row r="761">
      <c r="C761" s="172"/>
      <c r="D761" s="172"/>
      <c r="E761" s="172"/>
      <c r="F761" s="172"/>
      <c r="G761" s="173"/>
      <c r="H761" s="137"/>
      <c r="I761" s="137"/>
      <c r="J761" s="137"/>
      <c r="K761" s="129"/>
      <c r="L761" s="323"/>
      <c r="N761" s="172"/>
      <c r="O761" s="172"/>
      <c r="P761" s="172"/>
      <c r="Q761" s="172"/>
      <c r="R761" s="172"/>
      <c r="S761" s="428"/>
      <c r="T761" s="172"/>
      <c r="U761" s="172"/>
      <c r="V761" s="172"/>
      <c r="W761" s="429"/>
    </row>
    <row r="762">
      <c r="C762" s="172"/>
      <c r="D762" s="172"/>
      <c r="E762" s="172"/>
      <c r="F762" s="172"/>
      <c r="G762" s="173"/>
      <c r="H762" s="137"/>
      <c r="I762" s="137"/>
      <c r="J762" s="137"/>
      <c r="K762" s="129"/>
      <c r="L762" s="323"/>
      <c r="N762" s="172"/>
      <c r="O762" s="172"/>
      <c r="P762" s="172"/>
      <c r="Q762" s="172"/>
      <c r="R762" s="172"/>
      <c r="S762" s="428"/>
      <c r="T762" s="172"/>
      <c r="U762" s="172"/>
      <c r="V762" s="172"/>
      <c r="W762" s="429"/>
    </row>
    <row r="763">
      <c r="C763" s="172"/>
      <c r="D763" s="172"/>
      <c r="E763" s="172"/>
      <c r="F763" s="172"/>
      <c r="G763" s="173"/>
      <c r="H763" s="137"/>
      <c r="I763" s="137"/>
      <c r="J763" s="137"/>
      <c r="K763" s="129"/>
      <c r="L763" s="323"/>
      <c r="N763" s="172"/>
      <c r="O763" s="172"/>
      <c r="P763" s="172"/>
      <c r="Q763" s="172"/>
      <c r="R763" s="172"/>
      <c r="S763" s="428"/>
      <c r="T763" s="172"/>
      <c r="U763" s="172"/>
      <c r="V763" s="172"/>
      <c r="W763" s="429"/>
    </row>
    <row r="764">
      <c r="C764" s="172"/>
      <c r="D764" s="172"/>
      <c r="E764" s="172"/>
      <c r="F764" s="172"/>
      <c r="G764" s="173"/>
      <c r="H764" s="137"/>
      <c r="I764" s="137"/>
      <c r="J764" s="137"/>
      <c r="K764" s="129"/>
      <c r="L764" s="323"/>
      <c r="N764" s="172"/>
      <c r="O764" s="172"/>
      <c r="P764" s="172"/>
      <c r="Q764" s="172"/>
      <c r="R764" s="172"/>
      <c r="S764" s="428"/>
      <c r="T764" s="172"/>
      <c r="U764" s="172"/>
      <c r="V764" s="172"/>
      <c r="W764" s="429"/>
    </row>
    <row r="765">
      <c r="C765" s="172"/>
      <c r="D765" s="172"/>
      <c r="E765" s="172"/>
      <c r="F765" s="172"/>
      <c r="G765" s="173"/>
      <c r="H765" s="137"/>
      <c r="I765" s="137"/>
      <c r="J765" s="137"/>
      <c r="K765" s="129"/>
      <c r="L765" s="323"/>
      <c r="N765" s="172"/>
      <c r="O765" s="172"/>
      <c r="P765" s="172"/>
      <c r="Q765" s="172"/>
      <c r="R765" s="172"/>
      <c r="S765" s="428"/>
      <c r="T765" s="172"/>
      <c r="U765" s="172"/>
      <c r="V765" s="172"/>
      <c r="W765" s="429"/>
    </row>
    <row r="766">
      <c r="C766" s="172"/>
      <c r="D766" s="172"/>
      <c r="E766" s="172"/>
      <c r="F766" s="172"/>
      <c r="G766" s="173"/>
      <c r="H766" s="137"/>
      <c r="I766" s="137"/>
      <c r="J766" s="137"/>
      <c r="K766" s="129"/>
      <c r="L766" s="323"/>
      <c r="N766" s="172"/>
      <c r="O766" s="172"/>
      <c r="P766" s="172"/>
      <c r="Q766" s="172"/>
      <c r="R766" s="172"/>
      <c r="S766" s="428"/>
      <c r="T766" s="172"/>
      <c r="U766" s="172"/>
      <c r="V766" s="172"/>
      <c r="W766" s="429"/>
    </row>
    <row r="767">
      <c r="C767" s="172"/>
      <c r="D767" s="172"/>
      <c r="E767" s="172"/>
      <c r="F767" s="172"/>
      <c r="G767" s="173"/>
      <c r="H767" s="137"/>
      <c r="I767" s="137"/>
      <c r="J767" s="137"/>
      <c r="K767" s="129"/>
      <c r="L767" s="323"/>
      <c r="N767" s="172"/>
      <c r="O767" s="172"/>
      <c r="P767" s="172"/>
      <c r="Q767" s="172"/>
      <c r="R767" s="172"/>
      <c r="S767" s="428"/>
      <c r="T767" s="172"/>
      <c r="U767" s="172"/>
      <c r="V767" s="172"/>
      <c r="W767" s="429"/>
    </row>
    <row r="768">
      <c r="C768" s="172"/>
      <c r="D768" s="172"/>
      <c r="E768" s="172"/>
      <c r="F768" s="172"/>
      <c r="G768" s="173"/>
      <c r="H768" s="137"/>
      <c r="I768" s="137"/>
      <c r="J768" s="137"/>
      <c r="K768" s="129"/>
      <c r="L768" s="323"/>
      <c r="N768" s="172"/>
      <c r="O768" s="172"/>
      <c r="P768" s="172"/>
      <c r="Q768" s="172"/>
      <c r="R768" s="172"/>
      <c r="S768" s="428"/>
      <c r="T768" s="172"/>
      <c r="U768" s="172"/>
      <c r="V768" s="172"/>
      <c r="W768" s="429"/>
    </row>
    <row r="769">
      <c r="C769" s="172"/>
      <c r="D769" s="172"/>
      <c r="E769" s="172"/>
      <c r="F769" s="172"/>
      <c r="G769" s="173"/>
      <c r="H769" s="137"/>
      <c r="I769" s="137"/>
      <c r="J769" s="137"/>
      <c r="K769" s="129"/>
      <c r="L769" s="323"/>
      <c r="N769" s="172"/>
      <c r="O769" s="172"/>
      <c r="P769" s="172"/>
      <c r="Q769" s="172"/>
      <c r="R769" s="172"/>
      <c r="S769" s="428"/>
      <c r="T769" s="172"/>
      <c r="U769" s="172"/>
      <c r="V769" s="172"/>
      <c r="W769" s="429"/>
    </row>
    <row r="770">
      <c r="C770" s="172"/>
      <c r="D770" s="172"/>
      <c r="E770" s="172"/>
      <c r="F770" s="172"/>
      <c r="G770" s="173"/>
      <c r="H770" s="137"/>
      <c r="I770" s="137"/>
      <c r="J770" s="137"/>
      <c r="K770" s="129"/>
      <c r="L770" s="323"/>
      <c r="N770" s="172"/>
      <c r="O770" s="172"/>
      <c r="P770" s="172"/>
      <c r="Q770" s="172"/>
      <c r="R770" s="172"/>
      <c r="S770" s="428"/>
      <c r="T770" s="172"/>
      <c r="U770" s="172"/>
      <c r="V770" s="172"/>
      <c r="W770" s="429"/>
    </row>
    <row r="771">
      <c r="C771" s="172"/>
      <c r="D771" s="172"/>
      <c r="E771" s="172"/>
      <c r="F771" s="172"/>
      <c r="G771" s="173"/>
      <c r="H771" s="137"/>
      <c r="I771" s="137"/>
      <c r="J771" s="137"/>
      <c r="K771" s="129"/>
      <c r="L771" s="323"/>
      <c r="N771" s="172"/>
      <c r="O771" s="172"/>
      <c r="P771" s="172"/>
      <c r="Q771" s="172"/>
      <c r="R771" s="172"/>
      <c r="S771" s="428"/>
      <c r="T771" s="172"/>
      <c r="U771" s="172"/>
      <c r="V771" s="172"/>
      <c r="W771" s="429"/>
    </row>
    <row r="772">
      <c r="C772" s="172"/>
      <c r="D772" s="172"/>
      <c r="E772" s="172"/>
      <c r="F772" s="172"/>
      <c r="G772" s="173"/>
      <c r="H772" s="137"/>
      <c r="I772" s="137"/>
      <c r="J772" s="137"/>
      <c r="K772" s="129"/>
      <c r="L772" s="323"/>
      <c r="N772" s="172"/>
      <c r="O772" s="172"/>
      <c r="P772" s="172"/>
      <c r="Q772" s="172"/>
      <c r="R772" s="172"/>
      <c r="S772" s="428"/>
      <c r="T772" s="172"/>
      <c r="U772" s="172"/>
      <c r="V772" s="172"/>
      <c r="W772" s="429"/>
    </row>
    <row r="773">
      <c r="C773" s="172"/>
      <c r="D773" s="172"/>
      <c r="E773" s="172"/>
      <c r="F773" s="172"/>
      <c r="G773" s="173"/>
      <c r="H773" s="137"/>
      <c r="I773" s="137"/>
      <c r="J773" s="137"/>
      <c r="K773" s="129"/>
      <c r="L773" s="323"/>
      <c r="N773" s="172"/>
      <c r="O773" s="172"/>
      <c r="P773" s="172"/>
      <c r="Q773" s="172"/>
      <c r="R773" s="172"/>
      <c r="S773" s="428"/>
      <c r="T773" s="172"/>
      <c r="U773" s="172"/>
      <c r="V773" s="172"/>
      <c r="W773" s="429"/>
    </row>
    <row r="774">
      <c r="C774" s="172"/>
      <c r="D774" s="172"/>
      <c r="E774" s="172"/>
      <c r="F774" s="172"/>
      <c r="G774" s="173"/>
      <c r="H774" s="137"/>
      <c r="I774" s="137"/>
      <c r="J774" s="137"/>
      <c r="K774" s="129"/>
      <c r="L774" s="323"/>
      <c r="N774" s="172"/>
      <c r="O774" s="172"/>
      <c r="P774" s="172"/>
      <c r="Q774" s="172"/>
      <c r="R774" s="172"/>
      <c r="S774" s="428"/>
      <c r="T774" s="172"/>
      <c r="U774" s="172"/>
      <c r="V774" s="172"/>
      <c r="W774" s="429"/>
    </row>
    <row r="775">
      <c r="C775" s="172"/>
      <c r="D775" s="172"/>
      <c r="E775" s="172"/>
      <c r="F775" s="172"/>
      <c r="G775" s="173"/>
      <c r="H775" s="137"/>
      <c r="I775" s="137"/>
      <c r="J775" s="137"/>
      <c r="K775" s="129"/>
      <c r="L775" s="323"/>
      <c r="N775" s="172"/>
      <c r="O775" s="172"/>
      <c r="P775" s="172"/>
      <c r="Q775" s="172"/>
      <c r="R775" s="172"/>
      <c r="S775" s="428"/>
      <c r="T775" s="172"/>
      <c r="U775" s="172"/>
      <c r="V775" s="172"/>
      <c r="W775" s="429"/>
    </row>
    <row r="776">
      <c r="C776" s="172"/>
      <c r="D776" s="172"/>
      <c r="E776" s="172"/>
      <c r="F776" s="172"/>
      <c r="G776" s="173"/>
      <c r="H776" s="137"/>
      <c r="I776" s="137"/>
      <c r="J776" s="137"/>
      <c r="K776" s="129"/>
      <c r="L776" s="323"/>
      <c r="N776" s="172"/>
      <c r="O776" s="172"/>
      <c r="P776" s="172"/>
      <c r="Q776" s="172"/>
      <c r="R776" s="172"/>
      <c r="S776" s="428"/>
      <c r="T776" s="172"/>
      <c r="U776" s="172"/>
      <c r="V776" s="172"/>
      <c r="W776" s="429"/>
    </row>
    <row r="777">
      <c r="C777" s="172"/>
      <c r="D777" s="172"/>
      <c r="E777" s="172"/>
      <c r="F777" s="172"/>
      <c r="G777" s="173"/>
      <c r="H777" s="137"/>
      <c r="I777" s="137"/>
      <c r="J777" s="137"/>
      <c r="K777" s="129"/>
      <c r="L777" s="323"/>
      <c r="N777" s="172"/>
      <c r="O777" s="172"/>
      <c r="P777" s="172"/>
      <c r="Q777" s="172"/>
      <c r="R777" s="172"/>
      <c r="S777" s="428"/>
      <c r="T777" s="172"/>
      <c r="U777" s="172"/>
      <c r="V777" s="172"/>
      <c r="W777" s="429"/>
    </row>
    <row r="778">
      <c r="C778" s="172"/>
      <c r="D778" s="172"/>
      <c r="E778" s="172"/>
      <c r="F778" s="172"/>
      <c r="G778" s="173"/>
      <c r="H778" s="137"/>
      <c r="I778" s="137"/>
      <c r="J778" s="137"/>
      <c r="K778" s="129"/>
      <c r="L778" s="323"/>
      <c r="N778" s="172"/>
      <c r="O778" s="172"/>
      <c r="P778" s="172"/>
      <c r="Q778" s="172"/>
      <c r="R778" s="172"/>
      <c r="S778" s="428"/>
      <c r="T778" s="172"/>
      <c r="U778" s="172"/>
      <c r="V778" s="172"/>
      <c r="W778" s="429"/>
    </row>
    <row r="779">
      <c r="C779" s="172"/>
      <c r="D779" s="172"/>
      <c r="E779" s="172"/>
      <c r="F779" s="172"/>
      <c r="G779" s="173"/>
      <c r="H779" s="137"/>
      <c r="I779" s="137"/>
      <c r="J779" s="137"/>
      <c r="K779" s="129"/>
      <c r="L779" s="323"/>
      <c r="N779" s="172"/>
      <c r="O779" s="172"/>
      <c r="P779" s="172"/>
      <c r="Q779" s="172"/>
      <c r="R779" s="172"/>
      <c r="S779" s="428"/>
      <c r="T779" s="172"/>
      <c r="U779" s="172"/>
      <c r="V779" s="172"/>
      <c r="W779" s="429"/>
    </row>
    <row r="780">
      <c r="C780" s="172"/>
      <c r="D780" s="172"/>
      <c r="E780" s="172"/>
      <c r="F780" s="172"/>
      <c r="G780" s="173"/>
      <c r="H780" s="137"/>
      <c r="I780" s="137"/>
      <c r="J780" s="137"/>
      <c r="K780" s="129"/>
      <c r="L780" s="323"/>
      <c r="N780" s="172"/>
      <c r="O780" s="172"/>
      <c r="P780" s="172"/>
      <c r="Q780" s="172"/>
      <c r="R780" s="172"/>
      <c r="S780" s="428"/>
      <c r="T780" s="172"/>
      <c r="U780" s="172"/>
      <c r="V780" s="172"/>
      <c r="W780" s="429"/>
    </row>
    <row r="781">
      <c r="C781" s="172"/>
      <c r="D781" s="172"/>
      <c r="E781" s="172"/>
      <c r="F781" s="172"/>
      <c r="G781" s="173"/>
      <c r="H781" s="137"/>
      <c r="I781" s="137"/>
      <c r="J781" s="137"/>
      <c r="K781" s="129"/>
      <c r="L781" s="323"/>
      <c r="N781" s="172"/>
      <c r="O781" s="172"/>
      <c r="P781" s="172"/>
      <c r="Q781" s="172"/>
      <c r="R781" s="172"/>
      <c r="S781" s="428"/>
      <c r="T781" s="172"/>
      <c r="U781" s="172"/>
      <c r="V781" s="172"/>
      <c r="W781" s="429"/>
    </row>
    <row r="782">
      <c r="C782" s="172"/>
      <c r="D782" s="172"/>
      <c r="E782" s="172"/>
      <c r="F782" s="172"/>
      <c r="G782" s="173"/>
      <c r="H782" s="137"/>
      <c r="I782" s="137"/>
      <c r="J782" s="137"/>
      <c r="K782" s="129"/>
      <c r="L782" s="323"/>
      <c r="N782" s="172"/>
      <c r="O782" s="172"/>
      <c r="P782" s="172"/>
      <c r="Q782" s="172"/>
      <c r="R782" s="172"/>
      <c r="S782" s="428"/>
      <c r="T782" s="172"/>
      <c r="U782" s="172"/>
      <c r="V782" s="172"/>
      <c r="W782" s="429"/>
    </row>
    <row r="783">
      <c r="C783" s="172"/>
      <c r="D783" s="172"/>
      <c r="E783" s="172"/>
      <c r="F783" s="172"/>
      <c r="G783" s="173"/>
      <c r="H783" s="137"/>
      <c r="I783" s="137"/>
      <c r="J783" s="137"/>
      <c r="K783" s="129"/>
      <c r="L783" s="323"/>
      <c r="N783" s="172"/>
      <c r="O783" s="172"/>
      <c r="P783" s="172"/>
      <c r="Q783" s="172"/>
      <c r="R783" s="172"/>
      <c r="S783" s="428"/>
      <c r="T783" s="172"/>
      <c r="U783" s="172"/>
      <c r="V783" s="172"/>
      <c r="W783" s="429"/>
    </row>
    <row r="784">
      <c r="C784" s="172"/>
      <c r="D784" s="172"/>
      <c r="E784" s="172"/>
      <c r="F784" s="172"/>
      <c r="G784" s="173"/>
      <c r="H784" s="137"/>
      <c r="I784" s="137"/>
      <c r="J784" s="137"/>
      <c r="K784" s="129"/>
      <c r="L784" s="323"/>
      <c r="N784" s="172"/>
      <c r="O784" s="172"/>
      <c r="P784" s="172"/>
      <c r="Q784" s="172"/>
      <c r="R784" s="172"/>
      <c r="S784" s="428"/>
      <c r="T784" s="172"/>
      <c r="U784" s="172"/>
      <c r="V784" s="172"/>
      <c r="W784" s="429"/>
    </row>
    <row r="785">
      <c r="C785" s="172"/>
      <c r="D785" s="172"/>
      <c r="E785" s="172"/>
      <c r="F785" s="172"/>
      <c r="G785" s="173"/>
      <c r="H785" s="137"/>
      <c r="I785" s="137"/>
      <c r="J785" s="137"/>
      <c r="K785" s="129"/>
      <c r="L785" s="323"/>
      <c r="N785" s="172"/>
      <c r="O785" s="172"/>
      <c r="P785" s="172"/>
      <c r="Q785" s="172"/>
      <c r="R785" s="172"/>
      <c r="S785" s="428"/>
      <c r="T785" s="172"/>
      <c r="U785" s="172"/>
      <c r="V785" s="172"/>
      <c r="W785" s="429"/>
    </row>
    <row r="786">
      <c r="C786" s="172"/>
      <c r="D786" s="172"/>
      <c r="E786" s="172"/>
      <c r="F786" s="172"/>
      <c r="G786" s="173"/>
      <c r="H786" s="137"/>
      <c r="I786" s="137"/>
      <c r="J786" s="137"/>
      <c r="K786" s="129"/>
      <c r="L786" s="323"/>
      <c r="N786" s="172"/>
      <c r="O786" s="172"/>
      <c r="P786" s="172"/>
      <c r="Q786" s="172"/>
      <c r="R786" s="172"/>
      <c r="S786" s="428"/>
      <c r="T786" s="172"/>
      <c r="U786" s="172"/>
      <c r="V786" s="172"/>
      <c r="W786" s="429"/>
    </row>
    <row r="787">
      <c r="C787" s="172"/>
      <c r="D787" s="172"/>
      <c r="E787" s="172"/>
      <c r="F787" s="172"/>
      <c r="G787" s="173"/>
      <c r="H787" s="137"/>
      <c r="I787" s="137"/>
      <c r="J787" s="137"/>
      <c r="K787" s="129"/>
      <c r="L787" s="323"/>
      <c r="N787" s="172"/>
      <c r="O787" s="172"/>
      <c r="P787" s="172"/>
      <c r="Q787" s="172"/>
      <c r="R787" s="172"/>
      <c r="S787" s="428"/>
      <c r="T787" s="172"/>
      <c r="U787" s="172"/>
      <c r="V787" s="172"/>
      <c r="W787" s="429"/>
    </row>
    <row r="788">
      <c r="C788" s="172"/>
      <c r="D788" s="172"/>
      <c r="E788" s="172"/>
      <c r="F788" s="172"/>
      <c r="G788" s="173"/>
      <c r="H788" s="137"/>
      <c r="I788" s="137"/>
      <c r="J788" s="137"/>
      <c r="K788" s="129"/>
      <c r="L788" s="323"/>
      <c r="N788" s="172"/>
      <c r="O788" s="172"/>
      <c r="P788" s="172"/>
      <c r="Q788" s="172"/>
      <c r="R788" s="172"/>
      <c r="S788" s="428"/>
      <c r="T788" s="172"/>
      <c r="U788" s="172"/>
      <c r="V788" s="172"/>
      <c r="W788" s="429"/>
    </row>
    <row r="789">
      <c r="C789" s="172"/>
      <c r="D789" s="172"/>
      <c r="E789" s="172"/>
      <c r="F789" s="172"/>
      <c r="G789" s="173"/>
      <c r="H789" s="137"/>
      <c r="I789" s="137"/>
      <c r="J789" s="137"/>
      <c r="K789" s="129"/>
      <c r="L789" s="323"/>
      <c r="N789" s="172"/>
      <c r="O789" s="172"/>
      <c r="P789" s="172"/>
      <c r="Q789" s="172"/>
      <c r="R789" s="172"/>
      <c r="S789" s="428"/>
      <c r="T789" s="172"/>
      <c r="U789" s="172"/>
      <c r="V789" s="172"/>
      <c r="W789" s="429"/>
    </row>
    <row r="790">
      <c r="C790" s="172"/>
      <c r="D790" s="172"/>
      <c r="E790" s="172"/>
      <c r="F790" s="172"/>
      <c r="G790" s="173"/>
      <c r="H790" s="137"/>
      <c r="I790" s="137"/>
      <c r="J790" s="137"/>
      <c r="K790" s="129"/>
      <c r="L790" s="323"/>
      <c r="N790" s="172"/>
      <c r="O790" s="172"/>
      <c r="P790" s="172"/>
      <c r="Q790" s="172"/>
      <c r="R790" s="172"/>
      <c r="S790" s="428"/>
      <c r="T790" s="172"/>
      <c r="U790" s="172"/>
      <c r="V790" s="172"/>
      <c r="W790" s="429"/>
    </row>
    <row r="791">
      <c r="C791" s="172"/>
      <c r="D791" s="172"/>
      <c r="E791" s="172"/>
      <c r="F791" s="172"/>
      <c r="G791" s="173"/>
      <c r="H791" s="137"/>
      <c r="I791" s="137"/>
      <c r="J791" s="137"/>
      <c r="K791" s="129"/>
      <c r="L791" s="323"/>
      <c r="N791" s="172"/>
      <c r="O791" s="172"/>
      <c r="P791" s="172"/>
      <c r="Q791" s="172"/>
      <c r="R791" s="172"/>
      <c r="S791" s="428"/>
      <c r="T791" s="172"/>
      <c r="U791" s="172"/>
      <c r="V791" s="172"/>
      <c r="W791" s="429"/>
    </row>
    <row r="792">
      <c r="C792" s="172"/>
      <c r="D792" s="172"/>
      <c r="E792" s="172"/>
      <c r="F792" s="172"/>
      <c r="G792" s="173"/>
      <c r="H792" s="137"/>
      <c r="I792" s="137"/>
      <c r="J792" s="137"/>
      <c r="K792" s="129"/>
      <c r="L792" s="323"/>
      <c r="N792" s="172"/>
      <c r="O792" s="172"/>
      <c r="P792" s="172"/>
      <c r="Q792" s="172"/>
      <c r="R792" s="172"/>
      <c r="S792" s="428"/>
      <c r="T792" s="172"/>
      <c r="U792" s="172"/>
      <c r="V792" s="172"/>
      <c r="W792" s="429"/>
    </row>
    <row r="793">
      <c r="C793" s="172"/>
      <c r="D793" s="172"/>
      <c r="E793" s="172"/>
      <c r="F793" s="172"/>
      <c r="G793" s="173"/>
      <c r="H793" s="137"/>
      <c r="I793" s="137"/>
      <c r="J793" s="137"/>
      <c r="K793" s="129"/>
      <c r="L793" s="323"/>
      <c r="N793" s="172"/>
      <c r="O793" s="172"/>
      <c r="P793" s="172"/>
      <c r="Q793" s="172"/>
      <c r="R793" s="172"/>
      <c r="S793" s="428"/>
      <c r="T793" s="172"/>
      <c r="U793" s="172"/>
      <c r="V793" s="172"/>
      <c r="W793" s="429"/>
    </row>
    <row r="794">
      <c r="C794" s="172"/>
      <c r="D794" s="172"/>
      <c r="E794" s="172"/>
      <c r="F794" s="172"/>
      <c r="G794" s="173"/>
      <c r="H794" s="137"/>
      <c r="I794" s="137"/>
      <c r="J794" s="137"/>
      <c r="K794" s="129"/>
      <c r="L794" s="323"/>
      <c r="N794" s="172"/>
      <c r="O794" s="172"/>
      <c r="P794" s="172"/>
      <c r="Q794" s="172"/>
      <c r="R794" s="172"/>
      <c r="S794" s="428"/>
      <c r="T794" s="172"/>
      <c r="U794" s="172"/>
      <c r="V794" s="172"/>
      <c r="W794" s="429"/>
    </row>
    <row r="795">
      <c r="C795" s="172"/>
      <c r="D795" s="172"/>
      <c r="E795" s="172"/>
      <c r="F795" s="172"/>
      <c r="G795" s="173"/>
      <c r="H795" s="137"/>
      <c r="I795" s="137"/>
      <c r="J795" s="137"/>
      <c r="K795" s="129"/>
      <c r="L795" s="323"/>
      <c r="N795" s="172"/>
      <c r="O795" s="172"/>
      <c r="P795" s="172"/>
      <c r="Q795" s="172"/>
      <c r="R795" s="172"/>
      <c r="S795" s="428"/>
      <c r="T795" s="172"/>
      <c r="U795" s="172"/>
      <c r="V795" s="172"/>
      <c r="W795" s="429"/>
    </row>
    <row r="796">
      <c r="C796" s="172"/>
      <c r="D796" s="172"/>
      <c r="E796" s="172"/>
      <c r="F796" s="172"/>
      <c r="G796" s="173"/>
      <c r="H796" s="137"/>
      <c r="I796" s="137"/>
      <c r="J796" s="137"/>
      <c r="K796" s="129"/>
      <c r="L796" s="323"/>
      <c r="N796" s="172"/>
      <c r="O796" s="172"/>
      <c r="P796" s="172"/>
      <c r="Q796" s="172"/>
      <c r="R796" s="172"/>
      <c r="S796" s="428"/>
      <c r="T796" s="172"/>
      <c r="U796" s="172"/>
      <c r="V796" s="172"/>
      <c r="W796" s="429"/>
    </row>
    <row r="797">
      <c r="C797" s="172"/>
      <c r="D797" s="172"/>
      <c r="E797" s="172"/>
      <c r="F797" s="172"/>
      <c r="G797" s="173"/>
      <c r="H797" s="137"/>
      <c r="I797" s="137"/>
      <c r="J797" s="137"/>
      <c r="K797" s="129"/>
      <c r="L797" s="323"/>
      <c r="N797" s="172"/>
      <c r="O797" s="172"/>
      <c r="P797" s="172"/>
      <c r="Q797" s="172"/>
      <c r="R797" s="172"/>
      <c r="S797" s="428"/>
      <c r="T797" s="172"/>
      <c r="U797" s="172"/>
      <c r="V797" s="172"/>
      <c r="W797" s="429"/>
    </row>
    <row r="798">
      <c r="C798" s="172"/>
      <c r="D798" s="172"/>
      <c r="E798" s="172"/>
      <c r="F798" s="172"/>
      <c r="G798" s="173"/>
      <c r="H798" s="137"/>
      <c r="I798" s="137"/>
      <c r="J798" s="137"/>
      <c r="K798" s="129"/>
      <c r="L798" s="323"/>
      <c r="N798" s="172"/>
      <c r="O798" s="172"/>
      <c r="P798" s="172"/>
      <c r="Q798" s="172"/>
      <c r="R798" s="172"/>
      <c r="S798" s="428"/>
      <c r="T798" s="172"/>
      <c r="U798" s="172"/>
      <c r="V798" s="172"/>
      <c r="W798" s="429"/>
    </row>
    <row r="799">
      <c r="C799" s="172"/>
      <c r="D799" s="172"/>
      <c r="E799" s="172"/>
      <c r="F799" s="172"/>
      <c r="G799" s="173"/>
      <c r="H799" s="137"/>
      <c r="I799" s="137"/>
      <c r="J799" s="137"/>
      <c r="K799" s="129"/>
      <c r="L799" s="323"/>
      <c r="N799" s="172"/>
      <c r="O799" s="172"/>
      <c r="P799" s="172"/>
      <c r="Q799" s="172"/>
      <c r="R799" s="172"/>
      <c r="S799" s="428"/>
      <c r="T799" s="172"/>
      <c r="U799" s="172"/>
      <c r="V799" s="172"/>
      <c r="W799" s="429"/>
    </row>
    <row r="800">
      <c r="C800" s="172"/>
      <c r="D800" s="172"/>
      <c r="E800" s="172"/>
      <c r="F800" s="172"/>
      <c r="G800" s="173"/>
      <c r="H800" s="137"/>
      <c r="I800" s="137"/>
      <c r="J800" s="137"/>
      <c r="K800" s="129"/>
      <c r="L800" s="323"/>
      <c r="N800" s="172"/>
      <c r="O800" s="172"/>
      <c r="P800" s="172"/>
      <c r="Q800" s="172"/>
      <c r="R800" s="172"/>
      <c r="S800" s="428"/>
      <c r="T800" s="172"/>
      <c r="U800" s="172"/>
      <c r="V800" s="172"/>
      <c r="W800" s="429"/>
    </row>
    <row r="801">
      <c r="C801" s="172"/>
      <c r="D801" s="172"/>
      <c r="E801" s="172"/>
      <c r="F801" s="172"/>
      <c r="G801" s="173"/>
      <c r="H801" s="137"/>
      <c r="I801" s="137"/>
      <c r="J801" s="137"/>
      <c r="K801" s="129"/>
      <c r="L801" s="323"/>
      <c r="N801" s="172"/>
      <c r="O801" s="172"/>
      <c r="P801" s="172"/>
      <c r="Q801" s="172"/>
      <c r="R801" s="172"/>
      <c r="S801" s="428"/>
      <c r="T801" s="172"/>
      <c r="U801" s="172"/>
      <c r="V801" s="172"/>
      <c r="W801" s="429"/>
    </row>
    <row r="802">
      <c r="C802" s="172"/>
      <c r="D802" s="172"/>
      <c r="E802" s="172"/>
      <c r="F802" s="172"/>
      <c r="G802" s="173"/>
      <c r="H802" s="137"/>
      <c r="I802" s="137"/>
      <c r="J802" s="137"/>
      <c r="K802" s="129"/>
      <c r="L802" s="323"/>
      <c r="N802" s="172"/>
      <c r="O802" s="172"/>
      <c r="P802" s="172"/>
      <c r="Q802" s="172"/>
      <c r="R802" s="172"/>
      <c r="S802" s="428"/>
      <c r="T802" s="172"/>
      <c r="U802" s="172"/>
      <c r="V802" s="172"/>
      <c r="W802" s="429"/>
    </row>
    <row r="803">
      <c r="C803" s="172"/>
      <c r="D803" s="172"/>
      <c r="E803" s="172"/>
      <c r="F803" s="172"/>
      <c r="G803" s="173"/>
      <c r="H803" s="137"/>
      <c r="I803" s="137"/>
      <c r="J803" s="137"/>
      <c r="K803" s="129"/>
      <c r="L803" s="323"/>
      <c r="N803" s="172"/>
      <c r="O803" s="172"/>
      <c r="P803" s="172"/>
      <c r="Q803" s="172"/>
      <c r="R803" s="172"/>
      <c r="S803" s="428"/>
      <c r="T803" s="172"/>
      <c r="U803" s="172"/>
      <c r="V803" s="172"/>
      <c r="W803" s="429"/>
    </row>
    <row r="804">
      <c r="C804" s="172"/>
      <c r="D804" s="172"/>
      <c r="E804" s="172"/>
      <c r="F804" s="172"/>
      <c r="G804" s="173"/>
      <c r="H804" s="137"/>
      <c r="I804" s="137"/>
      <c r="J804" s="137"/>
      <c r="K804" s="129"/>
      <c r="L804" s="323"/>
      <c r="N804" s="172"/>
      <c r="O804" s="172"/>
      <c r="P804" s="172"/>
      <c r="Q804" s="172"/>
      <c r="R804" s="172"/>
      <c r="S804" s="428"/>
      <c r="T804" s="172"/>
      <c r="U804" s="172"/>
      <c r="V804" s="172"/>
      <c r="W804" s="429"/>
    </row>
    <row r="805">
      <c r="C805" s="172"/>
      <c r="D805" s="172"/>
      <c r="E805" s="172"/>
      <c r="F805" s="172"/>
      <c r="G805" s="173"/>
      <c r="H805" s="137"/>
      <c r="I805" s="137"/>
      <c r="J805" s="137"/>
      <c r="K805" s="129"/>
      <c r="L805" s="323"/>
      <c r="N805" s="172"/>
      <c r="O805" s="172"/>
      <c r="P805" s="172"/>
      <c r="Q805" s="172"/>
      <c r="R805" s="172"/>
      <c r="S805" s="428"/>
      <c r="T805" s="172"/>
      <c r="U805" s="172"/>
      <c r="V805" s="172"/>
      <c r="W805" s="429"/>
    </row>
    <row r="806">
      <c r="C806" s="172"/>
      <c r="D806" s="172"/>
      <c r="E806" s="172"/>
      <c r="F806" s="172"/>
      <c r="G806" s="173"/>
      <c r="H806" s="137"/>
      <c r="I806" s="137"/>
      <c r="J806" s="137"/>
      <c r="K806" s="129"/>
      <c r="L806" s="323"/>
      <c r="N806" s="172"/>
      <c r="O806" s="172"/>
      <c r="P806" s="172"/>
      <c r="Q806" s="172"/>
      <c r="R806" s="172"/>
      <c r="S806" s="428"/>
      <c r="T806" s="172"/>
      <c r="U806" s="172"/>
      <c r="V806" s="172"/>
      <c r="W806" s="429"/>
    </row>
    <row r="807">
      <c r="C807" s="172"/>
      <c r="D807" s="172"/>
      <c r="E807" s="172"/>
      <c r="F807" s="172"/>
      <c r="G807" s="173"/>
      <c r="H807" s="137"/>
      <c r="I807" s="137"/>
      <c r="J807" s="137"/>
      <c r="K807" s="129"/>
      <c r="L807" s="323"/>
      <c r="N807" s="172"/>
      <c r="O807" s="172"/>
      <c r="P807" s="172"/>
      <c r="Q807" s="172"/>
      <c r="R807" s="172"/>
      <c r="S807" s="428"/>
      <c r="T807" s="172"/>
      <c r="U807" s="172"/>
      <c r="V807" s="172"/>
      <c r="W807" s="429"/>
    </row>
    <row r="808">
      <c r="C808" s="172"/>
      <c r="D808" s="172"/>
      <c r="E808" s="172"/>
      <c r="F808" s="172"/>
      <c r="G808" s="173"/>
      <c r="H808" s="137"/>
      <c r="I808" s="137"/>
      <c r="J808" s="137"/>
      <c r="K808" s="129"/>
      <c r="L808" s="323"/>
      <c r="N808" s="172"/>
      <c r="O808" s="172"/>
      <c r="P808" s="172"/>
      <c r="Q808" s="172"/>
      <c r="R808" s="172"/>
      <c r="S808" s="428"/>
      <c r="T808" s="172"/>
      <c r="U808" s="172"/>
      <c r="V808" s="172"/>
      <c r="W808" s="429"/>
    </row>
    <row r="809">
      <c r="C809" s="172"/>
      <c r="D809" s="172"/>
      <c r="E809" s="172"/>
      <c r="F809" s="172"/>
      <c r="G809" s="173"/>
      <c r="H809" s="137"/>
      <c r="I809" s="137"/>
      <c r="J809" s="137"/>
      <c r="K809" s="129"/>
      <c r="L809" s="323"/>
      <c r="N809" s="172"/>
      <c r="O809" s="172"/>
      <c r="P809" s="172"/>
      <c r="Q809" s="172"/>
      <c r="R809" s="172"/>
      <c r="S809" s="428"/>
      <c r="T809" s="172"/>
      <c r="U809" s="172"/>
      <c r="V809" s="172"/>
      <c r="W809" s="429"/>
    </row>
    <row r="810">
      <c r="C810" s="172"/>
      <c r="D810" s="172"/>
      <c r="E810" s="172"/>
      <c r="F810" s="172"/>
      <c r="G810" s="173"/>
      <c r="H810" s="137"/>
      <c r="I810" s="137"/>
      <c r="J810" s="137"/>
      <c r="K810" s="129"/>
      <c r="L810" s="323"/>
      <c r="N810" s="172"/>
      <c r="O810" s="172"/>
      <c r="P810" s="172"/>
      <c r="Q810" s="172"/>
      <c r="R810" s="172"/>
      <c r="S810" s="428"/>
      <c r="T810" s="172"/>
      <c r="U810" s="172"/>
      <c r="V810" s="172"/>
      <c r="W810" s="429"/>
    </row>
    <row r="811">
      <c r="C811" s="172"/>
      <c r="D811" s="172"/>
      <c r="E811" s="172"/>
      <c r="F811" s="172"/>
      <c r="G811" s="173"/>
      <c r="H811" s="137"/>
      <c r="I811" s="137"/>
      <c r="J811" s="137"/>
      <c r="K811" s="129"/>
      <c r="L811" s="323"/>
      <c r="N811" s="172"/>
      <c r="O811" s="172"/>
      <c r="P811" s="172"/>
      <c r="Q811" s="172"/>
      <c r="R811" s="172"/>
      <c r="S811" s="428"/>
      <c r="T811" s="172"/>
      <c r="U811" s="172"/>
      <c r="V811" s="172"/>
      <c r="W811" s="429"/>
    </row>
    <row r="812">
      <c r="C812" s="172"/>
      <c r="D812" s="172"/>
      <c r="E812" s="172"/>
      <c r="F812" s="172"/>
      <c r="G812" s="173"/>
      <c r="H812" s="137"/>
      <c r="I812" s="137"/>
      <c r="J812" s="137"/>
      <c r="K812" s="129"/>
      <c r="L812" s="323"/>
      <c r="N812" s="172"/>
      <c r="O812" s="172"/>
      <c r="P812" s="172"/>
      <c r="Q812" s="172"/>
      <c r="R812" s="172"/>
      <c r="S812" s="428"/>
      <c r="T812" s="172"/>
      <c r="U812" s="172"/>
      <c r="V812" s="172"/>
      <c r="W812" s="429"/>
    </row>
    <row r="813">
      <c r="C813" s="172"/>
      <c r="D813" s="172"/>
      <c r="E813" s="172"/>
      <c r="F813" s="172"/>
      <c r="G813" s="173"/>
      <c r="H813" s="137"/>
      <c r="I813" s="137"/>
      <c r="J813" s="137"/>
      <c r="K813" s="129"/>
      <c r="L813" s="323"/>
      <c r="N813" s="172"/>
      <c r="O813" s="172"/>
      <c r="P813" s="172"/>
      <c r="Q813" s="172"/>
      <c r="R813" s="172"/>
      <c r="S813" s="428"/>
      <c r="T813" s="172"/>
      <c r="U813" s="172"/>
      <c r="V813" s="172"/>
      <c r="W813" s="429"/>
    </row>
    <row r="814">
      <c r="C814" s="172"/>
      <c r="D814" s="172"/>
      <c r="E814" s="172"/>
      <c r="F814" s="172"/>
      <c r="G814" s="173"/>
      <c r="H814" s="137"/>
      <c r="I814" s="137"/>
      <c r="J814" s="137"/>
      <c r="K814" s="129"/>
      <c r="L814" s="323"/>
      <c r="N814" s="172"/>
      <c r="O814" s="172"/>
      <c r="P814" s="172"/>
      <c r="Q814" s="172"/>
      <c r="R814" s="172"/>
      <c r="S814" s="428"/>
      <c r="T814" s="172"/>
      <c r="U814" s="172"/>
      <c r="V814" s="172"/>
      <c r="W814" s="429"/>
    </row>
    <row r="815">
      <c r="C815" s="172"/>
      <c r="D815" s="172"/>
      <c r="E815" s="172"/>
      <c r="F815" s="172"/>
      <c r="G815" s="173"/>
      <c r="H815" s="137"/>
      <c r="I815" s="137"/>
      <c r="J815" s="137"/>
      <c r="K815" s="129"/>
      <c r="L815" s="323"/>
      <c r="N815" s="172"/>
      <c r="O815" s="172"/>
      <c r="P815" s="172"/>
      <c r="Q815" s="172"/>
      <c r="R815" s="172"/>
      <c r="S815" s="428"/>
      <c r="T815" s="172"/>
      <c r="U815" s="172"/>
      <c r="V815" s="172"/>
      <c r="W815" s="429"/>
    </row>
    <row r="816">
      <c r="C816" s="172"/>
      <c r="D816" s="172"/>
      <c r="E816" s="172"/>
      <c r="F816" s="172"/>
      <c r="G816" s="173"/>
      <c r="H816" s="137"/>
      <c r="I816" s="137"/>
      <c r="J816" s="137"/>
      <c r="K816" s="129"/>
      <c r="L816" s="323"/>
      <c r="N816" s="172"/>
      <c r="O816" s="172"/>
      <c r="P816" s="172"/>
      <c r="Q816" s="172"/>
      <c r="R816" s="172"/>
      <c r="S816" s="428"/>
      <c r="T816" s="172"/>
      <c r="U816" s="172"/>
      <c r="V816" s="172"/>
      <c r="W816" s="429"/>
    </row>
    <row r="817">
      <c r="C817" s="172"/>
      <c r="D817" s="172"/>
      <c r="E817" s="172"/>
      <c r="F817" s="172"/>
      <c r="G817" s="173"/>
      <c r="H817" s="137"/>
      <c r="I817" s="137"/>
      <c r="J817" s="137"/>
      <c r="K817" s="129"/>
      <c r="L817" s="323"/>
      <c r="N817" s="172"/>
      <c r="O817" s="172"/>
      <c r="P817" s="172"/>
      <c r="Q817" s="172"/>
      <c r="R817" s="172"/>
      <c r="S817" s="428"/>
      <c r="T817" s="172"/>
      <c r="U817" s="172"/>
      <c r="V817" s="172"/>
      <c r="W817" s="429"/>
    </row>
    <row r="818">
      <c r="C818" s="172"/>
      <c r="D818" s="172"/>
      <c r="E818" s="172"/>
      <c r="F818" s="172"/>
      <c r="G818" s="173"/>
      <c r="H818" s="137"/>
      <c r="I818" s="137"/>
      <c r="J818" s="137"/>
      <c r="K818" s="129"/>
      <c r="L818" s="323"/>
      <c r="N818" s="172"/>
      <c r="O818" s="172"/>
      <c r="P818" s="172"/>
      <c r="Q818" s="172"/>
      <c r="R818" s="172"/>
      <c r="S818" s="428"/>
      <c r="T818" s="172"/>
      <c r="U818" s="172"/>
      <c r="V818" s="172"/>
      <c r="W818" s="429"/>
    </row>
    <row r="819">
      <c r="C819" s="172"/>
      <c r="D819" s="172"/>
      <c r="E819" s="172"/>
      <c r="F819" s="172"/>
      <c r="G819" s="173"/>
      <c r="H819" s="137"/>
      <c r="I819" s="137"/>
      <c r="J819" s="137"/>
      <c r="K819" s="129"/>
      <c r="L819" s="323"/>
      <c r="N819" s="172"/>
      <c r="O819" s="172"/>
      <c r="P819" s="172"/>
      <c r="Q819" s="172"/>
      <c r="R819" s="172"/>
      <c r="S819" s="428"/>
      <c r="T819" s="172"/>
      <c r="U819" s="172"/>
      <c r="V819" s="172"/>
      <c r="W819" s="429"/>
    </row>
    <row r="820">
      <c r="C820" s="172"/>
      <c r="D820" s="172"/>
      <c r="E820" s="172"/>
      <c r="F820" s="172"/>
      <c r="G820" s="173"/>
      <c r="H820" s="137"/>
      <c r="I820" s="137"/>
      <c r="J820" s="137"/>
      <c r="K820" s="129"/>
      <c r="L820" s="323"/>
      <c r="N820" s="172"/>
      <c r="O820" s="172"/>
      <c r="P820" s="172"/>
      <c r="Q820" s="172"/>
      <c r="R820" s="172"/>
      <c r="S820" s="428"/>
      <c r="T820" s="172"/>
      <c r="U820" s="172"/>
      <c r="V820" s="172"/>
      <c r="W820" s="429"/>
    </row>
    <row r="821">
      <c r="C821" s="172"/>
      <c r="D821" s="172"/>
      <c r="E821" s="172"/>
      <c r="F821" s="172"/>
      <c r="G821" s="173"/>
      <c r="H821" s="137"/>
      <c r="I821" s="137"/>
      <c r="J821" s="137"/>
      <c r="K821" s="129"/>
      <c r="L821" s="323"/>
      <c r="N821" s="172"/>
      <c r="O821" s="172"/>
      <c r="P821" s="172"/>
      <c r="Q821" s="172"/>
      <c r="R821" s="172"/>
      <c r="S821" s="428"/>
      <c r="T821" s="172"/>
      <c r="U821" s="172"/>
      <c r="V821" s="172"/>
      <c r="W821" s="429"/>
    </row>
    <row r="822">
      <c r="C822" s="172"/>
      <c r="D822" s="172"/>
      <c r="E822" s="172"/>
      <c r="F822" s="172"/>
      <c r="G822" s="173"/>
      <c r="H822" s="137"/>
      <c r="I822" s="137"/>
      <c r="J822" s="137"/>
      <c r="K822" s="129"/>
      <c r="L822" s="323"/>
      <c r="N822" s="172"/>
      <c r="O822" s="172"/>
      <c r="P822" s="172"/>
      <c r="Q822" s="172"/>
      <c r="R822" s="172"/>
      <c r="S822" s="428"/>
      <c r="T822" s="172"/>
      <c r="U822" s="172"/>
      <c r="V822" s="172"/>
      <c r="W822" s="429"/>
    </row>
    <row r="823">
      <c r="C823" s="172"/>
      <c r="D823" s="172"/>
      <c r="E823" s="172"/>
      <c r="F823" s="172"/>
      <c r="G823" s="173"/>
      <c r="H823" s="137"/>
      <c r="I823" s="137"/>
      <c r="J823" s="137"/>
      <c r="K823" s="129"/>
      <c r="L823" s="323"/>
      <c r="N823" s="172"/>
      <c r="O823" s="172"/>
      <c r="P823" s="172"/>
      <c r="Q823" s="172"/>
      <c r="R823" s="172"/>
      <c r="S823" s="428"/>
      <c r="T823" s="172"/>
      <c r="U823" s="172"/>
      <c r="V823" s="172"/>
      <c r="W823" s="429"/>
    </row>
    <row r="824">
      <c r="C824" s="172"/>
      <c r="D824" s="172"/>
      <c r="E824" s="172"/>
      <c r="F824" s="172"/>
      <c r="G824" s="173"/>
      <c r="H824" s="137"/>
      <c r="I824" s="137"/>
      <c r="J824" s="137"/>
      <c r="K824" s="129"/>
      <c r="L824" s="323"/>
      <c r="N824" s="172"/>
      <c r="O824" s="172"/>
      <c r="P824" s="172"/>
      <c r="Q824" s="172"/>
      <c r="R824" s="172"/>
      <c r="S824" s="428"/>
      <c r="T824" s="172"/>
      <c r="U824" s="172"/>
      <c r="V824" s="172"/>
      <c r="W824" s="429"/>
    </row>
    <row r="825">
      <c r="C825" s="172"/>
      <c r="D825" s="172"/>
      <c r="E825" s="172"/>
      <c r="F825" s="172"/>
      <c r="G825" s="173"/>
      <c r="H825" s="137"/>
      <c r="I825" s="137"/>
      <c r="J825" s="137"/>
      <c r="K825" s="129"/>
      <c r="L825" s="323"/>
      <c r="N825" s="172"/>
      <c r="O825" s="172"/>
      <c r="P825" s="172"/>
      <c r="Q825" s="172"/>
      <c r="R825" s="172"/>
      <c r="S825" s="428"/>
      <c r="T825" s="172"/>
      <c r="U825" s="172"/>
      <c r="V825" s="172"/>
      <c r="W825" s="429"/>
    </row>
    <row r="826">
      <c r="C826" s="172"/>
      <c r="D826" s="172"/>
      <c r="E826" s="172"/>
      <c r="F826" s="172"/>
      <c r="G826" s="173"/>
      <c r="H826" s="137"/>
      <c r="I826" s="137"/>
      <c r="J826" s="137"/>
      <c r="K826" s="129"/>
      <c r="L826" s="323"/>
      <c r="N826" s="172"/>
      <c r="O826" s="172"/>
      <c r="P826" s="172"/>
      <c r="Q826" s="172"/>
      <c r="R826" s="172"/>
      <c r="S826" s="428"/>
      <c r="T826" s="172"/>
      <c r="U826" s="172"/>
      <c r="V826" s="172"/>
      <c r="W826" s="429"/>
    </row>
    <row r="827">
      <c r="C827" s="172"/>
      <c r="D827" s="172"/>
      <c r="E827" s="172"/>
      <c r="F827" s="172"/>
      <c r="G827" s="173"/>
      <c r="H827" s="137"/>
      <c r="I827" s="137"/>
      <c r="J827" s="137"/>
      <c r="K827" s="129"/>
      <c r="L827" s="323"/>
      <c r="N827" s="172"/>
      <c r="O827" s="172"/>
      <c r="P827" s="172"/>
      <c r="Q827" s="172"/>
      <c r="R827" s="172"/>
      <c r="S827" s="428"/>
      <c r="T827" s="172"/>
      <c r="U827" s="172"/>
      <c r="V827" s="172"/>
      <c r="W827" s="429"/>
    </row>
    <row r="828">
      <c r="C828" s="172"/>
      <c r="D828" s="172"/>
      <c r="E828" s="172"/>
      <c r="F828" s="172"/>
      <c r="G828" s="173"/>
      <c r="H828" s="137"/>
      <c r="I828" s="137"/>
      <c r="J828" s="137"/>
      <c r="K828" s="129"/>
      <c r="L828" s="323"/>
      <c r="N828" s="172"/>
      <c r="O828" s="172"/>
      <c r="P828" s="172"/>
      <c r="Q828" s="172"/>
      <c r="R828" s="172"/>
      <c r="S828" s="428"/>
      <c r="T828" s="172"/>
      <c r="U828" s="172"/>
      <c r="V828" s="172"/>
      <c r="W828" s="429"/>
    </row>
    <row r="829">
      <c r="C829" s="172"/>
      <c r="D829" s="172"/>
      <c r="E829" s="172"/>
      <c r="F829" s="172"/>
      <c r="G829" s="173"/>
      <c r="H829" s="137"/>
      <c r="I829" s="137"/>
      <c r="J829" s="137"/>
      <c r="K829" s="129"/>
      <c r="L829" s="323"/>
      <c r="N829" s="172"/>
      <c r="O829" s="172"/>
      <c r="P829" s="172"/>
      <c r="Q829" s="172"/>
      <c r="R829" s="172"/>
      <c r="S829" s="428"/>
      <c r="T829" s="172"/>
      <c r="U829" s="172"/>
      <c r="V829" s="172"/>
      <c r="W829" s="429"/>
    </row>
    <row r="830">
      <c r="C830" s="172"/>
      <c r="D830" s="172"/>
      <c r="E830" s="172"/>
      <c r="F830" s="172"/>
      <c r="G830" s="173"/>
      <c r="H830" s="137"/>
      <c r="I830" s="137"/>
      <c r="J830" s="137"/>
      <c r="K830" s="129"/>
      <c r="L830" s="323"/>
      <c r="N830" s="172"/>
      <c r="O830" s="172"/>
      <c r="P830" s="172"/>
      <c r="Q830" s="172"/>
      <c r="R830" s="172"/>
      <c r="S830" s="428"/>
      <c r="T830" s="172"/>
      <c r="U830" s="172"/>
      <c r="V830" s="172"/>
      <c r="W830" s="429"/>
    </row>
    <row r="831">
      <c r="C831" s="172"/>
      <c r="D831" s="172"/>
      <c r="E831" s="172"/>
      <c r="F831" s="172"/>
      <c r="G831" s="173"/>
      <c r="H831" s="137"/>
      <c r="I831" s="137"/>
      <c r="J831" s="137"/>
      <c r="K831" s="129"/>
      <c r="L831" s="323"/>
      <c r="N831" s="172"/>
      <c r="O831" s="172"/>
      <c r="P831" s="172"/>
      <c r="Q831" s="172"/>
      <c r="R831" s="172"/>
      <c r="S831" s="428"/>
      <c r="T831" s="172"/>
      <c r="U831" s="172"/>
      <c r="V831" s="172"/>
      <c r="W831" s="429"/>
    </row>
    <row r="832">
      <c r="C832" s="172"/>
      <c r="D832" s="172"/>
      <c r="E832" s="172"/>
      <c r="F832" s="172"/>
      <c r="G832" s="173"/>
      <c r="H832" s="137"/>
      <c r="I832" s="137"/>
      <c r="J832" s="137"/>
      <c r="K832" s="129"/>
      <c r="L832" s="323"/>
      <c r="N832" s="172"/>
      <c r="O832" s="172"/>
      <c r="P832" s="172"/>
      <c r="Q832" s="172"/>
      <c r="R832" s="172"/>
      <c r="S832" s="428"/>
      <c r="T832" s="172"/>
      <c r="U832" s="172"/>
      <c r="V832" s="172"/>
      <c r="W832" s="429"/>
    </row>
    <row r="833">
      <c r="C833" s="172"/>
      <c r="D833" s="172"/>
      <c r="E833" s="172"/>
      <c r="F833" s="172"/>
      <c r="G833" s="173"/>
      <c r="H833" s="137"/>
      <c r="I833" s="137"/>
      <c r="J833" s="137"/>
      <c r="K833" s="129"/>
      <c r="L833" s="323"/>
      <c r="N833" s="172"/>
      <c r="O833" s="172"/>
      <c r="P833" s="172"/>
      <c r="Q833" s="172"/>
      <c r="R833" s="172"/>
      <c r="S833" s="428"/>
      <c r="T833" s="172"/>
      <c r="U833" s="172"/>
      <c r="V833" s="172"/>
      <c r="W833" s="429"/>
    </row>
    <row r="834">
      <c r="C834" s="172"/>
      <c r="D834" s="172"/>
      <c r="E834" s="172"/>
      <c r="F834" s="172"/>
      <c r="G834" s="173"/>
      <c r="H834" s="137"/>
      <c r="I834" s="137"/>
      <c r="J834" s="137"/>
      <c r="K834" s="129"/>
      <c r="L834" s="323"/>
      <c r="N834" s="172"/>
      <c r="O834" s="172"/>
      <c r="P834" s="172"/>
      <c r="Q834" s="172"/>
      <c r="R834" s="172"/>
      <c r="S834" s="428"/>
      <c r="T834" s="172"/>
      <c r="U834" s="172"/>
      <c r="V834" s="172"/>
      <c r="W834" s="429"/>
    </row>
    <row r="835">
      <c r="C835" s="172"/>
      <c r="D835" s="172"/>
      <c r="E835" s="172"/>
      <c r="F835" s="172"/>
      <c r="G835" s="173"/>
      <c r="H835" s="137"/>
      <c r="I835" s="137"/>
      <c r="J835" s="137"/>
      <c r="K835" s="129"/>
      <c r="L835" s="323"/>
      <c r="N835" s="172"/>
      <c r="O835" s="172"/>
      <c r="P835" s="172"/>
      <c r="Q835" s="172"/>
      <c r="R835" s="172"/>
      <c r="S835" s="428"/>
      <c r="T835" s="172"/>
      <c r="U835" s="172"/>
      <c r="V835" s="172"/>
      <c r="W835" s="429"/>
    </row>
    <row r="836">
      <c r="C836" s="172"/>
      <c r="D836" s="172"/>
      <c r="E836" s="172"/>
      <c r="F836" s="172"/>
      <c r="G836" s="173"/>
      <c r="H836" s="137"/>
      <c r="I836" s="137"/>
      <c r="J836" s="137"/>
      <c r="K836" s="129"/>
      <c r="L836" s="323"/>
      <c r="N836" s="172"/>
      <c r="O836" s="172"/>
      <c r="P836" s="172"/>
      <c r="Q836" s="172"/>
      <c r="R836" s="172"/>
      <c r="S836" s="428"/>
      <c r="T836" s="172"/>
      <c r="U836" s="172"/>
      <c r="V836" s="172"/>
      <c r="W836" s="429"/>
    </row>
    <row r="837">
      <c r="C837" s="172"/>
      <c r="D837" s="172"/>
      <c r="E837" s="172"/>
      <c r="F837" s="172"/>
      <c r="G837" s="173"/>
      <c r="H837" s="137"/>
      <c r="I837" s="137"/>
      <c r="J837" s="137"/>
      <c r="K837" s="129"/>
      <c r="L837" s="323"/>
      <c r="N837" s="172"/>
      <c r="O837" s="172"/>
      <c r="P837" s="172"/>
      <c r="Q837" s="172"/>
      <c r="R837" s="172"/>
      <c r="S837" s="428"/>
      <c r="T837" s="172"/>
      <c r="U837" s="172"/>
      <c r="V837" s="172"/>
      <c r="W837" s="429"/>
    </row>
    <row r="838">
      <c r="C838" s="172"/>
      <c r="D838" s="172"/>
      <c r="E838" s="172"/>
      <c r="F838" s="172"/>
      <c r="G838" s="173"/>
      <c r="H838" s="137"/>
      <c r="I838" s="137"/>
      <c r="J838" s="137"/>
      <c r="K838" s="129"/>
      <c r="L838" s="323"/>
      <c r="N838" s="172"/>
      <c r="O838" s="172"/>
      <c r="P838" s="172"/>
      <c r="Q838" s="172"/>
      <c r="R838" s="172"/>
      <c r="S838" s="428"/>
      <c r="T838" s="172"/>
      <c r="U838" s="172"/>
      <c r="V838" s="172"/>
      <c r="W838" s="429"/>
    </row>
    <row r="839">
      <c r="C839" s="172"/>
      <c r="D839" s="172"/>
      <c r="E839" s="172"/>
      <c r="F839" s="172"/>
      <c r="G839" s="173"/>
      <c r="H839" s="137"/>
      <c r="I839" s="137"/>
      <c r="J839" s="137"/>
      <c r="K839" s="129"/>
      <c r="L839" s="323"/>
      <c r="N839" s="172"/>
      <c r="O839" s="172"/>
      <c r="P839" s="172"/>
      <c r="Q839" s="172"/>
      <c r="R839" s="172"/>
      <c r="S839" s="428"/>
      <c r="T839" s="172"/>
      <c r="U839" s="172"/>
      <c r="V839" s="172"/>
      <c r="W839" s="429"/>
    </row>
    <row r="840">
      <c r="C840" s="172"/>
      <c r="D840" s="172"/>
      <c r="E840" s="172"/>
      <c r="F840" s="172"/>
      <c r="G840" s="173"/>
      <c r="H840" s="137"/>
      <c r="I840" s="137"/>
      <c r="J840" s="137"/>
      <c r="K840" s="129"/>
      <c r="L840" s="323"/>
      <c r="N840" s="172"/>
      <c r="O840" s="172"/>
      <c r="P840" s="172"/>
      <c r="Q840" s="172"/>
      <c r="R840" s="172"/>
      <c r="S840" s="428"/>
      <c r="T840" s="172"/>
      <c r="U840" s="172"/>
      <c r="V840" s="172"/>
      <c r="W840" s="429"/>
    </row>
    <row r="841">
      <c r="C841" s="172"/>
      <c r="D841" s="172"/>
      <c r="E841" s="172"/>
      <c r="F841" s="172"/>
      <c r="G841" s="173"/>
      <c r="H841" s="137"/>
      <c r="I841" s="137"/>
      <c r="J841" s="137"/>
      <c r="K841" s="129"/>
      <c r="L841" s="323"/>
      <c r="N841" s="172"/>
      <c r="O841" s="172"/>
      <c r="P841" s="172"/>
      <c r="Q841" s="172"/>
      <c r="R841" s="172"/>
      <c r="S841" s="428"/>
      <c r="T841" s="172"/>
      <c r="U841" s="172"/>
      <c r="V841" s="172"/>
      <c r="W841" s="429"/>
    </row>
    <row r="842">
      <c r="C842" s="172"/>
      <c r="D842" s="172"/>
      <c r="E842" s="172"/>
      <c r="F842" s="172"/>
      <c r="G842" s="173"/>
      <c r="H842" s="137"/>
      <c r="I842" s="137"/>
      <c r="J842" s="137"/>
      <c r="K842" s="129"/>
      <c r="L842" s="323"/>
      <c r="N842" s="172"/>
      <c r="O842" s="172"/>
      <c r="P842" s="172"/>
      <c r="Q842" s="172"/>
      <c r="R842" s="172"/>
      <c r="S842" s="428"/>
      <c r="T842" s="172"/>
      <c r="U842" s="172"/>
      <c r="V842" s="172"/>
      <c r="W842" s="429"/>
    </row>
    <row r="843">
      <c r="C843" s="172"/>
      <c r="D843" s="172"/>
      <c r="E843" s="172"/>
      <c r="F843" s="172"/>
      <c r="G843" s="173"/>
      <c r="H843" s="137"/>
      <c r="I843" s="137"/>
      <c r="J843" s="137"/>
      <c r="K843" s="129"/>
      <c r="L843" s="323"/>
      <c r="N843" s="172"/>
      <c r="O843" s="172"/>
      <c r="P843" s="172"/>
      <c r="Q843" s="172"/>
      <c r="R843" s="172"/>
      <c r="S843" s="428"/>
      <c r="T843" s="172"/>
      <c r="U843" s="172"/>
      <c r="V843" s="172"/>
      <c r="W843" s="429"/>
    </row>
    <row r="844">
      <c r="C844" s="172"/>
      <c r="D844" s="172"/>
      <c r="E844" s="172"/>
      <c r="F844" s="172"/>
      <c r="G844" s="173"/>
      <c r="H844" s="137"/>
      <c r="I844" s="137"/>
      <c r="J844" s="137"/>
      <c r="K844" s="129"/>
      <c r="L844" s="323"/>
      <c r="N844" s="172"/>
      <c r="O844" s="172"/>
      <c r="P844" s="172"/>
      <c r="Q844" s="172"/>
      <c r="R844" s="172"/>
      <c r="S844" s="428"/>
      <c r="T844" s="172"/>
      <c r="U844" s="172"/>
      <c r="V844" s="172"/>
      <c r="W844" s="429"/>
    </row>
    <row r="845">
      <c r="C845" s="172"/>
      <c r="D845" s="172"/>
      <c r="E845" s="172"/>
      <c r="F845" s="172"/>
      <c r="G845" s="173"/>
      <c r="H845" s="137"/>
      <c r="I845" s="137"/>
      <c r="J845" s="137"/>
      <c r="K845" s="129"/>
      <c r="L845" s="323"/>
      <c r="N845" s="172"/>
      <c r="O845" s="172"/>
      <c r="P845" s="172"/>
      <c r="Q845" s="172"/>
      <c r="R845" s="172"/>
      <c r="S845" s="428"/>
      <c r="T845" s="172"/>
      <c r="U845" s="172"/>
      <c r="V845" s="172"/>
      <c r="W845" s="429"/>
    </row>
    <row r="846">
      <c r="C846" s="172"/>
      <c r="D846" s="172"/>
      <c r="E846" s="172"/>
      <c r="F846" s="172"/>
      <c r="G846" s="173"/>
      <c r="H846" s="137"/>
      <c r="I846" s="137"/>
      <c r="J846" s="137"/>
      <c r="K846" s="129"/>
      <c r="L846" s="323"/>
      <c r="N846" s="172"/>
      <c r="O846" s="172"/>
      <c r="P846" s="172"/>
      <c r="Q846" s="172"/>
      <c r="R846" s="172"/>
      <c r="S846" s="428"/>
      <c r="T846" s="172"/>
      <c r="U846" s="172"/>
      <c r="V846" s="172"/>
      <c r="W846" s="429"/>
    </row>
    <row r="847">
      <c r="C847" s="172"/>
      <c r="D847" s="172"/>
      <c r="E847" s="172"/>
      <c r="F847" s="172"/>
      <c r="G847" s="173"/>
      <c r="H847" s="137"/>
      <c r="I847" s="137"/>
      <c r="J847" s="137"/>
      <c r="K847" s="129"/>
      <c r="L847" s="323"/>
      <c r="N847" s="172"/>
      <c r="O847" s="172"/>
      <c r="P847" s="172"/>
      <c r="Q847" s="172"/>
      <c r="R847" s="172"/>
      <c r="S847" s="428"/>
      <c r="T847" s="172"/>
      <c r="U847" s="172"/>
      <c r="V847" s="172"/>
      <c r="W847" s="429"/>
    </row>
    <row r="848">
      <c r="C848" s="172"/>
      <c r="D848" s="172"/>
      <c r="E848" s="172"/>
      <c r="F848" s="172"/>
      <c r="G848" s="173"/>
      <c r="H848" s="137"/>
      <c r="I848" s="137"/>
      <c r="J848" s="137"/>
      <c r="K848" s="129"/>
      <c r="L848" s="323"/>
      <c r="N848" s="172"/>
      <c r="O848" s="172"/>
      <c r="P848" s="172"/>
      <c r="Q848" s="172"/>
      <c r="R848" s="172"/>
      <c r="S848" s="428"/>
      <c r="T848" s="172"/>
      <c r="U848" s="172"/>
      <c r="V848" s="172"/>
      <c r="W848" s="429"/>
    </row>
    <row r="849">
      <c r="C849" s="172"/>
      <c r="D849" s="172"/>
      <c r="E849" s="172"/>
      <c r="F849" s="172"/>
      <c r="G849" s="173"/>
      <c r="H849" s="137"/>
      <c r="I849" s="137"/>
      <c r="J849" s="137"/>
      <c r="K849" s="129"/>
      <c r="L849" s="323"/>
      <c r="N849" s="172"/>
      <c r="O849" s="172"/>
      <c r="P849" s="172"/>
      <c r="Q849" s="172"/>
      <c r="R849" s="172"/>
      <c r="S849" s="428"/>
      <c r="T849" s="172"/>
      <c r="U849" s="172"/>
      <c r="V849" s="172"/>
      <c r="W849" s="429"/>
    </row>
    <row r="850">
      <c r="C850" s="172"/>
      <c r="D850" s="172"/>
      <c r="E850" s="172"/>
      <c r="F850" s="172"/>
      <c r="G850" s="173"/>
      <c r="H850" s="137"/>
      <c r="I850" s="137"/>
      <c r="J850" s="137"/>
      <c r="K850" s="129"/>
      <c r="L850" s="323"/>
      <c r="N850" s="172"/>
      <c r="O850" s="172"/>
      <c r="P850" s="172"/>
      <c r="Q850" s="172"/>
      <c r="R850" s="172"/>
      <c r="S850" s="428"/>
      <c r="T850" s="172"/>
      <c r="U850" s="172"/>
      <c r="V850" s="172"/>
      <c r="W850" s="429"/>
    </row>
    <row r="851">
      <c r="C851" s="172"/>
      <c r="D851" s="172"/>
      <c r="E851" s="172"/>
      <c r="F851" s="172"/>
      <c r="G851" s="173"/>
      <c r="H851" s="137"/>
      <c r="I851" s="137"/>
      <c r="J851" s="137"/>
      <c r="K851" s="129"/>
      <c r="L851" s="323"/>
      <c r="N851" s="172"/>
      <c r="O851" s="172"/>
      <c r="P851" s="172"/>
      <c r="Q851" s="172"/>
      <c r="R851" s="172"/>
      <c r="S851" s="428"/>
      <c r="T851" s="172"/>
      <c r="U851" s="172"/>
      <c r="V851" s="172"/>
      <c r="W851" s="429"/>
    </row>
    <row r="852">
      <c r="C852" s="172"/>
      <c r="D852" s="172"/>
      <c r="E852" s="172"/>
      <c r="F852" s="172"/>
      <c r="G852" s="173"/>
      <c r="H852" s="137"/>
      <c r="I852" s="137"/>
      <c r="J852" s="137"/>
      <c r="K852" s="129"/>
      <c r="L852" s="323"/>
      <c r="N852" s="172"/>
      <c r="O852" s="172"/>
      <c r="P852" s="172"/>
      <c r="Q852" s="172"/>
      <c r="R852" s="172"/>
      <c r="S852" s="428"/>
      <c r="T852" s="172"/>
      <c r="U852" s="172"/>
      <c r="V852" s="172"/>
      <c r="W852" s="429"/>
    </row>
    <row r="853">
      <c r="C853" s="172"/>
      <c r="D853" s="172"/>
      <c r="E853" s="172"/>
      <c r="F853" s="172"/>
      <c r="G853" s="173"/>
      <c r="H853" s="137"/>
      <c r="I853" s="137"/>
      <c r="J853" s="137"/>
      <c r="K853" s="129"/>
      <c r="L853" s="323"/>
      <c r="N853" s="172"/>
      <c r="O853" s="172"/>
      <c r="P853" s="172"/>
      <c r="Q853" s="172"/>
      <c r="R853" s="172"/>
      <c r="S853" s="428"/>
      <c r="T853" s="172"/>
      <c r="U853" s="172"/>
      <c r="V853" s="172"/>
      <c r="W853" s="429"/>
    </row>
    <row r="854">
      <c r="C854" s="172"/>
      <c r="D854" s="172"/>
      <c r="E854" s="172"/>
      <c r="F854" s="172"/>
      <c r="G854" s="173"/>
      <c r="H854" s="137"/>
      <c r="I854" s="137"/>
      <c r="J854" s="137"/>
      <c r="K854" s="129"/>
      <c r="L854" s="323"/>
      <c r="N854" s="172"/>
      <c r="O854" s="172"/>
      <c r="P854" s="172"/>
      <c r="Q854" s="172"/>
      <c r="R854" s="172"/>
      <c r="S854" s="428"/>
      <c r="T854" s="172"/>
      <c r="U854" s="172"/>
      <c r="V854" s="172"/>
      <c r="W854" s="429"/>
    </row>
    <row r="855">
      <c r="C855" s="172"/>
      <c r="D855" s="172"/>
      <c r="E855" s="172"/>
      <c r="F855" s="172"/>
      <c r="G855" s="173"/>
      <c r="H855" s="137"/>
      <c r="I855" s="137"/>
      <c r="J855" s="137"/>
      <c r="K855" s="129"/>
      <c r="L855" s="323"/>
      <c r="N855" s="172"/>
      <c r="O855" s="172"/>
      <c r="P855" s="172"/>
      <c r="Q855" s="172"/>
      <c r="R855" s="172"/>
      <c r="S855" s="428"/>
      <c r="T855" s="172"/>
      <c r="U855" s="172"/>
      <c r="V855" s="172"/>
      <c r="W855" s="429"/>
    </row>
    <row r="856">
      <c r="C856" s="172"/>
      <c r="D856" s="172"/>
      <c r="E856" s="172"/>
      <c r="F856" s="172"/>
      <c r="G856" s="173"/>
      <c r="H856" s="137"/>
      <c r="I856" s="137"/>
      <c r="J856" s="137"/>
      <c r="K856" s="129"/>
      <c r="L856" s="323"/>
      <c r="N856" s="172"/>
      <c r="O856" s="172"/>
      <c r="P856" s="172"/>
      <c r="Q856" s="172"/>
      <c r="R856" s="172"/>
      <c r="S856" s="428"/>
      <c r="T856" s="172"/>
      <c r="U856" s="172"/>
      <c r="V856" s="172"/>
      <c r="W856" s="429"/>
    </row>
    <row r="857">
      <c r="C857" s="172"/>
      <c r="D857" s="172"/>
      <c r="E857" s="172"/>
      <c r="F857" s="172"/>
      <c r="G857" s="173"/>
      <c r="H857" s="137"/>
      <c r="I857" s="137"/>
      <c r="J857" s="137"/>
      <c r="K857" s="129"/>
      <c r="L857" s="323"/>
      <c r="N857" s="172"/>
      <c r="O857" s="172"/>
      <c r="P857" s="172"/>
      <c r="Q857" s="172"/>
      <c r="R857" s="172"/>
      <c r="S857" s="428"/>
      <c r="T857" s="172"/>
      <c r="U857" s="172"/>
      <c r="V857" s="172"/>
      <c r="W857" s="429"/>
    </row>
    <row r="858">
      <c r="C858" s="172"/>
      <c r="D858" s="172"/>
      <c r="E858" s="172"/>
      <c r="F858" s="172"/>
      <c r="G858" s="173"/>
      <c r="H858" s="137"/>
      <c r="I858" s="137"/>
      <c r="J858" s="137"/>
      <c r="K858" s="129"/>
      <c r="L858" s="323"/>
      <c r="N858" s="172"/>
      <c r="O858" s="172"/>
      <c r="P858" s="172"/>
      <c r="Q858" s="172"/>
      <c r="R858" s="172"/>
      <c r="S858" s="428"/>
      <c r="T858" s="172"/>
      <c r="U858" s="172"/>
      <c r="V858" s="172"/>
      <c r="W858" s="429"/>
    </row>
    <row r="859">
      <c r="C859" s="172"/>
      <c r="D859" s="172"/>
      <c r="E859" s="172"/>
      <c r="F859" s="172"/>
      <c r="G859" s="173"/>
      <c r="H859" s="137"/>
      <c r="I859" s="137"/>
      <c r="J859" s="137"/>
      <c r="K859" s="129"/>
      <c r="L859" s="323"/>
      <c r="N859" s="172"/>
      <c r="O859" s="172"/>
      <c r="P859" s="172"/>
      <c r="Q859" s="172"/>
      <c r="R859" s="172"/>
      <c r="S859" s="428"/>
      <c r="T859" s="172"/>
      <c r="U859" s="172"/>
      <c r="V859" s="172"/>
      <c r="W859" s="429"/>
    </row>
    <row r="860">
      <c r="C860" s="172"/>
      <c r="D860" s="172"/>
      <c r="E860" s="172"/>
      <c r="F860" s="172"/>
      <c r="G860" s="173"/>
      <c r="H860" s="137"/>
      <c r="I860" s="137"/>
      <c r="J860" s="137"/>
      <c r="K860" s="129"/>
      <c r="L860" s="323"/>
      <c r="N860" s="172"/>
      <c r="O860" s="172"/>
      <c r="P860" s="172"/>
      <c r="Q860" s="172"/>
      <c r="R860" s="172"/>
      <c r="S860" s="428"/>
      <c r="T860" s="172"/>
      <c r="U860" s="172"/>
      <c r="V860" s="172"/>
      <c r="W860" s="429"/>
    </row>
    <row r="861">
      <c r="C861" s="172"/>
      <c r="D861" s="172"/>
      <c r="E861" s="172"/>
      <c r="F861" s="172"/>
      <c r="G861" s="173"/>
      <c r="H861" s="137"/>
      <c r="I861" s="137"/>
      <c r="J861" s="137"/>
      <c r="K861" s="129"/>
      <c r="L861" s="323"/>
      <c r="N861" s="172"/>
      <c r="O861" s="172"/>
      <c r="P861" s="172"/>
      <c r="Q861" s="172"/>
      <c r="R861" s="172"/>
      <c r="S861" s="428"/>
      <c r="T861" s="172"/>
      <c r="U861" s="172"/>
      <c r="V861" s="172"/>
      <c r="W861" s="429"/>
    </row>
    <row r="862">
      <c r="C862" s="172"/>
      <c r="D862" s="172"/>
      <c r="E862" s="172"/>
      <c r="F862" s="172"/>
      <c r="G862" s="173"/>
      <c r="H862" s="137"/>
      <c r="I862" s="137"/>
      <c r="J862" s="137"/>
      <c r="K862" s="129"/>
      <c r="L862" s="323"/>
      <c r="N862" s="172"/>
      <c r="O862" s="172"/>
      <c r="P862" s="172"/>
      <c r="Q862" s="172"/>
      <c r="R862" s="172"/>
      <c r="S862" s="428"/>
      <c r="T862" s="172"/>
      <c r="U862" s="172"/>
      <c r="V862" s="172"/>
      <c r="W862" s="429"/>
    </row>
    <row r="863">
      <c r="C863" s="172"/>
      <c r="D863" s="172"/>
      <c r="E863" s="172"/>
      <c r="F863" s="172"/>
      <c r="G863" s="173"/>
      <c r="H863" s="137"/>
      <c r="I863" s="137"/>
      <c r="J863" s="137"/>
      <c r="K863" s="129"/>
      <c r="L863" s="323"/>
      <c r="N863" s="172"/>
      <c r="O863" s="172"/>
      <c r="P863" s="172"/>
      <c r="Q863" s="172"/>
      <c r="R863" s="172"/>
      <c r="S863" s="428"/>
      <c r="T863" s="172"/>
      <c r="U863" s="172"/>
      <c r="V863" s="172"/>
      <c r="W863" s="429"/>
    </row>
    <row r="864">
      <c r="C864" s="172"/>
      <c r="D864" s="172"/>
      <c r="E864" s="172"/>
      <c r="F864" s="172"/>
      <c r="G864" s="173"/>
      <c r="H864" s="137"/>
      <c r="I864" s="137"/>
      <c r="J864" s="137"/>
      <c r="K864" s="129"/>
      <c r="L864" s="323"/>
      <c r="N864" s="172"/>
      <c r="O864" s="172"/>
      <c r="P864" s="172"/>
      <c r="Q864" s="172"/>
      <c r="R864" s="172"/>
      <c r="S864" s="428"/>
      <c r="T864" s="172"/>
      <c r="U864" s="172"/>
      <c r="V864" s="172"/>
      <c r="W864" s="429"/>
    </row>
    <row r="865">
      <c r="C865" s="172"/>
      <c r="D865" s="172"/>
      <c r="E865" s="172"/>
      <c r="F865" s="172"/>
      <c r="G865" s="173"/>
      <c r="H865" s="137"/>
      <c r="I865" s="137"/>
      <c r="J865" s="137"/>
      <c r="K865" s="129"/>
      <c r="L865" s="323"/>
      <c r="N865" s="172"/>
      <c r="O865" s="172"/>
      <c r="P865" s="172"/>
      <c r="Q865" s="172"/>
      <c r="R865" s="172"/>
      <c r="S865" s="428"/>
      <c r="T865" s="172"/>
      <c r="U865" s="172"/>
      <c r="V865" s="172"/>
      <c r="W865" s="429"/>
    </row>
    <row r="866">
      <c r="C866" s="172"/>
      <c r="D866" s="172"/>
      <c r="E866" s="172"/>
      <c r="F866" s="172"/>
      <c r="G866" s="173"/>
      <c r="H866" s="137"/>
      <c r="I866" s="137"/>
      <c r="J866" s="137"/>
      <c r="K866" s="129"/>
      <c r="L866" s="323"/>
      <c r="N866" s="172"/>
      <c r="O866" s="172"/>
      <c r="P866" s="172"/>
      <c r="Q866" s="172"/>
      <c r="R866" s="172"/>
      <c r="S866" s="428"/>
      <c r="T866" s="172"/>
      <c r="U866" s="172"/>
      <c r="V866" s="172"/>
      <c r="W866" s="429"/>
    </row>
    <row r="867">
      <c r="C867" s="172"/>
      <c r="D867" s="172"/>
      <c r="E867" s="172"/>
      <c r="F867" s="172"/>
      <c r="G867" s="173"/>
      <c r="H867" s="137"/>
      <c r="I867" s="137"/>
      <c r="J867" s="137"/>
      <c r="K867" s="129"/>
      <c r="L867" s="323"/>
      <c r="N867" s="172"/>
      <c r="O867" s="172"/>
      <c r="P867" s="172"/>
      <c r="Q867" s="172"/>
      <c r="R867" s="172"/>
      <c r="S867" s="428"/>
      <c r="T867" s="172"/>
      <c r="U867" s="172"/>
      <c r="V867" s="172"/>
      <c r="W867" s="429"/>
    </row>
    <row r="868">
      <c r="C868" s="172"/>
      <c r="D868" s="172"/>
      <c r="E868" s="172"/>
      <c r="F868" s="172"/>
      <c r="G868" s="173"/>
      <c r="H868" s="137"/>
      <c r="I868" s="137"/>
      <c r="J868" s="137"/>
      <c r="K868" s="129"/>
      <c r="L868" s="323"/>
      <c r="N868" s="172"/>
      <c r="O868" s="172"/>
      <c r="P868" s="172"/>
      <c r="Q868" s="172"/>
      <c r="R868" s="172"/>
      <c r="S868" s="428"/>
      <c r="T868" s="172"/>
      <c r="U868" s="172"/>
      <c r="V868" s="172"/>
      <c r="W868" s="429"/>
    </row>
    <row r="869">
      <c r="C869" s="172"/>
      <c r="D869" s="172"/>
      <c r="E869" s="172"/>
      <c r="F869" s="172"/>
      <c r="G869" s="173"/>
      <c r="H869" s="137"/>
      <c r="I869" s="137"/>
      <c r="J869" s="137"/>
      <c r="K869" s="129"/>
      <c r="L869" s="323"/>
      <c r="N869" s="172"/>
      <c r="O869" s="172"/>
      <c r="P869" s="172"/>
      <c r="Q869" s="172"/>
      <c r="R869" s="172"/>
      <c r="S869" s="428"/>
      <c r="T869" s="172"/>
      <c r="U869" s="172"/>
      <c r="V869" s="172"/>
      <c r="W869" s="429"/>
    </row>
    <row r="870">
      <c r="C870" s="172"/>
      <c r="D870" s="172"/>
      <c r="E870" s="172"/>
      <c r="F870" s="172"/>
      <c r="G870" s="173"/>
      <c r="H870" s="137"/>
      <c r="I870" s="137"/>
      <c r="J870" s="137"/>
      <c r="K870" s="129"/>
      <c r="L870" s="323"/>
      <c r="N870" s="172"/>
      <c r="O870" s="172"/>
      <c r="P870" s="172"/>
      <c r="Q870" s="172"/>
      <c r="R870" s="172"/>
      <c r="S870" s="428"/>
      <c r="T870" s="172"/>
      <c r="U870" s="172"/>
      <c r="V870" s="172"/>
      <c r="W870" s="429"/>
    </row>
    <row r="871">
      <c r="C871" s="172"/>
      <c r="D871" s="172"/>
      <c r="E871" s="172"/>
      <c r="F871" s="172"/>
      <c r="G871" s="173"/>
      <c r="H871" s="137"/>
      <c r="I871" s="137"/>
      <c r="J871" s="137"/>
      <c r="K871" s="129"/>
      <c r="L871" s="323"/>
      <c r="N871" s="172"/>
      <c r="O871" s="172"/>
      <c r="P871" s="172"/>
      <c r="Q871" s="172"/>
      <c r="R871" s="172"/>
      <c r="S871" s="428"/>
      <c r="T871" s="172"/>
      <c r="U871" s="172"/>
      <c r="V871" s="172"/>
      <c r="W871" s="429"/>
    </row>
    <row r="872">
      <c r="C872" s="172"/>
      <c r="D872" s="172"/>
      <c r="E872" s="172"/>
      <c r="F872" s="172"/>
      <c r="G872" s="173"/>
      <c r="H872" s="137"/>
      <c r="I872" s="137"/>
      <c r="J872" s="137"/>
      <c r="K872" s="129"/>
      <c r="L872" s="323"/>
      <c r="N872" s="172"/>
      <c r="O872" s="172"/>
      <c r="P872" s="172"/>
      <c r="Q872" s="172"/>
      <c r="R872" s="172"/>
      <c r="S872" s="428"/>
      <c r="T872" s="172"/>
      <c r="U872" s="172"/>
      <c r="V872" s="172"/>
      <c r="W872" s="429"/>
    </row>
    <row r="873">
      <c r="C873" s="172"/>
      <c r="D873" s="172"/>
      <c r="E873" s="172"/>
      <c r="F873" s="172"/>
      <c r="G873" s="173"/>
      <c r="H873" s="137"/>
      <c r="I873" s="137"/>
      <c r="J873" s="137"/>
      <c r="K873" s="129"/>
      <c r="L873" s="323"/>
      <c r="N873" s="172"/>
      <c r="O873" s="172"/>
      <c r="P873" s="172"/>
      <c r="Q873" s="172"/>
      <c r="R873" s="172"/>
      <c r="S873" s="428"/>
      <c r="T873" s="172"/>
      <c r="U873" s="172"/>
      <c r="V873" s="172"/>
      <c r="W873" s="429"/>
    </row>
    <row r="874">
      <c r="C874" s="172"/>
      <c r="D874" s="172"/>
      <c r="E874" s="172"/>
      <c r="F874" s="172"/>
      <c r="G874" s="173"/>
      <c r="H874" s="137"/>
      <c r="I874" s="137"/>
      <c r="J874" s="137"/>
      <c r="K874" s="129"/>
      <c r="L874" s="323"/>
      <c r="N874" s="172"/>
      <c r="O874" s="172"/>
      <c r="P874" s="172"/>
      <c r="Q874" s="172"/>
      <c r="R874" s="172"/>
      <c r="S874" s="428"/>
      <c r="T874" s="172"/>
      <c r="U874" s="172"/>
      <c r="V874" s="172"/>
      <c r="W874" s="429"/>
    </row>
    <row r="875">
      <c r="C875" s="172"/>
      <c r="D875" s="172"/>
      <c r="E875" s="172"/>
      <c r="F875" s="172"/>
      <c r="G875" s="173"/>
      <c r="H875" s="137"/>
      <c r="I875" s="137"/>
      <c r="J875" s="137"/>
      <c r="K875" s="129"/>
      <c r="L875" s="323"/>
      <c r="N875" s="172"/>
      <c r="O875" s="172"/>
      <c r="P875" s="172"/>
      <c r="Q875" s="172"/>
      <c r="R875" s="172"/>
      <c r="S875" s="428"/>
      <c r="T875" s="172"/>
      <c r="U875" s="172"/>
      <c r="V875" s="172"/>
      <c r="W875" s="429"/>
    </row>
    <row r="876">
      <c r="C876" s="172"/>
      <c r="D876" s="172"/>
      <c r="E876" s="172"/>
      <c r="F876" s="172"/>
      <c r="G876" s="173"/>
      <c r="H876" s="137"/>
      <c r="I876" s="137"/>
      <c r="J876" s="137"/>
      <c r="K876" s="129"/>
      <c r="L876" s="323"/>
      <c r="N876" s="172"/>
      <c r="O876" s="172"/>
      <c r="P876" s="172"/>
      <c r="Q876" s="172"/>
      <c r="R876" s="172"/>
      <c r="S876" s="428"/>
      <c r="T876" s="172"/>
      <c r="U876" s="172"/>
      <c r="V876" s="172"/>
      <c r="W876" s="429"/>
    </row>
    <row r="877">
      <c r="C877" s="172"/>
      <c r="D877" s="172"/>
      <c r="E877" s="172"/>
      <c r="F877" s="172"/>
      <c r="G877" s="173"/>
      <c r="H877" s="137"/>
      <c r="I877" s="137"/>
      <c r="J877" s="137"/>
      <c r="K877" s="129"/>
      <c r="L877" s="323"/>
      <c r="N877" s="172"/>
      <c r="O877" s="172"/>
      <c r="P877" s="172"/>
      <c r="Q877" s="172"/>
      <c r="R877" s="172"/>
      <c r="S877" s="428"/>
      <c r="T877" s="172"/>
      <c r="U877" s="172"/>
      <c r="V877" s="172"/>
      <c r="W877" s="429"/>
    </row>
    <row r="878">
      <c r="C878" s="172"/>
      <c r="D878" s="172"/>
      <c r="E878" s="172"/>
      <c r="F878" s="172"/>
      <c r="G878" s="173"/>
      <c r="H878" s="137"/>
      <c r="I878" s="137"/>
      <c r="J878" s="137"/>
      <c r="K878" s="129"/>
      <c r="L878" s="323"/>
      <c r="N878" s="172"/>
      <c r="O878" s="172"/>
      <c r="P878" s="172"/>
      <c r="Q878" s="172"/>
      <c r="R878" s="172"/>
      <c r="S878" s="428"/>
      <c r="T878" s="172"/>
      <c r="U878" s="172"/>
      <c r="V878" s="172"/>
      <c r="W878" s="429"/>
    </row>
    <row r="879">
      <c r="C879" s="172"/>
      <c r="D879" s="172"/>
      <c r="E879" s="172"/>
      <c r="F879" s="172"/>
      <c r="G879" s="173"/>
      <c r="H879" s="137"/>
      <c r="I879" s="137"/>
      <c r="J879" s="137"/>
      <c r="K879" s="129"/>
      <c r="L879" s="323"/>
      <c r="N879" s="172"/>
      <c r="O879" s="172"/>
      <c r="P879" s="172"/>
      <c r="Q879" s="172"/>
      <c r="R879" s="172"/>
      <c r="S879" s="428"/>
      <c r="T879" s="172"/>
      <c r="U879" s="172"/>
      <c r="V879" s="172"/>
      <c r="W879" s="429"/>
    </row>
    <row r="880">
      <c r="C880" s="172"/>
      <c r="D880" s="172"/>
      <c r="E880" s="172"/>
      <c r="F880" s="172"/>
      <c r="G880" s="173"/>
      <c r="H880" s="137"/>
      <c r="I880" s="137"/>
      <c r="J880" s="137"/>
      <c r="K880" s="129"/>
      <c r="L880" s="323"/>
      <c r="N880" s="172"/>
      <c r="O880" s="172"/>
      <c r="P880" s="172"/>
      <c r="Q880" s="172"/>
      <c r="R880" s="172"/>
      <c r="S880" s="428"/>
      <c r="T880" s="172"/>
      <c r="U880" s="172"/>
      <c r="V880" s="172"/>
      <c r="W880" s="429"/>
    </row>
    <row r="881">
      <c r="C881" s="172"/>
      <c r="D881" s="172"/>
      <c r="E881" s="172"/>
      <c r="F881" s="172"/>
      <c r="G881" s="173"/>
      <c r="H881" s="137"/>
      <c r="I881" s="137"/>
      <c r="J881" s="137"/>
      <c r="K881" s="129"/>
      <c r="L881" s="323"/>
      <c r="N881" s="172"/>
      <c r="O881" s="172"/>
      <c r="P881" s="172"/>
      <c r="Q881" s="172"/>
      <c r="R881" s="172"/>
      <c r="S881" s="428"/>
      <c r="T881" s="172"/>
      <c r="U881" s="172"/>
      <c r="V881" s="172"/>
      <c r="W881" s="429"/>
    </row>
    <row r="882">
      <c r="C882" s="172"/>
      <c r="D882" s="172"/>
      <c r="E882" s="172"/>
      <c r="F882" s="172"/>
      <c r="G882" s="173"/>
      <c r="H882" s="137"/>
      <c r="I882" s="137"/>
      <c r="J882" s="137"/>
      <c r="K882" s="129"/>
      <c r="L882" s="323"/>
      <c r="N882" s="172"/>
      <c r="O882" s="172"/>
      <c r="P882" s="172"/>
      <c r="Q882" s="172"/>
      <c r="R882" s="172"/>
      <c r="S882" s="428"/>
      <c r="T882" s="172"/>
      <c r="U882" s="172"/>
      <c r="V882" s="172"/>
      <c r="W882" s="429"/>
    </row>
    <row r="883">
      <c r="C883" s="172"/>
      <c r="D883" s="172"/>
      <c r="E883" s="172"/>
      <c r="F883" s="172"/>
      <c r="G883" s="173"/>
      <c r="H883" s="137"/>
      <c r="I883" s="137"/>
      <c r="J883" s="137"/>
      <c r="K883" s="129"/>
      <c r="L883" s="323"/>
      <c r="N883" s="172"/>
      <c r="O883" s="172"/>
      <c r="P883" s="172"/>
      <c r="Q883" s="172"/>
      <c r="R883" s="172"/>
      <c r="S883" s="428"/>
      <c r="T883" s="172"/>
      <c r="U883" s="172"/>
      <c r="V883" s="172"/>
      <c r="W883" s="429"/>
    </row>
    <row r="884">
      <c r="C884" s="172"/>
      <c r="D884" s="172"/>
      <c r="E884" s="172"/>
      <c r="F884" s="172"/>
      <c r="G884" s="173"/>
      <c r="H884" s="137"/>
      <c r="I884" s="137"/>
      <c r="J884" s="137"/>
      <c r="K884" s="129"/>
      <c r="L884" s="323"/>
      <c r="N884" s="172"/>
      <c r="O884" s="172"/>
      <c r="P884" s="172"/>
      <c r="Q884" s="172"/>
      <c r="R884" s="172"/>
      <c r="S884" s="428"/>
      <c r="T884" s="172"/>
      <c r="U884" s="172"/>
      <c r="V884" s="172"/>
      <c r="W884" s="429"/>
    </row>
    <row r="885">
      <c r="C885" s="172"/>
      <c r="D885" s="172"/>
      <c r="E885" s="172"/>
      <c r="F885" s="172"/>
      <c r="G885" s="173"/>
      <c r="H885" s="137"/>
      <c r="I885" s="137"/>
      <c r="J885" s="137"/>
      <c r="K885" s="129"/>
      <c r="L885" s="323"/>
      <c r="N885" s="172"/>
      <c r="O885" s="172"/>
      <c r="P885" s="172"/>
      <c r="Q885" s="172"/>
      <c r="R885" s="172"/>
      <c r="S885" s="428"/>
      <c r="T885" s="172"/>
      <c r="U885" s="172"/>
      <c r="V885" s="172"/>
      <c r="W885" s="429"/>
    </row>
    <row r="886">
      <c r="C886" s="172"/>
      <c r="D886" s="172"/>
      <c r="E886" s="172"/>
      <c r="F886" s="172"/>
      <c r="G886" s="173"/>
      <c r="H886" s="137"/>
      <c r="I886" s="137"/>
      <c r="J886" s="137"/>
      <c r="K886" s="129"/>
      <c r="L886" s="323"/>
      <c r="N886" s="172"/>
      <c r="O886" s="172"/>
      <c r="P886" s="172"/>
      <c r="Q886" s="172"/>
      <c r="R886" s="172"/>
      <c r="S886" s="428"/>
      <c r="T886" s="172"/>
      <c r="U886" s="172"/>
      <c r="V886" s="172"/>
      <c r="W886" s="429"/>
    </row>
    <row r="887">
      <c r="C887" s="172"/>
      <c r="D887" s="172"/>
      <c r="E887" s="172"/>
      <c r="F887" s="172"/>
      <c r="G887" s="173"/>
      <c r="H887" s="137"/>
      <c r="I887" s="137"/>
      <c r="J887" s="137"/>
      <c r="K887" s="129"/>
      <c r="L887" s="323"/>
      <c r="N887" s="172"/>
      <c r="O887" s="172"/>
      <c r="P887" s="172"/>
      <c r="Q887" s="172"/>
      <c r="R887" s="172"/>
      <c r="S887" s="428"/>
      <c r="T887" s="172"/>
      <c r="U887" s="172"/>
      <c r="V887" s="172"/>
      <c r="W887" s="429"/>
    </row>
    <row r="888">
      <c r="C888" s="172"/>
      <c r="D888" s="172"/>
      <c r="E888" s="172"/>
      <c r="F888" s="172"/>
      <c r="G888" s="173"/>
      <c r="H888" s="137"/>
      <c r="I888" s="137"/>
      <c r="J888" s="137"/>
      <c r="K888" s="129"/>
      <c r="L888" s="323"/>
      <c r="N888" s="172"/>
      <c r="O888" s="172"/>
      <c r="P888" s="172"/>
      <c r="Q888" s="172"/>
      <c r="R888" s="172"/>
      <c r="S888" s="428"/>
      <c r="T888" s="172"/>
      <c r="U888" s="172"/>
      <c r="V888" s="172"/>
      <c r="W888" s="429"/>
    </row>
    <row r="889">
      <c r="C889" s="172"/>
      <c r="D889" s="172"/>
      <c r="E889" s="172"/>
      <c r="F889" s="172"/>
      <c r="G889" s="173"/>
      <c r="H889" s="137"/>
      <c r="I889" s="137"/>
      <c r="J889" s="137"/>
      <c r="K889" s="129"/>
      <c r="L889" s="323"/>
      <c r="N889" s="172"/>
      <c r="O889" s="172"/>
      <c r="P889" s="172"/>
      <c r="Q889" s="172"/>
      <c r="R889" s="172"/>
      <c r="S889" s="428"/>
      <c r="T889" s="172"/>
      <c r="U889" s="172"/>
      <c r="V889" s="172"/>
      <c r="W889" s="429"/>
    </row>
    <row r="890">
      <c r="C890" s="172"/>
      <c r="D890" s="172"/>
      <c r="E890" s="172"/>
      <c r="F890" s="172"/>
      <c r="G890" s="173"/>
      <c r="H890" s="137"/>
      <c r="I890" s="137"/>
      <c r="J890" s="137"/>
      <c r="K890" s="129"/>
      <c r="L890" s="323"/>
      <c r="N890" s="172"/>
      <c r="O890" s="172"/>
      <c r="P890" s="172"/>
      <c r="Q890" s="172"/>
      <c r="R890" s="172"/>
      <c r="S890" s="428"/>
      <c r="T890" s="172"/>
      <c r="U890" s="172"/>
      <c r="V890" s="172"/>
      <c r="W890" s="429"/>
    </row>
    <row r="891">
      <c r="C891" s="172"/>
      <c r="D891" s="172"/>
      <c r="E891" s="172"/>
      <c r="F891" s="172"/>
      <c r="G891" s="173"/>
      <c r="H891" s="137"/>
      <c r="I891" s="137"/>
      <c r="J891" s="137"/>
      <c r="K891" s="129"/>
      <c r="L891" s="323"/>
      <c r="N891" s="172"/>
      <c r="O891" s="172"/>
      <c r="P891" s="172"/>
      <c r="Q891" s="172"/>
      <c r="R891" s="172"/>
      <c r="S891" s="428"/>
      <c r="T891" s="172"/>
      <c r="U891" s="172"/>
      <c r="V891" s="172"/>
      <c r="W891" s="429"/>
    </row>
    <row r="892">
      <c r="C892" s="172"/>
      <c r="D892" s="172"/>
      <c r="E892" s="172"/>
      <c r="F892" s="172"/>
      <c r="G892" s="173"/>
      <c r="H892" s="137"/>
      <c r="I892" s="137"/>
      <c r="J892" s="137"/>
      <c r="K892" s="129"/>
      <c r="L892" s="323"/>
      <c r="N892" s="172"/>
      <c r="O892" s="172"/>
      <c r="P892" s="172"/>
      <c r="Q892" s="172"/>
      <c r="R892" s="172"/>
      <c r="S892" s="428"/>
      <c r="T892" s="172"/>
      <c r="U892" s="172"/>
      <c r="V892" s="172"/>
      <c r="W892" s="429"/>
    </row>
    <row r="893">
      <c r="C893" s="172"/>
      <c r="D893" s="172"/>
      <c r="E893" s="172"/>
      <c r="F893" s="172"/>
      <c r="G893" s="173"/>
      <c r="H893" s="137"/>
      <c r="I893" s="137"/>
      <c r="J893" s="137"/>
      <c r="K893" s="129"/>
      <c r="L893" s="323"/>
      <c r="N893" s="172"/>
      <c r="O893" s="172"/>
      <c r="P893" s="172"/>
      <c r="Q893" s="172"/>
      <c r="R893" s="172"/>
      <c r="S893" s="428"/>
      <c r="T893" s="172"/>
      <c r="U893" s="172"/>
      <c r="V893" s="172"/>
      <c r="W893" s="429"/>
    </row>
    <row r="894">
      <c r="C894" s="172"/>
      <c r="D894" s="172"/>
      <c r="E894" s="172"/>
      <c r="F894" s="172"/>
      <c r="G894" s="173"/>
      <c r="H894" s="137"/>
      <c r="I894" s="137"/>
      <c r="J894" s="137"/>
      <c r="K894" s="129"/>
      <c r="L894" s="323"/>
      <c r="N894" s="172"/>
      <c r="O894" s="172"/>
      <c r="P894" s="172"/>
      <c r="Q894" s="172"/>
      <c r="R894" s="172"/>
      <c r="S894" s="428"/>
      <c r="T894" s="172"/>
      <c r="U894" s="172"/>
      <c r="V894" s="172"/>
      <c r="W894" s="429"/>
    </row>
    <row r="895">
      <c r="C895" s="172"/>
      <c r="D895" s="172"/>
      <c r="E895" s="172"/>
      <c r="F895" s="172"/>
      <c r="G895" s="173"/>
      <c r="H895" s="137"/>
      <c r="I895" s="137"/>
      <c r="J895" s="137"/>
      <c r="K895" s="129"/>
      <c r="L895" s="323"/>
      <c r="N895" s="172"/>
      <c r="O895" s="172"/>
      <c r="P895" s="172"/>
      <c r="Q895" s="172"/>
      <c r="R895" s="172"/>
      <c r="S895" s="428"/>
      <c r="T895" s="172"/>
      <c r="U895" s="172"/>
      <c r="V895" s="172"/>
      <c r="W895" s="429"/>
    </row>
    <row r="896">
      <c r="C896" s="172"/>
      <c r="D896" s="172"/>
      <c r="E896" s="172"/>
      <c r="F896" s="172"/>
      <c r="G896" s="173"/>
      <c r="H896" s="137"/>
      <c r="I896" s="137"/>
      <c r="J896" s="137"/>
      <c r="K896" s="129"/>
      <c r="L896" s="323"/>
      <c r="N896" s="172"/>
      <c r="O896" s="172"/>
      <c r="P896" s="172"/>
      <c r="Q896" s="172"/>
      <c r="R896" s="172"/>
      <c r="S896" s="428"/>
      <c r="T896" s="172"/>
      <c r="U896" s="172"/>
      <c r="V896" s="172"/>
      <c r="W896" s="429"/>
    </row>
    <row r="897">
      <c r="C897" s="172"/>
      <c r="D897" s="172"/>
      <c r="E897" s="172"/>
      <c r="F897" s="172"/>
      <c r="G897" s="173"/>
      <c r="H897" s="137"/>
      <c r="I897" s="137"/>
      <c r="J897" s="137"/>
      <c r="K897" s="129"/>
      <c r="L897" s="323"/>
      <c r="N897" s="172"/>
      <c r="O897" s="172"/>
      <c r="P897" s="172"/>
      <c r="Q897" s="172"/>
      <c r="R897" s="172"/>
      <c r="S897" s="428"/>
      <c r="T897" s="172"/>
      <c r="U897" s="172"/>
      <c r="V897" s="172"/>
      <c r="W897" s="429"/>
    </row>
    <row r="898">
      <c r="C898" s="172"/>
      <c r="D898" s="172"/>
      <c r="E898" s="172"/>
      <c r="F898" s="172"/>
      <c r="G898" s="173"/>
      <c r="H898" s="137"/>
      <c r="I898" s="137"/>
      <c r="J898" s="137"/>
      <c r="K898" s="129"/>
      <c r="L898" s="323"/>
      <c r="N898" s="172"/>
      <c r="O898" s="172"/>
      <c r="P898" s="172"/>
      <c r="Q898" s="172"/>
      <c r="R898" s="172"/>
      <c r="S898" s="428"/>
      <c r="T898" s="172"/>
      <c r="U898" s="172"/>
      <c r="V898" s="172"/>
      <c r="W898" s="429"/>
    </row>
    <row r="899">
      <c r="C899" s="172"/>
      <c r="D899" s="172"/>
      <c r="E899" s="172"/>
      <c r="F899" s="172"/>
      <c r="G899" s="173"/>
      <c r="H899" s="137"/>
      <c r="I899" s="137"/>
      <c r="J899" s="137"/>
      <c r="K899" s="129"/>
      <c r="L899" s="323"/>
      <c r="N899" s="172"/>
      <c r="O899" s="172"/>
      <c r="P899" s="172"/>
      <c r="Q899" s="172"/>
      <c r="R899" s="172"/>
      <c r="S899" s="428"/>
      <c r="T899" s="172"/>
      <c r="U899" s="172"/>
      <c r="V899" s="172"/>
      <c r="W899" s="429"/>
    </row>
    <row r="900">
      <c r="C900" s="172"/>
      <c r="D900" s="172"/>
      <c r="E900" s="172"/>
      <c r="F900" s="172"/>
      <c r="G900" s="173"/>
      <c r="H900" s="137"/>
      <c r="I900" s="137"/>
      <c r="J900" s="137"/>
      <c r="K900" s="129"/>
      <c r="L900" s="323"/>
      <c r="N900" s="172"/>
      <c r="O900" s="172"/>
      <c r="P900" s="172"/>
      <c r="Q900" s="172"/>
      <c r="R900" s="172"/>
      <c r="S900" s="428"/>
      <c r="T900" s="172"/>
      <c r="U900" s="172"/>
      <c r="V900" s="172"/>
      <c r="W900" s="429"/>
    </row>
    <row r="901">
      <c r="C901" s="172"/>
      <c r="D901" s="172"/>
      <c r="E901" s="172"/>
      <c r="F901" s="172"/>
      <c r="G901" s="173"/>
      <c r="H901" s="137"/>
      <c r="I901" s="137"/>
      <c r="J901" s="137"/>
      <c r="K901" s="129"/>
      <c r="L901" s="323"/>
      <c r="N901" s="172"/>
      <c r="O901" s="172"/>
      <c r="P901" s="172"/>
      <c r="Q901" s="172"/>
      <c r="R901" s="172"/>
      <c r="S901" s="428"/>
      <c r="T901" s="172"/>
      <c r="U901" s="172"/>
      <c r="V901" s="172"/>
      <c r="W901" s="429"/>
    </row>
    <row r="902">
      <c r="C902" s="172"/>
      <c r="D902" s="172"/>
      <c r="E902" s="172"/>
      <c r="F902" s="172"/>
      <c r="G902" s="173"/>
      <c r="H902" s="137"/>
      <c r="I902" s="137"/>
      <c r="J902" s="137"/>
      <c r="K902" s="129"/>
      <c r="L902" s="323"/>
      <c r="N902" s="172"/>
      <c r="O902" s="172"/>
      <c r="P902" s="172"/>
      <c r="Q902" s="172"/>
      <c r="R902" s="172"/>
      <c r="S902" s="428"/>
      <c r="T902" s="172"/>
      <c r="U902" s="172"/>
      <c r="V902" s="172"/>
      <c r="W902" s="429"/>
    </row>
    <row r="903">
      <c r="C903" s="172"/>
      <c r="D903" s="172"/>
      <c r="E903" s="172"/>
      <c r="F903" s="172"/>
      <c r="G903" s="173"/>
      <c r="H903" s="137"/>
      <c r="I903" s="137"/>
      <c r="J903" s="137"/>
      <c r="K903" s="129"/>
      <c r="L903" s="323"/>
      <c r="N903" s="172"/>
      <c r="O903" s="172"/>
      <c r="P903" s="172"/>
      <c r="Q903" s="172"/>
      <c r="R903" s="172"/>
      <c r="S903" s="428"/>
      <c r="T903" s="172"/>
      <c r="U903" s="172"/>
      <c r="V903" s="172"/>
      <c r="W903" s="429"/>
    </row>
    <row r="904">
      <c r="C904" s="172"/>
      <c r="D904" s="172"/>
      <c r="E904" s="172"/>
      <c r="F904" s="172"/>
      <c r="G904" s="173"/>
      <c r="H904" s="137"/>
      <c r="I904" s="137"/>
      <c r="J904" s="137"/>
      <c r="K904" s="129"/>
      <c r="L904" s="323"/>
      <c r="N904" s="172"/>
      <c r="O904" s="172"/>
      <c r="P904" s="172"/>
      <c r="Q904" s="172"/>
      <c r="R904" s="172"/>
      <c r="S904" s="428"/>
      <c r="T904" s="172"/>
      <c r="U904" s="172"/>
      <c r="V904" s="172"/>
      <c r="W904" s="429"/>
    </row>
    <row r="905">
      <c r="C905" s="172"/>
      <c r="D905" s="172"/>
      <c r="E905" s="172"/>
      <c r="F905" s="172"/>
      <c r="G905" s="173"/>
      <c r="H905" s="137"/>
      <c r="I905" s="137"/>
      <c r="J905" s="137"/>
      <c r="K905" s="129"/>
      <c r="L905" s="323"/>
      <c r="N905" s="172"/>
      <c r="O905" s="172"/>
      <c r="P905" s="172"/>
      <c r="Q905" s="172"/>
      <c r="R905" s="172"/>
      <c r="S905" s="428"/>
      <c r="T905" s="172"/>
      <c r="U905" s="172"/>
      <c r="V905" s="172"/>
      <c r="W905" s="429"/>
    </row>
    <row r="906">
      <c r="C906" s="172"/>
      <c r="D906" s="172"/>
      <c r="E906" s="172"/>
      <c r="F906" s="172"/>
      <c r="G906" s="173"/>
      <c r="H906" s="137"/>
      <c r="I906" s="137"/>
      <c r="J906" s="137"/>
      <c r="K906" s="129"/>
      <c r="L906" s="323"/>
      <c r="N906" s="172"/>
      <c r="O906" s="172"/>
      <c r="P906" s="172"/>
      <c r="Q906" s="172"/>
      <c r="R906" s="172"/>
      <c r="S906" s="428"/>
      <c r="T906" s="172"/>
      <c r="U906" s="172"/>
      <c r="V906" s="172"/>
      <c r="W906" s="429"/>
    </row>
    <row r="907">
      <c r="C907" s="172"/>
      <c r="D907" s="172"/>
      <c r="E907" s="172"/>
      <c r="F907" s="172"/>
      <c r="G907" s="173"/>
      <c r="H907" s="137"/>
      <c r="I907" s="137"/>
      <c r="J907" s="137"/>
      <c r="K907" s="129"/>
      <c r="L907" s="323"/>
      <c r="N907" s="172"/>
      <c r="O907" s="172"/>
      <c r="P907" s="172"/>
      <c r="Q907" s="172"/>
      <c r="R907" s="172"/>
      <c r="S907" s="428"/>
      <c r="T907" s="172"/>
      <c r="U907" s="172"/>
      <c r="V907" s="172"/>
      <c r="W907" s="429"/>
    </row>
    <row r="908">
      <c r="C908" s="172"/>
      <c r="D908" s="172"/>
      <c r="E908" s="172"/>
      <c r="F908" s="172"/>
      <c r="G908" s="173"/>
      <c r="H908" s="137"/>
      <c r="I908" s="137"/>
      <c r="J908" s="137"/>
      <c r="K908" s="129"/>
      <c r="L908" s="323"/>
      <c r="N908" s="172"/>
      <c r="O908" s="172"/>
      <c r="P908" s="172"/>
      <c r="Q908" s="172"/>
      <c r="R908" s="172"/>
      <c r="S908" s="428"/>
      <c r="T908" s="172"/>
      <c r="U908" s="172"/>
      <c r="V908" s="172"/>
      <c r="W908" s="429"/>
    </row>
    <row r="909">
      <c r="C909" s="172"/>
      <c r="D909" s="172"/>
      <c r="E909" s="172"/>
      <c r="F909" s="172"/>
      <c r="G909" s="173"/>
      <c r="H909" s="137"/>
      <c r="I909" s="137"/>
      <c r="J909" s="137"/>
      <c r="K909" s="129"/>
      <c r="L909" s="323"/>
      <c r="N909" s="172"/>
      <c r="O909" s="172"/>
      <c r="P909" s="172"/>
      <c r="Q909" s="172"/>
      <c r="R909" s="172"/>
      <c r="S909" s="428"/>
      <c r="T909" s="172"/>
      <c r="U909" s="172"/>
      <c r="V909" s="172"/>
      <c r="W909" s="429"/>
    </row>
    <row r="910">
      <c r="C910" s="172"/>
      <c r="D910" s="172"/>
      <c r="E910" s="172"/>
      <c r="F910" s="172"/>
      <c r="G910" s="173"/>
      <c r="H910" s="137"/>
      <c r="I910" s="137"/>
      <c r="J910" s="137"/>
      <c r="K910" s="129"/>
      <c r="L910" s="323"/>
      <c r="N910" s="172"/>
      <c r="O910" s="172"/>
      <c r="P910" s="172"/>
      <c r="Q910" s="172"/>
      <c r="R910" s="172"/>
      <c r="S910" s="428"/>
      <c r="T910" s="172"/>
      <c r="U910" s="172"/>
      <c r="V910" s="172"/>
      <c r="W910" s="429"/>
    </row>
    <row r="911">
      <c r="C911" s="172"/>
      <c r="D911" s="172"/>
      <c r="E911" s="172"/>
      <c r="F911" s="172"/>
      <c r="G911" s="173"/>
      <c r="H911" s="137"/>
      <c r="I911" s="137"/>
      <c r="J911" s="137"/>
      <c r="K911" s="129"/>
      <c r="L911" s="323"/>
      <c r="N911" s="172"/>
      <c r="O911" s="172"/>
      <c r="P911" s="172"/>
      <c r="Q911" s="172"/>
      <c r="R911" s="172"/>
      <c r="S911" s="428"/>
      <c r="T911" s="172"/>
      <c r="U911" s="172"/>
      <c r="V911" s="172"/>
      <c r="W911" s="429"/>
    </row>
    <row r="912">
      <c r="C912" s="172"/>
      <c r="D912" s="172"/>
      <c r="E912" s="172"/>
      <c r="F912" s="172"/>
      <c r="G912" s="173"/>
      <c r="H912" s="137"/>
      <c r="I912" s="137"/>
      <c r="J912" s="137"/>
      <c r="K912" s="129"/>
      <c r="L912" s="323"/>
      <c r="N912" s="172"/>
      <c r="O912" s="172"/>
      <c r="P912" s="172"/>
      <c r="Q912" s="172"/>
      <c r="R912" s="172"/>
      <c r="S912" s="428"/>
      <c r="T912" s="172"/>
      <c r="U912" s="172"/>
      <c r="V912" s="172"/>
      <c r="W912" s="429"/>
    </row>
    <row r="913">
      <c r="C913" s="172"/>
      <c r="D913" s="172"/>
      <c r="E913" s="172"/>
      <c r="F913" s="172"/>
      <c r="G913" s="173"/>
      <c r="H913" s="137"/>
      <c r="I913" s="137"/>
      <c r="J913" s="137"/>
      <c r="K913" s="129"/>
      <c r="L913" s="323"/>
      <c r="N913" s="172"/>
      <c r="O913" s="172"/>
      <c r="P913" s="172"/>
      <c r="Q913" s="172"/>
      <c r="R913" s="172"/>
      <c r="S913" s="428"/>
      <c r="T913" s="172"/>
      <c r="U913" s="172"/>
      <c r="V913" s="172"/>
      <c r="W913" s="429"/>
    </row>
    <row r="914">
      <c r="C914" s="172"/>
      <c r="D914" s="172"/>
      <c r="E914" s="172"/>
      <c r="F914" s="172"/>
      <c r="G914" s="173"/>
      <c r="H914" s="137"/>
      <c r="I914" s="137"/>
      <c r="J914" s="137"/>
      <c r="K914" s="129"/>
      <c r="L914" s="323"/>
      <c r="N914" s="172"/>
      <c r="O914" s="172"/>
      <c r="P914" s="172"/>
      <c r="Q914" s="172"/>
      <c r="R914" s="172"/>
      <c r="S914" s="428"/>
      <c r="T914" s="172"/>
      <c r="U914" s="172"/>
      <c r="V914" s="172"/>
      <c r="W914" s="429"/>
    </row>
    <row r="915">
      <c r="C915" s="172"/>
      <c r="D915" s="172"/>
      <c r="E915" s="172"/>
      <c r="F915" s="172"/>
      <c r="G915" s="173"/>
      <c r="H915" s="137"/>
      <c r="I915" s="137"/>
      <c r="J915" s="137"/>
      <c r="K915" s="129"/>
      <c r="L915" s="323"/>
      <c r="N915" s="172"/>
      <c r="O915" s="172"/>
      <c r="P915" s="172"/>
      <c r="Q915" s="172"/>
      <c r="R915" s="172"/>
      <c r="S915" s="428"/>
      <c r="T915" s="172"/>
      <c r="U915" s="172"/>
      <c r="V915" s="172"/>
      <c r="W915" s="429"/>
    </row>
    <row r="916">
      <c r="C916" s="172"/>
      <c r="D916" s="172"/>
      <c r="E916" s="172"/>
      <c r="F916" s="172"/>
      <c r="G916" s="173"/>
      <c r="H916" s="137"/>
      <c r="I916" s="137"/>
      <c r="J916" s="137"/>
      <c r="K916" s="129"/>
      <c r="L916" s="323"/>
      <c r="N916" s="172"/>
      <c r="O916" s="172"/>
      <c r="P916" s="172"/>
      <c r="Q916" s="172"/>
      <c r="R916" s="172"/>
      <c r="S916" s="428"/>
      <c r="T916" s="172"/>
      <c r="U916" s="172"/>
      <c r="V916" s="172"/>
      <c r="W916" s="429"/>
    </row>
    <row r="917">
      <c r="C917" s="172"/>
      <c r="D917" s="172"/>
      <c r="E917" s="172"/>
      <c r="F917" s="172"/>
      <c r="G917" s="173"/>
      <c r="H917" s="137"/>
      <c r="I917" s="137"/>
      <c r="J917" s="137"/>
      <c r="K917" s="129"/>
      <c r="L917" s="323"/>
      <c r="N917" s="172"/>
      <c r="O917" s="172"/>
      <c r="P917" s="172"/>
      <c r="Q917" s="172"/>
      <c r="R917" s="172"/>
      <c r="S917" s="428"/>
      <c r="T917" s="172"/>
      <c r="U917" s="172"/>
      <c r="V917" s="172"/>
      <c r="W917" s="429"/>
    </row>
    <row r="918">
      <c r="C918" s="172"/>
      <c r="D918" s="172"/>
      <c r="E918" s="172"/>
      <c r="F918" s="172"/>
      <c r="G918" s="173"/>
      <c r="H918" s="137"/>
      <c r="I918" s="137"/>
      <c r="J918" s="137"/>
      <c r="K918" s="129"/>
      <c r="L918" s="323"/>
      <c r="N918" s="172"/>
      <c r="O918" s="172"/>
      <c r="P918" s="172"/>
      <c r="Q918" s="172"/>
      <c r="R918" s="172"/>
      <c r="S918" s="428"/>
      <c r="T918" s="172"/>
      <c r="U918" s="172"/>
      <c r="V918" s="172"/>
      <c r="W918" s="429"/>
    </row>
    <row r="919">
      <c r="C919" s="172"/>
      <c r="D919" s="172"/>
      <c r="E919" s="172"/>
      <c r="F919" s="172"/>
      <c r="G919" s="173"/>
      <c r="H919" s="137"/>
      <c r="I919" s="137"/>
      <c r="J919" s="137"/>
      <c r="K919" s="129"/>
      <c r="L919" s="323"/>
      <c r="N919" s="172"/>
      <c r="O919" s="172"/>
      <c r="P919" s="172"/>
      <c r="Q919" s="172"/>
      <c r="R919" s="172"/>
      <c r="S919" s="428"/>
      <c r="T919" s="172"/>
      <c r="U919" s="172"/>
      <c r="V919" s="172"/>
      <c r="W919" s="429"/>
    </row>
    <row r="920">
      <c r="C920" s="172"/>
      <c r="D920" s="172"/>
      <c r="E920" s="172"/>
      <c r="F920" s="172"/>
      <c r="G920" s="173"/>
      <c r="H920" s="137"/>
      <c r="I920" s="137"/>
      <c r="J920" s="137"/>
      <c r="K920" s="129"/>
      <c r="L920" s="323"/>
      <c r="N920" s="172"/>
      <c r="O920" s="172"/>
      <c r="P920" s="172"/>
      <c r="Q920" s="172"/>
      <c r="R920" s="172"/>
      <c r="S920" s="428"/>
      <c r="T920" s="172"/>
      <c r="U920" s="172"/>
      <c r="V920" s="172"/>
      <c r="W920" s="429"/>
    </row>
    <row r="921">
      <c r="C921" s="172"/>
      <c r="D921" s="172"/>
      <c r="E921" s="172"/>
      <c r="F921" s="172"/>
      <c r="G921" s="173"/>
      <c r="H921" s="137"/>
      <c r="I921" s="137"/>
      <c r="J921" s="137"/>
      <c r="K921" s="129"/>
      <c r="L921" s="323"/>
      <c r="N921" s="172"/>
      <c r="O921" s="172"/>
      <c r="P921" s="172"/>
      <c r="Q921" s="172"/>
      <c r="R921" s="172"/>
      <c r="S921" s="428"/>
      <c r="T921" s="172"/>
      <c r="U921" s="172"/>
      <c r="V921" s="172"/>
      <c r="W921" s="429"/>
    </row>
    <row r="922">
      <c r="C922" s="172"/>
      <c r="D922" s="172"/>
      <c r="E922" s="172"/>
      <c r="F922" s="172"/>
      <c r="G922" s="173"/>
      <c r="H922" s="137"/>
      <c r="I922" s="137"/>
      <c r="J922" s="137"/>
      <c r="K922" s="129"/>
      <c r="L922" s="323"/>
      <c r="N922" s="172"/>
      <c r="O922" s="172"/>
      <c r="P922" s="172"/>
      <c r="Q922" s="172"/>
      <c r="R922" s="172"/>
      <c r="S922" s="428"/>
      <c r="T922" s="172"/>
      <c r="U922" s="172"/>
      <c r="V922" s="172"/>
      <c r="W922" s="429"/>
    </row>
    <row r="923">
      <c r="C923" s="172"/>
      <c r="D923" s="172"/>
      <c r="E923" s="172"/>
      <c r="F923" s="172"/>
      <c r="G923" s="173"/>
      <c r="H923" s="137"/>
      <c r="I923" s="137"/>
      <c r="J923" s="137"/>
      <c r="K923" s="129"/>
      <c r="L923" s="323"/>
      <c r="N923" s="172"/>
      <c r="O923" s="172"/>
      <c r="P923" s="172"/>
      <c r="Q923" s="172"/>
      <c r="R923" s="172"/>
      <c r="S923" s="428"/>
      <c r="T923" s="172"/>
      <c r="U923" s="172"/>
      <c r="V923" s="172"/>
      <c r="W923" s="429"/>
    </row>
    <row r="924">
      <c r="C924" s="172"/>
      <c r="D924" s="172"/>
      <c r="E924" s="172"/>
      <c r="F924" s="172"/>
      <c r="G924" s="173"/>
      <c r="H924" s="137"/>
      <c r="I924" s="137"/>
      <c r="J924" s="137"/>
      <c r="K924" s="129"/>
      <c r="L924" s="323"/>
      <c r="N924" s="172"/>
      <c r="O924" s="172"/>
      <c r="P924" s="172"/>
      <c r="Q924" s="172"/>
      <c r="R924" s="172"/>
      <c r="S924" s="428"/>
      <c r="T924" s="172"/>
      <c r="U924" s="172"/>
      <c r="V924" s="172"/>
      <c r="W924" s="429"/>
    </row>
    <row r="925">
      <c r="C925" s="172"/>
      <c r="D925" s="172"/>
      <c r="E925" s="172"/>
      <c r="F925" s="172"/>
      <c r="G925" s="173"/>
      <c r="H925" s="137"/>
      <c r="I925" s="137"/>
      <c r="J925" s="137"/>
      <c r="K925" s="129"/>
      <c r="L925" s="323"/>
      <c r="N925" s="172"/>
      <c r="O925" s="172"/>
      <c r="P925" s="172"/>
      <c r="Q925" s="172"/>
      <c r="R925" s="172"/>
      <c r="S925" s="428"/>
      <c r="T925" s="172"/>
      <c r="U925" s="172"/>
      <c r="V925" s="172"/>
      <c r="W925" s="429"/>
    </row>
    <row r="926">
      <c r="C926" s="172"/>
      <c r="D926" s="172"/>
      <c r="E926" s="172"/>
      <c r="F926" s="172"/>
      <c r="G926" s="173"/>
      <c r="H926" s="137"/>
      <c r="I926" s="137"/>
      <c r="J926" s="137"/>
      <c r="K926" s="129"/>
      <c r="L926" s="323"/>
      <c r="N926" s="172"/>
      <c r="O926" s="172"/>
      <c r="P926" s="172"/>
      <c r="Q926" s="172"/>
      <c r="R926" s="172"/>
      <c r="S926" s="428"/>
      <c r="T926" s="172"/>
      <c r="U926" s="172"/>
      <c r="V926" s="172"/>
      <c r="W926" s="429"/>
    </row>
    <row r="927">
      <c r="C927" s="172"/>
      <c r="D927" s="172"/>
      <c r="E927" s="172"/>
      <c r="F927" s="172"/>
      <c r="G927" s="173"/>
      <c r="H927" s="137"/>
      <c r="I927" s="137"/>
      <c r="J927" s="137"/>
      <c r="K927" s="129"/>
      <c r="L927" s="323"/>
      <c r="N927" s="172"/>
      <c r="O927" s="172"/>
      <c r="P927" s="172"/>
      <c r="Q927" s="172"/>
      <c r="R927" s="172"/>
      <c r="S927" s="428"/>
      <c r="T927" s="172"/>
      <c r="U927" s="172"/>
      <c r="V927" s="172"/>
      <c r="W927" s="429"/>
    </row>
    <row r="928">
      <c r="C928" s="172"/>
      <c r="D928" s="172"/>
      <c r="E928" s="172"/>
      <c r="F928" s="172"/>
      <c r="G928" s="173"/>
      <c r="H928" s="137"/>
      <c r="I928" s="137"/>
      <c r="J928" s="137"/>
      <c r="K928" s="129"/>
      <c r="L928" s="323"/>
      <c r="N928" s="172"/>
      <c r="O928" s="172"/>
      <c r="P928" s="172"/>
      <c r="Q928" s="172"/>
      <c r="R928" s="172"/>
      <c r="S928" s="428"/>
      <c r="T928" s="172"/>
      <c r="U928" s="172"/>
      <c r="V928" s="172"/>
      <c r="W928" s="429"/>
    </row>
    <row r="929">
      <c r="C929" s="172"/>
      <c r="D929" s="172"/>
      <c r="E929" s="172"/>
      <c r="F929" s="172"/>
      <c r="G929" s="173"/>
      <c r="H929" s="137"/>
      <c r="I929" s="137"/>
      <c r="J929" s="137"/>
      <c r="K929" s="129"/>
      <c r="L929" s="323"/>
      <c r="N929" s="172"/>
      <c r="O929" s="172"/>
      <c r="P929" s="172"/>
      <c r="Q929" s="172"/>
      <c r="R929" s="172"/>
      <c r="S929" s="428"/>
      <c r="T929" s="172"/>
      <c r="U929" s="172"/>
      <c r="V929" s="172"/>
      <c r="W929" s="429"/>
    </row>
    <row r="930">
      <c r="C930" s="172"/>
      <c r="D930" s="172"/>
      <c r="E930" s="172"/>
      <c r="F930" s="172"/>
      <c r="G930" s="173"/>
      <c r="H930" s="137"/>
      <c r="I930" s="137"/>
      <c r="J930" s="137"/>
      <c r="K930" s="129"/>
      <c r="L930" s="323"/>
      <c r="N930" s="172"/>
      <c r="O930" s="172"/>
      <c r="P930" s="172"/>
      <c r="Q930" s="172"/>
      <c r="R930" s="172"/>
      <c r="S930" s="428"/>
      <c r="T930" s="172"/>
      <c r="U930" s="172"/>
      <c r="V930" s="172"/>
      <c r="W930" s="429"/>
    </row>
    <row r="931">
      <c r="C931" s="172"/>
      <c r="D931" s="172"/>
      <c r="E931" s="172"/>
      <c r="F931" s="172"/>
      <c r="G931" s="173"/>
      <c r="H931" s="137"/>
      <c r="I931" s="137"/>
      <c r="J931" s="137"/>
      <c r="K931" s="129"/>
      <c r="L931" s="323"/>
      <c r="N931" s="172"/>
      <c r="O931" s="172"/>
      <c r="P931" s="172"/>
      <c r="Q931" s="172"/>
      <c r="R931" s="172"/>
      <c r="S931" s="428"/>
      <c r="T931" s="172"/>
      <c r="U931" s="172"/>
      <c r="V931" s="172"/>
      <c r="W931" s="429"/>
    </row>
    <row r="932">
      <c r="C932" s="172"/>
      <c r="D932" s="172"/>
      <c r="E932" s="172"/>
      <c r="F932" s="172"/>
      <c r="G932" s="173"/>
      <c r="H932" s="137"/>
      <c r="I932" s="137"/>
      <c r="J932" s="137"/>
      <c r="K932" s="129"/>
      <c r="L932" s="323"/>
      <c r="N932" s="172"/>
      <c r="O932" s="172"/>
      <c r="P932" s="172"/>
      <c r="Q932" s="172"/>
      <c r="R932" s="172"/>
      <c r="S932" s="428"/>
      <c r="T932" s="172"/>
      <c r="U932" s="172"/>
      <c r="V932" s="172"/>
      <c r="W932" s="429"/>
    </row>
    <row r="933">
      <c r="C933" s="172"/>
      <c r="D933" s="172"/>
      <c r="E933" s="172"/>
      <c r="F933" s="172"/>
      <c r="G933" s="173"/>
      <c r="H933" s="137"/>
      <c r="I933" s="137"/>
      <c r="J933" s="137"/>
      <c r="K933" s="129"/>
      <c r="L933" s="323"/>
      <c r="N933" s="172"/>
      <c r="O933" s="172"/>
      <c r="P933" s="172"/>
      <c r="Q933" s="172"/>
      <c r="R933" s="172"/>
      <c r="S933" s="428"/>
      <c r="T933" s="172"/>
      <c r="U933" s="172"/>
      <c r="V933" s="172"/>
      <c r="W933" s="429"/>
    </row>
    <row r="934">
      <c r="C934" s="172"/>
      <c r="D934" s="172"/>
      <c r="E934" s="172"/>
      <c r="F934" s="172"/>
      <c r="G934" s="173"/>
      <c r="H934" s="137"/>
      <c r="I934" s="137"/>
      <c r="J934" s="137"/>
      <c r="K934" s="129"/>
      <c r="L934" s="323"/>
      <c r="N934" s="172"/>
      <c r="O934" s="172"/>
      <c r="P934" s="172"/>
      <c r="Q934" s="172"/>
      <c r="R934" s="172"/>
      <c r="S934" s="428"/>
      <c r="T934" s="172"/>
      <c r="U934" s="172"/>
      <c r="V934" s="172"/>
      <c r="W934" s="429"/>
    </row>
    <row r="935">
      <c r="C935" s="172"/>
      <c r="D935" s="172"/>
      <c r="E935" s="172"/>
      <c r="F935" s="172"/>
      <c r="G935" s="173"/>
      <c r="H935" s="137"/>
      <c r="I935" s="137"/>
      <c r="J935" s="137"/>
      <c r="K935" s="129"/>
      <c r="L935" s="323"/>
      <c r="N935" s="172"/>
      <c r="O935" s="172"/>
      <c r="P935" s="172"/>
      <c r="Q935" s="172"/>
      <c r="R935" s="172"/>
      <c r="S935" s="428"/>
      <c r="T935" s="172"/>
      <c r="U935" s="172"/>
      <c r="V935" s="172"/>
      <c r="W935" s="429"/>
    </row>
    <row r="936">
      <c r="C936" s="172"/>
      <c r="D936" s="172"/>
      <c r="E936" s="172"/>
      <c r="F936" s="172"/>
      <c r="G936" s="173"/>
      <c r="H936" s="137"/>
      <c r="I936" s="137"/>
      <c r="J936" s="137"/>
      <c r="K936" s="129"/>
      <c r="L936" s="323"/>
      <c r="N936" s="172"/>
      <c r="O936" s="172"/>
      <c r="P936" s="172"/>
      <c r="Q936" s="172"/>
      <c r="R936" s="172"/>
      <c r="S936" s="428"/>
      <c r="T936" s="172"/>
      <c r="U936" s="172"/>
      <c r="V936" s="172"/>
      <c r="W936" s="429"/>
    </row>
    <row r="937">
      <c r="C937" s="172"/>
      <c r="D937" s="172"/>
      <c r="E937" s="172"/>
      <c r="F937" s="172"/>
      <c r="G937" s="173"/>
      <c r="H937" s="137"/>
      <c r="I937" s="137"/>
      <c r="J937" s="137"/>
      <c r="K937" s="129"/>
      <c r="L937" s="323"/>
      <c r="N937" s="172"/>
      <c r="O937" s="172"/>
      <c r="P937" s="172"/>
      <c r="Q937" s="172"/>
      <c r="R937" s="172"/>
      <c r="S937" s="428"/>
      <c r="T937" s="172"/>
      <c r="U937" s="172"/>
      <c r="V937" s="172"/>
      <c r="W937" s="429"/>
    </row>
    <row r="938">
      <c r="C938" s="172"/>
      <c r="D938" s="172"/>
      <c r="E938" s="172"/>
      <c r="F938" s="172"/>
      <c r="G938" s="173"/>
      <c r="H938" s="137"/>
      <c r="I938" s="137"/>
      <c r="J938" s="137"/>
      <c r="K938" s="129"/>
      <c r="L938" s="323"/>
      <c r="N938" s="172"/>
      <c r="O938" s="172"/>
      <c r="P938" s="172"/>
      <c r="Q938" s="172"/>
      <c r="R938" s="172"/>
      <c r="S938" s="428"/>
      <c r="T938" s="172"/>
      <c r="U938" s="172"/>
      <c r="V938" s="172"/>
      <c r="W938" s="429"/>
    </row>
    <row r="939">
      <c r="C939" s="172"/>
      <c r="D939" s="172"/>
      <c r="E939" s="172"/>
      <c r="F939" s="172"/>
      <c r="G939" s="173"/>
      <c r="H939" s="137"/>
      <c r="I939" s="137"/>
      <c r="J939" s="137"/>
      <c r="K939" s="129"/>
      <c r="L939" s="323"/>
      <c r="N939" s="172"/>
      <c r="O939" s="172"/>
      <c r="P939" s="172"/>
      <c r="Q939" s="172"/>
      <c r="R939" s="172"/>
      <c r="S939" s="428"/>
      <c r="T939" s="172"/>
      <c r="U939" s="172"/>
      <c r="V939" s="172"/>
      <c r="W939" s="429"/>
    </row>
    <row r="940">
      <c r="C940" s="172"/>
      <c r="D940" s="172"/>
      <c r="E940" s="172"/>
      <c r="F940" s="172"/>
      <c r="G940" s="173"/>
      <c r="H940" s="137"/>
      <c r="I940" s="137"/>
      <c r="J940" s="137"/>
      <c r="K940" s="129"/>
      <c r="L940" s="323"/>
      <c r="N940" s="172"/>
      <c r="O940" s="172"/>
      <c r="P940" s="172"/>
      <c r="Q940" s="172"/>
      <c r="R940" s="172"/>
      <c r="S940" s="428"/>
      <c r="T940" s="172"/>
      <c r="U940" s="172"/>
      <c r="V940" s="172"/>
      <c r="W940" s="429"/>
    </row>
    <row r="941">
      <c r="C941" s="172"/>
      <c r="D941" s="172"/>
      <c r="E941" s="172"/>
      <c r="F941" s="172"/>
      <c r="G941" s="173"/>
      <c r="H941" s="137"/>
      <c r="I941" s="137"/>
      <c r="J941" s="137"/>
      <c r="K941" s="129"/>
      <c r="L941" s="323"/>
      <c r="N941" s="172"/>
      <c r="O941" s="172"/>
      <c r="P941" s="172"/>
      <c r="Q941" s="172"/>
      <c r="R941" s="172"/>
      <c r="S941" s="428"/>
      <c r="T941" s="172"/>
      <c r="U941" s="172"/>
      <c r="V941" s="172"/>
      <c r="W941" s="429"/>
    </row>
    <row r="942">
      <c r="C942" s="172"/>
      <c r="D942" s="172"/>
      <c r="E942" s="172"/>
      <c r="F942" s="172"/>
      <c r="G942" s="173"/>
      <c r="H942" s="137"/>
      <c r="I942" s="137"/>
      <c r="J942" s="137"/>
      <c r="K942" s="129"/>
      <c r="L942" s="323"/>
      <c r="N942" s="172"/>
      <c r="O942" s="172"/>
      <c r="P942" s="172"/>
      <c r="Q942" s="172"/>
      <c r="R942" s="172"/>
      <c r="S942" s="428"/>
      <c r="T942" s="172"/>
      <c r="U942" s="172"/>
      <c r="V942" s="172"/>
      <c r="W942" s="429"/>
    </row>
    <row r="943">
      <c r="C943" s="172"/>
      <c r="D943" s="172"/>
      <c r="E943" s="172"/>
      <c r="F943" s="172"/>
      <c r="G943" s="173"/>
      <c r="H943" s="137"/>
      <c r="I943" s="137"/>
      <c r="J943" s="137"/>
      <c r="K943" s="129"/>
      <c r="L943" s="323"/>
      <c r="N943" s="172"/>
      <c r="O943" s="172"/>
      <c r="P943" s="172"/>
      <c r="Q943" s="172"/>
      <c r="R943" s="172"/>
      <c r="S943" s="428"/>
      <c r="T943" s="172"/>
      <c r="U943" s="172"/>
      <c r="V943" s="172"/>
      <c r="W943" s="429"/>
    </row>
    <row r="944">
      <c r="C944" s="172"/>
      <c r="D944" s="172"/>
      <c r="E944" s="172"/>
      <c r="F944" s="172"/>
      <c r="G944" s="173"/>
      <c r="H944" s="137"/>
      <c r="I944" s="137"/>
      <c r="J944" s="137"/>
      <c r="K944" s="129"/>
      <c r="L944" s="323"/>
      <c r="N944" s="172"/>
      <c r="O944" s="172"/>
      <c r="P944" s="172"/>
      <c r="Q944" s="172"/>
      <c r="R944" s="172"/>
      <c r="S944" s="428"/>
      <c r="T944" s="172"/>
      <c r="U944" s="172"/>
      <c r="V944" s="172"/>
      <c r="W944" s="429"/>
    </row>
    <row r="945">
      <c r="C945" s="172"/>
      <c r="D945" s="172"/>
      <c r="E945" s="172"/>
      <c r="F945" s="172"/>
      <c r="G945" s="173"/>
      <c r="H945" s="137"/>
      <c r="I945" s="137"/>
      <c r="J945" s="137"/>
      <c r="K945" s="129"/>
      <c r="L945" s="323"/>
      <c r="N945" s="172"/>
      <c r="O945" s="172"/>
      <c r="P945" s="172"/>
      <c r="Q945" s="172"/>
      <c r="R945" s="172"/>
      <c r="S945" s="428"/>
      <c r="T945" s="172"/>
      <c r="U945" s="172"/>
      <c r="V945" s="172"/>
      <c r="W945" s="429"/>
    </row>
    <row r="946">
      <c r="C946" s="172"/>
      <c r="D946" s="172"/>
      <c r="E946" s="172"/>
      <c r="F946" s="172"/>
      <c r="G946" s="173"/>
      <c r="H946" s="137"/>
      <c r="I946" s="137"/>
      <c r="J946" s="137"/>
      <c r="K946" s="129"/>
      <c r="L946" s="323"/>
      <c r="N946" s="172"/>
      <c r="O946" s="172"/>
      <c r="P946" s="172"/>
      <c r="Q946" s="172"/>
      <c r="R946" s="172"/>
      <c r="S946" s="428"/>
      <c r="T946" s="172"/>
      <c r="U946" s="172"/>
      <c r="V946" s="172"/>
      <c r="W946" s="429"/>
    </row>
    <row r="947">
      <c r="C947" s="172"/>
      <c r="D947" s="172"/>
      <c r="E947" s="172"/>
      <c r="F947" s="172"/>
      <c r="G947" s="173"/>
      <c r="H947" s="137"/>
      <c r="I947" s="137"/>
      <c r="J947" s="137"/>
      <c r="K947" s="129"/>
      <c r="L947" s="323"/>
      <c r="N947" s="172"/>
      <c r="O947" s="172"/>
      <c r="P947" s="172"/>
      <c r="Q947" s="172"/>
      <c r="R947" s="172"/>
      <c r="S947" s="428"/>
      <c r="T947" s="172"/>
      <c r="U947" s="172"/>
      <c r="V947" s="172"/>
      <c r="W947" s="429"/>
    </row>
    <row r="948">
      <c r="C948" s="172"/>
      <c r="D948" s="172"/>
      <c r="E948" s="172"/>
      <c r="F948" s="172"/>
      <c r="G948" s="173"/>
      <c r="H948" s="137"/>
      <c r="I948" s="137"/>
      <c r="J948" s="137"/>
      <c r="K948" s="129"/>
      <c r="L948" s="323"/>
      <c r="N948" s="172"/>
      <c r="O948" s="172"/>
      <c r="P948" s="172"/>
      <c r="Q948" s="172"/>
      <c r="R948" s="172"/>
      <c r="S948" s="428"/>
      <c r="T948" s="172"/>
      <c r="U948" s="172"/>
      <c r="V948" s="172"/>
      <c r="W948" s="429"/>
    </row>
    <row r="949">
      <c r="C949" s="172"/>
      <c r="D949" s="172"/>
      <c r="E949" s="172"/>
      <c r="F949" s="172"/>
      <c r="G949" s="173"/>
      <c r="H949" s="137"/>
      <c r="I949" s="137"/>
      <c r="J949" s="137"/>
      <c r="K949" s="129"/>
      <c r="L949" s="323"/>
      <c r="N949" s="172"/>
      <c r="O949" s="172"/>
      <c r="P949" s="172"/>
      <c r="Q949" s="172"/>
      <c r="R949" s="172"/>
      <c r="S949" s="428"/>
      <c r="T949" s="172"/>
      <c r="U949" s="172"/>
      <c r="V949" s="172"/>
      <c r="W949" s="429"/>
    </row>
    <row r="950">
      <c r="C950" s="172"/>
      <c r="D950" s="172"/>
      <c r="E950" s="172"/>
      <c r="F950" s="172"/>
      <c r="G950" s="173"/>
      <c r="H950" s="137"/>
      <c r="I950" s="137"/>
      <c r="J950" s="137"/>
      <c r="K950" s="129"/>
      <c r="L950" s="323"/>
      <c r="N950" s="172"/>
      <c r="O950" s="172"/>
      <c r="P950" s="172"/>
      <c r="Q950" s="172"/>
      <c r="R950" s="172"/>
      <c r="S950" s="428"/>
      <c r="T950" s="172"/>
      <c r="U950" s="172"/>
      <c r="V950" s="172"/>
      <c r="W950" s="429"/>
    </row>
    <row r="951">
      <c r="C951" s="172"/>
      <c r="D951" s="172"/>
      <c r="E951" s="172"/>
      <c r="F951" s="172"/>
      <c r="G951" s="173"/>
      <c r="H951" s="137"/>
      <c r="I951" s="137"/>
      <c r="J951" s="137"/>
      <c r="K951" s="129"/>
      <c r="L951" s="323"/>
      <c r="N951" s="172"/>
      <c r="O951" s="172"/>
      <c r="P951" s="172"/>
      <c r="Q951" s="172"/>
      <c r="R951" s="172"/>
      <c r="S951" s="428"/>
      <c r="T951" s="172"/>
      <c r="U951" s="172"/>
      <c r="V951" s="172"/>
      <c r="W951" s="429"/>
    </row>
    <row r="952">
      <c r="C952" s="172"/>
      <c r="D952" s="172"/>
      <c r="E952" s="172"/>
      <c r="F952" s="172"/>
      <c r="G952" s="173"/>
      <c r="H952" s="137"/>
      <c r="I952" s="137"/>
      <c r="J952" s="137"/>
      <c r="K952" s="129"/>
      <c r="L952" s="323"/>
      <c r="N952" s="172"/>
      <c r="O952" s="172"/>
      <c r="P952" s="172"/>
      <c r="Q952" s="172"/>
      <c r="R952" s="172"/>
      <c r="S952" s="428"/>
      <c r="T952" s="172"/>
      <c r="U952" s="172"/>
      <c r="V952" s="172"/>
      <c r="W952" s="429"/>
    </row>
    <row r="953">
      <c r="C953" s="172"/>
      <c r="D953" s="172"/>
      <c r="E953" s="172"/>
      <c r="F953" s="172"/>
      <c r="G953" s="173"/>
      <c r="H953" s="137"/>
      <c r="I953" s="137"/>
      <c r="J953" s="137"/>
      <c r="K953" s="129"/>
      <c r="L953" s="323"/>
      <c r="N953" s="172"/>
      <c r="O953" s="172"/>
      <c r="P953" s="172"/>
      <c r="Q953" s="172"/>
      <c r="R953" s="172"/>
      <c r="S953" s="428"/>
      <c r="T953" s="172"/>
      <c r="U953" s="172"/>
      <c r="V953" s="172"/>
      <c r="W953" s="429"/>
    </row>
    <row r="954">
      <c r="C954" s="172"/>
      <c r="D954" s="172"/>
      <c r="E954" s="172"/>
      <c r="F954" s="172"/>
      <c r="G954" s="173"/>
      <c r="H954" s="137"/>
      <c r="I954" s="137"/>
      <c r="J954" s="137"/>
      <c r="K954" s="129"/>
      <c r="L954" s="323"/>
      <c r="N954" s="172"/>
      <c r="O954" s="172"/>
      <c r="P954" s="172"/>
      <c r="Q954" s="172"/>
      <c r="R954" s="172"/>
      <c r="S954" s="428"/>
      <c r="T954" s="172"/>
      <c r="U954" s="172"/>
      <c r="V954" s="172"/>
      <c r="W954" s="429"/>
    </row>
    <row r="955">
      <c r="C955" s="172"/>
      <c r="D955" s="172"/>
      <c r="E955" s="172"/>
      <c r="F955" s="172"/>
      <c r="G955" s="173"/>
      <c r="H955" s="137"/>
      <c r="I955" s="137"/>
      <c r="J955" s="137"/>
      <c r="K955" s="129"/>
      <c r="L955" s="323"/>
      <c r="N955" s="172"/>
      <c r="O955" s="172"/>
      <c r="P955" s="172"/>
      <c r="Q955" s="172"/>
      <c r="R955" s="172"/>
      <c r="S955" s="428"/>
      <c r="T955" s="172"/>
      <c r="U955" s="172"/>
      <c r="V955" s="172"/>
      <c r="W955" s="429"/>
    </row>
    <row r="956">
      <c r="C956" s="172"/>
      <c r="D956" s="172"/>
      <c r="E956" s="172"/>
      <c r="F956" s="172"/>
      <c r="G956" s="173"/>
      <c r="H956" s="137"/>
      <c r="I956" s="137"/>
      <c r="J956" s="137"/>
      <c r="K956" s="129"/>
      <c r="L956" s="323"/>
      <c r="N956" s="172"/>
      <c r="O956" s="172"/>
      <c r="P956" s="172"/>
      <c r="Q956" s="172"/>
      <c r="R956" s="172"/>
      <c r="S956" s="428"/>
      <c r="T956" s="172"/>
      <c r="U956" s="172"/>
      <c r="V956" s="172"/>
      <c r="W956" s="429"/>
    </row>
    <row r="957">
      <c r="C957" s="172"/>
      <c r="D957" s="172"/>
      <c r="E957" s="172"/>
      <c r="F957" s="172"/>
      <c r="G957" s="173"/>
      <c r="H957" s="137"/>
      <c r="I957" s="137"/>
      <c r="J957" s="137"/>
      <c r="K957" s="129"/>
      <c r="L957" s="323"/>
      <c r="N957" s="172"/>
      <c r="O957" s="172"/>
      <c r="P957" s="172"/>
      <c r="Q957" s="172"/>
      <c r="R957" s="172"/>
      <c r="S957" s="428"/>
      <c r="T957" s="172"/>
      <c r="U957" s="172"/>
      <c r="V957" s="172"/>
      <c r="W957" s="429"/>
    </row>
    <row r="958">
      <c r="C958" s="172"/>
      <c r="D958" s="172"/>
      <c r="E958" s="172"/>
      <c r="F958" s="172"/>
      <c r="G958" s="173"/>
      <c r="H958" s="137"/>
      <c r="I958" s="137"/>
      <c r="J958" s="137"/>
      <c r="K958" s="129"/>
      <c r="L958" s="323"/>
      <c r="N958" s="172"/>
      <c r="O958" s="172"/>
      <c r="P958" s="172"/>
      <c r="Q958" s="172"/>
      <c r="R958" s="172"/>
      <c r="S958" s="428"/>
      <c r="T958" s="172"/>
      <c r="U958" s="172"/>
      <c r="V958" s="172"/>
      <c r="W958" s="429"/>
    </row>
    <row r="959">
      <c r="C959" s="172"/>
      <c r="D959" s="172"/>
      <c r="E959" s="172"/>
      <c r="F959" s="172"/>
      <c r="G959" s="173"/>
      <c r="H959" s="137"/>
      <c r="I959" s="137"/>
      <c r="J959" s="137"/>
      <c r="K959" s="129"/>
      <c r="L959" s="323"/>
      <c r="N959" s="172"/>
      <c r="O959" s="172"/>
      <c r="P959" s="172"/>
      <c r="Q959" s="172"/>
      <c r="R959" s="172"/>
      <c r="S959" s="428"/>
      <c r="T959" s="172"/>
      <c r="U959" s="172"/>
      <c r="V959" s="172"/>
      <c r="W959" s="429"/>
    </row>
    <row r="960">
      <c r="C960" s="172"/>
      <c r="D960" s="172"/>
      <c r="E960" s="172"/>
      <c r="F960" s="172"/>
      <c r="G960" s="173"/>
      <c r="H960" s="137"/>
      <c r="I960" s="137"/>
      <c r="J960" s="137"/>
      <c r="K960" s="129"/>
      <c r="L960" s="323"/>
      <c r="N960" s="172"/>
      <c r="O960" s="172"/>
      <c r="P960" s="172"/>
      <c r="Q960" s="172"/>
      <c r="R960" s="172"/>
      <c r="S960" s="428"/>
      <c r="T960" s="172"/>
      <c r="U960" s="172"/>
      <c r="V960" s="172"/>
      <c r="W960" s="429"/>
    </row>
    <row r="961">
      <c r="C961" s="172"/>
      <c r="D961" s="172"/>
      <c r="E961" s="172"/>
      <c r="F961" s="172"/>
      <c r="G961" s="173"/>
      <c r="H961" s="137"/>
      <c r="I961" s="137"/>
      <c r="J961" s="137"/>
      <c r="K961" s="129"/>
      <c r="L961" s="323"/>
      <c r="N961" s="172"/>
      <c r="O961" s="172"/>
      <c r="P961" s="172"/>
      <c r="Q961" s="172"/>
      <c r="R961" s="172"/>
      <c r="S961" s="428"/>
      <c r="T961" s="172"/>
      <c r="U961" s="172"/>
      <c r="V961" s="172"/>
      <c r="W961" s="429"/>
    </row>
    <row r="962">
      <c r="C962" s="172"/>
      <c r="D962" s="172"/>
      <c r="E962" s="172"/>
      <c r="F962" s="172"/>
      <c r="G962" s="173"/>
      <c r="H962" s="137"/>
      <c r="I962" s="137"/>
      <c r="J962" s="137"/>
      <c r="K962" s="129"/>
      <c r="L962" s="323"/>
      <c r="N962" s="172"/>
      <c r="O962" s="172"/>
      <c r="P962" s="172"/>
      <c r="Q962" s="172"/>
      <c r="R962" s="172"/>
      <c r="S962" s="428"/>
      <c r="T962" s="172"/>
      <c r="U962" s="172"/>
      <c r="V962" s="172"/>
      <c r="W962" s="429"/>
    </row>
    <row r="963">
      <c r="C963" s="172"/>
      <c r="D963" s="172"/>
      <c r="E963" s="172"/>
      <c r="F963" s="172"/>
      <c r="G963" s="173"/>
      <c r="H963" s="137"/>
      <c r="I963" s="137"/>
      <c r="J963" s="137"/>
      <c r="K963" s="129"/>
      <c r="L963" s="323"/>
      <c r="N963" s="172"/>
      <c r="O963" s="172"/>
      <c r="P963" s="172"/>
      <c r="Q963" s="172"/>
      <c r="R963" s="172"/>
      <c r="S963" s="428"/>
      <c r="T963" s="172"/>
      <c r="U963" s="172"/>
      <c r="V963" s="172"/>
      <c r="W963" s="429"/>
    </row>
    <row r="964">
      <c r="C964" s="172"/>
      <c r="D964" s="172"/>
      <c r="E964" s="172"/>
      <c r="F964" s="172"/>
      <c r="G964" s="173"/>
      <c r="H964" s="137"/>
      <c r="I964" s="137"/>
      <c r="J964" s="137"/>
      <c r="K964" s="129"/>
      <c r="L964" s="323"/>
      <c r="N964" s="172"/>
      <c r="O964" s="172"/>
      <c r="P964" s="172"/>
      <c r="Q964" s="172"/>
      <c r="R964" s="172"/>
      <c r="S964" s="428"/>
      <c r="T964" s="172"/>
      <c r="U964" s="172"/>
      <c r="V964" s="172"/>
      <c r="W964" s="429"/>
    </row>
    <row r="965">
      <c r="C965" s="172"/>
      <c r="D965" s="172"/>
      <c r="E965" s="172"/>
      <c r="F965" s="172"/>
      <c r="G965" s="173"/>
      <c r="H965" s="137"/>
      <c r="I965" s="137"/>
      <c r="J965" s="137"/>
      <c r="K965" s="129"/>
      <c r="L965" s="323"/>
      <c r="N965" s="172"/>
      <c r="O965" s="172"/>
      <c r="P965" s="172"/>
      <c r="Q965" s="172"/>
      <c r="R965" s="172"/>
      <c r="S965" s="428"/>
      <c r="T965" s="172"/>
      <c r="U965" s="172"/>
      <c r="V965" s="172"/>
      <c r="W965" s="429"/>
    </row>
    <row r="966">
      <c r="C966" s="172"/>
      <c r="D966" s="172"/>
      <c r="E966" s="172"/>
      <c r="F966" s="172"/>
      <c r="G966" s="173"/>
      <c r="H966" s="137"/>
      <c r="I966" s="137"/>
      <c r="J966" s="137"/>
      <c r="K966" s="129"/>
      <c r="L966" s="323"/>
      <c r="N966" s="172"/>
      <c r="O966" s="172"/>
      <c r="P966" s="172"/>
      <c r="Q966" s="172"/>
      <c r="R966" s="172"/>
      <c r="S966" s="428"/>
      <c r="T966" s="172"/>
      <c r="U966" s="172"/>
      <c r="V966" s="172"/>
      <c r="W966" s="429"/>
    </row>
    <row r="967">
      <c r="C967" s="172"/>
      <c r="D967" s="172"/>
      <c r="E967" s="172"/>
      <c r="F967" s="172"/>
      <c r="G967" s="173"/>
      <c r="H967" s="137"/>
      <c r="I967" s="137"/>
      <c r="J967" s="137"/>
      <c r="K967" s="129"/>
      <c r="L967" s="323"/>
      <c r="N967" s="172"/>
      <c r="O967" s="172"/>
      <c r="P967" s="172"/>
      <c r="Q967" s="172"/>
      <c r="R967" s="172"/>
      <c r="S967" s="428"/>
      <c r="T967" s="172"/>
      <c r="U967" s="172"/>
      <c r="V967" s="172"/>
      <c r="W967" s="429"/>
    </row>
    <row r="968">
      <c r="C968" s="172"/>
      <c r="D968" s="172"/>
      <c r="E968" s="172"/>
      <c r="F968" s="172"/>
      <c r="G968" s="173"/>
      <c r="H968" s="137"/>
      <c r="I968" s="137"/>
      <c r="J968" s="137"/>
      <c r="K968" s="129"/>
      <c r="L968" s="323"/>
      <c r="N968" s="172"/>
      <c r="O968" s="172"/>
      <c r="P968" s="172"/>
      <c r="Q968" s="172"/>
      <c r="R968" s="172"/>
      <c r="S968" s="428"/>
      <c r="T968" s="172"/>
      <c r="U968" s="172"/>
      <c r="V968" s="172"/>
      <c r="W968" s="429"/>
    </row>
    <row r="969">
      <c r="C969" s="172"/>
      <c r="D969" s="172"/>
      <c r="E969" s="172"/>
      <c r="F969" s="172"/>
      <c r="G969" s="173"/>
      <c r="H969" s="137"/>
      <c r="I969" s="137"/>
      <c r="J969" s="137"/>
      <c r="K969" s="129"/>
      <c r="L969" s="323"/>
      <c r="N969" s="172"/>
      <c r="O969" s="172"/>
      <c r="P969" s="172"/>
      <c r="Q969" s="172"/>
      <c r="R969" s="172"/>
      <c r="S969" s="428"/>
      <c r="T969" s="172"/>
      <c r="U969" s="172"/>
      <c r="V969" s="172"/>
      <c r="W969" s="429"/>
    </row>
    <row r="970">
      <c r="C970" s="172"/>
      <c r="D970" s="172"/>
      <c r="E970" s="172"/>
      <c r="F970" s="172"/>
      <c r="G970" s="173"/>
      <c r="H970" s="137"/>
      <c r="I970" s="137"/>
      <c r="J970" s="137"/>
      <c r="K970" s="129"/>
      <c r="L970" s="323"/>
      <c r="N970" s="172"/>
      <c r="O970" s="172"/>
      <c r="P970" s="172"/>
      <c r="Q970" s="172"/>
      <c r="R970" s="172"/>
      <c r="S970" s="428"/>
      <c r="T970" s="172"/>
      <c r="U970" s="172"/>
      <c r="V970" s="172"/>
      <c r="W970" s="429"/>
    </row>
    <row r="971">
      <c r="C971" s="172"/>
      <c r="D971" s="172"/>
      <c r="E971" s="172"/>
      <c r="F971" s="172"/>
      <c r="G971" s="173"/>
      <c r="H971" s="137"/>
      <c r="I971" s="137"/>
      <c r="J971" s="137"/>
      <c r="K971" s="129"/>
      <c r="L971" s="323"/>
      <c r="N971" s="172"/>
      <c r="O971" s="172"/>
      <c r="P971" s="172"/>
      <c r="Q971" s="172"/>
      <c r="R971" s="172"/>
      <c r="S971" s="428"/>
      <c r="T971" s="172"/>
      <c r="U971" s="172"/>
      <c r="V971" s="172"/>
      <c r="W971" s="429"/>
    </row>
    <row r="972">
      <c r="C972" s="172"/>
      <c r="D972" s="172"/>
      <c r="E972" s="172"/>
      <c r="F972" s="172"/>
      <c r="G972" s="173"/>
      <c r="H972" s="137"/>
      <c r="I972" s="137"/>
      <c r="J972" s="137"/>
      <c r="K972" s="129"/>
      <c r="L972" s="323"/>
      <c r="N972" s="172"/>
      <c r="O972" s="172"/>
      <c r="P972" s="172"/>
      <c r="Q972" s="172"/>
      <c r="R972" s="172"/>
      <c r="S972" s="428"/>
      <c r="T972" s="172"/>
      <c r="U972" s="172"/>
      <c r="V972" s="172"/>
      <c r="W972" s="429"/>
    </row>
    <row r="973">
      <c r="C973" s="172"/>
      <c r="D973" s="172"/>
      <c r="E973" s="172"/>
      <c r="F973" s="172"/>
      <c r="G973" s="173"/>
      <c r="H973" s="137"/>
      <c r="I973" s="137"/>
      <c r="J973" s="137"/>
      <c r="K973" s="129"/>
      <c r="L973" s="323"/>
      <c r="N973" s="172"/>
      <c r="O973" s="172"/>
      <c r="P973" s="172"/>
      <c r="Q973" s="172"/>
      <c r="R973" s="172"/>
      <c r="S973" s="428"/>
      <c r="T973" s="172"/>
      <c r="U973" s="172"/>
      <c r="V973" s="172"/>
      <c r="W973" s="429"/>
    </row>
    <row r="974">
      <c r="C974" s="172"/>
      <c r="D974" s="172"/>
      <c r="E974" s="172"/>
      <c r="F974" s="172"/>
      <c r="G974" s="173"/>
      <c r="H974" s="137"/>
      <c r="I974" s="137"/>
      <c r="J974" s="137"/>
      <c r="K974" s="129"/>
      <c r="L974" s="323"/>
      <c r="N974" s="172"/>
      <c r="O974" s="172"/>
      <c r="P974" s="172"/>
      <c r="Q974" s="172"/>
      <c r="R974" s="172"/>
      <c r="S974" s="428"/>
      <c r="T974" s="172"/>
      <c r="U974" s="172"/>
      <c r="V974" s="172"/>
      <c r="W974" s="429"/>
    </row>
    <row r="975">
      <c r="C975" s="172"/>
      <c r="D975" s="172"/>
      <c r="E975" s="172"/>
      <c r="F975" s="172"/>
      <c r="G975" s="173"/>
      <c r="H975" s="137"/>
      <c r="I975" s="137"/>
      <c r="J975" s="137"/>
      <c r="K975" s="129"/>
      <c r="L975" s="323"/>
      <c r="N975" s="172"/>
      <c r="O975" s="172"/>
      <c r="P975" s="172"/>
      <c r="Q975" s="172"/>
      <c r="R975" s="172"/>
      <c r="S975" s="428"/>
      <c r="T975" s="172"/>
      <c r="U975" s="172"/>
      <c r="V975" s="172"/>
      <c r="W975" s="429"/>
    </row>
    <row r="976">
      <c r="C976" s="172"/>
      <c r="D976" s="172"/>
      <c r="E976" s="172"/>
      <c r="F976" s="172"/>
      <c r="G976" s="173"/>
      <c r="H976" s="137"/>
      <c r="I976" s="137"/>
      <c r="J976" s="137"/>
      <c r="K976" s="129"/>
      <c r="L976" s="323"/>
      <c r="N976" s="172"/>
      <c r="O976" s="172"/>
      <c r="P976" s="172"/>
      <c r="Q976" s="172"/>
      <c r="R976" s="172"/>
      <c r="S976" s="428"/>
      <c r="T976" s="172"/>
      <c r="U976" s="172"/>
      <c r="V976" s="172"/>
      <c r="W976" s="429"/>
    </row>
    <row r="977">
      <c r="C977" s="172"/>
      <c r="D977" s="172"/>
      <c r="E977" s="172"/>
      <c r="F977" s="172"/>
      <c r="G977" s="173"/>
      <c r="H977" s="137"/>
      <c r="I977" s="137"/>
      <c r="J977" s="137"/>
      <c r="K977" s="129"/>
      <c r="L977" s="323"/>
      <c r="N977" s="172"/>
      <c r="O977" s="172"/>
      <c r="P977" s="172"/>
      <c r="Q977" s="172"/>
      <c r="R977" s="172"/>
      <c r="S977" s="428"/>
      <c r="T977" s="172"/>
      <c r="U977" s="172"/>
      <c r="V977" s="172"/>
      <c r="W977" s="429"/>
    </row>
    <row r="978">
      <c r="C978" s="172"/>
      <c r="D978" s="172"/>
      <c r="E978" s="172"/>
      <c r="F978" s="172"/>
      <c r="G978" s="173"/>
      <c r="H978" s="137"/>
      <c r="I978" s="137"/>
      <c r="J978" s="137"/>
      <c r="K978" s="129"/>
      <c r="L978" s="323"/>
      <c r="N978" s="172"/>
      <c r="O978" s="172"/>
      <c r="P978" s="172"/>
      <c r="Q978" s="172"/>
      <c r="R978" s="172"/>
      <c r="S978" s="428"/>
      <c r="T978" s="172"/>
      <c r="U978" s="172"/>
      <c r="V978" s="172"/>
      <c r="W978" s="429"/>
    </row>
    <row r="979">
      <c r="C979" s="172"/>
      <c r="D979" s="172"/>
      <c r="E979" s="172"/>
      <c r="F979" s="172"/>
      <c r="G979" s="173"/>
      <c r="H979" s="137"/>
      <c r="I979" s="137"/>
      <c r="J979" s="137"/>
      <c r="K979" s="129"/>
      <c r="L979" s="323"/>
      <c r="N979" s="172"/>
      <c r="O979" s="172"/>
      <c r="P979" s="172"/>
      <c r="Q979" s="172"/>
      <c r="R979" s="172"/>
      <c r="S979" s="428"/>
      <c r="T979" s="172"/>
      <c r="U979" s="172"/>
      <c r="V979" s="172"/>
      <c r="W979" s="429"/>
    </row>
    <row r="980">
      <c r="C980" s="172"/>
      <c r="D980" s="172"/>
      <c r="E980" s="172"/>
      <c r="F980" s="172"/>
      <c r="G980" s="173"/>
      <c r="H980" s="137"/>
      <c r="I980" s="137"/>
      <c r="J980" s="137"/>
      <c r="K980" s="129"/>
      <c r="L980" s="323"/>
      <c r="N980" s="172"/>
      <c r="O980" s="172"/>
      <c r="P980" s="172"/>
      <c r="Q980" s="172"/>
      <c r="R980" s="172"/>
      <c r="S980" s="428"/>
      <c r="T980" s="172"/>
      <c r="U980" s="172"/>
      <c r="V980" s="172"/>
      <c r="W980" s="429"/>
    </row>
    <row r="981">
      <c r="C981" s="172"/>
      <c r="D981" s="172"/>
      <c r="E981" s="172"/>
      <c r="F981" s="172"/>
      <c r="G981" s="173"/>
      <c r="H981" s="137"/>
      <c r="I981" s="137"/>
      <c r="J981" s="137"/>
      <c r="K981" s="129"/>
      <c r="L981" s="323"/>
      <c r="N981" s="172"/>
      <c r="O981" s="172"/>
      <c r="P981" s="172"/>
      <c r="Q981" s="172"/>
      <c r="R981" s="172"/>
      <c r="S981" s="428"/>
      <c r="T981" s="172"/>
      <c r="U981" s="172"/>
      <c r="V981" s="172"/>
      <c r="W981" s="429"/>
    </row>
    <row r="982">
      <c r="C982" s="172"/>
      <c r="D982" s="172"/>
      <c r="E982" s="172"/>
      <c r="F982" s="172"/>
      <c r="G982" s="173"/>
      <c r="H982" s="137"/>
      <c r="I982" s="137"/>
      <c r="J982" s="137"/>
      <c r="K982" s="129"/>
      <c r="L982" s="323"/>
      <c r="N982" s="172"/>
      <c r="O982" s="172"/>
      <c r="P982" s="172"/>
      <c r="Q982" s="172"/>
      <c r="R982" s="172"/>
      <c r="S982" s="428"/>
      <c r="T982" s="172"/>
      <c r="U982" s="172"/>
      <c r="V982" s="172"/>
      <c r="W982" s="429"/>
    </row>
    <row r="983">
      <c r="C983" s="172"/>
      <c r="D983" s="172"/>
      <c r="E983" s="172"/>
      <c r="F983" s="172"/>
      <c r="G983" s="173"/>
      <c r="H983" s="137"/>
      <c r="I983" s="137"/>
      <c r="J983" s="137"/>
      <c r="K983" s="129"/>
      <c r="L983" s="323"/>
      <c r="N983" s="172"/>
      <c r="O983" s="172"/>
      <c r="P983" s="172"/>
      <c r="Q983" s="172"/>
      <c r="R983" s="172"/>
      <c r="S983" s="428"/>
      <c r="T983" s="172"/>
      <c r="U983" s="172"/>
      <c r="V983" s="172"/>
      <c r="W983" s="429"/>
    </row>
    <row r="984">
      <c r="C984" s="172"/>
      <c r="D984" s="172"/>
      <c r="E984" s="172"/>
      <c r="F984" s="172"/>
      <c r="G984" s="173"/>
      <c r="H984" s="137"/>
      <c r="I984" s="137"/>
      <c r="J984" s="137"/>
      <c r="K984" s="129"/>
      <c r="L984" s="323"/>
      <c r="N984" s="172"/>
      <c r="O984" s="172"/>
      <c r="P984" s="172"/>
      <c r="Q984" s="172"/>
      <c r="R984" s="172"/>
      <c r="S984" s="428"/>
      <c r="T984" s="172"/>
      <c r="U984" s="172"/>
      <c r="V984" s="172"/>
      <c r="W984" s="429"/>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 width="12.63"/>
  </cols>
  <sheetData>
    <row r="1">
      <c r="A1" s="94" t="s">
        <v>1331</v>
      </c>
      <c r="B1" s="94" t="s">
        <v>1332</v>
      </c>
      <c r="C1" s="95" t="s">
        <v>47</v>
      </c>
      <c r="D1" s="94" t="s">
        <v>48</v>
      </c>
      <c r="E1" s="95" t="s">
        <v>1334</v>
      </c>
    </row>
    <row r="2">
      <c r="A2" s="172" t="str">
        <f>IFERROR(__xludf.DUMMYFUNCTION("FILTER(Loads!$H:$I,Loads!$O:$O&gt;=TODAY(),Loads!$O:$O&lt;TODAY()+29)"),"#N/A")</f>
        <v>#N/A</v>
      </c>
      <c r="B2" s="172"/>
      <c r="C2" s="172" t="str">
        <f>IFERROR(__xludf.DUMMYFUNCTION("FILTER(Loads!$N:$O,Loads!$O:$O&gt;=TODAY(),Loads!$O:$O&lt;TODAY()+29)"),"#N/A")</f>
        <v>#N/A</v>
      </c>
      <c r="D2" s="430"/>
      <c r="E2" s="172"/>
    </row>
    <row r="3">
      <c r="A3" s="172"/>
      <c r="B3" s="172"/>
      <c r="C3" s="172"/>
      <c r="D3" s="430"/>
      <c r="E3" s="172"/>
    </row>
    <row r="4">
      <c r="A4" s="172"/>
      <c r="B4" s="172"/>
      <c r="C4" s="172"/>
      <c r="D4" s="430"/>
      <c r="E4" s="172"/>
    </row>
    <row r="5">
      <c r="A5" s="172"/>
      <c r="B5" s="172"/>
      <c r="C5" s="172"/>
      <c r="D5" s="430"/>
      <c r="E5" s="172"/>
    </row>
    <row r="6">
      <c r="A6" s="172"/>
      <c r="B6" s="172"/>
      <c r="C6" s="172"/>
      <c r="D6" s="430"/>
      <c r="E6" s="172"/>
    </row>
    <row r="7">
      <c r="A7" s="172"/>
      <c r="B7" s="172"/>
      <c r="C7" s="172"/>
      <c r="D7" s="430"/>
      <c r="E7" s="172"/>
    </row>
    <row r="8">
      <c r="A8" s="172"/>
      <c r="B8" s="172"/>
      <c r="C8" s="172"/>
      <c r="D8" s="430"/>
      <c r="E8" s="172"/>
    </row>
    <row r="9">
      <c r="A9" s="172"/>
      <c r="B9" s="172"/>
      <c r="C9" s="172"/>
      <c r="D9" s="431"/>
      <c r="E9" s="172"/>
    </row>
    <row r="10">
      <c r="A10" s="172"/>
      <c r="B10" s="172"/>
      <c r="C10" s="172"/>
      <c r="D10" s="431"/>
      <c r="E10" s="172"/>
    </row>
    <row r="11">
      <c r="A11" s="172"/>
      <c r="B11" s="172"/>
      <c r="C11" s="172"/>
      <c r="D11" s="431"/>
      <c r="E11" s="172"/>
    </row>
    <row r="12">
      <c r="A12" s="172"/>
      <c r="B12" s="172"/>
      <c r="C12" s="172"/>
      <c r="D12" s="430"/>
      <c r="E12" s="172"/>
    </row>
    <row r="13">
      <c r="A13" s="172"/>
      <c r="B13" s="172"/>
      <c r="C13" s="172"/>
      <c r="D13" s="430"/>
      <c r="E13" s="172"/>
    </row>
    <row r="14">
      <c r="A14" s="172"/>
      <c r="B14" s="172"/>
      <c r="C14" s="172"/>
      <c r="D14" s="172"/>
      <c r="E14" s="172"/>
    </row>
    <row r="15">
      <c r="A15" s="172"/>
      <c r="B15" s="172"/>
      <c r="C15" s="172"/>
      <c r="D15" s="172"/>
      <c r="E15" s="172"/>
    </row>
    <row r="16">
      <c r="A16" s="172"/>
      <c r="B16" s="172"/>
      <c r="C16" s="172"/>
      <c r="D16" s="172"/>
      <c r="E16" s="172"/>
    </row>
    <row r="17">
      <c r="A17" s="172"/>
      <c r="B17" s="172"/>
      <c r="C17" s="172"/>
      <c r="D17" s="172"/>
      <c r="E17" s="172"/>
    </row>
    <row r="18">
      <c r="A18" s="172"/>
      <c r="B18" s="172"/>
      <c r="C18" s="172"/>
      <c r="D18" s="172"/>
      <c r="E18" s="172"/>
    </row>
    <row r="19">
      <c r="A19" s="172"/>
      <c r="B19" s="172"/>
      <c r="C19" s="172"/>
      <c r="D19" s="172"/>
      <c r="E19" s="172"/>
    </row>
    <row r="20">
      <c r="A20" s="172"/>
      <c r="B20" s="172"/>
      <c r="C20" s="172"/>
      <c r="D20" s="172"/>
      <c r="E20" s="172"/>
    </row>
    <row r="21">
      <c r="A21" s="172"/>
      <c r="B21" s="172"/>
      <c r="C21" s="172"/>
      <c r="D21" s="172"/>
      <c r="E21" s="172"/>
    </row>
    <row r="22">
      <c r="A22" s="172"/>
      <c r="B22" s="172"/>
      <c r="C22" s="172"/>
      <c r="D22" s="172"/>
      <c r="E22" s="172"/>
    </row>
    <row r="23">
      <c r="A23" s="172"/>
      <c r="B23" s="172"/>
      <c r="C23" s="172"/>
      <c r="D23" s="172"/>
      <c r="E23" s="172"/>
    </row>
    <row r="24">
      <c r="A24" s="172"/>
      <c r="B24" s="172"/>
      <c r="C24" s="172"/>
      <c r="D24" s="172"/>
      <c r="E24" s="172"/>
    </row>
    <row r="25">
      <c r="A25" s="172"/>
      <c r="B25" s="172"/>
      <c r="C25" s="172"/>
      <c r="D25" s="172"/>
      <c r="E25" s="172"/>
    </row>
    <row r="26">
      <c r="A26" s="172"/>
      <c r="B26" s="172"/>
      <c r="C26" s="172"/>
      <c r="D26" s="172"/>
      <c r="E26" s="172"/>
    </row>
    <row r="27">
      <c r="A27" s="172"/>
      <c r="B27" s="172"/>
      <c r="C27" s="172"/>
      <c r="D27" s="172"/>
      <c r="E27" s="172"/>
    </row>
    <row r="28">
      <c r="A28" s="172"/>
      <c r="B28" s="172"/>
      <c r="C28" s="172"/>
      <c r="D28" s="172"/>
      <c r="E28" s="172"/>
    </row>
    <row r="29">
      <c r="A29" s="172"/>
      <c r="B29" s="172"/>
      <c r="C29" s="172"/>
      <c r="D29" s="172"/>
      <c r="E29" s="172"/>
    </row>
    <row r="30">
      <c r="A30" s="172"/>
      <c r="B30" s="172"/>
      <c r="C30" s="172"/>
      <c r="D30" s="172"/>
      <c r="E30" s="172"/>
    </row>
    <row r="31">
      <c r="A31" s="172"/>
      <c r="B31" s="172"/>
      <c r="C31" s="172"/>
      <c r="D31" s="172"/>
      <c r="E31" s="172"/>
    </row>
    <row r="32">
      <c r="A32" s="172"/>
      <c r="B32" s="172"/>
      <c r="C32" s="172"/>
      <c r="D32" s="172"/>
      <c r="E32" s="172"/>
    </row>
    <row r="33">
      <c r="A33" s="172"/>
      <c r="B33" s="172"/>
      <c r="C33" s="172"/>
      <c r="D33" s="172"/>
      <c r="E33" s="172"/>
    </row>
    <row r="34">
      <c r="A34" s="172"/>
      <c r="B34" s="172"/>
      <c r="C34" s="172"/>
      <c r="D34" s="172"/>
      <c r="E34" s="172"/>
    </row>
    <row r="35">
      <c r="A35" s="172"/>
      <c r="B35" s="172"/>
      <c r="C35" s="172"/>
      <c r="D35" s="172"/>
      <c r="E35" s="172"/>
    </row>
    <row r="36">
      <c r="A36" s="172"/>
      <c r="B36" s="172"/>
      <c r="C36" s="172"/>
      <c r="D36" s="172"/>
      <c r="E36" s="172"/>
    </row>
    <row r="37">
      <c r="A37" s="172"/>
      <c r="B37" s="172"/>
      <c r="C37" s="172"/>
      <c r="D37" s="172"/>
      <c r="E37" s="172"/>
    </row>
    <row r="38">
      <c r="A38" s="172"/>
      <c r="B38" s="172"/>
      <c r="C38" s="172"/>
      <c r="D38" s="172"/>
      <c r="E38" s="172"/>
    </row>
    <row r="39">
      <c r="A39" s="172"/>
      <c r="B39" s="172"/>
      <c r="C39" s="172"/>
      <c r="D39" s="172"/>
      <c r="E39" s="172"/>
    </row>
    <row r="40">
      <c r="A40" s="172"/>
      <c r="B40" s="172"/>
      <c r="C40" s="172"/>
      <c r="D40" s="172"/>
      <c r="E40" s="172"/>
    </row>
    <row r="41">
      <c r="A41" s="172"/>
      <c r="B41" s="172"/>
      <c r="C41" s="172"/>
      <c r="D41" s="172"/>
      <c r="E41" s="172"/>
    </row>
    <row r="42">
      <c r="A42" s="172"/>
      <c r="B42" s="172"/>
      <c r="C42" s="172"/>
      <c r="D42" s="172"/>
      <c r="E42" s="172"/>
    </row>
    <row r="43">
      <c r="A43" s="172"/>
      <c r="B43" s="172"/>
      <c r="C43" s="172"/>
      <c r="D43" s="172"/>
      <c r="E43" s="172"/>
    </row>
    <row r="44">
      <c r="A44" s="172"/>
      <c r="B44" s="172"/>
      <c r="C44" s="172"/>
      <c r="D44" s="172"/>
      <c r="E44" s="172"/>
    </row>
    <row r="45">
      <c r="A45" s="172"/>
      <c r="B45" s="172"/>
      <c r="C45" s="172"/>
      <c r="D45" s="172"/>
      <c r="E45" s="172"/>
    </row>
    <row r="46">
      <c r="A46" s="172"/>
      <c r="B46" s="172"/>
      <c r="C46" s="172"/>
      <c r="D46" s="172"/>
      <c r="E46" s="172"/>
    </row>
    <row r="47">
      <c r="A47" s="172"/>
      <c r="B47" s="172"/>
      <c r="C47" s="172"/>
      <c r="D47" s="172"/>
      <c r="E47" s="172"/>
    </row>
    <row r="48">
      <c r="A48" s="172"/>
      <c r="B48" s="172"/>
      <c r="C48" s="172"/>
      <c r="D48" s="172"/>
      <c r="E48" s="172"/>
    </row>
    <row r="49">
      <c r="A49" s="172"/>
      <c r="B49" s="172"/>
      <c r="C49" s="172"/>
      <c r="D49" s="172"/>
      <c r="E49" s="172"/>
    </row>
    <row r="50">
      <c r="A50" s="172"/>
      <c r="B50" s="172"/>
      <c r="C50" s="172"/>
      <c r="D50" s="172"/>
      <c r="E50" s="172"/>
    </row>
    <row r="51">
      <c r="A51" s="172"/>
      <c r="B51" s="172"/>
      <c r="C51" s="172"/>
      <c r="D51" s="172"/>
      <c r="E51" s="172"/>
    </row>
    <row r="52">
      <c r="A52" s="172"/>
      <c r="B52" s="172"/>
      <c r="C52" s="172"/>
      <c r="D52" s="172"/>
      <c r="E52" s="172"/>
    </row>
    <row r="53">
      <c r="A53" s="172"/>
      <c r="B53" s="172"/>
      <c r="C53" s="172"/>
      <c r="D53" s="172"/>
      <c r="E53" s="172"/>
    </row>
    <row r="54">
      <c r="A54" s="172"/>
      <c r="B54" s="172"/>
      <c r="C54" s="172"/>
      <c r="D54" s="172"/>
      <c r="E54" s="172"/>
    </row>
    <row r="55">
      <c r="A55" s="172"/>
      <c r="B55" s="172"/>
      <c r="C55" s="172"/>
      <c r="D55" s="172"/>
      <c r="E55" s="172"/>
    </row>
    <row r="56">
      <c r="A56" s="172"/>
      <c r="B56" s="172"/>
      <c r="C56" s="172"/>
      <c r="D56" s="172"/>
      <c r="E56" s="172"/>
    </row>
    <row r="57">
      <c r="A57" s="172"/>
      <c r="B57" s="172"/>
      <c r="C57" s="172"/>
      <c r="D57" s="172"/>
      <c r="E57" s="172"/>
    </row>
    <row r="58">
      <c r="A58" s="172"/>
      <c r="B58" s="172"/>
      <c r="C58" s="172"/>
      <c r="D58" s="172"/>
      <c r="E58" s="172"/>
    </row>
    <row r="59">
      <c r="A59" s="172"/>
      <c r="B59" s="172"/>
      <c r="C59" s="172"/>
      <c r="D59" s="172"/>
      <c r="E59" s="172"/>
    </row>
    <row r="60">
      <c r="A60" s="172"/>
      <c r="B60" s="172"/>
      <c r="C60" s="172"/>
      <c r="D60" s="172"/>
      <c r="E60" s="172"/>
    </row>
    <row r="61">
      <c r="A61" s="172"/>
      <c r="B61" s="172"/>
      <c r="C61" s="172"/>
      <c r="D61" s="172"/>
      <c r="E61" s="172"/>
    </row>
    <row r="62">
      <c r="A62" s="172"/>
      <c r="B62" s="172"/>
      <c r="C62" s="172"/>
      <c r="D62" s="172"/>
      <c r="E62" s="172"/>
    </row>
    <row r="63">
      <c r="A63" s="172"/>
      <c r="B63" s="172"/>
      <c r="C63" s="172"/>
      <c r="D63" s="172"/>
      <c r="E63" s="172"/>
    </row>
    <row r="64">
      <c r="A64" s="172"/>
      <c r="B64" s="172"/>
      <c r="C64" s="172"/>
      <c r="D64" s="172"/>
      <c r="E64" s="172"/>
    </row>
    <row r="65">
      <c r="A65" s="172"/>
      <c r="B65" s="172"/>
      <c r="C65" s="172"/>
      <c r="D65" s="172"/>
      <c r="E65" s="172"/>
    </row>
    <row r="66">
      <c r="A66" s="172"/>
      <c r="B66" s="172"/>
      <c r="C66" s="172"/>
      <c r="D66" s="172"/>
      <c r="E66" s="172"/>
    </row>
    <row r="67">
      <c r="A67" s="172"/>
      <c r="B67" s="172"/>
      <c r="C67" s="172"/>
      <c r="D67" s="172"/>
      <c r="E67" s="172"/>
    </row>
    <row r="68">
      <c r="A68" s="172"/>
      <c r="B68" s="172"/>
      <c r="C68" s="172"/>
      <c r="D68" s="172"/>
      <c r="E68" s="172"/>
    </row>
    <row r="69">
      <c r="A69" s="172"/>
      <c r="B69" s="172"/>
      <c r="C69" s="172"/>
      <c r="D69" s="172"/>
      <c r="E69" s="172"/>
    </row>
    <row r="70">
      <c r="A70" s="172"/>
      <c r="B70" s="172"/>
      <c r="C70" s="172"/>
      <c r="D70" s="172"/>
      <c r="E70" s="172"/>
    </row>
    <row r="71">
      <c r="A71" s="172"/>
      <c r="B71" s="172"/>
      <c r="C71" s="172"/>
      <c r="D71" s="172"/>
      <c r="E71" s="172"/>
    </row>
    <row r="72">
      <c r="A72" s="172"/>
      <c r="B72" s="172"/>
      <c r="C72" s="172"/>
      <c r="D72" s="172"/>
      <c r="E72" s="172"/>
    </row>
    <row r="73">
      <c r="A73" s="172"/>
      <c r="B73" s="172"/>
      <c r="C73" s="172"/>
      <c r="D73" s="172"/>
      <c r="E73" s="172"/>
    </row>
    <row r="74">
      <c r="A74" s="172"/>
      <c r="B74" s="172"/>
      <c r="C74" s="172"/>
      <c r="D74" s="172"/>
      <c r="E74" s="172"/>
    </row>
    <row r="75">
      <c r="A75" s="172"/>
      <c r="B75" s="172"/>
      <c r="C75" s="172"/>
      <c r="D75" s="172"/>
      <c r="E75" s="172"/>
    </row>
    <row r="76">
      <c r="A76" s="172"/>
      <c r="B76" s="172"/>
      <c r="C76" s="172"/>
      <c r="D76" s="172"/>
      <c r="E76" s="172"/>
    </row>
    <row r="77">
      <c r="A77" s="172"/>
      <c r="B77" s="172"/>
      <c r="C77" s="172"/>
      <c r="D77" s="172"/>
      <c r="E77" s="172"/>
    </row>
    <row r="78">
      <c r="A78" s="172"/>
      <c r="B78" s="172"/>
      <c r="C78" s="172"/>
      <c r="D78" s="172"/>
      <c r="E78" s="172"/>
    </row>
    <row r="79">
      <c r="A79" s="172"/>
      <c r="B79" s="172"/>
      <c r="C79" s="172"/>
      <c r="D79" s="172"/>
      <c r="E79" s="172"/>
    </row>
    <row r="80">
      <c r="A80" s="172"/>
      <c r="B80" s="172"/>
      <c r="C80" s="172"/>
      <c r="D80" s="172"/>
      <c r="E80" s="172"/>
    </row>
    <row r="81">
      <c r="A81" s="172"/>
      <c r="B81" s="172"/>
      <c r="C81" s="172"/>
      <c r="D81" s="172"/>
      <c r="E81" s="172"/>
    </row>
    <row r="82">
      <c r="A82" s="172"/>
      <c r="B82" s="172"/>
      <c r="C82" s="172"/>
      <c r="D82" s="172"/>
      <c r="E82" s="172"/>
    </row>
    <row r="83">
      <c r="A83" s="172"/>
      <c r="B83" s="172"/>
      <c r="C83" s="172"/>
      <c r="D83" s="172"/>
      <c r="E83" s="172"/>
    </row>
    <row r="84">
      <c r="A84" s="172"/>
      <c r="B84" s="172"/>
      <c r="C84" s="172"/>
      <c r="D84" s="172"/>
      <c r="E84" s="172"/>
    </row>
    <row r="85">
      <c r="A85" s="172"/>
      <c r="B85" s="172"/>
      <c r="C85" s="172"/>
      <c r="D85" s="172"/>
      <c r="E85" s="172"/>
    </row>
    <row r="86">
      <c r="A86" s="172"/>
      <c r="B86" s="172"/>
      <c r="C86" s="172"/>
      <c r="D86" s="172"/>
      <c r="E86" s="172"/>
    </row>
    <row r="87">
      <c r="A87" s="172"/>
      <c r="B87" s="172"/>
      <c r="C87" s="172"/>
      <c r="D87" s="172"/>
      <c r="E87" s="172"/>
    </row>
    <row r="88">
      <c r="A88" s="172"/>
      <c r="B88" s="172"/>
      <c r="C88" s="172"/>
      <c r="D88" s="172"/>
      <c r="E88" s="172"/>
    </row>
    <row r="89">
      <c r="A89" s="172"/>
      <c r="B89" s="172"/>
      <c r="C89" s="172"/>
      <c r="D89" s="172"/>
      <c r="E89" s="172"/>
    </row>
    <row r="90">
      <c r="A90" s="172"/>
      <c r="B90" s="172"/>
      <c r="C90" s="172"/>
      <c r="D90" s="172"/>
      <c r="E90" s="172"/>
    </row>
    <row r="91">
      <c r="A91" s="172"/>
      <c r="B91" s="172"/>
      <c r="C91" s="172"/>
      <c r="D91" s="172"/>
      <c r="E91" s="172"/>
    </row>
    <row r="92">
      <c r="A92" s="172"/>
      <c r="B92" s="172"/>
      <c r="C92" s="172"/>
      <c r="D92" s="172"/>
      <c r="E92" s="172"/>
    </row>
    <row r="93">
      <c r="A93" s="172"/>
      <c r="B93" s="172"/>
      <c r="C93" s="172"/>
      <c r="D93" s="172"/>
      <c r="E93" s="172"/>
    </row>
    <row r="94">
      <c r="A94" s="172"/>
      <c r="B94" s="172"/>
      <c r="C94" s="172"/>
      <c r="D94" s="172"/>
      <c r="E94" s="172"/>
    </row>
    <row r="95">
      <c r="A95" s="172"/>
      <c r="B95" s="172"/>
      <c r="C95" s="172"/>
      <c r="D95" s="172"/>
      <c r="E95" s="172"/>
    </row>
    <row r="96">
      <c r="A96" s="172"/>
      <c r="B96" s="172"/>
      <c r="C96" s="172"/>
      <c r="D96" s="172"/>
      <c r="E96" s="172"/>
    </row>
    <row r="97">
      <c r="A97" s="172"/>
      <c r="B97" s="172"/>
      <c r="C97" s="172"/>
      <c r="D97" s="172"/>
      <c r="E97" s="172"/>
    </row>
    <row r="98">
      <c r="A98" s="172"/>
      <c r="B98" s="172"/>
      <c r="C98" s="172"/>
      <c r="D98" s="172"/>
      <c r="E98" s="172"/>
    </row>
    <row r="99">
      <c r="A99" s="172"/>
      <c r="B99" s="172"/>
      <c r="C99" s="172"/>
      <c r="D99" s="172"/>
      <c r="E99" s="172"/>
    </row>
    <row r="100">
      <c r="A100" s="172"/>
      <c r="B100" s="172"/>
      <c r="C100" s="172"/>
      <c r="D100" s="172"/>
      <c r="E100" s="172"/>
    </row>
    <row r="101">
      <c r="A101" s="172"/>
      <c r="B101" s="172"/>
      <c r="C101" s="172"/>
      <c r="D101" s="172"/>
      <c r="E101" s="172"/>
    </row>
    <row r="102">
      <c r="A102" s="172"/>
      <c r="B102" s="172"/>
      <c r="C102" s="172"/>
      <c r="D102" s="172"/>
      <c r="E102" s="172"/>
    </row>
    <row r="103">
      <c r="A103" s="172"/>
      <c r="B103" s="172"/>
      <c r="C103" s="172"/>
      <c r="D103" s="172"/>
      <c r="E103" s="172"/>
    </row>
    <row r="104">
      <c r="A104" s="172"/>
      <c r="B104" s="172"/>
      <c r="C104" s="172"/>
      <c r="D104" s="172"/>
      <c r="E104" s="172"/>
    </row>
    <row r="105">
      <c r="A105" s="172"/>
      <c r="B105" s="172"/>
      <c r="C105" s="172"/>
      <c r="D105" s="172"/>
      <c r="E105" s="172"/>
    </row>
    <row r="106">
      <c r="A106" s="172"/>
      <c r="B106" s="172"/>
      <c r="C106" s="172"/>
      <c r="D106" s="172"/>
      <c r="E106" s="172"/>
    </row>
    <row r="107">
      <c r="A107" s="172"/>
      <c r="B107" s="172"/>
      <c r="C107" s="172"/>
      <c r="D107" s="172"/>
      <c r="E107" s="172"/>
    </row>
    <row r="108">
      <c r="A108" s="172"/>
      <c r="B108" s="172"/>
      <c r="C108" s="172"/>
      <c r="D108" s="172"/>
      <c r="E108" s="172"/>
    </row>
    <row r="109">
      <c r="A109" s="172"/>
      <c r="B109" s="172"/>
      <c r="C109" s="172"/>
      <c r="D109" s="172"/>
      <c r="E109" s="172"/>
    </row>
    <row r="110">
      <c r="A110" s="172"/>
      <c r="B110" s="172"/>
      <c r="C110" s="172"/>
      <c r="D110" s="172"/>
      <c r="E110" s="172"/>
    </row>
    <row r="111">
      <c r="A111" s="172"/>
      <c r="B111" s="172"/>
      <c r="C111" s="172"/>
      <c r="D111" s="172"/>
      <c r="E111" s="172"/>
    </row>
    <row r="112">
      <c r="A112" s="172"/>
      <c r="B112" s="172"/>
      <c r="C112" s="172"/>
      <c r="D112" s="172"/>
      <c r="E112" s="172"/>
    </row>
    <row r="113">
      <c r="A113" s="172"/>
      <c r="B113" s="172"/>
      <c r="C113" s="172"/>
      <c r="D113" s="172"/>
      <c r="E113" s="172"/>
    </row>
    <row r="114">
      <c r="A114" s="172"/>
      <c r="B114" s="172"/>
      <c r="C114" s="172"/>
      <c r="D114" s="172"/>
      <c r="E114" s="172"/>
    </row>
    <row r="115">
      <c r="A115" s="172"/>
      <c r="B115" s="172"/>
      <c r="C115" s="172"/>
      <c r="D115" s="172"/>
      <c r="E115" s="172"/>
    </row>
    <row r="116">
      <c r="A116" s="172"/>
      <c r="B116" s="172"/>
      <c r="C116" s="172"/>
      <c r="D116" s="172"/>
      <c r="E116" s="172"/>
    </row>
    <row r="117">
      <c r="A117" s="172"/>
      <c r="B117" s="172"/>
      <c r="C117" s="172"/>
      <c r="D117" s="172"/>
      <c r="E117" s="172"/>
    </row>
    <row r="118">
      <c r="A118" s="172"/>
      <c r="B118" s="172"/>
      <c r="C118" s="172"/>
      <c r="D118" s="172"/>
      <c r="E118" s="172"/>
    </row>
    <row r="119">
      <c r="A119" s="172"/>
      <c r="B119" s="172"/>
      <c r="C119" s="172"/>
      <c r="D119" s="172"/>
      <c r="E119" s="172"/>
    </row>
    <row r="120">
      <c r="A120" s="172"/>
      <c r="B120" s="172"/>
      <c r="C120" s="172"/>
      <c r="D120" s="172"/>
      <c r="E120" s="172"/>
    </row>
    <row r="121">
      <c r="A121" s="172"/>
      <c r="B121" s="172"/>
      <c r="C121" s="172"/>
      <c r="D121" s="172"/>
      <c r="E121" s="172"/>
    </row>
    <row r="122">
      <c r="A122" s="172"/>
      <c r="B122" s="172"/>
      <c r="C122" s="172"/>
      <c r="D122" s="172"/>
      <c r="E122" s="172"/>
    </row>
    <row r="123">
      <c r="A123" s="172"/>
      <c r="B123" s="172"/>
      <c r="C123" s="172"/>
      <c r="D123" s="172"/>
      <c r="E123" s="172"/>
    </row>
    <row r="124">
      <c r="A124" s="172"/>
      <c r="B124" s="172"/>
      <c r="C124" s="172"/>
      <c r="D124" s="172"/>
      <c r="E124" s="172"/>
    </row>
    <row r="125">
      <c r="A125" s="172"/>
      <c r="B125" s="172"/>
      <c r="C125" s="172"/>
      <c r="D125" s="172"/>
      <c r="E125" s="172"/>
    </row>
    <row r="126">
      <c r="A126" s="172"/>
      <c r="B126" s="172"/>
      <c r="C126" s="172"/>
      <c r="D126" s="172"/>
      <c r="E126" s="172"/>
    </row>
    <row r="127">
      <c r="A127" s="172"/>
      <c r="B127" s="172"/>
      <c r="C127" s="172"/>
      <c r="D127" s="172"/>
      <c r="E127" s="172"/>
    </row>
    <row r="128">
      <c r="A128" s="172"/>
      <c r="B128" s="172"/>
      <c r="C128" s="172"/>
      <c r="D128" s="172"/>
      <c r="E128" s="172"/>
    </row>
    <row r="129">
      <c r="A129" s="172"/>
      <c r="B129" s="172"/>
      <c r="C129" s="172"/>
      <c r="D129" s="172"/>
      <c r="E129" s="172"/>
    </row>
    <row r="130">
      <c r="A130" s="172"/>
      <c r="B130" s="172"/>
      <c r="C130" s="172"/>
      <c r="D130" s="172"/>
      <c r="E130" s="172"/>
    </row>
    <row r="131">
      <c r="A131" s="172"/>
      <c r="B131" s="172"/>
      <c r="C131" s="172"/>
      <c r="D131" s="172"/>
      <c r="E131" s="172"/>
    </row>
    <row r="132">
      <c r="A132" s="172"/>
      <c r="B132" s="172"/>
      <c r="C132" s="172"/>
      <c r="D132" s="172"/>
      <c r="E132" s="172"/>
    </row>
    <row r="133">
      <c r="A133" s="172"/>
      <c r="B133" s="172"/>
      <c r="C133" s="172"/>
      <c r="D133" s="172"/>
      <c r="E133" s="172"/>
    </row>
    <row r="134">
      <c r="A134" s="172"/>
      <c r="B134" s="172"/>
      <c r="C134" s="172"/>
      <c r="D134" s="172"/>
      <c r="E134" s="172"/>
    </row>
    <row r="135">
      <c r="A135" s="172"/>
      <c r="B135" s="172"/>
      <c r="C135" s="172"/>
      <c r="D135" s="172"/>
      <c r="E135" s="172"/>
    </row>
    <row r="136">
      <c r="A136" s="172"/>
      <c r="B136" s="172"/>
      <c r="C136" s="172"/>
      <c r="D136" s="172"/>
      <c r="E136" s="172"/>
    </row>
    <row r="137">
      <c r="A137" s="172"/>
      <c r="B137" s="172"/>
      <c r="C137" s="172"/>
      <c r="D137" s="172"/>
      <c r="E137" s="172"/>
    </row>
    <row r="138">
      <c r="A138" s="172"/>
      <c r="B138" s="172"/>
      <c r="C138" s="172"/>
      <c r="D138" s="172"/>
      <c r="E138" s="172"/>
    </row>
    <row r="139">
      <c r="A139" s="172"/>
      <c r="B139" s="172"/>
      <c r="C139" s="172"/>
      <c r="D139" s="172"/>
      <c r="E139" s="172"/>
    </row>
    <row r="140">
      <c r="A140" s="172"/>
      <c r="B140" s="172"/>
      <c r="C140" s="172"/>
      <c r="D140" s="172"/>
      <c r="E140" s="172"/>
    </row>
    <row r="141">
      <c r="A141" s="172"/>
      <c r="B141" s="172"/>
      <c r="C141" s="172"/>
      <c r="D141" s="172"/>
      <c r="E141" s="172"/>
    </row>
    <row r="142">
      <c r="A142" s="172"/>
      <c r="B142" s="172"/>
      <c r="C142" s="172"/>
      <c r="D142" s="172"/>
      <c r="E142" s="172"/>
    </row>
    <row r="143">
      <c r="A143" s="172"/>
      <c r="B143" s="172"/>
      <c r="C143" s="172"/>
      <c r="D143" s="172"/>
      <c r="E143" s="172"/>
    </row>
    <row r="144">
      <c r="A144" s="172"/>
      <c r="B144" s="172"/>
      <c r="C144" s="172"/>
      <c r="D144" s="172"/>
      <c r="E144" s="172"/>
    </row>
    <row r="145">
      <c r="A145" s="172"/>
      <c r="B145" s="172"/>
      <c r="C145" s="172"/>
      <c r="D145" s="172"/>
      <c r="E145" s="172"/>
    </row>
    <row r="146">
      <c r="A146" s="172"/>
      <c r="B146" s="172"/>
      <c r="C146" s="172"/>
      <c r="D146" s="172"/>
      <c r="E146" s="172"/>
    </row>
    <row r="147">
      <c r="A147" s="172"/>
      <c r="B147" s="172"/>
      <c r="C147" s="172"/>
      <c r="D147" s="172"/>
      <c r="E147" s="172"/>
    </row>
    <row r="148">
      <c r="A148" s="172"/>
      <c r="B148" s="172"/>
      <c r="C148" s="172"/>
      <c r="D148" s="172"/>
      <c r="E148" s="172"/>
    </row>
    <row r="149">
      <c r="A149" s="172"/>
      <c r="B149" s="172"/>
      <c r="C149" s="172"/>
      <c r="D149" s="172"/>
      <c r="E149" s="172"/>
    </row>
    <row r="150">
      <c r="A150" s="172"/>
      <c r="B150" s="172"/>
      <c r="C150" s="172"/>
      <c r="D150" s="172"/>
      <c r="E150" s="172"/>
    </row>
    <row r="151">
      <c r="A151" s="172"/>
      <c r="B151" s="172"/>
      <c r="C151" s="172"/>
      <c r="D151" s="172"/>
      <c r="E151" s="172"/>
    </row>
    <row r="152">
      <c r="A152" s="172"/>
      <c r="B152" s="172"/>
      <c r="C152" s="172"/>
      <c r="D152" s="172"/>
      <c r="E152" s="172"/>
    </row>
    <row r="153">
      <c r="A153" s="172"/>
      <c r="B153" s="172"/>
      <c r="C153" s="172"/>
      <c r="D153" s="172"/>
      <c r="E153" s="172"/>
    </row>
    <row r="154">
      <c r="A154" s="172"/>
      <c r="B154" s="172"/>
      <c r="C154" s="172"/>
      <c r="D154" s="172"/>
      <c r="E154" s="172"/>
    </row>
    <row r="155">
      <c r="A155" s="172"/>
      <c r="B155" s="172"/>
      <c r="C155" s="172"/>
      <c r="D155" s="172"/>
      <c r="E155" s="172"/>
    </row>
    <row r="156">
      <c r="A156" s="172"/>
      <c r="B156" s="172"/>
      <c r="C156" s="172"/>
      <c r="D156" s="172"/>
      <c r="E156" s="172"/>
    </row>
    <row r="157">
      <c r="A157" s="172"/>
      <c r="B157" s="172"/>
      <c r="C157" s="172"/>
      <c r="D157" s="172"/>
      <c r="E157" s="172"/>
    </row>
    <row r="158">
      <c r="A158" s="172"/>
      <c r="B158" s="172"/>
      <c r="C158" s="172"/>
      <c r="D158" s="172"/>
      <c r="E158" s="172"/>
    </row>
    <row r="159">
      <c r="A159" s="172"/>
      <c r="B159" s="172"/>
      <c r="C159" s="172"/>
      <c r="D159" s="172"/>
      <c r="E159" s="172"/>
    </row>
    <row r="160">
      <c r="A160" s="172"/>
      <c r="B160" s="172"/>
      <c r="C160" s="172"/>
      <c r="D160" s="172"/>
      <c r="E160" s="172"/>
    </row>
    <row r="161">
      <c r="A161" s="172"/>
      <c r="B161" s="172"/>
      <c r="C161" s="172"/>
      <c r="D161" s="172"/>
      <c r="E161" s="172"/>
    </row>
    <row r="162">
      <c r="A162" s="172"/>
      <c r="B162" s="172"/>
      <c r="C162" s="172"/>
      <c r="D162" s="172"/>
      <c r="E162" s="172"/>
    </row>
    <row r="163">
      <c r="A163" s="172"/>
      <c r="B163" s="172"/>
      <c r="C163" s="172"/>
      <c r="D163" s="172"/>
      <c r="E163" s="172"/>
    </row>
    <row r="164">
      <c r="A164" s="172"/>
      <c r="B164" s="172"/>
      <c r="C164" s="172"/>
      <c r="D164" s="172"/>
      <c r="E164" s="172"/>
    </row>
    <row r="165">
      <c r="A165" s="172"/>
      <c r="B165" s="172"/>
      <c r="C165" s="172"/>
      <c r="D165" s="172"/>
      <c r="E165" s="172"/>
    </row>
    <row r="166">
      <c r="A166" s="172"/>
      <c r="B166" s="172"/>
      <c r="C166" s="172"/>
      <c r="D166" s="172"/>
      <c r="E166" s="172"/>
    </row>
    <row r="167">
      <c r="A167" s="172"/>
      <c r="B167" s="172"/>
      <c r="C167" s="172"/>
      <c r="D167" s="172"/>
      <c r="E167" s="172"/>
    </row>
    <row r="168">
      <c r="A168" s="172"/>
      <c r="B168" s="172"/>
      <c r="C168" s="172"/>
      <c r="D168" s="172"/>
      <c r="E168" s="172"/>
    </row>
    <row r="169">
      <c r="A169" s="172"/>
      <c r="B169" s="172"/>
      <c r="C169" s="172"/>
      <c r="D169" s="172"/>
      <c r="E169" s="172"/>
    </row>
    <row r="170">
      <c r="A170" s="172"/>
      <c r="B170" s="172"/>
      <c r="C170" s="172"/>
      <c r="D170" s="172"/>
      <c r="E170" s="172"/>
    </row>
    <row r="171">
      <c r="A171" s="172"/>
      <c r="B171" s="172"/>
      <c r="C171" s="172"/>
      <c r="D171" s="172"/>
      <c r="E171" s="172"/>
    </row>
    <row r="172">
      <c r="A172" s="172"/>
      <c r="B172" s="172"/>
      <c r="C172" s="172"/>
      <c r="D172" s="172"/>
      <c r="E172" s="172"/>
    </row>
    <row r="173">
      <c r="A173" s="172"/>
      <c r="B173" s="172"/>
      <c r="C173" s="172"/>
      <c r="D173" s="172"/>
      <c r="E173" s="172"/>
    </row>
    <row r="174">
      <c r="A174" s="172"/>
      <c r="B174" s="172"/>
      <c r="C174" s="172"/>
      <c r="D174" s="172"/>
      <c r="E174" s="172"/>
    </row>
    <row r="175">
      <c r="A175" s="172"/>
      <c r="B175" s="172"/>
      <c r="C175" s="172"/>
      <c r="D175" s="172"/>
      <c r="E175" s="172"/>
    </row>
    <row r="176">
      <c r="A176" s="172"/>
      <c r="B176" s="172"/>
      <c r="C176" s="172"/>
      <c r="D176" s="172"/>
      <c r="E176" s="172"/>
    </row>
    <row r="177">
      <c r="A177" s="172"/>
      <c r="B177" s="172"/>
      <c r="C177" s="172"/>
      <c r="D177" s="172"/>
      <c r="E177" s="172"/>
    </row>
    <row r="178">
      <c r="A178" s="172"/>
      <c r="B178" s="172"/>
      <c r="C178" s="172"/>
      <c r="D178" s="172"/>
      <c r="E178" s="172"/>
    </row>
    <row r="179">
      <c r="A179" s="172"/>
      <c r="B179" s="172"/>
      <c r="C179" s="172"/>
      <c r="D179" s="172"/>
      <c r="E179" s="172"/>
    </row>
    <row r="180">
      <c r="A180" s="172"/>
      <c r="B180" s="172"/>
      <c r="C180" s="172"/>
      <c r="D180" s="172"/>
      <c r="E180" s="172"/>
    </row>
    <row r="181">
      <c r="A181" s="172"/>
      <c r="B181" s="172"/>
      <c r="C181" s="172"/>
      <c r="D181" s="172"/>
      <c r="E181" s="172"/>
    </row>
    <row r="182">
      <c r="A182" s="172"/>
      <c r="B182" s="172"/>
      <c r="C182" s="172"/>
      <c r="D182" s="172"/>
      <c r="E182" s="172"/>
    </row>
    <row r="183">
      <c r="A183" s="172"/>
      <c r="B183" s="172"/>
      <c r="C183" s="172"/>
      <c r="D183" s="172"/>
      <c r="E183" s="172"/>
    </row>
    <row r="184">
      <c r="A184" s="172"/>
      <c r="B184" s="172"/>
      <c r="C184" s="172"/>
      <c r="D184" s="172"/>
      <c r="E184" s="172"/>
    </row>
    <row r="185">
      <c r="A185" s="172"/>
      <c r="B185" s="172"/>
      <c r="C185" s="172"/>
      <c r="D185" s="172"/>
      <c r="E185" s="172"/>
    </row>
    <row r="186">
      <c r="A186" s="172"/>
      <c r="B186" s="172"/>
      <c r="C186" s="172"/>
      <c r="D186" s="172"/>
      <c r="E186" s="172"/>
    </row>
    <row r="187">
      <c r="A187" s="172"/>
      <c r="B187" s="172"/>
      <c r="C187" s="172"/>
      <c r="D187" s="172"/>
      <c r="E187" s="172"/>
    </row>
    <row r="188">
      <c r="A188" s="172"/>
      <c r="B188" s="172"/>
      <c r="C188" s="172"/>
      <c r="D188" s="172"/>
      <c r="E188" s="172"/>
    </row>
    <row r="189">
      <c r="A189" s="172"/>
      <c r="B189" s="172"/>
      <c r="C189" s="172"/>
      <c r="D189" s="172"/>
      <c r="E189" s="172"/>
    </row>
    <row r="190">
      <c r="A190" s="172"/>
      <c r="B190" s="172"/>
      <c r="C190" s="172"/>
      <c r="D190" s="172"/>
      <c r="E190" s="172"/>
    </row>
    <row r="191">
      <c r="A191" s="172"/>
      <c r="B191" s="172"/>
      <c r="C191" s="172"/>
      <c r="D191" s="172"/>
      <c r="E191" s="172"/>
    </row>
    <row r="192">
      <c r="A192" s="172"/>
      <c r="B192" s="172"/>
      <c r="C192" s="172"/>
      <c r="D192" s="172"/>
      <c r="E192" s="172"/>
    </row>
    <row r="193">
      <c r="A193" s="172"/>
      <c r="B193" s="172"/>
      <c r="C193" s="172"/>
      <c r="D193" s="172"/>
      <c r="E193" s="172"/>
    </row>
    <row r="194">
      <c r="A194" s="172"/>
      <c r="B194" s="172"/>
      <c r="C194" s="172"/>
      <c r="D194" s="172"/>
      <c r="E194" s="172"/>
    </row>
    <row r="195">
      <c r="A195" s="172"/>
      <c r="B195" s="172"/>
      <c r="C195" s="172"/>
      <c r="D195" s="172"/>
      <c r="E195" s="172"/>
    </row>
    <row r="196">
      <c r="A196" s="172"/>
      <c r="B196" s="172"/>
      <c r="C196" s="172"/>
      <c r="D196" s="172"/>
      <c r="E196" s="172"/>
    </row>
    <row r="197">
      <c r="A197" s="172"/>
      <c r="B197" s="172"/>
      <c r="C197" s="172"/>
      <c r="D197" s="172"/>
      <c r="E197" s="172"/>
    </row>
    <row r="198">
      <c r="A198" s="172"/>
      <c r="B198" s="172"/>
      <c r="C198" s="172"/>
      <c r="D198" s="172"/>
      <c r="E198" s="172"/>
    </row>
    <row r="199">
      <c r="A199" s="172"/>
      <c r="B199" s="172"/>
      <c r="C199" s="172"/>
      <c r="D199" s="172"/>
      <c r="E199" s="172"/>
    </row>
    <row r="200">
      <c r="A200" s="172"/>
      <c r="B200" s="172"/>
      <c r="C200" s="172"/>
      <c r="D200" s="172"/>
      <c r="E200" s="172"/>
    </row>
    <row r="201">
      <c r="A201" s="172"/>
      <c r="B201" s="172"/>
      <c r="C201" s="172"/>
      <c r="D201" s="172"/>
      <c r="E201" s="172"/>
    </row>
    <row r="202">
      <c r="A202" s="172"/>
      <c r="B202" s="172"/>
      <c r="C202" s="172"/>
      <c r="D202" s="172"/>
      <c r="E202" s="172"/>
    </row>
    <row r="203">
      <c r="A203" s="172"/>
      <c r="B203" s="172"/>
      <c r="C203" s="172"/>
      <c r="D203" s="172"/>
      <c r="E203" s="172"/>
    </row>
    <row r="204">
      <c r="A204" s="172"/>
      <c r="B204" s="172"/>
      <c r="C204" s="172"/>
      <c r="D204" s="172"/>
      <c r="E204" s="172"/>
    </row>
    <row r="205">
      <c r="A205" s="172"/>
      <c r="B205" s="172"/>
      <c r="C205" s="172"/>
      <c r="D205" s="172"/>
      <c r="E205" s="172"/>
    </row>
    <row r="206">
      <c r="A206" s="172"/>
      <c r="B206" s="172"/>
      <c r="C206" s="172"/>
      <c r="D206" s="172"/>
      <c r="E206" s="172"/>
    </row>
    <row r="207">
      <c r="A207" s="172"/>
      <c r="B207" s="172"/>
      <c r="C207" s="172"/>
      <c r="D207" s="172"/>
      <c r="E207" s="172"/>
    </row>
    <row r="208">
      <c r="A208" s="172"/>
      <c r="B208" s="172"/>
      <c r="C208" s="172"/>
      <c r="D208" s="172"/>
      <c r="E208" s="172"/>
    </row>
    <row r="209">
      <c r="A209" s="172"/>
      <c r="B209" s="172"/>
      <c r="C209" s="172"/>
      <c r="D209" s="172"/>
      <c r="E209" s="172"/>
    </row>
    <row r="210">
      <c r="A210" s="172"/>
      <c r="B210" s="172"/>
      <c r="C210" s="172"/>
      <c r="D210" s="172"/>
      <c r="E210" s="172"/>
    </row>
    <row r="211">
      <c r="A211" s="172"/>
      <c r="B211" s="172"/>
      <c r="C211" s="172"/>
      <c r="D211" s="172"/>
      <c r="E211" s="172"/>
    </row>
    <row r="212">
      <c r="A212" s="172"/>
      <c r="B212" s="172"/>
      <c r="C212" s="172"/>
      <c r="D212" s="172"/>
      <c r="E212" s="172"/>
    </row>
    <row r="213">
      <c r="A213" s="172"/>
      <c r="B213" s="172"/>
      <c r="C213" s="172"/>
      <c r="D213" s="172"/>
      <c r="E213" s="172"/>
    </row>
    <row r="214">
      <c r="A214" s="172"/>
      <c r="B214" s="172"/>
      <c r="C214" s="172"/>
      <c r="D214" s="172"/>
      <c r="E214" s="172"/>
    </row>
    <row r="215">
      <c r="A215" s="172"/>
      <c r="B215" s="172"/>
      <c r="C215" s="172"/>
      <c r="D215" s="172"/>
      <c r="E215" s="172"/>
    </row>
    <row r="216">
      <c r="A216" s="172"/>
      <c r="B216" s="172"/>
      <c r="C216" s="172"/>
      <c r="D216" s="172"/>
      <c r="E216" s="172"/>
    </row>
    <row r="217">
      <c r="A217" s="172"/>
      <c r="B217" s="172"/>
      <c r="C217" s="172"/>
      <c r="D217" s="172"/>
      <c r="E217" s="172"/>
    </row>
    <row r="218">
      <c r="A218" s="172"/>
      <c r="B218" s="172"/>
      <c r="C218" s="172"/>
      <c r="D218" s="172"/>
      <c r="E218" s="172"/>
    </row>
    <row r="219">
      <c r="A219" s="172"/>
      <c r="B219" s="172"/>
      <c r="C219" s="172"/>
      <c r="D219" s="172"/>
      <c r="E219" s="172"/>
    </row>
    <row r="220">
      <c r="A220" s="172"/>
      <c r="B220" s="172"/>
      <c r="C220" s="172"/>
      <c r="D220" s="172"/>
      <c r="E220" s="172"/>
    </row>
    <row r="221">
      <c r="A221" s="172"/>
      <c r="B221" s="172"/>
      <c r="C221" s="172"/>
      <c r="D221" s="172"/>
      <c r="E221" s="172"/>
    </row>
    <row r="222">
      <c r="A222" s="172"/>
      <c r="B222" s="172"/>
      <c r="C222" s="172"/>
      <c r="D222" s="172"/>
      <c r="E222" s="172"/>
    </row>
    <row r="223">
      <c r="A223" s="172"/>
      <c r="B223" s="172"/>
      <c r="C223" s="172"/>
      <c r="D223" s="172"/>
      <c r="E223" s="172"/>
    </row>
    <row r="224">
      <c r="A224" s="172"/>
      <c r="B224" s="172"/>
      <c r="C224" s="172"/>
      <c r="D224" s="172"/>
      <c r="E224" s="172"/>
    </row>
    <row r="225">
      <c r="A225" s="172"/>
      <c r="B225" s="172"/>
      <c r="C225" s="172"/>
      <c r="D225" s="172"/>
      <c r="E225" s="172"/>
    </row>
    <row r="226">
      <c r="A226" s="172"/>
      <c r="B226" s="172"/>
      <c r="C226" s="172"/>
      <c r="D226" s="172"/>
      <c r="E226" s="172"/>
    </row>
    <row r="227">
      <c r="A227" s="172"/>
      <c r="B227" s="172"/>
      <c r="C227" s="172"/>
      <c r="D227" s="172"/>
      <c r="E227" s="172"/>
    </row>
    <row r="228">
      <c r="A228" s="172"/>
      <c r="B228" s="172"/>
      <c r="C228" s="172"/>
      <c r="D228" s="172"/>
      <c r="E228" s="172"/>
    </row>
    <row r="229">
      <c r="A229" s="172"/>
      <c r="B229" s="172"/>
      <c r="C229" s="172"/>
      <c r="D229" s="172"/>
      <c r="E229" s="172"/>
    </row>
    <row r="230">
      <c r="A230" s="172"/>
      <c r="B230" s="172"/>
      <c r="C230" s="172"/>
      <c r="D230" s="172"/>
      <c r="E230" s="172"/>
    </row>
    <row r="231">
      <c r="A231" s="172"/>
      <c r="B231" s="172"/>
      <c r="C231" s="172"/>
      <c r="D231" s="172"/>
      <c r="E231" s="172"/>
    </row>
    <row r="232">
      <c r="A232" s="172"/>
      <c r="B232" s="172"/>
      <c r="C232" s="172"/>
      <c r="D232" s="172"/>
      <c r="E232" s="172"/>
    </row>
    <row r="233">
      <c r="A233" s="172"/>
      <c r="B233" s="172"/>
      <c r="C233" s="172"/>
      <c r="D233" s="172"/>
      <c r="E233" s="172"/>
    </row>
    <row r="234">
      <c r="A234" s="172"/>
      <c r="B234" s="172"/>
      <c r="C234" s="172"/>
      <c r="D234" s="172"/>
      <c r="E234" s="172"/>
    </row>
    <row r="235">
      <c r="A235" s="172"/>
      <c r="B235" s="172"/>
      <c r="C235" s="172"/>
      <c r="D235" s="172"/>
      <c r="E235" s="172"/>
    </row>
    <row r="236">
      <c r="A236" s="172"/>
      <c r="B236" s="172"/>
      <c r="C236" s="172"/>
      <c r="D236" s="172"/>
      <c r="E236" s="172"/>
    </row>
    <row r="237">
      <c r="A237" s="172"/>
      <c r="B237" s="172"/>
      <c r="C237" s="172"/>
      <c r="D237" s="172"/>
      <c r="E237" s="172"/>
    </row>
    <row r="238">
      <c r="A238" s="172"/>
      <c r="B238" s="172"/>
      <c r="C238" s="172"/>
      <c r="D238" s="172"/>
      <c r="E238" s="172"/>
    </row>
    <row r="239">
      <c r="A239" s="172"/>
      <c r="B239" s="172"/>
      <c r="C239" s="172"/>
      <c r="D239" s="172"/>
      <c r="E239" s="172"/>
    </row>
    <row r="240">
      <c r="A240" s="172"/>
      <c r="B240" s="172"/>
      <c r="C240" s="172"/>
      <c r="D240" s="172"/>
      <c r="E240" s="172"/>
    </row>
    <row r="241">
      <c r="A241" s="172"/>
      <c r="B241" s="172"/>
      <c r="C241" s="172"/>
      <c r="D241" s="172"/>
      <c r="E241" s="172"/>
    </row>
    <row r="242">
      <c r="A242" s="172"/>
      <c r="B242" s="172"/>
      <c r="C242" s="172"/>
      <c r="D242" s="172"/>
      <c r="E242" s="172"/>
    </row>
    <row r="243">
      <c r="A243" s="172"/>
      <c r="B243" s="172"/>
      <c r="C243" s="172"/>
      <c r="D243" s="172"/>
      <c r="E243" s="172"/>
    </row>
    <row r="244">
      <c r="A244" s="172"/>
      <c r="B244" s="172"/>
      <c r="C244" s="172"/>
      <c r="D244" s="172"/>
      <c r="E244" s="172"/>
    </row>
    <row r="245">
      <c r="A245" s="172"/>
      <c r="B245" s="172"/>
      <c r="C245" s="172"/>
      <c r="D245" s="172"/>
      <c r="E245" s="172"/>
    </row>
    <row r="246">
      <c r="A246" s="172"/>
      <c r="B246" s="172"/>
      <c r="C246" s="172"/>
      <c r="D246" s="172"/>
      <c r="E246" s="172"/>
    </row>
    <row r="247">
      <c r="A247" s="172"/>
      <c r="B247" s="172"/>
      <c r="C247" s="172"/>
      <c r="D247" s="172"/>
      <c r="E247" s="172"/>
    </row>
    <row r="248">
      <c r="A248" s="172"/>
      <c r="B248" s="172"/>
      <c r="C248" s="172"/>
      <c r="D248" s="172"/>
      <c r="E248" s="172"/>
    </row>
    <row r="249">
      <c r="A249" s="172"/>
      <c r="B249" s="172"/>
      <c r="C249" s="172"/>
      <c r="D249" s="172"/>
      <c r="E249" s="172"/>
    </row>
    <row r="250">
      <c r="A250" s="172"/>
      <c r="B250" s="172"/>
      <c r="C250" s="172"/>
      <c r="D250" s="172"/>
      <c r="E250" s="172"/>
    </row>
    <row r="251">
      <c r="A251" s="172"/>
      <c r="B251" s="172"/>
      <c r="C251" s="172"/>
      <c r="D251" s="172"/>
      <c r="E251" s="172"/>
    </row>
    <row r="252">
      <c r="A252" s="172"/>
      <c r="B252" s="172"/>
      <c r="C252" s="172"/>
      <c r="D252" s="172"/>
      <c r="E252" s="172"/>
    </row>
    <row r="253">
      <c r="A253" s="172"/>
      <c r="B253" s="172"/>
      <c r="C253" s="172"/>
      <c r="D253" s="172"/>
      <c r="E253" s="172"/>
    </row>
    <row r="254">
      <c r="A254" s="172"/>
      <c r="B254" s="172"/>
      <c r="C254" s="172"/>
      <c r="D254" s="172"/>
      <c r="E254" s="172"/>
    </row>
    <row r="255">
      <c r="A255" s="172"/>
      <c r="B255" s="172"/>
      <c r="C255" s="172"/>
      <c r="D255" s="172"/>
      <c r="E255" s="172"/>
    </row>
    <row r="256">
      <c r="A256" s="172"/>
      <c r="B256" s="172"/>
      <c r="C256" s="172"/>
      <c r="D256" s="172"/>
      <c r="E256" s="172"/>
    </row>
    <row r="257">
      <c r="A257" s="172"/>
      <c r="B257" s="172"/>
      <c r="C257" s="172"/>
      <c r="D257" s="172"/>
      <c r="E257" s="172"/>
    </row>
    <row r="258">
      <c r="A258" s="172"/>
      <c r="B258" s="172"/>
      <c r="C258" s="172"/>
      <c r="D258" s="172"/>
      <c r="E258" s="172"/>
    </row>
    <row r="259">
      <c r="A259" s="172"/>
      <c r="B259" s="172"/>
      <c r="C259" s="172"/>
      <c r="D259" s="172"/>
      <c r="E259" s="172"/>
    </row>
    <row r="260">
      <c r="A260" s="172"/>
      <c r="B260" s="172"/>
      <c r="C260" s="172"/>
      <c r="D260" s="172"/>
      <c r="E260" s="172"/>
    </row>
    <row r="261">
      <c r="A261" s="172"/>
      <c r="B261" s="172"/>
      <c r="C261" s="172"/>
      <c r="D261" s="172"/>
      <c r="E261" s="172"/>
    </row>
    <row r="262">
      <c r="A262" s="172"/>
      <c r="B262" s="172"/>
      <c r="C262" s="172"/>
      <c r="D262" s="172"/>
      <c r="E262" s="172"/>
    </row>
    <row r="263">
      <c r="A263" s="172"/>
      <c r="B263" s="172"/>
      <c r="C263" s="172"/>
      <c r="D263" s="172"/>
      <c r="E263" s="172"/>
    </row>
    <row r="264">
      <c r="A264" s="172"/>
      <c r="B264" s="172"/>
      <c r="C264" s="172"/>
      <c r="D264" s="172"/>
      <c r="E264" s="172"/>
    </row>
    <row r="265">
      <c r="A265" s="172"/>
      <c r="B265" s="172"/>
      <c r="C265" s="172"/>
      <c r="D265" s="172"/>
      <c r="E265" s="172"/>
    </row>
    <row r="266">
      <c r="A266" s="172"/>
      <c r="B266" s="172"/>
      <c r="C266" s="172"/>
      <c r="D266" s="172"/>
      <c r="E266" s="172"/>
    </row>
    <row r="267">
      <c r="A267" s="172"/>
      <c r="B267" s="172"/>
      <c r="C267" s="172"/>
      <c r="D267" s="172"/>
      <c r="E267" s="172"/>
    </row>
    <row r="268">
      <c r="A268" s="172"/>
      <c r="B268" s="172"/>
      <c r="C268" s="172"/>
      <c r="D268" s="172"/>
      <c r="E268" s="172"/>
    </row>
    <row r="269">
      <c r="A269" s="172"/>
      <c r="B269" s="172"/>
      <c r="C269" s="172"/>
      <c r="D269" s="172"/>
      <c r="E269" s="172"/>
    </row>
    <row r="270">
      <c r="A270" s="172"/>
      <c r="B270" s="172"/>
      <c r="C270" s="172"/>
      <c r="D270" s="172"/>
      <c r="E270" s="172"/>
    </row>
    <row r="271">
      <c r="A271" s="172"/>
      <c r="B271" s="172"/>
      <c r="C271" s="172"/>
      <c r="D271" s="172"/>
      <c r="E271" s="172"/>
    </row>
    <row r="272">
      <c r="A272" s="172"/>
      <c r="B272" s="172"/>
      <c r="C272" s="172"/>
      <c r="D272" s="172"/>
      <c r="E272" s="172"/>
    </row>
    <row r="273">
      <c r="A273" s="172"/>
      <c r="B273" s="172"/>
      <c r="C273" s="172"/>
      <c r="D273" s="172"/>
      <c r="E273" s="172"/>
    </row>
    <row r="274">
      <c r="A274" s="172"/>
      <c r="B274" s="172"/>
      <c r="C274" s="172"/>
      <c r="D274" s="172"/>
      <c r="E274" s="172"/>
    </row>
    <row r="275">
      <c r="A275" s="172"/>
      <c r="B275" s="172"/>
      <c r="C275" s="172"/>
      <c r="D275" s="172"/>
      <c r="E275" s="172"/>
    </row>
    <row r="276">
      <c r="A276" s="172"/>
      <c r="B276" s="172"/>
      <c r="C276" s="172"/>
      <c r="D276" s="172"/>
      <c r="E276" s="172"/>
    </row>
    <row r="277">
      <c r="A277" s="172"/>
      <c r="B277" s="172"/>
      <c r="C277" s="172"/>
      <c r="D277" s="172"/>
      <c r="E277" s="172"/>
    </row>
    <row r="278">
      <c r="A278" s="172"/>
      <c r="B278" s="172"/>
      <c r="C278" s="172"/>
      <c r="D278" s="172"/>
      <c r="E278" s="172"/>
    </row>
    <row r="279">
      <c r="A279" s="172"/>
      <c r="B279" s="172"/>
      <c r="C279" s="172"/>
      <c r="D279" s="172"/>
      <c r="E279" s="172"/>
    </row>
    <row r="280">
      <c r="A280" s="172"/>
      <c r="B280" s="172"/>
      <c r="C280" s="172"/>
      <c r="D280" s="172"/>
      <c r="E280" s="172"/>
    </row>
    <row r="281">
      <c r="A281" s="172"/>
      <c r="B281" s="172"/>
      <c r="C281" s="172"/>
      <c r="D281" s="172"/>
      <c r="E281" s="172"/>
    </row>
    <row r="282">
      <c r="A282" s="172"/>
      <c r="B282" s="172"/>
      <c r="C282" s="172"/>
      <c r="D282" s="172"/>
      <c r="E282" s="172"/>
    </row>
    <row r="283">
      <c r="A283" s="172"/>
      <c r="B283" s="172"/>
      <c r="C283" s="172"/>
      <c r="D283" s="172"/>
      <c r="E283" s="172"/>
    </row>
    <row r="284">
      <c r="A284" s="172"/>
      <c r="B284" s="172"/>
      <c r="C284" s="172"/>
      <c r="D284" s="172"/>
      <c r="E284" s="172"/>
    </row>
    <row r="285">
      <c r="A285" s="172"/>
      <c r="B285" s="172"/>
      <c r="C285" s="172"/>
      <c r="D285" s="172"/>
      <c r="E285" s="172"/>
    </row>
    <row r="286">
      <c r="A286" s="172"/>
      <c r="B286" s="172"/>
      <c r="C286" s="172"/>
      <c r="D286" s="172"/>
      <c r="E286" s="172"/>
    </row>
    <row r="287">
      <c r="A287" s="172"/>
      <c r="B287" s="172"/>
      <c r="C287" s="172"/>
      <c r="D287" s="172"/>
      <c r="E287" s="172"/>
    </row>
    <row r="288">
      <c r="A288" s="172"/>
      <c r="B288" s="172"/>
      <c r="C288" s="172"/>
      <c r="D288" s="172"/>
      <c r="E288" s="172"/>
    </row>
    <row r="289">
      <c r="A289" s="172"/>
      <c r="B289" s="172"/>
      <c r="C289" s="172"/>
      <c r="D289" s="172"/>
      <c r="E289" s="172"/>
    </row>
    <row r="290">
      <c r="A290" s="172"/>
      <c r="B290" s="172"/>
      <c r="C290" s="172"/>
      <c r="D290" s="172"/>
      <c r="E290" s="172"/>
    </row>
    <row r="291">
      <c r="A291" s="172"/>
      <c r="B291" s="172"/>
      <c r="C291" s="172"/>
      <c r="D291" s="172"/>
      <c r="E291" s="172"/>
    </row>
    <row r="292">
      <c r="A292" s="172"/>
      <c r="B292" s="172"/>
      <c r="C292" s="172"/>
      <c r="D292" s="172"/>
      <c r="E292" s="172"/>
    </row>
    <row r="293">
      <c r="A293" s="172"/>
      <c r="B293" s="172"/>
      <c r="C293" s="172"/>
      <c r="D293" s="172"/>
      <c r="E293" s="172"/>
    </row>
    <row r="294">
      <c r="A294" s="172"/>
      <c r="B294" s="172"/>
      <c r="C294" s="172"/>
      <c r="D294" s="172"/>
      <c r="E294" s="172"/>
    </row>
    <row r="295">
      <c r="A295" s="172"/>
      <c r="B295" s="172"/>
      <c r="C295" s="172"/>
      <c r="D295" s="172"/>
      <c r="E295" s="172"/>
    </row>
    <row r="296">
      <c r="A296" s="172"/>
      <c r="B296" s="172"/>
      <c r="C296" s="172"/>
      <c r="D296" s="172"/>
      <c r="E296" s="172"/>
    </row>
    <row r="297">
      <c r="A297" s="172"/>
      <c r="B297" s="172"/>
      <c r="C297" s="172"/>
      <c r="D297" s="172"/>
      <c r="E297" s="172"/>
    </row>
    <row r="298">
      <c r="A298" s="172"/>
      <c r="B298" s="172"/>
      <c r="C298" s="172"/>
      <c r="D298" s="172"/>
      <c r="E298" s="172"/>
    </row>
    <row r="299">
      <c r="A299" s="172"/>
      <c r="B299" s="172"/>
      <c r="C299" s="172"/>
      <c r="D299" s="172"/>
      <c r="E299" s="172"/>
    </row>
    <row r="300">
      <c r="A300" s="172"/>
      <c r="B300" s="172"/>
      <c r="C300" s="172"/>
      <c r="D300" s="172"/>
      <c r="E300" s="172"/>
    </row>
    <row r="301">
      <c r="A301" s="172"/>
      <c r="B301" s="172"/>
      <c r="C301" s="172"/>
      <c r="D301" s="172"/>
      <c r="E301" s="172"/>
    </row>
    <row r="302">
      <c r="A302" s="172"/>
      <c r="B302" s="172"/>
      <c r="C302" s="172"/>
      <c r="D302" s="172"/>
      <c r="E302" s="172"/>
    </row>
    <row r="303">
      <c r="A303" s="172"/>
      <c r="B303" s="172"/>
      <c r="C303" s="172"/>
      <c r="D303" s="172"/>
      <c r="E303" s="172"/>
    </row>
    <row r="304">
      <c r="A304" s="172"/>
      <c r="B304" s="172"/>
      <c r="C304" s="172"/>
      <c r="D304" s="172"/>
      <c r="E304" s="172"/>
    </row>
    <row r="305">
      <c r="A305" s="172"/>
      <c r="B305" s="172"/>
      <c r="C305" s="172"/>
      <c r="D305" s="172"/>
      <c r="E305" s="172"/>
    </row>
    <row r="306">
      <c r="A306" s="172"/>
      <c r="B306" s="172"/>
      <c r="C306" s="172"/>
      <c r="D306" s="172"/>
      <c r="E306" s="172"/>
    </row>
    <row r="307">
      <c r="A307" s="172"/>
      <c r="B307" s="172"/>
      <c r="C307" s="172"/>
      <c r="D307" s="172"/>
      <c r="E307" s="172"/>
    </row>
    <row r="308">
      <c r="A308" s="172"/>
      <c r="B308" s="172"/>
      <c r="C308" s="172"/>
      <c r="D308" s="172"/>
      <c r="E308" s="172"/>
    </row>
    <row r="309">
      <c r="A309" s="172"/>
      <c r="B309" s="172"/>
      <c r="C309" s="172"/>
      <c r="D309" s="172"/>
      <c r="E309" s="172"/>
    </row>
    <row r="310">
      <c r="A310" s="172"/>
      <c r="B310" s="172"/>
      <c r="C310" s="172"/>
      <c r="D310" s="172"/>
      <c r="E310" s="172"/>
    </row>
    <row r="311">
      <c r="A311" s="172"/>
      <c r="B311" s="172"/>
      <c r="C311" s="172"/>
      <c r="D311" s="172"/>
      <c r="E311" s="172"/>
    </row>
    <row r="312">
      <c r="A312" s="172"/>
      <c r="B312" s="172"/>
      <c r="C312" s="172"/>
      <c r="D312" s="172"/>
      <c r="E312" s="172"/>
    </row>
    <row r="313">
      <c r="A313" s="172"/>
      <c r="B313" s="172"/>
      <c r="C313" s="172"/>
      <c r="D313" s="172"/>
      <c r="E313" s="172"/>
    </row>
    <row r="314">
      <c r="A314" s="172"/>
      <c r="B314" s="172"/>
      <c r="C314" s="172"/>
      <c r="D314" s="172"/>
      <c r="E314" s="172"/>
    </row>
    <row r="315">
      <c r="A315" s="172"/>
      <c r="B315" s="172"/>
      <c r="C315" s="172"/>
      <c r="D315" s="172"/>
      <c r="E315" s="172"/>
    </row>
    <row r="316">
      <c r="A316" s="172"/>
      <c r="B316" s="172"/>
      <c r="C316" s="172"/>
      <c r="D316" s="172"/>
      <c r="E316" s="172"/>
    </row>
    <row r="317">
      <c r="A317" s="172"/>
      <c r="B317" s="172"/>
      <c r="C317" s="172"/>
      <c r="D317" s="172"/>
      <c r="E317" s="172"/>
    </row>
    <row r="318">
      <c r="A318" s="172"/>
      <c r="B318" s="172"/>
      <c r="C318" s="172"/>
      <c r="D318" s="172"/>
      <c r="E318" s="172"/>
    </row>
    <row r="319">
      <c r="A319" s="172"/>
      <c r="B319" s="172"/>
      <c r="C319" s="172"/>
      <c r="D319" s="172"/>
      <c r="E319" s="172"/>
    </row>
    <row r="320">
      <c r="A320" s="172"/>
      <c r="B320" s="172"/>
      <c r="C320" s="172"/>
      <c r="D320" s="172"/>
      <c r="E320" s="172"/>
    </row>
    <row r="321">
      <c r="A321" s="172"/>
      <c r="B321" s="172"/>
      <c r="C321" s="172"/>
      <c r="D321" s="172"/>
      <c r="E321" s="172"/>
    </row>
    <row r="322">
      <c r="A322" s="172"/>
      <c r="B322" s="172"/>
      <c r="C322" s="172"/>
      <c r="D322" s="172"/>
      <c r="E322" s="172"/>
    </row>
    <row r="323">
      <c r="A323" s="172"/>
      <c r="B323" s="172"/>
      <c r="C323" s="172"/>
      <c r="D323" s="172"/>
      <c r="E323" s="172"/>
    </row>
    <row r="324">
      <c r="A324" s="172"/>
      <c r="B324" s="172"/>
      <c r="C324" s="172"/>
      <c r="D324" s="172"/>
      <c r="E324" s="172"/>
    </row>
    <row r="325">
      <c r="A325" s="172"/>
      <c r="B325" s="172"/>
      <c r="C325" s="172"/>
      <c r="D325" s="172"/>
      <c r="E325" s="172"/>
    </row>
    <row r="326">
      <c r="A326" s="172"/>
      <c r="B326" s="172"/>
      <c r="C326" s="172"/>
      <c r="D326" s="172"/>
      <c r="E326" s="172"/>
    </row>
    <row r="327">
      <c r="A327" s="172"/>
      <c r="B327" s="172"/>
      <c r="C327" s="172"/>
      <c r="D327" s="172"/>
      <c r="E327" s="172"/>
    </row>
    <row r="328">
      <c r="A328" s="172"/>
      <c r="B328" s="172"/>
      <c r="C328" s="172"/>
      <c r="D328" s="172"/>
      <c r="E328" s="172"/>
    </row>
    <row r="329">
      <c r="A329" s="172"/>
      <c r="B329" s="172"/>
      <c r="C329" s="172"/>
      <c r="D329" s="172"/>
      <c r="E329" s="172"/>
    </row>
    <row r="330">
      <c r="A330" s="172"/>
      <c r="B330" s="172"/>
      <c r="C330" s="172"/>
      <c r="D330" s="172"/>
      <c r="E330" s="172"/>
    </row>
    <row r="331">
      <c r="A331" s="172"/>
      <c r="B331" s="172"/>
      <c r="C331" s="172"/>
      <c r="D331" s="172"/>
      <c r="E331" s="172"/>
    </row>
    <row r="332">
      <c r="A332" s="172"/>
      <c r="B332" s="172"/>
      <c r="C332" s="172"/>
      <c r="D332" s="172"/>
      <c r="E332" s="172"/>
    </row>
    <row r="333">
      <c r="A333" s="172"/>
      <c r="B333" s="172"/>
      <c r="C333" s="172"/>
      <c r="D333" s="172"/>
      <c r="E333" s="172"/>
    </row>
    <row r="334">
      <c r="A334" s="172"/>
      <c r="B334" s="172"/>
      <c r="C334" s="172"/>
      <c r="D334" s="172"/>
      <c r="E334" s="172"/>
    </row>
    <row r="335">
      <c r="A335" s="172"/>
      <c r="B335" s="172"/>
      <c r="C335" s="172"/>
      <c r="D335" s="172"/>
      <c r="E335" s="172"/>
    </row>
    <row r="336">
      <c r="A336" s="172"/>
      <c r="B336" s="172"/>
      <c r="C336" s="172"/>
      <c r="D336" s="172"/>
      <c r="E336" s="172"/>
    </row>
    <row r="337">
      <c r="A337" s="172"/>
      <c r="B337" s="172"/>
      <c r="C337" s="172"/>
      <c r="D337" s="172"/>
      <c r="E337" s="172"/>
    </row>
    <row r="338">
      <c r="A338" s="172"/>
      <c r="B338" s="172"/>
      <c r="C338" s="172"/>
      <c r="D338" s="172"/>
      <c r="E338" s="172"/>
    </row>
    <row r="339">
      <c r="A339" s="172"/>
      <c r="B339" s="172"/>
      <c r="C339" s="172"/>
      <c r="D339" s="172"/>
      <c r="E339" s="172"/>
    </row>
    <row r="340">
      <c r="A340" s="172"/>
      <c r="B340" s="172"/>
      <c r="C340" s="172"/>
      <c r="D340" s="172"/>
      <c r="E340" s="172"/>
    </row>
    <row r="341">
      <c r="A341" s="172"/>
      <c r="B341" s="172"/>
      <c r="C341" s="172"/>
      <c r="D341" s="172"/>
      <c r="E341" s="172"/>
    </row>
    <row r="342">
      <c r="A342" s="172"/>
      <c r="B342" s="172"/>
      <c r="C342" s="172"/>
      <c r="D342" s="172"/>
      <c r="E342" s="172"/>
    </row>
    <row r="343">
      <c r="A343" s="172"/>
      <c r="B343" s="172"/>
      <c r="C343" s="172"/>
      <c r="D343" s="172"/>
      <c r="E343" s="172"/>
    </row>
    <row r="344">
      <c r="A344" s="172"/>
      <c r="B344" s="172"/>
      <c r="C344" s="172"/>
      <c r="D344" s="172"/>
      <c r="E344" s="172"/>
    </row>
    <row r="345">
      <c r="A345" s="172"/>
      <c r="B345" s="172"/>
      <c r="C345" s="172"/>
      <c r="D345" s="172"/>
      <c r="E345" s="172"/>
    </row>
    <row r="346">
      <c r="A346" s="172"/>
      <c r="B346" s="172"/>
      <c r="C346" s="172"/>
      <c r="D346" s="172"/>
      <c r="E346" s="172"/>
    </row>
    <row r="347">
      <c r="A347" s="172"/>
      <c r="B347" s="172"/>
      <c r="C347" s="172"/>
      <c r="D347" s="172"/>
      <c r="E347" s="172"/>
    </row>
    <row r="348">
      <c r="A348" s="172"/>
      <c r="B348" s="172"/>
      <c r="C348" s="172"/>
      <c r="D348" s="172"/>
      <c r="E348" s="172"/>
    </row>
    <row r="349">
      <c r="A349" s="172"/>
      <c r="B349" s="172"/>
      <c r="C349" s="172"/>
      <c r="D349" s="172"/>
      <c r="E349" s="172"/>
    </row>
    <row r="350">
      <c r="A350" s="172"/>
      <c r="B350" s="172"/>
      <c r="C350" s="172"/>
      <c r="D350" s="172"/>
      <c r="E350" s="172"/>
    </row>
    <row r="351">
      <c r="A351" s="172"/>
      <c r="B351" s="172"/>
      <c r="C351" s="172"/>
      <c r="D351" s="172"/>
      <c r="E351" s="172"/>
    </row>
    <row r="352">
      <c r="A352" s="172"/>
      <c r="B352" s="172"/>
      <c r="C352" s="172"/>
      <c r="D352" s="172"/>
      <c r="E352" s="172"/>
    </row>
    <row r="353">
      <c r="A353" s="172"/>
      <c r="B353" s="172"/>
      <c r="C353" s="172"/>
      <c r="D353" s="172"/>
      <c r="E353" s="172"/>
    </row>
    <row r="354">
      <c r="A354" s="172"/>
      <c r="B354" s="172"/>
      <c r="C354" s="172"/>
      <c r="D354" s="172"/>
      <c r="E354" s="172"/>
    </row>
    <row r="355">
      <c r="A355" s="172"/>
      <c r="B355" s="172"/>
      <c r="C355" s="172"/>
      <c r="D355" s="172"/>
      <c r="E355" s="172"/>
    </row>
    <row r="356">
      <c r="A356" s="172"/>
      <c r="B356" s="172"/>
      <c r="C356" s="172"/>
      <c r="D356" s="172"/>
      <c r="E356" s="172"/>
    </row>
    <row r="357">
      <c r="A357" s="172"/>
      <c r="B357" s="172"/>
      <c r="C357" s="172"/>
      <c r="D357" s="172"/>
      <c r="E357" s="172"/>
    </row>
    <row r="358">
      <c r="A358" s="172"/>
      <c r="B358" s="172"/>
      <c r="C358" s="172"/>
      <c r="D358" s="172"/>
      <c r="E358" s="172"/>
    </row>
    <row r="359">
      <c r="A359" s="172"/>
      <c r="B359" s="172"/>
      <c r="C359" s="172"/>
      <c r="D359" s="172"/>
      <c r="E359" s="172"/>
    </row>
    <row r="360">
      <c r="A360" s="172"/>
      <c r="B360" s="172"/>
      <c r="C360" s="172"/>
      <c r="D360" s="172"/>
      <c r="E360" s="172"/>
    </row>
    <row r="361">
      <c r="A361" s="172"/>
      <c r="B361" s="172"/>
      <c r="C361" s="172"/>
      <c r="D361" s="172"/>
      <c r="E361" s="172"/>
    </row>
    <row r="362">
      <c r="A362" s="172"/>
      <c r="B362" s="172"/>
      <c r="C362" s="172"/>
      <c r="D362" s="172"/>
      <c r="E362" s="172"/>
    </row>
    <row r="363">
      <c r="A363" s="172"/>
      <c r="B363" s="172"/>
      <c r="C363" s="172"/>
      <c r="D363" s="172"/>
      <c r="E363" s="172"/>
    </row>
    <row r="364">
      <c r="A364" s="172"/>
      <c r="B364" s="172"/>
      <c r="C364" s="172"/>
      <c r="D364" s="172"/>
      <c r="E364" s="172"/>
    </row>
    <row r="365">
      <c r="A365" s="172"/>
      <c r="B365" s="172"/>
      <c r="C365" s="172"/>
      <c r="D365" s="172"/>
      <c r="E365" s="172"/>
    </row>
    <row r="366">
      <c r="A366" s="172"/>
      <c r="B366" s="172"/>
      <c r="C366" s="172"/>
      <c r="D366" s="172"/>
      <c r="E366" s="172"/>
    </row>
    <row r="367">
      <c r="A367" s="172"/>
      <c r="B367" s="172"/>
      <c r="C367" s="172"/>
      <c r="D367" s="172"/>
      <c r="E367" s="172"/>
    </row>
    <row r="368">
      <c r="A368" s="172"/>
      <c r="B368" s="172"/>
      <c r="C368" s="172"/>
      <c r="D368" s="172"/>
      <c r="E368" s="172"/>
    </row>
    <row r="369">
      <c r="A369" s="172"/>
      <c r="B369" s="172"/>
      <c r="C369" s="172"/>
      <c r="D369" s="172"/>
      <c r="E369" s="172"/>
    </row>
    <row r="370">
      <c r="A370" s="172"/>
      <c r="B370" s="172"/>
      <c r="C370" s="172"/>
      <c r="D370" s="172"/>
      <c r="E370" s="172"/>
    </row>
    <row r="371">
      <c r="A371" s="172"/>
      <c r="B371" s="172"/>
      <c r="C371" s="172"/>
      <c r="D371" s="172"/>
      <c r="E371" s="172"/>
    </row>
    <row r="372">
      <c r="A372" s="172"/>
      <c r="B372" s="172"/>
      <c r="C372" s="172"/>
      <c r="D372" s="172"/>
      <c r="E372" s="172"/>
    </row>
    <row r="373">
      <c r="A373" s="172"/>
      <c r="B373" s="172"/>
      <c r="C373" s="172"/>
      <c r="D373" s="172"/>
      <c r="E373" s="172"/>
    </row>
    <row r="374">
      <c r="A374" s="172"/>
      <c r="B374" s="172"/>
      <c r="C374" s="172"/>
      <c r="D374" s="172"/>
      <c r="E374" s="172"/>
    </row>
    <row r="375">
      <c r="A375" s="172"/>
      <c r="B375" s="172"/>
      <c r="C375" s="172"/>
      <c r="D375" s="172"/>
      <c r="E375" s="172"/>
    </row>
    <row r="376">
      <c r="A376" s="172"/>
      <c r="B376" s="172"/>
      <c r="C376" s="172"/>
      <c r="D376" s="172"/>
      <c r="E376" s="172"/>
    </row>
    <row r="377">
      <c r="A377" s="172"/>
      <c r="B377" s="172"/>
      <c r="C377" s="172"/>
      <c r="D377" s="172"/>
      <c r="E377" s="172"/>
    </row>
    <row r="378">
      <c r="A378" s="172"/>
      <c r="B378" s="172"/>
      <c r="C378" s="172"/>
      <c r="D378" s="172"/>
      <c r="E378" s="172"/>
    </row>
    <row r="379">
      <c r="A379" s="172"/>
      <c r="B379" s="172"/>
      <c r="C379" s="172"/>
      <c r="D379" s="172"/>
      <c r="E379" s="172"/>
    </row>
    <row r="380">
      <c r="A380" s="172"/>
      <c r="B380" s="172"/>
      <c r="C380" s="172"/>
      <c r="D380" s="172"/>
      <c r="E380" s="172"/>
    </row>
    <row r="381">
      <c r="A381" s="172"/>
      <c r="B381" s="172"/>
      <c r="C381" s="172"/>
      <c r="D381" s="172"/>
      <c r="E381" s="172"/>
    </row>
    <row r="382">
      <c r="A382" s="172"/>
      <c r="B382" s="172"/>
      <c r="C382" s="172"/>
      <c r="D382" s="172"/>
      <c r="E382" s="172"/>
    </row>
    <row r="383">
      <c r="A383" s="172"/>
      <c r="B383" s="172"/>
      <c r="C383" s="172"/>
      <c r="D383" s="172"/>
      <c r="E383" s="172"/>
    </row>
    <row r="384">
      <c r="A384" s="172"/>
      <c r="B384" s="172"/>
      <c r="C384" s="172"/>
      <c r="D384" s="172"/>
      <c r="E384" s="172"/>
    </row>
    <row r="385">
      <c r="A385" s="172"/>
      <c r="B385" s="172"/>
      <c r="C385" s="172"/>
      <c r="D385" s="172"/>
      <c r="E385" s="172"/>
    </row>
    <row r="386">
      <c r="A386" s="172"/>
      <c r="B386" s="172"/>
      <c r="C386" s="172"/>
      <c r="D386" s="172"/>
      <c r="E386" s="172"/>
    </row>
    <row r="387">
      <c r="A387" s="172"/>
      <c r="B387" s="172"/>
      <c r="C387" s="172"/>
      <c r="D387" s="172"/>
      <c r="E387" s="172"/>
    </row>
    <row r="388">
      <c r="A388" s="172"/>
      <c r="B388" s="172"/>
      <c r="C388" s="172"/>
      <c r="D388" s="172"/>
      <c r="E388" s="172"/>
    </row>
    <row r="389">
      <c r="A389" s="172"/>
      <c r="B389" s="172"/>
      <c r="C389" s="172"/>
      <c r="D389" s="172"/>
      <c r="E389" s="172"/>
    </row>
    <row r="390">
      <c r="A390" s="172"/>
      <c r="B390" s="172"/>
      <c r="C390" s="172"/>
      <c r="D390" s="172"/>
      <c r="E390" s="172"/>
    </row>
    <row r="391">
      <c r="A391" s="172"/>
      <c r="B391" s="172"/>
      <c r="C391" s="172"/>
      <c r="D391" s="172"/>
      <c r="E391" s="172"/>
    </row>
    <row r="392">
      <c r="A392" s="172"/>
      <c r="B392" s="172"/>
      <c r="C392" s="172"/>
      <c r="D392" s="172"/>
      <c r="E392" s="172"/>
    </row>
    <row r="393">
      <c r="A393" s="172"/>
      <c r="B393" s="172"/>
      <c r="C393" s="172"/>
      <c r="D393" s="172"/>
      <c r="E393" s="172"/>
    </row>
    <row r="394">
      <c r="A394" s="172"/>
      <c r="B394" s="172"/>
      <c r="C394" s="172"/>
      <c r="D394" s="172"/>
      <c r="E394" s="172"/>
    </row>
    <row r="395">
      <c r="A395" s="172"/>
      <c r="B395" s="172"/>
      <c r="C395" s="172"/>
      <c r="D395" s="172"/>
      <c r="E395" s="172"/>
    </row>
    <row r="396">
      <c r="A396" s="172"/>
      <c r="B396" s="172"/>
      <c r="C396" s="172"/>
      <c r="D396" s="172"/>
      <c r="E396" s="172"/>
    </row>
    <row r="397">
      <c r="A397" s="172"/>
      <c r="B397" s="172"/>
      <c r="C397" s="172"/>
      <c r="D397" s="172"/>
      <c r="E397" s="172"/>
    </row>
    <row r="398">
      <c r="A398" s="172"/>
      <c r="B398" s="172"/>
      <c r="C398" s="172"/>
      <c r="D398" s="172"/>
      <c r="E398" s="172"/>
    </row>
    <row r="399">
      <c r="A399" s="172"/>
      <c r="B399" s="172"/>
      <c r="C399" s="172"/>
      <c r="D399" s="172"/>
      <c r="E399" s="172"/>
    </row>
    <row r="400">
      <c r="A400" s="172"/>
      <c r="B400" s="172"/>
      <c r="C400" s="172"/>
      <c r="D400" s="172"/>
      <c r="E400" s="172"/>
    </row>
    <row r="401">
      <c r="A401" s="172"/>
      <c r="B401" s="172"/>
      <c r="C401" s="172"/>
      <c r="D401" s="172"/>
      <c r="E401" s="172"/>
    </row>
    <row r="402">
      <c r="A402" s="172"/>
      <c r="B402" s="172"/>
      <c r="C402" s="172"/>
      <c r="D402" s="172"/>
      <c r="E402" s="172"/>
    </row>
    <row r="403">
      <c r="A403" s="172"/>
      <c r="B403" s="172"/>
      <c r="C403" s="172"/>
      <c r="D403" s="172"/>
      <c r="E403" s="172"/>
    </row>
    <row r="404">
      <c r="A404" s="172"/>
      <c r="B404" s="172"/>
      <c r="C404" s="172"/>
      <c r="D404" s="172"/>
      <c r="E404" s="172"/>
    </row>
    <row r="405">
      <c r="A405" s="172"/>
      <c r="B405" s="172"/>
      <c r="C405" s="172"/>
      <c r="D405" s="172"/>
      <c r="E405" s="172"/>
    </row>
    <row r="406">
      <c r="A406" s="172"/>
      <c r="B406" s="172"/>
      <c r="C406" s="172"/>
      <c r="D406" s="172"/>
      <c r="E406" s="172"/>
    </row>
    <row r="407">
      <c r="A407" s="172"/>
      <c r="B407" s="172"/>
      <c r="C407" s="172"/>
      <c r="D407" s="172"/>
      <c r="E407" s="172"/>
    </row>
    <row r="408">
      <c r="A408" s="172"/>
      <c r="B408" s="172"/>
      <c r="C408" s="172"/>
      <c r="D408" s="172"/>
      <c r="E408" s="172"/>
    </row>
    <row r="409">
      <c r="A409" s="172"/>
      <c r="B409" s="172"/>
      <c r="C409" s="172"/>
      <c r="D409" s="172"/>
      <c r="E409" s="172"/>
    </row>
    <row r="410">
      <c r="A410" s="172"/>
      <c r="B410" s="172"/>
      <c r="C410" s="172"/>
      <c r="D410" s="172"/>
      <c r="E410" s="172"/>
    </row>
    <row r="411">
      <c r="A411" s="172"/>
      <c r="B411" s="172"/>
      <c r="C411" s="172"/>
      <c r="D411" s="172"/>
      <c r="E411" s="172"/>
    </row>
    <row r="412">
      <c r="A412" s="172"/>
      <c r="B412" s="172"/>
      <c r="C412" s="172"/>
      <c r="D412" s="172"/>
      <c r="E412" s="172"/>
    </row>
    <row r="413">
      <c r="A413" s="172"/>
      <c r="B413" s="172"/>
      <c r="C413" s="172"/>
      <c r="D413" s="172"/>
      <c r="E413" s="172"/>
    </row>
    <row r="414">
      <c r="A414" s="172"/>
      <c r="B414" s="172"/>
      <c r="C414" s="172"/>
      <c r="D414" s="172"/>
      <c r="E414" s="172"/>
    </row>
    <row r="415">
      <c r="A415" s="172"/>
      <c r="B415" s="172"/>
      <c r="C415" s="172"/>
      <c r="D415" s="172"/>
      <c r="E415" s="172"/>
    </row>
    <row r="416">
      <c r="A416" s="172"/>
      <c r="B416" s="172"/>
      <c r="C416" s="172"/>
      <c r="D416" s="172"/>
      <c r="E416" s="172"/>
    </row>
    <row r="417">
      <c r="A417" s="172"/>
      <c r="B417" s="172"/>
      <c r="C417" s="172"/>
      <c r="D417" s="172"/>
      <c r="E417" s="172"/>
    </row>
    <row r="418">
      <c r="A418" s="172"/>
      <c r="B418" s="172"/>
      <c r="C418" s="172"/>
      <c r="D418" s="172"/>
      <c r="E418" s="172"/>
    </row>
    <row r="419">
      <c r="A419" s="172"/>
      <c r="B419" s="172"/>
      <c r="C419" s="172"/>
      <c r="D419" s="172"/>
      <c r="E419" s="172"/>
    </row>
    <row r="420">
      <c r="A420" s="172"/>
      <c r="B420" s="172"/>
      <c r="C420" s="172"/>
      <c r="D420" s="172"/>
      <c r="E420" s="172"/>
    </row>
    <row r="421">
      <c r="A421" s="172"/>
      <c r="B421" s="172"/>
      <c r="C421" s="172"/>
      <c r="D421" s="172"/>
      <c r="E421" s="172"/>
    </row>
    <row r="422">
      <c r="A422" s="172"/>
      <c r="B422" s="172"/>
      <c r="C422" s="172"/>
      <c r="D422" s="172"/>
      <c r="E422" s="172"/>
    </row>
    <row r="423">
      <c r="A423" s="172"/>
      <c r="B423" s="172"/>
      <c r="C423" s="172"/>
      <c r="D423" s="172"/>
      <c r="E423" s="172"/>
    </row>
    <row r="424">
      <c r="A424" s="172"/>
      <c r="B424" s="172"/>
      <c r="C424" s="172"/>
      <c r="D424" s="172"/>
      <c r="E424" s="172"/>
    </row>
    <row r="425">
      <c r="A425" s="172"/>
      <c r="B425" s="172"/>
      <c r="C425" s="172"/>
      <c r="D425" s="172"/>
      <c r="E425" s="172"/>
    </row>
    <row r="426">
      <c r="A426" s="172"/>
      <c r="B426" s="172"/>
      <c r="C426" s="172"/>
      <c r="D426" s="172"/>
      <c r="E426" s="172"/>
    </row>
    <row r="427">
      <c r="A427" s="172"/>
      <c r="B427" s="172"/>
      <c r="C427" s="172"/>
      <c r="D427" s="172"/>
      <c r="E427" s="172"/>
    </row>
    <row r="428">
      <c r="A428" s="172"/>
      <c r="B428" s="172"/>
      <c r="C428" s="172"/>
      <c r="D428" s="172"/>
      <c r="E428" s="172"/>
    </row>
    <row r="429">
      <c r="A429" s="172"/>
      <c r="B429" s="172"/>
      <c r="C429" s="172"/>
      <c r="D429" s="172"/>
      <c r="E429" s="172"/>
    </row>
    <row r="430">
      <c r="A430" s="172"/>
      <c r="B430" s="172"/>
      <c r="C430" s="172"/>
      <c r="D430" s="172"/>
      <c r="E430" s="172"/>
    </row>
    <row r="431">
      <c r="A431" s="172"/>
      <c r="B431" s="172"/>
      <c r="C431" s="172"/>
      <c r="D431" s="172"/>
      <c r="E431" s="172"/>
    </row>
    <row r="432">
      <c r="A432" s="172"/>
      <c r="B432" s="172"/>
      <c r="C432" s="172"/>
      <c r="D432" s="172"/>
      <c r="E432" s="172"/>
    </row>
    <row r="433">
      <c r="A433" s="172"/>
      <c r="B433" s="172"/>
      <c r="C433" s="172"/>
      <c r="D433" s="172"/>
      <c r="E433" s="172"/>
    </row>
    <row r="434">
      <c r="A434" s="172"/>
      <c r="B434" s="172"/>
      <c r="C434" s="172"/>
      <c r="D434" s="172"/>
      <c r="E434" s="172"/>
    </row>
    <row r="435">
      <c r="A435" s="172"/>
      <c r="B435" s="172"/>
      <c r="C435" s="172"/>
      <c r="D435" s="172"/>
      <c r="E435" s="172"/>
    </row>
    <row r="436">
      <c r="A436" s="172"/>
      <c r="B436" s="172"/>
      <c r="C436" s="172"/>
      <c r="D436" s="172"/>
      <c r="E436" s="172"/>
    </row>
    <row r="437">
      <c r="A437" s="172"/>
      <c r="B437" s="172"/>
      <c r="C437" s="172"/>
      <c r="D437" s="172"/>
      <c r="E437" s="172"/>
    </row>
    <row r="438">
      <c r="A438" s="172"/>
      <c r="B438" s="172"/>
      <c r="C438" s="172"/>
      <c r="D438" s="172"/>
      <c r="E438" s="172"/>
    </row>
    <row r="439">
      <c r="A439" s="172"/>
      <c r="B439" s="172"/>
      <c r="C439" s="172"/>
      <c r="D439" s="172"/>
      <c r="E439" s="172"/>
    </row>
    <row r="440">
      <c r="A440" s="172"/>
      <c r="B440" s="172"/>
      <c r="C440" s="172"/>
      <c r="D440" s="172"/>
      <c r="E440" s="172"/>
    </row>
    <row r="441">
      <c r="A441" s="172"/>
      <c r="B441" s="172"/>
      <c r="C441" s="172"/>
      <c r="D441" s="172"/>
      <c r="E441" s="172"/>
    </row>
    <row r="442">
      <c r="A442" s="172"/>
      <c r="B442" s="172"/>
      <c r="C442" s="172"/>
      <c r="D442" s="172"/>
      <c r="E442" s="172"/>
    </row>
    <row r="443">
      <c r="A443" s="172"/>
      <c r="B443" s="172"/>
      <c r="C443" s="172"/>
      <c r="D443" s="172"/>
      <c r="E443" s="172"/>
    </row>
    <row r="444">
      <c r="A444" s="172"/>
      <c r="B444" s="172"/>
      <c r="C444" s="172"/>
      <c r="D444" s="172"/>
      <c r="E444" s="172"/>
    </row>
    <row r="445">
      <c r="A445" s="172"/>
      <c r="B445" s="172"/>
      <c r="C445" s="172"/>
      <c r="D445" s="172"/>
      <c r="E445" s="172"/>
    </row>
    <row r="446">
      <c r="A446" s="172"/>
      <c r="B446" s="172"/>
      <c r="C446" s="172"/>
      <c r="D446" s="172"/>
      <c r="E446" s="172"/>
    </row>
    <row r="447">
      <c r="A447" s="172"/>
      <c r="B447" s="172"/>
      <c r="C447" s="172"/>
      <c r="D447" s="172"/>
      <c r="E447" s="172"/>
    </row>
    <row r="448">
      <c r="A448" s="172"/>
      <c r="B448" s="172"/>
      <c r="C448" s="172"/>
      <c r="D448" s="172"/>
      <c r="E448" s="172"/>
    </row>
    <row r="449">
      <c r="A449" s="172"/>
      <c r="B449" s="172"/>
      <c r="C449" s="172"/>
      <c r="D449" s="172"/>
      <c r="E449" s="172"/>
    </row>
    <row r="450">
      <c r="A450" s="172"/>
      <c r="B450" s="172"/>
      <c r="C450" s="172"/>
      <c r="D450" s="172"/>
      <c r="E450" s="172"/>
    </row>
    <row r="451">
      <c r="A451" s="172"/>
      <c r="B451" s="172"/>
      <c r="C451" s="172"/>
      <c r="D451" s="172"/>
      <c r="E451" s="172"/>
    </row>
    <row r="452">
      <c r="A452" s="172"/>
      <c r="B452" s="172"/>
      <c r="C452" s="172"/>
      <c r="D452" s="172"/>
      <c r="E452" s="172"/>
    </row>
    <row r="453">
      <c r="A453" s="172"/>
      <c r="B453" s="172"/>
      <c r="C453" s="172"/>
      <c r="D453" s="172"/>
      <c r="E453" s="172"/>
    </row>
    <row r="454">
      <c r="A454" s="172"/>
      <c r="B454" s="172"/>
      <c r="C454" s="172"/>
      <c r="D454" s="172"/>
      <c r="E454" s="172"/>
    </row>
    <row r="455">
      <c r="A455" s="172"/>
      <c r="B455" s="172"/>
      <c r="C455" s="172"/>
      <c r="D455" s="172"/>
      <c r="E455" s="172"/>
    </row>
    <row r="456">
      <c r="A456" s="172"/>
      <c r="B456" s="172"/>
      <c r="C456" s="172"/>
      <c r="D456" s="172"/>
      <c r="E456" s="172"/>
    </row>
    <row r="457">
      <c r="A457" s="172"/>
      <c r="B457" s="172"/>
      <c r="C457" s="172"/>
      <c r="D457" s="172"/>
      <c r="E457" s="172"/>
    </row>
    <row r="458">
      <c r="A458" s="172"/>
      <c r="B458" s="172"/>
      <c r="C458" s="172"/>
      <c r="D458" s="172"/>
      <c r="E458" s="172"/>
    </row>
    <row r="459">
      <c r="A459" s="172"/>
      <c r="B459" s="172"/>
      <c r="C459" s="172"/>
      <c r="D459" s="172"/>
      <c r="E459" s="172"/>
    </row>
    <row r="460">
      <c r="A460" s="172"/>
      <c r="B460" s="172"/>
      <c r="C460" s="172"/>
      <c r="D460" s="172"/>
      <c r="E460" s="172"/>
    </row>
    <row r="461">
      <c r="A461" s="172"/>
      <c r="B461" s="172"/>
      <c r="C461" s="172"/>
      <c r="D461" s="172"/>
      <c r="E461" s="172"/>
    </row>
    <row r="462">
      <c r="A462" s="172"/>
      <c r="B462" s="172"/>
      <c r="C462" s="172"/>
      <c r="D462" s="172"/>
      <c r="E462" s="172"/>
    </row>
    <row r="463">
      <c r="A463" s="172"/>
      <c r="B463" s="172"/>
      <c r="C463" s="172"/>
      <c r="D463" s="172"/>
      <c r="E463" s="172"/>
    </row>
    <row r="464">
      <c r="A464" s="172"/>
      <c r="B464" s="172"/>
      <c r="C464" s="172"/>
      <c r="D464" s="172"/>
      <c r="E464" s="172"/>
    </row>
    <row r="465">
      <c r="A465" s="172"/>
      <c r="B465" s="172"/>
      <c r="C465" s="172"/>
      <c r="D465" s="172"/>
      <c r="E465" s="172"/>
    </row>
    <row r="466">
      <c r="A466" s="172"/>
      <c r="B466" s="172"/>
      <c r="C466" s="172"/>
      <c r="D466" s="172"/>
      <c r="E466" s="172"/>
    </row>
    <row r="467">
      <c r="A467" s="172"/>
      <c r="B467" s="172"/>
      <c r="C467" s="172"/>
      <c r="D467" s="172"/>
      <c r="E467" s="172"/>
    </row>
    <row r="468">
      <c r="A468" s="172"/>
      <c r="B468" s="172"/>
      <c r="C468" s="172"/>
      <c r="D468" s="172"/>
      <c r="E468" s="172"/>
    </row>
    <row r="469">
      <c r="A469" s="172"/>
      <c r="B469" s="172"/>
      <c r="C469" s="172"/>
      <c r="D469" s="172"/>
      <c r="E469" s="172"/>
    </row>
    <row r="470">
      <c r="A470" s="172"/>
      <c r="B470" s="172"/>
      <c r="C470" s="172"/>
      <c r="D470" s="172"/>
      <c r="E470" s="172"/>
    </row>
    <row r="471">
      <c r="A471" s="172"/>
      <c r="B471" s="172"/>
      <c r="C471" s="172"/>
      <c r="D471" s="172"/>
      <c r="E471" s="172"/>
    </row>
    <row r="472">
      <c r="A472" s="172"/>
      <c r="B472" s="172"/>
      <c r="C472" s="172"/>
      <c r="D472" s="172"/>
      <c r="E472" s="172"/>
    </row>
    <row r="473">
      <c r="A473" s="172"/>
      <c r="B473" s="172"/>
      <c r="C473" s="172"/>
      <c r="D473" s="172"/>
      <c r="E473" s="172"/>
    </row>
    <row r="474">
      <c r="A474" s="172"/>
      <c r="B474" s="172"/>
      <c r="C474" s="172"/>
      <c r="D474" s="172"/>
      <c r="E474" s="172"/>
    </row>
    <row r="475">
      <c r="A475" s="172"/>
      <c r="B475" s="172"/>
      <c r="C475" s="172"/>
      <c r="D475" s="172"/>
      <c r="E475" s="172"/>
    </row>
    <row r="476">
      <c r="A476" s="172"/>
      <c r="B476" s="172"/>
      <c r="C476" s="172"/>
      <c r="D476" s="172"/>
      <c r="E476" s="172"/>
    </row>
    <row r="477">
      <c r="A477" s="172"/>
      <c r="B477" s="172"/>
      <c r="C477" s="172"/>
      <c r="D477" s="172"/>
      <c r="E477" s="172"/>
    </row>
    <row r="478">
      <c r="A478" s="172"/>
      <c r="B478" s="172"/>
      <c r="C478" s="172"/>
      <c r="D478" s="172"/>
      <c r="E478" s="172"/>
    </row>
    <row r="479">
      <c r="A479" s="172"/>
      <c r="B479" s="172"/>
      <c r="C479" s="172"/>
      <c r="D479" s="172"/>
      <c r="E479" s="172"/>
    </row>
    <row r="480">
      <c r="A480" s="172"/>
      <c r="B480" s="172"/>
      <c r="C480" s="172"/>
      <c r="D480" s="172"/>
      <c r="E480" s="172"/>
    </row>
    <row r="481">
      <c r="A481" s="172"/>
      <c r="B481" s="172"/>
      <c r="C481" s="172"/>
      <c r="D481" s="172"/>
      <c r="E481" s="172"/>
    </row>
    <row r="482">
      <c r="A482" s="172"/>
      <c r="B482" s="172"/>
      <c r="C482" s="172"/>
      <c r="D482" s="172"/>
      <c r="E482" s="172"/>
    </row>
    <row r="483">
      <c r="A483" s="172"/>
      <c r="B483" s="172"/>
      <c r="C483" s="172"/>
      <c r="D483" s="172"/>
      <c r="E483" s="172"/>
    </row>
    <row r="484">
      <c r="A484" s="172"/>
      <c r="B484" s="172"/>
      <c r="C484" s="172"/>
      <c r="D484" s="172"/>
      <c r="E484" s="172"/>
    </row>
    <row r="485">
      <c r="A485" s="172"/>
      <c r="B485" s="172"/>
      <c r="C485" s="172"/>
      <c r="D485" s="172"/>
      <c r="E485" s="172"/>
    </row>
    <row r="486">
      <c r="A486" s="172"/>
      <c r="B486" s="172"/>
      <c r="C486" s="172"/>
      <c r="D486" s="172"/>
      <c r="E486" s="172"/>
    </row>
    <row r="487">
      <c r="A487" s="172"/>
      <c r="B487" s="172"/>
      <c r="C487" s="172"/>
      <c r="D487" s="172"/>
      <c r="E487" s="172"/>
    </row>
    <row r="488">
      <c r="A488" s="172"/>
      <c r="B488" s="172"/>
      <c r="C488" s="172"/>
      <c r="D488" s="172"/>
      <c r="E488" s="172"/>
    </row>
    <row r="489">
      <c r="A489" s="172"/>
      <c r="B489" s="172"/>
      <c r="C489" s="172"/>
      <c r="D489" s="172"/>
      <c r="E489" s="172"/>
    </row>
    <row r="490">
      <c r="A490" s="172"/>
      <c r="B490" s="172"/>
      <c r="C490" s="172"/>
      <c r="D490" s="172"/>
      <c r="E490" s="172"/>
    </row>
    <row r="491">
      <c r="A491" s="172"/>
      <c r="B491" s="172"/>
      <c r="C491" s="172"/>
      <c r="D491" s="172"/>
      <c r="E491" s="172"/>
    </row>
    <row r="492">
      <c r="A492" s="172"/>
      <c r="B492" s="172"/>
      <c r="C492" s="172"/>
      <c r="D492" s="172"/>
      <c r="E492" s="172"/>
    </row>
    <row r="493">
      <c r="A493" s="172"/>
      <c r="B493" s="172"/>
      <c r="C493" s="172"/>
      <c r="D493" s="172"/>
      <c r="E493" s="172"/>
    </row>
    <row r="494">
      <c r="A494" s="172"/>
      <c r="B494" s="172"/>
      <c r="C494" s="172"/>
      <c r="D494" s="172"/>
      <c r="E494" s="172"/>
    </row>
    <row r="495">
      <c r="A495" s="172"/>
      <c r="B495" s="172"/>
      <c r="C495" s="172"/>
      <c r="D495" s="172"/>
      <c r="E495" s="172"/>
    </row>
    <row r="496">
      <c r="A496" s="172"/>
      <c r="B496" s="172"/>
      <c r="C496" s="172"/>
      <c r="D496" s="172"/>
      <c r="E496" s="172"/>
    </row>
    <row r="497">
      <c r="A497" s="172"/>
      <c r="B497" s="172"/>
      <c r="C497" s="172"/>
      <c r="D497" s="172"/>
      <c r="E497" s="172"/>
    </row>
    <row r="498">
      <c r="A498" s="172"/>
      <c r="B498" s="172"/>
      <c r="C498" s="172"/>
      <c r="D498" s="172"/>
      <c r="E498" s="172"/>
    </row>
    <row r="499">
      <c r="A499" s="172"/>
      <c r="B499" s="172"/>
      <c r="C499" s="172"/>
      <c r="D499" s="172"/>
      <c r="E499" s="172"/>
    </row>
    <row r="500">
      <c r="A500" s="172"/>
      <c r="B500" s="172"/>
      <c r="C500" s="172"/>
      <c r="D500" s="172"/>
      <c r="E500" s="172"/>
    </row>
    <row r="501">
      <c r="A501" s="172"/>
      <c r="B501" s="172"/>
      <c r="C501" s="172"/>
      <c r="D501" s="172"/>
      <c r="E501" s="172"/>
    </row>
    <row r="502">
      <c r="A502" s="172"/>
      <c r="B502" s="172"/>
      <c r="C502" s="172"/>
      <c r="D502" s="172"/>
      <c r="E502" s="172"/>
    </row>
    <row r="503">
      <c r="A503" s="172"/>
      <c r="B503" s="172"/>
      <c r="C503" s="172"/>
      <c r="D503" s="172"/>
      <c r="E503" s="172"/>
    </row>
    <row r="504">
      <c r="A504" s="172"/>
      <c r="B504" s="172"/>
      <c r="C504" s="172"/>
      <c r="D504" s="172"/>
      <c r="E504" s="172"/>
    </row>
    <row r="505">
      <c r="A505" s="172"/>
      <c r="B505" s="172"/>
      <c r="C505" s="172"/>
      <c r="D505" s="172"/>
      <c r="E505" s="172"/>
    </row>
    <row r="506">
      <c r="A506" s="172"/>
      <c r="B506" s="172"/>
      <c r="C506" s="172"/>
      <c r="D506" s="172"/>
      <c r="E506" s="172"/>
    </row>
    <row r="507">
      <c r="A507" s="172"/>
      <c r="B507" s="172"/>
      <c r="C507" s="172"/>
      <c r="D507" s="172"/>
      <c r="E507" s="172"/>
    </row>
    <row r="508">
      <c r="A508" s="172"/>
      <c r="B508" s="172"/>
      <c r="C508" s="172"/>
      <c r="D508" s="172"/>
      <c r="E508" s="172"/>
    </row>
    <row r="509">
      <c r="A509" s="172"/>
      <c r="B509" s="172"/>
      <c r="C509" s="172"/>
      <c r="D509" s="172"/>
      <c r="E509" s="172"/>
    </row>
    <row r="510">
      <c r="A510" s="172"/>
      <c r="B510" s="172"/>
      <c r="C510" s="172"/>
      <c r="D510" s="172"/>
      <c r="E510" s="172"/>
    </row>
    <row r="511">
      <c r="A511" s="172"/>
      <c r="B511" s="172"/>
      <c r="C511" s="172"/>
      <c r="D511" s="172"/>
      <c r="E511" s="172"/>
    </row>
    <row r="512">
      <c r="A512" s="172"/>
      <c r="B512" s="172"/>
      <c r="C512" s="172"/>
      <c r="D512" s="172"/>
      <c r="E512" s="172"/>
    </row>
    <row r="513">
      <c r="A513" s="172"/>
      <c r="B513" s="172"/>
      <c r="C513" s="172"/>
      <c r="D513" s="172"/>
      <c r="E513" s="172"/>
    </row>
    <row r="514">
      <c r="A514" s="172"/>
      <c r="B514" s="172"/>
      <c r="C514" s="172"/>
      <c r="D514" s="172"/>
      <c r="E514" s="172"/>
    </row>
    <row r="515">
      <c r="A515" s="172"/>
      <c r="B515" s="172"/>
      <c r="C515" s="172"/>
      <c r="D515" s="172"/>
      <c r="E515" s="172"/>
    </row>
    <row r="516">
      <c r="A516" s="172"/>
      <c r="B516" s="172"/>
      <c r="C516" s="172"/>
      <c r="D516" s="172"/>
      <c r="E516" s="172"/>
    </row>
    <row r="517">
      <c r="A517" s="172"/>
      <c r="B517" s="172"/>
      <c r="C517" s="172"/>
      <c r="D517" s="172"/>
      <c r="E517" s="172"/>
    </row>
    <row r="518">
      <c r="A518" s="172"/>
      <c r="B518" s="172"/>
      <c r="C518" s="172"/>
      <c r="D518" s="172"/>
      <c r="E518" s="172"/>
    </row>
    <row r="519">
      <c r="A519" s="172"/>
      <c r="B519" s="172"/>
      <c r="C519" s="172"/>
      <c r="D519" s="172"/>
      <c r="E519" s="172"/>
    </row>
    <row r="520">
      <c r="A520" s="172"/>
      <c r="B520" s="172"/>
      <c r="C520" s="172"/>
      <c r="D520" s="172"/>
      <c r="E520" s="172"/>
    </row>
    <row r="521">
      <c r="A521" s="172"/>
      <c r="B521" s="172"/>
      <c r="C521" s="172"/>
      <c r="D521" s="172"/>
      <c r="E521" s="172"/>
    </row>
    <row r="522">
      <c r="A522" s="172"/>
      <c r="B522" s="172"/>
      <c r="C522" s="172"/>
      <c r="D522" s="172"/>
      <c r="E522" s="172"/>
    </row>
    <row r="523">
      <c r="A523" s="172"/>
      <c r="B523" s="172"/>
      <c r="C523" s="172"/>
      <c r="D523" s="172"/>
      <c r="E523" s="172"/>
    </row>
    <row r="524">
      <c r="A524" s="172"/>
      <c r="B524" s="172"/>
      <c r="C524" s="172"/>
      <c r="D524" s="172"/>
      <c r="E524" s="172"/>
    </row>
    <row r="525">
      <c r="A525" s="172"/>
      <c r="B525" s="172"/>
      <c r="C525" s="172"/>
      <c r="D525" s="172"/>
      <c r="E525" s="172"/>
    </row>
    <row r="526">
      <c r="A526" s="172"/>
      <c r="B526" s="172"/>
      <c r="C526" s="172"/>
      <c r="D526" s="172"/>
      <c r="E526" s="172"/>
    </row>
    <row r="527">
      <c r="A527" s="172"/>
      <c r="B527" s="172"/>
      <c r="C527" s="172"/>
      <c r="D527" s="172"/>
      <c r="E527" s="172"/>
    </row>
    <row r="528">
      <c r="A528" s="172"/>
      <c r="B528" s="172"/>
      <c r="C528" s="172"/>
      <c r="D528" s="172"/>
      <c r="E528" s="172"/>
    </row>
    <row r="529">
      <c r="A529" s="172"/>
      <c r="B529" s="172"/>
      <c r="C529" s="172"/>
      <c r="D529" s="172"/>
      <c r="E529" s="172"/>
    </row>
    <row r="530">
      <c r="A530" s="172"/>
      <c r="B530" s="172"/>
      <c r="C530" s="172"/>
      <c r="D530" s="172"/>
      <c r="E530" s="172"/>
    </row>
    <row r="531">
      <c r="A531" s="172"/>
      <c r="B531" s="172"/>
      <c r="C531" s="172"/>
      <c r="D531" s="172"/>
      <c r="E531" s="172"/>
    </row>
    <row r="532">
      <c r="A532" s="172"/>
      <c r="B532" s="172"/>
      <c r="C532" s="172"/>
      <c r="D532" s="172"/>
      <c r="E532" s="172"/>
    </row>
    <row r="533">
      <c r="A533" s="172"/>
      <c r="B533" s="172"/>
      <c r="C533" s="172"/>
      <c r="D533" s="172"/>
      <c r="E533" s="172"/>
    </row>
    <row r="534">
      <c r="A534" s="172"/>
      <c r="B534" s="172"/>
      <c r="C534" s="172"/>
      <c r="D534" s="172"/>
      <c r="E534" s="172"/>
    </row>
    <row r="535">
      <c r="A535" s="172"/>
      <c r="B535" s="172"/>
      <c r="C535" s="172"/>
      <c r="D535" s="172"/>
      <c r="E535" s="172"/>
    </row>
    <row r="536">
      <c r="A536" s="172"/>
      <c r="B536" s="172"/>
      <c r="C536" s="172"/>
      <c r="D536" s="172"/>
      <c r="E536" s="172"/>
    </row>
    <row r="537">
      <c r="A537" s="172"/>
      <c r="B537" s="172"/>
      <c r="C537" s="172"/>
      <c r="D537" s="172"/>
      <c r="E537" s="172"/>
    </row>
    <row r="538">
      <c r="A538" s="172"/>
      <c r="B538" s="172"/>
      <c r="C538" s="172"/>
      <c r="D538" s="172"/>
      <c r="E538" s="172"/>
    </row>
    <row r="539">
      <c r="A539" s="172"/>
      <c r="B539" s="172"/>
      <c r="C539" s="172"/>
      <c r="D539" s="172"/>
      <c r="E539" s="172"/>
    </row>
    <row r="540">
      <c r="A540" s="172"/>
      <c r="B540" s="172"/>
      <c r="C540" s="172"/>
      <c r="D540" s="172"/>
      <c r="E540" s="172"/>
    </row>
    <row r="541">
      <c r="A541" s="172"/>
      <c r="B541" s="172"/>
      <c r="C541" s="172"/>
      <c r="D541" s="172"/>
      <c r="E541" s="172"/>
    </row>
    <row r="542">
      <c r="A542" s="172"/>
      <c r="B542" s="172"/>
      <c r="C542" s="172"/>
      <c r="D542" s="172"/>
      <c r="E542" s="172"/>
    </row>
    <row r="543">
      <c r="A543" s="172"/>
      <c r="B543" s="172"/>
      <c r="C543" s="172"/>
      <c r="D543" s="172"/>
      <c r="E543" s="172"/>
    </row>
    <row r="544">
      <c r="A544" s="172"/>
      <c r="B544" s="172"/>
      <c r="C544" s="172"/>
      <c r="D544" s="172"/>
      <c r="E544" s="172"/>
    </row>
    <row r="545">
      <c r="A545" s="172"/>
      <c r="B545" s="172"/>
      <c r="C545" s="172"/>
      <c r="D545" s="172"/>
      <c r="E545" s="172"/>
    </row>
    <row r="546">
      <c r="A546" s="172"/>
      <c r="B546" s="172"/>
      <c r="C546" s="172"/>
      <c r="D546" s="172"/>
      <c r="E546" s="172"/>
    </row>
    <row r="547">
      <c r="A547" s="172"/>
      <c r="B547" s="172"/>
      <c r="C547" s="172"/>
      <c r="D547" s="172"/>
      <c r="E547" s="172"/>
    </row>
    <row r="548">
      <c r="A548" s="172"/>
      <c r="B548" s="172"/>
      <c r="C548" s="172"/>
      <c r="D548" s="172"/>
      <c r="E548" s="172"/>
    </row>
    <row r="549">
      <c r="A549" s="172"/>
      <c r="B549" s="172"/>
      <c r="C549" s="172"/>
      <c r="D549" s="172"/>
      <c r="E549" s="172"/>
    </row>
    <row r="550">
      <c r="A550" s="172"/>
      <c r="B550" s="172"/>
      <c r="C550" s="172"/>
      <c r="D550" s="172"/>
      <c r="E550" s="172"/>
    </row>
    <row r="551">
      <c r="A551" s="172"/>
      <c r="B551" s="172"/>
      <c r="C551" s="172"/>
      <c r="D551" s="172"/>
      <c r="E551" s="172"/>
    </row>
    <row r="552">
      <c r="A552" s="172"/>
      <c r="B552" s="172"/>
      <c r="C552" s="172"/>
      <c r="D552" s="172"/>
      <c r="E552" s="172"/>
    </row>
    <row r="553">
      <c r="A553" s="172"/>
      <c r="B553" s="172"/>
      <c r="C553" s="172"/>
      <c r="D553" s="172"/>
      <c r="E553" s="172"/>
    </row>
    <row r="554">
      <c r="A554" s="172"/>
      <c r="B554" s="172"/>
      <c r="C554" s="172"/>
      <c r="D554" s="172"/>
      <c r="E554" s="172"/>
    </row>
    <row r="555">
      <c r="A555" s="172"/>
      <c r="B555" s="172"/>
      <c r="C555" s="172"/>
      <c r="D555" s="172"/>
      <c r="E555" s="172"/>
    </row>
    <row r="556">
      <c r="A556" s="172"/>
      <c r="B556" s="172"/>
      <c r="C556" s="172"/>
      <c r="D556" s="172"/>
      <c r="E556" s="172"/>
    </row>
    <row r="557">
      <c r="A557" s="172"/>
      <c r="B557" s="172"/>
      <c r="C557" s="172"/>
      <c r="D557" s="172"/>
      <c r="E557" s="172"/>
    </row>
    <row r="558">
      <c r="A558" s="172"/>
      <c r="B558" s="172"/>
      <c r="C558" s="172"/>
      <c r="D558" s="172"/>
      <c r="E558" s="172"/>
    </row>
    <row r="559">
      <c r="A559" s="172"/>
      <c r="B559" s="172"/>
      <c r="C559" s="172"/>
      <c r="D559" s="172"/>
      <c r="E559" s="172"/>
    </row>
    <row r="560">
      <c r="A560" s="172"/>
      <c r="B560" s="172"/>
      <c r="C560" s="172"/>
      <c r="D560" s="172"/>
      <c r="E560" s="172"/>
    </row>
    <row r="561">
      <c r="A561" s="172"/>
      <c r="B561" s="172"/>
      <c r="C561" s="172"/>
      <c r="D561" s="172"/>
      <c r="E561" s="172"/>
    </row>
    <row r="562">
      <c r="A562" s="172"/>
      <c r="B562" s="172"/>
      <c r="C562" s="172"/>
      <c r="D562" s="172"/>
      <c r="E562" s="172"/>
    </row>
    <row r="563">
      <c r="A563" s="172"/>
      <c r="B563" s="172"/>
      <c r="C563" s="172"/>
      <c r="D563" s="172"/>
      <c r="E563" s="172"/>
    </row>
    <row r="564">
      <c r="A564" s="172"/>
      <c r="B564" s="172"/>
      <c r="C564" s="172"/>
      <c r="D564" s="172"/>
      <c r="E564" s="172"/>
    </row>
    <row r="565">
      <c r="A565" s="172"/>
      <c r="B565" s="172"/>
      <c r="C565" s="172"/>
      <c r="D565" s="172"/>
      <c r="E565" s="172"/>
    </row>
    <row r="566">
      <c r="A566" s="172"/>
      <c r="B566" s="172"/>
      <c r="C566" s="172"/>
      <c r="D566" s="172"/>
      <c r="E566" s="172"/>
    </row>
    <row r="567">
      <c r="A567" s="172"/>
      <c r="B567" s="172"/>
      <c r="C567" s="172"/>
      <c r="D567" s="172"/>
      <c r="E567" s="172"/>
    </row>
    <row r="568">
      <c r="A568" s="172"/>
      <c r="B568" s="172"/>
      <c r="C568" s="172"/>
      <c r="D568" s="172"/>
      <c r="E568" s="172"/>
    </row>
    <row r="569">
      <c r="A569" s="172"/>
      <c r="B569" s="172"/>
      <c r="C569" s="172"/>
      <c r="D569" s="172"/>
      <c r="E569" s="172"/>
    </row>
    <row r="570">
      <c r="A570" s="172"/>
      <c r="B570" s="172"/>
      <c r="C570" s="172"/>
      <c r="D570" s="172"/>
      <c r="E570" s="172"/>
    </row>
    <row r="571">
      <c r="A571" s="172"/>
      <c r="B571" s="172"/>
      <c r="C571" s="172"/>
      <c r="D571" s="172"/>
      <c r="E571" s="172"/>
    </row>
    <row r="572">
      <c r="A572" s="172"/>
      <c r="B572" s="172"/>
      <c r="C572" s="172"/>
      <c r="D572" s="172"/>
      <c r="E572" s="172"/>
    </row>
    <row r="573">
      <c r="A573" s="172"/>
      <c r="B573" s="172"/>
      <c r="C573" s="172"/>
      <c r="D573" s="172"/>
      <c r="E573" s="172"/>
    </row>
    <row r="574">
      <c r="A574" s="172"/>
      <c r="B574" s="172"/>
      <c r="C574" s="172"/>
      <c r="D574" s="172"/>
      <c r="E574" s="172"/>
    </row>
    <row r="575">
      <c r="A575" s="172"/>
      <c r="B575" s="172"/>
      <c r="C575" s="172"/>
      <c r="D575" s="172"/>
      <c r="E575" s="172"/>
    </row>
    <row r="576">
      <c r="A576" s="172"/>
      <c r="B576" s="172"/>
      <c r="C576" s="172"/>
      <c r="D576" s="172"/>
      <c r="E576" s="172"/>
    </row>
    <row r="577">
      <c r="A577" s="172"/>
      <c r="B577" s="172"/>
      <c r="C577" s="172"/>
      <c r="D577" s="172"/>
      <c r="E577" s="172"/>
    </row>
    <row r="578">
      <c r="A578" s="172"/>
      <c r="B578" s="172"/>
      <c r="C578" s="172"/>
      <c r="D578" s="172"/>
      <c r="E578" s="172"/>
    </row>
    <row r="579">
      <c r="A579" s="172"/>
      <c r="B579" s="172"/>
      <c r="C579" s="172"/>
      <c r="D579" s="172"/>
      <c r="E579" s="172"/>
    </row>
    <row r="580">
      <c r="A580" s="172"/>
      <c r="B580" s="172"/>
      <c r="C580" s="172"/>
      <c r="D580" s="172"/>
      <c r="E580" s="172"/>
    </row>
    <row r="581">
      <c r="A581" s="172"/>
      <c r="B581" s="172"/>
      <c r="C581" s="172"/>
      <c r="D581" s="172"/>
      <c r="E581" s="172"/>
    </row>
    <row r="582">
      <c r="A582" s="172"/>
      <c r="B582" s="172"/>
      <c r="C582" s="172"/>
      <c r="D582" s="172"/>
      <c r="E582" s="172"/>
    </row>
    <row r="583">
      <c r="A583" s="172"/>
      <c r="B583" s="172"/>
      <c r="C583" s="172"/>
      <c r="D583" s="172"/>
      <c r="E583" s="172"/>
    </row>
    <row r="584">
      <c r="A584" s="172"/>
      <c r="B584" s="172"/>
      <c r="C584" s="172"/>
      <c r="D584" s="172"/>
      <c r="E584" s="172"/>
    </row>
    <row r="585">
      <c r="A585" s="172"/>
      <c r="B585" s="172"/>
      <c r="C585" s="172"/>
      <c r="D585" s="172"/>
      <c r="E585" s="172"/>
    </row>
    <row r="586">
      <c r="A586" s="172"/>
      <c r="B586" s="172"/>
      <c r="C586" s="172"/>
      <c r="D586" s="172"/>
      <c r="E586" s="172"/>
    </row>
    <row r="587">
      <c r="A587" s="172"/>
      <c r="B587" s="172"/>
      <c r="C587" s="172"/>
      <c r="D587" s="172"/>
      <c r="E587" s="172"/>
    </row>
    <row r="588">
      <c r="A588" s="172"/>
      <c r="B588" s="172"/>
      <c r="C588" s="172"/>
      <c r="D588" s="172"/>
      <c r="E588" s="172"/>
    </row>
    <row r="589">
      <c r="A589" s="172"/>
      <c r="B589" s="172"/>
      <c r="C589" s="172"/>
      <c r="D589" s="172"/>
      <c r="E589" s="172"/>
    </row>
    <row r="590">
      <c r="A590" s="172"/>
      <c r="B590" s="172"/>
      <c r="C590" s="172"/>
      <c r="D590" s="172"/>
      <c r="E590" s="172"/>
    </row>
    <row r="591">
      <c r="A591" s="172"/>
      <c r="B591" s="172"/>
      <c r="C591" s="172"/>
      <c r="D591" s="172"/>
      <c r="E591" s="172"/>
    </row>
    <row r="592">
      <c r="A592" s="172"/>
      <c r="B592" s="172"/>
      <c r="C592" s="172"/>
      <c r="D592" s="172"/>
      <c r="E592" s="172"/>
    </row>
    <row r="593">
      <c r="A593" s="172"/>
      <c r="B593" s="172"/>
      <c r="C593" s="172"/>
      <c r="D593" s="172"/>
      <c r="E593" s="172"/>
    </row>
    <row r="594">
      <c r="A594" s="172"/>
      <c r="B594" s="172"/>
      <c r="C594" s="172"/>
      <c r="D594" s="172"/>
      <c r="E594" s="172"/>
    </row>
    <row r="595">
      <c r="A595" s="172"/>
      <c r="B595" s="172"/>
      <c r="C595" s="172"/>
      <c r="D595" s="172"/>
      <c r="E595" s="172"/>
    </row>
    <row r="596">
      <c r="A596" s="172"/>
      <c r="B596" s="172"/>
      <c r="C596" s="172"/>
      <c r="D596" s="172"/>
      <c r="E596" s="172"/>
    </row>
    <row r="597">
      <c r="A597" s="172"/>
      <c r="B597" s="172"/>
      <c r="C597" s="172"/>
      <c r="D597" s="172"/>
      <c r="E597" s="172"/>
    </row>
    <row r="598">
      <c r="A598" s="172"/>
      <c r="B598" s="172"/>
      <c r="C598" s="172"/>
      <c r="D598" s="172"/>
      <c r="E598" s="172"/>
    </row>
    <row r="599">
      <c r="A599" s="172"/>
      <c r="B599" s="172"/>
      <c r="C599" s="172"/>
      <c r="D599" s="172"/>
      <c r="E599" s="172"/>
    </row>
    <row r="600">
      <c r="A600" s="172"/>
      <c r="B600" s="172"/>
      <c r="C600" s="172"/>
      <c r="D600" s="172"/>
      <c r="E600" s="172"/>
    </row>
    <row r="601">
      <c r="A601" s="172"/>
      <c r="B601" s="172"/>
      <c r="C601" s="172"/>
      <c r="D601" s="172"/>
      <c r="E601" s="172"/>
    </row>
    <row r="602">
      <c r="A602" s="172"/>
      <c r="B602" s="172"/>
      <c r="C602" s="172"/>
      <c r="D602" s="172"/>
      <c r="E602" s="172"/>
    </row>
    <row r="603">
      <c r="A603" s="172"/>
      <c r="B603" s="172"/>
      <c r="C603" s="172"/>
      <c r="D603" s="172"/>
      <c r="E603" s="172"/>
    </row>
    <row r="604">
      <c r="A604" s="172"/>
      <c r="B604" s="172"/>
      <c r="C604" s="172"/>
      <c r="D604" s="172"/>
      <c r="E604" s="172"/>
    </row>
    <row r="605">
      <c r="A605" s="172"/>
      <c r="B605" s="172"/>
      <c r="C605" s="172"/>
      <c r="D605" s="172"/>
      <c r="E605" s="172"/>
    </row>
    <row r="606">
      <c r="A606" s="172"/>
      <c r="B606" s="172"/>
      <c r="C606" s="172"/>
      <c r="D606" s="172"/>
      <c r="E606" s="172"/>
    </row>
    <row r="607">
      <c r="A607" s="172"/>
      <c r="B607" s="172"/>
      <c r="C607" s="172"/>
      <c r="D607" s="172"/>
      <c r="E607" s="172"/>
    </row>
    <row r="608">
      <c r="A608" s="172"/>
      <c r="B608" s="172"/>
      <c r="C608" s="172"/>
      <c r="D608" s="172"/>
      <c r="E608" s="172"/>
    </row>
    <row r="609">
      <c r="A609" s="172"/>
      <c r="B609" s="172"/>
      <c r="C609" s="172"/>
      <c r="D609" s="172"/>
      <c r="E609" s="172"/>
    </row>
    <row r="610">
      <c r="A610" s="172"/>
      <c r="B610" s="172"/>
      <c r="C610" s="172"/>
      <c r="D610" s="172"/>
      <c r="E610" s="172"/>
    </row>
    <row r="611">
      <c r="A611" s="172"/>
      <c r="B611" s="172"/>
      <c r="C611" s="172"/>
      <c r="D611" s="172"/>
      <c r="E611" s="172"/>
    </row>
    <row r="612">
      <c r="A612" s="172"/>
      <c r="B612" s="172"/>
      <c r="C612" s="172"/>
      <c r="D612" s="172"/>
      <c r="E612" s="172"/>
    </row>
    <row r="613">
      <c r="A613" s="172"/>
      <c r="B613" s="172"/>
      <c r="C613" s="172"/>
      <c r="D613" s="172"/>
      <c r="E613" s="172"/>
    </row>
    <row r="614">
      <c r="A614" s="172"/>
      <c r="B614" s="172"/>
      <c r="C614" s="172"/>
      <c r="D614" s="172"/>
      <c r="E614" s="172"/>
    </row>
    <row r="615">
      <c r="A615" s="172"/>
      <c r="B615" s="172"/>
      <c r="C615" s="172"/>
      <c r="D615" s="172"/>
      <c r="E615" s="172"/>
    </row>
    <row r="616">
      <c r="A616" s="172"/>
      <c r="B616" s="172"/>
      <c r="C616" s="172"/>
      <c r="D616" s="172"/>
      <c r="E616" s="172"/>
    </row>
    <row r="617">
      <c r="A617" s="172"/>
      <c r="B617" s="172"/>
      <c r="C617" s="172"/>
      <c r="D617" s="172"/>
      <c r="E617" s="172"/>
    </row>
    <row r="618">
      <c r="A618" s="172"/>
      <c r="B618" s="172"/>
      <c r="C618" s="172"/>
      <c r="D618" s="172"/>
      <c r="E618" s="172"/>
    </row>
    <row r="619">
      <c r="A619" s="172"/>
      <c r="B619" s="172"/>
      <c r="C619" s="172"/>
      <c r="D619" s="172"/>
      <c r="E619" s="172"/>
    </row>
    <row r="620">
      <c r="A620" s="172"/>
      <c r="B620" s="172"/>
      <c r="C620" s="172"/>
      <c r="D620" s="172"/>
      <c r="E620" s="172"/>
    </row>
    <row r="621">
      <c r="A621" s="172"/>
      <c r="B621" s="172"/>
      <c r="C621" s="172"/>
      <c r="D621" s="172"/>
      <c r="E621" s="172"/>
    </row>
    <row r="622">
      <c r="A622" s="172"/>
      <c r="B622" s="172"/>
      <c r="C622" s="172"/>
      <c r="D622" s="172"/>
      <c r="E622" s="172"/>
    </row>
    <row r="623">
      <c r="A623" s="172"/>
      <c r="B623" s="172"/>
      <c r="C623" s="172"/>
      <c r="D623" s="172"/>
      <c r="E623" s="172"/>
    </row>
    <row r="624">
      <c r="A624" s="172"/>
      <c r="B624" s="172"/>
      <c r="C624" s="172"/>
      <c r="D624" s="172"/>
      <c r="E624" s="172"/>
    </row>
    <row r="625">
      <c r="A625" s="172"/>
      <c r="B625" s="172"/>
      <c r="C625" s="172"/>
      <c r="D625" s="172"/>
      <c r="E625" s="172"/>
    </row>
    <row r="626">
      <c r="A626" s="172"/>
      <c r="B626" s="172"/>
      <c r="C626" s="172"/>
      <c r="D626" s="172"/>
      <c r="E626" s="172"/>
    </row>
    <row r="627">
      <c r="A627" s="172"/>
      <c r="B627" s="172"/>
      <c r="C627" s="172"/>
      <c r="D627" s="172"/>
      <c r="E627" s="172"/>
    </row>
    <row r="628">
      <c r="A628" s="172"/>
      <c r="B628" s="172"/>
      <c r="C628" s="172"/>
      <c r="D628" s="172"/>
      <c r="E628" s="172"/>
    </row>
    <row r="629">
      <c r="A629" s="172"/>
      <c r="B629" s="172"/>
      <c r="C629" s="172"/>
      <c r="D629" s="172"/>
      <c r="E629" s="172"/>
    </row>
    <row r="630">
      <c r="A630" s="172"/>
      <c r="B630" s="172"/>
      <c r="C630" s="172"/>
      <c r="D630" s="172"/>
      <c r="E630" s="172"/>
    </row>
    <row r="631">
      <c r="A631" s="172"/>
      <c r="B631" s="172"/>
      <c r="C631" s="172"/>
      <c r="D631" s="172"/>
      <c r="E631" s="172"/>
    </row>
    <row r="632">
      <c r="A632" s="172"/>
      <c r="B632" s="172"/>
      <c r="C632" s="172"/>
      <c r="D632" s="172"/>
      <c r="E632" s="172"/>
    </row>
    <row r="633">
      <c r="A633" s="172"/>
      <c r="B633" s="172"/>
      <c r="C633" s="172"/>
      <c r="D633" s="172"/>
      <c r="E633" s="172"/>
    </row>
    <row r="634">
      <c r="A634" s="172"/>
      <c r="B634" s="172"/>
      <c r="C634" s="172"/>
      <c r="D634" s="172"/>
      <c r="E634" s="172"/>
    </row>
    <row r="635">
      <c r="A635" s="172"/>
      <c r="B635" s="172"/>
      <c r="C635" s="172"/>
      <c r="D635" s="172"/>
      <c r="E635" s="172"/>
    </row>
    <row r="636">
      <c r="A636" s="172"/>
      <c r="B636" s="172"/>
      <c r="C636" s="172"/>
      <c r="D636" s="172"/>
      <c r="E636" s="172"/>
    </row>
    <row r="637">
      <c r="A637" s="172"/>
      <c r="B637" s="172"/>
      <c r="C637" s="172"/>
      <c r="D637" s="172"/>
      <c r="E637" s="172"/>
    </row>
    <row r="638">
      <c r="A638" s="172"/>
      <c r="B638" s="172"/>
      <c r="C638" s="172"/>
      <c r="D638" s="172"/>
      <c r="E638" s="172"/>
    </row>
    <row r="639">
      <c r="A639" s="172"/>
      <c r="B639" s="172"/>
      <c r="C639" s="172"/>
      <c r="D639" s="172"/>
      <c r="E639" s="172"/>
    </row>
    <row r="640">
      <c r="A640" s="172"/>
      <c r="B640" s="172"/>
      <c r="C640" s="172"/>
      <c r="D640" s="172"/>
      <c r="E640" s="172"/>
    </row>
    <row r="641">
      <c r="A641" s="172"/>
      <c r="B641" s="172"/>
      <c r="C641" s="172"/>
      <c r="D641" s="172"/>
      <c r="E641" s="172"/>
    </row>
    <row r="642">
      <c r="A642" s="172"/>
      <c r="B642" s="172"/>
      <c r="C642" s="172"/>
      <c r="D642" s="172"/>
      <c r="E642" s="172"/>
    </row>
    <row r="643">
      <c r="A643" s="172"/>
      <c r="B643" s="172"/>
      <c r="C643" s="172"/>
      <c r="D643" s="172"/>
      <c r="E643" s="172"/>
    </row>
    <row r="644">
      <c r="A644" s="172"/>
      <c r="B644" s="172"/>
      <c r="C644" s="172"/>
      <c r="D644" s="172"/>
      <c r="E644" s="172"/>
    </row>
    <row r="645">
      <c r="A645" s="172"/>
      <c r="B645" s="172"/>
      <c r="C645" s="172"/>
      <c r="D645" s="172"/>
      <c r="E645" s="172"/>
    </row>
    <row r="646">
      <c r="A646" s="172"/>
      <c r="B646" s="172"/>
      <c r="C646" s="172"/>
      <c r="D646" s="172"/>
      <c r="E646" s="172"/>
    </row>
    <row r="647">
      <c r="A647" s="172"/>
      <c r="B647" s="172"/>
      <c r="C647" s="172"/>
      <c r="D647" s="172"/>
      <c r="E647" s="172"/>
    </row>
    <row r="648">
      <c r="A648" s="172"/>
      <c r="B648" s="172"/>
      <c r="C648" s="172"/>
      <c r="D648" s="172"/>
      <c r="E648" s="172"/>
    </row>
    <row r="649">
      <c r="A649" s="172"/>
      <c r="B649" s="172"/>
      <c r="C649" s="172"/>
      <c r="D649" s="172"/>
      <c r="E649" s="172"/>
    </row>
    <row r="650">
      <c r="A650" s="172"/>
      <c r="B650" s="172"/>
      <c r="C650" s="172"/>
      <c r="D650" s="172"/>
      <c r="E650" s="172"/>
    </row>
    <row r="651">
      <c r="A651" s="172"/>
      <c r="B651" s="172"/>
      <c r="C651" s="172"/>
      <c r="D651" s="172"/>
      <c r="E651" s="172"/>
    </row>
    <row r="652">
      <c r="A652" s="172"/>
      <c r="B652" s="172"/>
      <c r="C652" s="172"/>
      <c r="D652" s="172"/>
      <c r="E652" s="172"/>
    </row>
    <row r="653">
      <c r="A653" s="172"/>
      <c r="B653" s="172"/>
      <c r="C653" s="172"/>
      <c r="D653" s="172"/>
      <c r="E653" s="172"/>
    </row>
    <row r="654">
      <c r="A654" s="172"/>
      <c r="B654" s="172"/>
      <c r="C654" s="172"/>
      <c r="D654" s="172"/>
      <c r="E654" s="172"/>
    </row>
    <row r="655">
      <c r="A655" s="172"/>
      <c r="B655" s="172"/>
      <c r="C655" s="172"/>
      <c r="D655" s="172"/>
      <c r="E655" s="172"/>
    </row>
    <row r="656">
      <c r="A656" s="172"/>
      <c r="B656" s="172"/>
      <c r="C656" s="172"/>
      <c r="D656" s="172"/>
      <c r="E656" s="172"/>
    </row>
    <row r="657">
      <c r="A657" s="172"/>
      <c r="B657" s="172"/>
      <c r="C657" s="172"/>
      <c r="D657" s="172"/>
      <c r="E657" s="172"/>
    </row>
    <row r="658">
      <c r="A658" s="172"/>
      <c r="B658" s="172"/>
      <c r="C658" s="172"/>
      <c r="D658" s="172"/>
      <c r="E658" s="172"/>
    </row>
    <row r="659">
      <c r="A659" s="172"/>
      <c r="B659" s="172"/>
      <c r="C659" s="172"/>
      <c r="D659" s="172"/>
      <c r="E659" s="172"/>
    </row>
    <row r="660">
      <c r="A660" s="172"/>
      <c r="B660" s="172"/>
      <c r="C660" s="172"/>
      <c r="D660" s="172"/>
      <c r="E660" s="172"/>
    </row>
    <row r="661">
      <c r="A661" s="172"/>
      <c r="B661" s="172"/>
      <c r="C661" s="172"/>
      <c r="D661" s="172"/>
      <c r="E661" s="172"/>
    </row>
    <row r="662">
      <c r="A662" s="172"/>
      <c r="B662" s="172"/>
      <c r="C662" s="172"/>
      <c r="D662" s="172"/>
      <c r="E662" s="172"/>
    </row>
    <row r="663">
      <c r="A663" s="172"/>
      <c r="B663" s="172"/>
      <c r="C663" s="172"/>
      <c r="D663" s="172"/>
      <c r="E663" s="172"/>
    </row>
    <row r="664">
      <c r="A664" s="172"/>
      <c r="B664" s="172"/>
      <c r="C664" s="172"/>
      <c r="D664" s="172"/>
      <c r="E664" s="172"/>
    </row>
    <row r="665">
      <c r="A665" s="172"/>
      <c r="B665" s="172"/>
      <c r="C665" s="172"/>
      <c r="D665" s="172"/>
      <c r="E665" s="172"/>
    </row>
    <row r="666">
      <c r="A666" s="172"/>
      <c r="B666" s="172"/>
      <c r="C666" s="172"/>
      <c r="D666" s="172"/>
      <c r="E666" s="172"/>
    </row>
    <row r="667">
      <c r="A667" s="172"/>
      <c r="B667" s="172"/>
      <c r="C667" s="172"/>
      <c r="D667" s="172"/>
      <c r="E667" s="172"/>
    </row>
    <row r="668">
      <c r="A668" s="172"/>
      <c r="B668" s="172"/>
      <c r="C668" s="172"/>
      <c r="D668" s="172"/>
      <c r="E668" s="172"/>
    </row>
    <row r="669">
      <c r="A669" s="172"/>
      <c r="B669" s="172"/>
      <c r="C669" s="172"/>
      <c r="D669" s="172"/>
      <c r="E669" s="172"/>
    </row>
    <row r="670">
      <c r="A670" s="172"/>
      <c r="B670" s="172"/>
      <c r="C670" s="172"/>
      <c r="D670" s="172"/>
      <c r="E670" s="172"/>
    </row>
    <row r="671">
      <c r="A671" s="172"/>
      <c r="B671" s="172"/>
      <c r="C671" s="172"/>
      <c r="D671" s="172"/>
      <c r="E671" s="172"/>
    </row>
    <row r="672">
      <c r="A672" s="172"/>
      <c r="B672" s="172"/>
      <c r="C672" s="172"/>
      <c r="D672" s="172"/>
      <c r="E672" s="172"/>
    </row>
    <row r="673">
      <c r="A673" s="172"/>
      <c r="B673" s="172"/>
      <c r="C673" s="172"/>
      <c r="D673" s="172"/>
      <c r="E673" s="172"/>
    </row>
    <row r="674">
      <c r="A674" s="172"/>
      <c r="B674" s="172"/>
      <c r="C674" s="172"/>
      <c r="D674" s="172"/>
      <c r="E674" s="172"/>
    </row>
    <row r="675">
      <c r="A675" s="172"/>
      <c r="B675" s="172"/>
      <c r="C675" s="172"/>
      <c r="D675" s="172"/>
      <c r="E675" s="172"/>
    </row>
    <row r="676">
      <c r="A676" s="172"/>
      <c r="B676" s="172"/>
      <c r="C676" s="172"/>
      <c r="D676" s="172"/>
      <c r="E676" s="172"/>
    </row>
    <row r="677">
      <c r="A677" s="172"/>
      <c r="B677" s="172"/>
      <c r="C677" s="172"/>
      <c r="D677" s="172"/>
      <c r="E677" s="172"/>
    </row>
    <row r="678">
      <c r="A678" s="172"/>
      <c r="B678" s="172"/>
      <c r="C678" s="172"/>
      <c r="D678" s="172"/>
      <c r="E678" s="172"/>
    </row>
    <row r="679">
      <c r="A679" s="172"/>
      <c r="B679" s="172"/>
      <c r="C679" s="172"/>
      <c r="D679" s="172"/>
      <c r="E679" s="172"/>
    </row>
    <row r="680">
      <c r="A680" s="172"/>
      <c r="B680" s="172"/>
      <c r="C680" s="172"/>
      <c r="D680" s="172"/>
      <c r="E680" s="172"/>
    </row>
    <row r="681">
      <c r="A681" s="172"/>
      <c r="B681" s="172"/>
      <c r="C681" s="172"/>
      <c r="D681" s="172"/>
      <c r="E681" s="172"/>
    </row>
    <row r="682">
      <c r="A682" s="172"/>
      <c r="B682" s="172"/>
      <c r="C682" s="172"/>
      <c r="D682" s="172"/>
      <c r="E682" s="172"/>
    </row>
    <row r="683">
      <c r="A683" s="172"/>
      <c r="B683" s="172"/>
      <c r="C683" s="172"/>
      <c r="D683" s="172"/>
      <c r="E683" s="172"/>
    </row>
    <row r="684">
      <c r="A684" s="172"/>
      <c r="B684" s="172"/>
      <c r="C684" s="172"/>
      <c r="D684" s="172"/>
      <c r="E684" s="172"/>
    </row>
    <row r="685">
      <c r="A685" s="172"/>
      <c r="B685" s="172"/>
      <c r="C685" s="172"/>
      <c r="D685" s="172"/>
      <c r="E685" s="172"/>
    </row>
    <row r="686">
      <c r="A686" s="172"/>
      <c r="B686" s="172"/>
      <c r="C686" s="172"/>
      <c r="D686" s="172"/>
      <c r="E686" s="172"/>
    </row>
    <row r="687">
      <c r="A687" s="172"/>
      <c r="B687" s="172"/>
      <c r="C687" s="172"/>
      <c r="D687" s="172"/>
      <c r="E687" s="172"/>
    </row>
    <row r="688">
      <c r="A688" s="172"/>
      <c r="B688" s="172"/>
      <c r="C688" s="172"/>
      <c r="D688" s="172"/>
      <c r="E688" s="172"/>
    </row>
    <row r="689">
      <c r="A689" s="172"/>
      <c r="B689" s="172"/>
      <c r="C689" s="172"/>
      <c r="D689" s="172"/>
      <c r="E689" s="172"/>
    </row>
    <row r="690">
      <c r="A690" s="172"/>
      <c r="B690" s="172"/>
      <c r="C690" s="172"/>
      <c r="D690" s="172"/>
      <c r="E690" s="172"/>
    </row>
    <row r="691">
      <c r="A691" s="172"/>
      <c r="B691" s="172"/>
      <c r="C691" s="172"/>
      <c r="D691" s="172"/>
      <c r="E691" s="172"/>
    </row>
    <row r="692">
      <c r="A692" s="172"/>
      <c r="B692" s="172"/>
      <c r="C692" s="172"/>
      <c r="D692" s="172"/>
      <c r="E692" s="172"/>
    </row>
    <row r="693">
      <c r="A693" s="172"/>
      <c r="B693" s="172"/>
      <c r="C693" s="172"/>
      <c r="D693" s="172"/>
      <c r="E693" s="172"/>
    </row>
    <row r="694">
      <c r="A694" s="172"/>
      <c r="B694" s="172"/>
      <c r="C694" s="172"/>
      <c r="D694" s="172"/>
      <c r="E694" s="172"/>
    </row>
    <row r="695">
      <c r="A695" s="172"/>
      <c r="B695" s="172"/>
      <c r="C695" s="172"/>
      <c r="D695" s="172"/>
      <c r="E695" s="172"/>
    </row>
    <row r="696">
      <c r="A696" s="172"/>
      <c r="B696" s="172"/>
      <c r="C696" s="172"/>
      <c r="D696" s="172"/>
      <c r="E696" s="172"/>
    </row>
    <row r="697">
      <c r="A697" s="172"/>
      <c r="B697" s="172"/>
      <c r="C697" s="172"/>
      <c r="D697" s="172"/>
      <c r="E697" s="172"/>
    </row>
    <row r="698">
      <c r="A698" s="172"/>
      <c r="B698" s="172"/>
      <c r="C698" s="172"/>
      <c r="D698" s="172"/>
      <c r="E698" s="172"/>
    </row>
    <row r="699">
      <c r="A699" s="172"/>
      <c r="B699" s="172"/>
      <c r="C699" s="172"/>
      <c r="D699" s="172"/>
      <c r="E699" s="172"/>
    </row>
    <row r="700">
      <c r="A700" s="172"/>
      <c r="B700" s="172"/>
      <c r="C700" s="172"/>
      <c r="D700" s="172"/>
      <c r="E700" s="172"/>
    </row>
    <row r="701">
      <c r="A701" s="172"/>
      <c r="B701" s="172"/>
      <c r="C701" s="172"/>
      <c r="D701" s="172"/>
      <c r="E701" s="172"/>
    </row>
    <row r="702">
      <c r="A702" s="172"/>
      <c r="B702" s="172"/>
      <c r="C702" s="172"/>
      <c r="D702" s="172"/>
      <c r="E702" s="172"/>
    </row>
    <row r="703">
      <c r="A703" s="172"/>
      <c r="B703" s="172"/>
      <c r="C703" s="172"/>
      <c r="D703" s="172"/>
      <c r="E703" s="172"/>
    </row>
    <row r="704">
      <c r="A704" s="172"/>
      <c r="B704" s="172"/>
      <c r="C704" s="172"/>
      <c r="D704" s="172"/>
      <c r="E704" s="172"/>
    </row>
    <row r="705">
      <c r="A705" s="172"/>
      <c r="B705" s="172"/>
      <c r="C705" s="172"/>
      <c r="D705" s="172"/>
      <c r="E705" s="172"/>
    </row>
    <row r="706">
      <c r="A706" s="172"/>
      <c r="B706" s="172"/>
      <c r="C706" s="172"/>
      <c r="D706" s="172"/>
      <c r="E706" s="172"/>
    </row>
    <row r="707">
      <c r="A707" s="172"/>
      <c r="B707" s="172"/>
      <c r="C707" s="172"/>
      <c r="D707" s="172"/>
      <c r="E707" s="172"/>
    </row>
    <row r="708">
      <c r="A708" s="172"/>
      <c r="B708" s="172"/>
      <c r="C708" s="172"/>
      <c r="D708" s="172"/>
      <c r="E708" s="172"/>
    </row>
    <row r="709">
      <c r="A709" s="172"/>
      <c r="B709" s="172"/>
      <c r="C709" s="172"/>
      <c r="D709" s="172"/>
      <c r="E709" s="172"/>
    </row>
    <row r="710">
      <c r="A710" s="172"/>
      <c r="B710" s="172"/>
      <c r="C710" s="172"/>
      <c r="D710" s="172"/>
      <c r="E710" s="172"/>
    </row>
    <row r="711">
      <c r="A711" s="172"/>
      <c r="B711" s="172"/>
      <c r="C711" s="172"/>
      <c r="D711" s="172"/>
      <c r="E711" s="172"/>
    </row>
    <row r="712">
      <c r="A712" s="172"/>
      <c r="B712" s="172"/>
      <c r="C712" s="172"/>
      <c r="D712" s="172"/>
      <c r="E712" s="172"/>
    </row>
    <row r="713">
      <c r="A713" s="172"/>
      <c r="B713" s="172"/>
      <c r="C713" s="172"/>
      <c r="D713" s="172"/>
      <c r="E713" s="172"/>
    </row>
    <row r="714">
      <c r="A714" s="172"/>
      <c r="B714" s="172"/>
      <c r="C714" s="172"/>
      <c r="D714" s="172"/>
      <c r="E714" s="172"/>
    </row>
    <row r="715">
      <c r="A715" s="172"/>
      <c r="B715" s="172"/>
      <c r="C715" s="172"/>
      <c r="D715" s="172"/>
      <c r="E715" s="172"/>
    </row>
    <row r="716">
      <c r="A716" s="172"/>
      <c r="B716" s="172"/>
      <c r="C716" s="172"/>
      <c r="D716" s="172"/>
      <c r="E716" s="172"/>
    </row>
    <row r="717">
      <c r="A717" s="172"/>
      <c r="B717" s="172"/>
      <c r="C717" s="172"/>
      <c r="D717" s="172"/>
      <c r="E717" s="172"/>
    </row>
    <row r="718">
      <c r="A718" s="172"/>
      <c r="B718" s="172"/>
      <c r="C718" s="172"/>
      <c r="D718" s="172"/>
      <c r="E718" s="172"/>
    </row>
    <row r="719">
      <c r="A719" s="172"/>
      <c r="B719" s="172"/>
      <c r="C719" s="172"/>
      <c r="D719" s="172"/>
      <c r="E719" s="172"/>
    </row>
    <row r="720">
      <c r="A720" s="172"/>
      <c r="B720" s="172"/>
      <c r="C720" s="172"/>
      <c r="D720" s="172"/>
      <c r="E720" s="172"/>
    </row>
    <row r="721">
      <c r="A721" s="172"/>
      <c r="B721" s="172"/>
      <c r="C721" s="172"/>
      <c r="D721" s="172"/>
      <c r="E721" s="172"/>
    </row>
    <row r="722">
      <c r="A722" s="172"/>
      <c r="B722" s="172"/>
      <c r="C722" s="172"/>
      <c r="D722" s="172"/>
      <c r="E722" s="172"/>
    </row>
    <row r="723">
      <c r="A723" s="172"/>
      <c r="B723" s="172"/>
      <c r="C723" s="172"/>
      <c r="D723" s="172"/>
      <c r="E723" s="172"/>
    </row>
    <row r="724">
      <c r="A724" s="172"/>
      <c r="B724" s="172"/>
      <c r="C724" s="172"/>
      <c r="D724" s="172"/>
      <c r="E724" s="172"/>
    </row>
    <row r="725">
      <c r="A725" s="172"/>
      <c r="B725" s="172"/>
      <c r="C725" s="172"/>
      <c r="D725" s="172"/>
      <c r="E725" s="172"/>
    </row>
    <row r="726">
      <c r="A726" s="172"/>
      <c r="B726" s="172"/>
      <c r="C726" s="172"/>
      <c r="D726" s="172"/>
      <c r="E726" s="172"/>
    </row>
    <row r="727">
      <c r="A727" s="172"/>
      <c r="B727" s="172"/>
      <c r="C727" s="172"/>
      <c r="D727" s="172"/>
      <c r="E727" s="172"/>
    </row>
    <row r="728">
      <c r="A728" s="172"/>
      <c r="B728" s="172"/>
      <c r="C728" s="172"/>
      <c r="D728" s="172"/>
      <c r="E728" s="172"/>
    </row>
    <row r="729">
      <c r="A729" s="172"/>
      <c r="B729" s="172"/>
      <c r="C729" s="172"/>
      <c r="D729" s="172"/>
      <c r="E729" s="172"/>
    </row>
    <row r="730">
      <c r="A730" s="172"/>
      <c r="B730" s="172"/>
      <c r="C730" s="172"/>
      <c r="D730" s="172"/>
      <c r="E730" s="172"/>
    </row>
    <row r="731">
      <c r="A731" s="172"/>
      <c r="B731" s="172"/>
      <c r="C731" s="172"/>
      <c r="D731" s="172"/>
      <c r="E731" s="172"/>
    </row>
    <row r="732">
      <c r="A732" s="172"/>
      <c r="B732" s="172"/>
      <c r="C732" s="172"/>
      <c r="D732" s="172"/>
      <c r="E732" s="172"/>
    </row>
    <row r="733">
      <c r="A733" s="172"/>
      <c r="B733" s="172"/>
      <c r="C733" s="172"/>
      <c r="D733" s="172"/>
      <c r="E733" s="172"/>
    </row>
    <row r="734">
      <c r="A734" s="172"/>
      <c r="B734" s="172"/>
      <c r="C734" s="172"/>
      <c r="D734" s="172"/>
      <c r="E734" s="172"/>
    </row>
    <row r="735">
      <c r="A735" s="172"/>
      <c r="B735" s="172"/>
      <c r="C735" s="172"/>
      <c r="D735" s="172"/>
      <c r="E735" s="172"/>
    </row>
    <row r="736">
      <c r="A736" s="172"/>
      <c r="B736" s="172"/>
      <c r="C736" s="172"/>
      <c r="D736" s="172"/>
      <c r="E736" s="172"/>
    </row>
    <row r="737">
      <c r="A737" s="172"/>
      <c r="B737" s="172"/>
      <c r="C737" s="172"/>
      <c r="D737" s="172"/>
      <c r="E737" s="172"/>
    </row>
    <row r="738">
      <c r="A738" s="172"/>
      <c r="B738" s="172"/>
      <c r="C738" s="172"/>
      <c r="D738" s="172"/>
      <c r="E738" s="172"/>
    </row>
    <row r="739">
      <c r="A739" s="172"/>
      <c r="B739" s="172"/>
      <c r="C739" s="172"/>
      <c r="D739" s="172"/>
      <c r="E739" s="172"/>
    </row>
    <row r="740">
      <c r="A740" s="172"/>
      <c r="B740" s="172"/>
      <c r="C740" s="172"/>
      <c r="D740" s="172"/>
      <c r="E740" s="172"/>
    </row>
    <row r="741">
      <c r="A741" s="172"/>
      <c r="B741" s="172"/>
      <c r="C741" s="172"/>
      <c r="D741" s="172"/>
      <c r="E741" s="172"/>
    </row>
    <row r="742">
      <c r="A742" s="172"/>
      <c r="B742" s="172"/>
      <c r="C742" s="172"/>
      <c r="D742" s="172"/>
      <c r="E742" s="172"/>
    </row>
    <row r="743">
      <c r="A743" s="172"/>
      <c r="B743" s="172"/>
      <c r="C743" s="172"/>
      <c r="D743" s="172"/>
      <c r="E743" s="172"/>
    </row>
    <row r="744">
      <c r="A744" s="172"/>
      <c r="B744" s="172"/>
      <c r="C744" s="172"/>
      <c r="D744" s="172"/>
      <c r="E744" s="172"/>
    </row>
    <row r="745">
      <c r="A745" s="172"/>
      <c r="B745" s="172"/>
      <c r="C745" s="172"/>
      <c r="D745" s="172"/>
      <c r="E745" s="172"/>
    </row>
    <row r="746">
      <c r="A746" s="172"/>
      <c r="B746" s="172"/>
      <c r="C746" s="172"/>
      <c r="D746" s="172"/>
      <c r="E746" s="172"/>
    </row>
    <row r="747">
      <c r="A747" s="172"/>
      <c r="B747" s="172"/>
      <c r="C747" s="172"/>
      <c r="D747" s="172"/>
      <c r="E747" s="172"/>
    </row>
    <row r="748">
      <c r="A748" s="172"/>
      <c r="B748" s="172"/>
      <c r="C748" s="172"/>
      <c r="D748" s="172"/>
      <c r="E748" s="172"/>
    </row>
    <row r="749">
      <c r="A749" s="172"/>
      <c r="B749" s="172"/>
      <c r="C749" s="172"/>
      <c r="D749" s="172"/>
      <c r="E749" s="172"/>
    </row>
    <row r="750">
      <c r="A750" s="172"/>
      <c r="B750" s="172"/>
      <c r="C750" s="172"/>
      <c r="D750" s="172"/>
      <c r="E750" s="172"/>
    </row>
    <row r="751">
      <c r="A751" s="172"/>
      <c r="B751" s="172"/>
      <c r="C751" s="172"/>
      <c r="D751" s="172"/>
      <c r="E751" s="172"/>
    </row>
    <row r="752">
      <c r="A752" s="172"/>
      <c r="B752" s="172"/>
      <c r="C752" s="172"/>
      <c r="D752" s="172"/>
      <c r="E752" s="172"/>
    </row>
    <row r="753">
      <c r="A753" s="172"/>
      <c r="B753" s="172"/>
      <c r="C753" s="172"/>
      <c r="D753" s="172"/>
      <c r="E753" s="172"/>
    </row>
    <row r="754">
      <c r="A754" s="172"/>
      <c r="B754" s="172"/>
      <c r="C754" s="172"/>
      <c r="D754" s="172"/>
      <c r="E754" s="172"/>
    </row>
    <row r="755">
      <c r="A755" s="172"/>
      <c r="B755" s="172"/>
      <c r="C755" s="172"/>
      <c r="D755" s="172"/>
      <c r="E755" s="172"/>
    </row>
    <row r="756">
      <c r="A756" s="172"/>
      <c r="B756" s="172"/>
      <c r="C756" s="172"/>
      <c r="D756" s="172"/>
      <c r="E756" s="172"/>
    </row>
    <row r="757">
      <c r="A757" s="172"/>
      <c r="B757" s="172"/>
      <c r="C757" s="172"/>
      <c r="D757" s="172"/>
      <c r="E757" s="172"/>
    </row>
    <row r="758">
      <c r="A758" s="172"/>
      <c r="B758" s="172"/>
      <c r="C758" s="172"/>
      <c r="D758" s="172"/>
      <c r="E758" s="172"/>
    </row>
    <row r="759">
      <c r="A759" s="172"/>
      <c r="B759" s="172"/>
      <c r="C759" s="172"/>
      <c r="D759" s="172"/>
      <c r="E759" s="172"/>
    </row>
    <row r="760">
      <c r="A760" s="172"/>
      <c r="B760" s="172"/>
      <c r="C760" s="172"/>
      <c r="D760" s="172"/>
      <c r="E760" s="172"/>
    </row>
    <row r="761">
      <c r="A761" s="172"/>
      <c r="B761" s="172"/>
      <c r="C761" s="172"/>
      <c r="D761" s="172"/>
      <c r="E761" s="172"/>
    </row>
    <row r="762">
      <c r="A762" s="172"/>
      <c r="B762" s="172"/>
      <c r="C762" s="172"/>
      <c r="D762" s="172"/>
      <c r="E762" s="172"/>
    </row>
    <row r="763">
      <c r="A763" s="172"/>
      <c r="B763" s="172"/>
      <c r="C763" s="172"/>
      <c r="D763" s="172"/>
      <c r="E763" s="172"/>
    </row>
    <row r="764">
      <c r="A764" s="172"/>
      <c r="B764" s="172"/>
      <c r="C764" s="172"/>
      <c r="D764" s="172"/>
      <c r="E764" s="172"/>
    </row>
    <row r="765">
      <c r="A765" s="172"/>
      <c r="B765" s="172"/>
      <c r="C765" s="172"/>
      <c r="D765" s="172"/>
      <c r="E765" s="172"/>
    </row>
    <row r="766">
      <c r="A766" s="172"/>
      <c r="B766" s="172"/>
      <c r="C766" s="172"/>
      <c r="D766" s="172"/>
      <c r="E766" s="172"/>
    </row>
    <row r="767">
      <c r="A767" s="172"/>
      <c r="B767" s="172"/>
      <c r="C767" s="172"/>
      <c r="D767" s="172"/>
      <c r="E767" s="172"/>
    </row>
    <row r="768">
      <c r="A768" s="172"/>
      <c r="B768" s="172"/>
      <c r="C768" s="172"/>
      <c r="D768" s="172"/>
      <c r="E768" s="172"/>
    </row>
    <row r="769">
      <c r="A769" s="172"/>
      <c r="B769" s="172"/>
      <c r="C769" s="172"/>
      <c r="D769" s="172"/>
      <c r="E769" s="172"/>
    </row>
    <row r="770">
      <c r="A770" s="172"/>
      <c r="B770" s="172"/>
      <c r="C770" s="172"/>
      <c r="D770" s="172"/>
      <c r="E770" s="172"/>
    </row>
    <row r="771">
      <c r="A771" s="172"/>
      <c r="B771" s="172"/>
      <c r="C771" s="172"/>
      <c r="D771" s="172"/>
      <c r="E771" s="172"/>
    </row>
    <row r="772">
      <c r="A772" s="172"/>
      <c r="B772" s="172"/>
      <c r="C772" s="172"/>
      <c r="D772" s="172"/>
      <c r="E772" s="172"/>
    </row>
    <row r="773">
      <c r="A773" s="172"/>
      <c r="B773" s="172"/>
      <c r="C773" s="172"/>
      <c r="D773" s="172"/>
      <c r="E773" s="172"/>
    </row>
    <row r="774">
      <c r="A774" s="172"/>
      <c r="B774" s="172"/>
      <c r="C774" s="172"/>
      <c r="D774" s="172"/>
      <c r="E774" s="172"/>
    </row>
    <row r="775">
      <c r="A775" s="172"/>
      <c r="B775" s="172"/>
      <c r="C775" s="172"/>
      <c r="D775" s="172"/>
      <c r="E775" s="172"/>
    </row>
    <row r="776">
      <c r="A776" s="172"/>
      <c r="B776" s="172"/>
      <c r="C776" s="172"/>
      <c r="D776" s="172"/>
      <c r="E776" s="172"/>
    </row>
    <row r="777">
      <c r="A777" s="172"/>
      <c r="B777" s="172"/>
      <c r="C777" s="172"/>
      <c r="D777" s="172"/>
      <c r="E777" s="172"/>
    </row>
    <row r="778">
      <c r="A778" s="172"/>
      <c r="B778" s="172"/>
      <c r="C778" s="172"/>
      <c r="D778" s="172"/>
      <c r="E778" s="172"/>
    </row>
    <row r="779">
      <c r="A779" s="172"/>
      <c r="B779" s="172"/>
      <c r="C779" s="172"/>
      <c r="D779" s="172"/>
      <c r="E779" s="172"/>
    </row>
    <row r="780">
      <c r="A780" s="172"/>
      <c r="B780" s="172"/>
      <c r="C780" s="172"/>
      <c r="D780" s="172"/>
      <c r="E780" s="172"/>
    </row>
    <row r="781">
      <c r="A781" s="172"/>
      <c r="B781" s="172"/>
      <c r="C781" s="172"/>
      <c r="D781" s="172"/>
      <c r="E781" s="172"/>
    </row>
    <row r="782">
      <c r="A782" s="172"/>
      <c r="B782" s="172"/>
      <c r="C782" s="172"/>
      <c r="D782" s="172"/>
      <c r="E782" s="172"/>
    </row>
    <row r="783">
      <c r="A783" s="172"/>
      <c r="B783" s="172"/>
      <c r="C783" s="172"/>
      <c r="D783" s="172"/>
      <c r="E783" s="172"/>
    </row>
    <row r="784">
      <c r="A784" s="172"/>
      <c r="B784" s="172"/>
      <c r="C784" s="172"/>
      <c r="D784" s="172"/>
      <c r="E784" s="172"/>
    </row>
    <row r="785">
      <c r="A785" s="172"/>
      <c r="B785" s="172"/>
      <c r="C785" s="172"/>
      <c r="D785" s="172"/>
      <c r="E785" s="172"/>
    </row>
    <row r="786">
      <c r="A786" s="172"/>
      <c r="B786" s="172"/>
      <c r="C786" s="172"/>
      <c r="D786" s="172"/>
      <c r="E786" s="172"/>
    </row>
    <row r="787">
      <c r="A787" s="172"/>
      <c r="B787" s="172"/>
      <c r="C787" s="172"/>
      <c r="D787" s="172"/>
      <c r="E787" s="172"/>
    </row>
    <row r="788">
      <c r="A788" s="172"/>
      <c r="B788" s="172"/>
      <c r="C788" s="172"/>
      <c r="D788" s="172"/>
      <c r="E788" s="172"/>
    </row>
    <row r="789">
      <c r="A789" s="172"/>
      <c r="B789" s="172"/>
      <c r="C789" s="172"/>
      <c r="D789" s="172"/>
      <c r="E789" s="172"/>
    </row>
    <row r="790">
      <c r="A790" s="172"/>
      <c r="B790" s="172"/>
      <c r="C790" s="172"/>
      <c r="D790" s="172"/>
      <c r="E790" s="172"/>
    </row>
    <row r="791">
      <c r="A791" s="172"/>
      <c r="B791" s="172"/>
      <c r="C791" s="172"/>
      <c r="D791" s="172"/>
      <c r="E791" s="172"/>
    </row>
    <row r="792">
      <c r="A792" s="172"/>
      <c r="B792" s="172"/>
      <c r="C792" s="172"/>
      <c r="D792" s="172"/>
      <c r="E792" s="172"/>
    </row>
    <row r="793">
      <c r="A793" s="172"/>
      <c r="B793" s="172"/>
      <c r="C793" s="172"/>
      <c r="D793" s="172"/>
      <c r="E793" s="172"/>
    </row>
    <row r="794">
      <c r="A794" s="172"/>
      <c r="B794" s="172"/>
      <c r="C794" s="172"/>
      <c r="D794" s="172"/>
      <c r="E794" s="172"/>
    </row>
    <row r="795">
      <c r="A795" s="172"/>
      <c r="B795" s="172"/>
      <c r="C795" s="172"/>
      <c r="D795" s="172"/>
      <c r="E795" s="172"/>
    </row>
    <row r="796">
      <c r="A796" s="172"/>
      <c r="B796" s="172"/>
      <c r="C796" s="172"/>
      <c r="D796" s="172"/>
      <c r="E796" s="172"/>
    </row>
    <row r="797">
      <c r="A797" s="172"/>
      <c r="B797" s="172"/>
      <c r="C797" s="172"/>
      <c r="D797" s="172"/>
      <c r="E797" s="172"/>
    </row>
    <row r="798">
      <c r="A798" s="172"/>
      <c r="B798" s="172"/>
      <c r="C798" s="172"/>
      <c r="D798" s="172"/>
      <c r="E798" s="172"/>
    </row>
    <row r="799">
      <c r="A799" s="172"/>
      <c r="B799" s="172"/>
      <c r="C799" s="172"/>
      <c r="D799" s="172"/>
      <c r="E799" s="172"/>
    </row>
    <row r="800">
      <c r="A800" s="172"/>
      <c r="B800" s="172"/>
      <c r="C800" s="172"/>
      <c r="D800" s="172"/>
      <c r="E800" s="172"/>
    </row>
    <row r="801">
      <c r="A801" s="172"/>
      <c r="B801" s="172"/>
      <c r="C801" s="172"/>
      <c r="D801" s="172"/>
      <c r="E801" s="172"/>
    </row>
    <row r="802">
      <c r="A802" s="172"/>
      <c r="B802" s="172"/>
      <c r="C802" s="172"/>
      <c r="D802" s="172"/>
      <c r="E802" s="172"/>
    </row>
    <row r="803">
      <c r="A803" s="172"/>
      <c r="B803" s="172"/>
      <c r="C803" s="172"/>
      <c r="D803" s="172"/>
      <c r="E803" s="172"/>
    </row>
    <row r="804">
      <c r="A804" s="172"/>
      <c r="B804" s="172"/>
      <c r="C804" s="172"/>
      <c r="D804" s="172"/>
      <c r="E804" s="172"/>
    </row>
    <row r="805">
      <c r="A805" s="172"/>
      <c r="B805" s="172"/>
      <c r="C805" s="172"/>
      <c r="D805" s="172"/>
      <c r="E805" s="172"/>
    </row>
    <row r="806">
      <c r="A806" s="172"/>
      <c r="B806" s="172"/>
      <c r="C806" s="172"/>
      <c r="D806" s="172"/>
      <c r="E806" s="172"/>
    </row>
    <row r="807">
      <c r="A807" s="172"/>
      <c r="B807" s="172"/>
      <c r="C807" s="172"/>
      <c r="D807" s="172"/>
      <c r="E807" s="172"/>
    </row>
    <row r="808">
      <c r="A808" s="172"/>
      <c r="B808" s="172"/>
      <c r="C808" s="172"/>
      <c r="D808" s="172"/>
      <c r="E808" s="172"/>
    </row>
    <row r="809">
      <c r="A809" s="172"/>
      <c r="B809" s="172"/>
      <c r="C809" s="172"/>
      <c r="D809" s="172"/>
      <c r="E809" s="172"/>
    </row>
    <row r="810">
      <c r="A810" s="172"/>
      <c r="B810" s="172"/>
      <c r="C810" s="172"/>
      <c r="D810" s="172"/>
      <c r="E810" s="172"/>
    </row>
    <row r="811">
      <c r="A811" s="172"/>
      <c r="B811" s="172"/>
      <c r="C811" s="172"/>
      <c r="D811" s="172"/>
      <c r="E811" s="172"/>
    </row>
    <row r="812">
      <c r="A812" s="172"/>
      <c r="B812" s="172"/>
      <c r="C812" s="172"/>
      <c r="D812" s="172"/>
      <c r="E812" s="172"/>
    </row>
    <row r="813">
      <c r="A813" s="172"/>
      <c r="B813" s="172"/>
      <c r="C813" s="172"/>
      <c r="D813" s="172"/>
      <c r="E813" s="172"/>
    </row>
    <row r="814">
      <c r="A814" s="172"/>
      <c r="B814" s="172"/>
      <c r="C814" s="172"/>
      <c r="D814" s="172"/>
      <c r="E814" s="172"/>
    </row>
    <row r="815">
      <c r="A815" s="172"/>
      <c r="B815" s="172"/>
      <c r="C815" s="172"/>
      <c r="D815" s="172"/>
      <c r="E815" s="172"/>
    </row>
    <row r="816">
      <c r="A816" s="172"/>
      <c r="B816" s="172"/>
      <c r="C816" s="172"/>
      <c r="D816" s="172"/>
      <c r="E816" s="172"/>
    </row>
    <row r="817">
      <c r="A817" s="172"/>
      <c r="B817" s="172"/>
      <c r="C817" s="172"/>
      <c r="D817" s="172"/>
      <c r="E817" s="172"/>
    </row>
    <row r="818">
      <c r="A818" s="172"/>
      <c r="B818" s="172"/>
      <c r="C818" s="172"/>
      <c r="D818" s="172"/>
      <c r="E818" s="172"/>
    </row>
    <row r="819">
      <c r="A819" s="172"/>
      <c r="B819" s="172"/>
      <c r="C819" s="172"/>
      <c r="D819" s="172"/>
      <c r="E819" s="172"/>
    </row>
    <row r="820">
      <c r="A820" s="172"/>
      <c r="B820" s="172"/>
      <c r="C820" s="172"/>
      <c r="D820" s="172"/>
      <c r="E820" s="172"/>
    </row>
    <row r="821">
      <c r="A821" s="172"/>
      <c r="B821" s="172"/>
      <c r="C821" s="172"/>
      <c r="D821" s="172"/>
      <c r="E821" s="172"/>
    </row>
    <row r="822">
      <c r="A822" s="172"/>
      <c r="B822" s="172"/>
      <c r="C822" s="172"/>
      <c r="D822" s="172"/>
      <c r="E822" s="172"/>
    </row>
    <row r="823">
      <c r="A823" s="172"/>
      <c r="B823" s="172"/>
      <c r="C823" s="172"/>
      <c r="D823" s="172"/>
      <c r="E823" s="172"/>
    </row>
    <row r="824">
      <c r="A824" s="172"/>
      <c r="B824" s="172"/>
      <c r="C824" s="172"/>
      <c r="D824" s="172"/>
      <c r="E824" s="172"/>
    </row>
    <row r="825">
      <c r="A825" s="172"/>
      <c r="B825" s="172"/>
      <c r="C825" s="172"/>
      <c r="D825" s="172"/>
      <c r="E825" s="172"/>
    </row>
    <row r="826">
      <c r="A826" s="172"/>
      <c r="B826" s="172"/>
      <c r="C826" s="172"/>
      <c r="D826" s="172"/>
      <c r="E826" s="172"/>
    </row>
    <row r="827">
      <c r="A827" s="172"/>
      <c r="B827" s="172"/>
      <c r="C827" s="172"/>
      <c r="D827" s="172"/>
      <c r="E827" s="172"/>
    </row>
    <row r="828">
      <c r="A828" s="172"/>
      <c r="B828" s="172"/>
      <c r="C828" s="172"/>
      <c r="D828" s="172"/>
      <c r="E828" s="172"/>
    </row>
    <row r="829">
      <c r="A829" s="172"/>
      <c r="B829" s="172"/>
      <c r="C829" s="172"/>
      <c r="D829" s="172"/>
      <c r="E829" s="172"/>
    </row>
    <row r="830">
      <c r="A830" s="172"/>
      <c r="B830" s="172"/>
      <c r="C830" s="172"/>
      <c r="D830" s="172"/>
      <c r="E830" s="172"/>
    </row>
    <row r="831">
      <c r="A831" s="172"/>
      <c r="B831" s="172"/>
      <c r="C831" s="172"/>
      <c r="D831" s="172"/>
      <c r="E831" s="172"/>
    </row>
    <row r="832">
      <c r="A832" s="172"/>
      <c r="B832" s="172"/>
      <c r="C832" s="172"/>
      <c r="D832" s="172"/>
      <c r="E832" s="172"/>
    </row>
    <row r="833">
      <c r="A833" s="172"/>
      <c r="B833" s="172"/>
      <c r="C833" s="172"/>
      <c r="D833" s="172"/>
      <c r="E833" s="172"/>
    </row>
    <row r="834">
      <c r="A834" s="172"/>
      <c r="B834" s="172"/>
      <c r="C834" s="172"/>
      <c r="D834" s="172"/>
      <c r="E834" s="172"/>
    </row>
    <row r="835">
      <c r="A835" s="172"/>
      <c r="B835" s="172"/>
      <c r="C835" s="172"/>
      <c r="D835" s="172"/>
      <c r="E835" s="172"/>
    </row>
    <row r="836">
      <c r="A836" s="172"/>
      <c r="B836" s="172"/>
      <c r="C836" s="172"/>
      <c r="D836" s="172"/>
      <c r="E836" s="172"/>
    </row>
    <row r="837">
      <c r="A837" s="172"/>
      <c r="B837" s="172"/>
      <c r="C837" s="172"/>
      <c r="D837" s="172"/>
      <c r="E837" s="172"/>
    </row>
    <row r="838">
      <c r="A838" s="172"/>
      <c r="B838" s="172"/>
      <c r="C838" s="172"/>
      <c r="D838" s="172"/>
      <c r="E838" s="172"/>
    </row>
    <row r="839">
      <c r="A839" s="172"/>
      <c r="B839" s="172"/>
      <c r="C839" s="172"/>
      <c r="D839" s="172"/>
      <c r="E839" s="172"/>
    </row>
    <row r="840">
      <c r="A840" s="172"/>
      <c r="B840" s="172"/>
      <c r="C840" s="172"/>
      <c r="D840" s="172"/>
      <c r="E840" s="172"/>
    </row>
    <row r="841">
      <c r="A841" s="172"/>
      <c r="B841" s="172"/>
      <c r="C841" s="172"/>
      <c r="D841" s="172"/>
      <c r="E841" s="172"/>
    </row>
    <row r="842">
      <c r="A842" s="172"/>
      <c r="B842" s="172"/>
      <c r="C842" s="172"/>
      <c r="D842" s="172"/>
      <c r="E842" s="172"/>
    </row>
    <row r="843">
      <c r="A843" s="172"/>
      <c r="B843" s="172"/>
      <c r="C843" s="172"/>
      <c r="D843" s="172"/>
      <c r="E843" s="172"/>
    </row>
    <row r="844">
      <c r="A844" s="172"/>
      <c r="B844" s="172"/>
      <c r="C844" s="172"/>
      <c r="D844" s="172"/>
      <c r="E844" s="172"/>
    </row>
    <row r="845">
      <c r="A845" s="172"/>
      <c r="B845" s="172"/>
      <c r="C845" s="172"/>
      <c r="D845" s="172"/>
      <c r="E845" s="172"/>
    </row>
    <row r="846">
      <c r="A846" s="172"/>
      <c r="B846" s="172"/>
      <c r="C846" s="172"/>
      <c r="D846" s="172"/>
      <c r="E846" s="172"/>
    </row>
    <row r="847">
      <c r="A847" s="172"/>
      <c r="B847" s="172"/>
      <c r="C847" s="172"/>
      <c r="D847" s="172"/>
      <c r="E847" s="172"/>
    </row>
    <row r="848">
      <c r="A848" s="172"/>
      <c r="B848" s="172"/>
      <c r="C848" s="172"/>
      <c r="D848" s="172"/>
      <c r="E848" s="172"/>
    </row>
    <row r="849">
      <c r="A849" s="172"/>
      <c r="B849" s="172"/>
      <c r="C849" s="172"/>
      <c r="D849" s="172"/>
      <c r="E849" s="172"/>
    </row>
    <row r="850">
      <c r="A850" s="172"/>
      <c r="B850" s="172"/>
      <c r="C850" s="172"/>
      <c r="D850" s="172"/>
      <c r="E850" s="172"/>
    </row>
    <row r="851">
      <c r="A851" s="172"/>
      <c r="B851" s="172"/>
      <c r="C851" s="172"/>
      <c r="D851" s="172"/>
      <c r="E851" s="172"/>
    </row>
    <row r="852">
      <c r="A852" s="172"/>
      <c r="B852" s="172"/>
      <c r="C852" s="172"/>
      <c r="D852" s="172"/>
      <c r="E852" s="172"/>
    </row>
    <row r="853">
      <c r="A853" s="172"/>
      <c r="B853" s="172"/>
      <c r="C853" s="172"/>
      <c r="D853" s="172"/>
      <c r="E853" s="172"/>
    </row>
    <row r="854">
      <c r="A854" s="172"/>
      <c r="B854" s="172"/>
      <c r="C854" s="172"/>
      <c r="D854" s="172"/>
      <c r="E854" s="172"/>
    </row>
    <row r="855">
      <c r="A855" s="172"/>
      <c r="B855" s="172"/>
      <c r="C855" s="172"/>
      <c r="D855" s="172"/>
      <c r="E855" s="172"/>
    </row>
    <row r="856">
      <c r="A856" s="172"/>
      <c r="B856" s="172"/>
      <c r="C856" s="172"/>
      <c r="D856" s="172"/>
      <c r="E856" s="172"/>
    </row>
    <row r="857">
      <c r="A857" s="172"/>
      <c r="B857" s="172"/>
      <c r="C857" s="172"/>
      <c r="D857" s="172"/>
      <c r="E857" s="172"/>
    </row>
    <row r="858">
      <c r="A858" s="172"/>
      <c r="B858" s="172"/>
      <c r="C858" s="172"/>
      <c r="D858" s="172"/>
      <c r="E858" s="172"/>
    </row>
    <row r="859">
      <c r="A859" s="172"/>
      <c r="B859" s="172"/>
      <c r="C859" s="172"/>
      <c r="D859" s="172"/>
      <c r="E859" s="172"/>
    </row>
    <row r="860">
      <c r="A860" s="172"/>
      <c r="B860" s="172"/>
      <c r="C860" s="172"/>
      <c r="D860" s="172"/>
      <c r="E860" s="172"/>
    </row>
    <row r="861">
      <c r="A861" s="172"/>
      <c r="B861" s="172"/>
      <c r="C861" s="172"/>
      <c r="D861" s="172"/>
      <c r="E861" s="172"/>
    </row>
    <row r="862">
      <c r="A862" s="172"/>
      <c r="B862" s="172"/>
      <c r="C862" s="172"/>
      <c r="D862" s="172"/>
      <c r="E862" s="172"/>
    </row>
    <row r="863">
      <c r="A863" s="172"/>
      <c r="B863" s="172"/>
      <c r="C863" s="172"/>
      <c r="D863" s="172"/>
      <c r="E863" s="172"/>
    </row>
    <row r="864">
      <c r="A864" s="172"/>
      <c r="B864" s="172"/>
      <c r="C864" s="172"/>
      <c r="D864" s="172"/>
      <c r="E864" s="172"/>
    </row>
    <row r="865">
      <c r="A865" s="172"/>
      <c r="B865" s="172"/>
      <c r="C865" s="172"/>
      <c r="D865" s="172"/>
      <c r="E865" s="172"/>
    </row>
    <row r="866">
      <c r="A866" s="172"/>
      <c r="B866" s="172"/>
      <c r="C866" s="172"/>
      <c r="D866" s="172"/>
      <c r="E866" s="172"/>
    </row>
    <row r="867">
      <c r="A867" s="172"/>
      <c r="B867" s="172"/>
      <c r="C867" s="172"/>
      <c r="D867" s="172"/>
      <c r="E867" s="172"/>
    </row>
    <row r="868">
      <c r="A868" s="172"/>
      <c r="B868" s="172"/>
      <c r="C868" s="172"/>
      <c r="D868" s="172"/>
      <c r="E868" s="172"/>
    </row>
    <row r="869">
      <c r="A869" s="172"/>
      <c r="B869" s="172"/>
      <c r="C869" s="172"/>
      <c r="D869" s="172"/>
      <c r="E869" s="172"/>
    </row>
    <row r="870">
      <c r="A870" s="172"/>
      <c r="B870" s="172"/>
      <c r="C870" s="172"/>
      <c r="D870" s="172"/>
      <c r="E870" s="172"/>
    </row>
    <row r="871">
      <c r="A871" s="172"/>
      <c r="B871" s="172"/>
      <c r="C871" s="172"/>
      <c r="D871" s="172"/>
      <c r="E871" s="172"/>
    </row>
    <row r="872">
      <c r="A872" s="172"/>
      <c r="B872" s="172"/>
      <c r="C872" s="172"/>
      <c r="D872" s="172"/>
      <c r="E872" s="172"/>
    </row>
    <row r="873">
      <c r="A873" s="172"/>
      <c r="B873" s="172"/>
      <c r="C873" s="172"/>
      <c r="D873" s="172"/>
      <c r="E873" s="172"/>
    </row>
    <row r="874">
      <c r="A874" s="172"/>
      <c r="B874" s="172"/>
      <c r="C874" s="172"/>
      <c r="D874" s="172"/>
      <c r="E874" s="172"/>
    </row>
    <row r="875">
      <c r="A875" s="172"/>
      <c r="B875" s="172"/>
      <c r="C875" s="172"/>
      <c r="D875" s="172"/>
      <c r="E875" s="172"/>
    </row>
    <row r="876">
      <c r="A876" s="172"/>
      <c r="B876" s="172"/>
      <c r="C876" s="172"/>
      <c r="D876" s="172"/>
      <c r="E876" s="172"/>
    </row>
    <row r="877">
      <c r="A877" s="172"/>
      <c r="B877" s="172"/>
      <c r="C877" s="172"/>
      <c r="D877" s="172"/>
      <c r="E877" s="172"/>
    </row>
    <row r="878">
      <c r="A878" s="172"/>
      <c r="B878" s="172"/>
      <c r="C878" s="172"/>
      <c r="D878" s="172"/>
      <c r="E878" s="172"/>
    </row>
    <row r="879">
      <c r="A879" s="172"/>
      <c r="B879" s="172"/>
      <c r="C879" s="172"/>
      <c r="D879" s="172"/>
      <c r="E879" s="172"/>
    </row>
    <row r="880">
      <c r="A880" s="172"/>
      <c r="B880" s="172"/>
      <c r="C880" s="172"/>
      <c r="D880" s="172"/>
      <c r="E880" s="172"/>
    </row>
    <row r="881">
      <c r="A881" s="172"/>
      <c r="B881" s="172"/>
      <c r="C881" s="172"/>
      <c r="D881" s="172"/>
      <c r="E881" s="172"/>
    </row>
    <row r="882">
      <c r="A882" s="172"/>
      <c r="B882" s="172"/>
      <c r="C882" s="172"/>
      <c r="D882" s="172"/>
      <c r="E882" s="172"/>
    </row>
    <row r="883">
      <c r="A883" s="172"/>
      <c r="B883" s="172"/>
      <c r="C883" s="172"/>
      <c r="D883" s="172"/>
      <c r="E883" s="172"/>
    </row>
    <row r="884">
      <c r="A884" s="172"/>
      <c r="B884" s="172"/>
      <c r="C884" s="172"/>
      <c r="D884" s="172"/>
      <c r="E884" s="172"/>
    </row>
    <row r="885">
      <c r="A885" s="172"/>
      <c r="B885" s="172"/>
      <c r="C885" s="172"/>
      <c r="D885" s="172"/>
      <c r="E885" s="172"/>
    </row>
    <row r="886">
      <c r="A886" s="172"/>
      <c r="B886" s="172"/>
      <c r="C886" s="172"/>
      <c r="D886" s="172"/>
      <c r="E886" s="172"/>
    </row>
    <row r="887">
      <c r="A887" s="172"/>
      <c r="B887" s="172"/>
      <c r="C887" s="172"/>
      <c r="D887" s="172"/>
      <c r="E887" s="172"/>
    </row>
    <row r="888">
      <c r="A888" s="172"/>
      <c r="B888" s="172"/>
      <c r="C888" s="172"/>
      <c r="D888" s="172"/>
      <c r="E888" s="172"/>
    </row>
    <row r="889">
      <c r="A889" s="172"/>
      <c r="B889" s="172"/>
      <c r="C889" s="172"/>
      <c r="D889" s="172"/>
      <c r="E889" s="172"/>
    </row>
    <row r="890">
      <c r="A890" s="172"/>
      <c r="B890" s="172"/>
      <c r="C890" s="172"/>
      <c r="D890" s="172"/>
      <c r="E890" s="172"/>
    </row>
    <row r="891">
      <c r="A891" s="172"/>
      <c r="B891" s="172"/>
      <c r="C891" s="172"/>
      <c r="D891" s="172"/>
      <c r="E891" s="172"/>
    </row>
    <row r="892">
      <c r="A892" s="172"/>
      <c r="B892" s="172"/>
      <c r="C892" s="172"/>
      <c r="D892" s="172"/>
      <c r="E892" s="172"/>
    </row>
    <row r="893">
      <c r="A893" s="172"/>
      <c r="B893" s="172"/>
      <c r="C893" s="172"/>
      <c r="D893" s="172"/>
      <c r="E893" s="172"/>
    </row>
    <row r="894">
      <c r="A894" s="172"/>
      <c r="B894" s="172"/>
      <c r="C894" s="172"/>
      <c r="D894" s="172"/>
      <c r="E894" s="172"/>
    </row>
    <row r="895">
      <c r="A895" s="172"/>
      <c r="B895" s="172"/>
      <c r="C895" s="172"/>
      <c r="D895" s="172"/>
      <c r="E895" s="172"/>
    </row>
    <row r="896">
      <c r="A896" s="172"/>
      <c r="B896" s="172"/>
      <c r="C896" s="172"/>
      <c r="D896" s="172"/>
      <c r="E896" s="172"/>
    </row>
    <row r="897">
      <c r="A897" s="172"/>
      <c r="B897" s="172"/>
      <c r="C897" s="172"/>
      <c r="D897" s="172"/>
      <c r="E897" s="172"/>
    </row>
    <row r="898">
      <c r="A898" s="172"/>
      <c r="B898" s="172"/>
      <c r="C898" s="172"/>
      <c r="D898" s="172"/>
      <c r="E898" s="172"/>
    </row>
    <row r="899">
      <c r="A899" s="172"/>
      <c r="B899" s="172"/>
      <c r="C899" s="172"/>
      <c r="D899" s="172"/>
      <c r="E899" s="172"/>
    </row>
    <row r="900">
      <c r="A900" s="172"/>
      <c r="B900" s="172"/>
      <c r="C900" s="172"/>
      <c r="D900" s="172"/>
      <c r="E900" s="172"/>
    </row>
    <row r="901">
      <c r="A901" s="172"/>
      <c r="B901" s="172"/>
      <c r="C901" s="172"/>
      <c r="D901" s="172"/>
      <c r="E901" s="172"/>
    </row>
    <row r="902">
      <c r="A902" s="172"/>
      <c r="B902" s="172"/>
      <c r="C902" s="172"/>
      <c r="D902" s="172"/>
      <c r="E902" s="172"/>
    </row>
    <row r="903">
      <c r="A903" s="172"/>
      <c r="B903" s="172"/>
      <c r="C903" s="172"/>
      <c r="D903" s="172"/>
      <c r="E903" s="172"/>
    </row>
    <row r="904">
      <c r="A904" s="172"/>
      <c r="B904" s="172"/>
      <c r="C904" s="172"/>
      <c r="D904" s="172"/>
      <c r="E904" s="172"/>
    </row>
    <row r="905">
      <c r="A905" s="172"/>
      <c r="B905" s="172"/>
      <c r="C905" s="172"/>
      <c r="D905" s="172"/>
      <c r="E905" s="172"/>
    </row>
    <row r="906">
      <c r="A906" s="172"/>
      <c r="B906" s="172"/>
      <c r="C906" s="172"/>
      <c r="D906" s="172"/>
      <c r="E906" s="172"/>
    </row>
    <row r="907">
      <c r="A907" s="172"/>
      <c r="B907" s="172"/>
      <c r="C907" s="172"/>
      <c r="D907" s="172"/>
      <c r="E907" s="172"/>
    </row>
    <row r="908">
      <c r="A908" s="172"/>
      <c r="B908" s="172"/>
      <c r="C908" s="172"/>
      <c r="D908" s="172"/>
      <c r="E908" s="172"/>
    </row>
    <row r="909">
      <c r="A909" s="172"/>
      <c r="B909" s="172"/>
      <c r="C909" s="172"/>
      <c r="D909" s="172"/>
      <c r="E909" s="172"/>
    </row>
    <row r="910">
      <c r="A910" s="172"/>
      <c r="B910" s="172"/>
      <c r="C910" s="172"/>
      <c r="D910" s="172"/>
      <c r="E910" s="172"/>
    </row>
    <row r="911">
      <c r="A911" s="172"/>
      <c r="B911" s="172"/>
      <c r="C911" s="172"/>
      <c r="D911" s="172"/>
      <c r="E911" s="172"/>
    </row>
    <row r="912">
      <c r="A912" s="172"/>
      <c r="B912" s="172"/>
      <c r="C912" s="172"/>
      <c r="D912" s="172"/>
      <c r="E912" s="172"/>
    </row>
    <row r="913">
      <c r="A913" s="172"/>
      <c r="B913" s="172"/>
      <c r="C913" s="172"/>
      <c r="D913" s="172"/>
      <c r="E913" s="172"/>
    </row>
    <row r="914">
      <c r="A914" s="172"/>
      <c r="B914" s="172"/>
      <c r="C914" s="172"/>
      <c r="D914" s="172"/>
      <c r="E914" s="172"/>
    </row>
    <row r="915">
      <c r="A915" s="172"/>
      <c r="B915" s="172"/>
      <c r="C915" s="172"/>
      <c r="D915" s="172"/>
      <c r="E915" s="172"/>
    </row>
    <row r="916">
      <c r="A916" s="172"/>
      <c r="B916" s="172"/>
      <c r="C916" s="172"/>
      <c r="D916" s="172"/>
      <c r="E916" s="172"/>
    </row>
    <row r="917">
      <c r="A917" s="172"/>
      <c r="B917" s="172"/>
      <c r="C917" s="172"/>
      <c r="D917" s="172"/>
      <c r="E917" s="172"/>
    </row>
    <row r="918">
      <c r="A918" s="172"/>
      <c r="B918" s="172"/>
      <c r="C918" s="172"/>
      <c r="D918" s="172"/>
      <c r="E918" s="172"/>
    </row>
    <row r="919">
      <c r="A919" s="172"/>
      <c r="B919" s="172"/>
      <c r="C919" s="172"/>
      <c r="D919" s="172"/>
      <c r="E919" s="172"/>
    </row>
    <row r="920">
      <c r="A920" s="172"/>
      <c r="B920" s="172"/>
      <c r="C920" s="172"/>
      <c r="D920" s="172"/>
      <c r="E920" s="172"/>
    </row>
    <row r="921">
      <c r="A921" s="172"/>
      <c r="B921" s="172"/>
      <c r="C921" s="172"/>
      <c r="D921" s="172"/>
      <c r="E921" s="172"/>
    </row>
    <row r="922">
      <c r="A922" s="172"/>
      <c r="B922" s="172"/>
      <c r="C922" s="172"/>
      <c r="D922" s="172"/>
      <c r="E922" s="172"/>
    </row>
    <row r="923">
      <c r="A923" s="172"/>
      <c r="B923" s="172"/>
      <c r="C923" s="172"/>
      <c r="D923" s="172"/>
      <c r="E923" s="172"/>
    </row>
    <row r="924">
      <c r="A924" s="172"/>
      <c r="B924" s="172"/>
      <c r="C924" s="172"/>
      <c r="D924" s="172"/>
      <c r="E924" s="172"/>
    </row>
    <row r="925">
      <c r="A925" s="172"/>
      <c r="B925" s="172"/>
      <c r="C925" s="172"/>
      <c r="D925" s="172"/>
      <c r="E925" s="172"/>
    </row>
    <row r="926">
      <c r="A926" s="172"/>
      <c r="B926" s="172"/>
      <c r="C926" s="172"/>
      <c r="D926" s="172"/>
      <c r="E926" s="172"/>
    </row>
    <row r="927">
      <c r="A927" s="172"/>
      <c r="B927" s="172"/>
      <c r="C927" s="172"/>
      <c r="D927" s="172"/>
      <c r="E927" s="172"/>
    </row>
    <row r="928">
      <c r="A928" s="172"/>
      <c r="B928" s="172"/>
      <c r="C928" s="172"/>
      <c r="D928" s="172"/>
      <c r="E928" s="172"/>
    </row>
    <row r="929">
      <c r="A929" s="172"/>
      <c r="B929" s="172"/>
      <c r="C929" s="172"/>
      <c r="D929" s="172"/>
      <c r="E929" s="172"/>
    </row>
    <row r="930">
      <c r="A930" s="172"/>
      <c r="B930" s="172"/>
      <c r="C930" s="172"/>
      <c r="D930" s="172"/>
      <c r="E930" s="172"/>
    </row>
    <row r="931">
      <c r="A931" s="172"/>
      <c r="B931" s="172"/>
      <c r="C931" s="172"/>
      <c r="D931" s="172"/>
      <c r="E931" s="172"/>
    </row>
    <row r="932">
      <c r="A932" s="172"/>
      <c r="B932" s="172"/>
      <c r="C932" s="172"/>
      <c r="D932" s="172"/>
      <c r="E932" s="172"/>
    </row>
    <row r="933">
      <c r="A933" s="172"/>
      <c r="B933" s="172"/>
      <c r="C933" s="172"/>
      <c r="D933" s="172"/>
      <c r="E933" s="172"/>
    </row>
    <row r="934">
      <c r="A934" s="172"/>
      <c r="B934" s="172"/>
      <c r="C934" s="172"/>
      <c r="D934" s="172"/>
      <c r="E934" s="172"/>
    </row>
    <row r="935">
      <c r="A935" s="172"/>
      <c r="B935" s="172"/>
      <c r="C935" s="172"/>
      <c r="D935" s="172"/>
      <c r="E935" s="172"/>
    </row>
    <row r="936">
      <c r="A936" s="172"/>
      <c r="B936" s="172"/>
      <c r="C936" s="172"/>
      <c r="D936" s="172"/>
      <c r="E936" s="172"/>
    </row>
    <row r="937">
      <c r="A937" s="172"/>
      <c r="B937" s="172"/>
      <c r="C937" s="172"/>
      <c r="D937" s="172"/>
      <c r="E937" s="172"/>
    </row>
    <row r="938">
      <c r="A938" s="172"/>
      <c r="B938" s="172"/>
      <c r="C938" s="172"/>
      <c r="D938" s="172"/>
      <c r="E938" s="172"/>
    </row>
    <row r="939">
      <c r="A939" s="172"/>
      <c r="B939" s="172"/>
      <c r="C939" s="172"/>
      <c r="D939" s="172"/>
      <c r="E939" s="172"/>
    </row>
    <row r="940">
      <c r="A940" s="172"/>
      <c r="B940" s="172"/>
      <c r="C940" s="172"/>
      <c r="D940" s="172"/>
      <c r="E940" s="172"/>
    </row>
    <row r="941">
      <c r="A941" s="172"/>
      <c r="B941" s="172"/>
      <c r="C941" s="172"/>
      <c r="D941" s="172"/>
      <c r="E941" s="172"/>
    </row>
    <row r="942">
      <c r="A942" s="172"/>
      <c r="B942" s="172"/>
      <c r="C942" s="172"/>
      <c r="D942" s="172"/>
      <c r="E942" s="172"/>
    </row>
    <row r="943">
      <c r="A943" s="172"/>
      <c r="B943" s="172"/>
      <c r="C943" s="172"/>
      <c r="D943" s="172"/>
      <c r="E943" s="172"/>
    </row>
    <row r="944">
      <c r="A944" s="172"/>
      <c r="B944" s="172"/>
      <c r="C944" s="172"/>
      <c r="D944" s="172"/>
      <c r="E944" s="172"/>
    </row>
    <row r="945">
      <c r="A945" s="172"/>
      <c r="B945" s="172"/>
      <c r="C945" s="172"/>
      <c r="D945" s="172"/>
      <c r="E945" s="172"/>
    </row>
    <row r="946">
      <c r="A946" s="172"/>
      <c r="B946" s="172"/>
      <c r="C946" s="172"/>
      <c r="D946" s="172"/>
      <c r="E946" s="172"/>
    </row>
    <row r="947">
      <c r="A947" s="172"/>
      <c r="B947" s="172"/>
      <c r="C947" s="172"/>
      <c r="D947" s="172"/>
      <c r="E947" s="172"/>
    </row>
    <row r="948">
      <c r="A948" s="172"/>
      <c r="B948" s="172"/>
      <c r="C948" s="172"/>
      <c r="D948" s="172"/>
      <c r="E948" s="172"/>
    </row>
    <row r="949">
      <c r="A949" s="172"/>
      <c r="B949" s="172"/>
      <c r="C949" s="172"/>
      <c r="D949" s="172"/>
      <c r="E949" s="172"/>
    </row>
    <row r="950">
      <c r="A950" s="172"/>
      <c r="B950" s="172"/>
      <c r="C950" s="172"/>
      <c r="D950" s="172"/>
      <c r="E950" s="172"/>
    </row>
    <row r="951">
      <c r="A951" s="172"/>
      <c r="B951" s="172"/>
      <c r="C951" s="172"/>
      <c r="D951" s="172"/>
      <c r="E951" s="172"/>
    </row>
    <row r="952">
      <c r="A952" s="172"/>
      <c r="B952" s="172"/>
      <c r="C952" s="172"/>
      <c r="D952" s="172"/>
      <c r="E952" s="172"/>
    </row>
    <row r="953">
      <c r="A953" s="172"/>
      <c r="B953" s="172"/>
      <c r="C953" s="172"/>
      <c r="D953" s="172"/>
      <c r="E953" s="172"/>
    </row>
    <row r="954">
      <c r="A954" s="172"/>
      <c r="B954" s="172"/>
      <c r="C954" s="172"/>
      <c r="D954" s="172"/>
      <c r="E954" s="172"/>
    </row>
    <row r="955">
      <c r="A955" s="172"/>
      <c r="B955" s="172"/>
      <c r="C955" s="172"/>
      <c r="D955" s="172"/>
      <c r="E955" s="172"/>
    </row>
    <row r="956">
      <c r="A956" s="172"/>
      <c r="B956" s="172"/>
      <c r="C956" s="172"/>
      <c r="D956" s="172"/>
      <c r="E956" s="172"/>
    </row>
    <row r="957">
      <c r="A957" s="172"/>
      <c r="B957" s="172"/>
      <c r="C957" s="172"/>
      <c r="D957" s="172"/>
      <c r="E957" s="172"/>
    </row>
    <row r="958">
      <c r="A958" s="172"/>
      <c r="B958" s="172"/>
      <c r="C958" s="172"/>
      <c r="D958" s="172"/>
      <c r="E958" s="172"/>
    </row>
    <row r="959">
      <c r="A959" s="172"/>
      <c r="B959" s="172"/>
      <c r="C959" s="172"/>
      <c r="D959" s="172"/>
      <c r="E959" s="172"/>
    </row>
    <row r="960">
      <c r="A960" s="172"/>
      <c r="B960" s="172"/>
      <c r="C960" s="172"/>
      <c r="D960" s="172"/>
      <c r="E960" s="172"/>
    </row>
    <row r="961">
      <c r="A961" s="172"/>
      <c r="B961" s="172"/>
      <c r="C961" s="172"/>
      <c r="D961" s="172"/>
      <c r="E961" s="172"/>
    </row>
    <row r="962">
      <c r="A962" s="172"/>
      <c r="B962" s="172"/>
      <c r="C962" s="172"/>
      <c r="D962" s="172"/>
      <c r="E962" s="172"/>
    </row>
    <row r="963">
      <c r="A963" s="172"/>
      <c r="B963" s="172"/>
      <c r="C963" s="172"/>
      <c r="D963" s="172"/>
      <c r="E963" s="172"/>
    </row>
    <row r="964">
      <c r="A964" s="172"/>
      <c r="B964" s="172"/>
      <c r="C964" s="172"/>
      <c r="D964" s="172"/>
      <c r="E964" s="172"/>
    </row>
    <row r="965">
      <c r="A965" s="172"/>
      <c r="B965" s="172"/>
      <c r="C965" s="172"/>
      <c r="D965" s="172"/>
      <c r="E965" s="172"/>
    </row>
    <row r="966">
      <c r="A966" s="172"/>
      <c r="B966" s="172"/>
      <c r="C966" s="172"/>
      <c r="D966" s="172"/>
      <c r="E966" s="172"/>
    </row>
    <row r="967">
      <c r="A967" s="172"/>
      <c r="B967" s="172"/>
      <c r="C967" s="172"/>
      <c r="D967" s="172"/>
      <c r="E967" s="172"/>
    </row>
    <row r="968">
      <c r="A968" s="172"/>
      <c r="B968" s="172"/>
      <c r="C968" s="172"/>
      <c r="D968" s="172"/>
      <c r="E968" s="172"/>
    </row>
    <row r="969">
      <c r="A969" s="172"/>
      <c r="B969" s="172"/>
      <c r="C969" s="172"/>
      <c r="D969" s="172"/>
      <c r="E969" s="172"/>
    </row>
    <row r="970">
      <c r="A970" s="172"/>
      <c r="B970" s="172"/>
      <c r="C970" s="172"/>
      <c r="D970" s="172"/>
      <c r="E970" s="172"/>
    </row>
    <row r="971">
      <c r="A971" s="172"/>
      <c r="B971" s="172"/>
      <c r="C971" s="172"/>
      <c r="D971" s="172"/>
      <c r="E971" s="172"/>
    </row>
    <row r="972">
      <c r="A972" s="172"/>
      <c r="B972" s="172"/>
      <c r="C972" s="172"/>
      <c r="D972" s="172"/>
      <c r="E972" s="172"/>
    </row>
    <row r="973">
      <c r="A973" s="172"/>
      <c r="B973" s="172"/>
      <c r="C973" s="172"/>
      <c r="D973" s="172"/>
      <c r="E973" s="172"/>
    </row>
    <row r="974">
      <c r="A974" s="172"/>
      <c r="B974" s="172"/>
      <c r="C974" s="172"/>
      <c r="D974" s="172"/>
      <c r="E974" s="172"/>
    </row>
    <row r="975">
      <c r="A975" s="172"/>
      <c r="B975" s="172"/>
      <c r="C975" s="172"/>
      <c r="D975" s="172"/>
      <c r="E975" s="172"/>
    </row>
    <row r="976">
      <c r="A976" s="172"/>
      <c r="B976" s="172"/>
      <c r="C976" s="172"/>
      <c r="D976" s="172"/>
      <c r="E976" s="172"/>
    </row>
    <row r="977">
      <c r="A977" s="172"/>
      <c r="B977" s="172"/>
      <c r="C977" s="172"/>
      <c r="D977" s="172"/>
      <c r="E977" s="172"/>
    </row>
    <row r="978">
      <c r="A978" s="172"/>
      <c r="B978" s="172"/>
      <c r="C978" s="172"/>
      <c r="D978" s="172"/>
      <c r="E978" s="172"/>
    </row>
    <row r="979">
      <c r="A979" s="172"/>
      <c r="B979" s="172"/>
      <c r="C979" s="172"/>
      <c r="D979" s="172"/>
      <c r="E979" s="172"/>
    </row>
    <row r="980">
      <c r="A980" s="172"/>
      <c r="B980" s="172"/>
      <c r="C980" s="172"/>
      <c r="D980" s="172"/>
      <c r="E980" s="172"/>
    </row>
    <row r="981">
      <c r="A981" s="172"/>
      <c r="B981" s="172"/>
      <c r="C981" s="172"/>
      <c r="D981" s="172"/>
      <c r="E981" s="172"/>
    </row>
    <row r="982">
      <c r="A982" s="172"/>
      <c r="B982" s="172"/>
      <c r="C982" s="172"/>
      <c r="D982" s="172"/>
      <c r="E982" s="172"/>
    </row>
    <row r="983">
      <c r="A983" s="172"/>
      <c r="B983" s="172"/>
      <c r="C983" s="172"/>
      <c r="D983" s="172"/>
      <c r="E983" s="172"/>
    </row>
    <row r="984">
      <c r="A984" s="172"/>
      <c r="B984" s="172"/>
      <c r="C984" s="172"/>
      <c r="D984" s="172"/>
      <c r="E984" s="172"/>
    </row>
    <row r="985">
      <c r="A985" s="172"/>
      <c r="B985" s="172"/>
      <c r="C985" s="172"/>
      <c r="D985" s="172"/>
      <c r="E985" s="172"/>
    </row>
    <row r="986">
      <c r="A986" s="172"/>
      <c r="B986" s="172"/>
      <c r="C986" s="172"/>
      <c r="D986" s="172"/>
      <c r="E986" s="172"/>
    </row>
    <row r="987">
      <c r="A987" s="172"/>
      <c r="B987" s="172"/>
      <c r="C987" s="172"/>
      <c r="D987" s="172"/>
      <c r="E987" s="172"/>
    </row>
    <row r="988">
      <c r="A988" s="172"/>
      <c r="B988" s="172"/>
      <c r="C988" s="172"/>
      <c r="D988" s="172"/>
      <c r="E988" s="172"/>
    </row>
    <row r="989">
      <c r="A989" s="172"/>
      <c r="B989" s="172"/>
      <c r="C989" s="172"/>
      <c r="D989" s="172"/>
      <c r="E989" s="172"/>
    </row>
    <row r="990">
      <c r="A990" s="172"/>
      <c r="B990" s="172"/>
      <c r="C990" s="172"/>
      <c r="D990" s="172"/>
      <c r="E990" s="172"/>
    </row>
    <row r="991">
      <c r="A991" s="172"/>
      <c r="B991" s="172"/>
      <c r="C991" s="172"/>
      <c r="D991" s="172"/>
      <c r="E991" s="172"/>
    </row>
    <row r="992">
      <c r="A992" s="172"/>
      <c r="B992" s="172"/>
      <c r="C992" s="172"/>
      <c r="D992" s="172"/>
      <c r="E992" s="172"/>
    </row>
    <row r="993">
      <c r="A993" s="172"/>
      <c r="B993" s="172"/>
      <c r="C993" s="172"/>
      <c r="D993" s="172"/>
      <c r="E993" s="172"/>
    </row>
    <row r="994">
      <c r="A994" s="172"/>
      <c r="B994" s="172"/>
      <c r="C994" s="172"/>
      <c r="D994" s="172"/>
      <c r="E994" s="172"/>
    </row>
    <row r="995">
      <c r="A995" s="172"/>
      <c r="B995" s="172"/>
      <c r="C995" s="172"/>
      <c r="D995" s="172"/>
      <c r="E995" s="172"/>
    </row>
    <row r="996">
      <c r="A996" s="172"/>
      <c r="B996" s="172"/>
      <c r="C996" s="172"/>
      <c r="D996" s="172"/>
      <c r="E996" s="172"/>
    </row>
    <row r="997">
      <c r="A997" s="172"/>
      <c r="B997" s="172"/>
      <c r="C997" s="172"/>
      <c r="D997" s="172"/>
      <c r="E997" s="172"/>
    </row>
    <row r="998">
      <c r="A998" s="172"/>
      <c r="B998" s="172"/>
      <c r="C998" s="172"/>
      <c r="D998" s="172"/>
      <c r="E998" s="172"/>
    </row>
    <row r="999">
      <c r="A999" s="172"/>
      <c r="B999" s="172"/>
      <c r="C999" s="172"/>
      <c r="D999" s="172"/>
      <c r="E999" s="172"/>
    </row>
    <row r="1000">
      <c r="A1000" s="172"/>
      <c r="B1000" s="172"/>
      <c r="C1000" s="172"/>
      <c r="D1000" s="172"/>
      <c r="E1000" s="17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min="3" max="14" width="10.13"/>
    <col customWidth="1" min="15" max="15" width="2.63"/>
    <col customWidth="1" min="16" max="16" width="10.13"/>
  </cols>
  <sheetData>
    <row r="1">
      <c r="A1" s="432"/>
      <c r="B1" s="433"/>
      <c r="C1" s="433">
        <v>45658.0</v>
      </c>
      <c r="D1" s="433">
        <v>45689.0</v>
      </c>
      <c r="E1" s="433">
        <v>45717.0</v>
      </c>
      <c r="F1" s="433">
        <v>45748.0</v>
      </c>
      <c r="G1" s="433">
        <v>45778.0</v>
      </c>
      <c r="H1" s="433">
        <v>45809.0</v>
      </c>
      <c r="I1" s="433">
        <v>45839.0</v>
      </c>
      <c r="J1" s="433">
        <v>45870.0</v>
      </c>
      <c r="K1" s="433">
        <v>45901.0</v>
      </c>
      <c r="L1" s="433">
        <v>45931.0</v>
      </c>
      <c r="M1" s="433">
        <v>45962.0</v>
      </c>
      <c r="N1" s="433">
        <v>45992.0</v>
      </c>
      <c r="O1" s="434">
        <v>46023.0</v>
      </c>
      <c r="P1" s="435" t="s">
        <v>1453</v>
      </c>
      <c r="Q1" s="436"/>
      <c r="R1" s="436"/>
      <c r="S1" s="436"/>
      <c r="T1" s="436"/>
      <c r="U1" s="436"/>
      <c r="V1" s="436"/>
      <c r="W1" s="436"/>
      <c r="X1" s="436"/>
      <c r="Y1" s="436"/>
      <c r="Z1" s="436"/>
      <c r="AA1" s="436"/>
    </row>
    <row r="2">
      <c r="A2" s="437" t="s">
        <v>2116</v>
      </c>
      <c r="B2" s="438"/>
      <c r="C2" s="439">
        <f t="shared" ref="C2:N2" si="1">(DAYS(D1,C1))</f>
        <v>31</v>
      </c>
      <c r="D2" s="439">
        <f t="shared" si="1"/>
        <v>28</v>
      </c>
      <c r="E2" s="439">
        <f t="shared" si="1"/>
        <v>31</v>
      </c>
      <c r="F2" s="439">
        <f t="shared" si="1"/>
        <v>30</v>
      </c>
      <c r="G2" s="439">
        <f t="shared" si="1"/>
        <v>31</v>
      </c>
      <c r="H2" s="439">
        <f t="shared" si="1"/>
        <v>30</v>
      </c>
      <c r="I2" s="439">
        <f t="shared" si="1"/>
        <v>31</v>
      </c>
      <c r="J2" s="439">
        <f t="shared" si="1"/>
        <v>31</v>
      </c>
      <c r="K2" s="439">
        <f t="shared" si="1"/>
        <v>30</v>
      </c>
      <c r="L2" s="439">
        <f t="shared" si="1"/>
        <v>31</v>
      </c>
      <c r="M2" s="439">
        <f t="shared" si="1"/>
        <v>30</v>
      </c>
      <c r="N2" s="439">
        <f t="shared" si="1"/>
        <v>31</v>
      </c>
      <c r="O2" s="440"/>
      <c r="P2" s="441"/>
      <c r="Q2" s="440"/>
      <c r="R2" s="440"/>
      <c r="S2" s="440"/>
      <c r="T2" s="440"/>
      <c r="U2" s="440"/>
      <c r="V2" s="440"/>
      <c r="W2" s="440"/>
      <c r="X2" s="440"/>
      <c r="Y2" s="440"/>
      <c r="Z2" s="440"/>
      <c r="AA2" s="440"/>
    </row>
    <row r="3">
      <c r="A3" s="442" t="s">
        <v>2117</v>
      </c>
      <c r="B3" s="440"/>
      <c r="C3" s="440"/>
      <c r="D3" s="440"/>
      <c r="E3" s="440"/>
      <c r="F3" s="440"/>
      <c r="G3" s="440"/>
      <c r="H3" s="440"/>
      <c r="I3" s="440"/>
      <c r="J3" s="440"/>
      <c r="K3" s="440"/>
      <c r="L3" s="440"/>
      <c r="M3" s="440"/>
      <c r="N3" s="440"/>
      <c r="O3" s="440"/>
      <c r="P3" s="441"/>
      <c r="Q3" s="440"/>
      <c r="R3" s="440"/>
      <c r="S3" s="440"/>
      <c r="T3" s="440"/>
      <c r="U3" s="440"/>
      <c r="V3" s="440"/>
      <c r="W3" s="440"/>
      <c r="X3" s="440"/>
      <c r="Y3" s="440"/>
      <c r="Z3" s="440"/>
      <c r="AA3" s="440"/>
    </row>
    <row r="4">
      <c r="A4" s="443" t="s">
        <v>2118</v>
      </c>
      <c r="B4" s="179"/>
      <c r="C4" s="179"/>
      <c r="D4" s="179"/>
      <c r="E4" s="179"/>
      <c r="F4" s="179"/>
      <c r="G4" s="179"/>
      <c r="H4" s="179"/>
      <c r="I4" s="179"/>
      <c r="J4" s="179"/>
      <c r="K4" s="179"/>
      <c r="L4" s="179"/>
      <c r="M4" s="179"/>
      <c r="N4" s="179"/>
      <c r="O4" s="179"/>
      <c r="P4" s="176"/>
      <c r="Q4" s="179"/>
      <c r="R4" s="179"/>
      <c r="S4" s="179"/>
      <c r="T4" s="179"/>
      <c r="U4" s="179"/>
      <c r="V4" s="179"/>
      <c r="W4" s="179"/>
      <c r="X4" s="179"/>
      <c r="Y4" s="179"/>
      <c r="Z4" s="179"/>
      <c r="AA4" s="179"/>
    </row>
    <row r="5">
      <c r="A5" s="1" t="s">
        <v>2119</v>
      </c>
      <c r="B5" s="1" t="s">
        <v>1826</v>
      </c>
      <c r="C5" s="382">
        <f t="shared" ref="C5:N5" si="2">40000000/12</f>
        <v>3333333.333</v>
      </c>
      <c r="D5" s="382">
        <f t="shared" si="2"/>
        <v>3333333.333</v>
      </c>
      <c r="E5" s="382">
        <f t="shared" si="2"/>
        <v>3333333.333</v>
      </c>
      <c r="F5" s="382">
        <f t="shared" si="2"/>
        <v>3333333.333</v>
      </c>
      <c r="G5" s="382">
        <f t="shared" si="2"/>
        <v>3333333.333</v>
      </c>
      <c r="H5" s="382">
        <f t="shared" si="2"/>
        <v>3333333.333</v>
      </c>
      <c r="I5" s="382">
        <f t="shared" si="2"/>
        <v>3333333.333</v>
      </c>
      <c r="J5" s="382">
        <f t="shared" si="2"/>
        <v>3333333.333</v>
      </c>
      <c r="K5" s="382">
        <f t="shared" si="2"/>
        <v>3333333.333</v>
      </c>
      <c r="L5" s="382">
        <f t="shared" si="2"/>
        <v>3333333.333</v>
      </c>
      <c r="M5" s="382">
        <f t="shared" si="2"/>
        <v>3333333.333</v>
      </c>
      <c r="N5" s="382">
        <f t="shared" si="2"/>
        <v>3333333.333</v>
      </c>
      <c r="P5" s="176"/>
    </row>
    <row r="6">
      <c r="A6" s="1" t="s">
        <v>2119</v>
      </c>
      <c r="B6" s="1" t="s">
        <v>2120</v>
      </c>
      <c r="C6" s="382">
        <f>C5*Constants!$B$22</f>
        <v>4066666.667</v>
      </c>
      <c r="D6" s="382">
        <f>D5*Constants!$B$22</f>
        <v>4066666.667</v>
      </c>
      <c r="E6" s="382">
        <f>E5*Constants!$B$22</f>
        <v>4066666.667</v>
      </c>
      <c r="F6" s="382">
        <f>F5*Constants!$B$22</f>
        <v>4066666.667</v>
      </c>
      <c r="G6" s="382">
        <f>G5*Constants!$B$22</f>
        <v>4066666.667</v>
      </c>
      <c r="H6" s="382">
        <f>H5*Constants!$B$22</f>
        <v>4066666.667</v>
      </c>
      <c r="I6" s="382">
        <f>I5*Constants!$B$22</f>
        <v>4066666.667</v>
      </c>
      <c r="J6" s="382">
        <f>J5*Constants!$B$22</f>
        <v>4066666.667</v>
      </c>
      <c r="K6" s="382">
        <f>K5*Constants!$B$22</f>
        <v>4066666.667</v>
      </c>
      <c r="L6" s="382">
        <f>L5*Constants!$B$22</f>
        <v>4066666.667</v>
      </c>
      <c r="M6" s="382">
        <f>M5*Constants!$B$22</f>
        <v>4066666.667</v>
      </c>
      <c r="N6" s="382">
        <f>N5*Constants!$B$22</f>
        <v>4066666.667</v>
      </c>
      <c r="P6" s="176"/>
    </row>
    <row r="7">
      <c r="A7" s="1" t="s">
        <v>2121</v>
      </c>
      <c r="B7" s="1" t="s">
        <v>2122</v>
      </c>
      <c r="C7" s="1">
        <v>0.8</v>
      </c>
      <c r="D7" s="1">
        <v>0.8</v>
      </c>
      <c r="E7" s="1">
        <v>0.8</v>
      </c>
      <c r="F7" s="1">
        <v>0.82</v>
      </c>
      <c r="G7" s="1">
        <v>0.82</v>
      </c>
      <c r="H7" s="1">
        <v>0.82</v>
      </c>
      <c r="I7" s="1">
        <v>0.82</v>
      </c>
      <c r="J7" s="1">
        <v>0.82</v>
      </c>
      <c r="K7" s="1">
        <v>0.82</v>
      </c>
      <c r="L7" s="1">
        <v>0.85</v>
      </c>
      <c r="M7" s="1">
        <v>0.85</v>
      </c>
      <c r="N7" s="1">
        <v>0.85</v>
      </c>
      <c r="P7" s="176"/>
    </row>
    <row r="8">
      <c r="A8" s="1" t="s">
        <v>2123</v>
      </c>
      <c r="B8" s="444" t="s">
        <v>2122</v>
      </c>
      <c r="C8" s="444">
        <v>0.5</v>
      </c>
      <c r="D8" s="444">
        <v>0.5</v>
      </c>
      <c r="E8" s="444">
        <v>0.5</v>
      </c>
      <c r="F8" s="444">
        <v>0.5</v>
      </c>
      <c r="G8" s="444">
        <v>0.5</v>
      </c>
      <c r="H8" s="444">
        <v>0.5</v>
      </c>
      <c r="I8" s="444">
        <v>0.5</v>
      </c>
      <c r="J8" s="444">
        <v>0.5</v>
      </c>
      <c r="K8" s="444">
        <v>0.5</v>
      </c>
      <c r="L8" s="444">
        <v>0.5</v>
      </c>
      <c r="M8" s="444">
        <v>0.5</v>
      </c>
      <c r="N8" s="444">
        <v>0.5</v>
      </c>
      <c r="P8" s="176"/>
    </row>
    <row r="9">
      <c r="A9" s="1" t="s">
        <v>2124</v>
      </c>
      <c r="B9" s="1" t="s">
        <v>2088</v>
      </c>
      <c r="C9" s="382">
        <f t="shared" ref="C9:N9" si="3">(C6*C7*(1-C8))/1000</f>
        <v>1626.666667</v>
      </c>
      <c r="D9" s="382">
        <f t="shared" si="3"/>
        <v>1626.666667</v>
      </c>
      <c r="E9" s="382">
        <f t="shared" si="3"/>
        <v>1626.666667</v>
      </c>
      <c r="F9" s="382">
        <f t="shared" si="3"/>
        <v>1667.333333</v>
      </c>
      <c r="G9" s="382">
        <f t="shared" si="3"/>
        <v>1667.333333</v>
      </c>
      <c r="H9" s="382">
        <f t="shared" si="3"/>
        <v>1667.333333</v>
      </c>
      <c r="I9" s="382">
        <f t="shared" si="3"/>
        <v>1667.333333</v>
      </c>
      <c r="J9" s="382">
        <f t="shared" si="3"/>
        <v>1667.333333</v>
      </c>
      <c r="K9" s="382">
        <f t="shared" si="3"/>
        <v>1667.333333</v>
      </c>
      <c r="L9" s="382">
        <f t="shared" si="3"/>
        <v>1728.333333</v>
      </c>
      <c r="M9" s="382">
        <f t="shared" si="3"/>
        <v>1728.333333</v>
      </c>
      <c r="N9" s="382">
        <f t="shared" si="3"/>
        <v>1728.333333</v>
      </c>
      <c r="P9" s="445">
        <f>SUM(C9:N9)</f>
        <v>20069</v>
      </c>
      <c r="Q9" s="381"/>
    </row>
    <row r="10">
      <c r="P10" s="176"/>
    </row>
    <row r="11">
      <c r="A11" s="443" t="s">
        <v>2125</v>
      </c>
      <c r="B11" s="179"/>
      <c r="C11" s="179"/>
      <c r="D11" s="179"/>
      <c r="E11" s="179"/>
      <c r="F11" s="179"/>
      <c r="G11" s="179"/>
      <c r="H11" s="179"/>
      <c r="I11" s="179"/>
      <c r="J11" s="179"/>
      <c r="K11" s="179"/>
      <c r="L11" s="179"/>
      <c r="M11" s="179"/>
      <c r="N11" s="179"/>
      <c r="O11" s="179"/>
      <c r="P11" s="176"/>
      <c r="Q11" s="179"/>
      <c r="R11" s="179"/>
      <c r="S11" s="179"/>
      <c r="T11" s="179"/>
      <c r="U11" s="179"/>
      <c r="V11" s="179"/>
      <c r="W11" s="179"/>
      <c r="X11" s="179"/>
      <c r="Y11" s="179"/>
      <c r="Z11" s="179"/>
      <c r="AA11" s="179"/>
    </row>
    <row r="12">
      <c r="A12" s="1" t="s">
        <v>2119</v>
      </c>
      <c r="B12" s="1" t="s">
        <v>2120</v>
      </c>
      <c r="C12" s="382">
        <f>(1500000*Constants!$B$23)/12</f>
        <v>1272612.5</v>
      </c>
      <c r="D12" s="382">
        <f>(1500000*Constants!$B$23)/12</f>
        <v>1272612.5</v>
      </c>
      <c r="E12" s="382">
        <f>(1500000*Constants!$B$23)/12</f>
        <v>1272612.5</v>
      </c>
      <c r="F12" s="382">
        <f>(1500000*Constants!$B$23)/12</f>
        <v>1272612.5</v>
      </c>
      <c r="G12" s="382">
        <f>(1500000*Constants!$B$23)/12</f>
        <v>1272612.5</v>
      </c>
      <c r="H12" s="382">
        <f>(1500000*Constants!$B$23)/12</f>
        <v>1272612.5</v>
      </c>
      <c r="I12" s="382">
        <f>(1500000*Constants!$B$23)/12</f>
        <v>1272612.5</v>
      </c>
      <c r="J12" s="382">
        <f>(1500000*Constants!$B$23)/12</f>
        <v>1272612.5</v>
      </c>
      <c r="K12" s="382">
        <f>(1500000*Constants!$B$23)/12</f>
        <v>1272612.5</v>
      </c>
      <c r="L12" s="382">
        <f>(1500000*Constants!$B$23)/12</f>
        <v>1272612.5</v>
      </c>
      <c r="M12" s="382">
        <f>(1500000*Constants!$B$23)/12</f>
        <v>1272612.5</v>
      </c>
      <c r="N12" s="382">
        <f>(1500000*Constants!$B$23)/12</f>
        <v>1272612.5</v>
      </c>
      <c r="P12" s="176"/>
    </row>
    <row r="13">
      <c r="A13" s="1" t="s">
        <v>2126</v>
      </c>
      <c r="B13" s="446" t="s">
        <v>2122</v>
      </c>
      <c r="C13" s="444">
        <v>1.0</v>
      </c>
      <c r="D13" s="444">
        <v>1.0</v>
      </c>
      <c r="E13" s="444">
        <v>1.0</v>
      </c>
      <c r="F13" s="444">
        <v>1.0</v>
      </c>
      <c r="G13" s="444">
        <v>1.0</v>
      </c>
      <c r="H13" s="444">
        <v>1.0</v>
      </c>
      <c r="I13" s="444">
        <v>1.0</v>
      </c>
      <c r="J13" s="444">
        <v>1.0</v>
      </c>
      <c r="K13" s="444">
        <v>1.0</v>
      </c>
      <c r="L13" s="444">
        <v>1.0</v>
      </c>
      <c r="M13" s="444">
        <v>1.0</v>
      </c>
      <c r="N13" s="444">
        <v>1.0</v>
      </c>
      <c r="P13" s="176"/>
    </row>
    <row r="14">
      <c r="A14" s="1" t="s">
        <v>2124</v>
      </c>
      <c r="B14" s="1" t="s">
        <v>2088</v>
      </c>
      <c r="C14" s="382">
        <f t="shared" ref="C14:N14" si="4">(C12*C13)/1000</f>
        <v>1272.6125</v>
      </c>
      <c r="D14" s="382">
        <f t="shared" si="4"/>
        <v>1272.6125</v>
      </c>
      <c r="E14" s="382">
        <f t="shared" si="4"/>
        <v>1272.6125</v>
      </c>
      <c r="F14" s="382">
        <f t="shared" si="4"/>
        <v>1272.6125</v>
      </c>
      <c r="G14" s="382">
        <f t="shared" si="4"/>
        <v>1272.6125</v>
      </c>
      <c r="H14" s="382">
        <f t="shared" si="4"/>
        <v>1272.6125</v>
      </c>
      <c r="I14" s="382">
        <f t="shared" si="4"/>
        <v>1272.6125</v>
      </c>
      <c r="J14" s="382">
        <f t="shared" si="4"/>
        <v>1272.6125</v>
      </c>
      <c r="K14" s="382">
        <f t="shared" si="4"/>
        <v>1272.6125</v>
      </c>
      <c r="L14" s="382">
        <f t="shared" si="4"/>
        <v>1272.6125</v>
      </c>
      <c r="M14" s="382">
        <f t="shared" si="4"/>
        <v>1272.6125</v>
      </c>
      <c r="N14" s="382">
        <f t="shared" si="4"/>
        <v>1272.6125</v>
      </c>
      <c r="P14" s="445">
        <f>SUM(C14:N14)</f>
        <v>15271.35</v>
      </c>
    </row>
    <row r="15">
      <c r="A15" s="1"/>
      <c r="P15" s="176"/>
    </row>
    <row r="16">
      <c r="A16" s="443" t="s">
        <v>2127</v>
      </c>
      <c r="B16" s="443" t="s">
        <v>2088</v>
      </c>
      <c r="C16" s="447">
        <f t="shared" ref="C16:N16" si="5">SUM(C14,C9)</f>
        <v>2899.279167</v>
      </c>
      <c r="D16" s="447">
        <f t="shared" si="5"/>
        <v>2899.279167</v>
      </c>
      <c r="E16" s="447">
        <f t="shared" si="5"/>
        <v>2899.279167</v>
      </c>
      <c r="F16" s="447">
        <f t="shared" si="5"/>
        <v>2939.945833</v>
      </c>
      <c r="G16" s="447">
        <f t="shared" si="5"/>
        <v>2939.945833</v>
      </c>
      <c r="H16" s="447">
        <f t="shared" si="5"/>
        <v>2939.945833</v>
      </c>
      <c r="I16" s="447">
        <f t="shared" si="5"/>
        <v>2939.945833</v>
      </c>
      <c r="J16" s="447">
        <f t="shared" si="5"/>
        <v>2939.945833</v>
      </c>
      <c r="K16" s="447">
        <f t="shared" si="5"/>
        <v>2939.945833</v>
      </c>
      <c r="L16" s="447">
        <f t="shared" si="5"/>
        <v>3000.945833</v>
      </c>
      <c r="M16" s="447">
        <f t="shared" si="5"/>
        <v>3000.945833</v>
      </c>
      <c r="N16" s="447">
        <f t="shared" si="5"/>
        <v>3000.945833</v>
      </c>
      <c r="O16" s="448"/>
      <c r="P16" s="449">
        <f>SUM(C16:N16)</f>
        <v>35340.35</v>
      </c>
      <c r="Q16" s="448"/>
      <c r="R16" s="448"/>
      <c r="S16" s="448"/>
      <c r="T16" s="448"/>
      <c r="U16" s="448"/>
      <c r="V16" s="448"/>
      <c r="W16" s="448"/>
      <c r="X16" s="448"/>
      <c r="Y16" s="448"/>
      <c r="Z16" s="448"/>
      <c r="AA16" s="448"/>
    </row>
    <row r="17">
      <c r="A17" s="1"/>
      <c r="P17" s="176"/>
    </row>
    <row r="18">
      <c r="A18" s="442" t="s">
        <v>2128</v>
      </c>
      <c r="B18" s="440"/>
      <c r="C18" s="440"/>
      <c r="D18" s="440"/>
      <c r="E18" s="440"/>
      <c r="F18" s="440"/>
      <c r="G18" s="440"/>
      <c r="H18" s="440"/>
      <c r="I18" s="440"/>
      <c r="J18" s="440"/>
      <c r="K18" s="440"/>
      <c r="L18" s="440"/>
      <c r="M18" s="440"/>
      <c r="N18" s="440"/>
      <c r="O18" s="440"/>
      <c r="P18" s="441"/>
      <c r="Q18" s="440"/>
      <c r="R18" s="440"/>
      <c r="S18" s="440"/>
      <c r="T18" s="440"/>
      <c r="U18" s="440"/>
      <c r="V18" s="440"/>
      <c r="W18" s="440"/>
      <c r="X18" s="440"/>
      <c r="Y18" s="440"/>
      <c r="Z18" s="440"/>
      <c r="AA18" s="440"/>
    </row>
    <row r="19">
      <c r="A19" s="443" t="s">
        <v>2129</v>
      </c>
      <c r="B19" s="179"/>
      <c r="C19" s="179"/>
      <c r="D19" s="179"/>
      <c r="E19" s="179"/>
      <c r="F19" s="179"/>
      <c r="G19" s="179"/>
      <c r="H19" s="179"/>
      <c r="I19" s="179"/>
      <c r="J19" s="179"/>
      <c r="K19" s="179"/>
      <c r="L19" s="179"/>
      <c r="M19" s="179"/>
      <c r="N19" s="179"/>
      <c r="O19" s="179"/>
      <c r="P19" s="176"/>
      <c r="Q19" s="179"/>
      <c r="R19" s="179"/>
      <c r="S19" s="179"/>
      <c r="T19" s="179"/>
      <c r="U19" s="179"/>
      <c r="V19" s="179"/>
      <c r="W19" s="179"/>
      <c r="X19" s="179"/>
      <c r="Y19" s="179"/>
      <c r="Z19" s="179"/>
      <c r="AA19" s="179"/>
    </row>
    <row r="20">
      <c r="A20" s="1" t="s">
        <v>2130</v>
      </c>
      <c r="B20" s="1" t="s">
        <v>2077</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176"/>
    </row>
    <row r="21">
      <c r="A21" s="1" t="s">
        <v>2119</v>
      </c>
      <c r="B21" s="379" t="s">
        <v>2088</v>
      </c>
      <c r="C21" s="382">
        <f>C20*Constants!$B$2</f>
        <v>1746.031746</v>
      </c>
      <c r="D21" s="382">
        <f>D20*Constants!$B$2</f>
        <v>1746.031746</v>
      </c>
      <c r="E21" s="382">
        <f>E20*Constants!$B$2</f>
        <v>1746.031746</v>
      </c>
      <c r="F21" s="382">
        <f>F20*Constants!$B$2</f>
        <v>2539.68254</v>
      </c>
      <c r="G21" s="382">
        <f>G20*Constants!$B$2</f>
        <v>2539.68254</v>
      </c>
      <c r="H21" s="382">
        <f>H20*Constants!$B$2</f>
        <v>2539.68254</v>
      </c>
      <c r="I21" s="382">
        <f>I20*Constants!$B$2</f>
        <v>3333.333333</v>
      </c>
      <c r="J21" s="382">
        <f>J20*Constants!$B$2</f>
        <v>3333.333333</v>
      </c>
      <c r="K21" s="382">
        <f>K20*Constants!$B$2</f>
        <v>3333.333333</v>
      </c>
      <c r="L21" s="382">
        <f>L20*Constants!$B$2</f>
        <v>4126.984127</v>
      </c>
      <c r="M21" s="382">
        <f>M20*Constants!$B$2</f>
        <v>4126.984127</v>
      </c>
      <c r="N21" s="382">
        <f>N20*Constants!$B$2</f>
        <v>4126.984127</v>
      </c>
      <c r="P21" s="445">
        <f>SUM(C21:N21)</f>
        <v>35238.09524</v>
      </c>
    </row>
    <row r="22">
      <c r="P22" s="176"/>
    </row>
    <row r="23">
      <c r="A23" s="443" t="s">
        <v>2131</v>
      </c>
      <c r="B23" s="179"/>
      <c r="C23" s="179"/>
      <c r="D23" s="179"/>
      <c r="E23" s="179"/>
      <c r="F23" s="179"/>
      <c r="G23" s="179"/>
      <c r="H23" s="179"/>
      <c r="I23" s="179"/>
      <c r="J23" s="179"/>
      <c r="K23" s="179"/>
      <c r="L23" s="179"/>
      <c r="M23" s="179"/>
      <c r="N23" s="179"/>
      <c r="O23" s="179"/>
      <c r="P23" s="176"/>
      <c r="Q23" s="179"/>
      <c r="R23" s="179"/>
      <c r="S23" s="179"/>
      <c r="T23" s="179"/>
      <c r="U23" s="179"/>
      <c r="V23" s="179"/>
      <c r="W23" s="179"/>
      <c r="X23" s="179"/>
      <c r="Y23" s="179"/>
      <c r="Z23" s="179"/>
      <c r="AA23" s="179"/>
    </row>
    <row r="24">
      <c r="A24" s="1" t="s">
        <v>2132</v>
      </c>
      <c r="B24" s="1" t="s">
        <v>2133</v>
      </c>
      <c r="C24" s="1">
        <v>10.0</v>
      </c>
      <c r="D24" s="1">
        <v>10.0</v>
      </c>
      <c r="E24" s="1">
        <v>10.0</v>
      </c>
      <c r="F24" s="1">
        <v>10.0</v>
      </c>
      <c r="G24" s="1">
        <v>10.0</v>
      </c>
      <c r="H24" s="1">
        <v>10.0</v>
      </c>
      <c r="I24" s="1">
        <v>10.0</v>
      </c>
      <c r="J24" s="1">
        <v>10.0</v>
      </c>
      <c r="K24" s="1">
        <v>10.0</v>
      </c>
      <c r="L24" s="1">
        <v>10.0</v>
      </c>
      <c r="M24" s="1">
        <v>10.0</v>
      </c>
      <c r="N24" s="1">
        <v>10.0</v>
      </c>
      <c r="P24" s="176"/>
    </row>
    <row r="25">
      <c r="A25" s="1" t="s">
        <v>2134</v>
      </c>
      <c r="B25" s="389" t="s">
        <v>2135</v>
      </c>
      <c r="C25" s="307">
        <f t="shared" ref="C25:N25" si="10">8*1.25</f>
        <v>10</v>
      </c>
      <c r="D25" s="307">
        <f t="shared" si="10"/>
        <v>10</v>
      </c>
      <c r="E25" s="307">
        <f t="shared" si="10"/>
        <v>10</v>
      </c>
      <c r="F25" s="307">
        <f t="shared" si="10"/>
        <v>10</v>
      </c>
      <c r="G25" s="307">
        <f t="shared" si="10"/>
        <v>10</v>
      </c>
      <c r="H25" s="307">
        <f t="shared" si="10"/>
        <v>10</v>
      </c>
      <c r="I25" s="307">
        <f t="shared" si="10"/>
        <v>10</v>
      </c>
      <c r="J25" s="307">
        <f t="shared" si="10"/>
        <v>10</v>
      </c>
      <c r="K25" s="307">
        <f t="shared" si="10"/>
        <v>10</v>
      </c>
      <c r="L25" s="307">
        <f t="shared" si="10"/>
        <v>10</v>
      </c>
      <c r="M25" s="307">
        <f t="shared" si="10"/>
        <v>10</v>
      </c>
      <c r="N25" s="307">
        <f t="shared" si="10"/>
        <v>10</v>
      </c>
      <c r="P25" s="176"/>
    </row>
    <row r="26">
      <c r="A26" s="1" t="s">
        <v>2136</v>
      </c>
      <c r="B26" s="379" t="s">
        <v>2077</v>
      </c>
      <c r="C26" s="307">
        <f t="shared" ref="C26:N26" si="11">C2/C25</f>
        <v>3.1</v>
      </c>
      <c r="D26" s="307">
        <f t="shared" si="11"/>
        <v>2.8</v>
      </c>
      <c r="E26" s="307">
        <f t="shared" si="11"/>
        <v>3.1</v>
      </c>
      <c r="F26" s="307">
        <f t="shared" si="11"/>
        <v>3</v>
      </c>
      <c r="G26" s="307">
        <f t="shared" si="11"/>
        <v>3.1</v>
      </c>
      <c r="H26" s="307">
        <f t="shared" si="11"/>
        <v>3</v>
      </c>
      <c r="I26" s="307">
        <f t="shared" si="11"/>
        <v>3.1</v>
      </c>
      <c r="J26" s="307">
        <f t="shared" si="11"/>
        <v>3.1</v>
      </c>
      <c r="K26" s="307">
        <f t="shared" si="11"/>
        <v>3</v>
      </c>
      <c r="L26" s="307">
        <f t="shared" si="11"/>
        <v>3.1</v>
      </c>
      <c r="M26" s="307">
        <f t="shared" si="11"/>
        <v>3</v>
      </c>
      <c r="N26" s="307">
        <f t="shared" si="11"/>
        <v>3.1</v>
      </c>
      <c r="P26" s="176"/>
    </row>
    <row r="27">
      <c r="A27" s="1" t="s">
        <v>2137</v>
      </c>
      <c r="B27" s="379" t="s">
        <v>2077</v>
      </c>
      <c r="C27" s="307">
        <f t="shared" ref="C27:N27" si="12">C24*C26</f>
        <v>31</v>
      </c>
      <c r="D27" s="307">
        <f t="shared" si="12"/>
        <v>28</v>
      </c>
      <c r="E27" s="307">
        <f t="shared" si="12"/>
        <v>31</v>
      </c>
      <c r="F27" s="307">
        <f t="shared" si="12"/>
        <v>30</v>
      </c>
      <c r="G27" s="307">
        <f t="shared" si="12"/>
        <v>31</v>
      </c>
      <c r="H27" s="307">
        <f t="shared" si="12"/>
        <v>30</v>
      </c>
      <c r="I27" s="307">
        <f t="shared" si="12"/>
        <v>31</v>
      </c>
      <c r="J27" s="307">
        <f t="shared" si="12"/>
        <v>31</v>
      </c>
      <c r="K27" s="307">
        <f t="shared" si="12"/>
        <v>30</v>
      </c>
      <c r="L27" s="307">
        <f t="shared" si="12"/>
        <v>31</v>
      </c>
      <c r="M27" s="307">
        <f t="shared" si="12"/>
        <v>30</v>
      </c>
      <c r="N27" s="307">
        <f t="shared" si="12"/>
        <v>31</v>
      </c>
      <c r="P27" s="176"/>
    </row>
    <row r="28">
      <c r="A28" s="1" t="s">
        <v>2119</v>
      </c>
      <c r="B28" s="379" t="s">
        <v>2088</v>
      </c>
      <c r="C28" s="307">
        <f>Constants!$B$4*C27</f>
        <v>620</v>
      </c>
      <c r="D28" s="307">
        <f>Constants!$B$4*D27</f>
        <v>560</v>
      </c>
      <c r="E28" s="307">
        <f>Constants!$B$4*E27</f>
        <v>620</v>
      </c>
      <c r="F28" s="307">
        <f>Constants!$B$4*F27</f>
        <v>600</v>
      </c>
      <c r="G28" s="307">
        <f>Constants!$B$4*G27</f>
        <v>620</v>
      </c>
      <c r="H28" s="307">
        <f>Constants!$B$4*H27</f>
        <v>600</v>
      </c>
      <c r="I28" s="307">
        <f>Constants!$B$4*I27</f>
        <v>620</v>
      </c>
      <c r="J28" s="307">
        <f>Constants!$B$4*J27</f>
        <v>620</v>
      </c>
      <c r="K28" s="307">
        <f>Constants!$B$4*K27</f>
        <v>600</v>
      </c>
      <c r="L28" s="307">
        <f>Constants!$B$4*L27</f>
        <v>620</v>
      </c>
      <c r="M28" s="307">
        <f>Constants!$B$4*M27</f>
        <v>600</v>
      </c>
      <c r="N28" s="307">
        <f>Constants!$B$4*N27</f>
        <v>620</v>
      </c>
      <c r="P28" s="445">
        <f>SUM(C28:N28)</f>
        <v>7300</v>
      </c>
    </row>
    <row r="29">
      <c r="P29" s="176"/>
    </row>
    <row r="30">
      <c r="A30" s="443" t="s">
        <v>2138</v>
      </c>
      <c r="B30" s="450" t="s">
        <v>2088</v>
      </c>
      <c r="C30" s="447">
        <f t="shared" ref="C30:N30" si="13">SUM(C28,C21)</f>
        <v>2366.031746</v>
      </c>
      <c r="D30" s="447">
        <f t="shared" si="13"/>
        <v>2306.031746</v>
      </c>
      <c r="E30" s="447">
        <f t="shared" si="13"/>
        <v>2366.031746</v>
      </c>
      <c r="F30" s="447">
        <f t="shared" si="13"/>
        <v>3139.68254</v>
      </c>
      <c r="G30" s="447">
        <f t="shared" si="13"/>
        <v>3159.68254</v>
      </c>
      <c r="H30" s="447">
        <f t="shared" si="13"/>
        <v>3139.68254</v>
      </c>
      <c r="I30" s="447">
        <f t="shared" si="13"/>
        <v>3953.333333</v>
      </c>
      <c r="J30" s="447">
        <f t="shared" si="13"/>
        <v>3953.333333</v>
      </c>
      <c r="K30" s="447">
        <f t="shared" si="13"/>
        <v>3933.333333</v>
      </c>
      <c r="L30" s="447">
        <f t="shared" si="13"/>
        <v>4746.984127</v>
      </c>
      <c r="M30" s="447">
        <f t="shared" si="13"/>
        <v>4726.984127</v>
      </c>
      <c r="N30" s="447">
        <f t="shared" si="13"/>
        <v>4746.984127</v>
      </c>
      <c r="O30" s="448"/>
      <c r="P30" s="449">
        <f>SUM(C30:N30)</f>
        <v>42538.09524</v>
      </c>
      <c r="Q30" s="448"/>
      <c r="R30" s="448"/>
      <c r="S30" s="448"/>
      <c r="T30" s="448"/>
      <c r="U30" s="448"/>
      <c r="V30" s="448"/>
      <c r="W30" s="448"/>
      <c r="X30" s="448"/>
      <c r="Y30" s="448"/>
      <c r="Z30" s="448"/>
      <c r="AA30" s="448"/>
    </row>
    <row r="31">
      <c r="P31" s="176"/>
    </row>
    <row r="32">
      <c r="A32" s="442" t="s">
        <v>2139</v>
      </c>
      <c r="B32" s="440"/>
      <c r="C32" s="440"/>
      <c r="D32" s="440"/>
      <c r="E32" s="440"/>
      <c r="F32" s="440"/>
      <c r="G32" s="440"/>
      <c r="H32" s="440"/>
      <c r="I32" s="440"/>
      <c r="J32" s="440"/>
      <c r="K32" s="440"/>
      <c r="L32" s="440"/>
      <c r="M32" s="440"/>
      <c r="N32" s="440"/>
      <c r="O32" s="440"/>
      <c r="P32" s="441"/>
      <c r="Q32" s="440"/>
      <c r="R32" s="440"/>
      <c r="S32" s="440"/>
      <c r="T32" s="440"/>
      <c r="U32" s="440"/>
      <c r="V32" s="440"/>
      <c r="W32" s="440"/>
      <c r="X32" s="440"/>
      <c r="Y32" s="440"/>
      <c r="Z32" s="440"/>
      <c r="AA32" s="440"/>
    </row>
    <row r="33">
      <c r="A33" s="1" t="s">
        <v>2140</v>
      </c>
      <c r="B33" s="1" t="s">
        <v>2122</v>
      </c>
      <c r="C33" s="1">
        <v>0.75</v>
      </c>
      <c r="D33" s="1">
        <v>0.75</v>
      </c>
      <c r="E33" s="1">
        <v>0.75</v>
      </c>
      <c r="F33" s="1">
        <v>0.85</v>
      </c>
      <c r="G33" s="1">
        <v>0.85</v>
      </c>
      <c r="H33" s="1">
        <v>0.85</v>
      </c>
      <c r="I33" s="1">
        <v>0.85</v>
      </c>
      <c r="J33" s="1">
        <v>0.85</v>
      </c>
      <c r="K33" s="1">
        <v>0.85</v>
      </c>
      <c r="L33" s="444">
        <v>0.9</v>
      </c>
      <c r="M33" s="444">
        <v>0.9</v>
      </c>
      <c r="N33" s="444">
        <v>0.9</v>
      </c>
      <c r="P33" s="176"/>
    </row>
    <row r="34">
      <c r="A34" s="82"/>
      <c r="P34" s="176"/>
    </row>
    <row r="35">
      <c r="A35" s="443" t="s">
        <v>2141</v>
      </c>
      <c r="B35" s="179"/>
      <c r="C35" s="179"/>
      <c r="D35" s="179"/>
      <c r="E35" s="179"/>
      <c r="F35" s="179"/>
      <c r="G35" s="179"/>
      <c r="H35" s="179"/>
      <c r="I35" s="179"/>
      <c r="J35" s="179"/>
      <c r="K35" s="179"/>
      <c r="L35" s="179"/>
      <c r="M35" s="179"/>
      <c r="N35" s="179"/>
      <c r="O35" s="179"/>
      <c r="P35" s="176"/>
      <c r="Q35" s="179"/>
      <c r="R35" s="179"/>
      <c r="S35" s="179"/>
      <c r="T35" s="179"/>
      <c r="U35" s="179"/>
      <c r="V35" s="179"/>
      <c r="W35" s="179"/>
      <c r="X35" s="179"/>
      <c r="Y35" s="179"/>
      <c r="Z35" s="179"/>
      <c r="AA35" s="179"/>
    </row>
    <row r="36">
      <c r="A36" s="1" t="s">
        <v>2142</v>
      </c>
      <c r="B36" s="1" t="s">
        <v>2088</v>
      </c>
      <c r="C36" s="1">
        <v>0.0</v>
      </c>
      <c r="D36" s="1">
        <v>0.0</v>
      </c>
      <c r="E36" s="1">
        <v>0.0</v>
      </c>
      <c r="F36" s="1">
        <v>0.0</v>
      </c>
      <c r="G36" s="1">
        <v>0.0</v>
      </c>
      <c r="H36" s="1">
        <v>0.0</v>
      </c>
      <c r="I36" s="1">
        <v>0.0</v>
      </c>
      <c r="J36" s="1">
        <v>0.0</v>
      </c>
      <c r="K36" s="1">
        <v>0.0</v>
      </c>
      <c r="L36" s="1">
        <v>0.0</v>
      </c>
      <c r="M36" s="1">
        <v>0.0</v>
      </c>
      <c r="N36" s="1">
        <v>0.0</v>
      </c>
      <c r="P36" s="176">
        <f>SUM(C36:N36)</f>
        <v>0</v>
      </c>
    </row>
    <row r="37">
      <c r="P37" s="176"/>
    </row>
    <row r="38">
      <c r="A38" s="443" t="s">
        <v>2143</v>
      </c>
      <c r="B38" s="179"/>
      <c r="C38" s="179"/>
      <c r="D38" s="179"/>
      <c r="E38" s="179"/>
      <c r="F38" s="179"/>
      <c r="G38" s="179"/>
      <c r="H38" s="179"/>
      <c r="I38" s="179"/>
      <c r="J38" s="179"/>
      <c r="K38" s="179"/>
      <c r="L38" s="179"/>
      <c r="M38" s="179"/>
      <c r="N38" s="179"/>
      <c r="O38" s="179"/>
      <c r="P38" s="176"/>
      <c r="Q38" s="179"/>
      <c r="R38" s="179"/>
      <c r="S38" s="179"/>
      <c r="T38" s="179"/>
      <c r="U38" s="179"/>
      <c r="V38" s="179"/>
      <c r="W38" s="179"/>
      <c r="X38" s="179"/>
      <c r="Y38" s="179"/>
      <c r="Z38" s="179"/>
      <c r="AA38" s="179"/>
    </row>
    <row r="39">
      <c r="A39" s="1" t="s">
        <v>2142</v>
      </c>
      <c r="B39" s="1" t="s">
        <v>2088</v>
      </c>
      <c r="C39" s="382">
        <f>Constants!$B$28*C$2</f>
        <v>2548.2036</v>
      </c>
      <c r="D39" s="382">
        <f>Constants!$B$28*D2</f>
        <v>2301.603251</v>
      </c>
      <c r="E39" s="382">
        <f>Constants!$B$28*E2</f>
        <v>2548.2036</v>
      </c>
      <c r="F39" s="382">
        <f>Constants!$B$28*F2</f>
        <v>2466.003484</v>
      </c>
      <c r="G39" s="382">
        <f>Constants!$B$28*G2</f>
        <v>2548.2036</v>
      </c>
      <c r="H39" s="382">
        <f>Constants!$B$28*H2</f>
        <v>2466.003484</v>
      </c>
      <c r="I39" s="382">
        <f>Constants!$B$28*I2</f>
        <v>2548.2036</v>
      </c>
      <c r="J39" s="382">
        <f>Constants!$B$28*J2</f>
        <v>2548.2036</v>
      </c>
      <c r="K39" s="382">
        <f>Constants!$B$28*K2</f>
        <v>2466.003484</v>
      </c>
      <c r="L39" s="382">
        <f>Constants!$B$28*L2</f>
        <v>2548.2036</v>
      </c>
      <c r="M39" s="382">
        <f>Constants!$B$28*M2</f>
        <v>2466.003484</v>
      </c>
      <c r="N39" s="382">
        <f>Constants!$B$28*N2</f>
        <v>2548.2036</v>
      </c>
      <c r="P39" s="176"/>
    </row>
    <row r="40">
      <c r="A40" s="1" t="s">
        <v>2119</v>
      </c>
      <c r="B40" s="1" t="s">
        <v>2088</v>
      </c>
      <c r="C40" s="382">
        <f t="shared" ref="C40:N40" si="14">C39*C$33</f>
        <v>1911.1527</v>
      </c>
      <c r="D40" s="382">
        <f t="shared" si="14"/>
        <v>1726.202439</v>
      </c>
      <c r="E40" s="382">
        <f t="shared" si="14"/>
        <v>1911.1527</v>
      </c>
      <c r="F40" s="382">
        <f t="shared" si="14"/>
        <v>2096.102961</v>
      </c>
      <c r="G40" s="382">
        <f t="shared" si="14"/>
        <v>2165.97306</v>
      </c>
      <c r="H40" s="382">
        <f t="shared" si="14"/>
        <v>2096.102961</v>
      </c>
      <c r="I40" s="382">
        <f t="shared" si="14"/>
        <v>2165.97306</v>
      </c>
      <c r="J40" s="382">
        <f t="shared" si="14"/>
        <v>2165.97306</v>
      </c>
      <c r="K40" s="382">
        <f t="shared" si="14"/>
        <v>2096.102961</v>
      </c>
      <c r="L40" s="382">
        <f t="shared" si="14"/>
        <v>2293.38324</v>
      </c>
      <c r="M40" s="382">
        <f t="shared" si="14"/>
        <v>2219.403135</v>
      </c>
      <c r="N40" s="382">
        <f t="shared" si="14"/>
        <v>2293.38324</v>
      </c>
      <c r="P40" s="445">
        <f>SUM(C40:N40)</f>
        <v>25140.90552</v>
      </c>
    </row>
    <row r="41">
      <c r="P41" s="176"/>
    </row>
    <row r="42">
      <c r="A42" s="443" t="s">
        <v>2144</v>
      </c>
      <c r="B42" s="179"/>
      <c r="C42" s="179"/>
      <c r="D42" s="179"/>
      <c r="E42" s="179"/>
      <c r="F42" s="179"/>
      <c r="G42" s="179"/>
      <c r="H42" s="179"/>
      <c r="I42" s="179"/>
      <c r="J42" s="179"/>
      <c r="K42" s="179"/>
      <c r="L42" s="179"/>
      <c r="M42" s="179"/>
      <c r="N42" s="179"/>
      <c r="O42" s="179"/>
      <c r="P42" s="176"/>
      <c r="Q42" s="179"/>
      <c r="R42" s="179"/>
      <c r="S42" s="179"/>
      <c r="T42" s="179"/>
      <c r="U42" s="179"/>
      <c r="V42" s="179"/>
      <c r="W42" s="179"/>
      <c r="X42" s="179"/>
      <c r="Y42" s="179"/>
      <c r="Z42" s="179"/>
      <c r="AA42" s="179"/>
    </row>
    <row r="43">
      <c r="A43" s="1" t="s">
        <v>2142</v>
      </c>
      <c r="B43" s="1" t="s">
        <v>2088</v>
      </c>
      <c r="C43" s="382">
        <f>Constants!$B$28*C$2</f>
        <v>2548.2036</v>
      </c>
      <c r="D43" s="382">
        <f>Constants!$B$28*D$2</f>
        <v>2301.603251</v>
      </c>
      <c r="E43" s="382">
        <f>Constants!$B$28*E$2</f>
        <v>2548.2036</v>
      </c>
      <c r="F43" s="382">
        <f>Constants!$B$28*F$2</f>
        <v>2466.003484</v>
      </c>
      <c r="G43" s="382">
        <f>Constants!$B$28*G$2</f>
        <v>2548.2036</v>
      </c>
      <c r="H43" s="382">
        <f>Constants!$B$28*H$2</f>
        <v>2466.003484</v>
      </c>
      <c r="I43" s="382">
        <f>Constants!$B$28*I$2</f>
        <v>2548.2036</v>
      </c>
      <c r="J43" s="382">
        <f>Constants!$B$28*J$2</f>
        <v>2548.2036</v>
      </c>
      <c r="K43" s="382">
        <f>Constants!$B$28*K$2</f>
        <v>2466.003484</v>
      </c>
      <c r="L43" s="382">
        <f>Constants!$B$28*L$2</f>
        <v>2548.2036</v>
      </c>
      <c r="M43" s="382">
        <f>Constants!$B$28*M$2</f>
        <v>2466.003484</v>
      </c>
      <c r="N43" s="382">
        <f>Constants!$B$28*N$2</f>
        <v>2548.2036</v>
      </c>
      <c r="P43" s="176"/>
    </row>
    <row r="44">
      <c r="A44" s="1" t="s">
        <v>2145</v>
      </c>
      <c r="B44" s="1" t="s">
        <v>2122</v>
      </c>
      <c r="C44" s="444">
        <v>0.1</v>
      </c>
      <c r="D44" s="444">
        <v>0.25</v>
      </c>
      <c r="E44" s="444">
        <v>0.5</v>
      </c>
      <c r="F44" s="444">
        <v>0.75</v>
      </c>
      <c r="G44" s="444">
        <v>1.0</v>
      </c>
      <c r="H44" s="444">
        <v>1.0</v>
      </c>
      <c r="I44" s="444">
        <v>1.0</v>
      </c>
      <c r="J44" s="444">
        <v>1.0</v>
      </c>
      <c r="K44" s="444">
        <v>1.0</v>
      </c>
      <c r="L44" s="444">
        <v>1.0</v>
      </c>
      <c r="M44" s="444">
        <v>1.0</v>
      </c>
      <c r="N44" s="444">
        <v>1.0</v>
      </c>
      <c r="P44" s="176"/>
    </row>
    <row r="45">
      <c r="A45" s="1" t="s">
        <v>2119</v>
      </c>
      <c r="B45" s="1" t="s">
        <v>2088</v>
      </c>
      <c r="C45" s="382">
        <f t="shared" ref="C45:N45" si="15">C43*C44*C$33</f>
        <v>191.11527</v>
      </c>
      <c r="D45" s="382">
        <f t="shared" si="15"/>
        <v>431.5506096</v>
      </c>
      <c r="E45" s="382">
        <f t="shared" si="15"/>
        <v>955.5763499</v>
      </c>
      <c r="F45" s="382">
        <f t="shared" si="15"/>
        <v>1572.077221</v>
      </c>
      <c r="G45" s="382">
        <f t="shared" si="15"/>
        <v>2165.97306</v>
      </c>
      <c r="H45" s="382">
        <f t="shared" si="15"/>
        <v>2096.102961</v>
      </c>
      <c r="I45" s="382">
        <f t="shared" si="15"/>
        <v>2165.97306</v>
      </c>
      <c r="J45" s="382">
        <f t="shared" si="15"/>
        <v>2165.97306</v>
      </c>
      <c r="K45" s="382">
        <f t="shared" si="15"/>
        <v>2096.102961</v>
      </c>
      <c r="L45" s="382">
        <f t="shared" si="15"/>
        <v>2293.38324</v>
      </c>
      <c r="M45" s="382">
        <f t="shared" si="15"/>
        <v>2219.403135</v>
      </c>
      <c r="N45" s="382">
        <f t="shared" si="15"/>
        <v>2293.38324</v>
      </c>
      <c r="P45" s="445">
        <f>SUM(C45:N45)</f>
        <v>20646.61417</v>
      </c>
    </row>
    <row r="46">
      <c r="P46" s="176"/>
    </row>
    <row r="47">
      <c r="A47" s="443" t="s">
        <v>2146</v>
      </c>
      <c r="B47" s="450" t="s">
        <v>2088</v>
      </c>
      <c r="C47" s="447">
        <f t="shared" ref="C47:N47" si="16">SUM(C45,C40,C36)</f>
        <v>2102.26797</v>
      </c>
      <c r="D47" s="447">
        <f t="shared" si="16"/>
        <v>2157.753048</v>
      </c>
      <c r="E47" s="447">
        <f t="shared" si="16"/>
        <v>2866.72905</v>
      </c>
      <c r="F47" s="447">
        <f t="shared" si="16"/>
        <v>3668.180182</v>
      </c>
      <c r="G47" s="447">
        <f t="shared" si="16"/>
        <v>4331.94612</v>
      </c>
      <c r="H47" s="447">
        <f t="shared" si="16"/>
        <v>4192.205922</v>
      </c>
      <c r="I47" s="447">
        <f t="shared" si="16"/>
        <v>4331.94612</v>
      </c>
      <c r="J47" s="447">
        <f t="shared" si="16"/>
        <v>4331.94612</v>
      </c>
      <c r="K47" s="447">
        <f t="shared" si="16"/>
        <v>4192.205922</v>
      </c>
      <c r="L47" s="447">
        <f t="shared" si="16"/>
        <v>4586.766479</v>
      </c>
      <c r="M47" s="447">
        <f t="shared" si="16"/>
        <v>4438.80627</v>
      </c>
      <c r="N47" s="447">
        <f t="shared" si="16"/>
        <v>4586.766479</v>
      </c>
      <c r="O47" s="448"/>
      <c r="P47" s="449">
        <f>SUM(C47:N47)</f>
        <v>45787.51968</v>
      </c>
      <c r="Q47" s="448"/>
      <c r="R47" s="448"/>
      <c r="S47" s="448"/>
      <c r="T47" s="448"/>
      <c r="U47" s="448"/>
      <c r="V47" s="448"/>
      <c r="W47" s="448"/>
      <c r="X47" s="448"/>
      <c r="Y47" s="448"/>
      <c r="Z47" s="448"/>
      <c r="AA47" s="448"/>
    </row>
    <row r="48">
      <c r="P48" s="176"/>
    </row>
    <row r="49">
      <c r="A49" s="442" t="s">
        <v>2147</v>
      </c>
      <c r="B49" s="440"/>
      <c r="C49" s="440"/>
      <c r="D49" s="440"/>
      <c r="E49" s="440"/>
      <c r="F49" s="440"/>
      <c r="G49" s="440"/>
      <c r="H49" s="440"/>
      <c r="I49" s="440"/>
      <c r="J49" s="440"/>
      <c r="K49" s="440"/>
      <c r="L49" s="440"/>
      <c r="M49" s="440"/>
      <c r="N49" s="440"/>
      <c r="O49" s="440"/>
      <c r="P49" s="441"/>
      <c r="Q49" s="440"/>
      <c r="R49" s="440"/>
      <c r="S49" s="440"/>
      <c r="T49" s="440"/>
      <c r="U49" s="440"/>
      <c r="V49" s="440"/>
      <c r="W49" s="440"/>
      <c r="X49" s="440"/>
      <c r="Y49" s="440"/>
      <c r="Z49" s="440"/>
      <c r="AA49" s="440"/>
    </row>
    <row r="50">
      <c r="A50" s="443" t="s">
        <v>2148</v>
      </c>
      <c r="B50" s="179"/>
      <c r="C50" s="179"/>
      <c r="D50" s="179"/>
      <c r="E50" s="179"/>
      <c r="F50" s="179"/>
      <c r="G50" s="179"/>
      <c r="H50" s="179"/>
      <c r="I50" s="179"/>
      <c r="J50" s="179"/>
      <c r="K50" s="179"/>
      <c r="L50" s="179"/>
      <c r="M50" s="179"/>
      <c r="N50" s="179"/>
      <c r="O50" s="179"/>
      <c r="P50" s="176"/>
      <c r="Q50" s="179"/>
      <c r="R50" s="179"/>
      <c r="S50" s="179"/>
      <c r="T50" s="179"/>
      <c r="U50" s="179"/>
      <c r="V50" s="179"/>
      <c r="W50" s="179"/>
      <c r="X50" s="179"/>
      <c r="Y50" s="179"/>
      <c r="Z50" s="179"/>
      <c r="AA50" s="179"/>
    </row>
    <row r="51">
      <c r="A51" s="1" t="s">
        <v>2149</v>
      </c>
      <c r="B51" s="1" t="s">
        <v>2150</v>
      </c>
      <c r="C51" s="90">
        <f t="shared" ref="C51:N51" si="17">24*C$2</f>
        <v>744</v>
      </c>
      <c r="D51" s="90">
        <f t="shared" si="17"/>
        <v>672</v>
      </c>
      <c r="E51" s="90">
        <f t="shared" si="17"/>
        <v>744</v>
      </c>
      <c r="F51" s="90">
        <f t="shared" si="17"/>
        <v>720</v>
      </c>
      <c r="G51" s="90">
        <f t="shared" si="17"/>
        <v>744</v>
      </c>
      <c r="H51" s="90">
        <f t="shared" si="17"/>
        <v>720</v>
      </c>
      <c r="I51" s="90">
        <f t="shared" si="17"/>
        <v>744</v>
      </c>
      <c r="J51" s="90">
        <f t="shared" si="17"/>
        <v>744</v>
      </c>
      <c r="K51" s="90">
        <f t="shared" si="17"/>
        <v>720</v>
      </c>
      <c r="L51" s="90">
        <f t="shared" si="17"/>
        <v>744</v>
      </c>
      <c r="M51" s="90">
        <f t="shared" si="17"/>
        <v>720</v>
      </c>
      <c r="N51" s="90">
        <f t="shared" si="17"/>
        <v>744</v>
      </c>
      <c r="P51" s="176"/>
    </row>
    <row r="52">
      <c r="A52" s="1" t="s">
        <v>2151</v>
      </c>
      <c r="B52" s="1" t="s">
        <v>2122</v>
      </c>
      <c r="C52" s="1">
        <v>0.5</v>
      </c>
      <c r="D52" s="1">
        <v>0.5</v>
      </c>
      <c r="E52" s="1">
        <v>0.5</v>
      </c>
      <c r="F52" s="1">
        <v>0.5</v>
      </c>
      <c r="G52" s="1">
        <v>0.5</v>
      </c>
      <c r="H52" s="1">
        <v>0.5</v>
      </c>
      <c r="I52" s="1">
        <v>0.5</v>
      </c>
      <c r="J52" s="1">
        <v>0.5</v>
      </c>
      <c r="K52" s="1">
        <v>0.5</v>
      </c>
      <c r="L52" s="1">
        <v>0.5</v>
      </c>
      <c r="M52" s="1">
        <v>0.5</v>
      </c>
      <c r="N52" s="1">
        <v>0.5</v>
      </c>
      <c r="P52" s="176"/>
    </row>
    <row r="53">
      <c r="A53" s="1" t="s">
        <v>2119</v>
      </c>
      <c r="B53" s="1" t="s">
        <v>2088</v>
      </c>
      <c r="C53" s="382">
        <f>Constants!$B$31*C51*C52</f>
        <v>11160</v>
      </c>
      <c r="D53" s="382">
        <f>Constants!$B$31*D51*D52</f>
        <v>10080</v>
      </c>
      <c r="E53" s="382">
        <f>Constants!$B$31*E51*E52</f>
        <v>11160</v>
      </c>
      <c r="F53" s="382">
        <f>Constants!$B$31*F51*F52</f>
        <v>10800</v>
      </c>
      <c r="G53" s="382">
        <f>Constants!$B$31*G51*G52</f>
        <v>11160</v>
      </c>
      <c r="H53" s="382">
        <f>Constants!$B$31*H51*H52</f>
        <v>10800</v>
      </c>
      <c r="I53" s="382">
        <f>Constants!$B$31*I51*I52</f>
        <v>11160</v>
      </c>
      <c r="J53" s="382">
        <f>Constants!$B$31*J51*J52</f>
        <v>11160</v>
      </c>
      <c r="K53" s="382">
        <f>Constants!$B$31*K51*K52</f>
        <v>10800</v>
      </c>
      <c r="L53" s="382">
        <f>Constants!$B$31*L51*L52</f>
        <v>11160</v>
      </c>
      <c r="M53" s="382">
        <f>Constants!$B$31*M51*M52</f>
        <v>10800</v>
      </c>
      <c r="N53" s="382">
        <f>Constants!$B$31*N51*N52</f>
        <v>11160</v>
      </c>
      <c r="P53" s="445">
        <f>SUM(C53:N53)</f>
        <v>131400</v>
      </c>
    </row>
    <row r="54">
      <c r="P54" s="176"/>
    </row>
    <row r="55">
      <c r="A55" s="443" t="s">
        <v>2152</v>
      </c>
      <c r="B55" s="179"/>
      <c r="C55" s="179"/>
      <c r="D55" s="179"/>
      <c r="E55" s="179"/>
      <c r="F55" s="179"/>
      <c r="G55" s="179"/>
      <c r="H55" s="179"/>
      <c r="I55" s="179"/>
      <c r="J55" s="179"/>
      <c r="K55" s="179"/>
      <c r="L55" s="179"/>
      <c r="M55" s="179"/>
      <c r="N55" s="179"/>
      <c r="O55" s="179"/>
      <c r="P55" s="176"/>
      <c r="Q55" s="179"/>
      <c r="R55" s="179"/>
      <c r="S55" s="179"/>
      <c r="T55" s="179"/>
      <c r="U55" s="179"/>
      <c r="V55" s="179"/>
      <c r="W55" s="179"/>
      <c r="X55" s="179"/>
      <c r="Y55" s="179"/>
      <c r="Z55" s="179"/>
      <c r="AA55" s="179"/>
    </row>
    <row r="56">
      <c r="A56" s="1" t="s">
        <v>2149</v>
      </c>
      <c r="B56" s="1" t="s">
        <v>2150</v>
      </c>
      <c r="C56" s="90">
        <f t="shared" ref="C56:N56" si="18">24*C$2</f>
        <v>744</v>
      </c>
      <c r="D56" s="90">
        <f t="shared" si="18"/>
        <v>672</v>
      </c>
      <c r="E56" s="90">
        <f t="shared" si="18"/>
        <v>744</v>
      </c>
      <c r="F56" s="90">
        <f t="shared" si="18"/>
        <v>720</v>
      </c>
      <c r="G56" s="90">
        <f t="shared" si="18"/>
        <v>744</v>
      </c>
      <c r="H56" s="90">
        <f t="shared" si="18"/>
        <v>720</v>
      </c>
      <c r="I56" s="90">
        <f t="shared" si="18"/>
        <v>744</v>
      </c>
      <c r="J56" s="90">
        <f t="shared" si="18"/>
        <v>744</v>
      </c>
      <c r="K56" s="90">
        <f t="shared" si="18"/>
        <v>720</v>
      </c>
      <c r="L56" s="90">
        <f t="shared" si="18"/>
        <v>744</v>
      </c>
      <c r="M56" s="90">
        <f t="shared" si="18"/>
        <v>720</v>
      </c>
      <c r="N56" s="90">
        <f t="shared" si="18"/>
        <v>744</v>
      </c>
      <c r="P56" s="176"/>
    </row>
    <row r="57">
      <c r="A57" s="1" t="s">
        <v>2140</v>
      </c>
      <c r="B57" s="1" t="s">
        <v>2122</v>
      </c>
      <c r="C57" s="444">
        <v>0.75</v>
      </c>
      <c r="D57" s="444">
        <v>0.75</v>
      </c>
      <c r="E57" s="444">
        <v>0.75</v>
      </c>
      <c r="F57" s="444">
        <v>0.75</v>
      </c>
      <c r="G57" s="444">
        <v>0.75</v>
      </c>
      <c r="H57" s="444">
        <v>0.75</v>
      </c>
      <c r="I57" s="444">
        <v>0.75</v>
      </c>
      <c r="J57" s="444">
        <v>0.75</v>
      </c>
      <c r="K57" s="444">
        <v>0.75</v>
      </c>
      <c r="L57" s="444">
        <v>0.75</v>
      </c>
      <c r="M57" s="444">
        <v>0.75</v>
      </c>
      <c r="N57" s="444">
        <v>0.75</v>
      </c>
      <c r="P57" s="176"/>
    </row>
    <row r="58">
      <c r="A58" s="1" t="s">
        <v>2119</v>
      </c>
      <c r="B58" s="1" t="s">
        <v>2088</v>
      </c>
      <c r="C58" s="382">
        <f>Constants!$B$34*C56*C57</f>
        <v>6377.142857</v>
      </c>
      <c r="D58" s="382">
        <f>Constants!$B$34*D56*D57</f>
        <v>5760</v>
      </c>
      <c r="E58" s="382">
        <f>Constants!$B$34*E56*E57</f>
        <v>6377.142857</v>
      </c>
      <c r="F58" s="382">
        <f>Constants!$B$34*F56*F57</f>
        <v>6171.428571</v>
      </c>
      <c r="G58" s="382">
        <f>Constants!$B$34*G56*G57</f>
        <v>6377.142857</v>
      </c>
      <c r="H58" s="382">
        <f>Constants!$B$34*H56*H57</f>
        <v>6171.428571</v>
      </c>
      <c r="I58" s="382">
        <f>Constants!$B$34*I56*I57</f>
        <v>6377.142857</v>
      </c>
      <c r="J58" s="382">
        <f>Constants!$B$34*J56*J57</f>
        <v>6377.142857</v>
      </c>
      <c r="K58" s="382">
        <f>Constants!$B$34*K56*K57</f>
        <v>6171.428571</v>
      </c>
      <c r="L58" s="382">
        <f>Constants!$B$34*L56*L57</f>
        <v>6377.142857</v>
      </c>
      <c r="M58" s="382">
        <f>Constants!$B$34*M56*M57</f>
        <v>6171.428571</v>
      </c>
      <c r="N58" s="382">
        <f>Constants!$B$34*N56*N57</f>
        <v>6377.142857</v>
      </c>
      <c r="P58" s="445">
        <f>SUM(C58:N58)</f>
        <v>75085.71429</v>
      </c>
    </row>
    <row r="59">
      <c r="P59" s="176"/>
    </row>
    <row r="60">
      <c r="A60" s="443" t="s">
        <v>2153</v>
      </c>
      <c r="B60" s="179"/>
      <c r="C60" s="179"/>
      <c r="D60" s="179"/>
      <c r="E60" s="179"/>
      <c r="F60" s="179"/>
      <c r="G60" s="179"/>
      <c r="H60" s="179"/>
      <c r="I60" s="179"/>
      <c r="J60" s="179"/>
      <c r="K60" s="179"/>
      <c r="L60" s="179"/>
      <c r="M60" s="179"/>
      <c r="N60" s="179"/>
      <c r="O60" s="179"/>
      <c r="P60" s="176"/>
      <c r="Q60" s="179"/>
      <c r="R60" s="179"/>
      <c r="S60" s="179"/>
      <c r="T60" s="179"/>
      <c r="U60" s="179"/>
      <c r="V60" s="179"/>
      <c r="W60" s="179"/>
      <c r="X60" s="179"/>
      <c r="Y60" s="179"/>
      <c r="Z60" s="179"/>
      <c r="AA60" s="179"/>
    </row>
    <row r="61">
      <c r="A61" s="1" t="s">
        <v>2149</v>
      </c>
      <c r="B61" s="1" t="s">
        <v>2150</v>
      </c>
      <c r="L61" s="90">
        <f t="shared" ref="L61:N61" si="19">24*L$2</f>
        <v>744</v>
      </c>
      <c r="M61" s="90">
        <f t="shared" si="19"/>
        <v>720</v>
      </c>
      <c r="N61" s="90">
        <f t="shared" si="19"/>
        <v>744</v>
      </c>
      <c r="P61" s="176"/>
    </row>
    <row r="62">
      <c r="A62" s="1" t="s">
        <v>2140</v>
      </c>
      <c r="B62" s="1" t="s">
        <v>2122</v>
      </c>
      <c r="L62" s="1">
        <v>0.95</v>
      </c>
      <c r="M62" s="1">
        <v>0.95</v>
      </c>
      <c r="N62" s="1">
        <v>0.95</v>
      </c>
      <c r="P62" s="176"/>
    </row>
    <row r="63">
      <c r="A63" s="1" t="s">
        <v>2119</v>
      </c>
      <c r="B63" s="1" t="s">
        <v>2088</v>
      </c>
      <c r="C63" s="382"/>
      <c r="D63" s="382"/>
      <c r="E63" s="382"/>
      <c r="F63" s="382"/>
      <c r="G63" s="382"/>
      <c r="H63" s="382"/>
      <c r="I63" s="382"/>
      <c r="J63" s="382"/>
      <c r="K63" s="382"/>
      <c r="L63" s="382">
        <f>Constants!$B$34*L61*L62</f>
        <v>8077.714286</v>
      </c>
      <c r="M63" s="382">
        <f>Constants!$B$34*M61*M62</f>
        <v>7817.142857</v>
      </c>
      <c r="N63" s="382">
        <f>Constants!$B$34*N61*N62</f>
        <v>8077.714286</v>
      </c>
      <c r="P63" s="445">
        <f>SUM(C63:N63)</f>
        <v>23972.57143</v>
      </c>
    </row>
    <row r="64">
      <c r="P64" s="176"/>
    </row>
    <row r="65">
      <c r="A65" s="443" t="s">
        <v>2154</v>
      </c>
      <c r="B65" s="450" t="s">
        <v>2088</v>
      </c>
      <c r="C65" s="447">
        <f t="shared" ref="C65:N65" si="20">SUM(C63,C58,C53)</f>
        <v>17537.14286</v>
      </c>
      <c r="D65" s="447">
        <f t="shared" si="20"/>
        <v>15840</v>
      </c>
      <c r="E65" s="447">
        <f t="shared" si="20"/>
        <v>17537.14286</v>
      </c>
      <c r="F65" s="447">
        <f t="shared" si="20"/>
        <v>16971.42857</v>
      </c>
      <c r="G65" s="447">
        <f t="shared" si="20"/>
        <v>17537.14286</v>
      </c>
      <c r="H65" s="447">
        <f t="shared" si="20"/>
        <v>16971.42857</v>
      </c>
      <c r="I65" s="447">
        <f t="shared" si="20"/>
        <v>17537.14286</v>
      </c>
      <c r="J65" s="447">
        <f t="shared" si="20"/>
        <v>17537.14286</v>
      </c>
      <c r="K65" s="447">
        <f t="shared" si="20"/>
        <v>16971.42857</v>
      </c>
      <c r="L65" s="447">
        <f t="shared" si="20"/>
        <v>25614.85714</v>
      </c>
      <c r="M65" s="447">
        <f t="shared" si="20"/>
        <v>24788.57143</v>
      </c>
      <c r="N65" s="447">
        <f t="shared" si="20"/>
        <v>25614.85714</v>
      </c>
      <c r="O65" s="448"/>
      <c r="P65" s="449">
        <f>SUM(C65:N65)</f>
        <v>230458.2857</v>
      </c>
      <c r="Q65" s="448"/>
      <c r="R65" s="448"/>
      <c r="S65" s="448"/>
      <c r="T65" s="448"/>
      <c r="U65" s="448"/>
      <c r="V65" s="448"/>
      <c r="W65" s="448"/>
      <c r="X65" s="448"/>
      <c r="Y65" s="448"/>
      <c r="Z65" s="448"/>
      <c r="AA65" s="448"/>
    </row>
    <row r="66">
      <c r="P66" s="176"/>
    </row>
    <row r="67">
      <c r="P67" s="176"/>
    </row>
    <row r="68">
      <c r="P68" s="176"/>
    </row>
    <row r="69">
      <c r="P69" s="176"/>
    </row>
    <row r="70">
      <c r="P70" s="176"/>
    </row>
    <row r="71">
      <c r="P71" s="176"/>
    </row>
    <row r="72">
      <c r="P72" s="176"/>
    </row>
    <row r="73">
      <c r="P73" s="176"/>
    </row>
    <row r="74">
      <c r="P74" s="176"/>
    </row>
    <row r="75">
      <c r="P75" s="176"/>
    </row>
    <row r="76">
      <c r="P76" s="176"/>
    </row>
    <row r="77">
      <c r="P77" s="176"/>
    </row>
    <row r="78">
      <c r="P78" s="176"/>
    </row>
    <row r="79">
      <c r="P79" s="176"/>
    </row>
    <row r="80">
      <c r="P80" s="176"/>
    </row>
    <row r="81">
      <c r="P81" s="176"/>
    </row>
    <row r="82">
      <c r="P82" s="176"/>
    </row>
    <row r="83">
      <c r="P83" s="176"/>
    </row>
    <row r="84">
      <c r="P84" s="176"/>
    </row>
    <row r="85">
      <c r="P85" s="176"/>
    </row>
    <row r="86">
      <c r="P86" s="176"/>
    </row>
    <row r="87">
      <c r="P87" s="176"/>
    </row>
    <row r="88">
      <c r="P88" s="176"/>
    </row>
    <row r="89">
      <c r="P89" s="176"/>
    </row>
    <row r="90">
      <c r="P90" s="176"/>
    </row>
    <row r="91">
      <c r="P91" s="176"/>
    </row>
    <row r="92">
      <c r="P92" s="176"/>
    </row>
    <row r="93">
      <c r="P93" s="176"/>
    </row>
    <row r="94">
      <c r="P94" s="176"/>
    </row>
    <row r="95">
      <c r="P95" s="176"/>
    </row>
    <row r="96">
      <c r="P96" s="176"/>
    </row>
    <row r="97">
      <c r="P97" s="176"/>
    </row>
    <row r="98">
      <c r="P98" s="176"/>
    </row>
    <row r="99">
      <c r="P99" s="176"/>
    </row>
    <row r="100">
      <c r="P100" s="176"/>
    </row>
    <row r="101">
      <c r="P101" s="176"/>
    </row>
    <row r="102">
      <c r="P102" s="176"/>
    </row>
    <row r="103">
      <c r="P103" s="176"/>
    </row>
    <row r="104">
      <c r="P104" s="176"/>
    </row>
    <row r="105">
      <c r="P105" s="176"/>
    </row>
    <row r="106">
      <c r="P106" s="176"/>
    </row>
    <row r="107">
      <c r="P107" s="176"/>
    </row>
    <row r="108">
      <c r="P108" s="176"/>
    </row>
    <row r="109">
      <c r="P109" s="176"/>
    </row>
    <row r="110">
      <c r="P110" s="176"/>
    </row>
    <row r="111">
      <c r="P111" s="176"/>
    </row>
    <row r="112">
      <c r="P112" s="176"/>
    </row>
    <row r="113">
      <c r="P113" s="176"/>
    </row>
    <row r="114">
      <c r="P114" s="176"/>
    </row>
    <row r="115">
      <c r="P115" s="176"/>
    </row>
    <row r="116">
      <c r="P116" s="176"/>
    </row>
    <row r="117">
      <c r="P117" s="176"/>
    </row>
    <row r="118">
      <c r="P118" s="176"/>
    </row>
    <row r="119">
      <c r="P119" s="176"/>
    </row>
    <row r="120">
      <c r="P120" s="176"/>
    </row>
    <row r="121">
      <c r="P121" s="176"/>
    </row>
    <row r="122">
      <c r="P122" s="176"/>
    </row>
    <row r="123">
      <c r="P123" s="176"/>
    </row>
    <row r="124">
      <c r="P124" s="176"/>
    </row>
    <row r="125">
      <c r="P125" s="176"/>
    </row>
    <row r="126">
      <c r="P126" s="176"/>
    </row>
    <row r="127">
      <c r="P127" s="176"/>
    </row>
    <row r="128">
      <c r="P128" s="176"/>
    </row>
    <row r="129">
      <c r="P129" s="176"/>
    </row>
    <row r="130">
      <c r="P130" s="176"/>
    </row>
    <row r="131">
      <c r="P131" s="176"/>
    </row>
    <row r="132">
      <c r="P132" s="176"/>
    </row>
    <row r="133">
      <c r="P133" s="176"/>
    </row>
    <row r="134">
      <c r="P134" s="176"/>
    </row>
    <row r="135">
      <c r="P135" s="176"/>
    </row>
    <row r="136">
      <c r="P136" s="176"/>
    </row>
    <row r="137">
      <c r="P137" s="176"/>
    </row>
    <row r="138">
      <c r="P138" s="176"/>
    </row>
    <row r="139">
      <c r="P139" s="176"/>
    </row>
    <row r="140">
      <c r="P140" s="176"/>
    </row>
    <row r="141">
      <c r="P141" s="176"/>
    </row>
    <row r="142">
      <c r="P142" s="176"/>
    </row>
    <row r="143">
      <c r="P143" s="176"/>
    </row>
    <row r="144">
      <c r="P144" s="176"/>
    </row>
    <row r="145">
      <c r="P145" s="176"/>
    </row>
    <row r="146">
      <c r="P146" s="176"/>
    </row>
    <row r="147">
      <c r="P147" s="176"/>
    </row>
    <row r="148">
      <c r="P148" s="176"/>
    </row>
    <row r="149">
      <c r="P149" s="176"/>
    </row>
    <row r="150">
      <c r="P150" s="176"/>
    </row>
    <row r="151">
      <c r="P151" s="176"/>
    </row>
    <row r="152">
      <c r="P152" s="176"/>
    </row>
    <row r="153">
      <c r="P153" s="176"/>
    </row>
    <row r="154">
      <c r="P154" s="176"/>
    </row>
    <row r="155">
      <c r="P155" s="176"/>
    </row>
    <row r="156">
      <c r="P156" s="176"/>
    </row>
    <row r="157">
      <c r="P157" s="176"/>
    </row>
    <row r="158">
      <c r="P158" s="176"/>
    </row>
    <row r="159">
      <c r="P159" s="176"/>
    </row>
    <row r="160">
      <c r="P160" s="176"/>
    </row>
    <row r="161">
      <c r="P161" s="176"/>
    </row>
    <row r="162">
      <c r="P162" s="176"/>
    </row>
    <row r="163">
      <c r="P163" s="176"/>
    </row>
    <row r="164">
      <c r="P164" s="176"/>
    </row>
    <row r="165">
      <c r="P165" s="176"/>
    </row>
    <row r="166">
      <c r="P166" s="176"/>
    </row>
    <row r="167">
      <c r="P167" s="176"/>
    </row>
    <row r="168">
      <c r="P168" s="176"/>
    </row>
    <row r="169">
      <c r="P169" s="176"/>
    </row>
    <row r="170">
      <c r="P170" s="176"/>
    </row>
    <row r="171">
      <c r="P171" s="176"/>
    </row>
    <row r="172">
      <c r="P172" s="176"/>
    </row>
    <row r="173">
      <c r="P173" s="176"/>
    </row>
    <row r="174">
      <c r="P174" s="176"/>
    </row>
    <row r="175">
      <c r="P175" s="176"/>
    </row>
    <row r="176">
      <c r="P176" s="176"/>
    </row>
    <row r="177">
      <c r="P177" s="176"/>
    </row>
    <row r="178">
      <c r="P178" s="176"/>
    </row>
    <row r="179">
      <c r="P179" s="176"/>
    </row>
    <row r="180">
      <c r="P180" s="176"/>
    </row>
    <row r="181">
      <c r="P181" s="176"/>
    </row>
    <row r="182">
      <c r="P182" s="176"/>
    </row>
    <row r="183">
      <c r="P183" s="176"/>
    </row>
    <row r="184">
      <c r="P184" s="176"/>
    </row>
    <row r="185">
      <c r="P185" s="176"/>
    </row>
    <row r="186">
      <c r="P186" s="176"/>
    </row>
    <row r="187">
      <c r="P187" s="176"/>
    </row>
    <row r="188">
      <c r="P188" s="176"/>
    </row>
    <row r="189">
      <c r="P189" s="176"/>
    </row>
    <row r="190">
      <c r="P190" s="176"/>
    </row>
    <row r="191">
      <c r="P191" s="176"/>
    </row>
    <row r="192">
      <c r="P192" s="176"/>
    </row>
    <row r="193">
      <c r="P193" s="176"/>
    </row>
    <row r="194">
      <c r="P194" s="176"/>
    </row>
    <row r="195">
      <c r="P195" s="176"/>
    </row>
    <row r="196">
      <c r="P196" s="176"/>
    </row>
    <row r="197">
      <c r="P197" s="176"/>
    </row>
    <row r="198">
      <c r="P198" s="176"/>
    </row>
    <row r="199">
      <c r="P199" s="176"/>
    </row>
    <row r="200">
      <c r="P200" s="176"/>
    </row>
    <row r="201">
      <c r="P201" s="176"/>
    </row>
    <row r="202">
      <c r="P202" s="176"/>
    </row>
    <row r="203">
      <c r="P203" s="176"/>
    </row>
    <row r="204">
      <c r="P204" s="176"/>
    </row>
    <row r="205">
      <c r="P205" s="176"/>
    </row>
    <row r="206">
      <c r="P206" s="176"/>
    </row>
    <row r="207">
      <c r="P207" s="176"/>
    </row>
    <row r="208">
      <c r="P208" s="176"/>
    </row>
    <row r="209">
      <c r="P209" s="176"/>
    </row>
    <row r="210">
      <c r="P210" s="176"/>
    </row>
    <row r="211">
      <c r="P211" s="176"/>
    </row>
    <row r="212">
      <c r="P212" s="176"/>
    </row>
    <row r="213">
      <c r="P213" s="176"/>
    </row>
    <row r="214">
      <c r="P214" s="176"/>
    </row>
    <row r="215">
      <c r="P215" s="176"/>
    </row>
    <row r="216">
      <c r="P216" s="176"/>
    </row>
    <row r="217">
      <c r="P217" s="176"/>
    </row>
    <row r="218">
      <c r="P218" s="176"/>
    </row>
    <row r="219">
      <c r="P219" s="176"/>
    </row>
    <row r="220">
      <c r="P220" s="176"/>
    </row>
    <row r="221">
      <c r="P221" s="176"/>
    </row>
    <row r="222">
      <c r="P222" s="176"/>
    </row>
    <row r="223">
      <c r="P223" s="176"/>
    </row>
    <row r="224">
      <c r="P224" s="176"/>
    </row>
    <row r="225">
      <c r="P225" s="176"/>
    </row>
    <row r="226">
      <c r="P226" s="176"/>
    </row>
    <row r="227">
      <c r="P227" s="176"/>
    </row>
    <row r="228">
      <c r="P228" s="176"/>
    </row>
    <row r="229">
      <c r="P229" s="176"/>
    </row>
    <row r="230">
      <c r="P230" s="176"/>
    </row>
    <row r="231">
      <c r="P231" s="176"/>
    </row>
    <row r="232">
      <c r="P232" s="176"/>
    </row>
    <row r="233">
      <c r="P233" s="176"/>
    </row>
    <row r="234">
      <c r="P234" s="176"/>
    </row>
    <row r="235">
      <c r="P235" s="176"/>
    </row>
    <row r="236">
      <c r="P236" s="176"/>
    </row>
    <row r="237">
      <c r="P237" s="176"/>
    </row>
    <row r="238">
      <c r="P238" s="176"/>
    </row>
    <row r="239">
      <c r="P239" s="176"/>
    </row>
    <row r="240">
      <c r="P240" s="176"/>
    </row>
    <row r="241">
      <c r="P241" s="176"/>
    </row>
    <row r="242">
      <c r="P242" s="176"/>
    </row>
    <row r="243">
      <c r="P243" s="176"/>
    </row>
    <row r="244">
      <c r="P244" s="176"/>
    </row>
    <row r="245">
      <c r="P245" s="176"/>
    </row>
    <row r="246">
      <c r="P246" s="176"/>
    </row>
    <row r="247">
      <c r="P247" s="176"/>
    </row>
    <row r="248">
      <c r="P248" s="176"/>
    </row>
    <row r="249">
      <c r="P249" s="176"/>
    </row>
    <row r="250">
      <c r="P250" s="176"/>
    </row>
    <row r="251">
      <c r="P251" s="176"/>
    </row>
    <row r="252">
      <c r="P252" s="176"/>
    </row>
    <row r="253">
      <c r="P253" s="176"/>
    </row>
    <row r="254">
      <c r="P254" s="176"/>
    </row>
    <row r="255">
      <c r="P255" s="176"/>
    </row>
    <row r="256">
      <c r="P256" s="176"/>
    </row>
    <row r="257">
      <c r="P257" s="176"/>
    </row>
    <row r="258">
      <c r="P258" s="176"/>
    </row>
    <row r="259">
      <c r="P259" s="176"/>
    </row>
    <row r="260">
      <c r="P260" s="176"/>
    </row>
    <row r="261">
      <c r="P261" s="176"/>
    </row>
    <row r="262">
      <c r="P262" s="176"/>
    </row>
    <row r="263">
      <c r="P263" s="176"/>
    </row>
    <row r="264">
      <c r="P264" s="176"/>
    </row>
    <row r="265">
      <c r="P265" s="176"/>
    </row>
    <row r="266">
      <c r="P266" s="176"/>
    </row>
    <row r="267">
      <c r="P267" s="176"/>
    </row>
    <row r="268">
      <c r="P268" s="176"/>
    </row>
    <row r="269">
      <c r="P269" s="176"/>
    </row>
    <row r="270">
      <c r="P270" s="176"/>
    </row>
    <row r="271">
      <c r="P271" s="176"/>
    </row>
    <row r="272">
      <c r="P272" s="176"/>
    </row>
    <row r="273">
      <c r="P273" s="176"/>
    </row>
    <row r="274">
      <c r="P274" s="176"/>
    </row>
    <row r="275">
      <c r="P275" s="176"/>
    </row>
    <row r="276">
      <c r="P276" s="176"/>
    </row>
    <row r="277">
      <c r="P277" s="176"/>
    </row>
    <row r="278">
      <c r="P278" s="176"/>
    </row>
    <row r="279">
      <c r="P279" s="176"/>
    </row>
    <row r="280">
      <c r="P280" s="176"/>
    </row>
    <row r="281">
      <c r="P281" s="176"/>
    </row>
    <row r="282">
      <c r="P282" s="176"/>
    </row>
    <row r="283">
      <c r="P283" s="176"/>
    </row>
    <row r="284">
      <c r="P284" s="176"/>
    </row>
    <row r="285">
      <c r="P285" s="176"/>
    </row>
    <row r="286">
      <c r="P286" s="176"/>
    </row>
    <row r="287">
      <c r="P287" s="176"/>
    </row>
    <row r="288">
      <c r="P288" s="176"/>
    </row>
    <row r="289">
      <c r="P289" s="176"/>
    </row>
    <row r="290">
      <c r="P290" s="176"/>
    </row>
    <row r="291">
      <c r="P291" s="176"/>
    </row>
    <row r="292">
      <c r="P292" s="176"/>
    </row>
    <row r="293">
      <c r="P293" s="176"/>
    </row>
    <row r="294">
      <c r="P294" s="176"/>
    </row>
    <row r="295">
      <c r="P295" s="176"/>
    </row>
    <row r="296">
      <c r="P296" s="176"/>
    </row>
    <row r="297">
      <c r="P297" s="176"/>
    </row>
    <row r="298">
      <c r="P298" s="176"/>
    </row>
    <row r="299">
      <c r="P299" s="176"/>
    </row>
    <row r="300">
      <c r="P300" s="176"/>
    </row>
    <row r="301">
      <c r="P301" s="176"/>
    </row>
    <row r="302">
      <c r="P302" s="176"/>
    </row>
    <row r="303">
      <c r="P303" s="176"/>
    </row>
    <row r="304">
      <c r="P304" s="176"/>
    </row>
    <row r="305">
      <c r="P305" s="176"/>
    </row>
    <row r="306">
      <c r="P306" s="176"/>
    </row>
    <row r="307">
      <c r="P307" s="176"/>
    </row>
    <row r="308">
      <c r="P308" s="176"/>
    </row>
    <row r="309">
      <c r="P309" s="176"/>
    </row>
    <row r="310">
      <c r="P310" s="176"/>
    </row>
    <row r="311">
      <c r="P311" s="176"/>
    </row>
    <row r="312">
      <c r="P312" s="176"/>
    </row>
    <row r="313">
      <c r="P313" s="176"/>
    </row>
    <row r="314">
      <c r="P314" s="176"/>
    </row>
    <row r="315">
      <c r="P315" s="176"/>
    </row>
    <row r="316">
      <c r="P316" s="176"/>
    </row>
    <row r="317">
      <c r="P317" s="176"/>
    </row>
    <row r="318">
      <c r="P318" s="176"/>
    </row>
    <row r="319">
      <c r="P319" s="176"/>
    </row>
    <row r="320">
      <c r="P320" s="176"/>
    </row>
    <row r="321">
      <c r="P321" s="176"/>
    </row>
    <row r="322">
      <c r="P322" s="176"/>
    </row>
    <row r="323">
      <c r="P323" s="176"/>
    </row>
    <row r="324">
      <c r="P324" s="176"/>
    </row>
    <row r="325">
      <c r="P325" s="176"/>
    </row>
    <row r="326">
      <c r="P326" s="176"/>
    </row>
    <row r="327">
      <c r="P327" s="176"/>
    </row>
    <row r="328">
      <c r="P328" s="176"/>
    </row>
    <row r="329">
      <c r="P329" s="176"/>
    </row>
    <row r="330">
      <c r="P330" s="176"/>
    </row>
    <row r="331">
      <c r="P331" s="176"/>
    </row>
    <row r="332">
      <c r="P332" s="176"/>
    </row>
    <row r="333">
      <c r="P333" s="176"/>
    </row>
    <row r="334">
      <c r="P334" s="176"/>
    </row>
    <row r="335">
      <c r="P335" s="176"/>
    </row>
    <row r="336">
      <c r="P336" s="176"/>
    </row>
    <row r="337">
      <c r="P337" s="176"/>
    </row>
    <row r="338">
      <c r="P338" s="176"/>
    </row>
    <row r="339">
      <c r="P339" s="176"/>
    </row>
    <row r="340">
      <c r="P340" s="176"/>
    </row>
    <row r="341">
      <c r="P341" s="176"/>
    </row>
    <row r="342">
      <c r="P342" s="176"/>
    </row>
    <row r="343">
      <c r="P343" s="176"/>
    </row>
    <row r="344">
      <c r="P344" s="176"/>
    </row>
    <row r="345">
      <c r="P345" s="176"/>
    </row>
    <row r="346">
      <c r="P346" s="176"/>
    </row>
    <row r="347">
      <c r="P347" s="176"/>
    </row>
    <row r="348">
      <c r="P348" s="176"/>
    </row>
    <row r="349">
      <c r="P349" s="176"/>
    </row>
    <row r="350">
      <c r="P350" s="176"/>
    </row>
    <row r="351">
      <c r="P351" s="176"/>
    </row>
    <row r="352">
      <c r="P352" s="176"/>
    </row>
    <row r="353">
      <c r="P353" s="176"/>
    </row>
    <row r="354">
      <c r="P354" s="176"/>
    </row>
    <row r="355">
      <c r="P355" s="176"/>
    </row>
    <row r="356">
      <c r="P356" s="176"/>
    </row>
    <row r="357">
      <c r="P357" s="176"/>
    </row>
    <row r="358">
      <c r="P358" s="176"/>
    </row>
    <row r="359">
      <c r="P359" s="176"/>
    </row>
    <row r="360">
      <c r="P360" s="176"/>
    </row>
    <row r="361">
      <c r="P361" s="176"/>
    </row>
    <row r="362">
      <c r="P362" s="176"/>
    </row>
    <row r="363">
      <c r="P363" s="176"/>
    </row>
    <row r="364">
      <c r="P364" s="176"/>
    </row>
    <row r="365">
      <c r="P365" s="176"/>
    </row>
    <row r="366">
      <c r="P366" s="176"/>
    </row>
    <row r="367">
      <c r="P367" s="176"/>
    </row>
    <row r="368">
      <c r="P368" s="176"/>
    </row>
    <row r="369">
      <c r="P369" s="176"/>
    </row>
    <row r="370">
      <c r="P370" s="176"/>
    </row>
    <row r="371">
      <c r="P371" s="176"/>
    </row>
    <row r="372">
      <c r="P372" s="176"/>
    </row>
    <row r="373">
      <c r="P373" s="176"/>
    </row>
    <row r="374">
      <c r="P374" s="176"/>
    </row>
    <row r="375">
      <c r="P375" s="176"/>
    </row>
    <row r="376">
      <c r="P376" s="176"/>
    </row>
    <row r="377">
      <c r="P377" s="176"/>
    </row>
    <row r="378">
      <c r="P378" s="176"/>
    </row>
    <row r="379">
      <c r="P379" s="176"/>
    </row>
    <row r="380">
      <c r="P380" s="176"/>
    </row>
    <row r="381">
      <c r="P381" s="176"/>
    </row>
    <row r="382">
      <c r="P382" s="176"/>
    </row>
    <row r="383">
      <c r="P383" s="176"/>
    </row>
    <row r="384">
      <c r="P384" s="176"/>
    </row>
    <row r="385">
      <c r="P385" s="176"/>
    </row>
    <row r="386">
      <c r="P386" s="176"/>
    </row>
    <row r="387">
      <c r="P387" s="176"/>
    </row>
    <row r="388">
      <c r="P388" s="176"/>
    </row>
    <row r="389">
      <c r="P389" s="176"/>
    </row>
    <row r="390">
      <c r="P390" s="176"/>
    </row>
    <row r="391">
      <c r="P391" s="176"/>
    </row>
    <row r="392">
      <c r="P392" s="176"/>
    </row>
    <row r="393">
      <c r="P393" s="176"/>
    </row>
    <row r="394">
      <c r="P394" s="176"/>
    </row>
    <row r="395">
      <c r="P395" s="176"/>
    </row>
    <row r="396">
      <c r="P396" s="176"/>
    </row>
    <row r="397">
      <c r="P397" s="176"/>
    </row>
    <row r="398">
      <c r="P398" s="176"/>
    </row>
    <row r="399">
      <c r="P399" s="176"/>
    </row>
    <row r="400">
      <c r="P400" s="176"/>
    </row>
    <row r="401">
      <c r="P401" s="176"/>
    </row>
    <row r="402">
      <c r="P402" s="176"/>
    </row>
    <row r="403">
      <c r="P403" s="176"/>
    </row>
    <row r="404">
      <c r="P404" s="176"/>
    </row>
    <row r="405">
      <c r="P405" s="176"/>
    </row>
    <row r="406">
      <c r="P406" s="176"/>
    </row>
    <row r="407">
      <c r="P407" s="176"/>
    </row>
    <row r="408">
      <c r="P408" s="176"/>
    </row>
    <row r="409">
      <c r="P409" s="176"/>
    </row>
    <row r="410">
      <c r="P410" s="176"/>
    </row>
    <row r="411">
      <c r="P411" s="176"/>
    </row>
    <row r="412">
      <c r="P412" s="176"/>
    </row>
    <row r="413">
      <c r="P413" s="176"/>
    </row>
    <row r="414">
      <c r="P414" s="176"/>
    </row>
    <row r="415">
      <c r="P415" s="176"/>
    </row>
    <row r="416">
      <c r="P416" s="176"/>
    </row>
    <row r="417">
      <c r="P417" s="176"/>
    </row>
    <row r="418">
      <c r="P418" s="176"/>
    </row>
    <row r="419">
      <c r="P419" s="176"/>
    </row>
    <row r="420">
      <c r="P420" s="176"/>
    </row>
    <row r="421">
      <c r="P421" s="176"/>
    </row>
    <row r="422">
      <c r="P422" s="176"/>
    </row>
    <row r="423">
      <c r="P423" s="176"/>
    </row>
    <row r="424">
      <c r="P424" s="176"/>
    </row>
    <row r="425">
      <c r="P425" s="176"/>
    </row>
    <row r="426">
      <c r="P426" s="176"/>
    </row>
    <row r="427">
      <c r="P427" s="176"/>
    </row>
    <row r="428">
      <c r="P428" s="176"/>
    </row>
    <row r="429">
      <c r="P429" s="176"/>
    </row>
    <row r="430">
      <c r="P430" s="176"/>
    </row>
    <row r="431">
      <c r="P431" s="176"/>
    </row>
    <row r="432">
      <c r="P432" s="176"/>
    </row>
    <row r="433">
      <c r="P433" s="176"/>
    </row>
    <row r="434">
      <c r="P434" s="176"/>
    </row>
    <row r="435">
      <c r="P435" s="176"/>
    </row>
    <row r="436">
      <c r="P436" s="176"/>
    </row>
    <row r="437">
      <c r="P437" s="176"/>
    </row>
    <row r="438">
      <c r="P438" s="176"/>
    </row>
    <row r="439">
      <c r="P439" s="176"/>
    </row>
    <row r="440">
      <c r="P440" s="176"/>
    </row>
    <row r="441">
      <c r="P441" s="176"/>
    </row>
    <row r="442">
      <c r="P442" s="176"/>
    </row>
    <row r="443">
      <c r="P443" s="176"/>
    </row>
    <row r="444">
      <c r="P444" s="176"/>
    </row>
    <row r="445">
      <c r="P445" s="176"/>
    </row>
    <row r="446">
      <c r="P446" s="176"/>
    </row>
    <row r="447">
      <c r="P447" s="176"/>
    </row>
    <row r="448">
      <c r="P448" s="176"/>
    </row>
    <row r="449">
      <c r="P449" s="176"/>
    </row>
    <row r="450">
      <c r="P450" s="176"/>
    </row>
    <row r="451">
      <c r="P451" s="176"/>
    </row>
    <row r="452">
      <c r="P452" s="176"/>
    </row>
    <row r="453">
      <c r="P453" s="176"/>
    </row>
    <row r="454">
      <c r="P454" s="176"/>
    </row>
    <row r="455">
      <c r="P455" s="176"/>
    </row>
    <row r="456">
      <c r="P456" s="176"/>
    </row>
    <row r="457">
      <c r="P457" s="176"/>
    </row>
    <row r="458">
      <c r="P458" s="176"/>
    </row>
    <row r="459">
      <c r="P459" s="176"/>
    </row>
    <row r="460">
      <c r="P460" s="176"/>
    </row>
    <row r="461">
      <c r="P461" s="176"/>
    </row>
    <row r="462">
      <c r="P462" s="176"/>
    </row>
    <row r="463">
      <c r="P463" s="176"/>
    </row>
    <row r="464">
      <c r="P464" s="176"/>
    </row>
    <row r="465">
      <c r="P465" s="176"/>
    </row>
    <row r="466">
      <c r="P466" s="176"/>
    </row>
    <row r="467">
      <c r="P467" s="176"/>
    </row>
    <row r="468">
      <c r="P468" s="176"/>
    </row>
    <row r="469">
      <c r="P469" s="176"/>
    </row>
    <row r="470">
      <c r="P470" s="176"/>
    </row>
    <row r="471">
      <c r="P471" s="176"/>
    </row>
    <row r="472">
      <c r="P472" s="176"/>
    </row>
    <row r="473">
      <c r="P473" s="176"/>
    </row>
    <row r="474">
      <c r="P474" s="176"/>
    </row>
    <row r="475">
      <c r="P475" s="176"/>
    </row>
    <row r="476">
      <c r="P476" s="176"/>
    </row>
    <row r="477">
      <c r="P477" s="176"/>
    </row>
    <row r="478">
      <c r="P478" s="176"/>
    </row>
    <row r="479">
      <c r="P479" s="176"/>
    </row>
    <row r="480">
      <c r="P480" s="176"/>
    </row>
    <row r="481">
      <c r="P481" s="176"/>
    </row>
    <row r="482">
      <c r="P482" s="176"/>
    </row>
    <row r="483">
      <c r="P483" s="176"/>
    </row>
    <row r="484">
      <c r="P484" s="176"/>
    </row>
    <row r="485">
      <c r="P485" s="176"/>
    </row>
    <row r="486">
      <c r="P486" s="176"/>
    </row>
    <row r="487">
      <c r="P487" s="176"/>
    </row>
    <row r="488">
      <c r="P488" s="176"/>
    </row>
    <row r="489">
      <c r="P489" s="176"/>
    </row>
    <row r="490">
      <c r="P490" s="176"/>
    </row>
    <row r="491">
      <c r="P491" s="176"/>
    </row>
    <row r="492">
      <c r="P492" s="176"/>
    </row>
    <row r="493">
      <c r="P493" s="176"/>
    </row>
    <row r="494">
      <c r="P494" s="176"/>
    </row>
    <row r="495">
      <c r="P495" s="176"/>
    </row>
    <row r="496">
      <c r="P496" s="176"/>
    </row>
    <row r="497">
      <c r="P497" s="176"/>
    </row>
    <row r="498">
      <c r="P498" s="176"/>
    </row>
    <row r="499">
      <c r="P499" s="176"/>
    </row>
    <row r="500">
      <c r="P500" s="176"/>
    </row>
    <row r="501">
      <c r="P501" s="176"/>
    </row>
    <row r="502">
      <c r="P502" s="176"/>
    </row>
    <row r="503">
      <c r="P503" s="176"/>
    </row>
    <row r="504">
      <c r="P504" s="176"/>
    </row>
    <row r="505">
      <c r="P505" s="176"/>
    </row>
    <row r="506">
      <c r="P506" s="176"/>
    </row>
    <row r="507">
      <c r="P507" s="176"/>
    </row>
    <row r="508">
      <c r="P508" s="176"/>
    </row>
    <row r="509">
      <c r="P509" s="176"/>
    </row>
    <row r="510">
      <c r="P510" s="176"/>
    </row>
    <row r="511">
      <c r="P511" s="176"/>
    </row>
    <row r="512">
      <c r="P512" s="176"/>
    </row>
    <row r="513">
      <c r="P513" s="176"/>
    </row>
    <row r="514">
      <c r="P514" s="176"/>
    </row>
    <row r="515">
      <c r="P515" s="176"/>
    </row>
    <row r="516">
      <c r="P516" s="176"/>
    </row>
    <row r="517">
      <c r="P517" s="176"/>
    </row>
    <row r="518">
      <c r="P518" s="176"/>
    </row>
    <row r="519">
      <c r="P519" s="176"/>
    </row>
    <row r="520">
      <c r="P520" s="176"/>
    </row>
    <row r="521">
      <c r="P521" s="176"/>
    </row>
    <row r="522">
      <c r="P522" s="176"/>
    </row>
    <row r="523">
      <c r="P523" s="176"/>
    </row>
    <row r="524">
      <c r="P524" s="176"/>
    </row>
    <row r="525">
      <c r="P525" s="176"/>
    </row>
    <row r="526">
      <c r="P526" s="176"/>
    </row>
    <row r="527">
      <c r="P527" s="176"/>
    </row>
    <row r="528">
      <c r="P528" s="176"/>
    </row>
    <row r="529">
      <c r="P529" s="176"/>
    </row>
    <row r="530">
      <c r="P530" s="176"/>
    </row>
    <row r="531">
      <c r="P531" s="176"/>
    </row>
    <row r="532">
      <c r="P532" s="176"/>
    </row>
    <row r="533">
      <c r="P533" s="176"/>
    </row>
    <row r="534">
      <c r="P534" s="176"/>
    </row>
    <row r="535">
      <c r="P535" s="176"/>
    </row>
    <row r="536">
      <c r="P536" s="176"/>
    </row>
    <row r="537">
      <c r="P537" s="176"/>
    </row>
    <row r="538">
      <c r="P538" s="176"/>
    </row>
    <row r="539">
      <c r="P539" s="176"/>
    </row>
    <row r="540">
      <c r="P540" s="176"/>
    </row>
    <row r="541">
      <c r="P541" s="176"/>
    </row>
    <row r="542">
      <c r="P542" s="176"/>
    </row>
    <row r="543">
      <c r="P543" s="176"/>
    </row>
    <row r="544">
      <c r="P544" s="176"/>
    </row>
    <row r="545">
      <c r="P545" s="176"/>
    </row>
    <row r="546">
      <c r="P546" s="176"/>
    </row>
    <row r="547">
      <c r="P547" s="176"/>
    </row>
    <row r="548">
      <c r="P548" s="176"/>
    </row>
    <row r="549">
      <c r="P549" s="176"/>
    </row>
    <row r="550">
      <c r="P550" s="176"/>
    </row>
    <row r="551">
      <c r="P551" s="176"/>
    </row>
    <row r="552">
      <c r="P552" s="176"/>
    </row>
    <row r="553">
      <c r="P553" s="176"/>
    </row>
    <row r="554">
      <c r="P554" s="176"/>
    </row>
    <row r="555">
      <c r="P555" s="176"/>
    </row>
    <row r="556">
      <c r="P556" s="176"/>
    </row>
    <row r="557">
      <c r="P557" s="176"/>
    </row>
    <row r="558">
      <c r="P558" s="176"/>
    </row>
    <row r="559">
      <c r="P559" s="176"/>
    </row>
    <row r="560">
      <c r="P560" s="176"/>
    </row>
    <row r="561">
      <c r="P561" s="176"/>
    </row>
    <row r="562">
      <c r="P562" s="176"/>
    </row>
    <row r="563">
      <c r="P563" s="176"/>
    </row>
    <row r="564">
      <c r="P564" s="176"/>
    </row>
    <row r="565">
      <c r="P565" s="176"/>
    </row>
    <row r="566">
      <c r="P566" s="176"/>
    </row>
    <row r="567">
      <c r="P567" s="176"/>
    </row>
    <row r="568">
      <c r="P568" s="176"/>
    </row>
    <row r="569">
      <c r="P569" s="176"/>
    </row>
    <row r="570">
      <c r="P570" s="176"/>
    </row>
    <row r="571">
      <c r="P571" s="176"/>
    </row>
    <row r="572">
      <c r="P572" s="176"/>
    </row>
    <row r="573">
      <c r="P573" s="176"/>
    </row>
    <row r="574">
      <c r="P574" s="176"/>
    </row>
    <row r="575">
      <c r="P575" s="176"/>
    </row>
    <row r="576">
      <c r="P576" s="176"/>
    </row>
    <row r="577">
      <c r="P577" s="176"/>
    </row>
    <row r="578">
      <c r="P578" s="176"/>
    </row>
    <row r="579">
      <c r="P579" s="176"/>
    </row>
    <row r="580">
      <c r="P580" s="176"/>
    </row>
    <row r="581">
      <c r="P581" s="176"/>
    </row>
    <row r="582">
      <c r="P582" s="176"/>
    </row>
    <row r="583">
      <c r="P583" s="176"/>
    </row>
    <row r="584">
      <c r="P584" s="176"/>
    </row>
    <row r="585">
      <c r="P585" s="176"/>
    </row>
    <row r="586">
      <c r="P586" s="176"/>
    </row>
    <row r="587">
      <c r="P587" s="176"/>
    </row>
    <row r="588">
      <c r="P588" s="176"/>
    </row>
    <row r="589">
      <c r="P589" s="176"/>
    </row>
    <row r="590">
      <c r="P590" s="176"/>
    </row>
    <row r="591">
      <c r="P591" s="176"/>
    </row>
    <row r="592">
      <c r="P592" s="176"/>
    </row>
    <row r="593">
      <c r="P593" s="176"/>
    </row>
    <row r="594">
      <c r="P594" s="176"/>
    </row>
    <row r="595">
      <c r="P595" s="176"/>
    </row>
    <row r="596">
      <c r="P596" s="176"/>
    </row>
    <row r="597">
      <c r="P597" s="176"/>
    </row>
    <row r="598">
      <c r="P598" s="176"/>
    </row>
    <row r="599">
      <c r="P599" s="176"/>
    </row>
    <row r="600">
      <c r="P600" s="176"/>
    </row>
    <row r="601">
      <c r="P601" s="176"/>
    </row>
    <row r="602">
      <c r="P602" s="176"/>
    </row>
    <row r="603">
      <c r="P603" s="176"/>
    </row>
    <row r="604">
      <c r="P604" s="176"/>
    </row>
    <row r="605">
      <c r="P605" s="176"/>
    </row>
    <row r="606">
      <c r="P606" s="176"/>
    </row>
    <row r="607">
      <c r="P607" s="176"/>
    </row>
    <row r="608">
      <c r="P608" s="176"/>
    </row>
    <row r="609">
      <c r="P609" s="176"/>
    </row>
    <row r="610">
      <c r="P610" s="176"/>
    </row>
    <row r="611">
      <c r="P611" s="176"/>
    </row>
    <row r="612">
      <c r="P612" s="176"/>
    </row>
    <row r="613">
      <c r="P613" s="176"/>
    </row>
    <row r="614">
      <c r="P614" s="176"/>
    </row>
    <row r="615">
      <c r="P615" s="176"/>
    </row>
    <row r="616">
      <c r="P616" s="176"/>
    </row>
    <row r="617">
      <c r="P617" s="176"/>
    </row>
    <row r="618">
      <c r="P618" s="176"/>
    </row>
    <row r="619">
      <c r="P619" s="176"/>
    </row>
    <row r="620">
      <c r="P620" s="176"/>
    </row>
    <row r="621">
      <c r="P621" s="176"/>
    </row>
    <row r="622">
      <c r="P622" s="176"/>
    </row>
    <row r="623">
      <c r="P623" s="176"/>
    </row>
    <row r="624">
      <c r="P624" s="176"/>
    </row>
    <row r="625">
      <c r="P625" s="176"/>
    </row>
    <row r="626">
      <c r="P626" s="176"/>
    </row>
    <row r="627">
      <c r="P627" s="176"/>
    </row>
    <row r="628">
      <c r="P628" s="176"/>
    </row>
    <row r="629">
      <c r="P629" s="176"/>
    </row>
    <row r="630">
      <c r="P630" s="176"/>
    </row>
    <row r="631">
      <c r="P631" s="176"/>
    </row>
    <row r="632">
      <c r="P632" s="176"/>
    </row>
    <row r="633">
      <c r="P633" s="176"/>
    </row>
    <row r="634">
      <c r="P634" s="176"/>
    </row>
    <row r="635">
      <c r="P635" s="176"/>
    </row>
    <row r="636">
      <c r="P636" s="176"/>
    </row>
    <row r="637">
      <c r="P637" s="176"/>
    </row>
    <row r="638">
      <c r="P638" s="176"/>
    </row>
    <row r="639">
      <c r="P639" s="176"/>
    </row>
    <row r="640">
      <c r="P640" s="176"/>
    </row>
    <row r="641">
      <c r="P641" s="176"/>
    </row>
    <row r="642">
      <c r="P642" s="176"/>
    </row>
    <row r="643">
      <c r="P643" s="176"/>
    </row>
    <row r="644">
      <c r="P644" s="176"/>
    </row>
    <row r="645">
      <c r="P645" s="176"/>
    </row>
    <row r="646">
      <c r="P646" s="176"/>
    </row>
    <row r="647">
      <c r="P647" s="176"/>
    </row>
    <row r="648">
      <c r="P648" s="176"/>
    </row>
    <row r="649">
      <c r="P649" s="176"/>
    </row>
    <row r="650">
      <c r="P650" s="176"/>
    </row>
    <row r="651">
      <c r="P651" s="176"/>
    </row>
    <row r="652">
      <c r="P652" s="176"/>
    </row>
    <row r="653">
      <c r="P653" s="176"/>
    </row>
    <row r="654">
      <c r="P654" s="176"/>
    </row>
    <row r="655">
      <c r="P655" s="176"/>
    </row>
    <row r="656">
      <c r="P656" s="176"/>
    </row>
    <row r="657">
      <c r="P657" s="176"/>
    </row>
    <row r="658">
      <c r="P658" s="176"/>
    </row>
    <row r="659">
      <c r="P659" s="176"/>
    </row>
    <row r="660">
      <c r="P660" s="176"/>
    </row>
    <row r="661">
      <c r="P661" s="176"/>
    </row>
    <row r="662">
      <c r="P662" s="176"/>
    </row>
    <row r="663">
      <c r="P663" s="176"/>
    </row>
    <row r="664">
      <c r="P664" s="176"/>
    </row>
    <row r="665">
      <c r="P665" s="176"/>
    </row>
    <row r="666">
      <c r="P666" s="176"/>
    </row>
    <row r="667">
      <c r="P667" s="176"/>
    </row>
    <row r="668">
      <c r="P668" s="176"/>
    </row>
    <row r="669">
      <c r="P669" s="176"/>
    </row>
    <row r="670">
      <c r="P670" s="176"/>
    </row>
    <row r="671">
      <c r="P671" s="176"/>
    </row>
    <row r="672">
      <c r="P672" s="176"/>
    </row>
    <row r="673">
      <c r="P673" s="176"/>
    </row>
    <row r="674">
      <c r="P674" s="176"/>
    </row>
    <row r="675">
      <c r="P675" s="176"/>
    </row>
    <row r="676">
      <c r="P676" s="176"/>
    </row>
    <row r="677">
      <c r="P677" s="176"/>
    </row>
    <row r="678">
      <c r="P678" s="176"/>
    </row>
    <row r="679">
      <c r="P679" s="176"/>
    </row>
    <row r="680">
      <c r="P680" s="176"/>
    </row>
    <row r="681">
      <c r="P681" s="176"/>
    </row>
    <row r="682">
      <c r="P682" s="176"/>
    </row>
    <row r="683">
      <c r="P683" s="176"/>
    </row>
    <row r="684">
      <c r="P684" s="176"/>
    </row>
    <row r="685">
      <c r="P685" s="176"/>
    </row>
    <row r="686">
      <c r="P686" s="176"/>
    </row>
    <row r="687">
      <c r="P687" s="176"/>
    </row>
    <row r="688">
      <c r="P688" s="176"/>
    </row>
    <row r="689">
      <c r="P689" s="176"/>
    </row>
    <row r="690">
      <c r="P690" s="176"/>
    </row>
    <row r="691">
      <c r="P691" s="176"/>
    </row>
    <row r="692">
      <c r="P692" s="176"/>
    </row>
    <row r="693">
      <c r="P693" s="176"/>
    </row>
    <row r="694">
      <c r="P694" s="176"/>
    </row>
    <row r="695">
      <c r="P695" s="176"/>
    </row>
    <row r="696">
      <c r="P696" s="176"/>
    </row>
    <row r="697">
      <c r="P697" s="176"/>
    </row>
    <row r="698">
      <c r="P698" s="176"/>
    </row>
    <row r="699">
      <c r="P699" s="176"/>
    </row>
    <row r="700">
      <c r="P700" s="176"/>
    </row>
    <row r="701">
      <c r="P701" s="176"/>
    </row>
    <row r="702">
      <c r="P702" s="176"/>
    </row>
    <row r="703">
      <c r="P703" s="176"/>
    </row>
    <row r="704">
      <c r="P704" s="176"/>
    </row>
    <row r="705">
      <c r="P705" s="176"/>
    </row>
    <row r="706">
      <c r="P706" s="176"/>
    </row>
    <row r="707">
      <c r="P707" s="176"/>
    </row>
    <row r="708">
      <c r="P708" s="176"/>
    </row>
    <row r="709">
      <c r="P709" s="176"/>
    </row>
    <row r="710">
      <c r="P710" s="176"/>
    </row>
    <row r="711">
      <c r="P711" s="176"/>
    </row>
    <row r="712">
      <c r="P712" s="176"/>
    </row>
    <row r="713">
      <c r="P713" s="176"/>
    </row>
    <row r="714">
      <c r="P714" s="176"/>
    </row>
    <row r="715">
      <c r="P715" s="176"/>
    </row>
    <row r="716">
      <c r="P716" s="176"/>
    </row>
    <row r="717">
      <c r="P717" s="176"/>
    </row>
    <row r="718">
      <c r="P718" s="176"/>
    </row>
    <row r="719">
      <c r="P719" s="176"/>
    </row>
    <row r="720">
      <c r="P720" s="176"/>
    </row>
    <row r="721">
      <c r="P721" s="176"/>
    </row>
    <row r="722">
      <c r="P722" s="176"/>
    </row>
    <row r="723">
      <c r="P723" s="176"/>
    </row>
    <row r="724">
      <c r="P724" s="176"/>
    </row>
    <row r="725">
      <c r="P725" s="176"/>
    </row>
    <row r="726">
      <c r="P726" s="176"/>
    </row>
    <row r="727">
      <c r="P727" s="176"/>
    </row>
    <row r="728">
      <c r="P728" s="176"/>
    </row>
    <row r="729">
      <c r="P729" s="176"/>
    </row>
    <row r="730">
      <c r="P730" s="176"/>
    </row>
    <row r="731">
      <c r="P731" s="176"/>
    </row>
    <row r="732">
      <c r="P732" s="176"/>
    </row>
    <row r="733">
      <c r="P733" s="176"/>
    </row>
    <row r="734">
      <c r="P734" s="176"/>
    </row>
    <row r="735">
      <c r="P735" s="176"/>
    </row>
    <row r="736">
      <c r="P736" s="176"/>
    </row>
    <row r="737">
      <c r="P737" s="176"/>
    </row>
    <row r="738">
      <c r="P738" s="176"/>
    </row>
    <row r="739">
      <c r="P739" s="176"/>
    </row>
    <row r="740">
      <c r="P740" s="176"/>
    </row>
    <row r="741">
      <c r="P741" s="176"/>
    </row>
    <row r="742">
      <c r="P742" s="176"/>
    </row>
    <row r="743">
      <c r="P743" s="176"/>
    </row>
    <row r="744">
      <c r="P744" s="176"/>
    </row>
    <row r="745">
      <c r="P745" s="176"/>
    </row>
    <row r="746">
      <c r="P746" s="176"/>
    </row>
    <row r="747">
      <c r="P747" s="176"/>
    </row>
    <row r="748">
      <c r="P748" s="176"/>
    </row>
    <row r="749">
      <c r="P749" s="176"/>
    </row>
    <row r="750">
      <c r="P750" s="176"/>
    </row>
    <row r="751">
      <c r="P751" s="176"/>
    </row>
    <row r="752">
      <c r="P752" s="176"/>
    </row>
    <row r="753">
      <c r="P753" s="176"/>
    </row>
    <row r="754">
      <c r="P754" s="176"/>
    </row>
    <row r="755">
      <c r="P755" s="176"/>
    </row>
    <row r="756">
      <c r="P756" s="176"/>
    </row>
    <row r="757">
      <c r="P757" s="176"/>
    </row>
    <row r="758">
      <c r="P758" s="176"/>
    </row>
    <row r="759">
      <c r="P759" s="176"/>
    </row>
    <row r="760">
      <c r="P760" s="176"/>
    </row>
    <row r="761">
      <c r="P761" s="176"/>
    </row>
    <row r="762">
      <c r="P762" s="176"/>
    </row>
    <row r="763">
      <c r="P763" s="176"/>
    </row>
    <row r="764">
      <c r="P764" s="176"/>
    </row>
    <row r="765">
      <c r="P765" s="176"/>
    </row>
    <row r="766">
      <c r="P766" s="176"/>
    </row>
    <row r="767">
      <c r="P767" s="176"/>
    </row>
    <row r="768">
      <c r="P768" s="176"/>
    </row>
    <row r="769">
      <c r="P769" s="176"/>
    </row>
    <row r="770">
      <c r="P770" s="176"/>
    </row>
    <row r="771">
      <c r="P771" s="176"/>
    </row>
    <row r="772">
      <c r="P772" s="176"/>
    </row>
    <row r="773">
      <c r="P773" s="176"/>
    </row>
    <row r="774">
      <c r="P774" s="176"/>
    </row>
    <row r="775">
      <c r="P775" s="176"/>
    </row>
    <row r="776">
      <c r="P776" s="176"/>
    </row>
    <row r="777">
      <c r="P777" s="176"/>
    </row>
    <row r="778">
      <c r="P778" s="176"/>
    </row>
    <row r="779">
      <c r="P779" s="176"/>
    </row>
    <row r="780">
      <c r="P780" s="176"/>
    </row>
    <row r="781">
      <c r="P781" s="176"/>
    </row>
    <row r="782">
      <c r="P782" s="176"/>
    </row>
    <row r="783">
      <c r="P783" s="176"/>
    </row>
    <row r="784">
      <c r="P784" s="176"/>
    </row>
    <row r="785">
      <c r="P785" s="176"/>
    </row>
    <row r="786">
      <c r="P786" s="176"/>
    </row>
    <row r="787">
      <c r="P787" s="176"/>
    </row>
    <row r="788">
      <c r="P788" s="176"/>
    </row>
    <row r="789">
      <c r="P789" s="176"/>
    </row>
    <row r="790">
      <c r="P790" s="176"/>
    </row>
    <row r="791">
      <c r="P791" s="176"/>
    </row>
    <row r="792">
      <c r="P792" s="176"/>
    </row>
    <row r="793">
      <c r="P793" s="176"/>
    </row>
    <row r="794">
      <c r="P794" s="176"/>
    </row>
    <row r="795">
      <c r="P795" s="176"/>
    </row>
    <row r="796">
      <c r="P796" s="176"/>
    </row>
    <row r="797">
      <c r="P797" s="176"/>
    </row>
    <row r="798">
      <c r="P798" s="176"/>
    </row>
    <row r="799">
      <c r="P799" s="176"/>
    </row>
    <row r="800">
      <c r="P800" s="176"/>
    </row>
    <row r="801">
      <c r="P801" s="176"/>
    </row>
    <row r="802">
      <c r="P802" s="176"/>
    </row>
    <row r="803">
      <c r="P803" s="176"/>
    </row>
    <row r="804">
      <c r="P804" s="176"/>
    </row>
    <row r="805">
      <c r="P805" s="176"/>
    </row>
    <row r="806">
      <c r="P806" s="176"/>
    </row>
    <row r="807">
      <c r="P807" s="176"/>
    </row>
    <row r="808">
      <c r="P808" s="176"/>
    </row>
    <row r="809">
      <c r="P809" s="176"/>
    </row>
    <row r="810">
      <c r="P810" s="176"/>
    </row>
    <row r="811">
      <c r="P811" s="176"/>
    </row>
    <row r="812">
      <c r="P812" s="176"/>
    </row>
    <row r="813">
      <c r="P813" s="176"/>
    </row>
    <row r="814">
      <c r="P814" s="176"/>
    </row>
    <row r="815">
      <c r="P815" s="176"/>
    </row>
    <row r="816">
      <c r="P816" s="176"/>
    </row>
    <row r="817">
      <c r="P817" s="176"/>
    </row>
    <row r="818">
      <c r="P818" s="176"/>
    </row>
    <row r="819">
      <c r="P819" s="176"/>
    </row>
    <row r="820">
      <c r="P820" s="176"/>
    </row>
    <row r="821">
      <c r="P821" s="176"/>
    </row>
    <row r="822">
      <c r="P822" s="176"/>
    </row>
    <row r="823">
      <c r="P823" s="176"/>
    </row>
    <row r="824">
      <c r="P824" s="176"/>
    </row>
    <row r="825">
      <c r="P825" s="176"/>
    </row>
    <row r="826">
      <c r="P826" s="176"/>
    </row>
    <row r="827">
      <c r="P827" s="176"/>
    </row>
    <row r="828">
      <c r="P828" s="176"/>
    </row>
    <row r="829">
      <c r="P829" s="176"/>
    </row>
    <row r="830">
      <c r="P830" s="176"/>
    </row>
    <row r="831">
      <c r="P831" s="176"/>
    </row>
    <row r="832">
      <c r="P832" s="176"/>
    </row>
    <row r="833">
      <c r="P833" s="176"/>
    </row>
    <row r="834">
      <c r="P834" s="176"/>
    </row>
    <row r="835">
      <c r="P835" s="176"/>
    </row>
    <row r="836">
      <c r="P836" s="176"/>
    </row>
    <row r="837">
      <c r="P837" s="176"/>
    </row>
    <row r="838">
      <c r="P838" s="176"/>
    </row>
    <row r="839">
      <c r="P839" s="176"/>
    </row>
    <row r="840">
      <c r="P840" s="176"/>
    </row>
    <row r="841">
      <c r="P841" s="176"/>
    </row>
    <row r="842">
      <c r="P842" s="176"/>
    </row>
    <row r="843">
      <c r="P843" s="176"/>
    </row>
    <row r="844">
      <c r="P844" s="176"/>
    </row>
    <row r="845">
      <c r="P845" s="176"/>
    </row>
    <row r="846">
      <c r="P846" s="176"/>
    </row>
    <row r="847">
      <c r="P847" s="176"/>
    </row>
    <row r="848">
      <c r="P848" s="176"/>
    </row>
    <row r="849">
      <c r="P849" s="176"/>
    </row>
    <row r="850">
      <c r="P850" s="176"/>
    </row>
    <row r="851">
      <c r="P851" s="176"/>
    </row>
    <row r="852">
      <c r="P852" s="176"/>
    </row>
    <row r="853">
      <c r="P853" s="176"/>
    </row>
    <row r="854">
      <c r="P854" s="176"/>
    </row>
    <row r="855">
      <c r="P855" s="176"/>
    </row>
    <row r="856">
      <c r="P856" s="176"/>
    </row>
    <row r="857">
      <c r="P857" s="176"/>
    </row>
    <row r="858">
      <c r="P858" s="176"/>
    </row>
    <row r="859">
      <c r="P859" s="176"/>
    </row>
    <row r="860">
      <c r="P860" s="176"/>
    </row>
    <row r="861">
      <c r="P861" s="176"/>
    </row>
    <row r="862">
      <c r="P862" s="176"/>
    </row>
    <row r="863">
      <c r="P863" s="176"/>
    </row>
    <row r="864">
      <c r="P864" s="176"/>
    </row>
    <row r="865">
      <c r="P865" s="176"/>
    </row>
    <row r="866">
      <c r="P866" s="176"/>
    </row>
    <row r="867">
      <c r="P867" s="176"/>
    </row>
    <row r="868">
      <c r="P868" s="176"/>
    </row>
    <row r="869">
      <c r="P869" s="176"/>
    </row>
    <row r="870">
      <c r="P870" s="176"/>
    </row>
    <row r="871">
      <c r="P871" s="176"/>
    </row>
    <row r="872">
      <c r="P872" s="176"/>
    </row>
    <row r="873">
      <c r="P873" s="176"/>
    </row>
    <row r="874">
      <c r="P874" s="176"/>
    </row>
    <row r="875">
      <c r="P875" s="176"/>
    </row>
    <row r="876">
      <c r="P876" s="176"/>
    </row>
    <row r="877">
      <c r="P877" s="176"/>
    </row>
    <row r="878">
      <c r="P878" s="176"/>
    </row>
    <row r="879">
      <c r="P879" s="176"/>
    </row>
    <row r="880">
      <c r="P880" s="176"/>
    </row>
    <row r="881">
      <c r="P881" s="176"/>
    </row>
    <row r="882">
      <c r="P882" s="176"/>
    </row>
    <row r="883">
      <c r="P883" s="176"/>
    </row>
    <row r="884">
      <c r="P884" s="176"/>
    </row>
    <row r="885">
      <c r="P885" s="176"/>
    </row>
    <row r="886">
      <c r="P886" s="176"/>
    </row>
    <row r="887">
      <c r="P887" s="176"/>
    </row>
    <row r="888">
      <c r="P888" s="176"/>
    </row>
    <row r="889">
      <c r="P889" s="176"/>
    </row>
    <row r="890">
      <c r="P890" s="176"/>
    </row>
    <row r="891">
      <c r="P891" s="176"/>
    </row>
    <row r="892">
      <c r="P892" s="176"/>
    </row>
    <row r="893">
      <c r="P893" s="176"/>
    </row>
    <row r="894">
      <c r="P894" s="176"/>
    </row>
    <row r="895">
      <c r="P895" s="176"/>
    </row>
    <row r="896">
      <c r="P896" s="176"/>
    </row>
    <row r="897">
      <c r="P897" s="176"/>
    </row>
    <row r="898">
      <c r="P898" s="176"/>
    </row>
    <row r="899">
      <c r="P899" s="176"/>
    </row>
    <row r="900">
      <c r="P900" s="176"/>
    </row>
    <row r="901">
      <c r="P901" s="176"/>
    </row>
    <row r="902">
      <c r="P902" s="176"/>
    </row>
    <row r="903">
      <c r="P903" s="176"/>
    </row>
    <row r="904">
      <c r="P904" s="176"/>
    </row>
    <row r="905">
      <c r="P905" s="176"/>
    </row>
    <row r="906">
      <c r="P906" s="176"/>
    </row>
    <row r="907">
      <c r="P907" s="176"/>
    </row>
    <row r="908">
      <c r="P908" s="176"/>
    </row>
    <row r="909">
      <c r="P909" s="176"/>
    </row>
    <row r="910">
      <c r="P910" s="176"/>
    </row>
    <row r="911">
      <c r="P911" s="176"/>
    </row>
    <row r="912">
      <c r="P912" s="176"/>
    </row>
    <row r="913">
      <c r="P913" s="176"/>
    </row>
    <row r="914">
      <c r="P914" s="176"/>
    </row>
    <row r="915">
      <c r="P915" s="176"/>
    </row>
    <row r="916">
      <c r="P916" s="176"/>
    </row>
    <row r="917">
      <c r="P917" s="176"/>
    </row>
    <row r="918">
      <c r="P918" s="176"/>
    </row>
    <row r="919">
      <c r="P919" s="176"/>
    </row>
    <row r="920">
      <c r="P920" s="176"/>
    </row>
    <row r="921">
      <c r="P921" s="176"/>
    </row>
    <row r="922">
      <c r="P922" s="176"/>
    </row>
    <row r="923">
      <c r="P923" s="176"/>
    </row>
    <row r="924">
      <c r="P924" s="176"/>
    </row>
    <row r="925">
      <c r="P925" s="176"/>
    </row>
    <row r="926">
      <c r="P926" s="176"/>
    </row>
    <row r="927">
      <c r="P927" s="176"/>
    </row>
    <row r="928">
      <c r="P928" s="176"/>
    </row>
    <row r="929">
      <c r="P929" s="176"/>
    </row>
    <row r="930">
      <c r="P930" s="176"/>
    </row>
    <row r="931">
      <c r="P931" s="176"/>
    </row>
    <row r="932">
      <c r="P932" s="176"/>
    </row>
    <row r="933">
      <c r="P933" s="176"/>
    </row>
    <row r="934">
      <c r="P934" s="176"/>
    </row>
    <row r="935">
      <c r="P935" s="176"/>
    </row>
    <row r="936">
      <c r="P936" s="176"/>
    </row>
    <row r="937">
      <c r="P937" s="176"/>
    </row>
    <row r="938">
      <c r="P938" s="176"/>
    </row>
    <row r="939">
      <c r="P939" s="176"/>
    </row>
    <row r="940">
      <c r="P940" s="176"/>
    </row>
    <row r="941">
      <c r="P941" s="176"/>
    </row>
    <row r="942">
      <c r="P942" s="176"/>
    </row>
    <row r="943">
      <c r="P943" s="176"/>
    </row>
    <row r="944">
      <c r="P944" s="176"/>
    </row>
    <row r="945">
      <c r="P945" s="176"/>
    </row>
    <row r="946">
      <c r="P946" s="176"/>
    </row>
    <row r="947">
      <c r="P947" s="176"/>
    </row>
    <row r="948">
      <c r="P948" s="176"/>
    </row>
    <row r="949">
      <c r="P949" s="176"/>
    </row>
    <row r="950">
      <c r="P950" s="176"/>
    </row>
    <row r="951">
      <c r="P951" s="176"/>
    </row>
    <row r="952">
      <c r="P952" s="176"/>
    </row>
    <row r="953">
      <c r="P953" s="176"/>
    </row>
    <row r="954">
      <c r="P954" s="176"/>
    </row>
    <row r="955">
      <c r="P955" s="176"/>
    </row>
    <row r="956">
      <c r="P956" s="176"/>
    </row>
    <row r="957">
      <c r="P957" s="176"/>
    </row>
    <row r="958">
      <c r="P958" s="176"/>
    </row>
    <row r="959">
      <c r="P959" s="176"/>
    </row>
    <row r="960">
      <c r="P960" s="176"/>
    </row>
    <row r="961">
      <c r="P961" s="176"/>
    </row>
    <row r="962">
      <c r="P962" s="176"/>
    </row>
    <row r="963">
      <c r="P963" s="176"/>
    </row>
    <row r="964">
      <c r="P964" s="176"/>
    </row>
    <row r="965">
      <c r="P965" s="176"/>
    </row>
    <row r="966">
      <c r="P966" s="176"/>
    </row>
    <row r="967">
      <c r="P967" s="176"/>
    </row>
    <row r="968">
      <c r="P968" s="176"/>
    </row>
    <row r="969">
      <c r="P969" s="176"/>
    </row>
    <row r="970">
      <c r="P970" s="176"/>
    </row>
    <row r="971">
      <c r="P971" s="176"/>
    </row>
    <row r="972">
      <c r="P972" s="176"/>
    </row>
    <row r="973">
      <c r="P973" s="176"/>
    </row>
    <row r="974">
      <c r="P974" s="176"/>
    </row>
    <row r="975">
      <c r="P975" s="176"/>
    </row>
    <row r="976">
      <c r="P976" s="176"/>
    </row>
    <row r="977">
      <c r="P977" s="176"/>
    </row>
    <row r="978">
      <c r="P978" s="176"/>
    </row>
    <row r="979">
      <c r="P979" s="176"/>
    </row>
    <row r="980">
      <c r="P980" s="176"/>
    </row>
    <row r="981">
      <c r="P981" s="176"/>
    </row>
    <row r="982">
      <c r="P982" s="176"/>
    </row>
    <row r="983">
      <c r="P983" s="176"/>
    </row>
    <row r="984">
      <c r="P984" s="176"/>
    </row>
    <row r="985">
      <c r="P985" s="176"/>
    </row>
    <row r="986">
      <c r="P986" s="176"/>
    </row>
    <row r="987">
      <c r="P987" s="176"/>
    </row>
    <row r="988">
      <c r="P988" s="176"/>
    </row>
    <row r="989">
      <c r="P989" s="176"/>
    </row>
    <row r="990">
      <c r="P990" s="176"/>
    </row>
    <row r="991">
      <c r="P991" s="176"/>
    </row>
    <row r="992">
      <c r="P992" s="176"/>
    </row>
    <row r="993">
      <c r="P993" s="176"/>
    </row>
    <row r="994">
      <c r="P994" s="176"/>
    </row>
    <row r="995">
      <c r="P995" s="176"/>
    </row>
    <row r="996">
      <c r="P996" s="176"/>
    </row>
    <row r="997">
      <c r="P997" s="176"/>
    </row>
    <row r="998">
      <c r="P998" s="176"/>
    </row>
    <row r="999">
      <c r="P999" s="176"/>
    </row>
    <row r="1000">
      <c r="P1000" s="176"/>
    </row>
    <row r="1001">
      <c r="P1001" s="176"/>
    </row>
    <row r="1002">
      <c r="P1002" s="176"/>
    </row>
    <row r="1003">
      <c r="P1003" s="176"/>
    </row>
    <row r="1004">
      <c r="P1004" s="176"/>
    </row>
    <row r="1005">
      <c r="P1005" s="176"/>
    </row>
    <row r="1006">
      <c r="P1006" s="176"/>
    </row>
    <row r="1007">
      <c r="P1007" s="176"/>
    </row>
    <row r="1008">
      <c r="P1008" s="176"/>
    </row>
    <row r="1009">
      <c r="P1009" s="176"/>
    </row>
    <row r="1010">
      <c r="P1010" s="176"/>
    </row>
    <row r="1011">
      <c r="P1011" s="176"/>
    </row>
    <row r="1012">
      <c r="P1012" s="176"/>
    </row>
    <row r="1013">
      <c r="P1013" s="176"/>
    </row>
    <row r="1014">
      <c r="P1014" s="176"/>
    </row>
    <row r="1015">
      <c r="P1015" s="176"/>
    </row>
    <row r="1016">
      <c r="P1016" s="176"/>
    </row>
    <row r="1017">
      <c r="P1017" s="176"/>
    </row>
    <row r="1018">
      <c r="P1018" s="176"/>
    </row>
    <row r="1019">
      <c r="P1019" s="176"/>
    </row>
    <row r="1020">
      <c r="P1020" s="176"/>
    </row>
    <row r="1021">
      <c r="P1021" s="176"/>
    </row>
    <row r="1022">
      <c r="P1022" s="176"/>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1"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45 weeks ago</v>
      </c>
      <c r="B1" s="452" t="s">
        <v>2155</v>
      </c>
      <c r="C1" s="452" t="str">
        <f>IFERROR(IF(NOW(), _COEFF_ssop()),"")</f>
        <v/>
      </c>
      <c r="D1" s="452" t="s">
        <v>2155</v>
      </c>
      <c r="E1" s="452" t="s">
        <v>2155</v>
      </c>
      <c r="F1" s="452" t="s">
        <v>2155</v>
      </c>
      <c r="G1" s="452" t="s">
        <v>2155</v>
      </c>
      <c r="H1" s="452" t="s">
        <v>2155</v>
      </c>
      <c r="I1" s="452" t="s">
        <v>2155</v>
      </c>
      <c r="J1" s="452"/>
      <c r="K1" s="452" t="s">
        <v>2155</v>
      </c>
      <c r="L1" s="452" t="s">
        <v>2155</v>
      </c>
      <c r="M1" s="452" t="s">
        <v>2155</v>
      </c>
      <c r="N1" s="452" t="s">
        <v>2155</v>
      </c>
      <c r="O1" s="452" t="s">
        <v>2155</v>
      </c>
      <c r="P1" s="452" t="s">
        <v>2155</v>
      </c>
      <c r="Q1" s="452" t="s">
        <v>2155</v>
      </c>
      <c r="R1" s="453" t="s">
        <v>2155</v>
      </c>
      <c r="S1" s="452" t="s">
        <v>2155</v>
      </c>
      <c r="T1" s="452" t="s">
        <v>2155</v>
      </c>
      <c r="U1" s="452" t="s">
        <v>2155</v>
      </c>
      <c r="V1" s="452" t="s">
        <v>2155</v>
      </c>
      <c r="W1" s="453" t="s">
        <v>2155</v>
      </c>
      <c r="X1" s="453"/>
      <c r="Y1" s="453" t="s">
        <v>2155</v>
      </c>
      <c r="Z1" s="452" t="s">
        <v>2155</v>
      </c>
      <c r="AA1" s="454"/>
      <c r="AB1" s="455"/>
      <c r="AC1" s="454"/>
      <c r="AD1" s="454"/>
      <c r="AE1" s="454"/>
      <c r="AF1" s="454"/>
      <c r="AG1" s="454"/>
      <c r="AH1" s="452"/>
      <c r="AI1" s="452"/>
      <c r="AJ1" s="454"/>
      <c r="AK1" s="454"/>
      <c r="AL1" s="454"/>
      <c r="AM1" s="454"/>
      <c r="AN1" s="454"/>
      <c r="AO1" s="454"/>
      <c r="AP1" s="456"/>
      <c r="AQ1" s="454"/>
    </row>
    <row r="2">
      <c r="A2" s="457" t="s">
        <v>2156</v>
      </c>
      <c r="B2" s="458" t="s">
        <v>2157</v>
      </c>
      <c r="C2" s="458" t="s">
        <v>2158</v>
      </c>
      <c r="D2" s="458" t="s">
        <v>2159</v>
      </c>
      <c r="E2" s="458" t="s">
        <v>2160</v>
      </c>
      <c r="F2" s="458" t="s">
        <v>2161</v>
      </c>
      <c r="G2" s="458" t="s">
        <v>2162</v>
      </c>
      <c r="H2" s="458" t="s">
        <v>2163</v>
      </c>
      <c r="I2" s="458" t="s">
        <v>2164</v>
      </c>
      <c r="J2" s="458"/>
      <c r="K2" s="458" t="s">
        <v>2165</v>
      </c>
      <c r="L2" s="458" t="s">
        <v>2166</v>
      </c>
      <c r="M2" s="458" t="s">
        <v>2167</v>
      </c>
      <c r="N2" s="458" t="s">
        <v>2168</v>
      </c>
      <c r="O2" s="458" t="s">
        <v>2169</v>
      </c>
      <c r="P2" s="458" t="s">
        <v>2170</v>
      </c>
      <c r="Q2" s="458" t="s">
        <v>2171</v>
      </c>
      <c r="R2" s="459" t="s">
        <v>2172</v>
      </c>
      <c r="S2" s="458" t="s">
        <v>2173</v>
      </c>
      <c r="T2" s="458" t="s">
        <v>2174</v>
      </c>
      <c r="U2" s="458" t="s">
        <v>2175</v>
      </c>
      <c r="V2" s="458" t="s">
        <v>2176</v>
      </c>
      <c r="W2" s="459" t="s">
        <v>2177</v>
      </c>
      <c r="X2" s="459"/>
      <c r="Y2" s="459" t="s">
        <v>2178</v>
      </c>
      <c r="Z2" s="458" t="s">
        <v>2179</v>
      </c>
      <c r="AA2" s="460" t="s">
        <v>2180</v>
      </c>
      <c r="AB2" s="460" t="s">
        <v>2181</v>
      </c>
      <c r="AC2" s="460" t="s">
        <v>2182</v>
      </c>
      <c r="AD2" s="460" t="s">
        <v>2183</v>
      </c>
      <c r="AE2" s="460" t="s">
        <v>2184</v>
      </c>
      <c r="AF2" s="461" t="s">
        <v>2185</v>
      </c>
      <c r="AG2" s="460" t="s">
        <v>2186</v>
      </c>
      <c r="AH2" s="458" t="s">
        <v>2187</v>
      </c>
      <c r="AI2" s="458" t="s">
        <v>2188</v>
      </c>
      <c r="AJ2" s="460" t="s">
        <v>2189</v>
      </c>
      <c r="AK2" s="462" t="s">
        <v>2190</v>
      </c>
      <c r="AL2" s="462" t="s">
        <v>2191</v>
      </c>
      <c r="AM2" s="462" t="s">
        <v>2192</v>
      </c>
      <c r="AN2" s="462" t="s">
        <v>2193</v>
      </c>
      <c r="AO2" s="462" t="s">
        <v>2194</v>
      </c>
      <c r="AP2" s="462" t="s">
        <v>2195</v>
      </c>
      <c r="AQ2" s="460" t="s">
        <v>2196</v>
      </c>
    </row>
    <row r="3">
      <c r="A3" s="3" t="s">
        <v>2197</v>
      </c>
      <c r="B3" s="463">
        <v>45726.898148148146</v>
      </c>
      <c r="C3" s="463">
        <v>45729.897523148145</v>
      </c>
      <c r="D3" s="84">
        <v>8052.36</v>
      </c>
      <c r="E3" s="84">
        <v>36657.44</v>
      </c>
      <c r="F3" s="84">
        <v>36.66</v>
      </c>
      <c r="G3" s="84">
        <v>301.96</v>
      </c>
      <c r="H3" s="84">
        <v>328.0</v>
      </c>
      <c r="I3" s="84">
        <v>8018.41</v>
      </c>
      <c r="J3" s="84"/>
      <c r="K3" s="84">
        <v>8178.0</v>
      </c>
      <c r="L3" s="84">
        <v>800.0</v>
      </c>
      <c r="M3" s="84">
        <v>8978.0</v>
      </c>
      <c r="N3" s="84"/>
      <c r="P3" s="1">
        <v>3.0</v>
      </c>
      <c r="Q3" s="84">
        <v>75.0</v>
      </c>
      <c r="R3" s="446"/>
      <c r="S3" s="84"/>
      <c r="U3" s="1">
        <v>3.0</v>
      </c>
      <c r="V3" s="84">
        <v>0.0</v>
      </c>
      <c r="W3" s="446"/>
      <c r="X3" s="446"/>
      <c r="Y3" s="446">
        <v>4.25</v>
      </c>
      <c r="Z3" s="86" t="s">
        <v>2198</v>
      </c>
      <c r="AA3" s="90">
        <f t="array" ref="AA3">XLOOKUP(P3,'Dipstick Matrix'!$A$2:$A$10, XLOOKUP(Q3,'Dipstick Matrix'!$B$1:$E$1,'Dipstick Matrix'!$B$2:$E$10))</f>
        <v>34</v>
      </c>
      <c r="AC3" s="90">
        <f t="array" ref="AC3">XLOOKUP(U3,'Dipstick Matrix'!$A$2:$A$10, XLOOKUP(V3,'Dipstick Matrix'!$B$1:$E$1,'Dipstick Matrix'!$B$2:$E$10))</f>
        <v>22</v>
      </c>
      <c r="AF3" s="90" t="str">
        <f t="shared" ref="AF3:AF34" si="1">XLOOKUP(A3,'Salt left in blending tank'!A:A,'Salt left in blending tank'!F:F)</f>
        <v>#REF!</v>
      </c>
      <c r="AG3" s="90" t="str">
        <f t="shared" ref="AG3:AG60" si="2">M3-AE3-AF3</f>
        <v>#REF!</v>
      </c>
      <c r="AH3" s="84"/>
      <c r="AI3" s="84"/>
      <c r="AJ3" s="90" t="str">
        <f t="shared" ref="AJ3:AJ36" si="3">AG3&gt;(I3/1.05)</f>
        <v>#REF!</v>
      </c>
      <c r="AK3" s="90">
        <f t="shared" ref="AK3:AK36" si="4">H3*12.76</f>
        <v>4185.28</v>
      </c>
      <c r="AL3" s="90">
        <f t="shared" ref="AL3:AL36" si="5">sum(O3,T3)-sum(AK3,M3)</f>
        <v>-13163.28</v>
      </c>
      <c r="AO3" s="90">
        <f t="shared" ref="AO3:AO33" si="6">AL3-(F3*2.20462*1000)</f>
        <v>-93984.6492</v>
      </c>
      <c r="AP3" s="90" t="str">
        <f t="shared" ref="AP3:AP36" si="7">AG3-I3</f>
        <v>#REF!</v>
      </c>
      <c r="AQ3" s="90" t="str">
        <f t="shared" ref="AQ3:AQ60" si="8">M3-AG3</f>
        <v>#REF!</v>
      </c>
    </row>
    <row r="4">
      <c r="A4" s="3" t="s">
        <v>2199</v>
      </c>
      <c r="B4" s="463">
        <v>45729.946226851855</v>
      </c>
      <c r="C4" s="463">
        <v>45733.909270833334</v>
      </c>
      <c r="D4" s="84">
        <v>8000.0</v>
      </c>
      <c r="E4" s="84">
        <v>36642.77</v>
      </c>
      <c r="F4" s="84">
        <v>36.64</v>
      </c>
      <c r="G4" s="84">
        <v>300.0</v>
      </c>
      <c r="H4" s="84">
        <v>296.0</v>
      </c>
      <c r="I4" s="84">
        <v>7437.3</v>
      </c>
      <c r="J4" s="84"/>
      <c r="K4" s="84">
        <v>7500.0</v>
      </c>
      <c r="L4" s="84">
        <v>700.0</v>
      </c>
      <c r="M4" s="84">
        <v>8200.0</v>
      </c>
      <c r="N4" s="84"/>
      <c r="O4" s="1">
        <v>44560.0</v>
      </c>
      <c r="P4" s="1">
        <v>3.0</v>
      </c>
      <c r="Q4" s="84">
        <v>0.0</v>
      </c>
      <c r="R4" s="446"/>
      <c r="S4" s="84"/>
      <c r="T4" s="1">
        <v>44540.0</v>
      </c>
      <c r="U4" s="1">
        <v>4.0</v>
      </c>
      <c r="V4" s="84">
        <v>0.0</v>
      </c>
      <c r="W4" s="446"/>
      <c r="X4" s="446"/>
      <c r="Y4" s="446">
        <v>4.35</v>
      </c>
      <c r="Z4" s="86" t="s">
        <v>2200</v>
      </c>
      <c r="AA4" s="90">
        <f t="array" ref="AA4">XLOOKUP(P4,'Dipstick Matrix'!$A$2:$A$10, XLOOKUP(Q4,'Dipstick Matrix'!$B$1:$E$1,'Dipstick Matrix'!$B$2:$E$10))</f>
        <v>22</v>
      </c>
      <c r="AB4" s="90">
        <f>((AA4-AA38)/5)*50</f>
        <v>210</v>
      </c>
      <c r="AC4" s="90">
        <f t="array" ref="AC4">XLOOKUP(U4,'Dipstick Matrix'!$A$2:$A$10, XLOOKUP(V4,'Dipstick Matrix'!$B$1:$E$1,'Dipstick Matrix'!$B$2:$E$10))</f>
        <v>39</v>
      </c>
      <c r="AD4" s="90">
        <f>((AC4-AC38)/5)*50</f>
        <v>380</v>
      </c>
      <c r="AE4" s="90">
        <f t="shared" ref="AE4:AE33" si="9">AD4+AB4</f>
        <v>590</v>
      </c>
      <c r="AF4" s="90" t="str">
        <f t="shared" si="1"/>
        <v>#REF!</v>
      </c>
      <c r="AG4" s="90" t="str">
        <f t="shared" si="2"/>
        <v>#REF!</v>
      </c>
      <c r="AH4" s="84"/>
      <c r="AI4" s="84"/>
      <c r="AJ4" s="90" t="str">
        <f t="shared" si="3"/>
        <v>#REF!</v>
      </c>
      <c r="AK4" s="90">
        <f t="shared" si="4"/>
        <v>3776.96</v>
      </c>
      <c r="AL4" s="90">
        <f t="shared" si="5"/>
        <v>77123.04</v>
      </c>
      <c r="AO4" s="90">
        <f t="shared" si="6"/>
        <v>-3654.2368</v>
      </c>
      <c r="AP4" s="90" t="str">
        <f t="shared" si="7"/>
        <v>#REF!</v>
      </c>
      <c r="AQ4" s="90" t="str">
        <f t="shared" si="8"/>
        <v>#REF!</v>
      </c>
    </row>
    <row r="5">
      <c r="A5" s="3" t="s">
        <v>2201</v>
      </c>
      <c r="B5" s="463">
        <v>45730.613854166666</v>
      </c>
      <c r="C5" s="463">
        <v>45734.951215277775</v>
      </c>
      <c r="D5" s="84">
        <v>8043.24</v>
      </c>
      <c r="E5" s="84">
        <v>36802.61</v>
      </c>
      <c r="F5" s="84">
        <v>36.8</v>
      </c>
      <c r="G5" s="84">
        <v>301.62</v>
      </c>
      <c r="H5" s="84">
        <v>296.0</v>
      </c>
      <c r="I5" s="84">
        <v>7212.55</v>
      </c>
      <c r="J5" s="84"/>
      <c r="K5" s="84">
        <v>7210.0</v>
      </c>
      <c r="L5" s="84">
        <v>475.0</v>
      </c>
      <c r="M5" s="84">
        <v>7685.0</v>
      </c>
      <c r="N5" s="84"/>
      <c r="O5" s="1">
        <v>45740.0</v>
      </c>
      <c r="P5" s="1">
        <v>3.0</v>
      </c>
      <c r="Q5" s="84">
        <v>50.0</v>
      </c>
      <c r="R5" s="446"/>
      <c r="S5" s="84"/>
      <c r="T5" s="1">
        <v>43520.0</v>
      </c>
      <c r="U5" s="1">
        <v>3.0</v>
      </c>
      <c r="V5" s="84">
        <v>50.0</v>
      </c>
      <c r="W5" s="446"/>
      <c r="X5" s="446"/>
      <c r="Y5" s="446">
        <v>4.32</v>
      </c>
      <c r="Z5" s="86" t="s">
        <v>2202</v>
      </c>
      <c r="AA5" s="90">
        <f t="array" ref="AA5">XLOOKUP(P5,'Dipstick Matrix'!$A$2:$A$10, XLOOKUP(Q5,'Dipstick Matrix'!$B$1:$E$1,'Dipstick Matrix'!$B$2:$E$10))</f>
        <v>30</v>
      </c>
      <c r="AB5" s="90">
        <f t="shared" ref="AB5:AB24" si="10">((AA5-AA4)/5)*50</f>
        <v>80</v>
      </c>
      <c r="AC5" s="90">
        <f t="array" ref="AC5">XLOOKUP(U5,'Dipstick Matrix'!$A$2:$A$10, XLOOKUP(V5,'Dipstick Matrix'!$B$1:$E$1,'Dipstick Matrix'!$B$2:$E$10))</f>
        <v>30</v>
      </c>
      <c r="AD5" s="90">
        <f t="shared" ref="AD5:AD24" si="11">((AC5-AC4)/5)*50</f>
        <v>-90</v>
      </c>
      <c r="AE5" s="90">
        <f t="shared" si="9"/>
        <v>-10</v>
      </c>
      <c r="AF5" s="90" t="str">
        <f t="shared" si="1"/>
        <v>#REF!</v>
      </c>
      <c r="AG5" s="90" t="str">
        <f t="shared" si="2"/>
        <v>#REF!</v>
      </c>
      <c r="AH5" s="84"/>
      <c r="AI5" s="84"/>
      <c r="AJ5" s="90" t="str">
        <f t="shared" si="3"/>
        <v>#REF!</v>
      </c>
      <c r="AK5" s="90">
        <f t="shared" si="4"/>
        <v>3776.96</v>
      </c>
      <c r="AL5" s="90">
        <f t="shared" si="5"/>
        <v>77798.04</v>
      </c>
      <c r="AO5" s="90">
        <f t="shared" si="6"/>
        <v>-3331.976</v>
      </c>
      <c r="AP5" s="90" t="str">
        <f t="shared" si="7"/>
        <v>#REF!</v>
      </c>
      <c r="AQ5" s="90" t="str">
        <f t="shared" si="8"/>
        <v>#REF!</v>
      </c>
    </row>
    <row r="6">
      <c r="A6" s="3" t="s">
        <v>2203</v>
      </c>
      <c r="B6" s="463">
        <v>45733.65792824074</v>
      </c>
      <c r="C6" s="463">
        <v>45736.84486111111</v>
      </c>
      <c r="D6" s="84">
        <v>8153.51</v>
      </c>
      <c r="E6" s="84">
        <v>37304.4</v>
      </c>
      <c r="F6" s="84">
        <v>37.3</v>
      </c>
      <c r="G6" s="84">
        <v>305.76</v>
      </c>
      <c r="H6" s="84">
        <v>340.0</v>
      </c>
      <c r="I6" s="84">
        <v>7621.13</v>
      </c>
      <c r="J6" s="84"/>
      <c r="K6" s="84">
        <v>7762.0</v>
      </c>
      <c r="L6" s="84">
        <v>1.0</v>
      </c>
      <c r="M6" s="84">
        <v>7763.0</v>
      </c>
      <c r="N6" s="84"/>
      <c r="O6" s="1">
        <v>44840.0</v>
      </c>
      <c r="P6" s="1">
        <v>2.0</v>
      </c>
      <c r="Q6" s="84">
        <v>75.0</v>
      </c>
      <c r="R6" s="446"/>
      <c r="S6" s="84"/>
      <c r="T6" s="1">
        <v>46720.0</v>
      </c>
      <c r="U6" s="1">
        <v>2.0</v>
      </c>
      <c r="V6" s="84">
        <v>50.0</v>
      </c>
      <c r="W6" s="446"/>
      <c r="X6" s="446"/>
      <c r="Y6" s="446">
        <v>4.31</v>
      </c>
      <c r="Z6" s="86" t="s">
        <v>2204</v>
      </c>
      <c r="AA6" s="90">
        <f t="array" ref="AA6">XLOOKUP(P6,'Dipstick Matrix'!$A$2:$A$10, XLOOKUP(Q6,'Dipstick Matrix'!$B$1:$E$1,'Dipstick Matrix'!$B$2:$E$10))</f>
        <v>19</v>
      </c>
      <c r="AB6" s="90">
        <f t="shared" si="10"/>
        <v>-110</v>
      </c>
      <c r="AC6" s="90">
        <f t="array" ref="AC6">XLOOKUP(U6,'Dipstick Matrix'!$A$2:$A$10, XLOOKUP(V6,'Dipstick Matrix'!$B$1:$E$1,'Dipstick Matrix'!$B$2:$E$10))</f>
        <v>16</v>
      </c>
      <c r="AD6" s="90">
        <f t="shared" si="11"/>
        <v>-140</v>
      </c>
      <c r="AE6" s="90">
        <f t="shared" si="9"/>
        <v>-250</v>
      </c>
      <c r="AF6" s="90" t="str">
        <f t="shared" si="1"/>
        <v>#REF!</v>
      </c>
      <c r="AG6" s="90" t="str">
        <f t="shared" si="2"/>
        <v>#REF!</v>
      </c>
      <c r="AH6" s="84"/>
      <c r="AI6" s="84"/>
      <c r="AJ6" s="90" t="str">
        <f t="shared" si="3"/>
        <v>#REF!</v>
      </c>
      <c r="AK6" s="90">
        <f t="shared" si="4"/>
        <v>4338.4</v>
      </c>
      <c r="AL6" s="90">
        <f t="shared" si="5"/>
        <v>79458.6</v>
      </c>
      <c r="AM6" s="90">
        <f t="shared" ref="AM6:AM37" si="12">AL6*0.453592</f>
        <v>36041.78529</v>
      </c>
      <c r="AN6" s="90">
        <f t="shared" ref="AN6:AN37" si="13">(O6+T6)*0.453592</f>
        <v>41530.88352</v>
      </c>
      <c r="AO6" s="90">
        <f t="shared" si="6"/>
        <v>-2773.726</v>
      </c>
      <c r="AP6" s="90" t="str">
        <f t="shared" si="7"/>
        <v>#REF!</v>
      </c>
      <c r="AQ6" s="90" t="str">
        <f t="shared" si="8"/>
        <v>#REF!</v>
      </c>
    </row>
    <row r="7">
      <c r="A7" s="3" t="s">
        <v>2205</v>
      </c>
      <c r="B7" s="463">
        <v>45735.62938657407</v>
      </c>
      <c r="C7" s="463">
        <v>45737.86853009259</v>
      </c>
      <c r="D7" s="84">
        <v>8014.0</v>
      </c>
      <c r="E7" s="84">
        <v>36867.62</v>
      </c>
      <c r="F7" s="84">
        <v>36.87</v>
      </c>
      <c r="G7" s="84">
        <v>300.52</v>
      </c>
      <c r="H7" s="84">
        <v>291.0</v>
      </c>
      <c r="I7" s="84">
        <v>7058.61</v>
      </c>
      <c r="J7" s="84"/>
      <c r="K7" s="84">
        <v>7100.0</v>
      </c>
      <c r="L7" s="84">
        <v>0.0</v>
      </c>
      <c r="M7" s="84">
        <v>7100.0</v>
      </c>
      <c r="N7" s="84"/>
      <c r="O7" s="1">
        <v>44960.0</v>
      </c>
      <c r="P7" s="1">
        <v>3.0</v>
      </c>
      <c r="Q7" s="84">
        <v>50.0</v>
      </c>
      <c r="R7" s="446"/>
      <c r="S7" s="84"/>
      <c r="T7" s="1">
        <v>44800.0</v>
      </c>
      <c r="U7" s="1">
        <v>1.0</v>
      </c>
      <c r="V7" s="84">
        <v>75.0</v>
      </c>
      <c r="W7" s="446"/>
      <c r="X7" s="446"/>
      <c r="Y7" s="446">
        <v>4.25</v>
      </c>
      <c r="Z7" s="86" t="s">
        <v>2206</v>
      </c>
      <c r="AA7" s="90">
        <f t="array" ref="AA7">XLOOKUP(P7,'Dipstick Matrix'!$A$2:$A$10, XLOOKUP(Q7,'Dipstick Matrix'!$B$1:$E$1,'Dipstick Matrix'!$B$2:$E$10))</f>
        <v>30</v>
      </c>
      <c r="AB7" s="90">
        <f t="shared" si="10"/>
        <v>110</v>
      </c>
      <c r="AC7" s="90">
        <f t="array" ref="AC7">XLOOKUP(U7,'Dipstick Matrix'!$A$2:$A$10, XLOOKUP(V7,'Dipstick Matrix'!$B$1:$E$1,'Dipstick Matrix'!$B$2:$E$10))</f>
        <v>9</v>
      </c>
      <c r="AD7" s="90">
        <f t="shared" si="11"/>
        <v>-70</v>
      </c>
      <c r="AE7" s="90">
        <f t="shared" si="9"/>
        <v>40</v>
      </c>
      <c r="AF7" s="90" t="str">
        <f t="shared" si="1"/>
        <v>#REF!</v>
      </c>
      <c r="AG7" s="90" t="str">
        <f t="shared" si="2"/>
        <v>#REF!</v>
      </c>
      <c r="AH7" s="84"/>
      <c r="AI7" s="84"/>
      <c r="AJ7" s="90" t="str">
        <f t="shared" si="3"/>
        <v>#REF!</v>
      </c>
      <c r="AK7" s="90">
        <f t="shared" si="4"/>
        <v>3713.16</v>
      </c>
      <c r="AL7" s="90">
        <f t="shared" si="5"/>
        <v>78946.84</v>
      </c>
      <c r="AM7" s="90">
        <f t="shared" si="12"/>
        <v>35809.65505</v>
      </c>
      <c r="AN7" s="90">
        <f t="shared" si="13"/>
        <v>40714.41792</v>
      </c>
      <c r="AO7" s="90">
        <f t="shared" si="6"/>
        <v>-2337.4994</v>
      </c>
      <c r="AP7" s="90" t="str">
        <f t="shared" si="7"/>
        <v>#REF!</v>
      </c>
      <c r="AQ7" s="90" t="str">
        <f t="shared" si="8"/>
        <v>#REF!</v>
      </c>
    </row>
    <row r="8">
      <c r="A8" s="3" t="s">
        <v>2207</v>
      </c>
      <c r="B8" s="463">
        <v>45736.81836805555</v>
      </c>
      <c r="C8" s="463">
        <v>45740.963530092595</v>
      </c>
      <c r="D8" s="84">
        <v>7738.05</v>
      </c>
      <c r="E8" s="84">
        <v>35424.83</v>
      </c>
      <c r="F8" s="84">
        <v>35.42</v>
      </c>
      <c r="G8" s="84">
        <v>290.18</v>
      </c>
      <c r="H8" s="84">
        <v>290.0</v>
      </c>
      <c r="I8" s="84">
        <v>7023.64</v>
      </c>
      <c r="J8" s="84"/>
      <c r="K8" s="84">
        <v>7050.0</v>
      </c>
      <c r="L8" s="84">
        <v>1100.0</v>
      </c>
      <c r="M8" s="84">
        <v>8150.0</v>
      </c>
      <c r="N8" s="84"/>
      <c r="O8" s="1">
        <v>42800.0</v>
      </c>
      <c r="P8" s="1">
        <v>2.0</v>
      </c>
      <c r="Q8" s="84">
        <v>50.0</v>
      </c>
      <c r="R8" s="446"/>
      <c r="S8" s="84"/>
      <c r="T8" s="1">
        <v>42520.0</v>
      </c>
      <c r="U8" s="1">
        <v>4.0</v>
      </c>
      <c r="V8" s="84">
        <v>50.0</v>
      </c>
      <c r="W8" s="446"/>
      <c r="X8" s="446"/>
      <c r="Y8" s="446">
        <v>4.2</v>
      </c>
      <c r="Z8" s="86" t="s">
        <v>2208</v>
      </c>
      <c r="AA8" s="90">
        <f t="array" ref="AA8">XLOOKUP(P8,'Dipstick Matrix'!$A$2:$A$10, XLOOKUP(Q8,'Dipstick Matrix'!$B$1:$E$1,'Dipstick Matrix'!$B$2:$E$10))</f>
        <v>16</v>
      </c>
      <c r="AB8" s="90">
        <f t="shared" si="10"/>
        <v>-140</v>
      </c>
      <c r="AC8" s="90">
        <f t="array" ref="AC8">XLOOKUP(U8,'Dipstick Matrix'!$A$2:$A$10, XLOOKUP(V8,'Dipstick Matrix'!$B$1:$E$1,'Dipstick Matrix'!$B$2:$E$10))</f>
        <v>50</v>
      </c>
      <c r="AD8" s="90">
        <f t="shared" si="11"/>
        <v>410</v>
      </c>
      <c r="AE8" s="90">
        <f t="shared" si="9"/>
        <v>270</v>
      </c>
      <c r="AF8" s="90" t="str">
        <f t="shared" si="1"/>
        <v>#REF!</v>
      </c>
      <c r="AG8" s="90" t="str">
        <f t="shared" si="2"/>
        <v>#REF!</v>
      </c>
      <c r="AH8" s="84"/>
      <c r="AI8" s="84"/>
      <c r="AJ8" s="90" t="str">
        <f t="shared" si="3"/>
        <v>#REF!</v>
      </c>
      <c r="AK8" s="90">
        <f t="shared" si="4"/>
        <v>3700.4</v>
      </c>
      <c r="AL8" s="90">
        <f t="shared" si="5"/>
        <v>73469.6</v>
      </c>
      <c r="AM8" s="90">
        <f t="shared" si="12"/>
        <v>33325.2228</v>
      </c>
      <c r="AN8" s="90">
        <f t="shared" si="13"/>
        <v>38700.46944</v>
      </c>
      <c r="AO8" s="90">
        <f t="shared" si="6"/>
        <v>-4618.0404</v>
      </c>
      <c r="AP8" s="90" t="str">
        <f t="shared" si="7"/>
        <v>#REF!</v>
      </c>
      <c r="AQ8" s="90" t="str">
        <f t="shared" si="8"/>
        <v>#REF!</v>
      </c>
    </row>
    <row r="9">
      <c r="A9" s="3" t="s">
        <v>2209</v>
      </c>
      <c r="B9" s="463">
        <v>45740.762604166666</v>
      </c>
      <c r="C9" s="463">
        <v>45741.91263888889</v>
      </c>
      <c r="D9" s="84">
        <v>8060.0</v>
      </c>
      <c r="E9" s="84">
        <v>36917.59</v>
      </c>
      <c r="F9" s="84">
        <v>36.92</v>
      </c>
      <c r="G9" s="84">
        <v>302.25</v>
      </c>
      <c r="H9" s="84">
        <v>302.0</v>
      </c>
      <c r="I9" s="84">
        <v>7494.64</v>
      </c>
      <c r="J9" s="84"/>
      <c r="K9" s="84">
        <v>7520.0</v>
      </c>
      <c r="L9" s="84">
        <v>400.0</v>
      </c>
      <c r="M9" s="84">
        <v>7920.0</v>
      </c>
      <c r="N9" s="84"/>
      <c r="O9" s="1">
        <v>44680.0</v>
      </c>
      <c r="P9" s="1">
        <v>5.0</v>
      </c>
      <c r="Q9" s="84">
        <v>50.0</v>
      </c>
      <c r="R9" s="446"/>
      <c r="S9" s="84"/>
      <c r="T9" s="1">
        <v>44460.0</v>
      </c>
      <c r="U9" s="1">
        <v>3.0</v>
      </c>
      <c r="V9" s="84">
        <v>0.0</v>
      </c>
      <c r="W9" s="446"/>
      <c r="X9" s="446"/>
      <c r="Y9" s="446">
        <v>4.47</v>
      </c>
      <c r="Z9" s="86" t="s">
        <v>2210</v>
      </c>
      <c r="AA9" s="90">
        <f t="array" ref="AA9">XLOOKUP(P9,'Dipstick Matrix'!$A$2:$A$10, XLOOKUP(Q9,'Dipstick Matrix'!$B$1:$E$1,'Dipstick Matrix'!$B$2:$E$10))</f>
        <v>76</v>
      </c>
      <c r="AB9" s="90">
        <f t="shared" si="10"/>
        <v>600</v>
      </c>
      <c r="AC9" s="90">
        <f t="array" ref="AC9">XLOOKUP(U9,'Dipstick Matrix'!$A$2:$A$10, XLOOKUP(V9,'Dipstick Matrix'!$B$1:$E$1,'Dipstick Matrix'!$B$2:$E$10))</f>
        <v>22</v>
      </c>
      <c r="AD9" s="90">
        <f t="shared" si="11"/>
        <v>-280</v>
      </c>
      <c r="AE9" s="90">
        <f t="shared" si="9"/>
        <v>320</v>
      </c>
      <c r="AF9" s="90" t="str">
        <f t="shared" si="1"/>
        <v>#REF!</v>
      </c>
      <c r="AG9" s="90" t="str">
        <f t="shared" si="2"/>
        <v>#REF!</v>
      </c>
      <c r="AH9" s="84"/>
      <c r="AI9" s="84"/>
      <c r="AJ9" s="90" t="str">
        <f t="shared" si="3"/>
        <v>#REF!</v>
      </c>
      <c r="AK9" s="90">
        <f t="shared" si="4"/>
        <v>3853.52</v>
      </c>
      <c r="AL9" s="90">
        <f t="shared" si="5"/>
        <v>77366.48</v>
      </c>
      <c r="AM9" s="90">
        <f t="shared" si="12"/>
        <v>35092.8164</v>
      </c>
      <c r="AN9" s="90">
        <f t="shared" si="13"/>
        <v>40433.19088</v>
      </c>
      <c r="AO9" s="90">
        <f t="shared" si="6"/>
        <v>-4028.0904</v>
      </c>
      <c r="AP9" s="90" t="str">
        <f t="shared" si="7"/>
        <v>#REF!</v>
      </c>
      <c r="AQ9" s="90" t="str">
        <f t="shared" si="8"/>
        <v>#REF!</v>
      </c>
    </row>
    <row r="10">
      <c r="A10" s="3" t="s">
        <v>2211</v>
      </c>
      <c r="B10" s="463">
        <v>45740.772881944446</v>
      </c>
      <c r="C10" s="463">
        <v>45743.91150462963</v>
      </c>
      <c r="D10" s="84">
        <v>7990.84</v>
      </c>
      <c r="E10" s="84">
        <v>36636.44</v>
      </c>
      <c r="F10" s="84">
        <v>36.64</v>
      </c>
      <c r="G10" s="84">
        <v>299.66</v>
      </c>
      <c r="H10" s="84">
        <v>296.0</v>
      </c>
      <c r="I10" s="84">
        <v>7285.55</v>
      </c>
      <c r="J10" s="84"/>
      <c r="K10" s="84">
        <v>7319.0</v>
      </c>
      <c r="L10" s="84">
        <v>400.0</v>
      </c>
      <c r="M10" s="84">
        <v>7719.0</v>
      </c>
      <c r="N10" s="84"/>
      <c r="O10" s="1">
        <v>45780.0</v>
      </c>
      <c r="P10" s="1">
        <v>1.0</v>
      </c>
      <c r="Q10" s="84">
        <v>25.0</v>
      </c>
      <c r="R10" s="446"/>
      <c r="S10" s="84"/>
      <c r="T10" s="1">
        <v>43980.0</v>
      </c>
      <c r="U10" s="1">
        <v>4.0</v>
      </c>
      <c r="V10" s="84">
        <v>50.0</v>
      </c>
      <c r="W10" s="446"/>
      <c r="X10" s="446"/>
      <c r="Y10" s="446">
        <v>4.63</v>
      </c>
      <c r="Z10" s="86" t="s">
        <v>2212</v>
      </c>
      <c r="AA10" s="90">
        <f t="array" ref="AA10">XLOOKUP(P10,'Dipstick Matrix'!$A$2:$A$10, XLOOKUP(Q10,'Dipstick Matrix'!$B$1:$E$1,'Dipstick Matrix'!$B$2:$E$10))</f>
        <v>5</v>
      </c>
      <c r="AB10" s="90">
        <f t="shared" si="10"/>
        <v>-710</v>
      </c>
      <c r="AC10" s="90">
        <f t="array" ref="AC10">XLOOKUP(U10,'Dipstick Matrix'!$A$2:$A$10, XLOOKUP(V10,'Dipstick Matrix'!$B$1:$E$1,'Dipstick Matrix'!$B$2:$E$10))</f>
        <v>50</v>
      </c>
      <c r="AD10" s="90">
        <f t="shared" si="11"/>
        <v>280</v>
      </c>
      <c r="AE10" s="90">
        <f t="shared" si="9"/>
        <v>-430</v>
      </c>
      <c r="AF10" s="90" t="str">
        <f t="shared" si="1"/>
        <v>#REF!</v>
      </c>
      <c r="AG10" s="90" t="str">
        <f t="shared" si="2"/>
        <v>#REF!</v>
      </c>
      <c r="AH10" s="84"/>
      <c r="AI10" s="84"/>
      <c r="AJ10" s="90" t="str">
        <f t="shared" si="3"/>
        <v>#REF!</v>
      </c>
      <c r="AK10" s="90">
        <f t="shared" si="4"/>
        <v>3776.96</v>
      </c>
      <c r="AL10" s="90">
        <f t="shared" si="5"/>
        <v>78264.04</v>
      </c>
      <c r="AM10" s="90">
        <f t="shared" si="12"/>
        <v>35499.94243</v>
      </c>
      <c r="AN10" s="90">
        <f t="shared" si="13"/>
        <v>40714.41792</v>
      </c>
      <c r="AO10" s="90">
        <f t="shared" si="6"/>
        <v>-2513.2368</v>
      </c>
      <c r="AP10" s="90" t="str">
        <f t="shared" si="7"/>
        <v>#REF!</v>
      </c>
      <c r="AQ10" s="90" t="str">
        <f t="shared" si="8"/>
        <v>#REF!</v>
      </c>
    </row>
    <row r="11">
      <c r="A11" s="3" t="s">
        <v>2213</v>
      </c>
      <c r="B11" s="463">
        <v>45742.77287037037</v>
      </c>
      <c r="C11" s="463">
        <v>45744.93230324074</v>
      </c>
      <c r="D11" s="84">
        <v>8141.08</v>
      </c>
      <c r="E11" s="84">
        <v>37452.81</v>
      </c>
      <c r="F11" s="84">
        <v>37.45</v>
      </c>
      <c r="G11" s="84">
        <v>305.29</v>
      </c>
      <c r="H11" s="84">
        <v>321.0</v>
      </c>
      <c r="I11" s="84">
        <v>7550.18</v>
      </c>
      <c r="J11" s="84"/>
      <c r="K11" s="84">
        <v>7948.0</v>
      </c>
      <c r="L11" s="84">
        <v>400.0</v>
      </c>
      <c r="M11" s="84">
        <v>8348.0</v>
      </c>
      <c r="N11" s="84"/>
      <c r="O11" s="1">
        <v>43660.0</v>
      </c>
      <c r="P11" s="1">
        <v>3.0</v>
      </c>
      <c r="Q11" s="84">
        <v>0.0</v>
      </c>
      <c r="R11" s="446"/>
      <c r="S11" s="84"/>
      <c r="T11" s="1">
        <v>46260.0</v>
      </c>
      <c r="U11" s="1">
        <v>4.0</v>
      </c>
      <c r="V11" s="84">
        <v>0.0</v>
      </c>
      <c r="W11" s="446"/>
      <c r="X11" s="446"/>
      <c r="Y11" s="446">
        <v>4.34</v>
      </c>
      <c r="Z11" s="86" t="s">
        <v>2214</v>
      </c>
      <c r="AA11" s="90">
        <f t="array" ref="AA11">XLOOKUP(P11,'Dipstick Matrix'!$A$2:$A$10, XLOOKUP(Q11,'Dipstick Matrix'!$B$1:$E$1,'Dipstick Matrix'!$B$2:$E$10))</f>
        <v>22</v>
      </c>
      <c r="AB11" s="90">
        <f t="shared" si="10"/>
        <v>170</v>
      </c>
      <c r="AC11" s="90">
        <f t="array" ref="AC11">XLOOKUP(U11,'Dipstick Matrix'!$A$2:$A$10, XLOOKUP(V11,'Dipstick Matrix'!$B$1:$E$1,'Dipstick Matrix'!$B$2:$E$10))</f>
        <v>39</v>
      </c>
      <c r="AD11" s="90">
        <f t="shared" si="11"/>
        <v>-110</v>
      </c>
      <c r="AE11" s="90">
        <f t="shared" si="9"/>
        <v>60</v>
      </c>
      <c r="AF11" s="90" t="str">
        <f t="shared" si="1"/>
        <v>#REF!</v>
      </c>
      <c r="AG11" s="90" t="str">
        <f t="shared" si="2"/>
        <v>#REF!</v>
      </c>
      <c r="AH11" s="84"/>
      <c r="AI11" s="84"/>
      <c r="AJ11" s="90" t="str">
        <f t="shared" si="3"/>
        <v>#REF!</v>
      </c>
      <c r="AK11" s="90">
        <f t="shared" si="4"/>
        <v>4095.96</v>
      </c>
      <c r="AL11" s="90">
        <f t="shared" si="5"/>
        <v>77476.04</v>
      </c>
      <c r="AM11" s="90">
        <f t="shared" si="12"/>
        <v>35142.51194</v>
      </c>
      <c r="AN11" s="90">
        <f t="shared" si="13"/>
        <v>40786.99264</v>
      </c>
      <c r="AO11" s="90">
        <f t="shared" si="6"/>
        <v>-5086.979</v>
      </c>
      <c r="AP11" s="90" t="str">
        <f t="shared" si="7"/>
        <v>#REF!</v>
      </c>
      <c r="AQ11" s="90" t="str">
        <f t="shared" si="8"/>
        <v>#REF!</v>
      </c>
    </row>
    <row r="12">
      <c r="A12" s="3" t="s">
        <v>2215</v>
      </c>
      <c r="B12" s="463">
        <v>45743.93216435185</v>
      </c>
      <c r="C12" s="463">
        <v>45747.90666666667</v>
      </c>
      <c r="D12" s="84">
        <v>8050.94</v>
      </c>
      <c r="E12" s="84">
        <v>37014.87</v>
      </c>
      <c r="F12" s="84">
        <v>37.01</v>
      </c>
      <c r="G12" s="84">
        <v>301.91</v>
      </c>
      <c r="H12" s="84">
        <v>302.0</v>
      </c>
      <c r="I12" s="84">
        <v>7306.95</v>
      </c>
      <c r="J12" s="84"/>
      <c r="K12" s="84">
        <v>7390.0</v>
      </c>
      <c r="L12" s="84">
        <v>400.0</v>
      </c>
      <c r="M12" s="84">
        <v>7790.0</v>
      </c>
      <c r="N12" s="84"/>
      <c r="O12" s="1">
        <v>44060.0</v>
      </c>
      <c r="P12" s="1">
        <v>3.0</v>
      </c>
      <c r="Q12" s="84">
        <v>0.0</v>
      </c>
      <c r="R12" s="446"/>
      <c r="S12" s="84"/>
      <c r="T12" s="1">
        <v>47060.0</v>
      </c>
      <c r="U12" s="1">
        <v>6.0</v>
      </c>
      <c r="V12" s="84">
        <v>50.0</v>
      </c>
      <c r="W12" s="446"/>
      <c r="X12" s="446"/>
      <c r="Y12" s="446">
        <v>4.52</v>
      </c>
      <c r="Z12" s="86" t="s">
        <v>2216</v>
      </c>
      <c r="AA12" s="90">
        <f t="array" ref="AA12">XLOOKUP(P12,'Dipstick Matrix'!$A$2:$A$10, XLOOKUP(Q12,'Dipstick Matrix'!$B$1:$E$1,'Dipstick Matrix'!$B$2:$E$10))</f>
        <v>22</v>
      </c>
      <c r="AB12" s="90">
        <f t="shared" si="10"/>
        <v>0</v>
      </c>
      <c r="AC12" s="90">
        <f t="array" ref="AC12">XLOOKUP(U12,'Dipstick Matrix'!$A$2:$A$10, XLOOKUP(V12,'Dipstick Matrix'!$B$1:$E$1,'Dipstick Matrix'!$B$2:$E$10))</f>
        <v>108</v>
      </c>
      <c r="AD12" s="90">
        <f t="shared" si="11"/>
        <v>690</v>
      </c>
      <c r="AE12" s="90">
        <f t="shared" si="9"/>
        <v>690</v>
      </c>
      <c r="AF12" s="90" t="str">
        <f t="shared" si="1"/>
        <v>#REF!</v>
      </c>
      <c r="AG12" s="90" t="str">
        <f t="shared" si="2"/>
        <v>#REF!</v>
      </c>
      <c r="AH12" s="84"/>
      <c r="AI12" s="84"/>
      <c r="AJ12" s="90" t="str">
        <f t="shared" si="3"/>
        <v>#REF!</v>
      </c>
      <c r="AK12" s="90">
        <f t="shared" si="4"/>
        <v>3853.52</v>
      </c>
      <c r="AL12" s="90">
        <f t="shared" si="5"/>
        <v>79476.48</v>
      </c>
      <c r="AM12" s="90">
        <f t="shared" si="12"/>
        <v>36049.89552</v>
      </c>
      <c r="AN12" s="90">
        <f t="shared" si="13"/>
        <v>41331.30304</v>
      </c>
      <c r="AO12" s="90">
        <f t="shared" si="6"/>
        <v>-2116.5062</v>
      </c>
      <c r="AP12" s="90" t="str">
        <f t="shared" si="7"/>
        <v>#REF!</v>
      </c>
      <c r="AQ12" s="90" t="str">
        <f t="shared" si="8"/>
        <v>#REF!</v>
      </c>
    </row>
    <row r="13">
      <c r="A13" s="3" t="s">
        <v>2217</v>
      </c>
      <c r="B13" s="463">
        <v>45744.96334490741</v>
      </c>
      <c r="C13" s="463">
        <v>45748.88894675926</v>
      </c>
      <c r="D13" s="84">
        <v>8015.0</v>
      </c>
      <c r="E13" s="84">
        <v>37014.87</v>
      </c>
      <c r="F13" s="84">
        <v>37.01</v>
      </c>
      <c r="G13" s="84">
        <v>300.56</v>
      </c>
      <c r="H13" s="84">
        <v>309.0</v>
      </c>
      <c r="I13" s="84">
        <v>7111.21</v>
      </c>
      <c r="J13" s="84"/>
      <c r="K13" s="84">
        <v>7103.0</v>
      </c>
      <c r="L13" s="84">
        <v>400.0</v>
      </c>
      <c r="M13" s="84">
        <v>7503.0</v>
      </c>
      <c r="N13" s="84"/>
      <c r="O13" s="1">
        <v>42240.0</v>
      </c>
      <c r="P13" s="1">
        <v>4.0</v>
      </c>
      <c r="Q13" s="84">
        <v>50.0</v>
      </c>
      <c r="R13" s="446"/>
      <c r="S13" s="84"/>
      <c r="T13" s="1">
        <v>47580.0</v>
      </c>
      <c r="U13" s="1">
        <v>5.0</v>
      </c>
      <c r="V13" s="84">
        <v>75.0</v>
      </c>
      <c r="W13" s="446"/>
      <c r="X13" s="446"/>
      <c r="Y13" s="446">
        <v>4.5</v>
      </c>
      <c r="Z13" s="86" t="s">
        <v>2218</v>
      </c>
      <c r="AA13" s="90">
        <f t="array" ref="AA13">XLOOKUP(P13,'Dipstick Matrix'!$A$2:$A$10, XLOOKUP(Q13,'Dipstick Matrix'!$B$1:$E$1,'Dipstick Matrix'!$B$2:$E$10))</f>
        <v>50</v>
      </c>
      <c r="AB13" s="90">
        <f t="shared" si="10"/>
        <v>280</v>
      </c>
      <c r="AC13" s="90">
        <f t="array" ref="AC13">XLOOKUP(U13,'Dipstick Matrix'!$A$2:$A$10, XLOOKUP(V13,'Dipstick Matrix'!$B$1:$E$1,'Dipstick Matrix'!$B$2:$E$10))</f>
        <v>83</v>
      </c>
      <c r="AD13" s="90">
        <f t="shared" si="11"/>
        <v>-250</v>
      </c>
      <c r="AE13" s="90">
        <f t="shared" si="9"/>
        <v>30</v>
      </c>
      <c r="AF13" s="90" t="str">
        <f t="shared" si="1"/>
        <v>#REF!</v>
      </c>
      <c r="AG13" s="90" t="str">
        <f t="shared" si="2"/>
        <v>#REF!</v>
      </c>
      <c r="AH13" s="84"/>
      <c r="AI13" s="84"/>
      <c r="AJ13" s="90" t="str">
        <f t="shared" si="3"/>
        <v>#REF!</v>
      </c>
      <c r="AK13" s="90">
        <f t="shared" si="4"/>
        <v>3942.84</v>
      </c>
      <c r="AL13" s="90">
        <f t="shared" si="5"/>
        <v>78374.16</v>
      </c>
      <c r="AM13" s="90">
        <f t="shared" si="12"/>
        <v>35549.89198</v>
      </c>
      <c r="AN13" s="90">
        <f t="shared" si="13"/>
        <v>40741.63344</v>
      </c>
      <c r="AO13" s="90">
        <f t="shared" si="6"/>
        <v>-3218.8262</v>
      </c>
      <c r="AP13" s="90" t="str">
        <f t="shared" si="7"/>
        <v>#REF!</v>
      </c>
      <c r="AQ13" s="90" t="str">
        <f t="shared" si="8"/>
        <v>#REF!</v>
      </c>
    </row>
    <row r="14">
      <c r="A14" s="3" t="s">
        <v>2219</v>
      </c>
      <c r="B14" s="463">
        <v>45747.857777777775</v>
      </c>
      <c r="C14" s="463">
        <v>45750.94291666667</v>
      </c>
      <c r="D14" s="84">
        <v>8284.75</v>
      </c>
      <c r="E14" s="84">
        <v>38260.61</v>
      </c>
      <c r="F14" s="84">
        <v>38.26</v>
      </c>
      <c r="G14" s="84">
        <v>310.68</v>
      </c>
      <c r="H14" s="84">
        <v>311.0</v>
      </c>
      <c r="I14" s="84">
        <v>7650.07</v>
      </c>
      <c r="J14" s="84"/>
      <c r="K14" s="84">
        <v>7700.0</v>
      </c>
      <c r="L14" s="84">
        <v>600.0</v>
      </c>
      <c r="M14" s="84">
        <v>8300.0</v>
      </c>
      <c r="N14" s="84"/>
      <c r="O14" s="1">
        <v>43300.0</v>
      </c>
      <c r="P14" s="1">
        <v>3.0</v>
      </c>
      <c r="Q14" s="84">
        <v>0.0</v>
      </c>
      <c r="R14" s="446"/>
      <c r="S14" s="84"/>
      <c r="T14" s="1">
        <v>47000.0</v>
      </c>
      <c r="U14" s="1">
        <v>5.0</v>
      </c>
      <c r="V14" s="84">
        <v>50.0</v>
      </c>
      <c r="W14" s="446"/>
      <c r="X14" s="446"/>
      <c r="Y14" s="446">
        <v>4.42</v>
      </c>
      <c r="Z14" s="86" t="s">
        <v>2220</v>
      </c>
      <c r="AA14" s="90">
        <f t="array" ref="AA14">XLOOKUP(P14,'Dipstick Matrix'!$A$2:$A$10, XLOOKUP(Q14,'Dipstick Matrix'!$B$1:$E$1,'Dipstick Matrix'!$B$2:$E$10))</f>
        <v>22</v>
      </c>
      <c r="AB14" s="90">
        <f t="shared" si="10"/>
        <v>-280</v>
      </c>
      <c r="AC14" s="90">
        <f t="array" ref="AC14">XLOOKUP(U14,'Dipstick Matrix'!$A$2:$A$10, XLOOKUP(V14,'Dipstick Matrix'!$B$1:$E$1,'Dipstick Matrix'!$B$2:$E$10))</f>
        <v>76</v>
      </c>
      <c r="AD14" s="90">
        <f t="shared" si="11"/>
        <v>-70</v>
      </c>
      <c r="AE14" s="90">
        <f t="shared" si="9"/>
        <v>-350</v>
      </c>
      <c r="AF14" s="90" t="str">
        <f t="shared" si="1"/>
        <v>#REF!</v>
      </c>
      <c r="AG14" s="90" t="str">
        <f t="shared" si="2"/>
        <v>#REF!</v>
      </c>
      <c r="AH14" s="84"/>
      <c r="AI14" s="84"/>
      <c r="AJ14" s="90" t="str">
        <f t="shared" si="3"/>
        <v>#REF!</v>
      </c>
      <c r="AK14" s="90">
        <f t="shared" si="4"/>
        <v>3968.36</v>
      </c>
      <c r="AL14" s="90">
        <f t="shared" si="5"/>
        <v>78031.64</v>
      </c>
      <c r="AM14" s="90">
        <f t="shared" si="12"/>
        <v>35394.52765</v>
      </c>
      <c r="AN14" s="90">
        <f t="shared" si="13"/>
        <v>40959.3576</v>
      </c>
      <c r="AO14" s="90">
        <f t="shared" si="6"/>
        <v>-6317.1212</v>
      </c>
      <c r="AP14" s="90" t="str">
        <f t="shared" si="7"/>
        <v>#REF!</v>
      </c>
      <c r="AQ14" s="90" t="str">
        <f t="shared" si="8"/>
        <v>#REF!</v>
      </c>
    </row>
    <row r="15">
      <c r="A15" s="464" t="s">
        <v>2221</v>
      </c>
      <c r="B15" s="465">
        <v>45758.943090277775</v>
      </c>
      <c r="C15" s="465">
        <v>45761.82534722222</v>
      </c>
      <c r="D15" s="466">
        <v>3950.0</v>
      </c>
      <c r="E15" s="466">
        <v>18241.89</v>
      </c>
      <c r="F15" s="466">
        <v>18.24</v>
      </c>
      <c r="G15" s="466">
        <v>148.13</v>
      </c>
      <c r="H15" s="466">
        <v>148.0</v>
      </c>
      <c r="I15" s="466">
        <v>3548.53</v>
      </c>
      <c r="J15" s="466"/>
      <c r="K15" s="466">
        <v>3600.0</v>
      </c>
      <c r="L15" s="466">
        <v>700.0</v>
      </c>
      <c r="M15" s="466">
        <v>4300.0</v>
      </c>
      <c r="N15" s="466"/>
      <c r="O15" s="467">
        <v>42720.0</v>
      </c>
      <c r="P15" s="467">
        <v>1.0</v>
      </c>
      <c r="Q15" s="466">
        <v>50.0</v>
      </c>
      <c r="R15" s="468"/>
      <c r="S15" s="466"/>
      <c r="T15" s="467">
        <v>0.0</v>
      </c>
      <c r="U15" s="467">
        <v>0.0</v>
      </c>
      <c r="V15" s="466">
        <v>0.0</v>
      </c>
      <c r="W15" s="468"/>
      <c r="X15" s="468"/>
      <c r="Y15" s="468">
        <v>4.71</v>
      </c>
      <c r="Z15" s="469" t="s">
        <v>2222</v>
      </c>
      <c r="AA15" s="470">
        <f t="array" ref="AA15">XLOOKUP(P15,'Dipstick Matrix'!$A$2:$A$10, XLOOKUP(Q15,'Dipstick Matrix'!$B$1:$E$1,'Dipstick Matrix'!$B$2:$E$10))</f>
        <v>7</v>
      </c>
      <c r="AB15" s="470">
        <f t="shared" si="10"/>
        <v>-150</v>
      </c>
      <c r="AC15" s="470">
        <f t="array" ref="AC15">XLOOKUP(U15,'Dipstick Matrix'!$A$2:$A$10, XLOOKUP(V15,'Dipstick Matrix'!$B$1:$E$1,'Dipstick Matrix'!$B$2:$E$10))</f>
        <v>1</v>
      </c>
      <c r="AD15" s="470">
        <f t="shared" si="11"/>
        <v>-750</v>
      </c>
      <c r="AE15" s="470">
        <f t="shared" si="9"/>
        <v>-900</v>
      </c>
      <c r="AF15" s="470" t="str">
        <f t="shared" si="1"/>
        <v>#REF!</v>
      </c>
      <c r="AG15" s="470" t="str">
        <f t="shared" si="2"/>
        <v>#REF!</v>
      </c>
      <c r="AH15" s="466"/>
      <c r="AI15" s="466"/>
      <c r="AJ15" s="470" t="str">
        <f t="shared" si="3"/>
        <v>#REF!</v>
      </c>
      <c r="AK15" s="470">
        <f t="shared" si="4"/>
        <v>1888.48</v>
      </c>
      <c r="AL15" s="470">
        <f t="shared" si="5"/>
        <v>36531.52</v>
      </c>
      <c r="AM15" s="470">
        <f t="shared" si="12"/>
        <v>16570.40522</v>
      </c>
      <c r="AN15" s="470">
        <f t="shared" si="13"/>
        <v>19377.45024</v>
      </c>
      <c r="AO15" s="470">
        <f t="shared" si="6"/>
        <v>-3680.7488</v>
      </c>
      <c r="AP15" s="470" t="str">
        <f t="shared" si="7"/>
        <v>#REF!</v>
      </c>
      <c r="AQ15" s="90" t="str">
        <f t="shared" si="8"/>
        <v>#REF!</v>
      </c>
    </row>
    <row r="16">
      <c r="A16" s="464" t="s">
        <v>2223</v>
      </c>
      <c r="B16" s="465">
        <v>45761.59061342593</v>
      </c>
      <c r="C16" s="465">
        <v>45762.88613425926</v>
      </c>
      <c r="D16" s="466">
        <v>8100.0</v>
      </c>
      <c r="E16" s="466">
        <v>37100.8</v>
      </c>
      <c r="F16" s="466">
        <v>37.1</v>
      </c>
      <c r="G16" s="466">
        <v>303.75</v>
      </c>
      <c r="H16" s="466">
        <v>304.0</v>
      </c>
      <c r="I16" s="466">
        <v>7312.01</v>
      </c>
      <c r="J16" s="466"/>
      <c r="K16" s="466">
        <v>7400.0</v>
      </c>
      <c r="L16" s="466">
        <v>650.0</v>
      </c>
      <c r="M16" s="466">
        <v>8050.0</v>
      </c>
      <c r="N16" s="466"/>
      <c r="O16" s="467">
        <v>44020.0</v>
      </c>
      <c r="P16" s="467">
        <v>3.0</v>
      </c>
      <c r="Q16" s="466">
        <v>50.0</v>
      </c>
      <c r="R16" s="468"/>
      <c r="S16" s="466"/>
      <c r="T16" s="467">
        <v>46780.0</v>
      </c>
      <c r="U16" s="467">
        <v>1.0</v>
      </c>
      <c r="V16" s="466">
        <v>50.0</v>
      </c>
      <c r="W16" s="468"/>
      <c r="X16" s="468"/>
      <c r="Y16" s="468">
        <v>4.5</v>
      </c>
      <c r="Z16" s="469" t="s">
        <v>2224</v>
      </c>
      <c r="AA16" s="470">
        <f t="array" ref="AA16">XLOOKUP(P16,'Dipstick Matrix'!$A$2:$A$10, XLOOKUP(Q16,'Dipstick Matrix'!$B$1:$E$1,'Dipstick Matrix'!$B$2:$E$10))</f>
        <v>30</v>
      </c>
      <c r="AB16" s="470">
        <f t="shared" si="10"/>
        <v>230</v>
      </c>
      <c r="AC16" s="470">
        <f t="array" ref="AC16">XLOOKUP(U16,'Dipstick Matrix'!$A$2:$A$10, XLOOKUP(V16,'Dipstick Matrix'!$B$1:$E$1,'Dipstick Matrix'!$B$2:$E$10))</f>
        <v>7</v>
      </c>
      <c r="AD16" s="470">
        <f t="shared" si="11"/>
        <v>60</v>
      </c>
      <c r="AE16" s="470">
        <f t="shared" si="9"/>
        <v>290</v>
      </c>
      <c r="AF16" s="470" t="str">
        <f t="shared" si="1"/>
        <v>#REF!</v>
      </c>
      <c r="AG16" s="470" t="str">
        <f t="shared" si="2"/>
        <v>#REF!</v>
      </c>
      <c r="AH16" s="466"/>
      <c r="AI16" s="466"/>
      <c r="AJ16" s="470" t="str">
        <f t="shared" si="3"/>
        <v>#REF!</v>
      </c>
      <c r="AK16" s="470">
        <f t="shared" si="4"/>
        <v>3879.04</v>
      </c>
      <c r="AL16" s="470">
        <f t="shared" si="5"/>
        <v>78870.96</v>
      </c>
      <c r="AM16" s="470">
        <f t="shared" si="12"/>
        <v>35775.23649</v>
      </c>
      <c r="AN16" s="470">
        <f t="shared" si="13"/>
        <v>41186.1536</v>
      </c>
      <c r="AO16" s="470">
        <f t="shared" si="6"/>
        <v>-2920.442</v>
      </c>
      <c r="AP16" s="470" t="str">
        <f t="shared" si="7"/>
        <v>#REF!</v>
      </c>
      <c r="AQ16" s="90" t="str">
        <f t="shared" si="8"/>
        <v>#REF!</v>
      </c>
    </row>
    <row r="17">
      <c r="A17" s="464" t="s">
        <v>2225</v>
      </c>
      <c r="B17" s="465">
        <v>45761.86584490741</v>
      </c>
      <c r="C17" s="465">
        <v>45764.863217592596</v>
      </c>
      <c r="D17" s="466">
        <v>7978.0</v>
      </c>
      <c r="E17" s="466">
        <v>36643.98</v>
      </c>
      <c r="F17" s="466">
        <v>36.64</v>
      </c>
      <c r="G17" s="466">
        <v>299.18</v>
      </c>
      <c r="H17" s="466">
        <v>302.0</v>
      </c>
      <c r="I17" s="466">
        <v>7139.91</v>
      </c>
      <c r="J17" s="466"/>
      <c r="K17" s="466">
        <v>7200.0</v>
      </c>
      <c r="L17" s="466">
        <v>650.0</v>
      </c>
      <c r="M17" s="466">
        <v>7850.0</v>
      </c>
      <c r="N17" s="466"/>
      <c r="O17" s="467">
        <v>46300.0</v>
      </c>
      <c r="P17" s="467">
        <v>3.0</v>
      </c>
      <c r="Q17" s="466">
        <v>0.0</v>
      </c>
      <c r="R17" s="468"/>
      <c r="S17" s="466"/>
      <c r="T17" s="467">
        <v>42160.0</v>
      </c>
      <c r="U17" s="467">
        <v>3.0</v>
      </c>
      <c r="V17" s="466">
        <v>50.0</v>
      </c>
      <c r="W17" s="468"/>
      <c r="X17" s="468"/>
      <c r="Y17" s="468">
        <v>4.47</v>
      </c>
      <c r="Z17" s="469" t="s">
        <v>2226</v>
      </c>
      <c r="AA17" s="470">
        <f t="array" ref="AA17">XLOOKUP(P17,'Dipstick Matrix'!$A$2:$A$10, XLOOKUP(Q17,'Dipstick Matrix'!$B$1:$E$1,'Dipstick Matrix'!$B$2:$E$10))</f>
        <v>22</v>
      </c>
      <c r="AB17" s="470">
        <f t="shared" si="10"/>
        <v>-80</v>
      </c>
      <c r="AC17" s="470">
        <f t="array" ref="AC17">XLOOKUP(U17,'Dipstick Matrix'!$A$2:$A$10, XLOOKUP(V17,'Dipstick Matrix'!$B$1:$E$1,'Dipstick Matrix'!$B$2:$E$10))</f>
        <v>30</v>
      </c>
      <c r="AD17" s="470">
        <f t="shared" si="11"/>
        <v>230</v>
      </c>
      <c r="AE17" s="470">
        <f t="shared" si="9"/>
        <v>150</v>
      </c>
      <c r="AF17" s="470" t="str">
        <f t="shared" si="1"/>
        <v>#REF!</v>
      </c>
      <c r="AG17" s="470" t="str">
        <f t="shared" si="2"/>
        <v>#REF!</v>
      </c>
      <c r="AH17" s="466"/>
      <c r="AI17" s="466"/>
      <c r="AJ17" s="470" t="str">
        <f t="shared" si="3"/>
        <v>#REF!</v>
      </c>
      <c r="AK17" s="470">
        <f t="shared" si="4"/>
        <v>3853.52</v>
      </c>
      <c r="AL17" s="470">
        <f t="shared" si="5"/>
        <v>76756.48</v>
      </c>
      <c r="AM17" s="470">
        <f t="shared" si="12"/>
        <v>34816.12528</v>
      </c>
      <c r="AN17" s="470">
        <f t="shared" si="13"/>
        <v>40124.74832</v>
      </c>
      <c r="AO17" s="470">
        <f t="shared" si="6"/>
        <v>-4020.7968</v>
      </c>
      <c r="AP17" s="470" t="str">
        <f t="shared" si="7"/>
        <v>#REF!</v>
      </c>
      <c r="AQ17" s="90" t="str">
        <f t="shared" si="8"/>
        <v>#REF!</v>
      </c>
    </row>
    <row r="18">
      <c r="A18" s="464" t="s">
        <v>2227</v>
      </c>
      <c r="B18" s="465">
        <v>45763.78524305556</v>
      </c>
      <c r="C18" s="465">
        <v>45765.819606481484</v>
      </c>
      <c r="D18" s="466">
        <v>7815.0</v>
      </c>
      <c r="E18" s="466">
        <v>36091.23</v>
      </c>
      <c r="F18" s="466">
        <v>36.09</v>
      </c>
      <c r="G18" s="466">
        <v>293.06</v>
      </c>
      <c r="H18" s="466">
        <v>293.0</v>
      </c>
      <c r="I18" s="466">
        <v>6813.38</v>
      </c>
      <c r="J18" s="466"/>
      <c r="K18" s="466">
        <v>6818.0</v>
      </c>
      <c r="L18" s="466">
        <v>400.0</v>
      </c>
      <c r="M18" s="466">
        <v>7218.0</v>
      </c>
      <c r="N18" s="466"/>
      <c r="O18" s="467">
        <v>45080.0</v>
      </c>
      <c r="P18" s="467">
        <v>3.0</v>
      </c>
      <c r="Q18" s="466">
        <v>0.0</v>
      </c>
      <c r="R18" s="468"/>
      <c r="S18" s="466"/>
      <c r="T18" s="467">
        <v>43260.0</v>
      </c>
      <c r="U18" s="467">
        <v>4.0</v>
      </c>
      <c r="V18" s="466">
        <v>0.0</v>
      </c>
      <c r="W18" s="468"/>
      <c r="X18" s="468"/>
      <c r="Y18" s="468">
        <v>4.44</v>
      </c>
      <c r="Z18" s="469" t="s">
        <v>2228</v>
      </c>
      <c r="AA18" s="470">
        <f t="array" ref="AA18">XLOOKUP(P18,'Dipstick Matrix'!$A$2:$A$10, XLOOKUP(Q18,'Dipstick Matrix'!$B$1:$E$1,'Dipstick Matrix'!$B$2:$E$10))</f>
        <v>22</v>
      </c>
      <c r="AB18" s="470">
        <f t="shared" si="10"/>
        <v>0</v>
      </c>
      <c r="AC18" s="470">
        <f t="array" ref="AC18">XLOOKUP(U18,'Dipstick Matrix'!$A$2:$A$10, XLOOKUP(V18,'Dipstick Matrix'!$B$1:$E$1,'Dipstick Matrix'!$B$2:$E$10))</f>
        <v>39</v>
      </c>
      <c r="AD18" s="470">
        <f t="shared" si="11"/>
        <v>90</v>
      </c>
      <c r="AE18" s="470">
        <f t="shared" si="9"/>
        <v>90</v>
      </c>
      <c r="AF18" s="470" t="str">
        <f t="shared" si="1"/>
        <v>#REF!</v>
      </c>
      <c r="AG18" s="470" t="str">
        <f t="shared" si="2"/>
        <v>#REF!</v>
      </c>
      <c r="AH18" s="466"/>
      <c r="AI18" s="466"/>
      <c r="AJ18" s="470" t="str">
        <f t="shared" si="3"/>
        <v>#REF!</v>
      </c>
      <c r="AK18" s="470">
        <f t="shared" si="4"/>
        <v>3738.68</v>
      </c>
      <c r="AL18" s="470">
        <f t="shared" si="5"/>
        <v>77383.32</v>
      </c>
      <c r="AM18" s="470">
        <f t="shared" si="12"/>
        <v>35100.45489</v>
      </c>
      <c r="AN18" s="470">
        <f t="shared" si="13"/>
        <v>40070.31728</v>
      </c>
      <c r="AO18" s="470">
        <f t="shared" si="6"/>
        <v>-2181.4158</v>
      </c>
      <c r="AP18" s="470" t="str">
        <f t="shared" si="7"/>
        <v>#REF!</v>
      </c>
      <c r="AQ18" s="90" t="str">
        <f t="shared" si="8"/>
        <v>#REF!</v>
      </c>
    </row>
    <row r="19">
      <c r="A19" s="464" t="s">
        <v>2229</v>
      </c>
      <c r="B19" s="465">
        <v>45764.8253587963</v>
      </c>
      <c r="C19" s="465">
        <v>45768.86178240741</v>
      </c>
      <c r="D19" s="466">
        <v>7929.85</v>
      </c>
      <c r="E19" s="466">
        <v>36497.88</v>
      </c>
      <c r="F19" s="466">
        <v>36.5</v>
      </c>
      <c r="G19" s="466">
        <v>297.37</v>
      </c>
      <c r="H19" s="466">
        <v>297.0</v>
      </c>
      <c r="I19" s="466">
        <v>6944.98</v>
      </c>
      <c r="J19" s="466"/>
      <c r="K19" s="466">
        <v>7000.0</v>
      </c>
      <c r="L19" s="466">
        <v>450.0</v>
      </c>
      <c r="M19" s="466">
        <v>7450.0</v>
      </c>
      <c r="N19" s="466"/>
      <c r="O19" s="467">
        <v>45960.0</v>
      </c>
      <c r="P19" s="467">
        <v>3.0</v>
      </c>
      <c r="Q19" s="466">
        <v>50.0</v>
      </c>
      <c r="R19" s="468"/>
      <c r="S19" s="466"/>
      <c r="T19" s="467">
        <v>44460.0</v>
      </c>
      <c r="U19" s="467">
        <v>3.0</v>
      </c>
      <c r="V19" s="466">
        <v>50.0</v>
      </c>
      <c r="W19" s="468"/>
      <c r="X19" s="468"/>
      <c r="Y19" s="468">
        <v>4.35</v>
      </c>
      <c r="Z19" s="469" t="s">
        <v>2230</v>
      </c>
      <c r="AA19" s="470">
        <f t="array" ref="AA19">XLOOKUP(P19,'Dipstick Matrix'!$A$2:$A$10, XLOOKUP(Q19,'Dipstick Matrix'!$B$1:$E$1,'Dipstick Matrix'!$B$2:$E$10))</f>
        <v>30</v>
      </c>
      <c r="AB19" s="470">
        <f t="shared" si="10"/>
        <v>80</v>
      </c>
      <c r="AC19" s="470">
        <f t="array" ref="AC19">XLOOKUP(U19,'Dipstick Matrix'!$A$2:$A$10, XLOOKUP(V19,'Dipstick Matrix'!$B$1:$E$1,'Dipstick Matrix'!$B$2:$E$10))</f>
        <v>30</v>
      </c>
      <c r="AD19" s="470">
        <f t="shared" si="11"/>
        <v>-90</v>
      </c>
      <c r="AE19" s="470">
        <f t="shared" si="9"/>
        <v>-10</v>
      </c>
      <c r="AF19" s="470" t="str">
        <f t="shared" si="1"/>
        <v>#REF!</v>
      </c>
      <c r="AG19" s="470" t="str">
        <f t="shared" si="2"/>
        <v>#REF!</v>
      </c>
      <c r="AH19" s="466"/>
      <c r="AI19" s="466"/>
      <c r="AJ19" s="470" t="str">
        <f t="shared" si="3"/>
        <v>#REF!</v>
      </c>
      <c r="AK19" s="470">
        <f t="shared" si="4"/>
        <v>3789.72</v>
      </c>
      <c r="AL19" s="470">
        <f t="shared" si="5"/>
        <v>79180.28</v>
      </c>
      <c r="AM19" s="470">
        <f t="shared" si="12"/>
        <v>35915.54157</v>
      </c>
      <c r="AN19" s="470">
        <f t="shared" si="13"/>
        <v>41013.78864</v>
      </c>
      <c r="AO19" s="470">
        <f t="shared" si="6"/>
        <v>-1288.35</v>
      </c>
      <c r="AP19" s="470" t="str">
        <f t="shared" si="7"/>
        <v>#REF!</v>
      </c>
      <c r="AQ19" s="90" t="str">
        <f t="shared" si="8"/>
        <v>#REF!</v>
      </c>
    </row>
    <row r="20">
      <c r="A20" s="464" t="s">
        <v>2231</v>
      </c>
      <c r="B20" s="465">
        <v>45768.56444444445</v>
      </c>
      <c r="C20" s="465">
        <v>45771.86765046296</v>
      </c>
      <c r="D20" s="466">
        <v>8000.0</v>
      </c>
      <c r="E20" s="466">
        <v>36810.95</v>
      </c>
      <c r="F20" s="466">
        <v>36.81</v>
      </c>
      <c r="G20" s="466">
        <v>300.0</v>
      </c>
      <c r="H20" s="466">
        <v>300.0</v>
      </c>
      <c r="I20" s="466">
        <v>7050.6</v>
      </c>
      <c r="J20" s="466"/>
      <c r="K20" s="466">
        <v>7100.0</v>
      </c>
      <c r="L20" s="466">
        <v>950.0</v>
      </c>
      <c r="M20" s="466">
        <v>8050.0</v>
      </c>
      <c r="N20" s="466"/>
      <c r="O20" s="467">
        <v>48660.0</v>
      </c>
      <c r="P20" s="467">
        <v>3.0</v>
      </c>
      <c r="Q20" s="466">
        <v>25.0</v>
      </c>
      <c r="R20" s="468"/>
      <c r="S20" s="466"/>
      <c r="T20" s="467">
        <v>41340.0</v>
      </c>
      <c r="U20" s="467">
        <v>3.0</v>
      </c>
      <c r="V20" s="466">
        <v>75.0</v>
      </c>
      <c r="W20" s="468"/>
      <c r="X20" s="468"/>
      <c r="Y20" s="468">
        <v>4.46</v>
      </c>
      <c r="Z20" s="469" t="s">
        <v>2232</v>
      </c>
      <c r="AA20" s="470">
        <f t="array" ref="AA20">XLOOKUP(P20,'Dipstick Matrix'!$A$2:$A$10, XLOOKUP(Q20,'Dipstick Matrix'!$B$1:$E$1,'Dipstick Matrix'!$B$2:$E$10))</f>
        <v>26</v>
      </c>
      <c r="AB20" s="470">
        <f t="shared" si="10"/>
        <v>-40</v>
      </c>
      <c r="AC20" s="470">
        <f t="array" ref="AC20">XLOOKUP(U20,'Dipstick Matrix'!$A$2:$A$10, XLOOKUP(V20,'Dipstick Matrix'!$B$1:$E$1,'Dipstick Matrix'!$B$2:$E$10))</f>
        <v>34</v>
      </c>
      <c r="AD20" s="470">
        <f t="shared" si="11"/>
        <v>40</v>
      </c>
      <c r="AE20" s="470">
        <f t="shared" si="9"/>
        <v>0</v>
      </c>
      <c r="AF20" s="470" t="str">
        <f t="shared" si="1"/>
        <v>#REF!</v>
      </c>
      <c r="AG20" s="470" t="str">
        <f t="shared" si="2"/>
        <v>#REF!</v>
      </c>
      <c r="AH20" s="466"/>
      <c r="AI20" s="466"/>
      <c r="AJ20" s="470" t="str">
        <f t="shared" si="3"/>
        <v>#REF!</v>
      </c>
      <c r="AK20" s="470">
        <f t="shared" si="4"/>
        <v>3828</v>
      </c>
      <c r="AL20" s="470">
        <f t="shared" si="5"/>
        <v>78122</v>
      </c>
      <c r="AM20" s="470">
        <f t="shared" si="12"/>
        <v>35435.51422</v>
      </c>
      <c r="AN20" s="470">
        <f t="shared" si="13"/>
        <v>40823.28</v>
      </c>
      <c r="AO20" s="470">
        <f t="shared" si="6"/>
        <v>-3030.0622</v>
      </c>
      <c r="AP20" s="470" t="str">
        <f t="shared" si="7"/>
        <v>#REF!</v>
      </c>
      <c r="AQ20" s="90" t="str">
        <f t="shared" si="8"/>
        <v>#REF!</v>
      </c>
    </row>
    <row r="21">
      <c r="A21" s="464" t="s">
        <v>2233</v>
      </c>
      <c r="B21" s="465">
        <v>45768.877974537034</v>
      </c>
      <c r="C21" s="465">
        <v>45772.87056712963</v>
      </c>
      <c r="D21" s="466">
        <v>7691.78</v>
      </c>
      <c r="E21" s="466">
        <v>35457.58</v>
      </c>
      <c r="F21" s="466">
        <v>35.46</v>
      </c>
      <c r="G21" s="466">
        <v>288.44</v>
      </c>
      <c r="H21" s="466">
        <v>290.0</v>
      </c>
      <c r="I21" s="466">
        <v>7020.09</v>
      </c>
      <c r="J21" s="466"/>
      <c r="K21" s="466">
        <v>7050.0</v>
      </c>
      <c r="L21" s="466">
        <v>465.0</v>
      </c>
      <c r="M21" s="466">
        <v>7515.0</v>
      </c>
      <c r="N21" s="466"/>
      <c r="O21" s="467">
        <v>41960.0</v>
      </c>
      <c r="P21" s="467">
        <v>3.0</v>
      </c>
      <c r="Q21" s="466">
        <v>25.0</v>
      </c>
      <c r="R21" s="468"/>
      <c r="S21" s="466"/>
      <c r="T21" s="467">
        <v>44060.0</v>
      </c>
      <c r="U21" s="467">
        <v>1.0</v>
      </c>
      <c r="V21" s="466">
        <v>0.0</v>
      </c>
      <c r="W21" s="468"/>
      <c r="X21" s="468"/>
      <c r="Y21" s="468">
        <v>4.42</v>
      </c>
      <c r="Z21" s="469" t="s">
        <v>2234</v>
      </c>
      <c r="AA21" s="470">
        <f t="array" ref="AA21">XLOOKUP(P21,'Dipstick Matrix'!$A$2:$A$10, XLOOKUP(Q21,'Dipstick Matrix'!$B$1:$E$1,'Dipstick Matrix'!$B$2:$E$10))</f>
        <v>26</v>
      </c>
      <c r="AB21" s="470">
        <f t="shared" si="10"/>
        <v>0</v>
      </c>
      <c r="AC21" s="470">
        <f t="array" ref="AC21">XLOOKUP(U21,'Dipstick Matrix'!$A$2:$A$10, XLOOKUP(V21,'Dipstick Matrix'!$B$1:$E$1,'Dipstick Matrix'!$B$2:$E$10))</f>
        <v>4</v>
      </c>
      <c r="AD21" s="470">
        <f t="shared" si="11"/>
        <v>-300</v>
      </c>
      <c r="AE21" s="470">
        <f t="shared" si="9"/>
        <v>-300</v>
      </c>
      <c r="AF21" s="470" t="str">
        <f t="shared" si="1"/>
        <v>#REF!</v>
      </c>
      <c r="AG21" s="470" t="str">
        <f t="shared" si="2"/>
        <v>#REF!</v>
      </c>
      <c r="AH21" s="466"/>
      <c r="AI21" s="466"/>
      <c r="AJ21" s="470" t="str">
        <f t="shared" si="3"/>
        <v>#REF!</v>
      </c>
      <c r="AK21" s="470">
        <f t="shared" si="4"/>
        <v>3700.4</v>
      </c>
      <c r="AL21" s="470">
        <f t="shared" si="5"/>
        <v>74804.6</v>
      </c>
      <c r="AM21" s="470">
        <f t="shared" si="12"/>
        <v>33930.76812</v>
      </c>
      <c r="AN21" s="470">
        <f t="shared" si="13"/>
        <v>39017.98384</v>
      </c>
      <c r="AO21" s="470">
        <f t="shared" si="6"/>
        <v>-3371.2252</v>
      </c>
      <c r="AP21" s="470" t="str">
        <f t="shared" si="7"/>
        <v>#REF!</v>
      </c>
      <c r="AQ21" s="90" t="str">
        <f t="shared" si="8"/>
        <v>#REF!</v>
      </c>
    </row>
    <row r="22">
      <c r="A22" s="464" t="s">
        <v>2235</v>
      </c>
      <c r="B22" s="465">
        <v>45771.773356481484</v>
      </c>
      <c r="C22" s="465">
        <v>45775.933854166666</v>
      </c>
      <c r="D22" s="466">
        <v>7961.76</v>
      </c>
      <c r="E22" s="466">
        <v>36769.0</v>
      </c>
      <c r="F22" s="466">
        <v>36.77</v>
      </c>
      <c r="G22" s="466">
        <v>298.57</v>
      </c>
      <c r="H22" s="466">
        <v>300.0</v>
      </c>
      <c r="I22" s="466">
        <v>7114.54</v>
      </c>
      <c r="J22" s="466"/>
      <c r="K22" s="466">
        <v>7150.0</v>
      </c>
      <c r="L22" s="466">
        <v>400.0</v>
      </c>
      <c r="M22" s="466">
        <v>7550.0</v>
      </c>
      <c r="N22" s="466"/>
      <c r="O22" s="467">
        <v>45220.0</v>
      </c>
      <c r="P22" s="467">
        <v>3.0</v>
      </c>
      <c r="Q22" s="466">
        <v>0.0</v>
      </c>
      <c r="R22" s="468"/>
      <c r="S22" s="466"/>
      <c r="T22" s="467">
        <v>43160.0</v>
      </c>
      <c r="U22" s="467">
        <v>2.0</v>
      </c>
      <c r="V22" s="466">
        <v>75.0</v>
      </c>
      <c r="W22" s="468"/>
      <c r="X22" s="468"/>
      <c r="Y22" s="468">
        <v>4.39</v>
      </c>
      <c r="Z22" s="469" t="s">
        <v>2236</v>
      </c>
      <c r="AA22" s="470">
        <f t="array" ref="AA22">XLOOKUP(P22,'Dipstick Matrix'!$A$2:$A$10, XLOOKUP(Q22,'Dipstick Matrix'!$B$1:$E$1,'Dipstick Matrix'!$B$2:$E$10))</f>
        <v>22</v>
      </c>
      <c r="AB22" s="470">
        <f t="shared" si="10"/>
        <v>-40</v>
      </c>
      <c r="AC22" s="470">
        <f t="array" ref="AC22">XLOOKUP(U22,'Dipstick Matrix'!$A$2:$A$10, XLOOKUP(V22,'Dipstick Matrix'!$B$1:$E$1,'Dipstick Matrix'!$B$2:$E$10))</f>
        <v>19</v>
      </c>
      <c r="AD22" s="470">
        <f t="shared" si="11"/>
        <v>150</v>
      </c>
      <c r="AE22" s="470">
        <f t="shared" si="9"/>
        <v>110</v>
      </c>
      <c r="AF22" s="470" t="str">
        <f t="shared" si="1"/>
        <v>#REF!</v>
      </c>
      <c r="AG22" s="470" t="str">
        <f t="shared" si="2"/>
        <v>#REF!</v>
      </c>
      <c r="AH22" s="466"/>
      <c r="AI22" s="466"/>
      <c r="AJ22" s="470" t="str">
        <f t="shared" si="3"/>
        <v>#REF!</v>
      </c>
      <c r="AK22" s="470">
        <f t="shared" si="4"/>
        <v>3828</v>
      </c>
      <c r="AL22" s="470">
        <f t="shared" si="5"/>
        <v>77002</v>
      </c>
      <c r="AM22" s="470">
        <f t="shared" si="12"/>
        <v>34927.49118</v>
      </c>
      <c r="AN22" s="470">
        <f t="shared" si="13"/>
        <v>40088.46096</v>
      </c>
      <c r="AO22" s="470">
        <f t="shared" si="6"/>
        <v>-4061.8774</v>
      </c>
      <c r="AP22" s="470" t="str">
        <f t="shared" si="7"/>
        <v>#REF!</v>
      </c>
      <c r="AQ22" s="90" t="str">
        <f t="shared" si="8"/>
        <v>#REF!</v>
      </c>
    </row>
    <row r="23">
      <c r="A23" s="464" t="s">
        <v>2237</v>
      </c>
      <c r="B23" s="465">
        <v>45775.012604166666</v>
      </c>
      <c r="C23" s="465">
        <v>45776.93586805555</v>
      </c>
      <c r="D23" s="466">
        <v>7600.0</v>
      </c>
      <c r="E23" s="466">
        <v>35098.32</v>
      </c>
      <c r="F23" s="466">
        <v>35.1</v>
      </c>
      <c r="G23" s="466">
        <v>285.0</v>
      </c>
      <c r="H23" s="466">
        <v>327.0</v>
      </c>
      <c r="I23" s="466">
        <v>6832.42</v>
      </c>
      <c r="J23" s="466"/>
      <c r="K23" s="466">
        <v>6750.0</v>
      </c>
      <c r="L23" s="466">
        <v>500.0</v>
      </c>
      <c r="M23" s="466">
        <v>7250.0</v>
      </c>
      <c r="N23" s="466"/>
      <c r="O23" s="467">
        <v>42640.0</v>
      </c>
      <c r="P23" s="467">
        <v>3.0</v>
      </c>
      <c r="Q23" s="466">
        <v>75.0</v>
      </c>
      <c r="R23" s="468"/>
      <c r="S23" s="466"/>
      <c r="T23" s="467">
        <v>44220.0</v>
      </c>
      <c r="U23" s="467">
        <v>4.0</v>
      </c>
      <c r="V23" s="466">
        <v>0.0</v>
      </c>
      <c r="W23" s="468"/>
      <c r="X23" s="468"/>
      <c r="Y23" s="468">
        <v>4.3</v>
      </c>
      <c r="Z23" s="469" t="s">
        <v>2238</v>
      </c>
      <c r="AA23" s="470">
        <f t="array" ref="AA23">XLOOKUP(P23,'Dipstick Matrix'!$A$2:$A$10, XLOOKUP(Q23,'Dipstick Matrix'!$B$1:$E$1,'Dipstick Matrix'!$B$2:$E$10))</f>
        <v>34</v>
      </c>
      <c r="AB23" s="470">
        <f t="shared" si="10"/>
        <v>120</v>
      </c>
      <c r="AC23" s="470">
        <f t="array" ref="AC23">XLOOKUP(U23,'Dipstick Matrix'!$A$2:$A$10, XLOOKUP(V23,'Dipstick Matrix'!$B$1:$E$1,'Dipstick Matrix'!$B$2:$E$10))</f>
        <v>39</v>
      </c>
      <c r="AD23" s="470">
        <f t="shared" si="11"/>
        <v>200</v>
      </c>
      <c r="AE23" s="470">
        <f t="shared" si="9"/>
        <v>320</v>
      </c>
      <c r="AF23" s="470" t="str">
        <f t="shared" si="1"/>
        <v>#REF!</v>
      </c>
      <c r="AG23" s="470" t="str">
        <f t="shared" si="2"/>
        <v>#REF!</v>
      </c>
      <c r="AH23" s="466"/>
      <c r="AI23" s="466"/>
      <c r="AJ23" s="470" t="str">
        <f t="shared" si="3"/>
        <v>#REF!</v>
      </c>
      <c r="AK23" s="470">
        <f t="shared" si="4"/>
        <v>4172.52</v>
      </c>
      <c r="AL23" s="470">
        <f t="shared" si="5"/>
        <v>75437.48</v>
      </c>
      <c r="AM23" s="470">
        <f t="shared" si="12"/>
        <v>34217.83743</v>
      </c>
      <c r="AN23" s="470">
        <f t="shared" si="13"/>
        <v>39399.00112</v>
      </c>
      <c r="AO23" s="470">
        <f t="shared" si="6"/>
        <v>-1944.682</v>
      </c>
      <c r="AP23" s="470" t="str">
        <f t="shared" si="7"/>
        <v>#REF!</v>
      </c>
      <c r="AQ23" s="90" t="str">
        <f t="shared" si="8"/>
        <v>#REF!</v>
      </c>
    </row>
    <row r="24">
      <c r="A24" s="464" t="s">
        <v>2239</v>
      </c>
      <c r="B24" s="465">
        <v>45775.886041666665</v>
      </c>
      <c r="C24" s="465">
        <v>45778.926145833335</v>
      </c>
      <c r="D24" s="466">
        <v>8000.0</v>
      </c>
      <c r="E24" s="466">
        <v>36945.6</v>
      </c>
      <c r="F24" s="466">
        <v>36.95</v>
      </c>
      <c r="G24" s="466">
        <v>300.0</v>
      </c>
      <c r="H24" s="466">
        <v>302.0</v>
      </c>
      <c r="I24" s="466">
        <v>6954.0</v>
      </c>
      <c r="J24" s="466"/>
      <c r="K24" s="466">
        <v>7000.0</v>
      </c>
      <c r="L24" s="466">
        <v>400.0</v>
      </c>
      <c r="M24" s="466">
        <v>7400.0</v>
      </c>
      <c r="N24" s="466"/>
      <c r="O24" s="467">
        <v>43760.0</v>
      </c>
      <c r="P24" s="467">
        <v>3.0</v>
      </c>
      <c r="Q24" s="466">
        <v>0.0</v>
      </c>
      <c r="R24" s="468"/>
      <c r="S24" s="466"/>
      <c r="T24" s="467">
        <v>47940.0</v>
      </c>
      <c r="U24" s="467">
        <v>3.0</v>
      </c>
      <c r="V24" s="466">
        <v>0.0</v>
      </c>
      <c r="W24" s="468"/>
      <c r="X24" s="468"/>
      <c r="Y24" s="468">
        <v>4.39</v>
      </c>
      <c r="Z24" s="469" t="s">
        <v>2240</v>
      </c>
      <c r="AA24" s="470">
        <f t="array" ref="AA24">XLOOKUP(P24,'Dipstick Matrix'!$A$2:$A$10, XLOOKUP(Q24,'Dipstick Matrix'!$B$1:$E$1,'Dipstick Matrix'!$B$2:$E$10))</f>
        <v>22</v>
      </c>
      <c r="AB24" s="470">
        <f t="shared" si="10"/>
        <v>-120</v>
      </c>
      <c r="AC24" s="470">
        <f t="array" ref="AC24">XLOOKUP(U24,'Dipstick Matrix'!$A$2:$A$10, XLOOKUP(V24,'Dipstick Matrix'!$B$1:$E$1,'Dipstick Matrix'!$B$2:$E$10))</f>
        <v>22</v>
      </c>
      <c r="AD24" s="470">
        <f t="shared" si="11"/>
        <v>-170</v>
      </c>
      <c r="AE24" s="470">
        <f t="shared" si="9"/>
        <v>-290</v>
      </c>
      <c r="AF24" s="470" t="str">
        <f t="shared" si="1"/>
        <v>#REF!</v>
      </c>
      <c r="AG24" s="470" t="str">
        <f t="shared" si="2"/>
        <v>#REF!</v>
      </c>
      <c r="AH24" s="466"/>
      <c r="AI24" s="466"/>
      <c r="AJ24" s="470" t="str">
        <f t="shared" si="3"/>
        <v>#REF!</v>
      </c>
      <c r="AK24" s="470">
        <f t="shared" si="4"/>
        <v>3853.52</v>
      </c>
      <c r="AL24" s="470">
        <f t="shared" si="5"/>
        <v>80446.48</v>
      </c>
      <c r="AM24" s="470">
        <f t="shared" si="12"/>
        <v>36489.87976</v>
      </c>
      <c r="AN24" s="470">
        <f t="shared" si="13"/>
        <v>41594.3864</v>
      </c>
      <c r="AO24" s="470">
        <f t="shared" si="6"/>
        <v>-1014.229</v>
      </c>
      <c r="AP24" s="470" t="str">
        <f t="shared" si="7"/>
        <v>#REF!</v>
      </c>
      <c r="AQ24" s="90" t="str">
        <f t="shared" si="8"/>
        <v>#REF!</v>
      </c>
    </row>
    <row r="25">
      <c r="A25" s="471" t="s">
        <v>2241</v>
      </c>
      <c r="B25" s="472">
        <v>45777.464537037034</v>
      </c>
      <c r="C25" s="472">
        <v>45779.86170138889</v>
      </c>
      <c r="D25" s="473">
        <v>8100.0</v>
      </c>
      <c r="E25" s="473">
        <v>37407.42</v>
      </c>
      <c r="F25" s="473">
        <v>37.41</v>
      </c>
      <c r="G25" s="473">
        <v>303.75</v>
      </c>
      <c r="H25" s="473">
        <v>304.0</v>
      </c>
      <c r="I25" s="473">
        <v>7359.64</v>
      </c>
      <c r="J25" s="473"/>
      <c r="K25" s="473">
        <v>7400.0</v>
      </c>
      <c r="L25" s="473">
        <v>450.0</v>
      </c>
      <c r="M25" s="473">
        <v>7850.0</v>
      </c>
      <c r="N25" s="473"/>
      <c r="O25" s="474">
        <v>45280.0</v>
      </c>
      <c r="P25" s="474">
        <v>0.0</v>
      </c>
      <c r="Q25" s="473">
        <v>0.0</v>
      </c>
      <c r="R25" s="475"/>
      <c r="S25" s="473"/>
      <c r="T25" s="474">
        <v>45360.0</v>
      </c>
      <c r="U25" s="474">
        <v>0.0</v>
      </c>
      <c r="V25" s="473">
        <v>0.0</v>
      </c>
      <c r="W25" s="475"/>
      <c r="X25" s="475"/>
      <c r="Y25" s="475">
        <v>4.4</v>
      </c>
      <c r="Z25" s="476" t="s">
        <v>2242</v>
      </c>
      <c r="AA25" s="477">
        <f t="array" ref="AA25">XLOOKUP(P25,'Dipstick Matrix'!$A$2:$A$10, XLOOKUP(Q25,'Dipstick Matrix'!$B$1:$E$1,'Dipstick Matrix'!$B$2:$E$10))</f>
        <v>1</v>
      </c>
      <c r="AB25" s="474">
        <v>0.0</v>
      </c>
      <c r="AC25" s="477">
        <f t="array" ref="AC25">XLOOKUP(U25,'Dipstick Matrix'!$A$2:$A$10, XLOOKUP(V25,'Dipstick Matrix'!$B$1:$E$1,'Dipstick Matrix'!$B$2:$E$10))</f>
        <v>1</v>
      </c>
      <c r="AD25" s="474">
        <v>0.0</v>
      </c>
      <c r="AE25" s="477">
        <f t="shared" si="9"/>
        <v>0</v>
      </c>
      <c r="AF25" s="477" t="str">
        <f t="shared" si="1"/>
        <v>#REF!</v>
      </c>
      <c r="AG25" s="477" t="str">
        <f t="shared" si="2"/>
        <v>#REF!</v>
      </c>
      <c r="AH25" s="473"/>
      <c r="AI25" s="473"/>
      <c r="AJ25" s="477" t="str">
        <f t="shared" si="3"/>
        <v>#REF!</v>
      </c>
      <c r="AK25" s="477">
        <f t="shared" si="4"/>
        <v>3879.04</v>
      </c>
      <c r="AL25" s="477">
        <f t="shared" si="5"/>
        <v>78910.96</v>
      </c>
      <c r="AM25" s="477">
        <f t="shared" si="12"/>
        <v>35793.38017</v>
      </c>
      <c r="AN25" s="477">
        <f t="shared" si="13"/>
        <v>41113.57888</v>
      </c>
      <c r="AO25" s="477">
        <f t="shared" si="6"/>
        <v>-3563.8742</v>
      </c>
      <c r="AP25" s="477" t="str">
        <f t="shared" si="7"/>
        <v>#REF!</v>
      </c>
      <c r="AQ25" s="90" t="str">
        <f t="shared" si="8"/>
        <v>#REF!</v>
      </c>
    </row>
    <row r="26">
      <c r="A26" s="471" t="s">
        <v>2243</v>
      </c>
      <c r="B26" s="472">
        <v>45778.926087962966</v>
      </c>
      <c r="C26" s="472">
        <v>45782.91954861111</v>
      </c>
      <c r="D26" s="473">
        <v>7813.74</v>
      </c>
      <c r="E26" s="473">
        <v>36085.42</v>
      </c>
      <c r="F26" s="473">
        <v>36.09</v>
      </c>
      <c r="G26" s="473">
        <v>293.02</v>
      </c>
      <c r="H26" s="473">
        <v>293.0</v>
      </c>
      <c r="I26" s="473">
        <v>7520.75</v>
      </c>
      <c r="J26" s="473"/>
      <c r="K26" s="473">
        <v>7525.0</v>
      </c>
      <c r="L26" s="473">
        <v>500.0</v>
      </c>
      <c r="M26" s="473">
        <v>8025.0</v>
      </c>
      <c r="N26" s="473"/>
      <c r="O26" s="474">
        <v>43740.0</v>
      </c>
      <c r="P26" s="474">
        <v>3.0</v>
      </c>
      <c r="Q26" s="473">
        <v>0.0</v>
      </c>
      <c r="R26" s="475"/>
      <c r="S26" s="473"/>
      <c r="T26" s="474">
        <v>44120.0</v>
      </c>
      <c r="U26" s="474">
        <v>3.0</v>
      </c>
      <c r="V26" s="473">
        <v>75.0</v>
      </c>
      <c r="W26" s="475"/>
      <c r="X26" s="475"/>
      <c r="Y26" s="475">
        <v>4.4</v>
      </c>
      <c r="Z26" s="476" t="s">
        <v>2244</v>
      </c>
      <c r="AA26" s="477">
        <f t="array" ref="AA26">XLOOKUP(P26,'Dipstick Matrix'!$A$2:$A$10, XLOOKUP(Q26,'Dipstick Matrix'!$B$1:$E$1,'Dipstick Matrix'!$B$2:$E$10))</f>
        <v>22</v>
      </c>
      <c r="AB26" s="477">
        <f>((AA26-AA24)/5)*50</f>
        <v>0</v>
      </c>
      <c r="AC26" s="477">
        <f t="array" ref="AC26">XLOOKUP(U26,'Dipstick Matrix'!$A$2:$A$10, XLOOKUP(V26,'Dipstick Matrix'!$B$1:$E$1,'Dipstick Matrix'!$B$2:$E$10))</f>
        <v>34</v>
      </c>
      <c r="AD26" s="477">
        <f>((AC26-AC24)/5)*50</f>
        <v>120</v>
      </c>
      <c r="AE26" s="477">
        <f t="shared" si="9"/>
        <v>120</v>
      </c>
      <c r="AF26" s="477" t="str">
        <f t="shared" si="1"/>
        <v>#REF!</v>
      </c>
      <c r="AG26" s="477" t="str">
        <f t="shared" si="2"/>
        <v>#REF!</v>
      </c>
      <c r="AH26" s="473"/>
      <c r="AI26" s="473"/>
      <c r="AJ26" s="477" t="str">
        <f t="shared" si="3"/>
        <v>#REF!</v>
      </c>
      <c r="AK26" s="477">
        <f t="shared" si="4"/>
        <v>3738.68</v>
      </c>
      <c r="AL26" s="477">
        <f t="shared" si="5"/>
        <v>76096.32</v>
      </c>
      <c r="AM26" s="477">
        <f t="shared" si="12"/>
        <v>34516.68198</v>
      </c>
      <c r="AN26" s="477">
        <f t="shared" si="13"/>
        <v>39852.59312</v>
      </c>
      <c r="AO26" s="477">
        <f t="shared" si="6"/>
        <v>-3468.4158</v>
      </c>
      <c r="AP26" s="477" t="str">
        <f t="shared" si="7"/>
        <v>#REF!</v>
      </c>
      <c r="AQ26" s="90" t="str">
        <f t="shared" si="8"/>
        <v>#REF!</v>
      </c>
    </row>
    <row r="27">
      <c r="A27" s="471" t="s">
        <v>2245</v>
      </c>
      <c r="B27" s="472">
        <v>45780.64299768519</v>
      </c>
      <c r="C27" s="472">
        <v>45786.89203703704</v>
      </c>
      <c r="D27" s="473">
        <v>7874.0</v>
      </c>
      <c r="E27" s="473">
        <v>36363.71</v>
      </c>
      <c r="F27" s="473">
        <v>36.36</v>
      </c>
      <c r="G27" s="473">
        <v>295.27</v>
      </c>
      <c r="H27" s="473">
        <v>295.0</v>
      </c>
      <c r="I27" s="473">
        <v>7211.46</v>
      </c>
      <c r="J27" s="473"/>
      <c r="K27" s="473">
        <v>7250.0</v>
      </c>
      <c r="L27" s="473">
        <v>400.0</v>
      </c>
      <c r="M27" s="473">
        <v>7650.0</v>
      </c>
      <c r="N27" s="474" t="s">
        <v>2246</v>
      </c>
      <c r="O27" s="474">
        <v>45780.0</v>
      </c>
      <c r="P27" s="474">
        <v>6.0</v>
      </c>
      <c r="Q27" s="473">
        <v>50.0</v>
      </c>
      <c r="R27" s="475"/>
      <c r="S27" s="474" t="s">
        <v>2246</v>
      </c>
      <c r="T27" s="474">
        <v>41000.0</v>
      </c>
      <c r="U27" s="474">
        <v>1.0</v>
      </c>
      <c r="V27" s="473">
        <v>0.0</v>
      </c>
      <c r="W27" s="475"/>
      <c r="X27" s="475"/>
      <c r="Y27" s="475">
        <v>4.29</v>
      </c>
      <c r="Z27" s="476" t="s">
        <v>2247</v>
      </c>
      <c r="AA27" s="477">
        <f t="array" ref="AA27">XLOOKUP(P27,'Dipstick Matrix'!$A$2:$A$10, XLOOKUP(Q27,'Dipstick Matrix'!$B$1:$E$1,'Dipstick Matrix'!$B$2:$E$10))</f>
        <v>108</v>
      </c>
      <c r="AB27" s="477">
        <f>((AA27-AA26)/5)*50</f>
        <v>860</v>
      </c>
      <c r="AC27" s="477">
        <f t="array" ref="AC27">XLOOKUP(U27,'Dipstick Matrix'!$A$2:$A$10, XLOOKUP(V27,'Dipstick Matrix'!$B$1:$E$1,'Dipstick Matrix'!$B$2:$E$10))</f>
        <v>4</v>
      </c>
      <c r="AD27" s="477">
        <f>((AC27-AC26)/5)*50</f>
        <v>-300</v>
      </c>
      <c r="AE27" s="477">
        <f t="shared" si="9"/>
        <v>560</v>
      </c>
      <c r="AF27" s="477" t="str">
        <f t="shared" si="1"/>
        <v>#REF!</v>
      </c>
      <c r="AG27" s="477" t="str">
        <f t="shared" si="2"/>
        <v>#REF!</v>
      </c>
      <c r="AH27" s="474"/>
      <c r="AI27" s="474"/>
      <c r="AJ27" s="477" t="str">
        <f t="shared" si="3"/>
        <v>#REF!</v>
      </c>
      <c r="AK27" s="477">
        <f t="shared" si="4"/>
        <v>3764.2</v>
      </c>
      <c r="AL27" s="477">
        <f t="shared" si="5"/>
        <v>75365.8</v>
      </c>
      <c r="AM27" s="477">
        <f t="shared" si="12"/>
        <v>34185.32395</v>
      </c>
      <c r="AN27" s="477">
        <f t="shared" si="13"/>
        <v>39362.71376</v>
      </c>
      <c r="AO27" s="477">
        <f t="shared" si="6"/>
        <v>-4794.1832</v>
      </c>
      <c r="AP27" s="477" t="str">
        <f t="shared" si="7"/>
        <v>#REF!</v>
      </c>
      <c r="AQ27" s="90" t="str">
        <f t="shared" si="8"/>
        <v>#REF!</v>
      </c>
    </row>
    <row r="28">
      <c r="A28" s="471" t="s">
        <v>2248</v>
      </c>
      <c r="B28" s="472">
        <v>45782.787314814814</v>
      </c>
      <c r="C28" s="472">
        <v>45789.94037037037</v>
      </c>
      <c r="D28" s="473">
        <v>8250.21</v>
      </c>
      <c r="E28" s="473">
        <v>38101.12</v>
      </c>
      <c r="F28" s="473">
        <v>38.1</v>
      </c>
      <c r="G28" s="473">
        <v>309.38</v>
      </c>
      <c r="H28" s="473">
        <v>309.0</v>
      </c>
      <c r="I28" s="473">
        <v>7705.95</v>
      </c>
      <c r="J28" s="473">
        <f>I28/1.05</f>
        <v>7339</v>
      </c>
      <c r="K28" s="473">
        <v>7750.0</v>
      </c>
      <c r="L28" s="473">
        <v>400.0</v>
      </c>
      <c r="M28" s="473">
        <v>8150.0</v>
      </c>
      <c r="N28" s="474" t="s">
        <v>2249</v>
      </c>
      <c r="O28" s="474">
        <v>43620.0</v>
      </c>
      <c r="P28" s="474">
        <v>0.0</v>
      </c>
      <c r="Q28" s="473">
        <v>0.0</v>
      </c>
      <c r="R28" s="475"/>
      <c r="S28" s="474" t="s">
        <v>2249</v>
      </c>
      <c r="T28" s="474">
        <v>46640.0</v>
      </c>
      <c r="U28" s="474">
        <v>0.0</v>
      </c>
      <c r="V28" s="473">
        <v>0.0</v>
      </c>
      <c r="W28" s="475"/>
      <c r="X28" s="475"/>
      <c r="Y28" s="475">
        <v>4.43</v>
      </c>
      <c r="Z28" s="476" t="s">
        <v>2250</v>
      </c>
      <c r="AA28" s="477">
        <f t="array" ref="AA28">XLOOKUP(P28,'Dipstick Matrix'!$A$2:$A$10, XLOOKUP(Q28,'Dipstick Matrix'!$B$1:$E$1,'Dipstick Matrix'!$B$2:$E$10))</f>
        <v>1</v>
      </c>
      <c r="AB28" s="477">
        <f>((AA28-AA25)/5)*50</f>
        <v>0</v>
      </c>
      <c r="AC28" s="477">
        <f t="array" ref="AC28">XLOOKUP(U28,'Dipstick Matrix'!$A$2:$A$10, XLOOKUP(V28,'Dipstick Matrix'!$B$1:$E$1,'Dipstick Matrix'!$B$2:$E$10))</f>
        <v>1</v>
      </c>
      <c r="AD28" s="477">
        <f t="shared" ref="AD28:AD29" si="14">((AC28-AC26)/5)*50</f>
        <v>-330</v>
      </c>
      <c r="AE28" s="477">
        <f t="shared" si="9"/>
        <v>-330</v>
      </c>
      <c r="AF28" s="477" t="str">
        <f t="shared" si="1"/>
        <v>#REF!</v>
      </c>
      <c r="AG28" s="477" t="str">
        <f t="shared" si="2"/>
        <v>#REF!</v>
      </c>
      <c r="AH28" s="478">
        <f>M28/(I28)</f>
        <v>1.057624303</v>
      </c>
      <c r="AI28" s="478" t="str">
        <f>AG28/(I28)</f>
        <v>#REF!</v>
      </c>
      <c r="AJ28" s="477" t="str">
        <f t="shared" si="3"/>
        <v>#REF!</v>
      </c>
      <c r="AK28" s="477">
        <f t="shared" si="4"/>
        <v>3942.84</v>
      </c>
      <c r="AL28" s="477">
        <f t="shared" si="5"/>
        <v>78167.16</v>
      </c>
      <c r="AM28" s="477">
        <f t="shared" si="12"/>
        <v>35455.99844</v>
      </c>
      <c r="AN28" s="477">
        <f t="shared" si="13"/>
        <v>40941.21392</v>
      </c>
      <c r="AO28" s="477">
        <f t="shared" si="6"/>
        <v>-5828.862</v>
      </c>
      <c r="AP28" s="477" t="str">
        <f t="shared" si="7"/>
        <v>#REF!</v>
      </c>
      <c r="AQ28" s="90" t="str">
        <f t="shared" si="8"/>
        <v>#REF!</v>
      </c>
    </row>
    <row r="29">
      <c r="A29" s="471" t="s">
        <v>2251</v>
      </c>
      <c r="B29" s="472">
        <v>45786.58398148148</v>
      </c>
      <c r="C29" s="472">
        <v>45790.907905092594</v>
      </c>
      <c r="D29" s="473">
        <v>7772.35</v>
      </c>
      <c r="E29" s="473">
        <v>35894.27</v>
      </c>
      <c r="F29" s="473">
        <v>35.89</v>
      </c>
      <c r="G29" s="473">
        <v>291.46</v>
      </c>
      <c r="H29" s="473">
        <v>291.0</v>
      </c>
      <c r="I29" s="473">
        <v>6813.42</v>
      </c>
      <c r="J29" s="473"/>
      <c r="K29" s="473">
        <v>6350.0</v>
      </c>
      <c r="L29" s="473">
        <v>800.0</v>
      </c>
      <c r="M29" s="473">
        <v>7150.0</v>
      </c>
      <c r="N29" s="474" t="s">
        <v>2246</v>
      </c>
      <c r="O29" s="474">
        <v>44600.0</v>
      </c>
      <c r="P29" s="474">
        <v>2.0</v>
      </c>
      <c r="Q29" s="473">
        <v>0.0</v>
      </c>
      <c r="R29" s="475"/>
      <c r="S29" s="474" t="s">
        <v>2246</v>
      </c>
      <c r="T29" s="474">
        <v>43960.0</v>
      </c>
      <c r="U29" s="474">
        <v>6.0</v>
      </c>
      <c r="V29" s="473">
        <v>0.0</v>
      </c>
      <c r="W29" s="475"/>
      <c r="X29" s="475"/>
      <c r="Y29" s="475">
        <v>4.42</v>
      </c>
      <c r="Z29" s="476" t="s">
        <v>2252</v>
      </c>
      <c r="AA29" s="477">
        <f t="array" ref="AA29">XLOOKUP(P29,'Dipstick Matrix'!$A$2:$A$10, XLOOKUP(Q29,'Dipstick Matrix'!$B$1:$E$1,'Dipstick Matrix'!$B$2:$E$10))</f>
        <v>11</v>
      </c>
      <c r="AB29" s="477">
        <f>((AA29-AA27)/5)*50</f>
        <v>-970</v>
      </c>
      <c r="AC29" s="477">
        <f t="array" ref="AC29">XLOOKUP(U29,'Dipstick Matrix'!$A$2:$A$10, XLOOKUP(V29,'Dipstick Matrix'!$B$1:$E$1,'Dipstick Matrix'!$B$2:$E$10))</f>
        <v>91</v>
      </c>
      <c r="AD29" s="477">
        <f t="shared" si="14"/>
        <v>870</v>
      </c>
      <c r="AE29" s="477">
        <f t="shared" si="9"/>
        <v>-100</v>
      </c>
      <c r="AF29" s="477" t="str">
        <f t="shared" si="1"/>
        <v>#REF!</v>
      </c>
      <c r="AG29" s="477" t="str">
        <f t="shared" si="2"/>
        <v>#REF!</v>
      </c>
      <c r="AH29" s="474"/>
      <c r="AI29" s="474"/>
      <c r="AJ29" s="477" t="str">
        <f t="shared" si="3"/>
        <v>#REF!</v>
      </c>
      <c r="AK29" s="477">
        <f t="shared" si="4"/>
        <v>3713.16</v>
      </c>
      <c r="AL29" s="477">
        <f t="shared" si="5"/>
        <v>77696.84</v>
      </c>
      <c r="AM29" s="477">
        <f t="shared" si="12"/>
        <v>35242.66505</v>
      </c>
      <c r="AN29" s="477">
        <f t="shared" si="13"/>
        <v>40170.10752</v>
      </c>
      <c r="AO29" s="477">
        <f t="shared" si="6"/>
        <v>-1426.9718</v>
      </c>
      <c r="AP29" s="477" t="str">
        <f t="shared" si="7"/>
        <v>#REF!</v>
      </c>
      <c r="AQ29" s="90" t="str">
        <f t="shared" si="8"/>
        <v>#REF!</v>
      </c>
    </row>
    <row r="30">
      <c r="A30" s="471" t="s">
        <v>2253</v>
      </c>
      <c r="B30" s="472">
        <v>45789.852743055555</v>
      </c>
      <c r="C30" s="472">
        <v>45792.92417824074</v>
      </c>
      <c r="D30" s="473">
        <v>7972.0</v>
      </c>
      <c r="E30" s="473">
        <v>36638.76</v>
      </c>
      <c r="F30" s="473">
        <v>36.64</v>
      </c>
      <c r="G30" s="473">
        <v>298.95</v>
      </c>
      <c r="H30" s="473">
        <v>299.0</v>
      </c>
      <c r="I30" s="473">
        <v>7220.69</v>
      </c>
      <c r="J30" s="473"/>
      <c r="K30" s="473">
        <v>6500.0</v>
      </c>
      <c r="L30" s="473">
        <v>400.0</v>
      </c>
      <c r="M30" s="473">
        <v>6900.0</v>
      </c>
      <c r="N30" s="474" t="s">
        <v>2246</v>
      </c>
      <c r="O30" s="474">
        <v>43480.0</v>
      </c>
      <c r="P30" s="474">
        <v>3.0</v>
      </c>
      <c r="Q30" s="473">
        <v>75.0</v>
      </c>
      <c r="R30" s="475"/>
      <c r="S30" s="474" t="s">
        <v>2246</v>
      </c>
      <c r="T30" s="474">
        <v>46240.0</v>
      </c>
      <c r="U30" s="474">
        <v>2.0</v>
      </c>
      <c r="V30" s="473">
        <v>75.0</v>
      </c>
      <c r="W30" s="475"/>
      <c r="X30" s="475"/>
      <c r="Y30" s="475">
        <v>4.43</v>
      </c>
      <c r="Z30" s="476" t="s">
        <v>2254</v>
      </c>
      <c r="AA30" s="477">
        <f t="array" ref="AA30">XLOOKUP(P30,'Dipstick Matrix'!$A$2:$A$10, XLOOKUP(Q30,'Dipstick Matrix'!$B$1:$E$1,'Dipstick Matrix'!$B$2:$E$10))</f>
        <v>34</v>
      </c>
      <c r="AB30" s="477">
        <f>((AA30-AA29)/5)*50</f>
        <v>230</v>
      </c>
      <c r="AC30" s="477">
        <f t="array" ref="AC30">XLOOKUP(U30,'Dipstick Matrix'!$A$2:$A$10, XLOOKUP(V30,'Dipstick Matrix'!$B$1:$E$1,'Dipstick Matrix'!$B$2:$E$10))</f>
        <v>19</v>
      </c>
      <c r="AD30" s="477">
        <f>((AC30-AC29)/5)*50</f>
        <v>-720</v>
      </c>
      <c r="AE30" s="477">
        <f t="shared" si="9"/>
        <v>-490</v>
      </c>
      <c r="AF30" s="477" t="str">
        <f t="shared" si="1"/>
        <v>#REF!</v>
      </c>
      <c r="AG30" s="477" t="str">
        <f t="shared" si="2"/>
        <v>#REF!</v>
      </c>
      <c r="AH30" s="474"/>
      <c r="AI30" s="474"/>
      <c r="AJ30" s="477" t="str">
        <f t="shared" si="3"/>
        <v>#REF!</v>
      </c>
      <c r="AK30" s="477">
        <f t="shared" si="4"/>
        <v>3815.24</v>
      </c>
      <c r="AL30" s="477">
        <f t="shared" si="5"/>
        <v>79004.76</v>
      </c>
      <c r="AM30" s="477">
        <f t="shared" si="12"/>
        <v>35835.9271</v>
      </c>
      <c r="AN30" s="477">
        <f t="shared" si="13"/>
        <v>40696.27424</v>
      </c>
      <c r="AO30" s="477">
        <f t="shared" si="6"/>
        <v>-1772.5168</v>
      </c>
      <c r="AP30" s="477" t="str">
        <f t="shared" si="7"/>
        <v>#REF!</v>
      </c>
      <c r="AQ30" s="90" t="str">
        <f t="shared" si="8"/>
        <v>#REF!</v>
      </c>
    </row>
    <row r="31">
      <c r="A31" s="471" t="s">
        <v>2255</v>
      </c>
      <c r="B31" s="472">
        <v>45791.44159722222</v>
      </c>
      <c r="C31" s="472">
        <v>45793.883518518516</v>
      </c>
      <c r="D31" s="473">
        <v>8100.0</v>
      </c>
      <c r="E31" s="473">
        <v>37274.36</v>
      </c>
      <c r="F31" s="473">
        <v>37.27</v>
      </c>
      <c r="G31" s="473">
        <v>303.75</v>
      </c>
      <c r="H31" s="473">
        <v>304.0</v>
      </c>
      <c r="I31" s="473">
        <v>7279.05</v>
      </c>
      <c r="J31" s="473">
        <f t="shared" ref="J31:J32" si="15">I31/1.05</f>
        <v>6932.428571</v>
      </c>
      <c r="K31" s="473">
        <v>6950.0</v>
      </c>
      <c r="L31" s="474">
        <v>550.0</v>
      </c>
      <c r="M31" s="474">
        <v>7500.0</v>
      </c>
      <c r="N31" s="474" t="s">
        <v>2249</v>
      </c>
      <c r="O31" s="474">
        <v>45660.0</v>
      </c>
      <c r="P31" s="474">
        <v>0.0</v>
      </c>
      <c r="Q31" s="473">
        <v>50.0</v>
      </c>
      <c r="R31" s="475"/>
      <c r="S31" s="474" t="s">
        <v>2249</v>
      </c>
      <c r="T31" s="474">
        <v>43920.0</v>
      </c>
      <c r="U31" s="474">
        <v>0.0</v>
      </c>
      <c r="V31" s="474">
        <v>75.0</v>
      </c>
      <c r="W31" s="475"/>
      <c r="X31" s="475"/>
      <c r="Y31" s="475">
        <v>4.5</v>
      </c>
      <c r="Z31" s="476" t="s">
        <v>2256</v>
      </c>
      <c r="AA31" s="474">
        <v>8.0</v>
      </c>
      <c r="AB31" s="477">
        <f>((AA31-AA28)/5)*50</f>
        <v>70</v>
      </c>
      <c r="AC31" s="474">
        <v>22.0</v>
      </c>
      <c r="AD31" s="477">
        <f>((AC31-AC28)/5)*50</f>
        <v>210</v>
      </c>
      <c r="AE31" s="477">
        <f t="shared" si="9"/>
        <v>280</v>
      </c>
      <c r="AF31" s="477" t="str">
        <f t="shared" si="1"/>
        <v>#REF!</v>
      </c>
      <c r="AG31" s="477" t="str">
        <f t="shared" si="2"/>
        <v>#REF!</v>
      </c>
      <c r="AH31" s="478">
        <f t="shared" ref="AH31:AH32" si="16">M31/(I31)</f>
        <v>1.030354236</v>
      </c>
      <c r="AI31" s="478" t="str">
        <f t="shared" ref="AI31:AI32" si="17">AG31/(I31/1.05)</f>
        <v>#REF!</v>
      </c>
      <c r="AJ31" s="477" t="str">
        <f t="shared" si="3"/>
        <v>#REF!</v>
      </c>
      <c r="AK31" s="477">
        <f t="shared" si="4"/>
        <v>3879.04</v>
      </c>
      <c r="AL31" s="477">
        <f t="shared" si="5"/>
        <v>78200.96</v>
      </c>
      <c r="AM31" s="477">
        <f t="shared" si="12"/>
        <v>35471.32985</v>
      </c>
      <c r="AN31" s="477">
        <f t="shared" si="13"/>
        <v>40632.77136</v>
      </c>
      <c r="AO31" s="477">
        <f t="shared" si="6"/>
        <v>-3965.2274</v>
      </c>
      <c r="AP31" s="477" t="str">
        <f t="shared" si="7"/>
        <v>#REF!</v>
      </c>
      <c r="AQ31" s="90" t="str">
        <f t="shared" si="8"/>
        <v>#REF!</v>
      </c>
    </row>
    <row r="32">
      <c r="A32" s="471" t="s">
        <v>2257</v>
      </c>
      <c r="B32" s="472">
        <v>45792.705659722225</v>
      </c>
      <c r="C32" s="472">
        <v>45796.90261574074</v>
      </c>
      <c r="D32" s="473">
        <v>8037.57</v>
      </c>
      <c r="E32" s="473">
        <v>37119.12</v>
      </c>
      <c r="F32" s="473">
        <v>37.12</v>
      </c>
      <c r="G32" s="473">
        <v>301.41</v>
      </c>
      <c r="H32" s="473">
        <v>293.0</v>
      </c>
      <c r="I32" s="473">
        <v>7075.34</v>
      </c>
      <c r="J32" s="473">
        <f t="shared" si="15"/>
        <v>6738.419048</v>
      </c>
      <c r="K32" s="473">
        <v>7050.0</v>
      </c>
      <c r="L32" s="473">
        <v>550.0</v>
      </c>
      <c r="M32" s="473">
        <v>7600.0</v>
      </c>
      <c r="N32" s="474" t="s">
        <v>2249</v>
      </c>
      <c r="O32" s="474">
        <v>44720.0</v>
      </c>
      <c r="P32" s="474">
        <v>1.0</v>
      </c>
      <c r="Q32" s="473">
        <v>0.0</v>
      </c>
      <c r="R32" s="475"/>
      <c r="S32" s="474" t="s">
        <v>2249</v>
      </c>
      <c r="T32" s="474">
        <v>43900.0</v>
      </c>
      <c r="U32" s="474">
        <v>0.0</v>
      </c>
      <c r="V32" s="473">
        <v>25.0</v>
      </c>
      <c r="W32" s="475"/>
      <c r="X32" s="475"/>
      <c r="Y32" s="475">
        <v>4.68</v>
      </c>
      <c r="Z32" s="476" t="s">
        <v>2258</v>
      </c>
      <c r="AA32" s="474">
        <v>22.0</v>
      </c>
      <c r="AB32" s="477">
        <f>((AA32-AA31)/5)*50</f>
        <v>140</v>
      </c>
      <c r="AC32" s="474">
        <v>3.0</v>
      </c>
      <c r="AD32" s="477">
        <f>((AC32-AC31)/5)*50</f>
        <v>-190</v>
      </c>
      <c r="AE32" s="477">
        <f t="shared" si="9"/>
        <v>-50</v>
      </c>
      <c r="AF32" s="477" t="str">
        <f t="shared" si="1"/>
        <v>#REF!</v>
      </c>
      <c r="AG32" s="477" t="str">
        <f t="shared" si="2"/>
        <v>#REF!</v>
      </c>
      <c r="AH32" s="478">
        <f t="shared" si="16"/>
        <v>1.074153327</v>
      </c>
      <c r="AI32" s="478" t="str">
        <f t="shared" si="17"/>
        <v>#REF!</v>
      </c>
      <c r="AJ32" s="477" t="str">
        <f t="shared" si="3"/>
        <v>#REF!</v>
      </c>
      <c r="AK32" s="477">
        <f t="shared" si="4"/>
        <v>3738.68</v>
      </c>
      <c r="AL32" s="477">
        <f t="shared" si="5"/>
        <v>77281.32</v>
      </c>
      <c r="AM32" s="477">
        <f t="shared" si="12"/>
        <v>35054.1885</v>
      </c>
      <c r="AN32" s="477">
        <f t="shared" si="13"/>
        <v>40197.32304</v>
      </c>
      <c r="AO32" s="477">
        <f t="shared" si="6"/>
        <v>-4554.1744</v>
      </c>
      <c r="AP32" s="477" t="str">
        <f t="shared" si="7"/>
        <v>#REF!</v>
      </c>
      <c r="AQ32" s="90" t="str">
        <f t="shared" si="8"/>
        <v>#REF!</v>
      </c>
    </row>
    <row r="33">
      <c r="A33" s="471" t="s">
        <v>2259</v>
      </c>
      <c r="B33" s="472">
        <v>45792.45034722222</v>
      </c>
      <c r="C33" s="472">
        <v>45797.84954861111</v>
      </c>
      <c r="D33" s="473">
        <v>8142.0</v>
      </c>
      <c r="E33" s="473">
        <v>37397.47</v>
      </c>
      <c r="F33" s="473">
        <v>37.4</v>
      </c>
      <c r="G33" s="473">
        <v>305.32</v>
      </c>
      <c r="H33" s="473">
        <v>305.0</v>
      </c>
      <c r="I33" s="473">
        <v>7475.31</v>
      </c>
      <c r="J33" s="473"/>
      <c r="K33" s="473">
        <v>6625.0</v>
      </c>
      <c r="L33" s="473">
        <v>1075.0</v>
      </c>
      <c r="M33" s="473">
        <v>7700.0</v>
      </c>
      <c r="N33" s="474" t="s">
        <v>2246</v>
      </c>
      <c r="O33" s="474">
        <v>47140.0</v>
      </c>
      <c r="P33" s="474">
        <v>2.0</v>
      </c>
      <c r="Q33" s="473">
        <v>0.0</v>
      </c>
      <c r="R33" s="475"/>
      <c r="S33" s="474" t="s">
        <v>2246</v>
      </c>
      <c r="T33" s="474">
        <v>44320.0</v>
      </c>
      <c r="U33" s="474">
        <v>2.0</v>
      </c>
      <c r="V33" s="473">
        <v>50.0</v>
      </c>
      <c r="W33" s="475"/>
      <c r="X33" s="475"/>
      <c r="Y33" s="475">
        <v>4.67</v>
      </c>
      <c r="Z33" s="476" t="s">
        <v>2260</v>
      </c>
      <c r="AA33" s="477">
        <f t="array" ref="AA33">XLOOKUP(P33,'Dipstick Matrix'!$A$2:$A$10, XLOOKUP(Q33,'Dipstick Matrix'!$B$1:$E$1,'Dipstick Matrix'!$B$2:$E$10))</f>
        <v>11</v>
      </c>
      <c r="AB33" s="477">
        <f>((AA33-AA30)/5)*50</f>
        <v>-230</v>
      </c>
      <c r="AC33" s="477">
        <f t="array" ref="AC33">XLOOKUP(U33,'Dipstick Matrix'!$A$2:$A$10, XLOOKUP(V33,'Dipstick Matrix'!$B$1:$E$1,'Dipstick Matrix'!$B$2:$E$10))</f>
        <v>16</v>
      </c>
      <c r="AD33" s="477">
        <f>((AC33-AC30)/5)*50</f>
        <v>-30</v>
      </c>
      <c r="AE33" s="477">
        <f t="shared" si="9"/>
        <v>-260</v>
      </c>
      <c r="AF33" s="477" t="str">
        <f t="shared" si="1"/>
        <v>#REF!</v>
      </c>
      <c r="AG33" s="477" t="str">
        <f t="shared" si="2"/>
        <v>#REF!</v>
      </c>
      <c r="AH33" s="474"/>
      <c r="AI33" s="474"/>
      <c r="AJ33" s="477" t="str">
        <f t="shared" si="3"/>
        <v>#REF!</v>
      </c>
      <c r="AK33" s="477">
        <f t="shared" si="4"/>
        <v>3891.8</v>
      </c>
      <c r="AL33" s="477">
        <f t="shared" si="5"/>
        <v>79868.2</v>
      </c>
      <c r="AM33" s="477">
        <f t="shared" si="12"/>
        <v>36227.57657</v>
      </c>
      <c r="AN33" s="477">
        <f t="shared" si="13"/>
        <v>41485.52432</v>
      </c>
      <c r="AO33" s="477">
        <f t="shared" si="6"/>
        <v>-2584.588</v>
      </c>
      <c r="AP33" s="477" t="str">
        <f t="shared" si="7"/>
        <v>#REF!</v>
      </c>
      <c r="AQ33" s="90" t="str">
        <f t="shared" si="8"/>
        <v>#REF!</v>
      </c>
    </row>
    <row r="34">
      <c r="A34" s="471" t="s">
        <v>2261</v>
      </c>
      <c r="B34" s="472">
        <v>45796.62127314815</v>
      </c>
      <c r="C34" s="472">
        <v>45804.89990740741</v>
      </c>
      <c r="D34" s="473">
        <v>8209.0</v>
      </c>
      <c r="E34" s="473">
        <v>37600.06</v>
      </c>
      <c r="F34" s="473">
        <v>37.6</v>
      </c>
      <c r="G34" s="473">
        <v>307.84</v>
      </c>
      <c r="H34" s="473">
        <v>308.0</v>
      </c>
      <c r="I34" s="473">
        <v>7361.81</v>
      </c>
      <c r="J34" s="473">
        <f t="shared" ref="J34:J36" si="18">I34/1.05</f>
        <v>7011.247619</v>
      </c>
      <c r="K34" s="473">
        <v>6900.0</v>
      </c>
      <c r="L34" s="473">
        <v>600.0</v>
      </c>
      <c r="M34" s="473">
        <v>7500.0</v>
      </c>
      <c r="N34" s="474" t="s">
        <v>2249</v>
      </c>
      <c r="O34" s="474">
        <v>45120.0</v>
      </c>
      <c r="P34" s="474">
        <v>0.0</v>
      </c>
      <c r="Q34" s="473">
        <v>25.0</v>
      </c>
      <c r="R34" s="475">
        <v>0.0</v>
      </c>
      <c r="S34" s="474" t="s">
        <v>2249</v>
      </c>
      <c r="T34" s="474">
        <v>47920.0</v>
      </c>
      <c r="U34" s="474">
        <v>0.0</v>
      </c>
      <c r="V34" s="473">
        <v>50.0</v>
      </c>
      <c r="W34" s="475">
        <v>50.0</v>
      </c>
      <c r="X34" s="475">
        <f t="shared" ref="X34:X36" si="19">W34+R34</f>
        <v>50</v>
      </c>
      <c r="Y34" s="475">
        <v>4.57</v>
      </c>
      <c r="Z34" s="476" t="s">
        <v>2262</v>
      </c>
      <c r="AA34" s="474">
        <v>3.0</v>
      </c>
      <c r="AB34" s="477">
        <f>((AA34-AA32)/5)*50</f>
        <v>-190</v>
      </c>
      <c r="AC34" s="474">
        <v>8.0</v>
      </c>
      <c r="AD34" s="477">
        <f t="shared" ref="AD34:AD35" si="20">((AC34-AC32)/5)*50</f>
        <v>50</v>
      </c>
      <c r="AE34" s="479">
        <f t="shared" ref="AE34:AE66" si="21">W34+R34</f>
        <v>50</v>
      </c>
      <c r="AF34" s="477" t="str">
        <f t="shared" si="1"/>
        <v>#REF!</v>
      </c>
      <c r="AG34" s="477" t="str">
        <f t="shared" si="2"/>
        <v>#REF!</v>
      </c>
      <c r="AH34" s="478">
        <f t="shared" ref="AH34:AH36" si="22">M34/(I34)</f>
        <v>1.018771199</v>
      </c>
      <c r="AI34" s="478" t="str">
        <f t="shared" ref="AI34:AI36" si="23">AG34/(I34/1.05)</f>
        <v>#REF!</v>
      </c>
      <c r="AJ34" s="477" t="str">
        <f t="shared" si="3"/>
        <v>#REF!</v>
      </c>
      <c r="AK34" s="477">
        <f t="shared" si="4"/>
        <v>3930.08</v>
      </c>
      <c r="AL34" s="477">
        <f t="shared" si="5"/>
        <v>81609.92</v>
      </c>
      <c r="AM34" s="477">
        <f t="shared" si="12"/>
        <v>37017.60683</v>
      </c>
      <c r="AN34" s="477">
        <f t="shared" si="13"/>
        <v>42202.19968</v>
      </c>
      <c r="AO34" s="477">
        <f t="shared" ref="AO34:AO36" si="24">AL34-(F34*2.20462*1000)</f>
        <v>-1283.792</v>
      </c>
      <c r="AP34" s="477" t="str">
        <f t="shared" si="7"/>
        <v>#REF!</v>
      </c>
      <c r="AQ34" s="90" t="str">
        <f t="shared" si="8"/>
        <v>#REF!</v>
      </c>
    </row>
    <row r="35">
      <c r="A35" s="471" t="s">
        <v>2263</v>
      </c>
      <c r="B35" s="472">
        <v>45796.96508101852</v>
      </c>
      <c r="C35" s="472">
        <v>45804.906180555554</v>
      </c>
      <c r="D35" s="473">
        <v>7918.39</v>
      </c>
      <c r="E35" s="473">
        <v>36539.34</v>
      </c>
      <c r="F35" s="473">
        <v>36.54</v>
      </c>
      <c r="G35" s="473">
        <v>296.94</v>
      </c>
      <c r="H35" s="473">
        <v>296.0</v>
      </c>
      <c r="I35" s="473">
        <v>7395.01</v>
      </c>
      <c r="J35" s="473">
        <f t="shared" si="18"/>
        <v>7042.866667</v>
      </c>
      <c r="K35" s="473">
        <v>6900.0</v>
      </c>
      <c r="L35" s="473">
        <v>450.0</v>
      </c>
      <c r="M35" s="473">
        <v>7350.0</v>
      </c>
      <c r="N35" s="474" t="s">
        <v>2249</v>
      </c>
      <c r="O35" s="474">
        <v>44520.0</v>
      </c>
      <c r="P35" s="474">
        <v>1.0</v>
      </c>
      <c r="Q35" s="473">
        <v>50.0</v>
      </c>
      <c r="R35" s="475">
        <v>260.0</v>
      </c>
      <c r="S35" s="474" t="s">
        <v>2249</v>
      </c>
      <c r="T35" s="474">
        <v>46240.0</v>
      </c>
      <c r="U35" s="474">
        <v>0.0</v>
      </c>
      <c r="V35" s="473">
        <v>75.0</v>
      </c>
      <c r="W35" s="475">
        <v>0.0</v>
      </c>
      <c r="X35" s="475">
        <f t="shared" si="19"/>
        <v>260</v>
      </c>
      <c r="Y35" s="475">
        <v>4.39</v>
      </c>
      <c r="Z35" s="476" t="s">
        <v>2264</v>
      </c>
      <c r="AA35" s="474">
        <v>40.0</v>
      </c>
      <c r="AB35" s="477">
        <f t="shared" ref="AB35:AB37" si="25">((AA35-AA34)/5)*50</f>
        <v>370</v>
      </c>
      <c r="AC35" s="474">
        <v>14.0</v>
      </c>
      <c r="AD35" s="477">
        <f t="shared" si="20"/>
        <v>-20</v>
      </c>
      <c r="AE35" s="479">
        <f t="shared" si="21"/>
        <v>260</v>
      </c>
      <c r="AF35" s="477" t="str">
        <f t="shared" ref="AF35:AF37" si="26">IFERROR(XLOOKUP(A35,'Salt left in blending tank'!A:A,'Salt left in blending tank'!F:F), "")</f>
        <v/>
      </c>
      <c r="AG35" s="479">
        <f t="shared" si="2"/>
        <v>7090</v>
      </c>
      <c r="AH35" s="478">
        <f t="shared" si="22"/>
        <v>0.9939134633</v>
      </c>
      <c r="AI35" s="478">
        <f t="shared" si="23"/>
        <v>1.006692351</v>
      </c>
      <c r="AJ35" s="477" t="b">
        <f t="shared" si="3"/>
        <v>1</v>
      </c>
      <c r="AK35" s="477">
        <f t="shared" si="4"/>
        <v>3776.96</v>
      </c>
      <c r="AL35" s="477">
        <f t="shared" si="5"/>
        <v>79633.04</v>
      </c>
      <c r="AM35" s="477">
        <f t="shared" si="12"/>
        <v>36120.90988</v>
      </c>
      <c r="AN35" s="477">
        <f t="shared" si="13"/>
        <v>41168.00992</v>
      </c>
      <c r="AO35" s="477">
        <f t="shared" si="24"/>
        <v>-923.7748</v>
      </c>
      <c r="AP35" s="479">
        <f t="shared" si="7"/>
        <v>-305.01</v>
      </c>
      <c r="AQ35" s="381">
        <f t="shared" si="8"/>
        <v>260</v>
      </c>
    </row>
    <row r="36">
      <c r="A36" s="471" t="s">
        <v>2265</v>
      </c>
      <c r="B36" s="472">
        <v>45802.974328703705</v>
      </c>
      <c r="C36" s="472">
        <v>45806.87023148148</v>
      </c>
      <c r="D36" s="473">
        <v>7931.51</v>
      </c>
      <c r="E36" s="473">
        <v>36629.3</v>
      </c>
      <c r="F36" s="473">
        <v>36.63</v>
      </c>
      <c r="G36" s="473">
        <v>297.43</v>
      </c>
      <c r="H36" s="473">
        <v>297.0</v>
      </c>
      <c r="I36" s="473">
        <v>7098.64</v>
      </c>
      <c r="J36" s="473">
        <f t="shared" si="18"/>
        <v>6760.609524</v>
      </c>
      <c r="K36" s="473">
        <v>6632.0</v>
      </c>
      <c r="L36" s="473">
        <v>400.0</v>
      </c>
      <c r="M36" s="473">
        <v>7032.0</v>
      </c>
      <c r="N36" s="474" t="s">
        <v>2249</v>
      </c>
      <c r="O36" s="474">
        <v>43960.0</v>
      </c>
      <c r="P36" s="474">
        <v>1.0</v>
      </c>
      <c r="Q36" s="473">
        <v>50.0</v>
      </c>
      <c r="R36" s="475">
        <v>260.0</v>
      </c>
      <c r="S36" s="474" t="s">
        <v>2249</v>
      </c>
      <c r="T36" s="474">
        <v>43980.0</v>
      </c>
      <c r="U36" s="474">
        <v>0.0</v>
      </c>
      <c r="V36" s="473">
        <v>25.0</v>
      </c>
      <c r="W36" s="475">
        <v>-50.0</v>
      </c>
      <c r="X36" s="475">
        <f t="shared" si="19"/>
        <v>210</v>
      </c>
      <c r="Y36" s="475">
        <v>4.3</v>
      </c>
      <c r="Z36" s="476" t="s">
        <v>2266</v>
      </c>
      <c r="AA36" s="474">
        <v>40.0</v>
      </c>
      <c r="AB36" s="477">
        <f t="shared" si="25"/>
        <v>0</v>
      </c>
      <c r="AC36" s="474">
        <v>3.0</v>
      </c>
      <c r="AD36" s="477">
        <f t="shared" ref="AD36:AD37" si="27">((AC36-AC35)/5)*50</f>
        <v>-110</v>
      </c>
      <c r="AE36" s="479">
        <f t="shared" si="21"/>
        <v>210</v>
      </c>
      <c r="AF36" s="477" t="str">
        <f t="shared" si="26"/>
        <v/>
      </c>
      <c r="AG36" s="479">
        <f t="shared" si="2"/>
        <v>6822</v>
      </c>
      <c r="AH36" s="478">
        <f t="shared" si="22"/>
        <v>0.9906122863</v>
      </c>
      <c r="AI36" s="478">
        <f t="shared" si="23"/>
        <v>1.009080613</v>
      </c>
      <c r="AJ36" s="477" t="b">
        <f t="shared" si="3"/>
        <v>1</v>
      </c>
      <c r="AK36" s="477">
        <f t="shared" si="4"/>
        <v>3789.72</v>
      </c>
      <c r="AL36" s="477">
        <f t="shared" si="5"/>
        <v>77118.28</v>
      </c>
      <c r="AM36" s="477">
        <f t="shared" si="12"/>
        <v>34980.23486</v>
      </c>
      <c r="AN36" s="477">
        <f t="shared" si="13"/>
        <v>39888.88048</v>
      </c>
      <c r="AO36" s="477">
        <f t="shared" si="24"/>
        <v>-3636.9506</v>
      </c>
      <c r="AP36" s="479">
        <f t="shared" si="7"/>
        <v>-276.64</v>
      </c>
      <c r="AQ36" s="381">
        <f t="shared" si="8"/>
        <v>210</v>
      </c>
    </row>
    <row r="37">
      <c r="A37" s="3"/>
      <c r="B37" s="463"/>
      <c r="C37" s="463"/>
      <c r="D37" s="84"/>
      <c r="E37" s="84"/>
      <c r="F37" s="84"/>
      <c r="G37" s="84"/>
      <c r="H37" s="84"/>
      <c r="I37" s="84"/>
      <c r="J37" s="84"/>
      <c r="K37" s="84"/>
      <c r="L37" s="84"/>
      <c r="M37" s="84"/>
      <c r="N37" s="1"/>
      <c r="O37" s="1"/>
      <c r="P37" s="1"/>
      <c r="Q37" s="84"/>
      <c r="R37" s="446"/>
      <c r="S37" s="1"/>
      <c r="T37" s="1"/>
      <c r="U37" s="1"/>
      <c r="V37" s="84"/>
      <c r="W37" s="446"/>
      <c r="X37" s="446"/>
      <c r="Y37" s="446"/>
      <c r="Z37" s="1"/>
      <c r="AA37" s="90">
        <f t="array" ref="AA37">XLOOKUP(P37,'Dipstick Matrix'!$A$2:$A$10, XLOOKUP(Q37,'Dipstick Matrix'!$B$1:$E$1,'Dipstick Matrix'!$B$2:$E$10))</f>
        <v>1</v>
      </c>
      <c r="AB37" s="90">
        <f t="shared" si="25"/>
        <v>-390</v>
      </c>
      <c r="AC37" s="90">
        <f t="array" ref="AC37">XLOOKUP(U37,'Dipstick Matrix'!$A$2:$A$10, XLOOKUP(V37,'Dipstick Matrix'!$B$1:$E$1,'Dipstick Matrix'!$B$2:$E$10))</f>
        <v>1</v>
      </c>
      <c r="AD37" s="477">
        <f t="shared" si="27"/>
        <v>-20</v>
      </c>
      <c r="AE37" s="381">
        <f t="shared" si="21"/>
        <v>0</v>
      </c>
      <c r="AF37" s="90" t="str">
        <f t="shared" si="26"/>
        <v/>
      </c>
      <c r="AG37" s="381">
        <f t="shared" si="2"/>
        <v>0</v>
      </c>
      <c r="AH37" s="1"/>
      <c r="AI37" s="1"/>
      <c r="AM37" s="90">
        <f t="shared" si="12"/>
        <v>0</v>
      </c>
      <c r="AN37" s="90">
        <f t="shared" si="13"/>
        <v>0</v>
      </c>
      <c r="AQ37" s="381">
        <f t="shared" si="8"/>
        <v>0</v>
      </c>
    </row>
    <row r="38">
      <c r="A38" s="3"/>
      <c r="B38" s="463"/>
      <c r="C38" s="463"/>
      <c r="D38" s="84"/>
      <c r="E38" s="84"/>
      <c r="F38" s="84"/>
      <c r="G38" s="84"/>
      <c r="H38" s="84"/>
      <c r="I38" s="84"/>
      <c r="J38" s="84"/>
      <c r="K38" s="84"/>
      <c r="L38" s="84"/>
      <c r="M38" s="84"/>
      <c r="N38" s="84"/>
      <c r="P38" s="1"/>
      <c r="Q38" s="84"/>
      <c r="R38" s="446"/>
      <c r="S38" s="84"/>
      <c r="U38" s="1"/>
      <c r="V38" s="84"/>
      <c r="W38" s="446"/>
      <c r="X38" s="446"/>
      <c r="Y38" s="446"/>
      <c r="Z38" s="1"/>
      <c r="AA38" s="90">
        <f t="array" ref="AA38">XLOOKUP(P38,'Dipstick Matrix'!$A$2:$A$10, XLOOKUP(Q38,'Dipstick Matrix'!$B$1:$E$1,'Dipstick Matrix'!$B$2:$E$10))</f>
        <v>1</v>
      </c>
      <c r="AB38" s="90">
        <f>((AA38-AA3)/5)*50</f>
        <v>-330</v>
      </c>
      <c r="AC38" s="90">
        <f t="array" ref="AC38">XLOOKUP(U38,'Dipstick Matrix'!$A$2:$A$10, XLOOKUP(V38,'Dipstick Matrix'!$B$1:$E$1,'Dipstick Matrix'!$B$2:$E$10))</f>
        <v>1</v>
      </c>
      <c r="AD38" s="90">
        <f>((AC38-AC3)/5)*50</f>
        <v>-210</v>
      </c>
      <c r="AE38" s="381">
        <f t="shared" si="21"/>
        <v>0</v>
      </c>
      <c r="AF38" s="90" t="str">
        <f t="array" ref="AF38">XLOOKUP(A38,'Salt left in blending tank'!A:A,'Salt left in blending tank'!F:F)</f>
        <v>#REF!</v>
      </c>
      <c r="AG38" s="90" t="str">
        <f t="shared" si="2"/>
        <v>#REF!</v>
      </c>
      <c r="AH38" s="84"/>
      <c r="AI38" s="84"/>
      <c r="AJ38" s="90" t="str">
        <f t="shared" ref="AJ38:AJ60" si="28">AG38&gt;(I38/1.05)</f>
        <v>#REF!</v>
      </c>
      <c r="AK38" s="90">
        <f t="shared" ref="AK38:AK110" si="29">H38*12.76</f>
        <v>0</v>
      </c>
      <c r="AL38" s="90">
        <f t="shared" ref="AL38:AL110" si="30">sum(O38,T38)-sum(AK38,M38)</f>
        <v>0</v>
      </c>
      <c r="AO38" s="90">
        <f t="shared" ref="AO38:AO110" si="31">AL38-(F38*2.20462*1000)</f>
        <v>0</v>
      </c>
      <c r="AP38" s="90" t="str">
        <f>AG38-I38</f>
        <v>#REF!</v>
      </c>
      <c r="AQ38" s="90" t="str">
        <f t="shared" si="8"/>
        <v>#REF!</v>
      </c>
    </row>
    <row r="39">
      <c r="A39" s="3"/>
      <c r="R39" s="381"/>
      <c r="W39" s="381"/>
      <c r="X39" s="381"/>
      <c r="Y39" s="381"/>
      <c r="AA39" s="90">
        <f t="array" ref="AA39">XLOOKUP(P39,'Dipstick Matrix'!$A$2:$A$10, XLOOKUP(Q39,'Dipstick Matrix'!$B$1:$E$1,'Dipstick Matrix'!$B$2:$E$10))</f>
        <v>1</v>
      </c>
      <c r="AB39" s="90" t="str">
        <f>((AA39-#REF!)/5)*50</f>
        <v>#REF!</v>
      </c>
      <c r="AC39" s="90">
        <f t="array" ref="AC39">XLOOKUP(U39,'Dipstick Matrix'!$A$2:$A$10, XLOOKUP(V39,'Dipstick Matrix'!$B$1:$E$1,'Dipstick Matrix'!$B$2:$E$10))</f>
        <v>1</v>
      </c>
      <c r="AD39" s="90" t="str">
        <f>((AC39-#REF!)/5)*50</f>
        <v>#REF!</v>
      </c>
      <c r="AE39" s="381">
        <f t="shared" si="21"/>
        <v>0</v>
      </c>
      <c r="AF39" s="90" t="str">
        <f t="shared" ref="AF39:AF61" si="32">IFERROR(XLOOKUP(A39,'Salt left in blending tank'!A:A,'Salt left in blending tank'!F:F), "")</f>
        <v/>
      </c>
      <c r="AG39" s="381">
        <f t="shared" si="2"/>
        <v>0</v>
      </c>
      <c r="AJ39" s="90" t="b">
        <f t="shared" si="28"/>
        <v>0</v>
      </c>
      <c r="AK39" s="90">
        <f t="shared" si="29"/>
        <v>0</v>
      </c>
      <c r="AL39" s="90">
        <f t="shared" si="30"/>
        <v>0</v>
      </c>
      <c r="AM39" s="90">
        <f t="shared" ref="AM39:AM110" si="33">AL39*0.453592</f>
        <v>0</v>
      </c>
      <c r="AN39" s="90">
        <f t="shared" ref="AN39:AN63" si="34">(O39+T39)*0.453592</f>
        <v>0</v>
      </c>
      <c r="AO39" s="90">
        <f t="shared" si="31"/>
        <v>0</v>
      </c>
      <c r="AQ39" s="381">
        <f t="shared" si="8"/>
        <v>0</v>
      </c>
    </row>
    <row r="40">
      <c r="A40" s="3"/>
      <c r="R40" s="381"/>
      <c r="W40" s="381"/>
      <c r="X40" s="381"/>
      <c r="Y40" s="381"/>
      <c r="AA40" s="90">
        <f t="array" ref="AA40">XLOOKUP(P40,'Dipstick Matrix'!$A$2:$A$10, XLOOKUP(Q40,'Dipstick Matrix'!$B$1:$E$1,'Dipstick Matrix'!$B$2:$E$10))</f>
        <v>1</v>
      </c>
      <c r="AB40" s="90">
        <f>((AA40-AA37)/5)*50</f>
        <v>0</v>
      </c>
      <c r="AC40" s="90">
        <f t="array" ref="AC40">XLOOKUP(U40,'Dipstick Matrix'!$A$2:$A$10, XLOOKUP(V40,'Dipstick Matrix'!$B$1:$E$1,'Dipstick Matrix'!$B$2:$E$10))</f>
        <v>1</v>
      </c>
      <c r="AD40" s="90">
        <f>((AC40-AC37)/5)*50</f>
        <v>0</v>
      </c>
      <c r="AE40" s="381">
        <f t="shared" si="21"/>
        <v>0</v>
      </c>
      <c r="AF40" s="90" t="str">
        <f t="shared" si="32"/>
        <v/>
      </c>
      <c r="AG40" s="381">
        <f t="shared" si="2"/>
        <v>0</v>
      </c>
      <c r="AJ40" s="90" t="b">
        <f t="shared" si="28"/>
        <v>0</v>
      </c>
      <c r="AK40" s="90">
        <f t="shared" si="29"/>
        <v>0</v>
      </c>
      <c r="AL40" s="90">
        <f t="shared" si="30"/>
        <v>0</v>
      </c>
      <c r="AM40" s="90">
        <f t="shared" si="33"/>
        <v>0</v>
      </c>
      <c r="AN40" s="90">
        <f t="shared" si="34"/>
        <v>0</v>
      </c>
      <c r="AO40" s="90">
        <f t="shared" si="31"/>
        <v>0</v>
      </c>
      <c r="AQ40" s="381">
        <f t="shared" si="8"/>
        <v>0</v>
      </c>
    </row>
    <row r="41">
      <c r="A41" s="3"/>
      <c r="R41" s="381"/>
      <c r="W41" s="381"/>
      <c r="X41" s="381"/>
      <c r="Y41" s="381"/>
      <c r="AA41" s="90">
        <f t="array" ref="AA41">XLOOKUP(P41,'Dipstick Matrix'!$A$2:$A$10, XLOOKUP(Q41,'Dipstick Matrix'!$B$1:$E$1,'Dipstick Matrix'!$B$2:$E$10))</f>
        <v>1</v>
      </c>
      <c r="AB41" s="90">
        <f t="shared" ref="AB41:AB60" si="35">((AA41-AA39)/5)*50</f>
        <v>0</v>
      </c>
      <c r="AC41" s="90">
        <f t="array" ref="AC41">XLOOKUP(U41,'Dipstick Matrix'!$A$2:$A$10, XLOOKUP(V41,'Dipstick Matrix'!$B$1:$E$1,'Dipstick Matrix'!$B$2:$E$10))</f>
        <v>1</v>
      </c>
      <c r="AD41" s="90">
        <f t="shared" ref="AD41:AD60" si="36">((AC41-AC39)/5)*50</f>
        <v>0</v>
      </c>
      <c r="AE41" s="381">
        <f t="shared" si="21"/>
        <v>0</v>
      </c>
      <c r="AF41" s="90" t="str">
        <f t="shared" si="32"/>
        <v/>
      </c>
      <c r="AG41" s="381">
        <f t="shared" si="2"/>
        <v>0</v>
      </c>
      <c r="AJ41" s="90" t="b">
        <f t="shared" si="28"/>
        <v>0</v>
      </c>
      <c r="AK41" s="90">
        <f t="shared" si="29"/>
        <v>0</v>
      </c>
      <c r="AL41" s="90">
        <f t="shared" si="30"/>
        <v>0</v>
      </c>
      <c r="AM41" s="90">
        <f t="shared" si="33"/>
        <v>0</v>
      </c>
      <c r="AN41" s="90">
        <f t="shared" si="34"/>
        <v>0</v>
      </c>
      <c r="AO41" s="90">
        <f t="shared" si="31"/>
        <v>0</v>
      </c>
      <c r="AQ41" s="381">
        <f t="shared" si="8"/>
        <v>0</v>
      </c>
    </row>
    <row r="42">
      <c r="A42" s="480"/>
      <c r="R42" s="381"/>
      <c r="W42" s="381"/>
      <c r="X42" s="381"/>
      <c r="Y42" s="381"/>
      <c r="AA42" s="90">
        <f t="array" ref="AA42">XLOOKUP(P42,'Dipstick Matrix'!$A$2:$A$10, XLOOKUP(Q42,'Dipstick Matrix'!$B$1:$E$1,'Dipstick Matrix'!$B$2:$E$10))</f>
        <v>1</v>
      </c>
      <c r="AB42" s="90">
        <f t="shared" si="35"/>
        <v>0</v>
      </c>
      <c r="AC42" s="90">
        <f t="array" ref="AC42">XLOOKUP(U42,'Dipstick Matrix'!$A$2:$A$10, XLOOKUP(V42,'Dipstick Matrix'!$B$1:$E$1,'Dipstick Matrix'!$B$2:$E$10))</f>
        <v>1</v>
      </c>
      <c r="AD42" s="90">
        <f t="shared" si="36"/>
        <v>0</v>
      </c>
      <c r="AE42" s="381">
        <f t="shared" si="21"/>
        <v>0</v>
      </c>
      <c r="AF42" s="90" t="str">
        <f t="shared" si="32"/>
        <v/>
      </c>
      <c r="AG42" s="381">
        <f t="shared" si="2"/>
        <v>0</v>
      </c>
      <c r="AJ42" s="90" t="b">
        <f t="shared" si="28"/>
        <v>0</v>
      </c>
      <c r="AK42" s="90">
        <f t="shared" si="29"/>
        <v>0</v>
      </c>
      <c r="AL42" s="90">
        <f t="shared" si="30"/>
        <v>0</v>
      </c>
      <c r="AM42" s="90">
        <f t="shared" si="33"/>
        <v>0</v>
      </c>
      <c r="AN42" s="90">
        <f t="shared" si="34"/>
        <v>0</v>
      </c>
      <c r="AO42" s="90">
        <f t="shared" si="31"/>
        <v>0</v>
      </c>
      <c r="AQ42" s="381">
        <f t="shared" si="8"/>
        <v>0</v>
      </c>
    </row>
    <row r="43">
      <c r="A43" s="480"/>
      <c r="R43" s="381"/>
      <c r="W43" s="381"/>
      <c r="X43" s="381"/>
      <c r="Y43" s="381"/>
      <c r="AA43" s="90">
        <f t="array" ref="AA43">XLOOKUP(P43,'Dipstick Matrix'!$A$2:$A$10, XLOOKUP(Q43,'Dipstick Matrix'!$B$1:$E$1,'Dipstick Matrix'!$B$2:$E$10))</f>
        <v>1</v>
      </c>
      <c r="AB43" s="90">
        <f t="shared" si="35"/>
        <v>0</v>
      </c>
      <c r="AC43" s="90">
        <f t="array" ref="AC43">XLOOKUP(U43,'Dipstick Matrix'!$A$2:$A$10, XLOOKUP(V43,'Dipstick Matrix'!$B$1:$E$1,'Dipstick Matrix'!$B$2:$E$10))</f>
        <v>1</v>
      </c>
      <c r="AD43" s="90">
        <f t="shared" si="36"/>
        <v>0</v>
      </c>
      <c r="AE43" s="381">
        <f t="shared" si="21"/>
        <v>0</v>
      </c>
      <c r="AF43" s="90" t="str">
        <f t="shared" si="32"/>
        <v/>
      </c>
      <c r="AG43" s="381">
        <f t="shared" si="2"/>
        <v>0</v>
      </c>
      <c r="AJ43" s="90" t="b">
        <f t="shared" si="28"/>
        <v>0</v>
      </c>
      <c r="AK43" s="90">
        <f t="shared" si="29"/>
        <v>0</v>
      </c>
      <c r="AL43" s="90">
        <f t="shared" si="30"/>
        <v>0</v>
      </c>
      <c r="AM43" s="90">
        <f t="shared" si="33"/>
        <v>0</v>
      </c>
      <c r="AN43" s="90">
        <f t="shared" si="34"/>
        <v>0</v>
      </c>
      <c r="AO43" s="90">
        <f t="shared" si="31"/>
        <v>0</v>
      </c>
      <c r="AQ43" s="381">
        <f t="shared" si="8"/>
        <v>0</v>
      </c>
    </row>
    <row r="44">
      <c r="A44" s="480"/>
      <c r="R44" s="381"/>
      <c r="W44" s="381"/>
      <c r="X44" s="381"/>
      <c r="Y44" s="381"/>
      <c r="AA44" s="90">
        <f t="array" ref="AA44">XLOOKUP(P44,'Dipstick Matrix'!$A$2:$A$10, XLOOKUP(Q44,'Dipstick Matrix'!$B$1:$E$1,'Dipstick Matrix'!$B$2:$E$10))</f>
        <v>1</v>
      </c>
      <c r="AB44" s="90">
        <f t="shared" si="35"/>
        <v>0</v>
      </c>
      <c r="AC44" s="90">
        <f t="array" ref="AC44">XLOOKUP(U44,'Dipstick Matrix'!$A$2:$A$10, XLOOKUP(V44,'Dipstick Matrix'!$B$1:$E$1,'Dipstick Matrix'!$B$2:$E$10))</f>
        <v>1</v>
      </c>
      <c r="AD44" s="90">
        <f t="shared" si="36"/>
        <v>0</v>
      </c>
      <c r="AE44" s="381">
        <f t="shared" si="21"/>
        <v>0</v>
      </c>
      <c r="AF44" s="90" t="str">
        <f t="shared" si="32"/>
        <v/>
      </c>
      <c r="AG44" s="381">
        <f t="shared" si="2"/>
        <v>0</v>
      </c>
      <c r="AJ44" s="90" t="b">
        <f t="shared" si="28"/>
        <v>0</v>
      </c>
      <c r="AK44" s="90">
        <f t="shared" si="29"/>
        <v>0</v>
      </c>
      <c r="AL44" s="90">
        <f t="shared" si="30"/>
        <v>0</v>
      </c>
      <c r="AM44" s="90">
        <f t="shared" si="33"/>
        <v>0</v>
      </c>
      <c r="AN44" s="90">
        <f t="shared" si="34"/>
        <v>0</v>
      </c>
      <c r="AO44" s="90">
        <f t="shared" si="31"/>
        <v>0</v>
      </c>
      <c r="AQ44" s="381">
        <f t="shared" si="8"/>
        <v>0</v>
      </c>
    </row>
    <row r="45">
      <c r="A45" s="480"/>
      <c r="R45" s="381"/>
      <c r="W45" s="381"/>
      <c r="X45" s="381"/>
      <c r="Y45" s="381"/>
      <c r="AA45" s="90">
        <f t="array" ref="AA45">XLOOKUP(P45,'Dipstick Matrix'!$A$2:$A$10, XLOOKUP(Q45,'Dipstick Matrix'!$B$1:$E$1,'Dipstick Matrix'!$B$2:$E$10))</f>
        <v>1</v>
      </c>
      <c r="AB45" s="90">
        <f t="shared" si="35"/>
        <v>0</v>
      </c>
      <c r="AC45" s="90">
        <f t="array" ref="AC45">XLOOKUP(U45,'Dipstick Matrix'!$A$2:$A$10, XLOOKUP(V45,'Dipstick Matrix'!$B$1:$E$1,'Dipstick Matrix'!$B$2:$E$10))</f>
        <v>1</v>
      </c>
      <c r="AD45" s="90">
        <f t="shared" si="36"/>
        <v>0</v>
      </c>
      <c r="AE45" s="381">
        <f t="shared" si="21"/>
        <v>0</v>
      </c>
      <c r="AF45" s="90" t="str">
        <f t="shared" si="32"/>
        <v/>
      </c>
      <c r="AG45" s="381">
        <f t="shared" si="2"/>
        <v>0</v>
      </c>
      <c r="AJ45" s="90" t="b">
        <f t="shared" si="28"/>
        <v>0</v>
      </c>
      <c r="AK45" s="90">
        <f t="shared" si="29"/>
        <v>0</v>
      </c>
      <c r="AL45" s="90">
        <f t="shared" si="30"/>
        <v>0</v>
      </c>
      <c r="AM45" s="90">
        <f t="shared" si="33"/>
        <v>0</v>
      </c>
      <c r="AN45" s="90">
        <f t="shared" si="34"/>
        <v>0</v>
      </c>
      <c r="AO45" s="90">
        <f t="shared" si="31"/>
        <v>0</v>
      </c>
      <c r="AQ45" s="381">
        <f t="shared" si="8"/>
        <v>0</v>
      </c>
    </row>
    <row r="46">
      <c r="A46" s="480"/>
      <c r="R46" s="381"/>
      <c r="W46" s="381"/>
      <c r="X46" s="381"/>
      <c r="Y46" s="381"/>
      <c r="AA46" s="90">
        <f t="array" ref="AA46">XLOOKUP(P46,'Dipstick Matrix'!$A$2:$A$10, XLOOKUP(Q46,'Dipstick Matrix'!$B$1:$E$1,'Dipstick Matrix'!$B$2:$E$10))</f>
        <v>1</v>
      </c>
      <c r="AB46" s="90">
        <f t="shared" si="35"/>
        <v>0</v>
      </c>
      <c r="AC46" s="90">
        <f t="array" ref="AC46">XLOOKUP(U46,'Dipstick Matrix'!$A$2:$A$10, XLOOKUP(V46,'Dipstick Matrix'!$B$1:$E$1,'Dipstick Matrix'!$B$2:$E$10))</f>
        <v>1</v>
      </c>
      <c r="AD46" s="90">
        <f t="shared" si="36"/>
        <v>0</v>
      </c>
      <c r="AE46" s="381">
        <f t="shared" si="21"/>
        <v>0</v>
      </c>
      <c r="AF46" s="90" t="str">
        <f t="shared" si="32"/>
        <v/>
      </c>
      <c r="AG46" s="381">
        <f t="shared" si="2"/>
        <v>0</v>
      </c>
      <c r="AJ46" s="90" t="b">
        <f t="shared" si="28"/>
        <v>0</v>
      </c>
      <c r="AK46" s="90">
        <f t="shared" si="29"/>
        <v>0</v>
      </c>
      <c r="AL46" s="90">
        <f t="shared" si="30"/>
        <v>0</v>
      </c>
      <c r="AM46" s="90">
        <f t="shared" si="33"/>
        <v>0</v>
      </c>
      <c r="AN46" s="90">
        <f t="shared" si="34"/>
        <v>0</v>
      </c>
      <c r="AO46" s="90">
        <f t="shared" si="31"/>
        <v>0</v>
      </c>
      <c r="AQ46" s="381">
        <f t="shared" si="8"/>
        <v>0</v>
      </c>
    </row>
    <row r="47">
      <c r="A47" s="480"/>
      <c r="R47" s="381"/>
      <c r="W47" s="381"/>
      <c r="X47" s="381"/>
      <c r="Y47" s="381"/>
      <c r="AA47" s="90">
        <f t="array" ref="AA47">XLOOKUP(P47,'Dipstick Matrix'!$A$2:$A$10, XLOOKUP(Q47,'Dipstick Matrix'!$B$1:$E$1,'Dipstick Matrix'!$B$2:$E$10))</f>
        <v>1</v>
      </c>
      <c r="AB47" s="90">
        <f t="shared" si="35"/>
        <v>0</v>
      </c>
      <c r="AC47" s="90">
        <f t="array" ref="AC47">XLOOKUP(U47,'Dipstick Matrix'!$A$2:$A$10, XLOOKUP(V47,'Dipstick Matrix'!$B$1:$E$1,'Dipstick Matrix'!$B$2:$E$10))</f>
        <v>1</v>
      </c>
      <c r="AD47" s="90">
        <f t="shared" si="36"/>
        <v>0</v>
      </c>
      <c r="AE47" s="381">
        <f t="shared" si="21"/>
        <v>0</v>
      </c>
      <c r="AF47" s="90" t="str">
        <f t="shared" si="32"/>
        <v/>
      </c>
      <c r="AG47" s="381">
        <f t="shared" si="2"/>
        <v>0</v>
      </c>
      <c r="AJ47" s="90" t="b">
        <f t="shared" si="28"/>
        <v>0</v>
      </c>
      <c r="AK47" s="90">
        <f t="shared" si="29"/>
        <v>0</v>
      </c>
      <c r="AL47" s="90">
        <f t="shared" si="30"/>
        <v>0</v>
      </c>
      <c r="AM47" s="90">
        <f t="shared" si="33"/>
        <v>0</v>
      </c>
      <c r="AN47" s="90">
        <f t="shared" si="34"/>
        <v>0</v>
      </c>
      <c r="AO47" s="90">
        <f t="shared" si="31"/>
        <v>0</v>
      </c>
      <c r="AQ47" s="381">
        <f t="shared" si="8"/>
        <v>0</v>
      </c>
    </row>
    <row r="48">
      <c r="A48" s="480"/>
      <c r="R48" s="381"/>
      <c r="W48" s="381"/>
      <c r="X48" s="381"/>
      <c r="Y48" s="381"/>
      <c r="AA48" s="90">
        <f t="array" ref="AA48">XLOOKUP(P48,'Dipstick Matrix'!$A$2:$A$10, XLOOKUP(Q48,'Dipstick Matrix'!$B$1:$E$1,'Dipstick Matrix'!$B$2:$E$10))</f>
        <v>1</v>
      </c>
      <c r="AB48" s="90">
        <f t="shared" si="35"/>
        <v>0</v>
      </c>
      <c r="AC48" s="90">
        <f t="array" ref="AC48">XLOOKUP(U48,'Dipstick Matrix'!$A$2:$A$10, XLOOKUP(V48,'Dipstick Matrix'!$B$1:$E$1,'Dipstick Matrix'!$B$2:$E$10))</f>
        <v>1</v>
      </c>
      <c r="AD48" s="90">
        <f t="shared" si="36"/>
        <v>0</v>
      </c>
      <c r="AE48" s="381">
        <f t="shared" si="21"/>
        <v>0</v>
      </c>
      <c r="AF48" s="90" t="str">
        <f t="shared" si="32"/>
        <v/>
      </c>
      <c r="AG48" s="381">
        <f t="shared" si="2"/>
        <v>0</v>
      </c>
      <c r="AJ48" s="90" t="b">
        <f t="shared" si="28"/>
        <v>0</v>
      </c>
      <c r="AK48" s="90">
        <f t="shared" si="29"/>
        <v>0</v>
      </c>
      <c r="AL48" s="90">
        <f t="shared" si="30"/>
        <v>0</v>
      </c>
      <c r="AM48" s="90">
        <f t="shared" si="33"/>
        <v>0</v>
      </c>
      <c r="AN48" s="90">
        <f t="shared" si="34"/>
        <v>0</v>
      </c>
      <c r="AO48" s="90">
        <f t="shared" si="31"/>
        <v>0</v>
      </c>
      <c r="AQ48" s="381">
        <f t="shared" si="8"/>
        <v>0</v>
      </c>
    </row>
    <row r="49">
      <c r="A49" s="480"/>
      <c r="R49" s="381"/>
      <c r="W49" s="381"/>
      <c r="X49" s="381"/>
      <c r="Y49" s="381"/>
      <c r="AA49" s="90">
        <f t="array" ref="AA49">XLOOKUP(P49,'Dipstick Matrix'!$A$2:$A$10, XLOOKUP(Q49,'Dipstick Matrix'!$B$1:$E$1,'Dipstick Matrix'!$B$2:$E$10))</f>
        <v>1</v>
      </c>
      <c r="AB49" s="90">
        <f t="shared" si="35"/>
        <v>0</v>
      </c>
      <c r="AC49" s="90">
        <f t="array" ref="AC49">XLOOKUP(U49,'Dipstick Matrix'!$A$2:$A$10, XLOOKUP(V49,'Dipstick Matrix'!$B$1:$E$1,'Dipstick Matrix'!$B$2:$E$10))</f>
        <v>1</v>
      </c>
      <c r="AD49" s="90">
        <f t="shared" si="36"/>
        <v>0</v>
      </c>
      <c r="AE49" s="381">
        <f t="shared" si="21"/>
        <v>0</v>
      </c>
      <c r="AF49" s="90" t="str">
        <f t="shared" si="32"/>
        <v/>
      </c>
      <c r="AG49" s="381">
        <f t="shared" si="2"/>
        <v>0</v>
      </c>
      <c r="AJ49" s="90" t="b">
        <f t="shared" si="28"/>
        <v>0</v>
      </c>
      <c r="AK49" s="90">
        <f t="shared" si="29"/>
        <v>0</v>
      </c>
      <c r="AL49" s="90">
        <f t="shared" si="30"/>
        <v>0</v>
      </c>
      <c r="AM49" s="90">
        <f t="shared" si="33"/>
        <v>0</v>
      </c>
      <c r="AN49" s="90">
        <f t="shared" si="34"/>
        <v>0</v>
      </c>
      <c r="AO49" s="90">
        <f t="shared" si="31"/>
        <v>0</v>
      </c>
      <c r="AQ49" s="381">
        <f t="shared" si="8"/>
        <v>0</v>
      </c>
    </row>
    <row r="50">
      <c r="A50" s="480"/>
      <c r="R50" s="381"/>
      <c r="W50" s="381"/>
      <c r="X50" s="381"/>
      <c r="Y50" s="381"/>
      <c r="AA50" s="90">
        <f t="array" ref="AA50">XLOOKUP(P50,'Dipstick Matrix'!$A$2:$A$10, XLOOKUP(Q50,'Dipstick Matrix'!$B$1:$E$1,'Dipstick Matrix'!$B$2:$E$10))</f>
        <v>1</v>
      </c>
      <c r="AB50" s="90">
        <f t="shared" si="35"/>
        <v>0</v>
      </c>
      <c r="AC50" s="90">
        <f t="array" ref="AC50">XLOOKUP(U50,'Dipstick Matrix'!$A$2:$A$10, XLOOKUP(V50,'Dipstick Matrix'!$B$1:$E$1,'Dipstick Matrix'!$B$2:$E$10))</f>
        <v>1</v>
      </c>
      <c r="AD50" s="90">
        <f t="shared" si="36"/>
        <v>0</v>
      </c>
      <c r="AE50" s="381">
        <f t="shared" si="21"/>
        <v>0</v>
      </c>
      <c r="AF50" s="90" t="str">
        <f t="shared" si="32"/>
        <v/>
      </c>
      <c r="AG50" s="381">
        <f t="shared" si="2"/>
        <v>0</v>
      </c>
      <c r="AJ50" s="90" t="b">
        <f t="shared" si="28"/>
        <v>0</v>
      </c>
      <c r="AK50" s="90">
        <f t="shared" si="29"/>
        <v>0</v>
      </c>
      <c r="AL50" s="90">
        <f t="shared" si="30"/>
        <v>0</v>
      </c>
      <c r="AM50" s="90">
        <f t="shared" si="33"/>
        <v>0</v>
      </c>
      <c r="AN50" s="90">
        <f t="shared" si="34"/>
        <v>0</v>
      </c>
      <c r="AO50" s="90">
        <f t="shared" si="31"/>
        <v>0</v>
      </c>
      <c r="AQ50" s="381">
        <f t="shared" si="8"/>
        <v>0</v>
      </c>
    </row>
    <row r="51">
      <c r="A51" s="480"/>
      <c r="R51" s="381"/>
      <c r="W51" s="381"/>
      <c r="X51" s="381"/>
      <c r="Y51" s="381"/>
      <c r="AA51" s="90">
        <f t="array" ref="AA51">XLOOKUP(P51,'Dipstick Matrix'!$A$2:$A$10, XLOOKUP(Q51,'Dipstick Matrix'!$B$1:$E$1,'Dipstick Matrix'!$B$2:$E$10))</f>
        <v>1</v>
      </c>
      <c r="AB51" s="90">
        <f t="shared" si="35"/>
        <v>0</v>
      </c>
      <c r="AC51" s="90">
        <f t="array" ref="AC51">XLOOKUP(U51,'Dipstick Matrix'!$A$2:$A$10, XLOOKUP(V51,'Dipstick Matrix'!$B$1:$E$1,'Dipstick Matrix'!$B$2:$E$10))</f>
        <v>1</v>
      </c>
      <c r="AD51" s="90">
        <f t="shared" si="36"/>
        <v>0</v>
      </c>
      <c r="AE51" s="381">
        <f t="shared" si="21"/>
        <v>0</v>
      </c>
      <c r="AF51" s="90" t="str">
        <f t="shared" si="32"/>
        <v/>
      </c>
      <c r="AG51" s="381">
        <f t="shared" si="2"/>
        <v>0</v>
      </c>
      <c r="AJ51" s="90" t="b">
        <f t="shared" si="28"/>
        <v>0</v>
      </c>
      <c r="AK51" s="90">
        <f t="shared" si="29"/>
        <v>0</v>
      </c>
      <c r="AL51" s="90">
        <f t="shared" si="30"/>
        <v>0</v>
      </c>
      <c r="AM51" s="90">
        <f t="shared" si="33"/>
        <v>0</v>
      </c>
      <c r="AN51" s="90">
        <f t="shared" si="34"/>
        <v>0</v>
      </c>
      <c r="AO51" s="90">
        <f t="shared" si="31"/>
        <v>0</v>
      </c>
      <c r="AQ51" s="381">
        <f t="shared" si="8"/>
        <v>0</v>
      </c>
    </row>
    <row r="52">
      <c r="A52" s="480"/>
      <c r="R52" s="381"/>
      <c r="W52" s="381"/>
      <c r="X52" s="381"/>
      <c r="Y52" s="381"/>
      <c r="AA52" s="90">
        <f t="array" ref="AA52">XLOOKUP(P52,'Dipstick Matrix'!$A$2:$A$10, XLOOKUP(Q52,'Dipstick Matrix'!$B$1:$E$1,'Dipstick Matrix'!$B$2:$E$10))</f>
        <v>1</v>
      </c>
      <c r="AB52" s="90">
        <f t="shared" si="35"/>
        <v>0</v>
      </c>
      <c r="AC52" s="90">
        <f t="array" ref="AC52">XLOOKUP(U52,'Dipstick Matrix'!$A$2:$A$10, XLOOKUP(V52,'Dipstick Matrix'!$B$1:$E$1,'Dipstick Matrix'!$B$2:$E$10))</f>
        <v>1</v>
      </c>
      <c r="AD52" s="90">
        <f t="shared" si="36"/>
        <v>0</v>
      </c>
      <c r="AE52" s="381">
        <f t="shared" si="21"/>
        <v>0</v>
      </c>
      <c r="AF52" s="90" t="str">
        <f t="shared" si="32"/>
        <v/>
      </c>
      <c r="AG52" s="381">
        <f t="shared" si="2"/>
        <v>0</v>
      </c>
      <c r="AJ52" s="90" t="b">
        <f t="shared" si="28"/>
        <v>0</v>
      </c>
      <c r="AK52" s="90">
        <f t="shared" si="29"/>
        <v>0</v>
      </c>
      <c r="AL52" s="90">
        <f t="shared" si="30"/>
        <v>0</v>
      </c>
      <c r="AM52" s="90">
        <f t="shared" si="33"/>
        <v>0</v>
      </c>
      <c r="AN52" s="90">
        <f t="shared" si="34"/>
        <v>0</v>
      </c>
      <c r="AO52" s="90">
        <f t="shared" si="31"/>
        <v>0</v>
      </c>
      <c r="AQ52" s="381">
        <f t="shared" si="8"/>
        <v>0</v>
      </c>
    </row>
    <row r="53">
      <c r="A53" s="480"/>
      <c r="R53" s="381"/>
      <c r="W53" s="381"/>
      <c r="X53" s="381"/>
      <c r="Y53" s="381"/>
      <c r="AA53" s="90">
        <f t="array" ref="AA53">XLOOKUP(P53,'Dipstick Matrix'!$A$2:$A$10, XLOOKUP(Q53,'Dipstick Matrix'!$B$1:$E$1,'Dipstick Matrix'!$B$2:$E$10))</f>
        <v>1</v>
      </c>
      <c r="AB53" s="90">
        <f t="shared" si="35"/>
        <v>0</v>
      </c>
      <c r="AC53" s="90">
        <f t="array" ref="AC53">XLOOKUP(U53,'Dipstick Matrix'!$A$2:$A$10, XLOOKUP(V53,'Dipstick Matrix'!$B$1:$E$1,'Dipstick Matrix'!$B$2:$E$10))</f>
        <v>1</v>
      </c>
      <c r="AD53" s="90">
        <f t="shared" si="36"/>
        <v>0</v>
      </c>
      <c r="AE53" s="381">
        <f t="shared" si="21"/>
        <v>0</v>
      </c>
      <c r="AF53" s="90" t="str">
        <f t="shared" si="32"/>
        <v/>
      </c>
      <c r="AG53" s="381">
        <f t="shared" si="2"/>
        <v>0</v>
      </c>
      <c r="AJ53" s="90" t="b">
        <f t="shared" si="28"/>
        <v>0</v>
      </c>
      <c r="AK53" s="90">
        <f t="shared" si="29"/>
        <v>0</v>
      </c>
      <c r="AL53" s="90">
        <f t="shared" si="30"/>
        <v>0</v>
      </c>
      <c r="AM53" s="90">
        <f t="shared" si="33"/>
        <v>0</v>
      </c>
      <c r="AN53" s="90">
        <f t="shared" si="34"/>
        <v>0</v>
      </c>
      <c r="AO53" s="90">
        <f t="shared" si="31"/>
        <v>0</v>
      </c>
      <c r="AQ53" s="381">
        <f t="shared" si="8"/>
        <v>0</v>
      </c>
    </row>
    <row r="54">
      <c r="A54" s="480"/>
      <c r="R54" s="381"/>
      <c r="W54" s="381"/>
      <c r="X54" s="381"/>
      <c r="Y54" s="381"/>
      <c r="AA54" s="90">
        <f t="array" ref="AA54">XLOOKUP(P54,'Dipstick Matrix'!$A$2:$A$10, XLOOKUP(Q54,'Dipstick Matrix'!$B$1:$E$1,'Dipstick Matrix'!$B$2:$E$10))</f>
        <v>1</v>
      </c>
      <c r="AB54" s="90">
        <f t="shared" si="35"/>
        <v>0</v>
      </c>
      <c r="AC54" s="90">
        <f t="array" ref="AC54">XLOOKUP(U54,'Dipstick Matrix'!$A$2:$A$10, XLOOKUP(V54,'Dipstick Matrix'!$B$1:$E$1,'Dipstick Matrix'!$B$2:$E$10))</f>
        <v>1</v>
      </c>
      <c r="AD54" s="90">
        <f t="shared" si="36"/>
        <v>0</v>
      </c>
      <c r="AE54" s="381">
        <f t="shared" si="21"/>
        <v>0</v>
      </c>
      <c r="AF54" s="90" t="str">
        <f t="shared" si="32"/>
        <v/>
      </c>
      <c r="AG54" s="381">
        <f t="shared" si="2"/>
        <v>0</v>
      </c>
      <c r="AJ54" s="90" t="b">
        <f t="shared" si="28"/>
        <v>0</v>
      </c>
      <c r="AK54" s="90">
        <f t="shared" si="29"/>
        <v>0</v>
      </c>
      <c r="AL54" s="90">
        <f t="shared" si="30"/>
        <v>0</v>
      </c>
      <c r="AM54" s="90">
        <f t="shared" si="33"/>
        <v>0</v>
      </c>
      <c r="AN54" s="90">
        <f t="shared" si="34"/>
        <v>0</v>
      </c>
      <c r="AO54" s="90">
        <f t="shared" si="31"/>
        <v>0</v>
      </c>
      <c r="AQ54" s="381">
        <f t="shared" si="8"/>
        <v>0</v>
      </c>
    </row>
    <row r="55">
      <c r="A55" s="480"/>
      <c r="R55" s="381"/>
      <c r="W55" s="381"/>
      <c r="X55" s="381"/>
      <c r="Y55" s="381"/>
      <c r="AA55" s="90">
        <f t="array" ref="AA55">XLOOKUP(P55,'Dipstick Matrix'!$A$2:$A$10, XLOOKUP(Q55,'Dipstick Matrix'!$B$1:$E$1,'Dipstick Matrix'!$B$2:$E$10))</f>
        <v>1</v>
      </c>
      <c r="AB55" s="90">
        <f t="shared" si="35"/>
        <v>0</v>
      </c>
      <c r="AC55" s="90">
        <f t="array" ref="AC55">XLOOKUP(U55,'Dipstick Matrix'!$A$2:$A$10, XLOOKUP(V55,'Dipstick Matrix'!$B$1:$E$1,'Dipstick Matrix'!$B$2:$E$10))</f>
        <v>1</v>
      </c>
      <c r="AD55" s="90">
        <f t="shared" si="36"/>
        <v>0</v>
      </c>
      <c r="AE55" s="381">
        <f t="shared" si="21"/>
        <v>0</v>
      </c>
      <c r="AF55" s="90" t="str">
        <f t="shared" si="32"/>
        <v/>
      </c>
      <c r="AG55" s="381">
        <f t="shared" si="2"/>
        <v>0</v>
      </c>
      <c r="AJ55" s="90" t="b">
        <f t="shared" si="28"/>
        <v>0</v>
      </c>
      <c r="AK55" s="90">
        <f t="shared" si="29"/>
        <v>0</v>
      </c>
      <c r="AL55" s="90">
        <f t="shared" si="30"/>
        <v>0</v>
      </c>
      <c r="AM55" s="90">
        <f t="shared" si="33"/>
        <v>0</v>
      </c>
      <c r="AN55" s="90">
        <f t="shared" si="34"/>
        <v>0</v>
      </c>
      <c r="AO55" s="90">
        <f t="shared" si="31"/>
        <v>0</v>
      </c>
      <c r="AQ55" s="381">
        <f t="shared" si="8"/>
        <v>0</v>
      </c>
    </row>
    <row r="56">
      <c r="A56" s="480"/>
      <c r="R56" s="381"/>
      <c r="W56" s="381"/>
      <c r="X56" s="381"/>
      <c r="Y56" s="381"/>
      <c r="AA56" s="90">
        <f t="array" ref="AA56">XLOOKUP(P56,'Dipstick Matrix'!$A$2:$A$10, XLOOKUP(Q56,'Dipstick Matrix'!$B$1:$E$1,'Dipstick Matrix'!$B$2:$E$10))</f>
        <v>1</v>
      </c>
      <c r="AB56" s="90">
        <f t="shared" si="35"/>
        <v>0</v>
      </c>
      <c r="AC56" s="90">
        <f t="array" ref="AC56">XLOOKUP(U56,'Dipstick Matrix'!$A$2:$A$10, XLOOKUP(V56,'Dipstick Matrix'!$B$1:$E$1,'Dipstick Matrix'!$B$2:$E$10))</f>
        <v>1</v>
      </c>
      <c r="AD56" s="90">
        <f t="shared" si="36"/>
        <v>0</v>
      </c>
      <c r="AE56" s="381">
        <f t="shared" si="21"/>
        <v>0</v>
      </c>
      <c r="AF56" s="90" t="str">
        <f t="shared" si="32"/>
        <v/>
      </c>
      <c r="AG56" s="381">
        <f t="shared" si="2"/>
        <v>0</v>
      </c>
      <c r="AJ56" s="90" t="b">
        <f t="shared" si="28"/>
        <v>0</v>
      </c>
      <c r="AK56" s="90">
        <f t="shared" si="29"/>
        <v>0</v>
      </c>
      <c r="AL56" s="90">
        <f t="shared" si="30"/>
        <v>0</v>
      </c>
      <c r="AM56" s="90">
        <f t="shared" si="33"/>
        <v>0</v>
      </c>
      <c r="AN56" s="90">
        <f t="shared" si="34"/>
        <v>0</v>
      </c>
      <c r="AO56" s="90">
        <f t="shared" si="31"/>
        <v>0</v>
      </c>
      <c r="AQ56" s="381">
        <f t="shared" si="8"/>
        <v>0</v>
      </c>
    </row>
    <row r="57">
      <c r="A57" s="480"/>
      <c r="R57" s="381"/>
      <c r="W57" s="381"/>
      <c r="X57" s="381"/>
      <c r="Y57" s="381"/>
      <c r="AA57" s="90">
        <f t="array" ref="AA57">XLOOKUP(P57,'Dipstick Matrix'!$A$2:$A$10, XLOOKUP(Q57,'Dipstick Matrix'!$B$1:$E$1,'Dipstick Matrix'!$B$2:$E$10))</f>
        <v>1</v>
      </c>
      <c r="AB57" s="90">
        <f t="shared" si="35"/>
        <v>0</v>
      </c>
      <c r="AC57" s="90">
        <f t="array" ref="AC57">XLOOKUP(U57,'Dipstick Matrix'!$A$2:$A$10, XLOOKUP(V57,'Dipstick Matrix'!$B$1:$E$1,'Dipstick Matrix'!$B$2:$E$10))</f>
        <v>1</v>
      </c>
      <c r="AD57" s="90">
        <f t="shared" si="36"/>
        <v>0</v>
      </c>
      <c r="AE57" s="381">
        <f t="shared" si="21"/>
        <v>0</v>
      </c>
      <c r="AF57" s="90" t="str">
        <f t="shared" si="32"/>
        <v/>
      </c>
      <c r="AG57" s="381">
        <f t="shared" si="2"/>
        <v>0</v>
      </c>
      <c r="AJ57" s="90" t="b">
        <f t="shared" si="28"/>
        <v>0</v>
      </c>
      <c r="AK57" s="90">
        <f t="shared" si="29"/>
        <v>0</v>
      </c>
      <c r="AL57" s="90">
        <f t="shared" si="30"/>
        <v>0</v>
      </c>
      <c r="AM57" s="90">
        <f t="shared" si="33"/>
        <v>0</v>
      </c>
      <c r="AN57" s="90">
        <f t="shared" si="34"/>
        <v>0</v>
      </c>
      <c r="AO57" s="90">
        <f t="shared" si="31"/>
        <v>0</v>
      </c>
      <c r="AQ57" s="381">
        <f t="shared" si="8"/>
        <v>0</v>
      </c>
    </row>
    <row r="58">
      <c r="A58" s="480"/>
      <c r="R58" s="381"/>
      <c r="W58" s="381"/>
      <c r="X58" s="381"/>
      <c r="Y58" s="381"/>
      <c r="AA58" s="90">
        <f t="array" ref="AA58">XLOOKUP(P58,'Dipstick Matrix'!$A$2:$A$10, XLOOKUP(Q58,'Dipstick Matrix'!$B$1:$E$1,'Dipstick Matrix'!$B$2:$E$10))</f>
        <v>1</v>
      </c>
      <c r="AB58" s="90">
        <f t="shared" si="35"/>
        <v>0</v>
      </c>
      <c r="AC58" s="90">
        <f t="array" ref="AC58">XLOOKUP(U58,'Dipstick Matrix'!$A$2:$A$10, XLOOKUP(V58,'Dipstick Matrix'!$B$1:$E$1,'Dipstick Matrix'!$B$2:$E$10))</f>
        <v>1</v>
      </c>
      <c r="AD58" s="90">
        <f t="shared" si="36"/>
        <v>0</v>
      </c>
      <c r="AE58" s="381">
        <f t="shared" si="21"/>
        <v>0</v>
      </c>
      <c r="AF58" s="90" t="str">
        <f t="shared" si="32"/>
        <v/>
      </c>
      <c r="AG58" s="381">
        <f t="shared" si="2"/>
        <v>0</v>
      </c>
      <c r="AJ58" s="90" t="b">
        <f t="shared" si="28"/>
        <v>0</v>
      </c>
      <c r="AK58" s="90">
        <f t="shared" si="29"/>
        <v>0</v>
      </c>
      <c r="AL58" s="90">
        <f t="shared" si="30"/>
        <v>0</v>
      </c>
      <c r="AM58" s="90">
        <f t="shared" si="33"/>
        <v>0</v>
      </c>
      <c r="AN58" s="90">
        <f t="shared" si="34"/>
        <v>0</v>
      </c>
      <c r="AO58" s="90">
        <f t="shared" si="31"/>
        <v>0</v>
      </c>
      <c r="AQ58" s="381">
        <f t="shared" si="8"/>
        <v>0</v>
      </c>
    </row>
    <row r="59">
      <c r="A59" s="480"/>
      <c r="R59" s="381"/>
      <c r="W59" s="381"/>
      <c r="X59" s="381"/>
      <c r="Y59" s="381"/>
      <c r="AA59" s="90">
        <f t="array" ref="AA59">XLOOKUP(P59,'Dipstick Matrix'!$A$2:$A$10, XLOOKUP(Q59,'Dipstick Matrix'!$B$1:$E$1,'Dipstick Matrix'!$B$2:$E$10))</f>
        <v>1</v>
      </c>
      <c r="AB59" s="90">
        <f t="shared" si="35"/>
        <v>0</v>
      </c>
      <c r="AC59" s="90">
        <f t="array" ref="AC59">XLOOKUP(U59,'Dipstick Matrix'!$A$2:$A$10, XLOOKUP(V59,'Dipstick Matrix'!$B$1:$E$1,'Dipstick Matrix'!$B$2:$E$10))</f>
        <v>1</v>
      </c>
      <c r="AD59" s="90">
        <f t="shared" si="36"/>
        <v>0</v>
      </c>
      <c r="AE59" s="381">
        <f t="shared" si="21"/>
        <v>0</v>
      </c>
      <c r="AF59" s="90" t="str">
        <f t="shared" si="32"/>
        <v/>
      </c>
      <c r="AG59" s="381">
        <f t="shared" si="2"/>
        <v>0</v>
      </c>
      <c r="AJ59" s="90" t="b">
        <f t="shared" si="28"/>
        <v>0</v>
      </c>
      <c r="AK59" s="90">
        <f t="shared" si="29"/>
        <v>0</v>
      </c>
      <c r="AL59" s="90">
        <f t="shared" si="30"/>
        <v>0</v>
      </c>
      <c r="AM59" s="90">
        <f t="shared" si="33"/>
        <v>0</v>
      </c>
      <c r="AN59" s="90">
        <f t="shared" si="34"/>
        <v>0</v>
      </c>
      <c r="AO59" s="90">
        <f t="shared" si="31"/>
        <v>0</v>
      </c>
      <c r="AQ59" s="381">
        <f t="shared" si="8"/>
        <v>0</v>
      </c>
    </row>
    <row r="60">
      <c r="A60" s="480"/>
      <c r="R60" s="381"/>
      <c r="W60" s="381"/>
      <c r="X60" s="381"/>
      <c r="Y60" s="381"/>
      <c r="AA60" s="90">
        <f t="array" ref="AA60">XLOOKUP(P60,'Dipstick Matrix'!$A$2:$A$10, XLOOKUP(Q60,'Dipstick Matrix'!$B$1:$E$1,'Dipstick Matrix'!$B$2:$E$10))</f>
        <v>1</v>
      </c>
      <c r="AB60" s="90">
        <f t="shared" si="35"/>
        <v>0</v>
      </c>
      <c r="AC60" s="90">
        <f t="array" ref="AC60">XLOOKUP(U60,'Dipstick Matrix'!$A$2:$A$10, XLOOKUP(V60,'Dipstick Matrix'!$B$1:$E$1,'Dipstick Matrix'!$B$2:$E$10))</f>
        <v>1</v>
      </c>
      <c r="AD60" s="90">
        <f t="shared" si="36"/>
        <v>0</v>
      </c>
      <c r="AE60" s="381">
        <f t="shared" si="21"/>
        <v>0</v>
      </c>
      <c r="AF60" s="90" t="str">
        <f t="shared" si="32"/>
        <v/>
      </c>
      <c r="AG60" s="381">
        <f t="shared" si="2"/>
        <v>0</v>
      </c>
      <c r="AJ60" s="90" t="b">
        <f t="shared" si="28"/>
        <v>0</v>
      </c>
      <c r="AK60" s="90">
        <f t="shared" si="29"/>
        <v>0</v>
      </c>
      <c r="AL60" s="90">
        <f t="shared" si="30"/>
        <v>0</v>
      </c>
      <c r="AM60" s="90">
        <f t="shared" si="33"/>
        <v>0</v>
      </c>
      <c r="AN60" s="90">
        <f t="shared" si="34"/>
        <v>0</v>
      </c>
      <c r="AO60" s="90">
        <f t="shared" si="31"/>
        <v>0</v>
      </c>
      <c r="AQ60" s="381">
        <f t="shared" si="8"/>
        <v>0</v>
      </c>
    </row>
    <row r="61">
      <c r="A61" s="480"/>
      <c r="R61" s="381"/>
      <c r="W61" s="381"/>
      <c r="X61" s="381"/>
      <c r="Y61" s="381"/>
      <c r="AE61" s="381">
        <f t="shared" si="21"/>
        <v>0</v>
      </c>
      <c r="AF61" s="90" t="str">
        <f t="shared" si="32"/>
        <v/>
      </c>
      <c r="AK61" s="90">
        <f t="shared" si="29"/>
        <v>0</v>
      </c>
      <c r="AL61" s="90">
        <f t="shared" si="30"/>
        <v>0</v>
      </c>
      <c r="AM61" s="90">
        <f t="shared" si="33"/>
        <v>0</v>
      </c>
      <c r="AN61" s="90">
        <f t="shared" si="34"/>
        <v>0</v>
      </c>
      <c r="AO61" s="90">
        <f t="shared" si="31"/>
        <v>0</v>
      </c>
    </row>
    <row r="62">
      <c r="A62" s="480"/>
      <c r="R62" s="381"/>
      <c r="W62" s="381"/>
      <c r="X62" s="381"/>
      <c r="Y62" s="381"/>
      <c r="AE62" s="381">
        <f t="shared" si="21"/>
        <v>0</v>
      </c>
      <c r="AK62" s="90">
        <f t="shared" si="29"/>
        <v>0</v>
      </c>
      <c r="AL62" s="90">
        <f t="shared" si="30"/>
        <v>0</v>
      </c>
      <c r="AM62" s="90">
        <f t="shared" si="33"/>
        <v>0</v>
      </c>
      <c r="AN62" s="90">
        <f t="shared" si="34"/>
        <v>0</v>
      </c>
      <c r="AO62" s="90">
        <f t="shared" si="31"/>
        <v>0</v>
      </c>
    </row>
    <row r="63">
      <c r="A63" s="480"/>
      <c r="R63" s="381"/>
      <c r="W63" s="381"/>
      <c r="X63" s="381"/>
      <c r="Y63" s="381"/>
      <c r="AE63" s="381">
        <f t="shared" si="21"/>
        <v>0</v>
      </c>
      <c r="AK63" s="90">
        <f t="shared" si="29"/>
        <v>0</v>
      </c>
      <c r="AL63" s="90">
        <f t="shared" si="30"/>
        <v>0</v>
      </c>
      <c r="AM63" s="90">
        <f t="shared" si="33"/>
        <v>0</v>
      </c>
      <c r="AN63" s="90">
        <f t="shared" si="34"/>
        <v>0</v>
      </c>
      <c r="AO63" s="90">
        <f t="shared" si="31"/>
        <v>0</v>
      </c>
    </row>
    <row r="64">
      <c r="A64" s="480"/>
      <c r="R64" s="381"/>
      <c r="W64" s="381"/>
      <c r="X64" s="381"/>
      <c r="Y64" s="381"/>
      <c r="AE64" s="381">
        <f t="shared" si="21"/>
        <v>0</v>
      </c>
      <c r="AK64" s="90">
        <f t="shared" si="29"/>
        <v>0</v>
      </c>
      <c r="AL64" s="90">
        <f t="shared" si="30"/>
        <v>0</v>
      </c>
      <c r="AM64" s="90">
        <f t="shared" si="33"/>
        <v>0</v>
      </c>
      <c r="AO64" s="90">
        <f t="shared" si="31"/>
        <v>0</v>
      </c>
    </row>
    <row r="65">
      <c r="A65" s="480"/>
      <c r="R65" s="381"/>
      <c r="W65" s="381"/>
      <c r="X65" s="381"/>
      <c r="Y65" s="381"/>
      <c r="AE65" s="381">
        <f t="shared" si="21"/>
        <v>0</v>
      </c>
      <c r="AK65" s="90">
        <f t="shared" si="29"/>
        <v>0</v>
      </c>
      <c r="AL65" s="90">
        <f t="shared" si="30"/>
        <v>0</v>
      </c>
      <c r="AM65" s="90">
        <f t="shared" si="33"/>
        <v>0</v>
      </c>
      <c r="AO65" s="90">
        <f t="shared" si="31"/>
        <v>0</v>
      </c>
    </row>
    <row r="66">
      <c r="A66" s="480"/>
      <c r="R66" s="381"/>
      <c r="W66" s="381"/>
      <c r="X66" s="381"/>
      <c r="Y66" s="381"/>
      <c r="AE66" s="381">
        <f t="shared" si="21"/>
        <v>0</v>
      </c>
      <c r="AK66" s="90">
        <f t="shared" si="29"/>
        <v>0</v>
      </c>
      <c r="AL66" s="90">
        <f t="shared" si="30"/>
        <v>0</v>
      </c>
      <c r="AM66" s="90">
        <f t="shared" si="33"/>
        <v>0</v>
      </c>
      <c r="AO66" s="90">
        <f t="shared" si="31"/>
        <v>0</v>
      </c>
    </row>
    <row r="67">
      <c r="A67" s="480"/>
      <c r="R67" s="381"/>
      <c r="W67" s="381"/>
      <c r="X67" s="381"/>
      <c r="Y67" s="381"/>
      <c r="AK67" s="90">
        <f t="shared" si="29"/>
        <v>0</v>
      </c>
      <c r="AL67" s="90">
        <f t="shared" si="30"/>
        <v>0</v>
      </c>
      <c r="AM67" s="90">
        <f t="shared" si="33"/>
        <v>0</v>
      </c>
      <c r="AO67" s="90">
        <f t="shared" si="31"/>
        <v>0</v>
      </c>
    </row>
    <row r="68">
      <c r="A68" s="480"/>
      <c r="R68" s="381"/>
      <c r="W68" s="381"/>
      <c r="X68" s="381"/>
      <c r="Y68" s="381"/>
      <c r="AK68" s="90">
        <f t="shared" si="29"/>
        <v>0</v>
      </c>
      <c r="AL68" s="90">
        <f t="shared" si="30"/>
        <v>0</v>
      </c>
      <c r="AM68" s="90">
        <f t="shared" si="33"/>
        <v>0</v>
      </c>
      <c r="AO68" s="90">
        <f t="shared" si="31"/>
        <v>0</v>
      </c>
    </row>
    <row r="69">
      <c r="A69" s="480"/>
      <c r="R69" s="381"/>
      <c r="W69" s="381"/>
      <c r="X69" s="381"/>
      <c r="Y69" s="381"/>
      <c r="AK69" s="90">
        <f t="shared" si="29"/>
        <v>0</v>
      </c>
      <c r="AL69" s="90">
        <f t="shared" si="30"/>
        <v>0</v>
      </c>
      <c r="AM69" s="90">
        <f t="shared" si="33"/>
        <v>0</v>
      </c>
      <c r="AO69" s="90">
        <f t="shared" si="31"/>
        <v>0</v>
      </c>
    </row>
    <row r="70">
      <c r="A70" s="480"/>
      <c r="R70" s="381"/>
      <c r="W70" s="381"/>
      <c r="X70" s="381"/>
      <c r="Y70" s="381"/>
      <c r="AK70" s="90">
        <f t="shared" si="29"/>
        <v>0</v>
      </c>
      <c r="AL70" s="90">
        <f t="shared" si="30"/>
        <v>0</v>
      </c>
      <c r="AM70" s="90">
        <f t="shared" si="33"/>
        <v>0</v>
      </c>
      <c r="AO70" s="90">
        <f t="shared" si="31"/>
        <v>0</v>
      </c>
    </row>
    <row r="71">
      <c r="A71" s="480"/>
      <c r="R71" s="381"/>
      <c r="W71" s="381"/>
      <c r="X71" s="381"/>
      <c r="Y71" s="381"/>
      <c r="AK71" s="90">
        <f t="shared" si="29"/>
        <v>0</v>
      </c>
      <c r="AL71" s="90">
        <f t="shared" si="30"/>
        <v>0</v>
      </c>
      <c r="AM71" s="90">
        <f t="shared" si="33"/>
        <v>0</v>
      </c>
      <c r="AO71" s="90">
        <f t="shared" si="31"/>
        <v>0</v>
      </c>
    </row>
    <row r="72">
      <c r="A72" s="480"/>
      <c r="R72" s="381"/>
      <c r="W72" s="381"/>
      <c r="X72" s="381"/>
      <c r="Y72" s="381"/>
      <c r="AK72" s="90">
        <f t="shared" si="29"/>
        <v>0</v>
      </c>
      <c r="AL72" s="90">
        <f t="shared" si="30"/>
        <v>0</v>
      </c>
      <c r="AM72" s="90">
        <f t="shared" si="33"/>
        <v>0</v>
      </c>
      <c r="AO72" s="90">
        <f t="shared" si="31"/>
        <v>0</v>
      </c>
    </row>
    <row r="73">
      <c r="A73" s="480"/>
      <c r="R73" s="381"/>
      <c r="W73" s="381"/>
      <c r="X73" s="381"/>
      <c r="Y73" s="381"/>
      <c r="AK73" s="90">
        <f t="shared" si="29"/>
        <v>0</v>
      </c>
      <c r="AL73" s="90">
        <f t="shared" si="30"/>
        <v>0</v>
      </c>
      <c r="AM73" s="90">
        <f t="shared" si="33"/>
        <v>0</v>
      </c>
      <c r="AO73" s="90">
        <f t="shared" si="31"/>
        <v>0</v>
      </c>
    </row>
    <row r="74">
      <c r="A74" s="480"/>
      <c r="R74" s="381"/>
      <c r="W74" s="381"/>
      <c r="X74" s="381"/>
      <c r="Y74" s="381"/>
      <c r="AK74" s="90">
        <f t="shared" si="29"/>
        <v>0</v>
      </c>
      <c r="AL74" s="90">
        <f t="shared" si="30"/>
        <v>0</v>
      </c>
      <c r="AM74" s="90">
        <f t="shared" si="33"/>
        <v>0</v>
      </c>
      <c r="AO74" s="90">
        <f t="shared" si="31"/>
        <v>0</v>
      </c>
    </row>
    <row r="75">
      <c r="A75" s="480"/>
      <c r="R75" s="381"/>
      <c r="W75" s="381"/>
      <c r="X75" s="381"/>
      <c r="Y75" s="381"/>
      <c r="AK75" s="90">
        <f t="shared" si="29"/>
        <v>0</v>
      </c>
      <c r="AL75" s="90">
        <f t="shared" si="30"/>
        <v>0</v>
      </c>
      <c r="AM75" s="90">
        <f t="shared" si="33"/>
        <v>0</v>
      </c>
      <c r="AO75" s="90">
        <f t="shared" si="31"/>
        <v>0</v>
      </c>
    </row>
    <row r="76">
      <c r="A76" s="480"/>
      <c r="R76" s="381"/>
      <c r="W76" s="381"/>
      <c r="X76" s="381"/>
      <c r="Y76" s="381"/>
      <c r="AK76" s="90">
        <f t="shared" si="29"/>
        <v>0</v>
      </c>
      <c r="AL76" s="90">
        <f t="shared" si="30"/>
        <v>0</v>
      </c>
      <c r="AM76" s="90">
        <f t="shared" si="33"/>
        <v>0</v>
      </c>
      <c r="AO76" s="90">
        <f t="shared" si="31"/>
        <v>0</v>
      </c>
    </row>
    <row r="77">
      <c r="A77" s="480"/>
      <c r="R77" s="381"/>
      <c r="W77" s="381"/>
      <c r="X77" s="381"/>
      <c r="Y77" s="381"/>
      <c r="AK77" s="90">
        <f t="shared" si="29"/>
        <v>0</v>
      </c>
      <c r="AL77" s="90">
        <f t="shared" si="30"/>
        <v>0</v>
      </c>
      <c r="AM77" s="90">
        <f t="shared" si="33"/>
        <v>0</v>
      </c>
      <c r="AO77" s="90">
        <f t="shared" si="31"/>
        <v>0</v>
      </c>
    </row>
    <row r="78">
      <c r="A78" s="480"/>
      <c r="R78" s="381"/>
      <c r="W78" s="381"/>
      <c r="X78" s="381"/>
      <c r="Y78" s="381"/>
      <c r="AK78" s="90">
        <f t="shared" si="29"/>
        <v>0</v>
      </c>
      <c r="AL78" s="90">
        <f t="shared" si="30"/>
        <v>0</v>
      </c>
      <c r="AM78" s="90">
        <f t="shared" si="33"/>
        <v>0</v>
      </c>
      <c r="AO78" s="90">
        <f t="shared" si="31"/>
        <v>0</v>
      </c>
    </row>
    <row r="79">
      <c r="A79" s="480"/>
      <c r="R79" s="381"/>
      <c r="W79" s="381"/>
      <c r="X79" s="381"/>
      <c r="Y79" s="381"/>
      <c r="AK79" s="90">
        <f t="shared" si="29"/>
        <v>0</v>
      </c>
      <c r="AL79" s="90">
        <f t="shared" si="30"/>
        <v>0</v>
      </c>
      <c r="AM79" s="90">
        <f t="shared" si="33"/>
        <v>0</v>
      </c>
      <c r="AO79" s="90">
        <f t="shared" si="31"/>
        <v>0</v>
      </c>
    </row>
    <row r="80">
      <c r="A80" s="480"/>
      <c r="R80" s="381"/>
      <c r="W80" s="381"/>
      <c r="X80" s="381"/>
      <c r="Y80" s="381"/>
      <c r="AK80" s="90">
        <f t="shared" si="29"/>
        <v>0</v>
      </c>
      <c r="AL80" s="90">
        <f t="shared" si="30"/>
        <v>0</v>
      </c>
      <c r="AM80" s="90">
        <f t="shared" si="33"/>
        <v>0</v>
      </c>
      <c r="AO80" s="90">
        <f t="shared" si="31"/>
        <v>0</v>
      </c>
    </row>
    <row r="81">
      <c r="A81" s="480"/>
      <c r="R81" s="381"/>
      <c r="W81" s="381"/>
      <c r="X81" s="381"/>
      <c r="Y81" s="381"/>
      <c r="AK81" s="90">
        <f t="shared" si="29"/>
        <v>0</v>
      </c>
      <c r="AL81" s="90">
        <f t="shared" si="30"/>
        <v>0</v>
      </c>
      <c r="AM81" s="90">
        <f t="shared" si="33"/>
        <v>0</v>
      </c>
      <c r="AO81" s="90">
        <f t="shared" si="31"/>
        <v>0</v>
      </c>
    </row>
    <row r="82">
      <c r="A82" s="480"/>
      <c r="R82" s="381"/>
      <c r="W82" s="381"/>
      <c r="X82" s="381"/>
      <c r="Y82" s="381"/>
      <c r="AK82" s="90">
        <f t="shared" si="29"/>
        <v>0</v>
      </c>
      <c r="AL82" s="90">
        <f t="shared" si="30"/>
        <v>0</v>
      </c>
      <c r="AM82" s="90">
        <f t="shared" si="33"/>
        <v>0</v>
      </c>
      <c r="AO82" s="90">
        <f t="shared" si="31"/>
        <v>0</v>
      </c>
    </row>
    <row r="83">
      <c r="A83" s="480"/>
      <c r="R83" s="381"/>
      <c r="W83" s="381"/>
      <c r="X83" s="381"/>
      <c r="Y83" s="381"/>
      <c r="AK83" s="90">
        <f t="shared" si="29"/>
        <v>0</v>
      </c>
      <c r="AL83" s="90">
        <f t="shared" si="30"/>
        <v>0</v>
      </c>
      <c r="AM83" s="90">
        <f t="shared" si="33"/>
        <v>0</v>
      </c>
      <c r="AO83" s="90">
        <f t="shared" si="31"/>
        <v>0</v>
      </c>
    </row>
    <row r="84">
      <c r="A84" s="480"/>
      <c r="R84" s="381"/>
      <c r="W84" s="381"/>
      <c r="X84" s="381"/>
      <c r="Y84" s="381"/>
      <c r="AK84" s="90">
        <f t="shared" si="29"/>
        <v>0</v>
      </c>
      <c r="AL84" s="90">
        <f t="shared" si="30"/>
        <v>0</v>
      </c>
      <c r="AM84" s="90">
        <f t="shared" si="33"/>
        <v>0</v>
      </c>
      <c r="AO84" s="90">
        <f t="shared" si="31"/>
        <v>0</v>
      </c>
    </row>
    <row r="85">
      <c r="A85" s="480"/>
      <c r="R85" s="381"/>
      <c r="W85" s="381"/>
      <c r="X85" s="381"/>
      <c r="Y85" s="381"/>
      <c r="AK85" s="90">
        <f t="shared" si="29"/>
        <v>0</v>
      </c>
      <c r="AL85" s="90">
        <f t="shared" si="30"/>
        <v>0</v>
      </c>
      <c r="AM85" s="90">
        <f t="shared" si="33"/>
        <v>0</v>
      </c>
      <c r="AO85" s="90">
        <f t="shared" si="31"/>
        <v>0</v>
      </c>
    </row>
    <row r="86">
      <c r="A86" s="480"/>
      <c r="R86" s="381"/>
      <c r="W86" s="381"/>
      <c r="X86" s="381"/>
      <c r="Y86" s="381"/>
      <c r="AK86" s="90">
        <f t="shared" si="29"/>
        <v>0</v>
      </c>
      <c r="AL86" s="90">
        <f t="shared" si="30"/>
        <v>0</v>
      </c>
      <c r="AM86" s="90">
        <f t="shared" si="33"/>
        <v>0</v>
      </c>
      <c r="AO86" s="90">
        <f t="shared" si="31"/>
        <v>0</v>
      </c>
    </row>
    <row r="87">
      <c r="A87" s="480"/>
      <c r="R87" s="381"/>
      <c r="W87" s="381"/>
      <c r="X87" s="381"/>
      <c r="Y87" s="381"/>
      <c r="AK87" s="90">
        <f t="shared" si="29"/>
        <v>0</v>
      </c>
      <c r="AL87" s="90">
        <f t="shared" si="30"/>
        <v>0</v>
      </c>
      <c r="AM87" s="90">
        <f t="shared" si="33"/>
        <v>0</v>
      </c>
      <c r="AO87" s="90">
        <f t="shared" si="31"/>
        <v>0</v>
      </c>
    </row>
    <row r="88">
      <c r="A88" s="480"/>
      <c r="R88" s="381"/>
      <c r="W88" s="381"/>
      <c r="X88" s="381"/>
      <c r="Y88" s="381"/>
      <c r="AK88" s="90">
        <f t="shared" si="29"/>
        <v>0</v>
      </c>
      <c r="AL88" s="90">
        <f t="shared" si="30"/>
        <v>0</v>
      </c>
      <c r="AM88" s="90">
        <f t="shared" si="33"/>
        <v>0</v>
      </c>
      <c r="AO88" s="90">
        <f t="shared" si="31"/>
        <v>0</v>
      </c>
    </row>
    <row r="89">
      <c r="A89" s="480"/>
      <c r="R89" s="381"/>
      <c r="W89" s="381"/>
      <c r="X89" s="381"/>
      <c r="Y89" s="381"/>
      <c r="AK89" s="90">
        <f t="shared" si="29"/>
        <v>0</v>
      </c>
      <c r="AL89" s="90">
        <f t="shared" si="30"/>
        <v>0</v>
      </c>
      <c r="AM89" s="90">
        <f t="shared" si="33"/>
        <v>0</v>
      </c>
      <c r="AO89" s="90">
        <f t="shared" si="31"/>
        <v>0</v>
      </c>
    </row>
    <row r="90">
      <c r="A90" s="480"/>
      <c r="R90" s="381"/>
      <c r="W90" s="381"/>
      <c r="X90" s="381"/>
      <c r="Y90" s="381"/>
      <c r="AK90" s="90">
        <f t="shared" si="29"/>
        <v>0</v>
      </c>
      <c r="AL90" s="90">
        <f t="shared" si="30"/>
        <v>0</v>
      </c>
      <c r="AM90" s="90">
        <f t="shared" si="33"/>
        <v>0</v>
      </c>
      <c r="AO90" s="90">
        <f t="shared" si="31"/>
        <v>0</v>
      </c>
    </row>
    <row r="91">
      <c r="A91" s="480"/>
      <c r="R91" s="381"/>
      <c r="W91" s="381"/>
      <c r="X91" s="381"/>
      <c r="Y91" s="381"/>
      <c r="AK91" s="90">
        <f t="shared" si="29"/>
        <v>0</v>
      </c>
      <c r="AL91" s="90">
        <f t="shared" si="30"/>
        <v>0</v>
      </c>
      <c r="AM91" s="90">
        <f t="shared" si="33"/>
        <v>0</v>
      </c>
      <c r="AO91" s="90">
        <f t="shared" si="31"/>
        <v>0</v>
      </c>
    </row>
    <row r="92">
      <c r="A92" s="480"/>
      <c r="R92" s="381"/>
      <c r="W92" s="381"/>
      <c r="X92" s="381"/>
      <c r="Y92" s="381"/>
      <c r="AK92" s="90">
        <f t="shared" si="29"/>
        <v>0</v>
      </c>
      <c r="AL92" s="90">
        <f t="shared" si="30"/>
        <v>0</v>
      </c>
      <c r="AM92" s="90">
        <f t="shared" si="33"/>
        <v>0</v>
      </c>
      <c r="AO92" s="90">
        <f t="shared" si="31"/>
        <v>0</v>
      </c>
    </row>
    <row r="93">
      <c r="A93" s="480"/>
      <c r="R93" s="381"/>
      <c r="W93" s="381"/>
      <c r="X93" s="381"/>
      <c r="Y93" s="381"/>
      <c r="AK93" s="90">
        <f t="shared" si="29"/>
        <v>0</v>
      </c>
      <c r="AL93" s="90">
        <f t="shared" si="30"/>
        <v>0</v>
      </c>
      <c r="AM93" s="90">
        <f t="shared" si="33"/>
        <v>0</v>
      </c>
      <c r="AO93" s="90">
        <f t="shared" si="31"/>
        <v>0</v>
      </c>
    </row>
    <row r="94">
      <c r="A94" s="480"/>
      <c r="R94" s="381"/>
      <c r="W94" s="381"/>
      <c r="X94" s="381"/>
      <c r="Y94" s="381"/>
      <c r="AK94" s="90">
        <f t="shared" si="29"/>
        <v>0</v>
      </c>
      <c r="AL94" s="90">
        <f t="shared" si="30"/>
        <v>0</v>
      </c>
      <c r="AM94" s="90">
        <f t="shared" si="33"/>
        <v>0</v>
      </c>
      <c r="AO94" s="90">
        <f t="shared" si="31"/>
        <v>0</v>
      </c>
    </row>
    <row r="95">
      <c r="A95" s="480"/>
      <c r="R95" s="381"/>
      <c r="W95" s="381"/>
      <c r="X95" s="381"/>
      <c r="Y95" s="381"/>
      <c r="AK95" s="90">
        <f t="shared" si="29"/>
        <v>0</v>
      </c>
      <c r="AL95" s="90">
        <f t="shared" si="30"/>
        <v>0</v>
      </c>
      <c r="AM95" s="90">
        <f t="shared" si="33"/>
        <v>0</v>
      </c>
      <c r="AO95" s="90">
        <f t="shared" si="31"/>
        <v>0</v>
      </c>
    </row>
    <row r="96">
      <c r="A96" s="480"/>
      <c r="R96" s="381"/>
      <c r="W96" s="381"/>
      <c r="X96" s="381"/>
      <c r="Y96" s="381"/>
      <c r="AK96" s="90">
        <f t="shared" si="29"/>
        <v>0</v>
      </c>
      <c r="AL96" s="90">
        <f t="shared" si="30"/>
        <v>0</v>
      </c>
      <c r="AM96" s="90">
        <f t="shared" si="33"/>
        <v>0</v>
      </c>
      <c r="AO96" s="90">
        <f t="shared" si="31"/>
        <v>0</v>
      </c>
    </row>
    <row r="97">
      <c r="A97" s="480"/>
      <c r="R97" s="381"/>
      <c r="W97" s="381"/>
      <c r="X97" s="381"/>
      <c r="Y97" s="381"/>
      <c r="AK97" s="90">
        <f t="shared" si="29"/>
        <v>0</v>
      </c>
      <c r="AL97" s="90">
        <f t="shared" si="30"/>
        <v>0</v>
      </c>
      <c r="AM97" s="90">
        <f t="shared" si="33"/>
        <v>0</v>
      </c>
      <c r="AO97" s="90">
        <f t="shared" si="31"/>
        <v>0</v>
      </c>
    </row>
    <row r="98">
      <c r="A98" s="480"/>
      <c r="R98" s="381"/>
      <c r="W98" s="381"/>
      <c r="X98" s="381"/>
      <c r="Y98" s="381"/>
      <c r="AK98" s="90">
        <f t="shared" si="29"/>
        <v>0</v>
      </c>
      <c r="AL98" s="90">
        <f t="shared" si="30"/>
        <v>0</v>
      </c>
      <c r="AM98" s="90">
        <f t="shared" si="33"/>
        <v>0</v>
      </c>
      <c r="AO98" s="90">
        <f t="shared" si="31"/>
        <v>0</v>
      </c>
    </row>
    <row r="99">
      <c r="A99" s="480"/>
      <c r="R99" s="381"/>
      <c r="W99" s="381"/>
      <c r="X99" s="381"/>
      <c r="Y99" s="381"/>
      <c r="AK99" s="90">
        <f t="shared" si="29"/>
        <v>0</v>
      </c>
      <c r="AL99" s="90">
        <f t="shared" si="30"/>
        <v>0</v>
      </c>
      <c r="AM99" s="90">
        <f t="shared" si="33"/>
        <v>0</v>
      </c>
      <c r="AO99" s="90">
        <f t="shared" si="31"/>
        <v>0</v>
      </c>
    </row>
    <row r="100">
      <c r="A100" s="480"/>
      <c r="R100" s="381"/>
      <c r="W100" s="381"/>
      <c r="X100" s="381"/>
      <c r="Y100" s="381"/>
      <c r="AK100" s="90">
        <f t="shared" si="29"/>
        <v>0</v>
      </c>
      <c r="AL100" s="90">
        <f t="shared" si="30"/>
        <v>0</v>
      </c>
      <c r="AM100" s="90">
        <f t="shared" si="33"/>
        <v>0</v>
      </c>
      <c r="AO100" s="90">
        <f t="shared" si="31"/>
        <v>0</v>
      </c>
    </row>
    <row r="101">
      <c r="A101" s="480"/>
      <c r="R101" s="381"/>
      <c r="W101" s="381"/>
      <c r="X101" s="381"/>
      <c r="Y101" s="381"/>
      <c r="AK101" s="90">
        <f t="shared" si="29"/>
        <v>0</v>
      </c>
      <c r="AL101" s="90">
        <f t="shared" si="30"/>
        <v>0</v>
      </c>
      <c r="AM101" s="90">
        <f t="shared" si="33"/>
        <v>0</v>
      </c>
      <c r="AO101" s="90">
        <f t="shared" si="31"/>
        <v>0</v>
      </c>
    </row>
    <row r="102">
      <c r="A102" s="480"/>
      <c r="R102" s="381"/>
      <c r="W102" s="381"/>
      <c r="X102" s="381"/>
      <c r="Y102" s="381"/>
      <c r="AK102" s="90">
        <f t="shared" si="29"/>
        <v>0</v>
      </c>
      <c r="AL102" s="90">
        <f t="shared" si="30"/>
        <v>0</v>
      </c>
      <c r="AM102" s="90">
        <f t="shared" si="33"/>
        <v>0</v>
      </c>
      <c r="AO102" s="90">
        <f t="shared" si="31"/>
        <v>0</v>
      </c>
    </row>
    <row r="103">
      <c r="A103" s="480"/>
      <c r="R103" s="381"/>
      <c r="W103" s="381"/>
      <c r="X103" s="381"/>
      <c r="Y103" s="381"/>
      <c r="AK103" s="90">
        <f t="shared" si="29"/>
        <v>0</v>
      </c>
      <c r="AL103" s="90">
        <f t="shared" si="30"/>
        <v>0</v>
      </c>
      <c r="AM103" s="90">
        <f t="shared" si="33"/>
        <v>0</v>
      </c>
      <c r="AO103" s="90">
        <f t="shared" si="31"/>
        <v>0</v>
      </c>
    </row>
    <row r="104">
      <c r="A104" s="480"/>
      <c r="R104" s="381"/>
      <c r="W104" s="381"/>
      <c r="X104" s="381"/>
      <c r="Y104" s="381"/>
      <c r="AK104" s="90">
        <f t="shared" si="29"/>
        <v>0</v>
      </c>
      <c r="AL104" s="90">
        <f t="shared" si="30"/>
        <v>0</v>
      </c>
      <c r="AM104" s="90">
        <f t="shared" si="33"/>
        <v>0</v>
      </c>
      <c r="AO104" s="90">
        <f t="shared" si="31"/>
        <v>0</v>
      </c>
    </row>
    <row r="105">
      <c r="A105" s="480"/>
      <c r="R105" s="381"/>
      <c r="W105" s="381"/>
      <c r="X105" s="381"/>
      <c r="Y105" s="381"/>
      <c r="AK105" s="90">
        <f t="shared" si="29"/>
        <v>0</v>
      </c>
      <c r="AL105" s="90">
        <f t="shared" si="30"/>
        <v>0</v>
      </c>
      <c r="AM105" s="90">
        <f t="shared" si="33"/>
        <v>0</v>
      </c>
      <c r="AO105" s="90">
        <f t="shared" si="31"/>
        <v>0</v>
      </c>
    </row>
    <row r="106">
      <c r="A106" s="480"/>
      <c r="R106" s="381"/>
      <c r="W106" s="381"/>
      <c r="X106" s="381"/>
      <c r="Y106" s="381"/>
      <c r="AK106" s="90">
        <f t="shared" si="29"/>
        <v>0</v>
      </c>
      <c r="AL106" s="90">
        <f t="shared" si="30"/>
        <v>0</v>
      </c>
      <c r="AM106" s="90">
        <f t="shared" si="33"/>
        <v>0</v>
      </c>
      <c r="AO106" s="90">
        <f t="shared" si="31"/>
        <v>0</v>
      </c>
    </row>
    <row r="107">
      <c r="A107" s="480"/>
      <c r="R107" s="381"/>
      <c r="W107" s="381"/>
      <c r="X107" s="381"/>
      <c r="Y107" s="381"/>
      <c r="AK107" s="90">
        <f t="shared" si="29"/>
        <v>0</v>
      </c>
      <c r="AL107" s="90">
        <f t="shared" si="30"/>
        <v>0</v>
      </c>
      <c r="AM107" s="90">
        <f t="shared" si="33"/>
        <v>0</v>
      </c>
      <c r="AO107" s="90">
        <f t="shared" si="31"/>
        <v>0</v>
      </c>
    </row>
    <row r="108">
      <c r="A108" s="480"/>
      <c r="R108" s="381"/>
      <c r="W108" s="381"/>
      <c r="X108" s="381"/>
      <c r="Y108" s="381"/>
      <c r="AK108" s="90">
        <f t="shared" si="29"/>
        <v>0</v>
      </c>
      <c r="AL108" s="90">
        <f t="shared" si="30"/>
        <v>0</v>
      </c>
      <c r="AM108" s="90">
        <f t="shared" si="33"/>
        <v>0</v>
      </c>
      <c r="AO108" s="90">
        <f t="shared" si="31"/>
        <v>0</v>
      </c>
    </row>
    <row r="109">
      <c r="A109" s="480"/>
      <c r="R109" s="381"/>
      <c r="W109" s="381"/>
      <c r="X109" s="381"/>
      <c r="Y109" s="381"/>
      <c r="AK109" s="90">
        <f t="shared" si="29"/>
        <v>0</v>
      </c>
      <c r="AL109" s="90">
        <f t="shared" si="30"/>
        <v>0</v>
      </c>
      <c r="AM109" s="90">
        <f t="shared" si="33"/>
        <v>0</v>
      </c>
      <c r="AO109" s="90">
        <f t="shared" si="31"/>
        <v>0</v>
      </c>
    </row>
    <row r="110">
      <c r="A110" s="480"/>
      <c r="R110" s="381"/>
      <c r="W110" s="381"/>
      <c r="X110" s="381"/>
      <c r="Y110" s="381"/>
      <c r="AK110" s="90">
        <f t="shared" si="29"/>
        <v>0</v>
      </c>
      <c r="AL110" s="90">
        <f t="shared" si="30"/>
        <v>0</v>
      </c>
      <c r="AM110" s="90">
        <f t="shared" si="33"/>
        <v>0</v>
      </c>
      <c r="AO110" s="9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3.38"/>
    <col hidden="1" min="2" max="5" width="12.63"/>
    <col customWidth="1" hidden="1" min="6" max="8" width="12.63"/>
    <col hidden="1" min="9" max="18" width="12.63"/>
    <col customWidth="1" min="20" max="24" width="10.13"/>
    <col customWidth="1" min="26" max="26" width="21.13"/>
  </cols>
  <sheetData>
    <row r="1">
      <c r="A1" s="327"/>
      <c r="B1" s="328"/>
      <c r="C1" s="329" t="s">
        <v>1904</v>
      </c>
      <c r="I1" s="327"/>
      <c r="J1" s="327"/>
      <c r="K1" s="329" t="s">
        <v>2267</v>
      </c>
      <c r="S1" s="327"/>
      <c r="T1" s="329"/>
      <c r="U1" s="329" t="s">
        <v>2267</v>
      </c>
      <c r="Y1" s="327"/>
      <c r="Z1" s="327"/>
      <c r="AA1" s="327"/>
      <c r="AB1" s="328"/>
      <c r="AC1" s="329" t="s">
        <v>1904</v>
      </c>
    </row>
    <row r="2">
      <c r="A2" s="327"/>
      <c r="B2" s="328"/>
      <c r="C2" s="328" t="s">
        <v>1906</v>
      </c>
      <c r="I2" s="327"/>
      <c r="J2" s="327"/>
      <c r="K2" s="328" t="s">
        <v>1906</v>
      </c>
      <c r="S2" s="327"/>
      <c r="T2" s="328"/>
      <c r="U2" s="328" t="s">
        <v>1906</v>
      </c>
      <c r="Y2" s="327"/>
      <c r="Z2" s="327"/>
      <c r="AA2" s="327"/>
      <c r="AB2" s="328"/>
      <c r="AC2" s="328" t="s">
        <v>1906</v>
      </c>
    </row>
    <row r="3">
      <c r="A3" s="330"/>
      <c r="B3" s="331" t="s">
        <v>1907</v>
      </c>
      <c r="C3" s="331" t="s">
        <v>1436</v>
      </c>
      <c r="D3" s="333" t="s">
        <v>2268</v>
      </c>
      <c r="E3" s="331" t="s">
        <v>1431</v>
      </c>
      <c r="F3" s="331" t="s">
        <v>1365</v>
      </c>
      <c r="G3" s="331" t="s">
        <v>1908</v>
      </c>
      <c r="H3" s="332" t="s">
        <v>1909</v>
      </c>
      <c r="I3" s="330"/>
      <c r="J3" s="331" t="s">
        <v>1910</v>
      </c>
      <c r="K3" s="331" t="s">
        <v>1436</v>
      </c>
      <c r="L3" s="333" t="s">
        <v>2268</v>
      </c>
      <c r="M3" s="331" t="s">
        <v>1431</v>
      </c>
      <c r="N3" s="331" t="s">
        <v>1365</v>
      </c>
      <c r="O3" s="331" t="s">
        <v>1908</v>
      </c>
      <c r="P3" s="332" t="s">
        <v>1909</v>
      </c>
      <c r="S3" s="331" t="s">
        <v>1910</v>
      </c>
      <c r="T3" s="333" t="s">
        <v>1436</v>
      </c>
      <c r="U3" s="331" t="s">
        <v>1431</v>
      </c>
      <c r="V3" s="331" t="s">
        <v>1365</v>
      </c>
      <c r="W3" s="331" t="s">
        <v>1908</v>
      </c>
      <c r="X3" s="332" t="s">
        <v>1909</v>
      </c>
      <c r="Y3" s="330"/>
      <c r="Z3" s="330"/>
      <c r="AA3" s="330"/>
      <c r="AB3" s="331" t="s">
        <v>1907</v>
      </c>
      <c r="AC3" s="331" t="s">
        <v>1436</v>
      </c>
      <c r="AD3" s="331" t="s">
        <v>1431</v>
      </c>
      <c r="AE3" s="331" t="s">
        <v>1365</v>
      </c>
      <c r="AF3" s="331" t="s">
        <v>1908</v>
      </c>
      <c r="AG3" s="332" t="s">
        <v>1909</v>
      </c>
    </row>
    <row r="4">
      <c r="A4" s="334">
        <v>-5.0</v>
      </c>
      <c r="B4" s="335">
        <f t="shared" ref="B4:B8" si="1">$B$9+(7*A4)</f>
        <v>45397</v>
      </c>
      <c r="C4" s="8"/>
      <c r="D4" s="8" t="str">
        <f>SUMIFS(Loads!$AJ:$AJ,#REF!,"="&amp;D$3,#REF!,"&gt;"&amp;$B3,#REF!,"&lt;="&amp;$B4)</f>
        <v>#VALUE!</v>
      </c>
      <c r="E4" s="8" t="str">
        <f>SUMIFS(Loads!$AJ:$AJ,#REF!,"="&amp;E$3,#REF!,"&lt;="&amp;$B4)</f>
        <v>#VALUE!</v>
      </c>
      <c r="F4" s="8" t="str">
        <f>SUMIFS(Loads!$AJ:$AJ,#REF!,"="&amp;F$3,#REF!,"&lt;="&amp;$B4)</f>
        <v>#VALUE!</v>
      </c>
      <c r="G4" s="8" t="str">
        <f t="shared" ref="G4:G46" si="2">SUM(C4:F4)</f>
        <v>#VALUE!</v>
      </c>
      <c r="H4" s="8" t="str">
        <f>G4</f>
        <v>#VALUE!</v>
      </c>
      <c r="J4" s="481"/>
      <c r="P4" s="337"/>
      <c r="R4" s="8"/>
      <c r="S4" s="481"/>
      <c r="X4" s="337"/>
      <c r="AA4" s="334">
        <v>-5.0</v>
      </c>
      <c r="AB4" s="335">
        <f t="shared" ref="AB4:AB8" si="3">$AB$9+(7*AA4)</f>
        <v>45453</v>
      </c>
      <c r="AC4" s="8">
        <f>SUMIFS('Injection Forecast'!$F:$F,'Injection Forecast'!$G:$G,"="&amp;AC$3,'Injection Forecast'!$C:$C,"&gt;="&amp;$AB4,'Injection Forecast'!$C:$C,"&lt;"&amp;$AB5)</f>
        <v>0</v>
      </c>
      <c r="AD4" s="8">
        <f>SUMIFS('Injection Forecast'!$F:$F,'Injection Forecast'!$G:$G,"="&amp;AD$3,'Injection Forecast'!$C:$C,"&gt;="&amp;$AB4,'Injection Forecast'!$C:$C,"&lt;"&amp;$AB5)</f>
        <v>25</v>
      </c>
      <c r="AE4" s="8">
        <f>SUMIFS('Injection Forecast'!$D:$D,'Injection Forecast'!$G:$G,"="&amp;V$3,'Injection Forecast'!$C:$C,"&gt;="&amp;$AB4,'Injection Forecast'!$C:$C,"&lt;"&amp;$AB5)</f>
        <v>0</v>
      </c>
      <c r="AF4" s="8">
        <f t="shared" ref="AF4:AF21" si="4">SUM(AC4:AE4)</f>
        <v>25</v>
      </c>
      <c r="AG4" s="8">
        <f>AF4+SUMIFS('Injection Forecast'!$F:$F,'Injection Forecast'!$C:$C,"&lt;"&amp;$AB4)</f>
        <v>484.2724302</v>
      </c>
    </row>
    <row r="5">
      <c r="A5" s="334">
        <v>-4.0</v>
      </c>
      <c r="B5" s="335">
        <f t="shared" si="1"/>
        <v>45404</v>
      </c>
      <c r="C5" s="8"/>
      <c r="D5" s="8" t="str">
        <f>SUMIFS(Loads!$AJ:$AJ,#REF!,"="&amp;D$3,#REF!,"&gt;"&amp;$B4,#REF!,"&lt;="&amp;$B5)</f>
        <v>#VALUE!</v>
      </c>
      <c r="E5" s="8" t="str">
        <f>SUMIFS(Loads!$AJ:$AJ,#REF!,"="&amp;E$3,#REF!,"&gt;"&amp;$B4,#REF!,"&lt;="&amp;$B5)</f>
        <v>#VALUE!</v>
      </c>
      <c r="F5" s="8" t="str">
        <f>SUMIFS(Loads!$AJ:$AJ,#REF!,"="&amp;F$3,#REF!,"&gt;"&amp;$B4,#REF!,"&lt;="&amp;$B5)</f>
        <v>#VALUE!</v>
      </c>
      <c r="G5" s="8" t="str">
        <f t="shared" si="2"/>
        <v>#VALUE!</v>
      </c>
      <c r="H5" s="8" t="str">
        <f t="shared" ref="H5:H46" si="5">H4+G5</f>
        <v>#VALUE!</v>
      </c>
      <c r="J5" s="481"/>
      <c r="P5" s="337"/>
      <c r="R5" s="8"/>
      <c r="S5" s="481"/>
      <c r="X5" s="337"/>
      <c r="Y5" s="6"/>
      <c r="AA5" s="334">
        <v>-4.0</v>
      </c>
      <c r="AB5" s="335">
        <f t="shared" si="3"/>
        <v>45460</v>
      </c>
      <c r="AC5" s="8">
        <f>SUMIFS('Injection Forecast'!$F:$F,'Injection Forecast'!$G:$G,"="&amp;AC$3,'Injection Forecast'!$C:$C,"&gt;="&amp;$AB5,'Injection Forecast'!$C:$C,"&lt;"&amp;$AB6)</f>
        <v>0</v>
      </c>
      <c r="AD5" s="8">
        <f>SUMIFS('Injection Forecast'!$F:$F,'Injection Forecast'!$G:$G,"="&amp;AD$3,'Injection Forecast'!$C:$C,"&gt;="&amp;$AB5,'Injection Forecast'!$C:$C,"&lt;"&amp;$AB6)</f>
        <v>0</v>
      </c>
      <c r="AE5" s="8">
        <f>SUMIFS('Injection Forecast'!$D:$D,'Injection Forecast'!$G:$G,"="&amp;V$3,'Injection Forecast'!$C:$C,"&gt;="&amp;$AB5,'Injection Forecast'!$C:$C,"&lt;"&amp;$AB6)</f>
        <v>0</v>
      </c>
      <c r="AF5" s="8">
        <f t="shared" si="4"/>
        <v>0</v>
      </c>
      <c r="AG5" s="8">
        <f t="shared" ref="AG5:AG21" si="6">AG4+AF5</f>
        <v>484.2724302</v>
      </c>
    </row>
    <row r="6">
      <c r="A6" s="334">
        <v>-3.0</v>
      </c>
      <c r="B6" s="335">
        <f t="shared" si="1"/>
        <v>45411</v>
      </c>
      <c r="C6" s="8"/>
      <c r="D6" s="8" t="str">
        <f>SUMIFS(Loads!$AJ:$AJ,#REF!,"="&amp;D$3,#REF!,"&gt;"&amp;$B5,#REF!,"&lt;="&amp;$B6)</f>
        <v>#VALUE!</v>
      </c>
      <c r="E6" s="8" t="str">
        <f>SUMIFS(Loads!$AJ:$AJ,#REF!,"="&amp;E$3,#REF!,"&gt;"&amp;$B5,#REF!,"&lt;="&amp;$B6)</f>
        <v>#VALUE!</v>
      </c>
      <c r="F6" s="8" t="str">
        <f>SUMIFS(Loads!$AJ:$AJ,#REF!,"="&amp;F$3,#REF!,"&gt;"&amp;$B5,#REF!,"&lt;="&amp;$B6)</f>
        <v>#VALUE!</v>
      </c>
      <c r="G6" s="8" t="str">
        <f t="shared" si="2"/>
        <v>#VALUE!</v>
      </c>
      <c r="H6" s="8" t="str">
        <f t="shared" si="5"/>
        <v>#VALUE!</v>
      </c>
      <c r="J6" s="336">
        <v>45322.0</v>
      </c>
      <c r="K6" s="8"/>
      <c r="L6" s="8"/>
      <c r="M6" s="8"/>
      <c r="N6" s="8"/>
      <c r="O6" s="172"/>
      <c r="P6" s="172"/>
      <c r="Q6" s="482"/>
      <c r="R6" s="8"/>
      <c r="S6" s="336">
        <v>45292.0</v>
      </c>
      <c r="T6" s="8"/>
      <c r="U6" s="8"/>
      <c r="V6" s="8"/>
      <c r="W6" s="172"/>
      <c r="X6" s="172"/>
      <c r="Y6" s="415"/>
      <c r="Z6" s="82"/>
      <c r="AA6" s="334">
        <v>-3.0</v>
      </c>
      <c r="AB6" s="335">
        <f t="shared" si="3"/>
        <v>45467</v>
      </c>
      <c r="AC6" s="8">
        <f>SUMIFS('Injection Forecast'!$F:$F,'Injection Forecast'!$G:$G,"="&amp;AC$3,'Injection Forecast'!$C:$C,"&gt;="&amp;$AB6,'Injection Forecast'!$C:$C,"&lt;"&amp;$AB7)</f>
        <v>0</v>
      </c>
      <c r="AD6" s="8">
        <f>SUMIFS('Injection Forecast'!$F:$F,'Injection Forecast'!$G:$G,"="&amp;AD$3,'Injection Forecast'!$C:$C,"&gt;="&amp;$AB6,'Injection Forecast'!$C:$C,"&lt;"&amp;$AB7)</f>
        <v>19.8</v>
      </c>
      <c r="AE6" s="8">
        <f>SUMIFS('Injection Forecast'!$D:$D,'Injection Forecast'!$G:$G,"="&amp;V$3,'Injection Forecast'!$C:$C,"&gt;="&amp;$AB6,'Injection Forecast'!$C:$C,"&lt;"&amp;$AB7)</f>
        <v>0</v>
      </c>
      <c r="AF6" s="8">
        <f t="shared" si="4"/>
        <v>19.8</v>
      </c>
      <c r="AG6" s="8">
        <f t="shared" si="6"/>
        <v>504.0724302</v>
      </c>
      <c r="AH6" s="483"/>
      <c r="AI6" s="483"/>
    </row>
    <row r="7">
      <c r="A7" s="334">
        <v>-2.0</v>
      </c>
      <c r="B7" s="335">
        <f t="shared" si="1"/>
        <v>45418</v>
      </c>
      <c r="C7" s="8"/>
      <c r="D7" s="8" t="str">
        <f>SUMIFS(Loads!$AJ:$AJ,#REF!,"="&amp;D$3,#REF!,"&gt;"&amp;$B6,#REF!,"&lt;="&amp;$B7)</f>
        <v>#VALUE!</v>
      </c>
      <c r="E7" s="8" t="str">
        <f>SUMIFS(Loads!$AJ:$AJ,#REF!,"="&amp;E$3,#REF!,"&gt;"&amp;$B6,#REF!,"&lt;="&amp;$B7)</f>
        <v>#VALUE!</v>
      </c>
      <c r="F7" s="8" t="str">
        <f>SUMIFS(Loads!$AJ:$AJ,#REF!,"="&amp;F$3,#REF!,"&gt;"&amp;$B6,#REF!,"&lt;="&amp;$B7)</f>
        <v>#VALUE!</v>
      </c>
      <c r="G7" s="8" t="str">
        <f t="shared" si="2"/>
        <v>#VALUE!</v>
      </c>
      <c r="H7" s="8" t="str">
        <f t="shared" si="5"/>
        <v>#VALUE!</v>
      </c>
      <c r="J7" s="336">
        <v>45350.0</v>
      </c>
      <c r="K7" s="8" t="str">
        <f>SUMIFS(Loads!$AJ:$AJ,#REF!,"="&amp;K$3,#REF!,"&gt;"&amp;$J6,#REF!,"&lt;="&amp;$J7)</f>
        <v>#VALUE!</v>
      </c>
      <c r="L7" s="8" t="str">
        <f>SUMIFS(Loads!$AJ:$AJ,#REF!,"="&amp;L$3,#REF!,"&gt;"&amp;$J6,#REF!,"&lt;="&amp;$J7)</f>
        <v>#VALUE!</v>
      </c>
      <c r="M7" s="8" t="str">
        <f>SUMIFS(Loads!$AJ:$AJ,#REF!,"="&amp;M$3,#REF!,"&gt;"&amp;$J6,#REF!,"&lt;="&amp;$J7)</f>
        <v>#VALUE!</v>
      </c>
      <c r="N7" s="8" t="str">
        <f>SUMIFS(Loads!$AJ:$AJ,#REF!,"="&amp;N$3,#REF!,"&gt;"&amp;$J6,#REF!,"&lt;="&amp;$J7)</f>
        <v>#VALUE!</v>
      </c>
      <c r="O7" s="172" t="str">
        <f t="shared" ref="O7:O17" si="7">SUM(K7:N7)</f>
        <v>#VALUE!</v>
      </c>
      <c r="P7" s="172" t="str">
        <f t="shared" ref="P7:P17" si="8">P6+O7</f>
        <v>#VALUE!</v>
      </c>
      <c r="Q7" s="482"/>
      <c r="R7" s="8"/>
      <c r="S7" s="336">
        <v>45323.0</v>
      </c>
      <c r="T7" s="8"/>
      <c r="U7" s="8"/>
      <c r="V7" s="8"/>
      <c r="W7" s="172"/>
      <c r="X7" s="172"/>
      <c r="Y7" s="415"/>
      <c r="Z7" s="82"/>
      <c r="AA7" s="334">
        <v>-2.0</v>
      </c>
      <c r="AB7" s="335">
        <f t="shared" si="3"/>
        <v>45474</v>
      </c>
      <c r="AC7" s="8">
        <f>SUMIFS('Injection Forecast'!$F:$F,'Injection Forecast'!$G:$G,"="&amp;AC$3,'Injection Forecast'!$C:$C,"&gt;="&amp;$AB7,'Injection Forecast'!$C:$C,"&lt;"&amp;$AB8)</f>
        <v>28.512</v>
      </c>
      <c r="AD7" s="8">
        <f>SUMIFS('Injection Forecast'!$F:$F,'Injection Forecast'!$G:$G,"="&amp;AD$3,'Injection Forecast'!$C:$C,"&gt;="&amp;$AB7,'Injection Forecast'!$C:$C,"&lt;"&amp;$AB8)</f>
        <v>0</v>
      </c>
      <c r="AE7" s="8">
        <f>SUMIFS('Injection Forecast'!$D:$D,'Injection Forecast'!$G:$G,"="&amp;V$3,'Injection Forecast'!$C:$C,"&gt;="&amp;$AB7,'Injection Forecast'!$C:$C,"&lt;"&amp;$AB8)</f>
        <v>0</v>
      </c>
      <c r="AF7" s="8">
        <f t="shared" si="4"/>
        <v>28.512</v>
      </c>
      <c r="AG7" s="8">
        <f t="shared" si="6"/>
        <v>532.5844302</v>
      </c>
      <c r="AH7" s="483"/>
      <c r="AI7" s="483"/>
    </row>
    <row r="8">
      <c r="A8" s="334">
        <v>-1.0</v>
      </c>
      <c r="B8" s="335">
        <f t="shared" si="1"/>
        <v>45425</v>
      </c>
      <c r="C8" s="8" t="str">
        <f>SUMIFS(Loads!$AJ:$AJ,#REF!,"="&amp;C$3,#REF!,"&gt;"&amp;$B7,#REF!,"&lt;="&amp;$B8)</f>
        <v>#VALUE!</v>
      </c>
      <c r="D8" s="8" t="str">
        <f>SUMIFS(Loads!$AJ:$AJ,#REF!,"="&amp;D$3,#REF!,"&gt;"&amp;$B7,#REF!,"&lt;="&amp;$B8)</f>
        <v>#VALUE!</v>
      </c>
      <c r="E8" s="8" t="str">
        <f>SUMIFS(Loads!$AJ:$AJ,#REF!,"="&amp;E$3,#REF!,"&gt;"&amp;$B7,#REF!,"&lt;="&amp;$B8)</f>
        <v>#VALUE!</v>
      </c>
      <c r="F8" s="8" t="str">
        <f>SUMIFS(Loads!$AJ:$AJ,#REF!,"="&amp;F$3,#REF!,"&gt;"&amp;$B7,#REF!,"&lt;="&amp;$B8)</f>
        <v>#VALUE!</v>
      </c>
      <c r="G8" s="8" t="str">
        <f t="shared" si="2"/>
        <v>#VALUE!</v>
      </c>
      <c r="H8" s="8" t="str">
        <f t="shared" si="5"/>
        <v>#VALUE!</v>
      </c>
      <c r="J8" s="336">
        <v>45382.0</v>
      </c>
      <c r="K8" s="8" t="str">
        <f>SUMIFS(Loads!$AJ:$AJ,#REF!,"="&amp;K$3,#REF!,"&gt;"&amp;$J7,#REF!,"&lt;="&amp;$J8)</f>
        <v>#VALUE!</v>
      </c>
      <c r="L8" s="8" t="str">
        <f>SUMIFS(Loads!$AJ:$AJ,#REF!,"="&amp;L$3,#REF!,"&gt;"&amp;$J7,#REF!,"&lt;="&amp;$J8)</f>
        <v>#VALUE!</v>
      </c>
      <c r="M8" s="8" t="str">
        <f>SUMIFS(Loads!$AJ:$AJ,#REF!,"="&amp;M$3,#REF!,"&gt;"&amp;$J7,#REF!,"&lt;="&amp;$J8)</f>
        <v>#VALUE!</v>
      </c>
      <c r="N8" s="8" t="str">
        <f>SUMIFS(Loads!$AJ:$AJ,#REF!,"="&amp;N$3,#REF!,"&gt;"&amp;$J7,#REF!,"&lt;="&amp;$J8)</f>
        <v>#VALUE!</v>
      </c>
      <c r="O8" s="172" t="str">
        <f t="shared" si="7"/>
        <v>#VALUE!</v>
      </c>
      <c r="P8" s="172" t="str">
        <f t="shared" si="8"/>
        <v>#VALUE!</v>
      </c>
      <c r="Q8" s="484"/>
      <c r="R8" s="8"/>
      <c r="S8" s="336">
        <v>45352.0</v>
      </c>
      <c r="T8" s="8">
        <f>Constants!$B$38*SUMIFS('Injection Forecast'!$F:$F,'Injection Forecast'!$G:$G,"="&amp;T$3,'Injection Forecast'!$C:$C,"&gt;="&amp;$S8,'Injection Forecast'!$C:$C,"&lt;"&amp;$S9)</f>
        <v>0</v>
      </c>
      <c r="U8" s="8" t="str">
        <f>SUMIFS(#REF!,Blends!$G:$G,"="&amp;U$3, Blends!$C:$C,"&gt;="&amp;$S8,Blends!$C:$C,"&lt;"&amp;$S9)</f>
        <v>#N/A</v>
      </c>
      <c r="V8" s="8" t="str">
        <f>SUMIFS(#REF!,Blends!$G:$G,"="&amp;V$3, Blends!$C:$C,"&gt;="&amp;$S8,Blends!$C:$C,"&lt;"&amp;$S9)</f>
        <v>#N/A</v>
      </c>
      <c r="W8" s="172" t="str">
        <f t="shared" ref="W8:W17" si="9">SUM(T8:V8)</f>
        <v>#N/A</v>
      </c>
      <c r="X8" s="172" t="str">
        <f t="shared" ref="X8:X17" si="10">X7+W8</f>
        <v>#N/A</v>
      </c>
      <c r="Y8" s="378"/>
      <c r="Z8" s="82"/>
      <c r="AA8" s="334">
        <v>-1.0</v>
      </c>
      <c r="AB8" s="335">
        <f t="shared" si="3"/>
        <v>45481</v>
      </c>
      <c r="AC8" s="8">
        <f>SUMIFS('Injection Forecast'!$F:$F,'Injection Forecast'!$G:$G,"="&amp;AC$3,'Injection Forecast'!$C:$C,"&gt;="&amp;$AB8,'Injection Forecast'!$C:$C,"&lt;"&amp;$AB9)</f>
        <v>85.536</v>
      </c>
      <c r="AD8" s="8">
        <f>SUMIFS('Injection Forecast'!$F:$F,'Injection Forecast'!$G:$G,"="&amp;AD$3,'Injection Forecast'!$C:$C,"&gt;="&amp;$AB8,'Injection Forecast'!$C:$C,"&lt;"&amp;$AB9)</f>
        <v>0</v>
      </c>
      <c r="AE8" s="8">
        <f>SUMIFS('Injection Forecast'!$D:$D,'Injection Forecast'!$G:$G,"="&amp;V$3,'Injection Forecast'!$C:$C,"&gt;="&amp;$AB8,'Injection Forecast'!$C:$C,"&lt;"&amp;$AB9)</f>
        <v>0</v>
      </c>
      <c r="AF8" s="8">
        <f t="shared" si="4"/>
        <v>85.536</v>
      </c>
      <c r="AG8" s="8">
        <f t="shared" si="6"/>
        <v>618.1204302</v>
      </c>
    </row>
    <row r="9">
      <c r="A9" s="334">
        <v>0.0</v>
      </c>
      <c r="B9" s="338">
        <v>45432.0</v>
      </c>
      <c r="C9" s="8" t="str">
        <f>SUMIFS(Loads!$AJ:$AJ,#REF!,"="&amp;C$3,#REF!,"&gt;"&amp;$B8,#REF!,"&lt;="&amp;$B9)</f>
        <v>#VALUE!</v>
      </c>
      <c r="D9" s="8" t="str">
        <f>SUMIFS(Loads!$AJ:$AJ,#REF!,"="&amp;D$3,#REF!,"&gt;"&amp;$B8,#REF!,"&lt;="&amp;$B9)</f>
        <v>#VALUE!</v>
      </c>
      <c r="E9" s="8" t="str">
        <f>SUMIFS(Loads!$AJ:$AJ,#REF!,"="&amp;E$3,#REF!,"&gt;"&amp;$B8,#REF!,"&lt;="&amp;$B9)</f>
        <v>#VALUE!</v>
      </c>
      <c r="F9" s="8" t="str">
        <f>SUMIFS(Loads!$AJ:$AJ,#REF!,"="&amp;F$3,#REF!,"&gt;"&amp;$B8,#REF!,"&lt;="&amp;$B9)</f>
        <v>#VALUE!</v>
      </c>
      <c r="G9" s="8" t="str">
        <f t="shared" si="2"/>
        <v>#VALUE!</v>
      </c>
      <c r="H9" s="8" t="str">
        <f t="shared" si="5"/>
        <v>#VALUE!</v>
      </c>
      <c r="J9" s="336">
        <v>45412.0</v>
      </c>
      <c r="K9" s="8" t="str">
        <f>SUMIFS(Loads!$AJ:$AJ,#REF!,"="&amp;K$3,#REF!,"&gt;"&amp;$J8,#REF!,"&lt;="&amp;$J9)</f>
        <v>#VALUE!</v>
      </c>
      <c r="L9" s="8" t="str">
        <f>SUMIFS(Loads!$AJ:$AJ,#REF!,"="&amp;L$3,#REF!,"&gt;"&amp;$J8,#REF!,"&lt;="&amp;$J9)</f>
        <v>#VALUE!</v>
      </c>
      <c r="M9" s="8" t="str">
        <f>SUMIFS(Loads!$AJ:$AJ,#REF!,"="&amp;M$3,#REF!,"&gt;"&amp;$J8,#REF!,"&lt;="&amp;$J9)</f>
        <v>#VALUE!</v>
      </c>
      <c r="N9" s="8" t="str">
        <f>SUMIFS(Loads!$AJ:$AJ,#REF!,"="&amp;N$3,#REF!,"&gt;"&amp;$J8,#REF!,"&lt;="&amp;$J9)</f>
        <v>#VALUE!</v>
      </c>
      <c r="O9" s="172" t="str">
        <f t="shared" si="7"/>
        <v>#VALUE!</v>
      </c>
      <c r="P9" s="172" t="str">
        <f t="shared" si="8"/>
        <v>#VALUE!</v>
      </c>
      <c r="Q9" s="484"/>
      <c r="R9" s="337"/>
      <c r="S9" s="336">
        <v>45383.0</v>
      </c>
      <c r="T9" s="8">
        <f>SUMIFS('Injection Forecast'!$F:$F,'Injection Forecast'!$G:$G,"="&amp;T$3,'Injection Forecast'!$C:$C,"&gt;="&amp;$S9,'Injection Forecast'!$C:$C,"&lt;"&amp;$S10)</f>
        <v>0</v>
      </c>
      <c r="U9" s="8" t="str">
        <f>SUMIFS(#REF!,Blends!$G:$G,"="&amp;U$3, Blends!$C:$C,"&gt;="&amp;$S9,Blends!$C:$C,"&lt;"&amp;$S10)</f>
        <v>#N/A</v>
      </c>
      <c r="V9" s="8" t="str">
        <f>SUMIFS(#REF!,Blends!$G:$G,"="&amp;V$3, Blends!$C:$C,"&gt;="&amp;$S9,Blends!$C:$C,"&lt;"&amp;$S10)</f>
        <v>#N/A</v>
      </c>
      <c r="W9" s="172" t="str">
        <f t="shared" si="9"/>
        <v>#N/A</v>
      </c>
      <c r="X9" s="172" t="str">
        <f t="shared" si="10"/>
        <v>#N/A</v>
      </c>
      <c r="Y9" s="378"/>
      <c r="Z9" s="82"/>
      <c r="AA9" s="334">
        <v>0.0</v>
      </c>
      <c r="AB9" s="338">
        <v>45488.0</v>
      </c>
      <c r="AC9" s="8">
        <f>SUMIFS('Injection Forecast'!$F:$F,'Injection Forecast'!$G:$G,"="&amp;AC$3,'Injection Forecast'!$C:$C,"&gt;="&amp;$AB9,'Injection Forecast'!$C:$C,"&lt;"&amp;$AB10)</f>
        <v>171.072</v>
      </c>
      <c r="AD9" s="8">
        <f>SUMIFS('Injection Forecast'!$F:$F,'Injection Forecast'!$G:$G,"="&amp;AD$3,'Injection Forecast'!$C:$C,"&gt;="&amp;$AB9,'Injection Forecast'!$C:$C,"&lt;"&amp;$AB10)</f>
        <v>0</v>
      </c>
      <c r="AE9" s="8">
        <f>SUMIFS('Injection Forecast'!$D:$D,'Injection Forecast'!$G:$G,"="&amp;V$3,'Injection Forecast'!$C:$C,"&gt;="&amp;$AB9,'Injection Forecast'!$C:$C,"&lt;"&amp;$AB10)</f>
        <v>0</v>
      </c>
      <c r="AF9" s="8">
        <f t="shared" si="4"/>
        <v>171.072</v>
      </c>
      <c r="AG9" s="8">
        <f t="shared" si="6"/>
        <v>789.1924302</v>
      </c>
    </row>
    <row r="10">
      <c r="A10" s="334">
        <v>1.0</v>
      </c>
      <c r="B10" s="335">
        <f t="shared" ref="B10:B46" si="11">$B$9+(7*A10)</f>
        <v>45439</v>
      </c>
      <c r="C10" s="8" t="str">
        <f>SUMIFS(Loads!$AJ:$AJ,#REF!,"="&amp;C$3,#REF!,"&gt;"&amp;$B9,#REF!,"&lt;="&amp;$B10)</f>
        <v>#VALUE!</v>
      </c>
      <c r="D10" s="8" t="str">
        <f>SUMIFS(Loads!$AJ:$AJ,#REF!,"="&amp;D$3,#REF!,"&gt;"&amp;$B9,#REF!,"&lt;="&amp;$B10)</f>
        <v>#VALUE!</v>
      </c>
      <c r="E10" s="8" t="str">
        <f>SUMIFS(Loads!$AJ:$AJ,#REF!,"="&amp;E$3,#REF!,"&gt;"&amp;$B9,#REF!,"&lt;="&amp;$B10)</f>
        <v>#VALUE!</v>
      </c>
      <c r="F10" s="8" t="str">
        <f>SUMIFS(Loads!$AJ:$AJ,#REF!,"="&amp;F$3,#REF!,"&gt;"&amp;$B9,#REF!,"&lt;="&amp;$B10)</f>
        <v>#VALUE!</v>
      </c>
      <c r="G10" s="8" t="str">
        <f t="shared" si="2"/>
        <v>#VALUE!</v>
      </c>
      <c r="H10" s="8" t="str">
        <f t="shared" si="5"/>
        <v>#VALUE!</v>
      </c>
      <c r="J10" s="336">
        <v>45443.0</v>
      </c>
      <c r="K10" s="8" t="str">
        <f>SUMIFS(Loads!$AJ:$AJ,#REF!,"="&amp;K$3,#REF!,"&gt;"&amp;$J9,#REF!,"&lt;="&amp;$J10)</f>
        <v>#VALUE!</v>
      </c>
      <c r="L10" s="8" t="str">
        <f>SUMIFS(Loads!$AJ:$AJ,#REF!,"="&amp;L$3,#REF!,"&gt;"&amp;$J9,#REF!,"&lt;="&amp;$J10)</f>
        <v>#VALUE!</v>
      </c>
      <c r="M10" s="8" t="str">
        <f>SUMIFS(Loads!$AJ:$AJ,#REF!,"="&amp;M$3,#REF!,"&gt;"&amp;$J9,#REF!,"&lt;="&amp;$J10)</f>
        <v>#VALUE!</v>
      </c>
      <c r="N10" s="8" t="str">
        <f>SUMIFS(Loads!$AJ:$AJ,#REF!,"="&amp;N$3,#REF!,"&gt;"&amp;$J9,#REF!,"&lt;="&amp;$J10)</f>
        <v>#VALUE!</v>
      </c>
      <c r="O10" s="172" t="str">
        <f t="shared" si="7"/>
        <v>#VALUE!</v>
      </c>
      <c r="P10" s="172" t="str">
        <f t="shared" si="8"/>
        <v>#VALUE!</v>
      </c>
      <c r="Q10" s="484"/>
      <c r="R10" s="337"/>
      <c r="S10" s="336">
        <v>45413.0</v>
      </c>
      <c r="T10" s="8">
        <f>SUMIFS('Injection Forecast'!$F:$F,'Injection Forecast'!$G:$G,"="&amp;T$3,'Injection Forecast'!$C:$C,"&gt;="&amp;$S10,'Injection Forecast'!$C:$C,"&lt;"&amp;$S11)</f>
        <v>0</v>
      </c>
      <c r="U10" s="8" t="str">
        <f>SUMIFS(#REF!,Blends!$G:$G,"="&amp;U$3, Blends!$C:$C,"&gt;="&amp;$S10,Blends!$C:$C,"&lt;"&amp;$S11)</f>
        <v>#N/A</v>
      </c>
      <c r="V10" s="8" t="str">
        <f>SUMIFS(#REF!,Blends!$G:$G,"="&amp;V$3, Blends!$C:$C,"&gt;="&amp;$S10,Blends!$C:$C,"&lt;"&amp;$S11)</f>
        <v>#N/A</v>
      </c>
      <c r="W10" s="172" t="str">
        <f t="shared" si="9"/>
        <v>#N/A</v>
      </c>
      <c r="X10" s="172" t="str">
        <f t="shared" si="10"/>
        <v>#N/A</v>
      </c>
      <c r="AA10" s="334">
        <v>1.0</v>
      </c>
      <c r="AB10" s="335">
        <f t="shared" ref="AB10:AB22" si="12">$AB$9+(7*AA10)</f>
        <v>45495</v>
      </c>
      <c r="AC10" s="8">
        <f>SUMIFS('Injection Forecast'!$F:$F,'Injection Forecast'!$G:$G,"="&amp;AC$3,'Injection Forecast'!$C:$C,"&gt;="&amp;$AB10,'Injection Forecast'!$C:$C,"&lt;"&amp;$AB11)</f>
        <v>171.072</v>
      </c>
      <c r="AD10" s="8">
        <f>SUMIFS('Injection Forecast'!$F:$F,'Injection Forecast'!$G:$G,"="&amp;AD$3,'Injection Forecast'!$C:$C,"&gt;="&amp;$AB10,'Injection Forecast'!$C:$C,"&lt;"&amp;$AB11)</f>
        <v>0</v>
      </c>
      <c r="AE10" s="8">
        <f>SUMIFS('Injection Forecast'!$D:$D,'Injection Forecast'!$G:$G,"="&amp;V$3,'Injection Forecast'!$C:$C,"&gt;="&amp;$AB10,'Injection Forecast'!$C:$C,"&lt;"&amp;$AB11)</f>
        <v>0</v>
      </c>
      <c r="AF10" s="8">
        <f t="shared" si="4"/>
        <v>171.072</v>
      </c>
      <c r="AG10" s="8">
        <f t="shared" si="6"/>
        <v>960.2644302</v>
      </c>
      <c r="AH10" s="90">
        <f>(180/7)*30.4*4</f>
        <v>3126.857143</v>
      </c>
      <c r="AI10" s="382">
        <f>AH10+AG9</f>
        <v>3916.049573</v>
      </c>
    </row>
    <row r="11">
      <c r="A11" s="334">
        <v>2.0</v>
      </c>
      <c r="B11" s="335">
        <f t="shared" si="11"/>
        <v>45446</v>
      </c>
      <c r="C11" s="8" t="str">
        <f>SUMIFS(Loads!$AJ:$AJ,#REF!,"="&amp;C$3,#REF!,"&gt;"&amp;$B10,#REF!,"&lt;="&amp;$B11)</f>
        <v>#VALUE!</v>
      </c>
      <c r="D11" s="8" t="str">
        <f>SUMIFS(Loads!$AJ:$AJ,#REF!,"="&amp;D$3,#REF!,"&gt;"&amp;$B10,#REF!,"&lt;="&amp;$B11)</f>
        <v>#VALUE!</v>
      </c>
      <c r="E11" s="8" t="str">
        <f>SUMIFS(Loads!$AJ:$AJ,#REF!,"="&amp;E$3,#REF!,"&gt;"&amp;$B10,#REF!,"&lt;="&amp;$B11)</f>
        <v>#VALUE!</v>
      </c>
      <c r="F11" s="8" t="str">
        <f>SUMIFS(Loads!$AJ:$AJ,#REF!,"="&amp;F$3,#REF!,"&gt;"&amp;$B10,#REF!,"&lt;="&amp;$B11)</f>
        <v>#VALUE!</v>
      </c>
      <c r="G11" s="8" t="str">
        <f t="shared" si="2"/>
        <v>#VALUE!</v>
      </c>
      <c r="H11" s="8" t="str">
        <f t="shared" si="5"/>
        <v>#VALUE!</v>
      </c>
      <c r="J11" s="336">
        <v>45473.0</v>
      </c>
      <c r="K11" s="8" t="str">
        <f>SUMIFS(Loads!$AJ:$AJ,#REF!,"="&amp;K$3,#REF!,"&gt;"&amp;$J10,#REF!,"&lt;="&amp;$J11)</f>
        <v>#VALUE!</v>
      </c>
      <c r="L11" s="8" t="str">
        <f>SUMIFS(Loads!$AJ:$AJ,#REF!,"="&amp;L$3,#REF!,"&gt;"&amp;$J10,#REF!,"&lt;="&amp;$J11)</f>
        <v>#VALUE!</v>
      </c>
      <c r="M11" s="8" t="str">
        <f>SUMIFS(Loads!$AJ:$AJ,#REF!,"="&amp;M$3,#REF!,"&gt;"&amp;$J10,#REF!,"&lt;="&amp;$J11)</f>
        <v>#VALUE!</v>
      </c>
      <c r="N11" s="8" t="str">
        <f>SUMIFS(Loads!$AJ:$AJ,#REF!,"="&amp;N$3,#REF!,"&gt;"&amp;$J10,#REF!,"&lt;="&amp;$J11)</f>
        <v>#VALUE!</v>
      </c>
      <c r="O11" s="172" t="str">
        <f t="shared" si="7"/>
        <v>#VALUE!</v>
      </c>
      <c r="P11" s="172" t="str">
        <f t="shared" si="8"/>
        <v>#VALUE!</v>
      </c>
      <c r="Q11" s="484"/>
      <c r="R11" s="337"/>
      <c r="S11" s="336">
        <v>45444.0</v>
      </c>
      <c r="T11" s="8">
        <f>SUMIFS('Injection Forecast'!$F:$F,'Injection Forecast'!$G:$G,"="&amp;T$3,'Injection Forecast'!$C:$C,"&gt;="&amp;$S11,'Injection Forecast'!$C:$C,"&lt;"&amp;$S12)</f>
        <v>0</v>
      </c>
      <c r="U11" s="8" t="str">
        <f>SUMIFS(#REF!,Blends!$G:$G,"="&amp;U$3, Blends!$C:$C,"&gt;="&amp;$S11,Blends!$C:$C,"&lt;"&amp;$S12)</f>
        <v>#N/A</v>
      </c>
      <c r="V11" s="8" t="str">
        <f>SUMIFS(#REF!,Blends!$G:$G,"="&amp;V$3, Blends!$C:$C,"&gt;="&amp;$S11,Blends!$C:$C,"&lt;"&amp;$S12)</f>
        <v>#N/A</v>
      </c>
      <c r="W11" s="172" t="str">
        <f t="shared" si="9"/>
        <v>#N/A</v>
      </c>
      <c r="X11" s="172" t="str">
        <f t="shared" si="10"/>
        <v>#N/A</v>
      </c>
      <c r="Y11" s="172"/>
      <c r="AA11" s="334">
        <v>2.0</v>
      </c>
      <c r="AB11" s="335">
        <f t="shared" si="12"/>
        <v>45502</v>
      </c>
      <c r="AC11" s="8">
        <f>SUMIFS('Injection Forecast'!$F:$F,'Injection Forecast'!$G:$G,"="&amp;AC$3,'Injection Forecast'!$C:$C,"&gt;="&amp;$AB11,'Injection Forecast'!$C:$C,"&lt;"&amp;$AB12)</f>
        <v>85.536</v>
      </c>
      <c r="AD11" s="8">
        <f>SUMIFS('Injection Forecast'!$F:$F,'Injection Forecast'!$G:$G,"="&amp;AD$3,'Injection Forecast'!$C:$C,"&gt;="&amp;$AB11,'Injection Forecast'!$C:$C,"&lt;"&amp;$AB12)</f>
        <v>0</v>
      </c>
      <c r="AE11" s="8">
        <f>SUMIFS('Injection Forecast'!$D:$D,'Injection Forecast'!$G:$G,"="&amp;V$3,'Injection Forecast'!$C:$C,"&gt;="&amp;$AB11,'Injection Forecast'!$C:$C,"&lt;"&amp;$AB12)</f>
        <v>0</v>
      </c>
      <c r="AF11" s="8">
        <f t="shared" si="4"/>
        <v>85.536</v>
      </c>
      <c r="AG11" s="8">
        <f t="shared" si="6"/>
        <v>1045.80043</v>
      </c>
    </row>
    <row r="12">
      <c r="A12" s="334">
        <v>3.0</v>
      </c>
      <c r="B12" s="335">
        <f t="shared" si="11"/>
        <v>45453</v>
      </c>
      <c r="C12" s="8" t="str">
        <f>SUMIFS(Loads!$AJ:$AJ,#REF!,"="&amp;C$3,#REF!,"&gt;"&amp;$B11,#REF!,"&lt;="&amp;$B12)</f>
        <v>#VALUE!</v>
      </c>
      <c r="D12" s="8" t="str">
        <f>SUMIFS(Loads!$AJ:$AJ,#REF!,"="&amp;D$3,#REF!,"&gt;"&amp;$B11,#REF!,"&lt;="&amp;$B12)</f>
        <v>#VALUE!</v>
      </c>
      <c r="E12" s="8" t="str">
        <f>SUMIFS(Loads!$AJ:$AJ,#REF!,"="&amp;E$3,#REF!,"&gt;"&amp;$B11,#REF!,"&lt;="&amp;$B12)</f>
        <v>#VALUE!</v>
      </c>
      <c r="F12" s="8" t="str">
        <f>SUMIFS(Loads!$AJ:$AJ,#REF!,"="&amp;F$3,#REF!,"&gt;"&amp;$B11,#REF!,"&lt;="&amp;$B12)</f>
        <v>#VALUE!</v>
      </c>
      <c r="G12" s="8" t="str">
        <f t="shared" si="2"/>
        <v>#VALUE!</v>
      </c>
      <c r="H12" s="8" t="str">
        <f t="shared" si="5"/>
        <v>#VALUE!</v>
      </c>
      <c r="J12" s="336">
        <v>45504.0</v>
      </c>
      <c r="K12" s="8" t="str">
        <f>SUMIFS(Loads!$AJ:$AJ,#REF!,"="&amp;K$3,#REF!,"&gt;"&amp;$J11,#REF!,"&lt;="&amp;$J12)</f>
        <v>#VALUE!</v>
      </c>
      <c r="L12" s="8" t="str">
        <f>SUMIFS(Loads!$AJ:$AJ,#REF!,"="&amp;L$3,#REF!,"&gt;"&amp;$J11,#REF!,"&lt;="&amp;$J12)</f>
        <v>#VALUE!</v>
      </c>
      <c r="M12" s="8" t="str">
        <f>SUMIFS(Loads!$AJ:$AJ,#REF!,"="&amp;M$3,#REF!,"&gt;"&amp;$J11,#REF!,"&lt;="&amp;$J12)</f>
        <v>#VALUE!</v>
      </c>
      <c r="N12" s="8" t="str">
        <f>SUMIFS(Loads!$AJ:$AJ,#REF!,"="&amp;N$3,#REF!,"&gt;"&amp;$J11,#REF!,"&lt;="&amp;$J12)</f>
        <v>#VALUE!</v>
      </c>
      <c r="O12" s="172" t="str">
        <f t="shared" si="7"/>
        <v>#VALUE!</v>
      </c>
      <c r="P12" s="172" t="str">
        <f t="shared" si="8"/>
        <v>#VALUE!</v>
      </c>
      <c r="Q12" s="482"/>
      <c r="R12" s="337"/>
      <c r="S12" s="336">
        <v>45474.0</v>
      </c>
      <c r="T12" s="8">
        <f>SUMIFS('Injection Forecast'!$F:$F,'Injection Forecast'!$G:$G,"="&amp;T$3,'Injection Forecast'!$C:$C,"&gt;="&amp;$S12,'Injection Forecast'!$C:$C,"&lt;"&amp;$S13)</f>
        <v>541.728</v>
      </c>
      <c r="U12" s="8" t="str">
        <f>SUMIFS(#REF!,Blends!$G:$G,"="&amp;U$3, Blends!$C:$C,"&gt;="&amp;$S12,Blends!$C:$C,"&lt;"&amp;$S13)</f>
        <v>#N/A</v>
      </c>
      <c r="V12" s="8" t="str">
        <f>SUMIFS(#REF!,Blends!$G:$G,"="&amp;V$3, Blends!$C:$C,"&gt;="&amp;$S12,Blends!$C:$C,"&lt;"&amp;$S13)</f>
        <v>#N/A</v>
      </c>
      <c r="W12" s="172" t="str">
        <f t="shared" si="9"/>
        <v>#N/A</v>
      </c>
      <c r="X12" s="172" t="str">
        <f t="shared" si="10"/>
        <v>#N/A</v>
      </c>
      <c r="AA12" s="334">
        <v>3.0</v>
      </c>
      <c r="AB12" s="335">
        <f t="shared" si="12"/>
        <v>45509</v>
      </c>
      <c r="AC12" s="8">
        <f>SUMIFS('Injection Forecast'!$F:$F,'Injection Forecast'!$G:$G,"="&amp;AC$3,'Injection Forecast'!$C:$C,"&gt;="&amp;$AB12,'Injection Forecast'!$C:$C,"&lt;"&amp;$AB13)</f>
        <v>0</v>
      </c>
      <c r="AD12" s="8">
        <f>SUMIFS('Injection Forecast'!$F:$F,'Injection Forecast'!$G:$G,"="&amp;AD$3,'Injection Forecast'!$C:$C,"&gt;="&amp;$AB12,'Injection Forecast'!$C:$C,"&lt;"&amp;$AB13)</f>
        <v>0</v>
      </c>
      <c r="AE12" s="8">
        <f>SUMIFS('Injection Forecast'!$D:$D,'Injection Forecast'!$G:$G,"="&amp;V$3,'Injection Forecast'!$C:$C,"&gt;="&amp;$AB12,'Injection Forecast'!$C:$C,"&lt;"&amp;$AB13)</f>
        <v>0</v>
      </c>
      <c r="AF12" s="8">
        <f t="shared" si="4"/>
        <v>0</v>
      </c>
      <c r="AG12" s="8">
        <f t="shared" si="6"/>
        <v>1045.80043</v>
      </c>
    </row>
    <row r="13">
      <c r="A13" s="334">
        <v>4.0</v>
      </c>
      <c r="B13" s="335">
        <f t="shared" si="11"/>
        <v>45460</v>
      </c>
      <c r="C13" s="8" t="str">
        <f>SUMIFS(Loads!$AJ:$AJ,#REF!,"="&amp;C$3,#REF!,"&gt;"&amp;$B12,#REF!,"&lt;="&amp;$B13)</f>
        <v>#VALUE!</v>
      </c>
      <c r="D13" s="8" t="str">
        <f>SUMIFS(Loads!$AJ:$AJ,#REF!,"="&amp;D$3,#REF!,"&gt;"&amp;$B12,#REF!,"&lt;="&amp;$B13)</f>
        <v>#VALUE!</v>
      </c>
      <c r="E13" s="8" t="str">
        <f>SUMIFS(Loads!$AJ:$AJ,#REF!,"="&amp;E$3,#REF!,"&gt;"&amp;$B12,#REF!,"&lt;="&amp;$B13)</f>
        <v>#VALUE!</v>
      </c>
      <c r="F13" s="8" t="str">
        <f>SUMIFS(Loads!$AJ:$AJ,#REF!,"="&amp;F$3,#REF!,"&gt;"&amp;$B12,#REF!,"&lt;="&amp;$B13)</f>
        <v>#VALUE!</v>
      </c>
      <c r="G13" s="8" t="str">
        <f t="shared" si="2"/>
        <v>#VALUE!</v>
      </c>
      <c r="H13" s="8" t="str">
        <f t="shared" si="5"/>
        <v>#VALUE!</v>
      </c>
      <c r="J13" s="336">
        <v>45535.0</v>
      </c>
      <c r="K13" s="8" t="str">
        <f>SUMIFS(Loads!$AJ:$AJ,#REF!,"="&amp;K$3,#REF!,"&gt;"&amp;$J12,#REF!,"&lt;="&amp;$J13)</f>
        <v>#VALUE!</v>
      </c>
      <c r="L13" s="8" t="str">
        <f>SUMIFS(Loads!$AJ:$AJ,#REF!,"="&amp;L$3,#REF!,"&gt;"&amp;$J12,#REF!,"&lt;="&amp;$J13)</f>
        <v>#VALUE!</v>
      </c>
      <c r="M13" s="8" t="str">
        <f>SUMIFS(Loads!$AJ:$AJ,#REF!,"="&amp;M$3,#REF!,"&gt;"&amp;$J12,#REF!,"&lt;="&amp;$J13)</f>
        <v>#VALUE!</v>
      </c>
      <c r="N13" s="8" t="str">
        <f>SUMIFS(Loads!$AJ:$AJ,#REF!,"="&amp;N$3,#REF!,"&gt;"&amp;$J12,#REF!,"&lt;="&amp;$J13)</f>
        <v>#VALUE!</v>
      </c>
      <c r="O13" s="172" t="str">
        <f t="shared" si="7"/>
        <v>#VALUE!</v>
      </c>
      <c r="P13" s="172" t="str">
        <f t="shared" si="8"/>
        <v>#VALUE!</v>
      </c>
      <c r="Q13" s="482"/>
      <c r="R13" s="337"/>
      <c r="S13" s="336">
        <v>45505.0</v>
      </c>
      <c r="T13" s="485">
        <f t="shared" ref="T13:T17" si="13">DAYS(S14,S13)*28.8*0.99*0.75</f>
        <v>662.904</v>
      </c>
      <c r="U13" s="8" t="str">
        <f>SUMIFS(#REF!,Blends!$G:$G,"="&amp;U$3, Blends!$C:$C,"&gt;="&amp;$S13,Blends!$C:$C,"&lt;"&amp;$S14)</f>
        <v>#N/A</v>
      </c>
      <c r="V13" s="8" t="str">
        <f>SUMIFS(#REF!,Blends!$G:$G,"="&amp;V$3, Blends!$C:$C,"&gt;="&amp;$S13,Blends!$C:$C,"&lt;"&amp;$S14)</f>
        <v>#N/A</v>
      </c>
      <c r="W13" s="172" t="str">
        <f t="shared" si="9"/>
        <v>#N/A</v>
      </c>
      <c r="X13" s="172" t="str">
        <f t="shared" si="10"/>
        <v>#N/A</v>
      </c>
      <c r="AA13" s="334">
        <v>4.0</v>
      </c>
      <c r="AB13" s="335">
        <f t="shared" si="12"/>
        <v>45516</v>
      </c>
      <c r="AC13" s="8">
        <f>SUMIFS('Injection Forecast'!$F:$F,'Injection Forecast'!$G:$G,"="&amp;AC$3,'Injection Forecast'!$C:$C,"&gt;="&amp;$AB13,'Injection Forecast'!$C:$C,"&lt;"&amp;$AB14)</f>
        <v>0</v>
      </c>
      <c r="AD13" s="8">
        <f>SUMIFS('Injection Forecast'!$F:$F,'Injection Forecast'!$G:$G,"="&amp;AD$3,'Injection Forecast'!$C:$C,"&gt;="&amp;$AB13,'Injection Forecast'!$C:$C,"&lt;"&amp;$AB14)</f>
        <v>0</v>
      </c>
      <c r="AE13" s="8">
        <f>SUMIFS('Injection Forecast'!$D:$D,'Injection Forecast'!$G:$G,"="&amp;V$3,'Injection Forecast'!$C:$C,"&gt;="&amp;$AB13,'Injection Forecast'!$C:$C,"&lt;"&amp;$AB14)</f>
        <v>0</v>
      </c>
      <c r="AF13" s="8">
        <f t="shared" si="4"/>
        <v>0</v>
      </c>
      <c r="AG13" s="8">
        <f t="shared" si="6"/>
        <v>1045.80043</v>
      </c>
    </row>
    <row r="14">
      <c r="A14" s="334">
        <v>5.0</v>
      </c>
      <c r="B14" s="335">
        <f t="shared" si="11"/>
        <v>45467</v>
      </c>
      <c r="C14" s="8" t="str">
        <f>SUMIFS(Loads!$AJ:$AJ,#REF!,"="&amp;C$3,#REF!,"&gt;"&amp;$B13,#REF!,"&lt;="&amp;$B14)</f>
        <v>#VALUE!</v>
      </c>
      <c r="D14" s="8" t="str">
        <f>SUMIFS(Loads!$AJ:$AJ,#REF!,"="&amp;D$3,#REF!,"&gt;"&amp;$B13,#REF!,"&lt;="&amp;$B14)</f>
        <v>#VALUE!</v>
      </c>
      <c r="E14" s="8" t="str">
        <f>SUMIFS(Loads!$AJ:$AJ,#REF!,"="&amp;E$3,#REF!,"&gt;"&amp;$B13,#REF!,"&lt;="&amp;$B14)</f>
        <v>#VALUE!</v>
      </c>
      <c r="F14" s="8" t="str">
        <f>SUMIFS(Loads!$AJ:$AJ,#REF!,"="&amp;F$3,#REF!,"&gt;"&amp;$B13,#REF!,"&lt;="&amp;$B14)</f>
        <v>#VALUE!</v>
      </c>
      <c r="G14" s="8" t="str">
        <f t="shared" si="2"/>
        <v>#VALUE!</v>
      </c>
      <c r="H14" s="8" t="str">
        <f t="shared" si="5"/>
        <v>#VALUE!</v>
      </c>
      <c r="J14" s="336">
        <v>45565.0</v>
      </c>
      <c r="K14" s="8" t="str">
        <f>SUMIFS(Loads!$AJ:$AJ,#REF!,"="&amp;K$3,#REF!,"&gt;"&amp;$J13,#REF!,"&lt;="&amp;$J14)</f>
        <v>#VALUE!</v>
      </c>
      <c r="L14" s="8" t="str">
        <f>SUMIFS(Loads!$AJ:$AJ,#REF!,"="&amp;L$3,#REF!,"&gt;"&amp;$J13,#REF!,"&lt;="&amp;$J14)</f>
        <v>#VALUE!</v>
      </c>
      <c r="M14" s="8" t="str">
        <f>SUMIFS(Loads!$AJ:$AJ,#REF!,"="&amp;M$3,#REF!,"&gt;"&amp;$J13,#REF!,"&lt;="&amp;$J14)</f>
        <v>#VALUE!</v>
      </c>
      <c r="N14" s="8" t="str">
        <f>SUMIFS(Loads!$AJ:$AJ,#REF!,"="&amp;N$3,#REF!,"&gt;"&amp;$J13,#REF!,"&lt;="&amp;$J14)</f>
        <v>#VALUE!</v>
      </c>
      <c r="O14" s="172" t="str">
        <f t="shared" si="7"/>
        <v>#VALUE!</v>
      </c>
      <c r="P14" s="172" t="str">
        <f t="shared" si="8"/>
        <v>#VALUE!</v>
      </c>
      <c r="Q14" s="482"/>
      <c r="R14" s="337"/>
      <c r="S14" s="336">
        <v>45536.0</v>
      </c>
      <c r="T14" s="485">
        <f t="shared" si="13"/>
        <v>641.52</v>
      </c>
      <c r="U14" s="8" t="str">
        <f>SUMIFS(#REF!,Blends!$G:$G,"="&amp;U$3, Blends!$C:$C,"&gt;="&amp;$S14,Blends!$C:$C,"&lt;"&amp;$S15)</f>
        <v>#N/A</v>
      </c>
      <c r="V14" s="8" t="str">
        <f>SUMIFS(#REF!,Blends!$G:$G,"="&amp;V$3, Blends!$C:$C,"&gt;="&amp;$S14,Blends!$C:$C,"&lt;"&amp;$S15)</f>
        <v>#N/A</v>
      </c>
      <c r="W14" s="172" t="str">
        <f t="shared" si="9"/>
        <v>#N/A</v>
      </c>
      <c r="X14" s="172" t="str">
        <f t="shared" si="10"/>
        <v>#N/A</v>
      </c>
      <c r="AA14" s="334">
        <v>5.0</v>
      </c>
      <c r="AB14" s="335">
        <f t="shared" si="12"/>
        <v>45523</v>
      </c>
      <c r="AC14" s="485">
        <f t="shared" ref="AC14:AC21" si="14">DAYS(AB15, AB14)*28.8*0.99*0.75</f>
        <v>149.688</v>
      </c>
      <c r="AD14" s="8">
        <f>SUMIFS('Injection Forecast'!$F:$F,'Injection Forecast'!$G:$G,"="&amp;AD$3,'Injection Forecast'!$C:$C,"&gt;="&amp;$AB14,'Injection Forecast'!$C:$C,"&lt;"&amp;$AB15)</f>
        <v>0</v>
      </c>
      <c r="AE14" s="8">
        <f>SUMIFS('Injection Forecast'!$D:$D,'Injection Forecast'!$G:$G,"="&amp;V$3,'Injection Forecast'!$C:$C,"&gt;="&amp;$AB14,'Injection Forecast'!$C:$C,"&lt;"&amp;$AB15)</f>
        <v>0</v>
      </c>
      <c r="AF14" s="8">
        <f t="shared" si="4"/>
        <v>149.688</v>
      </c>
      <c r="AG14" s="8">
        <f t="shared" si="6"/>
        <v>1195.48843</v>
      </c>
    </row>
    <row r="15">
      <c r="A15" s="334">
        <v>6.0</v>
      </c>
      <c r="B15" s="335">
        <f t="shared" si="11"/>
        <v>45474</v>
      </c>
      <c r="C15" s="8" t="str">
        <f>SUMIFS(Loads!$AJ:$AJ,#REF!,"="&amp;C$3,#REF!,"&gt;"&amp;$B14,#REF!,"&lt;="&amp;$B15)</f>
        <v>#VALUE!</v>
      </c>
      <c r="D15" s="8" t="str">
        <f>SUMIFS(Loads!$AJ:$AJ,#REF!,"="&amp;D$3,#REF!,"&gt;"&amp;$B14,#REF!,"&lt;="&amp;$B15)</f>
        <v>#VALUE!</v>
      </c>
      <c r="E15" s="8" t="str">
        <f>SUMIFS(Loads!$AJ:$AJ,#REF!,"="&amp;E$3,#REF!,"&gt;"&amp;$B14,#REF!,"&lt;="&amp;$B15)</f>
        <v>#VALUE!</v>
      </c>
      <c r="F15" s="8" t="str">
        <f>SUMIFS(Loads!$AJ:$AJ,#REF!,"="&amp;F$3,#REF!,"&gt;"&amp;$B14,#REF!,"&lt;="&amp;$B15)</f>
        <v>#VALUE!</v>
      </c>
      <c r="G15" s="8" t="str">
        <f t="shared" si="2"/>
        <v>#VALUE!</v>
      </c>
      <c r="H15" s="8" t="str">
        <f t="shared" si="5"/>
        <v>#VALUE!</v>
      </c>
      <c r="J15" s="336">
        <v>45596.0</v>
      </c>
      <c r="K15" s="8" t="str">
        <f>SUMIFS(Loads!$AJ:$AJ,#REF!,"="&amp;K$3,#REF!,"&gt;"&amp;$J14,#REF!,"&lt;="&amp;$J15)</f>
        <v>#VALUE!</v>
      </c>
      <c r="L15" s="8" t="str">
        <f>SUMIFS(Loads!$AJ:$AJ,#REF!,"="&amp;L$3,#REF!,"&gt;"&amp;$J14,#REF!,"&lt;="&amp;$J15)</f>
        <v>#VALUE!</v>
      </c>
      <c r="M15" s="8" t="str">
        <f>SUMIFS(Loads!$AJ:$AJ,#REF!,"="&amp;M$3,#REF!,"&gt;"&amp;$J14,#REF!,"&lt;="&amp;$J15)</f>
        <v>#VALUE!</v>
      </c>
      <c r="N15" s="8" t="str">
        <f>SUMIFS(Loads!$AJ:$AJ,#REF!,"="&amp;N$3,#REF!,"&gt;"&amp;$J14,#REF!,"&lt;="&amp;$J15)</f>
        <v>#VALUE!</v>
      </c>
      <c r="O15" s="172" t="str">
        <f t="shared" si="7"/>
        <v>#VALUE!</v>
      </c>
      <c r="P15" s="172" t="str">
        <f t="shared" si="8"/>
        <v>#VALUE!</v>
      </c>
      <c r="Q15" s="482"/>
      <c r="R15" s="337"/>
      <c r="S15" s="336">
        <v>45566.0</v>
      </c>
      <c r="T15" s="485">
        <f t="shared" si="13"/>
        <v>662.904</v>
      </c>
      <c r="U15" s="8" t="str">
        <f>SUMIFS(#REF!,Blends!$G:$G,"="&amp;U$3, Blends!$C:$C,"&gt;="&amp;$S15,Blends!$C:$C,"&lt;"&amp;$S16)</f>
        <v>#N/A</v>
      </c>
      <c r="V15" s="8" t="str">
        <f>SUMIFS(#REF!,Blends!$G:$G,"="&amp;V$3, Blends!$C:$C,"&gt;="&amp;$S15,Blends!$C:$C,"&lt;"&amp;$S16)</f>
        <v>#N/A</v>
      </c>
      <c r="W15" s="172" t="str">
        <f t="shared" si="9"/>
        <v>#N/A</v>
      </c>
      <c r="X15" s="172" t="str">
        <f t="shared" si="10"/>
        <v>#N/A</v>
      </c>
      <c r="AA15" s="334">
        <v>6.0</v>
      </c>
      <c r="AB15" s="335">
        <f t="shared" si="12"/>
        <v>45530</v>
      </c>
      <c r="AC15" s="485">
        <f t="shared" si="14"/>
        <v>149.688</v>
      </c>
      <c r="AD15" s="8">
        <f>SUMIFS('Injection Forecast'!$F:$F,'Injection Forecast'!$G:$G,"="&amp;AD$3,'Injection Forecast'!$C:$C,"&gt;="&amp;$AB15,'Injection Forecast'!$C:$C,"&lt;"&amp;$AB16)</f>
        <v>0</v>
      </c>
      <c r="AE15" s="8">
        <f>SUMIFS('Injection Forecast'!$D:$D,'Injection Forecast'!$G:$G,"="&amp;V$3,'Injection Forecast'!$C:$C,"&gt;="&amp;$AB15,'Injection Forecast'!$C:$C,"&lt;"&amp;$AB16)</f>
        <v>0</v>
      </c>
      <c r="AF15" s="8">
        <f t="shared" si="4"/>
        <v>149.688</v>
      </c>
      <c r="AG15" s="8">
        <f t="shared" si="6"/>
        <v>1345.17643</v>
      </c>
    </row>
    <row r="16">
      <c r="A16" s="334">
        <v>7.0</v>
      </c>
      <c r="B16" s="335">
        <f t="shared" si="11"/>
        <v>45481</v>
      </c>
      <c r="C16" s="8" t="str">
        <f>SUMIFS(Loads!$AJ:$AJ,#REF!,"="&amp;C$3,#REF!,"&gt;"&amp;$B15,#REF!,"&lt;="&amp;$B16)</f>
        <v>#VALUE!</v>
      </c>
      <c r="D16" s="8" t="str">
        <f>SUMIFS(Loads!$AJ:$AJ,#REF!,"="&amp;D$3,#REF!,"&gt;"&amp;$B15,#REF!,"&lt;="&amp;$B16)</f>
        <v>#VALUE!</v>
      </c>
      <c r="E16" s="8" t="str">
        <f>SUMIFS(Loads!$AJ:$AJ,#REF!,"="&amp;E$3,#REF!,"&gt;"&amp;$B15,#REF!,"&lt;="&amp;$B16)</f>
        <v>#VALUE!</v>
      </c>
      <c r="F16" s="8" t="str">
        <f>SUMIFS(Loads!$AJ:$AJ,#REF!,"="&amp;F$3,#REF!,"&gt;"&amp;$B15,#REF!,"&lt;="&amp;$B16)</f>
        <v>#VALUE!</v>
      </c>
      <c r="G16" s="8" t="str">
        <f t="shared" si="2"/>
        <v>#VALUE!</v>
      </c>
      <c r="H16" s="8" t="str">
        <f t="shared" si="5"/>
        <v>#VALUE!</v>
      </c>
      <c r="J16" s="336">
        <v>45626.0</v>
      </c>
      <c r="K16" s="8" t="str">
        <f>SUMIFS(Loads!$AJ:$AJ,#REF!,"="&amp;K$3,#REF!,"&gt;"&amp;$J15,#REF!,"&lt;="&amp;$J16)</f>
        <v>#VALUE!</v>
      </c>
      <c r="L16" s="8" t="str">
        <f>SUMIFS(Loads!$AJ:$AJ,#REF!,"="&amp;L$3,#REF!,"&gt;"&amp;$J15,#REF!,"&lt;="&amp;$J16)</f>
        <v>#VALUE!</v>
      </c>
      <c r="M16" s="8" t="str">
        <f>SUMIFS(Loads!$AJ:$AJ,#REF!,"="&amp;M$3,#REF!,"&gt;"&amp;$J15,#REF!,"&lt;="&amp;$J16)</f>
        <v>#VALUE!</v>
      </c>
      <c r="N16" s="8" t="str">
        <f>SUMIFS(Loads!$AJ:$AJ,#REF!,"="&amp;N$3,#REF!,"&gt;"&amp;$J15,#REF!,"&lt;="&amp;$J16)</f>
        <v>#VALUE!</v>
      </c>
      <c r="O16" s="172" t="str">
        <f t="shared" si="7"/>
        <v>#VALUE!</v>
      </c>
      <c r="P16" s="172" t="str">
        <f t="shared" si="8"/>
        <v>#VALUE!</v>
      </c>
      <c r="Q16" s="482"/>
      <c r="R16" s="337"/>
      <c r="S16" s="336">
        <v>45597.0</v>
      </c>
      <c r="T16" s="485">
        <f t="shared" si="13"/>
        <v>641.52</v>
      </c>
      <c r="U16" s="8" t="str">
        <f>SUMIFS(#REF!,Blends!$G:$G,"="&amp;U$3, Blends!$C:$C,"&gt;="&amp;$S16,Blends!$C:$C,"&lt;"&amp;$S17)</f>
        <v>#N/A</v>
      </c>
      <c r="V16" s="8" t="str">
        <f>SUMIFS(#REF!,Blends!$G:$G,"="&amp;V$3, Blends!$C:$C,"&gt;="&amp;$S16,Blends!$C:$C,"&lt;"&amp;$S17)</f>
        <v>#N/A</v>
      </c>
      <c r="W16" s="172" t="str">
        <f t="shared" si="9"/>
        <v>#N/A</v>
      </c>
      <c r="X16" s="172" t="str">
        <f t="shared" si="10"/>
        <v>#N/A</v>
      </c>
      <c r="AA16" s="334">
        <v>7.0</v>
      </c>
      <c r="AB16" s="335">
        <f t="shared" si="12"/>
        <v>45537</v>
      </c>
      <c r="AC16" s="485">
        <f t="shared" si="14"/>
        <v>149.688</v>
      </c>
      <c r="AD16" s="8">
        <f>SUMIFS('Injection Forecast'!$F:$F,'Injection Forecast'!$G:$G,"="&amp;AD$3,'Injection Forecast'!$C:$C,"&gt;="&amp;$AB16,'Injection Forecast'!$C:$C,"&lt;"&amp;$AB17)</f>
        <v>0</v>
      </c>
      <c r="AE16" s="8">
        <f>SUMIFS('Injection Forecast'!$D:$D,'Injection Forecast'!$G:$G,"="&amp;V$3,'Injection Forecast'!$C:$C,"&gt;="&amp;$AB16,'Injection Forecast'!$C:$C,"&lt;"&amp;$AB17)</f>
        <v>0</v>
      </c>
      <c r="AF16" s="8">
        <f t="shared" si="4"/>
        <v>149.688</v>
      </c>
      <c r="AG16" s="8">
        <f t="shared" si="6"/>
        <v>1494.86443</v>
      </c>
    </row>
    <row r="17">
      <c r="A17" s="334">
        <v>8.0</v>
      </c>
      <c r="B17" s="335">
        <f t="shared" si="11"/>
        <v>45488</v>
      </c>
      <c r="C17" s="8" t="str">
        <f>SUMIFS(Loads!$AJ:$AJ,#REF!,"="&amp;C$3,#REF!,"&gt;"&amp;$B16,#REF!,"&lt;="&amp;$B17)</f>
        <v>#VALUE!</v>
      </c>
      <c r="D17" s="8" t="str">
        <f>SUMIFS(Loads!$AJ:$AJ,#REF!,"="&amp;D$3,#REF!,"&gt;"&amp;$B16,#REF!,"&lt;="&amp;$B17)</f>
        <v>#VALUE!</v>
      </c>
      <c r="E17" s="8" t="str">
        <f>SUMIFS(Loads!$AJ:$AJ,#REF!,"="&amp;E$3,#REF!,"&gt;"&amp;$B16,#REF!,"&lt;="&amp;$B17)</f>
        <v>#VALUE!</v>
      </c>
      <c r="F17" s="8" t="str">
        <f>SUMIFS(Loads!$AJ:$AJ,#REF!,"="&amp;F$3,#REF!,"&gt;"&amp;$B16,#REF!,"&lt;="&amp;$B17)</f>
        <v>#VALUE!</v>
      </c>
      <c r="G17" s="8" t="str">
        <f t="shared" si="2"/>
        <v>#VALUE!</v>
      </c>
      <c r="H17" s="8" t="str">
        <f t="shared" si="5"/>
        <v>#VALUE!</v>
      </c>
      <c r="J17" s="336">
        <v>45657.0</v>
      </c>
      <c r="K17" s="8" t="str">
        <f>SUMIFS(Loads!$AJ:$AJ,#REF!,"="&amp;K$3,#REF!,"&gt;"&amp;$J16,#REF!,"&lt;="&amp;$J17)</f>
        <v>#VALUE!</v>
      </c>
      <c r="L17" s="8" t="str">
        <f>SUMIFS(Loads!$AJ:$AJ,#REF!,"="&amp;L$3,#REF!,"&gt;"&amp;$J16,#REF!,"&lt;="&amp;$J17)</f>
        <v>#VALUE!</v>
      </c>
      <c r="M17" s="8" t="str">
        <f>SUMIFS(Loads!$AJ:$AJ,#REF!,"="&amp;M$3,#REF!,"&gt;"&amp;$J16,#REF!,"&lt;="&amp;$J17)</f>
        <v>#VALUE!</v>
      </c>
      <c r="N17" s="8" t="str">
        <f>SUMIFS(Loads!$AJ:$AJ,#REF!,"="&amp;N$3,#REF!,"&gt;"&amp;$J16,#REF!,"&lt;="&amp;$J17)</f>
        <v>#VALUE!</v>
      </c>
      <c r="O17" s="172" t="str">
        <f t="shared" si="7"/>
        <v>#VALUE!</v>
      </c>
      <c r="P17" s="172" t="str">
        <f t="shared" si="8"/>
        <v>#VALUE!</v>
      </c>
      <c r="Q17" s="337">
        <v>7484.0</v>
      </c>
      <c r="R17" s="337"/>
      <c r="S17" s="336">
        <v>45627.0</v>
      </c>
      <c r="T17" s="485">
        <f t="shared" si="13"/>
        <v>662.904</v>
      </c>
      <c r="U17" s="8" t="str">
        <f>SUMIFS(#REF!,Blends!$G:$G,"="&amp;U$3, Blends!$C:$C,"&gt;="&amp;$S17,Blends!$C:$C,"&lt;"&amp;$S18)</f>
        <v>#N/A</v>
      </c>
      <c r="V17" s="8" t="str">
        <f>SUMIFS(#REF!,Blends!$G:$G,"="&amp;V$3, Blends!$C:$C,"&gt;="&amp;$S17,Blends!$C:$C,"&lt;"&amp;$S18)</f>
        <v>#N/A</v>
      </c>
      <c r="W17" s="172" t="str">
        <f t="shared" si="9"/>
        <v>#N/A</v>
      </c>
      <c r="X17" s="172" t="str">
        <f t="shared" si="10"/>
        <v>#N/A</v>
      </c>
      <c r="Y17" s="337">
        <v>7484.0</v>
      </c>
      <c r="Z17" s="337"/>
      <c r="AA17" s="334">
        <v>8.0</v>
      </c>
      <c r="AB17" s="335">
        <f t="shared" si="12"/>
        <v>45544</v>
      </c>
      <c r="AC17" s="485">
        <f t="shared" si="14"/>
        <v>149.688</v>
      </c>
      <c r="AD17" s="8">
        <f>SUMIFS('Injection Forecast'!$F:$F,'Injection Forecast'!$G:$G,"="&amp;AD$3,'Injection Forecast'!$C:$C,"&gt;="&amp;$AB17,'Injection Forecast'!$C:$C,"&lt;"&amp;$AB18)</f>
        <v>0</v>
      </c>
      <c r="AE17" s="8">
        <f>SUMIFS('Injection Forecast'!$D:$D,'Injection Forecast'!$G:$G,"="&amp;V$3,'Injection Forecast'!$C:$C,"&gt;="&amp;$AB17,'Injection Forecast'!$C:$C,"&lt;"&amp;$AB18)</f>
        <v>0</v>
      </c>
      <c r="AF17" s="8">
        <f t="shared" si="4"/>
        <v>149.688</v>
      </c>
      <c r="AG17" s="8">
        <f t="shared" si="6"/>
        <v>1644.55243</v>
      </c>
    </row>
    <row r="18">
      <c r="A18" s="334">
        <v>9.0</v>
      </c>
      <c r="B18" s="335">
        <f t="shared" si="11"/>
        <v>45495</v>
      </c>
      <c r="C18" s="8" t="str">
        <f>SUMIFS(Loads!$AJ:$AJ,#REF!,"="&amp;C$3,#REF!,"&gt;"&amp;$B17,#REF!,"&lt;="&amp;$B18)</f>
        <v>#VALUE!</v>
      </c>
      <c r="D18" s="8" t="str">
        <f>SUMIFS(Loads!$AJ:$AJ,#REF!,"="&amp;D$3,#REF!,"&gt;"&amp;$B17,#REF!,"&lt;="&amp;$B18)</f>
        <v>#VALUE!</v>
      </c>
      <c r="E18" s="8" t="str">
        <f>SUMIFS(Loads!$AJ:$AJ,#REF!,"="&amp;E$3,#REF!,"&gt;"&amp;$B17,#REF!,"&lt;="&amp;$B18)</f>
        <v>#VALUE!</v>
      </c>
      <c r="F18" s="8" t="str">
        <f>SUMIFS(Loads!$AJ:$AJ,#REF!,"="&amp;F$3,#REF!,"&gt;"&amp;$B17,#REF!,"&lt;="&amp;$B18)</f>
        <v>#VALUE!</v>
      </c>
      <c r="G18" s="8" t="str">
        <f t="shared" si="2"/>
        <v>#VALUE!</v>
      </c>
      <c r="H18" s="8" t="str">
        <f t="shared" si="5"/>
        <v>#VALUE!</v>
      </c>
      <c r="J18" s="336"/>
      <c r="K18" s="8"/>
      <c r="L18" s="8"/>
      <c r="M18" s="8"/>
      <c r="N18" s="8"/>
      <c r="O18" s="172"/>
      <c r="P18" s="172"/>
      <c r="Q18" s="172" t="str">
        <f>Q17-P17</f>
        <v>#VALUE!</v>
      </c>
      <c r="R18" s="486" t="s">
        <v>2269</v>
      </c>
      <c r="S18" s="487">
        <v>45658.0</v>
      </c>
      <c r="V18" s="119"/>
      <c r="Y18" s="172" t="str">
        <f>Y17-X17</f>
        <v>#N/A</v>
      </c>
      <c r="Z18" s="486" t="s">
        <v>2269</v>
      </c>
      <c r="AA18" s="334">
        <v>9.0</v>
      </c>
      <c r="AB18" s="335">
        <f t="shared" si="12"/>
        <v>45551</v>
      </c>
      <c r="AC18" s="485">
        <f t="shared" si="14"/>
        <v>149.688</v>
      </c>
      <c r="AD18" s="8">
        <f>SUMIFS('Injection Forecast'!$F:$F,'Injection Forecast'!$G:$G,"="&amp;AD$3,'Injection Forecast'!$C:$C,"&gt;="&amp;$AB18,'Injection Forecast'!$C:$C,"&lt;"&amp;$AB19)</f>
        <v>0</v>
      </c>
      <c r="AE18" s="8">
        <f>SUMIFS('Injection Forecast'!$D:$D,'Injection Forecast'!$G:$G,"="&amp;V$3,'Injection Forecast'!$C:$C,"&gt;="&amp;$AB18,'Injection Forecast'!$C:$C,"&lt;"&amp;$AB19)</f>
        <v>0</v>
      </c>
      <c r="AF18" s="8">
        <f t="shared" si="4"/>
        <v>149.688</v>
      </c>
      <c r="AG18" s="8">
        <f t="shared" si="6"/>
        <v>1794.24043</v>
      </c>
    </row>
    <row r="19">
      <c r="A19" s="334">
        <v>10.0</v>
      </c>
      <c r="B19" s="335">
        <f t="shared" si="11"/>
        <v>45502</v>
      </c>
      <c r="C19" s="8" t="str">
        <f>SUMIFS(Loads!$AJ:$AJ,#REF!,"="&amp;C$3,#REF!,"&gt;"&amp;$B18,#REF!,"&lt;="&amp;$B19)</f>
        <v>#VALUE!</v>
      </c>
      <c r="D19" s="8" t="str">
        <f>SUMIFS(Loads!$AJ:$AJ,#REF!,"="&amp;D$3,#REF!,"&gt;"&amp;$B18,#REF!,"&lt;="&amp;$B19)</f>
        <v>#VALUE!</v>
      </c>
      <c r="E19" s="8" t="str">
        <f>SUMIFS(Loads!$AJ:$AJ,#REF!,"="&amp;E$3,#REF!,"&gt;"&amp;$B18,#REF!,"&lt;="&amp;$B19)</f>
        <v>#VALUE!</v>
      </c>
      <c r="F19" s="8" t="str">
        <f>SUMIFS(Loads!$AJ:$AJ,#REF!,"="&amp;F$3,#REF!,"&gt;"&amp;$B18,#REF!,"&lt;="&amp;$B19)</f>
        <v>#VALUE!</v>
      </c>
      <c r="G19" s="8" t="str">
        <f t="shared" si="2"/>
        <v>#VALUE!</v>
      </c>
      <c r="H19" s="8" t="str">
        <f t="shared" si="5"/>
        <v>#VALUE!</v>
      </c>
      <c r="V19" s="119"/>
      <c r="AA19" s="334">
        <v>10.0</v>
      </c>
      <c r="AB19" s="335">
        <f t="shared" si="12"/>
        <v>45558</v>
      </c>
      <c r="AC19" s="485">
        <f t="shared" si="14"/>
        <v>149.688</v>
      </c>
      <c r="AD19" s="8">
        <f>SUMIFS('Injection Forecast'!$F:$F,'Injection Forecast'!$G:$G,"="&amp;AD$3,'Injection Forecast'!$C:$C,"&gt;="&amp;$AB19,'Injection Forecast'!$C:$C,"&lt;"&amp;$AB20)</f>
        <v>0</v>
      </c>
      <c r="AE19" s="8">
        <f>SUMIFS('Injection Forecast'!$D:$D,'Injection Forecast'!$G:$G,"="&amp;V$3,'Injection Forecast'!$C:$C,"&gt;="&amp;$AB19,'Injection Forecast'!$C:$C,"&lt;"&amp;$AB20)</f>
        <v>0</v>
      </c>
      <c r="AF19" s="8">
        <f t="shared" si="4"/>
        <v>149.688</v>
      </c>
      <c r="AG19" s="8">
        <f t="shared" si="6"/>
        <v>1943.92843</v>
      </c>
    </row>
    <row r="20">
      <c r="A20" s="334">
        <v>11.0</v>
      </c>
      <c r="B20" s="335">
        <f t="shared" si="11"/>
        <v>45509</v>
      </c>
      <c r="C20" s="8" t="str">
        <f>SUMIFS(Loads!$AJ:$AJ,#REF!,"="&amp;C$3,#REF!,"&gt;"&amp;$B19,#REF!,"&lt;="&amp;$B20)</f>
        <v>#VALUE!</v>
      </c>
      <c r="D20" s="8" t="str">
        <f>SUMIFS(Loads!$AJ:$AJ,#REF!,"="&amp;D$3,#REF!,"&gt;"&amp;$B19,#REF!,"&lt;="&amp;$B20)</f>
        <v>#VALUE!</v>
      </c>
      <c r="E20" s="8" t="str">
        <f>SUMIFS(Loads!$AJ:$AJ,#REF!,"="&amp;E$3,#REF!,"&gt;"&amp;$B19,#REF!,"&lt;="&amp;$B20)</f>
        <v>#VALUE!</v>
      </c>
      <c r="F20" s="8" t="str">
        <f>SUMIFS(Loads!$AJ:$AJ,#REF!,"="&amp;F$3,#REF!,"&gt;"&amp;$B19,#REF!,"&lt;="&amp;$B20)</f>
        <v>#VALUE!</v>
      </c>
      <c r="G20" s="8" t="str">
        <f t="shared" si="2"/>
        <v>#VALUE!</v>
      </c>
      <c r="H20" s="8" t="str">
        <f t="shared" si="5"/>
        <v>#VALUE!</v>
      </c>
      <c r="T20" s="483"/>
      <c r="U20" s="483"/>
      <c r="V20" s="119"/>
      <c r="W20" s="483"/>
      <c r="X20" s="483"/>
      <c r="Y20" s="483"/>
      <c r="Z20" s="483"/>
      <c r="AA20" s="334">
        <v>11.0</v>
      </c>
      <c r="AB20" s="335">
        <f t="shared" si="12"/>
        <v>45565</v>
      </c>
      <c r="AC20" s="485">
        <f t="shared" si="14"/>
        <v>149.688</v>
      </c>
      <c r="AD20" s="8">
        <f>SUMIFS('Injection Forecast'!$F:$F,'Injection Forecast'!$G:$G,"="&amp;AD$3,'Injection Forecast'!$C:$C,"&gt;="&amp;$AB20,'Injection Forecast'!$C:$C,"&lt;"&amp;$AB21)</f>
        <v>0</v>
      </c>
      <c r="AE20" s="8">
        <f>SUMIFS('Injection Forecast'!$D:$D,'Injection Forecast'!$G:$G,"="&amp;V$3,'Injection Forecast'!$C:$C,"&gt;="&amp;$AB20,'Injection Forecast'!$C:$C,"&lt;"&amp;$AB21)</f>
        <v>0</v>
      </c>
      <c r="AF20" s="8">
        <f t="shared" si="4"/>
        <v>149.688</v>
      </c>
      <c r="AG20" s="8">
        <f t="shared" si="6"/>
        <v>2093.61643</v>
      </c>
      <c r="AH20" s="483"/>
      <c r="AI20" s="483"/>
    </row>
    <row r="21">
      <c r="A21" s="334">
        <v>12.0</v>
      </c>
      <c r="B21" s="335">
        <f t="shared" si="11"/>
        <v>45516</v>
      </c>
      <c r="C21" s="8" t="str">
        <f>SUMIFS(Loads!$AJ:$AJ,#REF!,"="&amp;C$3,#REF!,"&gt;"&amp;$B20,#REF!,"&lt;="&amp;$B21)</f>
        <v>#VALUE!</v>
      </c>
      <c r="D21" s="8" t="str">
        <f>SUMIFS(Loads!$AJ:$AJ,#REF!,"="&amp;D$3,#REF!,"&gt;"&amp;$B20,#REF!,"&lt;="&amp;$B21)</f>
        <v>#VALUE!</v>
      </c>
      <c r="E21" s="8" t="str">
        <f>SUMIFS(Loads!$AJ:$AJ,#REF!,"="&amp;E$3,#REF!,"&gt;"&amp;$B20,#REF!,"&lt;="&amp;$B21)</f>
        <v>#VALUE!</v>
      </c>
      <c r="F21" s="8" t="str">
        <f>SUMIFS(Loads!$AJ:$AJ,#REF!,"="&amp;F$3,#REF!,"&gt;"&amp;$B20,#REF!,"&lt;="&amp;$B21)</f>
        <v>#VALUE!</v>
      </c>
      <c r="G21" s="8" t="str">
        <f t="shared" si="2"/>
        <v>#VALUE!</v>
      </c>
      <c r="H21" s="8" t="str">
        <f t="shared" si="5"/>
        <v>#VALUE!</v>
      </c>
      <c r="AA21" s="334">
        <v>12.0</v>
      </c>
      <c r="AB21" s="335">
        <f t="shared" si="12"/>
        <v>45572</v>
      </c>
      <c r="AC21" s="485">
        <f t="shared" si="14"/>
        <v>149.688</v>
      </c>
      <c r="AD21" s="8">
        <f>SUMIFS('Injection Forecast'!$F:$F,'Injection Forecast'!$G:$G,"="&amp;AD$3,'Injection Forecast'!$C:$C,"&gt;="&amp;$AB21,'Injection Forecast'!$C:$C,"&lt;"&amp;$AB22)</f>
        <v>0</v>
      </c>
      <c r="AE21" s="8">
        <f>SUMIFS('Injection Forecast'!$D:$D,'Injection Forecast'!$G:$G,"="&amp;V$3,'Injection Forecast'!$C:$C,"&gt;="&amp;$AB21,'Injection Forecast'!$C:$C,"&lt;"&amp;$AB22)</f>
        <v>0</v>
      </c>
      <c r="AF21" s="8">
        <f t="shared" si="4"/>
        <v>149.688</v>
      </c>
      <c r="AG21" s="8">
        <f t="shared" si="6"/>
        <v>2243.30443</v>
      </c>
    </row>
    <row r="22">
      <c r="A22" s="334">
        <v>13.0</v>
      </c>
      <c r="B22" s="335">
        <f t="shared" si="11"/>
        <v>45523</v>
      </c>
      <c r="C22" s="8" t="str">
        <f>SUMIFS(Loads!$AJ:$AJ,#REF!,"="&amp;C$3,#REF!,"&gt;"&amp;$B21,#REF!,"&lt;="&amp;$B22)</f>
        <v>#VALUE!</v>
      </c>
      <c r="D22" s="8"/>
      <c r="E22" s="8" t="str">
        <f>SUMIFS(Loads!$AJ:$AJ,#REF!,"="&amp;E$3,#REF!,"&gt;"&amp;$B21,#REF!,"&lt;="&amp;$B22)</f>
        <v>#VALUE!</v>
      </c>
      <c r="F22" s="8" t="str">
        <f>SUMIFS(Loads!$AJ:$AJ,#REF!,"="&amp;F$3,#REF!,"&gt;"&amp;$B21,#REF!,"&lt;="&amp;$B22)</f>
        <v>#VALUE!</v>
      </c>
      <c r="G22" s="8" t="str">
        <f t="shared" si="2"/>
        <v>#VALUE!</v>
      </c>
      <c r="H22" s="8" t="str">
        <f t="shared" si="5"/>
        <v>#VALUE!</v>
      </c>
      <c r="AA22" s="488">
        <v>13.0</v>
      </c>
      <c r="AB22" s="489">
        <f t="shared" si="12"/>
        <v>45579</v>
      </c>
      <c r="AC22" s="8"/>
      <c r="AD22" s="8"/>
      <c r="AE22" s="8"/>
      <c r="AF22" s="8"/>
      <c r="AG22" s="8"/>
    </row>
    <row r="23">
      <c r="A23" s="334">
        <v>14.0</v>
      </c>
      <c r="B23" s="335">
        <f t="shared" si="11"/>
        <v>45530</v>
      </c>
      <c r="C23" s="8" t="str">
        <f>SUMIFS(Loads!$AJ:$AJ,#REF!,"="&amp;C$3,#REF!,"&gt;"&amp;$B22,#REF!,"&lt;="&amp;$B23)</f>
        <v>#VALUE!</v>
      </c>
      <c r="D23" s="8"/>
      <c r="E23" s="8" t="str">
        <f>SUMIFS(Loads!$AJ:$AJ,#REF!,"="&amp;E$3,#REF!,"&gt;"&amp;$B22,#REF!,"&lt;="&amp;$B23)</f>
        <v>#VALUE!</v>
      </c>
      <c r="F23" s="8" t="str">
        <f>SUMIFS(Loads!$AJ:$AJ,#REF!,"="&amp;F$3,#REF!,"&gt;"&amp;$B22,#REF!,"&lt;="&amp;$B23)</f>
        <v>#VALUE!</v>
      </c>
      <c r="G23" s="8" t="str">
        <f t="shared" si="2"/>
        <v>#VALUE!</v>
      </c>
      <c r="H23" s="8" t="str">
        <f t="shared" si="5"/>
        <v>#VALUE!</v>
      </c>
      <c r="AA23" s="334"/>
      <c r="AB23" s="335"/>
      <c r="AC23" s="8"/>
      <c r="AD23" s="8"/>
      <c r="AE23" s="8"/>
      <c r="AF23" s="8"/>
      <c r="AG23" s="8"/>
    </row>
    <row r="24">
      <c r="A24" s="334">
        <v>15.0</v>
      </c>
      <c r="B24" s="335">
        <f t="shared" si="11"/>
        <v>45537</v>
      </c>
      <c r="C24" s="8" t="str">
        <f>SUMIFS(Loads!$AJ:$AJ,#REF!,"="&amp;C$3,#REF!,"&gt;"&amp;$B23,#REF!,"&lt;="&amp;$B24)</f>
        <v>#VALUE!</v>
      </c>
      <c r="D24" s="8"/>
      <c r="E24" s="8" t="str">
        <f>SUMIFS(Loads!$AJ:$AJ,#REF!,"="&amp;E$3,#REF!,"&gt;"&amp;$B23,#REF!,"&lt;="&amp;$B24)</f>
        <v>#VALUE!</v>
      </c>
      <c r="F24" s="8" t="str">
        <f>SUMIFS(Loads!$AJ:$AJ,#REF!,"="&amp;F$3,#REF!,"&gt;"&amp;$B23,#REF!,"&lt;="&amp;$B24)</f>
        <v>#VALUE!</v>
      </c>
      <c r="G24" s="8" t="str">
        <f t="shared" si="2"/>
        <v>#VALUE!</v>
      </c>
      <c r="H24" s="8" t="str">
        <f t="shared" si="5"/>
        <v>#VALUE!</v>
      </c>
      <c r="AA24" s="334"/>
      <c r="AB24" s="335"/>
      <c r="AC24" s="8"/>
      <c r="AD24" s="8"/>
      <c r="AE24" s="8"/>
      <c r="AF24" s="8"/>
      <c r="AG24" s="8"/>
    </row>
    <row r="25">
      <c r="A25" s="334">
        <v>16.0</v>
      </c>
      <c r="B25" s="335">
        <f t="shared" si="11"/>
        <v>45544</v>
      </c>
      <c r="C25" s="8" t="str">
        <f>SUMIFS(Loads!$AJ:$AJ,#REF!,"="&amp;C$3,#REF!,"&gt;"&amp;$B24,#REF!,"&lt;="&amp;$B25)</f>
        <v>#VALUE!</v>
      </c>
      <c r="D25" s="8"/>
      <c r="E25" s="8" t="str">
        <f>SUMIFS(Loads!$AJ:$AJ,#REF!,"="&amp;E$3,#REF!,"&gt;"&amp;$B24,#REF!,"&lt;="&amp;$B25)</f>
        <v>#VALUE!</v>
      </c>
      <c r="F25" s="8" t="str">
        <f>SUMIFS(Loads!$AJ:$AJ,#REF!,"="&amp;F$3,#REF!,"&gt;"&amp;$B24,#REF!,"&lt;="&amp;$B25)</f>
        <v>#VALUE!</v>
      </c>
      <c r="G25" s="8" t="str">
        <f t="shared" si="2"/>
        <v>#VALUE!</v>
      </c>
      <c r="H25" s="8" t="str">
        <f t="shared" si="5"/>
        <v>#VALUE!</v>
      </c>
      <c r="AA25" s="334"/>
      <c r="AB25" s="335"/>
      <c r="AC25" s="8"/>
      <c r="AD25" s="8"/>
      <c r="AE25" s="8"/>
      <c r="AF25" s="8"/>
      <c r="AG25" s="8"/>
    </row>
    <row r="26">
      <c r="A26" s="334">
        <v>17.0</v>
      </c>
      <c r="B26" s="335">
        <f t="shared" si="11"/>
        <v>45551</v>
      </c>
      <c r="C26" s="8" t="str">
        <f>SUMIFS(Loads!$AJ:$AJ,#REF!,"="&amp;C$3,#REF!,"&gt;"&amp;$B25,#REF!,"&lt;="&amp;$B26)</f>
        <v>#VALUE!</v>
      </c>
      <c r="D26" s="8"/>
      <c r="E26" s="8" t="str">
        <f>SUMIFS(Loads!$AJ:$AJ,#REF!,"="&amp;E$3,#REF!,"&gt;"&amp;$B25,#REF!,"&lt;="&amp;$B26)</f>
        <v>#VALUE!</v>
      </c>
      <c r="F26" s="8" t="str">
        <f>SUMIFS(Loads!$AJ:$AJ,#REF!,"="&amp;F$3,#REF!,"&gt;"&amp;$B25,#REF!,"&lt;="&amp;$B26)</f>
        <v>#VALUE!</v>
      </c>
      <c r="G26" s="8" t="str">
        <f t="shared" si="2"/>
        <v>#VALUE!</v>
      </c>
      <c r="H26" s="8" t="str">
        <f t="shared" si="5"/>
        <v>#VALUE!</v>
      </c>
      <c r="AA26" s="334"/>
      <c r="AB26" s="335"/>
      <c r="AC26" s="8"/>
      <c r="AD26" s="8"/>
      <c r="AE26" s="8"/>
      <c r="AF26" s="8"/>
      <c r="AG26" s="8"/>
    </row>
    <row r="27">
      <c r="A27" s="334">
        <v>18.0</v>
      </c>
      <c r="B27" s="335">
        <f t="shared" si="11"/>
        <v>45558</v>
      </c>
      <c r="C27" s="8" t="str">
        <f>SUMIFS(Loads!$AJ:$AJ,#REF!,"="&amp;C$3,#REF!,"&gt;"&amp;$B26,#REF!,"&lt;="&amp;$B27)</f>
        <v>#VALUE!</v>
      </c>
      <c r="D27" s="8"/>
      <c r="E27" s="8" t="str">
        <f>SUMIFS(Loads!$AJ:$AJ,#REF!,"="&amp;E$3,#REF!,"&gt;"&amp;$B26,#REF!,"&lt;="&amp;$B27)</f>
        <v>#VALUE!</v>
      </c>
      <c r="F27" s="8" t="str">
        <f>SUMIFS(Loads!$AJ:$AJ,#REF!,"="&amp;F$3,#REF!,"&gt;"&amp;$B26,#REF!,"&lt;="&amp;$B27)</f>
        <v>#VALUE!</v>
      </c>
      <c r="G27" s="8" t="str">
        <f t="shared" si="2"/>
        <v>#VALUE!</v>
      </c>
      <c r="H27" s="8" t="str">
        <f t="shared" si="5"/>
        <v>#VALUE!</v>
      </c>
      <c r="AA27" s="334"/>
      <c r="AB27" s="335"/>
      <c r="AC27" s="8"/>
      <c r="AD27" s="8"/>
      <c r="AE27" s="8"/>
      <c r="AF27" s="8"/>
      <c r="AG27" s="8"/>
    </row>
    <row r="28">
      <c r="A28" s="334">
        <v>19.0</v>
      </c>
      <c r="B28" s="335">
        <f t="shared" si="11"/>
        <v>45565</v>
      </c>
      <c r="C28" s="8" t="str">
        <f>SUMIFS(Loads!$AJ:$AJ,#REF!,"="&amp;C$3,#REF!,"&gt;"&amp;$B27,#REF!,"&lt;="&amp;$B28)</f>
        <v>#VALUE!</v>
      </c>
      <c r="D28" s="8"/>
      <c r="E28" s="8" t="str">
        <f>SUMIFS(Loads!$AJ:$AJ,#REF!,"="&amp;E$3,#REF!,"&gt;"&amp;$B27,#REF!,"&lt;="&amp;$B28)</f>
        <v>#VALUE!</v>
      </c>
      <c r="F28" s="8" t="str">
        <f>SUMIFS(Loads!$AJ:$AJ,#REF!,"="&amp;F$3,#REF!,"&gt;"&amp;$B27,#REF!,"&lt;="&amp;$B28)</f>
        <v>#VALUE!</v>
      </c>
      <c r="G28" s="8" t="str">
        <f t="shared" si="2"/>
        <v>#VALUE!</v>
      </c>
      <c r="H28" s="8" t="str">
        <f t="shared" si="5"/>
        <v>#VALUE!</v>
      </c>
      <c r="AA28" s="334"/>
      <c r="AB28" s="335"/>
      <c r="AC28" s="8"/>
      <c r="AD28" s="8"/>
      <c r="AE28" s="8"/>
      <c r="AF28" s="8"/>
      <c r="AG28" s="8"/>
    </row>
    <row r="29">
      <c r="A29" s="334">
        <v>20.0</v>
      </c>
      <c r="B29" s="335">
        <f t="shared" si="11"/>
        <v>45572</v>
      </c>
      <c r="C29" s="8" t="str">
        <f>SUMIFS(Loads!$AJ:$AJ,#REF!,"="&amp;C$3,#REF!,"&gt;"&amp;$B28,#REF!,"&lt;="&amp;$B29)</f>
        <v>#VALUE!</v>
      </c>
      <c r="D29" s="8"/>
      <c r="E29" s="8" t="str">
        <f>SUMIFS(Loads!$AJ:$AJ,#REF!,"="&amp;E$3,#REF!,"&gt;"&amp;$B28,#REF!,"&lt;="&amp;$B29)</f>
        <v>#VALUE!</v>
      </c>
      <c r="F29" s="8" t="str">
        <f>SUMIFS(Loads!$AJ:$AJ,#REF!,"="&amp;F$3,#REF!,"&gt;"&amp;$B28,#REF!,"&lt;="&amp;$B29)</f>
        <v>#VALUE!</v>
      </c>
      <c r="G29" s="8" t="str">
        <f t="shared" si="2"/>
        <v>#VALUE!</v>
      </c>
      <c r="H29" s="8" t="str">
        <f t="shared" si="5"/>
        <v>#VALUE!</v>
      </c>
      <c r="AA29" s="334"/>
      <c r="AB29" s="335"/>
      <c r="AC29" s="8"/>
      <c r="AD29" s="8"/>
      <c r="AE29" s="8"/>
      <c r="AF29" s="8"/>
      <c r="AG29" s="8"/>
    </row>
    <row r="30">
      <c r="A30" s="334">
        <v>21.0</v>
      </c>
      <c r="B30" s="335">
        <f t="shared" si="11"/>
        <v>45579</v>
      </c>
      <c r="C30" s="8" t="str">
        <f>SUMIFS(Loads!$AJ:$AJ,#REF!,"="&amp;C$3,#REF!,"&gt;"&amp;$B29,#REF!,"&lt;="&amp;$B30)</f>
        <v>#VALUE!</v>
      </c>
      <c r="D30" s="8"/>
      <c r="E30" s="8" t="str">
        <f>SUMIFS(Loads!$AJ:$AJ,#REF!,"="&amp;E$3,#REF!,"&gt;"&amp;$B29,#REF!,"&lt;="&amp;$B30)</f>
        <v>#VALUE!</v>
      </c>
      <c r="F30" s="8" t="str">
        <f>SUMIFS(Loads!$AJ:$AJ,#REF!,"="&amp;F$3,#REF!,"&gt;"&amp;$B29,#REF!,"&lt;="&amp;$B30)</f>
        <v>#VALUE!</v>
      </c>
      <c r="G30" s="8" t="str">
        <f t="shared" si="2"/>
        <v>#VALUE!</v>
      </c>
      <c r="H30" s="8" t="str">
        <f t="shared" si="5"/>
        <v>#VALUE!</v>
      </c>
      <c r="AA30" s="334"/>
      <c r="AB30" s="335"/>
      <c r="AC30" s="8"/>
      <c r="AD30" s="8"/>
      <c r="AE30" s="8"/>
      <c r="AF30" s="8"/>
      <c r="AG30" s="8"/>
    </row>
    <row r="31">
      <c r="A31" s="334">
        <v>22.0</v>
      </c>
      <c r="B31" s="335">
        <f t="shared" si="11"/>
        <v>45586</v>
      </c>
      <c r="C31" s="8" t="str">
        <f>SUMIFS(Loads!$AJ:$AJ,#REF!,"="&amp;C$3,#REF!,"&gt;"&amp;$B30,#REF!,"&lt;="&amp;$B31)</f>
        <v>#VALUE!</v>
      </c>
      <c r="D31" s="8"/>
      <c r="E31" s="8" t="str">
        <f>SUMIFS(Loads!$AJ:$AJ,#REF!,"="&amp;E$3,#REF!,"&gt;"&amp;$B30,#REF!,"&lt;="&amp;$B31)</f>
        <v>#VALUE!</v>
      </c>
      <c r="F31" s="8" t="str">
        <f>SUMIFS(Loads!$AJ:$AJ,#REF!,"="&amp;F$3,#REF!,"&gt;"&amp;$B30,#REF!,"&lt;="&amp;$B31)</f>
        <v>#VALUE!</v>
      </c>
      <c r="G31" s="8" t="str">
        <f t="shared" si="2"/>
        <v>#VALUE!</v>
      </c>
      <c r="H31" s="8" t="str">
        <f t="shared" si="5"/>
        <v>#VALUE!</v>
      </c>
      <c r="AA31" s="334"/>
      <c r="AB31" s="335"/>
      <c r="AC31" s="8"/>
      <c r="AD31" s="8"/>
      <c r="AE31" s="8"/>
      <c r="AF31" s="8"/>
      <c r="AG31" s="8"/>
    </row>
    <row r="32">
      <c r="A32" s="334">
        <v>23.0</v>
      </c>
      <c r="B32" s="335">
        <f t="shared" si="11"/>
        <v>45593</v>
      </c>
      <c r="C32" s="8" t="str">
        <f>SUMIFS(Loads!$AJ:$AJ,#REF!,"="&amp;C$3,#REF!,"&gt;"&amp;$B31,#REF!,"&lt;="&amp;$B32)</f>
        <v>#VALUE!</v>
      </c>
      <c r="D32" s="8"/>
      <c r="E32" s="8" t="str">
        <f>SUMIFS(Loads!$AJ:$AJ,#REF!,"="&amp;E$3,#REF!,"&gt;"&amp;$B31,#REF!,"&lt;="&amp;$B32)</f>
        <v>#VALUE!</v>
      </c>
      <c r="F32" s="8" t="str">
        <f>SUMIFS(Loads!$AJ:$AJ,#REF!,"="&amp;F$3,#REF!,"&gt;"&amp;$B31,#REF!,"&lt;="&amp;$B32)</f>
        <v>#VALUE!</v>
      </c>
      <c r="G32" s="8" t="str">
        <f t="shared" si="2"/>
        <v>#VALUE!</v>
      </c>
      <c r="H32" s="8" t="str">
        <f t="shared" si="5"/>
        <v>#VALUE!</v>
      </c>
      <c r="AA32" s="334"/>
      <c r="AB32" s="335"/>
      <c r="AC32" s="8"/>
      <c r="AD32" s="8"/>
      <c r="AE32" s="8"/>
      <c r="AF32" s="8"/>
      <c r="AG32" s="8"/>
    </row>
    <row r="33">
      <c r="A33" s="334">
        <v>24.0</v>
      </c>
      <c r="B33" s="335">
        <f t="shared" si="11"/>
        <v>45600</v>
      </c>
      <c r="C33" s="8" t="str">
        <f>SUMIFS(Loads!$AJ:$AJ,#REF!,"="&amp;C$3,#REF!,"&gt;"&amp;$B32,#REF!,"&lt;="&amp;$B33)</f>
        <v>#VALUE!</v>
      </c>
      <c r="D33" s="8"/>
      <c r="E33" s="8" t="str">
        <f>SUMIFS(Loads!$AJ:$AJ,#REF!,"="&amp;E$3,#REF!,"&gt;"&amp;$B32,#REF!,"&lt;="&amp;$B33)</f>
        <v>#VALUE!</v>
      </c>
      <c r="F33" s="8" t="str">
        <f>SUMIFS(Loads!$AJ:$AJ,#REF!,"="&amp;F$3,#REF!,"&gt;"&amp;$B32,#REF!,"&lt;="&amp;$B33)</f>
        <v>#VALUE!</v>
      </c>
      <c r="G33" s="8" t="str">
        <f t="shared" si="2"/>
        <v>#VALUE!</v>
      </c>
      <c r="H33" s="8" t="str">
        <f t="shared" si="5"/>
        <v>#VALUE!</v>
      </c>
      <c r="AA33" s="334"/>
      <c r="AB33" s="335"/>
      <c r="AC33" s="8"/>
      <c r="AD33" s="8"/>
      <c r="AE33" s="8"/>
      <c r="AF33" s="8"/>
      <c r="AG33" s="8"/>
    </row>
    <row r="34">
      <c r="A34" s="334">
        <v>25.0</v>
      </c>
      <c r="B34" s="335">
        <f t="shared" si="11"/>
        <v>45607</v>
      </c>
      <c r="C34" s="8" t="str">
        <f>SUMIFS(Loads!$AJ:$AJ,#REF!,"="&amp;C$3,#REF!,"&gt;"&amp;$B33,#REF!,"&lt;="&amp;$B34)</f>
        <v>#VALUE!</v>
      </c>
      <c r="D34" s="8"/>
      <c r="E34" s="8" t="str">
        <f>SUMIFS(Loads!$AJ:$AJ,#REF!,"="&amp;E$3,#REF!,"&gt;"&amp;$B33,#REF!,"&lt;="&amp;$B34)</f>
        <v>#VALUE!</v>
      </c>
      <c r="F34" s="8" t="str">
        <f>SUMIFS(Loads!$AJ:$AJ,#REF!,"="&amp;F$3,#REF!,"&gt;"&amp;$B33,#REF!,"&lt;="&amp;$B34)</f>
        <v>#VALUE!</v>
      </c>
      <c r="G34" s="8" t="str">
        <f t="shared" si="2"/>
        <v>#VALUE!</v>
      </c>
      <c r="H34" s="8" t="str">
        <f t="shared" si="5"/>
        <v>#VALUE!</v>
      </c>
      <c r="AA34" s="334"/>
      <c r="AB34" s="335"/>
      <c r="AC34" s="8"/>
      <c r="AD34" s="8"/>
      <c r="AE34" s="8"/>
      <c r="AF34" s="8"/>
      <c r="AG34" s="8"/>
    </row>
    <row r="35">
      <c r="A35" s="334">
        <v>26.0</v>
      </c>
      <c r="B35" s="335">
        <f t="shared" si="11"/>
        <v>45614</v>
      </c>
      <c r="C35" s="8" t="str">
        <f>SUMIFS(Loads!$AJ:$AJ,#REF!,"="&amp;C$3,#REF!,"&gt;"&amp;$B34,#REF!,"&lt;="&amp;$B35)</f>
        <v>#VALUE!</v>
      </c>
      <c r="D35" s="8"/>
      <c r="E35" s="8" t="str">
        <f>SUMIFS(Loads!$AJ:$AJ,#REF!,"="&amp;E$3,#REF!,"&gt;"&amp;$B34,#REF!,"&lt;="&amp;$B35)</f>
        <v>#VALUE!</v>
      </c>
      <c r="F35" s="8" t="str">
        <f>SUMIFS(Loads!$AJ:$AJ,#REF!,"="&amp;F$3,#REF!,"&gt;"&amp;$B34,#REF!,"&lt;="&amp;$B35)</f>
        <v>#VALUE!</v>
      </c>
      <c r="G35" s="8" t="str">
        <f t="shared" si="2"/>
        <v>#VALUE!</v>
      </c>
      <c r="H35" s="8" t="str">
        <f t="shared" si="5"/>
        <v>#VALUE!</v>
      </c>
      <c r="AA35" s="334"/>
      <c r="AB35" s="335"/>
      <c r="AC35" s="8"/>
      <c r="AD35" s="8"/>
      <c r="AE35" s="8"/>
      <c r="AF35" s="8"/>
      <c r="AG35" s="8"/>
    </row>
    <row r="36">
      <c r="A36" s="334">
        <v>27.0</v>
      </c>
      <c r="B36" s="335">
        <f t="shared" si="11"/>
        <v>45621</v>
      </c>
      <c r="C36" s="8" t="str">
        <f>SUMIFS(Loads!$AJ:$AJ,#REF!,"="&amp;C$3,#REF!,"&gt;"&amp;$B35,#REF!,"&lt;="&amp;$B36)</f>
        <v>#VALUE!</v>
      </c>
      <c r="D36" s="8"/>
      <c r="E36" s="8" t="str">
        <f>SUMIFS(Loads!$AJ:$AJ,#REF!,"="&amp;E$3,#REF!,"&gt;"&amp;$B35,#REF!,"&lt;="&amp;$B36)</f>
        <v>#VALUE!</v>
      </c>
      <c r="F36" s="8" t="str">
        <f>SUMIFS(Loads!$AJ:$AJ,#REF!,"="&amp;F$3,#REF!,"&gt;"&amp;$B35,#REF!,"&lt;="&amp;$B36)</f>
        <v>#VALUE!</v>
      </c>
      <c r="G36" s="8" t="str">
        <f t="shared" si="2"/>
        <v>#VALUE!</v>
      </c>
      <c r="H36" s="8" t="str">
        <f t="shared" si="5"/>
        <v>#VALUE!</v>
      </c>
      <c r="AA36" s="334"/>
      <c r="AB36" s="335"/>
      <c r="AC36" s="8"/>
      <c r="AD36" s="8"/>
      <c r="AE36" s="8"/>
      <c r="AF36" s="8"/>
      <c r="AG36" s="8"/>
    </row>
    <row r="37">
      <c r="A37" s="334">
        <v>28.0</v>
      </c>
      <c r="B37" s="335">
        <f t="shared" si="11"/>
        <v>45628</v>
      </c>
      <c r="C37" s="8" t="str">
        <f>SUMIFS(Loads!$AJ:$AJ,#REF!,"="&amp;C$3,#REF!,"&gt;"&amp;$B36,#REF!,"&lt;="&amp;$B37)</f>
        <v>#VALUE!</v>
      </c>
      <c r="D37" s="8"/>
      <c r="E37" s="8" t="str">
        <f>SUMIFS(Loads!$AJ:$AJ,#REF!,"="&amp;E$3,#REF!,"&gt;"&amp;$B36,#REF!,"&lt;="&amp;$B37)</f>
        <v>#VALUE!</v>
      </c>
      <c r="F37" s="8" t="str">
        <f>SUMIFS(Loads!$AJ:$AJ,#REF!,"="&amp;F$3,#REF!,"&gt;"&amp;$B36,#REF!,"&lt;="&amp;$B37)</f>
        <v>#VALUE!</v>
      </c>
      <c r="G37" s="8" t="str">
        <f t="shared" si="2"/>
        <v>#VALUE!</v>
      </c>
      <c r="H37" s="8" t="str">
        <f t="shared" si="5"/>
        <v>#VALUE!</v>
      </c>
      <c r="AA37" s="334"/>
      <c r="AB37" s="335"/>
      <c r="AC37" s="8"/>
      <c r="AD37" s="8"/>
      <c r="AE37" s="8"/>
      <c r="AF37" s="8"/>
      <c r="AG37" s="8"/>
    </row>
    <row r="38">
      <c r="A38" s="334">
        <v>29.0</v>
      </c>
      <c r="B38" s="335">
        <f t="shared" si="11"/>
        <v>45635</v>
      </c>
      <c r="C38" s="8" t="str">
        <f>SUMIFS(Loads!$AJ:$AJ,#REF!,"="&amp;C$3,#REF!,"&gt;"&amp;$B37,#REF!,"&lt;="&amp;$B38)</f>
        <v>#VALUE!</v>
      </c>
      <c r="D38" s="8"/>
      <c r="E38" s="8" t="str">
        <f>SUMIFS(Loads!$AJ:$AJ,#REF!,"="&amp;E$3,#REF!,"&gt;"&amp;$B37,#REF!,"&lt;="&amp;$B38)</f>
        <v>#VALUE!</v>
      </c>
      <c r="F38" s="8" t="str">
        <f>SUMIFS(Loads!$AJ:$AJ,#REF!,"="&amp;F$3,#REF!,"&gt;"&amp;$B37,#REF!,"&lt;="&amp;$B38)</f>
        <v>#VALUE!</v>
      </c>
      <c r="G38" s="8" t="str">
        <f t="shared" si="2"/>
        <v>#VALUE!</v>
      </c>
      <c r="H38" s="8" t="str">
        <f t="shared" si="5"/>
        <v>#VALUE!</v>
      </c>
      <c r="AA38" s="334"/>
      <c r="AB38" s="335"/>
      <c r="AC38" s="8"/>
      <c r="AD38" s="8"/>
      <c r="AE38" s="8"/>
      <c r="AF38" s="8"/>
      <c r="AG38" s="8"/>
    </row>
    <row r="39">
      <c r="A39" s="334">
        <v>30.0</v>
      </c>
      <c r="B39" s="335">
        <f t="shared" si="11"/>
        <v>45642</v>
      </c>
      <c r="C39" s="8" t="str">
        <f>SUMIFS(Loads!$AJ:$AJ,#REF!,"="&amp;C$3,#REF!,"&gt;"&amp;$B38,#REF!,"&lt;="&amp;$B39)</f>
        <v>#VALUE!</v>
      </c>
      <c r="D39" s="8"/>
      <c r="E39" s="8" t="str">
        <f>SUMIFS(Loads!$AJ:$AJ,#REF!,"="&amp;E$3,#REF!,"&gt;"&amp;$B38,#REF!,"&lt;="&amp;$B39)</f>
        <v>#VALUE!</v>
      </c>
      <c r="F39" s="8" t="str">
        <f>SUMIFS(Loads!$AJ:$AJ,#REF!,"="&amp;F$3,#REF!,"&gt;"&amp;$B38,#REF!,"&lt;="&amp;$B39)</f>
        <v>#VALUE!</v>
      </c>
      <c r="G39" s="8" t="str">
        <f t="shared" si="2"/>
        <v>#VALUE!</v>
      </c>
      <c r="H39" s="8" t="str">
        <f t="shared" si="5"/>
        <v>#VALUE!</v>
      </c>
      <c r="AA39" s="334"/>
      <c r="AB39" s="335"/>
      <c r="AC39" s="8"/>
      <c r="AD39" s="8"/>
      <c r="AE39" s="8"/>
      <c r="AF39" s="8"/>
      <c r="AG39" s="8"/>
    </row>
    <row r="40">
      <c r="A40" s="334">
        <v>31.0</v>
      </c>
      <c r="B40" s="335">
        <f t="shared" si="11"/>
        <v>45649</v>
      </c>
      <c r="C40" s="8" t="str">
        <f>SUMIFS(Loads!$AJ:$AJ,#REF!,"="&amp;C$3,#REF!,"&gt;"&amp;$B39,#REF!,"&lt;="&amp;$B40)</f>
        <v>#VALUE!</v>
      </c>
      <c r="D40" s="8"/>
      <c r="E40" s="8" t="str">
        <f>SUMIFS(Loads!$AJ:$AJ,#REF!,"="&amp;E$3,#REF!,"&gt;"&amp;$B39,#REF!,"&lt;="&amp;$B40)</f>
        <v>#VALUE!</v>
      </c>
      <c r="F40" s="8" t="str">
        <f>SUMIFS(Loads!$AJ:$AJ,#REF!,"="&amp;F$3,#REF!,"&gt;"&amp;$B39,#REF!,"&lt;="&amp;$B40)</f>
        <v>#VALUE!</v>
      </c>
      <c r="G40" s="8" t="str">
        <f t="shared" si="2"/>
        <v>#VALUE!</v>
      </c>
      <c r="H40" s="8" t="str">
        <f t="shared" si="5"/>
        <v>#VALUE!</v>
      </c>
      <c r="AA40" s="334"/>
      <c r="AB40" s="335"/>
      <c r="AC40" s="8"/>
      <c r="AD40" s="8"/>
      <c r="AE40" s="8"/>
      <c r="AF40" s="8"/>
      <c r="AG40" s="8"/>
    </row>
    <row r="41">
      <c r="A41" s="334">
        <v>32.0</v>
      </c>
      <c r="B41" s="335">
        <f t="shared" si="11"/>
        <v>45656</v>
      </c>
      <c r="C41" s="8" t="str">
        <f>SUMIFS(Loads!$AJ:$AJ,#REF!,"="&amp;C$3,#REF!,"&gt;"&amp;$B40,#REF!,"&lt;="&amp;$B41)</f>
        <v>#VALUE!</v>
      </c>
      <c r="D41" s="8"/>
      <c r="E41" s="8" t="str">
        <f>SUMIFS(Loads!$AJ:$AJ,#REF!,"="&amp;E$3,#REF!,"&gt;"&amp;$B40,#REF!,"&lt;="&amp;$B41)</f>
        <v>#VALUE!</v>
      </c>
      <c r="F41" s="8" t="str">
        <f>SUMIFS(Loads!$AJ:$AJ,#REF!,"="&amp;F$3,#REF!,"&gt;"&amp;$B40,#REF!,"&lt;="&amp;$B41)</f>
        <v>#VALUE!</v>
      </c>
      <c r="G41" s="8" t="str">
        <f t="shared" si="2"/>
        <v>#VALUE!</v>
      </c>
      <c r="H41" s="8" t="str">
        <f t="shared" si="5"/>
        <v>#VALUE!</v>
      </c>
      <c r="AA41" s="334"/>
      <c r="AB41" s="335"/>
      <c r="AC41" s="8"/>
      <c r="AD41" s="8"/>
      <c r="AE41" s="8"/>
      <c r="AF41" s="8"/>
      <c r="AG41" s="8"/>
    </row>
    <row r="42">
      <c r="A42" s="334">
        <v>33.0</v>
      </c>
      <c r="B42" s="335">
        <f t="shared" si="11"/>
        <v>45663</v>
      </c>
      <c r="C42" s="8" t="str">
        <f>SUMIFS(Loads!$AJ:$AJ,#REF!,"="&amp;C$3,#REF!,"&gt;"&amp;$B41,#REF!,"&lt;="&amp;$B42)</f>
        <v>#VALUE!</v>
      </c>
      <c r="D42" s="8"/>
      <c r="E42" s="8" t="str">
        <f>SUMIFS(Loads!$AJ:$AJ,#REF!,"="&amp;E$3,#REF!,"&gt;"&amp;$B41,#REF!,"&lt;="&amp;$B42)</f>
        <v>#VALUE!</v>
      </c>
      <c r="F42" s="8" t="str">
        <f>SUMIFS(Loads!$AJ:$AJ,#REF!,"="&amp;F$3,#REF!,"&gt;"&amp;$B41,#REF!,"&lt;="&amp;$B42)</f>
        <v>#VALUE!</v>
      </c>
      <c r="G42" s="8" t="str">
        <f t="shared" si="2"/>
        <v>#VALUE!</v>
      </c>
      <c r="H42" s="8" t="str">
        <f t="shared" si="5"/>
        <v>#VALUE!</v>
      </c>
      <c r="AA42" s="334"/>
      <c r="AB42" s="335"/>
      <c r="AC42" s="8"/>
      <c r="AD42" s="8"/>
      <c r="AE42" s="8"/>
      <c r="AF42" s="8"/>
      <c r="AG42" s="8"/>
    </row>
    <row r="43">
      <c r="A43" s="334">
        <v>34.0</v>
      </c>
      <c r="B43" s="335">
        <f t="shared" si="11"/>
        <v>45670</v>
      </c>
      <c r="C43" s="8" t="str">
        <f>SUMIFS(Loads!$AJ:$AJ,#REF!,"="&amp;C$3,#REF!,"&gt;"&amp;$B42,#REF!,"&lt;="&amp;$B43)</f>
        <v>#VALUE!</v>
      </c>
      <c r="D43" s="8"/>
      <c r="E43" s="8" t="str">
        <f>SUMIFS(Loads!$AJ:$AJ,#REF!,"="&amp;E$3,#REF!,"&gt;"&amp;$B42,#REF!,"&lt;="&amp;$B43)</f>
        <v>#VALUE!</v>
      </c>
      <c r="F43" s="8" t="str">
        <f>SUMIFS(Loads!$AJ:$AJ,#REF!,"="&amp;F$3,#REF!,"&gt;"&amp;$B42,#REF!,"&lt;="&amp;$B43)</f>
        <v>#VALUE!</v>
      </c>
      <c r="G43" s="8" t="str">
        <f t="shared" si="2"/>
        <v>#VALUE!</v>
      </c>
      <c r="H43" s="8" t="str">
        <f t="shared" si="5"/>
        <v>#VALUE!</v>
      </c>
      <c r="AA43" s="334"/>
      <c r="AB43" s="335"/>
      <c r="AC43" s="8"/>
      <c r="AD43" s="8"/>
      <c r="AE43" s="8"/>
      <c r="AF43" s="8"/>
      <c r="AG43" s="8"/>
    </row>
    <row r="44">
      <c r="A44" s="334">
        <v>35.0</v>
      </c>
      <c r="B44" s="335">
        <f t="shared" si="11"/>
        <v>45677</v>
      </c>
      <c r="C44" s="8" t="str">
        <f>SUMIFS(Loads!$AJ:$AJ,#REF!,"="&amp;C$3,#REF!,"&gt;"&amp;$B43,#REF!,"&lt;="&amp;$B44)</f>
        <v>#VALUE!</v>
      </c>
      <c r="D44" s="8"/>
      <c r="E44" s="8" t="str">
        <f>SUMIFS(Loads!$AJ:$AJ,#REF!,"="&amp;E$3,#REF!,"&gt;"&amp;$B43,#REF!,"&lt;="&amp;$B44)</f>
        <v>#VALUE!</v>
      </c>
      <c r="F44" s="8" t="str">
        <f>SUMIFS(Loads!$AJ:$AJ,#REF!,"="&amp;F$3,#REF!,"&gt;"&amp;$B43,#REF!,"&lt;="&amp;$B44)</f>
        <v>#VALUE!</v>
      </c>
      <c r="G44" s="8" t="str">
        <f t="shared" si="2"/>
        <v>#VALUE!</v>
      </c>
      <c r="H44" s="8" t="str">
        <f t="shared" si="5"/>
        <v>#VALUE!</v>
      </c>
      <c r="AA44" s="334"/>
      <c r="AB44" s="335"/>
      <c r="AC44" s="8"/>
      <c r="AD44" s="8"/>
      <c r="AE44" s="8"/>
      <c r="AF44" s="8"/>
      <c r="AG44" s="8"/>
    </row>
    <row r="45">
      <c r="A45" s="334">
        <v>36.0</v>
      </c>
      <c r="B45" s="335">
        <f t="shared" si="11"/>
        <v>45684</v>
      </c>
      <c r="C45" s="8" t="str">
        <f>SUMIFS(Loads!$AJ:$AJ,#REF!,"="&amp;C$3,#REF!,"&gt;"&amp;$B44,#REF!,"&lt;="&amp;$B45)</f>
        <v>#VALUE!</v>
      </c>
      <c r="D45" s="8"/>
      <c r="E45" s="8" t="str">
        <f>SUMIFS(Loads!$AJ:$AJ,#REF!,"="&amp;E$3,#REF!,"&gt;"&amp;$B44,#REF!,"&lt;="&amp;$B45)</f>
        <v>#VALUE!</v>
      </c>
      <c r="F45" s="8" t="str">
        <f>SUMIFS(Loads!$AJ:$AJ,#REF!,"="&amp;F$3,#REF!,"&gt;"&amp;$B44,#REF!,"&lt;="&amp;$B45)</f>
        <v>#VALUE!</v>
      </c>
      <c r="G45" s="8" t="str">
        <f t="shared" si="2"/>
        <v>#VALUE!</v>
      </c>
      <c r="H45" s="8" t="str">
        <f t="shared" si="5"/>
        <v>#VALUE!</v>
      </c>
      <c r="AA45" s="334"/>
      <c r="AB45" s="335"/>
      <c r="AC45" s="8"/>
      <c r="AD45" s="8"/>
      <c r="AE45" s="8"/>
      <c r="AF45" s="8"/>
      <c r="AG45" s="8"/>
    </row>
    <row r="46">
      <c r="A46" s="334">
        <v>37.0</v>
      </c>
      <c r="B46" s="335">
        <f t="shared" si="11"/>
        <v>45691</v>
      </c>
      <c r="C46" s="8" t="str">
        <f>SUMIFS(Loads!$AJ:$AJ,#REF!,"="&amp;C$3,#REF!,"&gt;"&amp;$B45,#REF!,"&lt;="&amp;$B46)</f>
        <v>#VALUE!</v>
      </c>
      <c r="D46" s="8"/>
      <c r="E46" s="8" t="str">
        <f>SUMIFS(Loads!$AJ:$AJ,#REF!,"="&amp;E$3,#REF!,"&gt;"&amp;$B45,#REF!,"&lt;="&amp;$B46)</f>
        <v>#VALUE!</v>
      </c>
      <c r="F46" s="8" t="str">
        <f>SUMIFS(Loads!$AJ:$AJ,#REF!,"="&amp;F$3,#REF!,"&gt;"&amp;$B45,#REF!,"&lt;="&amp;$B46)</f>
        <v>#VALUE!</v>
      </c>
      <c r="G46" s="8" t="str">
        <f t="shared" si="2"/>
        <v>#VALUE!</v>
      </c>
      <c r="H46" s="8" t="str">
        <f t="shared" si="5"/>
        <v>#VALUE!</v>
      </c>
      <c r="AA46" s="334"/>
      <c r="AB46" s="335"/>
      <c r="AC46" s="8"/>
      <c r="AD46" s="8"/>
      <c r="AE46" s="8"/>
      <c r="AF46" s="8"/>
      <c r="AG46" s="8"/>
    </row>
    <row r="47">
      <c r="AB47" s="335"/>
      <c r="AC47" s="8"/>
      <c r="AD47" s="8"/>
      <c r="AE47" s="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3.38"/>
    <col hidden="1" min="2" max="5" width="12.63"/>
    <col customWidth="1" hidden="1" min="6" max="8" width="12.63"/>
    <col hidden="1" min="9" max="18" width="12.63"/>
    <col customWidth="1" min="20" max="24" width="10.13"/>
    <col customWidth="1" min="26" max="26" width="21.13"/>
  </cols>
  <sheetData>
    <row r="1">
      <c r="A1" s="327"/>
      <c r="B1" s="328"/>
      <c r="C1" s="329" t="s">
        <v>1904</v>
      </c>
      <c r="I1" s="327"/>
      <c r="J1" s="327"/>
      <c r="K1" s="329" t="s">
        <v>2267</v>
      </c>
      <c r="S1" s="327"/>
      <c r="T1" s="329"/>
      <c r="U1" s="329" t="s">
        <v>2270</v>
      </c>
      <c r="Y1" s="327"/>
      <c r="Z1" s="327"/>
      <c r="AA1" s="327"/>
      <c r="AB1" s="328"/>
      <c r="AC1" s="329" t="s">
        <v>2271</v>
      </c>
    </row>
    <row r="2">
      <c r="A2" s="330"/>
      <c r="B2" s="331" t="s">
        <v>1907</v>
      </c>
      <c r="C2" s="331" t="s">
        <v>1436</v>
      </c>
      <c r="D2" s="333" t="s">
        <v>2268</v>
      </c>
      <c r="E2" s="331" t="s">
        <v>1431</v>
      </c>
      <c r="F2" s="331" t="s">
        <v>1365</v>
      </c>
      <c r="G2" s="331" t="s">
        <v>1908</v>
      </c>
      <c r="H2" s="332" t="s">
        <v>1909</v>
      </c>
      <c r="I2" s="330"/>
      <c r="J2" s="331" t="s">
        <v>1910</v>
      </c>
      <c r="K2" s="331" t="s">
        <v>1436</v>
      </c>
      <c r="L2" s="333" t="s">
        <v>2268</v>
      </c>
      <c r="M2" s="331" t="s">
        <v>1431</v>
      </c>
      <c r="N2" s="331" t="s">
        <v>1365</v>
      </c>
      <c r="O2" s="331" t="s">
        <v>1908</v>
      </c>
      <c r="P2" s="332" t="s">
        <v>1909</v>
      </c>
      <c r="S2" s="331" t="s">
        <v>1910</v>
      </c>
      <c r="T2" s="333" t="s">
        <v>1436</v>
      </c>
      <c r="U2" s="331" t="s">
        <v>1431</v>
      </c>
      <c r="V2" s="331" t="s">
        <v>1365</v>
      </c>
      <c r="W2" s="331" t="s">
        <v>1908</v>
      </c>
      <c r="X2" s="332" t="s">
        <v>1909</v>
      </c>
      <c r="Y2" s="330"/>
      <c r="Z2" s="330"/>
      <c r="AA2" s="330"/>
      <c r="AB2" s="331" t="s">
        <v>1907</v>
      </c>
      <c r="AC2" s="331" t="s">
        <v>1436</v>
      </c>
      <c r="AD2" s="331" t="s">
        <v>1431</v>
      </c>
      <c r="AE2" s="331" t="s">
        <v>1365</v>
      </c>
      <c r="AF2" s="331" t="s">
        <v>1908</v>
      </c>
      <c r="AG2" s="332" t="s">
        <v>1909</v>
      </c>
    </row>
    <row r="3">
      <c r="A3" s="334">
        <v>-5.0</v>
      </c>
      <c r="B3" s="335">
        <f t="shared" ref="B3:B7" si="1">$B$8+(7*A3)</f>
        <v>45397</v>
      </c>
      <c r="C3" s="8"/>
      <c r="D3" s="8" t="str">
        <f>SUMIFS(Loads!$AJ:$AJ,#REF!,"="&amp;D$2,#REF!,"&gt;"&amp;$B2,#REF!,"&lt;="&amp;$B3)</f>
        <v>#VALUE!</v>
      </c>
      <c r="E3" s="8" t="str">
        <f>SUMIFS(Loads!$AJ:$AJ,#REF!,"="&amp;E$2,#REF!,"&lt;="&amp;$B3)</f>
        <v>#VALUE!</v>
      </c>
      <c r="F3" s="8" t="str">
        <f>SUMIFS(Loads!$AJ:$AJ,#REF!,"="&amp;F$2,#REF!,"&lt;="&amp;$B3)</f>
        <v>#VALUE!</v>
      </c>
      <c r="G3" s="8" t="str">
        <f t="shared" ref="G3:G45" si="2">SUM(C3:F3)</f>
        <v>#VALUE!</v>
      </c>
      <c r="H3" s="8" t="str">
        <f>G3</f>
        <v>#VALUE!</v>
      </c>
      <c r="J3" s="481"/>
      <c r="P3" s="337"/>
      <c r="R3" s="8"/>
      <c r="S3" s="336">
        <f t="shared" ref="S3:S8" si="3">S4-DAY(S4-1)</f>
        <v>45962</v>
      </c>
      <c r="T3" s="8"/>
      <c r="U3" s="8"/>
      <c r="V3" s="8"/>
      <c r="W3" s="172"/>
      <c r="X3" s="172"/>
      <c r="Y3" s="415"/>
      <c r="Z3" s="82"/>
      <c r="AA3" s="334">
        <v>-5.0</v>
      </c>
      <c r="AB3" s="335">
        <f t="shared" ref="AB3:AB7" si="4">$AB$8+(7*AA3)</f>
        <v>46111</v>
      </c>
      <c r="AC3" s="8">
        <f t="shared" ref="AC3:AC8" si="5">0</f>
        <v>0</v>
      </c>
      <c r="AD3" s="8" t="str">
        <f>SUMIFS(#REF!,Blends!$E:$E,"=Production", Blends!$G:$G,"="&amp;U$2, Blends!$C:$C,"&gt;="&amp;$AB3, Blends!$C:$C,"&lt;"&amp;$AB4)</f>
        <v>#N/A</v>
      </c>
      <c r="AE3" s="8" t="str">
        <f>SUMIFS(#REF!,Blends!$E:$E,"=Production", Blends!$G:$G,"="&amp;V$2, Blends!$C:$C,"&gt;="&amp;$AB3, Blends!$C:$C,"&lt;"&amp;$AB4)</f>
        <v>#N/A</v>
      </c>
      <c r="AF3" s="8" t="str">
        <f t="shared" ref="AF3:AF20" si="6">SUM(AC3:AE3)</f>
        <v>#N/A</v>
      </c>
      <c r="AG3" s="8" t="str">
        <f>AF3+SUMIFS('Injection Forecast'!$F:$F,'Injection Forecast'!$C:$C,"&lt;"&amp;$AB3)</f>
        <v>#N/A</v>
      </c>
    </row>
    <row r="4">
      <c r="A4" s="334">
        <v>-4.0</v>
      </c>
      <c r="B4" s="335">
        <f t="shared" si="1"/>
        <v>45404</v>
      </c>
      <c r="C4" s="8"/>
      <c r="D4" s="8" t="str">
        <f>SUMIFS(Loads!$AJ:$AJ,#REF!,"="&amp;D$2,#REF!,"&gt;"&amp;$B3,#REF!,"&lt;="&amp;$B4)</f>
        <v>#VALUE!</v>
      </c>
      <c r="E4" s="8" t="str">
        <f>SUMIFS(Loads!$AJ:$AJ,#REF!,"="&amp;E$2,#REF!,"&gt;"&amp;$B3,#REF!,"&lt;="&amp;$B4)</f>
        <v>#VALUE!</v>
      </c>
      <c r="F4" s="8" t="str">
        <f>SUMIFS(Loads!$AJ:$AJ,#REF!,"="&amp;F$2,#REF!,"&gt;"&amp;$B3,#REF!,"&lt;="&amp;$B4)</f>
        <v>#VALUE!</v>
      </c>
      <c r="G4" s="8" t="str">
        <f t="shared" si="2"/>
        <v>#VALUE!</v>
      </c>
      <c r="H4" s="8" t="str">
        <f t="shared" ref="H4:H45" si="7">H3+G4</f>
        <v>#VALUE!</v>
      </c>
      <c r="J4" s="481"/>
      <c r="P4" s="337"/>
      <c r="R4" s="8"/>
      <c r="S4" s="336">
        <f t="shared" si="3"/>
        <v>45992</v>
      </c>
      <c r="T4" s="8"/>
      <c r="U4" s="8"/>
      <c r="V4" s="8"/>
      <c r="W4" s="172"/>
      <c r="X4" s="172"/>
      <c r="Y4" s="415"/>
      <c r="Z4" s="82"/>
      <c r="AA4" s="334">
        <v>-4.0</v>
      </c>
      <c r="AB4" s="335">
        <f t="shared" si="4"/>
        <v>46118</v>
      </c>
      <c r="AC4" s="8">
        <f t="shared" si="5"/>
        <v>0</v>
      </c>
      <c r="AD4" s="8" t="str">
        <f>SUMIFS(#REF!,Blends!$E:$E,"=Production", Blends!$G:$G,"="&amp;U$2, Blends!$C:$C,"&gt;="&amp;$AB4, Blends!$C:$C,"&lt;"&amp;$AB5)</f>
        <v>#N/A</v>
      </c>
      <c r="AE4" s="8" t="str">
        <f>SUMIFS(#REF!,Blends!$E:$E,"=Production", Blends!$G:$G,"="&amp;V$2, Blends!$C:$C,"&gt;="&amp;$AB4, Blends!$C:$C,"&lt;"&amp;$AB5)</f>
        <v>#N/A</v>
      </c>
      <c r="AF4" s="8" t="str">
        <f t="shared" si="6"/>
        <v>#N/A</v>
      </c>
      <c r="AG4" s="8" t="str">
        <f t="shared" ref="AG4:AG20" si="8">AG3+AF4</f>
        <v>#N/A</v>
      </c>
    </row>
    <row r="5">
      <c r="A5" s="334">
        <v>-3.0</v>
      </c>
      <c r="B5" s="335">
        <f t="shared" si="1"/>
        <v>45411</v>
      </c>
      <c r="C5" s="8"/>
      <c r="D5" s="8" t="str">
        <f>SUMIFS(Loads!$AJ:$AJ,#REF!,"="&amp;D$2,#REF!,"&gt;"&amp;$B4,#REF!,"&lt;="&amp;$B5)</f>
        <v>#VALUE!</v>
      </c>
      <c r="E5" s="8" t="str">
        <f>SUMIFS(Loads!$AJ:$AJ,#REF!,"="&amp;E$2,#REF!,"&gt;"&amp;$B4,#REF!,"&lt;="&amp;$B5)</f>
        <v>#VALUE!</v>
      </c>
      <c r="F5" s="8" t="str">
        <f>SUMIFS(Loads!$AJ:$AJ,#REF!,"="&amp;F$2,#REF!,"&gt;"&amp;$B4,#REF!,"&lt;="&amp;$B5)</f>
        <v>#VALUE!</v>
      </c>
      <c r="G5" s="8" t="str">
        <f t="shared" si="2"/>
        <v>#VALUE!</v>
      </c>
      <c r="H5" s="8" t="str">
        <f t="shared" si="7"/>
        <v>#VALUE!</v>
      </c>
      <c r="J5" s="336">
        <v>45322.0</v>
      </c>
      <c r="K5" s="8"/>
      <c r="L5" s="8"/>
      <c r="M5" s="8"/>
      <c r="N5" s="8"/>
      <c r="O5" s="172"/>
      <c r="P5" s="172"/>
      <c r="Q5" s="482"/>
      <c r="R5" s="8"/>
      <c r="S5" s="336">
        <f t="shared" si="3"/>
        <v>46023</v>
      </c>
      <c r="T5" s="8">
        <f t="shared" ref="T5:T8" si="9">0</f>
        <v>0</v>
      </c>
      <c r="U5" s="8" t="str">
        <f>SUMIFS(#REF!,Blends!$E:$E,"=Production", Blends!$G:$G,"="&amp;U$2, Blends!$C:$C,"&gt;="&amp;$S5, Blends!$C:$C,"&lt;"&amp;$S6)</f>
        <v>#N/A</v>
      </c>
      <c r="V5" s="8" t="str">
        <f>SUMIFS(#REF!,Blends!$E:$E,"=Production", Blends!$G:$G,"="&amp;V$2, Blends!$C:$C,"&gt;="&amp;$S5, Blends!$C:$C,"&lt;"&amp;$S6)</f>
        <v>#N/A</v>
      </c>
      <c r="W5" s="172" t="str">
        <f t="shared" ref="W5:W14" si="10">SUM(T5:V5)</f>
        <v>#N/A</v>
      </c>
      <c r="X5" s="172" t="str">
        <f t="shared" ref="X5:X14" si="11">X4+W5</f>
        <v>#N/A</v>
      </c>
      <c r="Y5" s="378"/>
      <c r="Z5" s="82"/>
      <c r="AA5" s="334">
        <v>-3.0</v>
      </c>
      <c r="AB5" s="335">
        <f t="shared" si="4"/>
        <v>46125</v>
      </c>
      <c r="AC5" s="8">
        <f t="shared" si="5"/>
        <v>0</v>
      </c>
      <c r="AD5" s="8" t="str">
        <f>SUMIFS(#REF!,Blends!$E:$E,"=Production", Blends!$G:$G,"="&amp;U$2, Blends!$C:$C,"&gt;="&amp;$AB5, Blends!$C:$C,"&lt;"&amp;$AB6)</f>
        <v>#N/A</v>
      </c>
      <c r="AE5" s="8" t="str">
        <f>SUMIFS(#REF!,Blends!$E:$E,"=Production", Blends!$G:$G,"="&amp;V$2, Blends!$C:$C,"&gt;="&amp;$AB5, Blends!$C:$C,"&lt;"&amp;$AB6)</f>
        <v>#N/A</v>
      </c>
      <c r="AF5" s="8" t="str">
        <f t="shared" si="6"/>
        <v>#N/A</v>
      </c>
      <c r="AG5" s="8" t="str">
        <f t="shared" si="8"/>
        <v>#N/A</v>
      </c>
      <c r="AH5" s="483"/>
      <c r="AI5" s="483"/>
    </row>
    <row r="6">
      <c r="A6" s="334">
        <v>-2.0</v>
      </c>
      <c r="B6" s="335">
        <f t="shared" si="1"/>
        <v>45418</v>
      </c>
      <c r="C6" s="8"/>
      <c r="D6" s="8" t="str">
        <f>SUMIFS(Loads!$AJ:$AJ,#REF!,"="&amp;D$2,#REF!,"&gt;"&amp;$B5,#REF!,"&lt;="&amp;$B6)</f>
        <v>#VALUE!</v>
      </c>
      <c r="E6" s="8" t="str">
        <f>SUMIFS(Loads!$AJ:$AJ,#REF!,"="&amp;E$2,#REF!,"&gt;"&amp;$B5,#REF!,"&lt;="&amp;$B6)</f>
        <v>#VALUE!</v>
      </c>
      <c r="F6" s="8" t="str">
        <f>SUMIFS(Loads!$AJ:$AJ,#REF!,"="&amp;F$2,#REF!,"&gt;"&amp;$B5,#REF!,"&lt;="&amp;$B6)</f>
        <v>#VALUE!</v>
      </c>
      <c r="G6" s="8" t="str">
        <f t="shared" si="2"/>
        <v>#VALUE!</v>
      </c>
      <c r="H6" s="8" t="str">
        <f t="shared" si="7"/>
        <v>#VALUE!</v>
      </c>
      <c r="J6" s="336">
        <v>45350.0</v>
      </c>
      <c r="K6" s="8" t="str">
        <f>SUMIFS(Loads!$AJ:$AJ,#REF!,"="&amp;K$2,#REF!,"&gt;"&amp;$J5,#REF!,"&lt;="&amp;$J6)</f>
        <v>#VALUE!</v>
      </c>
      <c r="L6" s="8" t="str">
        <f>SUMIFS(Loads!$AJ:$AJ,#REF!,"="&amp;L$2,#REF!,"&gt;"&amp;$J5,#REF!,"&lt;="&amp;$J6)</f>
        <v>#VALUE!</v>
      </c>
      <c r="M6" s="8" t="str">
        <f>SUMIFS(Loads!$AJ:$AJ,#REF!,"="&amp;M$2,#REF!,"&gt;"&amp;$J5,#REF!,"&lt;="&amp;$J6)</f>
        <v>#VALUE!</v>
      </c>
      <c r="N6" s="8" t="str">
        <f>SUMIFS(Loads!$AJ:$AJ,#REF!,"="&amp;N$2,#REF!,"&gt;"&amp;$J5,#REF!,"&lt;="&amp;$J6)</f>
        <v>#VALUE!</v>
      </c>
      <c r="O6" s="172" t="str">
        <f t="shared" ref="O6:O16" si="12">SUM(K6:N6)</f>
        <v>#VALUE!</v>
      </c>
      <c r="P6" s="172" t="str">
        <f t="shared" ref="P6:P16" si="13">P5+O6</f>
        <v>#VALUE!</v>
      </c>
      <c r="Q6" s="482"/>
      <c r="R6" s="8"/>
      <c r="S6" s="336">
        <f t="shared" si="3"/>
        <v>46054</v>
      </c>
      <c r="T6" s="8">
        <f t="shared" si="9"/>
        <v>0</v>
      </c>
      <c r="U6" s="8" t="str">
        <f>SUMIFS(#REF!,Blends!$E:$E,"=Production", Blends!$G:$G,"="&amp;U$2, Blends!$C:$C,"&gt;="&amp;$S6, Blends!$C:$C,"&lt;"&amp;$S7)</f>
        <v>#N/A</v>
      </c>
      <c r="V6" s="8" t="str">
        <f>SUMIFS(#REF!,Blends!$E:$E,"=Production", Blends!$G:$G,"="&amp;V$2, Blends!$C:$C,"&gt;="&amp;$S6, Blends!$C:$C,"&lt;"&amp;$S7)</f>
        <v>#N/A</v>
      </c>
      <c r="W6" s="172" t="str">
        <f t="shared" si="10"/>
        <v>#N/A</v>
      </c>
      <c r="X6" s="172" t="str">
        <f t="shared" si="11"/>
        <v>#N/A</v>
      </c>
      <c r="Y6" s="378"/>
      <c r="Z6" s="82"/>
      <c r="AA6" s="334">
        <v>-2.0</v>
      </c>
      <c r="AB6" s="335">
        <f t="shared" si="4"/>
        <v>46132</v>
      </c>
      <c r="AC6" s="8">
        <f t="shared" si="5"/>
        <v>0</v>
      </c>
      <c r="AD6" s="8" t="str">
        <f>SUMIFS(#REF!,Blends!$E:$E,"=Production", Blends!$G:$G,"="&amp;U$2, Blends!$C:$C,"&gt;="&amp;$AB6, Blends!$C:$C,"&lt;"&amp;$AB7)</f>
        <v>#N/A</v>
      </c>
      <c r="AE6" s="8" t="str">
        <f>SUMIFS(#REF!,Blends!$E:$E,"=Production", Blends!$G:$G,"="&amp;V$2, Blends!$C:$C,"&gt;="&amp;$AB6, Blends!$C:$C,"&lt;"&amp;$AB7)</f>
        <v>#N/A</v>
      </c>
      <c r="AF6" s="8" t="str">
        <f t="shared" si="6"/>
        <v>#N/A</v>
      </c>
      <c r="AG6" s="8" t="str">
        <f t="shared" si="8"/>
        <v>#N/A</v>
      </c>
      <c r="AH6" s="483"/>
      <c r="AI6" s="483"/>
    </row>
    <row r="7">
      <c r="A7" s="334">
        <v>-1.0</v>
      </c>
      <c r="B7" s="335">
        <f t="shared" si="1"/>
        <v>45425</v>
      </c>
      <c r="C7" s="8" t="str">
        <f>SUMIFS(Loads!$AJ:$AJ,#REF!,"="&amp;C$2,#REF!,"&gt;"&amp;$B6,#REF!,"&lt;="&amp;$B7)</f>
        <v>#VALUE!</v>
      </c>
      <c r="D7" s="8" t="str">
        <f>SUMIFS(Loads!$AJ:$AJ,#REF!,"="&amp;D$2,#REF!,"&gt;"&amp;$B6,#REF!,"&lt;="&amp;$B7)</f>
        <v>#VALUE!</v>
      </c>
      <c r="E7" s="8" t="str">
        <f>SUMIFS(Loads!$AJ:$AJ,#REF!,"="&amp;E$2,#REF!,"&gt;"&amp;$B6,#REF!,"&lt;="&amp;$B7)</f>
        <v>#VALUE!</v>
      </c>
      <c r="F7" s="8" t="str">
        <f>SUMIFS(Loads!$AJ:$AJ,#REF!,"="&amp;F$2,#REF!,"&gt;"&amp;$B6,#REF!,"&lt;="&amp;$B7)</f>
        <v>#VALUE!</v>
      </c>
      <c r="G7" s="8" t="str">
        <f t="shared" si="2"/>
        <v>#VALUE!</v>
      </c>
      <c r="H7" s="8" t="str">
        <f t="shared" si="7"/>
        <v>#VALUE!</v>
      </c>
      <c r="J7" s="336">
        <v>45382.0</v>
      </c>
      <c r="K7" s="8" t="str">
        <f>SUMIFS(Loads!$AJ:$AJ,#REF!,"="&amp;K$2,#REF!,"&gt;"&amp;$J6,#REF!,"&lt;="&amp;$J7)</f>
        <v>#VALUE!</v>
      </c>
      <c r="L7" s="8" t="str">
        <f>SUMIFS(Loads!$AJ:$AJ,#REF!,"="&amp;L$2,#REF!,"&gt;"&amp;$J6,#REF!,"&lt;="&amp;$J7)</f>
        <v>#VALUE!</v>
      </c>
      <c r="M7" s="8" t="str">
        <f>SUMIFS(Loads!$AJ:$AJ,#REF!,"="&amp;M$2,#REF!,"&gt;"&amp;$J6,#REF!,"&lt;="&amp;$J7)</f>
        <v>#VALUE!</v>
      </c>
      <c r="N7" s="8" t="str">
        <f>SUMIFS(Loads!$AJ:$AJ,#REF!,"="&amp;N$2,#REF!,"&gt;"&amp;$J6,#REF!,"&lt;="&amp;$J7)</f>
        <v>#VALUE!</v>
      </c>
      <c r="O7" s="172" t="str">
        <f t="shared" si="12"/>
        <v>#VALUE!</v>
      </c>
      <c r="P7" s="172" t="str">
        <f t="shared" si="13"/>
        <v>#VALUE!</v>
      </c>
      <c r="Q7" s="484"/>
      <c r="R7" s="8"/>
      <c r="S7" s="336">
        <f t="shared" si="3"/>
        <v>46082</v>
      </c>
      <c r="T7" s="8">
        <f t="shared" si="9"/>
        <v>0</v>
      </c>
      <c r="U7" s="8" t="str">
        <f>SUMIFS(#REF!,Blends!$E:$E,"=Production", Blends!$G:$G,"="&amp;U$2, Blends!$C:$C,"&gt;="&amp;$S7, Blends!$C:$C,"&lt;"&amp;$S8)</f>
        <v>#N/A</v>
      </c>
      <c r="V7" s="8" t="str">
        <f>SUMIFS(#REF!,Blends!$E:$E,"=Production", Blends!$G:$G,"="&amp;V$2, Blends!$C:$C,"&gt;="&amp;$S7, Blends!$C:$C,"&lt;"&amp;$S8)</f>
        <v>#N/A</v>
      </c>
      <c r="W7" s="172" t="str">
        <f t="shared" si="10"/>
        <v>#N/A</v>
      </c>
      <c r="X7" s="172" t="str">
        <f t="shared" si="11"/>
        <v>#N/A</v>
      </c>
      <c r="AA7" s="334">
        <v>-1.0</v>
      </c>
      <c r="AB7" s="335">
        <f t="shared" si="4"/>
        <v>46139</v>
      </c>
      <c r="AC7" s="8">
        <f t="shared" si="5"/>
        <v>0</v>
      </c>
      <c r="AD7" s="8" t="str">
        <f>SUMIFS(#REF!,Blends!$E:$E,"=Production", Blends!$G:$G,"="&amp;U$2, Blends!$C:$C,"&gt;="&amp;$AB7, Blends!$C:$C,"&lt;"&amp;$AB8)</f>
        <v>#N/A</v>
      </c>
      <c r="AE7" s="8" t="str">
        <f>SUMIFS(#REF!,Blends!$E:$E,"=Production", Blends!$G:$G,"="&amp;V$2, Blends!$C:$C,"&gt;="&amp;$AB7, Blends!$C:$C,"&lt;"&amp;$AB8)</f>
        <v>#N/A</v>
      </c>
      <c r="AF7" s="8" t="str">
        <f t="shared" si="6"/>
        <v>#N/A</v>
      </c>
      <c r="AG7" s="8" t="str">
        <f t="shared" si="8"/>
        <v>#N/A</v>
      </c>
    </row>
    <row r="8">
      <c r="A8" s="334">
        <v>0.0</v>
      </c>
      <c r="B8" s="338">
        <v>45432.0</v>
      </c>
      <c r="C8" s="8" t="str">
        <f>SUMIFS(Loads!$AJ:$AJ,#REF!,"="&amp;C$2,#REF!,"&gt;"&amp;$B7,#REF!,"&lt;="&amp;$B8)</f>
        <v>#VALUE!</v>
      </c>
      <c r="D8" s="8" t="str">
        <f>SUMIFS(Loads!$AJ:$AJ,#REF!,"="&amp;D$2,#REF!,"&gt;"&amp;$B7,#REF!,"&lt;="&amp;$B8)</f>
        <v>#VALUE!</v>
      </c>
      <c r="E8" s="8" t="str">
        <f>SUMIFS(Loads!$AJ:$AJ,#REF!,"="&amp;E$2,#REF!,"&gt;"&amp;$B7,#REF!,"&lt;="&amp;$B8)</f>
        <v>#VALUE!</v>
      </c>
      <c r="F8" s="8" t="str">
        <f>SUMIFS(Loads!$AJ:$AJ,#REF!,"="&amp;F$2,#REF!,"&gt;"&amp;$B7,#REF!,"&lt;="&amp;$B8)</f>
        <v>#VALUE!</v>
      </c>
      <c r="G8" s="8" t="str">
        <f t="shared" si="2"/>
        <v>#VALUE!</v>
      </c>
      <c r="H8" s="8" t="str">
        <f t="shared" si="7"/>
        <v>#VALUE!</v>
      </c>
      <c r="J8" s="336">
        <v>45412.0</v>
      </c>
      <c r="K8" s="8" t="str">
        <f>SUMIFS(Loads!$AJ:$AJ,#REF!,"="&amp;K$2,#REF!,"&gt;"&amp;$J7,#REF!,"&lt;="&amp;$J8)</f>
        <v>#VALUE!</v>
      </c>
      <c r="L8" s="8" t="str">
        <f>SUMIFS(Loads!$AJ:$AJ,#REF!,"="&amp;L$2,#REF!,"&gt;"&amp;$J7,#REF!,"&lt;="&amp;$J8)</f>
        <v>#VALUE!</v>
      </c>
      <c r="M8" s="8" t="str">
        <f>SUMIFS(Loads!$AJ:$AJ,#REF!,"="&amp;M$2,#REF!,"&gt;"&amp;$J7,#REF!,"&lt;="&amp;$J8)</f>
        <v>#VALUE!</v>
      </c>
      <c r="N8" s="8" t="str">
        <f>SUMIFS(Loads!$AJ:$AJ,#REF!,"="&amp;N$2,#REF!,"&gt;"&amp;$J7,#REF!,"&lt;="&amp;$J8)</f>
        <v>#VALUE!</v>
      </c>
      <c r="O8" s="172" t="str">
        <f t="shared" si="12"/>
        <v>#VALUE!</v>
      </c>
      <c r="P8" s="172" t="str">
        <f t="shared" si="13"/>
        <v>#VALUE!</v>
      </c>
      <c r="Q8" s="484"/>
      <c r="R8" s="337"/>
      <c r="S8" s="336">
        <f t="shared" si="3"/>
        <v>46113</v>
      </c>
      <c r="T8" s="8">
        <f t="shared" si="9"/>
        <v>0</v>
      </c>
      <c r="U8" s="8" t="str">
        <f>SUMIFS(#REF!,Blends!$E:$E,"=Production", Blends!$G:$G,"="&amp;U$2, Blends!$C:$C,"&gt;="&amp;$S8, Blends!$C:$C,"&lt;"&amp;$S9)</f>
        <v>#N/A</v>
      </c>
      <c r="V8" s="8" t="str">
        <f>SUMIFS(#REF!,Blends!$E:$E,"=Production", Blends!$G:$G,"="&amp;V$2, Blends!$C:$C,"&gt;="&amp;$S8, Blends!$C:$C,"&lt;"&amp;$S9)</f>
        <v>#N/A</v>
      </c>
      <c r="W8" s="172" t="str">
        <f t="shared" si="10"/>
        <v>#N/A</v>
      </c>
      <c r="X8" s="172" t="str">
        <f t="shared" si="11"/>
        <v>#N/A</v>
      </c>
      <c r="Y8" s="172"/>
      <c r="AA8" s="334">
        <v>0.0</v>
      </c>
      <c r="AB8" s="338">
        <f>TODAY()-WEEKDAY(TODAY(),3)</f>
        <v>46146</v>
      </c>
      <c r="AC8" s="8">
        <f t="shared" si="5"/>
        <v>0</v>
      </c>
      <c r="AD8" s="8" t="str">
        <f>SUMIFS(#REF!,Blends!$E:$E,"=Production", Blends!$G:$G,"="&amp;U$2, Blends!$C:$C,"&gt;="&amp;$AB8, Blends!$C:$C,"&lt;"&amp;$AB9)</f>
        <v>#N/A</v>
      </c>
      <c r="AE8" s="8" t="str">
        <f>SUMIFS(#REF!,Blends!$E:$E,"=Production", Blends!$G:$G,"="&amp;V$2, Blends!$C:$C,"&gt;="&amp;$AB8, Blends!$C:$C,"&lt;"&amp;$AB9)</f>
        <v>#N/A</v>
      </c>
      <c r="AF8" s="8" t="str">
        <f t="shared" si="6"/>
        <v>#N/A</v>
      </c>
      <c r="AG8" s="8" t="str">
        <f t="shared" si="8"/>
        <v>#N/A</v>
      </c>
    </row>
    <row r="9">
      <c r="A9" s="334">
        <v>1.0</v>
      </c>
      <c r="B9" s="335">
        <f t="shared" ref="B9:B45" si="14">$B$8+(7*A9)</f>
        <v>45439</v>
      </c>
      <c r="C9" s="8" t="str">
        <f>SUMIFS(Loads!$AJ:$AJ,#REF!,"="&amp;C$2,#REF!,"&gt;"&amp;$B8,#REF!,"&lt;="&amp;$B9)</f>
        <v>#VALUE!</v>
      </c>
      <c r="D9" s="8" t="str">
        <f>SUMIFS(Loads!$AJ:$AJ,#REF!,"="&amp;D$2,#REF!,"&gt;"&amp;$B8,#REF!,"&lt;="&amp;$B9)</f>
        <v>#VALUE!</v>
      </c>
      <c r="E9" s="8" t="str">
        <f>SUMIFS(Loads!$AJ:$AJ,#REF!,"="&amp;E$2,#REF!,"&gt;"&amp;$B8,#REF!,"&lt;="&amp;$B9)</f>
        <v>#VALUE!</v>
      </c>
      <c r="F9" s="8" t="str">
        <f>SUMIFS(Loads!$AJ:$AJ,#REF!,"="&amp;F$2,#REF!,"&gt;"&amp;$B8,#REF!,"&lt;="&amp;$B9)</f>
        <v>#VALUE!</v>
      </c>
      <c r="G9" s="8" t="str">
        <f t="shared" si="2"/>
        <v>#VALUE!</v>
      </c>
      <c r="H9" s="8" t="str">
        <f t="shared" si="7"/>
        <v>#VALUE!</v>
      </c>
      <c r="J9" s="336">
        <v>45443.0</v>
      </c>
      <c r="K9" s="8" t="str">
        <f>SUMIFS(Loads!$AJ:$AJ,#REF!,"="&amp;K$2,#REF!,"&gt;"&amp;$J8,#REF!,"&lt;="&amp;$J9)</f>
        <v>#VALUE!</v>
      </c>
      <c r="L9" s="8" t="str">
        <f>SUMIFS(Loads!$AJ:$AJ,#REF!,"="&amp;L$2,#REF!,"&gt;"&amp;$J8,#REF!,"&lt;="&amp;$J9)</f>
        <v>#VALUE!</v>
      </c>
      <c r="M9" s="8" t="str">
        <f>SUMIFS(Loads!$AJ:$AJ,#REF!,"="&amp;M$2,#REF!,"&gt;"&amp;$J8,#REF!,"&lt;="&amp;$J9)</f>
        <v>#VALUE!</v>
      </c>
      <c r="N9" s="8" t="str">
        <f>SUMIFS(Loads!$AJ:$AJ,#REF!,"="&amp;N$2,#REF!,"&gt;"&amp;$J8,#REF!,"&lt;="&amp;$J9)</f>
        <v>#VALUE!</v>
      </c>
      <c r="O9" s="172" t="str">
        <f t="shared" si="12"/>
        <v>#VALUE!</v>
      </c>
      <c r="P9" s="172" t="str">
        <f t="shared" si="13"/>
        <v>#VALUE!</v>
      </c>
      <c r="Q9" s="484"/>
      <c r="R9" s="337"/>
      <c r="S9" s="490">
        <f>TODAY()-DAY(TODAY())+1</f>
        <v>46143</v>
      </c>
      <c r="T9" s="8">
        <f>Constants!$B$38*SUMIFS(Forecast!$B:$B, Forecast!$A:$A,"&gt;="&amp;$S9, Forecast!$A:$A,"&lt;"&amp;$S10)</f>
        <v>0</v>
      </c>
      <c r="U9" s="8" t="str">
        <f>SUMIFS(#REF!,Blends!$E:$E,"=Production", Blends!$G:$G,"="&amp;U$2, Blends!$C:$C,"&gt;="&amp;$S9, Blends!$C:$C,"&lt;"&amp;$S10)</f>
        <v>#N/A</v>
      </c>
      <c r="V9" s="8" t="str">
        <f>SUMIFS(#REF!,Blends!$E:$E,"=Production", Blends!$G:$G,"="&amp;V$2, Blends!$C:$C,"&gt;="&amp;$S9, Blends!$C:$C,"&lt;"&amp;$S10)</f>
        <v>#N/A</v>
      </c>
      <c r="W9" s="172" t="str">
        <f t="shared" si="10"/>
        <v>#N/A</v>
      </c>
      <c r="X9" s="172" t="str">
        <f t="shared" si="11"/>
        <v>#N/A</v>
      </c>
      <c r="AA9" s="334">
        <v>1.0</v>
      </c>
      <c r="AB9" s="335">
        <f t="shared" ref="AB9:AB21" si="15">$AB$8+(7*AA9)</f>
        <v>46153</v>
      </c>
      <c r="AC9" s="8">
        <f>Constants!$B$38*SUMIFS(Forecast!$B:$B, Forecast!$A:$A,"&gt;="&amp;$AB9, Forecast!$A:$A,"&lt;"&amp;$AB10)</f>
        <v>0</v>
      </c>
      <c r="AD9" s="8" t="str">
        <f>SUMIFS(#REF!,Blends!$E:$E,"=Production", Blends!$G:$G,"="&amp;U$2, Blends!$C:$C,"&gt;="&amp;$AB9, Blends!$C:$C,"&lt;"&amp;$AB10)</f>
        <v>#N/A</v>
      </c>
      <c r="AE9" s="8" t="str">
        <f>SUMIFS(#REF!,Blends!$E:$E,"=Production", Blends!$G:$G,"="&amp;V$2, Blends!$C:$C,"&gt;="&amp;$AB9, Blends!$C:$C,"&lt;"&amp;$AB10)</f>
        <v>#N/A</v>
      </c>
      <c r="AF9" s="8" t="str">
        <f t="shared" si="6"/>
        <v>#N/A</v>
      </c>
      <c r="AG9" s="8" t="str">
        <f t="shared" si="8"/>
        <v>#N/A</v>
      </c>
    </row>
    <row r="10">
      <c r="A10" s="334">
        <v>2.0</v>
      </c>
      <c r="B10" s="335">
        <f t="shared" si="14"/>
        <v>45446</v>
      </c>
      <c r="C10" s="8" t="str">
        <f>SUMIFS(Loads!$AJ:$AJ,#REF!,"="&amp;C$2,#REF!,"&gt;"&amp;$B9,#REF!,"&lt;="&amp;$B10)</f>
        <v>#VALUE!</v>
      </c>
      <c r="D10" s="8" t="str">
        <f>SUMIFS(Loads!$AJ:$AJ,#REF!,"="&amp;D$2,#REF!,"&gt;"&amp;$B9,#REF!,"&lt;="&amp;$B10)</f>
        <v>#VALUE!</v>
      </c>
      <c r="E10" s="8" t="str">
        <f>SUMIFS(Loads!$AJ:$AJ,#REF!,"="&amp;E$2,#REF!,"&gt;"&amp;$B9,#REF!,"&lt;="&amp;$B10)</f>
        <v>#VALUE!</v>
      </c>
      <c r="F10" s="8" t="str">
        <f>SUMIFS(Loads!$AJ:$AJ,#REF!,"="&amp;F$2,#REF!,"&gt;"&amp;$B9,#REF!,"&lt;="&amp;$B10)</f>
        <v>#VALUE!</v>
      </c>
      <c r="G10" s="8" t="str">
        <f t="shared" si="2"/>
        <v>#VALUE!</v>
      </c>
      <c r="H10" s="8" t="str">
        <f t="shared" si="7"/>
        <v>#VALUE!</v>
      </c>
      <c r="J10" s="336">
        <v>45473.0</v>
      </c>
      <c r="K10" s="8" t="str">
        <f>SUMIFS(Loads!$AJ:$AJ,#REF!,"="&amp;K$2,#REF!,"&gt;"&amp;$J9,#REF!,"&lt;="&amp;$J10)</f>
        <v>#VALUE!</v>
      </c>
      <c r="L10" s="8" t="str">
        <f>SUMIFS(Loads!$AJ:$AJ,#REF!,"="&amp;L$2,#REF!,"&gt;"&amp;$J9,#REF!,"&lt;="&amp;$J10)</f>
        <v>#VALUE!</v>
      </c>
      <c r="M10" s="8" t="str">
        <f>SUMIFS(Loads!$AJ:$AJ,#REF!,"="&amp;M$2,#REF!,"&gt;"&amp;$J9,#REF!,"&lt;="&amp;$J10)</f>
        <v>#VALUE!</v>
      </c>
      <c r="N10" s="8" t="str">
        <f>SUMIFS(Loads!$AJ:$AJ,#REF!,"="&amp;N$2,#REF!,"&gt;"&amp;$J9,#REF!,"&lt;="&amp;$J10)</f>
        <v>#VALUE!</v>
      </c>
      <c r="O10" s="172" t="str">
        <f t="shared" si="12"/>
        <v>#VALUE!</v>
      </c>
      <c r="P10" s="172" t="str">
        <f t="shared" si="13"/>
        <v>#VALUE!</v>
      </c>
      <c r="Q10" s="484"/>
      <c r="R10" s="337"/>
      <c r="S10" s="336">
        <f t="shared" ref="S10:S14" si="16">S9-DAY(S9)+35-DAY(S9-DAY(S9)+35)+1</f>
        <v>46174</v>
      </c>
      <c r="T10" s="8">
        <f>Constants!$B$38*SUMIFS(Forecast!$B:$B, Forecast!$A:$A,"&gt;="&amp;$S10, Forecast!$A:$A,"&lt;"&amp;$S11)</f>
        <v>0</v>
      </c>
      <c r="U10" s="8" t="str">
        <f>SUMIFS(#REF!,Blends!$E:$E,"=Production", Blends!$G:$G,"="&amp;U$2, Blends!$C:$C,"&gt;="&amp;$S10, Blends!$C:$C,"&lt;"&amp;$S11)</f>
        <v>#N/A</v>
      </c>
      <c r="V10" s="8" t="str">
        <f>SUMIFS(#REF!,Blends!$E:$E,"=Production", Blends!$G:$G,"="&amp;V$2, Blends!$C:$C,"&gt;="&amp;$S10, Blends!$C:$C,"&lt;"&amp;$S11)</f>
        <v>#N/A</v>
      </c>
      <c r="W10" s="172" t="str">
        <f t="shared" si="10"/>
        <v>#N/A</v>
      </c>
      <c r="X10" s="172" t="str">
        <f t="shared" si="11"/>
        <v>#N/A</v>
      </c>
      <c r="AA10" s="334">
        <v>2.0</v>
      </c>
      <c r="AB10" s="335">
        <f t="shared" si="15"/>
        <v>46160</v>
      </c>
      <c r="AC10" s="8">
        <f>Constants!$B$38*SUMIFS(Forecast!$B:$B, Forecast!$A:$A,"&gt;="&amp;$AB10, Forecast!$A:$A,"&lt;"&amp;$AB11)</f>
        <v>0</v>
      </c>
      <c r="AD10" s="8" t="str">
        <f>SUMIFS(#REF!,Blends!$E:$E,"=Production", Blends!$G:$G,"="&amp;U$2, Blends!$C:$C,"&gt;="&amp;$AB10, Blends!$C:$C,"&lt;"&amp;$AB11)</f>
        <v>#N/A</v>
      </c>
      <c r="AE10" s="8" t="str">
        <f>SUMIFS(#REF!,Blends!$E:$E,"=Production", Blends!$G:$G,"="&amp;V$2, Blends!$C:$C,"&gt;="&amp;$AB10, Blends!$C:$C,"&lt;"&amp;$AB11)</f>
        <v>#N/A</v>
      </c>
      <c r="AF10" s="8" t="str">
        <f t="shared" si="6"/>
        <v>#N/A</v>
      </c>
      <c r="AG10" s="8" t="str">
        <f t="shared" si="8"/>
        <v>#N/A</v>
      </c>
    </row>
    <row r="11">
      <c r="A11" s="334">
        <v>3.0</v>
      </c>
      <c r="B11" s="335">
        <f t="shared" si="14"/>
        <v>45453</v>
      </c>
      <c r="C11" s="8" t="str">
        <f>SUMIFS(Loads!$AJ:$AJ,#REF!,"="&amp;C$2,#REF!,"&gt;"&amp;$B10,#REF!,"&lt;="&amp;$B11)</f>
        <v>#VALUE!</v>
      </c>
      <c r="D11" s="8" t="str">
        <f>SUMIFS(Loads!$AJ:$AJ,#REF!,"="&amp;D$2,#REF!,"&gt;"&amp;$B10,#REF!,"&lt;="&amp;$B11)</f>
        <v>#VALUE!</v>
      </c>
      <c r="E11" s="8" t="str">
        <f>SUMIFS(Loads!$AJ:$AJ,#REF!,"="&amp;E$2,#REF!,"&gt;"&amp;$B10,#REF!,"&lt;="&amp;$B11)</f>
        <v>#VALUE!</v>
      </c>
      <c r="F11" s="8" t="str">
        <f>SUMIFS(Loads!$AJ:$AJ,#REF!,"="&amp;F$2,#REF!,"&gt;"&amp;$B10,#REF!,"&lt;="&amp;$B11)</f>
        <v>#VALUE!</v>
      </c>
      <c r="G11" s="8" t="str">
        <f t="shared" si="2"/>
        <v>#VALUE!</v>
      </c>
      <c r="H11" s="8" t="str">
        <f t="shared" si="7"/>
        <v>#VALUE!</v>
      </c>
      <c r="J11" s="336">
        <v>45504.0</v>
      </c>
      <c r="K11" s="8" t="str">
        <f>SUMIFS(Loads!$AJ:$AJ,#REF!,"="&amp;K$2,#REF!,"&gt;"&amp;$J10,#REF!,"&lt;="&amp;$J11)</f>
        <v>#VALUE!</v>
      </c>
      <c r="L11" s="8" t="str">
        <f>SUMIFS(Loads!$AJ:$AJ,#REF!,"="&amp;L$2,#REF!,"&gt;"&amp;$J10,#REF!,"&lt;="&amp;$J11)</f>
        <v>#VALUE!</v>
      </c>
      <c r="M11" s="8" t="str">
        <f>SUMIFS(Loads!$AJ:$AJ,#REF!,"="&amp;M$2,#REF!,"&gt;"&amp;$J10,#REF!,"&lt;="&amp;$J11)</f>
        <v>#VALUE!</v>
      </c>
      <c r="N11" s="8" t="str">
        <f>SUMIFS(Loads!$AJ:$AJ,#REF!,"="&amp;N$2,#REF!,"&gt;"&amp;$J10,#REF!,"&lt;="&amp;$J11)</f>
        <v>#VALUE!</v>
      </c>
      <c r="O11" s="172" t="str">
        <f t="shared" si="12"/>
        <v>#VALUE!</v>
      </c>
      <c r="P11" s="172" t="str">
        <f t="shared" si="13"/>
        <v>#VALUE!</v>
      </c>
      <c r="Q11" s="482"/>
      <c r="R11" s="337"/>
      <c r="S11" s="336">
        <f t="shared" si="16"/>
        <v>46204</v>
      </c>
      <c r="T11" s="8">
        <f>Constants!$B$38*SUMIFS(Forecast!$B:$B, Forecast!$A:$A,"&gt;="&amp;$S11, Forecast!$A:$A,"&lt;"&amp;$S12)</f>
        <v>0</v>
      </c>
      <c r="U11" s="8" t="str">
        <f>SUMIFS(#REF!,Blends!$E:$E,"=Production", Blends!$G:$G,"="&amp;U$2, Blends!$C:$C,"&gt;="&amp;$S11, Blends!$C:$C,"&lt;"&amp;$S12)</f>
        <v>#N/A</v>
      </c>
      <c r="V11" s="8" t="str">
        <f>SUMIFS(#REF!,Blends!$E:$E,"=Production", Blends!$G:$G,"="&amp;V$2, Blends!$C:$C,"&gt;="&amp;$S11, Blends!$C:$C,"&lt;"&amp;$S12)</f>
        <v>#N/A</v>
      </c>
      <c r="W11" s="172" t="str">
        <f t="shared" si="10"/>
        <v>#N/A</v>
      </c>
      <c r="X11" s="172" t="str">
        <f t="shared" si="11"/>
        <v>#N/A</v>
      </c>
      <c r="AA11" s="334">
        <v>3.0</v>
      </c>
      <c r="AB11" s="335">
        <f t="shared" si="15"/>
        <v>46167</v>
      </c>
      <c r="AC11" s="8">
        <f>Constants!$B$38*SUMIFS(Forecast!$B:$B, Forecast!$A:$A,"&gt;="&amp;$AB11, Forecast!$A:$A,"&lt;"&amp;$AB12)</f>
        <v>0</v>
      </c>
      <c r="AD11" s="8" t="str">
        <f>SUMIFS(#REF!,Blends!$E:$E,"=Production", Blends!$G:$G,"="&amp;U$2, Blends!$C:$C,"&gt;="&amp;$AB11, Blends!$C:$C,"&lt;"&amp;$AB12)</f>
        <v>#N/A</v>
      </c>
      <c r="AE11" s="8" t="str">
        <f>SUMIFS(#REF!,Blends!$E:$E,"=Production", Blends!$G:$G,"="&amp;V$2, Blends!$C:$C,"&gt;="&amp;$AB11, Blends!$C:$C,"&lt;"&amp;$AB12)</f>
        <v>#N/A</v>
      </c>
      <c r="AF11" s="8" t="str">
        <f t="shared" si="6"/>
        <v>#N/A</v>
      </c>
      <c r="AG11" s="8" t="str">
        <f t="shared" si="8"/>
        <v>#N/A</v>
      </c>
    </row>
    <row r="12">
      <c r="A12" s="334">
        <v>4.0</v>
      </c>
      <c r="B12" s="335">
        <f t="shared" si="14"/>
        <v>45460</v>
      </c>
      <c r="C12" s="8" t="str">
        <f>SUMIFS(Loads!$AJ:$AJ,#REF!,"="&amp;C$2,#REF!,"&gt;"&amp;$B11,#REF!,"&lt;="&amp;$B12)</f>
        <v>#VALUE!</v>
      </c>
      <c r="D12" s="8" t="str">
        <f>SUMIFS(Loads!$AJ:$AJ,#REF!,"="&amp;D$2,#REF!,"&gt;"&amp;$B11,#REF!,"&lt;="&amp;$B12)</f>
        <v>#VALUE!</v>
      </c>
      <c r="E12" s="8" t="str">
        <f>SUMIFS(Loads!$AJ:$AJ,#REF!,"="&amp;E$2,#REF!,"&gt;"&amp;$B11,#REF!,"&lt;="&amp;$B12)</f>
        <v>#VALUE!</v>
      </c>
      <c r="F12" s="8" t="str">
        <f>SUMIFS(Loads!$AJ:$AJ,#REF!,"="&amp;F$2,#REF!,"&gt;"&amp;$B11,#REF!,"&lt;="&amp;$B12)</f>
        <v>#VALUE!</v>
      </c>
      <c r="G12" s="8" t="str">
        <f t="shared" si="2"/>
        <v>#VALUE!</v>
      </c>
      <c r="H12" s="8" t="str">
        <f t="shared" si="7"/>
        <v>#VALUE!</v>
      </c>
      <c r="J12" s="336">
        <v>45535.0</v>
      </c>
      <c r="K12" s="8" t="str">
        <f>SUMIFS(Loads!$AJ:$AJ,#REF!,"="&amp;K$2,#REF!,"&gt;"&amp;$J11,#REF!,"&lt;="&amp;$J12)</f>
        <v>#VALUE!</v>
      </c>
      <c r="L12" s="8" t="str">
        <f>SUMIFS(Loads!$AJ:$AJ,#REF!,"="&amp;L$2,#REF!,"&gt;"&amp;$J11,#REF!,"&lt;="&amp;$J12)</f>
        <v>#VALUE!</v>
      </c>
      <c r="M12" s="8" t="str">
        <f>SUMIFS(Loads!$AJ:$AJ,#REF!,"="&amp;M$2,#REF!,"&gt;"&amp;$J11,#REF!,"&lt;="&amp;$J12)</f>
        <v>#VALUE!</v>
      </c>
      <c r="N12" s="8" t="str">
        <f>SUMIFS(Loads!$AJ:$AJ,#REF!,"="&amp;N$2,#REF!,"&gt;"&amp;$J11,#REF!,"&lt;="&amp;$J12)</f>
        <v>#VALUE!</v>
      </c>
      <c r="O12" s="172" t="str">
        <f t="shared" si="12"/>
        <v>#VALUE!</v>
      </c>
      <c r="P12" s="172" t="str">
        <f t="shared" si="13"/>
        <v>#VALUE!</v>
      </c>
      <c r="Q12" s="482"/>
      <c r="R12" s="337"/>
      <c r="S12" s="336">
        <f t="shared" si="16"/>
        <v>46235</v>
      </c>
      <c r="T12" s="8">
        <f>Constants!$B$38*SUMIFS(Forecast!$B:$B, Forecast!$A:$A,"&gt;="&amp;$S12, Forecast!$A:$A,"&lt;"&amp;$S13)</f>
        <v>0</v>
      </c>
      <c r="U12" s="8" t="str">
        <f>SUMIFS(#REF!,Blends!$E:$E,"=Production", Blends!$G:$G,"="&amp;U$2, Blends!$C:$C,"&gt;="&amp;$S12, Blends!$C:$C,"&lt;"&amp;$S13)</f>
        <v>#N/A</v>
      </c>
      <c r="V12" s="8" t="str">
        <f>SUMIFS(#REF!,Blends!$E:$E,"=Production", Blends!$G:$G,"="&amp;V$2, Blends!$C:$C,"&gt;="&amp;$S12, Blends!$C:$C,"&lt;"&amp;$S13)</f>
        <v>#N/A</v>
      </c>
      <c r="W12" s="172" t="str">
        <f t="shared" si="10"/>
        <v>#N/A</v>
      </c>
      <c r="X12" s="172" t="str">
        <f t="shared" si="11"/>
        <v>#N/A</v>
      </c>
      <c r="AA12" s="334">
        <v>4.0</v>
      </c>
      <c r="AB12" s="335">
        <f t="shared" si="15"/>
        <v>46174</v>
      </c>
      <c r="AC12" s="8">
        <f>Constants!$B$38*SUMIFS(Forecast!$B:$B, Forecast!$A:$A,"&gt;="&amp;$AB12, Forecast!$A:$A,"&lt;"&amp;$AB13)</f>
        <v>0</v>
      </c>
      <c r="AD12" s="8" t="str">
        <f>SUMIFS(#REF!,Blends!$E:$E,"=Production", Blends!$G:$G,"="&amp;U$2, Blends!$C:$C,"&gt;="&amp;$AB12, Blends!$C:$C,"&lt;"&amp;$AB13)</f>
        <v>#N/A</v>
      </c>
      <c r="AE12" s="8" t="str">
        <f>SUMIFS(#REF!,Blends!$E:$E,"=Production", Blends!$G:$G,"="&amp;V$2, Blends!$C:$C,"&gt;="&amp;$AB12, Blends!$C:$C,"&lt;"&amp;$AB13)</f>
        <v>#N/A</v>
      </c>
      <c r="AF12" s="8" t="str">
        <f t="shared" si="6"/>
        <v>#N/A</v>
      </c>
      <c r="AG12" s="8" t="str">
        <f t="shared" si="8"/>
        <v>#N/A</v>
      </c>
    </row>
    <row r="13">
      <c r="A13" s="334">
        <v>5.0</v>
      </c>
      <c r="B13" s="335">
        <f t="shared" si="14"/>
        <v>45467</v>
      </c>
      <c r="C13" s="8" t="str">
        <f>SUMIFS(Loads!$AJ:$AJ,#REF!,"="&amp;C$2,#REF!,"&gt;"&amp;$B12,#REF!,"&lt;="&amp;$B13)</f>
        <v>#VALUE!</v>
      </c>
      <c r="D13" s="8" t="str">
        <f>SUMIFS(Loads!$AJ:$AJ,#REF!,"="&amp;D$2,#REF!,"&gt;"&amp;$B12,#REF!,"&lt;="&amp;$B13)</f>
        <v>#VALUE!</v>
      </c>
      <c r="E13" s="8" t="str">
        <f>SUMIFS(Loads!$AJ:$AJ,#REF!,"="&amp;E$2,#REF!,"&gt;"&amp;$B12,#REF!,"&lt;="&amp;$B13)</f>
        <v>#VALUE!</v>
      </c>
      <c r="F13" s="8" t="str">
        <f>SUMIFS(Loads!$AJ:$AJ,#REF!,"="&amp;F$2,#REF!,"&gt;"&amp;$B12,#REF!,"&lt;="&amp;$B13)</f>
        <v>#VALUE!</v>
      </c>
      <c r="G13" s="8" t="str">
        <f t="shared" si="2"/>
        <v>#VALUE!</v>
      </c>
      <c r="H13" s="8" t="str">
        <f t="shared" si="7"/>
        <v>#VALUE!</v>
      </c>
      <c r="J13" s="336">
        <v>45565.0</v>
      </c>
      <c r="K13" s="8" t="str">
        <f>SUMIFS(Loads!$AJ:$AJ,#REF!,"="&amp;K$2,#REF!,"&gt;"&amp;$J12,#REF!,"&lt;="&amp;$J13)</f>
        <v>#VALUE!</v>
      </c>
      <c r="L13" s="8" t="str">
        <f>SUMIFS(Loads!$AJ:$AJ,#REF!,"="&amp;L$2,#REF!,"&gt;"&amp;$J12,#REF!,"&lt;="&amp;$J13)</f>
        <v>#VALUE!</v>
      </c>
      <c r="M13" s="8" t="str">
        <f>SUMIFS(Loads!$AJ:$AJ,#REF!,"="&amp;M$2,#REF!,"&gt;"&amp;$J12,#REF!,"&lt;="&amp;$J13)</f>
        <v>#VALUE!</v>
      </c>
      <c r="N13" s="8" t="str">
        <f>SUMIFS(Loads!$AJ:$AJ,#REF!,"="&amp;N$2,#REF!,"&gt;"&amp;$J12,#REF!,"&lt;="&amp;$J13)</f>
        <v>#VALUE!</v>
      </c>
      <c r="O13" s="172" t="str">
        <f t="shared" si="12"/>
        <v>#VALUE!</v>
      </c>
      <c r="P13" s="172" t="str">
        <f t="shared" si="13"/>
        <v>#VALUE!</v>
      </c>
      <c r="Q13" s="482"/>
      <c r="R13" s="337"/>
      <c r="S13" s="336">
        <f t="shared" si="16"/>
        <v>46266</v>
      </c>
      <c r="T13" s="8">
        <f>Constants!$B$38*SUMIFS(Forecast!$B:$B, Forecast!$A:$A,"&gt;="&amp;$S13, Forecast!$A:$A,"&lt;"&amp;$S14)</f>
        <v>0</v>
      </c>
      <c r="U13" s="8" t="str">
        <f>SUMIFS(#REF!,Blends!$E:$E,"=Production", Blends!$G:$G,"="&amp;U$2, Blends!$C:$C,"&gt;="&amp;$S13, Blends!$C:$C,"&lt;"&amp;$S14)</f>
        <v>#N/A</v>
      </c>
      <c r="V13" s="8" t="str">
        <f>SUMIFS(#REF!,Blends!$E:$E,"=Production", Blends!$G:$G,"="&amp;V$2, Blends!$C:$C,"&gt;="&amp;$S13, Blends!$C:$C,"&lt;"&amp;$S14)</f>
        <v>#N/A</v>
      </c>
      <c r="W13" s="172" t="str">
        <f t="shared" si="10"/>
        <v>#N/A</v>
      </c>
      <c r="X13" s="172" t="str">
        <f t="shared" si="11"/>
        <v>#N/A</v>
      </c>
      <c r="AA13" s="334">
        <v>5.0</v>
      </c>
      <c r="AB13" s="335">
        <f t="shared" si="15"/>
        <v>46181</v>
      </c>
      <c r="AC13" s="8">
        <f>Constants!$B$38*SUMIFS(Forecast!$B:$B, Forecast!$A:$A,"&gt;="&amp;$AB13, Forecast!$A:$A,"&lt;"&amp;$AB14)</f>
        <v>0</v>
      </c>
      <c r="AD13" s="8" t="str">
        <f>SUMIFS(#REF!,Blends!$E:$E,"=Production", Blends!$G:$G,"="&amp;U$2, Blends!$C:$C,"&gt;="&amp;$AB13, Blends!$C:$C,"&lt;"&amp;$AB14)</f>
        <v>#N/A</v>
      </c>
      <c r="AE13" s="8" t="str">
        <f>SUMIFS(#REF!,Blends!$E:$E,"=Production", Blends!$G:$G,"="&amp;V$2, Blends!$C:$C,"&gt;="&amp;$AB13, Blends!$C:$C,"&lt;"&amp;$AB14)</f>
        <v>#N/A</v>
      </c>
      <c r="AF13" s="8" t="str">
        <f t="shared" si="6"/>
        <v>#N/A</v>
      </c>
      <c r="AG13" s="8" t="str">
        <f t="shared" si="8"/>
        <v>#N/A</v>
      </c>
    </row>
    <row r="14">
      <c r="A14" s="334">
        <v>6.0</v>
      </c>
      <c r="B14" s="335">
        <f t="shared" si="14"/>
        <v>45474</v>
      </c>
      <c r="C14" s="8" t="str">
        <f>SUMIFS(Loads!$AJ:$AJ,#REF!,"="&amp;C$2,#REF!,"&gt;"&amp;$B13,#REF!,"&lt;="&amp;$B14)</f>
        <v>#VALUE!</v>
      </c>
      <c r="D14" s="8" t="str">
        <f>SUMIFS(Loads!$AJ:$AJ,#REF!,"="&amp;D$2,#REF!,"&gt;"&amp;$B13,#REF!,"&lt;="&amp;$B14)</f>
        <v>#VALUE!</v>
      </c>
      <c r="E14" s="8" t="str">
        <f>SUMIFS(Loads!$AJ:$AJ,#REF!,"="&amp;E$2,#REF!,"&gt;"&amp;$B13,#REF!,"&lt;="&amp;$B14)</f>
        <v>#VALUE!</v>
      </c>
      <c r="F14" s="8" t="str">
        <f>SUMIFS(Loads!$AJ:$AJ,#REF!,"="&amp;F$2,#REF!,"&gt;"&amp;$B13,#REF!,"&lt;="&amp;$B14)</f>
        <v>#VALUE!</v>
      </c>
      <c r="G14" s="8" t="str">
        <f t="shared" si="2"/>
        <v>#VALUE!</v>
      </c>
      <c r="H14" s="8" t="str">
        <f t="shared" si="7"/>
        <v>#VALUE!</v>
      </c>
      <c r="J14" s="336">
        <v>45596.0</v>
      </c>
      <c r="K14" s="8" t="str">
        <f>SUMIFS(Loads!$AJ:$AJ,#REF!,"="&amp;K$2,#REF!,"&gt;"&amp;$J13,#REF!,"&lt;="&amp;$J14)</f>
        <v>#VALUE!</v>
      </c>
      <c r="L14" s="8" t="str">
        <f>SUMIFS(Loads!$AJ:$AJ,#REF!,"="&amp;L$2,#REF!,"&gt;"&amp;$J13,#REF!,"&lt;="&amp;$J14)</f>
        <v>#VALUE!</v>
      </c>
      <c r="M14" s="8" t="str">
        <f>SUMIFS(Loads!$AJ:$AJ,#REF!,"="&amp;M$2,#REF!,"&gt;"&amp;$J13,#REF!,"&lt;="&amp;$J14)</f>
        <v>#VALUE!</v>
      </c>
      <c r="N14" s="8" t="str">
        <f>SUMIFS(Loads!$AJ:$AJ,#REF!,"="&amp;N$2,#REF!,"&gt;"&amp;$J13,#REF!,"&lt;="&amp;$J14)</f>
        <v>#VALUE!</v>
      </c>
      <c r="O14" s="172" t="str">
        <f t="shared" si="12"/>
        <v>#VALUE!</v>
      </c>
      <c r="P14" s="172" t="str">
        <f t="shared" si="13"/>
        <v>#VALUE!</v>
      </c>
      <c r="Q14" s="482"/>
      <c r="R14" s="337"/>
      <c r="S14" s="336">
        <f t="shared" si="16"/>
        <v>46296</v>
      </c>
      <c r="T14" s="8">
        <f>Constants!$B$38*SUMIFS(Forecast!$B:$B, Forecast!$A:$A,"&gt;="&amp;$S14, Forecast!$A:$A,"&lt;"&amp;$S15)</f>
        <v>0</v>
      </c>
      <c r="U14" s="8" t="str">
        <f>SUMIFS(#REF!,Blends!$E:$E,"=Production", Blends!$G:$G,"="&amp;U$2, Blends!$C:$C,"&gt;="&amp;$S14, Blends!$C:$C,"&lt;"&amp;$S15)</f>
        <v>#N/A</v>
      </c>
      <c r="V14" s="8" t="str">
        <f>SUMIFS(#REF!,Blends!$E:$E,"=Production", Blends!$G:$G,"="&amp;V$2, Blends!$C:$C,"&gt;="&amp;$S14, Blends!$C:$C,"&lt;"&amp;$S15)</f>
        <v>#N/A</v>
      </c>
      <c r="W14" s="172" t="str">
        <f t="shared" si="10"/>
        <v>#N/A</v>
      </c>
      <c r="X14" s="172" t="str">
        <f t="shared" si="11"/>
        <v>#N/A</v>
      </c>
      <c r="Y14" s="337">
        <v>7484.0</v>
      </c>
      <c r="Z14" s="337"/>
      <c r="AA14" s="334">
        <v>6.0</v>
      </c>
      <c r="AB14" s="335">
        <f t="shared" si="15"/>
        <v>46188</v>
      </c>
      <c r="AC14" s="8">
        <f>Constants!$B$38*SUMIFS(Forecast!$B:$B, Forecast!$A:$A,"&gt;="&amp;$AB14, Forecast!$A:$A,"&lt;"&amp;$AB15)</f>
        <v>0</v>
      </c>
      <c r="AD14" s="8" t="str">
        <f>SUMIFS(#REF!,Blends!$E:$E,"=Production", Blends!$G:$G,"="&amp;U$2, Blends!$C:$C,"&gt;="&amp;$AB14, Blends!$C:$C,"&lt;"&amp;$AB15)</f>
        <v>#N/A</v>
      </c>
      <c r="AE14" s="8" t="str">
        <f>SUMIFS(#REF!,Blends!$E:$E,"=Production", Blends!$G:$G,"="&amp;V$2, Blends!$C:$C,"&gt;="&amp;$AB14, Blends!$C:$C,"&lt;"&amp;$AB15)</f>
        <v>#N/A</v>
      </c>
      <c r="AF14" s="8" t="str">
        <f t="shared" si="6"/>
        <v>#N/A</v>
      </c>
      <c r="AG14" s="8" t="str">
        <f t="shared" si="8"/>
        <v>#N/A</v>
      </c>
    </row>
    <row r="15">
      <c r="A15" s="334">
        <v>7.0</v>
      </c>
      <c r="B15" s="335">
        <f t="shared" si="14"/>
        <v>45481</v>
      </c>
      <c r="C15" s="8" t="str">
        <f>SUMIFS(Loads!$AJ:$AJ,#REF!,"="&amp;C$2,#REF!,"&gt;"&amp;$B14,#REF!,"&lt;="&amp;$B15)</f>
        <v>#VALUE!</v>
      </c>
      <c r="D15" s="8" t="str">
        <f>SUMIFS(Loads!$AJ:$AJ,#REF!,"="&amp;D$2,#REF!,"&gt;"&amp;$B14,#REF!,"&lt;="&amp;$B15)</f>
        <v>#VALUE!</v>
      </c>
      <c r="E15" s="8" t="str">
        <f>SUMIFS(Loads!$AJ:$AJ,#REF!,"="&amp;E$2,#REF!,"&gt;"&amp;$B14,#REF!,"&lt;="&amp;$B15)</f>
        <v>#VALUE!</v>
      </c>
      <c r="F15" s="8" t="str">
        <f>SUMIFS(Loads!$AJ:$AJ,#REF!,"="&amp;F$2,#REF!,"&gt;"&amp;$B14,#REF!,"&lt;="&amp;$B15)</f>
        <v>#VALUE!</v>
      </c>
      <c r="G15" s="8" t="str">
        <f t="shared" si="2"/>
        <v>#VALUE!</v>
      </c>
      <c r="H15" s="8" t="str">
        <f t="shared" si="7"/>
        <v>#VALUE!</v>
      </c>
      <c r="J15" s="336">
        <v>45626.0</v>
      </c>
      <c r="K15" s="8" t="str">
        <f>SUMIFS(Loads!$AJ:$AJ,#REF!,"="&amp;K$2,#REF!,"&gt;"&amp;$J14,#REF!,"&lt;="&amp;$J15)</f>
        <v>#VALUE!</v>
      </c>
      <c r="L15" s="8" t="str">
        <f>SUMIFS(Loads!$AJ:$AJ,#REF!,"="&amp;L$2,#REF!,"&gt;"&amp;$J14,#REF!,"&lt;="&amp;$J15)</f>
        <v>#VALUE!</v>
      </c>
      <c r="M15" s="8" t="str">
        <f>SUMIFS(Loads!$AJ:$AJ,#REF!,"="&amp;M$2,#REF!,"&gt;"&amp;$J14,#REF!,"&lt;="&amp;$J15)</f>
        <v>#VALUE!</v>
      </c>
      <c r="N15" s="8" t="str">
        <f>SUMIFS(Loads!$AJ:$AJ,#REF!,"="&amp;N$2,#REF!,"&gt;"&amp;$J14,#REF!,"&lt;="&amp;$J15)</f>
        <v>#VALUE!</v>
      </c>
      <c r="O15" s="172" t="str">
        <f t="shared" si="12"/>
        <v>#VALUE!</v>
      </c>
      <c r="P15" s="172" t="str">
        <f t="shared" si="13"/>
        <v>#VALUE!</v>
      </c>
      <c r="Q15" s="482"/>
      <c r="R15" s="337"/>
      <c r="S15" s="487">
        <v>45658.0</v>
      </c>
      <c r="V15" s="119"/>
      <c r="Y15" s="172" t="str">
        <f>Y14-X14</f>
        <v>#N/A</v>
      </c>
      <c r="Z15" s="486" t="s">
        <v>2269</v>
      </c>
      <c r="AA15" s="334">
        <v>7.0</v>
      </c>
      <c r="AB15" s="335">
        <f t="shared" si="15"/>
        <v>46195</v>
      </c>
      <c r="AC15" s="8">
        <f>Constants!$B$38*SUMIFS(Forecast!$B:$B, Forecast!$A:$A,"&gt;="&amp;$AB15, Forecast!$A:$A,"&lt;"&amp;$AB16)</f>
        <v>0</v>
      </c>
      <c r="AD15" s="8" t="str">
        <f>SUMIFS(#REF!,Blends!$E:$E,"=Production", Blends!$G:$G,"="&amp;U$2, Blends!$C:$C,"&gt;="&amp;$AB15, Blends!$C:$C,"&lt;"&amp;$AB16)</f>
        <v>#N/A</v>
      </c>
      <c r="AE15" s="8" t="str">
        <f>SUMIFS(#REF!,Blends!$E:$E,"=Production", Blends!$G:$G,"="&amp;V$2, Blends!$C:$C,"&gt;="&amp;$AB15, Blends!$C:$C,"&lt;"&amp;$AB16)</f>
        <v>#N/A</v>
      </c>
      <c r="AF15" s="8" t="str">
        <f t="shared" si="6"/>
        <v>#N/A</v>
      </c>
      <c r="AG15" s="8" t="str">
        <f t="shared" si="8"/>
        <v>#N/A</v>
      </c>
    </row>
    <row r="16">
      <c r="A16" s="334">
        <v>8.0</v>
      </c>
      <c r="B16" s="335">
        <f t="shared" si="14"/>
        <v>45488</v>
      </c>
      <c r="C16" s="8" t="str">
        <f>SUMIFS(Loads!$AJ:$AJ,#REF!,"="&amp;C$2,#REF!,"&gt;"&amp;$B15,#REF!,"&lt;="&amp;$B16)</f>
        <v>#VALUE!</v>
      </c>
      <c r="D16" s="8" t="str">
        <f>SUMIFS(Loads!$AJ:$AJ,#REF!,"="&amp;D$2,#REF!,"&gt;"&amp;$B15,#REF!,"&lt;="&amp;$B16)</f>
        <v>#VALUE!</v>
      </c>
      <c r="E16" s="8" t="str">
        <f>SUMIFS(Loads!$AJ:$AJ,#REF!,"="&amp;E$2,#REF!,"&gt;"&amp;$B15,#REF!,"&lt;="&amp;$B16)</f>
        <v>#VALUE!</v>
      </c>
      <c r="F16" s="8" t="str">
        <f>SUMIFS(Loads!$AJ:$AJ,#REF!,"="&amp;F$2,#REF!,"&gt;"&amp;$B15,#REF!,"&lt;="&amp;$B16)</f>
        <v>#VALUE!</v>
      </c>
      <c r="G16" s="8" t="str">
        <f t="shared" si="2"/>
        <v>#VALUE!</v>
      </c>
      <c r="H16" s="8" t="str">
        <f t="shared" si="7"/>
        <v>#VALUE!</v>
      </c>
      <c r="J16" s="336">
        <v>45657.0</v>
      </c>
      <c r="K16" s="8" t="str">
        <f>SUMIFS(Loads!$AJ:$AJ,#REF!,"="&amp;K$2,#REF!,"&gt;"&amp;$J15,#REF!,"&lt;="&amp;$J16)</f>
        <v>#VALUE!</v>
      </c>
      <c r="L16" s="8" t="str">
        <f>SUMIFS(Loads!$AJ:$AJ,#REF!,"="&amp;L$2,#REF!,"&gt;"&amp;$J15,#REF!,"&lt;="&amp;$J16)</f>
        <v>#VALUE!</v>
      </c>
      <c r="M16" s="8" t="str">
        <f>SUMIFS(Loads!$AJ:$AJ,#REF!,"="&amp;M$2,#REF!,"&gt;"&amp;$J15,#REF!,"&lt;="&amp;$J16)</f>
        <v>#VALUE!</v>
      </c>
      <c r="N16" s="8" t="str">
        <f>SUMIFS(Loads!$AJ:$AJ,#REF!,"="&amp;N$2,#REF!,"&gt;"&amp;$J15,#REF!,"&lt;="&amp;$J16)</f>
        <v>#VALUE!</v>
      </c>
      <c r="O16" s="172" t="str">
        <f t="shared" si="12"/>
        <v>#VALUE!</v>
      </c>
      <c r="P16" s="172" t="str">
        <f t="shared" si="13"/>
        <v>#VALUE!</v>
      </c>
      <c r="Q16" s="337">
        <v>7484.0</v>
      </c>
      <c r="R16" s="337"/>
      <c r="AA16" s="334">
        <v>8.0</v>
      </c>
      <c r="AB16" s="335">
        <f t="shared" si="15"/>
        <v>46202</v>
      </c>
      <c r="AC16" s="8">
        <f>Constants!$B$38*SUMIFS(Forecast!$B:$B, Forecast!$A:$A,"&gt;="&amp;$AB16, Forecast!$A:$A,"&lt;"&amp;$AB17)</f>
        <v>0</v>
      </c>
      <c r="AD16" s="8" t="str">
        <f>SUMIFS(#REF!,Blends!$E:$E,"=Production", Blends!$G:$G,"="&amp;U$2, Blends!$C:$C,"&gt;="&amp;$AB16, Blends!$C:$C,"&lt;"&amp;$AB17)</f>
        <v>#N/A</v>
      </c>
      <c r="AE16" s="8" t="str">
        <f>SUMIFS(#REF!,Blends!$E:$E,"=Production", Blends!$G:$G,"="&amp;V$2, Blends!$C:$C,"&gt;="&amp;$AB16, Blends!$C:$C,"&lt;"&amp;$AB17)</f>
        <v>#N/A</v>
      </c>
      <c r="AF16" s="8" t="str">
        <f t="shared" si="6"/>
        <v>#N/A</v>
      </c>
      <c r="AG16" s="8" t="str">
        <f t="shared" si="8"/>
        <v>#N/A</v>
      </c>
    </row>
    <row r="17">
      <c r="A17" s="334">
        <v>9.0</v>
      </c>
      <c r="B17" s="335">
        <f t="shared" si="14"/>
        <v>45495</v>
      </c>
      <c r="C17" s="8" t="str">
        <f>SUMIFS(Loads!$AJ:$AJ,#REF!,"="&amp;C$2,#REF!,"&gt;"&amp;$B16,#REF!,"&lt;="&amp;$B17)</f>
        <v>#VALUE!</v>
      </c>
      <c r="D17" s="8" t="str">
        <f>SUMIFS(Loads!$AJ:$AJ,#REF!,"="&amp;D$2,#REF!,"&gt;"&amp;$B16,#REF!,"&lt;="&amp;$B17)</f>
        <v>#VALUE!</v>
      </c>
      <c r="E17" s="8" t="str">
        <f>SUMIFS(Loads!$AJ:$AJ,#REF!,"="&amp;E$2,#REF!,"&gt;"&amp;$B16,#REF!,"&lt;="&amp;$B17)</f>
        <v>#VALUE!</v>
      </c>
      <c r="F17" s="8" t="str">
        <f>SUMIFS(Loads!$AJ:$AJ,#REF!,"="&amp;F$2,#REF!,"&gt;"&amp;$B16,#REF!,"&lt;="&amp;$B17)</f>
        <v>#VALUE!</v>
      </c>
      <c r="G17" s="8" t="str">
        <f t="shared" si="2"/>
        <v>#VALUE!</v>
      </c>
      <c r="H17" s="8" t="str">
        <f t="shared" si="7"/>
        <v>#VALUE!</v>
      </c>
      <c r="J17" s="336"/>
      <c r="K17" s="8"/>
      <c r="L17" s="8"/>
      <c r="M17" s="8"/>
      <c r="N17" s="8"/>
      <c r="O17" s="172"/>
      <c r="P17" s="172"/>
      <c r="Q17" s="172" t="str">
        <f>Q16-P16</f>
        <v>#VALUE!</v>
      </c>
      <c r="R17" s="486" t="s">
        <v>2269</v>
      </c>
      <c r="AA17" s="334">
        <v>9.0</v>
      </c>
      <c r="AB17" s="335">
        <f t="shared" si="15"/>
        <v>46209</v>
      </c>
      <c r="AC17" s="8">
        <f>Constants!$B$38*SUMIFS(Forecast!$B:$B, Forecast!$A:$A,"&gt;="&amp;$AB17, Forecast!$A:$A,"&lt;"&amp;$AB18)</f>
        <v>0</v>
      </c>
      <c r="AD17" s="8" t="str">
        <f>SUMIFS(#REF!,Blends!$E:$E,"=Production", Blends!$G:$G,"="&amp;U$2, Blends!$C:$C,"&gt;="&amp;$AB17, Blends!$C:$C,"&lt;"&amp;$AB18)</f>
        <v>#N/A</v>
      </c>
      <c r="AE17" s="8" t="str">
        <f>SUMIFS(#REF!,Blends!$E:$E,"=Production", Blends!$G:$G,"="&amp;V$2, Blends!$C:$C,"&gt;="&amp;$AB17, Blends!$C:$C,"&lt;"&amp;$AB18)</f>
        <v>#N/A</v>
      </c>
      <c r="AF17" s="8" t="str">
        <f t="shared" si="6"/>
        <v>#N/A</v>
      </c>
      <c r="AG17" s="8" t="str">
        <f t="shared" si="8"/>
        <v>#N/A</v>
      </c>
    </row>
    <row r="18">
      <c r="A18" s="334">
        <v>10.0</v>
      </c>
      <c r="B18" s="335">
        <f t="shared" si="14"/>
        <v>45502</v>
      </c>
      <c r="C18" s="8" t="str">
        <f>SUMIFS(Loads!$AJ:$AJ,#REF!,"="&amp;C$2,#REF!,"&gt;"&amp;$B17,#REF!,"&lt;="&amp;$B18)</f>
        <v>#VALUE!</v>
      </c>
      <c r="D18" s="8" t="str">
        <f>SUMIFS(Loads!$AJ:$AJ,#REF!,"="&amp;D$2,#REF!,"&gt;"&amp;$B17,#REF!,"&lt;="&amp;$B18)</f>
        <v>#VALUE!</v>
      </c>
      <c r="E18" s="8" t="str">
        <f>SUMIFS(Loads!$AJ:$AJ,#REF!,"="&amp;E$2,#REF!,"&gt;"&amp;$B17,#REF!,"&lt;="&amp;$B18)</f>
        <v>#VALUE!</v>
      </c>
      <c r="F18" s="8" t="str">
        <f>SUMIFS(Loads!$AJ:$AJ,#REF!,"="&amp;F$2,#REF!,"&gt;"&amp;$B17,#REF!,"&lt;="&amp;$B18)</f>
        <v>#VALUE!</v>
      </c>
      <c r="G18" s="8" t="str">
        <f t="shared" si="2"/>
        <v>#VALUE!</v>
      </c>
      <c r="H18" s="8" t="str">
        <f t="shared" si="7"/>
        <v>#VALUE!</v>
      </c>
      <c r="V18" s="119"/>
      <c r="AA18" s="334">
        <v>10.0</v>
      </c>
      <c r="AB18" s="335">
        <f t="shared" si="15"/>
        <v>46216</v>
      </c>
      <c r="AC18" s="8">
        <f>Constants!$B$38*SUMIFS(Forecast!$B:$B, Forecast!$A:$A,"&gt;="&amp;$AB18, Forecast!$A:$A,"&lt;"&amp;$AB19)</f>
        <v>0</v>
      </c>
      <c r="AD18" s="8" t="str">
        <f>SUMIFS(#REF!,Blends!$E:$E,"=Production", Blends!$G:$G,"="&amp;U$2, Blends!$C:$C,"&gt;="&amp;$AB18, Blends!$C:$C,"&lt;"&amp;$AB19)</f>
        <v>#N/A</v>
      </c>
      <c r="AE18" s="8" t="str">
        <f>SUMIFS(#REF!,Blends!$E:$E,"=Production", Blends!$G:$G,"="&amp;V$2, Blends!$C:$C,"&gt;="&amp;$AB18, Blends!$C:$C,"&lt;"&amp;$AB19)</f>
        <v>#N/A</v>
      </c>
      <c r="AF18" s="8" t="str">
        <f t="shared" si="6"/>
        <v>#N/A</v>
      </c>
      <c r="AG18" s="8" t="str">
        <f t="shared" si="8"/>
        <v>#N/A</v>
      </c>
    </row>
    <row r="19">
      <c r="A19" s="334">
        <v>11.0</v>
      </c>
      <c r="B19" s="335">
        <f t="shared" si="14"/>
        <v>45509</v>
      </c>
      <c r="C19" s="8" t="str">
        <f>SUMIFS(Loads!$AJ:$AJ,#REF!,"="&amp;C$2,#REF!,"&gt;"&amp;$B18,#REF!,"&lt;="&amp;$B19)</f>
        <v>#VALUE!</v>
      </c>
      <c r="D19" s="8" t="str">
        <f>SUMIFS(Loads!$AJ:$AJ,#REF!,"="&amp;D$2,#REF!,"&gt;"&amp;$B18,#REF!,"&lt;="&amp;$B19)</f>
        <v>#VALUE!</v>
      </c>
      <c r="E19" s="8" t="str">
        <f>SUMIFS(Loads!$AJ:$AJ,#REF!,"="&amp;E$2,#REF!,"&gt;"&amp;$B18,#REF!,"&lt;="&amp;$B19)</f>
        <v>#VALUE!</v>
      </c>
      <c r="F19" s="8" t="str">
        <f>SUMIFS(Loads!$AJ:$AJ,#REF!,"="&amp;F$2,#REF!,"&gt;"&amp;$B18,#REF!,"&lt;="&amp;$B19)</f>
        <v>#VALUE!</v>
      </c>
      <c r="G19" s="8" t="str">
        <f t="shared" si="2"/>
        <v>#VALUE!</v>
      </c>
      <c r="H19" s="8" t="str">
        <f t="shared" si="7"/>
        <v>#VALUE!</v>
      </c>
      <c r="T19" s="483"/>
      <c r="U19" s="483"/>
      <c r="V19" s="119"/>
      <c r="W19" s="483"/>
      <c r="X19" s="483"/>
      <c r="Y19" s="483"/>
      <c r="Z19" s="483"/>
      <c r="AA19" s="334">
        <v>11.0</v>
      </c>
      <c r="AB19" s="335">
        <f t="shared" si="15"/>
        <v>46223</v>
      </c>
      <c r="AC19" s="8">
        <f>Constants!$B$38*SUMIFS(Forecast!$B:$B, Forecast!$A:$A,"&gt;="&amp;$AB19, Forecast!$A:$A,"&lt;"&amp;$AB20)</f>
        <v>0</v>
      </c>
      <c r="AD19" s="8" t="str">
        <f>SUMIFS(#REF!,Blends!$E:$E,"=Production", Blends!$G:$G,"="&amp;U$2, Blends!$C:$C,"&gt;="&amp;$AB19, Blends!$C:$C,"&lt;"&amp;$AB20)</f>
        <v>#N/A</v>
      </c>
      <c r="AE19" s="8" t="str">
        <f>SUMIFS(#REF!,Blends!$E:$E,"=Production", Blends!$G:$G,"="&amp;V$2, Blends!$C:$C,"&gt;="&amp;$AB19, Blends!$C:$C,"&lt;"&amp;$AB20)</f>
        <v>#N/A</v>
      </c>
      <c r="AF19" s="8" t="str">
        <f t="shared" si="6"/>
        <v>#N/A</v>
      </c>
      <c r="AG19" s="8" t="str">
        <f t="shared" si="8"/>
        <v>#N/A</v>
      </c>
      <c r="AH19" s="483"/>
      <c r="AI19" s="483"/>
    </row>
    <row r="20">
      <c r="A20" s="334">
        <v>12.0</v>
      </c>
      <c r="B20" s="335">
        <f t="shared" si="14"/>
        <v>45516</v>
      </c>
      <c r="C20" s="8" t="str">
        <f>SUMIFS(Loads!$AJ:$AJ,#REF!,"="&amp;C$2,#REF!,"&gt;"&amp;$B19,#REF!,"&lt;="&amp;$B20)</f>
        <v>#VALUE!</v>
      </c>
      <c r="D20" s="8" t="str">
        <f>SUMIFS(Loads!$AJ:$AJ,#REF!,"="&amp;D$2,#REF!,"&gt;"&amp;$B19,#REF!,"&lt;="&amp;$B20)</f>
        <v>#VALUE!</v>
      </c>
      <c r="E20" s="8" t="str">
        <f>SUMIFS(Loads!$AJ:$AJ,#REF!,"="&amp;E$2,#REF!,"&gt;"&amp;$B19,#REF!,"&lt;="&amp;$B20)</f>
        <v>#VALUE!</v>
      </c>
      <c r="F20" s="8" t="str">
        <f>SUMIFS(Loads!$AJ:$AJ,#REF!,"="&amp;F$2,#REF!,"&gt;"&amp;$B19,#REF!,"&lt;="&amp;$B20)</f>
        <v>#VALUE!</v>
      </c>
      <c r="G20" s="8" t="str">
        <f t="shared" si="2"/>
        <v>#VALUE!</v>
      </c>
      <c r="H20" s="8" t="str">
        <f t="shared" si="7"/>
        <v>#VALUE!</v>
      </c>
      <c r="Z20" s="343"/>
      <c r="AA20" s="334">
        <v>12.0</v>
      </c>
      <c r="AB20" s="335">
        <f t="shared" si="15"/>
        <v>46230</v>
      </c>
      <c r="AC20" s="8">
        <f>Constants!$B$38*SUMIFS(Forecast!$B:$B, Forecast!$A:$A,"&gt;="&amp;$AB20, Forecast!$A:$A,"&lt;"&amp;$AB21)</f>
        <v>0</v>
      </c>
      <c r="AD20" s="8" t="str">
        <f>SUMIFS(#REF!,Blends!$E:$E,"=Production", Blends!$G:$G,"="&amp;U$2, Blends!$C:$C,"&gt;="&amp;$AB20, Blends!$C:$C,"&lt;"&amp;$AB21)</f>
        <v>#N/A</v>
      </c>
      <c r="AE20" s="8" t="str">
        <f>SUMIFS(#REF!,Blends!$E:$E,"=Production", Blends!$G:$G,"="&amp;V$2, Blends!$C:$C,"&gt;="&amp;$AB20, Blends!$C:$C,"&lt;"&amp;$AB21)</f>
        <v>#N/A</v>
      </c>
      <c r="AF20" s="8" t="str">
        <f t="shared" si="6"/>
        <v>#N/A</v>
      </c>
      <c r="AG20" s="8" t="str">
        <f t="shared" si="8"/>
        <v>#N/A</v>
      </c>
    </row>
    <row r="21">
      <c r="A21" s="334">
        <v>13.0</v>
      </c>
      <c r="B21" s="335">
        <f t="shared" si="14"/>
        <v>45523</v>
      </c>
      <c r="C21" s="8" t="str">
        <f>SUMIFS(Loads!$AJ:$AJ,#REF!,"="&amp;C$2,#REF!,"&gt;"&amp;$B20,#REF!,"&lt;="&amp;$B21)</f>
        <v>#VALUE!</v>
      </c>
      <c r="D21" s="8"/>
      <c r="E21" s="8" t="str">
        <f>SUMIFS(Loads!$AJ:$AJ,#REF!,"="&amp;E$2,#REF!,"&gt;"&amp;$B20,#REF!,"&lt;="&amp;$B21)</f>
        <v>#VALUE!</v>
      </c>
      <c r="F21" s="8" t="str">
        <f>SUMIFS(Loads!$AJ:$AJ,#REF!,"="&amp;F$2,#REF!,"&gt;"&amp;$B20,#REF!,"&lt;="&amp;$B21)</f>
        <v>#VALUE!</v>
      </c>
      <c r="G21" s="8" t="str">
        <f t="shared" si="2"/>
        <v>#VALUE!</v>
      </c>
      <c r="H21" s="8" t="str">
        <f t="shared" si="7"/>
        <v>#VALUE!</v>
      </c>
      <c r="Z21" s="343"/>
      <c r="AA21" s="488">
        <v>13.0</v>
      </c>
      <c r="AB21" s="489">
        <f t="shared" si="15"/>
        <v>46237</v>
      </c>
      <c r="AC21" s="8"/>
      <c r="AD21" s="8"/>
      <c r="AE21" s="8"/>
      <c r="AF21" s="8"/>
      <c r="AG21" s="8"/>
    </row>
    <row r="22">
      <c r="A22" s="334">
        <v>14.0</v>
      </c>
      <c r="B22" s="335">
        <f t="shared" si="14"/>
        <v>45530</v>
      </c>
      <c r="C22" s="8" t="str">
        <f>SUMIFS(Loads!$AJ:$AJ,#REF!,"="&amp;C$2,#REF!,"&gt;"&amp;$B21,#REF!,"&lt;="&amp;$B22)</f>
        <v>#VALUE!</v>
      </c>
      <c r="D22" s="8"/>
      <c r="E22" s="8" t="str">
        <f>SUMIFS(Loads!$AJ:$AJ,#REF!,"="&amp;E$2,#REF!,"&gt;"&amp;$B21,#REF!,"&lt;="&amp;$B22)</f>
        <v>#VALUE!</v>
      </c>
      <c r="F22" s="8" t="str">
        <f>SUMIFS(Loads!$AJ:$AJ,#REF!,"="&amp;F$2,#REF!,"&gt;"&amp;$B21,#REF!,"&lt;="&amp;$B22)</f>
        <v>#VALUE!</v>
      </c>
      <c r="G22" s="8" t="str">
        <f t="shared" si="2"/>
        <v>#VALUE!</v>
      </c>
      <c r="H22" s="8" t="str">
        <f t="shared" si="7"/>
        <v>#VALUE!</v>
      </c>
      <c r="Z22" s="343"/>
      <c r="AA22" s="334"/>
      <c r="AB22" s="335"/>
      <c r="AC22" s="8"/>
      <c r="AD22" s="8"/>
      <c r="AE22" s="8"/>
      <c r="AF22" s="8"/>
      <c r="AG22" s="8"/>
    </row>
    <row r="23">
      <c r="A23" s="334">
        <v>15.0</v>
      </c>
      <c r="B23" s="335">
        <f t="shared" si="14"/>
        <v>45537</v>
      </c>
      <c r="C23" s="8" t="str">
        <f>SUMIFS(Loads!$AJ:$AJ,#REF!,"="&amp;C$2,#REF!,"&gt;"&amp;$B22,#REF!,"&lt;="&amp;$B23)</f>
        <v>#VALUE!</v>
      </c>
      <c r="D23" s="8"/>
      <c r="E23" s="8" t="str">
        <f>SUMIFS(Loads!$AJ:$AJ,#REF!,"="&amp;E$2,#REF!,"&gt;"&amp;$B22,#REF!,"&lt;="&amp;$B23)</f>
        <v>#VALUE!</v>
      </c>
      <c r="F23" s="8" t="str">
        <f>SUMIFS(Loads!$AJ:$AJ,#REF!,"="&amp;F$2,#REF!,"&gt;"&amp;$B22,#REF!,"&lt;="&amp;$B23)</f>
        <v>#VALUE!</v>
      </c>
      <c r="G23" s="8" t="str">
        <f t="shared" si="2"/>
        <v>#VALUE!</v>
      </c>
      <c r="H23" s="8" t="str">
        <f t="shared" si="7"/>
        <v>#VALUE!</v>
      </c>
      <c r="Z23" s="343"/>
      <c r="AA23" s="334"/>
      <c r="AB23" s="335"/>
      <c r="AC23" s="8"/>
      <c r="AD23" s="8"/>
      <c r="AE23" s="8"/>
      <c r="AF23" s="8"/>
      <c r="AG23" s="8"/>
    </row>
    <row r="24">
      <c r="A24" s="334">
        <v>16.0</v>
      </c>
      <c r="B24" s="335">
        <f t="shared" si="14"/>
        <v>45544</v>
      </c>
      <c r="C24" s="8" t="str">
        <f>SUMIFS(Loads!$AJ:$AJ,#REF!,"="&amp;C$2,#REF!,"&gt;"&amp;$B23,#REF!,"&lt;="&amp;$B24)</f>
        <v>#VALUE!</v>
      </c>
      <c r="D24" s="8"/>
      <c r="E24" s="8" t="str">
        <f>SUMIFS(Loads!$AJ:$AJ,#REF!,"="&amp;E$2,#REF!,"&gt;"&amp;$B23,#REF!,"&lt;="&amp;$B24)</f>
        <v>#VALUE!</v>
      </c>
      <c r="F24" s="8" t="str">
        <f>SUMIFS(Loads!$AJ:$AJ,#REF!,"="&amp;F$2,#REF!,"&gt;"&amp;$B23,#REF!,"&lt;="&amp;$B24)</f>
        <v>#VALUE!</v>
      </c>
      <c r="G24" s="8" t="str">
        <f t="shared" si="2"/>
        <v>#VALUE!</v>
      </c>
      <c r="H24" s="8" t="str">
        <f t="shared" si="7"/>
        <v>#VALUE!</v>
      </c>
      <c r="Z24" s="343"/>
      <c r="AA24" s="334"/>
      <c r="AB24" s="335"/>
      <c r="AC24" s="8"/>
      <c r="AD24" s="8"/>
      <c r="AE24" s="8"/>
      <c r="AF24" s="8"/>
      <c r="AG24" s="8"/>
    </row>
    <row r="25">
      <c r="A25" s="334">
        <v>17.0</v>
      </c>
      <c r="B25" s="335">
        <f t="shared" si="14"/>
        <v>45551</v>
      </c>
      <c r="C25" s="8" t="str">
        <f>SUMIFS(Loads!$AJ:$AJ,#REF!,"="&amp;C$2,#REF!,"&gt;"&amp;$B24,#REF!,"&lt;="&amp;$B25)</f>
        <v>#VALUE!</v>
      </c>
      <c r="D25" s="8"/>
      <c r="E25" s="8" t="str">
        <f>SUMIFS(Loads!$AJ:$AJ,#REF!,"="&amp;E$2,#REF!,"&gt;"&amp;$B24,#REF!,"&lt;="&amp;$B25)</f>
        <v>#VALUE!</v>
      </c>
      <c r="F25" s="8" t="str">
        <f>SUMIFS(Loads!$AJ:$AJ,#REF!,"="&amp;F$2,#REF!,"&gt;"&amp;$B24,#REF!,"&lt;="&amp;$B25)</f>
        <v>#VALUE!</v>
      </c>
      <c r="G25" s="8" t="str">
        <f t="shared" si="2"/>
        <v>#VALUE!</v>
      </c>
      <c r="H25" s="8" t="str">
        <f t="shared" si="7"/>
        <v>#VALUE!</v>
      </c>
      <c r="Z25" s="343"/>
      <c r="AA25" s="334"/>
      <c r="AB25" s="335"/>
      <c r="AC25" s="8"/>
      <c r="AD25" s="8"/>
      <c r="AE25" s="8"/>
      <c r="AF25" s="8"/>
      <c r="AG25" s="8"/>
    </row>
    <row r="26">
      <c r="A26" s="334">
        <v>18.0</v>
      </c>
      <c r="B26" s="335">
        <f t="shared" si="14"/>
        <v>45558</v>
      </c>
      <c r="C26" s="8" t="str">
        <f>SUMIFS(Loads!$AJ:$AJ,#REF!,"="&amp;C$2,#REF!,"&gt;"&amp;$B25,#REF!,"&lt;="&amp;$B26)</f>
        <v>#VALUE!</v>
      </c>
      <c r="D26" s="8"/>
      <c r="E26" s="8" t="str">
        <f>SUMIFS(Loads!$AJ:$AJ,#REF!,"="&amp;E$2,#REF!,"&gt;"&amp;$B25,#REF!,"&lt;="&amp;$B26)</f>
        <v>#VALUE!</v>
      </c>
      <c r="F26" s="8" t="str">
        <f>SUMIFS(Loads!$AJ:$AJ,#REF!,"="&amp;F$2,#REF!,"&gt;"&amp;$B25,#REF!,"&lt;="&amp;$B26)</f>
        <v>#VALUE!</v>
      </c>
      <c r="G26" s="8" t="str">
        <f t="shared" si="2"/>
        <v>#VALUE!</v>
      </c>
      <c r="H26" s="8" t="str">
        <f t="shared" si="7"/>
        <v>#VALUE!</v>
      </c>
      <c r="Z26" s="343"/>
      <c r="AA26" s="334"/>
      <c r="AB26" s="335"/>
      <c r="AC26" s="8"/>
      <c r="AD26" s="8"/>
      <c r="AE26" s="8"/>
      <c r="AF26" s="8"/>
      <c r="AG26" s="8"/>
    </row>
    <row r="27">
      <c r="A27" s="334">
        <v>19.0</v>
      </c>
      <c r="B27" s="335">
        <f t="shared" si="14"/>
        <v>45565</v>
      </c>
      <c r="C27" s="8" t="str">
        <f>SUMIFS(Loads!$AJ:$AJ,#REF!,"="&amp;C$2,#REF!,"&gt;"&amp;$B26,#REF!,"&lt;="&amp;$B27)</f>
        <v>#VALUE!</v>
      </c>
      <c r="D27" s="8"/>
      <c r="E27" s="8" t="str">
        <f>SUMIFS(Loads!$AJ:$AJ,#REF!,"="&amp;E$2,#REF!,"&gt;"&amp;$B26,#REF!,"&lt;="&amp;$B27)</f>
        <v>#VALUE!</v>
      </c>
      <c r="F27" s="8" t="str">
        <f>SUMIFS(Loads!$AJ:$AJ,#REF!,"="&amp;F$2,#REF!,"&gt;"&amp;$B26,#REF!,"&lt;="&amp;$B27)</f>
        <v>#VALUE!</v>
      </c>
      <c r="G27" s="8" t="str">
        <f t="shared" si="2"/>
        <v>#VALUE!</v>
      </c>
      <c r="H27" s="8" t="str">
        <f t="shared" si="7"/>
        <v>#VALUE!</v>
      </c>
      <c r="Z27" s="343"/>
      <c r="AA27" s="334"/>
      <c r="AB27" s="335"/>
      <c r="AC27" s="8"/>
      <c r="AD27" s="8"/>
      <c r="AE27" s="8"/>
      <c r="AF27" s="8"/>
      <c r="AG27" s="8"/>
    </row>
    <row r="28">
      <c r="A28" s="334">
        <v>20.0</v>
      </c>
      <c r="B28" s="335">
        <f t="shared" si="14"/>
        <v>45572</v>
      </c>
      <c r="C28" s="8" t="str">
        <f>SUMIFS(Loads!$AJ:$AJ,#REF!,"="&amp;C$2,#REF!,"&gt;"&amp;$B27,#REF!,"&lt;="&amp;$B28)</f>
        <v>#VALUE!</v>
      </c>
      <c r="D28" s="8"/>
      <c r="E28" s="8" t="str">
        <f>SUMIFS(Loads!$AJ:$AJ,#REF!,"="&amp;E$2,#REF!,"&gt;"&amp;$B27,#REF!,"&lt;="&amp;$B28)</f>
        <v>#VALUE!</v>
      </c>
      <c r="F28" s="8" t="str">
        <f>SUMIFS(Loads!$AJ:$AJ,#REF!,"="&amp;F$2,#REF!,"&gt;"&amp;$B27,#REF!,"&lt;="&amp;$B28)</f>
        <v>#VALUE!</v>
      </c>
      <c r="G28" s="8" t="str">
        <f t="shared" si="2"/>
        <v>#VALUE!</v>
      </c>
      <c r="H28" s="8" t="str">
        <f t="shared" si="7"/>
        <v>#VALUE!</v>
      </c>
      <c r="Z28" s="343"/>
      <c r="AA28" s="334"/>
      <c r="AB28" s="335"/>
      <c r="AC28" s="8"/>
      <c r="AD28" s="8"/>
      <c r="AE28" s="8"/>
      <c r="AF28" s="8"/>
      <c r="AG28" s="8"/>
    </row>
    <row r="29">
      <c r="A29" s="334">
        <v>21.0</v>
      </c>
      <c r="B29" s="335">
        <f t="shared" si="14"/>
        <v>45579</v>
      </c>
      <c r="C29" s="8" t="str">
        <f>SUMIFS(Loads!$AJ:$AJ,#REF!,"="&amp;C$2,#REF!,"&gt;"&amp;$B28,#REF!,"&lt;="&amp;$B29)</f>
        <v>#VALUE!</v>
      </c>
      <c r="D29" s="8"/>
      <c r="E29" s="8" t="str">
        <f>SUMIFS(Loads!$AJ:$AJ,#REF!,"="&amp;E$2,#REF!,"&gt;"&amp;$B28,#REF!,"&lt;="&amp;$B29)</f>
        <v>#VALUE!</v>
      </c>
      <c r="F29" s="8" t="str">
        <f>SUMIFS(Loads!$AJ:$AJ,#REF!,"="&amp;F$2,#REF!,"&gt;"&amp;$B28,#REF!,"&lt;="&amp;$B29)</f>
        <v>#VALUE!</v>
      </c>
      <c r="G29" s="8" t="str">
        <f t="shared" si="2"/>
        <v>#VALUE!</v>
      </c>
      <c r="H29" s="8" t="str">
        <f t="shared" si="7"/>
        <v>#VALUE!</v>
      </c>
      <c r="Z29" s="343"/>
      <c r="AA29" s="334"/>
      <c r="AB29" s="335"/>
      <c r="AC29" s="8"/>
      <c r="AD29" s="8"/>
      <c r="AE29" s="8"/>
      <c r="AF29" s="8"/>
      <c r="AG29" s="8"/>
    </row>
    <row r="30">
      <c r="A30" s="334">
        <v>22.0</v>
      </c>
      <c r="B30" s="335">
        <f t="shared" si="14"/>
        <v>45586</v>
      </c>
      <c r="C30" s="8" t="str">
        <f>SUMIFS(Loads!$AJ:$AJ,#REF!,"="&amp;C$2,#REF!,"&gt;"&amp;$B29,#REF!,"&lt;="&amp;$B30)</f>
        <v>#VALUE!</v>
      </c>
      <c r="D30" s="8"/>
      <c r="E30" s="8" t="str">
        <f>SUMIFS(Loads!$AJ:$AJ,#REF!,"="&amp;E$2,#REF!,"&gt;"&amp;$B29,#REF!,"&lt;="&amp;$B30)</f>
        <v>#VALUE!</v>
      </c>
      <c r="F30" s="8" t="str">
        <f>SUMIFS(Loads!$AJ:$AJ,#REF!,"="&amp;F$2,#REF!,"&gt;"&amp;$B29,#REF!,"&lt;="&amp;$B30)</f>
        <v>#VALUE!</v>
      </c>
      <c r="G30" s="8" t="str">
        <f t="shared" si="2"/>
        <v>#VALUE!</v>
      </c>
      <c r="H30" s="8" t="str">
        <f t="shared" si="7"/>
        <v>#VALUE!</v>
      </c>
      <c r="Z30" s="343"/>
      <c r="AA30" s="334"/>
      <c r="AB30" s="335"/>
      <c r="AC30" s="8"/>
      <c r="AD30" s="8"/>
      <c r="AE30" s="8"/>
      <c r="AF30" s="8"/>
      <c r="AG30" s="8"/>
    </row>
    <row r="31">
      <c r="A31" s="334">
        <v>23.0</v>
      </c>
      <c r="B31" s="335">
        <f t="shared" si="14"/>
        <v>45593</v>
      </c>
      <c r="C31" s="8" t="str">
        <f>SUMIFS(Loads!$AJ:$AJ,#REF!,"="&amp;C$2,#REF!,"&gt;"&amp;$B30,#REF!,"&lt;="&amp;$B31)</f>
        <v>#VALUE!</v>
      </c>
      <c r="D31" s="8"/>
      <c r="E31" s="8" t="str">
        <f>SUMIFS(Loads!$AJ:$AJ,#REF!,"="&amp;E$2,#REF!,"&gt;"&amp;$B30,#REF!,"&lt;="&amp;$B31)</f>
        <v>#VALUE!</v>
      </c>
      <c r="F31" s="8" t="str">
        <f>SUMIFS(Loads!$AJ:$AJ,#REF!,"="&amp;F$2,#REF!,"&gt;"&amp;$B30,#REF!,"&lt;="&amp;$B31)</f>
        <v>#VALUE!</v>
      </c>
      <c r="G31" s="8" t="str">
        <f t="shared" si="2"/>
        <v>#VALUE!</v>
      </c>
      <c r="H31" s="8" t="str">
        <f t="shared" si="7"/>
        <v>#VALUE!</v>
      </c>
      <c r="Z31" s="343"/>
      <c r="AA31" s="334"/>
      <c r="AB31" s="335"/>
      <c r="AC31" s="8"/>
      <c r="AD31" s="8"/>
      <c r="AE31" s="8"/>
      <c r="AF31" s="8"/>
      <c r="AG31" s="8"/>
    </row>
    <row r="32">
      <c r="A32" s="334">
        <v>24.0</v>
      </c>
      <c r="B32" s="335">
        <f t="shared" si="14"/>
        <v>45600</v>
      </c>
      <c r="C32" s="8" t="str">
        <f>SUMIFS(Loads!$AJ:$AJ,#REF!,"="&amp;C$2,#REF!,"&gt;"&amp;$B31,#REF!,"&lt;="&amp;$B32)</f>
        <v>#VALUE!</v>
      </c>
      <c r="D32" s="8"/>
      <c r="E32" s="8" t="str">
        <f>SUMIFS(Loads!$AJ:$AJ,#REF!,"="&amp;E$2,#REF!,"&gt;"&amp;$B31,#REF!,"&lt;="&amp;$B32)</f>
        <v>#VALUE!</v>
      </c>
      <c r="F32" s="8" t="str">
        <f>SUMIFS(Loads!$AJ:$AJ,#REF!,"="&amp;F$2,#REF!,"&gt;"&amp;$B31,#REF!,"&lt;="&amp;$B32)</f>
        <v>#VALUE!</v>
      </c>
      <c r="G32" s="8" t="str">
        <f t="shared" si="2"/>
        <v>#VALUE!</v>
      </c>
      <c r="H32" s="8" t="str">
        <f t="shared" si="7"/>
        <v>#VALUE!</v>
      </c>
      <c r="Z32" s="343"/>
      <c r="AA32" s="334"/>
      <c r="AB32" s="335"/>
      <c r="AC32" s="8"/>
      <c r="AD32" s="8"/>
      <c r="AE32" s="8"/>
      <c r="AF32" s="8"/>
      <c r="AG32" s="8"/>
    </row>
    <row r="33">
      <c r="A33" s="334">
        <v>25.0</v>
      </c>
      <c r="B33" s="335">
        <f t="shared" si="14"/>
        <v>45607</v>
      </c>
      <c r="C33" s="8" t="str">
        <f>SUMIFS(Loads!$AJ:$AJ,#REF!,"="&amp;C$2,#REF!,"&gt;"&amp;$B32,#REF!,"&lt;="&amp;$B33)</f>
        <v>#VALUE!</v>
      </c>
      <c r="D33" s="8"/>
      <c r="E33" s="8" t="str">
        <f>SUMIFS(Loads!$AJ:$AJ,#REF!,"="&amp;E$2,#REF!,"&gt;"&amp;$B32,#REF!,"&lt;="&amp;$B33)</f>
        <v>#VALUE!</v>
      </c>
      <c r="F33" s="8" t="str">
        <f>SUMIFS(Loads!$AJ:$AJ,#REF!,"="&amp;F$2,#REF!,"&gt;"&amp;$B32,#REF!,"&lt;="&amp;$B33)</f>
        <v>#VALUE!</v>
      </c>
      <c r="G33" s="8" t="str">
        <f t="shared" si="2"/>
        <v>#VALUE!</v>
      </c>
      <c r="H33" s="8" t="str">
        <f t="shared" si="7"/>
        <v>#VALUE!</v>
      </c>
      <c r="AA33" s="334"/>
      <c r="AB33" s="335"/>
      <c r="AC33" s="8"/>
      <c r="AD33" s="8"/>
      <c r="AE33" s="8"/>
      <c r="AF33" s="8"/>
      <c r="AG33" s="8"/>
    </row>
    <row r="34">
      <c r="A34" s="334">
        <v>26.0</v>
      </c>
      <c r="B34" s="335">
        <f t="shared" si="14"/>
        <v>45614</v>
      </c>
      <c r="C34" s="8" t="str">
        <f>SUMIFS(Loads!$AJ:$AJ,#REF!,"="&amp;C$2,#REF!,"&gt;"&amp;$B33,#REF!,"&lt;="&amp;$B34)</f>
        <v>#VALUE!</v>
      </c>
      <c r="D34" s="8"/>
      <c r="E34" s="8" t="str">
        <f>SUMIFS(Loads!$AJ:$AJ,#REF!,"="&amp;E$2,#REF!,"&gt;"&amp;$B33,#REF!,"&lt;="&amp;$B34)</f>
        <v>#VALUE!</v>
      </c>
      <c r="F34" s="8" t="str">
        <f>SUMIFS(Loads!$AJ:$AJ,#REF!,"="&amp;F$2,#REF!,"&gt;"&amp;$B33,#REF!,"&lt;="&amp;$B34)</f>
        <v>#VALUE!</v>
      </c>
      <c r="G34" s="8" t="str">
        <f t="shared" si="2"/>
        <v>#VALUE!</v>
      </c>
      <c r="H34" s="8" t="str">
        <f t="shared" si="7"/>
        <v>#VALUE!</v>
      </c>
      <c r="AA34" s="334"/>
      <c r="AB34" s="335"/>
      <c r="AC34" s="8"/>
      <c r="AD34" s="8"/>
      <c r="AE34" s="8"/>
      <c r="AF34" s="8"/>
      <c r="AG34" s="8"/>
    </row>
    <row r="35">
      <c r="A35" s="334">
        <v>27.0</v>
      </c>
      <c r="B35" s="335">
        <f t="shared" si="14"/>
        <v>45621</v>
      </c>
      <c r="C35" s="8" t="str">
        <f>SUMIFS(Loads!$AJ:$AJ,#REF!,"="&amp;C$2,#REF!,"&gt;"&amp;$B34,#REF!,"&lt;="&amp;$B35)</f>
        <v>#VALUE!</v>
      </c>
      <c r="D35" s="8"/>
      <c r="E35" s="8" t="str">
        <f>SUMIFS(Loads!$AJ:$AJ,#REF!,"="&amp;E$2,#REF!,"&gt;"&amp;$B34,#REF!,"&lt;="&amp;$B35)</f>
        <v>#VALUE!</v>
      </c>
      <c r="F35" s="8" t="str">
        <f>SUMIFS(Loads!$AJ:$AJ,#REF!,"="&amp;F$2,#REF!,"&gt;"&amp;$B34,#REF!,"&lt;="&amp;$B35)</f>
        <v>#VALUE!</v>
      </c>
      <c r="G35" s="8" t="str">
        <f t="shared" si="2"/>
        <v>#VALUE!</v>
      </c>
      <c r="H35" s="8" t="str">
        <f t="shared" si="7"/>
        <v>#VALUE!</v>
      </c>
      <c r="AA35" s="334"/>
      <c r="AB35" s="335"/>
      <c r="AC35" s="8"/>
      <c r="AD35" s="8"/>
      <c r="AE35" s="8"/>
      <c r="AF35" s="8"/>
      <c r="AG35" s="8"/>
    </row>
    <row r="36">
      <c r="A36" s="334">
        <v>28.0</v>
      </c>
      <c r="B36" s="335">
        <f t="shared" si="14"/>
        <v>45628</v>
      </c>
      <c r="C36" s="8" t="str">
        <f>SUMIFS(Loads!$AJ:$AJ,#REF!,"="&amp;C$2,#REF!,"&gt;"&amp;$B35,#REF!,"&lt;="&amp;$B36)</f>
        <v>#VALUE!</v>
      </c>
      <c r="D36" s="8"/>
      <c r="E36" s="8" t="str">
        <f>SUMIFS(Loads!$AJ:$AJ,#REF!,"="&amp;E$2,#REF!,"&gt;"&amp;$B35,#REF!,"&lt;="&amp;$B36)</f>
        <v>#VALUE!</v>
      </c>
      <c r="F36" s="8" t="str">
        <f>SUMIFS(Loads!$AJ:$AJ,#REF!,"="&amp;F$2,#REF!,"&gt;"&amp;$B35,#REF!,"&lt;="&amp;$B36)</f>
        <v>#VALUE!</v>
      </c>
      <c r="G36" s="8" t="str">
        <f t="shared" si="2"/>
        <v>#VALUE!</v>
      </c>
      <c r="H36" s="8" t="str">
        <f t="shared" si="7"/>
        <v>#VALUE!</v>
      </c>
      <c r="AA36" s="334"/>
      <c r="AB36" s="335"/>
      <c r="AC36" s="8"/>
      <c r="AD36" s="8"/>
      <c r="AE36" s="8"/>
      <c r="AF36" s="8"/>
      <c r="AG36" s="8"/>
    </row>
    <row r="37">
      <c r="A37" s="334">
        <v>29.0</v>
      </c>
      <c r="B37" s="335">
        <f t="shared" si="14"/>
        <v>45635</v>
      </c>
      <c r="C37" s="8" t="str">
        <f>SUMIFS(Loads!$AJ:$AJ,#REF!,"="&amp;C$2,#REF!,"&gt;"&amp;$B36,#REF!,"&lt;="&amp;$B37)</f>
        <v>#VALUE!</v>
      </c>
      <c r="D37" s="8"/>
      <c r="E37" s="8" t="str">
        <f>SUMIFS(Loads!$AJ:$AJ,#REF!,"="&amp;E$2,#REF!,"&gt;"&amp;$B36,#REF!,"&lt;="&amp;$B37)</f>
        <v>#VALUE!</v>
      </c>
      <c r="F37" s="8" t="str">
        <f>SUMIFS(Loads!$AJ:$AJ,#REF!,"="&amp;F$2,#REF!,"&gt;"&amp;$B36,#REF!,"&lt;="&amp;$B37)</f>
        <v>#VALUE!</v>
      </c>
      <c r="G37" s="8" t="str">
        <f t="shared" si="2"/>
        <v>#VALUE!</v>
      </c>
      <c r="H37" s="8" t="str">
        <f t="shared" si="7"/>
        <v>#VALUE!</v>
      </c>
      <c r="AA37" s="334"/>
      <c r="AB37" s="335"/>
      <c r="AC37" s="8"/>
      <c r="AD37" s="8"/>
      <c r="AE37" s="8"/>
      <c r="AF37" s="8"/>
      <c r="AG37" s="8"/>
    </row>
    <row r="38">
      <c r="A38" s="334">
        <v>30.0</v>
      </c>
      <c r="B38" s="335">
        <f t="shared" si="14"/>
        <v>45642</v>
      </c>
      <c r="C38" s="8" t="str">
        <f>SUMIFS(Loads!$AJ:$AJ,#REF!,"="&amp;C$2,#REF!,"&gt;"&amp;$B37,#REF!,"&lt;="&amp;$B38)</f>
        <v>#VALUE!</v>
      </c>
      <c r="D38" s="8"/>
      <c r="E38" s="8" t="str">
        <f>SUMIFS(Loads!$AJ:$AJ,#REF!,"="&amp;E$2,#REF!,"&gt;"&amp;$B37,#REF!,"&lt;="&amp;$B38)</f>
        <v>#VALUE!</v>
      </c>
      <c r="F38" s="8" t="str">
        <f>SUMIFS(Loads!$AJ:$AJ,#REF!,"="&amp;F$2,#REF!,"&gt;"&amp;$B37,#REF!,"&lt;="&amp;$B38)</f>
        <v>#VALUE!</v>
      </c>
      <c r="G38" s="8" t="str">
        <f t="shared" si="2"/>
        <v>#VALUE!</v>
      </c>
      <c r="H38" s="8" t="str">
        <f t="shared" si="7"/>
        <v>#VALUE!</v>
      </c>
      <c r="AA38" s="334"/>
      <c r="AB38" s="335"/>
      <c r="AC38" s="8"/>
      <c r="AD38" s="8"/>
      <c r="AE38" s="8"/>
      <c r="AF38" s="8"/>
      <c r="AG38" s="8"/>
    </row>
    <row r="39">
      <c r="A39" s="334">
        <v>31.0</v>
      </c>
      <c r="B39" s="335">
        <f t="shared" si="14"/>
        <v>45649</v>
      </c>
      <c r="C39" s="8" t="str">
        <f>SUMIFS(Loads!$AJ:$AJ,#REF!,"="&amp;C$2,#REF!,"&gt;"&amp;$B38,#REF!,"&lt;="&amp;$B39)</f>
        <v>#VALUE!</v>
      </c>
      <c r="D39" s="8"/>
      <c r="E39" s="8" t="str">
        <f>SUMIFS(Loads!$AJ:$AJ,#REF!,"="&amp;E$2,#REF!,"&gt;"&amp;$B38,#REF!,"&lt;="&amp;$B39)</f>
        <v>#VALUE!</v>
      </c>
      <c r="F39" s="8" t="str">
        <f>SUMIFS(Loads!$AJ:$AJ,#REF!,"="&amp;F$2,#REF!,"&gt;"&amp;$B38,#REF!,"&lt;="&amp;$B39)</f>
        <v>#VALUE!</v>
      </c>
      <c r="G39" s="8" t="str">
        <f t="shared" si="2"/>
        <v>#VALUE!</v>
      </c>
      <c r="H39" s="8" t="str">
        <f t="shared" si="7"/>
        <v>#VALUE!</v>
      </c>
      <c r="AA39" s="334"/>
      <c r="AB39" s="335"/>
      <c r="AC39" s="8"/>
      <c r="AD39" s="8"/>
      <c r="AE39" s="8"/>
      <c r="AF39" s="8"/>
      <c r="AG39" s="8"/>
    </row>
    <row r="40">
      <c r="A40" s="334">
        <v>32.0</v>
      </c>
      <c r="B40" s="335">
        <f t="shared" si="14"/>
        <v>45656</v>
      </c>
      <c r="C40" s="8" t="str">
        <f>SUMIFS(Loads!$AJ:$AJ,#REF!,"="&amp;C$2,#REF!,"&gt;"&amp;$B39,#REF!,"&lt;="&amp;$B40)</f>
        <v>#VALUE!</v>
      </c>
      <c r="D40" s="8"/>
      <c r="E40" s="8" t="str">
        <f>SUMIFS(Loads!$AJ:$AJ,#REF!,"="&amp;E$2,#REF!,"&gt;"&amp;$B39,#REF!,"&lt;="&amp;$B40)</f>
        <v>#VALUE!</v>
      </c>
      <c r="F40" s="8" t="str">
        <f>SUMIFS(Loads!$AJ:$AJ,#REF!,"="&amp;F$2,#REF!,"&gt;"&amp;$B39,#REF!,"&lt;="&amp;$B40)</f>
        <v>#VALUE!</v>
      </c>
      <c r="G40" s="8" t="str">
        <f t="shared" si="2"/>
        <v>#VALUE!</v>
      </c>
      <c r="H40" s="8" t="str">
        <f t="shared" si="7"/>
        <v>#VALUE!</v>
      </c>
      <c r="AA40" s="334"/>
      <c r="AB40" s="335"/>
      <c r="AC40" s="8"/>
      <c r="AD40" s="8"/>
      <c r="AE40" s="8"/>
      <c r="AF40" s="8"/>
      <c r="AG40" s="8"/>
    </row>
    <row r="41">
      <c r="A41" s="334">
        <v>33.0</v>
      </c>
      <c r="B41" s="335">
        <f t="shared" si="14"/>
        <v>45663</v>
      </c>
      <c r="C41" s="8" t="str">
        <f>SUMIFS(Loads!$AJ:$AJ,#REF!,"="&amp;C$2,#REF!,"&gt;"&amp;$B40,#REF!,"&lt;="&amp;$B41)</f>
        <v>#VALUE!</v>
      </c>
      <c r="D41" s="8"/>
      <c r="E41" s="8" t="str">
        <f>SUMIFS(Loads!$AJ:$AJ,#REF!,"="&amp;E$2,#REF!,"&gt;"&amp;$B40,#REF!,"&lt;="&amp;$B41)</f>
        <v>#VALUE!</v>
      </c>
      <c r="F41" s="8" t="str">
        <f>SUMIFS(Loads!$AJ:$AJ,#REF!,"="&amp;F$2,#REF!,"&gt;"&amp;$B40,#REF!,"&lt;="&amp;$B41)</f>
        <v>#VALUE!</v>
      </c>
      <c r="G41" s="8" t="str">
        <f t="shared" si="2"/>
        <v>#VALUE!</v>
      </c>
      <c r="H41" s="8" t="str">
        <f t="shared" si="7"/>
        <v>#VALUE!</v>
      </c>
      <c r="AA41" s="334"/>
      <c r="AB41" s="335"/>
      <c r="AC41" s="8"/>
      <c r="AD41" s="8"/>
      <c r="AE41" s="8"/>
      <c r="AF41" s="8"/>
      <c r="AG41" s="8"/>
    </row>
    <row r="42">
      <c r="A42" s="334">
        <v>34.0</v>
      </c>
      <c r="B42" s="335">
        <f t="shared" si="14"/>
        <v>45670</v>
      </c>
      <c r="C42" s="8" t="str">
        <f>SUMIFS(Loads!$AJ:$AJ,#REF!,"="&amp;C$2,#REF!,"&gt;"&amp;$B41,#REF!,"&lt;="&amp;$B42)</f>
        <v>#VALUE!</v>
      </c>
      <c r="D42" s="8"/>
      <c r="E42" s="8" t="str">
        <f>SUMIFS(Loads!$AJ:$AJ,#REF!,"="&amp;E$2,#REF!,"&gt;"&amp;$B41,#REF!,"&lt;="&amp;$B42)</f>
        <v>#VALUE!</v>
      </c>
      <c r="F42" s="8" t="str">
        <f>SUMIFS(Loads!$AJ:$AJ,#REF!,"="&amp;F$2,#REF!,"&gt;"&amp;$B41,#REF!,"&lt;="&amp;$B42)</f>
        <v>#VALUE!</v>
      </c>
      <c r="G42" s="8" t="str">
        <f t="shared" si="2"/>
        <v>#VALUE!</v>
      </c>
      <c r="H42" s="8" t="str">
        <f t="shared" si="7"/>
        <v>#VALUE!</v>
      </c>
      <c r="AA42" s="334"/>
      <c r="AB42" s="335"/>
      <c r="AC42" s="8"/>
      <c r="AD42" s="8"/>
      <c r="AE42" s="8"/>
      <c r="AF42" s="8"/>
      <c r="AG42" s="8"/>
    </row>
    <row r="43">
      <c r="A43" s="334">
        <v>35.0</v>
      </c>
      <c r="B43" s="335">
        <f t="shared" si="14"/>
        <v>45677</v>
      </c>
      <c r="C43" s="8" t="str">
        <f>SUMIFS(Loads!$AJ:$AJ,#REF!,"="&amp;C$2,#REF!,"&gt;"&amp;$B42,#REF!,"&lt;="&amp;$B43)</f>
        <v>#VALUE!</v>
      </c>
      <c r="D43" s="8"/>
      <c r="E43" s="8" t="str">
        <f>SUMIFS(Loads!$AJ:$AJ,#REF!,"="&amp;E$2,#REF!,"&gt;"&amp;$B42,#REF!,"&lt;="&amp;$B43)</f>
        <v>#VALUE!</v>
      </c>
      <c r="F43" s="8" t="str">
        <f>SUMIFS(Loads!$AJ:$AJ,#REF!,"="&amp;F$2,#REF!,"&gt;"&amp;$B42,#REF!,"&lt;="&amp;$B43)</f>
        <v>#VALUE!</v>
      </c>
      <c r="G43" s="8" t="str">
        <f t="shared" si="2"/>
        <v>#VALUE!</v>
      </c>
      <c r="H43" s="8" t="str">
        <f t="shared" si="7"/>
        <v>#VALUE!</v>
      </c>
      <c r="AA43" s="334"/>
      <c r="AB43" s="335"/>
      <c r="AC43" s="8"/>
      <c r="AD43" s="8"/>
      <c r="AE43" s="8"/>
      <c r="AF43" s="8"/>
      <c r="AG43" s="8"/>
    </row>
    <row r="44">
      <c r="A44" s="334">
        <v>36.0</v>
      </c>
      <c r="B44" s="335">
        <f t="shared" si="14"/>
        <v>45684</v>
      </c>
      <c r="C44" s="8" t="str">
        <f>SUMIFS(Loads!$AJ:$AJ,#REF!,"="&amp;C$2,#REF!,"&gt;"&amp;$B43,#REF!,"&lt;="&amp;$B44)</f>
        <v>#VALUE!</v>
      </c>
      <c r="D44" s="8"/>
      <c r="E44" s="8" t="str">
        <f>SUMIFS(Loads!$AJ:$AJ,#REF!,"="&amp;E$2,#REF!,"&gt;"&amp;$B43,#REF!,"&lt;="&amp;$B44)</f>
        <v>#VALUE!</v>
      </c>
      <c r="F44" s="8" t="str">
        <f>SUMIFS(Loads!$AJ:$AJ,#REF!,"="&amp;F$2,#REF!,"&gt;"&amp;$B43,#REF!,"&lt;="&amp;$B44)</f>
        <v>#VALUE!</v>
      </c>
      <c r="G44" s="8" t="str">
        <f t="shared" si="2"/>
        <v>#VALUE!</v>
      </c>
      <c r="H44" s="8" t="str">
        <f t="shared" si="7"/>
        <v>#VALUE!</v>
      </c>
      <c r="AA44" s="334"/>
      <c r="AB44" s="335"/>
      <c r="AC44" s="8"/>
      <c r="AD44" s="8"/>
      <c r="AE44" s="8"/>
      <c r="AF44" s="8"/>
      <c r="AG44" s="8"/>
    </row>
    <row r="45">
      <c r="A45" s="334">
        <v>37.0</v>
      </c>
      <c r="B45" s="335">
        <f t="shared" si="14"/>
        <v>45691</v>
      </c>
      <c r="C45" s="8" t="str">
        <f>SUMIFS(Loads!$AJ:$AJ,#REF!,"="&amp;C$2,#REF!,"&gt;"&amp;$B44,#REF!,"&lt;="&amp;$B45)</f>
        <v>#VALUE!</v>
      </c>
      <c r="D45" s="8"/>
      <c r="E45" s="8" t="str">
        <f>SUMIFS(Loads!$AJ:$AJ,#REF!,"="&amp;E$2,#REF!,"&gt;"&amp;$B44,#REF!,"&lt;="&amp;$B45)</f>
        <v>#VALUE!</v>
      </c>
      <c r="F45" s="8" t="str">
        <f>SUMIFS(Loads!$AJ:$AJ,#REF!,"="&amp;F$2,#REF!,"&gt;"&amp;$B44,#REF!,"&lt;="&amp;$B45)</f>
        <v>#VALUE!</v>
      </c>
      <c r="G45" s="8" t="str">
        <f t="shared" si="2"/>
        <v>#VALUE!</v>
      </c>
      <c r="H45" s="8" t="str">
        <f t="shared" si="7"/>
        <v>#VALUE!</v>
      </c>
      <c r="AA45" s="334"/>
      <c r="AB45" s="335"/>
      <c r="AC45" s="8"/>
      <c r="AD45" s="8"/>
      <c r="AE45" s="8"/>
      <c r="AF45" s="8"/>
      <c r="AG45" s="8"/>
    </row>
    <row r="46">
      <c r="AB46" s="335"/>
      <c r="AC46" s="8"/>
      <c r="AD46" s="8"/>
      <c r="AE46" s="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hidden="1" min="3" max="8" width="10.13"/>
    <col customWidth="1" min="9" max="20" width="10.13"/>
    <col customWidth="1" min="21" max="21" width="2.63"/>
    <col customWidth="1" min="22" max="22" width="10.13"/>
  </cols>
  <sheetData>
    <row r="1">
      <c r="A1" s="432"/>
      <c r="B1" s="433"/>
      <c r="C1" s="433">
        <v>45474.0</v>
      </c>
      <c r="D1" s="433">
        <v>45505.0</v>
      </c>
      <c r="E1" s="433">
        <v>45536.0</v>
      </c>
      <c r="F1" s="433">
        <v>45566.0</v>
      </c>
      <c r="G1" s="433">
        <v>45597.0</v>
      </c>
      <c r="H1" s="433">
        <v>45627.0</v>
      </c>
      <c r="I1" s="433">
        <v>45658.0</v>
      </c>
      <c r="J1" s="433">
        <v>45689.0</v>
      </c>
      <c r="K1" s="433">
        <v>45717.0</v>
      </c>
      <c r="L1" s="433">
        <v>45748.0</v>
      </c>
      <c r="M1" s="433">
        <v>45778.0</v>
      </c>
      <c r="N1" s="433">
        <v>45809.0</v>
      </c>
      <c r="O1" s="433">
        <v>45839.0</v>
      </c>
      <c r="P1" s="433">
        <v>45870.0</v>
      </c>
      <c r="Q1" s="433">
        <v>45901.0</v>
      </c>
      <c r="R1" s="433">
        <v>45931.0</v>
      </c>
      <c r="S1" s="433">
        <v>45962.0</v>
      </c>
      <c r="T1" s="433">
        <v>45992.0</v>
      </c>
      <c r="U1" s="434">
        <v>46023.0</v>
      </c>
      <c r="V1" s="435" t="s">
        <v>1453</v>
      </c>
      <c r="W1" s="436"/>
      <c r="X1" s="436"/>
      <c r="Y1" s="436"/>
      <c r="Z1" s="436"/>
      <c r="AA1" s="436"/>
      <c r="AB1" s="436"/>
      <c r="AC1" s="436"/>
      <c r="AD1" s="436"/>
      <c r="AE1" s="436"/>
      <c r="AF1" s="436"/>
      <c r="AG1" s="436"/>
    </row>
    <row r="2">
      <c r="A2" s="437" t="s">
        <v>2116</v>
      </c>
      <c r="B2" s="438"/>
      <c r="C2" s="439">
        <f t="shared" ref="C2:T2" si="1">(DAYS(D1,C1))</f>
        <v>31</v>
      </c>
      <c r="D2" s="439">
        <f t="shared" si="1"/>
        <v>31</v>
      </c>
      <c r="E2" s="439">
        <f t="shared" si="1"/>
        <v>30</v>
      </c>
      <c r="F2" s="439">
        <f t="shared" si="1"/>
        <v>31</v>
      </c>
      <c r="G2" s="439">
        <f t="shared" si="1"/>
        <v>30</v>
      </c>
      <c r="H2" s="439">
        <f t="shared" si="1"/>
        <v>31</v>
      </c>
      <c r="I2" s="439">
        <f t="shared" si="1"/>
        <v>31</v>
      </c>
      <c r="J2" s="439">
        <f t="shared" si="1"/>
        <v>28</v>
      </c>
      <c r="K2" s="439">
        <f t="shared" si="1"/>
        <v>31</v>
      </c>
      <c r="L2" s="439">
        <f t="shared" si="1"/>
        <v>30</v>
      </c>
      <c r="M2" s="439">
        <f t="shared" si="1"/>
        <v>31</v>
      </c>
      <c r="N2" s="439">
        <f t="shared" si="1"/>
        <v>30</v>
      </c>
      <c r="O2" s="439">
        <f t="shared" si="1"/>
        <v>31</v>
      </c>
      <c r="P2" s="439">
        <f t="shared" si="1"/>
        <v>31</v>
      </c>
      <c r="Q2" s="439">
        <f t="shared" si="1"/>
        <v>30</v>
      </c>
      <c r="R2" s="439">
        <f t="shared" si="1"/>
        <v>31</v>
      </c>
      <c r="S2" s="439">
        <f t="shared" si="1"/>
        <v>30</v>
      </c>
      <c r="T2" s="439">
        <f t="shared" si="1"/>
        <v>31</v>
      </c>
      <c r="U2" s="440"/>
      <c r="V2" s="441"/>
      <c r="W2" s="440"/>
      <c r="X2" s="440"/>
      <c r="Y2" s="440"/>
      <c r="Z2" s="440"/>
      <c r="AA2" s="440"/>
      <c r="AB2" s="440"/>
      <c r="AC2" s="440"/>
      <c r="AD2" s="440"/>
      <c r="AE2" s="440"/>
      <c r="AF2" s="440"/>
      <c r="AG2" s="440"/>
    </row>
    <row r="3">
      <c r="A3" s="437" t="s">
        <v>2272</v>
      </c>
      <c r="B3" s="440"/>
      <c r="C3" s="491">
        <f t="shared" ref="C3:T3" si="2">NETWORKDAYS(C1,D1)</f>
        <v>24</v>
      </c>
      <c r="D3" s="491">
        <f t="shared" si="2"/>
        <v>22</v>
      </c>
      <c r="E3" s="491">
        <f t="shared" si="2"/>
        <v>22</v>
      </c>
      <c r="F3" s="491">
        <f t="shared" si="2"/>
        <v>24</v>
      </c>
      <c r="G3" s="491">
        <f t="shared" si="2"/>
        <v>21</v>
      </c>
      <c r="H3" s="491">
        <f t="shared" si="2"/>
        <v>23</v>
      </c>
      <c r="I3" s="491">
        <f t="shared" si="2"/>
        <v>23</v>
      </c>
      <c r="J3" s="491">
        <f t="shared" si="2"/>
        <v>20</v>
      </c>
      <c r="K3" s="491">
        <f t="shared" si="2"/>
        <v>22</v>
      </c>
      <c r="L3" s="491">
        <f t="shared" si="2"/>
        <v>23</v>
      </c>
      <c r="M3" s="491">
        <f t="shared" si="2"/>
        <v>22</v>
      </c>
      <c r="N3" s="491">
        <f t="shared" si="2"/>
        <v>22</v>
      </c>
      <c r="O3" s="491">
        <f t="shared" si="2"/>
        <v>24</v>
      </c>
      <c r="P3" s="491">
        <f t="shared" si="2"/>
        <v>22</v>
      </c>
      <c r="Q3" s="491">
        <f t="shared" si="2"/>
        <v>23</v>
      </c>
      <c r="R3" s="491">
        <f t="shared" si="2"/>
        <v>23</v>
      </c>
      <c r="S3" s="491">
        <f t="shared" si="2"/>
        <v>21</v>
      </c>
      <c r="T3" s="491">
        <f t="shared" si="2"/>
        <v>24</v>
      </c>
      <c r="U3" s="440"/>
      <c r="V3" s="441"/>
      <c r="W3" s="440"/>
      <c r="X3" s="440"/>
      <c r="Y3" s="440"/>
      <c r="Z3" s="440"/>
      <c r="AA3" s="440"/>
      <c r="AB3" s="440"/>
      <c r="AC3" s="440"/>
      <c r="AD3" s="440"/>
      <c r="AE3" s="440"/>
      <c r="AF3" s="440"/>
      <c r="AG3" s="440"/>
    </row>
    <row r="4">
      <c r="A4" s="442" t="s">
        <v>2117</v>
      </c>
      <c r="B4" s="440"/>
      <c r="C4" s="491"/>
      <c r="D4" s="491"/>
      <c r="E4" s="440"/>
      <c r="F4" s="440"/>
      <c r="G4" s="440"/>
      <c r="H4" s="440"/>
      <c r="I4" s="440"/>
      <c r="J4" s="440"/>
      <c r="K4" s="440"/>
      <c r="L4" s="440"/>
      <c r="M4" s="440"/>
      <c r="N4" s="440"/>
      <c r="O4" s="440"/>
      <c r="P4" s="440"/>
      <c r="Q4" s="440"/>
      <c r="R4" s="440"/>
      <c r="S4" s="440"/>
      <c r="T4" s="440"/>
      <c r="U4" s="440"/>
      <c r="V4" s="441"/>
      <c r="W4" s="440"/>
      <c r="X4" s="440"/>
      <c r="Y4" s="440"/>
      <c r="Z4" s="440"/>
      <c r="AA4" s="440"/>
      <c r="AB4" s="440"/>
      <c r="AC4" s="440"/>
      <c r="AD4" s="440"/>
      <c r="AE4" s="440"/>
      <c r="AF4" s="440"/>
      <c r="AG4" s="440"/>
    </row>
    <row r="5">
      <c r="A5" s="443" t="s">
        <v>2118</v>
      </c>
      <c r="B5" s="179"/>
      <c r="C5" s="179"/>
      <c r="D5" s="179"/>
      <c r="E5" s="179"/>
      <c r="F5" s="179"/>
      <c r="G5" s="179"/>
      <c r="H5" s="179"/>
      <c r="I5" s="179"/>
      <c r="J5" s="179"/>
      <c r="K5" s="179"/>
      <c r="L5" s="179"/>
      <c r="M5" s="179"/>
      <c r="N5" s="179"/>
      <c r="O5" s="179"/>
      <c r="P5" s="179"/>
      <c r="Q5" s="179"/>
      <c r="R5" s="179"/>
      <c r="S5" s="179"/>
      <c r="T5" s="179"/>
      <c r="U5" s="179"/>
      <c r="V5" s="176"/>
      <c r="W5" s="179"/>
      <c r="X5" s="179"/>
      <c r="Y5" s="179"/>
      <c r="Z5" s="179"/>
      <c r="AA5" s="179"/>
      <c r="AB5" s="179"/>
      <c r="AC5" s="179"/>
      <c r="AD5" s="179"/>
      <c r="AE5" s="179"/>
      <c r="AF5" s="179"/>
      <c r="AG5" s="179"/>
    </row>
    <row r="6">
      <c r="A6" s="1" t="s">
        <v>2119</v>
      </c>
      <c r="B6" s="1" t="s">
        <v>1826</v>
      </c>
      <c r="C6" s="382"/>
      <c r="D6" s="382"/>
      <c r="E6" s="382"/>
      <c r="F6" s="382"/>
      <c r="G6" s="382"/>
      <c r="H6" s="382"/>
      <c r="I6" s="382">
        <f t="shared" ref="I6:T6" si="3">40000000/12</f>
        <v>3333333.333</v>
      </c>
      <c r="J6" s="382">
        <f t="shared" si="3"/>
        <v>3333333.333</v>
      </c>
      <c r="K6" s="382">
        <f t="shared" si="3"/>
        <v>3333333.333</v>
      </c>
      <c r="L6" s="382">
        <f t="shared" si="3"/>
        <v>3333333.333</v>
      </c>
      <c r="M6" s="382">
        <f t="shared" si="3"/>
        <v>3333333.333</v>
      </c>
      <c r="N6" s="382">
        <f t="shared" si="3"/>
        <v>3333333.333</v>
      </c>
      <c r="O6" s="382">
        <f t="shared" si="3"/>
        <v>3333333.333</v>
      </c>
      <c r="P6" s="382">
        <f t="shared" si="3"/>
        <v>3333333.333</v>
      </c>
      <c r="Q6" s="382">
        <f t="shared" si="3"/>
        <v>3333333.333</v>
      </c>
      <c r="R6" s="382">
        <f t="shared" si="3"/>
        <v>3333333.333</v>
      </c>
      <c r="S6" s="382">
        <f t="shared" si="3"/>
        <v>3333333.333</v>
      </c>
      <c r="T6" s="382">
        <f t="shared" si="3"/>
        <v>3333333.333</v>
      </c>
      <c r="V6" s="176"/>
    </row>
    <row r="7">
      <c r="A7" s="1" t="s">
        <v>2119</v>
      </c>
      <c r="B7" s="1" t="s">
        <v>2120</v>
      </c>
      <c r="C7" s="382"/>
      <c r="D7" s="382"/>
      <c r="E7" s="382"/>
      <c r="F7" s="382"/>
      <c r="G7" s="382"/>
      <c r="H7" s="382"/>
      <c r="I7" s="382">
        <f>I6*Constants!$B$22</f>
        <v>4066666.667</v>
      </c>
      <c r="J7" s="382">
        <f>J6*Constants!$B$22</f>
        <v>4066666.667</v>
      </c>
      <c r="K7" s="382">
        <f>K6*Constants!$B$22</f>
        <v>4066666.667</v>
      </c>
      <c r="L7" s="382">
        <f>L6*Constants!$B$22</f>
        <v>4066666.667</v>
      </c>
      <c r="M7" s="382">
        <f>M6*Constants!$B$22</f>
        <v>4066666.667</v>
      </c>
      <c r="N7" s="382">
        <f>N6*Constants!$B$22</f>
        <v>4066666.667</v>
      </c>
      <c r="O7" s="382">
        <f>O6*Constants!$B$22</f>
        <v>4066666.667</v>
      </c>
      <c r="P7" s="382">
        <f>P6*Constants!$B$22</f>
        <v>4066666.667</v>
      </c>
      <c r="Q7" s="382">
        <f>Q6*Constants!$B$22</f>
        <v>4066666.667</v>
      </c>
      <c r="R7" s="382">
        <f>R6*Constants!$B$22</f>
        <v>4066666.667</v>
      </c>
      <c r="S7" s="382">
        <f>S6*Constants!$B$22</f>
        <v>4066666.667</v>
      </c>
      <c r="T7" s="382">
        <f>T6*Constants!$B$22</f>
        <v>4066666.667</v>
      </c>
      <c r="V7" s="176"/>
    </row>
    <row r="8">
      <c r="A8" s="1" t="s">
        <v>2121</v>
      </c>
      <c r="B8" s="1" t="s">
        <v>2122</v>
      </c>
      <c r="C8" s="1"/>
      <c r="D8" s="1"/>
      <c r="E8" s="1"/>
      <c r="F8" s="1"/>
      <c r="G8" s="1"/>
      <c r="H8" s="1"/>
      <c r="I8" s="1">
        <v>0.8</v>
      </c>
      <c r="J8" s="1">
        <v>0.8</v>
      </c>
      <c r="K8" s="1">
        <v>0.8</v>
      </c>
      <c r="L8" s="1">
        <v>0.82</v>
      </c>
      <c r="M8" s="1">
        <v>0.82</v>
      </c>
      <c r="N8" s="1">
        <v>0.82</v>
      </c>
      <c r="O8" s="1">
        <v>0.82</v>
      </c>
      <c r="P8" s="1">
        <v>0.82</v>
      </c>
      <c r="Q8" s="1">
        <v>0.82</v>
      </c>
      <c r="R8" s="1">
        <v>0.85</v>
      </c>
      <c r="S8" s="1">
        <v>0.85</v>
      </c>
      <c r="T8" s="1">
        <v>0.85</v>
      </c>
      <c r="V8" s="176"/>
    </row>
    <row r="9">
      <c r="A9" s="1" t="s">
        <v>2123</v>
      </c>
      <c r="B9" s="444" t="s">
        <v>2122</v>
      </c>
      <c r="C9" s="444"/>
      <c r="D9" s="444"/>
      <c r="E9" s="444"/>
      <c r="F9" s="444"/>
      <c r="G9" s="444"/>
      <c r="H9" s="444"/>
      <c r="I9" s="444">
        <v>0.7</v>
      </c>
      <c r="J9" s="444">
        <v>0.7</v>
      </c>
      <c r="K9" s="444">
        <v>0.7</v>
      </c>
      <c r="L9" s="444">
        <v>0.7</v>
      </c>
      <c r="M9" s="444">
        <v>0.7</v>
      </c>
      <c r="N9" s="444">
        <v>0.7</v>
      </c>
      <c r="O9" s="444">
        <v>0.7</v>
      </c>
      <c r="P9" s="444">
        <v>0.7</v>
      </c>
      <c r="Q9" s="444">
        <v>0.7</v>
      </c>
      <c r="R9" s="444">
        <v>0.7</v>
      </c>
      <c r="S9" s="444">
        <v>0.7</v>
      </c>
      <c r="T9" s="444">
        <v>0.7</v>
      </c>
      <c r="V9" s="176"/>
    </row>
    <row r="10">
      <c r="A10" s="1" t="s">
        <v>2124</v>
      </c>
      <c r="B10" s="1" t="s">
        <v>2088</v>
      </c>
      <c r="C10" s="379">
        <v>500.0</v>
      </c>
      <c r="D10" s="379">
        <v>650.0</v>
      </c>
      <c r="E10" s="379">
        <v>650.0</v>
      </c>
      <c r="F10" s="379">
        <v>650.0</v>
      </c>
      <c r="G10" s="379">
        <v>750.0</v>
      </c>
      <c r="H10" s="379">
        <v>900.0</v>
      </c>
      <c r="I10" s="382">
        <f t="shared" ref="I10:T10" si="4">(I7*I8*(1-I9))/1000</f>
        <v>976</v>
      </c>
      <c r="J10" s="382">
        <f t="shared" si="4"/>
        <v>976</v>
      </c>
      <c r="K10" s="382">
        <f t="shared" si="4"/>
        <v>976</v>
      </c>
      <c r="L10" s="382">
        <f t="shared" si="4"/>
        <v>1000.4</v>
      </c>
      <c r="M10" s="382">
        <f t="shared" si="4"/>
        <v>1000.4</v>
      </c>
      <c r="N10" s="382">
        <f t="shared" si="4"/>
        <v>1000.4</v>
      </c>
      <c r="O10" s="382">
        <f t="shared" si="4"/>
        <v>1000.4</v>
      </c>
      <c r="P10" s="382">
        <f t="shared" si="4"/>
        <v>1000.4</v>
      </c>
      <c r="Q10" s="382">
        <f t="shared" si="4"/>
        <v>1000.4</v>
      </c>
      <c r="R10" s="382">
        <f t="shared" si="4"/>
        <v>1037</v>
      </c>
      <c r="S10" s="382">
        <f t="shared" si="4"/>
        <v>1037</v>
      </c>
      <c r="T10" s="382">
        <f t="shared" si="4"/>
        <v>1037</v>
      </c>
      <c r="V10" s="445">
        <f>SUM(C10:T10)</f>
        <v>16141.4</v>
      </c>
      <c r="W10" s="381"/>
    </row>
    <row r="11">
      <c r="V11" s="176"/>
    </row>
    <row r="12">
      <c r="A12" s="443" t="s">
        <v>2125</v>
      </c>
      <c r="B12" s="179"/>
      <c r="C12" s="179"/>
      <c r="D12" s="179"/>
      <c r="E12" s="179"/>
      <c r="F12" s="179"/>
      <c r="G12" s="179"/>
      <c r="H12" s="179"/>
      <c r="I12" s="179"/>
      <c r="J12" s="179"/>
      <c r="K12" s="179"/>
      <c r="L12" s="179"/>
      <c r="M12" s="179"/>
      <c r="N12" s="179"/>
      <c r="O12" s="179"/>
      <c r="P12" s="179"/>
      <c r="Q12" s="179"/>
      <c r="R12" s="179"/>
      <c r="S12" s="179"/>
      <c r="T12" s="179"/>
      <c r="U12" s="179"/>
      <c r="V12" s="176"/>
      <c r="W12" s="179"/>
      <c r="X12" s="179"/>
      <c r="Y12" s="179"/>
      <c r="Z12" s="179"/>
      <c r="AA12" s="179"/>
      <c r="AB12" s="179"/>
      <c r="AC12" s="179"/>
      <c r="AD12" s="179"/>
      <c r="AE12" s="179"/>
      <c r="AF12" s="179"/>
      <c r="AG12" s="179"/>
    </row>
    <row r="13">
      <c r="A13" s="1" t="s">
        <v>2119</v>
      </c>
      <c r="B13" s="1" t="s">
        <v>2088</v>
      </c>
      <c r="C13" s="382"/>
      <c r="D13" s="382"/>
      <c r="E13" s="382"/>
      <c r="F13" s="382"/>
      <c r="G13" s="382"/>
      <c r="H13" s="382"/>
      <c r="I13" s="382">
        <f>((1200000*Constants!$E$23)/2205)/12</f>
        <v>453.5147392</v>
      </c>
      <c r="J13" s="382">
        <f>((1200000*Constants!$E$23)/2205)/12</f>
        <v>453.5147392</v>
      </c>
      <c r="K13" s="382">
        <f>((1200000*Constants!$E$23)/2205)/12</f>
        <v>453.5147392</v>
      </c>
      <c r="L13" s="382">
        <f>((1200000*Constants!$E$23)/2205)/12</f>
        <v>453.5147392</v>
      </c>
      <c r="M13" s="382">
        <f>((1200000*Constants!$E$23)/2205)/12</f>
        <v>453.5147392</v>
      </c>
      <c r="N13" s="382">
        <f>((1200000*Constants!$E$23)/2205)/12</f>
        <v>453.5147392</v>
      </c>
      <c r="O13" s="382">
        <f>((1200000*Constants!$E$23)/2205)/12</f>
        <v>453.5147392</v>
      </c>
      <c r="P13" s="382">
        <f>((1200000*Constants!$E$23)/2205)/12</f>
        <v>453.5147392</v>
      </c>
      <c r="Q13" s="382">
        <f>((1200000*Constants!$E$23)/2205)/12</f>
        <v>453.5147392</v>
      </c>
      <c r="R13" s="382">
        <f>((1200000*Constants!$E$23)/2205)/12</f>
        <v>453.5147392</v>
      </c>
      <c r="S13" s="382">
        <f>((1200000*Constants!$E$23)/2205)/12</f>
        <v>453.5147392</v>
      </c>
      <c r="T13" s="382">
        <f>((1200000*Constants!$E$23)/2205)/12</f>
        <v>453.5147392</v>
      </c>
      <c r="V13" s="176"/>
    </row>
    <row r="14">
      <c r="A14" s="1" t="s">
        <v>2126</v>
      </c>
      <c r="B14" s="446" t="s">
        <v>2122</v>
      </c>
      <c r="C14" s="444"/>
      <c r="D14" s="444"/>
      <c r="E14" s="444"/>
      <c r="F14" s="444"/>
      <c r="G14" s="444"/>
      <c r="H14" s="444"/>
      <c r="I14" s="444">
        <v>0.75</v>
      </c>
      <c r="J14" s="444">
        <v>0.75</v>
      </c>
      <c r="K14" s="444">
        <v>0.75</v>
      </c>
      <c r="L14" s="444">
        <v>0.75</v>
      </c>
      <c r="M14" s="444">
        <v>0.75</v>
      </c>
      <c r="N14" s="444">
        <v>0.75</v>
      </c>
      <c r="O14" s="444">
        <v>0.75</v>
      </c>
      <c r="P14" s="444">
        <v>0.75</v>
      </c>
      <c r="Q14" s="444">
        <v>0.75</v>
      </c>
      <c r="R14" s="444">
        <v>0.75</v>
      </c>
      <c r="S14" s="444">
        <v>0.75</v>
      </c>
      <c r="T14" s="444">
        <v>0.75</v>
      </c>
      <c r="V14" s="176"/>
    </row>
    <row r="15">
      <c r="A15" s="1" t="s">
        <v>2124</v>
      </c>
      <c r="B15" s="1" t="s">
        <v>2088</v>
      </c>
      <c r="C15" s="382"/>
      <c r="D15" s="382"/>
      <c r="E15" s="379">
        <v>40.0</v>
      </c>
      <c r="F15" s="379">
        <v>80.0</v>
      </c>
      <c r="G15" s="379">
        <v>160.0</v>
      </c>
      <c r="H15" s="379">
        <v>320.0</v>
      </c>
      <c r="I15" s="382">
        <f t="shared" ref="I15:T15" si="5">I13*I14</f>
        <v>340.1360544</v>
      </c>
      <c r="J15" s="382">
        <f t="shared" si="5"/>
        <v>340.1360544</v>
      </c>
      <c r="K15" s="382">
        <f t="shared" si="5"/>
        <v>340.1360544</v>
      </c>
      <c r="L15" s="382">
        <f t="shared" si="5"/>
        <v>340.1360544</v>
      </c>
      <c r="M15" s="382">
        <f t="shared" si="5"/>
        <v>340.1360544</v>
      </c>
      <c r="N15" s="382">
        <f t="shared" si="5"/>
        <v>340.1360544</v>
      </c>
      <c r="O15" s="382">
        <f t="shared" si="5"/>
        <v>340.1360544</v>
      </c>
      <c r="P15" s="382">
        <f t="shared" si="5"/>
        <v>340.1360544</v>
      </c>
      <c r="Q15" s="382">
        <f t="shared" si="5"/>
        <v>340.1360544</v>
      </c>
      <c r="R15" s="382">
        <f t="shared" si="5"/>
        <v>340.1360544</v>
      </c>
      <c r="S15" s="382">
        <f t="shared" si="5"/>
        <v>340.1360544</v>
      </c>
      <c r="T15" s="382">
        <f t="shared" si="5"/>
        <v>340.1360544</v>
      </c>
      <c r="V15" s="445">
        <f>SUM(C15:T15)</f>
        <v>4681.632653</v>
      </c>
    </row>
    <row r="16">
      <c r="A16" s="1"/>
      <c r="V16" s="176"/>
    </row>
    <row r="17">
      <c r="A17" s="443" t="s">
        <v>2127</v>
      </c>
      <c r="B17" s="443" t="s">
        <v>2088</v>
      </c>
      <c r="C17" s="447">
        <f t="shared" ref="C17:T17" si="6">SUM(C15,C10)</f>
        <v>500</v>
      </c>
      <c r="D17" s="447">
        <f t="shared" si="6"/>
        <v>650</v>
      </c>
      <c r="E17" s="447">
        <f t="shared" si="6"/>
        <v>690</v>
      </c>
      <c r="F17" s="447">
        <f t="shared" si="6"/>
        <v>730</v>
      </c>
      <c r="G17" s="447">
        <f t="shared" si="6"/>
        <v>910</v>
      </c>
      <c r="H17" s="447">
        <f t="shared" si="6"/>
        <v>1220</v>
      </c>
      <c r="I17" s="447">
        <f t="shared" si="6"/>
        <v>1316.136054</v>
      </c>
      <c r="J17" s="447">
        <f t="shared" si="6"/>
        <v>1316.136054</v>
      </c>
      <c r="K17" s="447">
        <f t="shared" si="6"/>
        <v>1316.136054</v>
      </c>
      <c r="L17" s="447">
        <f t="shared" si="6"/>
        <v>1340.536054</v>
      </c>
      <c r="M17" s="447">
        <f t="shared" si="6"/>
        <v>1340.536054</v>
      </c>
      <c r="N17" s="447">
        <f t="shared" si="6"/>
        <v>1340.536054</v>
      </c>
      <c r="O17" s="447">
        <f t="shared" si="6"/>
        <v>1340.536054</v>
      </c>
      <c r="P17" s="447">
        <f t="shared" si="6"/>
        <v>1340.536054</v>
      </c>
      <c r="Q17" s="447">
        <f t="shared" si="6"/>
        <v>1340.536054</v>
      </c>
      <c r="R17" s="447">
        <f t="shared" si="6"/>
        <v>1377.136054</v>
      </c>
      <c r="S17" s="447">
        <f t="shared" si="6"/>
        <v>1377.136054</v>
      </c>
      <c r="T17" s="447">
        <f t="shared" si="6"/>
        <v>1377.136054</v>
      </c>
      <c r="U17" s="448"/>
      <c r="V17" s="449">
        <f>SUM(C17:T17)</f>
        <v>20823.03265</v>
      </c>
      <c r="W17" s="448"/>
      <c r="X17" s="448"/>
      <c r="Y17" s="448"/>
      <c r="Z17" s="448"/>
      <c r="AA17" s="448"/>
      <c r="AB17" s="448"/>
      <c r="AC17" s="448"/>
      <c r="AD17" s="448"/>
      <c r="AE17" s="448"/>
      <c r="AF17" s="448"/>
      <c r="AG17" s="448"/>
    </row>
    <row r="18">
      <c r="A18" s="1"/>
      <c r="V18" s="176"/>
    </row>
    <row r="19">
      <c r="A19" s="442" t="s">
        <v>2128</v>
      </c>
      <c r="B19" s="440"/>
      <c r="C19" s="440"/>
      <c r="D19" s="440"/>
      <c r="E19" s="440"/>
      <c r="F19" s="440"/>
      <c r="G19" s="440"/>
      <c r="H19" s="440"/>
      <c r="I19" s="440"/>
      <c r="J19" s="440"/>
      <c r="K19" s="440"/>
      <c r="L19" s="440"/>
      <c r="M19" s="440"/>
      <c r="N19" s="440"/>
      <c r="O19" s="440"/>
      <c r="P19" s="440"/>
      <c r="Q19" s="440"/>
      <c r="R19" s="440"/>
      <c r="S19" s="440"/>
      <c r="T19" s="440"/>
      <c r="U19" s="440"/>
      <c r="V19" s="441"/>
      <c r="W19" s="440"/>
      <c r="X19" s="440"/>
      <c r="Y19" s="440"/>
      <c r="Z19" s="440"/>
      <c r="AA19" s="440"/>
      <c r="AB19" s="440"/>
      <c r="AC19" s="440"/>
      <c r="AD19" s="440"/>
      <c r="AE19" s="440"/>
      <c r="AF19" s="440"/>
      <c r="AG19" s="440"/>
    </row>
    <row r="20">
      <c r="A20" s="443" t="s">
        <v>2129</v>
      </c>
      <c r="B20" s="179"/>
      <c r="C20" s="179"/>
      <c r="D20" s="179"/>
      <c r="E20" s="179"/>
      <c r="F20" s="179"/>
      <c r="G20" s="179"/>
      <c r="H20" s="179"/>
      <c r="I20" s="179"/>
      <c r="J20" s="179"/>
      <c r="K20" s="179"/>
      <c r="L20" s="179"/>
      <c r="M20" s="179"/>
      <c r="N20" s="179"/>
      <c r="O20" s="179"/>
      <c r="P20" s="179"/>
      <c r="Q20" s="179"/>
      <c r="R20" s="179"/>
      <c r="S20" s="179"/>
      <c r="T20" s="179"/>
      <c r="U20" s="179"/>
      <c r="V20" s="176"/>
      <c r="W20" s="179"/>
      <c r="X20" s="179"/>
      <c r="Y20" s="179"/>
      <c r="Z20" s="179"/>
      <c r="AA20" s="179"/>
      <c r="AB20" s="179"/>
      <c r="AC20" s="179"/>
      <c r="AD20" s="179"/>
      <c r="AE20" s="179"/>
      <c r="AF20" s="179"/>
      <c r="AG20" s="179"/>
    </row>
    <row r="21">
      <c r="A21" s="1" t="s">
        <v>2130</v>
      </c>
      <c r="B21" s="1" t="s">
        <v>2077</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176"/>
    </row>
    <row r="22">
      <c r="A22" s="1" t="s">
        <v>2119</v>
      </c>
      <c r="B22" s="379" t="s">
        <v>2088</v>
      </c>
      <c r="C22" s="382">
        <f>C21*(C$2/Constants!$B$3)*Constants!$B$2</f>
        <v>702.9478458</v>
      </c>
      <c r="D22" s="382">
        <f>D21*(D$2/Constants!$B$3)*Constants!$B$2</f>
        <v>702.9478458</v>
      </c>
      <c r="E22" s="382">
        <f>E21*(E$2/Constants!$B$3)*Constants!$B$2</f>
        <v>680.2721088</v>
      </c>
      <c r="F22" s="382">
        <f>F21*(F$2/Constants!$B$3)*Constants!$B$2</f>
        <v>702.9478458</v>
      </c>
      <c r="G22" s="382">
        <f>G21*(G$2/Constants!$B$3)*Constants!$B$2</f>
        <v>680.2721088</v>
      </c>
      <c r="H22" s="382">
        <f>H21*(H$2/Constants!$B$3)*Constants!$B$2</f>
        <v>702.9478458</v>
      </c>
      <c r="I22" s="382">
        <f>I21*(I$2/Constants!$B$3)*Constants!$B$2</f>
        <v>1288.737717</v>
      </c>
      <c r="J22" s="382">
        <f>J21*(J$2/Constants!$B$3)*Constants!$B$2</f>
        <v>1164.021164</v>
      </c>
      <c r="K22" s="382">
        <f>K21*(K$2/Constants!$B$3)*Constants!$B$2</f>
        <v>1288.737717</v>
      </c>
      <c r="L22" s="382">
        <f>L21*(L$2/Constants!$B$3)*Constants!$B$2</f>
        <v>1814.058957</v>
      </c>
      <c r="M22" s="382">
        <f>M21*(M$2/Constants!$B$3)*Constants!$B$2</f>
        <v>1874.527589</v>
      </c>
      <c r="N22" s="382">
        <f>N21*(N$2/Constants!$B$3)*Constants!$B$2</f>
        <v>1814.058957</v>
      </c>
      <c r="O22" s="382">
        <f>O21*(O$2/Constants!$B$3)*Constants!$B$2</f>
        <v>2460.31746</v>
      </c>
      <c r="P22" s="382">
        <f>P21*(P$2/Constants!$B$3)*Constants!$B$2</f>
        <v>2460.31746</v>
      </c>
      <c r="Q22" s="382">
        <f>Q21*(Q$2/Constants!$B$3)*Constants!$B$2</f>
        <v>2380.952381</v>
      </c>
      <c r="R22" s="382">
        <f>R21*(R$2/Constants!$B$3)*Constants!$B$2</f>
        <v>3046.107332</v>
      </c>
      <c r="S22" s="382">
        <f>S21*(S$2/Constants!$B$3)*Constants!$B$2</f>
        <v>2947.845805</v>
      </c>
      <c r="T22" s="382">
        <f>T21*(T$2/Constants!$B$3)*Constants!$B$2</f>
        <v>3046.107332</v>
      </c>
      <c r="V22" s="445">
        <f>SUM(C22:T22)</f>
        <v>29758.12547</v>
      </c>
    </row>
    <row r="23">
      <c r="V23" s="176"/>
    </row>
    <row r="24">
      <c r="A24" s="443" t="s">
        <v>2131</v>
      </c>
      <c r="B24" s="179"/>
      <c r="C24" s="179"/>
      <c r="D24" s="179"/>
      <c r="E24" s="179"/>
      <c r="F24" s="179"/>
      <c r="G24" s="179"/>
      <c r="H24" s="179"/>
      <c r="I24" s="179"/>
      <c r="J24" s="179"/>
      <c r="K24" s="179"/>
      <c r="L24" s="179"/>
      <c r="M24" s="179"/>
      <c r="N24" s="179"/>
      <c r="O24" s="179"/>
      <c r="P24" s="179"/>
      <c r="Q24" s="179"/>
      <c r="R24" s="179"/>
      <c r="S24" s="179"/>
      <c r="T24" s="179"/>
      <c r="U24" s="179"/>
      <c r="V24" s="176"/>
      <c r="W24" s="179"/>
      <c r="X24" s="179"/>
      <c r="Y24" s="179"/>
      <c r="Z24" s="179"/>
      <c r="AA24" s="179"/>
      <c r="AB24" s="179"/>
      <c r="AC24" s="179"/>
      <c r="AD24" s="179"/>
      <c r="AE24" s="179"/>
      <c r="AF24" s="179"/>
      <c r="AG24" s="179"/>
    </row>
    <row r="25">
      <c r="A25" s="1" t="s">
        <v>2132</v>
      </c>
      <c r="B25" s="1" t="s">
        <v>2133</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176"/>
    </row>
    <row r="26">
      <c r="A26" s="1" t="s">
        <v>2134</v>
      </c>
      <c r="B26" s="389" t="s">
        <v>2135</v>
      </c>
      <c r="C26" s="307">
        <f t="shared" ref="C26:T26" si="11">8*1.25</f>
        <v>10</v>
      </c>
      <c r="D26" s="307">
        <f t="shared" si="11"/>
        <v>10</v>
      </c>
      <c r="E26" s="307">
        <f t="shared" si="11"/>
        <v>10</v>
      </c>
      <c r="F26" s="307">
        <f t="shared" si="11"/>
        <v>10</v>
      </c>
      <c r="G26" s="307">
        <f t="shared" si="11"/>
        <v>10</v>
      </c>
      <c r="H26" s="307">
        <f t="shared" si="11"/>
        <v>10</v>
      </c>
      <c r="I26" s="307">
        <f t="shared" si="11"/>
        <v>10</v>
      </c>
      <c r="J26" s="307">
        <f t="shared" si="11"/>
        <v>10</v>
      </c>
      <c r="K26" s="307">
        <f t="shared" si="11"/>
        <v>10</v>
      </c>
      <c r="L26" s="307">
        <f t="shared" si="11"/>
        <v>10</v>
      </c>
      <c r="M26" s="307">
        <f t="shared" si="11"/>
        <v>10</v>
      </c>
      <c r="N26" s="307">
        <f t="shared" si="11"/>
        <v>10</v>
      </c>
      <c r="O26" s="307">
        <f t="shared" si="11"/>
        <v>10</v>
      </c>
      <c r="P26" s="307">
        <f t="shared" si="11"/>
        <v>10</v>
      </c>
      <c r="Q26" s="307">
        <f t="shared" si="11"/>
        <v>10</v>
      </c>
      <c r="R26" s="307">
        <f t="shared" si="11"/>
        <v>10</v>
      </c>
      <c r="S26" s="307">
        <f t="shared" si="11"/>
        <v>10</v>
      </c>
      <c r="T26" s="307">
        <f t="shared" si="11"/>
        <v>10</v>
      </c>
      <c r="V26" s="176"/>
    </row>
    <row r="27">
      <c r="A27" s="1" t="s">
        <v>2136</v>
      </c>
      <c r="B27" s="379" t="s">
        <v>2077</v>
      </c>
      <c r="C27" s="307">
        <f t="shared" ref="C27:T27" si="12">C2/C26</f>
        <v>3.1</v>
      </c>
      <c r="D27" s="307">
        <f t="shared" si="12"/>
        <v>3.1</v>
      </c>
      <c r="E27" s="307">
        <f t="shared" si="12"/>
        <v>3</v>
      </c>
      <c r="F27" s="307">
        <f t="shared" si="12"/>
        <v>3.1</v>
      </c>
      <c r="G27" s="307">
        <f t="shared" si="12"/>
        <v>3</v>
      </c>
      <c r="H27" s="307">
        <f t="shared" si="12"/>
        <v>3.1</v>
      </c>
      <c r="I27" s="307">
        <f t="shared" si="12"/>
        <v>3.1</v>
      </c>
      <c r="J27" s="307">
        <f t="shared" si="12"/>
        <v>2.8</v>
      </c>
      <c r="K27" s="307">
        <f t="shared" si="12"/>
        <v>3.1</v>
      </c>
      <c r="L27" s="307">
        <f t="shared" si="12"/>
        <v>3</v>
      </c>
      <c r="M27" s="307">
        <f t="shared" si="12"/>
        <v>3.1</v>
      </c>
      <c r="N27" s="307">
        <f t="shared" si="12"/>
        <v>3</v>
      </c>
      <c r="O27" s="307">
        <f t="shared" si="12"/>
        <v>3.1</v>
      </c>
      <c r="P27" s="307">
        <f t="shared" si="12"/>
        <v>3.1</v>
      </c>
      <c r="Q27" s="307">
        <f t="shared" si="12"/>
        <v>3</v>
      </c>
      <c r="R27" s="307">
        <f t="shared" si="12"/>
        <v>3.1</v>
      </c>
      <c r="S27" s="307">
        <f t="shared" si="12"/>
        <v>3</v>
      </c>
      <c r="T27" s="307">
        <f t="shared" si="12"/>
        <v>3.1</v>
      </c>
      <c r="V27" s="176"/>
    </row>
    <row r="28">
      <c r="A28" s="1" t="s">
        <v>2137</v>
      </c>
      <c r="B28" s="379" t="s">
        <v>2077</v>
      </c>
      <c r="C28" s="307">
        <f t="shared" ref="C28:T28" si="13">C25*C27</f>
        <v>12.4</v>
      </c>
      <c r="D28" s="307">
        <f t="shared" si="13"/>
        <v>12.4</v>
      </c>
      <c r="E28" s="307">
        <f t="shared" si="13"/>
        <v>12</v>
      </c>
      <c r="F28" s="307">
        <f t="shared" si="13"/>
        <v>12.4</v>
      </c>
      <c r="G28" s="307">
        <f t="shared" si="13"/>
        <v>12</v>
      </c>
      <c r="H28" s="307">
        <f t="shared" si="13"/>
        <v>12.4</v>
      </c>
      <c r="I28" s="307">
        <f t="shared" si="13"/>
        <v>12.4</v>
      </c>
      <c r="J28" s="307">
        <f t="shared" si="13"/>
        <v>11.2</v>
      </c>
      <c r="K28" s="307">
        <f t="shared" si="13"/>
        <v>12.4</v>
      </c>
      <c r="L28" s="307">
        <f t="shared" si="13"/>
        <v>12</v>
      </c>
      <c r="M28" s="307">
        <f t="shared" si="13"/>
        <v>12.4</v>
      </c>
      <c r="N28" s="307">
        <f t="shared" si="13"/>
        <v>12</v>
      </c>
      <c r="O28" s="307">
        <f t="shared" si="13"/>
        <v>12.4</v>
      </c>
      <c r="P28" s="307">
        <f t="shared" si="13"/>
        <v>12.4</v>
      </c>
      <c r="Q28" s="307">
        <f t="shared" si="13"/>
        <v>12</v>
      </c>
      <c r="R28" s="307">
        <f t="shared" si="13"/>
        <v>12.4</v>
      </c>
      <c r="S28" s="307">
        <f t="shared" si="13"/>
        <v>12</v>
      </c>
      <c r="T28" s="307">
        <f t="shared" si="13"/>
        <v>12.4</v>
      </c>
      <c r="V28" s="176"/>
    </row>
    <row r="29">
      <c r="A29" s="1" t="s">
        <v>2119</v>
      </c>
      <c r="B29" s="379" t="s">
        <v>2088</v>
      </c>
      <c r="C29" s="307">
        <f>Constants!$B$4*C28</f>
        <v>248</v>
      </c>
      <c r="D29" s="307">
        <f>Constants!$B$4*D28</f>
        <v>248</v>
      </c>
      <c r="E29" s="307">
        <f>Constants!$B$4*E28</f>
        <v>240</v>
      </c>
      <c r="F29" s="307">
        <f>Constants!$B$4*F28</f>
        <v>248</v>
      </c>
      <c r="G29" s="307">
        <f>Constants!$B$4*G28</f>
        <v>240</v>
      </c>
      <c r="H29" s="307">
        <f>Constants!$B$4*H28</f>
        <v>248</v>
      </c>
      <c r="I29" s="307">
        <f>Constants!$B$4*I28</f>
        <v>248</v>
      </c>
      <c r="J29" s="307">
        <f>Constants!$B$4*J28</f>
        <v>224</v>
      </c>
      <c r="K29" s="307">
        <f>Constants!$B$4*K28</f>
        <v>248</v>
      </c>
      <c r="L29" s="307">
        <f>Constants!$B$4*L28</f>
        <v>240</v>
      </c>
      <c r="M29" s="307">
        <f>Constants!$B$4*M28</f>
        <v>248</v>
      </c>
      <c r="N29" s="307">
        <f>Constants!$B$4*N28</f>
        <v>240</v>
      </c>
      <c r="O29" s="307">
        <f>Constants!$B$4*O28</f>
        <v>248</v>
      </c>
      <c r="P29" s="307">
        <f>Constants!$B$4*P28</f>
        <v>248</v>
      </c>
      <c r="Q29" s="307">
        <f>Constants!$B$4*Q28</f>
        <v>240</v>
      </c>
      <c r="R29" s="307">
        <f>Constants!$B$4*R28</f>
        <v>248</v>
      </c>
      <c r="S29" s="307">
        <f>Constants!$B$4*S28</f>
        <v>240</v>
      </c>
      <c r="T29" s="307">
        <f>Constants!$B$4*T28</f>
        <v>248</v>
      </c>
      <c r="V29" s="445">
        <f>SUM(C29:T29)</f>
        <v>4392</v>
      </c>
    </row>
    <row r="30">
      <c r="V30" s="176"/>
    </row>
    <row r="31">
      <c r="A31" s="443" t="s">
        <v>2138</v>
      </c>
      <c r="B31" s="450" t="s">
        <v>2088</v>
      </c>
      <c r="C31" s="447">
        <f t="shared" ref="C31:T31" si="14">SUM(C29,C22)</f>
        <v>950.9478458</v>
      </c>
      <c r="D31" s="447">
        <f t="shared" si="14"/>
        <v>950.9478458</v>
      </c>
      <c r="E31" s="447">
        <f t="shared" si="14"/>
        <v>920.2721088</v>
      </c>
      <c r="F31" s="447">
        <f t="shared" si="14"/>
        <v>950.9478458</v>
      </c>
      <c r="G31" s="447">
        <f t="shared" si="14"/>
        <v>920.2721088</v>
      </c>
      <c r="H31" s="447">
        <f t="shared" si="14"/>
        <v>950.9478458</v>
      </c>
      <c r="I31" s="447">
        <f t="shared" si="14"/>
        <v>1536.737717</v>
      </c>
      <c r="J31" s="447">
        <f t="shared" si="14"/>
        <v>1388.021164</v>
      </c>
      <c r="K31" s="447">
        <f t="shared" si="14"/>
        <v>1536.737717</v>
      </c>
      <c r="L31" s="447">
        <f t="shared" si="14"/>
        <v>2054.058957</v>
      </c>
      <c r="M31" s="447">
        <f t="shared" si="14"/>
        <v>2122.527589</v>
      </c>
      <c r="N31" s="447">
        <f t="shared" si="14"/>
        <v>2054.058957</v>
      </c>
      <c r="O31" s="447">
        <f t="shared" si="14"/>
        <v>2708.31746</v>
      </c>
      <c r="P31" s="447">
        <f t="shared" si="14"/>
        <v>2708.31746</v>
      </c>
      <c r="Q31" s="447">
        <f t="shared" si="14"/>
        <v>2620.952381</v>
      </c>
      <c r="R31" s="447">
        <f t="shared" si="14"/>
        <v>3294.107332</v>
      </c>
      <c r="S31" s="447">
        <f t="shared" si="14"/>
        <v>3187.845805</v>
      </c>
      <c r="T31" s="447">
        <f t="shared" si="14"/>
        <v>3294.107332</v>
      </c>
      <c r="U31" s="448"/>
      <c r="V31" s="449">
        <f>SUM(C31:T31)</f>
        <v>34150.12547</v>
      </c>
      <c r="W31" s="416"/>
      <c r="X31" s="448"/>
      <c r="Y31" s="448"/>
      <c r="Z31" s="448"/>
      <c r="AA31" s="448"/>
      <c r="AB31" s="448"/>
      <c r="AC31" s="448"/>
      <c r="AD31" s="448"/>
      <c r="AE31" s="448"/>
      <c r="AF31" s="448"/>
      <c r="AG31" s="448"/>
    </row>
    <row r="32">
      <c r="V32" s="176"/>
    </row>
    <row r="33">
      <c r="A33" s="442" t="s">
        <v>2139</v>
      </c>
      <c r="B33" s="440"/>
      <c r="C33" s="440"/>
      <c r="D33" s="440"/>
      <c r="E33" s="440"/>
      <c r="F33" s="440"/>
      <c r="G33" s="440"/>
      <c r="H33" s="440"/>
      <c r="I33" s="440"/>
      <c r="J33" s="440"/>
      <c r="K33" s="440"/>
      <c r="L33" s="440"/>
      <c r="M33" s="440"/>
      <c r="N33" s="440"/>
      <c r="O33" s="440"/>
      <c r="P33" s="440"/>
      <c r="Q33" s="440"/>
      <c r="R33" s="440"/>
      <c r="S33" s="440"/>
      <c r="T33" s="440"/>
      <c r="U33" s="440"/>
      <c r="V33" s="441"/>
      <c r="W33" s="440"/>
      <c r="X33" s="440"/>
      <c r="Y33" s="440"/>
      <c r="Z33" s="440"/>
      <c r="AA33" s="440"/>
      <c r="AB33" s="440"/>
      <c r="AC33" s="440"/>
      <c r="AD33" s="440"/>
      <c r="AE33" s="440"/>
      <c r="AF33" s="440"/>
      <c r="AG33" s="440"/>
    </row>
    <row r="34">
      <c r="A34" s="443" t="s">
        <v>2141</v>
      </c>
      <c r="B34" s="179"/>
      <c r="C34" s="179"/>
      <c r="D34" s="179"/>
      <c r="E34" s="179"/>
      <c r="F34" s="179"/>
      <c r="G34" s="179"/>
      <c r="H34" s="179"/>
      <c r="I34" s="179"/>
      <c r="J34" s="179"/>
      <c r="K34" s="179"/>
      <c r="L34" s="179"/>
      <c r="M34" s="179"/>
      <c r="N34" s="179"/>
      <c r="O34" s="179"/>
      <c r="P34" s="179"/>
      <c r="Q34" s="179"/>
      <c r="R34" s="179"/>
      <c r="S34" s="179"/>
      <c r="T34" s="179"/>
      <c r="U34" s="179"/>
      <c r="V34" s="176"/>
      <c r="W34" s="179"/>
      <c r="X34" s="179"/>
      <c r="Y34" s="179"/>
      <c r="Z34" s="179"/>
      <c r="AA34" s="179"/>
      <c r="AB34" s="179"/>
      <c r="AC34" s="179"/>
      <c r="AD34" s="179"/>
      <c r="AE34" s="179"/>
      <c r="AF34" s="179"/>
      <c r="AG34" s="179"/>
    </row>
    <row r="35">
      <c r="A35" s="1" t="s">
        <v>2142</v>
      </c>
      <c r="B35" s="1" t="s">
        <v>2088</v>
      </c>
      <c r="C35" s="382">
        <f>Constants!$B$16*C$2</f>
        <v>930.5683891</v>
      </c>
      <c r="D35" s="382">
        <f>Constants!$B$16*D$2</f>
        <v>930.5683891</v>
      </c>
      <c r="E35" s="382">
        <f>Constants!$B$16*E$2</f>
        <v>900.550054</v>
      </c>
      <c r="F35" s="382">
        <f>Constants!$B$16*F$2</f>
        <v>930.5683891</v>
      </c>
      <c r="G35" s="382">
        <f>Constants!$B$16*G$2</f>
        <v>900.550054</v>
      </c>
      <c r="H35" s="382">
        <f>Constants!$B$16*H$2</f>
        <v>930.5683891</v>
      </c>
      <c r="I35" s="382">
        <f>Constants!$B$16*I$2</f>
        <v>930.5683891</v>
      </c>
      <c r="J35" s="382">
        <f>Constants!$B$16*J$2</f>
        <v>840.5133837</v>
      </c>
      <c r="K35" s="382">
        <f>Constants!$B$16*K$2</f>
        <v>930.5683891</v>
      </c>
      <c r="L35" s="382">
        <f>Constants!$B$16*L$2</f>
        <v>900.550054</v>
      </c>
      <c r="M35" s="382">
        <f>Constants!$B$16*M$2</f>
        <v>930.5683891</v>
      </c>
      <c r="N35" s="382">
        <f>Constants!$B$16*N$2</f>
        <v>900.550054</v>
      </c>
      <c r="O35" s="1">
        <v>0.0</v>
      </c>
      <c r="P35" s="1">
        <v>0.0</v>
      </c>
      <c r="Q35" s="1">
        <v>0.0</v>
      </c>
      <c r="R35" s="1">
        <v>0.0</v>
      </c>
      <c r="S35" s="1">
        <v>0.0</v>
      </c>
      <c r="T35" s="1">
        <v>0.0</v>
      </c>
      <c r="V35" s="176"/>
    </row>
    <row r="36">
      <c r="A36" s="1" t="s">
        <v>2121</v>
      </c>
      <c r="B36" s="1" t="s">
        <v>2122</v>
      </c>
      <c r="C36" s="444">
        <v>0.1</v>
      </c>
      <c r="D36" s="444">
        <v>0.1</v>
      </c>
      <c r="E36" s="1">
        <v>0.25</v>
      </c>
      <c r="F36" s="1">
        <v>0.25</v>
      </c>
      <c r="G36" s="444">
        <v>0.5</v>
      </c>
      <c r="H36" s="444">
        <v>0.5</v>
      </c>
      <c r="I36" s="1">
        <v>0.75</v>
      </c>
      <c r="J36" s="1">
        <v>0.75</v>
      </c>
      <c r="K36" s="1">
        <v>0.75</v>
      </c>
      <c r="L36" s="1">
        <v>0.75</v>
      </c>
      <c r="M36" s="1">
        <v>0.75</v>
      </c>
      <c r="N36" s="1">
        <v>0.75</v>
      </c>
      <c r="O36" s="1">
        <v>0.75</v>
      </c>
      <c r="P36" s="1">
        <v>0.75</v>
      </c>
      <c r="Q36" s="1">
        <v>0.75</v>
      </c>
      <c r="R36" s="1">
        <v>0.75</v>
      </c>
      <c r="S36" s="1">
        <v>0.75</v>
      </c>
      <c r="T36" s="1">
        <v>0.75</v>
      </c>
      <c r="V36" s="176"/>
    </row>
    <row r="37">
      <c r="A37" s="1" t="s">
        <v>2119</v>
      </c>
      <c r="B37" s="1" t="s">
        <v>2088</v>
      </c>
      <c r="C37" s="307">
        <f t="shared" ref="C37:T37" si="15">C35*C36</f>
        <v>93.05683891</v>
      </c>
      <c r="D37" s="307">
        <f t="shared" si="15"/>
        <v>93.05683891</v>
      </c>
      <c r="E37" s="307">
        <f t="shared" si="15"/>
        <v>225.1375135</v>
      </c>
      <c r="F37" s="307">
        <f t="shared" si="15"/>
        <v>232.6420973</v>
      </c>
      <c r="G37" s="307">
        <f t="shared" si="15"/>
        <v>450.275027</v>
      </c>
      <c r="H37" s="307">
        <f t="shared" si="15"/>
        <v>465.2841946</v>
      </c>
      <c r="I37" s="307">
        <f t="shared" si="15"/>
        <v>697.9262918</v>
      </c>
      <c r="J37" s="307">
        <f t="shared" si="15"/>
        <v>630.3850378</v>
      </c>
      <c r="K37" s="307">
        <f t="shared" si="15"/>
        <v>697.9262918</v>
      </c>
      <c r="L37" s="307">
        <f t="shared" si="15"/>
        <v>675.4125405</v>
      </c>
      <c r="M37" s="307">
        <f t="shared" si="15"/>
        <v>697.9262918</v>
      </c>
      <c r="N37" s="307">
        <f t="shared" si="15"/>
        <v>675.4125405</v>
      </c>
      <c r="O37" s="307">
        <f t="shared" si="15"/>
        <v>0</v>
      </c>
      <c r="P37" s="307">
        <f t="shared" si="15"/>
        <v>0</v>
      </c>
      <c r="Q37" s="307">
        <f t="shared" si="15"/>
        <v>0</v>
      </c>
      <c r="R37" s="307">
        <f t="shared" si="15"/>
        <v>0</v>
      </c>
      <c r="S37" s="307">
        <f t="shared" si="15"/>
        <v>0</v>
      </c>
      <c r="T37" s="307">
        <f t="shared" si="15"/>
        <v>0</v>
      </c>
      <c r="V37" s="445">
        <f>SUM(C37:T37)</f>
        <v>5634.441504</v>
      </c>
    </row>
    <row r="38">
      <c r="V38" s="176"/>
    </row>
    <row r="39">
      <c r="A39" s="443" t="s">
        <v>2143</v>
      </c>
      <c r="B39" s="179"/>
      <c r="C39" s="179"/>
      <c r="D39" s="179"/>
      <c r="E39" s="179"/>
      <c r="F39" s="179"/>
      <c r="G39" s="179"/>
      <c r="H39" s="179"/>
      <c r="I39" s="179"/>
      <c r="J39" s="179"/>
      <c r="K39" s="179"/>
      <c r="L39" s="179"/>
      <c r="M39" s="179"/>
      <c r="N39" s="179"/>
      <c r="O39" s="179"/>
      <c r="P39" s="179"/>
      <c r="Q39" s="179"/>
      <c r="R39" s="179"/>
      <c r="S39" s="179"/>
      <c r="T39" s="179"/>
      <c r="U39" s="179"/>
      <c r="V39" s="176"/>
      <c r="W39" s="179"/>
      <c r="X39" s="179"/>
      <c r="Y39" s="179"/>
      <c r="Z39" s="179"/>
      <c r="AA39" s="179"/>
      <c r="AB39" s="179"/>
      <c r="AC39" s="179"/>
      <c r="AD39" s="179"/>
      <c r="AE39" s="179"/>
      <c r="AF39" s="179"/>
      <c r="AG39" s="179"/>
    </row>
    <row r="40">
      <c r="A40" s="1" t="s">
        <v>2142</v>
      </c>
      <c r="B40" s="1" t="s">
        <v>2088</v>
      </c>
      <c r="C40" s="382"/>
      <c r="D40" s="382"/>
      <c r="E40" s="382"/>
      <c r="F40" s="382"/>
      <c r="G40" s="382"/>
      <c r="H40" s="382"/>
      <c r="I40" s="382">
        <f>Constants!$B$28*I$2</f>
        <v>2548.2036</v>
      </c>
      <c r="J40" s="382">
        <f>Constants!$B$28*J2</f>
        <v>2301.603251</v>
      </c>
      <c r="K40" s="382">
        <f>Constants!$B$28*K2</f>
        <v>2548.2036</v>
      </c>
      <c r="L40" s="382">
        <f>Constants!$B$28*L2</f>
        <v>2466.003484</v>
      </c>
      <c r="M40" s="382">
        <f>Constants!$B$28*M2</f>
        <v>2548.2036</v>
      </c>
      <c r="N40" s="382">
        <f>Constants!$B$28*N2</f>
        <v>2466.003484</v>
      </c>
      <c r="O40" s="382">
        <f>Constants!$B$28*O2</f>
        <v>2548.2036</v>
      </c>
      <c r="P40" s="382">
        <f>Constants!$B$28*P2</f>
        <v>2548.2036</v>
      </c>
      <c r="Q40" s="382">
        <f>Constants!$B$28*Q2</f>
        <v>2466.003484</v>
      </c>
      <c r="R40" s="382">
        <f>Constants!$B$28*R2</f>
        <v>2548.2036</v>
      </c>
      <c r="S40" s="382">
        <f>Constants!$B$28*S2</f>
        <v>2466.003484</v>
      </c>
      <c r="T40" s="382">
        <f>Constants!$B$28*T2</f>
        <v>2548.2036</v>
      </c>
      <c r="V40" s="176"/>
    </row>
    <row r="41">
      <c r="A41" s="1" t="s">
        <v>2273</v>
      </c>
      <c r="B41" s="1" t="s">
        <v>2122</v>
      </c>
      <c r="C41" s="382"/>
      <c r="D41" s="382"/>
      <c r="E41" s="382"/>
      <c r="F41" s="382"/>
      <c r="G41" s="382"/>
      <c r="H41" s="382"/>
      <c r="I41" s="446">
        <v>0.25</v>
      </c>
      <c r="J41" s="446">
        <v>0.25</v>
      </c>
      <c r="K41" s="446">
        <v>0.25</v>
      </c>
      <c r="L41" s="446">
        <v>0.5</v>
      </c>
      <c r="M41" s="446">
        <v>0.5</v>
      </c>
      <c r="N41" s="446">
        <v>0.5</v>
      </c>
      <c r="O41" s="446">
        <v>0.75</v>
      </c>
      <c r="P41" s="446">
        <v>0.75</v>
      </c>
      <c r="Q41" s="446">
        <v>0.75</v>
      </c>
      <c r="R41" s="446">
        <v>0.75</v>
      </c>
      <c r="S41" s="446">
        <v>0.75</v>
      </c>
      <c r="T41" s="446">
        <v>0.75</v>
      </c>
      <c r="V41" s="176"/>
    </row>
    <row r="42">
      <c r="A42" s="1" t="s">
        <v>2119</v>
      </c>
      <c r="B42" s="1" t="s">
        <v>2088</v>
      </c>
      <c r="C42" s="382"/>
      <c r="D42" s="382"/>
      <c r="E42" s="382"/>
      <c r="F42" s="382"/>
      <c r="G42" s="382"/>
      <c r="H42" s="382"/>
      <c r="I42" s="382">
        <f t="shared" ref="I42:T42" si="16">I40*I41</f>
        <v>637.0508999</v>
      </c>
      <c r="J42" s="382">
        <f t="shared" si="16"/>
        <v>575.4008128</v>
      </c>
      <c r="K42" s="382">
        <f t="shared" si="16"/>
        <v>637.0508999</v>
      </c>
      <c r="L42" s="382">
        <f t="shared" si="16"/>
        <v>1233.001742</v>
      </c>
      <c r="M42" s="382">
        <f t="shared" si="16"/>
        <v>1274.1018</v>
      </c>
      <c r="N42" s="382">
        <f t="shared" si="16"/>
        <v>1233.001742</v>
      </c>
      <c r="O42" s="382">
        <f t="shared" si="16"/>
        <v>1911.1527</v>
      </c>
      <c r="P42" s="382">
        <f t="shared" si="16"/>
        <v>1911.1527</v>
      </c>
      <c r="Q42" s="382">
        <f t="shared" si="16"/>
        <v>1849.502613</v>
      </c>
      <c r="R42" s="382">
        <f t="shared" si="16"/>
        <v>1911.1527</v>
      </c>
      <c r="S42" s="382">
        <f t="shared" si="16"/>
        <v>1849.502613</v>
      </c>
      <c r="T42" s="382">
        <f t="shared" si="16"/>
        <v>1911.1527</v>
      </c>
      <c r="V42" s="445">
        <f>SUM(C42:T42)</f>
        <v>16933.22392</v>
      </c>
    </row>
    <row r="43">
      <c r="V43" s="176"/>
    </row>
    <row r="44">
      <c r="A44" s="443" t="s">
        <v>2274</v>
      </c>
      <c r="B44" s="179"/>
      <c r="C44" s="179"/>
      <c r="D44" s="179"/>
      <c r="E44" s="179"/>
      <c r="F44" s="179"/>
      <c r="G44" s="179"/>
      <c r="H44" s="179"/>
      <c r="I44" s="179"/>
      <c r="J44" s="179"/>
      <c r="K44" s="179"/>
      <c r="L44" s="179"/>
      <c r="M44" s="179"/>
      <c r="N44" s="179"/>
      <c r="O44" s="179"/>
      <c r="P44" s="179"/>
      <c r="Q44" s="179"/>
      <c r="R44" s="179"/>
      <c r="S44" s="179"/>
      <c r="T44" s="179"/>
      <c r="U44" s="179"/>
      <c r="V44" s="176"/>
      <c r="W44" s="179"/>
      <c r="X44" s="179"/>
      <c r="Y44" s="179"/>
      <c r="Z44" s="179"/>
      <c r="AA44" s="179"/>
      <c r="AB44" s="179"/>
      <c r="AC44" s="179"/>
      <c r="AD44" s="179"/>
      <c r="AE44" s="179"/>
      <c r="AF44" s="179"/>
      <c r="AG44" s="179"/>
    </row>
    <row r="45">
      <c r="A45" s="1" t="s">
        <v>2142</v>
      </c>
      <c r="B45" s="1" t="s">
        <v>2088</v>
      </c>
      <c r="C45" s="382"/>
      <c r="D45" s="382"/>
      <c r="E45" s="382"/>
      <c r="F45" s="382"/>
      <c r="G45" s="382"/>
      <c r="H45" s="382"/>
      <c r="I45" s="382">
        <f>Constants!$B$28*I$2</f>
        <v>2548.2036</v>
      </c>
      <c r="J45" s="382">
        <f>Constants!$B$28*J$2</f>
        <v>2301.603251</v>
      </c>
      <c r="K45" s="382">
        <f>Constants!$B$28*K$2</f>
        <v>2548.2036</v>
      </c>
      <c r="L45" s="382">
        <f>Constants!$B$28*L$2</f>
        <v>2466.003484</v>
      </c>
      <c r="M45" s="382">
        <f>Constants!$B$28*M$2</f>
        <v>2548.2036</v>
      </c>
      <c r="N45" s="382">
        <f>Constants!$B$28*N$2</f>
        <v>2466.003484</v>
      </c>
      <c r="O45" s="382">
        <f>Constants!$B$28*O$2</f>
        <v>2548.2036</v>
      </c>
      <c r="P45" s="382">
        <f>Constants!$B$28*P$2</f>
        <v>2548.2036</v>
      </c>
      <c r="Q45" s="382">
        <f>Constants!$B$28*Q$2</f>
        <v>2466.003484</v>
      </c>
      <c r="R45" s="382">
        <f>Constants!$B$28*R$2</f>
        <v>2548.2036</v>
      </c>
      <c r="S45" s="382">
        <f>Constants!$B$28*S$2</f>
        <v>2466.003484</v>
      </c>
      <c r="T45" s="382">
        <f>Constants!$B$28*T$2</f>
        <v>2548.2036</v>
      </c>
      <c r="V45" s="176"/>
    </row>
    <row r="46">
      <c r="A46" s="1" t="s">
        <v>2121</v>
      </c>
      <c r="B46" s="1" t="s">
        <v>2122</v>
      </c>
      <c r="C46" s="444"/>
      <c r="D46" s="444"/>
      <c r="E46" s="444"/>
      <c r="F46" s="444"/>
      <c r="G46" s="444"/>
      <c r="H46" s="444"/>
      <c r="I46" s="444">
        <v>0.57</v>
      </c>
      <c r="J46" s="444">
        <v>0.75</v>
      </c>
      <c r="K46" s="444">
        <v>0.75</v>
      </c>
      <c r="L46" s="444">
        <v>0.75</v>
      </c>
      <c r="M46" s="444">
        <v>0.75</v>
      </c>
      <c r="N46" s="444">
        <v>0.75</v>
      </c>
      <c r="O46" s="444">
        <v>0.75</v>
      </c>
      <c r="P46" s="444">
        <v>0.75</v>
      </c>
      <c r="Q46" s="444">
        <v>0.75</v>
      </c>
      <c r="R46" s="444">
        <v>0.75</v>
      </c>
      <c r="S46" s="444">
        <v>0.75</v>
      </c>
      <c r="T46" s="444">
        <v>0.75</v>
      </c>
      <c r="V46" s="176"/>
    </row>
    <row r="47">
      <c r="A47" s="1" t="s">
        <v>2119</v>
      </c>
      <c r="B47" s="1" t="s">
        <v>2088</v>
      </c>
      <c r="C47" s="382"/>
      <c r="D47" s="382"/>
      <c r="E47" s="382"/>
      <c r="F47" s="382"/>
      <c r="G47" s="382"/>
      <c r="H47" s="379">
        <v>540.0</v>
      </c>
      <c r="I47" s="382">
        <f t="shared" ref="I47:T47" si="17">I45*I46</f>
        <v>1452.476052</v>
      </c>
      <c r="J47" s="382">
        <f t="shared" si="17"/>
        <v>1726.202439</v>
      </c>
      <c r="K47" s="382">
        <f t="shared" si="17"/>
        <v>1911.1527</v>
      </c>
      <c r="L47" s="382">
        <f t="shared" si="17"/>
        <v>1849.502613</v>
      </c>
      <c r="M47" s="382">
        <f t="shared" si="17"/>
        <v>1911.1527</v>
      </c>
      <c r="N47" s="382">
        <f t="shared" si="17"/>
        <v>1849.502613</v>
      </c>
      <c r="O47" s="382">
        <f t="shared" si="17"/>
        <v>1911.1527</v>
      </c>
      <c r="P47" s="382">
        <f t="shared" si="17"/>
        <v>1911.1527</v>
      </c>
      <c r="Q47" s="382">
        <f t="shared" si="17"/>
        <v>1849.502613</v>
      </c>
      <c r="R47" s="382">
        <f t="shared" si="17"/>
        <v>1911.1527</v>
      </c>
      <c r="S47" s="382">
        <f t="shared" si="17"/>
        <v>1849.502613</v>
      </c>
      <c r="T47" s="382">
        <f t="shared" si="17"/>
        <v>1911.1527</v>
      </c>
      <c r="V47" s="445">
        <f>SUM(C47:T47)</f>
        <v>22583.60514</v>
      </c>
    </row>
    <row r="48">
      <c r="V48" s="176"/>
    </row>
    <row r="49">
      <c r="A49" s="443" t="s">
        <v>2146</v>
      </c>
      <c r="B49" s="450" t="s">
        <v>2088</v>
      </c>
      <c r="C49" s="447">
        <f t="shared" ref="C49:T49" si="18">SUM(C47,C42,C37)</f>
        <v>93.05683891</v>
      </c>
      <c r="D49" s="447">
        <f t="shared" si="18"/>
        <v>93.05683891</v>
      </c>
      <c r="E49" s="447">
        <f t="shared" si="18"/>
        <v>225.1375135</v>
      </c>
      <c r="F49" s="447">
        <f t="shared" si="18"/>
        <v>232.6420973</v>
      </c>
      <c r="G49" s="447">
        <f t="shared" si="18"/>
        <v>450.275027</v>
      </c>
      <c r="H49" s="447">
        <f t="shared" si="18"/>
        <v>1005.284195</v>
      </c>
      <c r="I49" s="447">
        <f t="shared" si="18"/>
        <v>2787.453244</v>
      </c>
      <c r="J49" s="447">
        <f t="shared" si="18"/>
        <v>2931.988289</v>
      </c>
      <c r="K49" s="447">
        <f t="shared" si="18"/>
        <v>3246.129892</v>
      </c>
      <c r="L49" s="447">
        <f t="shared" si="18"/>
        <v>3757.916895</v>
      </c>
      <c r="M49" s="447">
        <f t="shared" si="18"/>
        <v>3883.180791</v>
      </c>
      <c r="N49" s="447">
        <f t="shared" si="18"/>
        <v>3757.916895</v>
      </c>
      <c r="O49" s="447">
        <f t="shared" si="18"/>
        <v>3822.3054</v>
      </c>
      <c r="P49" s="447">
        <f t="shared" si="18"/>
        <v>3822.3054</v>
      </c>
      <c r="Q49" s="447">
        <f t="shared" si="18"/>
        <v>3699.005225</v>
      </c>
      <c r="R49" s="447">
        <f t="shared" si="18"/>
        <v>3822.3054</v>
      </c>
      <c r="S49" s="447">
        <f t="shared" si="18"/>
        <v>3699.005225</v>
      </c>
      <c r="T49" s="447">
        <f t="shared" si="18"/>
        <v>3822.3054</v>
      </c>
      <c r="U49" s="448"/>
      <c r="V49" s="449">
        <f>SUM(C49:T49)</f>
        <v>45151.27056</v>
      </c>
      <c r="W49" s="448"/>
      <c r="X49" s="448"/>
      <c r="Y49" s="448"/>
      <c r="Z49" s="448"/>
      <c r="AA49" s="448"/>
      <c r="AB49" s="448"/>
      <c r="AC49" s="448"/>
      <c r="AD49" s="448"/>
      <c r="AE49" s="448"/>
      <c r="AF49" s="448"/>
      <c r="AG49" s="448"/>
    </row>
    <row r="50">
      <c r="V50" s="176"/>
    </row>
    <row r="51">
      <c r="A51" s="1" t="s">
        <v>2275</v>
      </c>
      <c r="V51" s="176"/>
    </row>
    <row r="52">
      <c r="A52" s="1" t="s">
        <v>2276</v>
      </c>
      <c r="C52" s="278">
        <f t="shared" ref="C52:T52" si="19">C37/C$49</f>
        <v>1</v>
      </c>
      <c r="D52" s="278">
        <f t="shared" si="19"/>
        <v>1</v>
      </c>
      <c r="E52" s="278">
        <f t="shared" si="19"/>
        <v>1</v>
      </c>
      <c r="F52" s="278">
        <f t="shared" si="19"/>
        <v>1</v>
      </c>
      <c r="G52" s="278">
        <f t="shared" si="19"/>
        <v>1</v>
      </c>
      <c r="H52" s="278">
        <f t="shared" si="19"/>
        <v>0.4628384661</v>
      </c>
      <c r="I52" s="278">
        <f t="shared" si="19"/>
        <v>0.2503813448</v>
      </c>
      <c r="J52" s="278">
        <f t="shared" si="19"/>
        <v>0.215002577</v>
      </c>
      <c r="K52" s="278">
        <f t="shared" si="19"/>
        <v>0.215002577</v>
      </c>
      <c r="L52" s="278">
        <f t="shared" si="19"/>
        <v>0.1797305687</v>
      </c>
      <c r="M52" s="278">
        <f t="shared" si="19"/>
        <v>0.1797305687</v>
      </c>
      <c r="N52" s="278">
        <f t="shared" si="19"/>
        <v>0.1797305687</v>
      </c>
      <c r="O52" s="278">
        <f t="shared" si="19"/>
        <v>0</v>
      </c>
      <c r="P52" s="278">
        <f t="shared" si="19"/>
        <v>0</v>
      </c>
      <c r="Q52" s="278">
        <f t="shared" si="19"/>
        <v>0</v>
      </c>
      <c r="R52" s="278">
        <f t="shared" si="19"/>
        <v>0</v>
      </c>
      <c r="S52" s="278">
        <f t="shared" si="19"/>
        <v>0</v>
      </c>
      <c r="T52" s="278">
        <f t="shared" si="19"/>
        <v>0</v>
      </c>
      <c r="V52" s="176"/>
    </row>
    <row r="53">
      <c r="A53" s="1" t="s">
        <v>2277</v>
      </c>
      <c r="C53" s="278">
        <f t="shared" ref="C53:T53" si="20">C42/C$49</f>
        <v>0</v>
      </c>
      <c r="D53" s="278">
        <f t="shared" si="20"/>
        <v>0</v>
      </c>
      <c r="E53" s="278">
        <f t="shared" si="20"/>
        <v>0</v>
      </c>
      <c r="F53" s="278">
        <f t="shared" si="20"/>
        <v>0</v>
      </c>
      <c r="G53" s="278">
        <f t="shared" si="20"/>
        <v>0</v>
      </c>
      <c r="H53" s="278">
        <f t="shared" si="20"/>
        <v>0</v>
      </c>
      <c r="I53" s="278">
        <f t="shared" si="20"/>
        <v>0.2285422729</v>
      </c>
      <c r="J53" s="278">
        <f t="shared" si="20"/>
        <v>0.1962493558</v>
      </c>
      <c r="K53" s="278">
        <f t="shared" si="20"/>
        <v>0.1962493558</v>
      </c>
      <c r="L53" s="278">
        <f t="shared" si="20"/>
        <v>0.3281077725</v>
      </c>
      <c r="M53" s="278">
        <f t="shared" si="20"/>
        <v>0.3281077725</v>
      </c>
      <c r="N53" s="278">
        <f t="shared" si="20"/>
        <v>0.3281077725</v>
      </c>
      <c r="O53" s="278">
        <f t="shared" si="20"/>
        <v>0.5</v>
      </c>
      <c r="P53" s="278">
        <f t="shared" si="20"/>
        <v>0.5</v>
      </c>
      <c r="Q53" s="278">
        <f t="shared" si="20"/>
        <v>0.5</v>
      </c>
      <c r="R53" s="278">
        <f t="shared" si="20"/>
        <v>0.5</v>
      </c>
      <c r="S53" s="278">
        <f t="shared" si="20"/>
        <v>0.5</v>
      </c>
      <c r="T53" s="278">
        <f t="shared" si="20"/>
        <v>0.5</v>
      </c>
      <c r="V53" s="176"/>
    </row>
    <row r="54">
      <c r="A54" s="1" t="s">
        <v>2274</v>
      </c>
      <c r="C54" s="278">
        <f t="shared" ref="C54:T54" si="21">C47/C$49</f>
        <v>0</v>
      </c>
      <c r="D54" s="278">
        <f t="shared" si="21"/>
        <v>0</v>
      </c>
      <c r="E54" s="278">
        <f t="shared" si="21"/>
        <v>0</v>
      </c>
      <c r="F54" s="278">
        <f t="shared" si="21"/>
        <v>0</v>
      </c>
      <c r="G54" s="278">
        <f t="shared" si="21"/>
        <v>0</v>
      </c>
      <c r="H54" s="278">
        <f t="shared" si="21"/>
        <v>0.5371615339</v>
      </c>
      <c r="I54" s="278">
        <f t="shared" si="21"/>
        <v>0.5210763822</v>
      </c>
      <c r="J54" s="278">
        <f t="shared" si="21"/>
        <v>0.5887480673</v>
      </c>
      <c r="K54" s="278">
        <f t="shared" si="21"/>
        <v>0.5887480673</v>
      </c>
      <c r="L54" s="278">
        <f t="shared" si="21"/>
        <v>0.4921616588</v>
      </c>
      <c r="M54" s="278">
        <f t="shared" si="21"/>
        <v>0.4921616588</v>
      </c>
      <c r="N54" s="278">
        <f t="shared" si="21"/>
        <v>0.4921616588</v>
      </c>
      <c r="O54" s="278">
        <f t="shared" si="21"/>
        <v>0.5</v>
      </c>
      <c r="P54" s="278">
        <f t="shared" si="21"/>
        <v>0.5</v>
      </c>
      <c r="Q54" s="278">
        <f t="shared" si="21"/>
        <v>0.5</v>
      </c>
      <c r="R54" s="278">
        <f t="shared" si="21"/>
        <v>0.5</v>
      </c>
      <c r="S54" s="278">
        <f t="shared" si="21"/>
        <v>0.5</v>
      </c>
      <c r="T54" s="278">
        <f t="shared" si="21"/>
        <v>0.5</v>
      </c>
      <c r="V54" s="176"/>
    </row>
    <row r="55">
      <c r="V55" s="176"/>
    </row>
    <row r="56">
      <c r="A56" s="442" t="s">
        <v>2147</v>
      </c>
      <c r="B56" s="440"/>
      <c r="C56" s="440"/>
      <c r="D56" s="440"/>
      <c r="E56" s="440"/>
      <c r="F56" s="440"/>
      <c r="G56" s="440"/>
      <c r="H56" s="440"/>
      <c r="I56" s="440"/>
      <c r="J56" s="440"/>
      <c r="K56" s="440"/>
      <c r="L56" s="440"/>
      <c r="M56" s="440"/>
      <c r="N56" s="440"/>
      <c r="O56" s="440"/>
      <c r="P56" s="440"/>
      <c r="Q56" s="440"/>
      <c r="R56" s="440"/>
      <c r="S56" s="440"/>
      <c r="T56" s="440"/>
      <c r="U56" s="440"/>
      <c r="V56" s="441"/>
      <c r="W56" s="440"/>
      <c r="X56" s="440"/>
      <c r="Y56" s="440"/>
      <c r="Z56" s="440"/>
      <c r="AA56" s="440"/>
      <c r="AB56" s="440"/>
      <c r="AC56" s="440"/>
      <c r="AD56" s="440"/>
      <c r="AE56" s="440"/>
      <c r="AF56" s="440"/>
      <c r="AG56" s="440"/>
    </row>
    <row r="57">
      <c r="A57" s="443" t="s">
        <v>2148</v>
      </c>
      <c r="B57" s="179"/>
      <c r="C57" s="179"/>
      <c r="D57" s="179"/>
      <c r="E57" s="179"/>
      <c r="F57" s="179"/>
      <c r="G57" s="179"/>
      <c r="H57" s="179"/>
      <c r="I57" s="179"/>
      <c r="J57" s="179"/>
      <c r="K57" s="179"/>
      <c r="L57" s="179"/>
      <c r="M57" s="179"/>
      <c r="N57" s="179"/>
      <c r="O57" s="179"/>
      <c r="P57" s="179"/>
      <c r="Q57" s="179"/>
      <c r="R57" s="179"/>
      <c r="S57" s="179"/>
      <c r="T57" s="179"/>
      <c r="U57" s="179"/>
      <c r="V57" s="176"/>
      <c r="W57" s="179"/>
      <c r="X57" s="179"/>
      <c r="Y57" s="179"/>
      <c r="Z57" s="179"/>
      <c r="AA57" s="179"/>
      <c r="AB57" s="179"/>
      <c r="AC57" s="179"/>
      <c r="AD57" s="179"/>
      <c r="AE57" s="179"/>
      <c r="AF57" s="179"/>
      <c r="AG57" s="179"/>
    </row>
    <row r="58">
      <c r="A58" s="1" t="s">
        <v>2149</v>
      </c>
      <c r="B58" s="1" t="s">
        <v>2150</v>
      </c>
      <c r="C58" s="90">
        <f t="shared" ref="C58:T58" si="22">8*C$3</f>
        <v>192</v>
      </c>
      <c r="D58" s="90">
        <f t="shared" si="22"/>
        <v>176</v>
      </c>
      <c r="E58" s="90">
        <f t="shared" si="22"/>
        <v>176</v>
      </c>
      <c r="F58" s="90">
        <f t="shared" si="22"/>
        <v>192</v>
      </c>
      <c r="G58" s="90">
        <f t="shared" si="22"/>
        <v>168</v>
      </c>
      <c r="H58" s="90">
        <f t="shared" si="22"/>
        <v>184</v>
      </c>
      <c r="I58" s="90">
        <f t="shared" si="22"/>
        <v>184</v>
      </c>
      <c r="J58" s="90">
        <f t="shared" si="22"/>
        <v>160</v>
      </c>
      <c r="K58" s="90">
        <f t="shared" si="22"/>
        <v>176</v>
      </c>
      <c r="L58" s="90">
        <f t="shared" si="22"/>
        <v>184</v>
      </c>
      <c r="M58" s="90">
        <f t="shared" si="22"/>
        <v>176</v>
      </c>
      <c r="N58" s="90">
        <f t="shared" si="22"/>
        <v>176</v>
      </c>
      <c r="O58" s="90">
        <f t="shared" si="22"/>
        <v>192</v>
      </c>
      <c r="P58" s="90">
        <f t="shared" si="22"/>
        <v>176</v>
      </c>
      <c r="Q58" s="90">
        <f t="shared" si="22"/>
        <v>184</v>
      </c>
      <c r="R58" s="90">
        <f t="shared" si="22"/>
        <v>184</v>
      </c>
      <c r="S58" s="90">
        <f t="shared" si="22"/>
        <v>168</v>
      </c>
      <c r="T58" s="90">
        <f t="shared" si="22"/>
        <v>192</v>
      </c>
      <c r="V58" s="176"/>
    </row>
    <row r="59">
      <c r="A59" s="1" t="s">
        <v>2151</v>
      </c>
      <c r="B59" s="1" t="s">
        <v>2122</v>
      </c>
      <c r="C59" s="444">
        <v>0.5</v>
      </c>
      <c r="D59" s="444">
        <v>0.5</v>
      </c>
      <c r="E59" s="444">
        <v>0.5</v>
      </c>
      <c r="F59" s="444">
        <v>0.5</v>
      </c>
      <c r="G59" s="444">
        <v>0.5</v>
      </c>
      <c r="H59" s="444">
        <v>0.5</v>
      </c>
      <c r="I59" s="444">
        <v>0.5</v>
      </c>
      <c r="J59" s="444">
        <v>0.5</v>
      </c>
      <c r="K59" s="444">
        <v>0.5</v>
      </c>
      <c r="L59" s="444">
        <v>0.5</v>
      </c>
      <c r="M59" s="444">
        <v>0.5</v>
      </c>
      <c r="N59" s="444">
        <v>0.5</v>
      </c>
      <c r="O59" s="444">
        <v>0.5</v>
      </c>
      <c r="P59" s="444">
        <v>0.5</v>
      </c>
      <c r="Q59" s="444">
        <v>0.5</v>
      </c>
      <c r="R59" s="444">
        <v>0.5</v>
      </c>
      <c r="S59" s="444">
        <v>0.5</v>
      </c>
      <c r="T59" s="444">
        <v>0.5</v>
      </c>
      <c r="V59" s="176"/>
    </row>
    <row r="60">
      <c r="A60" s="1" t="s">
        <v>2119</v>
      </c>
      <c r="B60" s="1" t="s">
        <v>2088</v>
      </c>
      <c r="C60" s="382">
        <f>Constants!$B$31*C58*C59</f>
        <v>2880</v>
      </c>
      <c r="D60" s="382">
        <f>Constants!$B$31*D58*D59</f>
        <v>2640</v>
      </c>
      <c r="E60" s="382">
        <f>Constants!$B$31*E58*E59</f>
        <v>2640</v>
      </c>
      <c r="F60" s="382">
        <f>Constants!$B$31*F58*F59</f>
        <v>2880</v>
      </c>
      <c r="G60" s="382">
        <f>Constants!$B$31*G58*G59</f>
        <v>2520</v>
      </c>
      <c r="H60" s="382">
        <f>Constants!$B$31*H58*H59</f>
        <v>2760</v>
      </c>
      <c r="I60" s="382">
        <f>Constants!$B$31*I58*I59</f>
        <v>2760</v>
      </c>
      <c r="J60" s="382">
        <f>Constants!$B$31*J58*J59</f>
        <v>2400</v>
      </c>
      <c r="K60" s="382">
        <f>Constants!$B$31*K58*K59</f>
        <v>2640</v>
      </c>
      <c r="L60" s="382">
        <f>Constants!$B$31*L58*L59</f>
        <v>2760</v>
      </c>
      <c r="M60" s="382">
        <f>Constants!$B$31*M58*M59</f>
        <v>2640</v>
      </c>
      <c r="N60" s="382">
        <f>Constants!$B$31*N58*N59</f>
        <v>2640</v>
      </c>
      <c r="O60" s="382">
        <f>Constants!$B$31*O58*O59</f>
        <v>2880</v>
      </c>
      <c r="P60" s="382">
        <f>Constants!$B$31*P58*P59</f>
        <v>2640</v>
      </c>
      <c r="Q60" s="382">
        <f>Constants!$B$31*Q58*Q59</f>
        <v>2760</v>
      </c>
      <c r="R60" s="382">
        <f>Constants!$B$31*R58*R59</f>
        <v>2760</v>
      </c>
      <c r="S60" s="382">
        <f>Constants!$B$31*S58*S59</f>
        <v>2520</v>
      </c>
      <c r="T60" s="382">
        <f>Constants!$B$31*T58*T59</f>
        <v>2880</v>
      </c>
      <c r="V60" s="445">
        <f>SUM(C60:T60)</f>
        <v>48600</v>
      </c>
    </row>
    <row r="61">
      <c r="V61" s="176"/>
    </row>
    <row r="62">
      <c r="A62" s="443" t="s">
        <v>2152</v>
      </c>
      <c r="B62" s="179"/>
      <c r="C62" s="179"/>
      <c r="D62" s="179"/>
      <c r="E62" s="179"/>
      <c r="F62" s="179"/>
      <c r="G62" s="179"/>
      <c r="H62" s="179"/>
      <c r="I62" s="179"/>
      <c r="J62" s="179"/>
      <c r="K62" s="179"/>
      <c r="L62" s="179"/>
      <c r="M62" s="179"/>
      <c r="N62" s="179"/>
      <c r="O62" s="179"/>
      <c r="P62" s="179"/>
      <c r="Q62" s="179"/>
      <c r="R62" s="179"/>
      <c r="S62" s="179"/>
      <c r="T62" s="179"/>
      <c r="U62" s="179"/>
      <c r="V62" s="176"/>
      <c r="W62" s="179"/>
      <c r="X62" s="179"/>
      <c r="Y62" s="179"/>
      <c r="Z62" s="179"/>
      <c r="AA62" s="179"/>
      <c r="AB62" s="179"/>
      <c r="AC62" s="179"/>
      <c r="AD62" s="179"/>
      <c r="AE62" s="179"/>
      <c r="AF62" s="179"/>
      <c r="AG62" s="179"/>
    </row>
    <row r="63">
      <c r="A63" s="1" t="s">
        <v>2149</v>
      </c>
      <c r="B63" s="1" t="s">
        <v>2150</v>
      </c>
      <c r="H63" s="90">
        <f t="shared" ref="H63:T63" si="23">24*H$2</f>
        <v>744</v>
      </c>
      <c r="I63" s="90">
        <f t="shared" si="23"/>
        <v>744</v>
      </c>
      <c r="J63" s="90">
        <f t="shared" si="23"/>
        <v>672</v>
      </c>
      <c r="K63" s="90">
        <f t="shared" si="23"/>
        <v>744</v>
      </c>
      <c r="L63" s="90">
        <f t="shared" si="23"/>
        <v>720</v>
      </c>
      <c r="M63" s="90">
        <f t="shared" si="23"/>
        <v>744</v>
      </c>
      <c r="N63" s="90">
        <f t="shared" si="23"/>
        <v>720</v>
      </c>
      <c r="O63" s="90">
        <f t="shared" si="23"/>
        <v>744</v>
      </c>
      <c r="P63" s="90">
        <f t="shared" si="23"/>
        <v>744</v>
      </c>
      <c r="Q63" s="90">
        <f t="shared" si="23"/>
        <v>720</v>
      </c>
      <c r="R63" s="90">
        <f t="shared" si="23"/>
        <v>744</v>
      </c>
      <c r="S63" s="90">
        <f t="shared" si="23"/>
        <v>720</v>
      </c>
      <c r="T63" s="90">
        <f t="shared" si="23"/>
        <v>744</v>
      </c>
      <c r="V63" s="176"/>
    </row>
    <row r="64">
      <c r="A64" s="1" t="s">
        <v>2140</v>
      </c>
      <c r="B64" s="1" t="s">
        <v>2122</v>
      </c>
      <c r="C64" s="444"/>
      <c r="D64" s="444"/>
      <c r="E64" s="444"/>
      <c r="F64" s="444"/>
      <c r="G64" s="444"/>
      <c r="H64" s="444">
        <v>0.75</v>
      </c>
      <c r="I64" s="444">
        <v>0.75</v>
      </c>
      <c r="J64" s="444">
        <v>0.75</v>
      </c>
      <c r="K64" s="444">
        <v>0.75</v>
      </c>
      <c r="L64" s="444">
        <v>0.75</v>
      </c>
      <c r="M64" s="444">
        <v>0.75</v>
      </c>
      <c r="N64" s="444">
        <v>0.75</v>
      </c>
      <c r="O64" s="444">
        <v>0.75</v>
      </c>
      <c r="P64" s="444">
        <v>0.75</v>
      </c>
      <c r="Q64" s="444">
        <v>0.75</v>
      </c>
      <c r="R64" s="444">
        <v>0.75</v>
      </c>
      <c r="S64" s="444">
        <v>0.75</v>
      </c>
      <c r="T64" s="444">
        <v>0.75</v>
      </c>
      <c r="V64" s="176"/>
    </row>
    <row r="65">
      <c r="A65" s="1" t="s">
        <v>2119</v>
      </c>
      <c r="B65" s="1" t="s">
        <v>2088</v>
      </c>
      <c r="C65" s="382"/>
      <c r="D65" s="382"/>
      <c r="E65" s="382"/>
      <c r="F65" s="382"/>
      <c r="G65" s="382"/>
      <c r="H65" s="382">
        <f>Constants!$B$34*H63*H64</f>
        <v>6377.142857</v>
      </c>
      <c r="I65" s="382">
        <f>Constants!$B$34*I63*I64</f>
        <v>6377.142857</v>
      </c>
      <c r="J65" s="382">
        <f>Constants!$B$34*J63*J64</f>
        <v>5760</v>
      </c>
      <c r="K65" s="382">
        <f>Constants!$B$34*K63*K64</f>
        <v>6377.142857</v>
      </c>
      <c r="L65" s="382">
        <f>Constants!$B$34*L63*L64</f>
        <v>6171.428571</v>
      </c>
      <c r="M65" s="382">
        <f>Constants!$B$34*M63*M64</f>
        <v>6377.142857</v>
      </c>
      <c r="N65" s="382">
        <f>Constants!$B$34*N63*N64</f>
        <v>6171.428571</v>
      </c>
      <c r="O65" s="382">
        <f>Constants!$B$34*O63*O64</f>
        <v>6377.142857</v>
      </c>
      <c r="P65" s="382">
        <f>Constants!$B$34*P63*P64</f>
        <v>6377.142857</v>
      </c>
      <c r="Q65" s="382">
        <f>Constants!$B$34*Q63*Q64</f>
        <v>6171.428571</v>
      </c>
      <c r="R65" s="382">
        <f>Constants!$B$34*R63*R64</f>
        <v>6377.142857</v>
      </c>
      <c r="S65" s="382">
        <f>Constants!$B$34*S63*S64</f>
        <v>6171.428571</v>
      </c>
      <c r="T65" s="382">
        <f>Constants!$B$34*T63*T64</f>
        <v>6377.142857</v>
      </c>
      <c r="V65" s="445">
        <f>SUM(C65:T65)</f>
        <v>81462.85714</v>
      </c>
    </row>
    <row r="66">
      <c r="V66" s="176"/>
    </row>
    <row r="67">
      <c r="A67" s="443" t="s">
        <v>2153</v>
      </c>
      <c r="B67" s="179"/>
      <c r="C67" s="179"/>
      <c r="D67" s="179"/>
      <c r="E67" s="179"/>
      <c r="F67" s="179"/>
      <c r="G67" s="179"/>
      <c r="H67" s="179"/>
      <c r="I67" s="179"/>
      <c r="J67" s="179"/>
      <c r="K67" s="179"/>
      <c r="L67" s="179"/>
      <c r="M67" s="179"/>
      <c r="N67" s="179"/>
      <c r="O67" s="179"/>
      <c r="P67" s="179"/>
      <c r="Q67" s="179"/>
      <c r="R67" s="179"/>
      <c r="S67" s="179"/>
      <c r="T67" s="179"/>
      <c r="U67" s="179"/>
      <c r="V67" s="176"/>
      <c r="W67" s="179"/>
      <c r="X67" s="179"/>
      <c r="Y67" s="179"/>
      <c r="Z67" s="179"/>
      <c r="AA67" s="179"/>
      <c r="AB67" s="179"/>
      <c r="AC67" s="179"/>
      <c r="AD67" s="179"/>
      <c r="AE67" s="179"/>
      <c r="AF67" s="179"/>
      <c r="AG67" s="179"/>
    </row>
    <row r="68">
      <c r="A68" s="1" t="s">
        <v>2149</v>
      </c>
      <c r="B68" s="1" t="s">
        <v>2150</v>
      </c>
      <c r="N68" s="90">
        <f t="shared" ref="N68:T68" si="24">24*N$2</f>
        <v>720</v>
      </c>
      <c r="O68" s="90">
        <f t="shared" si="24"/>
        <v>744</v>
      </c>
      <c r="P68" s="90">
        <f t="shared" si="24"/>
        <v>744</v>
      </c>
      <c r="Q68" s="90">
        <f t="shared" si="24"/>
        <v>720</v>
      </c>
      <c r="R68" s="90">
        <f t="shared" si="24"/>
        <v>744</v>
      </c>
      <c r="S68" s="90">
        <f t="shared" si="24"/>
        <v>720</v>
      </c>
      <c r="T68" s="90">
        <f t="shared" si="24"/>
        <v>744</v>
      </c>
      <c r="V68" s="176"/>
    </row>
    <row r="69">
      <c r="A69" s="1" t="s">
        <v>2140</v>
      </c>
      <c r="B69" s="1" t="s">
        <v>2122</v>
      </c>
      <c r="N69" s="444">
        <v>0.75</v>
      </c>
      <c r="O69" s="444">
        <v>0.75</v>
      </c>
      <c r="P69" s="444">
        <v>0.75</v>
      </c>
      <c r="Q69" s="444">
        <v>0.75</v>
      </c>
      <c r="R69" s="444">
        <v>0.75</v>
      </c>
      <c r="S69" s="444">
        <v>0.75</v>
      </c>
      <c r="T69" s="444">
        <v>0.75</v>
      </c>
      <c r="V69" s="176"/>
    </row>
    <row r="70">
      <c r="A70" s="1" t="s">
        <v>2119</v>
      </c>
      <c r="B70" s="1" t="s">
        <v>2088</v>
      </c>
      <c r="C70" s="382"/>
      <c r="D70" s="382"/>
      <c r="E70" s="382"/>
      <c r="F70" s="382"/>
      <c r="G70" s="382"/>
      <c r="H70" s="382"/>
      <c r="I70" s="382"/>
      <c r="J70" s="382"/>
      <c r="K70" s="382"/>
      <c r="L70" s="382"/>
      <c r="M70" s="382"/>
      <c r="N70" s="382">
        <f>Constants!$B$34*N68*N69</f>
        <v>6171.428571</v>
      </c>
      <c r="O70" s="382">
        <f>Constants!$B$34*O68*O69</f>
        <v>6377.142857</v>
      </c>
      <c r="P70" s="382">
        <f>Constants!$B$34*P68*P69</f>
        <v>6377.142857</v>
      </c>
      <c r="Q70" s="382">
        <f>Constants!$B$34*Q68*Q69</f>
        <v>6171.428571</v>
      </c>
      <c r="R70" s="382">
        <f>Constants!$B$34*R68*R69</f>
        <v>6377.142857</v>
      </c>
      <c r="S70" s="382">
        <f>Constants!$B$34*S68*S69</f>
        <v>6171.428571</v>
      </c>
      <c r="T70" s="382">
        <f>Constants!$B$34*T68*T69</f>
        <v>6377.142857</v>
      </c>
      <c r="V70" s="445">
        <f>SUM(C70:T70)</f>
        <v>44022.85714</v>
      </c>
    </row>
    <row r="71">
      <c r="V71" s="176"/>
    </row>
    <row r="72">
      <c r="A72" s="443" t="s">
        <v>2154</v>
      </c>
      <c r="B72" s="450" t="s">
        <v>2088</v>
      </c>
      <c r="C72" s="447">
        <f t="shared" ref="C72:T72" si="25">SUM(C70,C65,C60)</f>
        <v>2880</v>
      </c>
      <c r="D72" s="447">
        <f t="shared" si="25"/>
        <v>2640</v>
      </c>
      <c r="E72" s="447">
        <f t="shared" si="25"/>
        <v>2640</v>
      </c>
      <c r="F72" s="447">
        <f t="shared" si="25"/>
        <v>2880</v>
      </c>
      <c r="G72" s="447">
        <f t="shared" si="25"/>
        <v>2520</v>
      </c>
      <c r="H72" s="447">
        <f t="shared" si="25"/>
        <v>9137.142857</v>
      </c>
      <c r="I72" s="447">
        <f t="shared" si="25"/>
        <v>9137.142857</v>
      </c>
      <c r="J72" s="447">
        <f t="shared" si="25"/>
        <v>8160</v>
      </c>
      <c r="K72" s="447">
        <f t="shared" si="25"/>
        <v>9017.142857</v>
      </c>
      <c r="L72" s="447">
        <f t="shared" si="25"/>
        <v>8931.428571</v>
      </c>
      <c r="M72" s="447">
        <f t="shared" si="25"/>
        <v>9017.142857</v>
      </c>
      <c r="N72" s="447">
        <f t="shared" si="25"/>
        <v>14982.85714</v>
      </c>
      <c r="O72" s="447">
        <f t="shared" si="25"/>
        <v>15634.28571</v>
      </c>
      <c r="P72" s="447">
        <f t="shared" si="25"/>
        <v>15394.28571</v>
      </c>
      <c r="Q72" s="447">
        <f t="shared" si="25"/>
        <v>15102.85714</v>
      </c>
      <c r="R72" s="447">
        <f t="shared" si="25"/>
        <v>15514.28571</v>
      </c>
      <c r="S72" s="447">
        <f t="shared" si="25"/>
        <v>14862.85714</v>
      </c>
      <c r="T72" s="447">
        <f t="shared" si="25"/>
        <v>15634.28571</v>
      </c>
      <c r="U72" s="448"/>
      <c r="V72" s="449">
        <f>SUM(C72:T72)</f>
        <v>174085.7143</v>
      </c>
      <c r="W72" s="448"/>
      <c r="X72" s="448"/>
      <c r="Y72" s="448"/>
      <c r="Z72" s="448"/>
      <c r="AA72" s="448"/>
      <c r="AB72" s="448"/>
      <c r="AC72" s="448"/>
      <c r="AD72" s="448"/>
      <c r="AE72" s="448"/>
      <c r="AF72" s="448"/>
      <c r="AG72" s="448"/>
    </row>
    <row r="73">
      <c r="V73" s="176"/>
    </row>
    <row r="74">
      <c r="V74" s="176"/>
    </row>
    <row r="75">
      <c r="V75" s="176"/>
    </row>
    <row r="76">
      <c r="V76" s="176"/>
    </row>
    <row r="77">
      <c r="V77" s="176"/>
    </row>
    <row r="78">
      <c r="V78" s="176"/>
    </row>
    <row r="79">
      <c r="V79" s="176"/>
    </row>
    <row r="80">
      <c r="V80" s="176"/>
    </row>
    <row r="81">
      <c r="V81" s="176"/>
    </row>
    <row r="82">
      <c r="V82" s="176"/>
    </row>
    <row r="83">
      <c r="V83" s="176"/>
    </row>
    <row r="84">
      <c r="V84" s="176"/>
    </row>
    <row r="85">
      <c r="V85" s="176"/>
    </row>
    <row r="86">
      <c r="V86" s="176"/>
    </row>
    <row r="87">
      <c r="V87" s="176"/>
    </row>
    <row r="88">
      <c r="V88" s="176"/>
    </row>
    <row r="89">
      <c r="V89" s="176"/>
    </row>
    <row r="90">
      <c r="V90" s="176"/>
    </row>
    <row r="91">
      <c r="V91" s="176"/>
    </row>
    <row r="92">
      <c r="V92" s="176"/>
    </row>
    <row r="93">
      <c r="V93" s="176"/>
    </row>
    <row r="94">
      <c r="V94" s="176"/>
    </row>
    <row r="95">
      <c r="V95" s="176"/>
    </row>
    <row r="96">
      <c r="V96" s="176"/>
    </row>
    <row r="97">
      <c r="V97" s="176"/>
    </row>
    <row r="98">
      <c r="V98" s="176"/>
    </row>
    <row r="99">
      <c r="V99" s="176"/>
    </row>
    <row r="100">
      <c r="V100" s="176"/>
    </row>
    <row r="101">
      <c r="V101" s="176"/>
    </row>
    <row r="102">
      <c r="V102" s="176"/>
    </row>
    <row r="103">
      <c r="V103" s="176"/>
    </row>
    <row r="104">
      <c r="V104" s="176"/>
    </row>
    <row r="105">
      <c r="V105" s="176"/>
    </row>
    <row r="106">
      <c r="V106" s="176"/>
    </row>
    <row r="107">
      <c r="V107" s="176"/>
    </row>
    <row r="108">
      <c r="V108" s="176"/>
    </row>
    <row r="109">
      <c r="V109" s="176"/>
    </row>
    <row r="110">
      <c r="V110" s="176"/>
    </row>
    <row r="111">
      <c r="V111" s="176"/>
    </row>
    <row r="112">
      <c r="V112" s="176"/>
    </row>
    <row r="113">
      <c r="V113" s="176"/>
    </row>
    <row r="114">
      <c r="V114" s="176"/>
    </row>
    <row r="115">
      <c r="V115" s="176"/>
    </row>
    <row r="116">
      <c r="V116" s="176"/>
    </row>
    <row r="117">
      <c r="V117" s="176"/>
    </row>
    <row r="118">
      <c r="V118" s="176"/>
    </row>
    <row r="119">
      <c r="V119" s="176"/>
    </row>
    <row r="120">
      <c r="V120" s="176"/>
    </row>
    <row r="121">
      <c r="V121" s="176"/>
    </row>
    <row r="122">
      <c r="V122" s="176"/>
    </row>
    <row r="123">
      <c r="V123" s="176"/>
    </row>
    <row r="124">
      <c r="V124" s="176"/>
    </row>
    <row r="125">
      <c r="V125" s="176"/>
    </row>
    <row r="126">
      <c r="V126" s="176"/>
    </row>
    <row r="127">
      <c r="V127" s="176"/>
    </row>
    <row r="128">
      <c r="V128" s="176"/>
    </row>
    <row r="129">
      <c r="V129" s="176"/>
    </row>
    <row r="130">
      <c r="V130" s="176"/>
    </row>
    <row r="131">
      <c r="V131" s="176"/>
    </row>
    <row r="132">
      <c r="V132" s="176"/>
    </row>
    <row r="133">
      <c r="V133" s="176"/>
    </row>
    <row r="134">
      <c r="V134" s="176"/>
    </row>
    <row r="135">
      <c r="V135" s="176"/>
    </row>
    <row r="136">
      <c r="V136" s="176"/>
    </row>
    <row r="137">
      <c r="V137" s="176"/>
    </row>
    <row r="138">
      <c r="V138" s="176"/>
    </row>
    <row r="139">
      <c r="V139" s="176"/>
    </row>
    <row r="140">
      <c r="V140" s="176"/>
    </row>
    <row r="141">
      <c r="V141" s="176"/>
    </row>
    <row r="142">
      <c r="V142" s="176"/>
    </row>
    <row r="143">
      <c r="V143" s="176"/>
    </row>
    <row r="144">
      <c r="V144" s="176"/>
    </row>
    <row r="145">
      <c r="V145" s="176"/>
    </row>
    <row r="146">
      <c r="V146" s="176"/>
    </row>
    <row r="147">
      <c r="V147" s="176"/>
    </row>
    <row r="148">
      <c r="V148" s="176"/>
    </row>
    <row r="149">
      <c r="V149" s="176"/>
    </row>
    <row r="150">
      <c r="V150" s="176"/>
    </row>
    <row r="151">
      <c r="V151" s="176"/>
    </row>
    <row r="152">
      <c r="V152" s="176"/>
    </row>
    <row r="153">
      <c r="V153" s="176"/>
    </row>
    <row r="154">
      <c r="V154" s="176"/>
    </row>
    <row r="155">
      <c r="V155" s="176"/>
    </row>
    <row r="156">
      <c r="V156" s="176"/>
    </row>
    <row r="157">
      <c r="V157" s="176"/>
    </row>
    <row r="158">
      <c r="V158" s="176"/>
    </row>
    <row r="159">
      <c r="V159" s="176"/>
    </row>
    <row r="160">
      <c r="V160" s="176"/>
    </row>
    <row r="161">
      <c r="V161" s="176"/>
    </row>
    <row r="162">
      <c r="V162" s="176"/>
    </row>
    <row r="163">
      <c r="V163" s="176"/>
    </row>
    <row r="164">
      <c r="V164" s="176"/>
    </row>
    <row r="165">
      <c r="V165" s="176"/>
    </row>
    <row r="166">
      <c r="V166" s="176"/>
    </row>
    <row r="167">
      <c r="V167" s="176"/>
    </row>
    <row r="168">
      <c r="V168" s="176"/>
    </row>
    <row r="169">
      <c r="V169" s="176"/>
    </row>
    <row r="170">
      <c r="V170" s="176"/>
    </row>
    <row r="171">
      <c r="V171" s="176"/>
    </row>
    <row r="172">
      <c r="V172" s="176"/>
    </row>
    <row r="173">
      <c r="V173" s="176"/>
    </row>
    <row r="174">
      <c r="V174" s="176"/>
    </row>
    <row r="175">
      <c r="V175" s="176"/>
    </row>
    <row r="176">
      <c r="V176" s="176"/>
    </row>
    <row r="177">
      <c r="V177" s="176"/>
    </row>
    <row r="178">
      <c r="V178" s="176"/>
    </row>
    <row r="179">
      <c r="V179" s="176"/>
    </row>
    <row r="180">
      <c r="V180" s="176"/>
    </row>
    <row r="181">
      <c r="V181" s="176"/>
    </row>
    <row r="182">
      <c r="V182" s="176"/>
    </row>
    <row r="183">
      <c r="V183" s="176"/>
    </row>
    <row r="184">
      <c r="V184" s="176"/>
    </row>
    <row r="185">
      <c r="V185" s="176"/>
    </row>
    <row r="186">
      <c r="V186" s="176"/>
    </row>
    <row r="187">
      <c r="V187" s="176"/>
    </row>
    <row r="188">
      <c r="V188" s="176"/>
    </row>
    <row r="189">
      <c r="V189" s="176"/>
    </row>
    <row r="190">
      <c r="V190" s="176"/>
    </row>
    <row r="191">
      <c r="V191" s="176"/>
    </row>
    <row r="192">
      <c r="V192" s="176"/>
    </row>
    <row r="193">
      <c r="V193" s="176"/>
    </row>
    <row r="194">
      <c r="V194" s="176"/>
    </row>
    <row r="195">
      <c r="V195" s="176"/>
    </row>
    <row r="196">
      <c r="V196" s="176"/>
    </row>
    <row r="197">
      <c r="V197" s="176"/>
    </row>
    <row r="198">
      <c r="V198" s="176"/>
    </row>
    <row r="199">
      <c r="V199" s="176"/>
    </row>
    <row r="200">
      <c r="V200" s="176"/>
    </row>
    <row r="201">
      <c r="V201" s="176"/>
    </row>
    <row r="202">
      <c r="V202" s="176"/>
    </row>
    <row r="203">
      <c r="V203" s="176"/>
    </row>
    <row r="204">
      <c r="V204" s="176"/>
    </row>
    <row r="205">
      <c r="V205" s="176"/>
    </row>
    <row r="206">
      <c r="V206" s="176"/>
    </row>
    <row r="207">
      <c r="V207" s="176"/>
    </row>
    <row r="208">
      <c r="V208" s="176"/>
    </row>
    <row r="209">
      <c r="V209" s="176"/>
    </row>
    <row r="210">
      <c r="V210" s="176"/>
    </row>
    <row r="211">
      <c r="V211" s="176"/>
    </row>
    <row r="212">
      <c r="V212" s="176"/>
    </row>
    <row r="213">
      <c r="V213" s="176"/>
    </row>
    <row r="214">
      <c r="V214" s="176"/>
    </row>
    <row r="215">
      <c r="V215" s="176"/>
    </row>
    <row r="216">
      <c r="V216" s="176"/>
    </row>
    <row r="217">
      <c r="V217" s="176"/>
    </row>
    <row r="218">
      <c r="V218" s="176"/>
    </row>
    <row r="219">
      <c r="V219" s="176"/>
    </row>
    <row r="220">
      <c r="V220" s="176"/>
    </row>
    <row r="221">
      <c r="V221" s="176"/>
    </row>
    <row r="222">
      <c r="V222" s="176"/>
    </row>
    <row r="223">
      <c r="V223" s="176"/>
    </row>
    <row r="224">
      <c r="V224" s="176"/>
    </row>
    <row r="225">
      <c r="V225" s="176"/>
    </row>
    <row r="226">
      <c r="V226" s="176"/>
    </row>
    <row r="227">
      <c r="V227" s="176"/>
    </row>
    <row r="228">
      <c r="V228" s="176"/>
    </row>
    <row r="229">
      <c r="V229" s="176"/>
    </row>
    <row r="230">
      <c r="V230" s="176"/>
    </row>
    <row r="231">
      <c r="V231" s="176"/>
    </row>
    <row r="232">
      <c r="V232" s="176"/>
    </row>
    <row r="233">
      <c r="V233" s="176"/>
    </row>
    <row r="234">
      <c r="V234" s="176"/>
    </row>
    <row r="235">
      <c r="V235" s="176"/>
    </row>
    <row r="236">
      <c r="V236" s="176"/>
    </row>
    <row r="237">
      <c r="V237" s="176"/>
    </row>
    <row r="238">
      <c r="V238" s="176"/>
    </row>
    <row r="239">
      <c r="V239" s="176"/>
    </row>
    <row r="240">
      <c r="V240" s="176"/>
    </row>
    <row r="241">
      <c r="V241" s="176"/>
    </row>
    <row r="242">
      <c r="V242" s="176"/>
    </row>
    <row r="243">
      <c r="V243" s="176"/>
    </row>
    <row r="244">
      <c r="V244" s="176"/>
    </row>
    <row r="245">
      <c r="V245" s="176"/>
    </row>
    <row r="246">
      <c r="V246" s="176"/>
    </row>
    <row r="247">
      <c r="V247" s="176"/>
    </row>
    <row r="248">
      <c r="V248" s="176"/>
    </row>
    <row r="249">
      <c r="V249" s="176"/>
    </row>
    <row r="250">
      <c r="V250" s="176"/>
    </row>
    <row r="251">
      <c r="V251" s="176"/>
    </row>
    <row r="252">
      <c r="V252" s="176"/>
    </row>
    <row r="253">
      <c r="V253" s="176"/>
    </row>
    <row r="254">
      <c r="V254" s="176"/>
    </row>
    <row r="255">
      <c r="V255" s="176"/>
    </row>
    <row r="256">
      <c r="V256" s="176"/>
    </row>
    <row r="257">
      <c r="V257" s="176"/>
    </row>
    <row r="258">
      <c r="V258" s="176"/>
    </row>
    <row r="259">
      <c r="V259" s="176"/>
    </row>
    <row r="260">
      <c r="V260" s="176"/>
    </row>
    <row r="261">
      <c r="V261" s="176"/>
    </row>
    <row r="262">
      <c r="V262" s="176"/>
    </row>
    <row r="263">
      <c r="V263" s="176"/>
    </row>
    <row r="264">
      <c r="V264" s="176"/>
    </row>
    <row r="265">
      <c r="V265" s="176"/>
    </row>
    <row r="266">
      <c r="V266" s="176"/>
    </row>
    <row r="267">
      <c r="V267" s="176"/>
    </row>
    <row r="268">
      <c r="V268" s="176"/>
    </row>
    <row r="269">
      <c r="V269" s="176"/>
    </row>
    <row r="270">
      <c r="V270" s="176"/>
    </row>
    <row r="271">
      <c r="V271" s="176"/>
    </row>
    <row r="272">
      <c r="V272" s="176"/>
    </row>
    <row r="273">
      <c r="V273" s="176"/>
    </row>
    <row r="274">
      <c r="V274" s="176"/>
    </row>
    <row r="275">
      <c r="V275" s="176"/>
    </row>
    <row r="276">
      <c r="V276" s="176"/>
    </row>
    <row r="277">
      <c r="V277" s="176"/>
    </row>
    <row r="278">
      <c r="V278" s="176"/>
    </row>
    <row r="279">
      <c r="V279" s="176"/>
    </row>
    <row r="280">
      <c r="V280" s="176"/>
    </row>
    <row r="281">
      <c r="V281" s="176"/>
    </row>
    <row r="282">
      <c r="V282" s="176"/>
    </row>
    <row r="283">
      <c r="V283" s="176"/>
    </row>
    <row r="284">
      <c r="V284" s="176"/>
    </row>
    <row r="285">
      <c r="V285" s="176"/>
    </row>
    <row r="286">
      <c r="V286" s="176"/>
    </row>
    <row r="287">
      <c r="V287" s="176"/>
    </row>
    <row r="288">
      <c r="V288" s="176"/>
    </row>
    <row r="289">
      <c r="V289" s="176"/>
    </row>
    <row r="290">
      <c r="V290" s="176"/>
    </row>
    <row r="291">
      <c r="V291" s="176"/>
    </row>
    <row r="292">
      <c r="V292" s="176"/>
    </row>
    <row r="293">
      <c r="V293" s="176"/>
    </row>
    <row r="294">
      <c r="V294" s="176"/>
    </row>
    <row r="295">
      <c r="V295" s="176"/>
    </row>
    <row r="296">
      <c r="V296" s="176"/>
    </row>
    <row r="297">
      <c r="V297" s="176"/>
    </row>
    <row r="298">
      <c r="V298" s="176"/>
    </row>
    <row r="299">
      <c r="V299" s="176"/>
    </row>
    <row r="300">
      <c r="V300" s="176"/>
    </row>
    <row r="301">
      <c r="V301" s="176"/>
    </row>
    <row r="302">
      <c r="V302" s="176"/>
    </row>
    <row r="303">
      <c r="V303" s="176"/>
    </row>
    <row r="304">
      <c r="V304" s="176"/>
    </row>
    <row r="305">
      <c r="V305" s="176"/>
    </row>
    <row r="306">
      <c r="V306" s="176"/>
    </row>
    <row r="307">
      <c r="V307" s="176"/>
    </row>
    <row r="308">
      <c r="V308" s="176"/>
    </row>
    <row r="309">
      <c r="V309" s="176"/>
    </row>
    <row r="310">
      <c r="V310" s="176"/>
    </row>
    <row r="311">
      <c r="V311" s="176"/>
    </row>
    <row r="312">
      <c r="V312" s="176"/>
    </row>
    <row r="313">
      <c r="V313" s="176"/>
    </row>
    <row r="314">
      <c r="V314" s="176"/>
    </row>
    <row r="315">
      <c r="V315" s="176"/>
    </row>
    <row r="316">
      <c r="V316" s="176"/>
    </row>
    <row r="317">
      <c r="V317" s="176"/>
    </row>
    <row r="318">
      <c r="V318" s="176"/>
    </row>
    <row r="319">
      <c r="V319" s="176"/>
    </row>
    <row r="320">
      <c r="V320" s="176"/>
    </row>
    <row r="321">
      <c r="V321" s="176"/>
    </row>
    <row r="322">
      <c r="V322" s="176"/>
    </row>
    <row r="323">
      <c r="V323" s="176"/>
    </row>
    <row r="324">
      <c r="V324" s="176"/>
    </row>
    <row r="325">
      <c r="V325" s="176"/>
    </row>
    <row r="326">
      <c r="V326" s="176"/>
    </row>
    <row r="327">
      <c r="V327" s="176"/>
    </row>
    <row r="328">
      <c r="V328" s="176"/>
    </row>
    <row r="329">
      <c r="V329" s="176"/>
    </row>
    <row r="330">
      <c r="V330" s="176"/>
    </row>
    <row r="331">
      <c r="V331" s="176"/>
    </row>
    <row r="332">
      <c r="V332" s="176"/>
    </row>
    <row r="333">
      <c r="V333" s="176"/>
    </row>
    <row r="334">
      <c r="V334" s="176"/>
    </row>
    <row r="335">
      <c r="V335" s="176"/>
    </row>
    <row r="336">
      <c r="V336" s="176"/>
    </row>
    <row r="337">
      <c r="V337" s="176"/>
    </row>
    <row r="338">
      <c r="V338" s="176"/>
    </row>
    <row r="339">
      <c r="V339" s="176"/>
    </row>
    <row r="340">
      <c r="V340" s="176"/>
    </row>
    <row r="341">
      <c r="V341" s="176"/>
    </row>
    <row r="342">
      <c r="V342" s="176"/>
    </row>
    <row r="343">
      <c r="V343" s="176"/>
    </row>
    <row r="344">
      <c r="V344" s="176"/>
    </row>
    <row r="345">
      <c r="V345" s="176"/>
    </row>
    <row r="346">
      <c r="V346" s="176"/>
    </row>
    <row r="347">
      <c r="V347" s="176"/>
    </row>
    <row r="348">
      <c r="V348" s="176"/>
    </row>
    <row r="349">
      <c r="V349" s="176"/>
    </row>
    <row r="350">
      <c r="V350" s="176"/>
    </row>
    <row r="351">
      <c r="V351" s="176"/>
    </row>
    <row r="352">
      <c r="V352" s="176"/>
    </row>
    <row r="353">
      <c r="V353" s="176"/>
    </row>
    <row r="354">
      <c r="V354" s="176"/>
    </row>
    <row r="355">
      <c r="V355" s="176"/>
    </row>
    <row r="356">
      <c r="V356" s="176"/>
    </row>
    <row r="357">
      <c r="V357" s="176"/>
    </row>
    <row r="358">
      <c r="V358" s="176"/>
    </row>
    <row r="359">
      <c r="V359" s="176"/>
    </row>
    <row r="360">
      <c r="V360" s="176"/>
    </row>
    <row r="361">
      <c r="V361" s="176"/>
    </row>
    <row r="362">
      <c r="V362" s="176"/>
    </row>
    <row r="363">
      <c r="V363" s="176"/>
    </row>
    <row r="364">
      <c r="V364" s="176"/>
    </row>
    <row r="365">
      <c r="V365" s="176"/>
    </row>
    <row r="366">
      <c r="V366" s="176"/>
    </row>
    <row r="367">
      <c r="V367" s="176"/>
    </row>
    <row r="368">
      <c r="V368" s="176"/>
    </row>
    <row r="369">
      <c r="V369" s="176"/>
    </row>
    <row r="370">
      <c r="V370" s="176"/>
    </row>
    <row r="371">
      <c r="V371" s="176"/>
    </row>
    <row r="372">
      <c r="V372" s="176"/>
    </row>
    <row r="373">
      <c r="V373" s="176"/>
    </row>
    <row r="374">
      <c r="V374" s="176"/>
    </row>
    <row r="375">
      <c r="V375" s="176"/>
    </row>
    <row r="376">
      <c r="V376" s="176"/>
    </row>
    <row r="377">
      <c r="V377" s="176"/>
    </row>
    <row r="378">
      <c r="V378" s="176"/>
    </row>
    <row r="379">
      <c r="V379" s="176"/>
    </row>
    <row r="380">
      <c r="V380" s="176"/>
    </row>
    <row r="381">
      <c r="V381" s="176"/>
    </row>
    <row r="382">
      <c r="V382" s="176"/>
    </row>
    <row r="383">
      <c r="V383" s="176"/>
    </row>
    <row r="384">
      <c r="V384" s="176"/>
    </row>
    <row r="385">
      <c r="V385" s="176"/>
    </row>
    <row r="386">
      <c r="V386" s="176"/>
    </row>
    <row r="387">
      <c r="V387" s="176"/>
    </row>
    <row r="388">
      <c r="V388" s="176"/>
    </row>
    <row r="389">
      <c r="V389" s="176"/>
    </row>
    <row r="390">
      <c r="V390" s="176"/>
    </row>
    <row r="391">
      <c r="V391" s="176"/>
    </row>
    <row r="392">
      <c r="V392" s="176"/>
    </row>
    <row r="393">
      <c r="V393" s="176"/>
    </row>
    <row r="394">
      <c r="V394" s="176"/>
    </row>
    <row r="395">
      <c r="V395" s="176"/>
    </row>
    <row r="396">
      <c r="V396" s="176"/>
    </row>
    <row r="397">
      <c r="V397" s="176"/>
    </row>
    <row r="398">
      <c r="V398" s="176"/>
    </row>
    <row r="399">
      <c r="V399" s="176"/>
    </row>
    <row r="400">
      <c r="V400" s="176"/>
    </row>
    <row r="401">
      <c r="V401" s="176"/>
    </row>
    <row r="402">
      <c r="V402" s="176"/>
    </row>
    <row r="403">
      <c r="V403" s="176"/>
    </row>
    <row r="404">
      <c r="V404" s="176"/>
    </row>
    <row r="405">
      <c r="V405" s="176"/>
    </row>
    <row r="406">
      <c r="V406" s="176"/>
    </row>
    <row r="407">
      <c r="V407" s="176"/>
    </row>
    <row r="408">
      <c r="V408" s="176"/>
    </row>
    <row r="409">
      <c r="V409" s="176"/>
    </row>
    <row r="410">
      <c r="V410" s="176"/>
    </row>
    <row r="411">
      <c r="V411" s="176"/>
    </row>
    <row r="412">
      <c r="V412" s="176"/>
    </row>
    <row r="413">
      <c r="V413" s="176"/>
    </row>
    <row r="414">
      <c r="V414" s="176"/>
    </row>
    <row r="415">
      <c r="V415" s="176"/>
    </row>
    <row r="416">
      <c r="V416" s="176"/>
    </row>
    <row r="417">
      <c r="V417" s="176"/>
    </row>
    <row r="418">
      <c r="V418" s="176"/>
    </row>
    <row r="419">
      <c r="V419" s="176"/>
    </row>
    <row r="420">
      <c r="V420" s="176"/>
    </row>
    <row r="421">
      <c r="V421" s="176"/>
    </row>
    <row r="422">
      <c r="V422" s="176"/>
    </row>
    <row r="423">
      <c r="V423" s="176"/>
    </row>
    <row r="424">
      <c r="V424" s="176"/>
    </row>
    <row r="425">
      <c r="V425" s="176"/>
    </row>
    <row r="426">
      <c r="V426" s="176"/>
    </row>
    <row r="427">
      <c r="V427" s="176"/>
    </row>
    <row r="428">
      <c r="V428" s="176"/>
    </row>
    <row r="429">
      <c r="V429" s="176"/>
    </row>
    <row r="430">
      <c r="V430" s="176"/>
    </row>
    <row r="431">
      <c r="V431" s="176"/>
    </row>
    <row r="432">
      <c r="V432" s="176"/>
    </row>
    <row r="433">
      <c r="V433" s="176"/>
    </row>
    <row r="434">
      <c r="V434" s="176"/>
    </row>
    <row r="435">
      <c r="V435" s="176"/>
    </row>
    <row r="436">
      <c r="V436" s="176"/>
    </row>
    <row r="437">
      <c r="V437" s="176"/>
    </row>
    <row r="438">
      <c r="V438" s="176"/>
    </row>
    <row r="439">
      <c r="V439" s="176"/>
    </row>
    <row r="440">
      <c r="V440" s="176"/>
    </row>
    <row r="441">
      <c r="V441" s="176"/>
    </row>
    <row r="442">
      <c r="V442" s="176"/>
    </row>
    <row r="443">
      <c r="V443" s="176"/>
    </row>
    <row r="444">
      <c r="V444" s="176"/>
    </row>
    <row r="445">
      <c r="V445" s="176"/>
    </row>
    <row r="446">
      <c r="V446" s="176"/>
    </row>
    <row r="447">
      <c r="V447" s="176"/>
    </row>
    <row r="448">
      <c r="V448" s="176"/>
    </row>
    <row r="449">
      <c r="V449" s="176"/>
    </row>
    <row r="450">
      <c r="V450" s="176"/>
    </row>
    <row r="451">
      <c r="V451" s="176"/>
    </row>
    <row r="452">
      <c r="V452" s="176"/>
    </row>
    <row r="453">
      <c r="V453" s="176"/>
    </row>
    <row r="454">
      <c r="V454" s="176"/>
    </row>
    <row r="455">
      <c r="V455" s="176"/>
    </row>
    <row r="456">
      <c r="V456" s="176"/>
    </row>
    <row r="457">
      <c r="V457" s="176"/>
    </row>
    <row r="458">
      <c r="V458" s="176"/>
    </row>
    <row r="459">
      <c r="V459" s="176"/>
    </row>
    <row r="460">
      <c r="V460" s="176"/>
    </row>
    <row r="461">
      <c r="V461" s="176"/>
    </row>
    <row r="462">
      <c r="V462" s="176"/>
    </row>
    <row r="463">
      <c r="V463" s="176"/>
    </row>
    <row r="464">
      <c r="V464" s="176"/>
    </row>
    <row r="465">
      <c r="V465" s="176"/>
    </row>
    <row r="466">
      <c r="V466" s="176"/>
    </row>
    <row r="467">
      <c r="V467" s="176"/>
    </row>
    <row r="468">
      <c r="V468" s="176"/>
    </row>
    <row r="469">
      <c r="V469" s="176"/>
    </row>
    <row r="470">
      <c r="V470" s="176"/>
    </row>
    <row r="471">
      <c r="V471" s="176"/>
    </row>
    <row r="472">
      <c r="V472" s="176"/>
    </row>
    <row r="473">
      <c r="V473" s="176"/>
    </row>
    <row r="474">
      <c r="V474" s="176"/>
    </row>
    <row r="475">
      <c r="V475" s="176"/>
    </row>
    <row r="476">
      <c r="V476" s="176"/>
    </row>
    <row r="477">
      <c r="V477" s="176"/>
    </row>
    <row r="478">
      <c r="V478" s="176"/>
    </row>
    <row r="479">
      <c r="V479" s="176"/>
    </row>
    <row r="480">
      <c r="V480" s="176"/>
    </row>
    <row r="481">
      <c r="V481" s="176"/>
    </row>
    <row r="482">
      <c r="V482" s="176"/>
    </row>
    <row r="483">
      <c r="V483" s="176"/>
    </row>
    <row r="484">
      <c r="V484" s="176"/>
    </row>
    <row r="485">
      <c r="V485" s="176"/>
    </row>
    <row r="486">
      <c r="V486" s="176"/>
    </row>
    <row r="487">
      <c r="V487" s="176"/>
    </row>
    <row r="488">
      <c r="V488" s="176"/>
    </row>
    <row r="489">
      <c r="V489" s="176"/>
    </row>
    <row r="490">
      <c r="V490" s="176"/>
    </row>
    <row r="491">
      <c r="V491" s="176"/>
    </row>
    <row r="492">
      <c r="V492" s="176"/>
    </row>
    <row r="493">
      <c r="V493" s="176"/>
    </row>
    <row r="494">
      <c r="V494" s="176"/>
    </row>
    <row r="495">
      <c r="V495" s="176"/>
    </row>
    <row r="496">
      <c r="V496" s="176"/>
    </row>
    <row r="497">
      <c r="V497" s="176"/>
    </row>
    <row r="498">
      <c r="V498" s="176"/>
    </row>
    <row r="499">
      <c r="V499" s="176"/>
    </row>
    <row r="500">
      <c r="V500" s="176"/>
    </row>
    <row r="501">
      <c r="V501" s="176"/>
    </row>
    <row r="502">
      <c r="V502" s="176"/>
    </row>
    <row r="503">
      <c r="V503" s="176"/>
    </row>
    <row r="504">
      <c r="V504" s="176"/>
    </row>
    <row r="505">
      <c r="V505" s="176"/>
    </row>
    <row r="506">
      <c r="V506" s="176"/>
    </row>
    <row r="507">
      <c r="V507" s="176"/>
    </row>
    <row r="508">
      <c r="V508" s="176"/>
    </row>
    <row r="509">
      <c r="V509" s="176"/>
    </row>
    <row r="510">
      <c r="V510" s="176"/>
    </row>
    <row r="511">
      <c r="V511" s="176"/>
    </row>
    <row r="512">
      <c r="V512" s="176"/>
    </row>
    <row r="513">
      <c r="V513" s="176"/>
    </row>
    <row r="514">
      <c r="V514" s="176"/>
    </row>
    <row r="515">
      <c r="V515" s="176"/>
    </row>
    <row r="516">
      <c r="V516" s="176"/>
    </row>
    <row r="517">
      <c r="V517" s="176"/>
    </row>
    <row r="518">
      <c r="V518" s="176"/>
    </row>
    <row r="519">
      <c r="V519" s="176"/>
    </row>
    <row r="520">
      <c r="V520" s="176"/>
    </row>
    <row r="521">
      <c r="V521" s="176"/>
    </row>
    <row r="522">
      <c r="V522" s="176"/>
    </row>
    <row r="523">
      <c r="V523" s="176"/>
    </row>
    <row r="524">
      <c r="V524" s="176"/>
    </row>
    <row r="525">
      <c r="V525" s="176"/>
    </row>
    <row r="526">
      <c r="V526" s="176"/>
    </row>
    <row r="527">
      <c r="V527" s="176"/>
    </row>
    <row r="528">
      <c r="V528" s="176"/>
    </row>
    <row r="529">
      <c r="V529" s="176"/>
    </row>
    <row r="530">
      <c r="V530" s="176"/>
    </row>
    <row r="531">
      <c r="V531" s="176"/>
    </row>
    <row r="532">
      <c r="V532" s="176"/>
    </row>
    <row r="533">
      <c r="V533" s="176"/>
    </row>
    <row r="534">
      <c r="V534" s="176"/>
    </row>
    <row r="535">
      <c r="V535" s="176"/>
    </row>
    <row r="536">
      <c r="V536" s="176"/>
    </row>
    <row r="537">
      <c r="V537" s="176"/>
    </row>
    <row r="538">
      <c r="V538" s="176"/>
    </row>
    <row r="539">
      <c r="V539" s="176"/>
    </row>
    <row r="540">
      <c r="V540" s="176"/>
    </row>
    <row r="541">
      <c r="V541" s="176"/>
    </row>
    <row r="542">
      <c r="V542" s="176"/>
    </row>
    <row r="543">
      <c r="V543" s="176"/>
    </row>
    <row r="544">
      <c r="V544" s="176"/>
    </row>
    <row r="545">
      <c r="V545" s="176"/>
    </row>
    <row r="546">
      <c r="V546" s="176"/>
    </row>
    <row r="547">
      <c r="V547" s="176"/>
    </row>
    <row r="548">
      <c r="V548" s="176"/>
    </row>
    <row r="549">
      <c r="V549" s="176"/>
    </row>
    <row r="550">
      <c r="V550" s="176"/>
    </row>
    <row r="551">
      <c r="V551" s="176"/>
    </row>
    <row r="552">
      <c r="V552" s="176"/>
    </row>
    <row r="553">
      <c r="V553" s="176"/>
    </row>
    <row r="554">
      <c r="V554" s="176"/>
    </row>
    <row r="555">
      <c r="V555" s="176"/>
    </row>
    <row r="556">
      <c r="V556" s="176"/>
    </row>
    <row r="557">
      <c r="V557" s="176"/>
    </row>
    <row r="558">
      <c r="V558" s="176"/>
    </row>
    <row r="559">
      <c r="V559" s="176"/>
    </row>
    <row r="560">
      <c r="V560" s="176"/>
    </row>
    <row r="561">
      <c r="V561" s="176"/>
    </row>
    <row r="562">
      <c r="V562" s="176"/>
    </row>
    <row r="563">
      <c r="V563" s="176"/>
    </row>
    <row r="564">
      <c r="V564" s="176"/>
    </row>
    <row r="565">
      <c r="V565" s="176"/>
    </row>
    <row r="566">
      <c r="V566" s="176"/>
    </row>
    <row r="567">
      <c r="V567" s="176"/>
    </row>
    <row r="568">
      <c r="V568" s="176"/>
    </row>
    <row r="569">
      <c r="V569" s="176"/>
    </row>
    <row r="570">
      <c r="V570" s="176"/>
    </row>
    <row r="571">
      <c r="V571" s="176"/>
    </row>
    <row r="572">
      <c r="V572" s="176"/>
    </row>
    <row r="573">
      <c r="V573" s="176"/>
    </row>
    <row r="574">
      <c r="V574" s="176"/>
    </row>
    <row r="575">
      <c r="V575" s="176"/>
    </row>
    <row r="576">
      <c r="V576" s="176"/>
    </row>
    <row r="577">
      <c r="V577" s="176"/>
    </row>
    <row r="578">
      <c r="V578" s="176"/>
    </row>
    <row r="579">
      <c r="V579" s="176"/>
    </row>
    <row r="580">
      <c r="V580" s="176"/>
    </row>
    <row r="581">
      <c r="V581" s="176"/>
    </row>
    <row r="582">
      <c r="V582" s="176"/>
    </row>
    <row r="583">
      <c r="V583" s="176"/>
    </row>
    <row r="584">
      <c r="V584" s="176"/>
    </row>
    <row r="585">
      <c r="V585" s="176"/>
    </row>
    <row r="586">
      <c r="V586" s="176"/>
    </row>
    <row r="587">
      <c r="V587" s="176"/>
    </row>
    <row r="588">
      <c r="V588" s="176"/>
    </row>
    <row r="589">
      <c r="V589" s="176"/>
    </row>
    <row r="590">
      <c r="V590" s="176"/>
    </row>
    <row r="591">
      <c r="V591" s="176"/>
    </row>
    <row r="592">
      <c r="V592" s="176"/>
    </row>
    <row r="593">
      <c r="V593" s="176"/>
    </row>
    <row r="594">
      <c r="V594" s="176"/>
    </row>
    <row r="595">
      <c r="V595" s="176"/>
    </row>
    <row r="596">
      <c r="V596" s="176"/>
    </row>
    <row r="597">
      <c r="V597" s="176"/>
    </row>
    <row r="598">
      <c r="V598" s="176"/>
    </row>
    <row r="599">
      <c r="V599" s="176"/>
    </row>
    <row r="600">
      <c r="V600" s="176"/>
    </row>
    <row r="601">
      <c r="V601" s="176"/>
    </row>
    <row r="602">
      <c r="V602" s="176"/>
    </row>
    <row r="603">
      <c r="V603" s="176"/>
    </row>
    <row r="604">
      <c r="V604" s="176"/>
    </row>
    <row r="605">
      <c r="V605" s="176"/>
    </row>
    <row r="606">
      <c r="V606" s="176"/>
    </row>
    <row r="607">
      <c r="V607" s="176"/>
    </row>
    <row r="608">
      <c r="V608" s="176"/>
    </row>
    <row r="609">
      <c r="V609" s="176"/>
    </row>
    <row r="610">
      <c r="V610" s="176"/>
    </row>
    <row r="611">
      <c r="V611" s="176"/>
    </row>
    <row r="612">
      <c r="V612" s="176"/>
    </row>
    <row r="613">
      <c r="V613" s="176"/>
    </row>
    <row r="614">
      <c r="V614" s="176"/>
    </row>
    <row r="615">
      <c r="V615" s="176"/>
    </row>
    <row r="616">
      <c r="V616" s="176"/>
    </row>
    <row r="617">
      <c r="V617" s="176"/>
    </row>
    <row r="618">
      <c r="V618" s="176"/>
    </row>
    <row r="619">
      <c r="V619" s="176"/>
    </row>
    <row r="620">
      <c r="V620" s="176"/>
    </row>
    <row r="621">
      <c r="V621" s="176"/>
    </row>
    <row r="622">
      <c r="V622" s="176"/>
    </row>
    <row r="623">
      <c r="V623" s="176"/>
    </row>
    <row r="624">
      <c r="V624" s="176"/>
    </row>
    <row r="625">
      <c r="V625" s="176"/>
    </row>
    <row r="626">
      <c r="V626" s="176"/>
    </row>
    <row r="627">
      <c r="V627" s="176"/>
    </row>
    <row r="628">
      <c r="V628" s="176"/>
    </row>
    <row r="629">
      <c r="V629" s="176"/>
    </row>
    <row r="630">
      <c r="V630" s="176"/>
    </row>
    <row r="631">
      <c r="V631" s="176"/>
    </row>
    <row r="632">
      <c r="V632" s="176"/>
    </row>
    <row r="633">
      <c r="V633" s="176"/>
    </row>
    <row r="634">
      <c r="V634" s="176"/>
    </row>
    <row r="635">
      <c r="V635" s="176"/>
    </row>
    <row r="636">
      <c r="V636" s="176"/>
    </row>
    <row r="637">
      <c r="V637" s="176"/>
    </row>
    <row r="638">
      <c r="V638" s="176"/>
    </row>
    <row r="639">
      <c r="V639" s="176"/>
    </row>
    <row r="640">
      <c r="V640" s="176"/>
    </row>
    <row r="641">
      <c r="V641" s="176"/>
    </row>
    <row r="642">
      <c r="V642" s="176"/>
    </row>
    <row r="643">
      <c r="V643" s="176"/>
    </row>
    <row r="644">
      <c r="V644" s="176"/>
    </row>
    <row r="645">
      <c r="V645" s="176"/>
    </row>
    <row r="646">
      <c r="V646" s="176"/>
    </row>
    <row r="647">
      <c r="V647" s="176"/>
    </row>
    <row r="648">
      <c r="V648" s="176"/>
    </row>
    <row r="649">
      <c r="V649" s="176"/>
    </row>
    <row r="650">
      <c r="V650" s="176"/>
    </row>
    <row r="651">
      <c r="V651" s="176"/>
    </row>
    <row r="652">
      <c r="V652" s="176"/>
    </row>
    <row r="653">
      <c r="V653" s="176"/>
    </row>
    <row r="654">
      <c r="V654" s="176"/>
    </row>
    <row r="655">
      <c r="V655" s="176"/>
    </row>
    <row r="656">
      <c r="V656" s="176"/>
    </row>
    <row r="657">
      <c r="V657" s="176"/>
    </row>
    <row r="658">
      <c r="V658" s="176"/>
    </row>
    <row r="659">
      <c r="V659" s="176"/>
    </row>
    <row r="660">
      <c r="V660" s="176"/>
    </row>
    <row r="661">
      <c r="V661" s="176"/>
    </row>
    <row r="662">
      <c r="V662" s="176"/>
    </row>
    <row r="663">
      <c r="V663" s="176"/>
    </row>
    <row r="664">
      <c r="V664" s="176"/>
    </row>
    <row r="665">
      <c r="V665" s="176"/>
    </row>
    <row r="666">
      <c r="V666" s="176"/>
    </row>
    <row r="667">
      <c r="V667" s="176"/>
    </row>
    <row r="668">
      <c r="V668" s="176"/>
    </row>
    <row r="669">
      <c r="V669" s="176"/>
    </row>
    <row r="670">
      <c r="V670" s="176"/>
    </row>
    <row r="671">
      <c r="V671" s="176"/>
    </row>
    <row r="672">
      <c r="V672" s="176"/>
    </row>
    <row r="673">
      <c r="V673" s="176"/>
    </row>
    <row r="674">
      <c r="V674" s="176"/>
    </row>
    <row r="675">
      <c r="V675" s="176"/>
    </row>
    <row r="676">
      <c r="V676" s="176"/>
    </row>
    <row r="677">
      <c r="V677" s="176"/>
    </row>
    <row r="678">
      <c r="V678" s="176"/>
    </row>
    <row r="679">
      <c r="V679" s="176"/>
    </row>
    <row r="680">
      <c r="V680" s="176"/>
    </row>
    <row r="681">
      <c r="V681" s="176"/>
    </row>
    <row r="682">
      <c r="V682" s="176"/>
    </row>
    <row r="683">
      <c r="V683" s="176"/>
    </row>
    <row r="684">
      <c r="V684" s="176"/>
    </row>
    <row r="685">
      <c r="V685" s="176"/>
    </row>
    <row r="686">
      <c r="V686" s="176"/>
    </row>
    <row r="687">
      <c r="V687" s="176"/>
    </row>
    <row r="688">
      <c r="V688" s="176"/>
    </row>
    <row r="689">
      <c r="V689" s="176"/>
    </row>
    <row r="690">
      <c r="V690" s="176"/>
    </row>
    <row r="691">
      <c r="V691" s="176"/>
    </row>
    <row r="692">
      <c r="V692" s="176"/>
    </row>
    <row r="693">
      <c r="V693" s="176"/>
    </row>
    <row r="694">
      <c r="V694" s="176"/>
    </row>
    <row r="695">
      <c r="V695" s="176"/>
    </row>
    <row r="696">
      <c r="V696" s="176"/>
    </row>
    <row r="697">
      <c r="V697" s="176"/>
    </row>
    <row r="698">
      <c r="V698" s="176"/>
    </row>
    <row r="699">
      <c r="V699" s="176"/>
    </row>
    <row r="700">
      <c r="V700" s="176"/>
    </row>
    <row r="701">
      <c r="V701" s="176"/>
    </row>
    <row r="702">
      <c r="V702" s="176"/>
    </row>
    <row r="703">
      <c r="V703" s="176"/>
    </row>
    <row r="704">
      <c r="V704" s="176"/>
    </row>
    <row r="705">
      <c r="V705" s="176"/>
    </row>
    <row r="706">
      <c r="V706" s="176"/>
    </row>
    <row r="707">
      <c r="V707" s="176"/>
    </row>
    <row r="708">
      <c r="V708" s="176"/>
    </row>
    <row r="709">
      <c r="V709" s="176"/>
    </row>
    <row r="710">
      <c r="V710" s="176"/>
    </row>
    <row r="711">
      <c r="V711" s="176"/>
    </row>
    <row r="712">
      <c r="V712" s="176"/>
    </row>
    <row r="713">
      <c r="V713" s="176"/>
    </row>
    <row r="714">
      <c r="V714" s="176"/>
    </row>
    <row r="715">
      <c r="V715" s="176"/>
    </row>
    <row r="716">
      <c r="V716" s="176"/>
    </row>
    <row r="717">
      <c r="V717" s="176"/>
    </row>
    <row r="718">
      <c r="V718" s="176"/>
    </row>
    <row r="719">
      <c r="V719" s="176"/>
    </row>
    <row r="720">
      <c r="V720" s="176"/>
    </row>
    <row r="721">
      <c r="V721" s="176"/>
    </row>
    <row r="722">
      <c r="V722" s="176"/>
    </row>
    <row r="723">
      <c r="V723" s="176"/>
    </row>
    <row r="724">
      <c r="V724" s="176"/>
    </row>
    <row r="725">
      <c r="V725" s="176"/>
    </row>
    <row r="726">
      <c r="V726" s="176"/>
    </row>
    <row r="727">
      <c r="V727" s="176"/>
    </row>
    <row r="728">
      <c r="V728" s="176"/>
    </row>
    <row r="729">
      <c r="V729" s="176"/>
    </row>
    <row r="730">
      <c r="V730" s="176"/>
    </row>
    <row r="731">
      <c r="V731" s="176"/>
    </row>
    <row r="732">
      <c r="V732" s="176"/>
    </row>
    <row r="733">
      <c r="V733" s="176"/>
    </row>
    <row r="734">
      <c r="V734" s="176"/>
    </row>
    <row r="735">
      <c r="V735" s="176"/>
    </row>
    <row r="736">
      <c r="V736" s="176"/>
    </row>
    <row r="737">
      <c r="V737" s="176"/>
    </row>
    <row r="738">
      <c r="V738" s="176"/>
    </row>
    <row r="739">
      <c r="V739" s="176"/>
    </row>
    <row r="740">
      <c r="V740" s="176"/>
    </row>
    <row r="741">
      <c r="V741" s="176"/>
    </row>
    <row r="742">
      <c r="V742" s="176"/>
    </row>
    <row r="743">
      <c r="V743" s="176"/>
    </row>
    <row r="744">
      <c r="V744" s="176"/>
    </row>
    <row r="745">
      <c r="V745" s="176"/>
    </row>
    <row r="746">
      <c r="V746" s="176"/>
    </row>
    <row r="747">
      <c r="V747" s="176"/>
    </row>
    <row r="748">
      <c r="V748" s="176"/>
    </row>
    <row r="749">
      <c r="V749" s="176"/>
    </row>
    <row r="750">
      <c r="V750" s="176"/>
    </row>
    <row r="751">
      <c r="V751" s="176"/>
    </row>
    <row r="752">
      <c r="V752" s="176"/>
    </row>
    <row r="753">
      <c r="V753" s="176"/>
    </row>
    <row r="754">
      <c r="V754" s="176"/>
    </row>
    <row r="755">
      <c r="V755" s="176"/>
    </row>
    <row r="756">
      <c r="V756" s="176"/>
    </row>
    <row r="757">
      <c r="V757" s="176"/>
    </row>
    <row r="758">
      <c r="V758" s="176"/>
    </row>
    <row r="759">
      <c r="V759" s="176"/>
    </row>
    <row r="760">
      <c r="V760" s="176"/>
    </row>
    <row r="761">
      <c r="V761" s="176"/>
    </row>
    <row r="762">
      <c r="V762" s="176"/>
    </row>
    <row r="763">
      <c r="V763" s="176"/>
    </row>
    <row r="764">
      <c r="V764" s="176"/>
    </row>
    <row r="765">
      <c r="V765" s="176"/>
    </row>
    <row r="766">
      <c r="V766" s="176"/>
    </row>
    <row r="767">
      <c r="V767" s="176"/>
    </row>
    <row r="768">
      <c r="V768" s="176"/>
    </row>
    <row r="769">
      <c r="V769" s="176"/>
    </row>
    <row r="770">
      <c r="V770" s="176"/>
    </row>
    <row r="771">
      <c r="V771" s="176"/>
    </row>
    <row r="772">
      <c r="V772" s="176"/>
    </row>
    <row r="773">
      <c r="V773" s="176"/>
    </row>
    <row r="774">
      <c r="V774" s="176"/>
    </row>
    <row r="775">
      <c r="V775" s="176"/>
    </row>
    <row r="776">
      <c r="V776" s="176"/>
    </row>
    <row r="777">
      <c r="V777" s="176"/>
    </row>
    <row r="778">
      <c r="V778" s="176"/>
    </row>
    <row r="779">
      <c r="V779" s="176"/>
    </row>
    <row r="780">
      <c r="V780" s="176"/>
    </row>
    <row r="781">
      <c r="V781" s="176"/>
    </row>
    <row r="782">
      <c r="V782" s="176"/>
    </row>
    <row r="783">
      <c r="V783" s="176"/>
    </row>
    <row r="784">
      <c r="V784" s="176"/>
    </row>
    <row r="785">
      <c r="V785" s="176"/>
    </row>
    <row r="786">
      <c r="V786" s="176"/>
    </row>
    <row r="787">
      <c r="V787" s="176"/>
    </row>
    <row r="788">
      <c r="V788" s="176"/>
    </row>
    <row r="789">
      <c r="V789" s="176"/>
    </row>
    <row r="790">
      <c r="V790" s="176"/>
    </row>
    <row r="791">
      <c r="V791" s="176"/>
    </row>
    <row r="792">
      <c r="V792" s="176"/>
    </row>
    <row r="793">
      <c r="V793" s="176"/>
    </row>
    <row r="794">
      <c r="V794" s="176"/>
    </row>
    <row r="795">
      <c r="V795" s="176"/>
    </row>
    <row r="796">
      <c r="V796" s="176"/>
    </row>
    <row r="797">
      <c r="V797" s="176"/>
    </row>
    <row r="798">
      <c r="V798" s="176"/>
    </row>
    <row r="799">
      <c r="V799" s="176"/>
    </row>
    <row r="800">
      <c r="V800" s="176"/>
    </row>
    <row r="801">
      <c r="V801" s="176"/>
    </row>
    <row r="802">
      <c r="V802" s="176"/>
    </row>
    <row r="803">
      <c r="V803" s="176"/>
    </row>
    <row r="804">
      <c r="V804" s="176"/>
    </row>
    <row r="805">
      <c r="V805" s="176"/>
    </row>
    <row r="806">
      <c r="V806" s="176"/>
    </row>
    <row r="807">
      <c r="V807" s="176"/>
    </row>
    <row r="808">
      <c r="V808" s="176"/>
    </row>
    <row r="809">
      <c r="V809" s="176"/>
    </row>
    <row r="810">
      <c r="V810" s="176"/>
    </row>
    <row r="811">
      <c r="V811" s="176"/>
    </row>
    <row r="812">
      <c r="V812" s="176"/>
    </row>
    <row r="813">
      <c r="V813" s="176"/>
    </row>
    <row r="814">
      <c r="V814" s="176"/>
    </row>
    <row r="815">
      <c r="V815" s="176"/>
    </row>
    <row r="816">
      <c r="V816" s="176"/>
    </row>
    <row r="817">
      <c r="V817" s="176"/>
    </row>
    <row r="818">
      <c r="V818" s="176"/>
    </row>
    <row r="819">
      <c r="V819" s="176"/>
    </row>
    <row r="820">
      <c r="V820" s="176"/>
    </row>
    <row r="821">
      <c r="V821" s="176"/>
    </row>
    <row r="822">
      <c r="V822" s="176"/>
    </row>
    <row r="823">
      <c r="V823" s="176"/>
    </row>
    <row r="824">
      <c r="V824" s="176"/>
    </row>
    <row r="825">
      <c r="V825" s="176"/>
    </row>
    <row r="826">
      <c r="V826" s="176"/>
    </row>
    <row r="827">
      <c r="V827" s="176"/>
    </row>
    <row r="828">
      <c r="V828" s="176"/>
    </row>
    <row r="829">
      <c r="V829" s="176"/>
    </row>
    <row r="830">
      <c r="V830" s="176"/>
    </row>
    <row r="831">
      <c r="V831" s="176"/>
    </row>
    <row r="832">
      <c r="V832" s="176"/>
    </row>
    <row r="833">
      <c r="V833" s="176"/>
    </row>
    <row r="834">
      <c r="V834" s="176"/>
    </row>
    <row r="835">
      <c r="V835" s="176"/>
    </row>
    <row r="836">
      <c r="V836" s="176"/>
    </row>
    <row r="837">
      <c r="V837" s="176"/>
    </row>
    <row r="838">
      <c r="V838" s="176"/>
    </row>
    <row r="839">
      <c r="V839" s="176"/>
    </row>
    <row r="840">
      <c r="V840" s="176"/>
    </row>
    <row r="841">
      <c r="V841" s="176"/>
    </row>
    <row r="842">
      <c r="V842" s="176"/>
    </row>
    <row r="843">
      <c r="V843" s="176"/>
    </row>
    <row r="844">
      <c r="V844" s="176"/>
    </row>
    <row r="845">
      <c r="V845" s="176"/>
    </row>
    <row r="846">
      <c r="V846" s="176"/>
    </row>
    <row r="847">
      <c r="V847" s="176"/>
    </row>
    <row r="848">
      <c r="V848" s="176"/>
    </row>
    <row r="849">
      <c r="V849" s="176"/>
    </row>
    <row r="850">
      <c r="V850" s="176"/>
    </row>
    <row r="851">
      <c r="V851" s="176"/>
    </row>
    <row r="852">
      <c r="V852" s="176"/>
    </row>
    <row r="853">
      <c r="V853" s="176"/>
    </row>
    <row r="854">
      <c r="V854" s="176"/>
    </row>
    <row r="855">
      <c r="V855" s="176"/>
    </row>
    <row r="856">
      <c r="V856" s="176"/>
    </row>
    <row r="857">
      <c r="V857" s="176"/>
    </row>
    <row r="858">
      <c r="V858" s="176"/>
    </row>
    <row r="859">
      <c r="V859" s="176"/>
    </row>
    <row r="860">
      <c r="V860" s="176"/>
    </row>
    <row r="861">
      <c r="V861" s="176"/>
    </row>
    <row r="862">
      <c r="V862" s="176"/>
    </row>
    <row r="863">
      <c r="V863" s="176"/>
    </row>
    <row r="864">
      <c r="V864" s="176"/>
    </row>
    <row r="865">
      <c r="V865" s="176"/>
    </row>
    <row r="866">
      <c r="V866" s="176"/>
    </row>
    <row r="867">
      <c r="V867" s="176"/>
    </row>
    <row r="868">
      <c r="V868" s="176"/>
    </row>
    <row r="869">
      <c r="V869" s="176"/>
    </row>
    <row r="870">
      <c r="V870" s="176"/>
    </row>
    <row r="871">
      <c r="V871" s="176"/>
    </row>
    <row r="872">
      <c r="V872" s="176"/>
    </row>
    <row r="873">
      <c r="V873" s="176"/>
    </row>
    <row r="874">
      <c r="V874" s="176"/>
    </row>
    <row r="875">
      <c r="V875" s="176"/>
    </row>
    <row r="876">
      <c r="V876" s="176"/>
    </row>
    <row r="877">
      <c r="V877" s="176"/>
    </row>
    <row r="878">
      <c r="V878" s="176"/>
    </row>
    <row r="879">
      <c r="V879" s="176"/>
    </row>
    <row r="880">
      <c r="V880" s="176"/>
    </row>
    <row r="881">
      <c r="V881" s="176"/>
    </row>
    <row r="882">
      <c r="V882" s="176"/>
    </row>
    <row r="883">
      <c r="V883" s="176"/>
    </row>
    <row r="884">
      <c r="V884" s="176"/>
    </row>
    <row r="885">
      <c r="V885" s="176"/>
    </row>
    <row r="886">
      <c r="V886" s="176"/>
    </row>
    <row r="887">
      <c r="V887" s="176"/>
    </row>
    <row r="888">
      <c r="V888" s="176"/>
    </row>
    <row r="889">
      <c r="V889" s="176"/>
    </row>
    <row r="890">
      <c r="V890" s="176"/>
    </row>
    <row r="891">
      <c r="V891" s="176"/>
    </row>
    <row r="892">
      <c r="V892" s="176"/>
    </row>
    <row r="893">
      <c r="V893" s="176"/>
    </row>
    <row r="894">
      <c r="V894" s="176"/>
    </row>
    <row r="895">
      <c r="V895" s="176"/>
    </row>
    <row r="896">
      <c r="V896" s="176"/>
    </row>
    <row r="897">
      <c r="V897" s="176"/>
    </row>
    <row r="898">
      <c r="V898" s="176"/>
    </row>
    <row r="899">
      <c r="V899" s="176"/>
    </row>
    <row r="900">
      <c r="V900" s="176"/>
    </row>
    <row r="901">
      <c r="V901" s="176"/>
    </row>
    <row r="902">
      <c r="V902" s="176"/>
    </row>
    <row r="903">
      <c r="V903" s="176"/>
    </row>
    <row r="904">
      <c r="V904" s="176"/>
    </row>
    <row r="905">
      <c r="V905" s="176"/>
    </row>
    <row r="906">
      <c r="V906" s="176"/>
    </row>
    <row r="907">
      <c r="V907" s="176"/>
    </row>
    <row r="908">
      <c r="V908" s="176"/>
    </row>
    <row r="909">
      <c r="V909" s="176"/>
    </row>
    <row r="910">
      <c r="V910" s="176"/>
    </row>
    <row r="911">
      <c r="V911" s="176"/>
    </row>
    <row r="912">
      <c r="V912" s="176"/>
    </row>
    <row r="913">
      <c r="V913" s="176"/>
    </row>
    <row r="914">
      <c r="V914" s="176"/>
    </row>
    <row r="915">
      <c r="V915" s="176"/>
    </row>
    <row r="916">
      <c r="V916" s="176"/>
    </row>
    <row r="917">
      <c r="V917" s="176"/>
    </row>
    <row r="918">
      <c r="V918" s="176"/>
    </row>
    <row r="919">
      <c r="V919" s="176"/>
    </row>
    <row r="920">
      <c r="V920" s="176"/>
    </row>
    <row r="921">
      <c r="V921" s="176"/>
    </row>
    <row r="922">
      <c r="V922" s="176"/>
    </row>
    <row r="923">
      <c r="V923" s="176"/>
    </row>
    <row r="924">
      <c r="V924" s="176"/>
    </row>
    <row r="925">
      <c r="V925" s="176"/>
    </row>
    <row r="926">
      <c r="V926" s="176"/>
    </row>
    <row r="927">
      <c r="V927" s="176"/>
    </row>
    <row r="928">
      <c r="V928" s="176"/>
    </row>
    <row r="929">
      <c r="V929" s="176"/>
    </row>
    <row r="930">
      <c r="V930" s="176"/>
    </row>
    <row r="931">
      <c r="V931" s="176"/>
    </row>
    <row r="932">
      <c r="V932" s="176"/>
    </row>
    <row r="933">
      <c r="V933" s="176"/>
    </row>
    <row r="934">
      <c r="V934" s="176"/>
    </row>
    <row r="935">
      <c r="V935" s="176"/>
    </row>
    <row r="936">
      <c r="V936" s="176"/>
    </row>
    <row r="937">
      <c r="V937" s="176"/>
    </row>
    <row r="938">
      <c r="V938" s="176"/>
    </row>
    <row r="939">
      <c r="V939" s="176"/>
    </row>
    <row r="940">
      <c r="V940" s="176"/>
    </row>
    <row r="941">
      <c r="V941" s="176"/>
    </row>
    <row r="942">
      <c r="V942" s="176"/>
    </row>
    <row r="943">
      <c r="V943" s="176"/>
    </row>
    <row r="944">
      <c r="V944" s="176"/>
    </row>
    <row r="945">
      <c r="V945" s="176"/>
    </row>
    <row r="946">
      <c r="V946" s="176"/>
    </row>
    <row r="947">
      <c r="V947" s="176"/>
    </row>
    <row r="948">
      <c r="V948" s="176"/>
    </row>
    <row r="949">
      <c r="V949" s="176"/>
    </row>
    <row r="950">
      <c r="V950" s="176"/>
    </row>
    <row r="951">
      <c r="V951" s="176"/>
    </row>
    <row r="952">
      <c r="V952" s="176"/>
    </row>
    <row r="953">
      <c r="V953" s="176"/>
    </row>
    <row r="954">
      <c r="V954" s="176"/>
    </row>
    <row r="955">
      <c r="V955" s="176"/>
    </row>
    <row r="956">
      <c r="V956" s="176"/>
    </row>
    <row r="957">
      <c r="V957" s="176"/>
    </row>
    <row r="958">
      <c r="V958" s="176"/>
    </row>
    <row r="959">
      <c r="V959" s="176"/>
    </row>
    <row r="960">
      <c r="V960" s="176"/>
    </row>
    <row r="961">
      <c r="V961" s="176"/>
    </row>
    <row r="962">
      <c r="V962" s="176"/>
    </row>
    <row r="963">
      <c r="V963" s="176"/>
    </row>
    <row r="964">
      <c r="V964" s="176"/>
    </row>
    <row r="965">
      <c r="V965" s="176"/>
    </row>
    <row r="966">
      <c r="V966" s="176"/>
    </row>
    <row r="967">
      <c r="V967" s="176"/>
    </row>
    <row r="968">
      <c r="V968" s="176"/>
    </row>
    <row r="969">
      <c r="V969" s="176"/>
    </row>
    <row r="970">
      <c r="V970" s="176"/>
    </row>
    <row r="971">
      <c r="V971" s="176"/>
    </row>
    <row r="972">
      <c r="V972" s="176"/>
    </row>
    <row r="973">
      <c r="V973" s="176"/>
    </row>
    <row r="974">
      <c r="V974" s="176"/>
    </row>
    <row r="975">
      <c r="V975" s="176"/>
    </row>
    <row r="976">
      <c r="V976" s="176"/>
    </row>
    <row r="977">
      <c r="V977" s="176"/>
    </row>
    <row r="978">
      <c r="V978" s="176"/>
    </row>
    <row r="979">
      <c r="V979" s="176"/>
    </row>
    <row r="980">
      <c r="V980" s="176"/>
    </row>
    <row r="981">
      <c r="V981" s="176"/>
    </row>
    <row r="982">
      <c r="V982" s="176"/>
    </row>
    <row r="983">
      <c r="V983" s="176"/>
    </row>
    <row r="984">
      <c r="V984" s="176"/>
    </row>
    <row r="985">
      <c r="V985" s="176"/>
    </row>
    <row r="986">
      <c r="V986" s="176"/>
    </row>
    <row r="987">
      <c r="V987" s="176"/>
    </row>
    <row r="988">
      <c r="V988" s="176"/>
    </row>
    <row r="989">
      <c r="V989" s="176"/>
    </row>
    <row r="990">
      <c r="V990" s="176"/>
    </row>
    <row r="991">
      <c r="V991" s="176"/>
    </row>
    <row r="992">
      <c r="V992" s="176"/>
    </row>
    <row r="993">
      <c r="V993" s="176"/>
    </row>
    <row r="994">
      <c r="V994" s="176"/>
    </row>
    <row r="995">
      <c r="V995" s="176"/>
    </row>
    <row r="996">
      <c r="V996" s="176"/>
    </row>
    <row r="997">
      <c r="V997" s="176"/>
    </row>
    <row r="998">
      <c r="V998" s="176"/>
    </row>
    <row r="999">
      <c r="V999" s="176"/>
    </row>
    <row r="1000">
      <c r="V1000" s="176"/>
    </row>
    <row r="1001">
      <c r="V1001" s="176"/>
    </row>
    <row r="1002">
      <c r="V1002" s="176"/>
    </row>
    <row r="1003">
      <c r="V1003" s="176"/>
    </row>
    <row r="1004">
      <c r="V1004" s="176"/>
    </row>
    <row r="1005">
      <c r="V1005" s="176"/>
    </row>
    <row r="1006">
      <c r="V1006" s="176"/>
    </row>
    <row r="1007">
      <c r="V1007" s="176"/>
    </row>
    <row r="1008">
      <c r="V1008" s="176"/>
    </row>
    <row r="1009">
      <c r="V1009" s="176"/>
    </row>
    <row r="1010">
      <c r="V1010" s="176"/>
    </row>
    <row r="1011">
      <c r="V1011" s="176"/>
    </row>
    <row r="1012">
      <c r="V1012" s="176"/>
    </row>
    <row r="1013">
      <c r="V1013" s="176"/>
    </row>
    <row r="1014">
      <c r="V1014" s="176"/>
    </row>
    <row r="1015">
      <c r="V1015" s="176"/>
    </row>
    <row r="1016">
      <c r="V1016" s="176"/>
    </row>
    <row r="1017">
      <c r="V1017" s="176"/>
    </row>
    <row r="1018">
      <c r="V1018" s="176"/>
    </row>
    <row r="1019">
      <c r="V1019" s="176"/>
    </row>
    <row r="1020">
      <c r="V1020" s="176"/>
    </row>
    <row r="1021">
      <c r="V1021" s="176"/>
    </row>
    <row r="1022">
      <c r="V1022" s="176"/>
    </row>
    <row r="1023">
      <c r="V1023" s="176"/>
    </row>
    <row r="1024">
      <c r="V1024" s="176"/>
    </row>
    <row r="1025">
      <c r="V1025" s="176"/>
    </row>
    <row r="1026">
      <c r="V1026" s="176"/>
    </row>
    <row r="1027">
      <c r="V1027" s="176"/>
    </row>
    <row r="1028">
      <c r="V1028" s="176"/>
    </row>
    <row r="1029">
      <c r="V1029" s="176"/>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75"/>
  </cols>
  <sheetData>
    <row r="1">
      <c r="B1" s="1" t="s">
        <v>1905</v>
      </c>
      <c r="L1" s="1"/>
      <c r="M1" s="1" t="s">
        <v>2278</v>
      </c>
      <c r="N1" s="1" t="s">
        <v>2279</v>
      </c>
      <c r="O1" s="1" t="s">
        <v>2280</v>
      </c>
      <c r="P1" s="1" t="s">
        <v>2281</v>
      </c>
      <c r="Q1" s="1" t="s">
        <v>24</v>
      </c>
    </row>
    <row r="2">
      <c r="L2" s="1"/>
      <c r="M2" s="1" t="s">
        <v>2282</v>
      </c>
      <c r="N2" s="1">
        <v>3.0</v>
      </c>
    </row>
    <row r="3">
      <c r="A3" s="492" t="s">
        <v>1910</v>
      </c>
      <c r="B3" s="6" t="s">
        <v>1911</v>
      </c>
      <c r="C3" s="6" t="s">
        <v>1912</v>
      </c>
      <c r="D3" s="6" t="s">
        <v>1913</v>
      </c>
      <c r="E3" s="6" t="s">
        <v>1914</v>
      </c>
      <c r="F3" s="6" t="s">
        <v>1915</v>
      </c>
      <c r="G3" s="6" t="s">
        <v>1916</v>
      </c>
      <c r="H3" s="82" t="s">
        <v>2283</v>
      </c>
      <c r="I3" s="82" t="s">
        <v>2284</v>
      </c>
      <c r="J3" s="82" t="s">
        <v>2285</v>
      </c>
      <c r="K3" s="82" t="s">
        <v>2286</v>
      </c>
      <c r="L3" s="1"/>
      <c r="M3" s="1" t="s">
        <v>2287</v>
      </c>
      <c r="N3" s="1">
        <v>3.0</v>
      </c>
      <c r="O3" s="1">
        <v>5.0</v>
      </c>
      <c r="P3" s="1">
        <v>7.0</v>
      </c>
      <c r="Q3" s="1">
        <v>10.0</v>
      </c>
    </row>
    <row r="4">
      <c r="A4" s="493">
        <v>45322.0</v>
      </c>
      <c r="B4" s="8"/>
      <c r="C4" s="8"/>
      <c r="D4" s="8"/>
      <c r="E4" s="4">
        <v>120.0</v>
      </c>
      <c r="F4" s="337"/>
      <c r="G4" s="337">
        <v>100.0</v>
      </c>
      <c r="M4" s="1" t="s">
        <v>2288</v>
      </c>
    </row>
    <row r="5">
      <c r="A5" s="493">
        <v>45351.0</v>
      </c>
      <c r="B5" s="8">
        <v>5.0</v>
      </c>
      <c r="C5" s="8">
        <v>1.0</v>
      </c>
      <c r="D5" s="8">
        <v>180.0</v>
      </c>
      <c r="E5" s="4">
        <v>170.0</v>
      </c>
      <c r="F5" s="8">
        <v>10.0</v>
      </c>
      <c r="G5" s="172"/>
      <c r="H5" s="382">
        <f t="shared" ref="H5:H7" si="1">D5</f>
        <v>180</v>
      </c>
    </row>
    <row r="6">
      <c r="A6" s="493">
        <v>45382.0</v>
      </c>
      <c r="B6" s="8">
        <v>9.0</v>
      </c>
      <c r="C6" s="8">
        <v>3.0</v>
      </c>
      <c r="D6" s="8">
        <v>420.0</v>
      </c>
      <c r="E6" s="4">
        <v>300.0</v>
      </c>
      <c r="F6" s="8">
        <v>120.0</v>
      </c>
      <c r="G6" s="172"/>
      <c r="H6" s="382">
        <f t="shared" si="1"/>
        <v>420</v>
      </c>
      <c r="M6" s="1" t="s">
        <v>2289</v>
      </c>
    </row>
    <row r="7">
      <c r="A7" s="493">
        <v>45412.0</v>
      </c>
      <c r="B7" s="8">
        <v>13.0</v>
      </c>
      <c r="C7" s="8">
        <v>3.0</v>
      </c>
      <c r="D7" s="8">
        <v>500.0</v>
      </c>
      <c r="E7" s="4">
        <v>440.0</v>
      </c>
      <c r="F7" s="8">
        <v>60.0</v>
      </c>
      <c r="G7" s="172"/>
      <c r="H7" s="382">
        <f t="shared" si="1"/>
        <v>500</v>
      </c>
    </row>
    <row r="8">
      <c r="A8" s="493">
        <v>45443.0</v>
      </c>
      <c r="B8" s="8">
        <v>21.0</v>
      </c>
      <c r="C8" s="8">
        <v>3.0</v>
      </c>
      <c r="D8" s="8">
        <v>660.0</v>
      </c>
      <c r="E8" s="4">
        <v>760.0</v>
      </c>
      <c r="F8" s="8">
        <v>-100.0</v>
      </c>
      <c r="G8" s="172"/>
      <c r="H8" s="382">
        <f t="shared" ref="H8:H9" si="2">D8-I8</f>
        <v>600</v>
      </c>
      <c r="I8" s="1">
        <v>60.0</v>
      </c>
      <c r="N8" s="1" t="s">
        <v>2290</v>
      </c>
    </row>
    <row r="9">
      <c r="A9" s="493">
        <v>45473.0</v>
      </c>
      <c r="B9" s="8">
        <v>0.0</v>
      </c>
      <c r="C9" s="8">
        <v>8.0</v>
      </c>
      <c r="D9" s="8">
        <v>640.0</v>
      </c>
      <c r="E9" s="4">
        <v>920.0</v>
      </c>
      <c r="F9" s="8">
        <v>-280.0</v>
      </c>
      <c r="G9" s="111"/>
      <c r="H9" s="382">
        <f t="shared" si="2"/>
        <v>480</v>
      </c>
      <c r="I9" s="1">
        <v>160.0</v>
      </c>
    </row>
    <row r="10">
      <c r="A10" s="493">
        <v>45504.0</v>
      </c>
      <c r="B10" s="8">
        <v>0.0</v>
      </c>
      <c r="C10" s="8">
        <v>13.0</v>
      </c>
      <c r="D10" s="8">
        <v>1040.0</v>
      </c>
      <c r="E10" s="4">
        <v>840.0</v>
      </c>
      <c r="F10" s="8">
        <v>200.0</v>
      </c>
      <c r="G10" s="172"/>
    </row>
    <row r="11">
      <c r="A11" s="493">
        <v>45535.0</v>
      </c>
      <c r="B11" s="8">
        <v>0.0</v>
      </c>
      <c r="C11" s="8">
        <v>12.0</v>
      </c>
      <c r="D11" s="8">
        <v>960.0</v>
      </c>
      <c r="E11" s="4">
        <v>560.0</v>
      </c>
      <c r="F11" s="8">
        <v>400.0</v>
      </c>
      <c r="G11" s="172"/>
      <c r="N11" s="1" t="s">
        <v>2291</v>
      </c>
    </row>
    <row r="12">
      <c r="A12" s="493">
        <v>45565.0</v>
      </c>
      <c r="B12" s="8">
        <v>0.0</v>
      </c>
      <c r="C12" s="8">
        <v>8.0</v>
      </c>
      <c r="D12" s="8">
        <v>640.0</v>
      </c>
      <c r="E12" s="4">
        <v>720.0</v>
      </c>
      <c r="F12" s="8">
        <v>-80.0</v>
      </c>
      <c r="G12" s="172"/>
      <c r="I12" s="1" t="s">
        <v>2278</v>
      </c>
      <c r="N12" s="1" t="s">
        <v>2292</v>
      </c>
    </row>
    <row r="13">
      <c r="A13" s="493">
        <v>45596.0</v>
      </c>
      <c r="B13" s="8">
        <v>0.0</v>
      </c>
      <c r="C13" s="8">
        <v>6.0</v>
      </c>
      <c r="D13" s="8">
        <v>480.0</v>
      </c>
      <c r="E13" s="4">
        <v>960.0</v>
      </c>
      <c r="F13" s="8">
        <v>-480.0</v>
      </c>
      <c r="G13" s="172"/>
      <c r="H13" s="1" t="s">
        <v>2293</v>
      </c>
      <c r="I13" s="1" t="s">
        <v>2294</v>
      </c>
      <c r="K13" s="1" t="s">
        <v>2294</v>
      </c>
      <c r="N13" s="1" t="s">
        <v>2295</v>
      </c>
    </row>
    <row r="14">
      <c r="A14" s="493">
        <v>45626.0</v>
      </c>
      <c r="B14" s="8">
        <v>0.0</v>
      </c>
      <c r="C14" s="8">
        <v>8.0</v>
      </c>
      <c r="D14" s="8">
        <v>640.0</v>
      </c>
      <c r="E14" s="4">
        <v>240.0</v>
      </c>
      <c r="F14" s="8">
        <v>400.0</v>
      </c>
      <c r="G14" s="172"/>
      <c r="I14" s="1" t="s">
        <v>2296</v>
      </c>
      <c r="K14" s="1" t="s">
        <v>2297</v>
      </c>
      <c r="N14" s="1" t="s">
        <v>2298</v>
      </c>
    </row>
    <row r="15">
      <c r="A15" s="493">
        <v>45657.0</v>
      </c>
      <c r="B15" s="8">
        <v>0.0</v>
      </c>
      <c r="C15" s="8">
        <v>6.0</v>
      </c>
      <c r="D15" s="8">
        <v>480.0</v>
      </c>
      <c r="E15" s="4">
        <v>960.0</v>
      </c>
      <c r="F15" s="8">
        <v>-480.0</v>
      </c>
      <c r="G15" s="172"/>
      <c r="I15" s="1" t="s">
        <v>2299</v>
      </c>
      <c r="N15" s="1" t="s">
        <v>2300</v>
      </c>
    </row>
    <row r="16">
      <c r="A16" s="172"/>
      <c r="B16" s="494"/>
      <c r="C16" s="8"/>
      <c r="D16" s="8"/>
      <c r="E16" s="8"/>
      <c r="F16" s="8"/>
      <c r="G16" s="8"/>
      <c r="N16" s="1" t="s">
        <v>2301</v>
      </c>
    </row>
    <row r="17">
      <c r="B17" s="495"/>
      <c r="C17" s="382"/>
      <c r="D17" s="382"/>
      <c r="E17" s="382"/>
      <c r="F17" s="382"/>
      <c r="G17" s="382"/>
      <c r="I17" s="1" t="s">
        <v>2302</v>
      </c>
      <c r="J17" s="1" t="s">
        <v>2303</v>
      </c>
    </row>
    <row r="18">
      <c r="B18" s="495"/>
      <c r="C18" s="379" t="s">
        <v>2304</v>
      </c>
      <c r="D18" s="382"/>
      <c r="E18" s="382"/>
      <c r="F18" s="382"/>
      <c r="G18" s="382"/>
      <c r="I18" s="1" t="s">
        <v>2305</v>
      </c>
      <c r="J18" s="1" t="s">
        <v>2306</v>
      </c>
      <c r="K18" s="1" t="s">
        <v>2307</v>
      </c>
      <c r="L18" s="1" t="s">
        <v>2308</v>
      </c>
    </row>
    <row r="19">
      <c r="B19" s="495"/>
      <c r="C19" s="379" t="s">
        <v>2309</v>
      </c>
      <c r="D19" s="382"/>
      <c r="E19" s="382"/>
      <c r="F19" s="382"/>
      <c r="G19" s="382"/>
    </row>
    <row r="20">
      <c r="B20" s="495"/>
      <c r="C20" s="382"/>
      <c r="D20" s="382"/>
      <c r="E20" s="382"/>
      <c r="F20" s="382"/>
      <c r="G20" s="382"/>
    </row>
    <row r="21">
      <c r="B21" s="1" t="s">
        <v>2310</v>
      </c>
      <c r="C21" s="379" t="s">
        <v>2311</v>
      </c>
      <c r="D21" s="382"/>
      <c r="E21" s="379" t="s">
        <v>2312</v>
      </c>
      <c r="F21" s="382"/>
      <c r="G21" s="382"/>
      <c r="I21" s="1" t="s">
        <v>2313</v>
      </c>
    </row>
    <row r="22">
      <c r="B22" s="496"/>
      <c r="C22" s="382"/>
      <c r="D22" s="382"/>
      <c r="E22" s="379" t="s">
        <v>2314</v>
      </c>
      <c r="F22" s="382"/>
      <c r="G22" s="382"/>
      <c r="I22" s="1" t="s">
        <v>2315</v>
      </c>
    </row>
    <row r="23">
      <c r="B23" s="495"/>
      <c r="C23" s="382"/>
      <c r="D23" s="382"/>
      <c r="E23" s="379" t="s">
        <v>2316</v>
      </c>
      <c r="F23" s="382"/>
      <c r="G23" s="382"/>
      <c r="I23" s="1" t="s">
        <v>2317</v>
      </c>
    </row>
    <row r="24">
      <c r="B24" s="495"/>
      <c r="C24" s="382"/>
      <c r="D24" s="382"/>
      <c r="E24" s="379" t="s">
        <v>2318</v>
      </c>
      <c r="F24" s="382"/>
      <c r="G24" s="382"/>
      <c r="I24" s="1" t="s">
        <v>2319</v>
      </c>
    </row>
    <row r="25">
      <c r="B25" s="495"/>
      <c r="C25" s="382"/>
      <c r="D25" s="382"/>
      <c r="E25" s="379" t="s">
        <v>2320</v>
      </c>
      <c r="F25" s="382"/>
      <c r="G25" s="379" t="s">
        <v>2321</v>
      </c>
    </row>
    <row r="26">
      <c r="B26" s="495"/>
      <c r="C26" s="382"/>
      <c r="D26" s="382"/>
      <c r="E26" s="379" t="s">
        <v>2322</v>
      </c>
      <c r="F26" s="382"/>
      <c r="G26" s="379" t="s">
        <v>2323</v>
      </c>
    </row>
    <row r="27">
      <c r="B27" s="495"/>
      <c r="C27" s="382"/>
      <c r="D27" s="379" t="s">
        <v>2324</v>
      </c>
      <c r="E27" s="379" t="s">
        <v>2325</v>
      </c>
      <c r="F27" s="382"/>
      <c r="G27" s="382"/>
    </row>
    <row r="28">
      <c r="B28" s="1" t="s">
        <v>2326</v>
      </c>
      <c r="C28" s="382"/>
      <c r="D28" s="379" t="s">
        <v>2327</v>
      </c>
      <c r="E28" s="379" t="s">
        <v>2328</v>
      </c>
      <c r="F28" s="382"/>
      <c r="G28" s="382"/>
      <c r="I28" s="1" t="s">
        <v>2329</v>
      </c>
      <c r="J28" s="1" t="s">
        <v>2310</v>
      </c>
    </row>
    <row r="29">
      <c r="B29" s="1" t="s">
        <v>2330</v>
      </c>
      <c r="C29" s="382"/>
      <c r="D29" s="379" t="s">
        <v>2331</v>
      </c>
      <c r="E29" s="379" t="s">
        <v>2332</v>
      </c>
      <c r="F29" s="382"/>
      <c r="G29" s="382"/>
      <c r="I29" s="1" t="s">
        <v>2048</v>
      </c>
      <c r="J29" s="1" t="s">
        <v>2333</v>
      </c>
    </row>
    <row r="30">
      <c r="B30" s="495"/>
      <c r="C30" s="382"/>
      <c r="D30" s="379" t="s">
        <v>2334</v>
      </c>
      <c r="E30" s="379" t="s">
        <v>2335</v>
      </c>
      <c r="F30" s="382"/>
      <c r="G30" s="382"/>
      <c r="I30" s="1" t="s">
        <v>2336</v>
      </c>
      <c r="J30" s="1" t="s">
        <v>2337</v>
      </c>
    </row>
    <row r="31">
      <c r="D31" s="1" t="s">
        <v>2338</v>
      </c>
      <c r="I31" s="1" t="s">
        <v>2339</v>
      </c>
      <c r="J31" s="1" t="s">
        <v>2340</v>
      </c>
    </row>
    <row r="32">
      <c r="D32" s="1" t="s">
        <v>2341</v>
      </c>
      <c r="E32" s="1" t="s">
        <v>2342</v>
      </c>
      <c r="I32" s="1" t="s">
        <v>2343</v>
      </c>
      <c r="J32" s="1" t="s">
        <v>2337</v>
      </c>
    </row>
    <row r="33">
      <c r="I33" s="1" t="s">
        <v>2344</v>
      </c>
      <c r="J33" s="1" t="s">
        <v>2345</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s>
  <sheetData>
    <row r="1">
      <c r="A1" s="6" t="s">
        <v>2346</v>
      </c>
      <c r="B1" s="6" t="s">
        <v>2347</v>
      </c>
      <c r="F1" s="108"/>
      <c r="G1" s="4"/>
      <c r="H1" s="108"/>
    </row>
    <row r="2">
      <c r="A2" s="4" t="s">
        <v>2348</v>
      </c>
      <c r="B2" s="4">
        <v>1000.0</v>
      </c>
      <c r="F2" s="108"/>
      <c r="G2" s="108"/>
      <c r="H2" s="108"/>
    </row>
    <row r="3">
      <c r="A3" s="4" t="s">
        <v>2349</v>
      </c>
      <c r="B3" s="4">
        <v>18.0</v>
      </c>
      <c r="F3" s="108"/>
      <c r="G3" s="108"/>
      <c r="H3" s="108"/>
    </row>
    <row r="4">
      <c r="A4" s="4" t="s">
        <v>2350</v>
      </c>
      <c r="B4" s="4">
        <v>18.0</v>
      </c>
      <c r="F4" s="108"/>
      <c r="G4" s="108"/>
      <c r="H4" s="108"/>
    </row>
    <row r="5">
      <c r="A5" s="4" t="s">
        <v>2351</v>
      </c>
      <c r="B5" s="4">
        <v>3.0</v>
      </c>
      <c r="F5" s="108"/>
      <c r="G5" s="108"/>
      <c r="H5" s="108"/>
    </row>
    <row r="6">
      <c r="A6" s="1" t="s">
        <v>2352</v>
      </c>
      <c r="B6" s="110">
        <v>327.52</v>
      </c>
      <c r="F6" s="108"/>
      <c r="G6" s="108"/>
      <c r="H6" s="108"/>
    </row>
    <row r="7">
      <c r="A7" s="1" t="s">
        <v>2353</v>
      </c>
      <c r="B7" s="110">
        <v>304.37</v>
      </c>
      <c r="F7" s="108"/>
      <c r="G7" s="108"/>
      <c r="H7" s="108"/>
    </row>
    <row r="8">
      <c r="A8" s="1" t="s">
        <v>2354</v>
      </c>
      <c r="B8" s="4">
        <v>7.0</v>
      </c>
      <c r="C8" s="1" t="s">
        <v>2355</v>
      </c>
      <c r="F8" s="108"/>
      <c r="G8" s="108"/>
      <c r="H8" s="108"/>
    </row>
    <row r="9">
      <c r="A9" s="1" t="s">
        <v>2356</v>
      </c>
      <c r="B9" s="4">
        <v>8.0</v>
      </c>
      <c r="C9" s="1" t="s">
        <v>2357</v>
      </c>
      <c r="F9" s="108"/>
      <c r="G9" s="108"/>
      <c r="H9" s="108"/>
    </row>
    <row r="10">
      <c r="A10" s="1" t="s">
        <v>2358</v>
      </c>
      <c r="B10" s="4">
        <v>20.0</v>
      </c>
      <c r="F10" s="108"/>
      <c r="G10" s="108"/>
      <c r="H10" s="108"/>
    </row>
    <row r="11">
      <c r="A11" s="1" t="s">
        <v>2359</v>
      </c>
      <c r="B11" s="4">
        <v>80.0</v>
      </c>
      <c r="F11" s="497"/>
      <c r="G11" s="497"/>
      <c r="H11" s="497"/>
    </row>
    <row r="12">
      <c r="A12" s="1" t="s">
        <v>2360</v>
      </c>
      <c r="B12" s="498">
        <v>0.435</v>
      </c>
      <c r="F12" s="497"/>
      <c r="G12" s="497"/>
      <c r="H12" s="497"/>
    </row>
    <row r="13">
      <c r="F13" s="497"/>
      <c r="G13" s="497"/>
      <c r="H13" s="497"/>
    </row>
    <row r="14">
      <c r="F14" s="497"/>
      <c r="G14" s="497"/>
      <c r="H14" s="497"/>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9" t="s">
        <v>2361</v>
      </c>
      <c r="B1" s="499" t="s">
        <v>2362</v>
      </c>
      <c r="C1" s="499" t="s">
        <v>2363</v>
      </c>
      <c r="D1" s="499" t="s">
        <v>2364</v>
      </c>
      <c r="E1" s="499" t="s">
        <v>2365</v>
      </c>
      <c r="F1" s="499" t="s">
        <v>2366</v>
      </c>
      <c r="G1" s="500" t="s">
        <v>2367</v>
      </c>
      <c r="H1" s="499" t="s">
        <v>2368</v>
      </c>
      <c r="I1" s="500" t="s">
        <v>2367</v>
      </c>
      <c r="J1" s="499" t="s">
        <v>885</v>
      </c>
    </row>
    <row r="2">
      <c r="A2" s="501">
        <v>1.0</v>
      </c>
      <c r="B2" s="502" t="s">
        <v>2</v>
      </c>
      <c r="C2" s="503">
        <v>0.263</v>
      </c>
      <c r="D2" s="502">
        <v>21.4</v>
      </c>
      <c r="E2" s="503">
        <v>6.0E-4</v>
      </c>
      <c r="F2" s="502">
        <v>1.2059</v>
      </c>
      <c r="G2" s="504">
        <f t="shared" ref="G2:G21" si="1">F2*8.3454</f>
        <v>10.06371786</v>
      </c>
      <c r="H2" s="502">
        <v>1.2099</v>
      </c>
      <c r="I2" s="504">
        <f t="shared" ref="I2:I16" si="2">H2*8.3454</f>
        <v>10.09709946</v>
      </c>
      <c r="J2" s="505">
        <v>2.9</v>
      </c>
    </row>
    <row r="3">
      <c r="A3" s="501">
        <v>2.0</v>
      </c>
      <c r="B3" s="502" t="s">
        <v>1367</v>
      </c>
      <c r="C3" s="503">
        <v>0.264</v>
      </c>
      <c r="D3" s="502">
        <v>23.9</v>
      </c>
      <c r="E3" s="506">
        <v>0.0017</v>
      </c>
      <c r="F3" s="502">
        <v>1.2053</v>
      </c>
      <c r="G3" s="504">
        <f t="shared" si="1"/>
        <v>10.05871062</v>
      </c>
      <c r="H3" s="502">
        <v>1.2118</v>
      </c>
      <c r="I3" s="504">
        <f t="shared" si="2"/>
        <v>10.11295572</v>
      </c>
      <c r="J3" s="505">
        <v>2.9</v>
      </c>
    </row>
    <row r="4">
      <c r="A4" s="501">
        <v>3.0</v>
      </c>
      <c r="B4" s="502" t="s">
        <v>1370</v>
      </c>
      <c r="C4" s="503">
        <v>0.248</v>
      </c>
      <c r="D4" s="502">
        <v>19.5</v>
      </c>
      <c r="E4" s="503">
        <v>8.0E-4</v>
      </c>
      <c r="F4" s="502">
        <v>1.2034</v>
      </c>
      <c r="G4" s="504">
        <f t="shared" si="1"/>
        <v>10.04285436</v>
      </c>
      <c r="H4" s="502">
        <v>1.2066</v>
      </c>
      <c r="I4" s="504">
        <f t="shared" si="2"/>
        <v>10.06955964</v>
      </c>
      <c r="J4" s="505">
        <v>2.8</v>
      </c>
    </row>
    <row r="5">
      <c r="A5" s="4">
        <v>4.0</v>
      </c>
      <c r="B5" s="4" t="s">
        <v>1373</v>
      </c>
      <c r="C5" s="498">
        <v>0.234</v>
      </c>
      <c r="D5" s="4">
        <v>24.9</v>
      </c>
      <c r="E5" s="498">
        <v>0.0011</v>
      </c>
      <c r="F5" s="4">
        <v>1.2106</v>
      </c>
      <c r="G5" s="504">
        <f t="shared" si="1"/>
        <v>10.10294124</v>
      </c>
      <c r="H5" s="4">
        <v>1.2138</v>
      </c>
      <c r="I5" s="504">
        <f t="shared" si="2"/>
        <v>10.12964652</v>
      </c>
      <c r="J5" s="507">
        <v>3.0</v>
      </c>
      <c r="K5" s="172"/>
      <c r="L5" s="172"/>
      <c r="M5" s="172"/>
      <c r="N5" s="172"/>
      <c r="O5" s="172"/>
      <c r="P5" s="172"/>
      <c r="Q5" s="172"/>
      <c r="R5" s="172"/>
      <c r="S5" s="172"/>
      <c r="T5" s="172"/>
      <c r="U5" s="172"/>
      <c r="V5" s="172"/>
      <c r="W5" s="172"/>
      <c r="X5" s="172"/>
      <c r="Y5" s="172"/>
      <c r="Z5" s="172"/>
      <c r="AA5" s="172"/>
    </row>
    <row r="6">
      <c r="A6" s="4">
        <v>5.0</v>
      </c>
      <c r="B6" s="4" t="s">
        <v>1378</v>
      </c>
      <c r="C6" s="498">
        <v>0.246</v>
      </c>
      <c r="D6" s="4">
        <v>22.3</v>
      </c>
      <c r="E6" s="4">
        <v>0.08</v>
      </c>
      <c r="F6" s="4">
        <v>1.2061</v>
      </c>
      <c r="G6" s="504">
        <f t="shared" si="1"/>
        <v>10.06538694</v>
      </c>
      <c r="H6" s="4">
        <v>1.2102</v>
      </c>
      <c r="I6" s="504">
        <f t="shared" si="2"/>
        <v>10.09960308</v>
      </c>
      <c r="J6" s="4">
        <v>3.1</v>
      </c>
      <c r="K6" s="172"/>
      <c r="L6" s="172"/>
      <c r="M6" s="172"/>
      <c r="N6" s="172"/>
      <c r="O6" s="172"/>
      <c r="P6" s="172"/>
      <c r="Q6" s="172"/>
      <c r="R6" s="172"/>
      <c r="S6" s="172"/>
      <c r="T6" s="172"/>
      <c r="U6" s="172"/>
      <c r="V6" s="172"/>
      <c r="W6" s="172"/>
      <c r="X6" s="172"/>
      <c r="Y6" s="172"/>
      <c r="Z6" s="172"/>
      <c r="AA6" s="172"/>
    </row>
    <row r="7">
      <c r="A7" s="4">
        <v>6.0</v>
      </c>
      <c r="B7" s="4" t="s">
        <v>1376</v>
      </c>
      <c r="C7" s="498">
        <v>0.259</v>
      </c>
      <c r="D7" s="4">
        <v>19.3</v>
      </c>
      <c r="E7" s="498">
        <v>4.0E-4</v>
      </c>
      <c r="F7" s="4">
        <v>1.1995</v>
      </c>
      <c r="G7" s="504">
        <f t="shared" si="1"/>
        <v>10.0103073</v>
      </c>
      <c r="H7" s="4">
        <v>1.2037</v>
      </c>
      <c r="I7" s="504">
        <f t="shared" si="2"/>
        <v>10.04535798</v>
      </c>
      <c r="J7" s="4">
        <v>2.7</v>
      </c>
    </row>
    <row r="8">
      <c r="A8" s="4">
        <v>7.0</v>
      </c>
      <c r="B8" s="4" t="s">
        <v>1381</v>
      </c>
      <c r="C8" s="498">
        <v>0.215</v>
      </c>
      <c r="D8" s="4">
        <v>30.2</v>
      </c>
      <c r="E8" s="498">
        <v>8.0E-4</v>
      </c>
      <c r="F8" s="4">
        <v>1.2231</v>
      </c>
      <c r="G8" s="504">
        <f t="shared" si="1"/>
        <v>10.20725874</v>
      </c>
      <c r="H8" s="4">
        <v>1.2268</v>
      </c>
      <c r="I8" s="504">
        <f t="shared" si="2"/>
        <v>10.23813672</v>
      </c>
      <c r="J8" s="4">
        <v>2.7</v>
      </c>
    </row>
    <row r="9">
      <c r="A9" s="4">
        <v>8.0</v>
      </c>
      <c r="B9" s="4" t="s">
        <v>1384</v>
      </c>
      <c r="C9" s="498">
        <v>0.228</v>
      </c>
      <c r="D9" s="4">
        <v>33.5</v>
      </c>
      <c r="E9" s="498">
        <v>9.0E-4</v>
      </c>
      <c r="F9" s="4">
        <v>1.2256</v>
      </c>
      <c r="G9" s="504">
        <f t="shared" si="1"/>
        <v>10.22812224</v>
      </c>
      <c r="H9" s="4">
        <v>1.2298</v>
      </c>
      <c r="I9" s="504">
        <f t="shared" si="2"/>
        <v>10.26317292</v>
      </c>
      <c r="J9" s="4">
        <v>2.8</v>
      </c>
    </row>
    <row r="10">
      <c r="A10" s="4">
        <v>9.0</v>
      </c>
      <c r="B10" s="4" t="s">
        <v>1386</v>
      </c>
      <c r="C10" s="498">
        <v>0.228</v>
      </c>
      <c r="D10" s="4">
        <v>33.5</v>
      </c>
      <c r="E10" s="498">
        <v>9.0E-4</v>
      </c>
      <c r="F10" s="4">
        <v>1.2256</v>
      </c>
      <c r="G10" s="504">
        <f t="shared" si="1"/>
        <v>10.22812224</v>
      </c>
      <c r="H10" s="4">
        <v>1.2298</v>
      </c>
      <c r="I10" s="504">
        <f t="shared" si="2"/>
        <v>10.26317292</v>
      </c>
      <c r="J10" s="4">
        <v>2.8</v>
      </c>
    </row>
    <row r="11">
      <c r="A11" s="4">
        <v>10.0</v>
      </c>
      <c r="B11" s="4" t="s">
        <v>1389</v>
      </c>
      <c r="C11" s="498">
        <v>0.224</v>
      </c>
      <c r="D11" s="4">
        <v>27.5</v>
      </c>
      <c r="E11" s="498">
        <v>8.0E-4</v>
      </c>
      <c r="F11" s="4">
        <v>1.2151</v>
      </c>
      <c r="G11" s="504">
        <f t="shared" si="1"/>
        <v>10.14049554</v>
      </c>
      <c r="H11" s="4">
        <v>1.2186</v>
      </c>
      <c r="I11" s="504">
        <f t="shared" si="2"/>
        <v>10.16970444</v>
      </c>
      <c r="J11" s="4">
        <v>2.8</v>
      </c>
    </row>
    <row r="12">
      <c r="A12" s="4">
        <v>11.0</v>
      </c>
      <c r="B12" s="4" t="s">
        <v>1391</v>
      </c>
      <c r="C12" s="498">
        <v>0.224</v>
      </c>
      <c r="D12" s="4">
        <v>27.5</v>
      </c>
      <c r="E12" s="498">
        <v>8.0E-4</v>
      </c>
      <c r="F12" s="4">
        <v>1.2151</v>
      </c>
      <c r="G12" s="504">
        <f t="shared" si="1"/>
        <v>10.14049554</v>
      </c>
      <c r="H12" s="4">
        <v>1.2186</v>
      </c>
      <c r="I12" s="504">
        <f t="shared" si="2"/>
        <v>10.16970444</v>
      </c>
      <c r="J12" s="4">
        <v>2.8</v>
      </c>
    </row>
    <row r="13">
      <c r="A13" s="4">
        <v>12.0</v>
      </c>
      <c r="B13" s="4" t="s">
        <v>1394</v>
      </c>
      <c r="C13" s="498">
        <v>0.229</v>
      </c>
      <c r="D13" s="4">
        <v>25.8</v>
      </c>
      <c r="E13" s="498">
        <v>0.0012</v>
      </c>
      <c r="F13" s="4">
        <v>1.2092</v>
      </c>
      <c r="G13" s="504">
        <f t="shared" si="1"/>
        <v>10.09125768</v>
      </c>
      <c r="H13" s="4">
        <v>1.2132</v>
      </c>
      <c r="I13" s="504">
        <f t="shared" si="2"/>
        <v>10.12463928</v>
      </c>
      <c r="J13" s="4">
        <v>2.9</v>
      </c>
    </row>
    <row r="14">
      <c r="A14" s="4">
        <v>13.0</v>
      </c>
      <c r="B14" s="4" t="s">
        <v>1396</v>
      </c>
      <c r="C14" s="498">
        <v>0.222</v>
      </c>
      <c r="D14" s="4">
        <v>31.3</v>
      </c>
      <c r="E14" s="498">
        <v>0.001</v>
      </c>
      <c r="F14" s="4">
        <v>1.2187</v>
      </c>
      <c r="G14" s="504">
        <f t="shared" si="1"/>
        <v>10.17053898</v>
      </c>
      <c r="H14" s="4">
        <v>1.2223</v>
      </c>
      <c r="I14" s="504">
        <f t="shared" si="2"/>
        <v>10.20058242</v>
      </c>
      <c r="J14" s="4">
        <v>2.9</v>
      </c>
    </row>
    <row r="15">
      <c r="A15" s="4">
        <v>14.0</v>
      </c>
      <c r="B15" s="4" t="s">
        <v>1397</v>
      </c>
      <c r="C15" s="498">
        <v>0.22</v>
      </c>
      <c r="D15" s="4">
        <v>35.4</v>
      </c>
      <c r="E15" s="4">
        <v>0.16</v>
      </c>
      <c r="F15" s="4">
        <v>1.2243</v>
      </c>
      <c r="G15" s="504">
        <f t="shared" si="1"/>
        <v>10.21727322</v>
      </c>
      <c r="H15" s="4">
        <v>1.2287</v>
      </c>
      <c r="I15" s="504">
        <f t="shared" si="2"/>
        <v>10.25399298</v>
      </c>
      <c r="J15" s="4">
        <v>2.8</v>
      </c>
    </row>
    <row r="16">
      <c r="A16" s="4">
        <v>15.0</v>
      </c>
      <c r="B16" s="4" t="s">
        <v>1398</v>
      </c>
      <c r="C16" s="498">
        <v>0.22</v>
      </c>
      <c r="D16" s="4">
        <v>35.4</v>
      </c>
      <c r="E16" s="4">
        <v>0.16</v>
      </c>
      <c r="F16" s="4">
        <v>1.2243</v>
      </c>
      <c r="G16" s="504">
        <f t="shared" si="1"/>
        <v>10.21727322</v>
      </c>
      <c r="H16" s="4">
        <v>1.2287</v>
      </c>
      <c r="I16" s="504">
        <f t="shared" si="2"/>
        <v>10.25399298</v>
      </c>
      <c r="J16" s="4">
        <v>2.8</v>
      </c>
    </row>
    <row r="17">
      <c r="A17" s="4">
        <v>16.0</v>
      </c>
      <c r="B17" s="4" t="s">
        <v>1403</v>
      </c>
      <c r="C17" s="498">
        <v>0.222</v>
      </c>
      <c r="D17" s="4">
        <v>38.5</v>
      </c>
      <c r="E17" s="498">
        <v>0.0015</v>
      </c>
      <c r="F17" s="4">
        <v>1.221</v>
      </c>
      <c r="G17" s="504">
        <f t="shared" si="1"/>
        <v>10.1897334</v>
      </c>
      <c r="H17" s="172"/>
      <c r="I17" s="367"/>
      <c r="J17" s="4">
        <v>2.9</v>
      </c>
    </row>
    <row r="18">
      <c r="A18" s="4">
        <v>17.0</v>
      </c>
      <c r="B18" s="4" t="s">
        <v>1400</v>
      </c>
      <c r="C18" s="498">
        <v>0.224</v>
      </c>
      <c r="D18" s="4">
        <v>26.5</v>
      </c>
      <c r="E18" s="498">
        <v>9.0E-4</v>
      </c>
      <c r="F18" s="4">
        <v>1.2136</v>
      </c>
      <c r="G18" s="504">
        <f t="shared" si="1"/>
        <v>10.12797744</v>
      </c>
      <c r="H18" s="172"/>
      <c r="I18" s="367"/>
      <c r="J18" s="4">
        <v>2.8</v>
      </c>
    </row>
    <row r="19">
      <c r="A19" s="4">
        <v>18.0</v>
      </c>
      <c r="B19" s="4" t="s">
        <v>1406</v>
      </c>
      <c r="C19" s="498">
        <v>0.224</v>
      </c>
      <c r="D19" s="4">
        <v>26.5</v>
      </c>
      <c r="E19" s="498">
        <v>9.0E-4</v>
      </c>
      <c r="F19" s="4">
        <v>1.2136</v>
      </c>
      <c r="G19" s="504">
        <f t="shared" si="1"/>
        <v>10.12797744</v>
      </c>
      <c r="H19" s="172"/>
      <c r="I19" s="367"/>
      <c r="J19" s="4">
        <v>2.8</v>
      </c>
    </row>
    <row r="20">
      <c r="A20" s="4">
        <v>19.0</v>
      </c>
      <c r="B20" s="4" t="s">
        <v>1408</v>
      </c>
      <c r="C20" s="498">
        <v>0.214</v>
      </c>
      <c r="D20" s="4">
        <v>31.0</v>
      </c>
      <c r="E20" s="498">
        <v>8.0E-4</v>
      </c>
      <c r="F20" s="4">
        <v>1.2187</v>
      </c>
      <c r="G20" s="504">
        <f t="shared" si="1"/>
        <v>10.17053898</v>
      </c>
      <c r="H20" s="172"/>
      <c r="I20" s="367"/>
      <c r="J20" s="4">
        <v>2.8</v>
      </c>
    </row>
    <row r="21">
      <c r="A21" s="4">
        <v>20.0</v>
      </c>
      <c r="B21" s="4" t="s">
        <v>1411</v>
      </c>
      <c r="C21" s="498">
        <v>0.214</v>
      </c>
      <c r="D21" s="4">
        <v>31.0</v>
      </c>
      <c r="E21" s="498">
        <v>8.0E-4</v>
      </c>
      <c r="F21" s="4">
        <v>1.2187</v>
      </c>
      <c r="G21" s="504">
        <f t="shared" si="1"/>
        <v>10.17053898</v>
      </c>
      <c r="H21" s="172"/>
      <c r="I21" s="367"/>
      <c r="J21" s="4">
        <v>2.8</v>
      </c>
    </row>
    <row r="22">
      <c r="A22" s="4">
        <v>21.0</v>
      </c>
      <c r="B22" s="172"/>
      <c r="C22" s="172"/>
      <c r="D22" s="172"/>
      <c r="E22" s="172"/>
      <c r="F22" s="172"/>
      <c r="G22" s="504"/>
      <c r="H22" s="172"/>
      <c r="I22" s="367"/>
      <c r="J22" s="172"/>
    </row>
    <row r="23">
      <c r="A23" s="4">
        <v>22.0</v>
      </c>
      <c r="B23" s="4" t="s">
        <v>1416</v>
      </c>
      <c r="C23" s="498">
        <v>0.225</v>
      </c>
      <c r="D23" s="4">
        <v>30.6</v>
      </c>
      <c r="E23" s="498">
        <v>6.0E-4</v>
      </c>
      <c r="F23" s="4">
        <v>1.2166</v>
      </c>
      <c r="G23" s="504">
        <f t="shared" ref="G23:G25" si="3">F23*8.3454</f>
        <v>10.15301364</v>
      </c>
      <c r="H23" s="172"/>
      <c r="I23" s="367"/>
      <c r="J23" s="4">
        <v>2.7</v>
      </c>
    </row>
    <row r="24">
      <c r="A24" s="4">
        <v>23.0</v>
      </c>
      <c r="B24" s="4" t="s">
        <v>1418</v>
      </c>
      <c r="C24" s="498">
        <v>0.225</v>
      </c>
      <c r="D24" s="4">
        <v>30.6</v>
      </c>
      <c r="E24" s="498">
        <v>6.0E-4</v>
      </c>
      <c r="F24" s="4">
        <v>1.2166</v>
      </c>
      <c r="G24" s="504">
        <f t="shared" si="3"/>
        <v>10.15301364</v>
      </c>
      <c r="H24" s="172"/>
      <c r="I24" s="367"/>
      <c r="J24" s="4">
        <v>2.7</v>
      </c>
    </row>
    <row r="25">
      <c r="A25" s="4">
        <v>24.0</v>
      </c>
      <c r="B25" s="4" t="s">
        <v>1420</v>
      </c>
      <c r="C25" s="498">
        <v>0.225</v>
      </c>
      <c r="D25" s="4">
        <v>30.6</v>
      </c>
      <c r="E25" s="498">
        <v>6.0E-4</v>
      </c>
      <c r="F25" s="4">
        <v>1.2166</v>
      </c>
      <c r="G25" s="504">
        <f t="shared" si="3"/>
        <v>10.15301364</v>
      </c>
      <c r="H25" s="172"/>
      <c r="I25" s="367"/>
      <c r="J25" s="4">
        <v>2.7</v>
      </c>
    </row>
    <row r="26">
      <c r="A26" s="4">
        <v>25.0</v>
      </c>
      <c r="B26" s="4" t="s">
        <v>1422</v>
      </c>
      <c r="C26" s="172"/>
      <c r="D26" s="172"/>
      <c r="E26" s="172"/>
      <c r="F26" s="172"/>
      <c r="G26" s="504"/>
      <c r="H26" s="172"/>
      <c r="I26" s="367"/>
      <c r="J26" s="172"/>
    </row>
    <row r="27">
      <c r="A27" s="4">
        <v>26.0</v>
      </c>
      <c r="B27" s="4" t="s">
        <v>1424</v>
      </c>
      <c r="C27" s="498">
        <v>0.246</v>
      </c>
      <c r="D27" s="4">
        <v>27.0</v>
      </c>
      <c r="E27" s="498">
        <v>8.0E-4</v>
      </c>
      <c r="F27" s="4">
        <v>1.2071</v>
      </c>
      <c r="G27" s="504">
        <f t="shared" ref="G27:G29" si="4">F27*8.3454</f>
        <v>10.07373234</v>
      </c>
      <c r="H27" s="172"/>
      <c r="I27" s="367"/>
      <c r="J27" s="4">
        <v>2.8</v>
      </c>
    </row>
    <row r="28">
      <c r="A28" s="4">
        <v>27.0</v>
      </c>
      <c r="B28" s="4" t="s">
        <v>1426</v>
      </c>
      <c r="C28" s="498">
        <v>0.232</v>
      </c>
      <c r="D28" s="4">
        <v>32.7</v>
      </c>
      <c r="E28" s="498">
        <v>9.0E-4</v>
      </c>
      <c r="F28" s="4">
        <v>1.2156</v>
      </c>
      <c r="G28" s="504">
        <f t="shared" si="4"/>
        <v>10.14466824</v>
      </c>
      <c r="H28" s="172"/>
      <c r="I28" s="367"/>
      <c r="J28" s="4">
        <v>2.9</v>
      </c>
    </row>
    <row r="29">
      <c r="A29" s="4">
        <v>28.0</v>
      </c>
      <c r="B29" s="4" t="s">
        <v>1428</v>
      </c>
      <c r="C29" s="498">
        <v>0.228</v>
      </c>
      <c r="D29" s="4">
        <v>32.4</v>
      </c>
      <c r="E29" s="498">
        <v>0.0011</v>
      </c>
      <c r="F29" s="4">
        <v>1.2164</v>
      </c>
      <c r="G29" s="504">
        <f t="shared" si="4"/>
        <v>10.15134456</v>
      </c>
      <c r="H29" s="172"/>
      <c r="I29" s="367"/>
      <c r="J29" s="4">
        <v>2.9</v>
      </c>
    </row>
    <row r="30">
      <c r="A30" s="4">
        <v>29.0</v>
      </c>
      <c r="B30" s="4" t="s">
        <v>1429</v>
      </c>
      <c r="C30" s="172"/>
      <c r="D30" s="172"/>
      <c r="E30" s="172"/>
      <c r="F30" s="172"/>
      <c r="G30" s="367"/>
      <c r="H30" s="172"/>
      <c r="I30" s="367"/>
      <c r="J30" s="172"/>
    </row>
    <row r="31">
      <c r="A31" s="4">
        <v>30.0</v>
      </c>
      <c r="B31" s="4" t="s">
        <v>1432</v>
      </c>
      <c r="C31" s="172"/>
      <c r="D31" s="172"/>
      <c r="E31" s="172"/>
      <c r="F31" s="172"/>
      <c r="G31" s="367"/>
      <c r="H31" s="172"/>
      <c r="I31" s="367"/>
      <c r="J31" s="172"/>
    </row>
    <row r="32">
      <c r="A32" s="4">
        <v>31.0</v>
      </c>
      <c r="B32" s="4" t="s">
        <v>1434</v>
      </c>
      <c r="C32" s="172"/>
      <c r="D32" s="172"/>
      <c r="E32" s="172"/>
      <c r="F32" s="172"/>
      <c r="G32" s="367"/>
      <c r="H32" s="172"/>
      <c r="I32" s="367"/>
      <c r="J32" s="172"/>
    </row>
    <row r="33">
      <c r="A33" s="4">
        <v>32.0</v>
      </c>
      <c r="B33" s="4" t="s">
        <v>2369</v>
      </c>
      <c r="C33" s="172"/>
      <c r="D33" s="172"/>
      <c r="E33" s="172"/>
      <c r="F33" s="172"/>
      <c r="G33" s="367"/>
      <c r="H33" s="172"/>
      <c r="I33" s="367"/>
      <c r="J33" s="172"/>
    </row>
    <row r="34">
      <c r="A34" s="172"/>
      <c r="B34" s="172"/>
      <c r="C34" s="172"/>
      <c r="D34" s="172"/>
      <c r="E34" s="172"/>
      <c r="F34" s="172"/>
      <c r="G34" s="367"/>
      <c r="H34" s="172"/>
      <c r="I34" s="367"/>
      <c r="J34" s="172"/>
    </row>
    <row r="35">
      <c r="A35" s="172"/>
      <c r="B35" s="172"/>
      <c r="C35" s="172"/>
      <c r="D35" s="172"/>
      <c r="E35" s="172"/>
      <c r="F35" s="172"/>
      <c r="G35" s="367"/>
      <c r="H35" s="172"/>
      <c r="I35" s="367"/>
      <c r="J35" s="172"/>
    </row>
    <row r="36">
      <c r="A36" s="172"/>
      <c r="B36" s="172"/>
      <c r="C36" s="172"/>
      <c r="D36" s="172"/>
      <c r="E36" s="172"/>
      <c r="F36" s="172"/>
      <c r="G36" s="367"/>
      <c r="H36" s="172"/>
      <c r="I36" s="367"/>
      <c r="J36" s="172"/>
    </row>
    <row r="37">
      <c r="A37" s="172"/>
      <c r="B37" s="172"/>
      <c r="C37" s="172"/>
      <c r="D37" s="172"/>
      <c r="E37" s="172"/>
      <c r="F37" s="172"/>
      <c r="G37" s="367"/>
      <c r="H37" s="172"/>
      <c r="I37" s="367"/>
      <c r="J37" s="172"/>
    </row>
    <row r="38">
      <c r="A38" s="172"/>
      <c r="B38" s="172"/>
      <c r="C38" s="172"/>
      <c r="D38" s="172"/>
      <c r="E38" s="172"/>
      <c r="F38" s="172"/>
      <c r="G38" s="367"/>
      <c r="H38" s="172"/>
      <c r="I38" s="367"/>
      <c r="J38" s="172"/>
    </row>
    <row r="39">
      <c r="A39" s="172"/>
      <c r="B39" s="172"/>
      <c r="C39" s="172"/>
      <c r="D39" s="172"/>
      <c r="E39" s="172"/>
      <c r="F39" s="172"/>
      <c r="G39" s="367"/>
      <c r="H39" s="172"/>
      <c r="I39" s="367"/>
      <c r="J39" s="172"/>
    </row>
    <row r="40">
      <c r="A40" s="172"/>
      <c r="B40" s="172"/>
      <c r="C40" s="172"/>
      <c r="D40" s="172"/>
      <c r="E40" s="172"/>
      <c r="F40" s="172"/>
      <c r="G40" s="367"/>
      <c r="H40" s="172"/>
      <c r="I40" s="367"/>
      <c r="J40" s="172"/>
    </row>
    <row r="41">
      <c r="A41" s="172"/>
      <c r="B41" s="172"/>
      <c r="C41" s="172"/>
      <c r="D41" s="172"/>
      <c r="E41" s="172"/>
      <c r="F41" s="172"/>
      <c r="G41" s="367"/>
      <c r="H41" s="172"/>
      <c r="I41" s="367"/>
      <c r="J41" s="172"/>
    </row>
    <row r="42">
      <c r="A42" s="172"/>
      <c r="B42" s="172"/>
      <c r="C42" s="172"/>
      <c r="D42" s="172"/>
      <c r="E42" s="172"/>
      <c r="F42" s="172"/>
      <c r="G42" s="367"/>
      <c r="H42" s="172"/>
      <c r="I42" s="367"/>
      <c r="J42" s="172"/>
    </row>
    <row r="43">
      <c r="A43" s="172"/>
      <c r="B43" s="172"/>
      <c r="C43" s="172"/>
      <c r="D43" s="172"/>
      <c r="E43" s="172"/>
      <c r="F43" s="172"/>
      <c r="G43" s="367"/>
      <c r="H43" s="172"/>
      <c r="I43" s="367"/>
      <c r="J43" s="172"/>
    </row>
    <row r="44">
      <c r="A44" s="172"/>
      <c r="B44" s="172"/>
      <c r="C44" s="172"/>
      <c r="D44" s="172"/>
      <c r="E44" s="172"/>
      <c r="F44" s="172"/>
      <c r="G44" s="367"/>
      <c r="H44" s="172"/>
      <c r="I44" s="367"/>
      <c r="J44" s="172"/>
    </row>
    <row r="45">
      <c r="A45" s="172"/>
      <c r="B45" s="172"/>
      <c r="C45" s="172"/>
      <c r="D45" s="172"/>
      <c r="E45" s="172"/>
      <c r="F45" s="172"/>
      <c r="G45" s="367"/>
      <c r="H45" s="172"/>
      <c r="I45" s="367"/>
      <c r="J45" s="172"/>
    </row>
    <row r="46">
      <c r="A46" s="172"/>
      <c r="B46" s="172"/>
      <c r="C46" s="172"/>
      <c r="D46" s="172"/>
      <c r="E46" s="172"/>
      <c r="F46" s="172"/>
      <c r="G46" s="367"/>
      <c r="H46" s="172"/>
      <c r="I46" s="367"/>
      <c r="J46" s="172"/>
    </row>
    <row r="47">
      <c r="A47" s="172"/>
      <c r="B47" s="172"/>
      <c r="C47" s="172"/>
      <c r="D47" s="172"/>
      <c r="E47" s="172"/>
      <c r="F47" s="172"/>
      <c r="G47" s="367"/>
      <c r="H47" s="172"/>
      <c r="I47" s="367"/>
      <c r="J47" s="172"/>
    </row>
    <row r="48">
      <c r="A48" s="172"/>
      <c r="B48" s="172"/>
      <c r="C48" s="172"/>
      <c r="D48" s="172"/>
      <c r="E48" s="172"/>
      <c r="F48" s="172"/>
      <c r="G48" s="367"/>
      <c r="H48" s="172"/>
      <c r="I48" s="367"/>
      <c r="J48" s="172"/>
    </row>
    <row r="49">
      <c r="A49" s="172"/>
      <c r="B49" s="172"/>
      <c r="C49" s="172"/>
      <c r="D49" s="172"/>
      <c r="E49" s="172"/>
      <c r="F49" s="172"/>
      <c r="G49" s="367"/>
      <c r="H49" s="172"/>
      <c r="I49" s="367"/>
      <c r="J49" s="172"/>
    </row>
    <row r="50">
      <c r="A50" s="172"/>
      <c r="B50" s="172"/>
      <c r="C50" s="172"/>
      <c r="D50" s="172"/>
      <c r="E50" s="172"/>
      <c r="F50" s="172"/>
      <c r="G50" s="367"/>
      <c r="H50" s="172"/>
      <c r="I50" s="367"/>
      <c r="J50" s="172"/>
    </row>
    <row r="51">
      <c r="A51" s="172"/>
      <c r="B51" s="172"/>
      <c r="C51" s="172"/>
      <c r="D51" s="172"/>
      <c r="E51" s="172"/>
      <c r="F51" s="172"/>
      <c r="G51" s="367"/>
      <c r="H51" s="172"/>
      <c r="I51" s="367"/>
      <c r="J51" s="172"/>
    </row>
    <row r="52">
      <c r="A52" s="172"/>
      <c r="B52" s="172"/>
      <c r="C52" s="172"/>
      <c r="D52" s="172"/>
      <c r="E52" s="172"/>
      <c r="F52" s="172"/>
      <c r="G52" s="367"/>
      <c r="H52" s="172"/>
      <c r="I52" s="367"/>
      <c r="J52" s="172"/>
    </row>
    <row r="53">
      <c r="A53" s="172"/>
      <c r="B53" s="172"/>
      <c r="C53" s="172"/>
      <c r="D53" s="172"/>
      <c r="E53" s="172"/>
      <c r="F53" s="172"/>
      <c r="G53" s="367"/>
      <c r="H53" s="172"/>
      <c r="I53" s="367"/>
      <c r="J53" s="172"/>
    </row>
    <row r="54">
      <c r="A54" s="172"/>
      <c r="B54" s="172"/>
      <c r="C54" s="172"/>
      <c r="D54" s="172"/>
      <c r="E54" s="172"/>
      <c r="F54" s="172"/>
      <c r="G54" s="367"/>
      <c r="H54" s="172"/>
      <c r="I54" s="367"/>
      <c r="J54" s="172"/>
    </row>
    <row r="55">
      <c r="A55" s="172"/>
      <c r="B55" s="172"/>
      <c r="C55" s="172"/>
      <c r="D55" s="172"/>
      <c r="E55" s="172"/>
      <c r="F55" s="172"/>
      <c r="G55" s="367"/>
      <c r="H55" s="172"/>
      <c r="I55" s="367"/>
      <c r="J55" s="172"/>
    </row>
    <row r="56">
      <c r="A56" s="172"/>
      <c r="B56" s="172"/>
      <c r="C56" s="172"/>
      <c r="D56" s="172"/>
      <c r="E56" s="172"/>
      <c r="F56" s="172"/>
      <c r="G56" s="367"/>
      <c r="H56" s="172"/>
      <c r="I56" s="367"/>
      <c r="J56" s="172"/>
    </row>
    <row r="57">
      <c r="A57" s="172"/>
      <c r="B57" s="172"/>
      <c r="C57" s="172"/>
      <c r="D57" s="172"/>
      <c r="E57" s="172"/>
      <c r="F57" s="172"/>
      <c r="G57" s="367"/>
      <c r="H57" s="172"/>
      <c r="I57" s="367"/>
      <c r="J57" s="172"/>
    </row>
    <row r="58">
      <c r="A58" s="172"/>
      <c r="B58" s="172"/>
      <c r="C58" s="172"/>
      <c r="D58" s="172"/>
      <c r="E58" s="172"/>
      <c r="F58" s="172"/>
      <c r="G58" s="367"/>
      <c r="H58" s="172"/>
      <c r="I58" s="367"/>
      <c r="J58" s="172"/>
    </row>
    <row r="59">
      <c r="A59" s="172"/>
      <c r="B59" s="172"/>
      <c r="C59" s="172"/>
      <c r="D59" s="172"/>
      <c r="E59" s="172"/>
      <c r="F59" s="172"/>
      <c r="G59" s="367"/>
      <c r="H59" s="172"/>
      <c r="I59" s="367"/>
      <c r="J59" s="172"/>
    </row>
    <row r="60">
      <c r="A60" s="172"/>
      <c r="B60" s="172"/>
      <c r="C60" s="172"/>
      <c r="D60" s="172"/>
      <c r="E60" s="172"/>
      <c r="F60" s="172"/>
      <c r="G60" s="367"/>
      <c r="H60" s="172"/>
      <c r="I60" s="367"/>
      <c r="J60" s="172"/>
    </row>
    <row r="61">
      <c r="A61" s="172"/>
      <c r="B61" s="172"/>
      <c r="C61" s="172"/>
      <c r="D61" s="172"/>
      <c r="E61" s="172"/>
      <c r="F61" s="172"/>
      <c r="G61" s="367"/>
      <c r="H61" s="172"/>
      <c r="I61" s="367"/>
      <c r="J61" s="172"/>
    </row>
    <row r="62">
      <c r="A62" s="172"/>
      <c r="B62" s="172"/>
      <c r="C62" s="172"/>
      <c r="D62" s="172"/>
      <c r="E62" s="172"/>
      <c r="F62" s="172"/>
      <c r="G62" s="367"/>
      <c r="H62" s="172"/>
      <c r="I62" s="367"/>
      <c r="J62" s="172"/>
    </row>
    <row r="63">
      <c r="A63" s="172"/>
      <c r="B63" s="172"/>
      <c r="C63" s="172"/>
      <c r="D63" s="172"/>
      <c r="E63" s="172"/>
      <c r="F63" s="172"/>
      <c r="G63" s="367"/>
      <c r="H63" s="172"/>
      <c r="I63" s="367"/>
      <c r="J63" s="172"/>
    </row>
    <row r="64">
      <c r="A64" s="172"/>
      <c r="B64" s="172"/>
      <c r="C64" s="172"/>
      <c r="D64" s="172"/>
      <c r="E64" s="172"/>
      <c r="F64" s="172"/>
      <c r="G64" s="367"/>
      <c r="H64" s="172"/>
      <c r="I64" s="367"/>
      <c r="J64" s="172"/>
    </row>
    <row r="65">
      <c r="A65" s="172"/>
      <c r="B65" s="172"/>
      <c r="C65" s="172"/>
      <c r="D65" s="172"/>
      <c r="E65" s="172"/>
      <c r="F65" s="172"/>
      <c r="G65" s="367"/>
      <c r="H65" s="172"/>
      <c r="I65" s="367"/>
      <c r="J65" s="172"/>
    </row>
    <row r="66">
      <c r="A66" s="172"/>
      <c r="B66" s="172"/>
      <c r="C66" s="172"/>
      <c r="D66" s="172"/>
      <c r="E66" s="172"/>
      <c r="F66" s="172"/>
      <c r="G66" s="367"/>
      <c r="H66" s="172"/>
      <c r="I66" s="367"/>
      <c r="J66" s="172"/>
    </row>
    <row r="67">
      <c r="A67" s="172"/>
      <c r="B67" s="172"/>
      <c r="C67" s="172"/>
      <c r="D67" s="172"/>
      <c r="E67" s="172"/>
      <c r="F67" s="172"/>
      <c r="G67" s="367"/>
      <c r="H67" s="172"/>
      <c r="I67" s="367"/>
      <c r="J67" s="172"/>
    </row>
    <row r="68">
      <c r="A68" s="172"/>
      <c r="B68" s="172"/>
      <c r="C68" s="172"/>
      <c r="D68" s="172"/>
      <c r="E68" s="172"/>
      <c r="F68" s="172"/>
      <c r="G68" s="367"/>
      <c r="H68" s="172"/>
      <c r="I68" s="367"/>
      <c r="J68" s="172"/>
    </row>
    <row r="69">
      <c r="A69" s="172"/>
      <c r="B69" s="172"/>
      <c r="C69" s="172"/>
      <c r="D69" s="172"/>
      <c r="E69" s="172"/>
      <c r="F69" s="172"/>
      <c r="G69" s="367"/>
      <c r="H69" s="172"/>
      <c r="I69" s="367"/>
      <c r="J69" s="172"/>
    </row>
    <row r="70">
      <c r="A70" s="172"/>
      <c r="B70" s="172"/>
      <c r="C70" s="172"/>
      <c r="D70" s="172"/>
      <c r="E70" s="172"/>
      <c r="F70" s="172"/>
      <c r="G70" s="367"/>
      <c r="H70" s="172"/>
      <c r="I70" s="367"/>
      <c r="J70" s="172"/>
    </row>
    <row r="71">
      <c r="A71" s="172"/>
      <c r="B71" s="172"/>
      <c r="C71" s="172"/>
      <c r="D71" s="172"/>
      <c r="E71" s="172"/>
      <c r="F71" s="172"/>
      <c r="G71" s="367"/>
      <c r="H71" s="172"/>
      <c r="I71" s="367"/>
      <c r="J71" s="172"/>
    </row>
    <row r="72">
      <c r="A72" s="172"/>
      <c r="B72" s="172"/>
      <c r="C72" s="172"/>
      <c r="D72" s="172"/>
      <c r="E72" s="172"/>
      <c r="F72" s="172"/>
      <c r="G72" s="367"/>
      <c r="H72" s="172"/>
      <c r="I72" s="367"/>
      <c r="J72" s="172"/>
    </row>
    <row r="73">
      <c r="A73" s="172"/>
      <c r="B73" s="172"/>
      <c r="C73" s="172"/>
      <c r="D73" s="172"/>
      <c r="E73" s="172"/>
      <c r="F73" s="172"/>
      <c r="G73" s="367"/>
      <c r="H73" s="172"/>
      <c r="I73" s="367"/>
      <c r="J73" s="172"/>
    </row>
    <row r="74">
      <c r="A74" s="172"/>
      <c r="B74" s="172"/>
      <c r="C74" s="172"/>
      <c r="D74" s="172"/>
      <c r="E74" s="172"/>
      <c r="F74" s="172"/>
      <c r="G74" s="367"/>
      <c r="H74" s="172"/>
      <c r="I74" s="367"/>
      <c r="J74" s="172"/>
    </row>
    <row r="75">
      <c r="A75" s="172"/>
      <c r="B75" s="172"/>
      <c r="C75" s="172"/>
      <c r="D75" s="172"/>
      <c r="E75" s="172"/>
      <c r="F75" s="172"/>
      <c r="G75" s="367"/>
      <c r="H75" s="172"/>
      <c r="I75" s="367"/>
      <c r="J75" s="172"/>
    </row>
    <row r="76">
      <c r="A76" s="172"/>
      <c r="B76" s="172"/>
      <c r="C76" s="172"/>
      <c r="D76" s="172"/>
      <c r="E76" s="172"/>
      <c r="F76" s="172"/>
      <c r="G76" s="367"/>
      <c r="H76" s="172"/>
      <c r="I76" s="367"/>
      <c r="J76" s="172"/>
    </row>
    <row r="77">
      <c r="A77" s="172"/>
      <c r="B77" s="172"/>
      <c r="C77" s="172"/>
      <c r="D77" s="172"/>
      <c r="E77" s="172"/>
      <c r="F77" s="172"/>
      <c r="G77" s="367"/>
      <c r="H77" s="172"/>
      <c r="I77" s="367"/>
      <c r="J77" s="172"/>
    </row>
    <row r="78">
      <c r="A78" s="172"/>
      <c r="B78" s="172"/>
      <c r="C78" s="172"/>
      <c r="D78" s="172"/>
      <c r="E78" s="172"/>
      <c r="F78" s="172"/>
      <c r="G78" s="367"/>
      <c r="H78" s="172"/>
      <c r="I78" s="367"/>
      <c r="J78" s="172"/>
    </row>
    <row r="79">
      <c r="A79" s="172"/>
      <c r="B79" s="172"/>
      <c r="C79" s="172"/>
      <c r="D79" s="172"/>
      <c r="E79" s="172"/>
      <c r="F79" s="172"/>
      <c r="G79" s="367"/>
      <c r="H79" s="172"/>
      <c r="I79" s="367"/>
      <c r="J79" s="172"/>
    </row>
    <row r="80">
      <c r="A80" s="172"/>
      <c r="B80" s="172"/>
      <c r="C80" s="172"/>
      <c r="D80" s="172"/>
      <c r="E80" s="172"/>
      <c r="F80" s="172"/>
      <c r="G80" s="367"/>
      <c r="H80" s="172"/>
      <c r="I80" s="367"/>
      <c r="J80" s="172"/>
    </row>
    <row r="81">
      <c r="A81" s="172"/>
      <c r="B81" s="172"/>
      <c r="C81" s="172"/>
      <c r="D81" s="172"/>
      <c r="E81" s="172"/>
      <c r="F81" s="172"/>
      <c r="G81" s="367"/>
      <c r="H81" s="172"/>
      <c r="I81" s="367"/>
      <c r="J81" s="172"/>
    </row>
    <row r="82">
      <c r="A82" s="172"/>
      <c r="B82" s="172"/>
      <c r="C82" s="172"/>
      <c r="D82" s="172"/>
      <c r="E82" s="172"/>
      <c r="F82" s="172"/>
      <c r="G82" s="367"/>
      <c r="H82" s="172"/>
      <c r="I82" s="367"/>
      <c r="J82" s="172"/>
    </row>
    <row r="83">
      <c r="A83" s="172"/>
      <c r="B83" s="172"/>
      <c r="C83" s="172"/>
      <c r="D83" s="172"/>
      <c r="E83" s="172"/>
      <c r="F83" s="172"/>
      <c r="G83" s="367"/>
      <c r="H83" s="172"/>
      <c r="I83" s="367"/>
      <c r="J83" s="172"/>
    </row>
    <row r="84">
      <c r="A84" s="172"/>
      <c r="B84" s="172"/>
      <c r="C84" s="172"/>
      <c r="D84" s="172"/>
      <c r="E84" s="172"/>
      <c r="F84" s="172"/>
      <c r="G84" s="367"/>
      <c r="H84" s="172"/>
      <c r="I84" s="367"/>
      <c r="J84" s="172"/>
    </row>
    <row r="85">
      <c r="A85" s="172"/>
      <c r="B85" s="172"/>
      <c r="C85" s="172"/>
      <c r="D85" s="172"/>
      <c r="E85" s="172"/>
      <c r="F85" s="172"/>
      <c r="G85" s="367"/>
      <c r="H85" s="172"/>
      <c r="I85" s="367"/>
      <c r="J85" s="172"/>
    </row>
    <row r="86">
      <c r="A86" s="172"/>
      <c r="B86" s="172"/>
      <c r="C86" s="172"/>
      <c r="D86" s="172"/>
      <c r="E86" s="172"/>
      <c r="F86" s="172"/>
      <c r="G86" s="367"/>
      <c r="H86" s="172"/>
      <c r="I86" s="367"/>
      <c r="J86" s="172"/>
    </row>
    <row r="87">
      <c r="A87" s="172"/>
      <c r="B87" s="172"/>
      <c r="C87" s="172"/>
      <c r="D87" s="172"/>
      <c r="E87" s="172"/>
      <c r="F87" s="172"/>
      <c r="G87" s="367"/>
      <c r="H87" s="172"/>
      <c r="I87" s="367"/>
      <c r="J87" s="172"/>
    </row>
    <row r="88">
      <c r="A88" s="172"/>
      <c r="B88" s="172"/>
      <c r="C88" s="172"/>
      <c r="D88" s="172"/>
      <c r="E88" s="172"/>
      <c r="F88" s="172"/>
      <c r="G88" s="367"/>
      <c r="H88" s="172"/>
      <c r="I88" s="367"/>
      <c r="J88" s="172"/>
    </row>
    <row r="89">
      <c r="A89" s="172"/>
      <c r="B89" s="172"/>
      <c r="C89" s="172"/>
      <c r="D89" s="172"/>
      <c r="E89" s="172"/>
      <c r="F89" s="172"/>
      <c r="G89" s="367"/>
      <c r="H89" s="172"/>
      <c r="I89" s="367"/>
      <c r="J89" s="172"/>
    </row>
    <row r="90">
      <c r="A90" s="172"/>
      <c r="B90" s="172"/>
      <c r="C90" s="172"/>
      <c r="D90" s="172"/>
      <c r="E90" s="172"/>
      <c r="F90" s="172"/>
      <c r="G90" s="367"/>
      <c r="H90" s="172"/>
      <c r="I90" s="367"/>
      <c r="J90" s="172"/>
    </row>
    <row r="91">
      <c r="A91" s="172"/>
      <c r="B91" s="172"/>
      <c r="C91" s="172"/>
      <c r="D91" s="172"/>
      <c r="E91" s="172"/>
      <c r="F91" s="172"/>
      <c r="G91" s="367"/>
      <c r="H91" s="172"/>
      <c r="I91" s="367"/>
      <c r="J91" s="172"/>
    </row>
    <row r="92">
      <c r="A92" s="172"/>
      <c r="B92" s="172"/>
      <c r="C92" s="172"/>
      <c r="D92" s="172"/>
      <c r="E92" s="172"/>
      <c r="F92" s="172"/>
      <c r="G92" s="367"/>
      <c r="H92" s="172"/>
      <c r="I92" s="367"/>
      <c r="J92" s="172"/>
    </row>
    <row r="93">
      <c r="A93" s="172"/>
      <c r="B93" s="172"/>
      <c r="C93" s="172"/>
      <c r="D93" s="172"/>
      <c r="E93" s="172"/>
      <c r="F93" s="172"/>
      <c r="G93" s="367"/>
      <c r="H93" s="172"/>
      <c r="I93" s="367"/>
      <c r="J93" s="172"/>
    </row>
    <row r="94">
      <c r="A94" s="172"/>
      <c r="B94" s="172"/>
      <c r="C94" s="172"/>
      <c r="D94" s="172"/>
      <c r="E94" s="172"/>
      <c r="F94" s="172"/>
      <c r="G94" s="367"/>
      <c r="H94" s="172"/>
      <c r="I94" s="367"/>
      <c r="J94" s="172"/>
    </row>
    <row r="95">
      <c r="A95" s="172"/>
      <c r="B95" s="172"/>
      <c r="C95" s="172"/>
      <c r="D95" s="172"/>
      <c r="E95" s="172"/>
      <c r="F95" s="172"/>
      <c r="G95" s="367"/>
      <c r="H95" s="172"/>
      <c r="I95" s="367"/>
      <c r="J95" s="172"/>
    </row>
    <row r="96">
      <c r="A96" s="172"/>
      <c r="B96" s="172"/>
      <c r="C96" s="172"/>
      <c r="D96" s="172"/>
      <c r="E96" s="172"/>
      <c r="F96" s="172"/>
      <c r="G96" s="367"/>
      <c r="H96" s="172"/>
      <c r="I96" s="367"/>
      <c r="J96" s="172"/>
    </row>
    <row r="97">
      <c r="A97" s="172"/>
      <c r="B97" s="172"/>
      <c r="C97" s="172"/>
      <c r="D97" s="172"/>
      <c r="E97" s="172"/>
      <c r="F97" s="172"/>
      <c r="G97" s="367"/>
      <c r="H97" s="172"/>
      <c r="I97" s="367"/>
      <c r="J97" s="172"/>
    </row>
    <row r="98">
      <c r="A98" s="172"/>
      <c r="B98" s="172"/>
      <c r="C98" s="172"/>
      <c r="D98" s="172"/>
      <c r="E98" s="172"/>
      <c r="F98" s="172"/>
      <c r="G98" s="367"/>
      <c r="H98" s="172"/>
      <c r="I98" s="367"/>
      <c r="J98" s="172"/>
    </row>
    <row r="99">
      <c r="A99" s="172"/>
      <c r="B99" s="172"/>
      <c r="C99" s="172"/>
      <c r="D99" s="172"/>
      <c r="E99" s="172"/>
      <c r="F99" s="172"/>
      <c r="G99" s="367"/>
      <c r="H99" s="172"/>
      <c r="I99" s="367"/>
      <c r="J99" s="172"/>
    </row>
    <row r="100">
      <c r="A100" s="172"/>
      <c r="B100" s="172"/>
      <c r="C100" s="172"/>
      <c r="D100" s="172"/>
      <c r="E100" s="172"/>
      <c r="F100" s="172"/>
      <c r="G100" s="367"/>
      <c r="H100" s="172"/>
      <c r="I100" s="367"/>
      <c r="J100" s="172"/>
    </row>
    <row r="101">
      <c r="A101" s="172"/>
      <c r="B101" s="172"/>
      <c r="C101" s="172"/>
      <c r="D101" s="172"/>
      <c r="E101" s="172"/>
      <c r="F101" s="172"/>
      <c r="G101" s="367"/>
      <c r="H101" s="172"/>
      <c r="I101" s="367"/>
      <c r="J101" s="172"/>
    </row>
    <row r="102">
      <c r="A102" s="172"/>
      <c r="B102" s="172"/>
      <c r="C102" s="172"/>
      <c r="D102" s="172"/>
      <c r="E102" s="172"/>
      <c r="F102" s="172"/>
      <c r="G102" s="367"/>
      <c r="H102" s="172"/>
      <c r="I102" s="367"/>
      <c r="J102" s="172"/>
    </row>
    <row r="103">
      <c r="A103" s="172"/>
      <c r="B103" s="172"/>
      <c r="C103" s="172"/>
      <c r="D103" s="172"/>
      <c r="E103" s="172"/>
      <c r="F103" s="172"/>
      <c r="G103" s="367"/>
      <c r="H103" s="172"/>
      <c r="I103" s="367"/>
      <c r="J103" s="172"/>
    </row>
    <row r="104">
      <c r="A104" s="172"/>
      <c r="B104" s="172"/>
      <c r="C104" s="172"/>
      <c r="D104" s="172"/>
      <c r="E104" s="172"/>
      <c r="F104" s="172"/>
      <c r="G104" s="367"/>
      <c r="H104" s="172"/>
      <c r="I104" s="367"/>
      <c r="J104" s="172"/>
    </row>
    <row r="105">
      <c r="A105" s="172"/>
      <c r="B105" s="172"/>
      <c r="C105" s="172"/>
      <c r="D105" s="172"/>
      <c r="E105" s="172"/>
      <c r="F105" s="172"/>
      <c r="G105" s="367"/>
      <c r="H105" s="172"/>
      <c r="I105" s="367"/>
      <c r="J105" s="172"/>
    </row>
    <row r="106">
      <c r="A106" s="172"/>
      <c r="B106" s="172"/>
      <c r="C106" s="172"/>
      <c r="D106" s="172"/>
      <c r="E106" s="172"/>
      <c r="F106" s="172"/>
      <c r="G106" s="367"/>
      <c r="H106" s="172"/>
      <c r="I106" s="367"/>
      <c r="J106" s="172"/>
    </row>
    <row r="107">
      <c r="A107" s="172"/>
      <c r="B107" s="172"/>
      <c r="C107" s="172"/>
      <c r="D107" s="172"/>
      <c r="E107" s="172"/>
      <c r="F107" s="172"/>
      <c r="G107" s="367"/>
      <c r="H107" s="172"/>
      <c r="I107" s="367"/>
      <c r="J107" s="172"/>
    </row>
    <row r="108">
      <c r="A108" s="172"/>
      <c r="B108" s="172"/>
      <c r="C108" s="172"/>
      <c r="D108" s="172"/>
      <c r="E108" s="172"/>
      <c r="F108" s="172"/>
      <c r="G108" s="367"/>
      <c r="H108" s="172"/>
      <c r="I108" s="367"/>
      <c r="J108" s="172"/>
    </row>
    <row r="109">
      <c r="A109" s="172"/>
      <c r="B109" s="172"/>
      <c r="C109" s="172"/>
      <c r="D109" s="172"/>
      <c r="E109" s="172"/>
      <c r="F109" s="172"/>
      <c r="G109" s="367"/>
      <c r="H109" s="172"/>
      <c r="I109" s="367"/>
      <c r="J109" s="172"/>
    </row>
    <row r="110">
      <c r="A110" s="172"/>
      <c r="B110" s="172"/>
      <c r="C110" s="172"/>
      <c r="D110" s="172"/>
      <c r="E110" s="172"/>
      <c r="F110" s="172"/>
      <c r="G110" s="367"/>
      <c r="H110" s="172"/>
      <c r="I110" s="367"/>
      <c r="J110" s="172"/>
    </row>
    <row r="111">
      <c r="A111" s="172"/>
      <c r="B111" s="172"/>
      <c r="C111" s="172"/>
      <c r="D111" s="172"/>
      <c r="E111" s="172"/>
      <c r="F111" s="172"/>
      <c r="G111" s="367"/>
      <c r="H111" s="172"/>
      <c r="I111" s="367"/>
      <c r="J111" s="172"/>
    </row>
    <row r="112">
      <c r="A112" s="172"/>
      <c r="B112" s="172"/>
      <c r="C112" s="172"/>
      <c r="D112" s="172"/>
      <c r="E112" s="172"/>
      <c r="F112" s="172"/>
      <c r="G112" s="367"/>
      <c r="H112" s="172"/>
      <c r="I112" s="367"/>
      <c r="J112" s="172"/>
    </row>
    <row r="113">
      <c r="A113" s="172"/>
      <c r="B113" s="172"/>
      <c r="C113" s="172"/>
      <c r="D113" s="172"/>
      <c r="E113" s="172"/>
      <c r="F113" s="172"/>
      <c r="G113" s="367"/>
      <c r="H113" s="172"/>
      <c r="I113" s="367"/>
      <c r="J113" s="172"/>
    </row>
    <row r="114">
      <c r="A114" s="172"/>
      <c r="B114" s="172"/>
      <c r="C114" s="172"/>
      <c r="D114" s="172"/>
      <c r="E114" s="172"/>
      <c r="F114" s="172"/>
      <c r="G114" s="367"/>
      <c r="H114" s="172"/>
      <c r="I114" s="367"/>
      <c r="J114" s="172"/>
    </row>
    <row r="115">
      <c r="A115" s="172"/>
      <c r="B115" s="172"/>
      <c r="C115" s="172"/>
      <c r="D115" s="172"/>
      <c r="E115" s="172"/>
      <c r="F115" s="172"/>
      <c r="G115" s="367"/>
      <c r="H115" s="172"/>
      <c r="I115" s="367"/>
      <c r="J115" s="172"/>
    </row>
    <row r="116">
      <c r="A116" s="172"/>
      <c r="B116" s="172"/>
      <c r="C116" s="172"/>
      <c r="D116" s="172"/>
      <c r="E116" s="172"/>
      <c r="F116" s="172"/>
      <c r="G116" s="367"/>
      <c r="H116" s="172"/>
      <c r="I116" s="367"/>
      <c r="J116" s="172"/>
    </row>
    <row r="117">
      <c r="A117" s="172"/>
      <c r="B117" s="172"/>
      <c r="C117" s="172"/>
      <c r="D117" s="172"/>
      <c r="E117" s="172"/>
      <c r="F117" s="172"/>
      <c r="G117" s="367"/>
      <c r="H117" s="172"/>
      <c r="I117" s="367"/>
      <c r="J117" s="172"/>
    </row>
    <row r="118">
      <c r="A118" s="172"/>
      <c r="B118" s="172"/>
      <c r="C118" s="172"/>
      <c r="D118" s="172"/>
      <c r="E118" s="172"/>
      <c r="F118" s="172"/>
      <c r="G118" s="367"/>
      <c r="H118" s="172"/>
      <c r="I118" s="367"/>
      <c r="J118" s="172"/>
    </row>
    <row r="119">
      <c r="A119" s="172"/>
      <c r="B119" s="172"/>
      <c r="C119" s="172"/>
      <c r="D119" s="172"/>
      <c r="E119" s="172"/>
      <c r="F119" s="172"/>
      <c r="G119" s="367"/>
      <c r="H119" s="172"/>
      <c r="I119" s="367"/>
      <c r="J119" s="172"/>
    </row>
    <row r="120">
      <c r="A120" s="172"/>
      <c r="B120" s="172"/>
      <c r="C120" s="172"/>
      <c r="D120" s="172"/>
      <c r="E120" s="172"/>
      <c r="F120" s="172"/>
      <c r="G120" s="367"/>
      <c r="H120" s="172"/>
      <c r="I120" s="367"/>
      <c r="J120" s="172"/>
    </row>
    <row r="121">
      <c r="A121" s="172"/>
      <c r="B121" s="172"/>
      <c r="C121" s="172"/>
      <c r="D121" s="172"/>
      <c r="E121" s="172"/>
      <c r="F121" s="172"/>
      <c r="G121" s="367"/>
      <c r="H121" s="172"/>
      <c r="I121" s="367"/>
      <c r="J121" s="172"/>
    </row>
    <row r="122">
      <c r="A122" s="172"/>
      <c r="B122" s="172"/>
      <c r="C122" s="172"/>
      <c r="D122" s="172"/>
      <c r="E122" s="172"/>
      <c r="F122" s="172"/>
      <c r="G122" s="367"/>
      <c r="H122" s="172"/>
      <c r="I122" s="367"/>
      <c r="J122" s="172"/>
    </row>
    <row r="123">
      <c r="A123" s="172"/>
      <c r="B123" s="172"/>
      <c r="C123" s="172"/>
      <c r="D123" s="172"/>
      <c r="E123" s="172"/>
      <c r="F123" s="172"/>
      <c r="G123" s="367"/>
      <c r="H123" s="172"/>
      <c r="I123" s="367"/>
      <c r="J123" s="172"/>
    </row>
    <row r="124">
      <c r="A124" s="172"/>
      <c r="B124" s="172"/>
      <c r="C124" s="172"/>
      <c r="D124" s="172"/>
      <c r="E124" s="172"/>
      <c r="F124" s="172"/>
      <c r="G124" s="367"/>
      <c r="H124" s="172"/>
      <c r="I124" s="367"/>
      <c r="J124" s="172"/>
    </row>
    <row r="125">
      <c r="A125" s="172"/>
      <c r="B125" s="172"/>
      <c r="C125" s="172"/>
      <c r="D125" s="172"/>
      <c r="E125" s="172"/>
      <c r="F125" s="172"/>
      <c r="G125" s="367"/>
      <c r="H125" s="172"/>
      <c r="I125" s="367"/>
      <c r="J125" s="172"/>
    </row>
    <row r="126">
      <c r="A126" s="172"/>
      <c r="B126" s="172"/>
      <c r="C126" s="172"/>
      <c r="D126" s="172"/>
      <c r="E126" s="172"/>
      <c r="F126" s="172"/>
      <c r="G126" s="367"/>
      <c r="H126" s="172"/>
      <c r="I126" s="367"/>
      <c r="J126" s="172"/>
    </row>
    <row r="127">
      <c r="A127" s="172"/>
      <c r="B127" s="172"/>
      <c r="C127" s="172"/>
      <c r="D127" s="172"/>
      <c r="E127" s="172"/>
      <c r="F127" s="172"/>
      <c r="G127" s="367"/>
      <c r="H127" s="172"/>
      <c r="I127" s="367"/>
      <c r="J127" s="172"/>
    </row>
    <row r="128">
      <c r="A128" s="172"/>
      <c r="B128" s="172"/>
      <c r="C128" s="172"/>
      <c r="D128" s="172"/>
      <c r="E128" s="172"/>
      <c r="F128" s="172"/>
      <c r="G128" s="367"/>
      <c r="H128" s="172"/>
      <c r="I128" s="367"/>
      <c r="J128" s="172"/>
    </row>
    <row r="129">
      <c r="A129" s="172"/>
      <c r="B129" s="172"/>
      <c r="C129" s="172"/>
      <c r="D129" s="172"/>
      <c r="E129" s="172"/>
      <c r="F129" s="172"/>
      <c r="G129" s="367"/>
      <c r="H129" s="172"/>
      <c r="I129" s="367"/>
      <c r="J129" s="172"/>
    </row>
    <row r="130">
      <c r="A130" s="172"/>
      <c r="B130" s="172"/>
      <c r="C130" s="172"/>
      <c r="D130" s="172"/>
      <c r="E130" s="172"/>
      <c r="F130" s="172"/>
      <c r="G130" s="367"/>
      <c r="H130" s="172"/>
      <c r="I130" s="367"/>
      <c r="J130" s="172"/>
    </row>
    <row r="131">
      <c r="A131" s="172"/>
      <c r="B131" s="172"/>
      <c r="C131" s="172"/>
      <c r="D131" s="172"/>
      <c r="E131" s="172"/>
      <c r="F131" s="172"/>
      <c r="G131" s="367"/>
      <c r="H131" s="172"/>
      <c r="I131" s="367"/>
      <c r="J131" s="172"/>
    </row>
    <row r="132">
      <c r="A132" s="172"/>
      <c r="B132" s="172"/>
      <c r="C132" s="172"/>
      <c r="D132" s="172"/>
      <c r="E132" s="172"/>
      <c r="F132" s="172"/>
      <c r="G132" s="367"/>
      <c r="H132" s="172"/>
      <c r="I132" s="367"/>
      <c r="J132" s="172"/>
    </row>
    <row r="133">
      <c r="A133" s="172"/>
      <c r="B133" s="172"/>
      <c r="C133" s="172"/>
      <c r="D133" s="172"/>
      <c r="E133" s="172"/>
      <c r="F133" s="172"/>
      <c r="G133" s="367"/>
      <c r="H133" s="172"/>
      <c r="I133" s="367"/>
      <c r="J133" s="172"/>
    </row>
    <row r="134">
      <c r="A134" s="172"/>
      <c r="B134" s="172"/>
      <c r="C134" s="172"/>
      <c r="D134" s="172"/>
      <c r="E134" s="172"/>
      <c r="F134" s="172"/>
      <c r="G134" s="367"/>
      <c r="H134" s="172"/>
      <c r="I134" s="367"/>
      <c r="J134" s="172"/>
    </row>
    <row r="135">
      <c r="A135" s="172"/>
      <c r="B135" s="172"/>
      <c r="C135" s="172"/>
      <c r="D135" s="172"/>
      <c r="E135" s="172"/>
      <c r="F135" s="172"/>
      <c r="G135" s="367"/>
      <c r="H135" s="172"/>
      <c r="I135" s="367"/>
      <c r="J135" s="172"/>
    </row>
    <row r="136">
      <c r="A136" s="172"/>
      <c r="B136" s="172"/>
      <c r="C136" s="172"/>
      <c r="D136" s="172"/>
      <c r="E136" s="172"/>
      <c r="F136" s="172"/>
      <c r="G136" s="367"/>
      <c r="H136" s="172"/>
      <c r="I136" s="367"/>
      <c r="J136" s="172"/>
    </row>
    <row r="137">
      <c r="A137" s="172"/>
      <c r="B137" s="172"/>
      <c r="C137" s="172"/>
      <c r="D137" s="172"/>
      <c r="E137" s="172"/>
      <c r="F137" s="172"/>
      <c r="G137" s="367"/>
      <c r="H137" s="172"/>
      <c r="I137" s="367"/>
      <c r="J137" s="172"/>
    </row>
    <row r="138">
      <c r="A138" s="172"/>
      <c r="B138" s="172"/>
      <c r="C138" s="172"/>
      <c r="D138" s="172"/>
      <c r="E138" s="172"/>
      <c r="F138" s="172"/>
      <c r="G138" s="367"/>
      <c r="H138" s="172"/>
      <c r="I138" s="367"/>
      <c r="J138" s="172"/>
    </row>
    <row r="139">
      <c r="A139" s="172"/>
      <c r="B139" s="172"/>
      <c r="C139" s="172"/>
      <c r="D139" s="172"/>
      <c r="E139" s="172"/>
      <c r="F139" s="172"/>
      <c r="G139" s="367"/>
      <c r="H139" s="172"/>
      <c r="I139" s="367"/>
      <c r="J139" s="172"/>
    </row>
    <row r="140">
      <c r="A140" s="172"/>
      <c r="B140" s="172"/>
      <c r="C140" s="172"/>
      <c r="D140" s="172"/>
      <c r="E140" s="172"/>
      <c r="F140" s="172"/>
      <c r="G140" s="367"/>
      <c r="H140" s="172"/>
      <c r="I140" s="367"/>
      <c r="J140" s="172"/>
    </row>
    <row r="141">
      <c r="A141" s="172"/>
      <c r="B141" s="172"/>
      <c r="C141" s="172"/>
      <c r="D141" s="172"/>
      <c r="E141" s="172"/>
      <c r="F141" s="172"/>
      <c r="G141" s="367"/>
      <c r="H141" s="172"/>
      <c r="I141" s="367"/>
      <c r="J141" s="172"/>
    </row>
    <row r="142">
      <c r="A142" s="172"/>
      <c r="B142" s="172"/>
      <c r="C142" s="172"/>
      <c r="D142" s="172"/>
      <c r="E142" s="172"/>
      <c r="F142" s="172"/>
      <c r="G142" s="367"/>
      <c r="H142" s="172"/>
      <c r="I142" s="367"/>
      <c r="J142" s="172"/>
    </row>
    <row r="143">
      <c r="A143" s="172"/>
      <c r="B143" s="172"/>
      <c r="C143" s="172"/>
      <c r="D143" s="172"/>
      <c r="E143" s="172"/>
      <c r="F143" s="172"/>
      <c r="G143" s="367"/>
      <c r="H143" s="172"/>
      <c r="I143" s="367"/>
      <c r="J143" s="172"/>
    </row>
    <row r="144">
      <c r="A144" s="172"/>
      <c r="B144" s="172"/>
      <c r="C144" s="172"/>
      <c r="D144" s="172"/>
      <c r="E144" s="172"/>
      <c r="F144" s="172"/>
      <c r="G144" s="367"/>
      <c r="H144" s="172"/>
      <c r="I144" s="367"/>
      <c r="J144" s="172"/>
    </row>
    <row r="145">
      <c r="A145" s="172"/>
      <c r="B145" s="172"/>
      <c r="C145" s="172"/>
      <c r="D145" s="172"/>
      <c r="E145" s="172"/>
      <c r="F145" s="172"/>
      <c r="G145" s="367"/>
      <c r="H145" s="172"/>
      <c r="I145" s="367"/>
      <c r="J145" s="172"/>
    </row>
    <row r="146">
      <c r="A146" s="172"/>
      <c r="B146" s="172"/>
      <c r="C146" s="172"/>
      <c r="D146" s="172"/>
      <c r="E146" s="172"/>
      <c r="F146" s="172"/>
      <c r="G146" s="367"/>
      <c r="H146" s="172"/>
      <c r="I146" s="367"/>
      <c r="J146" s="172"/>
    </row>
    <row r="147">
      <c r="A147" s="172"/>
      <c r="B147" s="172"/>
      <c r="C147" s="172"/>
      <c r="D147" s="172"/>
      <c r="E147" s="172"/>
      <c r="F147" s="172"/>
      <c r="G147" s="367"/>
      <c r="H147" s="172"/>
      <c r="I147" s="367"/>
      <c r="J147" s="172"/>
    </row>
    <row r="148">
      <c r="A148" s="172"/>
      <c r="B148" s="172"/>
      <c r="C148" s="172"/>
      <c r="D148" s="172"/>
      <c r="E148" s="172"/>
      <c r="F148" s="172"/>
      <c r="G148" s="367"/>
      <c r="H148" s="172"/>
      <c r="I148" s="367"/>
      <c r="J148" s="172"/>
    </row>
    <row r="149">
      <c r="A149" s="172"/>
      <c r="B149" s="172"/>
      <c r="C149" s="172"/>
      <c r="D149" s="172"/>
      <c r="E149" s="172"/>
      <c r="F149" s="172"/>
      <c r="G149" s="367"/>
      <c r="H149" s="172"/>
      <c r="I149" s="367"/>
      <c r="J149" s="172"/>
    </row>
    <row r="150">
      <c r="A150" s="172"/>
      <c r="B150" s="172"/>
      <c r="C150" s="172"/>
      <c r="D150" s="172"/>
      <c r="E150" s="172"/>
      <c r="F150" s="172"/>
      <c r="G150" s="367"/>
      <c r="H150" s="172"/>
      <c r="I150" s="367"/>
      <c r="J150" s="172"/>
    </row>
    <row r="151">
      <c r="A151" s="172"/>
      <c r="B151" s="172"/>
      <c r="C151" s="172"/>
      <c r="D151" s="172"/>
      <c r="E151" s="172"/>
      <c r="F151" s="172"/>
      <c r="G151" s="367"/>
      <c r="H151" s="172"/>
      <c r="I151" s="367"/>
      <c r="J151" s="172"/>
    </row>
    <row r="152">
      <c r="A152" s="172"/>
      <c r="B152" s="172"/>
      <c r="C152" s="172"/>
      <c r="D152" s="172"/>
      <c r="E152" s="172"/>
      <c r="F152" s="172"/>
      <c r="G152" s="367"/>
      <c r="H152" s="172"/>
      <c r="I152" s="367"/>
      <c r="J152" s="172"/>
    </row>
    <row r="153">
      <c r="A153" s="172"/>
      <c r="B153" s="172"/>
      <c r="C153" s="172"/>
      <c r="D153" s="172"/>
      <c r="E153" s="172"/>
      <c r="F153" s="172"/>
      <c r="G153" s="367"/>
      <c r="H153" s="172"/>
      <c r="I153" s="367"/>
      <c r="J153" s="172"/>
    </row>
    <row r="154">
      <c r="A154" s="172"/>
      <c r="B154" s="172"/>
      <c r="C154" s="172"/>
      <c r="D154" s="172"/>
      <c r="E154" s="172"/>
      <c r="F154" s="172"/>
      <c r="G154" s="367"/>
      <c r="H154" s="172"/>
      <c r="I154" s="367"/>
      <c r="J154" s="172"/>
    </row>
    <row r="155">
      <c r="A155" s="172"/>
      <c r="B155" s="172"/>
      <c r="C155" s="172"/>
      <c r="D155" s="172"/>
      <c r="E155" s="172"/>
      <c r="F155" s="172"/>
      <c r="G155" s="367"/>
      <c r="H155" s="172"/>
      <c r="I155" s="367"/>
      <c r="J155" s="172"/>
    </row>
    <row r="156">
      <c r="A156" s="172"/>
      <c r="B156" s="172"/>
      <c r="C156" s="172"/>
      <c r="D156" s="172"/>
      <c r="E156" s="172"/>
      <c r="F156" s="172"/>
      <c r="G156" s="367"/>
      <c r="H156" s="172"/>
      <c r="I156" s="367"/>
      <c r="J156" s="172"/>
    </row>
    <row r="157">
      <c r="A157" s="172"/>
      <c r="B157" s="172"/>
      <c r="C157" s="172"/>
      <c r="D157" s="172"/>
      <c r="E157" s="172"/>
      <c r="F157" s="172"/>
      <c r="G157" s="367"/>
      <c r="H157" s="172"/>
      <c r="I157" s="367"/>
      <c r="J157" s="172"/>
    </row>
    <row r="158">
      <c r="A158" s="172"/>
      <c r="B158" s="172"/>
      <c r="C158" s="172"/>
      <c r="D158" s="172"/>
      <c r="E158" s="172"/>
      <c r="F158" s="172"/>
      <c r="G158" s="367"/>
      <c r="H158" s="172"/>
      <c r="I158" s="367"/>
      <c r="J158" s="172"/>
    </row>
    <row r="159">
      <c r="A159" s="172"/>
      <c r="B159" s="172"/>
      <c r="C159" s="172"/>
      <c r="D159" s="172"/>
      <c r="E159" s="172"/>
      <c r="F159" s="172"/>
      <c r="G159" s="367"/>
      <c r="H159" s="172"/>
      <c r="I159" s="367"/>
      <c r="J159" s="172"/>
    </row>
    <row r="160">
      <c r="A160" s="172"/>
      <c r="B160" s="172"/>
      <c r="C160" s="172"/>
      <c r="D160" s="172"/>
      <c r="E160" s="172"/>
      <c r="F160" s="172"/>
      <c r="G160" s="367"/>
      <c r="H160" s="172"/>
      <c r="I160" s="367"/>
      <c r="J160" s="172"/>
    </row>
    <row r="161">
      <c r="A161" s="172"/>
      <c r="B161" s="172"/>
      <c r="C161" s="172"/>
      <c r="D161" s="172"/>
      <c r="E161" s="172"/>
      <c r="F161" s="172"/>
      <c r="G161" s="367"/>
      <c r="H161" s="172"/>
      <c r="I161" s="367"/>
      <c r="J161" s="172"/>
    </row>
    <row r="162">
      <c r="A162" s="172"/>
      <c r="B162" s="172"/>
      <c r="C162" s="172"/>
      <c r="D162" s="172"/>
      <c r="E162" s="172"/>
      <c r="F162" s="172"/>
      <c r="G162" s="367"/>
      <c r="H162" s="172"/>
      <c r="I162" s="367"/>
      <c r="J162" s="172"/>
    </row>
    <row r="163">
      <c r="A163" s="172"/>
      <c r="B163" s="172"/>
      <c r="C163" s="172"/>
      <c r="D163" s="172"/>
      <c r="E163" s="172"/>
      <c r="F163" s="172"/>
      <c r="G163" s="367"/>
      <c r="H163" s="172"/>
      <c r="I163" s="367"/>
      <c r="J163" s="172"/>
    </row>
    <row r="164">
      <c r="A164" s="172"/>
      <c r="B164" s="172"/>
      <c r="C164" s="172"/>
      <c r="D164" s="172"/>
      <c r="E164" s="172"/>
      <c r="F164" s="172"/>
      <c r="G164" s="367"/>
      <c r="H164" s="172"/>
      <c r="I164" s="367"/>
      <c r="J164" s="172"/>
    </row>
    <row r="165">
      <c r="A165" s="172"/>
      <c r="B165" s="172"/>
      <c r="C165" s="172"/>
      <c r="D165" s="172"/>
      <c r="E165" s="172"/>
      <c r="F165" s="172"/>
      <c r="G165" s="367"/>
      <c r="H165" s="172"/>
      <c r="I165" s="367"/>
      <c r="J165" s="172"/>
    </row>
    <row r="166">
      <c r="A166" s="172"/>
      <c r="B166" s="172"/>
      <c r="C166" s="172"/>
      <c r="D166" s="172"/>
      <c r="E166" s="172"/>
      <c r="F166" s="172"/>
      <c r="G166" s="367"/>
      <c r="H166" s="172"/>
      <c r="I166" s="367"/>
      <c r="J166" s="172"/>
    </row>
    <row r="167">
      <c r="A167" s="172"/>
      <c r="B167" s="172"/>
      <c r="C167" s="172"/>
      <c r="D167" s="172"/>
      <c r="E167" s="172"/>
      <c r="F167" s="172"/>
      <c r="G167" s="367"/>
      <c r="H167" s="172"/>
      <c r="I167" s="367"/>
      <c r="J167" s="172"/>
    </row>
    <row r="168">
      <c r="A168" s="172"/>
      <c r="B168" s="172"/>
      <c r="C168" s="172"/>
      <c r="D168" s="172"/>
      <c r="E168" s="172"/>
      <c r="F168" s="172"/>
      <c r="G168" s="367"/>
      <c r="H168" s="172"/>
      <c r="I168" s="367"/>
      <c r="J168" s="172"/>
    </row>
    <row r="169">
      <c r="A169" s="172"/>
      <c r="B169" s="172"/>
      <c r="C169" s="172"/>
      <c r="D169" s="172"/>
      <c r="E169" s="172"/>
      <c r="F169" s="172"/>
      <c r="G169" s="367"/>
      <c r="H169" s="172"/>
      <c r="I169" s="367"/>
      <c r="J169" s="172"/>
    </row>
    <row r="170">
      <c r="A170" s="172"/>
      <c r="B170" s="172"/>
      <c r="C170" s="172"/>
      <c r="D170" s="172"/>
      <c r="E170" s="172"/>
      <c r="F170" s="172"/>
      <c r="G170" s="367"/>
      <c r="H170" s="172"/>
      <c r="I170" s="367"/>
      <c r="J170" s="172"/>
    </row>
    <row r="171">
      <c r="A171" s="172"/>
      <c r="B171" s="172"/>
      <c r="C171" s="172"/>
      <c r="D171" s="172"/>
      <c r="E171" s="172"/>
      <c r="F171" s="172"/>
      <c r="G171" s="367"/>
      <c r="H171" s="172"/>
      <c r="I171" s="367"/>
      <c r="J171" s="172"/>
    </row>
    <row r="172">
      <c r="A172" s="172"/>
      <c r="B172" s="172"/>
      <c r="C172" s="172"/>
      <c r="D172" s="172"/>
      <c r="E172" s="172"/>
      <c r="F172" s="172"/>
      <c r="G172" s="367"/>
      <c r="H172" s="172"/>
      <c r="I172" s="367"/>
      <c r="J172" s="172"/>
    </row>
    <row r="173">
      <c r="A173" s="172"/>
      <c r="B173" s="172"/>
      <c r="C173" s="172"/>
      <c r="D173" s="172"/>
      <c r="E173" s="172"/>
      <c r="F173" s="172"/>
      <c r="G173" s="367"/>
      <c r="H173" s="172"/>
      <c r="I173" s="367"/>
      <c r="J173" s="172"/>
    </row>
    <row r="174">
      <c r="A174" s="172"/>
      <c r="B174" s="172"/>
      <c r="C174" s="172"/>
      <c r="D174" s="172"/>
      <c r="E174" s="172"/>
      <c r="F174" s="172"/>
      <c r="G174" s="367"/>
      <c r="H174" s="172"/>
      <c r="I174" s="367"/>
      <c r="J174" s="172"/>
    </row>
    <row r="175">
      <c r="A175" s="172"/>
      <c r="B175" s="172"/>
      <c r="C175" s="172"/>
      <c r="D175" s="172"/>
      <c r="E175" s="172"/>
      <c r="F175" s="172"/>
      <c r="G175" s="367"/>
      <c r="H175" s="172"/>
      <c r="I175" s="367"/>
      <c r="J175" s="172"/>
    </row>
    <row r="176">
      <c r="A176" s="172"/>
      <c r="B176" s="172"/>
      <c r="C176" s="172"/>
      <c r="D176" s="172"/>
      <c r="E176" s="172"/>
      <c r="F176" s="172"/>
      <c r="G176" s="367"/>
      <c r="H176" s="172"/>
      <c r="I176" s="367"/>
      <c r="J176" s="172"/>
    </row>
    <row r="177">
      <c r="A177" s="172"/>
      <c r="B177" s="172"/>
      <c r="C177" s="172"/>
      <c r="D177" s="172"/>
      <c r="E177" s="172"/>
      <c r="F177" s="172"/>
      <c r="G177" s="367"/>
      <c r="H177" s="172"/>
      <c r="I177" s="367"/>
      <c r="J177" s="172"/>
    </row>
    <row r="178">
      <c r="A178" s="172"/>
      <c r="B178" s="172"/>
      <c r="C178" s="172"/>
      <c r="D178" s="172"/>
      <c r="E178" s="172"/>
      <c r="F178" s="172"/>
      <c r="G178" s="367"/>
      <c r="H178" s="172"/>
      <c r="I178" s="367"/>
      <c r="J178" s="172"/>
    </row>
    <row r="179">
      <c r="A179" s="172"/>
      <c r="B179" s="172"/>
      <c r="C179" s="172"/>
      <c r="D179" s="172"/>
      <c r="E179" s="172"/>
      <c r="F179" s="172"/>
      <c r="G179" s="367"/>
      <c r="H179" s="172"/>
      <c r="I179" s="367"/>
      <c r="J179" s="172"/>
    </row>
    <row r="180">
      <c r="A180" s="172"/>
      <c r="B180" s="172"/>
      <c r="C180" s="172"/>
      <c r="D180" s="172"/>
      <c r="E180" s="172"/>
      <c r="F180" s="172"/>
      <c r="G180" s="367"/>
      <c r="H180" s="172"/>
      <c r="I180" s="367"/>
      <c r="J180" s="172"/>
    </row>
    <row r="181">
      <c r="A181" s="172"/>
      <c r="B181" s="172"/>
      <c r="C181" s="172"/>
      <c r="D181" s="172"/>
      <c r="E181" s="172"/>
      <c r="F181" s="172"/>
      <c r="G181" s="367"/>
      <c r="H181" s="172"/>
      <c r="I181" s="367"/>
      <c r="J181" s="172"/>
    </row>
    <row r="182">
      <c r="A182" s="172"/>
      <c r="B182" s="172"/>
      <c r="C182" s="172"/>
      <c r="D182" s="172"/>
      <c r="E182" s="172"/>
      <c r="F182" s="172"/>
      <c r="G182" s="367"/>
      <c r="H182" s="172"/>
      <c r="I182" s="367"/>
      <c r="J182" s="172"/>
    </row>
    <row r="183">
      <c r="A183" s="172"/>
      <c r="B183" s="172"/>
      <c r="C183" s="172"/>
      <c r="D183" s="172"/>
      <c r="E183" s="172"/>
      <c r="F183" s="172"/>
      <c r="G183" s="367"/>
      <c r="H183" s="172"/>
      <c r="I183" s="367"/>
      <c r="J183" s="172"/>
    </row>
    <row r="184">
      <c r="A184" s="172"/>
      <c r="B184" s="172"/>
      <c r="C184" s="172"/>
      <c r="D184" s="172"/>
      <c r="E184" s="172"/>
      <c r="F184" s="172"/>
      <c r="G184" s="367"/>
      <c r="H184" s="172"/>
      <c r="I184" s="367"/>
      <c r="J184" s="172"/>
    </row>
    <row r="185">
      <c r="A185" s="172"/>
      <c r="B185" s="172"/>
      <c r="C185" s="172"/>
      <c r="D185" s="172"/>
      <c r="E185" s="172"/>
      <c r="F185" s="172"/>
      <c r="G185" s="367"/>
      <c r="H185" s="172"/>
      <c r="I185" s="367"/>
      <c r="J185" s="172"/>
    </row>
    <row r="186">
      <c r="A186" s="172"/>
      <c r="B186" s="172"/>
      <c r="C186" s="172"/>
      <c r="D186" s="172"/>
      <c r="E186" s="172"/>
      <c r="F186" s="172"/>
      <c r="G186" s="367"/>
      <c r="H186" s="172"/>
      <c r="I186" s="367"/>
      <c r="J186" s="172"/>
    </row>
    <row r="187">
      <c r="A187" s="172"/>
      <c r="B187" s="172"/>
      <c r="C187" s="172"/>
      <c r="D187" s="172"/>
      <c r="E187" s="172"/>
      <c r="F187" s="172"/>
      <c r="G187" s="367"/>
      <c r="H187" s="172"/>
      <c r="I187" s="367"/>
      <c r="J187" s="172"/>
    </row>
    <row r="188">
      <c r="A188" s="172"/>
      <c r="B188" s="172"/>
      <c r="C188" s="172"/>
      <c r="D188" s="172"/>
      <c r="E188" s="172"/>
      <c r="F188" s="172"/>
      <c r="G188" s="367"/>
      <c r="H188" s="172"/>
      <c r="I188" s="367"/>
      <c r="J188" s="172"/>
    </row>
    <row r="189">
      <c r="A189" s="172"/>
      <c r="B189" s="172"/>
      <c r="C189" s="172"/>
      <c r="D189" s="172"/>
      <c r="E189" s="172"/>
      <c r="F189" s="172"/>
      <c r="G189" s="367"/>
      <c r="H189" s="172"/>
      <c r="I189" s="367"/>
      <c r="J189" s="172"/>
    </row>
    <row r="190">
      <c r="A190" s="172"/>
      <c r="B190" s="172"/>
      <c r="C190" s="172"/>
      <c r="D190" s="172"/>
      <c r="E190" s="172"/>
      <c r="F190" s="172"/>
      <c r="G190" s="367"/>
      <c r="H190" s="172"/>
      <c r="I190" s="367"/>
      <c r="J190" s="172"/>
    </row>
    <row r="191">
      <c r="A191" s="172"/>
      <c r="B191" s="172"/>
      <c r="C191" s="172"/>
      <c r="D191" s="172"/>
      <c r="E191" s="172"/>
      <c r="F191" s="172"/>
      <c r="G191" s="367"/>
      <c r="H191" s="172"/>
      <c r="I191" s="367"/>
      <c r="J191" s="172"/>
    </row>
    <row r="192">
      <c r="A192" s="172"/>
      <c r="B192" s="172"/>
      <c r="C192" s="172"/>
      <c r="D192" s="172"/>
      <c r="E192" s="172"/>
      <c r="F192" s="172"/>
      <c r="G192" s="367"/>
      <c r="H192" s="172"/>
      <c r="I192" s="367"/>
      <c r="J192" s="172"/>
    </row>
    <row r="193">
      <c r="A193" s="172"/>
      <c r="B193" s="172"/>
      <c r="C193" s="172"/>
      <c r="D193" s="172"/>
      <c r="E193" s="172"/>
      <c r="F193" s="172"/>
      <c r="G193" s="367"/>
      <c r="H193" s="172"/>
      <c r="I193" s="367"/>
      <c r="J193" s="172"/>
    </row>
    <row r="194">
      <c r="A194" s="172"/>
      <c r="B194" s="172"/>
      <c r="C194" s="172"/>
      <c r="D194" s="172"/>
      <c r="E194" s="172"/>
      <c r="F194" s="172"/>
      <c r="G194" s="367"/>
      <c r="H194" s="172"/>
      <c r="I194" s="367"/>
      <c r="J194" s="172"/>
    </row>
    <row r="195">
      <c r="A195" s="172"/>
      <c r="B195" s="172"/>
      <c r="C195" s="172"/>
      <c r="D195" s="172"/>
      <c r="E195" s="172"/>
      <c r="F195" s="172"/>
      <c r="G195" s="367"/>
      <c r="H195" s="172"/>
      <c r="I195" s="367"/>
      <c r="J195" s="172"/>
    </row>
    <row r="196">
      <c r="A196" s="172"/>
      <c r="B196" s="172"/>
      <c r="C196" s="172"/>
      <c r="D196" s="172"/>
      <c r="E196" s="172"/>
      <c r="F196" s="172"/>
      <c r="G196" s="367"/>
      <c r="H196" s="172"/>
      <c r="I196" s="367"/>
      <c r="J196" s="172"/>
    </row>
    <row r="197">
      <c r="A197" s="172"/>
      <c r="B197" s="172"/>
      <c r="C197" s="172"/>
      <c r="D197" s="172"/>
      <c r="E197" s="172"/>
      <c r="F197" s="172"/>
      <c r="G197" s="367"/>
      <c r="H197" s="172"/>
      <c r="I197" s="367"/>
      <c r="J197" s="172"/>
    </row>
    <row r="198">
      <c r="A198" s="172"/>
      <c r="B198" s="172"/>
      <c r="C198" s="172"/>
      <c r="D198" s="172"/>
      <c r="E198" s="172"/>
      <c r="F198" s="172"/>
      <c r="G198" s="367"/>
      <c r="H198" s="172"/>
      <c r="I198" s="367"/>
      <c r="J198" s="172"/>
    </row>
    <row r="199">
      <c r="A199" s="172"/>
      <c r="B199" s="172"/>
      <c r="C199" s="172"/>
      <c r="D199" s="172"/>
      <c r="E199" s="172"/>
      <c r="F199" s="172"/>
      <c r="G199" s="367"/>
      <c r="H199" s="172"/>
      <c r="I199" s="367"/>
      <c r="J199" s="172"/>
    </row>
    <row r="200">
      <c r="A200" s="172"/>
      <c r="B200" s="172"/>
      <c r="C200" s="172"/>
      <c r="D200" s="172"/>
      <c r="E200" s="172"/>
      <c r="F200" s="172"/>
      <c r="G200" s="367"/>
      <c r="H200" s="172"/>
      <c r="I200" s="367"/>
      <c r="J200" s="172"/>
    </row>
    <row r="201">
      <c r="A201" s="172"/>
      <c r="B201" s="172"/>
      <c r="C201" s="172"/>
      <c r="D201" s="172"/>
      <c r="E201" s="172"/>
      <c r="F201" s="172"/>
      <c r="G201" s="367"/>
      <c r="H201" s="172"/>
      <c r="I201" s="367"/>
      <c r="J201" s="172"/>
    </row>
    <row r="202">
      <c r="A202" s="172"/>
      <c r="B202" s="172"/>
      <c r="C202" s="172"/>
      <c r="D202" s="172"/>
      <c r="E202" s="172"/>
      <c r="F202" s="172"/>
      <c r="G202" s="367"/>
      <c r="H202" s="172"/>
      <c r="I202" s="367"/>
      <c r="J202" s="172"/>
    </row>
    <row r="203">
      <c r="A203" s="172"/>
      <c r="B203" s="172"/>
      <c r="C203" s="172"/>
      <c r="D203" s="172"/>
      <c r="E203" s="172"/>
      <c r="F203" s="172"/>
      <c r="G203" s="367"/>
      <c r="H203" s="172"/>
      <c r="I203" s="367"/>
      <c r="J203" s="172"/>
    </row>
    <row r="204">
      <c r="A204" s="172"/>
      <c r="B204" s="172"/>
      <c r="C204" s="172"/>
      <c r="D204" s="172"/>
      <c r="E204" s="172"/>
      <c r="F204" s="172"/>
      <c r="G204" s="367"/>
      <c r="H204" s="172"/>
      <c r="I204" s="367"/>
      <c r="J204" s="172"/>
    </row>
    <row r="205">
      <c r="A205" s="172"/>
      <c r="B205" s="172"/>
      <c r="C205" s="172"/>
      <c r="D205" s="172"/>
      <c r="E205" s="172"/>
      <c r="F205" s="172"/>
      <c r="G205" s="367"/>
      <c r="H205" s="172"/>
      <c r="I205" s="367"/>
      <c r="J205" s="172"/>
    </row>
    <row r="206">
      <c r="A206" s="172"/>
      <c r="B206" s="172"/>
      <c r="C206" s="172"/>
      <c r="D206" s="172"/>
      <c r="E206" s="172"/>
      <c r="F206" s="172"/>
      <c r="G206" s="367"/>
      <c r="H206" s="172"/>
      <c r="I206" s="367"/>
      <c r="J206" s="172"/>
    </row>
    <row r="207">
      <c r="A207" s="172"/>
      <c r="B207" s="172"/>
      <c r="C207" s="172"/>
      <c r="D207" s="172"/>
      <c r="E207" s="172"/>
      <c r="F207" s="172"/>
      <c r="G207" s="367"/>
      <c r="H207" s="172"/>
      <c r="I207" s="367"/>
      <c r="J207" s="172"/>
    </row>
    <row r="208">
      <c r="A208" s="172"/>
      <c r="B208" s="172"/>
      <c r="C208" s="172"/>
      <c r="D208" s="172"/>
      <c r="E208" s="172"/>
      <c r="F208" s="172"/>
      <c r="G208" s="367"/>
      <c r="H208" s="172"/>
      <c r="I208" s="367"/>
      <c r="J208" s="172"/>
    </row>
    <row r="209">
      <c r="A209" s="172"/>
      <c r="B209" s="172"/>
      <c r="C209" s="172"/>
      <c r="D209" s="172"/>
      <c r="E209" s="172"/>
      <c r="F209" s="172"/>
      <c r="G209" s="367"/>
      <c r="H209" s="172"/>
      <c r="I209" s="367"/>
      <c r="J209" s="172"/>
    </row>
    <row r="210">
      <c r="A210" s="172"/>
      <c r="B210" s="172"/>
      <c r="C210" s="172"/>
      <c r="D210" s="172"/>
      <c r="E210" s="172"/>
      <c r="F210" s="172"/>
      <c r="G210" s="367"/>
      <c r="H210" s="172"/>
      <c r="I210" s="367"/>
      <c r="J210" s="172"/>
    </row>
    <row r="211">
      <c r="A211" s="172"/>
      <c r="B211" s="172"/>
      <c r="C211" s="172"/>
      <c r="D211" s="172"/>
      <c r="E211" s="172"/>
      <c r="F211" s="172"/>
      <c r="G211" s="367"/>
      <c r="H211" s="172"/>
      <c r="I211" s="367"/>
      <c r="J211" s="172"/>
    </row>
    <row r="212">
      <c r="A212" s="172"/>
      <c r="B212" s="172"/>
      <c r="C212" s="172"/>
      <c r="D212" s="172"/>
      <c r="E212" s="172"/>
      <c r="F212" s="172"/>
      <c r="G212" s="367"/>
      <c r="H212" s="172"/>
      <c r="I212" s="367"/>
      <c r="J212" s="172"/>
    </row>
    <row r="213">
      <c r="A213" s="172"/>
      <c r="B213" s="172"/>
      <c r="C213" s="172"/>
      <c r="D213" s="172"/>
      <c r="E213" s="172"/>
      <c r="F213" s="172"/>
      <c r="G213" s="367"/>
      <c r="H213" s="172"/>
      <c r="I213" s="367"/>
      <c r="J213" s="172"/>
    </row>
    <row r="214">
      <c r="A214" s="172"/>
      <c r="B214" s="172"/>
      <c r="C214" s="172"/>
      <c r="D214" s="172"/>
      <c r="E214" s="172"/>
      <c r="F214" s="172"/>
      <c r="G214" s="367"/>
      <c r="H214" s="172"/>
      <c r="I214" s="367"/>
      <c r="J214" s="172"/>
    </row>
    <row r="215">
      <c r="A215" s="172"/>
      <c r="B215" s="172"/>
      <c r="C215" s="172"/>
      <c r="D215" s="172"/>
      <c r="E215" s="172"/>
      <c r="F215" s="172"/>
      <c r="G215" s="367"/>
      <c r="H215" s="172"/>
      <c r="I215" s="367"/>
      <c r="J215" s="172"/>
    </row>
    <row r="216">
      <c r="A216" s="172"/>
      <c r="B216" s="172"/>
      <c r="C216" s="172"/>
      <c r="D216" s="172"/>
      <c r="E216" s="172"/>
      <c r="F216" s="172"/>
      <c r="G216" s="367"/>
      <c r="H216" s="172"/>
      <c r="I216" s="367"/>
      <c r="J216" s="172"/>
    </row>
    <row r="217">
      <c r="A217" s="172"/>
      <c r="B217" s="172"/>
      <c r="C217" s="172"/>
      <c r="D217" s="172"/>
      <c r="E217" s="172"/>
      <c r="F217" s="172"/>
      <c r="G217" s="367"/>
      <c r="H217" s="172"/>
      <c r="I217" s="367"/>
      <c r="J217" s="172"/>
    </row>
    <row r="218">
      <c r="A218" s="172"/>
      <c r="B218" s="172"/>
      <c r="C218" s="172"/>
      <c r="D218" s="172"/>
      <c r="E218" s="172"/>
      <c r="F218" s="172"/>
      <c r="G218" s="367"/>
      <c r="H218" s="172"/>
      <c r="I218" s="367"/>
      <c r="J218" s="172"/>
    </row>
    <row r="219">
      <c r="A219" s="172"/>
      <c r="B219" s="172"/>
      <c r="C219" s="172"/>
      <c r="D219" s="172"/>
      <c r="E219" s="172"/>
      <c r="F219" s="172"/>
      <c r="G219" s="367"/>
      <c r="H219" s="172"/>
      <c r="I219" s="367"/>
      <c r="J219" s="172"/>
    </row>
    <row r="220">
      <c r="A220" s="172"/>
      <c r="B220" s="172"/>
      <c r="C220" s="172"/>
      <c r="D220" s="172"/>
      <c r="E220" s="172"/>
      <c r="F220" s="172"/>
      <c r="G220" s="367"/>
      <c r="H220" s="172"/>
      <c r="I220" s="367"/>
      <c r="J220" s="172"/>
    </row>
    <row r="221">
      <c r="A221" s="172"/>
      <c r="B221" s="172"/>
      <c r="C221" s="172"/>
      <c r="D221" s="172"/>
      <c r="E221" s="172"/>
      <c r="F221" s="172"/>
      <c r="G221" s="367"/>
      <c r="H221" s="172"/>
      <c r="I221" s="367"/>
      <c r="J221" s="172"/>
    </row>
    <row r="222">
      <c r="A222" s="172"/>
      <c r="B222" s="172"/>
      <c r="C222" s="172"/>
      <c r="D222" s="172"/>
      <c r="E222" s="172"/>
      <c r="F222" s="172"/>
      <c r="G222" s="367"/>
      <c r="H222" s="172"/>
      <c r="I222" s="367"/>
      <c r="J222" s="172"/>
    </row>
    <row r="223">
      <c r="A223" s="172"/>
      <c r="B223" s="172"/>
      <c r="C223" s="172"/>
      <c r="D223" s="172"/>
      <c r="E223" s="172"/>
      <c r="F223" s="172"/>
      <c r="G223" s="367"/>
      <c r="H223" s="172"/>
      <c r="I223" s="367"/>
      <c r="J223" s="172"/>
    </row>
    <row r="224">
      <c r="A224" s="172"/>
      <c r="B224" s="172"/>
      <c r="C224" s="172"/>
      <c r="D224" s="172"/>
      <c r="E224" s="172"/>
      <c r="F224" s="172"/>
      <c r="G224" s="367"/>
      <c r="H224" s="172"/>
      <c r="I224" s="367"/>
      <c r="J224" s="172"/>
    </row>
    <row r="225">
      <c r="A225" s="172"/>
      <c r="B225" s="172"/>
      <c r="C225" s="172"/>
      <c r="D225" s="172"/>
      <c r="E225" s="172"/>
      <c r="F225" s="172"/>
      <c r="G225" s="367"/>
      <c r="H225" s="172"/>
      <c r="I225" s="367"/>
      <c r="J225" s="172"/>
    </row>
    <row r="226">
      <c r="A226" s="172"/>
      <c r="B226" s="172"/>
      <c r="C226" s="172"/>
      <c r="D226" s="172"/>
      <c r="E226" s="172"/>
      <c r="F226" s="172"/>
      <c r="G226" s="367"/>
      <c r="H226" s="172"/>
      <c r="I226" s="367"/>
      <c r="J226" s="172"/>
    </row>
    <row r="227">
      <c r="A227" s="172"/>
      <c r="B227" s="172"/>
      <c r="C227" s="172"/>
      <c r="D227" s="172"/>
      <c r="E227" s="172"/>
      <c r="F227" s="172"/>
      <c r="G227" s="367"/>
      <c r="H227" s="172"/>
      <c r="I227" s="367"/>
      <c r="J227" s="172"/>
    </row>
    <row r="228">
      <c r="A228" s="172"/>
      <c r="B228" s="172"/>
      <c r="C228" s="172"/>
      <c r="D228" s="172"/>
      <c r="E228" s="172"/>
      <c r="F228" s="172"/>
      <c r="G228" s="367"/>
      <c r="H228" s="172"/>
      <c r="I228" s="367"/>
      <c r="J228" s="172"/>
    </row>
    <row r="229">
      <c r="A229" s="172"/>
      <c r="B229" s="172"/>
      <c r="C229" s="172"/>
      <c r="D229" s="172"/>
      <c r="E229" s="172"/>
      <c r="F229" s="172"/>
      <c r="G229" s="367"/>
      <c r="H229" s="172"/>
      <c r="I229" s="367"/>
      <c r="J229" s="172"/>
    </row>
    <row r="230">
      <c r="A230" s="172"/>
      <c r="B230" s="172"/>
      <c r="C230" s="172"/>
      <c r="D230" s="172"/>
      <c r="E230" s="172"/>
      <c r="F230" s="172"/>
      <c r="G230" s="367"/>
      <c r="H230" s="172"/>
      <c r="I230" s="367"/>
      <c r="J230" s="172"/>
    </row>
    <row r="231">
      <c r="A231" s="172"/>
      <c r="B231" s="172"/>
      <c r="C231" s="172"/>
      <c r="D231" s="172"/>
      <c r="E231" s="172"/>
      <c r="F231" s="172"/>
      <c r="G231" s="367"/>
      <c r="H231" s="172"/>
      <c r="I231" s="367"/>
      <c r="J231" s="172"/>
    </row>
    <row r="232">
      <c r="A232" s="172"/>
      <c r="B232" s="172"/>
      <c r="C232" s="172"/>
      <c r="D232" s="172"/>
      <c r="E232" s="172"/>
      <c r="F232" s="172"/>
      <c r="G232" s="367"/>
      <c r="H232" s="172"/>
      <c r="I232" s="367"/>
      <c r="J232" s="172"/>
    </row>
    <row r="233">
      <c r="A233" s="172"/>
      <c r="B233" s="172"/>
      <c r="C233" s="172"/>
      <c r="D233" s="172"/>
      <c r="E233" s="172"/>
      <c r="F233" s="172"/>
      <c r="G233" s="367"/>
      <c r="H233" s="172"/>
      <c r="I233" s="367"/>
      <c r="J233" s="172"/>
    </row>
    <row r="234">
      <c r="A234" s="172"/>
      <c r="B234" s="172"/>
      <c r="C234" s="172"/>
      <c r="D234" s="172"/>
      <c r="E234" s="172"/>
      <c r="F234" s="172"/>
      <c r="G234" s="367"/>
      <c r="H234" s="172"/>
      <c r="I234" s="367"/>
      <c r="J234" s="172"/>
    </row>
    <row r="235">
      <c r="A235" s="172"/>
      <c r="B235" s="172"/>
      <c r="C235" s="172"/>
      <c r="D235" s="172"/>
      <c r="E235" s="172"/>
      <c r="F235" s="172"/>
      <c r="G235" s="367"/>
      <c r="H235" s="172"/>
      <c r="I235" s="367"/>
      <c r="J235" s="172"/>
    </row>
    <row r="236">
      <c r="A236" s="172"/>
      <c r="B236" s="172"/>
      <c r="C236" s="172"/>
      <c r="D236" s="172"/>
      <c r="E236" s="172"/>
      <c r="F236" s="172"/>
      <c r="G236" s="367"/>
      <c r="H236" s="172"/>
      <c r="I236" s="367"/>
      <c r="J236" s="172"/>
    </row>
    <row r="237">
      <c r="A237" s="172"/>
      <c r="B237" s="172"/>
      <c r="C237" s="172"/>
      <c r="D237" s="172"/>
      <c r="E237" s="172"/>
      <c r="F237" s="172"/>
      <c r="G237" s="367"/>
      <c r="H237" s="172"/>
      <c r="I237" s="367"/>
      <c r="J237" s="172"/>
    </row>
    <row r="238">
      <c r="A238" s="172"/>
      <c r="B238" s="172"/>
      <c r="C238" s="172"/>
      <c r="D238" s="172"/>
      <c r="E238" s="172"/>
      <c r="F238" s="172"/>
      <c r="G238" s="367"/>
      <c r="H238" s="172"/>
      <c r="I238" s="367"/>
      <c r="J238" s="172"/>
    </row>
    <row r="239">
      <c r="A239" s="172"/>
      <c r="B239" s="172"/>
      <c r="C239" s="172"/>
      <c r="D239" s="172"/>
      <c r="E239" s="172"/>
      <c r="F239" s="172"/>
      <c r="G239" s="367"/>
      <c r="H239" s="172"/>
      <c r="I239" s="367"/>
      <c r="J239" s="172"/>
    </row>
    <row r="240">
      <c r="A240" s="172"/>
      <c r="B240" s="172"/>
      <c r="C240" s="172"/>
      <c r="D240" s="172"/>
      <c r="E240" s="172"/>
      <c r="F240" s="172"/>
      <c r="G240" s="367"/>
      <c r="H240" s="172"/>
      <c r="I240" s="367"/>
      <c r="J240" s="172"/>
    </row>
    <row r="241">
      <c r="A241" s="172"/>
      <c r="B241" s="172"/>
      <c r="C241" s="172"/>
      <c r="D241" s="172"/>
      <c r="E241" s="172"/>
      <c r="F241" s="172"/>
      <c r="G241" s="367"/>
      <c r="H241" s="172"/>
      <c r="I241" s="367"/>
      <c r="J241" s="172"/>
    </row>
    <row r="242">
      <c r="A242" s="172"/>
      <c r="B242" s="172"/>
      <c r="C242" s="172"/>
      <c r="D242" s="172"/>
      <c r="E242" s="172"/>
      <c r="F242" s="172"/>
      <c r="G242" s="367"/>
      <c r="H242" s="172"/>
      <c r="I242" s="367"/>
      <c r="J242" s="172"/>
    </row>
    <row r="243">
      <c r="A243" s="172"/>
      <c r="B243" s="172"/>
      <c r="C243" s="172"/>
      <c r="D243" s="172"/>
      <c r="E243" s="172"/>
      <c r="F243" s="172"/>
      <c r="G243" s="367"/>
      <c r="H243" s="172"/>
      <c r="I243" s="367"/>
      <c r="J243" s="172"/>
    </row>
    <row r="244">
      <c r="A244" s="172"/>
      <c r="B244" s="172"/>
      <c r="C244" s="172"/>
      <c r="D244" s="172"/>
      <c r="E244" s="172"/>
      <c r="F244" s="172"/>
      <c r="G244" s="367"/>
      <c r="H244" s="172"/>
      <c r="I244" s="367"/>
      <c r="J244" s="172"/>
    </row>
    <row r="245">
      <c r="A245" s="172"/>
      <c r="B245" s="172"/>
      <c r="C245" s="172"/>
      <c r="D245" s="172"/>
      <c r="E245" s="172"/>
      <c r="F245" s="172"/>
      <c r="G245" s="367"/>
      <c r="H245" s="172"/>
      <c r="I245" s="367"/>
      <c r="J245" s="172"/>
    </row>
    <row r="246">
      <c r="A246" s="172"/>
      <c r="B246" s="172"/>
      <c r="C246" s="172"/>
      <c r="D246" s="172"/>
      <c r="E246" s="172"/>
      <c r="F246" s="172"/>
      <c r="G246" s="367"/>
      <c r="H246" s="172"/>
      <c r="I246" s="367"/>
      <c r="J246" s="172"/>
    </row>
    <row r="247">
      <c r="A247" s="172"/>
      <c r="B247" s="172"/>
      <c r="C247" s="172"/>
      <c r="D247" s="172"/>
      <c r="E247" s="172"/>
      <c r="F247" s="172"/>
      <c r="G247" s="367"/>
      <c r="H247" s="172"/>
      <c r="I247" s="367"/>
      <c r="J247" s="172"/>
    </row>
    <row r="248">
      <c r="A248" s="172"/>
      <c r="B248" s="172"/>
      <c r="C248" s="172"/>
      <c r="D248" s="172"/>
      <c r="E248" s="172"/>
      <c r="F248" s="172"/>
      <c r="G248" s="367"/>
      <c r="H248" s="172"/>
      <c r="I248" s="367"/>
      <c r="J248" s="172"/>
    </row>
    <row r="249">
      <c r="A249" s="172"/>
      <c r="B249" s="172"/>
      <c r="C249" s="172"/>
      <c r="D249" s="172"/>
      <c r="E249" s="172"/>
      <c r="F249" s="172"/>
      <c r="G249" s="367"/>
      <c r="H249" s="172"/>
      <c r="I249" s="367"/>
      <c r="J249" s="172"/>
    </row>
    <row r="250">
      <c r="A250" s="172"/>
      <c r="B250" s="172"/>
      <c r="C250" s="172"/>
      <c r="D250" s="172"/>
      <c r="E250" s="172"/>
      <c r="F250" s="172"/>
      <c r="G250" s="367"/>
      <c r="H250" s="172"/>
      <c r="I250" s="367"/>
      <c r="J250" s="172"/>
    </row>
    <row r="251">
      <c r="A251" s="172"/>
      <c r="B251" s="172"/>
      <c r="C251" s="172"/>
      <c r="D251" s="172"/>
      <c r="E251" s="172"/>
      <c r="F251" s="172"/>
      <c r="G251" s="367"/>
      <c r="H251" s="172"/>
      <c r="I251" s="367"/>
      <c r="J251" s="172"/>
    </row>
    <row r="252">
      <c r="A252" s="172"/>
      <c r="B252" s="172"/>
      <c r="C252" s="172"/>
      <c r="D252" s="172"/>
      <c r="E252" s="172"/>
      <c r="F252" s="172"/>
      <c r="G252" s="367"/>
      <c r="H252" s="172"/>
      <c r="I252" s="367"/>
      <c r="J252" s="172"/>
    </row>
    <row r="253">
      <c r="A253" s="172"/>
      <c r="B253" s="172"/>
      <c r="C253" s="172"/>
      <c r="D253" s="172"/>
      <c r="E253" s="172"/>
      <c r="F253" s="172"/>
      <c r="G253" s="367"/>
      <c r="H253" s="172"/>
      <c r="I253" s="367"/>
      <c r="J253" s="172"/>
    </row>
    <row r="254">
      <c r="A254" s="172"/>
      <c r="B254" s="172"/>
      <c r="C254" s="172"/>
      <c r="D254" s="172"/>
      <c r="E254" s="172"/>
      <c r="F254" s="172"/>
      <c r="G254" s="367"/>
      <c r="H254" s="172"/>
      <c r="I254" s="367"/>
      <c r="J254" s="172"/>
    </row>
    <row r="255">
      <c r="A255" s="172"/>
      <c r="B255" s="172"/>
      <c r="C255" s="172"/>
      <c r="D255" s="172"/>
      <c r="E255" s="172"/>
      <c r="F255" s="172"/>
      <c r="G255" s="367"/>
      <c r="H255" s="172"/>
      <c r="I255" s="367"/>
      <c r="J255" s="172"/>
    </row>
    <row r="256">
      <c r="A256" s="172"/>
      <c r="B256" s="172"/>
      <c r="C256" s="172"/>
      <c r="D256" s="172"/>
      <c r="E256" s="172"/>
      <c r="F256" s="172"/>
      <c r="G256" s="367"/>
      <c r="H256" s="172"/>
      <c r="I256" s="367"/>
      <c r="J256" s="172"/>
    </row>
    <row r="257">
      <c r="A257" s="172"/>
      <c r="B257" s="172"/>
      <c r="C257" s="172"/>
      <c r="D257" s="172"/>
      <c r="E257" s="172"/>
      <c r="F257" s="172"/>
      <c r="G257" s="367"/>
      <c r="H257" s="172"/>
      <c r="I257" s="367"/>
      <c r="J257" s="172"/>
    </row>
    <row r="258">
      <c r="A258" s="172"/>
      <c r="B258" s="172"/>
      <c r="C258" s="172"/>
      <c r="D258" s="172"/>
      <c r="E258" s="172"/>
      <c r="F258" s="172"/>
      <c r="G258" s="367"/>
      <c r="H258" s="172"/>
      <c r="I258" s="367"/>
      <c r="J258" s="172"/>
    </row>
    <row r="259">
      <c r="A259" s="172"/>
      <c r="B259" s="172"/>
      <c r="C259" s="172"/>
      <c r="D259" s="172"/>
      <c r="E259" s="172"/>
      <c r="F259" s="172"/>
      <c r="G259" s="367"/>
      <c r="H259" s="172"/>
      <c r="I259" s="367"/>
      <c r="J259" s="172"/>
    </row>
    <row r="260">
      <c r="A260" s="172"/>
      <c r="B260" s="172"/>
      <c r="C260" s="172"/>
      <c r="D260" s="172"/>
      <c r="E260" s="172"/>
      <c r="F260" s="172"/>
      <c r="G260" s="367"/>
      <c r="H260" s="172"/>
      <c r="I260" s="367"/>
      <c r="J260" s="172"/>
    </row>
    <row r="261">
      <c r="A261" s="172"/>
      <c r="B261" s="172"/>
      <c r="C261" s="172"/>
      <c r="D261" s="172"/>
      <c r="E261" s="172"/>
      <c r="F261" s="172"/>
      <c r="G261" s="367"/>
      <c r="H261" s="172"/>
      <c r="I261" s="367"/>
      <c r="J261" s="172"/>
    </row>
    <row r="262">
      <c r="A262" s="172"/>
      <c r="B262" s="172"/>
      <c r="C262" s="172"/>
      <c r="D262" s="172"/>
      <c r="E262" s="172"/>
      <c r="F262" s="172"/>
      <c r="G262" s="367"/>
      <c r="H262" s="172"/>
      <c r="I262" s="367"/>
      <c r="J262" s="172"/>
    </row>
    <row r="263">
      <c r="A263" s="172"/>
      <c r="B263" s="172"/>
      <c r="C263" s="172"/>
      <c r="D263" s="172"/>
      <c r="E263" s="172"/>
      <c r="F263" s="172"/>
      <c r="G263" s="367"/>
      <c r="H263" s="172"/>
      <c r="I263" s="367"/>
      <c r="J263" s="172"/>
    </row>
    <row r="264">
      <c r="A264" s="172"/>
      <c r="B264" s="172"/>
      <c r="C264" s="172"/>
      <c r="D264" s="172"/>
      <c r="E264" s="172"/>
      <c r="F264" s="172"/>
      <c r="G264" s="367"/>
      <c r="H264" s="172"/>
      <c r="I264" s="367"/>
      <c r="J264" s="172"/>
    </row>
    <row r="265">
      <c r="A265" s="172"/>
      <c r="B265" s="172"/>
      <c r="C265" s="172"/>
      <c r="D265" s="172"/>
      <c r="E265" s="172"/>
      <c r="F265" s="172"/>
      <c r="G265" s="367"/>
      <c r="H265" s="172"/>
      <c r="I265" s="367"/>
      <c r="J265" s="172"/>
    </row>
    <row r="266">
      <c r="A266" s="172"/>
      <c r="B266" s="172"/>
      <c r="C266" s="172"/>
      <c r="D266" s="172"/>
      <c r="E266" s="172"/>
      <c r="F266" s="172"/>
      <c r="G266" s="367"/>
      <c r="H266" s="172"/>
      <c r="I266" s="367"/>
      <c r="J266" s="172"/>
    </row>
    <row r="267">
      <c r="A267" s="172"/>
      <c r="B267" s="172"/>
      <c r="C267" s="172"/>
      <c r="D267" s="172"/>
      <c r="E267" s="172"/>
      <c r="F267" s="172"/>
      <c r="G267" s="367"/>
      <c r="H267" s="172"/>
      <c r="I267" s="367"/>
      <c r="J267" s="172"/>
    </row>
    <row r="268">
      <c r="A268" s="172"/>
      <c r="B268" s="172"/>
      <c r="C268" s="172"/>
      <c r="D268" s="172"/>
      <c r="E268" s="172"/>
      <c r="F268" s="172"/>
      <c r="G268" s="367"/>
      <c r="H268" s="172"/>
      <c r="I268" s="367"/>
      <c r="J268" s="172"/>
    </row>
    <row r="269">
      <c r="A269" s="172"/>
      <c r="B269" s="172"/>
      <c r="C269" s="172"/>
      <c r="D269" s="172"/>
      <c r="E269" s="172"/>
      <c r="F269" s="172"/>
      <c r="G269" s="367"/>
      <c r="H269" s="172"/>
      <c r="I269" s="367"/>
      <c r="J269" s="172"/>
    </row>
    <row r="270">
      <c r="A270" s="172"/>
      <c r="B270" s="172"/>
      <c r="C270" s="172"/>
      <c r="D270" s="172"/>
      <c r="E270" s="172"/>
      <c r="F270" s="172"/>
      <c r="G270" s="367"/>
      <c r="H270" s="172"/>
      <c r="I270" s="367"/>
      <c r="J270" s="172"/>
    </row>
    <row r="271">
      <c r="A271" s="172"/>
      <c r="B271" s="172"/>
      <c r="C271" s="172"/>
      <c r="D271" s="172"/>
      <c r="E271" s="172"/>
      <c r="F271" s="172"/>
      <c r="G271" s="367"/>
      <c r="H271" s="172"/>
      <c r="I271" s="367"/>
      <c r="J271" s="172"/>
    </row>
    <row r="272">
      <c r="A272" s="172"/>
      <c r="B272" s="172"/>
      <c r="C272" s="172"/>
      <c r="D272" s="172"/>
      <c r="E272" s="172"/>
      <c r="F272" s="172"/>
      <c r="G272" s="367"/>
      <c r="H272" s="172"/>
      <c r="I272" s="367"/>
      <c r="J272" s="172"/>
    </row>
    <row r="273">
      <c r="A273" s="172"/>
      <c r="B273" s="172"/>
      <c r="C273" s="172"/>
      <c r="D273" s="172"/>
      <c r="E273" s="172"/>
      <c r="F273" s="172"/>
      <c r="G273" s="367"/>
      <c r="H273" s="172"/>
      <c r="I273" s="367"/>
      <c r="J273" s="172"/>
    </row>
    <row r="274">
      <c r="A274" s="172"/>
      <c r="B274" s="172"/>
      <c r="C274" s="172"/>
      <c r="D274" s="172"/>
      <c r="E274" s="172"/>
      <c r="F274" s="172"/>
      <c r="G274" s="367"/>
      <c r="H274" s="172"/>
      <c r="I274" s="367"/>
      <c r="J274" s="172"/>
    </row>
    <row r="275">
      <c r="A275" s="172"/>
      <c r="B275" s="172"/>
      <c r="C275" s="172"/>
      <c r="D275" s="172"/>
      <c r="E275" s="172"/>
      <c r="F275" s="172"/>
      <c r="G275" s="367"/>
      <c r="H275" s="172"/>
      <c r="I275" s="367"/>
      <c r="J275" s="172"/>
    </row>
    <row r="276">
      <c r="A276" s="172"/>
      <c r="B276" s="172"/>
      <c r="C276" s="172"/>
      <c r="D276" s="172"/>
      <c r="E276" s="172"/>
      <c r="F276" s="172"/>
      <c r="G276" s="367"/>
      <c r="H276" s="172"/>
      <c r="I276" s="367"/>
      <c r="J276" s="172"/>
    </row>
    <row r="277">
      <c r="A277" s="172"/>
      <c r="B277" s="172"/>
      <c r="C277" s="172"/>
      <c r="D277" s="172"/>
      <c r="E277" s="172"/>
      <c r="F277" s="172"/>
      <c r="G277" s="367"/>
      <c r="H277" s="172"/>
      <c r="I277" s="367"/>
      <c r="J277" s="172"/>
    </row>
    <row r="278">
      <c r="A278" s="172"/>
      <c r="B278" s="172"/>
      <c r="C278" s="172"/>
      <c r="D278" s="172"/>
      <c r="E278" s="172"/>
      <c r="F278" s="172"/>
      <c r="G278" s="367"/>
      <c r="H278" s="172"/>
      <c r="I278" s="367"/>
      <c r="J278" s="172"/>
    </row>
    <row r="279">
      <c r="A279" s="172"/>
      <c r="B279" s="172"/>
      <c r="C279" s="172"/>
      <c r="D279" s="172"/>
      <c r="E279" s="172"/>
      <c r="F279" s="172"/>
      <c r="G279" s="367"/>
      <c r="H279" s="172"/>
      <c r="I279" s="367"/>
      <c r="J279" s="172"/>
    </row>
    <row r="280">
      <c r="A280" s="172"/>
      <c r="B280" s="172"/>
      <c r="C280" s="172"/>
      <c r="D280" s="172"/>
      <c r="E280" s="172"/>
      <c r="F280" s="172"/>
      <c r="G280" s="367"/>
      <c r="H280" s="172"/>
      <c r="I280" s="367"/>
      <c r="J280" s="172"/>
    </row>
    <row r="281">
      <c r="A281" s="172"/>
      <c r="B281" s="172"/>
      <c r="C281" s="172"/>
      <c r="D281" s="172"/>
      <c r="E281" s="172"/>
      <c r="F281" s="172"/>
      <c r="G281" s="367"/>
      <c r="H281" s="172"/>
      <c r="I281" s="367"/>
      <c r="J281" s="172"/>
    </row>
    <row r="282">
      <c r="A282" s="172"/>
      <c r="B282" s="172"/>
      <c r="C282" s="172"/>
      <c r="D282" s="172"/>
      <c r="E282" s="172"/>
      <c r="F282" s="172"/>
      <c r="G282" s="367"/>
      <c r="H282" s="172"/>
      <c r="I282" s="367"/>
      <c r="J282" s="172"/>
    </row>
    <row r="283">
      <c r="A283" s="172"/>
      <c r="B283" s="172"/>
      <c r="C283" s="172"/>
      <c r="D283" s="172"/>
      <c r="E283" s="172"/>
      <c r="F283" s="172"/>
      <c r="G283" s="367"/>
      <c r="H283" s="172"/>
      <c r="I283" s="367"/>
      <c r="J283" s="172"/>
    </row>
    <row r="284">
      <c r="A284" s="172"/>
      <c r="B284" s="172"/>
      <c r="C284" s="172"/>
      <c r="D284" s="172"/>
      <c r="E284" s="172"/>
      <c r="F284" s="172"/>
      <c r="G284" s="367"/>
      <c r="H284" s="172"/>
      <c r="I284" s="367"/>
      <c r="J284" s="172"/>
    </row>
    <row r="285">
      <c r="A285" s="172"/>
      <c r="B285" s="172"/>
      <c r="C285" s="172"/>
      <c r="D285" s="172"/>
      <c r="E285" s="172"/>
      <c r="F285" s="172"/>
      <c r="G285" s="367"/>
      <c r="H285" s="172"/>
      <c r="I285" s="367"/>
      <c r="J285" s="172"/>
    </row>
    <row r="286">
      <c r="A286" s="172"/>
      <c r="B286" s="172"/>
      <c r="C286" s="172"/>
      <c r="D286" s="172"/>
      <c r="E286" s="172"/>
      <c r="F286" s="172"/>
      <c r="G286" s="367"/>
      <c r="H286" s="172"/>
      <c r="I286" s="367"/>
      <c r="J286" s="172"/>
    </row>
    <row r="287">
      <c r="A287" s="172"/>
      <c r="B287" s="172"/>
      <c r="C287" s="172"/>
      <c r="D287" s="172"/>
      <c r="E287" s="172"/>
      <c r="F287" s="172"/>
      <c r="G287" s="367"/>
      <c r="H287" s="172"/>
      <c r="I287" s="367"/>
      <c r="J287" s="172"/>
    </row>
    <row r="288">
      <c r="A288" s="172"/>
      <c r="B288" s="172"/>
      <c r="C288" s="172"/>
      <c r="D288" s="172"/>
      <c r="E288" s="172"/>
      <c r="F288" s="172"/>
      <c r="G288" s="367"/>
      <c r="H288" s="172"/>
      <c r="I288" s="367"/>
      <c r="J288" s="172"/>
    </row>
    <row r="289">
      <c r="A289" s="172"/>
      <c r="B289" s="172"/>
      <c r="C289" s="172"/>
      <c r="D289" s="172"/>
      <c r="E289" s="172"/>
      <c r="F289" s="172"/>
      <c r="G289" s="367"/>
      <c r="H289" s="172"/>
      <c r="I289" s="367"/>
      <c r="J289" s="172"/>
    </row>
    <row r="290">
      <c r="A290" s="172"/>
      <c r="B290" s="172"/>
      <c r="C290" s="172"/>
      <c r="D290" s="172"/>
      <c r="E290" s="172"/>
      <c r="F290" s="172"/>
      <c r="G290" s="367"/>
      <c r="H290" s="172"/>
      <c r="I290" s="367"/>
      <c r="J290" s="172"/>
    </row>
    <row r="291">
      <c r="A291" s="172"/>
      <c r="B291" s="172"/>
      <c r="C291" s="172"/>
      <c r="D291" s="172"/>
      <c r="E291" s="172"/>
      <c r="F291" s="172"/>
      <c r="G291" s="367"/>
      <c r="H291" s="172"/>
      <c r="I291" s="367"/>
      <c r="J291" s="172"/>
    </row>
    <row r="292">
      <c r="A292" s="172"/>
      <c r="B292" s="172"/>
      <c r="C292" s="172"/>
      <c r="D292" s="172"/>
      <c r="E292" s="172"/>
      <c r="F292" s="172"/>
      <c r="G292" s="367"/>
      <c r="H292" s="172"/>
      <c r="I292" s="367"/>
      <c r="J292" s="172"/>
    </row>
    <row r="293">
      <c r="A293" s="172"/>
      <c r="B293" s="172"/>
      <c r="C293" s="172"/>
      <c r="D293" s="172"/>
      <c r="E293" s="172"/>
      <c r="F293" s="172"/>
      <c r="G293" s="367"/>
      <c r="H293" s="172"/>
      <c r="I293" s="367"/>
      <c r="J293" s="172"/>
    </row>
    <row r="294">
      <c r="A294" s="172"/>
      <c r="B294" s="172"/>
      <c r="C294" s="172"/>
      <c r="D294" s="172"/>
      <c r="E294" s="172"/>
      <c r="F294" s="172"/>
      <c r="G294" s="367"/>
      <c r="H294" s="172"/>
      <c r="I294" s="367"/>
      <c r="J294" s="172"/>
    </row>
    <row r="295">
      <c r="A295" s="172"/>
      <c r="B295" s="172"/>
      <c r="C295" s="172"/>
      <c r="D295" s="172"/>
      <c r="E295" s="172"/>
      <c r="F295" s="172"/>
      <c r="G295" s="367"/>
      <c r="H295" s="172"/>
      <c r="I295" s="367"/>
      <c r="J295" s="172"/>
    </row>
    <row r="296">
      <c r="A296" s="172"/>
      <c r="B296" s="172"/>
      <c r="C296" s="172"/>
      <c r="D296" s="172"/>
      <c r="E296" s="172"/>
      <c r="F296" s="172"/>
      <c r="G296" s="367"/>
      <c r="H296" s="172"/>
      <c r="I296" s="367"/>
      <c r="J296" s="172"/>
    </row>
    <row r="297">
      <c r="A297" s="172"/>
      <c r="B297" s="172"/>
      <c r="C297" s="172"/>
      <c r="D297" s="172"/>
      <c r="E297" s="172"/>
      <c r="F297" s="172"/>
      <c r="G297" s="367"/>
      <c r="H297" s="172"/>
      <c r="I297" s="367"/>
      <c r="J297" s="172"/>
    </row>
    <row r="298">
      <c r="A298" s="172"/>
      <c r="B298" s="172"/>
      <c r="C298" s="172"/>
      <c r="D298" s="172"/>
      <c r="E298" s="172"/>
      <c r="F298" s="172"/>
      <c r="G298" s="367"/>
      <c r="H298" s="172"/>
      <c r="I298" s="367"/>
      <c r="J298" s="172"/>
    </row>
    <row r="299">
      <c r="A299" s="172"/>
      <c r="B299" s="172"/>
      <c r="C299" s="172"/>
      <c r="D299" s="172"/>
      <c r="E299" s="172"/>
      <c r="F299" s="172"/>
      <c r="G299" s="367"/>
      <c r="H299" s="172"/>
      <c r="I299" s="367"/>
      <c r="J299" s="172"/>
    </row>
    <row r="300">
      <c r="A300" s="172"/>
      <c r="B300" s="172"/>
      <c r="C300" s="172"/>
      <c r="D300" s="172"/>
      <c r="E300" s="172"/>
      <c r="F300" s="172"/>
      <c r="G300" s="367"/>
      <c r="H300" s="172"/>
      <c r="I300" s="367"/>
      <c r="J300" s="172"/>
    </row>
    <row r="301">
      <c r="A301" s="172"/>
      <c r="B301" s="172"/>
      <c r="C301" s="172"/>
      <c r="D301" s="172"/>
      <c r="E301" s="172"/>
      <c r="F301" s="172"/>
      <c r="G301" s="367"/>
      <c r="H301" s="172"/>
      <c r="I301" s="367"/>
      <c r="J301" s="172"/>
    </row>
    <row r="302">
      <c r="A302" s="172"/>
      <c r="B302" s="172"/>
      <c r="C302" s="172"/>
      <c r="D302" s="172"/>
      <c r="E302" s="172"/>
      <c r="F302" s="172"/>
      <c r="G302" s="367"/>
      <c r="H302" s="172"/>
      <c r="I302" s="367"/>
      <c r="J302" s="172"/>
    </row>
    <row r="303">
      <c r="A303" s="172"/>
      <c r="B303" s="172"/>
      <c r="C303" s="172"/>
      <c r="D303" s="172"/>
      <c r="E303" s="172"/>
      <c r="F303" s="172"/>
      <c r="G303" s="367"/>
      <c r="H303" s="172"/>
      <c r="I303" s="367"/>
      <c r="J303" s="172"/>
    </row>
    <row r="304">
      <c r="A304" s="172"/>
      <c r="B304" s="172"/>
      <c r="C304" s="172"/>
      <c r="D304" s="172"/>
      <c r="E304" s="172"/>
      <c r="F304" s="172"/>
      <c r="G304" s="367"/>
      <c r="H304" s="172"/>
      <c r="I304" s="367"/>
      <c r="J304" s="172"/>
    </row>
    <row r="305">
      <c r="A305" s="172"/>
      <c r="B305" s="172"/>
      <c r="C305" s="172"/>
      <c r="D305" s="172"/>
      <c r="E305" s="172"/>
      <c r="F305" s="172"/>
      <c r="G305" s="367"/>
      <c r="H305" s="172"/>
      <c r="I305" s="367"/>
      <c r="J305" s="172"/>
    </row>
    <row r="306">
      <c r="A306" s="172"/>
      <c r="B306" s="172"/>
      <c r="C306" s="172"/>
      <c r="D306" s="172"/>
      <c r="E306" s="172"/>
      <c r="F306" s="172"/>
      <c r="G306" s="367"/>
      <c r="H306" s="172"/>
      <c r="I306" s="367"/>
      <c r="J306" s="172"/>
    </row>
    <row r="307">
      <c r="A307" s="172"/>
      <c r="B307" s="172"/>
      <c r="C307" s="172"/>
      <c r="D307" s="172"/>
      <c r="E307" s="172"/>
      <c r="F307" s="172"/>
      <c r="G307" s="367"/>
      <c r="H307" s="172"/>
      <c r="I307" s="367"/>
      <c r="J307" s="172"/>
    </row>
    <row r="308">
      <c r="A308" s="172"/>
      <c r="B308" s="172"/>
      <c r="C308" s="172"/>
      <c r="D308" s="172"/>
      <c r="E308" s="172"/>
      <c r="F308" s="172"/>
      <c r="G308" s="367"/>
      <c r="H308" s="172"/>
      <c r="I308" s="367"/>
      <c r="J308" s="172"/>
    </row>
    <row r="309">
      <c r="A309" s="172"/>
      <c r="B309" s="172"/>
      <c r="C309" s="172"/>
      <c r="D309" s="172"/>
      <c r="E309" s="172"/>
      <c r="F309" s="172"/>
      <c r="G309" s="367"/>
      <c r="H309" s="172"/>
      <c r="I309" s="367"/>
      <c r="J309" s="172"/>
    </row>
    <row r="310">
      <c r="A310" s="172"/>
      <c r="B310" s="172"/>
      <c r="C310" s="172"/>
      <c r="D310" s="172"/>
      <c r="E310" s="172"/>
      <c r="F310" s="172"/>
      <c r="G310" s="367"/>
      <c r="H310" s="172"/>
      <c r="I310" s="367"/>
      <c r="J310" s="172"/>
    </row>
    <row r="311">
      <c r="A311" s="172"/>
      <c r="B311" s="172"/>
      <c r="C311" s="172"/>
      <c r="D311" s="172"/>
      <c r="E311" s="172"/>
      <c r="F311" s="172"/>
      <c r="G311" s="367"/>
      <c r="H311" s="172"/>
      <c r="I311" s="367"/>
      <c r="J311" s="172"/>
    </row>
    <row r="312">
      <c r="A312" s="172"/>
      <c r="B312" s="172"/>
      <c r="C312" s="172"/>
      <c r="D312" s="172"/>
      <c r="E312" s="172"/>
      <c r="F312" s="172"/>
      <c r="G312" s="367"/>
      <c r="H312" s="172"/>
      <c r="I312" s="367"/>
      <c r="J312" s="172"/>
    </row>
    <row r="313">
      <c r="A313" s="172"/>
      <c r="B313" s="172"/>
      <c r="C313" s="172"/>
      <c r="D313" s="172"/>
      <c r="E313" s="172"/>
      <c r="F313" s="172"/>
      <c r="G313" s="367"/>
      <c r="H313" s="172"/>
      <c r="I313" s="367"/>
      <c r="J313" s="172"/>
    </row>
    <row r="314">
      <c r="A314" s="172"/>
      <c r="B314" s="172"/>
      <c r="C314" s="172"/>
      <c r="D314" s="172"/>
      <c r="E314" s="172"/>
      <c r="F314" s="172"/>
      <c r="G314" s="367"/>
      <c r="H314" s="172"/>
      <c r="I314" s="367"/>
      <c r="J314" s="172"/>
    </row>
    <row r="315">
      <c r="A315" s="172"/>
      <c r="B315" s="172"/>
      <c r="C315" s="172"/>
      <c r="D315" s="172"/>
      <c r="E315" s="172"/>
      <c r="F315" s="172"/>
      <c r="G315" s="367"/>
      <c r="H315" s="172"/>
      <c r="I315" s="367"/>
      <c r="J315" s="172"/>
    </row>
    <row r="316">
      <c r="A316" s="172"/>
      <c r="B316" s="172"/>
      <c r="C316" s="172"/>
      <c r="D316" s="172"/>
      <c r="E316" s="172"/>
      <c r="F316" s="172"/>
      <c r="G316" s="367"/>
      <c r="H316" s="172"/>
      <c r="I316" s="367"/>
      <c r="J316" s="172"/>
    </row>
    <row r="317">
      <c r="A317" s="172"/>
      <c r="B317" s="172"/>
      <c r="C317" s="172"/>
      <c r="D317" s="172"/>
      <c r="E317" s="172"/>
      <c r="F317" s="172"/>
      <c r="G317" s="367"/>
      <c r="H317" s="172"/>
      <c r="I317" s="367"/>
      <c r="J317" s="172"/>
    </row>
    <row r="318">
      <c r="A318" s="172"/>
      <c r="B318" s="172"/>
      <c r="C318" s="172"/>
      <c r="D318" s="172"/>
      <c r="E318" s="172"/>
      <c r="F318" s="172"/>
      <c r="G318" s="367"/>
      <c r="H318" s="172"/>
      <c r="I318" s="367"/>
      <c r="J318" s="172"/>
    </row>
    <row r="319">
      <c r="A319" s="172"/>
      <c r="B319" s="172"/>
      <c r="C319" s="172"/>
      <c r="D319" s="172"/>
      <c r="E319" s="172"/>
      <c r="F319" s="172"/>
      <c r="G319" s="367"/>
      <c r="H319" s="172"/>
      <c r="I319" s="367"/>
      <c r="J319" s="172"/>
    </row>
    <row r="320">
      <c r="A320" s="172"/>
      <c r="B320" s="172"/>
      <c r="C320" s="172"/>
      <c r="D320" s="172"/>
      <c r="E320" s="172"/>
      <c r="F320" s="172"/>
      <c r="G320" s="367"/>
      <c r="H320" s="172"/>
      <c r="I320" s="367"/>
      <c r="J320" s="172"/>
    </row>
    <row r="321">
      <c r="A321" s="172"/>
      <c r="B321" s="172"/>
      <c r="C321" s="172"/>
      <c r="D321" s="172"/>
      <c r="E321" s="172"/>
      <c r="F321" s="172"/>
      <c r="G321" s="367"/>
      <c r="H321" s="172"/>
      <c r="I321" s="367"/>
      <c r="J321" s="172"/>
    </row>
    <row r="322">
      <c r="A322" s="172"/>
      <c r="B322" s="172"/>
      <c r="C322" s="172"/>
      <c r="D322" s="172"/>
      <c r="E322" s="172"/>
      <c r="F322" s="172"/>
      <c r="G322" s="367"/>
      <c r="H322" s="172"/>
      <c r="I322" s="367"/>
      <c r="J322" s="172"/>
    </row>
    <row r="323">
      <c r="A323" s="172"/>
      <c r="B323" s="172"/>
      <c r="C323" s="172"/>
      <c r="D323" s="172"/>
      <c r="E323" s="172"/>
      <c r="F323" s="172"/>
      <c r="G323" s="367"/>
      <c r="H323" s="172"/>
      <c r="I323" s="367"/>
      <c r="J323" s="172"/>
    </row>
    <row r="324">
      <c r="A324" s="172"/>
      <c r="B324" s="172"/>
      <c r="C324" s="172"/>
      <c r="D324" s="172"/>
      <c r="E324" s="172"/>
      <c r="F324" s="172"/>
      <c r="G324" s="367"/>
      <c r="H324" s="172"/>
      <c r="I324" s="367"/>
      <c r="J324" s="172"/>
    </row>
    <row r="325">
      <c r="A325" s="172"/>
      <c r="B325" s="172"/>
      <c r="C325" s="172"/>
      <c r="D325" s="172"/>
      <c r="E325" s="172"/>
      <c r="F325" s="172"/>
      <c r="G325" s="367"/>
      <c r="H325" s="172"/>
      <c r="I325" s="367"/>
      <c r="J325" s="172"/>
    </row>
    <row r="326">
      <c r="A326" s="172"/>
      <c r="B326" s="172"/>
      <c r="C326" s="172"/>
      <c r="D326" s="172"/>
      <c r="E326" s="172"/>
      <c r="F326" s="172"/>
      <c r="G326" s="367"/>
      <c r="H326" s="172"/>
      <c r="I326" s="367"/>
      <c r="J326" s="172"/>
    </row>
    <row r="327">
      <c r="A327" s="172"/>
      <c r="B327" s="172"/>
      <c r="C327" s="172"/>
      <c r="D327" s="172"/>
      <c r="E327" s="172"/>
      <c r="F327" s="172"/>
      <c r="G327" s="367"/>
      <c r="H327" s="172"/>
      <c r="I327" s="367"/>
      <c r="J327" s="172"/>
    </row>
    <row r="328">
      <c r="A328" s="172"/>
      <c r="B328" s="172"/>
      <c r="C328" s="172"/>
      <c r="D328" s="172"/>
      <c r="E328" s="172"/>
      <c r="F328" s="172"/>
      <c r="G328" s="367"/>
      <c r="H328" s="172"/>
      <c r="I328" s="367"/>
      <c r="J328" s="172"/>
    </row>
    <row r="329">
      <c r="A329" s="172"/>
      <c r="B329" s="172"/>
      <c r="C329" s="172"/>
      <c r="D329" s="172"/>
      <c r="E329" s="172"/>
      <c r="F329" s="172"/>
      <c r="G329" s="367"/>
      <c r="H329" s="172"/>
      <c r="I329" s="367"/>
      <c r="J329" s="172"/>
    </row>
    <row r="330">
      <c r="A330" s="172"/>
      <c r="B330" s="172"/>
      <c r="C330" s="172"/>
      <c r="D330" s="172"/>
      <c r="E330" s="172"/>
      <c r="F330" s="172"/>
      <c r="G330" s="367"/>
      <c r="H330" s="172"/>
      <c r="I330" s="367"/>
      <c r="J330" s="172"/>
    </row>
    <row r="331">
      <c r="A331" s="172"/>
      <c r="B331" s="172"/>
      <c r="C331" s="172"/>
      <c r="D331" s="172"/>
      <c r="E331" s="172"/>
      <c r="F331" s="172"/>
      <c r="G331" s="367"/>
      <c r="H331" s="172"/>
      <c r="I331" s="367"/>
      <c r="J331" s="172"/>
    </row>
    <row r="332">
      <c r="A332" s="172"/>
      <c r="B332" s="172"/>
      <c r="C332" s="172"/>
      <c r="D332" s="172"/>
      <c r="E332" s="172"/>
      <c r="F332" s="172"/>
      <c r="G332" s="367"/>
      <c r="H332" s="172"/>
      <c r="I332" s="367"/>
      <c r="J332" s="172"/>
    </row>
    <row r="333">
      <c r="A333" s="172"/>
      <c r="B333" s="172"/>
      <c r="C333" s="172"/>
      <c r="D333" s="172"/>
      <c r="E333" s="172"/>
      <c r="F333" s="172"/>
      <c r="G333" s="367"/>
      <c r="H333" s="172"/>
      <c r="I333" s="367"/>
      <c r="J333" s="172"/>
    </row>
    <row r="334">
      <c r="A334" s="172"/>
      <c r="B334" s="172"/>
      <c r="C334" s="172"/>
      <c r="D334" s="172"/>
      <c r="E334" s="172"/>
      <c r="F334" s="172"/>
      <c r="G334" s="367"/>
      <c r="H334" s="172"/>
      <c r="I334" s="367"/>
      <c r="J334" s="172"/>
    </row>
    <row r="335">
      <c r="A335" s="172"/>
      <c r="B335" s="172"/>
      <c r="C335" s="172"/>
      <c r="D335" s="172"/>
      <c r="E335" s="172"/>
      <c r="F335" s="172"/>
      <c r="G335" s="367"/>
      <c r="H335" s="172"/>
      <c r="I335" s="367"/>
      <c r="J335" s="172"/>
    </row>
    <row r="336">
      <c r="A336" s="172"/>
      <c r="B336" s="172"/>
      <c r="C336" s="172"/>
      <c r="D336" s="172"/>
      <c r="E336" s="172"/>
      <c r="F336" s="172"/>
      <c r="G336" s="367"/>
      <c r="H336" s="172"/>
      <c r="I336" s="367"/>
      <c r="J336" s="172"/>
    </row>
    <row r="337">
      <c r="A337" s="172"/>
      <c r="B337" s="172"/>
      <c r="C337" s="172"/>
      <c r="D337" s="172"/>
      <c r="E337" s="172"/>
      <c r="F337" s="172"/>
      <c r="G337" s="367"/>
      <c r="H337" s="172"/>
      <c r="I337" s="367"/>
      <c r="J337" s="172"/>
    </row>
    <row r="338">
      <c r="A338" s="172"/>
      <c r="B338" s="172"/>
      <c r="C338" s="172"/>
      <c r="D338" s="172"/>
      <c r="E338" s="172"/>
      <c r="F338" s="172"/>
      <c r="G338" s="367"/>
      <c r="H338" s="172"/>
      <c r="I338" s="367"/>
      <c r="J338" s="172"/>
    </row>
    <row r="339">
      <c r="A339" s="172"/>
      <c r="B339" s="172"/>
      <c r="C339" s="172"/>
      <c r="D339" s="172"/>
      <c r="E339" s="172"/>
      <c r="F339" s="172"/>
      <c r="G339" s="367"/>
      <c r="H339" s="172"/>
      <c r="I339" s="367"/>
      <c r="J339" s="172"/>
    </row>
    <row r="340">
      <c r="A340" s="172"/>
      <c r="B340" s="172"/>
      <c r="C340" s="172"/>
      <c r="D340" s="172"/>
      <c r="E340" s="172"/>
      <c r="F340" s="172"/>
      <c r="G340" s="367"/>
      <c r="H340" s="172"/>
      <c r="I340" s="367"/>
      <c r="J340" s="172"/>
    </row>
    <row r="341">
      <c r="A341" s="172"/>
      <c r="B341" s="172"/>
      <c r="C341" s="172"/>
      <c r="D341" s="172"/>
      <c r="E341" s="172"/>
      <c r="F341" s="172"/>
      <c r="G341" s="367"/>
      <c r="H341" s="172"/>
      <c r="I341" s="367"/>
      <c r="J341" s="172"/>
    </row>
    <row r="342">
      <c r="A342" s="172"/>
      <c r="B342" s="172"/>
      <c r="C342" s="172"/>
      <c r="D342" s="172"/>
      <c r="E342" s="172"/>
      <c r="F342" s="172"/>
      <c r="G342" s="367"/>
      <c r="H342" s="172"/>
      <c r="I342" s="367"/>
      <c r="J342" s="172"/>
    </row>
    <row r="343">
      <c r="A343" s="172"/>
      <c r="B343" s="172"/>
      <c r="C343" s="172"/>
      <c r="D343" s="172"/>
      <c r="E343" s="172"/>
      <c r="F343" s="172"/>
      <c r="G343" s="367"/>
      <c r="H343" s="172"/>
      <c r="I343" s="367"/>
      <c r="J343" s="172"/>
    </row>
    <row r="344">
      <c r="A344" s="172"/>
      <c r="B344" s="172"/>
      <c r="C344" s="172"/>
      <c r="D344" s="172"/>
      <c r="E344" s="172"/>
      <c r="F344" s="172"/>
      <c r="G344" s="367"/>
      <c r="H344" s="172"/>
      <c r="I344" s="367"/>
      <c r="J344" s="172"/>
    </row>
    <row r="345">
      <c r="A345" s="172"/>
      <c r="B345" s="172"/>
      <c r="C345" s="172"/>
      <c r="D345" s="172"/>
      <c r="E345" s="172"/>
      <c r="F345" s="172"/>
      <c r="G345" s="367"/>
      <c r="H345" s="172"/>
      <c r="I345" s="367"/>
      <c r="J345" s="172"/>
    </row>
    <row r="346">
      <c r="A346" s="172"/>
      <c r="B346" s="172"/>
      <c r="C346" s="172"/>
      <c r="D346" s="172"/>
      <c r="E346" s="172"/>
      <c r="F346" s="172"/>
      <c r="G346" s="367"/>
      <c r="H346" s="172"/>
      <c r="I346" s="367"/>
      <c r="J346" s="172"/>
    </row>
    <row r="347">
      <c r="A347" s="172"/>
      <c r="B347" s="172"/>
      <c r="C347" s="172"/>
      <c r="D347" s="172"/>
      <c r="E347" s="172"/>
      <c r="F347" s="172"/>
      <c r="G347" s="367"/>
      <c r="H347" s="172"/>
      <c r="I347" s="367"/>
      <c r="J347" s="172"/>
    </row>
    <row r="348">
      <c r="A348" s="172"/>
      <c r="B348" s="172"/>
      <c r="C348" s="172"/>
      <c r="D348" s="172"/>
      <c r="E348" s="172"/>
      <c r="F348" s="172"/>
      <c r="G348" s="367"/>
      <c r="H348" s="172"/>
      <c r="I348" s="367"/>
      <c r="J348" s="172"/>
    </row>
    <row r="349">
      <c r="A349" s="172"/>
      <c r="B349" s="172"/>
      <c r="C349" s="172"/>
      <c r="D349" s="172"/>
      <c r="E349" s="172"/>
      <c r="F349" s="172"/>
      <c r="G349" s="367"/>
      <c r="H349" s="172"/>
      <c r="I349" s="367"/>
      <c r="J349" s="172"/>
    </row>
    <row r="350">
      <c r="A350" s="172"/>
      <c r="B350" s="172"/>
      <c r="C350" s="172"/>
      <c r="D350" s="172"/>
      <c r="E350" s="172"/>
      <c r="F350" s="172"/>
      <c r="G350" s="367"/>
      <c r="H350" s="172"/>
      <c r="I350" s="367"/>
      <c r="J350" s="172"/>
    </row>
    <row r="351">
      <c r="A351" s="172"/>
      <c r="B351" s="172"/>
      <c r="C351" s="172"/>
      <c r="D351" s="172"/>
      <c r="E351" s="172"/>
      <c r="F351" s="172"/>
      <c r="G351" s="367"/>
      <c r="H351" s="172"/>
      <c r="I351" s="367"/>
      <c r="J351" s="172"/>
    </row>
    <row r="352">
      <c r="A352" s="172"/>
      <c r="B352" s="172"/>
      <c r="C352" s="172"/>
      <c r="D352" s="172"/>
      <c r="E352" s="172"/>
      <c r="F352" s="172"/>
      <c r="G352" s="367"/>
      <c r="H352" s="172"/>
      <c r="I352" s="367"/>
      <c r="J352" s="172"/>
    </row>
    <row r="353">
      <c r="A353" s="172"/>
      <c r="B353" s="172"/>
      <c r="C353" s="172"/>
      <c r="D353" s="172"/>
      <c r="E353" s="172"/>
      <c r="F353" s="172"/>
      <c r="G353" s="367"/>
      <c r="H353" s="172"/>
      <c r="I353" s="367"/>
      <c r="J353" s="172"/>
    </row>
    <row r="354">
      <c r="A354" s="172"/>
      <c r="B354" s="172"/>
      <c r="C354" s="172"/>
      <c r="D354" s="172"/>
      <c r="E354" s="172"/>
      <c r="F354" s="172"/>
      <c r="G354" s="367"/>
      <c r="H354" s="172"/>
      <c r="I354" s="367"/>
      <c r="J354" s="172"/>
    </row>
    <row r="355">
      <c r="A355" s="172"/>
      <c r="B355" s="172"/>
      <c r="C355" s="172"/>
      <c r="D355" s="172"/>
      <c r="E355" s="172"/>
      <c r="F355" s="172"/>
      <c r="G355" s="367"/>
      <c r="H355" s="172"/>
      <c r="I355" s="367"/>
      <c r="J355" s="172"/>
    </row>
    <row r="356">
      <c r="A356" s="172"/>
      <c r="B356" s="172"/>
      <c r="C356" s="172"/>
      <c r="D356" s="172"/>
      <c r="E356" s="172"/>
      <c r="F356" s="172"/>
      <c r="G356" s="367"/>
      <c r="H356" s="172"/>
      <c r="I356" s="367"/>
      <c r="J356" s="172"/>
    </row>
    <row r="357">
      <c r="A357" s="172"/>
      <c r="B357" s="172"/>
      <c r="C357" s="172"/>
      <c r="D357" s="172"/>
      <c r="E357" s="172"/>
      <c r="F357" s="172"/>
      <c r="G357" s="367"/>
      <c r="H357" s="172"/>
      <c r="I357" s="367"/>
      <c r="J357" s="172"/>
    </row>
    <row r="358">
      <c r="A358" s="172"/>
      <c r="B358" s="172"/>
      <c r="C358" s="172"/>
      <c r="D358" s="172"/>
      <c r="E358" s="172"/>
      <c r="F358" s="172"/>
      <c r="G358" s="367"/>
      <c r="H358" s="172"/>
      <c r="I358" s="367"/>
      <c r="J358" s="172"/>
    </row>
    <row r="359">
      <c r="A359" s="172"/>
      <c r="B359" s="172"/>
      <c r="C359" s="172"/>
      <c r="D359" s="172"/>
      <c r="E359" s="172"/>
      <c r="F359" s="172"/>
      <c r="G359" s="367"/>
      <c r="H359" s="172"/>
      <c r="I359" s="367"/>
      <c r="J359" s="172"/>
    </row>
    <row r="360">
      <c r="A360" s="172"/>
      <c r="B360" s="172"/>
      <c r="C360" s="172"/>
      <c r="D360" s="172"/>
      <c r="E360" s="172"/>
      <c r="F360" s="172"/>
      <c r="G360" s="367"/>
      <c r="H360" s="172"/>
      <c r="I360" s="367"/>
      <c r="J360" s="172"/>
    </row>
    <row r="361">
      <c r="A361" s="172"/>
      <c r="B361" s="172"/>
      <c r="C361" s="172"/>
      <c r="D361" s="172"/>
      <c r="E361" s="172"/>
      <c r="F361" s="172"/>
      <c r="G361" s="367"/>
      <c r="H361" s="172"/>
      <c r="I361" s="367"/>
      <c r="J361" s="172"/>
    </row>
    <row r="362">
      <c r="A362" s="172"/>
      <c r="B362" s="172"/>
      <c r="C362" s="172"/>
      <c r="D362" s="172"/>
      <c r="E362" s="172"/>
      <c r="F362" s="172"/>
      <c r="G362" s="367"/>
      <c r="H362" s="172"/>
      <c r="I362" s="367"/>
      <c r="J362" s="172"/>
    </row>
    <row r="363">
      <c r="A363" s="172"/>
      <c r="B363" s="172"/>
      <c r="C363" s="172"/>
      <c r="D363" s="172"/>
      <c r="E363" s="172"/>
      <c r="F363" s="172"/>
      <c r="G363" s="367"/>
      <c r="H363" s="172"/>
      <c r="I363" s="367"/>
      <c r="J363" s="172"/>
    </row>
    <row r="364">
      <c r="A364" s="172"/>
      <c r="B364" s="172"/>
      <c r="C364" s="172"/>
      <c r="D364" s="172"/>
      <c r="E364" s="172"/>
      <c r="F364" s="172"/>
      <c r="G364" s="367"/>
      <c r="H364" s="172"/>
      <c r="I364" s="367"/>
      <c r="J364" s="172"/>
    </row>
    <row r="365">
      <c r="A365" s="172"/>
      <c r="B365" s="172"/>
      <c r="C365" s="172"/>
      <c r="D365" s="172"/>
      <c r="E365" s="172"/>
      <c r="F365" s="172"/>
      <c r="G365" s="367"/>
      <c r="H365" s="172"/>
      <c r="I365" s="367"/>
      <c r="J365" s="172"/>
    </row>
    <row r="366">
      <c r="A366" s="172"/>
      <c r="B366" s="172"/>
      <c r="C366" s="172"/>
      <c r="D366" s="172"/>
      <c r="E366" s="172"/>
      <c r="F366" s="172"/>
      <c r="G366" s="367"/>
      <c r="H366" s="172"/>
      <c r="I366" s="367"/>
      <c r="J366" s="172"/>
    </row>
    <row r="367">
      <c r="A367" s="172"/>
      <c r="B367" s="172"/>
      <c r="C367" s="172"/>
      <c r="D367" s="172"/>
      <c r="E367" s="172"/>
      <c r="F367" s="172"/>
      <c r="G367" s="367"/>
      <c r="H367" s="172"/>
      <c r="I367" s="367"/>
      <c r="J367" s="172"/>
    </row>
    <row r="368">
      <c r="A368" s="172"/>
      <c r="B368" s="172"/>
      <c r="C368" s="172"/>
      <c r="D368" s="172"/>
      <c r="E368" s="172"/>
      <c r="F368" s="172"/>
      <c r="G368" s="367"/>
      <c r="H368" s="172"/>
      <c r="I368" s="367"/>
      <c r="J368" s="172"/>
    </row>
    <row r="369">
      <c r="A369" s="172"/>
      <c r="B369" s="172"/>
      <c r="C369" s="172"/>
      <c r="D369" s="172"/>
      <c r="E369" s="172"/>
      <c r="F369" s="172"/>
      <c r="G369" s="367"/>
      <c r="H369" s="172"/>
      <c r="I369" s="367"/>
      <c r="J369" s="172"/>
    </row>
    <row r="370">
      <c r="A370" s="172"/>
      <c r="B370" s="172"/>
      <c r="C370" s="172"/>
      <c r="D370" s="172"/>
      <c r="E370" s="172"/>
      <c r="F370" s="172"/>
      <c r="G370" s="367"/>
      <c r="H370" s="172"/>
      <c r="I370" s="367"/>
      <c r="J370" s="172"/>
    </row>
    <row r="371">
      <c r="A371" s="172"/>
      <c r="B371" s="172"/>
      <c r="C371" s="172"/>
      <c r="D371" s="172"/>
      <c r="E371" s="172"/>
      <c r="F371" s="172"/>
      <c r="G371" s="367"/>
      <c r="H371" s="172"/>
      <c r="I371" s="367"/>
      <c r="J371" s="172"/>
    </row>
    <row r="372">
      <c r="A372" s="172"/>
      <c r="B372" s="172"/>
      <c r="C372" s="172"/>
      <c r="D372" s="172"/>
      <c r="E372" s="172"/>
      <c r="F372" s="172"/>
      <c r="G372" s="367"/>
      <c r="H372" s="172"/>
      <c r="I372" s="367"/>
      <c r="J372" s="172"/>
    </row>
    <row r="373">
      <c r="A373" s="172"/>
      <c r="B373" s="172"/>
      <c r="C373" s="172"/>
      <c r="D373" s="172"/>
      <c r="E373" s="172"/>
      <c r="F373" s="172"/>
      <c r="G373" s="367"/>
      <c r="H373" s="172"/>
      <c r="I373" s="367"/>
      <c r="J373" s="172"/>
    </row>
    <row r="374">
      <c r="A374" s="172"/>
      <c r="B374" s="172"/>
      <c r="C374" s="172"/>
      <c r="D374" s="172"/>
      <c r="E374" s="172"/>
      <c r="F374" s="172"/>
      <c r="G374" s="367"/>
      <c r="H374" s="172"/>
      <c r="I374" s="367"/>
      <c r="J374" s="172"/>
    </row>
    <row r="375">
      <c r="A375" s="172"/>
      <c r="B375" s="172"/>
      <c r="C375" s="172"/>
      <c r="D375" s="172"/>
      <c r="E375" s="172"/>
      <c r="F375" s="172"/>
      <c r="G375" s="367"/>
      <c r="H375" s="172"/>
      <c r="I375" s="367"/>
      <c r="J375" s="172"/>
    </row>
    <row r="376">
      <c r="A376" s="172"/>
      <c r="B376" s="172"/>
      <c r="C376" s="172"/>
      <c r="D376" s="172"/>
      <c r="E376" s="172"/>
      <c r="F376" s="172"/>
      <c r="G376" s="367"/>
      <c r="H376" s="172"/>
      <c r="I376" s="367"/>
      <c r="J376" s="172"/>
    </row>
    <row r="377">
      <c r="A377" s="172"/>
      <c r="B377" s="172"/>
      <c r="C377" s="172"/>
      <c r="D377" s="172"/>
      <c r="E377" s="172"/>
      <c r="F377" s="172"/>
      <c r="G377" s="367"/>
      <c r="H377" s="172"/>
      <c r="I377" s="367"/>
      <c r="J377" s="172"/>
    </row>
    <row r="378">
      <c r="A378" s="172"/>
      <c r="B378" s="172"/>
      <c r="C378" s="172"/>
      <c r="D378" s="172"/>
      <c r="E378" s="172"/>
      <c r="F378" s="172"/>
      <c r="G378" s="367"/>
      <c r="H378" s="172"/>
      <c r="I378" s="367"/>
      <c r="J378" s="172"/>
    </row>
    <row r="379">
      <c r="A379" s="172"/>
      <c r="B379" s="172"/>
      <c r="C379" s="172"/>
      <c r="D379" s="172"/>
      <c r="E379" s="172"/>
      <c r="F379" s="172"/>
      <c r="G379" s="367"/>
      <c r="H379" s="172"/>
      <c r="I379" s="367"/>
      <c r="J379" s="172"/>
    </row>
    <row r="380">
      <c r="A380" s="172"/>
      <c r="B380" s="172"/>
      <c r="C380" s="172"/>
      <c r="D380" s="172"/>
      <c r="E380" s="172"/>
      <c r="F380" s="172"/>
      <c r="G380" s="367"/>
      <c r="H380" s="172"/>
      <c r="I380" s="367"/>
      <c r="J380" s="172"/>
    </row>
    <row r="381">
      <c r="A381" s="172"/>
      <c r="B381" s="172"/>
      <c r="C381" s="172"/>
      <c r="D381" s="172"/>
      <c r="E381" s="172"/>
      <c r="F381" s="172"/>
      <c r="G381" s="367"/>
      <c r="H381" s="172"/>
      <c r="I381" s="367"/>
      <c r="J381" s="172"/>
    </row>
    <row r="382">
      <c r="A382" s="172"/>
      <c r="B382" s="172"/>
      <c r="C382" s="172"/>
      <c r="D382" s="172"/>
      <c r="E382" s="172"/>
      <c r="F382" s="172"/>
      <c r="G382" s="367"/>
      <c r="H382" s="172"/>
      <c r="I382" s="367"/>
      <c r="J382" s="172"/>
    </row>
    <row r="383">
      <c r="A383" s="172"/>
      <c r="B383" s="172"/>
      <c r="C383" s="172"/>
      <c r="D383" s="172"/>
      <c r="E383" s="172"/>
      <c r="F383" s="172"/>
      <c r="G383" s="367"/>
      <c r="H383" s="172"/>
      <c r="I383" s="367"/>
      <c r="J383" s="172"/>
    </row>
    <row r="384">
      <c r="A384" s="172"/>
      <c r="B384" s="172"/>
      <c r="C384" s="172"/>
      <c r="D384" s="172"/>
      <c r="E384" s="172"/>
      <c r="F384" s="172"/>
      <c r="G384" s="367"/>
      <c r="H384" s="172"/>
      <c r="I384" s="367"/>
      <c r="J384" s="172"/>
    </row>
    <row r="385">
      <c r="A385" s="172"/>
      <c r="B385" s="172"/>
      <c r="C385" s="172"/>
      <c r="D385" s="172"/>
      <c r="E385" s="172"/>
      <c r="F385" s="172"/>
      <c r="G385" s="367"/>
      <c r="H385" s="172"/>
      <c r="I385" s="367"/>
      <c r="J385" s="172"/>
    </row>
    <row r="386">
      <c r="A386" s="172"/>
      <c r="B386" s="172"/>
      <c r="C386" s="172"/>
      <c r="D386" s="172"/>
      <c r="E386" s="172"/>
      <c r="F386" s="172"/>
      <c r="G386" s="367"/>
      <c r="H386" s="172"/>
      <c r="I386" s="367"/>
      <c r="J386" s="172"/>
    </row>
    <row r="387">
      <c r="A387" s="172"/>
      <c r="B387" s="172"/>
      <c r="C387" s="172"/>
      <c r="D387" s="172"/>
      <c r="E387" s="172"/>
      <c r="F387" s="172"/>
      <c r="G387" s="367"/>
      <c r="H387" s="172"/>
      <c r="I387" s="367"/>
      <c r="J387" s="172"/>
    </row>
    <row r="388">
      <c r="A388" s="172"/>
      <c r="B388" s="172"/>
      <c r="C388" s="172"/>
      <c r="D388" s="172"/>
      <c r="E388" s="172"/>
      <c r="F388" s="172"/>
      <c r="G388" s="367"/>
      <c r="H388" s="172"/>
      <c r="I388" s="367"/>
      <c r="J388" s="172"/>
    </row>
    <row r="389">
      <c r="A389" s="172"/>
      <c r="B389" s="172"/>
      <c r="C389" s="172"/>
      <c r="D389" s="172"/>
      <c r="E389" s="172"/>
      <c r="F389" s="172"/>
      <c r="G389" s="367"/>
      <c r="H389" s="172"/>
      <c r="I389" s="367"/>
      <c r="J389" s="172"/>
    </row>
    <row r="390">
      <c r="A390" s="172"/>
      <c r="B390" s="172"/>
      <c r="C390" s="172"/>
      <c r="D390" s="172"/>
      <c r="E390" s="172"/>
      <c r="F390" s="172"/>
      <c r="G390" s="367"/>
      <c r="H390" s="172"/>
      <c r="I390" s="367"/>
      <c r="J390" s="172"/>
    </row>
    <row r="391">
      <c r="A391" s="172"/>
      <c r="B391" s="172"/>
      <c r="C391" s="172"/>
      <c r="D391" s="172"/>
      <c r="E391" s="172"/>
      <c r="F391" s="172"/>
      <c r="G391" s="367"/>
      <c r="H391" s="172"/>
      <c r="I391" s="367"/>
      <c r="J391" s="172"/>
    </row>
    <row r="392">
      <c r="A392" s="172"/>
      <c r="B392" s="172"/>
      <c r="C392" s="172"/>
      <c r="D392" s="172"/>
      <c r="E392" s="172"/>
      <c r="F392" s="172"/>
      <c r="G392" s="367"/>
      <c r="H392" s="172"/>
      <c r="I392" s="367"/>
      <c r="J392" s="172"/>
    </row>
    <row r="393">
      <c r="A393" s="172"/>
      <c r="B393" s="172"/>
      <c r="C393" s="172"/>
      <c r="D393" s="172"/>
      <c r="E393" s="172"/>
      <c r="F393" s="172"/>
      <c r="G393" s="367"/>
      <c r="H393" s="172"/>
      <c r="I393" s="367"/>
      <c r="J393" s="172"/>
    </row>
    <row r="394">
      <c r="A394" s="172"/>
      <c r="B394" s="172"/>
      <c r="C394" s="172"/>
      <c r="D394" s="172"/>
      <c r="E394" s="172"/>
      <c r="F394" s="172"/>
      <c r="G394" s="367"/>
      <c r="H394" s="172"/>
      <c r="I394" s="367"/>
      <c r="J394" s="172"/>
    </row>
    <row r="395">
      <c r="A395" s="172"/>
      <c r="B395" s="172"/>
      <c r="C395" s="172"/>
      <c r="D395" s="172"/>
      <c r="E395" s="172"/>
      <c r="F395" s="172"/>
      <c r="G395" s="367"/>
      <c r="H395" s="172"/>
      <c r="I395" s="367"/>
      <c r="J395" s="172"/>
    </row>
    <row r="396">
      <c r="A396" s="172"/>
      <c r="B396" s="172"/>
      <c r="C396" s="172"/>
      <c r="D396" s="172"/>
      <c r="E396" s="172"/>
      <c r="F396" s="172"/>
      <c r="G396" s="367"/>
      <c r="H396" s="172"/>
      <c r="I396" s="367"/>
      <c r="J396" s="172"/>
    </row>
    <row r="397">
      <c r="A397" s="172"/>
      <c r="B397" s="172"/>
      <c r="C397" s="172"/>
      <c r="D397" s="172"/>
      <c r="E397" s="172"/>
      <c r="F397" s="172"/>
      <c r="G397" s="367"/>
      <c r="H397" s="172"/>
      <c r="I397" s="367"/>
      <c r="J397" s="172"/>
    </row>
    <row r="398">
      <c r="A398" s="172"/>
      <c r="B398" s="172"/>
      <c r="C398" s="172"/>
      <c r="D398" s="172"/>
      <c r="E398" s="172"/>
      <c r="F398" s="172"/>
      <c r="G398" s="367"/>
      <c r="H398" s="172"/>
      <c r="I398" s="367"/>
      <c r="J398" s="172"/>
    </row>
    <row r="399">
      <c r="A399" s="172"/>
      <c r="B399" s="172"/>
      <c r="C399" s="172"/>
      <c r="D399" s="172"/>
      <c r="E399" s="172"/>
      <c r="F399" s="172"/>
      <c r="G399" s="367"/>
      <c r="H399" s="172"/>
      <c r="I399" s="367"/>
      <c r="J399" s="172"/>
    </row>
    <row r="400">
      <c r="A400" s="172"/>
      <c r="B400" s="172"/>
      <c r="C400" s="172"/>
      <c r="D400" s="172"/>
      <c r="E400" s="172"/>
      <c r="F400" s="172"/>
      <c r="G400" s="367"/>
      <c r="H400" s="172"/>
      <c r="I400" s="367"/>
      <c r="J400" s="172"/>
    </row>
    <row r="401">
      <c r="A401" s="172"/>
      <c r="B401" s="172"/>
      <c r="C401" s="172"/>
      <c r="D401" s="172"/>
      <c r="E401" s="172"/>
      <c r="F401" s="172"/>
      <c r="G401" s="367"/>
      <c r="H401" s="172"/>
      <c r="I401" s="367"/>
      <c r="J401" s="172"/>
    </row>
    <row r="402">
      <c r="A402" s="172"/>
      <c r="B402" s="172"/>
      <c r="C402" s="172"/>
      <c r="D402" s="172"/>
      <c r="E402" s="172"/>
      <c r="F402" s="172"/>
      <c r="G402" s="367"/>
      <c r="H402" s="172"/>
      <c r="I402" s="367"/>
      <c r="J402" s="172"/>
    </row>
    <row r="403">
      <c r="A403" s="172"/>
      <c r="B403" s="172"/>
      <c r="C403" s="172"/>
      <c r="D403" s="172"/>
      <c r="E403" s="172"/>
      <c r="F403" s="172"/>
      <c r="G403" s="367"/>
      <c r="H403" s="172"/>
      <c r="I403" s="367"/>
      <c r="J403" s="172"/>
    </row>
    <row r="404">
      <c r="A404" s="172"/>
      <c r="B404" s="172"/>
      <c r="C404" s="172"/>
      <c r="D404" s="172"/>
      <c r="E404" s="172"/>
      <c r="F404" s="172"/>
      <c r="G404" s="367"/>
      <c r="H404" s="172"/>
      <c r="I404" s="367"/>
      <c r="J404" s="172"/>
    </row>
    <row r="405">
      <c r="A405" s="172"/>
      <c r="B405" s="172"/>
      <c r="C405" s="172"/>
      <c r="D405" s="172"/>
      <c r="E405" s="172"/>
      <c r="F405" s="172"/>
      <c r="G405" s="367"/>
      <c r="H405" s="172"/>
      <c r="I405" s="367"/>
      <c r="J405" s="172"/>
    </row>
    <row r="406">
      <c r="A406" s="172"/>
      <c r="B406" s="172"/>
      <c r="C406" s="172"/>
      <c r="D406" s="172"/>
      <c r="E406" s="172"/>
      <c r="F406" s="172"/>
      <c r="G406" s="367"/>
      <c r="H406" s="172"/>
      <c r="I406" s="367"/>
      <c r="J406" s="172"/>
    </row>
    <row r="407">
      <c r="A407" s="172"/>
      <c r="B407" s="172"/>
      <c r="C407" s="172"/>
      <c r="D407" s="172"/>
      <c r="E407" s="172"/>
      <c r="F407" s="172"/>
      <c r="G407" s="367"/>
      <c r="H407" s="172"/>
      <c r="I407" s="367"/>
      <c r="J407" s="172"/>
    </row>
    <row r="408">
      <c r="A408" s="172"/>
      <c r="B408" s="172"/>
      <c r="C408" s="172"/>
      <c r="D408" s="172"/>
      <c r="E408" s="172"/>
      <c r="F408" s="172"/>
      <c r="G408" s="367"/>
      <c r="H408" s="172"/>
      <c r="I408" s="367"/>
      <c r="J408" s="172"/>
    </row>
    <row r="409">
      <c r="A409" s="172"/>
      <c r="B409" s="172"/>
      <c r="C409" s="172"/>
      <c r="D409" s="172"/>
      <c r="E409" s="172"/>
      <c r="F409" s="172"/>
      <c r="G409" s="367"/>
      <c r="H409" s="172"/>
      <c r="I409" s="367"/>
      <c r="J409" s="172"/>
    </row>
    <row r="410">
      <c r="A410" s="172"/>
      <c r="B410" s="172"/>
      <c r="C410" s="172"/>
      <c r="D410" s="172"/>
      <c r="E410" s="172"/>
      <c r="F410" s="172"/>
      <c r="G410" s="367"/>
      <c r="H410" s="172"/>
      <c r="I410" s="367"/>
      <c r="J410" s="172"/>
    </row>
    <row r="411">
      <c r="A411" s="172"/>
      <c r="B411" s="172"/>
      <c r="C411" s="172"/>
      <c r="D411" s="172"/>
      <c r="E411" s="172"/>
      <c r="F411" s="172"/>
      <c r="G411" s="367"/>
      <c r="H411" s="172"/>
      <c r="I411" s="367"/>
      <c r="J411" s="172"/>
    </row>
    <row r="412">
      <c r="A412" s="172"/>
      <c r="B412" s="172"/>
      <c r="C412" s="172"/>
      <c r="D412" s="172"/>
      <c r="E412" s="172"/>
      <c r="F412" s="172"/>
      <c r="G412" s="367"/>
      <c r="H412" s="172"/>
      <c r="I412" s="367"/>
      <c r="J412" s="172"/>
    </row>
    <row r="413">
      <c r="A413" s="172"/>
      <c r="B413" s="172"/>
      <c r="C413" s="172"/>
      <c r="D413" s="172"/>
      <c r="E413" s="172"/>
      <c r="F413" s="172"/>
      <c r="G413" s="367"/>
      <c r="H413" s="172"/>
      <c r="I413" s="367"/>
      <c r="J413" s="172"/>
    </row>
    <row r="414">
      <c r="A414" s="172"/>
      <c r="B414" s="172"/>
      <c r="C414" s="172"/>
      <c r="D414" s="172"/>
      <c r="E414" s="172"/>
      <c r="F414" s="172"/>
      <c r="G414" s="367"/>
      <c r="H414" s="172"/>
      <c r="I414" s="367"/>
      <c r="J414" s="172"/>
    </row>
    <row r="415">
      <c r="A415" s="172"/>
      <c r="B415" s="172"/>
      <c r="C415" s="172"/>
      <c r="D415" s="172"/>
      <c r="E415" s="172"/>
      <c r="F415" s="172"/>
      <c r="G415" s="367"/>
      <c r="H415" s="172"/>
      <c r="I415" s="367"/>
      <c r="J415" s="172"/>
    </row>
    <row r="416">
      <c r="A416" s="172"/>
      <c r="B416" s="172"/>
      <c r="C416" s="172"/>
      <c r="D416" s="172"/>
      <c r="E416" s="172"/>
      <c r="F416" s="172"/>
      <c r="G416" s="367"/>
      <c r="H416" s="172"/>
      <c r="I416" s="367"/>
      <c r="J416" s="172"/>
    </row>
    <row r="417">
      <c r="A417" s="172"/>
      <c r="B417" s="172"/>
      <c r="C417" s="172"/>
      <c r="D417" s="172"/>
      <c r="E417" s="172"/>
      <c r="F417" s="172"/>
      <c r="G417" s="367"/>
      <c r="H417" s="172"/>
      <c r="I417" s="367"/>
      <c r="J417" s="172"/>
    </row>
    <row r="418">
      <c r="A418" s="172"/>
      <c r="B418" s="172"/>
      <c r="C418" s="172"/>
      <c r="D418" s="172"/>
      <c r="E418" s="172"/>
      <c r="F418" s="172"/>
      <c r="G418" s="367"/>
      <c r="H418" s="172"/>
      <c r="I418" s="367"/>
      <c r="J418" s="172"/>
    </row>
    <row r="419">
      <c r="A419" s="172"/>
      <c r="B419" s="172"/>
      <c r="C419" s="172"/>
      <c r="D419" s="172"/>
      <c r="E419" s="172"/>
      <c r="F419" s="172"/>
      <c r="G419" s="367"/>
      <c r="H419" s="172"/>
      <c r="I419" s="367"/>
      <c r="J419" s="172"/>
    </row>
    <row r="420">
      <c r="A420" s="172"/>
      <c r="B420" s="172"/>
      <c r="C420" s="172"/>
      <c r="D420" s="172"/>
      <c r="E420" s="172"/>
      <c r="F420" s="172"/>
      <c r="G420" s="367"/>
      <c r="H420" s="172"/>
      <c r="I420" s="367"/>
      <c r="J420" s="172"/>
    </row>
    <row r="421">
      <c r="A421" s="172"/>
      <c r="B421" s="172"/>
      <c r="C421" s="172"/>
      <c r="D421" s="172"/>
      <c r="E421" s="172"/>
      <c r="F421" s="172"/>
      <c r="G421" s="367"/>
      <c r="H421" s="172"/>
      <c r="I421" s="367"/>
      <c r="J421" s="172"/>
    </row>
    <row r="422">
      <c r="A422" s="172"/>
      <c r="B422" s="172"/>
      <c r="C422" s="172"/>
      <c r="D422" s="172"/>
      <c r="E422" s="172"/>
      <c r="F422" s="172"/>
      <c r="G422" s="367"/>
      <c r="H422" s="172"/>
      <c r="I422" s="367"/>
      <c r="J422" s="172"/>
    </row>
    <row r="423">
      <c r="A423" s="172"/>
      <c r="B423" s="172"/>
      <c r="C423" s="172"/>
      <c r="D423" s="172"/>
      <c r="E423" s="172"/>
      <c r="F423" s="172"/>
      <c r="G423" s="367"/>
      <c r="H423" s="172"/>
      <c r="I423" s="367"/>
      <c r="J423" s="172"/>
    </row>
    <row r="424">
      <c r="A424" s="172"/>
      <c r="B424" s="172"/>
      <c r="C424" s="172"/>
      <c r="D424" s="172"/>
      <c r="E424" s="172"/>
      <c r="F424" s="172"/>
      <c r="G424" s="367"/>
      <c r="H424" s="172"/>
      <c r="I424" s="367"/>
      <c r="J424" s="172"/>
    </row>
    <row r="425">
      <c r="A425" s="172"/>
      <c r="B425" s="172"/>
      <c r="C425" s="172"/>
      <c r="D425" s="172"/>
      <c r="E425" s="172"/>
      <c r="F425" s="172"/>
      <c r="G425" s="367"/>
      <c r="H425" s="172"/>
      <c r="I425" s="367"/>
      <c r="J425" s="172"/>
    </row>
    <row r="426">
      <c r="A426" s="172"/>
      <c r="B426" s="172"/>
      <c r="C426" s="172"/>
      <c r="D426" s="172"/>
      <c r="E426" s="172"/>
      <c r="F426" s="172"/>
      <c r="G426" s="367"/>
      <c r="H426" s="172"/>
      <c r="I426" s="367"/>
      <c r="J426" s="172"/>
    </row>
    <row r="427">
      <c r="A427" s="172"/>
      <c r="B427" s="172"/>
      <c r="C427" s="172"/>
      <c r="D427" s="172"/>
      <c r="E427" s="172"/>
      <c r="F427" s="172"/>
      <c r="G427" s="367"/>
      <c r="H427" s="172"/>
      <c r="I427" s="367"/>
      <c r="J427" s="172"/>
    </row>
    <row r="428">
      <c r="A428" s="172"/>
      <c r="B428" s="172"/>
      <c r="C428" s="172"/>
      <c r="D428" s="172"/>
      <c r="E428" s="172"/>
      <c r="F428" s="172"/>
      <c r="G428" s="367"/>
      <c r="H428" s="172"/>
      <c r="I428" s="367"/>
      <c r="J428" s="172"/>
    </row>
    <row r="429">
      <c r="A429" s="172"/>
      <c r="B429" s="172"/>
      <c r="C429" s="172"/>
      <c r="D429" s="172"/>
      <c r="E429" s="172"/>
      <c r="F429" s="172"/>
      <c r="G429" s="367"/>
      <c r="H429" s="172"/>
      <c r="I429" s="367"/>
      <c r="J429" s="172"/>
    </row>
    <row r="430">
      <c r="A430" s="172"/>
      <c r="B430" s="172"/>
      <c r="C430" s="172"/>
      <c r="D430" s="172"/>
      <c r="E430" s="172"/>
      <c r="F430" s="172"/>
      <c r="G430" s="367"/>
      <c r="H430" s="172"/>
      <c r="I430" s="367"/>
      <c r="J430" s="172"/>
    </row>
    <row r="431">
      <c r="A431" s="172"/>
      <c r="B431" s="172"/>
      <c r="C431" s="172"/>
      <c r="D431" s="172"/>
      <c r="E431" s="172"/>
      <c r="F431" s="172"/>
      <c r="G431" s="367"/>
      <c r="H431" s="172"/>
      <c r="I431" s="367"/>
      <c r="J431" s="172"/>
    </row>
    <row r="432">
      <c r="A432" s="172"/>
      <c r="B432" s="172"/>
      <c r="C432" s="172"/>
      <c r="D432" s="172"/>
      <c r="E432" s="172"/>
      <c r="F432" s="172"/>
      <c r="G432" s="367"/>
      <c r="H432" s="172"/>
      <c r="I432" s="367"/>
      <c r="J432" s="172"/>
    </row>
    <row r="433">
      <c r="A433" s="172"/>
      <c r="B433" s="172"/>
      <c r="C433" s="172"/>
      <c r="D433" s="172"/>
      <c r="E433" s="172"/>
      <c r="F433" s="172"/>
      <c r="G433" s="367"/>
      <c r="H433" s="172"/>
      <c r="I433" s="367"/>
      <c r="J433" s="172"/>
    </row>
    <row r="434">
      <c r="A434" s="172"/>
      <c r="B434" s="172"/>
      <c r="C434" s="172"/>
      <c r="D434" s="172"/>
      <c r="E434" s="172"/>
      <c r="F434" s="172"/>
      <c r="G434" s="367"/>
      <c r="H434" s="172"/>
      <c r="I434" s="367"/>
      <c r="J434" s="172"/>
    </row>
    <row r="435">
      <c r="A435" s="172"/>
      <c r="B435" s="172"/>
      <c r="C435" s="172"/>
      <c r="D435" s="172"/>
      <c r="E435" s="172"/>
      <c r="F435" s="172"/>
      <c r="G435" s="367"/>
      <c r="H435" s="172"/>
      <c r="I435" s="367"/>
      <c r="J435" s="172"/>
    </row>
    <row r="436">
      <c r="A436" s="172"/>
      <c r="B436" s="172"/>
      <c r="C436" s="172"/>
      <c r="D436" s="172"/>
      <c r="E436" s="172"/>
      <c r="F436" s="172"/>
      <c r="G436" s="367"/>
      <c r="H436" s="172"/>
      <c r="I436" s="367"/>
      <c r="J436" s="172"/>
    </row>
    <row r="437">
      <c r="A437" s="172"/>
      <c r="B437" s="172"/>
      <c r="C437" s="172"/>
      <c r="D437" s="172"/>
      <c r="E437" s="172"/>
      <c r="F437" s="172"/>
      <c r="G437" s="367"/>
      <c r="H437" s="172"/>
      <c r="I437" s="367"/>
      <c r="J437" s="172"/>
    </row>
    <row r="438">
      <c r="A438" s="172"/>
      <c r="B438" s="172"/>
      <c r="C438" s="172"/>
      <c r="D438" s="172"/>
      <c r="E438" s="172"/>
      <c r="F438" s="172"/>
      <c r="G438" s="367"/>
      <c r="H438" s="172"/>
      <c r="I438" s="367"/>
      <c r="J438" s="172"/>
    </row>
    <row r="439">
      <c r="A439" s="172"/>
      <c r="B439" s="172"/>
      <c r="C439" s="172"/>
      <c r="D439" s="172"/>
      <c r="E439" s="172"/>
      <c r="F439" s="172"/>
      <c r="G439" s="367"/>
      <c r="H439" s="172"/>
      <c r="I439" s="367"/>
      <c r="J439" s="172"/>
    </row>
    <row r="440">
      <c r="A440" s="172"/>
      <c r="B440" s="172"/>
      <c r="C440" s="172"/>
      <c r="D440" s="172"/>
      <c r="E440" s="172"/>
      <c r="F440" s="172"/>
      <c r="G440" s="367"/>
      <c r="H440" s="172"/>
      <c r="I440" s="367"/>
      <c r="J440" s="172"/>
    </row>
    <row r="441">
      <c r="A441" s="172"/>
      <c r="B441" s="172"/>
      <c r="C441" s="172"/>
      <c r="D441" s="172"/>
      <c r="E441" s="172"/>
      <c r="F441" s="172"/>
      <c r="G441" s="367"/>
      <c r="H441" s="172"/>
      <c r="I441" s="367"/>
      <c r="J441" s="172"/>
    </row>
    <row r="442">
      <c r="A442" s="172"/>
      <c r="B442" s="172"/>
      <c r="C442" s="172"/>
      <c r="D442" s="172"/>
      <c r="E442" s="172"/>
      <c r="F442" s="172"/>
      <c r="G442" s="367"/>
      <c r="H442" s="172"/>
      <c r="I442" s="367"/>
      <c r="J442" s="172"/>
    </row>
    <row r="443">
      <c r="A443" s="172"/>
      <c r="B443" s="172"/>
      <c r="C443" s="172"/>
      <c r="D443" s="172"/>
      <c r="E443" s="172"/>
      <c r="F443" s="172"/>
      <c r="G443" s="367"/>
      <c r="H443" s="172"/>
      <c r="I443" s="367"/>
      <c r="J443" s="172"/>
    </row>
    <row r="444">
      <c r="A444" s="172"/>
      <c r="B444" s="172"/>
      <c r="C444" s="172"/>
      <c r="D444" s="172"/>
      <c r="E444" s="172"/>
      <c r="F444" s="172"/>
      <c r="G444" s="367"/>
      <c r="H444" s="172"/>
      <c r="I444" s="367"/>
      <c r="J444" s="172"/>
    </row>
    <row r="445">
      <c r="A445" s="172"/>
      <c r="B445" s="172"/>
      <c r="C445" s="172"/>
      <c r="D445" s="172"/>
      <c r="E445" s="172"/>
      <c r="F445" s="172"/>
      <c r="G445" s="367"/>
      <c r="H445" s="172"/>
      <c r="I445" s="367"/>
      <c r="J445" s="172"/>
    </row>
    <row r="446">
      <c r="A446" s="172"/>
      <c r="B446" s="172"/>
      <c r="C446" s="172"/>
      <c r="D446" s="172"/>
      <c r="E446" s="172"/>
      <c r="F446" s="172"/>
      <c r="G446" s="367"/>
      <c r="H446" s="172"/>
      <c r="I446" s="367"/>
      <c r="J446" s="172"/>
    </row>
    <row r="447">
      <c r="A447" s="172"/>
      <c r="B447" s="172"/>
      <c r="C447" s="172"/>
      <c r="D447" s="172"/>
      <c r="E447" s="172"/>
      <c r="F447" s="172"/>
      <c r="G447" s="367"/>
      <c r="H447" s="172"/>
      <c r="I447" s="367"/>
      <c r="J447" s="172"/>
    </row>
    <row r="448">
      <c r="A448" s="172"/>
      <c r="B448" s="172"/>
      <c r="C448" s="172"/>
      <c r="D448" s="172"/>
      <c r="E448" s="172"/>
      <c r="F448" s="172"/>
      <c r="G448" s="367"/>
      <c r="H448" s="172"/>
      <c r="I448" s="367"/>
      <c r="J448" s="172"/>
    </row>
    <row r="449">
      <c r="A449" s="172"/>
      <c r="B449" s="172"/>
      <c r="C449" s="172"/>
      <c r="D449" s="172"/>
      <c r="E449" s="172"/>
      <c r="F449" s="172"/>
      <c r="G449" s="367"/>
      <c r="H449" s="172"/>
      <c r="I449" s="367"/>
      <c r="J449" s="172"/>
    </row>
    <row r="450">
      <c r="A450" s="172"/>
      <c r="B450" s="172"/>
      <c r="C450" s="172"/>
      <c r="D450" s="172"/>
      <c r="E450" s="172"/>
      <c r="F450" s="172"/>
      <c r="G450" s="367"/>
      <c r="H450" s="172"/>
      <c r="I450" s="367"/>
      <c r="J450" s="172"/>
    </row>
    <row r="451">
      <c r="A451" s="172"/>
      <c r="B451" s="172"/>
      <c r="C451" s="172"/>
      <c r="D451" s="172"/>
      <c r="E451" s="172"/>
      <c r="F451" s="172"/>
      <c r="G451" s="367"/>
      <c r="H451" s="172"/>
      <c r="I451" s="367"/>
      <c r="J451" s="172"/>
    </row>
    <row r="452">
      <c r="A452" s="172"/>
      <c r="B452" s="172"/>
      <c r="C452" s="172"/>
      <c r="D452" s="172"/>
      <c r="E452" s="172"/>
      <c r="F452" s="172"/>
      <c r="G452" s="367"/>
      <c r="H452" s="172"/>
      <c r="I452" s="367"/>
      <c r="J452" s="172"/>
    </row>
    <row r="453">
      <c r="A453" s="172"/>
      <c r="B453" s="172"/>
      <c r="C453" s="172"/>
      <c r="D453" s="172"/>
      <c r="E453" s="172"/>
      <c r="F453" s="172"/>
      <c r="G453" s="367"/>
      <c r="H453" s="172"/>
      <c r="I453" s="367"/>
      <c r="J453" s="172"/>
    </row>
    <row r="454">
      <c r="A454" s="172"/>
      <c r="B454" s="172"/>
      <c r="C454" s="172"/>
      <c r="D454" s="172"/>
      <c r="E454" s="172"/>
      <c r="F454" s="172"/>
      <c r="G454" s="367"/>
      <c r="H454" s="172"/>
      <c r="I454" s="367"/>
      <c r="J454" s="172"/>
    </row>
    <row r="455">
      <c r="A455" s="172"/>
      <c r="B455" s="172"/>
      <c r="C455" s="172"/>
      <c r="D455" s="172"/>
      <c r="E455" s="172"/>
      <c r="F455" s="172"/>
      <c r="G455" s="367"/>
      <c r="H455" s="172"/>
      <c r="I455" s="367"/>
      <c r="J455" s="172"/>
    </row>
    <row r="456">
      <c r="A456" s="172"/>
      <c r="B456" s="172"/>
      <c r="C456" s="172"/>
      <c r="D456" s="172"/>
      <c r="E456" s="172"/>
      <c r="F456" s="172"/>
      <c r="G456" s="367"/>
      <c r="H456" s="172"/>
      <c r="I456" s="367"/>
      <c r="J456" s="172"/>
    </row>
    <row r="457">
      <c r="A457" s="172"/>
      <c r="B457" s="172"/>
      <c r="C457" s="172"/>
      <c r="D457" s="172"/>
      <c r="E457" s="172"/>
      <c r="F457" s="172"/>
      <c r="G457" s="367"/>
      <c r="H457" s="172"/>
      <c r="I457" s="367"/>
      <c r="J457" s="172"/>
    </row>
    <row r="458">
      <c r="A458" s="172"/>
      <c r="B458" s="172"/>
      <c r="C458" s="172"/>
      <c r="D458" s="172"/>
      <c r="E458" s="172"/>
      <c r="F458" s="172"/>
      <c r="G458" s="367"/>
      <c r="H458" s="172"/>
      <c r="I458" s="367"/>
      <c r="J458" s="172"/>
    </row>
    <row r="459">
      <c r="A459" s="172"/>
      <c r="B459" s="172"/>
      <c r="C459" s="172"/>
      <c r="D459" s="172"/>
      <c r="E459" s="172"/>
      <c r="F459" s="172"/>
      <c r="G459" s="367"/>
      <c r="H459" s="172"/>
      <c r="I459" s="367"/>
      <c r="J459" s="172"/>
    </row>
    <row r="460">
      <c r="A460" s="172"/>
      <c r="B460" s="172"/>
      <c r="C460" s="172"/>
      <c r="D460" s="172"/>
      <c r="E460" s="172"/>
      <c r="F460" s="172"/>
      <c r="G460" s="367"/>
      <c r="H460" s="172"/>
      <c r="I460" s="367"/>
      <c r="J460" s="172"/>
    </row>
    <row r="461">
      <c r="A461" s="172"/>
      <c r="B461" s="172"/>
      <c r="C461" s="172"/>
      <c r="D461" s="172"/>
      <c r="E461" s="172"/>
      <c r="F461" s="172"/>
      <c r="G461" s="367"/>
      <c r="H461" s="172"/>
      <c r="I461" s="367"/>
      <c r="J461" s="172"/>
    </row>
    <row r="462">
      <c r="A462" s="172"/>
      <c r="B462" s="172"/>
      <c r="C462" s="172"/>
      <c r="D462" s="172"/>
      <c r="E462" s="172"/>
      <c r="F462" s="172"/>
      <c r="G462" s="367"/>
      <c r="H462" s="172"/>
      <c r="I462" s="367"/>
      <c r="J462" s="172"/>
    </row>
    <row r="463">
      <c r="A463" s="172"/>
      <c r="B463" s="172"/>
      <c r="C463" s="172"/>
      <c r="D463" s="172"/>
      <c r="E463" s="172"/>
      <c r="F463" s="172"/>
      <c r="G463" s="367"/>
      <c r="H463" s="172"/>
      <c r="I463" s="367"/>
      <c r="J463" s="172"/>
    </row>
    <row r="464">
      <c r="A464" s="172"/>
      <c r="B464" s="172"/>
      <c r="C464" s="172"/>
      <c r="D464" s="172"/>
      <c r="E464" s="172"/>
      <c r="F464" s="172"/>
      <c r="G464" s="367"/>
      <c r="H464" s="172"/>
      <c r="I464" s="367"/>
      <c r="J464" s="172"/>
    </row>
    <row r="465">
      <c r="A465" s="172"/>
      <c r="B465" s="172"/>
      <c r="C465" s="172"/>
      <c r="D465" s="172"/>
      <c r="E465" s="172"/>
      <c r="F465" s="172"/>
      <c r="G465" s="367"/>
      <c r="H465" s="172"/>
      <c r="I465" s="367"/>
      <c r="J465" s="172"/>
    </row>
    <row r="466">
      <c r="A466" s="172"/>
      <c r="B466" s="172"/>
      <c r="C466" s="172"/>
      <c r="D466" s="172"/>
      <c r="E466" s="172"/>
      <c r="F466" s="172"/>
      <c r="G466" s="367"/>
      <c r="H466" s="172"/>
      <c r="I466" s="367"/>
      <c r="J466" s="172"/>
    </row>
    <row r="467">
      <c r="A467" s="172"/>
      <c r="B467" s="172"/>
      <c r="C467" s="172"/>
      <c r="D467" s="172"/>
      <c r="E467" s="172"/>
      <c r="F467" s="172"/>
      <c r="G467" s="367"/>
      <c r="H467" s="172"/>
      <c r="I467" s="367"/>
      <c r="J467" s="172"/>
    </row>
    <row r="468">
      <c r="A468" s="172"/>
      <c r="B468" s="172"/>
      <c r="C468" s="172"/>
      <c r="D468" s="172"/>
      <c r="E468" s="172"/>
      <c r="F468" s="172"/>
      <c r="G468" s="367"/>
      <c r="H468" s="172"/>
      <c r="I468" s="367"/>
      <c r="J468" s="172"/>
    </row>
    <row r="469">
      <c r="A469" s="172"/>
      <c r="B469" s="172"/>
      <c r="C469" s="172"/>
      <c r="D469" s="172"/>
      <c r="E469" s="172"/>
      <c r="F469" s="172"/>
      <c r="G469" s="367"/>
      <c r="H469" s="172"/>
      <c r="I469" s="367"/>
      <c r="J469" s="172"/>
    </row>
    <row r="470">
      <c r="A470" s="172"/>
      <c r="B470" s="172"/>
      <c r="C470" s="172"/>
      <c r="D470" s="172"/>
      <c r="E470" s="172"/>
      <c r="F470" s="172"/>
      <c r="G470" s="367"/>
      <c r="H470" s="172"/>
      <c r="I470" s="367"/>
      <c r="J470" s="172"/>
    </row>
    <row r="471">
      <c r="A471" s="172"/>
      <c r="B471" s="172"/>
      <c r="C471" s="172"/>
      <c r="D471" s="172"/>
      <c r="E471" s="172"/>
      <c r="F471" s="172"/>
      <c r="G471" s="367"/>
      <c r="H471" s="172"/>
      <c r="I471" s="367"/>
      <c r="J471" s="172"/>
    </row>
    <row r="472">
      <c r="A472" s="172"/>
      <c r="B472" s="172"/>
      <c r="C472" s="172"/>
      <c r="D472" s="172"/>
      <c r="E472" s="172"/>
      <c r="F472" s="172"/>
      <c r="G472" s="367"/>
      <c r="H472" s="172"/>
      <c r="I472" s="367"/>
      <c r="J472" s="172"/>
    </row>
    <row r="473">
      <c r="A473" s="172"/>
      <c r="B473" s="172"/>
      <c r="C473" s="172"/>
      <c r="D473" s="172"/>
      <c r="E473" s="172"/>
      <c r="F473" s="172"/>
      <c r="G473" s="367"/>
      <c r="H473" s="172"/>
      <c r="I473" s="367"/>
      <c r="J473" s="172"/>
    </row>
    <row r="474">
      <c r="A474" s="172"/>
      <c r="B474" s="172"/>
      <c r="C474" s="172"/>
      <c r="D474" s="172"/>
      <c r="E474" s="172"/>
      <c r="F474" s="172"/>
      <c r="G474" s="367"/>
      <c r="H474" s="172"/>
      <c r="I474" s="367"/>
      <c r="J474" s="172"/>
    </row>
    <row r="475">
      <c r="A475" s="172"/>
      <c r="B475" s="172"/>
      <c r="C475" s="172"/>
      <c r="D475" s="172"/>
      <c r="E475" s="172"/>
      <c r="F475" s="172"/>
      <c r="G475" s="367"/>
      <c r="H475" s="172"/>
      <c r="I475" s="367"/>
      <c r="J475" s="172"/>
    </row>
    <row r="476">
      <c r="A476" s="172"/>
      <c r="B476" s="172"/>
      <c r="C476" s="172"/>
      <c r="D476" s="172"/>
      <c r="E476" s="172"/>
      <c r="F476" s="172"/>
      <c r="G476" s="367"/>
      <c r="H476" s="172"/>
      <c r="I476" s="367"/>
      <c r="J476" s="172"/>
    </row>
    <row r="477">
      <c r="A477" s="172"/>
      <c r="B477" s="172"/>
      <c r="C477" s="172"/>
      <c r="D477" s="172"/>
      <c r="E477" s="172"/>
      <c r="F477" s="172"/>
      <c r="G477" s="367"/>
      <c r="H477" s="172"/>
      <c r="I477" s="367"/>
      <c r="J477" s="172"/>
    </row>
    <row r="478">
      <c r="A478" s="172"/>
      <c r="B478" s="172"/>
      <c r="C478" s="172"/>
      <c r="D478" s="172"/>
      <c r="E478" s="172"/>
      <c r="F478" s="172"/>
      <c r="G478" s="367"/>
      <c r="H478" s="172"/>
      <c r="I478" s="367"/>
      <c r="J478" s="172"/>
    </row>
    <row r="479">
      <c r="A479" s="172"/>
      <c r="B479" s="172"/>
      <c r="C479" s="172"/>
      <c r="D479" s="172"/>
      <c r="E479" s="172"/>
      <c r="F479" s="172"/>
      <c r="G479" s="367"/>
      <c r="H479" s="172"/>
      <c r="I479" s="367"/>
      <c r="J479" s="172"/>
    </row>
    <row r="480">
      <c r="A480" s="172"/>
      <c r="B480" s="172"/>
      <c r="C480" s="172"/>
      <c r="D480" s="172"/>
      <c r="E480" s="172"/>
      <c r="F480" s="172"/>
      <c r="G480" s="367"/>
      <c r="H480" s="172"/>
      <c r="I480" s="367"/>
      <c r="J480" s="172"/>
    </row>
    <row r="481">
      <c r="A481" s="172"/>
      <c r="B481" s="172"/>
      <c r="C481" s="172"/>
      <c r="D481" s="172"/>
      <c r="E481" s="172"/>
      <c r="F481" s="172"/>
      <c r="G481" s="367"/>
      <c r="H481" s="172"/>
      <c r="I481" s="367"/>
      <c r="J481" s="172"/>
    </row>
    <row r="482">
      <c r="A482" s="172"/>
      <c r="B482" s="172"/>
      <c r="C482" s="172"/>
      <c r="D482" s="172"/>
      <c r="E482" s="172"/>
      <c r="F482" s="172"/>
      <c r="G482" s="367"/>
      <c r="H482" s="172"/>
      <c r="I482" s="367"/>
      <c r="J482" s="172"/>
    </row>
    <row r="483">
      <c r="A483" s="172"/>
      <c r="B483" s="172"/>
      <c r="C483" s="172"/>
      <c r="D483" s="172"/>
      <c r="E483" s="172"/>
      <c r="F483" s="172"/>
      <c r="G483" s="367"/>
      <c r="H483" s="172"/>
      <c r="I483" s="367"/>
      <c r="J483" s="172"/>
    </row>
    <row r="484">
      <c r="A484" s="172"/>
      <c r="B484" s="172"/>
      <c r="C484" s="172"/>
      <c r="D484" s="172"/>
      <c r="E484" s="172"/>
      <c r="F484" s="172"/>
      <c r="G484" s="367"/>
      <c r="H484" s="172"/>
      <c r="I484" s="367"/>
      <c r="J484" s="172"/>
    </row>
    <row r="485">
      <c r="A485" s="172"/>
      <c r="B485" s="172"/>
      <c r="C485" s="172"/>
      <c r="D485" s="172"/>
      <c r="E485" s="172"/>
      <c r="F485" s="172"/>
      <c r="G485" s="367"/>
      <c r="H485" s="172"/>
      <c r="I485" s="367"/>
      <c r="J485" s="172"/>
    </row>
    <row r="486">
      <c r="A486" s="172"/>
      <c r="B486" s="172"/>
      <c r="C486" s="172"/>
      <c r="D486" s="172"/>
      <c r="E486" s="172"/>
      <c r="F486" s="172"/>
      <c r="G486" s="367"/>
      <c r="H486" s="172"/>
      <c r="I486" s="367"/>
      <c r="J486" s="172"/>
    </row>
    <row r="487">
      <c r="A487" s="172"/>
      <c r="B487" s="172"/>
      <c r="C487" s="172"/>
      <c r="D487" s="172"/>
      <c r="E487" s="172"/>
      <c r="F487" s="172"/>
      <c r="G487" s="367"/>
      <c r="H487" s="172"/>
      <c r="I487" s="367"/>
      <c r="J487" s="172"/>
    </row>
    <row r="488">
      <c r="A488" s="172"/>
      <c r="B488" s="172"/>
      <c r="C488" s="172"/>
      <c r="D488" s="172"/>
      <c r="E488" s="172"/>
      <c r="F488" s="172"/>
      <c r="G488" s="367"/>
      <c r="H488" s="172"/>
      <c r="I488" s="367"/>
      <c r="J488" s="172"/>
    </row>
    <row r="489">
      <c r="A489" s="172"/>
      <c r="B489" s="172"/>
      <c r="C489" s="172"/>
      <c r="D489" s="172"/>
      <c r="E489" s="172"/>
      <c r="F489" s="172"/>
      <c r="G489" s="367"/>
      <c r="H489" s="172"/>
      <c r="I489" s="367"/>
      <c r="J489" s="172"/>
    </row>
    <row r="490">
      <c r="A490" s="172"/>
      <c r="B490" s="172"/>
      <c r="C490" s="172"/>
      <c r="D490" s="172"/>
      <c r="E490" s="172"/>
      <c r="F490" s="172"/>
      <c r="G490" s="367"/>
      <c r="H490" s="172"/>
      <c r="I490" s="367"/>
      <c r="J490" s="172"/>
    </row>
    <row r="491">
      <c r="A491" s="172"/>
      <c r="B491" s="172"/>
      <c r="C491" s="172"/>
      <c r="D491" s="172"/>
      <c r="E491" s="172"/>
      <c r="F491" s="172"/>
      <c r="G491" s="367"/>
      <c r="H491" s="172"/>
      <c r="I491" s="367"/>
      <c r="J491" s="172"/>
    </row>
    <row r="492">
      <c r="A492" s="172"/>
      <c r="B492" s="172"/>
      <c r="C492" s="172"/>
      <c r="D492" s="172"/>
      <c r="E492" s="172"/>
      <c r="F492" s="172"/>
      <c r="G492" s="367"/>
      <c r="H492" s="172"/>
      <c r="I492" s="367"/>
      <c r="J492" s="172"/>
    </row>
    <row r="493">
      <c r="A493" s="172"/>
      <c r="B493" s="172"/>
      <c r="C493" s="172"/>
      <c r="D493" s="172"/>
      <c r="E493" s="172"/>
      <c r="F493" s="172"/>
      <c r="G493" s="367"/>
      <c r="H493" s="172"/>
      <c r="I493" s="367"/>
      <c r="J493" s="172"/>
    </row>
    <row r="494">
      <c r="A494" s="172"/>
      <c r="B494" s="172"/>
      <c r="C494" s="172"/>
      <c r="D494" s="172"/>
      <c r="E494" s="172"/>
      <c r="F494" s="172"/>
      <c r="G494" s="367"/>
      <c r="H494" s="172"/>
      <c r="I494" s="367"/>
      <c r="J494" s="172"/>
    </row>
    <row r="495">
      <c r="A495" s="172"/>
      <c r="B495" s="172"/>
      <c r="C495" s="172"/>
      <c r="D495" s="172"/>
      <c r="E495" s="172"/>
      <c r="F495" s="172"/>
      <c r="G495" s="367"/>
      <c r="H495" s="172"/>
      <c r="I495" s="367"/>
      <c r="J495" s="172"/>
    </row>
    <row r="496">
      <c r="A496" s="172"/>
      <c r="B496" s="172"/>
      <c r="C496" s="172"/>
      <c r="D496" s="172"/>
      <c r="E496" s="172"/>
      <c r="F496" s="172"/>
      <c r="G496" s="367"/>
      <c r="H496" s="172"/>
      <c r="I496" s="367"/>
      <c r="J496" s="172"/>
    </row>
    <row r="497">
      <c r="A497" s="172"/>
      <c r="B497" s="172"/>
      <c r="C497" s="172"/>
      <c r="D497" s="172"/>
      <c r="E497" s="172"/>
      <c r="F497" s="172"/>
      <c r="G497" s="367"/>
      <c r="H497" s="172"/>
      <c r="I497" s="367"/>
      <c r="J497" s="172"/>
    </row>
    <row r="498">
      <c r="A498" s="172"/>
      <c r="B498" s="172"/>
      <c r="C498" s="172"/>
      <c r="D498" s="172"/>
      <c r="E498" s="172"/>
      <c r="F498" s="172"/>
      <c r="G498" s="367"/>
      <c r="H498" s="172"/>
      <c r="I498" s="367"/>
      <c r="J498" s="172"/>
    </row>
    <row r="499">
      <c r="A499" s="172"/>
      <c r="B499" s="172"/>
      <c r="C499" s="172"/>
      <c r="D499" s="172"/>
      <c r="E499" s="172"/>
      <c r="F499" s="172"/>
      <c r="G499" s="367"/>
      <c r="H499" s="172"/>
      <c r="I499" s="367"/>
      <c r="J499" s="172"/>
    </row>
    <row r="500">
      <c r="A500" s="172"/>
      <c r="B500" s="172"/>
      <c r="C500" s="172"/>
      <c r="D500" s="172"/>
      <c r="E500" s="172"/>
      <c r="F500" s="172"/>
      <c r="G500" s="367"/>
      <c r="H500" s="172"/>
      <c r="I500" s="367"/>
      <c r="J500" s="172"/>
    </row>
    <row r="501">
      <c r="A501" s="172"/>
      <c r="B501" s="172"/>
      <c r="C501" s="172"/>
      <c r="D501" s="172"/>
      <c r="E501" s="172"/>
      <c r="F501" s="172"/>
      <c r="G501" s="367"/>
      <c r="H501" s="172"/>
      <c r="I501" s="367"/>
      <c r="J501" s="172"/>
    </row>
    <row r="502">
      <c r="A502" s="172"/>
      <c r="B502" s="172"/>
      <c r="C502" s="172"/>
      <c r="D502" s="172"/>
      <c r="E502" s="172"/>
      <c r="F502" s="172"/>
      <c r="G502" s="367"/>
      <c r="H502" s="172"/>
      <c r="I502" s="367"/>
      <c r="J502" s="172"/>
    </row>
    <row r="503">
      <c r="A503" s="172"/>
      <c r="B503" s="172"/>
      <c r="C503" s="172"/>
      <c r="D503" s="172"/>
      <c r="E503" s="172"/>
      <c r="F503" s="172"/>
      <c r="G503" s="367"/>
      <c r="H503" s="172"/>
      <c r="I503" s="367"/>
      <c r="J503" s="172"/>
    </row>
    <row r="504">
      <c r="A504" s="172"/>
      <c r="B504" s="172"/>
      <c r="C504" s="172"/>
      <c r="D504" s="172"/>
      <c r="E504" s="172"/>
      <c r="F504" s="172"/>
      <c r="G504" s="367"/>
      <c r="H504" s="172"/>
      <c r="I504" s="367"/>
      <c r="J504" s="172"/>
    </row>
    <row r="505">
      <c r="A505" s="172"/>
      <c r="B505" s="172"/>
      <c r="C505" s="172"/>
      <c r="D505" s="172"/>
      <c r="E505" s="172"/>
      <c r="F505" s="172"/>
      <c r="G505" s="367"/>
      <c r="H505" s="172"/>
      <c r="I505" s="367"/>
      <c r="J505" s="172"/>
    </row>
    <row r="506">
      <c r="A506" s="172"/>
      <c r="B506" s="172"/>
      <c r="C506" s="172"/>
      <c r="D506" s="172"/>
      <c r="E506" s="172"/>
      <c r="F506" s="172"/>
      <c r="G506" s="367"/>
      <c r="H506" s="172"/>
      <c r="I506" s="367"/>
      <c r="J506" s="172"/>
    </row>
    <row r="507">
      <c r="A507" s="172"/>
      <c r="B507" s="172"/>
      <c r="C507" s="172"/>
      <c r="D507" s="172"/>
      <c r="E507" s="172"/>
      <c r="F507" s="172"/>
      <c r="G507" s="367"/>
      <c r="H507" s="172"/>
      <c r="I507" s="367"/>
      <c r="J507" s="172"/>
    </row>
    <row r="508">
      <c r="A508" s="172"/>
      <c r="B508" s="172"/>
      <c r="C508" s="172"/>
      <c r="D508" s="172"/>
      <c r="E508" s="172"/>
      <c r="F508" s="172"/>
      <c r="G508" s="367"/>
      <c r="H508" s="172"/>
      <c r="I508" s="367"/>
      <c r="J508" s="172"/>
    </row>
    <row r="509">
      <c r="A509" s="172"/>
      <c r="B509" s="172"/>
      <c r="C509" s="172"/>
      <c r="D509" s="172"/>
      <c r="E509" s="172"/>
      <c r="F509" s="172"/>
      <c r="G509" s="367"/>
      <c r="H509" s="172"/>
      <c r="I509" s="367"/>
      <c r="J509" s="172"/>
    </row>
    <row r="510">
      <c r="A510" s="172"/>
      <c r="B510" s="172"/>
      <c r="C510" s="172"/>
      <c r="D510" s="172"/>
      <c r="E510" s="172"/>
      <c r="F510" s="172"/>
      <c r="G510" s="367"/>
      <c r="H510" s="172"/>
      <c r="I510" s="367"/>
      <c r="J510" s="172"/>
    </row>
    <row r="511">
      <c r="A511" s="172"/>
      <c r="B511" s="172"/>
      <c r="C511" s="172"/>
      <c r="D511" s="172"/>
      <c r="E511" s="172"/>
      <c r="F511" s="172"/>
      <c r="G511" s="367"/>
      <c r="H511" s="172"/>
      <c r="I511" s="367"/>
      <c r="J511" s="172"/>
    </row>
    <row r="512">
      <c r="A512" s="172"/>
      <c r="B512" s="172"/>
      <c r="C512" s="172"/>
      <c r="D512" s="172"/>
      <c r="E512" s="172"/>
      <c r="F512" s="172"/>
      <c r="G512" s="367"/>
      <c r="H512" s="172"/>
      <c r="I512" s="367"/>
      <c r="J512" s="172"/>
    </row>
    <row r="513">
      <c r="A513" s="172"/>
      <c r="B513" s="172"/>
      <c r="C513" s="172"/>
      <c r="D513" s="172"/>
      <c r="E513" s="172"/>
      <c r="F513" s="172"/>
      <c r="G513" s="367"/>
      <c r="H513" s="172"/>
      <c r="I513" s="367"/>
      <c r="J513" s="172"/>
    </row>
    <row r="514">
      <c r="A514" s="172"/>
      <c r="B514" s="172"/>
      <c r="C514" s="172"/>
      <c r="D514" s="172"/>
      <c r="E514" s="172"/>
      <c r="F514" s="172"/>
      <c r="G514" s="367"/>
      <c r="H514" s="172"/>
      <c r="I514" s="367"/>
      <c r="J514" s="172"/>
    </row>
    <row r="515">
      <c r="A515" s="172"/>
      <c r="B515" s="172"/>
      <c r="C515" s="172"/>
      <c r="D515" s="172"/>
      <c r="E515" s="172"/>
      <c r="F515" s="172"/>
      <c r="G515" s="367"/>
      <c r="H515" s="172"/>
      <c r="I515" s="367"/>
      <c r="J515" s="172"/>
    </row>
    <row r="516">
      <c r="A516" s="172"/>
      <c r="B516" s="172"/>
      <c r="C516" s="172"/>
      <c r="D516" s="172"/>
      <c r="E516" s="172"/>
      <c r="F516" s="172"/>
      <c r="G516" s="367"/>
      <c r="H516" s="172"/>
      <c r="I516" s="367"/>
      <c r="J516" s="172"/>
    </row>
    <row r="517">
      <c r="A517" s="172"/>
      <c r="B517" s="172"/>
      <c r="C517" s="172"/>
      <c r="D517" s="172"/>
      <c r="E517" s="172"/>
      <c r="F517" s="172"/>
      <c r="G517" s="367"/>
      <c r="H517" s="172"/>
      <c r="I517" s="367"/>
      <c r="J517" s="172"/>
    </row>
    <row r="518">
      <c r="A518" s="172"/>
      <c r="B518" s="172"/>
      <c r="C518" s="172"/>
      <c r="D518" s="172"/>
      <c r="E518" s="172"/>
      <c r="F518" s="172"/>
      <c r="G518" s="367"/>
      <c r="H518" s="172"/>
      <c r="I518" s="367"/>
      <c r="J518" s="172"/>
    </row>
    <row r="519">
      <c r="A519" s="172"/>
      <c r="B519" s="172"/>
      <c r="C519" s="172"/>
      <c r="D519" s="172"/>
      <c r="E519" s="172"/>
      <c r="F519" s="172"/>
      <c r="G519" s="367"/>
      <c r="H519" s="172"/>
      <c r="I519" s="367"/>
      <c r="J519" s="172"/>
    </row>
    <row r="520">
      <c r="A520" s="172"/>
      <c r="B520" s="172"/>
      <c r="C520" s="172"/>
      <c r="D520" s="172"/>
      <c r="E520" s="172"/>
      <c r="F520" s="172"/>
      <c r="G520" s="367"/>
      <c r="H520" s="172"/>
      <c r="I520" s="367"/>
      <c r="J520" s="172"/>
    </row>
    <row r="521">
      <c r="A521" s="172"/>
      <c r="B521" s="172"/>
      <c r="C521" s="172"/>
      <c r="D521" s="172"/>
      <c r="E521" s="172"/>
      <c r="F521" s="172"/>
      <c r="G521" s="367"/>
      <c r="H521" s="172"/>
      <c r="I521" s="367"/>
      <c r="J521" s="172"/>
    </row>
    <row r="522">
      <c r="A522" s="172"/>
      <c r="B522" s="172"/>
      <c r="C522" s="172"/>
      <c r="D522" s="172"/>
      <c r="E522" s="172"/>
      <c r="F522" s="172"/>
      <c r="G522" s="367"/>
      <c r="H522" s="172"/>
      <c r="I522" s="367"/>
      <c r="J522" s="172"/>
    </row>
    <row r="523">
      <c r="A523" s="172"/>
      <c r="B523" s="172"/>
      <c r="C523" s="172"/>
      <c r="D523" s="172"/>
      <c r="E523" s="172"/>
      <c r="F523" s="172"/>
      <c r="G523" s="367"/>
      <c r="H523" s="172"/>
      <c r="I523" s="367"/>
      <c r="J523" s="172"/>
    </row>
    <row r="524">
      <c r="A524" s="172"/>
      <c r="B524" s="172"/>
      <c r="C524" s="172"/>
      <c r="D524" s="172"/>
      <c r="E524" s="172"/>
      <c r="F524" s="172"/>
      <c r="G524" s="367"/>
      <c r="H524" s="172"/>
      <c r="I524" s="367"/>
      <c r="J524" s="172"/>
    </row>
    <row r="525">
      <c r="A525" s="172"/>
      <c r="B525" s="172"/>
      <c r="C525" s="172"/>
      <c r="D525" s="172"/>
      <c r="E525" s="172"/>
      <c r="F525" s="172"/>
      <c r="G525" s="367"/>
      <c r="H525" s="172"/>
      <c r="I525" s="367"/>
      <c r="J525" s="172"/>
    </row>
    <row r="526">
      <c r="A526" s="172"/>
      <c r="B526" s="172"/>
      <c r="C526" s="172"/>
      <c r="D526" s="172"/>
      <c r="E526" s="172"/>
      <c r="F526" s="172"/>
      <c r="G526" s="367"/>
      <c r="H526" s="172"/>
      <c r="I526" s="367"/>
      <c r="J526" s="172"/>
    </row>
    <row r="527">
      <c r="A527" s="172"/>
      <c r="B527" s="172"/>
      <c r="C527" s="172"/>
      <c r="D527" s="172"/>
      <c r="E527" s="172"/>
      <c r="F527" s="172"/>
      <c r="G527" s="367"/>
      <c r="H527" s="172"/>
      <c r="I527" s="367"/>
      <c r="J527" s="172"/>
    </row>
    <row r="528">
      <c r="A528" s="172"/>
      <c r="B528" s="172"/>
      <c r="C528" s="172"/>
      <c r="D528" s="172"/>
      <c r="E528" s="172"/>
      <c r="F528" s="172"/>
      <c r="G528" s="367"/>
      <c r="H528" s="172"/>
      <c r="I528" s="367"/>
      <c r="J528" s="172"/>
    </row>
    <row r="529">
      <c r="A529" s="172"/>
      <c r="B529" s="172"/>
      <c r="C529" s="172"/>
      <c r="D529" s="172"/>
      <c r="E529" s="172"/>
      <c r="F529" s="172"/>
      <c r="G529" s="367"/>
      <c r="H529" s="172"/>
      <c r="I529" s="367"/>
      <c r="J529" s="172"/>
    </row>
    <row r="530">
      <c r="A530" s="172"/>
      <c r="B530" s="172"/>
      <c r="C530" s="172"/>
      <c r="D530" s="172"/>
      <c r="E530" s="172"/>
      <c r="F530" s="172"/>
      <c r="G530" s="367"/>
      <c r="H530" s="172"/>
      <c r="I530" s="367"/>
      <c r="J530" s="172"/>
    </row>
    <row r="531">
      <c r="A531" s="172"/>
      <c r="B531" s="172"/>
      <c r="C531" s="172"/>
      <c r="D531" s="172"/>
      <c r="E531" s="172"/>
      <c r="F531" s="172"/>
      <c r="G531" s="367"/>
      <c r="H531" s="172"/>
      <c r="I531" s="367"/>
      <c r="J531" s="172"/>
    </row>
    <row r="532">
      <c r="A532" s="172"/>
      <c r="B532" s="172"/>
      <c r="C532" s="172"/>
      <c r="D532" s="172"/>
      <c r="E532" s="172"/>
      <c r="F532" s="172"/>
      <c r="G532" s="367"/>
      <c r="H532" s="172"/>
      <c r="I532" s="367"/>
      <c r="J532" s="172"/>
    </row>
    <row r="533">
      <c r="A533" s="172"/>
      <c r="B533" s="172"/>
      <c r="C533" s="172"/>
      <c r="D533" s="172"/>
      <c r="E533" s="172"/>
      <c r="F533" s="172"/>
      <c r="G533" s="367"/>
      <c r="H533" s="172"/>
      <c r="I533" s="367"/>
      <c r="J533" s="172"/>
    </row>
    <row r="534">
      <c r="A534" s="172"/>
      <c r="B534" s="172"/>
      <c r="C534" s="172"/>
      <c r="D534" s="172"/>
      <c r="E534" s="172"/>
      <c r="F534" s="172"/>
      <c r="G534" s="367"/>
      <c r="H534" s="172"/>
      <c r="I534" s="367"/>
      <c r="J534" s="172"/>
    </row>
    <row r="535">
      <c r="A535" s="172"/>
      <c r="B535" s="172"/>
      <c r="C535" s="172"/>
      <c r="D535" s="172"/>
      <c r="E535" s="172"/>
      <c r="F535" s="172"/>
      <c r="G535" s="367"/>
      <c r="H535" s="172"/>
      <c r="I535" s="367"/>
      <c r="J535" s="172"/>
    </row>
    <row r="536">
      <c r="A536" s="172"/>
      <c r="B536" s="172"/>
      <c r="C536" s="172"/>
      <c r="D536" s="172"/>
      <c r="E536" s="172"/>
      <c r="F536" s="172"/>
      <c r="G536" s="367"/>
      <c r="H536" s="172"/>
      <c r="I536" s="367"/>
      <c r="J536" s="172"/>
    </row>
    <row r="537">
      <c r="A537" s="172"/>
      <c r="B537" s="172"/>
      <c r="C537" s="172"/>
      <c r="D537" s="172"/>
      <c r="E537" s="172"/>
      <c r="F537" s="172"/>
      <c r="G537" s="367"/>
      <c r="H537" s="172"/>
      <c r="I537" s="367"/>
      <c r="J537" s="172"/>
    </row>
    <row r="538">
      <c r="A538" s="172"/>
      <c r="B538" s="172"/>
      <c r="C538" s="172"/>
      <c r="D538" s="172"/>
      <c r="E538" s="172"/>
      <c r="F538" s="172"/>
      <c r="G538" s="367"/>
      <c r="H538" s="172"/>
      <c r="I538" s="367"/>
      <c r="J538" s="172"/>
    </row>
    <row r="539">
      <c r="A539" s="172"/>
      <c r="B539" s="172"/>
      <c r="C539" s="172"/>
      <c r="D539" s="172"/>
      <c r="E539" s="172"/>
      <c r="F539" s="172"/>
      <c r="G539" s="367"/>
      <c r="H539" s="172"/>
      <c r="I539" s="367"/>
      <c r="J539" s="172"/>
    </row>
    <row r="540">
      <c r="A540" s="172"/>
      <c r="B540" s="172"/>
      <c r="C540" s="172"/>
      <c r="D540" s="172"/>
      <c r="E540" s="172"/>
      <c r="F540" s="172"/>
      <c r="G540" s="367"/>
      <c r="H540" s="172"/>
      <c r="I540" s="367"/>
      <c r="J540" s="172"/>
    </row>
    <row r="541">
      <c r="A541" s="172"/>
      <c r="B541" s="172"/>
      <c r="C541" s="172"/>
      <c r="D541" s="172"/>
      <c r="E541" s="172"/>
      <c r="F541" s="172"/>
      <c r="G541" s="367"/>
      <c r="H541" s="172"/>
      <c r="I541" s="367"/>
      <c r="J541" s="172"/>
    </row>
    <row r="542">
      <c r="A542" s="172"/>
      <c r="B542" s="172"/>
      <c r="C542" s="172"/>
      <c r="D542" s="172"/>
      <c r="E542" s="172"/>
      <c r="F542" s="172"/>
      <c r="G542" s="367"/>
      <c r="H542" s="172"/>
      <c r="I542" s="367"/>
      <c r="J542" s="172"/>
    </row>
    <row r="543">
      <c r="A543" s="172"/>
      <c r="B543" s="172"/>
      <c r="C543" s="172"/>
      <c r="D543" s="172"/>
      <c r="E543" s="172"/>
      <c r="F543" s="172"/>
      <c r="G543" s="367"/>
      <c r="H543" s="172"/>
      <c r="I543" s="367"/>
      <c r="J543" s="172"/>
    </row>
    <row r="544">
      <c r="A544" s="172"/>
      <c r="B544" s="172"/>
      <c r="C544" s="172"/>
      <c r="D544" s="172"/>
      <c r="E544" s="172"/>
      <c r="F544" s="172"/>
      <c r="G544" s="367"/>
      <c r="H544" s="172"/>
      <c r="I544" s="367"/>
      <c r="J544" s="172"/>
    </row>
    <row r="545">
      <c r="A545" s="172"/>
      <c r="B545" s="172"/>
      <c r="C545" s="172"/>
      <c r="D545" s="172"/>
      <c r="E545" s="172"/>
      <c r="F545" s="172"/>
      <c r="G545" s="367"/>
      <c r="H545" s="172"/>
      <c r="I545" s="367"/>
      <c r="J545" s="172"/>
    </row>
    <row r="546">
      <c r="A546" s="172"/>
      <c r="B546" s="172"/>
      <c r="C546" s="172"/>
      <c r="D546" s="172"/>
      <c r="E546" s="172"/>
      <c r="F546" s="172"/>
      <c r="G546" s="367"/>
      <c r="H546" s="172"/>
      <c r="I546" s="367"/>
      <c r="J546" s="172"/>
    </row>
    <row r="547">
      <c r="A547" s="172"/>
      <c r="B547" s="172"/>
      <c r="C547" s="172"/>
      <c r="D547" s="172"/>
      <c r="E547" s="172"/>
      <c r="F547" s="172"/>
      <c r="G547" s="367"/>
      <c r="H547" s="172"/>
      <c r="I547" s="367"/>
      <c r="J547" s="172"/>
    </row>
    <row r="548">
      <c r="A548" s="172"/>
      <c r="B548" s="172"/>
      <c r="C548" s="172"/>
      <c r="D548" s="172"/>
      <c r="E548" s="172"/>
      <c r="F548" s="172"/>
      <c r="G548" s="367"/>
      <c r="H548" s="172"/>
      <c r="I548" s="367"/>
      <c r="J548" s="172"/>
    </row>
    <row r="549">
      <c r="A549" s="172"/>
      <c r="B549" s="172"/>
      <c r="C549" s="172"/>
      <c r="D549" s="172"/>
      <c r="E549" s="172"/>
      <c r="F549" s="172"/>
      <c r="G549" s="367"/>
      <c r="H549" s="172"/>
      <c r="I549" s="367"/>
      <c r="J549" s="172"/>
    </row>
    <row r="550">
      <c r="A550" s="172"/>
      <c r="B550" s="172"/>
      <c r="C550" s="172"/>
      <c r="D550" s="172"/>
      <c r="E550" s="172"/>
      <c r="F550" s="172"/>
      <c r="G550" s="367"/>
      <c r="H550" s="172"/>
      <c r="I550" s="367"/>
      <c r="J550" s="172"/>
    </row>
    <row r="551">
      <c r="A551" s="172"/>
      <c r="B551" s="172"/>
      <c r="C551" s="172"/>
      <c r="D551" s="172"/>
      <c r="E551" s="172"/>
      <c r="F551" s="172"/>
      <c r="G551" s="367"/>
      <c r="H551" s="172"/>
      <c r="I551" s="367"/>
      <c r="J551" s="172"/>
    </row>
    <row r="552">
      <c r="A552" s="172"/>
      <c r="B552" s="172"/>
      <c r="C552" s="172"/>
      <c r="D552" s="172"/>
      <c r="E552" s="172"/>
      <c r="F552" s="172"/>
      <c r="G552" s="367"/>
      <c r="H552" s="172"/>
      <c r="I552" s="367"/>
      <c r="J552" s="172"/>
    </row>
    <row r="553">
      <c r="A553" s="172"/>
      <c r="B553" s="172"/>
      <c r="C553" s="172"/>
      <c r="D553" s="172"/>
      <c r="E553" s="172"/>
      <c r="F553" s="172"/>
      <c r="G553" s="367"/>
      <c r="H553" s="172"/>
      <c r="I553" s="367"/>
      <c r="J553" s="172"/>
    </row>
    <row r="554">
      <c r="A554" s="172"/>
      <c r="B554" s="172"/>
      <c r="C554" s="172"/>
      <c r="D554" s="172"/>
      <c r="E554" s="172"/>
      <c r="F554" s="172"/>
      <c r="G554" s="367"/>
      <c r="H554" s="172"/>
      <c r="I554" s="367"/>
      <c r="J554" s="172"/>
    </row>
    <row r="555">
      <c r="A555" s="172"/>
      <c r="B555" s="172"/>
      <c r="C555" s="172"/>
      <c r="D555" s="172"/>
      <c r="E555" s="172"/>
      <c r="F555" s="172"/>
      <c r="G555" s="367"/>
      <c r="H555" s="172"/>
      <c r="I555" s="367"/>
      <c r="J555" s="172"/>
    </row>
    <row r="556">
      <c r="A556" s="172"/>
      <c r="B556" s="172"/>
      <c r="C556" s="172"/>
      <c r="D556" s="172"/>
      <c r="E556" s="172"/>
      <c r="F556" s="172"/>
      <c r="G556" s="367"/>
      <c r="H556" s="172"/>
      <c r="I556" s="367"/>
      <c r="J556" s="172"/>
    </row>
    <row r="557">
      <c r="A557" s="172"/>
      <c r="B557" s="172"/>
      <c r="C557" s="172"/>
      <c r="D557" s="172"/>
      <c r="E557" s="172"/>
      <c r="F557" s="172"/>
      <c r="G557" s="367"/>
      <c r="H557" s="172"/>
      <c r="I557" s="367"/>
      <c r="J557" s="172"/>
    </row>
    <row r="558">
      <c r="A558" s="172"/>
      <c r="B558" s="172"/>
      <c r="C558" s="172"/>
      <c r="D558" s="172"/>
      <c r="E558" s="172"/>
      <c r="F558" s="172"/>
      <c r="G558" s="367"/>
      <c r="H558" s="172"/>
      <c r="I558" s="367"/>
      <c r="J558" s="172"/>
    </row>
    <row r="559">
      <c r="A559" s="172"/>
      <c r="B559" s="172"/>
      <c r="C559" s="172"/>
      <c r="D559" s="172"/>
      <c r="E559" s="172"/>
      <c r="F559" s="172"/>
      <c r="G559" s="367"/>
      <c r="H559" s="172"/>
      <c r="I559" s="367"/>
      <c r="J559" s="172"/>
    </row>
    <row r="560">
      <c r="A560" s="172"/>
      <c r="B560" s="172"/>
      <c r="C560" s="172"/>
      <c r="D560" s="172"/>
      <c r="E560" s="172"/>
      <c r="F560" s="172"/>
      <c r="G560" s="367"/>
      <c r="H560" s="172"/>
      <c r="I560" s="367"/>
      <c r="J560" s="172"/>
    </row>
    <row r="561">
      <c r="A561" s="172"/>
      <c r="B561" s="172"/>
      <c r="C561" s="172"/>
      <c r="D561" s="172"/>
      <c r="E561" s="172"/>
      <c r="F561" s="172"/>
      <c r="G561" s="367"/>
      <c r="H561" s="172"/>
      <c r="I561" s="367"/>
      <c r="J561" s="172"/>
    </row>
    <row r="562">
      <c r="A562" s="172"/>
      <c r="B562" s="172"/>
      <c r="C562" s="172"/>
      <c r="D562" s="172"/>
      <c r="E562" s="172"/>
      <c r="F562" s="172"/>
      <c r="G562" s="367"/>
      <c r="H562" s="172"/>
      <c r="I562" s="367"/>
      <c r="J562" s="172"/>
    </row>
    <row r="563">
      <c r="A563" s="172"/>
      <c r="B563" s="172"/>
      <c r="C563" s="172"/>
      <c r="D563" s="172"/>
      <c r="E563" s="172"/>
      <c r="F563" s="172"/>
      <c r="G563" s="367"/>
      <c r="H563" s="172"/>
      <c r="I563" s="367"/>
      <c r="J563" s="172"/>
    </row>
    <row r="564">
      <c r="A564" s="172"/>
      <c r="B564" s="172"/>
      <c r="C564" s="172"/>
      <c r="D564" s="172"/>
      <c r="E564" s="172"/>
      <c r="F564" s="172"/>
      <c r="G564" s="367"/>
      <c r="H564" s="172"/>
      <c r="I564" s="367"/>
      <c r="J564" s="172"/>
    </row>
    <row r="565">
      <c r="A565" s="172"/>
      <c r="B565" s="172"/>
      <c r="C565" s="172"/>
      <c r="D565" s="172"/>
      <c r="E565" s="172"/>
      <c r="F565" s="172"/>
      <c r="G565" s="367"/>
      <c r="H565" s="172"/>
      <c r="I565" s="367"/>
      <c r="J565" s="172"/>
    </row>
    <row r="566">
      <c r="A566" s="172"/>
      <c r="B566" s="172"/>
      <c r="C566" s="172"/>
      <c r="D566" s="172"/>
      <c r="E566" s="172"/>
      <c r="F566" s="172"/>
      <c r="G566" s="367"/>
      <c r="H566" s="172"/>
      <c r="I566" s="367"/>
      <c r="J566" s="172"/>
    </row>
    <row r="567">
      <c r="A567" s="172"/>
      <c r="B567" s="172"/>
      <c r="C567" s="172"/>
      <c r="D567" s="172"/>
      <c r="E567" s="172"/>
      <c r="F567" s="172"/>
      <c r="G567" s="367"/>
      <c r="H567" s="172"/>
      <c r="I567" s="367"/>
      <c r="J567" s="172"/>
    </row>
    <row r="568">
      <c r="A568" s="172"/>
      <c r="B568" s="172"/>
      <c r="C568" s="172"/>
      <c r="D568" s="172"/>
      <c r="E568" s="172"/>
      <c r="F568" s="172"/>
      <c r="G568" s="367"/>
      <c r="H568" s="172"/>
      <c r="I568" s="367"/>
      <c r="J568" s="172"/>
    </row>
    <row r="569">
      <c r="A569" s="172"/>
      <c r="B569" s="172"/>
      <c r="C569" s="172"/>
      <c r="D569" s="172"/>
      <c r="E569" s="172"/>
      <c r="F569" s="172"/>
      <c r="G569" s="367"/>
      <c r="H569" s="172"/>
      <c r="I569" s="367"/>
      <c r="J569" s="172"/>
    </row>
    <row r="570">
      <c r="A570" s="172"/>
      <c r="B570" s="172"/>
      <c r="C570" s="172"/>
      <c r="D570" s="172"/>
      <c r="E570" s="172"/>
      <c r="F570" s="172"/>
      <c r="G570" s="367"/>
      <c r="H570" s="172"/>
      <c r="I570" s="367"/>
      <c r="J570" s="172"/>
    </row>
    <row r="571">
      <c r="A571" s="172"/>
      <c r="B571" s="172"/>
      <c r="C571" s="172"/>
      <c r="D571" s="172"/>
      <c r="E571" s="172"/>
      <c r="F571" s="172"/>
      <c r="G571" s="367"/>
      <c r="H571" s="172"/>
      <c r="I571" s="367"/>
      <c r="J571" s="172"/>
    </row>
    <row r="572">
      <c r="A572" s="172"/>
      <c r="B572" s="172"/>
      <c r="C572" s="172"/>
      <c r="D572" s="172"/>
      <c r="E572" s="172"/>
      <c r="F572" s="172"/>
      <c r="G572" s="367"/>
      <c r="H572" s="172"/>
      <c r="I572" s="367"/>
      <c r="J572" s="172"/>
    </row>
    <row r="573">
      <c r="A573" s="172"/>
      <c r="B573" s="172"/>
      <c r="C573" s="172"/>
      <c r="D573" s="172"/>
      <c r="E573" s="172"/>
      <c r="F573" s="172"/>
      <c r="G573" s="367"/>
      <c r="H573" s="172"/>
      <c r="I573" s="367"/>
      <c r="J573" s="172"/>
    </row>
    <row r="574">
      <c r="A574" s="172"/>
      <c r="B574" s="172"/>
      <c r="C574" s="172"/>
      <c r="D574" s="172"/>
      <c r="E574" s="172"/>
      <c r="F574" s="172"/>
      <c r="G574" s="367"/>
      <c r="H574" s="172"/>
      <c r="I574" s="367"/>
      <c r="J574" s="172"/>
    </row>
    <row r="575">
      <c r="A575" s="172"/>
      <c r="B575" s="172"/>
      <c r="C575" s="172"/>
      <c r="D575" s="172"/>
      <c r="E575" s="172"/>
      <c r="F575" s="172"/>
      <c r="G575" s="367"/>
      <c r="H575" s="172"/>
      <c r="I575" s="367"/>
      <c r="J575" s="172"/>
    </row>
    <row r="576">
      <c r="A576" s="172"/>
      <c r="B576" s="172"/>
      <c r="C576" s="172"/>
      <c r="D576" s="172"/>
      <c r="E576" s="172"/>
      <c r="F576" s="172"/>
      <c r="G576" s="367"/>
      <c r="H576" s="172"/>
      <c r="I576" s="367"/>
      <c r="J576" s="172"/>
    </row>
    <row r="577">
      <c r="A577" s="172"/>
      <c r="B577" s="172"/>
      <c r="C577" s="172"/>
      <c r="D577" s="172"/>
      <c r="E577" s="172"/>
      <c r="F577" s="172"/>
      <c r="G577" s="367"/>
      <c r="H577" s="172"/>
      <c r="I577" s="367"/>
      <c r="J577" s="172"/>
    </row>
    <row r="578">
      <c r="A578" s="172"/>
      <c r="B578" s="172"/>
      <c r="C578" s="172"/>
      <c r="D578" s="172"/>
      <c r="E578" s="172"/>
      <c r="F578" s="172"/>
      <c r="G578" s="367"/>
      <c r="H578" s="172"/>
      <c r="I578" s="367"/>
      <c r="J578" s="172"/>
    </row>
    <row r="579">
      <c r="A579" s="172"/>
      <c r="B579" s="172"/>
      <c r="C579" s="172"/>
      <c r="D579" s="172"/>
      <c r="E579" s="172"/>
      <c r="F579" s="172"/>
      <c r="G579" s="367"/>
      <c r="H579" s="172"/>
      <c r="I579" s="367"/>
      <c r="J579" s="172"/>
    </row>
    <row r="580">
      <c r="A580" s="172"/>
      <c r="B580" s="172"/>
      <c r="C580" s="172"/>
      <c r="D580" s="172"/>
      <c r="E580" s="172"/>
      <c r="F580" s="172"/>
      <c r="G580" s="367"/>
      <c r="H580" s="172"/>
      <c r="I580" s="367"/>
      <c r="J580" s="172"/>
    </row>
    <row r="581">
      <c r="A581" s="172"/>
      <c r="B581" s="172"/>
      <c r="C581" s="172"/>
      <c r="D581" s="172"/>
      <c r="E581" s="172"/>
      <c r="F581" s="172"/>
      <c r="G581" s="367"/>
      <c r="H581" s="172"/>
      <c r="I581" s="367"/>
      <c r="J581" s="172"/>
    </row>
    <row r="582">
      <c r="A582" s="172"/>
      <c r="B582" s="172"/>
      <c r="C582" s="172"/>
      <c r="D582" s="172"/>
      <c r="E582" s="172"/>
      <c r="F582" s="172"/>
      <c r="G582" s="367"/>
      <c r="H582" s="172"/>
      <c r="I582" s="367"/>
      <c r="J582" s="172"/>
    </row>
    <row r="583">
      <c r="A583" s="172"/>
      <c r="B583" s="172"/>
      <c r="C583" s="172"/>
      <c r="D583" s="172"/>
      <c r="E583" s="172"/>
      <c r="F583" s="172"/>
      <c r="G583" s="367"/>
      <c r="H583" s="172"/>
      <c r="I583" s="367"/>
      <c r="J583" s="172"/>
    </row>
    <row r="584">
      <c r="A584" s="172"/>
      <c r="B584" s="172"/>
      <c r="C584" s="172"/>
      <c r="D584" s="172"/>
      <c r="E584" s="172"/>
      <c r="F584" s="172"/>
      <c r="G584" s="367"/>
      <c r="H584" s="172"/>
      <c r="I584" s="367"/>
      <c r="J584" s="172"/>
    </row>
    <row r="585">
      <c r="A585" s="172"/>
      <c r="B585" s="172"/>
      <c r="C585" s="172"/>
      <c r="D585" s="172"/>
      <c r="E585" s="172"/>
      <c r="F585" s="172"/>
      <c r="G585" s="367"/>
      <c r="H585" s="172"/>
      <c r="I585" s="367"/>
      <c r="J585" s="172"/>
    </row>
    <row r="586">
      <c r="A586" s="172"/>
      <c r="B586" s="172"/>
      <c r="C586" s="172"/>
      <c r="D586" s="172"/>
      <c r="E586" s="172"/>
      <c r="F586" s="172"/>
      <c r="G586" s="367"/>
      <c r="H586" s="172"/>
      <c r="I586" s="367"/>
      <c r="J586" s="172"/>
    </row>
    <row r="587">
      <c r="A587" s="172"/>
      <c r="B587" s="172"/>
      <c r="C587" s="172"/>
      <c r="D587" s="172"/>
      <c r="E587" s="172"/>
      <c r="F587" s="172"/>
      <c r="G587" s="367"/>
      <c r="H587" s="172"/>
      <c r="I587" s="367"/>
      <c r="J587" s="172"/>
    </row>
    <row r="588">
      <c r="A588" s="172"/>
      <c r="B588" s="172"/>
      <c r="C588" s="172"/>
      <c r="D588" s="172"/>
      <c r="E588" s="172"/>
      <c r="F588" s="172"/>
      <c r="G588" s="367"/>
      <c r="H588" s="172"/>
      <c r="I588" s="367"/>
      <c r="J588" s="172"/>
    </row>
    <row r="589">
      <c r="A589" s="172"/>
      <c r="B589" s="172"/>
      <c r="C589" s="172"/>
      <c r="D589" s="172"/>
      <c r="E589" s="172"/>
      <c r="F589" s="172"/>
      <c r="G589" s="367"/>
      <c r="H589" s="172"/>
      <c r="I589" s="367"/>
      <c r="J589" s="172"/>
    </row>
    <row r="590">
      <c r="A590" s="172"/>
      <c r="B590" s="172"/>
      <c r="C590" s="172"/>
      <c r="D590" s="172"/>
      <c r="E590" s="172"/>
      <c r="F590" s="172"/>
      <c r="G590" s="367"/>
      <c r="H590" s="172"/>
      <c r="I590" s="367"/>
      <c r="J590" s="172"/>
    </row>
    <row r="591">
      <c r="A591" s="172"/>
      <c r="B591" s="172"/>
      <c r="C591" s="172"/>
      <c r="D591" s="172"/>
      <c r="E591" s="172"/>
      <c r="F591" s="172"/>
      <c r="G591" s="367"/>
      <c r="H591" s="172"/>
      <c r="I591" s="367"/>
      <c r="J591" s="172"/>
    </row>
    <row r="592">
      <c r="A592" s="172"/>
      <c r="B592" s="172"/>
      <c r="C592" s="172"/>
      <c r="D592" s="172"/>
      <c r="E592" s="172"/>
      <c r="F592" s="172"/>
      <c r="G592" s="367"/>
      <c r="H592" s="172"/>
      <c r="I592" s="367"/>
      <c r="J592" s="172"/>
    </row>
    <row r="593">
      <c r="A593" s="172"/>
      <c r="B593" s="172"/>
      <c r="C593" s="172"/>
      <c r="D593" s="172"/>
      <c r="E593" s="172"/>
      <c r="F593" s="172"/>
      <c r="G593" s="367"/>
      <c r="H593" s="172"/>
      <c r="I593" s="367"/>
      <c r="J593" s="172"/>
    </row>
    <row r="594">
      <c r="A594" s="172"/>
      <c r="B594" s="172"/>
      <c r="C594" s="172"/>
      <c r="D594" s="172"/>
      <c r="E594" s="172"/>
      <c r="F594" s="172"/>
      <c r="G594" s="367"/>
      <c r="H594" s="172"/>
      <c r="I594" s="367"/>
      <c r="J594" s="172"/>
    </row>
    <row r="595">
      <c r="A595" s="172"/>
      <c r="B595" s="172"/>
      <c r="C595" s="172"/>
      <c r="D595" s="172"/>
      <c r="E595" s="172"/>
      <c r="F595" s="172"/>
      <c r="G595" s="367"/>
      <c r="H595" s="172"/>
      <c r="I595" s="367"/>
      <c r="J595" s="172"/>
    </row>
    <row r="596">
      <c r="A596" s="172"/>
      <c r="B596" s="172"/>
      <c r="C596" s="172"/>
      <c r="D596" s="172"/>
      <c r="E596" s="172"/>
      <c r="F596" s="172"/>
      <c r="G596" s="367"/>
      <c r="H596" s="172"/>
      <c r="I596" s="367"/>
      <c r="J596" s="172"/>
    </row>
    <row r="597">
      <c r="A597" s="172"/>
      <c r="B597" s="172"/>
      <c r="C597" s="172"/>
      <c r="D597" s="172"/>
      <c r="E597" s="172"/>
      <c r="F597" s="172"/>
      <c r="G597" s="367"/>
      <c r="H597" s="172"/>
      <c r="I597" s="367"/>
      <c r="J597" s="172"/>
    </row>
    <row r="598">
      <c r="A598" s="172"/>
      <c r="B598" s="172"/>
      <c r="C598" s="172"/>
      <c r="D598" s="172"/>
      <c r="E598" s="172"/>
      <c r="F598" s="172"/>
      <c r="G598" s="367"/>
      <c r="H598" s="172"/>
      <c r="I598" s="367"/>
      <c r="J598" s="172"/>
    </row>
    <row r="599">
      <c r="A599" s="172"/>
      <c r="B599" s="172"/>
      <c r="C599" s="172"/>
      <c r="D599" s="172"/>
      <c r="E599" s="172"/>
      <c r="F599" s="172"/>
      <c r="G599" s="367"/>
      <c r="H599" s="172"/>
      <c r="I599" s="367"/>
      <c r="J599" s="172"/>
    </row>
    <row r="600">
      <c r="A600" s="172"/>
      <c r="B600" s="172"/>
      <c r="C600" s="172"/>
      <c r="D600" s="172"/>
      <c r="E600" s="172"/>
      <c r="F600" s="172"/>
      <c r="G600" s="367"/>
      <c r="H600" s="172"/>
      <c r="I600" s="367"/>
      <c r="J600" s="172"/>
    </row>
    <row r="601">
      <c r="A601" s="172"/>
      <c r="B601" s="172"/>
      <c r="C601" s="172"/>
      <c r="D601" s="172"/>
      <c r="E601" s="172"/>
      <c r="F601" s="172"/>
      <c r="G601" s="367"/>
      <c r="H601" s="172"/>
      <c r="I601" s="367"/>
      <c r="J601" s="172"/>
    </row>
    <row r="602">
      <c r="A602" s="172"/>
      <c r="B602" s="172"/>
      <c r="C602" s="172"/>
      <c r="D602" s="172"/>
      <c r="E602" s="172"/>
      <c r="F602" s="172"/>
      <c r="G602" s="367"/>
      <c r="H602" s="172"/>
      <c r="I602" s="367"/>
      <c r="J602" s="172"/>
    </row>
    <row r="603">
      <c r="A603" s="172"/>
      <c r="B603" s="172"/>
      <c r="C603" s="172"/>
      <c r="D603" s="172"/>
      <c r="E603" s="172"/>
      <c r="F603" s="172"/>
      <c r="G603" s="367"/>
      <c r="H603" s="172"/>
      <c r="I603" s="367"/>
      <c r="J603" s="172"/>
    </row>
    <row r="604">
      <c r="A604" s="172"/>
      <c r="B604" s="172"/>
      <c r="C604" s="172"/>
      <c r="D604" s="172"/>
      <c r="E604" s="172"/>
      <c r="F604" s="172"/>
      <c r="G604" s="367"/>
      <c r="H604" s="172"/>
      <c r="I604" s="367"/>
      <c r="J604" s="172"/>
    </row>
    <row r="605">
      <c r="A605" s="172"/>
      <c r="B605" s="172"/>
      <c r="C605" s="172"/>
      <c r="D605" s="172"/>
      <c r="E605" s="172"/>
      <c r="F605" s="172"/>
      <c r="G605" s="367"/>
      <c r="H605" s="172"/>
      <c r="I605" s="367"/>
      <c r="J605" s="172"/>
    </row>
    <row r="606">
      <c r="A606" s="172"/>
      <c r="B606" s="172"/>
      <c r="C606" s="172"/>
      <c r="D606" s="172"/>
      <c r="E606" s="172"/>
      <c r="F606" s="172"/>
      <c r="G606" s="367"/>
      <c r="H606" s="172"/>
      <c r="I606" s="367"/>
      <c r="J606" s="172"/>
    </row>
    <row r="607">
      <c r="A607" s="172"/>
      <c r="B607" s="172"/>
      <c r="C607" s="172"/>
      <c r="D607" s="172"/>
      <c r="E607" s="172"/>
      <c r="F607" s="172"/>
      <c r="G607" s="367"/>
      <c r="H607" s="172"/>
      <c r="I607" s="367"/>
      <c r="J607" s="172"/>
    </row>
    <row r="608">
      <c r="A608" s="172"/>
      <c r="B608" s="172"/>
      <c r="C608" s="172"/>
      <c r="D608" s="172"/>
      <c r="E608" s="172"/>
      <c r="F608" s="172"/>
      <c r="G608" s="367"/>
      <c r="H608" s="172"/>
      <c r="I608" s="367"/>
      <c r="J608" s="172"/>
    </row>
    <row r="609">
      <c r="A609" s="172"/>
      <c r="B609" s="172"/>
      <c r="C609" s="172"/>
      <c r="D609" s="172"/>
      <c r="E609" s="172"/>
      <c r="F609" s="172"/>
      <c r="G609" s="367"/>
      <c r="H609" s="172"/>
      <c r="I609" s="367"/>
      <c r="J609" s="172"/>
    </row>
    <row r="610">
      <c r="A610" s="172"/>
      <c r="B610" s="172"/>
      <c r="C610" s="172"/>
      <c r="D610" s="172"/>
      <c r="E610" s="172"/>
      <c r="F610" s="172"/>
      <c r="G610" s="367"/>
      <c r="H610" s="172"/>
      <c r="I610" s="367"/>
      <c r="J610" s="172"/>
    </row>
    <row r="611">
      <c r="A611" s="172"/>
      <c r="B611" s="172"/>
      <c r="C611" s="172"/>
      <c r="D611" s="172"/>
      <c r="E611" s="172"/>
      <c r="F611" s="172"/>
      <c r="G611" s="367"/>
      <c r="H611" s="172"/>
      <c r="I611" s="367"/>
      <c r="J611" s="172"/>
    </row>
    <row r="612">
      <c r="A612" s="172"/>
      <c r="B612" s="172"/>
      <c r="C612" s="172"/>
      <c r="D612" s="172"/>
      <c r="E612" s="172"/>
      <c r="F612" s="172"/>
      <c r="G612" s="367"/>
      <c r="H612" s="172"/>
      <c r="I612" s="367"/>
      <c r="J612" s="172"/>
    </row>
    <row r="613">
      <c r="A613" s="172"/>
      <c r="B613" s="172"/>
      <c r="C613" s="172"/>
      <c r="D613" s="172"/>
      <c r="E613" s="172"/>
      <c r="F613" s="172"/>
      <c r="G613" s="367"/>
      <c r="H613" s="172"/>
      <c r="I613" s="367"/>
      <c r="J613" s="172"/>
    </row>
    <row r="614">
      <c r="A614" s="172"/>
      <c r="B614" s="172"/>
      <c r="C614" s="172"/>
      <c r="D614" s="172"/>
      <c r="E614" s="172"/>
      <c r="F614" s="172"/>
      <c r="G614" s="367"/>
      <c r="H614" s="172"/>
      <c r="I614" s="367"/>
      <c r="J614" s="172"/>
    </row>
    <row r="615">
      <c r="A615" s="172"/>
      <c r="B615" s="172"/>
      <c r="C615" s="172"/>
      <c r="D615" s="172"/>
      <c r="E615" s="172"/>
      <c r="F615" s="172"/>
      <c r="G615" s="367"/>
      <c r="H615" s="172"/>
      <c r="I615" s="367"/>
      <c r="J615" s="172"/>
    </row>
    <row r="616">
      <c r="A616" s="172"/>
      <c r="B616" s="172"/>
      <c r="C616" s="172"/>
      <c r="D616" s="172"/>
      <c r="E616" s="172"/>
      <c r="F616" s="172"/>
      <c r="G616" s="367"/>
      <c r="H616" s="172"/>
      <c r="I616" s="367"/>
      <c r="J616" s="172"/>
    </row>
    <row r="617">
      <c r="A617" s="172"/>
      <c r="B617" s="172"/>
      <c r="C617" s="172"/>
      <c r="D617" s="172"/>
      <c r="E617" s="172"/>
      <c r="F617" s="172"/>
      <c r="G617" s="367"/>
      <c r="H617" s="172"/>
      <c r="I617" s="367"/>
      <c r="J617" s="172"/>
    </row>
    <row r="618">
      <c r="A618" s="172"/>
      <c r="B618" s="172"/>
      <c r="C618" s="172"/>
      <c r="D618" s="172"/>
      <c r="E618" s="172"/>
      <c r="F618" s="172"/>
      <c r="G618" s="367"/>
      <c r="H618" s="172"/>
      <c r="I618" s="367"/>
      <c r="J618" s="172"/>
    </row>
    <row r="619">
      <c r="A619" s="172"/>
      <c r="B619" s="172"/>
      <c r="C619" s="172"/>
      <c r="D619" s="172"/>
      <c r="E619" s="172"/>
      <c r="F619" s="172"/>
      <c r="G619" s="367"/>
      <c r="H619" s="172"/>
      <c r="I619" s="367"/>
      <c r="J619" s="172"/>
    </row>
    <row r="620">
      <c r="A620" s="172"/>
      <c r="B620" s="172"/>
      <c r="C620" s="172"/>
      <c r="D620" s="172"/>
      <c r="E620" s="172"/>
      <c r="F620" s="172"/>
      <c r="G620" s="367"/>
      <c r="H620" s="172"/>
      <c r="I620" s="367"/>
      <c r="J620" s="172"/>
    </row>
    <row r="621">
      <c r="A621" s="172"/>
      <c r="B621" s="172"/>
      <c r="C621" s="172"/>
      <c r="D621" s="172"/>
      <c r="E621" s="172"/>
      <c r="F621" s="172"/>
      <c r="G621" s="367"/>
      <c r="H621" s="172"/>
      <c r="I621" s="367"/>
      <c r="J621" s="172"/>
    </row>
    <row r="622">
      <c r="A622" s="172"/>
      <c r="B622" s="172"/>
      <c r="C622" s="172"/>
      <c r="D622" s="172"/>
      <c r="E622" s="172"/>
      <c r="F622" s="172"/>
      <c r="G622" s="367"/>
      <c r="H622" s="172"/>
      <c r="I622" s="367"/>
      <c r="J622" s="172"/>
    </row>
    <row r="623">
      <c r="A623" s="172"/>
      <c r="B623" s="172"/>
      <c r="C623" s="172"/>
      <c r="D623" s="172"/>
      <c r="E623" s="172"/>
      <c r="F623" s="172"/>
      <c r="G623" s="367"/>
      <c r="H623" s="172"/>
      <c r="I623" s="367"/>
      <c r="J623" s="172"/>
    </row>
    <row r="624">
      <c r="A624" s="172"/>
      <c r="B624" s="172"/>
      <c r="C624" s="172"/>
      <c r="D624" s="172"/>
      <c r="E624" s="172"/>
      <c r="F624" s="172"/>
      <c r="G624" s="367"/>
      <c r="H624" s="172"/>
      <c r="I624" s="367"/>
      <c r="J624" s="172"/>
    </row>
    <row r="625">
      <c r="A625" s="172"/>
      <c r="B625" s="172"/>
      <c r="C625" s="172"/>
      <c r="D625" s="172"/>
      <c r="E625" s="172"/>
      <c r="F625" s="172"/>
      <c r="G625" s="367"/>
      <c r="H625" s="172"/>
      <c r="I625" s="367"/>
      <c r="J625" s="172"/>
    </row>
    <row r="626">
      <c r="A626" s="172"/>
      <c r="B626" s="172"/>
      <c r="C626" s="172"/>
      <c r="D626" s="172"/>
      <c r="E626" s="172"/>
      <c r="F626" s="172"/>
      <c r="G626" s="367"/>
      <c r="H626" s="172"/>
      <c r="I626" s="367"/>
      <c r="J626" s="172"/>
    </row>
    <row r="627">
      <c r="A627" s="172"/>
      <c r="B627" s="172"/>
      <c r="C627" s="172"/>
      <c r="D627" s="172"/>
      <c r="E627" s="172"/>
      <c r="F627" s="172"/>
      <c r="G627" s="367"/>
      <c r="H627" s="172"/>
      <c r="I627" s="367"/>
      <c r="J627" s="172"/>
    </row>
    <row r="628">
      <c r="A628" s="172"/>
      <c r="B628" s="172"/>
      <c r="C628" s="172"/>
      <c r="D628" s="172"/>
      <c r="E628" s="172"/>
      <c r="F628" s="172"/>
      <c r="G628" s="367"/>
      <c r="H628" s="172"/>
      <c r="I628" s="367"/>
      <c r="J628" s="172"/>
    </row>
    <row r="629">
      <c r="A629" s="172"/>
      <c r="B629" s="172"/>
      <c r="C629" s="172"/>
      <c r="D629" s="172"/>
      <c r="E629" s="172"/>
      <c r="F629" s="172"/>
      <c r="G629" s="367"/>
      <c r="H629" s="172"/>
      <c r="I629" s="367"/>
      <c r="J629" s="172"/>
    </row>
    <row r="630">
      <c r="A630" s="172"/>
      <c r="B630" s="172"/>
      <c r="C630" s="172"/>
      <c r="D630" s="172"/>
      <c r="E630" s="172"/>
      <c r="F630" s="172"/>
      <c r="G630" s="367"/>
      <c r="H630" s="172"/>
      <c r="I630" s="367"/>
      <c r="J630" s="172"/>
    </row>
    <row r="631">
      <c r="A631" s="172"/>
      <c r="B631" s="172"/>
      <c r="C631" s="172"/>
      <c r="D631" s="172"/>
      <c r="E631" s="172"/>
      <c r="F631" s="172"/>
      <c r="G631" s="367"/>
      <c r="H631" s="172"/>
      <c r="I631" s="367"/>
      <c r="J631" s="172"/>
    </row>
    <row r="632">
      <c r="A632" s="172"/>
      <c r="B632" s="172"/>
      <c r="C632" s="172"/>
      <c r="D632" s="172"/>
      <c r="E632" s="172"/>
      <c r="F632" s="172"/>
      <c r="G632" s="367"/>
      <c r="H632" s="172"/>
      <c r="I632" s="367"/>
      <c r="J632" s="172"/>
    </row>
    <row r="633">
      <c r="A633" s="172"/>
      <c r="B633" s="172"/>
      <c r="C633" s="172"/>
      <c r="D633" s="172"/>
      <c r="E633" s="172"/>
      <c r="F633" s="172"/>
      <c r="G633" s="367"/>
      <c r="H633" s="172"/>
      <c r="I633" s="367"/>
      <c r="J633" s="172"/>
    </row>
    <row r="634">
      <c r="A634" s="172"/>
      <c r="B634" s="172"/>
      <c r="C634" s="172"/>
      <c r="D634" s="172"/>
      <c r="E634" s="172"/>
      <c r="F634" s="172"/>
      <c r="G634" s="367"/>
      <c r="H634" s="172"/>
      <c r="I634" s="367"/>
      <c r="J634" s="172"/>
    </row>
    <row r="635">
      <c r="A635" s="172"/>
      <c r="B635" s="172"/>
      <c r="C635" s="172"/>
      <c r="D635" s="172"/>
      <c r="E635" s="172"/>
      <c r="F635" s="172"/>
      <c r="G635" s="367"/>
      <c r="H635" s="172"/>
      <c r="I635" s="367"/>
      <c r="J635" s="172"/>
    </row>
    <row r="636">
      <c r="A636" s="172"/>
      <c r="B636" s="172"/>
      <c r="C636" s="172"/>
      <c r="D636" s="172"/>
      <c r="E636" s="172"/>
      <c r="F636" s="172"/>
      <c r="G636" s="367"/>
      <c r="H636" s="172"/>
      <c r="I636" s="367"/>
      <c r="J636" s="172"/>
    </row>
    <row r="637">
      <c r="A637" s="172"/>
      <c r="B637" s="172"/>
      <c r="C637" s="172"/>
      <c r="D637" s="172"/>
      <c r="E637" s="172"/>
      <c r="F637" s="172"/>
      <c r="G637" s="367"/>
      <c r="H637" s="172"/>
      <c r="I637" s="367"/>
      <c r="J637" s="172"/>
    </row>
    <row r="638">
      <c r="A638" s="172"/>
      <c r="B638" s="172"/>
      <c r="C638" s="172"/>
      <c r="D638" s="172"/>
      <c r="E638" s="172"/>
      <c r="F638" s="172"/>
      <c r="G638" s="367"/>
      <c r="H638" s="172"/>
      <c r="I638" s="367"/>
      <c r="J638" s="172"/>
    </row>
    <row r="639">
      <c r="A639" s="172"/>
      <c r="B639" s="172"/>
      <c r="C639" s="172"/>
      <c r="D639" s="172"/>
      <c r="E639" s="172"/>
      <c r="F639" s="172"/>
      <c r="G639" s="367"/>
      <c r="H639" s="172"/>
      <c r="I639" s="367"/>
      <c r="J639" s="172"/>
    </row>
    <row r="640">
      <c r="A640" s="172"/>
      <c r="B640" s="172"/>
      <c r="C640" s="172"/>
      <c r="D640" s="172"/>
      <c r="E640" s="172"/>
      <c r="F640" s="172"/>
      <c r="G640" s="367"/>
      <c r="H640" s="172"/>
      <c r="I640" s="367"/>
      <c r="J640" s="172"/>
    </row>
    <row r="641">
      <c r="A641" s="172"/>
      <c r="B641" s="172"/>
      <c r="C641" s="172"/>
      <c r="D641" s="172"/>
      <c r="E641" s="172"/>
      <c r="F641" s="172"/>
      <c r="G641" s="367"/>
      <c r="H641" s="172"/>
      <c r="I641" s="367"/>
      <c r="J641" s="172"/>
    </row>
    <row r="642">
      <c r="A642" s="172"/>
      <c r="B642" s="172"/>
      <c r="C642" s="172"/>
      <c r="D642" s="172"/>
      <c r="E642" s="172"/>
      <c r="F642" s="172"/>
      <c r="G642" s="367"/>
      <c r="H642" s="172"/>
      <c r="I642" s="367"/>
      <c r="J642" s="172"/>
    </row>
    <row r="643">
      <c r="A643" s="172"/>
      <c r="B643" s="172"/>
      <c r="C643" s="172"/>
      <c r="D643" s="172"/>
      <c r="E643" s="172"/>
      <c r="F643" s="172"/>
      <c r="G643" s="367"/>
      <c r="H643" s="172"/>
      <c r="I643" s="367"/>
      <c r="J643" s="172"/>
    </row>
    <row r="644">
      <c r="A644" s="172"/>
      <c r="B644" s="172"/>
      <c r="C644" s="172"/>
      <c r="D644" s="172"/>
      <c r="E644" s="172"/>
      <c r="F644" s="172"/>
      <c r="G644" s="367"/>
      <c r="H644" s="172"/>
      <c r="I644" s="367"/>
      <c r="J644" s="172"/>
    </row>
    <row r="645">
      <c r="A645" s="172"/>
      <c r="B645" s="172"/>
      <c r="C645" s="172"/>
      <c r="D645" s="172"/>
      <c r="E645" s="172"/>
      <c r="F645" s="172"/>
      <c r="G645" s="367"/>
      <c r="H645" s="172"/>
      <c r="I645" s="367"/>
      <c r="J645" s="172"/>
    </row>
    <row r="646">
      <c r="A646" s="172"/>
      <c r="B646" s="172"/>
      <c r="C646" s="172"/>
      <c r="D646" s="172"/>
      <c r="E646" s="172"/>
      <c r="F646" s="172"/>
      <c r="G646" s="367"/>
      <c r="H646" s="172"/>
      <c r="I646" s="367"/>
      <c r="J646" s="172"/>
    </row>
    <row r="647">
      <c r="A647" s="172"/>
      <c r="B647" s="172"/>
      <c r="C647" s="172"/>
      <c r="D647" s="172"/>
      <c r="E647" s="172"/>
      <c r="F647" s="172"/>
      <c r="G647" s="367"/>
      <c r="H647" s="172"/>
      <c r="I647" s="367"/>
      <c r="J647" s="172"/>
    </row>
    <row r="648">
      <c r="A648" s="172"/>
      <c r="B648" s="172"/>
      <c r="C648" s="172"/>
      <c r="D648" s="172"/>
      <c r="E648" s="172"/>
      <c r="F648" s="172"/>
      <c r="G648" s="367"/>
      <c r="H648" s="172"/>
      <c r="I648" s="367"/>
      <c r="J648" s="172"/>
    </row>
    <row r="649">
      <c r="A649" s="172"/>
      <c r="B649" s="172"/>
      <c r="C649" s="172"/>
      <c r="D649" s="172"/>
      <c r="E649" s="172"/>
      <c r="F649" s="172"/>
      <c r="G649" s="367"/>
      <c r="H649" s="172"/>
      <c r="I649" s="367"/>
      <c r="J649" s="172"/>
    </row>
    <row r="650">
      <c r="A650" s="172"/>
      <c r="B650" s="172"/>
      <c r="C650" s="172"/>
      <c r="D650" s="172"/>
      <c r="E650" s="172"/>
      <c r="F650" s="172"/>
      <c r="G650" s="367"/>
      <c r="H650" s="172"/>
      <c r="I650" s="367"/>
      <c r="J650" s="172"/>
    </row>
    <row r="651">
      <c r="A651" s="172"/>
      <c r="B651" s="172"/>
      <c r="C651" s="172"/>
      <c r="D651" s="172"/>
      <c r="E651" s="172"/>
      <c r="F651" s="172"/>
      <c r="G651" s="367"/>
      <c r="H651" s="172"/>
      <c r="I651" s="367"/>
      <c r="J651" s="172"/>
    </row>
    <row r="652">
      <c r="A652" s="172"/>
      <c r="B652" s="172"/>
      <c r="C652" s="172"/>
      <c r="D652" s="172"/>
      <c r="E652" s="172"/>
      <c r="F652" s="172"/>
      <c r="G652" s="367"/>
      <c r="H652" s="172"/>
      <c r="I652" s="367"/>
      <c r="J652" s="172"/>
    </row>
    <row r="653">
      <c r="A653" s="172"/>
      <c r="B653" s="172"/>
      <c r="C653" s="172"/>
      <c r="D653" s="172"/>
      <c r="E653" s="172"/>
      <c r="F653" s="172"/>
      <c r="G653" s="367"/>
      <c r="H653" s="172"/>
      <c r="I653" s="367"/>
      <c r="J653" s="172"/>
    </row>
    <row r="654">
      <c r="A654" s="172"/>
      <c r="B654" s="172"/>
      <c r="C654" s="172"/>
      <c r="D654" s="172"/>
      <c r="E654" s="172"/>
      <c r="F654" s="172"/>
      <c r="G654" s="367"/>
      <c r="H654" s="172"/>
      <c r="I654" s="367"/>
      <c r="J654" s="172"/>
    </row>
    <row r="655">
      <c r="A655" s="172"/>
      <c r="B655" s="172"/>
      <c r="C655" s="172"/>
      <c r="D655" s="172"/>
      <c r="E655" s="172"/>
      <c r="F655" s="172"/>
      <c r="G655" s="367"/>
      <c r="H655" s="172"/>
      <c r="I655" s="367"/>
      <c r="J655" s="172"/>
    </row>
    <row r="656">
      <c r="A656" s="172"/>
      <c r="B656" s="172"/>
      <c r="C656" s="172"/>
      <c r="D656" s="172"/>
      <c r="E656" s="172"/>
      <c r="F656" s="172"/>
      <c r="G656" s="367"/>
      <c r="H656" s="172"/>
      <c r="I656" s="367"/>
      <c r="J656" s="172"/>
    </row>
    <row r="657">
      <c r="A657" s="172"/>
      <c r="B657" s="172"/>
      <c r="C657" s="172"/>
      <c r="D657" s="172"/>
      <c r="E657" s="172"/>
      <c r="F657" s="172"/>
      <c r="G657" s="367"/>
      <c r="H657" s="172"/>
      <c r="I657" s="367"/>
      <c r="J657" s="172"/>
    </row>
    <row r="658">
      <c r="A658" s="172"/>
      <c r="B658" s="172"/>
      <c r="C658" s="172"/>
      <c r="D658" s="172"/>
      <c r="E658" s="172"/>
      <c r="F658" s="172"/>
      <c r="G658" s="367"/>
      <c r="H658" s="172"/>
      <c r="I658" s="367"/>
      <c r="J658" s="172"/>
    </row>
    <row r="659">
      <c r="A659" s="172"/>
      <c r="B659" s="172"/>
      <c r="C659" s="172"/>
      <c r="D659" s="172"/>
      <c r="E659" s="172"/>
      <c r="F659" s="172"/>
      <c r="G659" s="367"/>
      <c r="H659" s="172"/>
      <c r="I659" s="367"/>
      <c r="J659" s="172"/>
    </row>
    <row r="660">
      <c r="A660" s="172"/>
      <c r="B660" s="172"/>
      <c r="C660" s="172"/>
      <c r="D660" s="172"/>
      <c r="E660" s="172"/>
      <c r="F660" s="172"/>
      <c r="G660" s="367"/>
      <c r="H660" s="172"/>
      <c r="I660" s="367"/>
      <c r="J660" s="172"/>
    </row>
    <row r="661">
      <c r="A661" s="172"/>
      <c r="B661" s="172"/>
      <c r="C661" s="172"/>
      <c r="D661" s="172"/>
      <c r="E661" s="172"/>
      <c r="F661" s="172"/>
      <c r="G661" s="367"/>
      <c r="H661" s="172"/>
      <c r="I661" s="367"/>
      <c r="J661" s="172"/>
    </row>
    <row r="662">
      <c r="A662" s="172"/>
      <c r="B662" s="172"/>
      <c r="C662" s="172"/>
      <c r="D662" s="172"/>
      <c r="E662" s="172"/>
      <c r="F662" s="172"/>
      <c r="G662" s="367"/>
      <c r="H662" s="172"/>
      <c r="I662" s="367"/>
      <c r="J662" s="172"/>
    </row>
    <row r="663">
      <c r="A663" s="172"/>
      <c r="B663" s="172"/>
      <c r="C663" s="172"/>
      <c r="D663" s="172"/>
      <c r="E663" s="172"/>
      <c r="F663" s="172"/>
      <c r="G663" s="367"/>
      <c r="H663" s="172"/>
      <c r="I663" s="367"/>
      <c r="J663" s="172"/>
    </row>
    <row r="664">
      <c r="A664" s="172"/>
      <c r="B664" s="172"/>
      <c r="C664" s="172"/>
      <c r="D664" s="172"/>
      <c r="E664" s="172"/>
      <c r="F664" s="172"/>
      <c r="G664" s="367"/>
      <c r="H664" s="172"/>
      <c r="I664" s="367"/>
      <c r="J664" s="172"/>
    </row>
    <row r="665">
      <c r="A665" s="172"/>
      <c r="B665" s="172"/>
      <c r="C665" s="172"/>
      <c r="D665" s="172"/>
      <c r="E665" s="172"/>
      <c r="F665" s="172"/>
      <c r="G665" s="367"/>
      <c r="H665" s="172"/>
      <c r="I665" s="367"/>
      <c r="J665" s="172"/>
    </row>
    <row r="666">
      <c r="A666" s="172"/>
      <c r="B666" s="172"/>
      <c r="C666" s="172"/>
      <c r="D666" s="172"/>
      <c r="E666" s="172"/>
      <c r="F666" s="172"/>
      <c r="G666" s="367"/>
      <c r="H666" s="172"/>
      <c r="I666" s="367"/>
      <c r="J666" s="172"/>
    </row>
    <row r="667">
      <c r="A667" s="172"/>
      <c r="B667" s="172"/>
      <c r="C667" s="172"/>
      <c r="D667" s="172"/>
      <c r="E667" s="172"/>
      <c r="F667" s="172"/>
      <c r="G667" s="367"/>
      <c r="H667" s="172"/>
      <c r="I667" s="367"/>
      <c r="J667" s="172"/>
    </row>
    <row r="668">
      <c r="A668" s="172"/>
      <c r="B668" s="172"/>
      <c r="C668" s="172"/>
      <c r="D668" s="172"/>
      <c r="E668" s="172"/>
      <c r="F668" s="172"/>
      <c r="G668" s="367"/>
      <c r="H668" s="172"/>
      <c r="I668" s="367"/>
      <c r="J668" s="172"/>
    </row>
    <row r="669">
      <c r="A669" s="172"/>
      <c r="B669" s="172"/>
      <c r="C669" s="172"/>
      <c r="D669" s="172"/>
      <c r="E669" s="172"/>
      <c r="F669" s="172"/>
      <c r="G669" s="367"/>
      <c r="H669" s="172"/>
      <c r="I669" s="367"/>
      <c r="J669" s="172"/>
    </row>
    <row r="670">
      <c r="A670" s="172"/>
      <c r="B670" s="172"/>
      <c r="C670" s="172"/>
      <c r="D670" s="172"/>
      <c r="E670" s="172"/>
      <c r="F670" s="172"/>
      <c r="G670" s="367"/>
      <c r="H670" s="172"/>
      <c r="I670" s="367"/>
      <c r="J670" s="172"/>
    </row>
    <row r="671">
      <c r="A671" s="172"/>
      <c r="B671" s="172"/>
      <c r="C671" s="172"/>
      <c r="D671" s="172"/>
      <c r="E671" s="172"/>
      <c r="F671" s="172"/>
      <c r="G671" s="367"/>
      <c r="H671" s="172"/>
      <c r="I671" s="367"/>
      <c r="J671" s="172"/>
    </row>
    <row r="672">
      <c r="A672" s="172"/>
      <c r="B672" s="172"/>
      <c r="C672" s="172"/>
      <c r="D672" s="172"/>
      <c r="E672" s="172"/>
      <c r="F672" s="172"/>
      <c r="G672" s="367"/>
      <c r="H672" s="172"/>
      <c r="I672" s="367"/>
      <c r="J672" s="172"/>
    </row>
    <row r="673">
      <c r="A673" s="172"/>
      <c r="B673" s="172"/>
      <c r="C673" s="172"/>
      <c r="D673" s="172"/>
      <c r="E673" s="172"/>
      <c r="F673" s="172"/>
      <c r="G673" s="367"/>
      <c r="H673" s="172"/>
      <c r="I673" s="367"/>
      <c r="J673" s="172"/>
    </row>
    <row r="674">
      <c r="A674" s="172"/>
      <c r="B674" s="172"/>
      <c r="C674" s="172"/>
      <c r="D674" s="172"/>
      <c r="E674" s="172"/>
      <c r="F674" s="172"/>
      <c r="G674" s="367"/>
      <c r="H674" s="172"/>
      <c r="I674" s="367"/>
      <c r="J674" s="172"/>
    </row>
    <row r="675">
      <c r="A675" s="172"/>
      <c r="B675" s="172"/>
      <c r="C675" s="172"/>
      <c r="D675" s="172"/>
      <c r="E675" s="172"/>
      <c r="F675" s="172"/>
      <c r="G675" s="367"/>
      <c r="H675" s="172"/>
      <c r="I675" s="367"/>
      <c r="J675" s="172"/>
    </row>
    <row r="676">
      <c r="A676" s="172"/>
      <c r="B676" s="172"/>
      <c r="C676" s="172"/>
      <c r="D676" s="172"/>
      <c r="E676" s="172"/>
      <c r="F676" s="172"/>
      <c r="G676" s="367"/>
      <c r="H676" s="172"/>
      <c r="I676" s="367"/>
      <c r="J676" s="172"/>
    </row>
    <row r="677">
      <c r="A677" s="172"/>
      <c r="B677" s="172"/>
      <c r="C677" s="172"/>
      <c r="D677" s="172"/>
      <c r="E677" s="172"/>
      <c r="F677" s="172"/>
      <c r="G677" s="367"/>
      <c r="H677" s="172"/>
      <c r="I677" s="367"/>
      <c r="J677" s="172"/>
    </row>
    <row r="678">
      <c r="A678" s="172"/>
      <c r="B678" s="172"/>
      <c r="C678" s="172"/>
      <c r="D678" s="172"/>
      <c r="E678" s="172"/>
      <c r="F678" s="172"/>
      <c r="G678" s="367"/>
      <c r="H678" s="172"/>
      <c r="I678" s="367"/>
      <c r="J678" s="172"/>
    </row>
    <row r="679">
      <c r="A679" s="172"/>
      <c r="B679" s="172"/>
      <c r="C679" s="172"/>
      <c r="D679" s="172"/>
      <c r="E679" s="172"/>
      <c r="F679" s="172"/>
      <c r="G679" s="367"/>
      <c r="H679" s="172"/>
      <c r="I679" s="367"/>
      <c r="J679" s="172"/>
    </row>
    <row r="680">
      <c r="A680" s="172"/>
      <c r="B680" s="172"/>
      <c r="C680" s="172"/>
      <c r="D680" s="172"/>
      <c r="E680" s="172"/>
      <c r="F680" s="172"/>
      <c r="G680" s="367"/>
      <c r="H680" s="172"/>
      <c r="I680" s="367"/>
      <c r="J680" s="172"/>
    </row>
    <row r="681">
      <c r="A681" s="172"/>
      <c r="B681" s="172"/>
      <c r="C681" s="172"/>
      <c r="D681" s="172"/>
      <c r="E681" s="172"/>
      <c r="F681" s="172"/>
      <c r="G681" s="367"/>
      <c r="H681" s="172"/>
      <c r="I681" s="367"/>
      <c r="J681" s="172"/>
    </row>
    <row r="682">
      <c r="A682" s="172"/>
      <c r="B682" s="172"/>
      <c r="C682" s="172"/>
      <c r="D682" s="172"/>
      <c r="E682" s="172"/>
      <c r="F682" s="172"/>
      <c r="G682" s="367"/>
      <c r="H682" s="172"/>
      <c r="I682" s="367"/>
      <c r="J682" s="172"/>
    </row>
    <row r="683">
      <c r="A683" s="172"/>
      <c r="B683" s="172"/>
      <c r="C683" s="172"/>
      <c r="D683" s="172"/>
      <c r="E683" s="172"/>
      <c r="F683" s="172"/>
      <c r="G683" s="367"/>
      <c r="H683" s="172"/>
      <c r="I683" s="367"/>
      <c r="J683" s="172"/>
    </row>
    <row r="684">
      <c r="A684" s="172"/>
      <c r="B684" s="172"/>
      <c r="C684" s="172"/>
      <c r="D684" s="172"/>
      <c r="E684" s="172"/>
      <c r="F684" s="172"/>
      <c r="G684" s="367"/>
      <c r="H684" s="172"/>
      <c r="I684" s="367"/>
      <c r="J684" s="172"/>
    </row>
    <row r="685">
      <c r="A685" s="172"/>
      <c r="B685" s="172"/>
      <c r="C685" s="172"/>
      <c r="D685" s="172"/>
      <c r="E685" s="172"/>
      <c r="F685" s="172"/>
      <c r="G685" s="367"/>
      <c r="H685" s="172"/>
      <c r="I685" s="367"/>
      <c r="J685" s="172"/>
    </row>
    <row r="686">
      <c r="A686" s="172"/>
      <c r="B686" s="172"/>
      <c r="C686" s="172"/>
      <c r="D686" s="172"/>
      <c r="E686" s="172"/>
      <c r="F686" s="172"/>
      <c r="G686" s="367"/>
      <c r="H686" s="172"/>
      <c r="I686" s="367"/>
      <c r="J686" s="172"/>
    </row>
    <row r="687">
      <c r="A687" s="172"/>
      <c r="B687" s="172"/>
      <c r="C687" s="172"/>
      <c r="D687" s="172"/>
      <c r="E687" s="172"/>
      <c r="F687" s="172"/>
      <c r="G687" s="367"/>
      <c r="H687" s="172"/>
      <c r="I687" s="367"/>
      <c r="J687" s="172"/>
    </row>
    <row r="688">
      <c r="A688" s="172"/>
      <c r="B688" s="172"/>
      <c r="C688" s="172"/>
      <c r="D688" s="172"/>
      <c r="E688" s="172"/>
      <c r="F688" s="172"/>
      <c r="G688" s="367"/>
      <c r="H688" s="172"/>
      <c r="I688" s="367"/>
      <c r="J688" s="172"/>
    </row>
    <row r="689">
      <c r="A689" s="172"/>
      <c r="B689" s="172"/>
      <c r="C689" s="172"/>
      <c r="D689" s="172"/>
      <c r="E689" s="172"/>
      <c r="F689" s="172"/>
      <c r="G689" s="367"/>
      <c r="H689" s="172"/>
      <c r="I689" s="367"/>
      <c r="J689" s="172"/>
    </row>
    <row r="690">
      <c r="A690" s="172"/>
      <c r="B690" s="172"/>
      <c r="C690" s="172"/>
      <c r="D690" s="172"/>
      <c r="E690" s="172"/>
      <c r="F690" s="172"/>
      <c r="G690" s="367"/>
      <c r="H690" s="172"/>
      <c r="I690" s="367"/>
      <c r="J690" s="172"/>
    </row>
    <row r="691">
      <c r="A691" s="172"/>
      <c r="B691" s="172"/>
      <c r="C691" s="172"/>
      <c r="D691" s="172"/>
      <c r="E691" s="172"/>
      <c r="F691" s="172"/>
      <c r="G691" s="367"/>
      <c r="H691" s="172"/>
      <c r="I691" s="367"/>
      <c r="J691" s="172"/>
    </row>
    <row r="692">
      <c r="A692" s="172"/>
      <c r="B692" s="172"/>
      <c r="C692" s="172"/>
      <c r="D692" s="172"/>
      <c r="E692" s="172"/>
      <c r="F692" s="172"/>
      <c r="G692" s="367"/>
      <c r="H692" s="172"/>
      <c r="I692" s="367"/>
      <c r="J692" s="172"/>
    </row>
    <row r="693">
      <c r="A693" s="172"/>
      <c r="B693" s="172"/>
      <c r="C693" s="172"/>
      <c r="D693" s="172"/>
      <c r="E693" s="172"/>
      <c r="F693" s="172"/>
      <c r="G693" s="367"/>
      <c r="H693" s="172"/>
      <c r="I693" s="367"/>
      <c r="J693" s="172"/>
    </row>
    <row r="694">
      <c r="A694" s="172"/>
      <c r="B694" s="172"/>
      <c r="C694" s="172"/>
      <c r="D694" s="172"/>
      <c r="E694" s="172"/>
      <c r="F694" s="172"/>
      <c r="G694" s="367"/>
      <c r="H694" s="172"/>
      <c r="I694" s="367"/>
      <c r="J694" s="172"/>
    </row>
    <row r="695">
      <c r="A695" s="172"/>
      <c r="B695" s="172"/>
      <c r="C695" s="172"/>
      <c r="D695" s="172"/>
      <c r="E695" s="172"/>
      <c r="F695" s="172"/>
      <c r="G695" s="367"/>
      <c r="H695" s="172"/>
      <c r="I695" s="367"/>
      <c r="J695" s="172"/>
    </row>
    <row r="696">
      <c r="A696" s="172"/>
      <c r="B696" s="172"/>
      <c r="C696" s="172"/>
      <c r="D696" s="172"/>
      <c r="E696" s="172"/>
      <c r="F696" s="172"/>
      <c r="G696" s="367"/>
      <c r="H696" s="172"/>
      <c r="I696" s="367"/>
      <c r="J696" s="172"/>
    </row>
    <row r="697">
      <c r="A697" s="172"/>
      <c r="B697" s="172"/>
      <c r="C697" s="172"/>
      <c r="D697" s="172"/>
      <c r="E697" s="172"/>
      <c r="F697" s="172"/>
      <c r="G697" s="367"/>
      <c r="H697" s="172"/>
      <c r="I697" s="367"/>
      <c r="J697" s="172"/>
    </row>
    <row r="698">
      <c r="A698" s="172"/>
      <c r="B698" s="172"/>
      <c r="C698" s="172"/>
      <c r="D698" s="172"/>
      <c r="E698" s="172"/>
      <c r="F698" s="172"/>
      <c r="G698" s="367"/>
      <c r="H698" s="172"/>
      <c r="I698" s="367"/>
      <c r="J698" s="172"/>
    </row>
    <row r="699">
      <c r="A699" s="172"/>
      <c r="B699" s="172"/>
      <c r="C699" s="172"/>
      <c r="D699" s="172"/>
      <c r="E699" s="172"/>
      <c r="F699" s="172"/>
      <c r="G699" s="367"/>
      <c r="H699" s="172"/>
      <c r="I699" s="367"/>
      <c r="J699" s="172"/>
    </row>
    <row r="700">
      <c r="A700" s="172"/>
      <c r="B700" s="172"/>
      <c r="C700" s="172"/>
      <c r="D700" s="172"/>
      <c r="E700" s="172"/>
      <c r="F700" s="172"/>
      <c r="G700" s="367"/>
      <c r="H700" s="172"/>
      <c r="I700" s="367"/>
      <c r="J700" s="172"/>
    </row>
    <row r="701">
      <c r="A701" s="172"/>
      <c r="B701" s="172"/>
      <c r="C701" s="172"/>
      <c r="D701" s="172"/>
      <c r="E701" s="172"/>
      <c r="F701" s="172"/>
      <c r="G701" s="367"/>
      <c r="H701" s="172"/>
      <c r="I701" s="367"/>
      <c r="J701" s="172"/>
    </row>
    <row r="702">
      <c r="A702" s="172"/>
      <c r="B702" s="172"/>
      <c r="C702" s="172"/>
      <c r="D702" s="172"/>
      <c r="E702" s="172"/>
      <c r="F702" s="172"/>
      <c r="G702" s="367"/>
      <c r="H702" s="172"/>
      <c r="I702" s="367"/>
      <c r="J702" s="172"/>
    </row>
    <row r="703">
      <c r="A703" s="172"/>
      <c r="B703" s="172"/>
      <c r="C703" s="172"/>
      <c r="D703" s="172"/>
      <c r="E703" s="172"/>
      <c r="F703" s="172"/>
      <c r="G703" s="367"/>
      <c r="H703" s="172"/>
      <c r="I703" s="367"/>
      <c r="J703" s="172"/>
    </row>
    <row r="704">
      <c r="A704" s="172"/>
      <c r="B704" s="172"/>
      <c r="C704" s="172"/>
      <c r="D704" s="172"/>
      <c r="E704" s="172"/>
      <c r="F704" s="172"/>
      <c r="G704" s="367"/>
      <c r="H704" s="172"/>
      <c r="I704" s="367"/>
      <c r="J704" s="172"/>
    </row>
    <row r="705">
      <c r="A705" s="172"/>
      <c r="B705" s="172"/>
      <c r="C705" s="172"/>
      <c r="D705" s="172"/>
      <c r="E705" s="172"/>
      <c r="F705" s="172"/>
      <c r="G705" s="367"/>
      <c r="H705" s="172"/>
      <c r="I705" s="367"/>
      <c r="J705" s="172"/>
    </row>
    <row r="706">
      <c r="A706" s="172"/>
      <c r="B706" s="172"/>
      <c r="C706" s="172"/>
      <c r="D706" s="172"/>
      <c r="E706" s="172"/>
      <c r="F706" s="172"/>
      <c r="G706" s="367"/>
      <c r="H706" s="172"/>
      <c r="I706" s="367"/>
      <c r="J706" s="172"/>
    </row>
    <row r="707">
      <c r="A707" s="172"/>
      <c r="B707" s="172"/>
      <c r="C707" s="172"/>
      <c r="D707" s="172"/>
      <c r="E707" s="172"/>
      <c r="F707" s="172"/>
      <c r="G707" s="367"/>
      <c r="H707" s="172"/>
      <c r="I707" s="367"/>
      <c r="J707" s="172"/>
    </row>
    <row r="708">
      <c r="A708" s="172"/>
      <c r="B708" s="172"/>
      <c r="C708" s="172"/>
      <c r="D708" s="172"/>
      <c r="E708" s="172"/>
      <c r="F708" s="172"/>
      <c r="G708" s="367"/>
      <c r="H708" s="172"/>
      <c r="I708" s="367"/>
      <c r="J708" s="172"/>
    </row>
    <row r="709">
      <c r="A709" s="172"/>
      <c r="B709" s="172"/>
      <c r="C709" s="172"/>
      <c r="D709" s="172"/>
      <c r="E709" s="172"/>
      <c r="F709" s="172"/>
      <c r="G709" s="367"/>
      <c r="H709" s="172"/>
      <c r="I709" s="367"/>
      <c r="J709" s="172"/>
    </row>
    <row r="710">
      <c r="A710" s="172"/>
      <c r="B710" s="172"/>
      <c r="C710" s="172"/>
      <c r="D710" s="172"/>
      <c r="E710" s="172"/>
      <c r="F710" s="172"/>
      <c r="G710" s="367"/>
      <c r="H710" s="172"/>
      <c r="I710" s="367"/>
      <c r="J710" s="172"/>
    </row>
    <row r="711">
      <c r="A711" s="172"/>
      <c r="B711" s="172"/>
      <c r="C711" s="172"/>
      <c r="D711" s="172"/>
      <c r="E711" s="172"/>
      <c r="F711" s="172"/>
      <c r="G711" s="367"/>
      <c r="H711" s="172"/>
      <c r="I711" s="367"/>
      <c r="J711" s="172"/>
    </row>
    <row r="712">
      <c r="A712" s="172"/>
      <c r="B712" s="172"/>
      <c r="C712" s="172"/>
      <c r="D712" s="172"/>
      <c r="E712" s="172"/>
      <c r="F712" s="172"/>
      <c r="G712" s="367"/>
      <c r="H712" s="172"/>
      <c r="I712" s="367"/>
      <c r="J712" s="172"/>
    </row>
    <row r="713">
      <c r="A713" s="172"/>
      <c r="B713" s="172"/>
      <c r="C713" s="172"/>
      <c r="D713" s="172"/>
      <c r="E713" s="172"/>
      <c r="F713" s="172"/>
      <c r="G713" s="367"/>
      <c r="H713" s="172"/>
      <c r="I713" s="367"/>
      <c r="J713" s="172"/>
    </row>
    <row r="714">
      <c r="A714" s="172"/>
      <c r="B714" s="172"/>
      <c r="C714" s="172"/>
      <c r="D714" s="172"/>
      <c r="E714" s="172"/>
      <c r="F714" s="172"/>
      <c r="G714" s="367"/>
      <c r="H714" s="172"/>
      <c r="I714" s="367"/>
      <c r="J714" s="172"/>
    </row>
    <row r="715">
      <c r="A715" s="172"/>
      <c r="B715" s="172"/>
      <c r="C715" s="172"/>
      <c r="D715" s="172"/>
      <c r="E715" s="172"/>
      <c r="F715" s="172"/>
      <c r="G715" s="367"/>
      <c r="H715" s="172"/>
      <c r="I715" s="367"/>
      <c r="J715" s="172"/>
    </row>
    <row r="716">
      <c r="A716" s="172"/>
      <c r="B716" s="172"/>
      <c r="C716" s="172"/>
      <c r="D716" s="172"/>
      <c r="E716" s="172"/>
      <c r="F716" s="172"/>
      <c r="G716" s="367"/>
      <c r="H716" s="172"/>
      <c r="I716" s="367"/>
      <c r="J716" s="172"/>
    </row>
    <row r="717">
      <c r="A717" s="172"/>
      <c r="B717" s="172"/>
      <c r="C717" s="172"/>
      <c r="D717" s="172"/>
      <c r="E717" s="172"/>
      <c r="F717" s="172"/>
      <c r="G717" s="367"/>
      <c r="H717" s="172"/>
      <c r="I717" s="367"/>
      <c r="J717" s="172"/>
    </row>
    <row r="718">
      <c r="A718" s="172"/>
      <c r="B718" s="172"/>
      <c r="C718" s="172"/>
      <c r="D718" s="172"/>
      <c r="E718" s="172"/>
      <c r="F718" s="172"/>
      <c r="G718" s="367"/>
      <c r="H718" s="172"/>
      <c r="I718" s="367"/>
      <c r="J718" s="172"/>
    </row>
    <row r="719">
      <c r="A719" s="172"/>
      <c r="B719" s="172"/>
      <c r="C719" s="172"/>
      <c r="D719" s="172"/>
      <c r="E719" s="172"/>
      <c r="F719" s="172"/>
      <c r="G719" s="367"/>
      <c r="H719" s="172"/>
      <c r="I719" s="367"/>
      <c r="J719" s="172"/>
    </row>
    <row r="720">
      <c r="A720" s="172"/>
      <c r="B720" s="172"/>
      <c r="C720" s="172"/>
      <c r="D720" s="172"/>
      <c r="E720" s="172"/>
      <c r="F720" s="172"/>
      <c r="G720" s="367"/>
      <c r="H720" s="172"/>
      <c r="I720" s="367"/>
      <c r="J720" s="172"/>
    </row>
    <row r="721">
      <c r="A721" s="172"/>
      <c r="B721" s="172"/>
      <c r="C721" s="172"/>
      <c r="D721" s="172"/>
      <c r="E721" s="172"/>
      <c r="F721" s="172"/>
      <c r="G721" s="367"/>
      <c r="H721" s="172"/>
      <c r="I721" s="367"/>
      <c r="J721" s="172"/>
    </row>
    <row r="722">
      <c r="A722" s="172"/>
      <c r="B722" s="172"/>
      <c r="C722" s="172"/>
      <c r="D722" s="172"/>
      <c r="E722" s="172"/>
      <c r="F722" s="172"/>
      <c r="G722" s="367"/>
      <c r="H722" s="172"/>
      <c r="I722" s="367"/>
      <c r="J722" s="172"/>
    </row>
    <row r="723">
      <c r="A723" s="172"/>
      <c r="B723" s="172"/>
      <c r="C723" s="172"/>
      <c r="D723" s="172"/>
      <c r="E723" s="172"/>
      <c r="F723" s="172"/>
      <c r="G723" s="367"/>
      <c r="H723" s="172"/>
      <c r="I723" s="367"/>
      <c r="J723" s="172"/>
    </row>
    <row r="724">
      <c r="A724" s="172"/>
      <c r="B724" s="172"/>
      <c r="C724" s="172"/>
      <c r="D724" s="172"/>
      <c r="E724" s="172"/>
      <c r="F724" s="172"/>
      <c r="G724" s="367"/>
      <c r="H724" s="172"/>
      <c r="I724" s="367"/>
      <c r="J724" s="172"/>
    </row>
    <row r="725">
      <c r="A725" s="172"/>
      <c r="B725" s="172"/>
      <c r="C725" s="172"/>
      <c r="D725" s="172"/>
      <c r="E725" s="172"/>
      <c r="F725" s="172"/>
      <c r="G725" s="367"/>
      <c r="H725" s="172"/>
      <c r="I725" s="367"/>
      <c r="J725" s="172"/>
    </row>
    <row r="726">
      <c r="A726" s="172"/>
      <c r="B726" s="172"/>
      <c r="C726" s="172"/>
      <c r="D726" s="172"/>
      <c r="E726" s="172"/>
      <c r="F726" s="172"/>
      <c r="G726" s="367"/>
      <c r="H726" s="172"/>
      <c r="I726" s="367"/>
      <c r="J726" s="172"/>
    </row>
    <row r="727">
      <c r="A727" s="172"/>
      <c r="B727" s="172"/>
      <c r="C727" s="172"/>
      <c r="D727" s="172"/>
      <c r="E727" s="172"/>
      <c r="F727" s="172"/>
      <c r="G727" s="367"/>
      <c r="H727" s="172"/>
      <c r="I727" s="367"/>
      <c r="J727" s="172"/>
    </row>
    <row r="728">
      <c r="A728" s="172"/>
      <c r="B728" s="172"/>
      <c r="C728" s="172"/>
      <c r="D728" s="172"/>
      <c r="E728" s="172"/>
      <c r="F728" s="172"/>
      <c r="G728" s="367"/>
      <c r="H728" s="172"/>
      <c r="I728" s="367"/>
      <c r="J728" s="172"/>
    </row>
    <row r="729">
      <c r="A729" s="172"/>
      <c r="B729" s="172"/>
      <c r="C729" s="172"/>
      <c r="D729" s="172"/>
      <c r="E729" s="172"/>
      <c r="F729" s="172"/>
      <c r="G729" s="367"/>
      <c r="H729" s="172"/>
      <c r="I729" s="367"/>
      <c r="J729" s="172"/>
    </row>
    <row r="730">
      <c r="A730" s="172"/>
      <c r="B730" s="172"/>
      <c r="C730" s="172"/>
      <c r="D730" s="172"/>
      <c r="E730" s="172"/>
      <c r="F730" s="172"/>
      <c r="G730" s="367"/>
      <c r="H730" s="172"/>
      <c r="I730" s="367"/>
      <c r="J730" s="172"/>
    </row>
    <row r="731">
      <c r="A731" s="172"/>
      <c r="B731" s="172"/>
      <c r="C731" s="172"/>
      <c r="D731" s="172"/>
      <c r="E731" s="172"/>
      <c r="F731" s="172"/>
      <c r="G731" s="367"/>
      <c r="H731" s="172"/>
      <c r="I731" s="367"/>
      <c r="J731" s="172"/>
    </row>
    <row r="732">
      <c r="A732" s="172"/>
      <c r="B732" s="172"/>
      <c r="C732" s="172"/>
      <c r="D732" s="172"/>
      <c r="E732" s="172"/>
      <c r="F732" s="172"/>
      <c r="G732" s="367"/>
      <c r="H732" s="172"/>
      <c r="I732" s="367"/>
      <c r="J732" s="172"/>
    </row>
    <row r="733">
      <c r="A733" s="172"/>
      <c r="B733" s="172"/>
      <c r="C733" s="172"/>
      <c r="D733" s="172"/>
      <c r="E733" s="172"/>
      <c r="F733" s="172"/>
      <c r="G733" s="367"/>
      <c r="H733" s="172"/>
      <c r="I733" s="367"/>
      <c r="J733" s="172"/>
    </row>
    <row r="734">
      <c r="A734" s="172"/>
      <c r="B734" s="172"/>
      <c r="C734" s="172"/>
      <c r="D734" s="172"/>
      <c r="E734" s="172"/>
      <c r="F734" s="172"/>
      <c r="G734" s="367"/>
      <c r="H734" s="172"/>
      <c r="I734" s="367"/>
      <c r="J734" s="172"/>
    </row>
    <row r="735">
      <c r="A735" s="172"/>
      <c r="B735" s="172"/>
      <c r="C735" s="172"/>
      <c r="D735" s="172"/>
      <c r="E735" s="172"/>
      <c r="F735" s="172"/>
      <c r="G735" s="367"/>
      <c r="H735" s="172"/>
      <c r="I735" s="367"/>
      <c r="J735" s="172"/>
    </row>
    <row r="736">
      <c r="A736" s="172"/>
      <c r="B736" s="172"/>
      <c r="C736" s="172"/>
      <c r="D736" s="172"/>
      <c r="E736" s="172"/>
      <c r="F736" s="172"/>
      <c r="G736" s="367"/>
      <c r="H736" s="172"/>
      <c r="I736" s="367"/>
      <c r="J736" s="172"/>
    </row>
    <row r="737">
      <c r="A737" s="172"/>
      <c r="B737" s="172"/>
      <c r="C737" s="172"/>
      <c r="D737" s="172"/>
      <c r="E737" s="172"/>
      <c r="F737" s="172"/>
      <c r="G737" s="367"/>
      <c r="H737" s="172"/>
      <c r="I737" s="367"/>
      <c r="J737" s="172"/>
    </row>
    <row r="738">
      <c r="A738" s="172"/>
      <c r="B738" s="172"/>
      <c r="C738" s="172"/>
      <c r="D738" s="172"/>
      <c r="E738" s="172"/>
      <c r="F738" s="172"/>
      <c r="G738" s="367"/>
      <c r="H738" s="172"/>
      <c r="I738" s="367"/>
      <c r="J738" s="172"/>
    </row>
    <row r="739">
      <c r="A739" s="172"/>
      <c r="B739" s="172"/>
      <c r="C739" s="172"/>
      <c r="D739" s="172"/>
      <c r="E739" s="172"/>
      <c r="F739" s="172"/>
      <c r="G739" s="367"/>
      <c r="H739" s="172"/>
      <c r="I739" s="367"/>
      <c r="J739" s="172"/>
    </row>
    <row r="740">
      <c r="A740" s="172"/>
      <c r="B740" s="172"/>
      <c r="C740" s="172"/>
      <c r="D740" s="172"/>
      <c r="E740" s="172"/>
      <c r="F740" s="172"/>
      <c r="G740" s="367"/>
      <c r="H740" s="172"/>
      <c r="I740" s="367"/>
      <c r="J740" s="172"/>
    </row>
    <row r="741">
      <c r="A741" s="172"/>
      <c r="B741" s="172"/>
      <c r="C741" s="172"/>
      <c r="D741" s="172"/>
      <c r="E741" s="172"/>
      <c r="F741" s="172"/>
      <c r="G741" s="367"/>
      <c r="H741" s="172"/>
      <c r="I741" s="367"/>
      <c r="J741" s="172"/>
    </row>
    <row r="742">
      <c r="A742" s="172"/>
      <c r="B742" s="172"/>
      <c r="C742" s="172"/>
      <c r="D742" s="172"/>
      <c r="E742" s="172"/>
      <c r="F742" s="172"/>
      <c r="G742" s="367"/>
      <c r="H742" s="172"/>
      <c r="I742" s="367"/>
      <c r="J742" s="172"/>
    </row>
    <row r="743">
      <c r="A743" s="172"/>
      <c r="B743" s="172"/>
      <c r="C743" s="172"/>
      <c r="D743" s="172"/>
      <c r="E743" s="172"/>
      <c r="F743" s="172"/>
      <c r="G743" s="367"/>
      <c r="H743" s="172"/>
      <c r="I743" s="367"/>
      <c r="J743" s="172"/>
    </row>
    <row r="744">
      <c r="A744" s="172"/>
      <c r="B744" s="172"/>
      <c r="C744" s="172"/>
      <c r="D744" s="172"/>
      <c r="E744" s="172"/>
      <c r="F744" s="172"/>
      <c r="G744" s="367"/>
      <c r="H744" s="172"/>
      <c r="I744" s="367"/>
      <c r="J744" s="172"/>
    </row>
    <row r="745">
      <c r="A745" s="172"/>
      <c r="B745" s="172"/>
      <c r="C745" s="172"/>
      <c r="D745" s="172"/>
      <c r="E745" s="172"/>
      <c r="F745" s="172"/>
      <c r="G745" s="367"/>
      <c r="H745" s="172"/>
      <c r="I745" s="367"/>
      <c r="J745" s="172"/>
    </row>
    <row r="746">
      <c r="A746" s="172"/>
      <c r="B746" s="172"/>
      <c r="C746" s="172"/>
      <c r="D746" s="172"/>
      <c r="E746" s="172"/>
      <c r="F746" s="172"/>
      <c r="G746" s="367"/>
      <c r="H746" s="172"/>
      <c r="I746" s="367"/>
      <c r="J746" s="172"/>
    </row>
    <row r="747">
      <c r="A747" s="172"/>
      <c r="B747" s="172"/>
      <c r="C747" s="172"/>
      <c r="D747" s="172"/>
      <c r="E747" s="172"/>
      <c r="F747" s="172"/>
      <c r="G747" s="367"/>
      <c r="H747" s="172"/>
      <c r="I747" s="367"/>
      <c r="J747" s="172"/>
    </row>
    <row r="748">
      <c r="A748" s="172"/>
      <c r="B748" s="172"/>
      <c r="C748" s="172"/>
      <c r="D748" s="172"/>
      <c r="E748" s="172"/>
      <c r="F748" s="172"/>
      <c r="G748" s="367"/>
      <c r="H748" s="172"/>
      <c r="I748" s="367"/>
      <c r="J748" s="172"/>
    </row>
    <row r="749">
      <c r="A749" s="172"/>
      <c r="B749" s="172"/>
      <c r="C749" s="172"/>
      <c r="D749" s="172"/>
      <c r="E749" s="172"/>
      <c r="F749" s="172"/>
      <c r="G749" s="367"/>
      <c r="H749" s="172"/>
      <c r="I749" s="367"/>
      <c r="J749" s="172"/>
    </row>
    <row r="750">
      <c r="A750" s="172"/>
      <c r="B750" s="172"/>
      <c r="C750" s="172"/>
      <c r="D750" s="172"/>
      <c r="E750" s="172"/>
      <c r="F750" s="172"/>
      <c r="G750" s="367"/>
      <c r="H750" s="172"/>
      <c r="I750" s="367"/>
      <c r="J750" s="172"/>
    </row>
    <row r="751">
      <c r="A751" s="172"/>
      <c r="B751" s="172"/>
      <c r="C751" s="172"/>
      <c r="D751" s="172"/>
      <c r="E751" s="172"/>
      <c r="F751" s="172"/>
      <c r="G751" s="367"/>
      <c r="H751" s="172"/>
      <c r="I751" s="367"/>
      <c r="J751" s="172"/>
    </row>
    <row r="752">
      <c r="A752" s="172"/>
      <c r="B752" s="172"/>
      <c r="C752" s="172"/>
      <c r="D752" s="172"/>
      <c r="E752" s="172"/>
      <c r="F752" s="172"/>
      <c r="G752" s="367"/>
      <c r="H752" s="172"/>
      <c r="I752" s="367"/>
      <c r="J752" s="172"/>
    </row>
    <row r="753">
      <c r="A753" s="172"/>
      <c r="B753" s="172"/>
      <c r="C753" s="172"/>
      <c r="D753" s="172"/>
      <c r="E753" s="172"/>
      <c r="F753" s="172"/>
      <c r="G753" s="367"/>
      <c r="H753" s="172"/>
      <c r="I753" s="367"/>
      <c r="J753" s="172"/>
    </row>
    <row r="754">
      <c r="A754" s="172"/>
      <c r="B754" s="172"/>
      <c r="C754" s="172"/>
      <c r="D754" s="172"/>
      <c r="E754" s="172"/>
      <c r="F754" s="172"/>
      <c r="G754" s="367"/>
      <c r="H754" s="172"/>
      <c r="I754" s="367"/>
      <c r="J754" s="172"/>
    </row>
    <row r="755">
      <c r="A755" s="172"/>
      <c r="B755" s="172"/>
      <c r="C755" s="172"/>
      <c r="D755" s="172"/>
      <c r="E755" s="172"/>
      <c r="F755" s="172"/>
      <c r="G755" s="367"/>
      <c r="H755" s="172"/>
      <c r="I755" s="367"/>
      <c r="J755" s="172"/>
    </row>
    <row r="756">
      <c r="A756" s="172"/>
      <c r="B756" s="172"/>
      <c r="C756" s="172"/>
      <c r="D756" s="172"/>
      <c r="E756" s="172"/>
      <c r="F756" s="172"/>
      <c r="G756" s="367"/>
      <c r="H756" s="172"/>
      <c r="I756" s="367"/>
      <c r="J756" s="172"/>
    </row>
    <row r="757">
      <c r="A757" s="172"/>
      <c r="B757" s="172"/>
      <c r="C757" s="172"/>
      <c r="D757" s="172"/>
      <c r="E757" s="172"/>
      <c r="F757" s="172"/>
      <c r="G757" s="367"/>
      <c r="H757" s="172"/>
      <c r="I757" s="367"/>
      <c r="J757" s="172"/>
    </row>
    <row r="758">
      <c r="A758" s="172"/>
      <c r="B758" s="172"/>
      <c r="C758" s="172"/>
      <c r="D758" s="172"/>
      <c r="E758" s="172"/>
      <c r="F758" s="172"/>
      <c r="G758" s="367"/>
      <c r="H758" s="172"/>
      <c r="I758" s="367"/>
      <c r="J758" s="172"/>
    </row>
    <row r="759">
      <c r="A759" s="172"/>
      <c r="B759" s="172"/>
      <c r="C759" s="172"/>
      <c r="D759" s="172"/>
      <c r="E759" s="172"/>
      <c r="F759" s="172"/>
      <c r="G759" s="367"/>
      <c r="H759" s="172"/>
      <c r="I759" s="367"/>
      <c r="J759" s="172"/>
    </row>
    <row r="760">
      <c r="A760" s="172"/>
      <c r="B760" s="172"/>
      <c r="C760" s="172"/>
      <c r="D760" s="172"/>
      <c r="E760" s="172"/>
      <c r="F760" s="172"/>
      <c r="G760" s="367"/>
      <c r="H760" s="172"/>
      <c r="I760" s="367"/>
      <c r="J760" s="172"/>
    </row>
    <row r="761">
      <c r="A761" s="172"/>
      <c r="B761" s="172"/>
      <c r="C761" s="172"/>
      <c r="D761" s="172"/>
      <c r="E761" s="172"/>
      <c r="F761" s="172"/>
      <c r="G761" s="367"/>
      <c r="H761" s="172"/>
      <c r="I761" s="367"/>
      <c r="J761" s="172"/>
    </row>
    <row r="762">
      <c r="A762" s="172"/>
      <c r="B762" s="172"/>
      <c r="C762" s="172"/>
      <c r="D762" s="172"/>
      <c r="E762" s="172"/>
      <c r="F762" s="172"/>
      <c r="G762" s="367"/>
      <c r="H762" s="172"/>
      <c r="I762" s="367"/>
      <c r="J762" s="172"/>
    </row>
    <row r="763">
      <c r="A763" s="172"/>
      <c r="B763" s="172"/>
      <c r="C763" s="172"/>
      <c r="D763" s="172"/>
      <c r="E763" s="172"/>
      <c r="F763" s="172"/>
      <c r="G763" s="367"/>
      <c r="H763" s="172"/>
      <c r="I763" s="367"/>
      <c r="J763" s="172"/>
    </row>
    <row r="764">
      <c r="A764" s="172"/>
      <c r="B764" s="172"/>
      <c r="C764" s="172"/>
      <c r="D764" s="172"/>
      <c r="E764" s="172"/>
      <c r="F764" s="172"/>
      <c r="G764" s="367"/>
      <c r="H764" s="172"/>
      <c r="I764" s="367"/>
      <c r="J764" s="172"/>
    </row>
    <row r="765">
      <c r="A765" s="172"/>
      <c r="B765" s="172"/>
      <c r="C765" s="172"/>
      <c r="D765" s="172"/>
      <c r="E765" s="172"/>
      <c r="F765" s="172"/>
      <c r="G765" s="367"/>
      <c r="H765" s="172"/>
      <c r="I765" s="367"/>
      <c r="J765" s="172"/>
    </row>
    <row r="766">
      <c r="A766" s="172"/>
      <c r="B766" s="172"/>
      <c r="C766" s="172"/>
      <c r="D766" s="172"/>
      <c r="E766" s="172"/>
      <c r="F766" s="172"/>
      <c r="G766" s="367"/>
      <c r="H766" s="172"/>
      <c r="I766" s="367"/>
      <c r="J766" s="172"/>
    </row>
    <row r="767">
      <c r="A767" s="172"/>
      <c r="B767" s="172"/>
      <c r="C767" s="172"/>
      <c r="D767" s="172"/>
      <c r="E767" s="172"/>
      <c r="F767" s="172"/>
      <c r="G767" s="367"/>
      <c r="H767" s="172"/>
      <c r="I767" s="367"/>
      <c r="J767" s="172"/>
    </row>
    <row r="768">
      <c r="A768" s="172"/>
      <c r="B768" s="172"/>
      <c r="C768" s="172"/>
      <c r="D768" s="172"/>
      <c r="E768" s="172"/>
      <c r="F768" s="172"/>
      <c r="G768" s="367"/>
      <c r="H768" s="172"/>
      <c r="I768" s="367"/>
      <c r="J768" s="172"/>
    </row>
    <row r="769">
      <c r="A769" s="172"/>
      <c r="B769" s="172"/>
      <c r="C769" s="172"/>
      <c r="D769" s="172"/>
      <c r="E769" s="172"/>
      <c r="F769" s="172"/>
      <c r="G769" s="367"/>
      <c r="H769" s="172"/>
      <c r="I769" s="367"/>
      <c r="J769" s="172"/>
    </row>
    <row r="770">
      <c r="A770" s="172"/>
      <c r="B770" s="172"/>
      <c r="C770" s="172"/>
      <c r="D770" s="172"/>
      <c r="E770" s="172"/>
      <c r="F770" s="172"/>
      <c r="G770" s="367"/>
      <c r="H770" s="172"/>
      <c r="I770" s="367"/>
      <c r="J770" s="172"/>
    </row>
    <row r="771">
      <c r="A771" s="172"/>
      <c r="B771" s="172"/>
      <c r="C771" s="172"/>
      <c r="D771" s="172"/>
      <c r="E771" s="172"/>
      <c r="F771" s="172"/>
      <c r="G771" s="367"/>
      <c r="H771" s="172"/>
      <c r="I771" s="367"/>
      <c r="J771" s="172"/>
    </row>
    <row r="772">
      <c r="A772" s="172"/>
      <c r="B772" s="172"/>
      <c r="C772" s="172"/>
      <c r="D772" s="172"/>
      <c r="E772" s="172"/>
      <c r="F772" s="172"/>
      <c r="G772" s="367"/>
      <c r="H772" s="172"/>
      <c r="I772" s="367"/>
      <c r="J772" s="172"/>
    </row>
    <row r="773">
      <c r="A773" s="172"/>
      <c r="B773" s="172"/>
      <c r="C773" s="172"/>
      <c r="D773" s="172"/>
      <c r="E773" s="172"/>
      <c r="F773" s="172"/>
      <c r="G773" s="367"/>
      <c r="H773" s="172"/>
      <c r="I773" s="367"/>
      <c r="J773" s="172"/>
    </row>
    <row r="774">
      <c r="A774" s="172"/>
      <c r="B774" s="172"/>
      <c r="C774" s="172"/>
      <c r="D774" s="172"/>
      <c r="E774" s="172"/>
      <c r="F774" s="172"/>
      <c r="G774" s="367"/>
      <c r="H774" s="172"/>
      <c r="I774" s="367"/>
      <c r="J774" s="172"/>
    </row>
    <row r="775">
      <c r="A775" s="172"/>
      <c r="B775" s="172"/>
      <c r="C775" s="172"/>
      <c r="D775" s="172"/>
      <c r="E775" s="172"/>
      <c r="F775" s="172"/>
      <c r="G775" s="367"/>
      <c r="H775" s="172"/>
      <c r="I775" s="367"/>
      <c r="J775" s="172"/>
    </row>
    <row r="776">
      <c r="A776" s="172"/>
      <c r="B776" s="172"/>
      <c r="C776" s="172"/>
      <c r="D776" s="172"/>
      <c r="E776" s="172"/>
      <c r="F776" s="172"/>
      <c r="G776" s="367"/>
      <c r="H776" s="172"/>
      <c r="I776" s="367"/>
      <c r="J776" s="172"/>
    </row>
    <row r="777">
      <c r="A777" s="172"/>
      <c r="B777" s="172"/>
      <c r="C777" s="172"/>
      <c r="D777" s="172"/>
      <c r="E777" s="172"/>
      <c r="F777" s="172"/>
      <c r="G777" s="367"/>
      <c r="H777" s="172"/>
      <c r="I777" s="367"/>
      <c r="J777" s="172"/>
    </row>
    <row r="778">
      <c r="A778" s="172"/>
      <c r="B778" s="172"/>
      <c r="C778" s="172"/>
      <c r="D778" s="172"/>
      <c r="E778" s="172"/>
      <c r="F778" s="172"/>
      <c r="G778" s="367"/>
      <c r="H778" s="172"/>
      <c r="I778" s="367"/>
      <c r="J778" s="172"/>
    </row>
    <row r="779">
      <c r="A779" s="172"/>
      <c r="B779" s="172"/>
      <c r="C779" s="172"/>
      <c r="D779" s="172"/>
      <c r="E779" s="172"/>
      <c r="F779" s="172"/>
      <c r="G779" s="367"/>
      <c r="H779" s="172"/>
      <c r="I779" s="367"/>
      <c r="J779" s="172"/>
    </row>
    <row r="780">
      <c r="A780" s="172"/>
      <c r="B780" s="172"/>
      <c r="C780" s="172"/>
      <c r="D780" s="172"/>
      <c r="E780" s="172"/>
      <c r="F780" s="172"/>
      <c r="G780" s="367"/>
      <c r="H780" s="172"/>
      <c r="I780" s="367"/>
      <c r="J780" s="172"/>
    </row>
    <row r="781">
      <c r="A781" s="172"/>
      <c r="B781" s="172"/>
      <c r="C781" s="172"/>
      <c r="D781" s="172"/>
      <c r="E781" s="172"/>
      <c r="F781" s="172"/>
      <c r="G781" s="367"/>
      <c r="H781" s="172"/>
      <c r="I781" s="367"/>
      <c r="J781" s="172"/>
    </row>
    <row r="782">
      <c r="A782" s="172"/>
      <c r="B782" s="172"/>
      <c r="C782" s="172"/>
      <c r="D782" s="172"/>
      <c r="E782" s="172"/>
      <c r="F782" s="172"/>
      <c r="G782" s="367"/>
      <c r="H782" s="172"/>
      <c r="I782" s="367"/>
      <c r="J782" s="172"/>
    </row>
    <row r="783">
      <c r="A783" s="172"/>
      <c r="B783" s="172"/>
      <c r="C783" s="172"/>
      <c r="D783" s="172"/>
      <c r="E783" s="172"/>
      <c r="F783" s="172"/>
      <c r="G783" s="367"/>
      <c r="H783" s="172"/>
      <c r="I783" s="367"/>
      <c r="J783" s="172"/>
    </row>
    <row r="784">
      <c r="A784" s="172"/>
      <c r="B784" s="172"/>
      <c r="C784" s="172"/>
      <c r="D784" s="172"/>
      <c r="E784" s="172"/>
      <c r="F784" s="172"/>
      <c r="G784" s="367"/>
      <c r="H784" s="172"/>
      <c r="I784" s="367"/>
      <c r="J784" s="172"/>
    </row>
    <row r="785">
      <c r="A785" s="172"/>
      <c r="B785" s="172"/>
      <c r="C785" s="172"/>
      <c r="D785" s="172"/>
      <c r="E785" s="172"/>
      <c r="F785" s="172"/>
      <c r="G785" s="367"/>
      <c r="H785" s="172"/>
      <c r="I785" s="367"/>
      <c r="J785" s="172"/>
    </row>
    <row r="786">
      <c r="A786" s="172"/>
      <c r="B786" s="172"/>
      <c r="C786" s="172"/>
      <c r="D786" s="172"/>
      <c r="E786" s="172"/>
      <c r="F786" s="172"/>
      <c r="G786" s="367"/>
      <c r="H786" s="172"/>
      <c r="I786" s="367"/>
      <c r="J786" s="172"/>
    </row>
    <row r="787">
      <c r="A787" s="172"/>
      <c r="B787" s="172"/>
      <c r="C787" s="172"/>
      <c r="D787" s="172"/>
      <c r="E787" s="172"/>
      <c r="F787" s="172"/>
      <c r="G787" s="367"/>
      <c r="H787" s="172"/>
      <c r="I787" s="367"/>
      <c r="J787" s="172"/>
    </row>
    <row r="788">
      <c r="A788" s="172"/>
      <c r="B788" s="172"/>
      <c r="C788" s="172"/>
      <c r="D788" s="172"/>
      <c r="E788" s="172"/>
      <c r="F788" s="172"/>
      <c r="G788" s="367"/>
      <c r="H788" s="172"/>
      <c r="I788" s="367"/>
      <c r="J788" s="172"/>
    </row>
    <row r="789">
      <c r="A789" s="172"/>
      <c r="B789" s="172"/>
      <c r="C789" s="172"/>
      <c r="D789" s="172"/>
      <c r="E789" s="172"/>
      <c r="F789" s="172"/>
      <c r="G789" s="367"/>
      <c r="H789" s="172"/>
      <c r="I789" s="367"/>
      <c r="J789" s="172"/>
    </row>
    <row r="790">
      <c r="A790" s="172"/>
      <c r="B790" s="172"/>
      <c r="C790" s="172"/>
      <c r="D790" s="172"/>
      <c r="E790" s="172"/>
      <c r="F790" s="172"/>
      <c r="G790" s="367"/>
      <c r="H790" s="172"/>
      <c r="I790" s="367"/>
      <c r="J790" s="172"/>
    </row>
    <row r="791">
      <c r="A791" s="172"/>
      <c r="B791" s="172"/>
      <c r="C791" s="172"/>
      <c r="D791" s="172"/>
      <c r="E791" s="172"/>
      <c r="F791" s="172"/>
      <c r="G791" s="367"/>
      <c r="H791" s="172"/>
      <c r="I791" s="367"/>
      <c r="J791" s="172"/>
    </row>
    <row r="792">
      <c r="A792" s="172"/>
      <c r="B792" s="172"/>
      <c r="C792" s="172"/>
      <c r="D792" s="172"/>
      <c r="E792" s="172"/>
      <c r="F792" s="172"/>
      <c r="G792" s="367"/>
      <c r="H792" s="172"/>
      <c r="I792" s="367"/>
      <c r="J792" s="172"/>
    </row>
    <row r="793">
      <c r="A793" s="172"/>
      <c r="B793" s="172"/>
      <c r="C793" s="172"/>
      <c r="D793" s="172"/>
      <c r="E793" s="172"/>
      <c r="F793" s="172"/>
      <c r="G793" s="367"/>
      <c r="H793" s="172"/>
      <c r="I793" s="367"/>
      <c r="J793" s="172"/>
    </row>
    <row r="794">
      <c r="A794" s="172"/>
      <c r="B794" s="172"/>
      <c r="C794" s="172"/>
      <c r="D794" s="172"/>
      <c r="E794" s="172"/>
      <c r="F794" s="172"/>
      <c r="G794" s="367"/>
      <c r="H794" s="172"/>
      <c r="I794" s="367"/>
      <c r="J794" s="172"/>
    </row>
    <row r="795">
      <c r="A795" s="172"/>
      <c r="B795" s="172"/>
      <c r="C795" s="172"/>
      <c r="D795" s="172"/>
      <c r="E795" s="172"/>
      <c r="F795" s="172"/>
      <c r="G795" s="367"/>
      <c r="H795" s="172"/>
      <c r="I795" s="367"/>
      <c r="J795" s="172"/>
    </row>
    <row r="796">
      <c r="A796" s="172"/>
      <c r="B796" s="172"/>
      <c r="C796" s="172"/>
      <c r="D796" s="172"/>
      <c r="E796" s="172"/>
      <c r="F796" s="172"/>
      <c r="G796" s="367"/>
      <c r="H796" s="172"/>
      <c r="I796" s="367"/>
      <c r="J796" s="172"/>
    </row>
    <row r="797">
      <c r="A797" s="172"/>
      <c r="B797" s="172"/>
      <c r="C797" s="172"/>
      <c r="D797" s="172"/>
      <c r="E797" s="172"/>
      <c r="F797" s="172"/>
      <c r="G797" s="367"/>
      <c r="H797" s="172"/>
      <c r="I797" s="367"/>
      <c r="J797" s="172"/>
    </row>
    <row r="798">
      <c r="A798" s="172"/>
      <c r="B798" s="172"/>
      <c r="C798" s="172"/>
      <c r="D798" s="172"/>
      <c r="E798" s="172"/>
      <c r="F798" s="172"/>
      <c r="G798" s="367"/>
      <c r="H798" s="172"/>
      <c r="I798" s="367"/>
      <c r="J798" s="172"/>
    </row>
    <row r="799">
      <c r="A799" s="172"/>
      <c r="B799" s="172"/>
      <c r="C799" s="172"/>
      <c r="D799" s="172"/>
      <c r="E799" s="172"/>
      <c r="F799" s="172"/>
      <c r="G799" s="367"/>
      <c r="H799" s="172"/>
      <c r="I799" s="367"/>
      <c r="J799" s="172"/>
    </row>
    <row r="800">
      <c r="A800" s="172"/>
      <c r="B800" s="172"/>
      <c r="C800" s="172"/>
      <c r="D800" s="172"/>
      <c r="E800" s="172"/>
      <c r="F800" s="172"/>
      <c r="G800" s="367"/>
      <c r="H800" s="172"/>
      <c r="I800" s="367"/>
      <c r="J800" s="172"/>
    </row>
    <row r="801">
      <c r="A801" s="172"/>
      <c r="B801" s="172"/>
      <c r="C801" s="172"/>
      <c r="D801" s="172"/>
      <c r="E801" s="172"/>
      <c r="F801" s="172"/>
      <c r="G801" s="367"/>
      <c r="H801" s="172"/>
      <c r="I801" s="367"/>
      <c r="J801" s="172"/>
    </row>
    <row r="802">
      <c r="A802" s="172"/>
      <c r="B802" s="172"/>
      <c r="C802" s="172"/>
      <c r="D802" s="172"/>
      <c r="E802" s="172"/>
      <c r="F802" s="172"/>
      <c r="G802" s="367"/>
      <c r="H802" s="172"/>
      <c r="I802" s="367"/>
      <c r="J802" s="172"/>
    </row>
    <row r="803">
      <c r="A803" s="172"/>
      <c r="B803" s="172"/>
      <c r="C803" s="172"/>
      <c r="D803" s="172"/>
      <c r="E803" s="172"/>
      <c r="F803" s="172"/>
      <c r="G803" s="367"/>
      <c r="H803" s="172"/>
      <c r="I803" s="367"/>
      <c r="J803" s="172"/>
    </row>
    <row r="804">
      <c r="A804" s="172"/>
      <c r="B804" s="172"/>
      <c r="C804" s="172"/>
      <c r="D804" s="172"/>
      <c r="E804" s="172"/>
      <c r="F804" s="172"/>
      <c r="G804" s="367"/>
      <c r="H804" s="172"/>
      <c r="I804" s="367"/>
      <c r="J804" s="172"/>
    </row>
    <row r="805">
      <c r="A805" s="172"/>
      <c r="B805" s="172"/>
      <c r="C805" s="172"/>
      <c r="D805" s="172"/>
      <c r="E805" s="172"/>
      <c r="F805" s="172"/>
      <c r="G805" s="367"/>
      <c r="H805" s="172"/>
      <c r="I805" s="367"/>
      <c r="J805" s="172"/>
    </row>
    <row r="806">
      <c r="A806" s="172"/>
      <c r="B806" s="172"/>
      <c r="C806" s="172"/>
      <c r="D806" s="172"/>
      <c r="E806" s="172"/>
      <c r="F806" s="172"/>
      <c r="G806" s="367"/>
      <c r="H806" s="172"/>
      <c r="I806" s="367"/>
      <c r="J806" s="172"/>
    </row>
    <row r="807">
      <c r="A807" s="172"/>
      <c r="B807" s="172"/>
      <c r="C807" s="172"/>
      <c r="D807" s="172"/>
      <c r="E807" s="172"/>
      <c r="F807" s="172"/>
      <c r="G807" s="367"/>
      <c r="H807" s="172"/>
      <c r="I807" s="367"/>
      <c r="J807" s="172"/>
    </row>
    <row r="808">
      <c r="A808" s="172"/>
      <c r="B808" s="172"/>
      <c r="C808" s="172"/>
      <c r="D808" s="172"/>
      <c r="E808" s="172"/>
      <c r="F808" s="172"/>
      <c r="G808" s="367"/>
      <c r="H808" s="172"/>
      <c r="I808" s="367"/>
      <c r="J808" s="172"/>
    </row>
    <row r="809">
      <c r="A809" s="172"/>
      <c r="B809" s="172"/>
      <c r="C809" s="172"/>
      <c r="D809" s="172"/>
      <c r="E809" s="172"/>
      <c r="F809" s="172"/>
      <c r="G809" s="367"/>
      <c r="H809" s="172"/>
      <c r="I809" s="367"/>
      <c r="J809" s="172"/>
    </row>
    <row r="810">
      <c r="A810" s="172"/>
      <c r="B810" s="172"/>
      <c r="C810" s="172"/>
      <c r="D810" s="172"/>
      <c r="E810" s="172"/>
      <c r="F810" s="172"/>
      <c r="G810" s="367"/>
      <c r="H810" s="172"/>
      <c r="I810" s="367"/>
      <c r="J810" s="172"/>
    </row>
    <row r="811">
      <c r="A811" s="172"/>
      <c r="B811" s="172"/>
      <c r="C811" s="172"/>
      <c r="D811" s="172"/>
      <c r="E811" s="172"/>
      <c r="F811" s="172"/>
      <c r="G811" s="367"/>
      <c r="H811" s="172"/>
      <c r="I811" s="367"/>
      <c r="J811" s="172"/>
    </row>
    <row r="812">
      <c r="A812" s="172"/>
      <c r="B812" s="172"/>
      <c r="C812" s="172"/>
      <c r="D812" s="172"/>
      <c r="E812" s="172"/>
      <c r="F812" s="172"/>
      <c r="G812" s="367"/>
      <c r="H812" s="172"/>
      <c r="I812" s="367"/>
      <c r="J812" s="172"/>
    </row>
    <row r="813">
      <c r="A813" s="172"/>
      <c r="B813" s="172"/>
      <c r="C813" s="172"/>
      <c r="D813" s="172"/>
      <c r="E813" s="172"/>
      <c r="F813" s="172"/>
      <c r="G813" s="367"/>
      <c r="H813" s="172"/>
      <c r="I813" s="367"/>
      <c r="J813" s="172"/>
    </row>
    <row r="814">
      <c r="A814" s="172"/>
      <c r="B814" s="172"/>
      <c r="C814" s="172"/>
      <c r="D814" s="172"/>
      <c r="E814" s="172"/>
      <c r="F814" s="172"/>
      <c r="G814" s="367"/>
      <c r="H814" s="172"/>
      <c r="I814" s="367"/>
      <c r="J814" s="172"/>
    </row>
    <row r="815">
      <c r="A815" s="172"/>
      <c r="B815" s="172"/>
      <c r="C815" s="172"/>
      <c r="D815" s="172"/>
      <c r="E815" s="172"/>
      <c r="F815" s="172"/>
      <c r="G815" s="367"/>
      <c r="H815" s="172"/>
      <c r="I815" s="367"/>
      <c r="J815" s="172"/>
    </row>
    <row r="816">
      <c r="A816" s="172"/>
      <c r="B816" s="172"/>
      <c r="C816" s="172"/>
      <c r="D816" s="172"/>
      <c r="E816" s="172"/>
      <c r="F816" s="172"/>
      <c r="G816" s="367"/>
      <c r="H816" s="172"/>
      <c r="I816" s="367"/>
      <c r="J816" s="172"/>
    </row>
    <row r="817">
      <c r="A817" s="172"/>
      <c r="B817" s="172"/>
      <c r="C817" s="172"/>
      <c r="D817" s="172"/>
      <c r="E817" s="172"/>
      <c r="F817" s="172"/>
      <c r="G817" s="367"/>
      <c r="H817" s="172"/>
      <c r="I817" s="367"/>
      <c r="J817" s="172"/>
    </row>
    <row r="818">
      <c r="A818" s="172"/>
      <c r="B818" s="172"/>
      <c r="C818" s="172"/>
      <c r="D818" s="172"/>
      <c r="E818" s="172"/>
      <c r="F818" s="172"/>
      <c r="G818" s="367"/>
      <c r="H818" s="172"/>
      <c r="I818" s="367"/>
      <c r="J818" s="172"/>
    </row>
    <row r="819">
      <c r="A819" s="172"/>
      <c r="B819" s="172"/>
      <c r="C819" s="172"/>
      <c r="D819" s="172"/>
      <c r="E819" s="172"/>
      <c r="F819" s="172"/>
      <c r="G819" s="367"/>
      <c r="H819" s="172"/>
      <c r="I819" s="367"/>
      <c r="J819" s="172"/>
    </row>
    <row r="820">
      <c r="A820" s="172"/>
      <c r="B820" s="172"/>
      <c r="C820" s="172"/>
      <c r="D820" s="172"/>
      <c r="E820" s="172"/>
      <c r="F820" s="172"/>
      <c r="G820" s="367"/>
      <c r="H820" s="172"/>
      <c r="I820" s="367"/>
      <c r="J820" s="172"/>
    </row>
    <row r="821">
      <c r="A821" s="172"/>
      <c r="B821" s="172"/>
      <c r="C821" s="172"/>
      <c r="D821" s="172"/>
      <c r="E821" s="172"/>
      <c r="F821" s="172"/>
      <c r="G821" s="367"/>
      <c r="H821" s="172"/>
      <c r="I821" s="367"/>
      <c r="J821" s="172"/>
    </row>
    <row r="822">
      <c r="A822" s="172"/>
      <c r="B822" s="172"/>
      <c r="C822" s="172"/>
      <c r="D822" s="172"/>
      <c r="E822" s="172"/>
      <c r="F822" s="172"/>
      <c r="G822" s="367"/>
      <c r="H822" s="172"/>
      <c r="I822" s="367"/>
      <c r="J822" s="172"/>
    </row>
    <row r="823">
      <c r="A823" s="172"/>
      <c r="B823" s="172"/>
      <c r="C823" s="172"/>
      <c r="D823" s="172"/>
      <c r="E823" s="172"/>
      <c r="F823" s="172"/>
      <c r="G823" s="367"/>
      <c r="H823" s="172"/>
      <c r="I823" s="367"/>
      <c r="J823" s="172"/>
    </row>
    <row r="824">
      <c r="A824" s="172"/>
      <c r="B824" s="172"/>
      <c r="C824" s="172"/>
      <c r="D824" s="172"/>
      <c r="E824" s="172"/>
      <c r="F824" s="172"/>
      <c r="G824" s="367"/>
      <c r="H824" s="172"/>
      <c r="I824" s="367"/>
      <c r="J824" s="172"/>
    </row>
    <row r="825">
      <c r="A825" s="172"/>
      <c r="B825" s="172"/>
      <c r="C825" s="172"/>
      <c r="D825" s="172"/>
      <c r="E825" s="172"/>
      <c r="F825" s="172"/>
      <c r="G825" s="367"/>
      <c r="H825" s="172"/>
      <c r="I825" s="367"/>
      <c r="J825" s="172"/>
    </row>
    <row r="826">
      <c r="A826" s="172"/>
      <c r="B826" s="172"/>
      <c r="C826" s="172"/>
      <c r="D826" s="172"/>
      <c r="E826" s="172"/>
      <c r="F826" s="172"/>
      <c r="G826" s="367"/>
      <c r="H826" s="172"/>
      <c r="I826" s="367"/>
      <c r="J826" s="172"/>
    </row>
    <row r="827">
      <c r="A827" s="172"/>
      <c r="B827" s="172"/>
      <c r="C827" s="172"/>
      <c r="D827" s="172"/>
      <c r="E827" s="172"/>
      <c r="F827" s="172"/>
      <c r="G827" s="367"/>
      <c r="H827" s="172"/>
      <c r="I827" s="367"/>
      <c r="J827" s="172"/>
    </row>
    <row r="828">
      <c r="A828" s="172"/>
      <c r="B828" s="172"/>
      <c r="C828" s="172"/>
      <c r="D828" s="172"/>
      <c r="E828" s="172"/>
      <c r="F828" s="172"/>
      <c r="G828" s="367"/>
      <c r="H828" s="172"/>
      <c r="I828" s="367"/>
      <c r="J828" s="172"/>
    </row>
    <row r="829">
      <c r="A829" s="172"/>
      <c r="B829" s="172"/>
      <c r="C829" s="172"/>
      <c r="D829" s="172"/>
      <c r="E829" s="172"/>
      <c r="F829" s="172"/>
      <c r="G829" s="367"/>
      <c r="H829" s="172"/>
      <c r="I829" s="367"/>
      <c r="J829" s="172"/>
    </row>
    <row r="830">
      <c r="A830" s="172"/>
      <c r="B830" s="172"/>
      <c r="C830" s="172"/>
      <c r="D830" s="172"/>
      <c r="E830" s="172"/>
      <c r="F830" s="172"/>
      <c r="G830" s="367"/>
      <c r="H830" s="172"/>
      <c r="I830" s="367"/>
      <c r="J830" s="172"/>
    </row>
    <row r="831">
      <c r="A831" s="172"/>
      <c r="B831" s="172"/>
      <c r="C831" s="172"/>
      <c r="D831" s="172"/>
      <c r="E831" s="172"/>
      <c r="F831" s="172"/>
      <c r="G831" s="367"/>
      <c r="H831" s="172"/>
      <c r="I831" s="367"/>
      <c r="J831" s="172"/>
    </row>
    <row r="832">
      <c r="A832" s="172"/>
      <c r="B832" s="172"/>
      <c r="C832" s="172"/>
      <c r="D832" s="172"/>
      <c r="E832" s="172"/>
      <c r="F832" s="172"/>
      <c r="G832" s="367"/>
      <c r="H832" s="172"/>
      <c r="I832" s="367"/>
      <c r="J832" s="172"/>
    </row>
    <row r="833">
      <c r="A833" s="172"/>
      <c r="B833" s="172"/>
      <c r="C833" s="172"/>
      <c r="D833" s="172"/>
      <c r="E833" s="172"/>
      <c r="F833" s="172"/>
      <c r="G833" s="367"/>
      <c r="H833" s="172"/>
      <c r="I833" s="367"/>
      <c r="J833" s="172"/>
    </row>
    <row r="834">
      <c r="A834" s="172"/>
      <c r="B834" s="172"/>
      <c r="C834" s="172"/>
      <c r="D834" s="172"/>
      <c r="E834" s="172"/>
      <c r="F834" s="172"/>
      <c r="G834" s="367"/>
      <c r="H834" s="172"/>
      <c r="I834" s="367"/>
      <c r="J834" s="172"/>
    </row>
    <row r="835">
      <c r="A835" s="172"/>
      <c r="B835" s="172"/>
      <c r="C835" s="172"/>
      <c r="D835" s="172"/>
      <c r="E835" s="172"/>
      <c r="F835" s="172"/>
      <c r="G835" s="367"/>
      <c r="H835" s="172"/>
      <c r="I835" s="367"/>
      <c r="J835" s="172"/>
    </row>
    <row r="836">
      <c r="A836" s="172"/>
      <c r="B836" s="172"/>
      <c r="C836" s="172"/>
      <c r="D836" s="172"/>
      <c r="E836" s="172"/>
      <c r="F836" s="172"/>
      <c r="G836" s="367"/>
      <c r="H836" s="172"/>
      <c r="I836" s="367"/>
      <c r="J836" s="172"/>
    </row>
    <row r="837">
      <c r="A837" s="172"/>
      <c r="B837" s="172"/>
      <c r="C837" s="172"/>
      <c r="D837" s="172"/>
      <c r="E837" s="172"/>
      <c r="F837" s="172"/>
      <c r="G837" s="367"/>
      <c r="H837" s="172"/>
      <c r="I837" s="367"/>
      <c r="J837" s="172"/>
    </row>
    <row r="838">
      <c r="A838" s="172"/>
      <c r="B838" s="172"/>
      <c r="C838" s="172"/>
      <c r="D838" s="172"/>
      <c r="E838" s="172"/>
      <c r="F838" s="172"/>
      <c r="G838" s="367"/>
      <c r="H838" s="172"/>
      <c r="I838" s="367"/>
      <c r="J838" s="172"/>
    </row>
    <row r="839">
      <c r="A839" s="172"/>
      <c r="B839" s="172"/>
      <c r="C839" s="172"/>
      <c r="D839" s="172"/>
      <c r="E839" s="172"/>
      <c r="F839" s="172"/>
      <c r="G839" s="367"/>
      <c r="H839" s="172"/>
      <c r="I839" s="367"/>
      <c r="J839" s="172"/>
    </row>
    <row r="840">
      <c r="A840" s="172"/>
      <c r="B840" s="172"/>
      <c r="C840" s="172"/>
      <c r="D840" s="172"/>
      <c r="E840" s="172"/>
      <c r="F840" s="172"/>
      <c r="G840" s="367"/>
      <c r="H840" s="172"/>
      <c r="I840" s="367"/>
      <c r="J840" s="172"/>
    </row>
    <row r="841">
      <c r="A841" s="172"/>
      <c r="B841" s="172"/>
      <c r="C841" s="172"/>
      <c r="D841" s="172"/>
      <c r="E841" s="172"/>
      <c r="F841" s="172"/>
      <c r="G841" s="367"/>
      <c r="H841" s="172"/>
      <c r="I841" s="367"/>
      <c r="J841" s="172"/>
    </row>
    <row r="842">
      <c r="A842" s="172"/>
      <c r="B842" s="172"/>
      <c r="C842" s="172"/>
      <c r="D842" s="172"/>
      <c r="E842" s="172"/>
      <c r="F842" s="172"/>
      <c r="G842" s="367"/>
      <c r="H842" s="172"/>
      <c r="I842" s="367"/>
      <c r="J842" s="172"/>
    </row>
    <row r="843">
      <c r="A843" s="172"/>
      <c r="B843" s="172"/>
      <c r="C843" s="172"/>
      <c r="D843" s="172"/>
      <c r="E843" s="172"/>
      <c r="F843" s="172"/>
      <c r="G843" s="367"/>
      <c r="H843" s="172"/>
      <c r="I843" s="367"/>
      <c r="J843" s="172"/>
    </row>
    <row r="844">
      <c r="A844" s="172"/>
      <c r="B844" s="172"/>
      <c r="C844" s="172"/>
      <c r="D844" s="172"/>
      <c r="E844" s="172"/>
      <c r="F844" s="172"/>
      <c r="G844" s="367"/>
      <c r="H844" s="172"/>
      <c r="I844" s="367"/>
      <c r="J844" s="172"/>
    </row>
    <row r="845">
      <c r="A845" s="172"/>
      <c r="B845" s="172"/>
      <c r="C845" s="172"/>
      <c r="D845" s="172"/>
      <c r="E845" s="172"/>
      <c r="F845" s="172"/>
      <c r="G845" s="367"/>
      <c r="H845" s="172"/>
      <c r="I845" s="367"/>
      <c r="J845" s="172"/>
    </row>
    <row r="846">
      <c r="A846" s="172"/>
      <c r="B846" s="172"/>
      <c r="C846" s="172"/>
      <c r="D846" s="172"/>
      <c r="E846" s="172"/>
      <c r="F846" s="172"/>
      <c r="G846" s="367"/>
      <c r="H846" s="172"/>
      <c r="I846" s="367"/>
      <c r="J846" s="172"/>
    </row>
    <row r="847">
      <c r="A847" s="172"/>
      <c r="B847" s="172"/>
      <c r="C847" s="172"/>
      <c r="D847" s="172"/>
      <c r="E847" s="172"/>
      <c r="F847" s="172"/>
      <c r="G847" s="367"/>
      <c r="H847" s="172"/>
      <c r="I847" s="367"/>
      <c r="J847" s="172"/>
    </row>
    <row r="848">
      <c r="A848" s="172"/>
      <c r="B848" s="172"/>
      <c r="C848" s="172"/>
      <c r="D848" s="172"/>
      <c r="E848" s="172"/>
      <c r="F848" s="172"/>
      <c r="G848" s="367"/>
      <c r="H848" s="172"/>
      <c r="I848" s="367"/>
      <c r="J848" s="172"/>
    </row>
    <row r="849">
      <c r="A849" s="172"/>
      <c r="B849" s="172"/>
      <c r="C849" s="172"/>
      <c r="D849" s="172"/>
      <c r="E849" s="172"/>
      <c r="F849" s="172"/>
      <c r="G849" s="367"/>
      <c r="H849" s="172"/>
      <c r="I849" s="367"/>
      <c r="J849" s="172"/>
    </row>
    <row r="850">
      <c r="A850" s="172"/>
      <c r="B850" s="172"/>
      <c r="C850" s="172"/>
      <c r="D850" s="172"/>
      <c r="E850" s="172"/>
      <c r="F850" s="172"/>
      <c r="G850" s="367"/>
      <c r="H850" s="172"/>
      <c r="I850" s="367"/>
      <c r="J850" s="172"/>
    </row>
    <row r="851">
      <c r="A851" s="172"/>
      <c r="B851" s="172"/>
      <c r="C851" s="172"/>
      <c r="D851" s="172"/>
      <c r="E851" s="172"/>
      <c r="F851" s="172"/>
      <c r="G851" s="367"/>
      <c r="H851" s="172"/>
      <c r="I851" s="367"/>
      <c r="J851" s="172"/>
    </row>
    <row r="852">
      <c r="A852" s="172"/>
      <c r="B852" s="172"/>
      <c r="C852" s="172"/>
      <c r="D852" s="172"/>
      <c r="E852" s="172"/>
      <c r="F852" s="172"/>
      <c r="G852" s="367"/>
      <c r="H852" s="172"/>
      <c r="I852" s="367"/>
      <c r="J852" s="172"/>
    </row>
    <row r="853">
      <c r="A853" s="172"/>
      <c r="B853" s="172"/>
      <c r="C853" s="172"/>
      <c r="D853" s="172"/>
      <c r="E853" s="172"/>
      <c r="F853" s="172"/>
      <c r="G853" s="367"/>
      <c r="H853" s="172"/>
      <c r="I853" s="367"/>
      <c r="J853" s="172"/>
    </row>
    <row r="854">
      <c r="A854" s="172"/>
      <c r="B854" s="172"/>
      <c r="C854" s="172"/>
      <c r="D854" s="172"/>
      <c r="E854" s="172"/>
      <c r="F854" s="172"/>
      <c r="G854" s="367"/>
      <c r="H854" s="172"/>
      <c r="I854" s="367"/>
      <c r="J854" s="172"/>
    </row>
    <row r="855">
      <c r="A855" s="172"/>
      <c r="B855" s="172"/>
      <c r="C855" s="172"/>
      <c r="D855" s="172"/>
      <c r="E855" s="172"/>
      <c r="F855" s="172"/>
      <c r="G855" s="367"/>
      <c r="H855" s="172"/>
      <c r="I855" s="367"/>
      <c r="J855" s="172"/>
    </row>
    <row r="856">
      <c r="A856" s="172"/>
      <c r="B856" s="172"/>
      <c r="C856" s="172"/>
      <c r="D856" s="172"/>
      <c r="E856" s="172"/>
      <c r="F856" s="172"/>
      <c r="G856" s="367"/>
      <c r="H856" s="172"/>
      <c r="I856" s="367"/>
      <c r="J856" s="172"/>
    </row>
    <row r="857">
      <c r="A857" s="172"/>
      <c r="B857" s="172"/>
      <c r="C857" s="172"/>
      <c r="D857" s="172"/>
      <c r="E857" s="172"/>
      <c r="F857" s="172"/>
      <c r="G857" s="367"/>
      <c r="H857" s="172"/>
      <c r="I857" s="367"/>
      <c r="J857" s="172"/>
    </row>
    <row r="858">
      <c r="A858" s="172"/>
      <c r="B858" s="172"/>
      <c r="C858" s="172"/>
      <c r="D858" s="172"/>
      <c r="E858" s="172"/>
      <c r="F858" s="172"/>
      <c r="G858" s="367"/>
      <c r="H858" s="172"/>
      <c r="I858" s="367"/>
      <c r="J858" s="172"/>
    </row>
    <row r="859">
      <c r="A859" s="172"/>
      <c r="B859" s="172"/>
      <c r="C859" s="172"/>
      <c r="D859" s="172"/>
      <c r="E859" s="172"/>
      <c r="F859" s="172"/>
      <c r="G859" s="367"/>
      <c r="H859" s="172"/>
      <c r="I859" s="367"/>
      <c r="J859" s="172"/>
    </row>
    <row r="860">
      <c r="A860" s="172"/>
      <c r="B860" s="172"/>
      <c r="C860" s="172"/>
      <c r="D860" s="172"/>
      <c r="E860" s="172"/>
      <c r="F860" s="172"/>
      <c r="G860" s="367"/>
      <c r="H860" s="172"/>
      <c r="I860" s="367"/>
      <c r="J860" s="172"/>
    </row>
    <row r="861">
      <c r="A861" s="172"/>
      <c r="B861" s="172"/>
      <c r="C861" s="172"/>
      <c r="D861" s="172"/>
      <c r="E861" s="172"/>
      <c r="F861" s="172"/>
      <c r="G861" s="367"/>
      <c r="H861" s="172"/>
      <c r="I861" s="367"/>
      <c r="J861" s="172"/>
    </row>
    <row r="862">
      <c r="A862" s="172"/>
      <c r="B862" s="172"/>
      <c r="C862" s="172"/>
      <c r="D862" s="172"/>
      <c r="E862" s="172"/>
      <c r="F862" s="172"/>
      <c r="G862" s="367"/>
      <c r="H862" s="172"/>
      <c r="I862" s="367"/>
      <c r="J862" s="172"/>
    </row>
    <row r="863">
      <c r="A863" s="172"/>
      <c r="B863" s="172"/>
      <c r="C863" s="172"/>
      <c r="D863" s="172"/>
      <c r="E863" s="172"/>
      <c r="F863" s="172"/>
      <c r="G863" s="367"/>
      <c r="H863" s="172"/>
      <c r="I863" s="367"/>
      <c r="J863" s="172"/>
    </row>
    <row r="864">
      <c r="A864" s="172"/>
      <c r="B864" s="172"/>
      <c r="C864" s="172"/>
      <c r="D864" s="172"/>
      <c r="E864" s="172"/>
      <c r="F864" s="172"/>
      <c r="G864" s="367"/>
      <c r="H864" s="172"/>
      <c r="I864" s="367"/>
      <c r="J864" s="172"/>
    </row>
    <row r="865">
      <c r="A865" s="172"/>
      <c r="B865" s="172"/>
      <c r="C865" s="172"/>
      <c r="D865" s="172"/>
      <c r="E865" s="172"/>
      <c r="F865" s="172"/>
      <c r="G865" s="367"/>
      <c r="H865" s="172"/>
      <c r="I865" s="367"/>
      <c r="J865" s="172"/>
    </row>
    <row r="866">
      <c r="A866" s="172"/>
      <c r="B866" s="172"/>
      <c r="C866" s="172"/>
      <c r="D866" s="172"/>
      <c r="E866" s="172"/>
      <c r="F866" s="172"/>
      <c r="G866" s="367"/>
      <c r="H866" s="172"/>
      <c r="I866" s="367"/>
      <c r="J866" s="172"/>
    </row>
    <row r="867">
      <c r="A867" s="172"/>
      <c r="B867" s="172"/>
      <c r="C867" s="172"/>
      <c r="D867" s="172"/>
      <c r="E867" s="172"/>
      <c r="F867" s="172"/>
      <c r="G867" s="367"/>
      <c r="H867" s="172"/>
      <c r="I867" s="367"/>
      <c r="J867" s="172"/>
    </row>
    <row r="868">
      <c r="A868" s="172"/>
      <c r="B868" s="172"/>
      <c r="C868" s="172"/>
      <c r="D868" s="172"/>
      <c r="E868" s="172"/>
      <c r="F868" s="172"/>
      <c r="G868" s="367"/>
      <c r="H868" s="172"/>
      <c r="I868" s="367"/>
      <c r="J868" s="172"/>
    </row>
    <row r="869">
      <c r="A869" s="172"/>
      <c r="B869" s="172"/>
      <c r="C869" s="172"/>
      <c r="D869" s="172"/>
      <c r="E869" s="172"/>
      <c r="F869" s="172"/>
      <c r="G869" s="367"/>
      <c r="H869" s="172"/>
      <c r="I869" s="367"/>
      <c r="J869" s="172"/>
    </row>
    <row r="870">
      <c r="A870" s="172"/>
      <c r="B870" s="172"/>
      <c r="C870" s="172"/>
      <c r="D870" s="172"/>
      <c r="E870" s="172"/>
      <c r="F870" s="172"/>
      <c r="G870" s="367"/>
      <c r="H870" s="172"/>
      <c r="I870" s="367"/>
      <c r="J870" s="172"/>
    </row>
    <row r="871">
      <c r="A871" s="172"/>
      <c r="B871" s="172"/>
      <c r="C871" s="172"/>
      <c r="D871" s="172"/>
      <c r="E871" s="172"/>
      <c r="F871" s="172"/>
      <c r="G871" s="367"/>
      <c r="H871" s="172"/>
      <c r="I871" s="367"/>
      <c r="J871" s="172"/>
    </row>
    <row r="872">
      <c r="A872" s="172"/>
      <c r="B872" s="172"/>
      <c r="C872" s="172"/>
      <c r="D872" s="172"/>
      <c r="E872" s="172"/>
      <c r="F872" s="172"/>
      <c r="G872" s="367"/>
      <c r="H872" s="172"/>
      <c r="I872" s="367"/>
      <c r="J872" s="172"/>
    </row>
    <row r="873">
      <c r="A873" s="172"/>
      <c r="B873" s="172"/>
      <c r="C873" s="172"/>
      <c r="D873" s="172"/>
      <c r="E873" s="172"/>
      <c r="F873" s="172"/>
      <c r="G873" s="367"/>
      <c r="H873" s="172"/>
      <c r="I873" s="367"/>
      <c r="J873" s="172"/>
    </row>
    <row r="874">
      <c r="A874" s="172"/>
      <c r="B874" s="172"/>
      <c r="C874" s="172"/>
      <c r="D874" s="172"/>
      <c r="E874" s="172"/>
      <c r="F874" s="172"/>
      <c r="G874" s="367"/>
      <c r="H874" s="172"/>
      <c r="I874" s="367"/>
      <c r="J874" s="172"/>
    </row>
    <row r="875">
      <c r="A875" s="172"/>
      <c r="B875" s="172"/>
      <c r="C875" s="172"/>
      <c r="D875" s="172"/>
      <c r="E875" s="172"/>
      <c r="F875" s="172"/>
      <c r="G875" s="367"/>
      <c r="H875" s="172"/>
      <c r="I875" s="367"/>
      <c r="J875" s="172"/>
    </row>
    <row r="876">
      <c r="A876" s="172"/>
      <c r="B876" s="172"/>
      <c r="C876" s="172"/>
      <c r="D876" s="172"/>
      <c r="E876" s="172"/>
      <c r="F876" s="172"/>
      <c r="G876" s="367"/>
      <c r="H876" s="172"/>
      <c r="I876" s="367"/>
      <c r="J876" s="172"/>
    </row>
    <row r="877">
      <c r="A877" s="172"/>
      <c r="B877" s="172"/>
      <c r="C877" s="172"/>
      <c r="D877" s="172"/>
      <c r="E877" s="172"/>
      <c r="F877" s="172"/>
      <c r="G877" s="367"/>
      <c r="H877" s="172"/>
      <c r="I877" s="367"/>
      <c r="J877" s="172"/>
    </row>
    <row r="878">
      <c r="A878" s="172"/>
      <c r="B878" s="172"/>
      <c r="C878" s="172"/>
      <c r="D878" s="172"/>
      <c r="E878" s="172"/>
      <c r="F878" s="172"/>
      <c r="G878" s="367"/>
      <c r="H878" s="172"/>
      <c r="I878" s="367"/>
      <c r="J878" s="172"/>
    </row>
    <row r="879">
      <c r="A879" s="172"/>
      <c r="B879" s="172"/>
      <c r="C879" s="172"/>
      <c r="D879" s="172"/>
      <c r="E879" s="172"/>
      <c r="F879" s="172"/>
      <c r="G879" s="367"/>
      <c r="H879" s="172"/>
      <c r="I879" s="367"/>
      <c r="J879" s="172"/>
    </row>
    <row r="880">
      <c r="A880" s="172"/>
      <c r="B880" s="172"/>
      <c r="C880" s="172"/>
      <c r="D880" s="172"/>
      <c r="E880" s="172"/>
      <c r="F880" s="172"/>
      <c r="G880" s="367"/>
      <c r="H880" s="172"/>
      <c r="I880" s="367"/>
      <c r="J880" s="172"/>
    </row>
    <row r="881">
      <c r="A881" s="172"/>
      <c r="B881" s="172"/>
      <c r="C881" s="172"/>
      <c r="D881" s="172"/>
      <c r="E881" s="172"/>
      <c r="F881" s="172"/>
      <c r="G881" s="367"/>
      <c r="H881" s="172"/>
      <c r="I881" s="367"/>
      <c r="J881" s="172"/>
    </row>
    <row r="882">
      <c r="A882" s="172"/>
      <c r="B882" s="172"/>
      <c r="C882" s="172"/>
      <c r="D882" s="172"/>
      <c r="E882" s="172"/>
      <c r="F882" s="172"/>
      <c r="G882" s="367"/>
      <c r="H882" s="172"/>
      <c r="I882" s="367"/>
      <c r="J882" s="172"/>
    </row>
    <row r="883">
      <c r="A883" s="172"/>
      <c r="B883" s="172"/>
      <c r="C883" s="172"/>
      <c r="D883" s="172"/>
      <c r="E883" s="172"/>
      <c r="F883" s="172"/>
      <c r="G883" s="367"/>
      <c r="H883" s="172"/>
      <c r="I883" s="367"/>
      <c r="J883" s="172"/>
    </row>
    <row r="884">
      <c r="A884" s="172"/>
      <c r="B884" s="172"/>
      <c r="C884" s="172"/>
      <c r="D884" s="172"/>
      <c r="E884" s="172"/>
      <c r="F884" s="172"/>
      <c r="G884" s="367"/>
      <c r="H884" s="172"/>
      <c r="I884" s="367"/>
      <c r="J884" s="172"/>
    </row>
    <row r="885">
      <c r="A885" s="172"/>
      <c r="B885" s="172"/>
      <c r="C885" s="172"/>
      <c r="D885" s="172"/>
      <c r="E885" s="172"/>
      <c r="F885" s="172"/>
      <c r="G885" s="367"/>
      <c r="H885" s="172"/>
      <c r="I885" s="367"/>
      <c r="J885" s="172"/>
    </row>
    <row r="886">
      <c r="A886" s="172"/>
      <c r="B886" s="172"/>
      <c r="C886" s="172"/>
      <c r="D886" s="172"/>
      <c r="E886" s="172"/>
      <c r="F886" s="172"/>
      <c r="G886" s="367"/>
      <c r="H886" s="172"/>
      <c r="I886" s="367"/>
      <c r="J886" s="172"/>
    </row>
    <row r="887">
      <c r="A887" s="172"/>
      <c r="B887" s="172"/>
      <c r="C887" s="172"/>
      <c r="D887" s="172"/>
      <c r="E887" s="172"/>
      <c r="F887" s="172"/>
      <c r="G887" s="367"/>
      <c r="H887" s="172"/>
      <c r="I887" s="367"/>
      <c r="J887" s="172"/>
    </row>
    <row r="888">
      <c r="A888" s="172"/>
      <c r="B888" s="172"/>
      <c r="C888" s="172"/>
      <c r="D888" s="172"/>
      <c r="E888" s="172"/>
      <c r="F888" s="172"/>
      <c r="G888" s="367"/>
      <c r="H888" s="172"/>
      <c r="I888" s="367"/>
      <c r="J888" s="172"/>
    </row>
    <row r="889">
      <c r="A889" s="172"/>
      <c r="B889" s="172"/>
      <c r="C889" s="172"/>
      <c r="D889" s="172"/>
      <c r="E889" s="172"/>
      <c r="F889" s="172"/>
      <c r="G889" s="367"/>
      <c r="H889" s="172"/>
      <c r="I889" s="367"/>
      <c r="J889" s="172"/>
    </row>
    <row r="890">
      <c r="A890" s="172"/>
      <c r="B890" s="172"/>
      <c r="C890" s="172"/>
      <c r="D890" s="172"/>
      <c r="E890" s="172"/>
      <c r="F890" s="172"/>
      <c r="G890" s="367"/>
      <c r="H890" s="172"/>
      <c r="I890" s="367"/>
      <c r="J890" s="172"/>
    </row>
    <row r="891">
      <c r="A891" s="172"/>
      <c r="B891" s="172"/>
      <c r="C891" s="172"/>
      <c r="D891" s="172"/>
      <c r="E891" s="172"/>
      <c r="F891" s="172"/>
      <c r="G891" s="367"/>
      <c r="H891" s="172"/>
      <c r="I891" s="367"/>
      <c r="J891" s="172"/>
    </row>
    <row r="892">
      <c r="A892" s="172"/>
      <c r="B892" s="172"/>
      <c r="C892" s="172"/>
      <c r="D892" s="172"/>
      <c r="E892" s="172"/>
      <c r="F892" s="172"/>
      <c r="G892" s="367"/>
      <c r="H892" s="172"/>
      <c r="I892" s="367"/>
      <c r="J892" s="172"/>
    </row>
    <row r="893">
      <c r="A893" s="172"/>
      <c r="B893" s="172"/>
      <c r="C893" s="172"/>
      <c r="D893" s="172"/>
      <c r="E893" s="172"/>
      <c r="F893" s="172"/>
      <c r="G893" s="367"/>
      <c r="H893" s="172"/>
      <c r="I893" s="367"/>
      <c r="J893" s="172"/>
    </row>
    <row r="894">
      <c r="A894" s="172"/>
      <c r="B894" s="172"/>
      <c r="C894" s="172"/>
      <c r="D894" s="172"/>
      <c r="E894" s="172"/>
      <c r="F894" s="172"/>
      <c r="G894" s="367"/>
      <c r="H894" s="172"/>
      <c r="I894" s="367"/>
      <c r="J894" s="172"/>
    </row>
    <row r="895">
      <c r="A895" s="172"/>
      <c r="B895" s="172"/>
      <c r="C895" s="172"/>
      <c r="D895" s="172"/>
      <c r="E895" s="172"/>
      <c r="F895" s="172"/>
      <c r="G895" s="367"/>
      <c r="H895" s="172"/>
      <c r="I895" s="367"/>
      <c r="J895" s="172"/>
    </row>
    <row r="896">
      <c r="A896" s="172"/>
      <c r="B896" s="172"/>
      <c r="C896" s="172"/>
      <c r="D896" s="172"/>
      <c r="E896" s="172"/>
      <c r="F896" s="172"/>
      <c r="G896" s="367"/>
      <c r="H896" s="172"/>
      <c r="I896" s="367"/>
      <c r="J896" s="172"/>
    </row>
    <row r="897">
      <c r="A897" s="172"/>
      <c r="B897" s="172"/>
      <c r="C897" s="172"/>
      <c r="D897" s="172"/>
      <c r="E897" s="172"/>
      <c r="F897" s="172"/>
      <c r="G897" s="367"/>
      <c r="H897" s="172"/>
      <c r="I897" s="367"/>
      <c r="J897" s="172"/>
    </row>
    <row r="898">
      <c r="A898" s="172"/>
      <c r="B898" s="172"/>
      <c r="C898" s="172"/>
      <c r="D898" s="172"/>
      <c r="E898" s="172"/>
      <c r="F898" s="172"/>
      <c r="G898" s="367"/>
      <c r="H898" s="172"/>
      <c r="I898" s="367"/>
      <c r="J898" s="172"/>
    </row>
    <row r="899">
      <c r="A899" s="172"/>
      <c r="B899" s="172"/>
      <c r="C899" s="172"/>
      <c r="D899" s="172"/>
      <c r="E899" s="172"/>
      <c r="F899" s="172"/>
      <c r="G899" s="367"/>
      <c r="H899" s="172"/>
      <c r="I899" s="367"/>
      <c r="J899" s="172"/>
    </row>
    <row r="900">
      <c r="A900" s="172"/>
      <c r="B900" s="172"/>
      <c r="C900" s="172"/>
      <c r="D900" s="172"/>
      <c r="E900" s="172"/>
      <c r="F900" s="172"/>
      <c r="G900" s="367"/>
      <c r="H900" s="172"/>
      <c r="I900" s="367"/>
      <c r="J900" s="172"/>
    </row>
    <row r="901">
      <c r="A901" s="172"/>
      <c r="B901" s="172"/>
      <c r="C901" s="172"/>
      <c r="D901" s="172"/>
      <c r="E901" s="172"/>
      <c r="F901" s="172"/>
      <c r="G901" s="367"/>
      <c r="H901" s="172"/>
      <c r="I901" s="367"/>
      <c r="J901" s="172"/>
    </row>
    <row r="902">
      <c r="A902" s="172"/>
      <c r="B902" s="172"/>
      <c r="C902" s="172"/>
      <c r="D902" s="172"/>
      <c r="E902" s="172"/>
      <c r="F902" s="172"/>
      <c r="G902" s="367"/>
      <c r="H902" s="172"/>
      <c r="I902" s="367"/>
      <c r="J902" s="172"/>
    </row>
    <row r="903">
      <c r="A903" s="172"/>
      <c r="B903" s="172"/>
      <c r="C903" s="172"/>
      <c r="D903" s="172"/>
      <c r="E903" s="172"/>
      <c r="F903" s="172"/>
      <c r="G903" s="367"/>
      <c r="H903" s="172"/>
      <c r="I903" s="367"/>
      <c r="J903" s="172"/>
    </row>
    <row r="904">
      <c r="A904" s="172"/>
      <c r="B904" s="172"/>
      <c r="C904" s="172"/>
      <c r="D904" s="172"/>
      <c r="E904" s="172"/>
      <c r="F904" s="172"/>
      <c r="G904" s="367"/>
      <c r="H904" s="172"/>
      <c r="I904" s="367"/>
      <c r="J904" s="172"/>
    </row>
    <row r="905">
      <c r="A905" s="172"/>
      <c r="B905" s="172"/>
      <c r="C905" s="172"/>
      <c r="D905" s="172"/>
      <c r="E905" s="172"/>
      <c r="F905" s="172"/>
      <c r="G905" s="367"/>
      <c r="H905" s="172"/>
      <c r="I905" s="367"/>
      <c r="J905" s="172"/>
    </row>
    <row r="906">
      <c r="A906" s="172"/>
      <c r="B906" s="172"/>
      <c r="C906" s="172"/>
      <c r="D906" s="172"/>
      <c r="E906" s="172"/>
      <c r="F906" s="172"/>
      <c r="G906" s="367"/>
      <c r="H906" s="172"/>
      <c r="I906" s="367"/>
      <c r="J906" s="172"/>
    </row>
    <row r="907">
      <c r="A907" s="172"/>
      <c r="B907" s="172"/>
      <c r="C907" s="172"/>
      <c r="D907" s="172"/>
      <c r="E907" s="172"/>
      <c r="F907" s="172"/>
      <c r="G907" s="367"/>
      <c r="H907" s="172"/>
      <c r="I907" s="367"/>
      <c r="J907" s="172"/>
    </row>
    <row r="908">
      <c r="A908" s="172"/>
      <c r="B908" s="172"/>
      <c r="C908" s="172"/>
      <c r="D908" s="172"/>
      <c r="E908" s="172"/>
      <c r="F908" s="172"/>
      <c r="G908" s="367"/>
      <c r="H908" s="172"/>
      <c r="I908" s="367"/>
      <c r="J908" s="172"/>
    </row>
    <row r="909">
      <c r="A909" s="172"/>
      <c r="B909" s="172"/>
      <c r="C909" s="172"/>
      <c r="D909" s="172"/>
      <c r="E909" s="172"/>
      <c r="F909" s="172"/>
      <c r="G909" s="367"/>
      <c r="H909" s="172"/>
      <c r="I909" s="367"/>
      <c r="J909" s="172"/>
    </row>
    <row r="910">
      <c r="A910" s="172"/>
      <c r="B910" s="172"/>
      <c r="C910" s="172"/>
      <c r="D910" s="172"/>
      <c r="E910" s="172"/>
      <c r="F910" s="172"/>
      <c r="G910" s="367"/>
      <c r="H910" s="172"/>
      <c r="I910" s="367"/>
      <c r="J910" s="172"/>
    </row>
    <row r="911">
      <c r="A911" s="172"/>
      <c r="B911" s="172"/>
      <c r="C911" s="172"/>
      <c r="D911" s="172"/>
      <c r="E911" s="172"/>
      <c r="F911" s="172"/>
      <c r="G911" s="367"/>
      <c r="H911" s="172"/>
      <c r="I911" s="367"/>
      <c r="J911" s="172"/>
    </row>
    <row r="912">
      <c r="A912" s="172"/>
      <c r="B912" s="172"/>
      <c r="C912" s="172"/>
      <c r="D912" s="172"/>
      <c r="E912" s="172"/>
      <c r="F912" s="172"/>
      <c r="G912" s="367"/>
      <c r="H912" s="172"/>
      <c r="I912" s="367"/>
      <c r="J912" s="172"/>
    </row>
    <row r="913">
      <c r="A913" s="172"/>
      <c r="B913" s="172"/>
      <c r="C913" s="172"/>
      <c r="D913" s="172"/>
      <c r="E913" s="172"/>
      <c r="F913" s="172"/>
      <c r="G913" s="367"/>
      <c r="H913" s="172"/>
      <c r="I913" s="367"/>
      <c r="J913" s="172"/>
    </row>
    <row r="914">
      <c r="A914" s="172"/>
      <c r="B914" s="172"/>
      <c r="C914" s="172"/>
      <c r="D914" s="172"/>
      <c r="E914" s="172"/>
      <c r="F914" s="172"/>
      <c r="G914" s="367"/>
      <c r="H914" s="172"/>
      <c r="I914" s="367"/>
      <c r="J914" s="172"/>
    </row>
    <row r="915">
      <c r="A915" s="172"/>
      <c r="B915" s="172"/>
      <c r="C915" s="172"/>
      <c r="D915" s="172"/>
      <c r="E915" s="172"/>
      <c r="F915" s="172"/>
      <c r="G915" s="367"/>
      <c r="H915" s="172"/>
      <c r="I915" s="367"/>
      <c r="J915" s="172"/>
    </row>
    <row r="916">
      <c r="A916" s="172"/>
      <c r="B916" s="172"/>
      <c r="C916" s="172"/>
      <c r="D916" s="172"/>
      <c r="E916" s="172"/>
      <c r="F916" s="172"/>
      <c r="G916" s="367"/>
      <c r="H916" s="172"/>
      <c r="I916" s="367"/>
      <c r="J916" s="172"/>
    </row>
    <row r="917">
      <c r="A917" s="172"/>
      <c r="B917" s="172"/>
      <c r="C917" s="172"/>
      <c r="D917" s="172"/>
      <c r="E917" s="172"/>
      <c r="F917" s="172"/>
      <c r="G917" s="367"/>
      <c r="H917" s="172"/>
      <c r="I917" s="367"/>
      <c r="J917" s="172"/>
    </row>
    <row r="918">
      <c r="A918" s="172"/>
      <c r="B918" s="172"/>
      <c r="C918" s="172"/>
      <c r="D918" s="172"/>
      <c r="E918" s="172"/>
      <c r="F918" s="172"/>
      <c r="G918" s="367"/>
      <c r="H918" s="172"/>
      <c r="I918" s="367"/>
      <c r="J918" s="172"/>
    </row>
    <row r="919">
      <c r="A919" s="172"/>
      <c r="B919" s="172"/>
      <c r="C919" s="172"/>
      <c r="D919" s="172"/>
      <c r="E919" s="172"/>
      <c r="F919" s="172"/>
      <c r="G919" s="367"/>
      <c r="H919" s="172"/>
      <c r="I919" s="367"/>
      <c r="J919" s="172"/>
    </row>
    <row r="920">
      <c r="A920" s="172"/>
      <c r="B920" s="172"/>
      <c r="C920" s="172"/>
      <c r="D920" s="172"/>
      <c r="E920" s="172"/>
      <c r="F920" s="172"/>
      <c r="G920" s="367"/>
      <c r="H920" s="172"/>
      <c r="I920" s="367"/>
      <c r="J920" s="172"/>
    </row>
    <row r="921">
      <c r="A921" s="172"/>
      <c r="B921" s="172"/>
      <c r="C921" s="172"/>
      <c r="D921" s="172"/>
      <c r="E921" s="172"/>
      <c r="F921" s="172"/>
      <c r="G921" s="367"/>
      <c r="H921" s="172"/>
      <c r="I921" s="367"/>
      <c r="J921" s="172"/>
    </row>
    <row r="922">
      <c r="A922" s="172"/>
      <c r="B922" s="172"/>
      <c r="C922" s="172"/>
      <c r="D922" s="172"/>
      <c r="E922" s="172"/>
      <c r="F922" s="172"/>
      <c r="G922" s="367"/>
      <c r="H922" s="172"/>
      <c r="I922" s="367"/>
      <c r="J922" s="172"/>
    </row>
    <row r="923">
      <c r="A923" s="172"/>
      <c r="B923" s="172"/>
      <c r="C923" s="172"/>
      <c r="D923" s="172"/>
      <c r="E923" s="172"/>
      <c r="F923" s="172"/>
      <c r="G923" s="367"/>
      <c r="H923" s="172"/>
      <c r="I923" s="367"/>
      <c r="J923" s="172"/>
    </row>
    <row r="924">
      <c r="A924" s="172"/>
      <c r="B924" s="172"/>
      <c r="C924" s="172"/>
      <c r="D924" s="172"/>
      <c r="E924" s="172"/>
      <c r="F924" s="172"/>
      <c r="G924" s="367"/>
      <c r="H924" s="172"/>
      <c r="I924" s="367"/>
      <c r="J924" s="172"/>
    </row>
    <row r="925">
      <c r="A925" s="172"/>
      <c r="B925" s="172"/>
      <c r="C925" s="172"/>
      <c r="D925" s="172"/>
      <c r="E925" s="172"/>
      <c r="F925" s="172"/>
      <c r="G925" s="367"/>
      <c r="H925" s="172"/>
      <c r="I925" s="367"/>
      <c r="J925" s="172"/>
    </row>
    <row r="926">
      <c r="A926" s="172"/>
      <c r="B926" s="172"/>
      <c r="C926" s="172"/>
      <c r="D926" s="172"/>
      <c r="E926" s="172"/>
      <c r="F926" s="172"/>
      <c r="G926" s="367"/>
      <c r="H926" s="172"/>
      <c r="I926" s="367"/>
      <c r="J926" s="172"/>
    </row>
    <row r="927">
      <c r="A927" s="172"/>
      <c r="B927" s="172"/>
      <c r="C927" s="172"/>
      <c r="D927" s="172"/>
      <c r="E927" s="172"/>
      <c r="F927" s="172"/>
      <c r="G927" s="367"/>
      <c r="H927" s="172"/>
      <c r="I927" s="367"/>
      <c r="J927" s="172"/>
    </row>
    <row r="928">
      <c r="A928" s="172"/>
      <c r="B928" s="172"/>
      <c r="C928" s="172"/>
      <c r="D928" s="172"/>
      <c r="E928" s="172"/>
      <c r="F928" s="172"/>
      <c r="G928" s="367"/>
      <c r="H928" s="172"/>
      <c r="I928" s="367"/>
      <c r="J928" s="172"/>
    </row>
    <row r="929">
      <c r="A929" s="172"/>
      <c r="B929" s="172"/>
      <c r="C929" s="172"/>
      <c r="D929" s="172"/>
      <c r="E929" s="172"/>
      <c r="F929" s="172"/>
      <c r="G929" s="367"/>
      <c r="H929" s="172"/>
      <c r="I929" s="367"/>
      <c r="J929" s="172"/>
    </row>
    <row r="930">
      <c r="A930" s="172"/>
      <c r="B930" s="172"/>
      <c r="C930" s="172"/>
      <c r="D930" s="172"/>
      <c r="E930" s="172"/>
      <c r="F930" s="172"/>
      <c r="G930" s="367"/>
      <c r="H930" s="172"/>
      <c r="I930" s="367"/>
      <c r="J930" s="172"/>
    </row>
    <row r="931">
      <c r="A931" s="172"/>
      <c r="B931" s="172"/>
      <c r="C931" s="172"/>
      <c r="D931" s="172"/>
      <c r="E931" s="172"/>
      <c r="F931" s="172"/>
      <c r="G931" s="367"/>
      <c r="H931" s="172"/>
      <c r="I931" s="367"/>
      <c r="J931" s="172"/>
    </row>
    <row r="932">
      <c r="A932" s="172"/>
      <c r="B932" s="172"/>
      <c r="C932" s="172"/>
      <c r="D932" s="172"/>
      <c r="E932" s="172"/>
      <c r="F932" s="172"/>
      <c r="G932" s="367"/>
      <c r="H932" s="172"/>
      <c r="I932" s="367"/>
      <c r="J932" s="172"/>
    </row>
    <row r="933">
      <c r="A933" s="172"/>
      <c r="B933" s="172"/>
      <c r="C933" s="172"/>
      <c r="D933" s="172"/>
      <c r="E933" s="172"/>
      <c r="F933" s="172"/>
      <c r="G933" s="367"/>
      <c r="H933" s="172"/>
      <c r="I933" s="367"/>
      <c r="J933" s="172"/>
    </row>
    <row r="934">
      <c r="A934" s="172"/>
      <c r="B934" s="172"/>
      <c r="C934" s="172"/>
      <c r="D934" s="172"/>
      <c r="E934" s="172"/>
      <c r="F934" s="172"/>
      <c r="G934" s="367"/>
      <c r="H934" s="172"/>
      <c r="I934" s="367"/>
      <c r="J934" s="172"/>
    </row>
    <row r="935">
      <c r="A935" s="172"/>
      <c r="B935" s="172"/>
      <c r="C935" s="172"/>
      <c r="D935" s="172"/>
      <c r="E935" s="172"/>
      <c r="F935" s="172"/>
      <c r="G935" s="367"/>
      <c r="H935" s="172"/>
      <c r="I935" s="367"/>
      <c r="J935" s="172"/>
    </row>
    <row r="936">
      <c r="A936" s="172"/>
      <c r="B936" s="172"/>
      <c r="C936" s="172"/>
      <c r="D936" s="172"/>
      <c r="E936" s="172"/>
      <c r="F936" s="172"/>
      <c r="G936" s="367"/>
      <c r="H936" s="172"/>
      <c r="I936" s="367"/>
      <c r="J936" s="172"/>
    </row>
    <row r="937">
      <c r="A937" s="172"/>
      <c r="B937" s="172"/>
      <c r="C937" s="172"/>
      <c r="D937" s="172"/>
      <c r="E937" s="172"/>
      <c r="F937" s="172"/>
      <c r="G937" s="367"/>
      <c r="H937" s="172"/>
      <c r="I937" s="367"/>
      <c r="J937" s="172"/>
    </row>
    <row r="938">
      <c r="A938" s="172"/>
      <c r="B938" s="172"/>
      <c r="C938" s="172"/>
      <c r="D938" s="172"/>
      <c r="E938" s="172"/>
      <c r="F938" s="172"/>
      <c r="G938" s="367"/>
      <c r="H938" s="172"/>
      <c r="I938" s="367"/>
      <c r="J938" s="172"/>
    </row>
    <row r="939">
      <c r="A939" s="172"/>
      <c r="B939" s="172"/>
      <c r="C939" s="172"/>
      <c r="D939" s="172"/>
      <c r="E939" s="172"/>
      <c r="F939" s="172"/>
      <c r="G939" s="367"/>
      <c r="H939" s="172"/>
      <c r="I939" s="367"/>
      <c r="J939" s="172"/>
    </row>
    <row r="940">
      <c r="A940" s="172"/>
      <c r="B940" s="172"/>
      <c r="C940" s="172"/>
      <c r="D940" s="172"/>
      <c r="E940" s="172"/>
      <c r="F940" s="172"/>
      <c r="G940" s="367"/>
      <c r="H940" s="172"/>
      <c r="I940" s="367"/>
      <c r="J940" s="172"/>
    </row>
    <row r="941">
      <c r="A941" s="172"/>
      <c r="B941" s="172"/>
      <c r="C941" s="172"/>
      <c r="D941" s="172"/>
      <c r="E941" s="172"/>
      <c r="F941" s="172"/>
      <c r="G941" s="367"/>
      <c r="H941" s="172"/>
      <c r="I941" s="367"/>
      <c r="J941" s="172"/>
    </row>
    <row r="942">
      <c r="A942" s="172"/>
      <c r="B942" s="172"/>
      <c r="C942" s="172"/>
      <c r="D942" s="172"/>
      <c r="E942" s="172"/>
      <c r="F942" s="172"/>
      <c r="G942" s="367"/>
      <c r="H942" s="172"/>
      <c r="I942" s="367"/>
      <c r="J942" s="172"/>
    </row>
    <row r="943">
      <c r="A943" s="172"/>
      <c r="B943" s="172"/>
      <c r="C943" s="172"/>
      <c r="D943" s="172"/>
      <c r="E943" s="172"/>
      <c r="F943" s="172"/>
      <c r="G943" s="367"/>
      <c r="H943" s="172"/>
      <c r="I943" s="367"/>
      <c r="J943" s="172"/>
    </row>
    <row r="944">
      <c r="A944" s="172"/>
      <c r="B944" s="172"/>
      <c r="C944" s="172"/>
      <c r="D944" s="172"/>
      <c r="E944" s="172"/>
      <c r="F944" s="172"/>
      <c r="G944" s="367"/>
      <c r="H944" s="172"/>
      <c r="I944" s="367"/>
      <c r="J944" s="172"/>
    </row>
    <row r="945">
      <c r="A945" s="172"/>
      <c r="B945" s="172"/>
      <c r="C945" s="172"/>
      <c r="D945" s="172"/>
      <c r="E945" s="172"/>
      <c r="F945" s="172"/>
      <c r="G945" s="367"/>
      <c r="H945" s="172"/>
      <c r="I945" s="367"/>
      <c r="J945" s="172"/>
    </row>
    <row r="946">
      <c r="A946" s="172"/>
      <c r="B946" s="172"/>
      <c r="C946" s="172"/>
      <c r="D946" s="172"/>
      <c r="E946" s="172"/>
      <c r="F946" s="172"/>
      <c r="G946" s="367"/>
      <c r="H946" s="172"/>
      <c r="I946" s="367"/>
      <c r="J946" s="172"/>
    </row>
    <row r="947">
      <c r="A947" s="172"/>
      <c r="B947" s="172"/>
      <c r="C947" s="172"/>
      <c r="D947" s="172"/>
      <c r="E947" s="172"/>
      <c r="F947" s="172"/>
      <c r="G947" s="367"/>
      <c r="H947" s="172"/>
      <c r="I947" s="367"/>
      <c r="J947" s="172"/>
    </row>
    <row r="948">
      <c r="A948" s="172"/>
      <c r="B948" s="172"/>
      <c r="C948" s="172"/>
      <c r="D948" s="172"/>
      <c r="E948" s="172"/>
      <c r="F948" s="172"/>
      <c r="G948" s="367"/>
      <c r="H948" s="172"/>
      <c r="I948" s="367"/>
      <c r="J948" s="172"/>
    </row>
    <row r="949">
      <c r="A949" s="172"/>
      <c r="B949" s="172"/>
      <c r="C949" s="172"/>
      <c r="D949" s="172"/>
      <c r="E949" s="172"/>
      <c r="F949" s="172"/>
      <c r="G949" s="367"/>
      <c r="H949" s="172"/>
      <c r="I949" s="367"/>
      <c r="J949" s="172"/>
    </row>
    <row r="950">
      <c r="A950" s="172"/>
      <c r="B950" s="172"/>
      <c r="C950" s="172"/>
      <c r="D950" s="172"/>
      <c r="E950" s="172"/>
      <c r="F950" s="172"/>
      <c r="G950" s="367"/>
      <c r="H950" s="172"/>
      <c r="I950" s="367"/>
      <c r="J950" s="172"/>
    </row>
    <row r="951">
      <c r="A951" s="172"/>
      <c r="B951" s="172"/>
      <c r="C951" s="172"/>
      <c r="D951" s="172"/>
      <c r="E951" s="172"/>
      <c r="F951" s="172"/>
      <c r="G951" s="367"/>
      <c r="H951" s="172"/>
      <c r="I951" s="367"/>
      <c r="J951" s="172"/>
    </row>
    <row r="952">
      <c r="A952" s="172"/>
      <c r="B952" s="172"/>
      <c r="C952" s="172"/>
      <c r="D952" s="172"/>
      <c r="E952" s="172"/>
      <c r="F952" s="172"/>
      <c r="G952" s="367"/>
      <c r="H952" s="172"/>
      <c r="I952" s="367"/>
      <c r="J952" s="172"/>
    </row>
    <row r="953">
      <c r="A953" s="172"/>
      <c r="B953" s="172"/>
      <c r="C953" s="172"/>
      <c r="D953" s="172"/>
      <c r="E953" s="172"/>
      <c r="F953" s="172"/>
      <c r="G953" s="367"/>
      <c r="H953" s="172"/>
      <c r="I953" s="367"/>
      <c r="J953" s="172"/>
    </row>
    <row r="954">
      <c r="A954" s="172"/>
      <c r="B954" s="172"/>
      <c r="C954" s="172"/>
      <c r="D954" s="172"/>
      <c r="E954" s="172"/>
      <c r="F954" s="172"/>
      <c r="G954" s="367"/>
      <c r="H954" s="172"/>
      <c r="I954" s="367"/>
      <c r="J954" s="172"/>
    </row>
    <row r="955">
      <c r="A955" s="172"/>
      <c r="B955" s="172"/>
      <c r="C955" s="172"/>
      <c r="D955" s="172"/>
      <c r="E955" s="172"/>
      <c r="F955" s="172"/>
      <c r="G955" s="367"/>
      <c r="H955" s="172"/>
      <c r="I955" s="367"/>
      <c r="J955" s="172"/>
    </row>
    <row r="956">
      <c r="A956" s="172"/>
      <c r="B956" s="172"/>
      <c r="C956" s="172"/>
      <c r="D956" s="172"/>
      <c r="E956" s="172"/>
      <c r="F956" s="172"/>
      <c r="G956" s="367"/>
      <c r="H956" s="172"/>
      <c r="I956" s="367"/>
      <c r="J956" s="172"/>
    </row>
    <row r="957">
      <c r="A957" s="172"/>
      <c r="B957" s="172"/>
      <c r="C957" s="172"/>
      <c r="D957" s="172"/>
      <c r="E957" s="172"/>
      <c r="F957" s="172"/>
      <c r="G957" s="367"/>
      <c r="H957" s="172"/>
      <c r="I957" s="367"/>
      <c r="J957" s="172"/>
    </row>
    <row r="958">
      <c r="A958" s="172"/>
      <c r="B958" s="172"/>
      <c r="C958" s="172"/>
      <c r="D958" s="172"/>
      <c r="E958" s="172"/>
      <c r="F958" s="172"/>
      <c r="G958" s="367"/>
      <c r="H958" s="172"/>
      <c r="I958" s="367"/>
      <c r="J958" s="172"/>
    </row>
    <row r="959">
      <c r="A959" s="172"/>
      <c r="B959" s="172"/>
      <c r="C959" s="172"/>
      <c r="D959" s="172"/>
      <c r="E959" s="172"/>
      <c r="F959" s="172"/>
      <c r="G959" s="367"/>
      <c r="H959" s="172"/>
      <c r="I959" s="367"/>
      <c r="J959" s="172"/>
    </row>
    <row r="960">
      <c r="A960" s="172"/>
      <c r="B960" s="172"/>
      <c r="C960" s="172"/>
      <c r="D960" s="172"/>
      <c r="E960" s="172"/>
      <c r="F960" s="172"/>
      <c r="G960" s="367"/>
      <c r="H960" s="172"/>
      <c r="I960" s="367"/>
      <c r="J960" s="172"/>
    </row>
    <row r="961">
      <c r="A961" s="172"/>
      <c r="B961" s="172"/>
      <c r="C961" s="172"/>
      <c r="D961" s="172"/>
      <c r="E961" s="172"/>
      <c r="F961" s="172"/>
      <c r="G961" s="367"/>
      <c r="H961" s="172"/>
      <c r="I961" s="367"/>
      <c r="J961" s="172"/>
    </row>
    <row r="962">
      <c r="A962" s="172"/>
      <c r="B962" s="172"/>
      <c r="C962" s="172"/>
      <c r="D962" s="172"/>
      <c r="E962" s="172"/>
      <c r="F962" s="172"/>
      <c r="G962" s="367"/>
      <c r="H962" s="172"/>
      <c r="I962" s="367"/>
      <c r="J962" s="172"/>
    </row>
    <row r="963">
      <c r="A963" s="172"/>
      <c r="B963" s="172"/>
      <c r="C963" s="172"/>
      <c r="D963" s="172"/>
      <c r="E963" s="172"/>
      <c r="F963" s="172"/>
      <c r="G963" s="367"/>
      <c r="H963" s="172"/>
      <c r="I963" s="367"/>
      <c r="J963" s="172"/>
    </row>
    <row r="964">
      <c r="A964" s="172"/>
      <c r="B964" s="172"/>
      <c r="C964" s="172"/>
      <c r="D964" s="172"/>
      <c r="E964" s="172"/>
      <c r="F964" s="172"/>
      <c r="G964" s="367"/>
      <c r="H964" s="172"/>
      <c r="I964" s="367"/>
      <c r="J964" s="172"/>
    </row>
    <row r="965">
      <c r="A965" s="172"/>
      <c r="B965" s="172"/>
      <c r="C965" s="172"/>
      <c r="D965" s="172"/>
      <c r="E965" s="172"/>
      <c r="F965" s="172"/>
      <c r="G965" s="367"/>
      <c r="H965" s="172"/>
      <c r="I965" s="367"/>
      <c r="J965" s="172"/>
    </row>
    <row r="966">
      <c r="A966" s="172"/>
      <c r="B966" s="172"/>
      <c r="C966" s="172"/>
      <c r="D966" s="172"/>
      <c r="E966" s="172"/>
      <c r="F966" s="172"/>
      <c r="G966" s="367"/>
      <c r="H966" s="172"/>
      <c r="I966" s="367"/>
      <c r="J966" s="172"/>
    </row>
    <row r="967">
      <c r="A967" s="172"/>
      <c r="B967" s="172"/>
      <c r="C967" s="172"/>
      <c r="D967" s="172"/>
      <c r="E967" s="172"/>
      <c r="F967" s="172"/>
      <c r="G967" s="367"/>
      <c r="H967" s="172"/>
      <c r="I967" s="367"/>
      <c r="J967" s="172"/>
    </row>
    <row r="968">
      <c r="A968" s="172"/>
      <c r="B968" s="172"/>
      <c r="C968" s="172"/>
      <c r="D968" s="172"/>
      <c r="E968" s="172"/>
      <c r="F968" s="172"/>
      <c r="G968" s="367"/>
      <c r="H968" s="172"/>
      <c r="I968" s="367"/>
      <c r="J968" s="172"/>
    </row>
    <row r="969">
      <c r="A969" s="172"/>
      <c r="B969" s="172"/>
      <c r="C969" s="172"/>
      <c r="D969" s="172"/>
      <c r="E969" s="172"/>
      <c r="F969" s="172"/>
      <c r="G969" s="367"/>
      <c r="H969" s="172"/>
      <c r="I969" s="367"/>
      <c r="J969" s="172"/>
    </row>
    <row r="970">
      <c r="A970" s="172"/>
      <c r="B970" s="172"/>
      <c r="C970" s="172"/>
      <c r="D970" s="172"/>
      <c r="E970" s="172"/>
      <c r="F970" s="172"/>
      <c r="G970" s="367"/>
      <c r="H970" s="172"/>
      <c r="I970" s="367"/>
      <c r="J970" s="172"/>
    </row>
    <row r="971">
      <c r="A971" s="172"/>
      <c r="B971" s="172"/>
      <c r="C971" s="172"/>
      <c r="D971" s="172"/>
      <c r="E971" s="172"/>
      <c r="F971" s="172"/>
      <c r="G971" s="367"/>
      <c r="H971" s="172"/>
      <c r="I971" s="367"/>
      <c r="J971" s="172"/>
    </row>
    <row r="972">
      <c r="A972" s="172"/>
      <c r="B972" s="172"/>
      <c r="C972" s="172"/>
      <c r="D972" s="172"/>
      <c r="E972" s="172"/>
      <c r="F972" s="172"/>
      <c r="G972" s="367"/>
      <c r="H972" s="172"/>
      <c r="I972" s="367"/>
      <c r="J972" s="172"/>
    </row>
    <row r="973">
      <c r="A973" s="172"/>
      <c r="B973" s="172"/>
      <c r="C973" s="172"/>
      <c r="D973" s="172"/>
      <c r="E973" s="172"/>
      <c r="F973" s="172"/>
      <c r="G973" s="367"/>
      <c r="H973" s="172"/>
      <c r="I973" s="367"/>
      <c r="J973" s="172"/>
    </row>
    <row r="974">
      <c r="A974" s="172"/>
      <c r="B974" s="172"/>
      <c r="C974" s="172"/>
      <c r="D974" s="172"/>
      <c r="E974" s="172"/>
      <c r="F974" s="172"/>
      <c r="G974" s="367"/>
      <c r="H974" s="172"/>
      <c r="I974" s="367"/>
      <c r="J974" s="172"/>
    </row>
    <row r="975">
      <c r="A975" s="172"/>
      <c r="B975" s="172"/>
      <c r="C975" s="172"/>
      <c r="D975" s="172"/>
      <c r="E975" s="172"/>
      <c r="F975" s="172"/>
      <c r="G975" s="367"/>
      <c r="H975" s="172"/>
      <c r="I975" s="367"/>
      <c r="J975" s="172"/>
    </row>
    <row r="976">
      <c r="A976" s="172"/>
      <c r="B976" s="172"/>
      <c r="C976" s="172"/>
      <c r="D976" s="172"/>
      <c r="E976" s="172"/>
      <c r="F976" s="172"/>
      <c r="G976" s="367"/>
      <c r="H976" s="172"/>
      <c r="I976" s="367"/>
      <c r="J976" s="172"/>
    </row>
    <row r="977">
      <c r="A977" s="172"/>
      <c r="B977" s="172"/>
      <c r="C977" s="172"/>
      <c r="D977" s="172"/>
      <c r="E977" s="172"/>
      <c r="F977" s="172"/>
      <c r="G977" s="367"/>
      <c r="H977" s="172"/>
      <c r="I977" s="367"/>
      <c r="J977" s="172"/>
    </row>
    <row r="978">
      <c r="A978" s="172"/>
      <c r="B978" s="172"/>
      <c r="C978" s="172"/>
      <c r="D978" s="172"/>
      <c r="E978" s="172"/>
      <c r="F978" s="172"/>
      <c r="G978" s="367"/>
      <c r="H978" s="172"/>
      <c r="I978" s="367"/>
      <c r="J978" s="172"/>
    </row>
    <row r="979">
      <c r="A979" s="172"/>
      <c r="B979" s="172"/>
      <c r="C979" s="172"/>
      <c r="D979" s="172"/>
      <c r="E979" s="172"/>
      <c r="F979" s="172"/>
      <c r="G979" s="367"/>
      <c r="H979" s="172"/>
      <c r="I979" s="367"/>
      <c r="J979" s="172"/>
    </row>
    <row r="980">
      <c r="A980" s="172"/>
      <c r="B980" s="172"/>
      <c r="C980" s="172"/>
      <c r="D980" s="172"/>
      <c r="E980" s="172"/>
      <c r="F980" s="172"/>
      <c r="G980" s="367"/>
      <c r="H980" s="172"/>
      <c r="I980" s="367"/>
      <c r="J980" s="172"/>
    </row>
    <row r="981">
      <c r="A981" s="172"/>
      <c r="B981" s="172"/>
      <c r="C981" s="172"/>
      <c r="D981" s="172"/>
      <c r="E981" s="172"/>
      <c r="F981" s="172"/>
      <c r="G981" s="367"/>
      <c r="H981" s="172"/>
      <c r="I981" s="367"/>
      <c r="J981" s="172"/>
    </row>
    <row r="982">
      <c r="A982" s="172"/>
      <c r="B982" s="172"/>
      <c r="C982" s="172"/>
      <c r="D982" s="172"/>
      <c r="E982" s="172"/>
      <c r="F982" s="172"/>
      <c r="G982" s="367"/>
      <c r="H982" s="172"/>
      <c r="I982" s="367"/>
      <c r="J982" s="172"/>
    </row>
    <row r="983">
      <c r="A983" s="172"/>
      <c r="B983" s="172"/>
      <c r="C983" s="172"/>
      <c r="D983" s="172"/>
      <c r="E983" s="172"/>
      <c r="F983" s="172"/>
      <c r="G983" s="367"/>
      <c r="H983" s="172"/>
      <c r="I983" s="367"/>
      <c r="J983" s="172"/>
    </row>
    <row r="984">
      <c r="A984" s="172"/>
      <c r="B984" s="172"/>
      <c r="C984" s="172"/>
      <c r="D984" s="172"/>
      <c r="E984" s="172"/>
      <c r="F984" s="172"/>
      <c r="G984" s="367"/>
      <c r="H984" s="172"/>
      <c r="I984" s="367"/>
      <c r="J984" s="172"/>
    </row>
    <row r="985">
      <c r="A985" s="172"/>
      <c r="B985" s="172"/>
      <c r="C985" s="172"/>
      <c r="D985" s="172"/>
      <c r="E985" s="172"/>
      <c r="F985" s="172"/>
      <c r="G985" s="367"/>
      <c r="H985" s="172"/>
      <c r="I985" s="367"/>
      <c r="J985" s="172"/>
    </row>
    <row r="986">
      <c r="A986" s="172"/>
      <c r="B986" s="172"/>
      <c r="C986" s="172"/>
      <c r="D986" s="172"/>
      <c r="E986" s="172"/>
      <c r="F986" s="172"/>
      <c r="G986" s="367"/>
      <c r="H986" s="172"/>
      <c r="I986" s="367"/>
      <c r="J986" s="172"/>
    </row>
    <row r="987">
      <c r="A987" s="172"/>
      <c r="B987" s="172"/>
      <c r="C987" s="172"/>
      <c r="D987" s="172"/>
      <c r="E987" s="172"/>
      <c r="F987" s="172"/>
      <c r="G987" s="367"/>
      <c r="H987" s="172"/>
      <c r="I987" s="367"/>
      <c r="J987" s="172"/>
    </row>
    <row r="988">
      <c r="A988" s="172"/>
      <c r="B988" s="172"/>
      <c r="C988" s="172"/>
      <c r="D988" s="172"/>
      <c r="E988" s="172"/>
      <c r="F988" s="172"/>
      <c r="G988" s="367"/>
      <c r="H988" s="172"/>
      <c r="I988" s="367"/>
      <c r="J988" s="172"/>
    </row>
    <row r="989">
      <c r="A989" s="172"/>
      <c r="B989" s="172"/>
      <c r="C989" s="172"/>
      <c r="D989" s="172"/>
      <c r="E989" s="172"/>
      <c r="F989" s="172"/>
      <c r="G989" s="367"/>
      <c r="H989" s="172"/>
      <c r="I989" s="367"/>
      <c r="J989" s="172"/>
    </row>
    <row r="990">
      <c r="A990" s="172"/>
      <c r="B990" s="172"/>
      <c r="C990" s="172"/>
      <c r="D990" s="172"/>
      <c r="E990" s="172"/>
      <c r="F990" s="172"/>
      <c r="G990" s="367"/>
      <c r="H990" s="172"/>
      <c r="I990" s="367"/>
      <c r="J990" s="172"/>
    </row>
    <row r="991">
      <c r="A991" s="172"/>
      <c r="B991" s="172"/>
      <c r="C991" s="172"/>
      <c r="D991" s="172"/>
      <c r="E991" s="172"/>
      <c r="F991" s="172"/>
      <c r="G991" s="367"/>
      <c r="H991" s="172"/>
      <c r="I991" s="367"/>
      <c r="J991" s="172"/>
    </row>
    <row r="992">
      <c r="A992" s="172"/>
      <c r="B992" s="172"/>
      <c r="C992" s="172"/>
      <c r="D992" s="172"/>
      <c r="E992" s="172"/>
      <c r="F992" s="172"/>
      <c r="G992" s="367"/>
      <c r="H992" s="172"/>
      <c r="I992" s="367"/>
      <c r="J992" s="172"/>
    </row>
    <row r="993">
      <c r="A993" s="172"/>
      <c r="B993" s="172"/>
      <c r="C993" s="172"/>
      <c r="D993" s="172"/>
      <c r="E993" s="172"/>
      <c r="F993" s="172"/>
      <c r="G993" s="367"/>
      <c r="H993" s="172"/>
      <c r="I993" s="367"/>
      <c r="J993" s="172"/>
    </row>
    <row r="994">
      <c r="A994" s="172"/>
      <c r="B994" s="172"/>
      <c r="C994" s="172"/>
      <c r="D994" s="172"/>
      <c r="E994" s="172"/>
      <c r="F994" s="172"/>
      <c r="G994" s="367"/>
      <c r="H994" s="172"/>
      <c r="I994" s="367"/>
      <c r="J994" s="172"/>
    </row>
    <row r="995">
      <c r="A995" s="172"/>
      <c r="B995" s="172"/>
      <c r="C995" s="172"/>
      <c r="D995" s="172"/>
      <c r="E995" s="172"/>
      <c r="F995" s="172"/>
      <c r="G995" s="367"/>
      <c r="H995" s="172"/>
      <c r="I995" s="367"/>
      <c r="J995" s="172"/>
    </row>
    <row r="996">
      <c r="A996" s="172"/>
      <c r="B996" s="172"/>
      <c r="C996" s="172"/>
      <c r="D996" s="172"/>
      <c r="E996" s="172"/>
      <c r="F996" s="172"/>
      <c r="G996" s="367"/>
      <c r="H996" s="172"/>
      <c r="I996" s="367"/>
      <c r="J996" s="172"/>
    </row>
    <row r="997">
      <c r="A997" s="172"/>
      <c r="B997" s="172"/>
      <c r="C997" s="172"/>
      <c r="D997" s="172"/>
      <c r="E997" s="172"/>
      <c r="F997" s="172"/>
      <c r="G997" s="367"/>
      <c r="H997" s="172"/>
      <c r="I997" s="367"/>
      <c r="J997" s="172"/>
    </row>
    <row r="998">
      <c r="A998" s="172"/>
      <c r="B998" s="172"/>
      <c r="C998" s="172"/>
      <c r="D998" s="172"/>
      <c r="E998" s="172"/>
      <c r="F998" s="172"/>
      <c r="G998" s="367"/>
      <c r="H998" s="172"/>
      <c r="I998" s="367"/>
      <c r="J998" s="172"/>
    </row>
    <row r="999">
      <c r="A999" s="172"/>
      <c r="B999" s="172"/>
      <c r="C999" s="172"/>
      <c r="D999" s="172"/>
      <c r="E999" s="172"/>
      <c r="F999" s="172"/>
      <c r="G999" s="367"/>
      <c r="H999" s="172"/>
      <c r="I999" s="367"/>
      <c r="J999" s="172"/>
    </row>
    <row r="1000">
      <c r="A1000" s="172"/>
      <c r="B1000" s="172"/>
      <c r="C1000" s="172"/>
      <c r="D1000" s="172"/>
      <c r="E1000" s="172"/>
      <c r="F1000" s="172"/>
      <c r="G1000" s="367"/>
      <c r="H1000" s="172"/>
      <c r="I1000" s="367"/>
      <c r="J1000" s="17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6" max="6" width="17.13"/>
    <col hidden="1" min="10" max="10" width="12.63"/>
    <col hidden="1" min="13" max="13" width="12.63"/>
  </cols>
  <sheetData>
    <row r="1">
      <c r="A1" s="508" t="str">
        <f>'DEPRECATED 2023 PO  Injection T'!A1</f>
        <v>#</v>
      </c>
      <c r="B1" s="508" t="str">
        <f>'DEPRECATED 2023 PO  Injection T'!B1</f>
        <v>PO #</v>
      </c>
      <c r="C1" s="509" t="s">
        <v>2370</v>
      </c>
      <c r="D1" s="509" t="s">
        <v>2371</v>
      </c>
      <c r="E1" s="509" t="s">
        <v>36</v>
      </c>
      <c r="F1" s="509" t="s">
        <v>2372</v>
      </c>
      <c r="G1" s="509" t="s">
        <v>2373</v>
      </c>
      <c r="H1" s="510" t="s">
        <v>2374</v>
      </c>
      <c r="I1" s="510" t="s">
        <v>2375</v>
      </c>
      <c r="J1" s="510" t="s">
        <v>2376</v>
      </c>
      <c r="K1" s="509" t="s">
        <v>2377</v>
      </c>
      <c r="L1" s="509" t="s">
        <v>2378</v>
      </c>
      <c r="M1" s="509" t="s">
        <v>2379</v>
      </c>
    </row>
    <row r="2">
      <c r="A2" s="172">
        <f>'DEPRECATED 2023 PO  Injection T'!A2</f>
        <v>1</v>
      </c>
      <c r="B2" s="172" t="str">
        <f>'DEPRECATED 2023 PO  Injection T'!B2</f>
        <v>001T1R0</v>
      </c>
      <c r="C2" s="4" t="s">
        <v>2380</v>
      </c>
      <c r="D2" s="4" t="s">
        <v>2380</v>
      </c>
      <c r="E2" s="4" t="s">
        <v>2380</v>
      </c>
      <c r="F2" s="4" t="s">
        <v>2380</v>
      </c>
      <c r="G2" s="4" t="s">
        <v>2380</v>
      </c>
      <c r="H2" s="4" t="s">
        <v>2380</v>
      </c>
      <c r="I2" s="4" t="s">
        <v>2380</v>
      </c>
      <c r="J2" s="172"/>
      <c r="K2" s="4" t="s">
        <v>2380</v>
      </c>
      <c r="L2" s="4" t="s">
        <v>2380</v>
      </c>
      <c r="M2" s="172"/>
    </row>
    <row r="3">
      <c r="A3" s="172">
        <f>'DEPRECATED 2023 PO  Injection T'!A3</f>
        <v>2</v>
      </c>
      <c r="B3" s="172" t="str">
        <f>'DEPRECATED 2023 PO  Injection T'!B3</f>
        <v>002T1R0</v>
      </c>
      <c r="C3" s="4" t="s">
        <v>2380</v>
      </c>
      <c r="D3" s="4" t="s">
        <v>2380</v>
      </c>
      <c r="E3" s="4" t="s">
        <v>2380</v>
      </c>
      <c r="F3" s="4" t="s">
        <v>2380</v>
      </c>
      <c r="G3" s="4" t="s">
        <v>2380</v>
      </c>
      <c r="H3" s="4" t="s">
        <v>2380</v>
      </c>
      <c r="I3" s="4" t="s">
        <v>2380</v>
      </c>
      <c r="J3" s="172"/>
      <c r="K3" s="4" t="s">
        <v>2380</v>
      </c>
      <c r="L3" s="4" t="s">
        <v>2380</v>
      </c>
      <c r="M3" s="172"/>
    </row>
    <row r="4">
      <c r="A4" s="172">
        <f>'DEPRECATED 2023 PO  Injection T'!A4</f>
        <v>3</v>
      </c>
      <c r="B4" s="172" t="str">
        <f>'DEPRECATED 2023 PO  Injection T'!B4</f>
        <v>003T1R0</v>
      </c>
      <c r="C4" s="4" t="s">
        <v>2380</v>
      </c>
      <c r="D4" s="4" t="s">
        <v>2380</v>
      </c>
      <c r="E4" s="4" t="s">
        <v>2380</v>
      </c>
      <c r="F4" s="4" t="s">
        <v>2380</v>
      </c>
      <c r="G4" s="4" t="s">
        <v>2380</v>
      </c>
      <c r="H4" s="4" t="s">
        <v>2380</v>
      </c>
      <c r="I4" s="4" t="s">
        <v>2380</v>
      </c>
      <c r="J4" s="172"/>
      <c r="K4" s="4" t="s">
        <v>2380</v>
      </c>
      <c r="L4" s="4" t="s">
        <v>2380</v>
      </c>
      <c r="M4" s="172"/>
    </row>
    <row r="5">
      <c r="A5" s="172">
        <f>'DEPRECATED 2023 PO  Injection T'!A5</f>
        <v>4</v>
      </c>
      <c r="B5" s="172" t="str">
        <f>'DEPRECATED 2023 PO  Injection T'!B5</f>
        <v>004T1R0</v>
      </c>
      <c r="C5" s="4" t="s">
        <v>2380</v>
      </c>
      <c r="D5" s="4" t="s">
        <v>2380</v>
      </c>
      <c r="E5" s="4" t="s">
        <v>2380</v>
      </c>
      <c r="F5" s="4" t="s">
        <v>2380</v>
      </c>
      <c r="G5" s="4" t="s">
        <v>2380</v>
      </c>
      <c r="H5" s="4" t="s">
        <v>2380</v>
      </c>
      <c r="I5" s="4" t="s">
        <v>2380</v>
      </c>
      <c r="J5" s="172"/>
      <c r="K5" s="4" t="s">
        <v>2380</v>
      </c>
      <c r="L5" s="4" t="s">
        <v>2380</v>
      </c>
      <c r="M5" s="172"/>
    </row>
    <row r="6">
      <c r="A6" s="172">
        <f>'DEPRECATED 2023 PO  Injection T'!A6</f>
        <v>5</v>
      </c>
      <c r="B6" s="172" t="str">
        <f>'DEPRECATED 2023 PO  Injection T'!B6</f>
        <v>006T1R0</v>
      </c>
      <c r="C6" s="4" t="s">
        <v>2380</v>
      </c>
      <c r="D6" s="4" t="s">
        <v>2380</v>
      </c>
      <c r="E6" s="4" t="s">
        <v>2380</v>
      </c>
      <c r="F6" s="4" t="s">
        <v>2380</v>
      </c>
      <c r="G6" s="4" t="s">
        <v>2380</v>
      </c>
      <c r="H6" s="4" t="s">
        <v>2380</v>
      </c>
      <c r="I6" s="4" t="s">
        <v>2380</v>
      </c>
      <c r="J6" s="172"/>
      <c r="K6" s="4" t="s">
        <v>2380</v>
      </c>
      <c r="L6" s="4" t="s">
        <v>2380</v>
      </c>
      <c r="M6" s="172"/>
    </row>
    <row r="7">
      <c r="A7" s="172">
        <f>'DEPRECATED 2023 PO  Injection T'!A7</f>
        <v>6</v>
      </c>
      <c r="B7" s="172" t="str">
        <f>'DEPRECATED 2023 PO  Injection T'!B7</f>
        <v>005T1R0</v>
      </c>
      <c r="C7" s="4" t="s">
        <v>2380</v>
      </c>
      <c r="D7" s="4" t="s">
        <v>2380</v>
      </c>
      <c r="E7" s="4" t="s">
        <v>2380</v>
      </c>
      <c r="F7" s="4" t="s">
        <v>2380</v>
      </c>
      <c r="G7" s="4" t="s">
        <v>2380</v>
      </c>
      <c r="H7" s="4" t="s">
        <v>2380</v>
      </c>
      <c r="I7" s="4" t="s">
        <v>2380</v>
      </c>
      <c r="J7" s="172"/>
      <c r="K7" s="172"/>
      <c r="L7" s="4" t="s">
        <v>2380</v>
      </c>
      <c r="M7" s="172"/>
    </row>
    <row r="8">
      <c r="A8" s="172">
        <f>'DEPRECATED 2023 PO  Injection T'!A8</f>
        <v>7</v>
      </c>
      <c r="B8" s="172" t="str">
        <f>'DEPRECATED 2023 PO  Injection T'!B8</f>
        <v>007T1R0</v>
      </c>
      <c r="C8" s="4" t="s">
        <v>2380</v>
      </c>
      <c r="D8" s="4" t="s">
        <v>2380</v>
      </c>
      <c r="E8" s="4" t="s">
        <v>2380</v>
      </c>
      <c r="F8" s="4" t="s">
        <v>2380</v>
      </c>
      <c r="G8" s="4" t="s">
        <v>2380</v>
      </c>
      <c r="H8" s="4" t="s">
        <v>2380</v>
      </c>
      <c r="I8" s="4" t="s">
        <v>2380</v>
      </c>
      <c r="J8" s="172"/>
      <c r="K8" s="172"/>
      <c r="L8" s="4" t="s">
        <v>2380</v>
      </c>
      <c r="M8" s="172"/>
    </row>
    <row r="9">
      <c r="A9" s="172">
        <f>'DEPRECATED 2023 PO  Injection T'!A9</f>
        <v>8</v>
      </c>
      <c r="B9" s="172" t="str">
        <f>'DEPRECATED 2023 PO  Injection T'!B9</f>
        <v>008T1R0</v>
      </c>
      <c r="C9" s="4" t="s">
        <v>2380</v>
      </c>
      <c r="D9" s="4" t="s">
        <v>2380</v>
      </c>
      <c r="E9" s="4" t="s">
        <v>2380</v>
      </c>
      <c r="F9" s="4" t="s">
        <v>2380</v>
      </c>
      <c r="G9" s="4" t="s">
        <v>2380</v>
      </c>
      <c r="H9" s="4" t="s">
        <v>2380</v>
      </c>
      <c r="I9" s="4" t="s">
        <v>2380</v>
      </c>
      <c r="J9" s="172"/>
      <c r="K9" s="4" t="s">
        <v>2380</v>
      </c>
      <c r="L9" s="172"/>
      <c r="M9" s="172"/>
    </row>
    <row r="10">
      <c r="A10" s="172">
        <f>'DEPRECATED 2023 PO  Injection T'!A10</f>
        <v>9</v>
      </c>
      <c r="B10" s="172" t="str">
        <f>'DEPRECATED 2023 PO  Injection T'!B10</f>
        <v>009T1R0</v>
      </c>
      <c r="C10" s="4" t="s">
        <v>2380</v>
      </c>
      <c r="D10" s="4" t="s">
        <v>2380</v>
      </c>
      <c r="E10" s="4" t="s">
        <v>2380</v>
      </c>
      <c r="F10" s="4" t="s">
        <v>2380</v>
      </c>
      <c r="G10" s="4" t="s">
        <v>2380</v>
      </c>
      <c r="H10" s="4" t="s">
        <v>2380</v>
      </c>
      <c r="I10" s="4" t="s">
        <v>2380</v>
      </c>
      <c r="J10" s="172"/>
      <c r="K10" s="4" t="s">
        <v>2380</v>
      </c>
      <c r="L10" s="4" t="s">
        <v>2380</v>
      </c>
      <c r="M10" s="172"/>
    </row>
    <row r="11">
      <c r="A11" s="172">
        <f>'DEPRECATED 2023 PO  Injection T'!A11</f>
        <v>10</v>
      </c>
      <c r="B11" s="172" t="str">
        <f>'DEPRECATED 2023 PO  Injection T'!B11</f>
        <v>010T1R0</v>
      </c>
      <c r="C11" s="4" t="s">
        <v>2380</v>
      </c>
      <c r="D11" s="4" t="s">
        <v>2380</v>
      </c>
      <c r="E11" s="4" t="s">
        <v>2380</v>
      </c>
      <c r="F11" s="4" t="s">
        <v>2380</v>
      </c>
      <c r="G11" s="4" t="s">
        <v>2380</v>
      </c>
      <c r="H11" s="4" t="s">
        <v>2380</v>
      </c>
      <c r="I11" s="4" t="s">
        <v>2380</v>
      </c>
      <c r="J11" s="172"/>
      <c r="K11" s="4" t="s">
        <v>2380</v>
      </c>
      <c r="L11" s="172"/>
      <c r="M11" s="172"/>
    </row>
    <row r="12">
      <c r="A12" s="172">
        <f>'DEPRECATED 2023 PO  Injection T'!A12</f>
        <v>11</v>
      </c>
      <c r="B12" s="172" t="str">
        <f>'DEPRECATED 2023 PO  Injection T'!B12</f>
        <v>011T1R0</v>
      </c>
      <c r="C12" s="4" t="s">
        <v>2380</v>
      </c>
      <c r="D12" s="4" t="s">
        <v>2380</v>
      </c>
      <c r="E12" s="4" t="s">
        <v>2380</v>
      </c>
      <c r="F12" s="172"/>
      <c r="G12" s="172"/>
      <c r="H12" s="172"/>
      <c r="I12" s="172"/>
      <c r="J12" s="172"/>
      <c r="K12" s="172"/>
      <c r="L12" s="172"/>
      <c r="M12" s="172"/>
    </row>
    <row r="13">
      <c r="A13" s="172">
        <f>'DEPRECATED 2023 PO  Injection T'!A13</f>
        <v>12</v>
      </c>
      <c r="B13" s="172" t="str">
        <f>'DEPRECATED 2023 PO  Injection T'!B13</f>
        <v>012T1R0</v>
      </c>
      <c r="C13" s="172"/>
      <c r="D13" s="172"/>
      <c r="E13" s="172"/>
      <c r="F13" s="172"/>
      <c r="G13" s="172"/>
      <c r="H13" s="172"/>
      <c r="I13" s="172"/>
      <c r="J13" s="172"/>
      <c r="K13" s="172"/>
      <c r="L13" s="4" t="s">
        <v>2380</v>
      </c>
      <c r="M13" s="172"/>
    </row>
    <row r="14">
      <c r="A14" s="172">
        <f>'DEPRECATED 2023 PO  Injection T'!A14</f>
        <v>13</v>
      </c>
      <c r="B14" s="172" t="str">
        <f>'DEPRECATED 2023 PO  Injection T'!B14</f>
        <v>013T1R0</v>
      </c>
      <c r="C14" s="172"/>
      <c r="D14" s="172"/>
      <c r="E14" s="172"/>
      <c r="F14" s="172"/>
      <c r="G14" s="172"/>
      <c r="H14" s="172"/>
      <c r="I14" s="172"/>
      <c r="J14" s="172"/>
      <c r="K14" s="172"/>
      <c r="L14" s="172"/>
      <c r="M14" s="172"/>
    </row>
    <row r="15">
      <c r="A15" s="172">
        <f>'DEPRECATED 2023 PO  Injection T'!A15</f>
        <v>14</v>
      </c>
      <c r="B15" s="172" t="str">
        <f>'DEPRECATED 2023 PO  Injection T'!B15</f>
        <v>014T1R0</v>
      </c>
      <c r="C15" s="4" t="s">
        <v>2380</v>
      </c>
      <c r="D15" s="4" t="s">
        <v>2380</v>
      </c>
      <c r="E15" s="4" t="s">
        <v>2380</v>
      </c>
      <c r="F15" s="4" t="s">
        <v>2380</v>
      </c>
      <c r="G15" s="4" t="s">
        <v>2380</v>
      </c>
      <c r="H15" s="4" t="s">
        <v>2380</v>
      </c>
      <c r="I15" s="4" t="s">
        <v>2380</v>
      </c>
      <c r="J15" s="172"/>
      <c r="K15" s="172"/>
      <c r="L15" s="172"/>
      <c r="M15" s="172"/>
    </row>
    <row r="16">
      <c r="A16" s="172">
        <f>'DEPRECATED 2023 PO  Injection T'!A16</f>
        <v>15</v>
      </c>
      <c r="B16" s="172" t="str">
        <f>'DEPRECATED 2023 PO  Injection T'!B16</f>
        <v>015T1R0</v>
      </c>
      <c r="C16" s="172"/>
      <c r="D16" s="172"/>
      <c r="E16" s="172"/>
      <c r="F16" s="172"/>
      <c r="G16" s="172"/>
      <c r="H16" s="172"/>
      <c r="I16" s="172"/>
      <c r="J16" s="172"/>
      <c r="K16" s="172"/>
      <c r="L16" s="172"/>
      <c r="M16" s="172"/>
    </row>
    <row r="17">
      <c r="A17" s="172">
        <f>'DEPRECATED 2023 PO  Injection T'!A17</f>
        <v>16</v>
      </c>
      <c r="B17" s="172" t="str">
        <f>'DEPRECATED 2023 PO  Injection T'!B17</f>
        <v>017T1R0</v>
      </c>
      <c r="C17" s="172"/>
      <c r="D17" s="172"/>
      <c r="E17" s="172"/>
      <c r="F17" s="172"/>
      <c r="G17" s="172"/>
      <c r="H17" s="172"/>
      <c r="I17" s="172"/>
      <c r="J17" s="172"/>
      <c r="K17" s="172"/>
      <c r="L17" s="172"/>
      <c r="M17" s="172"/>
    </row>
    <row r="18">
      <c r="A18" s="172">
        <f>'DEPRECATED 2023 PO  Injection T'!A18</f>
        <v>17</v>
      </c>
      <c r="B18" s="172" t="str">
        <f>'DEPRECATED 2023 PO  Injection T'!B18</f>
        <v>016T1R0</v>
      </c>
      <c r="C18" s="172"/>
      <c r="D18" s="172"/>
      <c r="E18" s="172"/>
      <c r="F18" s="172"/>
      <c r="G18" s="172"/>
      <c r="H18" s="172"/>
      <c r="I18" s="172"/>
      <c r="J18" s="172"/>
      <c r="K18" s="172"/>
      <c r="L18" s="172"/>
      <c r="M18" s="172"/>
    </row>
    <row r="19">
      <c r="A19" s="172">
        <f>'DEPRECATED 2023 PO  Injection T'!A19</f>
        <v>18</v>
      </c>
      <c r="B19" s="172" t="str">
        <f>'DEPRECATED 2023 PO  Injection T'!B19</f>
        <v>018T1R0</v>
      </c>
      <c r="C19" s="172"/>
      <c r="D19" s="172"/>
      <c r="E19" s="172"/>
      <c r="F19" s="172"/>
      <c r="G19" s="172"/>
      <c r="H19" s="172"/>
      <c r="I19" s="172"/>
      <c r="J19" s="172"/>
      <c r="K19" s="172"/>
      <c r="L19" s="172"/>
      <c r="M19" s="172"/>
    </row>
    <row r="20">
      <c r="A20" s="172">
        <f>'DEPRECATED 2023 PO  Injection T'!A22</f>
        <v>21</v>
      </c>
      <c r="B20" s="172" t="str">
        <f>'DEPRECATED 2023 PO  Injection T'!B20</f>
        <v>019T1R0</v>
      </c>
      <c r="C20" s="172"/>
      <c r="D20" s="172"/>
      <c r="E20" s="172"/>
      <c r="F20" s="172"/>
      <c r="G20" s="172"/>
      <c r="H20" s="172"/>
      <c r="I20" s="172"/>
      <c r="J20" s="172"/>
      <c r="K20" s="172"/>
      <c r="L20" s="172"/>
      <c r="M20" s="172"/>
    </row>
    <row r="21">
      <c r="A21" s="172">
        <f>'DEPRECATED 2023 PO  Injection T'!A23</f>
        <v>22</v>
      </c>
      <c r="B21" s="172"/>
      <c r="C21" s="172"/>
      <c r="D21" s="172"/>
      <c r="E21" s="172"/>
      <c r="F21" s="172"/>
      <c r="G21" s="172"/>
      <c r="H21" s="172"/>
      <c r="I21" s="172"/>
      <c r="J21" s="172"/>
      <c r="K21" s="172"/>
      <c r="L21" s="172"/>
      <c r="M21" s="172"/>
    </row>
    <row r="22">
      <c r="A22" s="172">
        <f>'DEPRECATED 2023 PO  Injection T'!A25</f>
        <v>24</v>
      </c>
      <c r="B22" s="172"/>
      <c r="C22" s="172"/>
      <c r="D22" s="172"/>
      <c r="E22" s="172"/>
      <c r="F22" s="172"/>
      <c r="G22" s="172"/>
      <c r="H22" s="172"/>
      <c r="I22" s="172"/>
      <c r="J22" s="172"/>
      <c r="K22" s="172"/>
      <c r="L22" s="172"/>
      <c r="M22" s="17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11" t="s">
        <v>2381</v>
      </c>
      <c r="B1" s="511" t="s">
        <v>2382</v>
      </c>
      <c r="C1" s="511" t="s">
        <v>2383</v>
      </c>
      <c r="D1" s="511" t="s">
        <v>2384</v>
      </c>
      <c r="E1" s="511" t="s">
        <v>2385</v>
      </c>
      <c r="F1" s="511" t="s">
        <v>2386</v>
      </c>
      <c r="G1" s="512" t="s">
        <v>2387</v>
      </c>
      <c r="H1" s="511" t="s">
        <v>2388</v>
      </c>
      <c r="I1" s="513" t="s">
        <v>2389</v>
      </c>
      <c r="J1" s="513" t="s">
        <v>2390</v>
      </c>
      <c r="K1" s="512" t="s">
        <v>2391</v>
      </c>
      <c r="L1" s="511" t="s">
        <v>2392</v>
      </c>
      <c r="M1" s="511" t="s">
        <v>2393</v>
      </c>
      <c r="N1" s="511" t="s">
        <v>2394</v>
      </c>
      <c r="O1" s="511" t="s">
        <v>2395</v>
      </c>
      <c r="P1" s="512" t="s">
        <v>2396</v>
      </c>
      <c r="Q1" s="512" t="s">
        <v>2397</v>
      </c>
      <c r="R1" s="511" t="s">
        <v>2392</v>
      </c>
      <c r="S1" s="511" t="s">
        <v>2398</v>
      </c>
      <c r="T1" s="511" t="s">
        <v>2399</v>
      </c>
      <c r="U1" s="511" t="s">
        <v>2400</v>
      </c>
      <c r="V1" s="512" t="s">
        <v>2401</v>
      </c>
      <c r="W1" s="339" t="s">
        <v>2402</v>
      </c>
      <c r="X1" s="514"/>
      <c r="Y1" s="514"/>
      <c r="Z1" s="514"/>
    </row>
    <row r="2" hidden="1">
      <c r="C2" s="515"/>
      <c r="G2" s="1" t="s">
        <v>2403</v>
      </c>
      <c r="I2" s="516"/>
      <c r="J2" s="516"/>
      <c r="P2" s="1">
        <v>0.0</v>
      </c>
      <c r="Q2" s="1" t="s">
        <v>2404</v>
      </c>
      <c r="S2" s="517"/>
      <c r="V2" s="1">
        <v>0.63</v>
      </c>
      <c r="W2" s="518">
        <f t="shared" ref="W2:W1919" si="1">IF(Q2="Infinity", V2*1000,Q2)</f>
        <v>630</v>
      </c>
    </row>
    <row r="3" hidden="1">
      <c r="C3" s="515"/>
      <c r="G3" s="1" t="s">
        <v>2403</v>
      </c>
      <c r="I3" s="516"/>
      <c r="J3" s="516"/>
      <c r="P3" s="1">
        <v>0.0</v>
      </c>
      <c r="Q3" s="1" t="s">
        <v>2404</v>
      </c>
      <c r="S3" s="517"/>
      <c r="V3" s="1">
        <v>0.63</v>
      </c>
      <c r="W3" s="518">
        <f t="shared" si="1"/>
        <v>630</v>
      </c>
    </row>
    <row r="4" hidden="1">
      <c r="C4" s="515"/>
      <c r="G4" s="1" t="s">
        <v>2405</v>
      </c>
      <c r="I4" s="516"/>
      <c r="J4" s="516"/>
      <c r="P4" s="1">
        <v>0.0</v>
      </c>
      <c r="Q4" s="1" t="s">
        <v>2404</v>
      </c>
      <c r="S4" s="517"/>
      <c r="V4" s="1">
        <v>0.17</v>
      </c>
      <c r="W4" s="518">
        <f t="shared" si="1"/>
        <v>170</v>
      </c>
    </row>
    <row r="5" hidden="1">
      <c r="C5" s="515"/>
      <c r="G5" s="1" t="s">
        <v>2406</v>
      </c>
      <c r="I5" s="516"/>
      <c r="J5" s="516"/>
      <c r="P5" s="1">
        <v>0.0</v>
      </c>
      <c r="Q5" s="1" t="s">
        <v>2404</v>
      </c>
      <c r="S5" s="517"/>
      <c r="V5" s="1">
        <v>0.17</v>
      </c>
      <c r="W5" s="518">
        <f t="shared" si="1"/>
        <v>170</v>
      </c>
    </row>
    <row r="6" hidden="1">
      <c r="C6" s="515"/>
      <c r="G6" s="1" t="s">
        <v>2406</v>
      </c>
      <c r="I6" s="516"/>
      <c r="J6" s="516"/>
      <c r="P6" s="1">
        <v>0.0</v>
      </c>
      <c r="Q6" s="1" t="s">
        <v>2404</v>
      </c>
      <c r="S6" s="517"/>
      <c r="V6" s="1">
        <v>0.17</v>
      </c>
      <c r="W6" s="518">
        <f t="shared" si="1"/>
        <v>170</v>
      </c>
    </row>
    <row r="7" hidden="1">
      <c r="C7" s="515"/>
      <c r="G7" s="1" t="s">
        <v>2407</v>
      </c>
      <c r="I7" s="516"/>
      <c r="J7" s="516"/>
      <c r="P7" s="1">
        <v>0.0</v>
      </c>
      <c r="Q7" s="1" t="s">
        <v>2404</v>
      </c>
      <c r="S7" s="517"/>
      <c r="V7" s="1">
        <v>0.42</v>
      </c>
      <c r="W7" s="518">
        <f t="shared" si="1"/>
        <v>420</v>
      </c>
    </row>
    <row r="8" hidden="1">
      <c r="C8" s="515"/>
      <c r="G8" s="1" t="s">
        <v>2408</v>
      </c>
      <c r="I8" s="516"/>
      <c r="J8" s="516"/>
      <c r="P8" s="1">
        <v>0.0</v>
      </c>
      <c r="Q8" s="1" t="s">
        <v>2404</v>
      </c>
      <c r="S8" s="517"/>
      <c r="V8" s="1">
        <v>0.04</v>
      </c>
      <c r="W8" s="518">
        <f t="shared" si="1"/>
        <v>40</v>
      </c>
    </row>
    <row r="9" hidden="1">
      <c r="C9" s="515"/>
      <c r="G9" s="1" t="s">
        <v>2408</v>
      </c>
      <c r="I9" s="516"/>
      <c r="J9" s="516"/>
      <c r="P9" s="1">
        <v>0.0</v>
      </c>
      <c r="Q9" s="1" t="s">
        <v>2404</v>
      </c>
      <c r="S9" s="517"/>
      <c r="V9" s="1">
        <v>0.04</v>
      </c>
      <c r="W9" s="518">
        <f t="shared" si="1"/>
        <v>40</v>
      </c>
    </row>
    <row r="10" hidden="1">
      <c r="C10" s="515"/>
      <c r="G10" s="1" t="s">
        <v>2409</v>
      </c>
      <c r="I10" s="516"/>
      <c r="J10" s="516"/>
      <c r="P10" s="1">
        <v>0.0</v>
      </c>
      <c r="Q10" s="1" t="s">
        <v>2404</v>
      </c>
      <c r="S10" s="517"/>
      <c r="V10" s="1">
        <v>0.21</v>
      </c>
      <c r="W10" s="518">
        <f t="shared" si="1"/>
        <v>210</v>
      </c>
    </row>
    <row r="11" hidden="1">
      <c r="C11" s="515"/>
      <c r="G11" s="1" t="s">
        <v>2409</v>
      </c>
      <c r="I11" s="516"/>
      <c r="J11" s="516"/>
      <c r="P11" s="1">
        <v>0.0</v>
      </c>
      <c r="Q11" s="1" t="s">
        <v>2404</v>
      </c>
      <c r="S11" s="517"/>
      <c r="V11" s="1">
        <v>0.21</v>
      </c>
      <c r="W11" s="518">
        <f t="shared" si="1"/>
        <v>210</v>
      </c>
    </row>
    <row r="12" hidden="1">
      <c r="C12" s="515"/>
      <c r="G12" s="1" t="s">
        <v>2410</v>
      </c>
      <c r="I12" s="516"/>
      <c r="J12" s="516"/>
      <c r="P12" s="1">
        <v>0.0</v>
      </c>
      <c r="Q12" s="1" t="s">
        <v>2404</v>
      </c>
      <c r="S12" s="517"/>
      <c r="V12" s="1">
        <v>0.08</v>
      </c>
      <c r="W12" s="518">
        <f t="shared" si="1"/>
        <v>80</v>
      </c>
    </row>
    <row r="13" hidden="1">
      <c r="C13" s="515"/>
      <c r="G13" s="1" t="s">
        <v>2410</v>
      </c>
      <c r="I13" s="516"/>
      <c r="J13" s="516"/>
      <c r="P13" s="1">
        <v>0.0</v>
      </c>
      <c r="Q13" s="1" t="s">
        <v>2404</v>
      </c>
      <c r="S13" s="517"/>
      <c r="V13" s="1">
        <v>0.08</v>
      </c>
      <c r="W13" s="518">
        <f t="shared" si="1"/>
        <v>80</v>
      </c>
    </row>
    <row r="14" hidden="1">
      <c r="C14" s="515"/>
      <c r="G14" s="1" t="s">
        <v>2411</v>
      </c>
      <c r="I14" s="516"/>
      <c r="J14" s="516"/>
      <c r="P14" s="1">
        <v>0.0</v>
      </c>
      <c r="Q14" s="1" t="s">
        <v>2404</v>
      </c>
      <c r="S14" s="517"/>
      <c r="V14" s="1">
        <v>0.5</v>
      </c>
      <c r="W14" s="518">
        <f t="shared" si="1"/>
        <v>500</v>
      </c>
    </row>
    <row r="15" hidden="1">
      <c r="C15" s="515"/>
      <c r="G15" s="1" t="s">
        <v>2412</v>
      </c>
      <c r="I15" s="516"/>
      <c r="J15" s="516"/>
      <c r="P15" s="1">
        <v>0.0</v>
      </c>
      <c r="Q15" s="1" t="s">
        <v>2404</v>
      </c>
      <c r="S15" s="517"/>
      <c r="V15" s="1">
        <v>4.0</v>
      </c>
      <c r="W15" s="518">
        <f t="shared" si="1"/>
        <v>4000</v>
      </c>
    </row>
    <row r="16" hidden="1">
      <c r="C16" s="515"/>
      <c r="G16" s="1" t="s">
        <v>2412</v>
      </c>
      <c r="I16" s="516"/>
      <c r="J16" s="516"/>
      <c r="P16" s="1">
        <v>0.0</v>
      </c>
      <c r="Q16" s="1" t="s">
        <v>2404</v>
      </c>
      <c r="S16" s="517"/>
      <c r="V16" s="1">
        <v>4.0</v>
      </c>
      <c r="W16" s="518">
        <f t="shared" si="1"/>
        <v>4000</v>
      </c>
    </row>
    <row r="17" hidden="1">
      <c r="C17" s="515"/>
      <c r="G17" s="1" t="s">
        <v>2413</v>
      </c>
      <c r="I17" s="516"/>
      <c r="J17" s="516"/>
      <c r="P17" s="1">
        <v>0.0</v>
      </c>
      <c r="Q17" s="1" t="s">
        <v>2404</v>
      </c>
      <c r="S17" s="517"/>
      <c r="V17" s="1">
        <v>0.08</v>
      </c>
      <c r="W17" s="518">
        <f t="shared" si="1"/>
        <v>80</v>
      </c>
    </row>
    <row r="18" hidden="1">
      <c r="C18" s="515"/>
      <c r="G18" s="1" t="s">
        <v>2413</v>
      </c>
      <c r="I18" s="516"/>
      <c r="J18" s="516"/>
      <c r="P18" s="1">
        <v>0.0</v>
      </c>
      <c r="Q18" s="1" t="s">
        <v>2404</v>
      </c>
      <c r="S18" s="517"/>
      <c r="V18" s="1">
        <v>0.08</v>
      </c>
      <c r="W18" s="518">
        <f t="shared" si="1"/>
        <v>80</v>
      </c>
    </row>
    <row r="19" hidden="1">
      <c r="C19" s="515"/>
      <c r="G19" s="1" t="s">
        <v>2414</v>
      </c>
      <c r="I19" s="516"/>
      <c r="J19" s="516"/>
      <c r="P19" s="1">
        <v>0.0</v>
      </c>
      <c r="Q19" s="1" t="s">
        <v>2404</v>
      </c>
      <c r="S19" s="517"/>
      <c r="V19" s="1">
        <v>0.08</v>
      </c>
      <c r="W19" s="518">
        <f t="shared" si="1"/>
        <v>80</v>
      </c>
    </row>
    <row r="20" hidden="1">
      <c r="C20" s="515"/>
      <c r="G20" s="1" t="s">
        <v>2414</v>
      </c>
      <c r="I20" s="516"/>
      <c r="J20" s="516"/>
      <c r="P20" s="1">
        <v>0.0</v>
      </c>
      <c r="Q20" s="1" t="s">
        <v>2404</v>
      </c>
      <c r="S20" s="517"/>
      <c r="V20" s="1">
        <v>0.08</v>
      </c>
      <c r="W20" s="518">
        <f t="shared" si="1"/>
        <v>80</v>
      </c>
    </row>
    <row r="21" hidden="1">
      <c r="C21" s="515"/>
      <c r="G21" s="1" t="s">
        <v>2415</v>
      </c>
      <c r="I21" s="516"/>
      <c r="J21" s="516"/>
      <c r="P21" s="1">
        <v>0.0</v>
      </c>
      <c r="Q21" s="1" t="s">
        <v>2404</v>
      </c>
      <c r="S21" s="517"/>
      <c r="V21" s="1">
        <v>0.33</v>
      </c>
      <c r="W21" s="518">
        <f t="shared" si="1"/>
        <v>330</v>
      </c>
    </row>
    <row r="22" hidden="1">
      <c r="C22" s="515"/>
      <c r="G22" s="1" t="s">
        <v>2415</v>
      </c>
      <c r="I22" s="516"/>
      <c r="J22" s="516"/>
      <c r="P22" s="1">
        <v>0.0</v>
      </c>
      <c r="Q22" s="1" t="s">
        <v>2404</v>
      </c>
      <c r="S22" s="517"/>
      <c r="V22" s="1">
        <v>0.33</v>
      </c>
      <c r="W22" s="518">
        <f t="shared" si="1"/>
        <v>330</v>
      </c>
    </row>
    <row r="23" hidden="1">
      <c r="C23" s="515"/>
      <c r="G23" s="1" t="s">
        <v>2416</v>
      </c>
      <c r="I23" s="516"/>
      <c r="J23" s="516"/>
      <c r="P23" s="1">
        <v>0.0</v>
      </c>
      <c r="Q23" s="1" t="s">
        <v>2404</v>
      </c>
      <c r="S23" s="517"/>
      <c r="V23" s="1">
        <v>1.0</v>
      </c>
      <c r="W23" s="518">
        <f t="shared" si="1"/>
        <v>1000</v>
      </c>
    </row>
    <row r="24" hidden="1">
      <c r="C24" s="515"/>
      <c r="G24" s="1" t="s">
        <v>2416</v>
      </c>
      <c r="I24" s="516"/>
      <c r="J24" s="516"/>
      <c r="P24" s="1">
        <v>0.0</v>
      </c>
      <c r="Q24" s="1" t="s">
        <v>2404</v>
      </c>
      <c r="S24" s="517"/>
      <c r="V24" s="1">
        <v>1.0</v>
      </c>
      <c r="W24" s="518">
        <f t="shared" si="1"/>
        <v>1000</v>
      </c>
    </row>
    <row r="25" hidden="1">
      <c r="C25" s="515"/>
      <c r="G25" s="1" t="s">
        <v>2417</v>
      </c>
      <c r="I25" s="516"/>
      <c r="J25" s="516"/>
      <c r="P25" s="1">
        <v>0.0</v>
      </c>
      <c r="Q25" s="1" t="s">
        <v>2404</v>
      </c>
      <c r="S25" s="517"/>
      <c r="V25" s="1">
        <v>0.17</v>
      </c>
      <c r="W25" s="518">
        <f t="shared" si="1"/>
        <v>170</v>
      </c>
    </row>
    <row r="26" hidden="1">
      <c r="C26" s="515"/>
      <c r="G26" s="1" t="s">
        <v>2417</v>
      </c>
      <c r="I26" s="516"/>
      <c r="J26" s="516"/>
      <c r="P26" s="1">
        <v>0.0</v>
      </c>
      <c r="Q26" s="1" t="s">
        <v>2404</v>
      </c>
      <c r="S26" s="517"/>
      <c r="V26" s="1">
        <v>0.17</v>
      </c>
      <c r="W26" s="518">
        <f t="shared" si="1"/>
        <v>170</v>
      </c>
    </row>
    <row r="27" hidden="1">
      <c r="C27" s="515"/>
      <c r="G27" s="1" t="s">
        <v>2418</v>
      </c>
      <c r="I27" s="516"/>
      <c r="J27" s="516"/>
      <c r="P27" s="1">
        <v>0.0</v>
      </c>
      <c r="Q27" s="1" t="s">
        <v>2404</v>
      </c>
      <c r="S27" s="517"/>
      <c r="V27" s="1">
        <v>0.14</v>
      </c>
      <c r="W27" s="518">
        <f t="shared" si="1"/>
        <v>140</v>
      </c>
    </row>
    <row r="28" hidden="1">
      <c r="C28" s="515"/>
      <c r="G28" s="1" t="s">
        <v>2418</v>
      </c>
      <c r="I28" s="516"/>
      <c r="J28" s="516"/>
      <c r="P28" s="1">
        <v>0.0</v>
      </c>
      <c r="Q28" s="1" t="s">
        <v>2404</v>
      </c>
      <c r="S28" s="517"/>
      <c r="V28" s="1">
        <v>0.14</v>
      </c>
      <c r="W28" s="518">
        <f t="shared" si="1"/>
        <v>140</v>
      </c>
    </row>
    <row r="29" hidden="1">
      <c r="C29" s="515"/>
      <c r="G29" s="1" t="s">
        <v>2419</v>
      </c>
      <c r="I29" s="516"/>
      <c r="J29" s="516"/>
      <c r="P29" s="1">
        <v>0.0</v>
      </c>
      <c r="Q29" s="1" t="s">
        <v>2404</v>
      </c>
      <c r="S29" s="517"/>
      <c r="V29" s="1">
        <v>0.67</v>
      </c>
      <c r="W29" s="518">
        <f t="shared" si="1"/>
        <v>670</v>
      </c>
    </row>
    <row r="30" hidden="1">
      <c r="C30" s="515"/>
      <c r="G30" s="1" t="s">
        <v>2419</v>
      </c>
      <c r="I30" s="516"/>
      <c r="J30" s="516"/>
      <c r="P30" s="1">
        <v>0.0</v>
      </c>
      <c r="Q30" s="1" t="s">
        <v>2404</v>
      </c>
      <c r="S30" s="517"/>
      <c r="V30" s="1">
        <v>0.67</v>
      </c>
      <c r="W30" s="518">
        <f t="shared" si="1"/>
        <v>670</v>
      </c>
    </row>
    <row r="31" hidden="1">
      <c r="C31" s="515"/>
      <c r="G31" s="1" t="s">
        <v>2420</v>
      </c>
      <c r="I31" s="516"/>
      <c r="J31" s="516"/>
      <c r="P31" s="1">
        <v>0.0</v>
      </c>
      <c r="Q31" s="1" t="s">
        <v>2404</v>
      </c>
      <c r="S31" s="517"/>
      <c r="V31" s="1">
        <v>0.08</v>
      </c>
      <c r="W31" s="518">
        <f t="shared" si="1"/>
        <v>80</v>
      </c>
    </row>
    <row r="32" hidden="1">
      <c r="C32" s="515"/>
      <c r="G32" s="1" t="s">
        <v>2420</v>
      </c>
      <c r="I32" s="516"/>
      <c r="J32" s="516"/>
      <c r="P32" s="1">
        <v>0.0</v>
      </c>
      <c r="Q32" s="1" t="s">
        <v>2404</v>
      </c>
      <c r="S32" s="517"/>
      <c r="V32" s="1">
        <v>0.08</v>
      </c>
      <c r="W32" s="518">
        <f t="shared" si="1"/>
        <v>80</v>
      </c>
    </row>
    <row r="33" hidden="1">
      <c r="C33" s="515"/>
      <c r="G33" s="1" t="s">
        <v>2421</v>
      </c>
      <c r="I33" s="516"/>
      <c r="J33" s="516"/>
      <c r="P33" s="1">
        <v>0.0</v>
      </c>
      <c r="Q33" s="1" t="s">
        <v>2404</v>
      </c>
      <c r="S33" s="517"/>
      <c r="V33" s="1">
        <v>0.17</v>
      </c>
      <c r="W33" s="518">
        <f t="shared" si="1"/>
        <v>170</v>
      </c>
    </row>
    <row r="34" hidden="1">
      <c r="C34" s="515"/>
      <c r="G34" s="1" t="s">
        <v>2421</v>
      </c>
      <c r="I34" s="516"/>
      <c r="J34" s="516"/>
      <c r="P34" s="1">
        <v>0.0</v>
      </c>
      <c r="Q34" s="1" t="s">
        <v>2404</v>
      </c>
      <c r="S34" s="517"/>
      <c r="V34" s="1">
        <v>0.17</v>
      </c>
      <c r="W34" s="518">
        <f t="shared" si="1"/>
        <v>170</v>
      </c>
    </row>
    <row r="35" hidden="1">
      <c r="C35" s="515"/>
      <c r="G35" s="1" t="s">
        <v>2422</v>
      </c>
      <c r="I35" s="516"/>
      <c r="J35" s="516"/>
      <c r="P35" s="1">
        <v>0.0</v>
      </c>
      <c r="Q35" s="1" t="s">
        <v>2404</v>
      </c>
      <c r="S35" s="517"/>
      <c r="V35" s="1">
        <v>0.25</v>
      </c>
      <c r="W35" s="518">
        <f t="shared" si="1"/>
        <v>250</v>
      </c>
    </row>
    <row r="36" hidden="1">
      <c r="C36" s="515"/>
      <c r="G36" s="1" t="s">
        <v>2422</v>
      </c>
      <c r="I36" s="516"/>
      <c r="J36" s="516"/>
      <c r="P36" s="1">
        <v>0.0</v>
      </c>
      <c r="Q36" s="1" t="s">
        <v>2404</v>
      </c>
      <c r="S36" s="517"/>
      <c r="V36" s="1">
        <v>0.25</v>
      </c>
      <c r="W36" s="518">
        <f t="shared" si="1"/>
        <v>250</v>
      </c>
    </row>
    <row r="37" hidden="1">
      <c r="C37" s="515"/>
      <c r="G37" s="1" t="s">
        <v>2423</v>
      </c>
      <c r="I37" s="516"/>
      <c r="J37" s="516"/>
      <c r="P37" s="1">
        <v>0.0</v>
      </c>
      <c r="Q37" s="1" t="s">
        <v>2404</v>
      </c>
      <c r="S37" s="517"/>
      <c r="V37" s="1">
        <v>0.08</v>
      </c>
      <c r="W37" s="518">
        <f t="shared" si="1"/>
        <v>80</v>
      </c>
    </row>
    <row r="38" hidden="1">
      <c r="C38" s="515"/>
      <c r="G38" s="1" t="s">
        <v>2423</v>
      </c>
      <c r="I38" s="516"/>
      <c r="J38" s="516"/>
      <c r="P38" s="1">
        <v>0.0</v>
      </c>
      <c r="Q38" s="1" t="s">
        <v>2404</v>
      </c>
      <c r="S38" s="517"/>
      <c r="V38" s="1">
        <v>0.08</v>
      </c>
      <c r="W38" s="518">
        <f t="shared" si="1"/>
        <v>80</v>
      </c>
    </row>
    <row r="39" hidden="1">
      <c r="C39" s="515"/>
      <c r="G39" s="1" t="s">
        <v>2424</v>
      </c>
      <c r="I39" s="516"/>
      <c r="J39" s="516"/>
      <c r="P39" s="1">
        <v>0.0</v>
      </c>
      <c r="Q39" s="1" t="s">
        <v>2404</v>
      </c>
      <c r="S39" s="517"/>
      <c r="V39" s="1">
        <v>0.08</v>
      </c>
      <c r="W39" s="518">
        <f t="shared" si="1"/>
        <v>80</v>
      </c>
    </row>
    <row r="40" hidden="1">
      <c r="C40" s="515"/>
      <c r="G40" s="1" t="s">
        <v>2424</v>
      </c>
      <c r="I40" s="516"/>
      <c r="J40" s="516"/>
      <c r="P40" s="1">
        <v>0.0</v>
      </c>
      <c r="Q40" s="1" t="s">
        <v>2404</v>
      </c>
      <c r="S40" s="517"/>
      <c r="V40" s="1">
        <v>0.08</v>
      </c>
      <c r="W40" s="518">
        <f t="shared" si="1"/>
        <v>80</v>
      </c>
    </row>
    <row r="41" hidden="1">
      <c r="C41" s="515"/>
      <c r="G41" s="1" t="s">
        <v>2425</v>
      </c>
      <c r="I41" s="516"/>
      <c r="J41" s="516"/>
      <c r="P41" s="1">
        <v>0.0</v>
      </c>
      <c r="Q41" s="1" t="s">
        <v>2404</v>
      </c>
      <c r="S41" s="517"/>
      <c r="V41" s="1">
        <v>0.04</v>
      </c>
      <c r="W41" s="518">
        <f t="shared" si="1"/>
        <v>40</v>
      </c>
    </row>
    <row r="42" hidden="1">
      <c r="C42" s="515"/>
      <c r="G42" s="1" t="s">
        <v>2425</v>
      </c>
      <c r="I42" s="516"/>
      <c r="J42" s="516"/>
      <c r="P42" s="1">
        <v>0.0</v>
      </c>
      <c r="Q42" s="1" t="s">
        <v>2404</v>
      </c>
      <c r="S42" s="517"/>
      <c r="V42" s="1">
        <v>0.04</v>
      </c>
      <c r="W42" s="518">
        <f t="shared" si="1"/>
        <v>40</v>
      </c>
    </row>
    <row r="43" hidden="1">
      <c r="C43" s="515"/>
      <c r="G43" s="1" t="s">
        <v>2426</v>
      </c>
      <c r="I43" s="516"/>
      <c r="J43" s="516"/>
      <c r="P43" s="1">
        <v>0.0</v>
      </c>
      <c r="Q43" s="1" t="s">
        <v>2404</v>
      </c>
      <c r="S43" s="517"/>
      <c r="V43" s="1">
        <v>0.25</v>
      </c>
      <c r="W43" s="518">
        <f t="shared" si="1"/>
        <v>250</v>
      </c>
    </row>
    <row r="44" hidden="1">
      <c r="C44" s="515"/>
      <c r="G44" s="1" t="s">
        <v>2426</v>
      </c>
      <c r="I44" s="516"/>
      <c r="J44" s="516"/>
      <c r="P44" s="1">
        <v>0.0</v>
      </c>
      <c r="Q44" s="1" t="s">
        <v>2404</v>
      </c>
      <c r="S44" s="517"/>
      <c r="V44" s="1">
        <v>0.25</v>
      </c>
      <c r="W44" s="518">
        <f t="shared" si="1"/>
        <v>250</v>
      </c>
    </row>
    <row r="45" hidden="1">
      <c r="C45" s="515"/>
      <c r="G45" s="1" t="s">
        <v>2427</v>
      </c>
      <c r="I45" s="516"/>
      <c r="J45" s="516"/>
      <c r="P45" s="1">
        <v>0.0</v>
      </c>
      <c r="Q45" s="1" t="s">
        <v>2404</v>
      </c>
      <c r="S45" s="517"/>
      <c r="V45" s="1">
        <v>0.08</v>
      </c>
      <c r="W45" s="518">
        <f t="shared" si="1"/>
        <v>80</v>
      </c>
    </row>
    <row r="46" hidden="1">
      <c r="C46" s="515"/>
      <c r="G46" s="1" t="s">
        <v>2427</v>
      </c>
      <c r="I46" s="516"/>
      <c r="J46" s="516"/>
      <c r="P46" s="1">
        <v>0.0</v>
      </c>
      <c r="Q46" s="1" t="s">
        <v>2404</v>
      </c>
      <c r="S46" s="517"/>
      <c r="V46" s="1">
        <v>0.08</v>
      </c>
      <c r="W46" s="518">
        <f t="shared" si="1"/>
        <v>80</v>
      </c>
    </row>
    <row r="47" hidden="1">
      <c r="C47" s="515"/>
      <c r="G47" s="1" t="s">
        <v>2428</v>
      </c>
      <c r="I47" s="516"/>
      <c r="J47" s="516"/>
      <c r="P47" s="1">
        <v>0.0</v>
      </c>
      <c r="Q47" s="1" t="s">
        <v>2404</v>
      </c>
      <c r="S47" s="517"/>
      <c r="V47" s="1">
        <v>0.17</v>
      </c>
      <c r="W47" s="518">
        <f t="shared" si="1"/>
        <v>170</v>
      </c>
    </row>
    <row r="48" hidden="1">
      <c r="C48" s="515"/>
      <c r="G48" s="1" t="s">
        <v>2428</v>
      </c>
      <c r="I48" s="516"/>
      <c r="J48" s="516"/>
      <c r="P48" s="1">
        <v>0.0</v>
      </c>
      <c r="Q48" s="1" t="s">
        <v>2404</v>
      </c>
      <c r="S48" s="517"/>
      <c r="V48" s="1">
        <v>0.17</v>
      </c>
      <c r="W48" s="518">
        <f t="shared" si="1"/>
        <v>170</v>
      </c>
    </row>
    <row r="49" hidden="1">
      <c r="C49" s="515"/>
      <c r="G49" s="1" t="s">
        <v>2429</v>
      </c>
      <c r="I49" s="516"/>
      <c r="J49" s="516"/>
      <c r="P49" s="1">
        <v>0.0</v>
      </c>
      <c r="Q49" s="1" t="s">
        <v>2404</v>
      </c>
      <c r="S49" s="517"/>
      <c r="V49" s="1">
        <v>0.08</v>
      </c>
      <c r="W49" s="518">
        <f t="shared" si="1"/>
        <v>80</v>
      </c>
    </row>
    <row r="50" hidden="1">
      <c r="C50" s="515"/>
      <c r="G50" s="1" t="s">
        <v>2429</v>
      </c>
      <c r="I50" s="516"/>
      <c r="J50" s="516"/>
      <c r="P50" s="1">
        <v>0.0</v>
      </c>
      <c r="Q50" s="1" t="s">
        <v>2404</v>
      </c>
      <c r="S50" s="517"/>
      <c r="V50" s="1">
        <v>0.08</v>
      </c>
      <c r="W50" s="518">
        <f t="shared" si="1"/>
        <v>80</v>
      </c>
    </row>
    <row r="51" hidden="1">
      <c r="C51" s="515"/>
      <c r="G51" s="1" t="s">
        <v>2430</v>
      </c>
      <c r="I51" s="516"/>
      <c r="J51" s="516"/>
      <c r="P51" s="1">
        <v>0.0</v>
      </c>
      <c r="Q51" s="1" t="s">
        <v>2404</v>
      </c>
      <c r="S51" s="517"/>
      <c r="V51" s="1">
        <v>0.08</v>
      </c>
      <c r="W51" s="518">
        <f t="shared" si="1"/>
        <v>80</v>
      </c>
    </row>
    <row r="52" hidden="1">
      <c r="C52" s="515"/>
      <c r="G52" s="1" t="s">
        <v>2430</v>
      </c>
      <c r="I52" s="516"/>
      <c r="J52" s="516"/>
      <c r="P52" s="1">
        <v>0.0</v>
      </c>
      <c r="Q52" s="1" t="s">
        <v>2404</v>
      </c>
      <c r="S52" s="517"/>
      <c r="V52" s="1">
        <v>0.08</v>
      </c>
      <c r="W52" s="518">
        <f t="shared" si="1"/>
        <v>80</v>
      </c>
    </row>
    <row r="53" hidden="1">
      <c r="C53" s="515"/>
      <c r="G53" s="1" t="s">
        <v>2431</v>
      </c>
      <c r="I53" s="516"/>
      <c r="J53" s="516"/>
      <c r="P53" s="1">
        <v>0.0</v>
      </c>
      <c r="Q53" s="1" t="s">
        <v>2404</v>
      </c>
      <c r="S53" s="517"/>
      <c r="V53" s="1">
        <v>0.08</v>
      </c>
      <c r="W53" s="518">
        <f t="shared" si="1"/>
        <v>80</v>
      </c>
    </row>
    <row r="54" hidden="1">
      <c r="C54" s="515"/>
      <c r="G54" s="1" t="s">
        <v>2431</v>
      </c>
      <c r="I54" s="516"/>
      <c r="J54" s="516"/>
      <c r="P54" s="1">
        <v>0.0</v>
      </c>
      <c r="Q54" s="1" t="s">
        <v>2404</v>
      </c>
      <c r="S54" s="517"/>
      <c r="V54" s="1">
        <v>0.08</v>
      </c>
      <c r="W54" s="518">
        <f t="shared" si="1"/>
        <v>80</v>
      </c>
    </row>
    <row r="55" hidden="1">
      <c r="C55" s="515"/>
      <c r="G55" s="1" t="s">
        <v>2432</v>
      </c>
      <c r="I55" s="516"/>
      <c r="J55" s="516"/>
      <c r="P55" s="1">
        <v>0.0</v>
      </c>
      <c r="Q55" s="1" t="s">
        <v>2404</v>
      </c>
      <c r="S55" s="517"/>
      <c r="V55" s="1">
        <v>0.08</v>
      </c>
      <c r="W55" s="518">
        <f t="shared" si="1"/>
        <v>80</v>
      </c>
    </row>
    <row r="56" hidden="1">
      <c r="C56" s="515"/>
      <c r="G56" s="1" t="s">
        <v>2432</v>
      </c>
      <c r="I56" s="516"/>
      <c r="J56" s="516"/>
      <c r="P56" s="1">
        <v>0.0</v>
      </c>
      <c r="Q56" s="1" t="s">
        <v>2404</v>
      </c>
      <c r="S56" s="517"/>
      <c r="V56" s="1">
        <v>0.08</v>
      </c>
      <c r="W56" s="518">
        <f t="shared" si="1"/>
        <v>80</v>
      </c>
    </row>
    <row r="57" hidden="1">
      <c r="C57" s="515"/>
      <c r="G57" s="1" t="s">
        <v>2433</v>
      </c>
      <c r="I57" s="516"/>
      <c r="J57" s="516"/>
      <c r="P57" s="1">
        <v>0.0</v>
      </c>
      <c r="Q57" s="1" t="s">
        <v>2404</v>
      </c>
      <c r="S57" s="517"/>
      <c r="V57" s="1">
        <v>0.04</v>
      </c>
      <c r="W57" s="518">
        <f t="shared" si="1"/>
        <v>40</v>
      </c>
    </row>
    <row r="58" hidden="1">
      <c r="C58" s="515"/>
      <c r="G58" s="1" t="s">
        <v>2433</v>
      </c>
      <c r="I58" s="516"/>
      <c r="J58" s="516"/>
      <c r="P58" s="1">
        <v>0.0</v>
      </c>
      <c r="Q58" s="1" t="s">
        <v>2404</v>
      </c>
      <c r="S58" s="517"/>
      <c r="V58" s="1">
        <v>0.04</v>
      </c>
      <c r="W58" s="518">
        <f t="shared" si="1"/>
        <v>40</v>
      </c>
    </row>
    <row r="59" hidden="1">
      <c r="C59" s="515"/>
      <c r="G59" s="1" t="s">
        <v>2434</v>
      </c>
      <c r="I59" s="516"/>
      <c r="J59" s="516"/>
      <c r="P59" s="1">
        <v>0.0</v>
      </c>
      <c r="Q59" s="1" t="s">
        <v>2404</v>
      </c>
      <c r="S59" s="517"/>
      <c r="V59" s="1">
        <v>0.04</v>
      </c>
      <c r="W59" s="518">
        <f t="shared" si="1"/>
        <v>40</v>
      </c>
    </row>
    <row r="60" hidden="1">
      <c r="C60" s="515"/>
      <c r="G60" s="1" t="s">
        <v>2434</v>
      </c>
      <c r="I60" s="516"/>
      <c r="J60" s="516"/>
      <c r="P60" s="1">
        <v>0.0</v>
      </c>
      <c r="Q60" s="1" t="s">
        <v>2404</v>
      </c>
      <c r="S60" s="517"/>
      <c r="V60" s="1">
        <v>0.04</v>
      </c>
      <c r="W60" s="518">
        <f t="shared" si="1"/>
        <v>40</v>
      </c>
    </row>
    <row r="61" hidden="1">
      <c r="C61" s="515"/>
      <c r="G61" s="1" t="s">
        <v>2435</v>
      </c>
      <c r="I61" s="516"/>
      <c r="J61" s="516"/>
      <c r="P61" s="1">
        <v>0.0</v>
      </c>
      <c r="Q61" s="1" t="s">
        <v>2404</v>
      </c>
      <c r="S61" s="517"/>
      <c r="V61" s="1">
        <v>0.08</v>
      </c>
      <c r="W61" s="518">
        <f t="shared" si="1"/>
        <v>80</v>
      </c>
    </row>
    <row r="62" hidden="1">
      <c r="C62" s="515"/>
      <c r="G62" s="1" t="s">
        <v>2435</v>
      </c>
      <c r="I62" s="516"/>
      <c r="J62" s="516"/>
      <c r="P62" s="1">
        <v>0.0</v>
      </c>
      <c r="Q62" s="1" t="s">
        <v>2404</v>
      </c>
      <c r="S62" s="517"/>
      <c r="V62" s="1">
        <v>0.08</v>
      </c>
      <c r="W62" s="518">
        <f t="shared" si="1"/>
        <v>80</v>
      </c>
    </row>
    <row r="63" hidden="1">
      <c r="C63" s="515"/>
      <c r="G63" s="1" t="s">
        <v>2436</v>
      </c>
      <c r="I63" s="516"/>
      <c r="J63" s="516"/>
      <c r="P63" s="1">
        <v>0.0</v>
      </c>
      <c r="Q63" s="1" t="s">
        <v>2404</v>
      </c>
      <c r="S63" s="517"/>
      <c r="V63" s="1">
        <v>0.25</v>
      </c>
      <c r="W63" s="518">
        <f t="shared" si="1"/>
        <v>250</v>
      </c>
    </row>
    <row r="64" hidden="1">
      <c r="C64" s="515"/>
      <c r="G64" s="1" t="s">
        <v>2436</v>
      </c>
      <c r="I64" s="516"/>
      <c r="J64" s="516"/>
      <c r="P64" s="1">
        <v>0.0</v>
      </c>
      <c r="Q64" s="1" t="s">
        <v>2404</v>
      </c>
      <c r="S64" s="517"/>
      <c r="V64" s="1">
        <v>0.25</v>
      </c>
      <c r="W64" s="518">
        <f t="shared" si="1"/>
        <v>250</v>
      </c>
    </row>
    <row r="65" hidden="1">
      <c r="C65" s="515"/>
      <c r="G65" s="1" t="s">
        <v>2437</v>
      </c>
      <c r="I65" s="516"/>
      <c r="J65" s="516"/>
      <c r="P65" s="1">
        <v>0.0</v>
      </c>
      <c r="Q65" s="1" t="s">
        <v>2404</v>
      </c>
      <c r="S65" s="517"/>
      <c r="V65" s="1">
        <v>0.08</v>
      </c>
      <c r="W65" s="518">
        <f t="shared" si="1"/>
        <v>80</v>
      </c>
    </row>
    <row r="66" hidden="1">
      <c r="C66" s="515"/>
      <c r="G66" s="1" t="s">
        <v>2437</v>
      </c>
      <c r="I66" s="516"/>
      <c r="J66" s="516"/>
      <c r="P66" s="1">
        <v>0.0</v>
      </c>
      <c r="Q66" s="1" t="s">
        <v>2404</v>
      </c>
      <c r="S66" s="517"/>
      <c r="V66" s="1">
        <v>0.08</v>
      </c>
      <c r="W66" s="518">
        <f t="shared" si="1"/>
        <v>80</v>
      </c>
    </row>
    <row r="67" hidden="1">
      <c r="C67" s="515"/>
      <c r="G67" s="1" t="s">
        <v>2438</v>
      </c>
      <c r="I67" s="516"/>
      <c r="J67" s="516"/>
      <c r="P67" s="1">
        <v>0.0</v>
      </c>
      <c r="Q67" s="1" t="s">
        <v>2404</v>
      </c>
      <c r="S67" s="517"/>
      <c r="V67" s="1">
        <v>0.17</v>
      </c>
      <c r="W67" s="518">
        <f t="shared" si="1"/>
        <v>170</v>
      </c>
    </row>
    <row r="68" hidden="1">
      <c r="C68" s="515"/>
      <c r="G68" s="1" t="s">
        <v>2438</v>
      </c>
      <c r="I68" s="516"/>
      <c r="J68" s="516"/>
      <c r="P68" s="1">
        <v>0.0</v>
      </c>
      <c r="Q68" s="1" t="s">
        <v>2404</v>
      </c>
      <c r="S68" s="517"/>
      <c r="V68" s="1">
        <v>0.17</v>
      </c>
      <c r="W68" s="518">
        <f t="shared" si="1"/>
        <v>170</v>
      </c>
    </row>
    <row r="69" hidden="1">
      <c r="C69" s="515"/>
      <c r="G69" s="1" t="s">
        <v>2439</v>
      </c>
      <c r="I69" s="516"/>
      <c r="J69" s="516"/>
      <c r="P69" s="1">
        <v>0.0</v>
      </c>
      <c r="Q69" s="1" t="s">
        <v>2404</v>
      </c>
      <c r="S69" s="517"/>
      <c r="V69" s="1">
        <v>0.08</v>
      </c>
      <c r="W69" s="518">
        <f t="shared" si="1"/>
        <v>80</v>
      </c>
    </row>
    <row r="70" hidden="1">
      <c r="C70" s="515"/>
      <c r="G70" s="1" t="s">
        <v>2439</v>
      </c>
      <c r="I70" s="516"/>
      <c r="J70" s="516"/>
      <c r="P70" s="1">
        <v>0.0</v>
      </c>
      <c r="Q70" s="1" t="s">
        <v>2404</v>
      </c>
      <c r="S70" s="517"/>
      <c r="V70" s="1">
        <v>0.08</v>
      </c>
      <c r="W70" s="518">
        <f t="shared" si="1"/>
        <v>80</v>
      </c>
    </row>
    <row r="71" hidden="1">
      <c r="C71" s="515"/>
      <c r="G71" s="1" t="s">
        <v>2440</v>
      </c>
      <c r="I71" s="516"/>
      <c r="J71" s="516"/>
      <c r="P71" s="1">
        <v>0.0</v>
      </c>
      <c r="Q71" s="1" t="s">
        <v>2404</v>
      </c>
      <c r="S71" s="517"/>
      <c r="V71" s="1">
        <v>0.17</v>
      </c>
      <c r="W71" s="518">
        <f t="shared" si="1"/>
        <v>170</v>
      </c>
    </row>
    <row r="72" hidden="1">
      <c r="C72" s="515"/>
      <c r="G72" s="1" t="s">
        <v>2440</v>
      </c>
      <c r="I72" s="516"/>
      <c r="J72" s="516"/>
      <c r="P72" s="1">
        <v>0.0</v>
      </c>
      <c r="Q72" s="1" t="s">
        <v>2404</v>
      </c>
      <c r="S72" s="517"/>
      <c r="V72" s="1">
        <v>0.17</v>
      </c>
      <c r="W72" s="518">
        <f t="shared" si="1"/>
        <v>170</v>
      </c>
    </row>
    <row r="73" hidden="1">
      <c r="C73" s="515"/>
      <c r="G73" s="1" t="s">
        <v>2441</v>
      </c>
      <c r="I73" s="516"/>
      <c r="J73" s="516"/>
      <c r="P73" s="1">
        <v>0.0</v>
      </c>
      <c r="Q73" s="1" t="s">
        <v>2404</v>
      </c>
      <c r="S73" s="517"/>
      <c r="V73" s="1">
        <v>0.08</v>
      </c>
      <c r="W73" s="518">
        <f t="shared" si="1"/>
        <v>80</v>
      </c>
    </row>
    <row r="74" hidden="1">
      <c r="C74" s="515"/>
      <c r="G74" s="1" t="s">
        <v>2441</v>
      </c>
      <c r="I74" s="516"/>
      <c r="J74" s="516"/>
      <c r="P74" s="1">
        <v>0.0</v>
      </c>
      <c r="Q74" s="1" t="s">
        <v>2404</v>
      </c>
      <c r="S74" s="517"/>
      <c r="V74" s="1">
        <v>0.08</v>
      </c>
      <c r="W74" s="518">
        <f t="shared" si="1"/>
        <v>80</v>
      </c>
    </row>
    <row r="75" hidden="1">
      <c r="C75" s="515"/>
      <c r="G75" s="1" t="s">
        <v>2442</v>
      </c>
      <c r="I75" s="516"/>
      <c r="J75" s="516"/>
      <c r="K75" s="515">
        <v>44561.0</v>
      </c>
      <c r="P75" s="1">
        <v>0.0</v>
      </c>
      <c r="Q75" s="1" t="s">
        <v>2404</v>
      </c>
      <c r="S75" s="517"/>
      <c r="V75" s="1">
        <v>17.03</v>
      </c>
      <c r="W75" s="518">
        <f t="shared" si="1"/>
        <v>17030</v>
      </c>
    </row>
    <row r="76" hidden="1">
      <c r="C76" s="515"/>
      <c r="G76" s="1" t="s">
        <v>2442</v>
      </c>
      <c r="I76" s="516"/>
      <c r="J76" s="516"/>
      <c r="K76" s="515">
        <v>46022.0</v>
      </c>
      <c r="P76" s="1">
        <v>0.0</v>
      </c>
      <c r="Q76" s="1" t="s">
        <v>2404</v>
      </c>
      <c r="S76" s="517"/>
      <c r="V76" s="1">
        <v>23.28</v>
      </c>
      <c r="W76" s="518">
        <f t="shared" si="1"/>
        <v>23280</v>
      </c>
    </row>
    <row r="77" hidden="1">
      <c r="C77" s="515"/>
      <c r="G77" s="1" t="s">
        <v>2442</v>
      </c>
      <c r="I77" s="516"/>
      <c r="J77" s="516"/>
      <c r="K77" s="515">
        <v>46387.0</v>
      </c>
      <c r="P77" s="1">
        <v>0.0</v>
      </c>
      <c r="Q77" s="1" t="s">
        <v>2404</v>
      </c>
      <c r="S77" s="517"/>
      <c r="V77" s="1">
        <v>411.56</v>
      </c>
      <c r="W77" s="518">
        <f t="shared" si="1"/>
        <v>411560</v>
      </c>
    </row>
    <row r="78" hidden="1">
      <c r="C78" s="515"/>
      <c r="G78" s="1" t="s">
        <v>2443</v>
      </c>
      <c r="I78" s="516"/>
      <c r="J78" s="516"/>
      <c r="P78" s="1">
        <v>0.0</v>
      </c>
      <c r="Q78" s="1" t="s">
        <v>2404</v>
      </c>
      <c r="S78" s="517"/>
      <c r="V78" s="1">
        <v>0.83</v>
      </c>
      <c r="W78" s="518">
        <f t="shared" si="1"/>
        <v>830</v>
      </c>
    </row>
    <row r="79" hidden="1">
      <c r="C79" s="515"/>
      <c r="G79" s="1" t="s">
        <v>2443</v>
      </c>
      <c r="I79" s="516"/>
      <c r="J79" s="516"/>
      <c r="P79" s="1">
        <v>0.0</v>
      </c>
      <c r="Q79" s="1" t="s">
        <v>2404</v>
      </c>
      <c r="S79" s="517"/>
      <c r="V79" s="1">
        <v>0.83</v>
      </c>
      <c r="W79" s="518">
        <f t="shared" si="1"/>
        <v>830</v>
      </c>
    </row>
    <row r="80" hidden="1">
      <c r="C80" s="515"/>
      <c r="G80" s="1" t="s">
        <v>2444</v>
      </c>
      <c r="I80" s="516"/>
      <c r="J80" s="516"/>
      <c r="P80" s="1">
        <v>0.0</v>
      </c>
      <c r="Q80" s="1" t="s">
        <v>2404</v>
      </c>
      <c r="S80" s="517"/>
      <c r="V80" s="1">
        <v>0.13</v>
      </c>
      <c r="W80" s="518">
        <f t="shared" si="1"/>
        <v>130</v>
      </c>
    </row>
    <row r="81" hidden="1">
      <c r="C81" s="515"/>
      <c r="G81" s="1" t="s">
        <v>2444</v>
      </c>
      <c r="I81" s="516"/>
      <c r="J81" s="516"/>
      <c r="P81" s="1">
        <v>0.0</v>
      </c>
      <c r="Q81" s="1" t="s">
        <v>2404</v>
      </c>
      <c r="S81" s="517"/>
      <c r="V81" s="1">
        <v>0.13</v>
      </c>
      <c r="W81" s="518">
        <f t="shared" si="1"/>
        <v>130</v>
      </c>
    </row>
    <row r="82" hidden="1">
      <c r="C82" s="515"/>
      <c r="G82" s="1" t="s">
        <v>2445</v>
      </c>
      <c r="I82" s="516"/>
      <c r="J82" s="516"/>
      <c r="P82" s="1">
        <v>0.0</v>
      </c>
      <c r="Q82" s="1" t="s">
        <v>2404</v>
      </c>
      <c r="S82" s="517"/>
      <c r="V82" s="1">
        <v>0.17</v>
      </c>
      <c r="W82" s="518">
        <f t="shared" si="1"/>
        <v>170</v>
      </c>
    </row>
    <row r="83" hidden="1">
      <c r="C83" s="515"/>
      <c r="G83" s="1" t="s">
        <v>2445</v>
      </c>
      <c r="I83" s="516"/>
      <c r="J83" s="516"/>
      <c r="P83" s="1">
        <v>0.0</v>
      </c>
      <c r="Q83" s="1" t="s">
        <v>2404</v>
      </c>
      <c r="S83" s="517"/>
      <c r="V83" s="1">
        <v>0.17</v>
      </c>
      <c r="W83" s="518">
        <f t="shared" si="1"/>
        <v>170</v>
      </c>
    </row>
    <row r="84" hidden="1">
      <c r="C84" s="515"/>
      <c r="G84" s="1" t="s">
        <v>2446</v>
      </c>
      <c r="I84" s="516"/>
      <c r="J84" s="516"/>
      <c r="P84" s="1">
        <v>0.0</v>
      </c>
      <c r="Q84" s="1" t="s">
        <v>2404</v>
      </c>
      <c r="S84" s="517"/>
      <c r="V84" s="1">
        <v>0.04</v>
      </c>
      <c r="W84" s="518">
        <f t="shared" si="1"/>
        <v>40</v>
      </c>
    </row>
    <row r="85" hidden="1">
      <c r="C85" s="515"/>
      <c r="G85" s="1" t="s">
        <v>2447</v>
      </c>
      <c r="I85" s="516"/>
      <c r="J85" s="516"/>
      <c r="P85" s="1">
        <v>0.0</v>
      </c>
      <c r="Q85" s="1" t="s">
        <v>2404</v>
      </c>
      <c r="S85" s="517"/>
      <c r="V85" s="1">
        <v>0.08</v>
      </c>
      <c r="W85" s="518">
        <f t="shared" si="1"/>
        <v>80</v>
      </c>
    </row>
    <row r="86" hidden="1">
      <c r="C86" s="515"/>
      <c r="G86" s="1" t="s">
        <v>2447</v>
      </c>
      <c r="I86" s="516"/>
      <c r="J86" s="516"/>
      <c r="P86" s="1">
        <v>0.0</v>
      </c>
      <c r="Q86" s="1" t="s">
        <v>2404</v>
      </c>
      <c r="S86" s="517"/>
      <c r="V86" s="1">
        <v>0.08</v>
      </c>
      <c r="W86" s="518">
        <f t="shared" si="1"/>
        <v>80</v>
      </c>
    </row>
    <row r="87" hidden="1">
      <c r="C87" s="515"/>
      <c r="G87" s="1" t="s">
        <v>2448</v>
      </c>
      <c r="I87" s="516"/>
      <c r="J87" s="516"/>
      <c r="P87" s="1">
        <v>0.0</v>
      </c>
      <c r="Q87" s="1" t="s">
        <v>2404</v>
      </c>
      <c r="S87" s="517"/>
      <c r="V87" s="1">
        <v>0.04</v>
      </c>
      <c r="W87" s="518">
        <f t="shared" si="1"/>
        <v>40</v>
      </c>
    </row>
    <row r="88" hidden="1">
      <c r="C88" s="515"/>
      <c r="G88" s="1" t="s">
        <v>2448</v>
      </c>
      <c r="I88" s="516"/>
      <c r="J88" s="516"/>
      <c r="P88" s="1">
        <v>0.0</v>
      </c>
      <c r="Q88" s="1" t="s">
        <v>2404</v>
      </c>
      <c r="S88" s="517"/>
      <c r="V88" s="1">
        <v>0.04</v>
      </c>
      <c r="W88" s="518">
        <f t="shared" si="1"/>
        <v>40</v>
      </c>
    </row>
    <row r="89" hidden="1">
      <c r="C89" s="515"/>
      <c r="G89" s="1" t="s">
        <v>2449</v>
      </c>
      <c r="I89" s="516"/>
      <c r="J89" s="516"/>
      <c r="P89" s="1">
        <v>0.0</v>
      </c>
      <c r="Q89" s="1" t="s">
        <v>2404</v>
      </c>
      <c r="S89" s="517"/>
      <c r="V89" s="1">
        <v>0.04</v>
      </c>
      <c r="W89" s="518">
        <f t="shared" si="1"/>
        <v>40</v>
      </c>
    </row>
    <row r="90" hidden="1">
      <c r="C90" s="515"/>
      <c r="G90" s="1" t="s">
        <v>2449</v>
      </c>
      <c r="I90" s="516"/>
      <c r="J90" s="516"/>
      <c r="P90" s="1">
        <v>0.0</v>
      </c>
      <c r="Q90" s="1" t="s">
        <v>2404</v>
      </c>
      <c r="S90" s="517"/>
      <c r="V90" s="1">
        <v>0.04</v>
      </c>
      <c r="W90" s="518">
        <f t="shared" si="1"/>
        <v>40</v>
      </c>
    </row>
    <row r="91" hidden="1">
      <c r="C91" s="515"/>
      <c r="G91" s="1" t="s">
        <v>2450</v>
      </c>
      <c r="I91" s="516"/>
      <c r="J91" s="516"/>
      <c r="P91" s="1">
        <v>0.0</v>
      </c>
      <c r="Q91" s="1" t="s">
        <v>2404</v>
      </c>
      <c r="S91" s="517"/>
      <c r="V91" s="1">
        <v>0.08</v>
      </c>
      <c r="W91" s="518">
        <f t="shared" si="1"/>
        <v>80</v>
      </c>
    </row>
    <row r="92" hidden="1">
      <c r="C92" s="515"/>
      <c r="G92" s="1" t="s">
        <v>2451</v>
      </c>
      <c r="I92" s="516"/>
      <c r="J92" s="516"/>
      <c r="P92" s="1">
        <v>0.0</v>
      </c>
      <c r="Q92" s="1" t="s">
        <v>2404</v>
      </c>
      <c r="S92" s="517"/>
      <c r="V92" s="1">
        <v>0.04</v>
      </c>
      <c r="W92" s="518">
        <f t="shared" si="1"/>
        <v>40</v>
      </c>
    </row>
    <row r="93" hidden="1">
      <c r="C93" s="515"/>
      <c r="G93" s="1" t="s">
        <v>2452</v>
      </c>
      <c r="I93" s="516"/>
      <c r="J93" s="516"/>
      <c r="P93" s="1">
        <v>0.0</v>
      </c>
      <c r="Q93" s="1" t="s">
        <v>2404</v>
      </c>
      <c r="S93" s="517"/>
      <c r="V93" s="1">
        <v>0.04</v>
      </c>
      <c r="W93" s="518">
        <f t="shared" si="1"/>
        <v>40</v>
      </c>
    </row>
    <row r="94" hidden="1">
      <c r="C94" s="515"/>
      <c r="G94" s="1" t="s">
        <v>2453</v>
      </c>
      <c r="I94" s="516"/>
      <c r="J94" s="516"/>
      <c r="P94" s="1">
        <v>0.0</v>
      </c>
      <c r="Q94" s="1" t="s">
        <v>2404</v>
      </c>
      <c r="S94" s="517"/>
      <c r="V94" s="1">
        <v>0.08</v>
      </c>
      <c r="W94" s="518">
        <f t="shared" si="1"/>
        <v>80</v>
      </c>
    </row>
    <row r="95" hidden="1">
      <c r="C95" s="515"/>
      <c r="G95" s="1" t="s">
        <v>2454</v>
      </c>
      <c r="I95" s="516"/>
      <c r="J95" s="516"/>
      <c r="P95" s="1">
        <v>0.0</v>
      </c>
      <c r="Q95" s="1" t="s">
        <v>2404</v>
      </c>
      <c r="S95" s="517"/>
      <c r="V95" s="1">
        <v>0.08</v>
      </c>
      <c r="W95" s="518">
        <f t="shared" si="1"/>
        <v>80</v>
      </c>
    </row>
    <row r="96" hidden="1">
      <c r="C96" s="515"/>
      <c r="G96" s="1" t="s">
        <v>2455</v>
      </c>
      <c r="I96" s="516"/>
      <c r="J96" s="516"/>
      <c r="P96" s="1">
        <v>0.0</v>
      </c>
      <c r="Q96" s="1" t="s">
        <v>2404</v>
      </c>
      <c r="S96" s="517"/>
      <c r="V96" s="1">
        <v>0.17</v>
      </c>
      <c r="W96" s="518">
        <f t="shared" si="1"/>
        <v>170</v>
      </c>
    </row>
    <row r="97" hidden="1">
      <c r="C97" s="515"/>
      <c r="G97" s="1" t="s">
        <v>2456</v>
      </c>
      <c r="I97" s="516"/>
      <c r="J97" s="516"/>
      <c r="P97" s="1">
        <v>0.0</v>
      </c>
      <c r="Q97" s="1" t="s">
        <v>2404</v>
      </c>
      <c r="S97" s="517"/>
      <c r="V97" s="1">
        <v>0.67</v>
      </c>
      <c r="W97" s="518">
        <f t="shared" si="1"/>
        <v>670</v>
      </c>
    </row>
    <row r="98" hidden="1">
      <c r="C98" s="515"/>
      <c r="G98" s="1" t="s">
        <v>2457</v>
      </c>
      <c r="I98" s="516"/>
      <c r="J98" s="516"/>
      <c r="P98" s="1">
        <v>0.0</v>
      </c>
      <c r="Q98" s="1" t="s">
        <v>2404</v>
      </c>
      <c r="S98" s="517"/>
      <c r="V98" s="1">
        <v>0.5</v>
      </c>
      <c r="W98" s="518">
        <f t="shared" si="1"/>
        <v>500</v>
      </c>
    </row>
    <row r="99" hidden="1">
      <c r="C99" s="515"/>
      <c r="G99" s="1" t="s">
        <v>2458</v>
      </c>
      <c r="I99" s="516"/>
      <c r="J99" s="516"/>
      <c r="P99" s="1">
        <v>0.0</v>
      </c>
      <c r="Q99" s="1" t="s">
        <v>2404</v>
      </c>
      <c r="S99" s="517"/>
      <c r="V99" s="1">
        <v>0.08</v>
      </c>
      <c r="W99" s="518">
        <f t="shared" si="1"/>
        <v>80</v>
      </c>
    </row>
    <row r="100" hidden="1">
      <c r="C100" s="515"/>
      <c r="G100" s="1" t="s">
        <v>2459</v>
      </c>
      <c r="I100" s="516"/>
      <c r="J100" s="516"/>
      <c r="P100" s="1">
        <v>0.0</v>
      </c>
      <c r="Q100" s="1" t="s">
        <v>2404</v>
      </c>
      <c r="S100" s="517"/>
      <c r="V100" s="1">
        <v>0.04</v>
      </c>
      <c r="W100" s="518">
        <f t="shared" si="1"/>
        <v>40</v>
      </c>
    </row>
    <row r="101" hidden="1">
      <c r="C101" s="515"/>
      <c r="G101" s="1" t="s">
        <v>2460</v>
      </c>
      <c r="I101" s="516"/>
      <c r="J101" s="516"/>
      <c r="M101" s="515"/>
      <c r="N101" s="516"/>
      <c r="P101" s="1">
        <v>0.0</v>
      </c>
      <c r="Q101" s="1" t="s">
        <v>2404</v>
      </c>
      <c r="S101" s="517"/>
      <c r="V101" s="1">
        <v>0.83</v>
      </c>
      <c r="W101" s="518">
        <f t="shared" si="1"/>
        <v>830</v>
      </c>
    </row>
    <row r="102" hidden="1">
      <c r="C102" s="515"/>
      <c r="G102" s="1" t="s">
        <v>2461</v>
      </c>
      <c r="I102" s="516"/>
      <c r="J102" s="516"/>
      <c r="P102" s="1">
        <v>0.0</v>
      </c>
      <c r="Q102" s="1" t="s">
        <v>2404</v>
      </c>
      <c r="S102" s="517"/>
      <c r="V102" s="1">
        <v>0.08</v>
      </c>
      <c r="W102" s="518">
        <f t="shared" si="1"/>
        <v>80</v>
      </c>
    </row>
    <row r="103" hidden="1">
      <c r="C103" s="515"/>
      <c r="G103" s="1" t="s">
        <v>2462</v>
      </c>
      <c r="I103" s="516"/>
      <c r="J103" s="516"/>
      <c r="M103" s="515"/>
      <c r="N103" s="516"/>
      <c r="P103" s="1">
        <v>0.0</v>
      </c>
      <c r="Q103" s="1" t="s">
        <v>2404</v>
      </c>
      <c r="S103" s="517"/>
      <c r="V103" s="1">
        <v>0.04</v>
      </c>
      <c r="W103" s="518">
        <f t="shared" si="1"/>
        <v>40</v>
      </c>
    </row>
    <row r="104" hidden="1">
      <c r="C104" s="515"/>
      <c r="G104" s="1" t="s">
        <v>2463</v>
      </c>
      <c r="I104" s="516"/>
      <c r="J104" s="516"/>
      <c r="M104" s="515"/>
      <c r="N104" s="516"/>
      <c r="P104" s="1">
        <v>0.0</v>
      </c>
      <c r="Q104" s="1" t="s">
        <v>2404</v>
      </c>
      <c r="S104" s="517"/>
      <c r="V104" s="1">
        <v>0.08</v>
      </c>
      <c r="W104" s="518">
        <f t="shared" si="1"/>
        <v>80</v>
      </c>
    </row>
    <row r="105" hidden="1">
      <c r="C105" s="515"/>
      <c r="G105" s="1" t="s">
        <v>2464</v>
      </c>
      <c r="I105" s="516"/>
      <c r="J105" s="516"/>
      <c r="M105" s="515"/>
      <c r="N105" s="516"/>
      <c r="P105" s="1">
        <v>0.0</v>
      </c>
      <c r="Q105" s="1" t="s">
        <v>2404</v>
      </c>
      <c r="S105" s="517"/>
      <c r="V105" s="1">
        <v>0.08</v>
      </c>
      <c r="W105" s="518">
        <f t="shared" si="1"/>
        <v>80</v>
      </c>
    </row>
    <row r="106" hidden="1">
      <c r="C106" s="515"/>
      <c r="G106" s="1" t="s">
        <v>2465</v>
      </c>
      <c r="I106" s="516"/>
      <c r="J106" s="516"/>
      <c r="P106" s="1">
        <v>0.0</v>
      </c>
      <c r="Q106" s="1" t="s">
        <v>2404</v>
      </c>
      <c r="S106" s="517"/>
      <c r="V106" s="1">
        <v>0.17</v>
      </c>
      <c r="W106" s="518">
        <f t="shared" si="1"/>
        <v>170</v>
      </c>
    </row>
    <row r="107" hidden="1">
      <c r="C107" s="515"/>
      <c r="G107" s="1" t="s">
        <v>2466</v>
      </c>
      <c r="I107" s="516"/>
      <c r="J107" s="516"/>
      <c r="M107" s="515"/>
      <c r="N107" s="516"/>
      <c r="P107" s="1">
        <v>0.0</v>
      </c>
      <c r="Q107" s="1" t="s">
        <v>2404</v>
      </c>
      <c r="S107" s="517"/>
      <c r="V107" s="1">
        <v>0.21</v>
      </c>
      <c r="W107" s="518">
        <f t="shared" si="1"/>
        <v>210</v>
      </c>
    </row>
    <row r="108" hidden="1">
      <c r="C108" s="515"/>
      <c r="G108" s="1" t="s">
        <v>2467</v>
      </c>
      <c r="I108" s="516"/>
      <c r="J108" s="516"/>
      <c r="M108" s="515"/>
      <c r="N108" s="516"/>
      <c r="P108" s="1">
        <v>0.0</v>
      </c>
      <c r="Q108" s="1" t="s">
        <v>2404</v>
      </c>
      <c r="S108" s="517"/>
      <c r="V108" s="1">
        <v>0.04</v>
      </c>
      <c r="W108" s="518">
        <f t="shared" si="1"/>
        <v>40</v>
      </c>
    </row>
    <row r="109" hidden="1">
      <c r="C109" s="515"/>
      <c r="G109" s="1" t="s">
        <v>2468</v>
      </c>
      <c r="I109" s="516"/>
      <c r="J109" s="516"/>
      <c r="M109" s="515"/>
      <c r="N109" s="516"/>
      <c r="P109" s="1">
        <v>0.0</v>
      </c>
      <c r="Q109" s="1" t="s">
        <v>2404</v>
      </c>
      <c r="S109" s="517"/>
      <c r="V109" s="1">
        <v>0.04</v>
      </c>
      <c r="W109" s="518">
        <f t="shared" si="1"/>
        <v>40</v>
      </c>
    </row>
    <row r="110" hidden="1">
      <c r="C110" s="515"/>
      <c r="G110" s="1" t="s">
        <v>2469</v>
      </c>
      <c r="I110" s="516"/>
      <c r="J110" s="516"/>
      <c r="M110" s="515"/>
      <c r="N110" s="516"/>
      <c r="P110" s="1">
        <v>0.0</v>
      </c>
      <c r="Q110" s="1" t="s">
        <v>2404</v>
      </c>
      <c r="S110" s="517"/>
      <c r="V110" s="1">
        <v>0.04</v>
      </c>
      <c r="W110" s="518">
        <f t="shared" si="1"/>
        <v>40</v>
      </c>
    </row>
    <row r="111" hidden="1">
      <c r="C111" s="515"/>
      <c r="G111" s="1" t="s">
        <v>2470</v>
      </c>
      <c r="I111" s="516"/>
      <c r="J111" s="516"/>
      <c r="M111" s="515"/>
      <c r="N111" s="516"/>
      <c r="P111" s="1">
        <v>0.0</v>
      </c>
      <c r="Q111" s="1" t="s">
        <v>2404</v>
      </c>
      <c r="S111" s="517"/>
      <c r="V111" s="1">
        <v>0.33</v>
      </c>
      <c r="W111" s="518">
        <f t="shared" si="1"/>
        <v>330</v>
      </c>
    </row>
    <row r="112" hidden="1">
      <c r="C112" s="515"/>
      <c r="G112" s="1" t="s">
        <v>2471</v>
      </c>
      <c r="I112" s="516"/>
      <c r="J112" s="516"/>
      <c r="M112" s="515"/>
      <c r="N112" s="516"/>
      <c r="P112" s="1">
        <v>0.0</v>
      </c>
      <c r="Q112" s="1" t="s">
        <v>2404</v>
      </c>
      <c r="S112" s="517"/>
      <c r="V112" s="1">
        <v>0.04</v>
      </c>
      <c r="W112" s="518">
        <f t="shared" si="1"/>
        <v>40</v>
      </c>
    </row>
    <row r="113" hidden="1">
      <c r="C113" s="515"/>
      <c r="G113" s="1" t="s">
        <v>2472</v>
      </c>
      <c r="I113" s="516"/>
      <c r="J113" s="516"/>
      <c r="M113" s="515"/>
      <c r="N113" s="516"/>
      <c r="P113" s="1">
        <v>0.0</v>
      </c>
      <c r="Q113" s="1" t="s">
        <v>2404</v>
      </c>
      <c r="S113" s="517"/>
      <c r="V113" s="1">
        <v>0.08</v>
      </c>
      <c r="W113" s="518">
        <f t="shared" si="1"/>
        <v>80</v>
      </c>
    </row>
    <row r="114" hidden="1">
      <c r="C114" s="515"/>
      <c r="G114" s="1" t="s">
        <v>2473</v>
      </c>
      <c r="I114" s="516"/>
      <c r="J114" s="516"/>
      <c r="M114" s="515"/>
      <c r="N114" s="516"/>
      <c r="P114" s="1">
        <v>0.0</v>
      </c>
      <c r="Q114" s="1" t="s">
        <v>2404</v>
      </c>
      <c r="S114" s="517"/>
      <c r="V114" s="1">
        <v>0.08</v>
      </c>
      <c r="W114" s="518">
        <f t="shared" si="1"/>
        <v>80</v>
      </c>
    </row>
    <row r="115" hidden="1">
      <c r="C115" s="515"/>
      <c r="G115" s="1" t="s">
        <v>2474</v>
      </c>
      <c r="I115" s="516"/>
      <c r="J115" s="516"/>
      <c r="M115" s="515"/>
      <c r="N115" s="516"/>
      <c r="P115" s="1">
        <v>0.0</v>
      </c>
      <c r="Q115" s="1" t="s">
        <v>2404</v>
      </c>
      <c r="S115" s="517"/>
      <c r="V115" s="1">
        <v>0.18</v>
      </c>
      <c r="W115" s="518">
        <f t="shared" si="1"/>
        <v>180</v>
      </c>
    </row>
    <row r="116" hidden="1">
      <c r="C116" s="515"/>
      <c r="G116" s="1" t="s">
        <v>2475</v>
      </c>
      <c r="I116" s="516"/>
      <c r="J116" s="516"/>
      <c r="K116" s="515">
        <v>46387.0</v>
      </c>
      <c r="M116" s="515"/>
      <c r="N116" s="516"/>
      <c r="P116" s="1">
        <v>0.0</v>
      </c>
      <c r="Q116" s="1" t="s">
        <v>2404</v>
      </c>
      <c r="S116" s="517"/>
      <c r="V116" s="1">
        <v>498.55</v>
      </c>
      <c r="W116" s="518">
        <f t="shared" si="1"/>
        <v>498550</v>
      </c>
    </row>
    <row r="117" hidden="1">
      <c r="C117" s="515"/>
      <c r="G117" s="1" t="s">
        <v>2475</v>
      </c>
      <c r="I117" s="516"/>
      <c r="J117" s="516"/>
      <c r="K117" s="515">
        <v>46752.0</v>
      </c>
      <c r="M117" s="515"/>
      <c r="N117" s="516"/>
      <c r="P117" s="1">
        <v>0.0</v>
      </c>
      <c r="Q117" s="1" t="s">
        <v>2404</v>
      </c>
      <c r="S117" s="517"/>
      <c r="V117" s="1">
        <v>1383.3</v>
      </c>
      <c r="W117" s="518">
        <f t="shared" si="1"/>
        <v>1383300</v>
      </c>
    </row>
    <row r="118" hidden="1">
      <c r="C118" s="515"/>
      <c r="G118" s="1" t="s">
        <v>2475</v>
      </c>
      <c r="I118" s="516"/>
      <c r="J118" s="516"/>
      <c r="K118" s="515">
        <v>47118.0</v>
      </c>
      <c r="M118" s="515"/>
      <c r="N118" s="516"/>
      <c r="P118" s="1">
        <v>0.0</v>
      </c>
      <c r="Q118" s="1" t="s">
        <v>2404</v>
      </c>
      <c r="S118" s="517"/>
      <c r="V118" s="1">
        <v>1715.28</v>
      </c>
      <c r="W118" s="518">
        <f t="shared" si="1"/>
        <v>1715280</v>
      </c>
    </row>
    <row r="119" hidden="1">
      <c r="C119" s="515"/>
      <c r="G119" s="1" t="s">
        <v>2475</v>
      </c>
      <c r="I119" s="516"/>
      <c r="J119" s="516"/>
      <c r="K119" s="515">
        <v>47483.0</v>
      </c>
      <c r="M119" s="515"/>
      <c r="N119" s="516"/>
      <c r="P119" s="1">
        <v>0.0</v>
      </c>
      <c r="Q119" s="1" t="s">
        <v>2404</v>
      </c>
      <c r="S119" s="517"/>
      <c r="V119" s="1">
        <v>2084.25</v>
      </c>
      <c r="W119" s="518">
        <f t="shared" si="1"/>
        <v>2084250</v>
      </c>
    </row>
    <row r="120" hidden="1">
      <c r="C120" s="515"/>
      <c r="G120" s="1" t="s">
        <v>2475</v>
      </c>
      <c r="I120" s="516"/>
      <c r="J120" s="516"/>
      <c r="K120" s="515">
        <v>47848.0</v>
      </c>
      <c r="M120" s="515"/>
      <c r="N120" s="516"/>
      <c r="P120" s="1">
        <v>0.0</v>
      </c>
      <c r="Q120" s="1" t="s">
        <v>2404</v>
      </c>
      <c r="S120" s="517"/>
      <c r="V120" s="1">
        <v>2464.0</v>
      </c>
      <c r="W120" s="518">
        <f t="shared" si="1"/>
        <v>2464000</v>
      </c>
    </row>
    <row r="121" hidden="1">
      <c r="C121" s="515"/>
      <c r="G121" s="1" t="s">
        <v>2476</v>
      </c>
      <c r="I121" s="516"/>
      <c r="J121" s="516"/>
      <c r="M121" s="515"/>
      <c r="N121" s="516"/>
      <c r="P121" s="1">
        <v>0.0</v>
      </c>
      <c r="Q121" s="1" t="s">
        <v>2404</v>
      </c>
      <c r="S121" s="517"/>
      <c r="V121" s="1">
        <v>0.08</v>
      </c>
      <c r="W121" s="518">
        <f t="shared" si="1"/>
        <v>80</v>
      </c>
    </row>
    <row r="122" hidden="1">
      <c r="C122" s="515"/>
      <c r="G122" s="1" t="s">
        <v>2477</v>
      </c>
      <c r="I122" s="516"/>
      <c r="J122" s="516"/>
      <c r="P122" s="1">
        <v>0.0</v>
      </c>
      <c r="Q122" s="1" t="s">
        <v>2404</v>
      </c>
      <c r="S122" s="517"/>
      <c r="V122" s="1">
        <v>0.08</v>
      </c>
      <c r="W122" s="518">
        <f t="shared" si="1"/>
        <v>80</v>
      </c>
    </row>
    <row r="123" hidden="1">
      <c r="C123" s="515"/>
      <c r="G123" s="1" t="s">
        <v>2478</v>
      </c>
      <c r="I123" s="516"/>
      <c r="J123" s="516"/>
      <c r="M123" s="515"/>
      <c r="N123" s="516"/>
      <c r="P123" s="1">
        <v>0.0</v>
      </c>
      <c r="Q123" s="1" t="s">
        <v>2404</v>
      </c>
      <c r="S123" s="517"/>
      <c r="V123" s="1">
        <v>0.08</v>
      </c>
      <c r="W123" s="518">
        <f t="shared" si="1"/>
        <v>80</v>
      </c>
    </row>
    <row r="124" hidden="1">
      <c r="C124" s="515"/>
      <c r="G124" s="1" t="s">
        <v>2479</v>
      </c>
      <c r="I124" s="516"/>
      <c r="J124" s="516"/>
      <c r="M124" s="515"/>
      <c r="N124" s="516"/>
      <c r="P124" s="1">
        <v>0.0</v>
      </c>
      <c r="Q124" s="1" t="s">
        <v>2404</v>
      </c>
      <c r="S124" s="517"/>
      <c r="V124" s="1">
        <v>0.04</v>
      </c>
      <c r="W124" s="518">
        <f t="shared" si="1"/>
        <v>40</v>
      </c>
    </row>
    <row r="125">
      <c r="C125" s="515"/>
      <c r="G125" s="1" t="s">
        <v>2480</v>
      </c>
      <c r="I125" s="516"/>
      <c r="J125" s="516"/>
      <c r="K125" s="515">
        <v>45657.0</v>
      </c>
      <c r="M125" s="515"/>
      <c r="N125" s="516"/>
      <c r="P125" s="1">
        <v>0.0</v>
      </c>
      <c r="Q125" s="1" t="s">
        <v>2404</v>
      </c>
      <c r="S125" s="517"/>
      <c r="V125" s="1">
        <v>101.0</v>
      </c>
      <c r="W125" s="518">
        <f t="shared" si="1"/>
        <v>101000</v>
      </c>
    </row>
    <row r="126" hidden="1">
      <c r="C126" s="515"/>
      <c r="G126" s="1" t="s">
        <v>2480</v>
      </c>
      <c r="I126" s="516"/>
      <c r="J126" s="516"/>
      <c r="K126" s="515">
        <v>46022.0</v>
      </c>
      <c r="M126" s="515"/>
      <c r="N126" s="516"/>
      <c r="P126" s="1">
        <v>0.0</v>
      </c>
      <c r="Q126" s="1" t="s">
        <v>2404</v>
      </c>
      <c r="S126" s="517"/>
      <c r="V126" s="1">
        <v>404.0</v>
      </c>
      <c r="W126" s="518">
        <f t="shared" si="1"/>
        <v>404000</v>
      </c>
    </row>
    <row r="127" hidden="1">
      <c r="C127" s="515"/>
      <c r="G127" s="1" t="s">
        <v>2480</v>
      </c>
      <c r="I127" s="516"/>
      <c r="J127" s="516"/>
      <c r="K127" s="515">
        <v>46387.0</v>
      </c>
      <c r="M127" s="515"/>
      <c r="N127" s="516"/>
      <c r="P127" s="1">
        <v>0.0</v>
      </c>
      <c r="Q127" s="1" t="s">
        <v>2404</v>
      </c>
      <c r="S127" s="517"/>
      <c r="V127" s="1">
        <v>1490.73</v>
      </c>
      <c r="W127" s="518">
        <f t="shared" si="1"/>
        <v>1490730</v>
      </c>
    </row>
    <row r="128" hidden="1">
      <c r="C128" s="515"/>
      <c r="G128" s="1" t="s">
        <v>2480</v>
      </c>
      <c r="I128" s="516"/>
      <c r="J128" s="516"/>
      <c r="K128" s="515">
        <v>46752.0</v>
      </c>
      <c r="M128" s="515"/>
      <c r="N128" s="516"/>
      <c r="P128" s="1">
        <v>0.0</v>
      </c>
      <c r="Q128" s="1" t="s">
        <v>2404</v>
      </c>
      <c r="S128" s="517"/>
      <c r="V128" s="1">
        <v>2766.6</v>
      </c>
      <c r="W128" s="518">
        <f t="shared" si="1"/>
        <v>2766600</v>
      </c>
    </row>
    <row r="129" hidden="1">
      <c r="C129" s="515"/>
      <c r="G129" s="1" t="s">
        <v>2480</v>
      </c>
      <c r="I129" s="516"/>
      <c r="J129" s="516"/>
      <c r="K129" s="515">
        <v>47118.0</v>
      </c>
      <c r="M129" s="515"/>
      <c r="N129" s="516"/>
      <c r="P129" s="1">
        <v>0.0</v>
      </c>
      <c r="Q129" s="1" t="s">
        <v>2404</v>
      </c>
      <c r="S129" s="517"/>
      <c r="V129" s="1">
        <v>3430.57</v>
      </c>
      <c r="W129" s="518">
        <f t="shared" si="1"/>
        <v>3430570</v>
      </c>
    </row>
    <row r="130" hidden="1">
      <c r="C130" s="515"/>
      <c r="G130" s="1" t="s">
        <v>2480</v>
      </c>
      <c r="I130" s="516"/>
      <c r="J130" s="516"/>
      <c r="K130" s="515">
        <v>47483.0</v>
      </c>
      <c r="M130" s="515"/>
      <c r="N130" s="516"/>
      <c r="P130" s="1">
        <v>0.0</v>
      </c>
      <c r="Q130" s="1" t="s">
        <v>2404</v>
      </c>
      <c r="S130" s="517"/>
      <c r="V130" s="1">
        <v>4168.5</v>
      </c>
      <c r="W130" s="518">
        <f t="shared" si="1"/>
        <v>4168500</v>
      </c>
    </row>
    <row r="131" hidden="1">
      <c r="C131" s="515"/>
      <c r="G131" s="1" t="s">
        <v>2480</v>
      </c>
      <c r="I131" s="516"/>
      <c r="J131" s="516"/>
      <c r="K131" s="515">
        <v>47848.0</v>
      </c>
      <c r="M131" s="515"/>
      <c r="N131" s="516"/>
      <c r="P131" s="1">
        <v>0.0</v>
      </c>
      <c r="Q131" s="1" t="s">
        <v>2404</v>
      </c>
      <c r="S131" s="517"/>
      <c r="V131" s="1">
        <v>4928.0</v>
      </c>
      <c r="W131" s="518">
        <f t="shared" si="1"/>
        <v>4928000</v>
      </c>
    </row>
    <row r="132">
      <c r="C132" s="515"/>
      <c r="G132" s="1" t="s">
        <v>2481</v>
      </c>
      <c r="I132" s="516"/>
      <c r="J132" s="516"/>
      <c r="K132" s="515">
        <v>45657.0</v>
      </c>
      <c r="M132" s="515"/>
      <c r="N132" s="516"/>
      <c r="P132" s="1">
        <v>0.0</v>
      </c>
      <c r="Q132" s="1" t="s">
        <v>2404</v>
      </c>
      <c r="S132" s="517"/>
      <c r="V132" s="1">
        <v>28.0</v>
      </c>
      <c r="W132" s="518">
        <f t="shared" si="1"/>
        <v>28000</v>
      </c>
    </row>
    <row r="133" hidden="1">
      <c r="C133" s="515"/>
      <c r="G133" s="1" t="s">
        <v>2481</v>
      </c>
      <c r="I133" s="516"/>
      <c r="J133" s="516"/>
      <c r="K133" s="515">
        <v>46022.0</v>
      </c>
      <c r="M133" s="515"/>
      <c r="N133" s="516"/>
      <c r="P133" s="1">
        <v>0.0</v>
      </c>
      <c r="Q133" s="1" t="s">
        <v>2404</v>
      </c>
      <c r="S133" s="517"/>
      <c r="V133" s="1">
        <v>110.0</v>
      </c>
      <c r="W133" s="518">
        <f t="shared" si="1"/>
        <v>110000</v>
      </c>
    </row>
    <row r="134" hidden="1">
      <c r="C134" s="515"/>
      <c r="G134" s="1" t="s">
        <v>2481</v>
      </c>
      <c r="I134" s="516"/>
      <c r="J134" s="516"/>
      <c r="K134" s="515">
        <v>46387.0</v>
      </c>
      <c r="P134" s="1">
        <v>0.0</v>
      </c>
      <c r="Q134" s="1" t="s">
        <v>2404</v>
      </c>
      <c r="S134" s="517"/>
      <c r="V134" s="1">
        <v>407.1</v>
      </c>
      <c r="W134" s="518">
        <f t="shared" si="1"/>
        <v>407100</v>
      </c>
    </row>
    <row r="135" hidden="1">
      <c r="C135" s="515"/>
      <c r="G135" s="1" t="s">
        <v>2481</v>
      </c>
      <c r="I135" s="516"/>
      <c r="J135" s="516"/>
      <c r="K135" s="515">
        <v>46752.0</v>
      </c>
      <c r="M135" s="515"/>
      <c r="N135" s="516"/>
      <c r="P135" s="1">
        <v>0.0</v>
      </c>
      <c r="Q135" s="1" t="s">
        <v>2404</v>
      </c>
      <c r="S135" s="517"/>
      <c r="V135" s="1">
        <v>756.13</v>
      </c>
      <c r="W135" s="518">
        <f t="shared" si="1"/>
        <v>756130</v>
      </c>
    </row>
    <row r="136" hidden="1">
      <c r="C136" s="515"/>
      <c r="G136" s="1" t="s">
        <v>2481</v>
      </c>
      <c r="I136" s="516"/>
      <c r="J136" s="516"/>
      <c r="K136" s="515">
        <v>47118.0</v>
      </c>
      <c r="M136" s="515"/>
      <c r="N136" s="516"/>
      <c r="P136" s="1">
        <v>0.0</v>
      </c>
      <c r="Q136" s="1" t="s">
        <v>2404</v>
      </c>
      <c r="S136" s="517"/>
      <c r="V136" s="1">
        <v>937.0</v>
      </c>
      <c r="W136" s="518">
        <f t="shared" si="1"/>
        <v>937000</v>
      </c>
    </row>
    <row r="137" hidden="1">
      <c r="C137" s="515"/>
      <c r="G137" s="1" t="s">
        <v>2481</v>
      </c>
      <c r="I137" s="516"/>
      <c r="J137" s="516"/>
      <c r="K137" s="515">
        <v>47483.0</v>
      </c>
      <c r="M137" s="515"/>
      <c r="N137" s="516"/>
      <c r="P137" s="1">
        <v>0.0</v>
      </c>
      <c r="Q137" s="1" t="s">
        <v>2404</v>
      </c>
      <c r="S137" s="517"/>
      <c r="V137" s="1">
        <v>1138.5</v>
      </c>
      <c r="W137" s="518">
        <f t="shared" si="1"/>
        <v>1138500</v>
      </c>
    </row>
    <row r="138" hidden="1">
      <c r="C138" s="515"/>
      <c r="G138" s="1" t="s">
        <v>2481</v>
      </c>
      <c r="I138" s="516"/>
      <c r="J138" s="516"/>
      <c r="K138" s="515">
        <v>47848.0</v>
      </c>
      <c r="M138" s="515"/>
      <c r="N138" s="516"/>
      <c r="P138" s="1">
        <v>0.0</v>
      </c>
      <c r="Q138" s="1" t="s">
        <v>2404</v>
      </c>
      <c r="S138" s="517"/>
      <c r="V138" s="1">
        <v>1346.22</v>
      </c>
      <c r="W138" s="518">
        <f t="shared" si="1"/>
        <v>1346220</v>
      </c>
    </row>
    <row r="139" hidden="1">
      <c r="C139" s="515"/>
      <c r="G139" s="1" t="s">
        <v>2482</v>
      </c>
      <c r="I139" s="516"/>
      <c r="J139" s="516"/>
      <c r="M139" s="515"/>
      <c r="N139" s="516"/>
      <c r="P139" s="1">
        <v>0.0</v>
      </c>
      <c r="Q139" s="1" t="s">
        <v>2404</v>
      </c>
      <c r="S139" s="517"/>
      <c r="V139" s="1">
        <v>0.04</v>
      </c>
      <c r="W139" s="518">
        <f t="shared" si="1"/>
        <v>40</v>
      </c>
    </row>
    <row r="140" hidden="1">
      <c r="C140" s="515"/>
      <c r="G140" s="1" t="s">
        <v>2483</v>
      </c>
      <c r="I140" s="516"/>
      <c r="J140" s="516"/>
      <c r="M140" s="515"/>
      <c r="N140" s="516"/>
      <c r="P140" s="1">
        <v>0.0</v>
      </c>
      <c r="Q140" s="1" t="s">
        <v>2404</v>
      </c>
      <c r="S140" s="517"/>
      <c r="V140" s="1">
        <v>0.71</v>
      </c>
      <c r="W140" s="518">
        <f t="shared" si="1"/>
        <v>710</v>
      </c>
    </row>
    <row r="141" hidden="1">
      <c r="C141" s="515"/>
      <c r="G141" s="1" t="s">
        <v>2484</v>
      </c>
      <c r="I141" s="516"/>
      <c r="J141" s="516"/>
      <c r="M141" s="515"/>
      <c r="N141" s="516"/>
      <c r="P141" s="1">
        <v>0.0</v>
      </c>
      <c r="Q141" s="1" t="s">
        <v>2404</v>
      </c>
      <c r="S141" s="517"/>
      <c r="V141" s="1">
        <v>0.5</v>
      </c>
      <c r="W141" s="518">
        <f t="shared" si="1"/>
        <v>500</v>
      </c>
    </row>
    <row r="142" hidden="1">
      <c r="C142" s="515"/>
      <c r="G142" s="1" t="s">
        <v>2485</v>
      </c>
      <c r="I142" s="516"/>
      <c r="J142" s="516"/>
      <c r="M142" s="515"/>
      <c r="N142" s="516"/>
      <c r="P142" s="1">
        <v>0.0</v>
      </c>
      <c r="Q142" s="1" t="s">
        <v>2404</v>
      </c>
      <c r="S142" s="517"/>
      <c r="V142" s="1">
        <v>0.08</v>
      </c>
      <c r="W142" s="518">
        <f t="shared" si="1"/>
        <v>80</v>
      </c>
    </row>
    <row r="143" hidden="1">
      <c r="C143" s="515"/>
      <c r="G143" s="1" t="s">
        <v>2486</v>
      </c>
      <c r="I143" s="516"/>
      <c r="J143" s="516"/>
      <c r="M143" s="515"/>
      <c r="N143" s="516"/>
      <c r="P143" s="1">
        <v>0.0</v>
      </c>
      <c r="Q143" s="1" t="s">
        <v>2404</v>
      </c>
      <c r="S143" s="517"/>
      <c r="V143" s="1">
        <v>0.08</v>
      </c>
      <c r="W143" s="518">
        <f t="shared" si="1"/>
        <v>80</v>
      </c>
    </row>
    <row r="144" hidden="1">
      <c r="C144" s="515"/>
      <c r="G144" s="1" t="s">
        <v>2487</v>
      </c>
      <c r="I144" s="516"/>
      <c r="J144" s="516"/>
      <c r="M144" s="515"/>
      <c r="N144" s="516"/>
      <c r="P144" s="1">
        <v>0.0</v>
      </c>
      <c r="Q144" s="1" t="s">
        <v>2404</v>
      </c>
      <c r="S144" s="517"/>
      <c r="V144" s="1">
        <v>0.04</v>
      </c>
      <c r="W144" s="518">
        <f t="shared" si="1"/>
        <v>40</v>
      </c>
    </row>
    <row r="145" hidden="1">
      <c r="C145" s="515"/>
      <c r="G145" s="1" t="s">
        <v>2488</v>
      </c>
      <c r="I145" s="516"/>
      <c r="J145" s="516"/>
      <c r="M145" s="515"/>
      <c r="N145" s="516"/>
      <c r="P145" s="1">
        <v>0.0</v>
      </c>
      <c r="Q145" s="1" t="s">
        <v>2404</v>
      </c>
      <c r="S145" s="517"/>
      <c r="V145" s="1">
        <v>0.21</v>
      </c>
      <c r="W145" s="518">
        <f t="shared" si="1"/>
        <v>210</v>
      </c>
    </row>
    <row r="146" hidden="1">
      <c r="C146" s="515"/>
      <c r="G146" s="1" t="s">
        <v>2489</v>
      </c>
      <c r="I146" s="516"/>
      <c r="J146" s="516"/>
      <c r="M146" s="515"/>
      <c r="N146" s="516"/>
      <c r="P146" s="1">
        <v>0.0</v>
      </c>
      <c r="Q146" s="1" t="s">
        <v>2404</v>
      </c>
      <c r="S146" s="517"/>
      <c r="V146" s="1">
        <v>0.08</v>
      </c>
      <c r="W146" s="518">
        <f t="shared" si="1"/>
        <v>80</v>
      </c>
    </row>
    <row r="147" hidden="1">
      <c r="C147" s="515"/>
      <c r="G147" s="1" t="s">
        <v>2490</v>
      </c>
      <c r="I147" s="516"/>
      <c r="J147" s="516"/>
      <c r="M147" s="515"/>
      <c r="N147" s="516"/>
      <c r="P147" s="1">
        <v>0.0</v>
      </c>
      <c r="Q147" s="1" t="s">
        <v>2404</v>
      </c>
      <c r="S147" s="517"/>
      <c r="V147" s="1">
        <v>0.04</v>
      </c>
      <c r="W147" s="518">
        <f t="shared" si="1"/>
        <v>40</v>
      </c>
    </row>
    <row r="148" hidden="1">
      <c r="C148" s="515"/>
      <c r="G148" s="1" t="s">
        <v>2491</v>
      </c>
      <c r="I148" s="516"/>
      <c r="J148" s="516"/>
      <c r="M148" s="515"/>
      <c r="N148" s="516"/>
      <c r="P148" s="1">
        <v>0.0</v>
      </c>
      <c r="Q148" s="1" t="s">
        <v>2404</v>
      </c>
      <c r="S148" s="517"/>
      <c r="V148" s="1">
        <v>0.04</v>
      </c>
      <c r="W148" s="518">
        <f t="shared" si="1"/>
        <v>40</v>
      </c>
    </row>
    <row r="149" hidden="1">
      <c r="C149" s="515"/>
      <c r="G149" s="1" t="s">
        <v>2492</v>
      </c>
      <c r="I149" s="516"/>
      <c r="J149" s="516"/>
      <c r="M149" s="515"/>
      <c r="N149" s="516"/>
      <c r="P149" s="1">
        <v>0.0</v>
      </c>
      <c r="Q149" s="1" t="s">
        <v>2404</v>
      </c>
      <c r="S149" s="517"/>
      <c r="V149" s="1">
        <v>1.0</v>
      </c>
      <c r="W149" s="518">
        <f t="shared" si="1"/>
        <v>1000</v>
      </c>
    </row>
    <row r="150" hidden="1">
      <c r="C150" s="515"/>
      <c r="G150" s="1" t="s">
        <v>2493</v>
      </c>
      <c r="I150" s="516"/>
      <c r="J150" s="516"/>
      <c r="M150" s="515"/>
      <c r="N150" s="516"/>
      <c r="P150" s="1">
        <v>0.0</v>
      </c>
      <c r="Q150" s="1" t="s">
        <v>2404</v>
      </c>
      <c r="S150" s="517"/>
      <c r="V150" s="1">
        <v>0.17</v>
      </c>
      <c r="W150" s="518">
        <f t="shared" si="1"/>
        <v>170</v>
      </c>
    </row>
    <row r="151" hidden="1">
      <c r="C151" s="515"/>
      <c r="G151" s="1" t="s">
        <v>2494</v>
      </c>
      <c r="I151" s="516"/>
      <c r="J151" s="516"/>
      <c r="M151" s="515"/>
      <c r="N151" s="516"/>
      <c r="P151" s="1">
        <v>0.0</v>
      </c>
      <c r="Q151" s="1" t="s">
        <v>2404</v>
      </c>
      <c r="S151" s="517"/>
      <c r="V151" s="1">
        <v>0.04</v>
      </c>
      <c r="W151" s="518">
        <f t="shared" si="1"/>
        <v>40</v>
      </c>
    </row>
    <row r="152" hidden="1">
      <c r="C152" s="515"/>
      <c r="G152" s="1" t="s">
        <v>2495</v>
      </c>
      <c r="I152" s="516"/>
      <c r="J152" s="516"/>
      <c r="M152" s="515"/>
      <c r="N152" s="516"/>
      <c r="P152" s="1">
        <v>0.0</v>
      </c>
      <c r="Q152" s="1" t="s">
        <v>2404</v>
      </c>
      <c r="S152" s="517"/>
      <c r="V152" s="1">
        <v>0.08</v>
      </c>
      <c r="W152" s="518">
        <f t="shared" si="1"/>
        <v>80</v>
      </c>
    </row>
    <row r="153" hidden="1">
      <c r="C153" s="515"/>
      <c r="G153" s="1" t="s">
        <v>2496</v>
      </c>
      <c r="I153" s="516"/>
      <c r="J153" s="516"/>
      <c r="M153" s="515"/>
      <c r="N153" s="516"/>
      <c r="P153" s="1">
        <v>0.0</v>
      </c>
      <c r="Q153" s="1" t="s">
        <v>2404</v>
      </c>
      <c r="S153" s="517"/>
      <c r="V153" s="1">
        <v>1.08</v>
      </c>
      <c r="W153" s="518">
        <f t="shared" si="1"/>
        <v>1080</v>
      </c>
    </row>
    <row r="154" hidden="1">
      <c r="C154" s="515"/>
      <c r="G154" s="1" t="s">
        <v>2497</v>
      </c>
      <c r="I154" s="516"/>
      <c r="J154" s="516"/>
      <c r="M154" s="515"/>
      <c r="N154" s="516"/>
      <c r="P154" s="1">
        <v>0.0</v>
      </c>
      <c r="Q154" s="1" t="s">
        <v>2404</v>
      </c>
      <c r="S154" s="517"/>
      <c r="V154" s="1">
        <v>2.0</v>
      </c>
      <c r="W154" s="518">
        <f t="shared" si="1"/>
        <v>2000</v>
      </c>
    </row>
    <row r="155" hidden="1">
      <c r="C155" s="515"/>
      <c r="G155" s="1" t="s">
        <v>2498</v>
      </c>
      <c r="I155" s="516"/>
      <c r="J155" s="516"/>
      <c r="M155" s="515"/>
      <c r="N155" s="516"/>
      <c r="P155" s="1">
        <v>0.0</v>
      </c>
      <c r="Q155" s="1" t="s">
        <v>2404</v>
      </c>
      <c r="S155" s="517"/>
      <c r="V155" s="1">
        <v>0.18</v>
      </c>
      <c r="W155" s="518">
        <f t="shared" si="1"/>
        <v>180</v>
      </c>
    </row>
    <row r="156" hidden="1">
      <c r="C156" s="515"/>
      <c r="G156" s="1" t="s">
        <v>2499</v>
      </c>
      <c r="I156" s="516"/>
      <c r="J156" s="516"/>
      <c r="M156" s="515"/>
      <c r="N156" s="516"/>
      <c r="P156" s="1">
        <v>0.0</v>
      </c>
      <c r="Q156" s="1" t="s">
        <v>2404</v>
      </c>
      <c r="S156" s="517"/>
      <c r="V156" s="1">
        <v>0.04</v>
      </c>
      <c r="W156" s="518">
        <f t="shared" si="1"/>
        <v>40</v>
      </c>
    </row>
    <row r="157" hidden="1">
      <c r="C157" s="515"/>
      <c r="G157" s="1" t="s">
        <v>2500</v>
      </c>
      <c r="I157" s="516"/>
      <c r="J157" s="516"/>
      <c r="M157" s="515"/>
      <c r="N157" s="516"/>
      <c r="P157" s="1">
        <v>0.0</v>
      </c>
      <c r="Q157" s="1" t="s">
        <v>2404</v>
      </c>
      <c r="S157" s="517"/>
      <c r="V157" s="1">
        <v>0.04</v>
      </c>
      <c r="W157" s="518">
        <f t="shared" si="1"/>
        <v>40</v>
      </c>
    </row>
    <row r="158" hidden="1">
      <c r="C158" s="515"/>
      <c r="G158" s="1" t="s">
        <v>2501</v>
      </c>
      <c r="I158" s="516"/>
      <c r="J158" s="516"/>
      <c r="M158" s="515"/>
      <c r="N158" s="516"/>
      <c r="P158" s="1">
        <v>0.0</v>
      </c>
      <c r="Q158" s="1" t="s">
        <v>2404</v>
      </c>
      <c r="S158" s="517"/>
      <c r="V158" s="1">
        <v>0.08</v>
      </c>
      <c r="W158" s="518">
        <f t="shared" si="1"/>
        <v>80</v>
      </c>
    </row>
    <row r="159" hidden="1">
      <c r="C159" s="515"/>
      <c r="G159" s="1" t="s">
        <v>2502</v>
      </c>
      <c r="I159" s="516"/>
      <c r="J159" s="516"/>
      <c r="M159" s="515"/>
      <c r="N159" s="516"/>
      <c r="P159" s="1">
        <v>0.0</v>
      </c>
      <c r="Q159" s="1" t="s">
        <v>2404</v>
      </c>
      <c r="S159" s="517"/>
      <c r="V159" s="1">
        <v>0.04</v>
      </c>
      <c r="W159" s="518">
        <f t="shared" si="1"/>
        <v>40</v>
      </c>
    </row>
    <row r="160" hidden="1">
      <c r="C160" s="515"/>
      <c r="G160" s="1" t="s">
        <v>2503</v>
      </c>
      <c r="I160" s="516"/>
      <c r="J160" s="516"/>
      <c r="M160" s="515"/>
      <c r="N160" s="516"/>
      <c r="P160" s="1">
        <v>0.0</v>
      </c>
      <c r="Q160" s="1" t="s">
        <v>2404</v>
      </c>
      <c r="S160" s="517"/>
      <c r="V160" s="1">
        <v>1.67</v>
      </c>
      <c r="W160" s="518">
        <f t="shared" si="1"/>
        <v>1670</v>
      </c>
    </row>
    <row r="161" hidden="1">
      <c r="C161" s="515"/>
      <c r="G161" s="1" t="s">
        <v>2504</v>
      </c>
      <c r="I161" s="516"/>
      <c r="J161" s="516"/>
      <c r="M161" s="515"/>
      <c r="N161" s="516"/>
      <c r="P161" s="1">
        <v>0.0</v>
      </c>
      <c r="Q161" s="1" t="s">
        <v>2404</v>
      </c>
      <c r="S161" s="517"/>
      <c r="V161" s="1">
        <v>0.04</v>
      </c>
      <c r="W161" s="518">
        <f t="shared" si="1"/>
        <v>40</v>
      </c>
    </row>
    <row r="162" hidden="1">
      <c r="C162" s="515"/>
      <c r="G162" s="1" t="s">
        <v>2505</v>
      </c>
      <c r="I162" s="516"/>
      <c r="J162" s="516"/>
      <c r="M162" s="515"/>
      <c r="N162" s="516"/>
      <c r="P162" s="1">
        <v>0.0</v>
      </c>
      <c r="Q162" s="1" t="s">
        <v>2404</v>
      </c>
      <c r="S162" s="517"/>
      <c r="V162" s="1">
        <v>0.13</v>
      </c>
      <c r="W162" s="518">
        <f t="shared" si="1"/>
        <v>130</v>
      </c>
    </row>
    <row r="163" hidden="1">
      <c r="C163" s="515"/>
      <c r="G163" s="1" t="s">
        <v>2506</v>
      </c>
      <c r="I163" s="516"/>
      <c r="J163" s="516"/>
      <c r="M163" s="515"/>
      <c r="N163" s="516"/>
      <c r="P163" s="1">
        <v>0.0</v>
      </c>
      <c r="Q163" s="1" t="s">
        <v>2404</v>
      </c>
      <c r="S163" s="517"/>
      <c r="V163" s="1">
        <v>0.04</v>
      </c>
      <c r="W163" s="518">
        <f t="shared" si="1"/>
        <v>40</v>
      </c>
    </row>
    <row r="164" hidden="1">
      <c r="C164" s="515"/>
      <c r="G164" s="1" t="s">
        <v>2507</v>
      </c>
      <c r="I164" s="516"/>
      <c r="J164" s="516"/>
      <c r="M164" s="515"/>
      <c r="N164" s="516"/>
      <c r="P164" s="1">
        <v>0.0</v>
      </c>
      <c r="Q164" s="1" t="s">
        <v>2404</v>
      </c>
      <c r="S164" s="517"/>
      <c r="V164" s="1">
        <v>0.08</v>
      </c>
      <c r="W164" s="518">
        <f t="shared" si="1"/>
        <v>80</v>
      </c>
    </row>
    <row r="165" hidden="1">
      <c r="C165" s="515"/>
      <c r="G165" s="1" t="s">
        <v>2508</v>
      </c>
      <c r="I165" s="516"/>
      <c r="J165" s="516"/>
      <c r="M165" s="515"/>
      <c r="N165" s="516"/>
      <c r="P165" s="1">
        <v>0.0</v>
      </c>
      <c r="Q165" s="1" t="s">
        <v>2404</v>
      </c>
      <c r="S165" s="517"/>
      <c r="V165" s="1">
        <v>0.17</v>
      </c>
      <c r="W165" s="518">
        <f t="shared" si="1"/>
        <v>170</v>
      </c>
    </row>
    <row r="166" hidden="1">
      <c r="C166" s="515"/>
      <c r="G166" s="1" t="s">
        <v>2509</v>
      </c>
      <c r="I166" s="516"/>
      <c r="J166" s="516"/>
      <c r="M166" s="515"/>
      <c r="N166" s="516"/>
      <c r="P166" s="1">
        <v>0.0</v>
      </c>
      <c r="Q166" s="1" t="s">
        <v>2404</v>
      </c>
      <c r="S166" s="517"/>
      <c r="V166" s="1">
        <v>0.08</v>
      </c>
      <c r="W166" s="518">
        <f t="shared" si="1"/>
        <v>80</v>
      </c>
    </row>
    <row r="167" hidden="1">
      <c r="C167" s="515"/>
      <c r="G167" s="1" t="s">
        <v>2510</v>
      </c>
      <c r="I167" s="516"/>
      <c r="J167" s="516"/>
      <c r="M167" s="515"/>
      <c r="N167" s="516"/>
      <c r="P167" s="1">
        <v>0.0</v>
      </c>
      <c r="Q167" s="1" t="s">
        <v>2404</v>
      </c>
      <c r="S167" s="517"/>
      <c r="V167" s="1">
        <v>0.08</v>
      </c>
      <c r="W167" s="518">
        <f t="shared" si="1"/>
        <v>80</v>
      </c>
    </row>
    <row r="168" hidden="1">
      <c r="C168" s="515"/>
      <c r="G168" s="1" t="s">
        <v>2511</v>
      </c>
      <c r="I168" s="516"/>
      <c r="J168" s="516"/>
      <c r="M168" s="515"/>
      <c r="N168" s="516"/>
      <c r="P168" s="1">
        <v>0.0</v>
      </c>
      <c r="Q168" s="1" t="s">
        <v>2404</v>
      </c>
      <c r="S168" s="517"/>
      <c r="V168" s="1">
        <v>0.04</v>
      </c>
      <c r="W168" s="518">
        <f t="shared" si="1"/>
        <v>40</v>
      </c>
    </row>
    <row r="169" hidden="1">
      <c r="C169" s="515"/>
      <c r="G169" s="1" t="s">
        <v>2512</v>
      </c>
      <c r="I169" s="516"/>
      <c r="J169" s="516"/>
      <c r="M169" s="515"/>
      <c r="N169" s="516"/>
      <c r="P169" s="1">
        <v>0.0</v>
      </c>
      <c r="Q169" s="1" t="s">
        <v>2404</v>
      </c>
      <c r="S169" s="517"/>
      <c r="V169" s="1">
        <v>0.08</v>
      </c>
      <c r="W169" s="518">
        <f t="shared" si="1"/>
        <v>80</v>
      </c>
    </row>
    <row r="170" hidden="1">
      <c r="C170" s="515"/>
      <c r="G170" s="1" t="s">
        <v>2406</v>
      </c>
      <c r="I170" s="516"/>
      <c r="J170" s="516"/>
      <c r="M170" s="515"/>
      <c r="N170" s="516"/>
      <c r="P170" s="1">
        <v>0.0</v>
      </c>
      <c r="Q170" s="1" t="s">
        <v>2404</v>
      </c>
      <c r="S170" s="517"/>
      <c r="V170" s="1">
        <v>0.17</v>
      </c>
      <c r="W170" s="518">
        <f t="shared" si="1"/>
        <v>170</v>
      </c>
    </row>
    <row r="171" hidden="1">
      <c r="C171" s="515"/>
      <c r="G171" s="1" t="s">
        <v>2403</v>
      </c>
      <c r="I171" s="516"/>
      <c r="J171" s="516"/>
      <c r="M171" s="515"/>
      <c r="P171" s="1">
        <v>0.0</v>
      </c>
      <c r="Q171" s="1" t="s">
        <v>2404</v>
      </c>
      <c r="S171" s="517"/>
      <c r="V171" s="1">
        <v>0.63</v>
      </c>
      <c r="W171" s="518">
        <f t="shared" si="1"/>
        <v>630</v>
      </c>
    </row>
    <row r="172" hidden="1">
      <c r="C172" s="515"/>
      <c r="G172" s="1" t="s">
        <v>2513</v>
      </c>
      <c r="I172" s="516"/>
      <c r="J172" s="516"/>
      <c r="M172" s="515"/>
      <c r="N172" s="516"/>
      <c r="P172" s="1">
        <v>0.0</v>
      </c>
      <c r="Q172" s="1" t="s">
        <v>2404</v>
      </c>
      <c r="S172" s="517"/>
      <c r="V172" s="1">
        <v>0.13</v>
      </c>
      <c r="W172" s="518">
        <f t="shared" si="1"/>
        <v>130</v>
      </c>
    </row>
    <row r="173" hidden="1">
      <c r="C173" s="515"/>
      <c r="G173" s="1" t="s">
        <v>2407</v>
      </c>
      <c r="I173" s="516"/>
      <c r="J173" s="516"/>
      <c r="M173" s="515"/>
      <c r="N173" s="516"/>
      <c r="P173" s="1">
        <v>0.0</v>
      </c>
      <c r="Q173" s="1" t="s">
        <v>2404</v>
      </c>
      <c r="S173" s="517"/>
      <c r="V173" s="1">
        <v>0.42</v>
      </c>
      <c r="W173" s="518">
        <f t="shared" si="1"/>
        <v>420</v>
      </c>
    </row>
    <row r="174" hidden="1">
      <c r="C174" s="515"/>
      <c r="G174" s="1" t="s">
        <v>2408</v>
      </c>
      <c r="I174" s="516"/>
      <c r="J174" s="516"/>
      <c r="M174" s="515"/>
      <c r="N174" s="516"/>
      <c r="P174" s="1">
        <v>0.0</v>
      </c>
      <c r="Q174" s="1" t="s">
        <v>2404</v>
      </c>
      <c r="S174" s="517"/>
      <c r="V174" s="1">
        <v>0.04</v>
      </c>
      <c r="W174" s="518">
        <f t="shared" si="1"/>
        <v>40</v>
      </c>
    </row>
    <row r="175" hidden="1">
      <c r="C175" s="515"/>
      <c r="G175" s="1" t="s">
        <v>2410</v>
      </c>
      <c r="I175" s="516"/>
      <c r="J175" s="516"/>
      <c r="M175" s="515"/>
      <c r="N175" s="516"/>
      <c r="P175" s="1">
        <v>0.0</v>
      </c>
      <c r="Q175" s="1" t="s">
        <v>2404</v>
      </c>
      <c r="S175" s="517"/>
      <c r="V175" s="1">
        <v>0.08</v>
      </c>
      <c r="W175" s="518">
        <f t="shared" si="1"/>
        <v>80</v>
      </c>
    </row>
    <row r="176" hidden="1">
      <c r="C176" s="515"/>
      <c r="G176" s="1" t="s">
        <v>2414</v>
      </c>
      <c r="I176" s="516"/>
      <c r="J176" s="516"/>
      <c r="M176" s="515"/>
      <c r="N176" s="516"/>
      <c r="P176" s="1">
        <v>0.0</v>
      </c>
      <c r="Q176" s="1" t="s">
        <v>2404</v>
      </c>
      <c r="S176" s="517"/>
      <c r="V176" s="1">
        <v>0.08</v>
      </c>
      <c r="W176" s="518">
        <f t="shared" si="1"/>
        <v>80</v>
      </c>
    </row>
    <row r="177" hidden="1">
      <c r="C177" s="515"/>
      <c r="G177" s="1" t="s">
        <v>2514</v>
      </c>
      <c r="I177" s="516"/>
      <c r="J177" s="516"/>
      <c r="K177" s="515">
        <v>46387.0</v>
      </c>
      <c r="M177" s="515"/>
      <c r="N177" s="516"/>
      <c r="P177" s="1">
        <v>0.0</v>
      </c>
      <c r="Q177" s="1" t="s">
        <v>2404</v>
      </c>
      <c r="S177" s="517"/>
      <c r="V177" s="1">
        <v>5.0</v>
      </c>
      <c r="W177" s="518">
        <f t="shared" si="1"/>
        <v>5000</v>
      </c>
    </row>
    <row r="178" hidden="1">
      <c r="C178" s="515"/>
      <c r="G178" s="1" t="s">
        <v>2415</v>
      </c>
      <c r="I178" s="516"/>
      <c r="J178" s="516"/>
      <c r="M178" s="515"/>
      <c r="N178" s="516"/>
      <c r="P178" s="1">
        <v>0.0</v>
      </c>
      <c r="Q178" s="1" t="s">
        <v>2404</v>
      </c>
      <c r="S178" s="517"/>
      <c r="V178" s="1">
        <v>0.33</v>
      </c>
      <c r="W178" s="518">
        <f t="shared" si="1"/>
        <v>330</v>
      </c>
    </row>
    <row r="179" hidden="1">
      <c r="C179" s="515"/>
      <c r="G179" s="1" t="s">
        <v>2416</v>
      </c>
      <c r="I179" s="516"/>
      <c r="J179" s="516"/>
      <c r="M179" s="515"/>
      <c r="N179" s="516"/>
      <c r="P179" s="1">
        <v>0.0</v>
      </c>
      <c r="Q179" s="1" t="s">
        <v>2404</v>
      </c>
      <c r="S179" s="517"/>
      <c r="V179" s="1">
        <v>1.0</v>
      </c>
      <c r="W179" s="518">
        <f t="shared" si="1"/>
        <v>1000</v>
      </c>
    </row>
    <row r="180" hidden="1">
      <c r="C180" s="515"/>
      <c r="G180" s="1" t="s">
        <v>2418</v>
      </c>
      <c r="I180" s="516"/>
      <c r="J180" s="516"/>
      <c r="M180" s="515"/>
      <c r="N180" s="516"/>
      <c r="P180" s="1">
        <v>0.0</v>
      </c>
      <c r="Q180" s="1" t="s">
        <v>2404</v>
      </c>
      <c r="S180" s="517"/>
      <c r="V180" s="1">
        <v>0.14</v>
      </c>
      <c r="W180" s="518">
        <f t="shared" si="1"/>
        <v>140</v>
      </c>
    </row>
    <row r="181" hidden="1">
      <c r="C181" s="515"/>
      <c r="G181" s="1" t="s">
        <v>2419</v>
      </c>
      <c r="I181" s="516"/>
      <c r="J181" s="516"/>
      <c r="M181" s="515"/>
      <c r="N181" s="516"/>
      <c r="P181" s="1">
        <v>0.0</v>
      </c>
      <c r="Q181" s="1" t="s">
        <v>2404</v>
      </c>
      <c r="S181" s="517"/>
      <c r="V181" s="1">
        <v>0.67</v>
      </c>
      <c r="W181" s="518">
        <f t="shared" si="1"/>
        <v>670</v>
      </c>
    </row>
    <row r="182" hidden="1">
      <c r="C182" s="515"/>
      <c r="G182" s="1" t="s">
        <v>2440</v>
      </c>
      <c r="I182" s="516"/>
      <c r="J182" s="516"/>
      <c r="M182" s="515"/>
      <c r="N182" s="516"/>
      <c r="P182" s="1">
        <v>0.0</v>
      </c>
      <c r="Q182" s="1" t="s">
        <v>2404</v>
      </c>
      <c r="S182" s="517"/>
      <c r="V182" s="1">
        <v>0.13</v>
      </c>
      <c r="W182" s="518">
        <f t="shared" si="1"/>
        <v>130</v>
      </c>
    </row>
    <row r="183" hidden="1">
      <c r="C183" s="515"/>
      <c r="G183" s="1" t="s">
        <v>2421</v>
      </c>
      <c r="I183" s="516"/>
      <c r="J183" s="516"/>
      <c r="M183" s="515"/>
      <c r="N183" s="516"/>
      <c r="P183" s="1">
        <v>0.0</v>
      </c>
      <c r="Q183" s="1" t="s">
        <v>2404</v>
      </c>
      <c r="S183" s="517"/>
      <c r="V183" s="1">
        <v>0.17</v>
      </c>
      <c r="W183" s="518">
        <f t="shared" si="1"/>
        <v>170</v>
      </c>
    </row>
    <row r="184" hidden="1">
      <c r="C184" s="515"/>
      <c r="G184" s="1" t="s">
        <v>2422</v>
      </c>
      <c r="I184" s="516"/>
      <c r="J184" s="516"/>
      <c r="M184" s="515"/>
      <c r="N184" s="516"/>
      <c r="P184" s="1">
        <v>0.0</v>
      </c>
      <c r="Q184" s="1" t="s">
        <v>2404</v>
      </c>
      <c r="S184" s="517"/>
      <c r="V184" s="1">
        <v>0.25</v>
      </c>
      <c r="W184" s="518">
        <f t="shared" si="1"/>
        <v>250</v>
      </c>
    </row>
    <row r="185" hidden="1">
      <c r="C185" s="515"/>
      <c r="G185" s="1" t="s">
        <v>2514</v>
      </c>
      <c r="I185" s="516"/>
      <c r="J185" s="516"/>
      <c r="K185" s="515">
        <v>46387.0</v>
      </c>
      <c r="M185" s="515"/>
      <c r="N185" s="516"/>
      <c r="P185" s="1">
        <v>0.0</v>
      </c>
      <c r="Q185" s="1" t="s">
        <v>2404</v>
      </c>
      <c r="S185" s="517"/>
      <c r="V185" s="1">
        <v>3.0</v>
      </c>
      <c r="W185" s="518">
        <f t="shared" si="1"/>
        <v>3000</v>
      </c>
    </row>
    <row r="186" hidden="1">
      <c r="C186" s="515"/>
      <c r="G186" s="1" t="s">
        <v>2423</v>
      </c>
      <c r="I186" s="516"/>
      <c r="J186" s="516"/>
      <c r="M186" s="515"/>
      <c r="N186" s="516"/>
      <c r="P186" s="1">
        <v>0.0</v>
      </c>
      <c r="Q186" s="1" t="s">
        <v>2404</v>
      </c>
      <c r="S186" s="517"/>
      <c r="V186" s="1">
        <v>0.08</v>
      </c>
      <c r="W186" s="518">
        <f t="shared" si="1"/>
        <v>80</v>
      </c>
    </row>
    <row r="187" hidden="1">
      <c r="C187" s="515"/>
      <c r="G187" s="1" t="s">
        <v>2425</v>
      </c>
      <c r="I187" s="516"/>
      <c r="J187" s="516"/>
      <c r="M187" s="515"/>
      <c r="N187" s="516"/>
      <c r="P187" s="1">
        <v>0.0</v>
      </c>
      <c r="Q187" s="1" t="s">
        <v>2404</v>
      </c>
      <c r="S187" s="517"/>
      <c r="V187" s="1">
        <v>0.04</v>
      </c>
      <c r="W187" s="518">
        <f t="shared" si="1"/>
        <v>40</v>
      </c>
    </row>
    <row r="188" hidden="1">
      <c r="C188" s="515"/>
      <c r="G188" s="1" t="s">
        <v>2426</v>
      </c>
      <c r="I188" s="516"/>
      <c r="J188" s="516"/>
      <c r="M188" s="515"/>
      <c r="N188" s="516"/>
      <c r="P188" s="1">
        <v>0.0</v>
      </c>
      <c r="Q188" s="1" t="s">
        <v>2404</v>
      </c>
      <c r="S188" s="517"/>
      <c r="V188" s="1">
        <v>0.25</v>
      </c>
      <c r="W188" s="518">
        <f t="shared" si="1"/>
        <v>250</v>
      </c>
    </row>
    <row r="189" hidden="1">
      <c r="C189" s="515"/>
      <c r="G189" s="1" t="s">
        <v>2427</v>
      </c>
      <c r="I189" s="516"/>
      <c r="J189" s="516"/>
      <c r="M189" s="515"/>
      <c r="N189" s="516"/>
      <c r="P189" s="1">
        <v>0.0</v>
      </c>
      <c r="Q189" s="1" t="s">
        <v>2404</v>
      </c>
      <c r="S189" s="517"/>
      <c r="V189" s="1">
        <v>0.08</v>
      </c>
      <c r="W189" s="518">
        <f t="shared" si="1"/>
        <v>80</v>
      </c>
    </row>
    <row r="190" hidden="1">
      <c r="C190" s="515"/>
      <c r="G190" s="1" t="s">
        <v>2430</v>
      </c>
      <c r="I190" s="516"/>
      <c r="J190" s="516"/>
      <c r="M190" s="515"/>
      <c r="N190" s="516"/>
      <c r="P190" s="1">
        <v>0.0</v>
      </c>
      <c r="Q190" s="1" t="s">
        <v>2404</v>
      </c>
      <c r="S190" s="517"/>
      <c r="V190" s="1">
        <v>0.08</v>
      </c>
      <c r="W190" s="518">
        <f t="shared" si="1"/>
        <v>80</v>
      </c>
    </row>
    <row r="191" hidden="1">
      <c r="C191" s="515"/>
      <c r="G191" s="1" t="s">
        <v>2429</v>
      </c>
      <c r="I191" s="516"/>
      <c r="J191" s="516"/>
      <c r="M191" s="515"/>
      <c r="N191" s="516"/>
      <c r="P191" s="1">
        <v>0.0</v>
      </c>
      <c r="Q191" s="1" t="s">
        <v>2404</v>
      </c>
      <c r="S191" s="517"/>
      <c r="V191" s="1">
        <v>0.08</v>
      </c>
      <c r="W191" s="518">
        <f t="shared" si="1"/>
        <v>80</v>
      </c>
    </row>
    <row r="192" hidden="1">
      <c r="C192" s="515"/>
      <c r="G192" s="1" t="s">
        <v>2433</v>
      </c>
      <c r="I192" s="516"/>
      <c r="J192" s="516"/>
      <c r="M192" s="515"/>
      <c r="N192" s="516"/>
      <c r="P192" s="1">
        <v>0.0</v>
      </c>
      <c r="Q192" s="1" t="s">
        <v>2404</v>
      </c>
      <c r="S192" s="517"/>
      <c r="V192" s="1">
        <v>0.04</v>
      </c>
      <c r="W192" s="518">
        <f t="shared" si="1"/>
        <v>40</v>
      </c>
    </row>
    <row r="193" hidden="1">
      <c r="C193" s="515"/>
      <c r="G193" s="1" t="s">
        <v>2434</v>
      </c>
      <c r="I193" s="516"/>
      <c r="J193" s="516"/>
      <c r="M193" s="515"/>
      <c r="N193" s="516"/>
      <c r="P193" s="1">
        <v>0.0</v>
      </c>
      <c r="Q193" s="1" t="s">
        <v>2404</v>
      </c>
      <c r="S193" s="517"/>
      <c r="V193" s="1">
        <v>0.04</v>
      </c>
      <c r="W193" s="518">
        <f t="shared" si="1"/>
        <v>40</v>
      </c>
    </row>
    <row r="194" hidden="1">
      <c r="C194" s="515"/>
      <c r="G194" s="1" t="s">
        <v>2515</v>
      </c>
      <c r="I194" s="516"/>
      <c r="J194" s="516"/>
      <c r="K194" s="515">
        <v>46387.0</v>
      </c>
      <c r="M194" s="515"/>
      <c r="N194" s="516"/>
      <c r="P194" s="1">
        <v>0.0</v>
      </c>
      <c r="Q194" s="1" t="s">
        <v>2404</v>
      </c>
      <c r="S194" s="517"/>
      <c r="V194" s="1">
        <v>0.16</v>
      </c>
      <c r="W194" s="518">
        <f t="shared" si="1"/>
        <v>160</v>
      </c>
    </row>
    <row r="195" hidden="1">
      <c r="C195" s="515"/>
      <c r="G195" s="1" t="s">
        <v>2516</v>
      </c>
      <c r="I195" s="516"/>
      <c r="J195" s="516"/>
      <c r="K195" s="515">
        <v>46387.0</v>
      </c>
      <c r="M195" s="515"/>
      <c r="N195" s="516"/>
      <c r="P195" s="1">
        <v>0.0</v>
      </c>
      <c r="Q195" s="1" t="s">
        <v>2404</v>
      </c>
      <c r="S195" s="517"/>
      <c r="V195" s="1">
        <v>32.0</v>
      </c>
      <c r="W195" s="518">
        <f t="shared" si="1"/>
        <v>32000</v>
      </c>
    </row>
    <row r="196" hidden="1">
      <c r="C196" s="515"/>
      <c r="G196" s="1" t="s">
        <v>2435</v>
      </c>
      <c r="I196" s="516"/>
      <c r="J196" s="516"/>
      <c r="M196" s="515"/>
      <c r="N196" s="516"/>
      <c r="P196" s="1">
        <v>0.0</v>
      </c>
      <c r="Q196" s="1" t="s">
        <v>2404</v>
      </c>
      <c r="S196" s="517"/>
      <c r="V196" s="1">
        <v>0.08</v>
      </c>
      <c r="W196" s="518">
        <f t="shared" si="1"/>
        <v>80</v>
      </c>
    </row>
    <row r="197" hidden="1">
      <c r="C197" s="515"/>
      <c r="G197" s="1" t="s">
        <v>2436</v>
      </c>
      <c r="I197" s="516"/>
      <c r="J197" s="516"/>
      <c r="M197" s="515"/>
      <c r="N197" s="516"/>
      <c r="P197" s="1">
        <v>0.0</v>
      </c>
      <c r="Q197" s="1" t="s">
        <v>2404</v>
      </c>
      <c r="S197" s="517"/>
      <c r="V197" s="1">
        <v>0.25</v>
      </c>
      <c r="W197" s="518">
        <f t="shared" si="1"/>
        <v>250</v>
      </c>
    </row>
    <row r="198" hidden="1">
      <c r="C198" s="515"/>
      <c r="G198" s="1" t="s">
        <v>2437</v>
      </c>
      <c r="I198" s="516"/>
      <c r="J198" s="516"/>
      <c r="M198" s="515"/>
      <c r="N198" s="516"/>
      <c r="P198" s="1">
        <v>0.0</v>
      </c>
      <c r="Q198" s="1" t="s">
        <v>2404</v>
      </c>
      <c r="S198" s="517"/>
      <c r="V198" s="1">
        <v>0.08</v>
      </c>
      <c r="W198" s="518">
        <f t="shared" si="1"/>
        <v>80</v>
      </c>
    </row>
    <row r="199" hidden="1">
      <c r="C199" s="515"/>
      <c r="G199" s="1" t="s">
        <v>2438</v>
      </c>
      <c r="I199" s="516"/>
      <c r="J199" s="516"/>
      <c r="M199" s="515"/>
      <c r="N199" s="516"/>
      <c r="P199" s="1">
        <v>0.0</v>
      </c>
      <c r="Q199" s="1" t="s">
        <v>2404</v>
      </c>
      <c r="S199" s="517"/>
      <c r="V199" s="1">
        <v>0.17</v>
      </c>
      <c r="W199" s="518">
        <f t="shared" si="1"/>
        <v>170</v>
      </c>
    </row>
    <row r="200" hidden="1">
      <c r="C200" s="515"/>
      <c r="G200" s="1" t="s">
        <v>2439</v>
      </c>
      <c r="I200" s="516"/>
      <c r="J200" s="516"/>
      <c r="M200" s="515"/>
      <c r="N200" s="516"/>
      <c r="P200" s="1">
        <v>0.0</v>
      </c>
      <c r="Q200" s="1" t="s">
        <v>2404</v>
      </c>
      <c r="S200" s="517"/>
      <c r="V200" s="1">
        <v>0.08</v>
      </c>
      <c r="W200" s="518">
        <f t="shared" si="1"/>
        <v>80</v>
      </c>
    </row>
    <row r="201" hidden="1">
      <c r="C201" s="515"/>
      <c r="G201" s="1" t="s">
        <v>2517</v>
      </c>
      <c r="I201" s="516"/>
      <c r="J201" s="516"/>
      <c r="M201" s="515"/>
      <c r="N201" s="516"/>
      <c r="P201" s="1">
        <v>0.0</v>
      </c>
      <c r="Q201" s="1" t="s">
        <v>2404</v>
      </c>
      <c r="S201" s="517"/>
      <c r="V201" s="1">
        <v>1.08</v>
      </c>
      <c r="W201" s="518">
        <f t="shared" si="1"/>
        <v>1080</v>
      </c>
    </row>
    <row r="202" hidden="1">
      <c r="C202" s="515"/>
      <c r="G202" s="1" t="s">
        <v>2441</v>
      </c>
      <c r="I202" s="516"/>
      <c r="J202" s="516"/>
      <c r="M202" s="515"/>
      <c r="N202" s="516"/>
      <c r="P202" s="1">
        <v>0.0</v>
      </c>
      <c r="Q202" s="1" t="s">
        <v>2404</v>
      </c>
      <c r="S202" s="517"/>
      <c r="V202" s="1">
        <v>0.08</v>
      </c>
      <c r="W202" s="518">
        <f t="shared" si="1"/>
        <v>80</v>
      </c>
    </row>
    <row r="203" hidden="1">
      <c r="C203" s="515"/>
      <c r="G203" s="1" t="s">
        <v>2443</v>
      </c>
      <c r="I203" s="516"/>
      <c r="J203" s="516"/>
      <c r="M203" s="515"/>
      <c r="N203" s="516"/>
      <c r="P203" s="1">
        <v>0.0</v>
      </c>
      <c r="Q203" s="1" t="s">
        <v>2404</v>
      </c>
      <c r="S203" s="517"/>
      <c r="V203" s="1">
        <v>0.83</v>
      </c>
      <c r="W203" s="518">
        <f t="shared" si="1"/>
        <v>830</v>
      </c>
    </row>
    <row r="204" hidden="1">
      <c r="C204" s="515"/>
      <c r="G204" s="1" t="s">
        <v>2444</v>
      </c>
      <c r="I204" s="516"/>
      <c r="J204" s="516"/>
      <c r="M204" s="515"/>
      <c r="N204" s="516"/>
      <c r="P204" s="1">
        <v>0.0</v>
      </c>
      <c r="Q204" s="1" t="s">
        <v>2404</v>
      </c>
      <c r="S204" s="517"/>
      <c r="V204" s="1">
        <v>0.13</v>
      </c>
      <c r="W204" s="518">
        <f t="shared" si="1"/>
        <v>130</v>
      </c>
    </row>
    <row r="205" hidden="1">
      <c r="C205" s="515"/>
      <c r="G205" s="1" t="s">
        <v>2445</v>
      </c>
      <c r="I205" s="516"/>
      <c r="J205" s="516"/>
      <c r="M205" s="515"/>
      <c r="N205" s="516"/>
      <c r="P205" s="1">
        <v>0.0</v>
      </c>
      <c r="Q205" s="1" t="s">
        <v>2404</v>
      </c>
      <c r="S205" s="517"/>
      <c r="V205" s="1">
        <v>0.17</v>
      </c>
      <c r="W205" s="518">
        <f t="shared" si="1"/>
        <v>170</v>
      </c>
    </row>
    <row r="206" hidden="1">
      <c r="C206" s="515"/>
      <c r="G206" s="1" t="s">
        <v>2446</v>
      </c>
      <c r="I206" s="516"/>
      <c r="J206" s="516"/>
      <c r="M206" s="515"/>
      <c r="N206" s="516"/>
      <c r="P206" s="1">
        <v>0.0</v>
      </c>
      <c r="Q206" s="1" t="s">
        <v>2404</v>
      </c>
      <c r="S206" s="517"/>
      <c r="V206" s="1">
        <v>0.04</v>
      </c>
      <c r="W206" s="518">
        <f t="shared" si="1"/>
        <v>40</v>
      </c>
    </row>
    <row r="207" hidden="1">
      <c r="C207" s="515"/>
      <c r="G207" s="1" t="s">
        <v>2447</v>
      </c>
      <c r="I207" s="516"/>
      <c r="J207" s="516"/>
      <c r="M207" s="515"/>
      <c r="N207" s="516"/>
      <c r="P207" s="1">
        <v>0.0</v>
      </c>
      <c r="Q207" s="1" t="s">
        <v>2404</v>
      </c>
      <c r="S207" s="517"/>
      <c r="V207" s="1">
        <v>0.08</v>
      </c>
      <c r="W207" s="518">
        <f t="shared" si="1"/>
        <v>80</v>
      </c>
    </row>
    <row r="208" hidden="1">
      <c r="C208" s="515"/>
      <c r="G208" s="1" t="s">
        <v>2448</v>
      </c>
      <c r="I208" s="516"/>
      <c r="J208" s="516"/>
      <c r="M208" s="515"/>
      <c r="N208" s="516"/>
      <c r="P208" s="1">
        <v>0.0</v>
      </c>
      <c r="Q208" s="1" t="s">
        <v>2404</v>
      </c>
      <c r="S208" s="517"/>
      <c r="V208" s="1">
        <v>0.04</v>
      </c>
      <c r="W208" s="518">
        <f t="shared" si="1"/>
        <v>40</v>
      </c>
    </row>
    <row r="209" hidden="1">
      <c r="C209" s="515"/>
      <c r="G209" s="1" t="s">
        <v>2449</v>
      </c>
      <c r="I209" s="516"/>
      <c r="J209" s="516"/>
      <c r="M209" s="515"/>
      <c r="N209" s="516"/>
      <c r="P209" s="1">
        <v>0.0</v>
      </c>
      <c r="Q209" s="1" t="s">
        <v>2404</v>
      </c>
      <c r="S209" s="517"/>
      <c r="V209" s="1">
        <v>0.04</v>
      </c>
      <c r="W209" s="518">
        <f t="shared" si="1"/>
        <v>40</v>
      </c>
    </row>
    <row r="210" hidden="1">
      <c r="C210" s="515"/>
      <c r="G210" s="1" t="s">
        <v>2451</v>
      </c>
      <c r="I210" s="516"/>
      <c r="J210" s="516"/>
      <c r="M210" s="515"/>
      <c r="N210" s="516"/>
      <c r="P210" s="1">
        <v>0.0</v>
      </c>
      <c r="Q210" s="1" t="s">
        <v>2404</v>
      </c>
      <c r="S210" s="517"/>
      <c r="V210" s="1">
        <v>0.04</v>
      </c>
      <c r="W210" s="518">
        <f t="shared" si="1"/>
        <v>40</v>
      </c>
    </row>
    <row r="211" hidden="1">
      <c r="C211" s="515"/>
      <c r="G211" s="1" t="s">
        <v>2453</v>
      </c>
      <c r="I211" s="516"/>
      <c r="J211" s="516"/>
      <c r="M211" s="515"/>
      <c r="N211" s="516"/>
      <c r="P211" s="1">
        <v>0.0</v>
      </c>
      <c r="Q211" s="1" t="s">
        <v>2404</v>
      </c>
      <c r="S211" s="517"/>
      <c r="V211" s="1">
        <v>0.08</v>
      </c>
      <c r="W211" s="518">
        <f t="shared" si="1"/>
        <v>80</v>
      </c>
    </row>
    <row r="212" hidden="1">
      <c r="C212" s="515"/>
      <c r="G212" s="1" t="s">
        <v>2518</v>
      </c>
      <c r="I212" s="516"/>
      <c r="J212" s="516"/>
      <c r="M212" s="515"/>
      <c r="N212" s="516"/>
      <c r="P212" s="1">
        <v>0.0</v>
      </c>
      <c r="Q212" s="1" t="s">
        <v>2404</v>
      </c>
      <c r="S212" s="517"/>
      <c r="V212" s="1">
        <v>0.13</v>
      </c>
      <c r="W212" s="518">
        <f t="shared" si="1"/>
        <v>130</v>
      </c>
    </row>
    <row r="213" hidden="1">
      <c r="C213" s="515"/>
      <c r="G213" s="1" t="s">
        <v>2454</v>
      </c>
      <c r="I213" s="516"/>
      <c r="J213" s="516"/>
      <c r="M213" s="515"/>
      <c r="N213" s="516"/>
      <c r="P213" s="1">
        <v>0.0</v>
      </c>
      <c r="Q213" s="1" t="s">
        <v>2404</v>
      </c>
      <c r="S213" s="517"/>
      <c r="V213" s="1">
        <v>0.08</v>
      </c>
      <c r="W213" s="518">
        <f t="shared" si="1"/>
        <v>80</v>
      </c>
    </row>
    <row r="214" hidden="1">
      <c r="C214" s="515"/>
      <c r="G214" s="1" t="s">
        <v>2455</v>
      </c>
      <c r="I214" s="516"/>
      <c r="J214" s="516"/>
      <c r="M214" s="515"/>
      <c r="N214" s="516"/>
      <c r="P214" s="1">
        <v>0.0</v>
      </c>
      <c r="Q214" s="1" t="s">
        <v>2404</v>
      </c>
      <c r="S214" s="517"/>
      <c r="V214" s="1">
        <v>0.17</v>
      </c>
      <c r="W214" s="518">
        <f t="shared" si="1"/>
        <v>170</v>
      </c>
    </row>
    <row r="215" hidden="1">
      <c r="C215" s="515"/>
      <c r="G215" s="1" t="s">
        <v>2456</v>
      </c>
      <c r="I215" s="516"/>
      <c r="J215" s="516"/>
      <c r="M215" s="515"/>
      <c r="N215" s="516"/>
      <c r="P215" s="1">
        <v>0.0</v>
      </c>
      <c r="Q215" s="1" t="s">
        <v>2404</v>
      </c>
      <c r="S215" s="517"/>
      <c r="V215" s="1">
        <v>0.67</v>
      </c>
      <c r="W215" s="518">
        <f t="shared" si="1"/>
        <v>670</v>
      </c>
    </row>
    <row r="216" hidden="1">
      <c r="C216" s="515"/>
      <c r="G216" s="1" t="s">
        <v>2457</v>
      </c>
      <c r="I216" s="516"/>
      <c r="J216" s="516"/>
      <c r="M216" s="515"/>
      <c r="N216" s="516"/>
      <c r="P216" s="1">
        <v>0.0</v>
      </c>
      <c r="Q216" s="1" t="s">
        <v>2404</v>
      </c>
      <c r="S216" s="517"/>
      <c r="V216" s="1">
        <v>0.5</v>
      </c>
      <c r="W216" s="518">
        <f t="shared" si="1"/>
        <v>500</v>
      </c>
    </row>
    <row r="217" hidden="1">
      <c r="C217" s="515"/>
      <c r="G217" s="1" t="s">
        <v>2458</v>
      </c>
      <c r="I217" s="516"/>
      <c r="J217" s="516"/>
      <c r="P217" s="1">
        <v>0.0</v>
      </c>
      <c r="Q217" s="1" t="s">
        <v>2404</v>
      </c>
      <c r="S217" s="517"/>
      <c r="V217" s="1">
        <v>0.08</v>
      </c>
      <c r="W217" s="518">
        <f t="shared" si="1"/>
        <v>80</v>
      </c>
    </row>
    <row r="218" hidden="1">
      <c r="C218" s="515"/>
      <c r="G218" s="1" t="s">
        <v>2460</v>
      </c>
      <c r="I218" s="516"/>
      <c r="J218" s="516"/>
      <c r="M218" s="515"/>
      <c r="N218" s="516"/>
      <c r="P218" s="1">
        <v>0.0</v>
      </c>
      <c r="Q218" s="1" t="s">
        <v>2404</v>
      </c>
      <c r="S218" s="517"/>
      <c r="V218" s="1">
        <v>0.83</v>
      </c>
      <c r="W218" s="518">
        <f t="shared" si="1"/>
        <v>830</v>
      </c>
    </row>
    <row r="219" hidden="1">
      <c r="C219" s="515"/>
      <c r="G219" s="86" t="s">
        <v>2519</v>
      </c>
      <c r="I219" s="516"/>
      <c r="J219" s="516"/>
      <c r="K219" s="515">
        <v>46387.0</v>
      </c>
      <c r="M219" s="515"/>
      <c r="N219" s="516"/>
      <c r="P219" s="1">
        <v>0.0</v>
      </c>
      <c r="Q219" s="1" t="s">
        <v>2404</v>
      </c>
      <c r="S219" s="517"/>
      <c r="V219" s="1">
        <v>35.0</v>
      </c>
      <c r="W219" s="518">
        <f t="shared" si="1"/>
        <v>35000</v>
      </c>
    </row>
    <row r="220" hidden="1">
      <c r="C220" s="515"/>
      <c r="G220" s="1" t="s">
        <v>2461</v>
      </c>
      <c r="I220" s="516"/>
      <c r="J220" s="516"/>
      <c r="M220" s="515"/>
      <c r="N220" s="516"/>
      <c r="P220" s="1">
        <v>0.0</v>
      </c>
      <c r="Q220" s="1" t="s">
        <v>2404</v>
      </c>
      <c r="S220" s="517"/>
      <c r="V220" s="1">
        <v>0.08</v>
      </c>
      <c r="W220" s="518">
        <f t="shared" si="1"/>
        <v>80</v>
      </c>
    </row>
    <row r="221" hidden="1">
      <c r="C221" s="515"/>
      <c r="G221" s="1" t="s">
        <v>2462</v>
      </c>
      <c r="I221" s="516"/>
      <c r="J221" s="516"/>
      <c r="M221" s="515"/>
      <c r="N221" s="516"/>
      <c r="P221" s="1">
        <v>0.0</v>
      </c>
      <c r="Q221" s="1" t="s">
        <v>2404</v>
      </c>
      <c r="S221" s="517"/>
      <c r="V221" s="1">
        <v>0.04</v>
      </c>
      <c r="W221" s="518">
        <f t="shared" si="1"/>
        <v>40</v>
      </c>
    </row>
    <row r="222">
      <c r="C222" s="515"/>
      <c r="G222" s="1" t="s">
        <v>2520</v>
      </c>
      <c r="I222" s="516"/>
      <c r="J222" s="516"/>
      <c r="K222" s="515">
        <v>45657.0</v>
      </c>
      <c r="M222" s="515"/>
      <c r="N222" s="516"/>
      <c r="P222" s="1">
        <v>0.0</v>
      </c>
      <c r="Q222" s="1" t="s">
        <v>2404</v>
      </c>
      <c r="S222" s="517"/>
      <c r="V222" s="1">
        <v>200.0</v>
      </c>
      <c r="W222" s="518">
        <f t="shared" si="1"/>
        <v>200000</v>
      </c>
    </row>
    <row r="223" hidden="1">
      <c r="C223" s="515"/>
      <c r="G223" s="1" t="s">
        <v>2520</v>
      </c>
      <c r="I223" s="516"/>
      <c r="J223" s="516"/>
      <c r="K223" s="515">
        <v>46022.0</v>
      </c>
      <c r="M223" s="515"/>
      <c r="N223" s="516"/>
      <c r="P223" s="1">
        <v>0.0</v>
      </c>
      <c r="Q223" s="1" t="s">
        <v>2404</v>
      </c>
      <c r="S223" s="517"/>
      <c r="V223" s="1">
        <v>2300.0</v>
      </c>
      <c r="W223" s="518">
        <f t="shared" si="1"/>
        <v>2300000</v>
      </c>
    </row>
    <row r="224" hidden="1">
      <c r="C224" s="515"/>
      <c r="G224" s="1" t="s">
        <v>2520</v>
      </c>
      <c r="I224" s="516"/>
      <c r="J224" s="516"/>
      <c r="K224" s="515">
        <v>46387.0</v>
      </c>
      <c r="M224" s="515"/>
      <c r="N224" s="516"/>
      <c r="P224" s="1">
        <v>0.0</v>
      </c>
      <c r="Q224" s="1" t="s">
        <v>2404</v>
      </c>
      <c r="S224" s="517"/>
      <c r="V224" s="1">
        <v>6500.0</v>
      </c>
      <c r="W224" s="518">
        <f t="shared" si="1"/>
        <v>6500000</v>
      </c>
    </row>
    <row r="225" hidden="1">
      <c r="C225" s="515"/>
      <c r="G225" s="1" t="s">
        <v>2520</v>
      </c>
      <c r="I225" s="516"/>
      <c r="J225" s="516"/>
      <c r="K225" s="515">
        <v>46752.0</v>
      </c>
      <c r="M225" s="515"/>
      <c r="N225" s="516"/>
      <c r="P225" s="1">
        <v>0.0</v>
      </c>
      <c r="Q225" s="1" t="s">
        <v>2404</v>
      </c>
      <c r="S225" s="517"/>
      <c r="V225" s="1">
        <v>8000.0</v>
      </c>
      <c r="W225" s="518">
        <f t="shared" si="1"/>
        <v>8000000</v>
      </c>
    </row>
    <row r="226" hidden="1">
      <c r="C226" s="515"/>
      <c r="G226" s="1" t="s">
        <v>2520</v>
      </c>
      <c r="I226" s="516"/>
      <c r="J226" s="516"/>
      <c r="K226" s="515">
        <v>47118.0</v>
      </c>
      <c r="M226" s="515"/>
      <c r="N226" s="516"/>
      <c r="P226" s="1">
        <v>0.0</v>
      </c>
      <c r="Q226" s="1" t="s">
        <v>2404</v>
      </c>
      <c r="S226" s="517"/>
      <c r="V226" s="1">
        <v>8000.0</v>
      </c>
      <c r="W226" s="518">
        <f t="shared" si="1"/>
        <v>8000000</v>
      </c>
    </row>
    <row r="227" hidden="1">
      <c r="C227" s="515"/>
      <c r="G227" s="1" t="s">
        <v>2464</v>
      </c>
      <c r="I227" s="516"/>
      <c r="J227" s="516"/>
      <c r="M227" s="515"/>
      <c r="N227" s="516"/>
      <c r="P227" s="1">
        <v>0.0</v>
      </c>
      <c r="Q227" s="1" t="s">
        <v>2404</v>
      </c>
      <c r="S227" s="517"/>
      <c r="V227" s="1">
        <v>0.08</v>
      </c>
      <c r="W227" s="518">
        <f t="shared" si="1"/>
        <v>80</v>
      </c>
    </row>
    <row r="228" hidden="1">
      <c r="C228" s="515"/>
      <c r="G228" s="1" t="s">
        <v>2463</v>
      </c>
      <c r="I228" s="516"/>
      <c r="J228" s="516"/>
      <c r="M228" s="515"/>
      <c r="N228" s="516"/>
      <c r="P228" s="1">
        <v>0.0</v>
      </c>
      <c r="Q228" s="1" t="s">
        <v>2404</v>
      </c>
      <c r="S228" s="517"/>
      <c r="V228" s="1">
        <v>0.08</v>
      </c>
      <c r="W228" s="518">
        <f t="shared" si="1"/>
        <v>80</v>
      </c>
    </row>
    <row r="229" hidden="1">
      <c r="C229" s="515"/>
      <c r="G229" s="1" t="s">
        <v>2465</v>
      </c>
      <c r="I229" s="516"/>
      <c r="J229" s="516"/>
      <c r="M229" s="515"/>
      <c r="N229" s="516"/>
      <c r="P229" s="1">
        <v>0.0</v>
      </c>
      <c r="Q229" s="1" t="s">
        <v>2404</v>
      </c>
      <c r="S229" s="517"/>
      <c r="V229" s="1">
        <v>0.17</v>
      </c>
      <c r="W229" s="518">
        <f t="shared" si="1"/>
        <v>170</v>
      </c>
    </row>
    <row r="230" hidden="1">
      <c r="C230" s="515"/>
      <c r="G230" s="1" t="s">
        <v>2466</v>
      </c>
      <c r="I230" s="516"/>
      <c r="J230" s="516"/>
      <c r="M230" s="515"/>
      <c r="N230" s="516"/>
      <c r="P230" s="1">
        <v>0.0</v>
      </c>
      <c r="Q230" s="1" t="s">
        <v>2404</v>
      </c>
      <c r="S230" s="517"/>
      <c r="V230" s="1">
        <v>0.21</v>
      </c>
      <c r="W230" s="518">
        <f t="shared" si="1"/>
        <v>210</v>
      </c>
    </row>
    <row r="231" hidden="1">
      <c r="C231" s="515"/>
      <c r="G231" s="1" t="s">
        <v>2468</v>
      </c>
      <c r="I231" s="516"/>
      <c r="J231" s="516"/>
      <c r="M231" s="515"/>
      <c r="N231" s="516"/>
      <c r="P231" s="1">
        <v>0.0</v>
      </c>
      <c r="Q231" s="1" t="s">
        <v>2404</v>
      </c>
      <c r="S231" s="517"/>
      <c r="V231" s="1">
        <v>0.04</v>
      </c>
      <c r="W231" s="518">
        <f t="shared" si="1"/>
        <v>40</v>
      </c>
    </row>
    <row r="232" hidden="1">
      <c r="C232" s="515"/>
      <c r="G232" s="1" t="s">
        <v>2521</v>
      </c>
      <c r="I232" s="516"/>
      <c r="J232" s="516"/>
      <c r="M232" s="515"/>
      <c r="N232" s="516"/>
      <c r="P232" s="1">
        <v>0.0</v>
      </c>
      <c r="Q232" s="1" t="s">
        <v>2404</v>
      </c>
      <c r="S232" s="517"/>
      <c r="V232" s="1">
        <v>0.08</v>
      </c>
      <c r="W232" s="518">
        <f t="shared" si="1"/>
        <v>80</v>
      </c>
    </row>
    <row r="233" hidden="1">
      <c r="C233" s="515"/>
      <c r="G233" s="1" t="s">
        <v>2469</v>
      </c>
      <c r="I233" s="516"/>
      <c r="J233" s="516"/>
      <c r="M233" s="515"/>
      <c r="N233" s="516"/>
      <c r="P233" s="1">
        <v>0.0</v>
      </c>
      <c r="Q233" s="1" t="s">
        <v>2404</v>
      </c>
      <c r="S233" s="517"/>
      <c r="V233" s="1">
        <v>0.04</v>
      </c>
      <c r="W233" s="518">
        <f t="shared" si="1"/>
        <v>40</v>
      </c>
    </row>
    <row r="234" hidden="1">
      <c r="C234" s="515"/>
      <c r="G234" s="1" t="s">
        <v>2470</v>
      </c>
      <c r="I234" s="516"/>
      <c r="J234" s="516"/>
      <c r="M234" s="515"/>
      <c r="N234" s="516"/>
      <c r="P234" s="1">
        <v>0.0</v>
      </c>
      <c r="Q234" s="1" t="s">
        <v>2404</v>
      </c>
      <c r="S234" s="517"/>
      <c r="V234" s="1">
        <v>0.33</v>
      </c>
      <c r="W234" s="518">
        <f t="shared" si="1"/>
        <v>330</v>
      </c>
    </row>
    <row r="235" hidden="1">
      <c r="C235" s="515"/>
      <c r="G235" s="1" t="s">
        <v>2471</v>
      </c>
      <c r="I235" s="516"/>
      <c r="J235" s="516"/>
      <c r="M235" s="515"/>
      <c r="N235" s="516"/>
      <c r="P235" s="1">
        <v>0.0</v>
      </c>
      <c r="Q235" s="1" t="s">
        <v>2404</v>
      </c>
      <c r="S235" s="517"/>
      <c r="V235" s="1">
        <v>0.04</v>
      </c>
      <c r="W235" s="518">
        <f t="shared" si="1"/>
        <v>40</v>
      </c>
    </row>
    <row r="236" hidden="1">
      <c r="C236" s="515"/>
      <c r="G236" s="1" t="s">
        <v>2472</v>
      </c>
      <c r="I236" s="516"/>
      <c r="J236" s="516"/>
      <c r="M236" s="515"/>
      <c r="N236" s="516"/>
      <c r="P236" s="1">
        <v>0.0</v>
      </c>
      <c r="Q236" s="1" t="s">
        <v>2404</v>
      </c>
      <c r="S236" s="517"/>
      <c r="V236" s="1">
        <v>0.08</v>
      </c>
      <c r="W236" s="518">
        <f t="shared" si="1"/>
        <v>80</v>
      </c>
    </row>
    <row r="237" hidden="1">
      <c r="C237" s="515"/>
      <c r="G237" s="1" t="s">
        <v>2473</v>
      </c>
      <c r="I237" s="516"/>
      <c r="J237" s="516"/>
      <c r="M237" s="515"/>
      <c r="N237" s="516"/>
      <c r="P237" s="1">
        <v>0.0</v>
      </c>
      <c r="Q237" s="1" t="s">
        <v>2404</v>
      </c>
      <c r="S237" s="517"/>
      <c r="V237" s="1">
        <v>0.08</v>
      </c>
      <c r="W237" s="518">
        <f t="shared" si="1"/>
        <v>80</v>
      </c>
    </row>
    <row r="238" hidden="1">
      <c r="C238" s="515"/>
      <c r="G238" s="1" t="s">
        <v>2474</v>
      </c>
      <c r="I238" s="516"/>
      <c r="J238" s="516"/>
      <c r="M238" s="515"/>
      <c r="N238" s="516"/>
      <c r="P238" s="1">
        <v>0.0</v>
      </c>
      <c r="Q238" s="1" t="s">
        <v>2404</v>
      </c>
      <c r="S238" s="517"/>
      <c r="V238" s="1">
        <v>0.18</v>
      </c>
      <c r="W238" s="518">
        <f t="shared" si="1"/>
        <v>180</v>
      </c>
    </row>
    <row r="239" hidden="1">
      <c r="C239" s="515"/>
      <c r="G239" s="1" t="s">
        <v>2477</v>
      </c>
      <c r="I239" s="516"/>
      <c r="J239" s="516"/>
      <c r="M239" s="515"/>
      <c r="N239" s="516"/>
      <c r="P239" s="1">
        <v>0.0</v>
      </c>
      <c r="Q239" s="1" t="s">
        <v>2404</v>
      </c>
      <c r="S239" s="517"/>
      <c r="V239" s="1">
        <v>0.08</v>
      </c>
      <c r="W239" s="518">
        <f t="shared" si="1"/>
        <v>80</v>
      </c>
    </row>
    <row r="240" hidden="1">
      <c r="C240" s="515"/>
      <c r="G240" s="1" t="s">
        <v>2478</v>
      </c>
      <c r="I240" s="516"/>
      <c r="J240" s="516"/>
      <c r="M240" s="515"/>
      <c r="N240" s="516"/>
      <c r="P240" s="1">
        <v>0.0</v>
      </c>
      <c r="Q240" s="1" t="s">
        <v>2404</v>
      </c>
      <c r="S240" s="517"/>
      <c r="V240" s="1">
        <v>0.08</v>
      </c>
      <c r="W240" s="518">
        <f t="shared" si="1"/>
        <v>80</v>
      </c>
    </row>
    <row r="241" hidden="1">
      <c r="C241" s="515"/>
      <c r="G241" s="1" t="s">
        <v>2479</v>
      </c>
      <c r="I241" s="516"/>
      <c r="J241" s="516"/>
      <c r="M241" s="515"/>
      <c r="N241" s="516"/>
      <c r="P241" s="1">
        <v>0.0</v>
      </c>
      <c r="Q241" s="1" t="s">
        <v>2404</v>
      </c>
      <c r="S241" s="517"/>
      <c r="V241" s="1">
        <v>0.04</v>
      </c>
      <c r="W241" s="518">
        <f t="shared" si="1"/>
        <v>40</v>
      </c>
    </row>
    <row r="242" hidden="1">
      <c r="C242" s="515"/>
      <c r="G242" s="1" t="s">
        <v>2482</v>
      </c>
      <c r="I242" s="516"/>
      <c r="J242" s="516"/>
      <c r="M242" s="515"/>
      <c r="N242" s="516"/>
      <c r="P242" s="1">
        <v>0.0</v>
      </c>
      <c r="Q242" s="1" t="s">
        <v>2404</v>
      </c>
      <c r="S242" s="517"/>
      <c r="V242" s="1">
        <v>0.04</v>
      </c>
      <c r="W242" s="518">
        <f t="shared" si="1"/>
        <v>40</v>
      </c>
    </row>
    <row r="243" hidden="1">
      <c r="C243" s="515"/>
      <c r="G243" s="1" t="s">
        <v>2483</v>
      </c>
      <c r="I243" s="516"/>
      <c r="J243" s="516"/>
      <c r="M243" s="515"/>
      <c r="N243" s="516"/>
      <c r="P243" s="1">
        <v>0.0</v>
      </c>
      <c r="Q243" s="1" t="s">
        <v>2404</v>
      </c>
      <c r="S243" s="517"/>
      <c r="V243" s="1">
        <v>0.71</v>
      </c>
      <c r="W243" s="518">
        <f t="shared" si="1"/>
        <v>710</v>
      </c>
    </row>
    <row r="244" hidden="1">
      <c r="C244" s="515"/>
      <c r="G244" s="1" t="s">
        <v>2484</v>
      </c>
      <c r="I244" s="516"/>
      <c r="J244" s="516"/>
      <c r="M244" s="515"/>
      <c r="N244" s="516"/>
      <c r="P244" s="1">
        <v>0.0</v>
      </c>
      <c r="Q244" s="1" t="s">
        <v>2404</v>
      </c>
      <c r="S244" s="517"/>
      <c r="V244" s="1">
        <v>0.5</v>
      </c>
      <c r="W244" s="518">
        <f t="shared" si="1"/>
        <v>500</v>
      </c>
    </row>
    <row r="245" hidden="1">
      <c r="C245" s="515"/>
      <c r="G245" s="1" t="s">
        <v>2485</v>
      </c>
      <c r="I245" s="516"/>
      <c r="J245" s="516"/>
      <c r="M245" s="515"/>
      <c r="N245" s="516"/>
      <c r="P245" s="1">
        <v>0.0</v>
      </c>
      <c r="Q245" s="1" t="s">
        <v>2404</v>
      </c>
      <c r="S245" s="517"/>
      <c r="V245" s="1">
        <v>0.08</v>
      </c>
      <c r="W245" s="518">
        <f t="shared" si="1"/>
        <v>80</v>
      </c>
    </row>
    <row r="246" hidden="1">
      <c r="C246" s="515"/>
      <c r="G246" s="1" t="s">
        <v>2486</v>
      </c>
      <c r="I246" s="516"/>
      <c r="J246" s="516"/>
      <c r="M246" s="515"/>
      <c r="P246" s="1">
        <v>0.0</v>
      </c>
      <c r="Q246" s="1" t="s">
        <v>2404</v>
      </c>
      <c r="S246" s="517"/>
      <c r="V246" s="1">
        <v>0.08</v>
      </c>
      <c r="W246" s="518">
        <f t="shared" si="1"/>
        <v>80</v>
      </c>
    </row>
    <row r="247" hidden="1">
      <c r="C247" s="515"/>
      <c r="G247" s="1" t="s">
        <v>2487</v>
      </c>
      <c r="I247" s="516"/>
      <c r="J247" s="516"/>
      <c r="M247" s="515"/>
      <c r="N247" s="516"/>
      <c r="P247" s="1">
        <v>0.0</v>
      </c>
      <c r="Q247" s="1" t="s">
        <v>2404</v>
      </c>
      <c r="S247" s="517"/>
      <c r="V247" s="1">
        <v>0.04</v>
      </c>
      <c r="W247" s="518">
        <f t="shared" si="1"/>
        <v>40</v>
      </c>
    </row>
    <row r="248" hidden="1">
      <c r="C248" s="515"/>
      <c r="G248" s="1" t="s">
        <v>2488</v>
      </c>
      <c r="I248" s="516"/>
      <c r="J248" s="516"/>
      <c r="M248" s="515"/>
      <c r="N248" s="516"/>
      <c r="P248" s="1">
        <v>0.0</v>
      </c>
      <c r="Q248" s="1" t="s">
        <v>2404</v>
      </c>
      <c r="S248" s="517"/>
      <c r="V248" s="1">
        <v>0.21</v>
      </c>
      <c r="W248" s="518">
        <f t="shared" si="1"/>
        <v>210</v>
      </c>
    </row>
    <row r="249" hidden="1">
      <c r="C249" s="515"/>
      <c r="G249" s="1" t="s">
        <v>2489</v>
      </c>
      <c r="I249" s="516"/>
      <c r="J249" s="516"/>
      <c r="M249" s="515"/>
      <c r="N249" s="516"/>
      <c r="P249" s="1">
        <v>0.0</v>
      </c>
      <c r="Q249" s="1" t="s">
        <v>2404</v>
      </c>
      <c r="S249" s="517"/>
      <c r="V249" s="1">
        <v>0.08</v>
      </c>
      <c r="W249" s="518">
        <f t="shared" si="1"/>
        <v>80</v>
      </c>
    </row>
    <row r="250" hidden="1">
      <c r="C250" s="515"/>
      <c r="G250" s="1" t="s">
        <v>2490</v>
      </c>
      <c r="I250" s="516"/>
      <c r="J250" s="516"/>
      <c r="M250" s="515"/>
      <c r="N250" s="516"/>
      <c r="P250" s="1">
        <v>0.0</v>
      </c>
      <c r="Q250" s="1" t="s">
        <v>2404</v>
      </c>
      <c r="S250" s="517"/>
      <c r="V250" s="1">
        <v>0.04</v>
      </c>
      <c r="W250" s="518">
        <f t="shared" si="1"/>
        <v>40</v>
      </c>
    </row>
    <row r="251" hidden="1">
      <c r="C251" s="515"/>
      <c r="G251" s="1" t="s">
        <v>2491</v>
      </c>
      <c r="I251" s="516"/>
      <c r="J251" s="516"/>
      <c r="M251" s="515"/>
      <c r="N251" s="516"/>
      <c r="P251" s="1">
        <v>0.0</v>
      </c>
      <c r="Q251" s="1" t="s">
        <v>2404</v>
      </c>
      <c r="S251" s="517"/>
      <c r="V251" s="1">
        <v>0.04</v>
      </c>
      <c r="W251" s="518">
        <f t="shared" si="1"/>
        <v>40</v>
      </c>
    </row>
    <row r="252" hidden="1">
      <c r="C252" s="515"/>
      <c r="G252" s="1" t="s">
        <v>2492</v>
      </c>
      <c r="I252" s="516"/>
      <c r="J252" s="516"/>
      <c r="M252" s="515"/>
      <c r="N252" s="516"/>
      <c r="P252" s="1">
        <v>0.0</v>
      </c>
      <c r="Q252" s="1" t="s">
        <v>2404</v>
      </c>
      <c r="S252" s="517"/>
      <c r="V252" s="1">
        <v>1.0</v>
      </c>
      <c r="W252" s="518">
        <f t="shared" si="1"/>
        <v>1000</v>
      </c>
    </row>
    <row r="253" hidden="1">
      <c r="C253" s="515"/>
      <c r="G253" s="1" t="s">
        <v>2493</v>
      </c>
      <c r="I253" s="516"/>
      <c r="J253" s="516"/>
      <c r="M253" s="515"/>
      <c r="N253" s="516"/>
      <c r="P253" s="1">
        <v>0.0</v>
      </c>
      <c r="Q253" s="1" t="s">
        <v>2404</v>
      </c>
      <c r="S253" s="517"/>
      <c r="V253" s="1">
        <v>0.17</v>
      </c>
      <c r="W253" s="518">
        <f t="shared" si="1"/>
        <v>170</v>
      </c>
    </row>
    <row r="254" hidden="1">
      <c r="C254" s="515"/>
      <c r="G254" s="1" t="s">
        <v>2494</v>
      </c>
      <c r="I254" s="516"/>
      <c r="J254" s="516"/>
      <c r="M254" s="515"/>
      <c r="N254" s="516"/>
      <c r="P254" s="1">
        <v>0.0</v>
      </c>
      <c r="Q254" s="1" t="s">
        <v>2404</v>
      </c>
      <c r="S254" s="517"/>
      <c r="V254" s="1">
        <v>0.04</v>
      </c>
      <c r="W254" s="518">
        <f t="shared" si="1"/>
        <v>40</v>
      </c>
    </row>
    <row r="255" hidden="1">
      <c r="C255" s="515"/>
      <c r="G255" s="1" t="s">
        <v>2522</v>
      </c>
      <c r="I255" s="516"/>
      <c r="J255" s="516"/>
      <c r="M255" s="515"/>
      <c r="N255" s="516"/>
      <c r="P255" s="1">
        <v>0.0</v>
      </c>
      <c r="Q255" s="1" t="s">
        <v>2404</v>
      </c>
      <c r="S255" s="517"/>
      <c r="V255" s="1">
        <v>0.08</v>
      </c>
      <c r="W255" s="518">
        <f t="shared" si="1"/>
        <v>80</v>
      </c>
    </row>
    <row r="256" hidden="1">
      <c r="C256" s="515"/>
      <c r="G256" s="1" t="s">
        <v>2523</v>
      </c>
      <c r="I256" s="516"/>
      <c r="J256" s="516"/>
      <c r="M256" s="515"/>
      <c r="N256" s="516"/>
      <c r="P256" s="1">
        <v>0.0</v>
      </c>
      <c r="Q256" s="1" t="s">
        <v>2404</v>
      </c>
      <c r="S256" s="517"/>
      <c r="V256" s="1">
        <v>2.0</v>
      </c>
      <c r="W256" s="518">
        <f t="shared" si="1"/>
        <v>2000</v>
      </c>
    </row>
    <row r="257" hidden="1">
      <c r="C257" s="515"/>
      <c r="G257" s="1" t="s">
        <v>2495</v>
      </c>
      <c r="I257" s="516"/>
      <c r="J257" s="516"/>
      <c r="M257" s="515"/>
      <c r="N257" s="516"/>
      <c r="P257" s="1">
        <v>0.0</v>
      </c>
      <c r="Q257" s="1" t="s">
        <v>2404</v>
      </c>
      <c r="S257" s="517"/>
      <c r="V257" s="1">
        <v>0.08</v>
      </c>
      <c r="W257" s="518">
        <f t="shared" si="1"/>
        <v>80</v>
      </c>
    </row>
    <row r="258" hidden="1">
      <c r="C258" s="515"/>
      <c r="G258" s="1" t="s">
        <v>2497</v>
      </c>
      <c r="I258" s="516"/>
      <c r="J258" s="516"/>
      <c r="M258" s="515"/>
      <c r="N258" s="516"/>
      <c r="P258" s="1">
        <v>0.0</v>
      </c>
      <c r="Q258" s="1" t="s">
        <v>2404</v>
      </c>
      <c r="S258" s="517"/>
      <c r="V258" s="1">
        <v>2.0</v>
      </c>
      <c r="W258" s="518">
        <f t="shared" si="1"/>
        <v>2000</v>
      </c>
    </row>
    <row r="259" hidden="1">
      <c r="C259" s="515"/>
      <c r="G259" s="1" t="s">
        <v>2498</v>
      </c>
      <c r="I259" s="516"/>
      <c r="J259" s="516"/>
      <c r="M259" s="515"/>
      <c r="N259" s="516"/>
      <c r="P259" s="1">
        <v>0.0</v>
      </c>
      <c r="Q259" s="1" t="s">
        <v>2404</v>
      </c>
      <c r="S259" s="517"/>
      <c r="V259" s="1">
        <v>0.18</v>
      </c>
      <c r="W259" s="518">
        <f t="shared" si="1"/>
        <v>180</v>
      </c>
    </row>
    <row r="260" hidden="1">
      <c r="C260" s="515"/>
      <c r="G260" s="1" t="s">
        <v>2499</v>
      </c>
      <c r="I260" s="516"/>
      <c r="J260" s="516"/>
      <c r="M260" s="515"/>
      <c r="N260" s="516"/>
      <c r="P260" s="1">
        <v>0.0</v>
      </c>
      <c r="Q260" s="1" t="s">
        <v>2404</v>
      </c>
      <c r="S260" s="517"/>
      <c r="V260" s="1">
        <v>0.04</v>
      </c>
      <c r="W260" s="518">
        <f t="shared" si="1"/>
        <v>40</v>
      </c>
    </row>
    <row r="261" hidden="1">
      <c r="C261" s="515"/>
      <c r="G261" s="1" t="s">
        <v>2500</v>
      </c>
      <c r="I261" s="516"/>
      <c r="J261" s="516"/>
      <c r="M261" s="515"/>
      <c r="N261" s="516"/>
      <c r="P261" s="1">
        <v>0.0</v>
      </c>
      <c r="Q261" s="1" t="s">
        <v>2404</v>
      </c>
      <c r="S261" s="517"/>
      <c r="V261" s="1">
        <v>0.04</v>
      </c>
      <c r="W261" s="518">
        <f t="shared" si="1"/>
        <v>40</v>
      </c>
    </row>
    <row r="262" hidden="1">
      <c r="C262" s="515"/>
      <c r="G262" s="1" t="s">
        <v>2501</v>
      </c>
      <c r="I262" s="516"/>
      <c r="J262" s="516"/>
      <c r="M262" s="515"/>
      <c r="N262" s="516"/>
      <c r="P262" s="1">
        <v>0.0</v>
      </c>
      <c r="Q262" s="1" t="s">
        <v>2404</v>
      </c>
      <c r="S262" s="517"/>
      <c r="V262" s="1">
        <v>0.08</v>
      </c>
      <c r="W262" s="518">
        <f t="shared" si="1"/>
        <v>80</v>
      </c>
    </row>
    <row r="263" hidden="1">
      <c r="C263" s="515"/>
      <c r="G263" s="1" t="s">
        <v>2502</v>
      </c>
      <c r="I263" s="516"/>
      <c r="J263" s="516"/>
      <c r="M263" s="515"/>
      <c r="N263" s="516"/>
      <c r="P263" s="1">
        <v>0.0</v>
      </c>
      <c r="Q263" s="1" t="s">
        <v>2404</v>
      </c>
      <c r="S263" s="517"/>
      <c r="V263" s="1">
        <v>0.04</v>
      </c>
      <c r="W263" s="518">
        <f t="shared" si="1"/>
        <v>40</v>
      </c>
    </row>
    <row r="264" hidden="1">
      <c r="C264" s="515"/>
      <c r="G264" s="1" t="s">
        <v>2503</v>
      </c>
      <c r="I264" s="516"/>
      <c r="J264" s="516"/>
      <c r="M264" s="515"/>
      <c r="N264" s="516"/>
      <c r="P264" s="1">
        <v>0.0</v>
      </c>
      <c r="Q264" s="1" t="s">
        <v>2404</v>
      </c>
      <c r="S264" s="517"/>
      <c r="V264" s="1">
        <v>1.67</v>
      </c>
      <c r="W264" s="518">
        <f t="shared" si="1"/>
        <v>1670</v>
      </c>
    </row>
    <row r="265" hidden="1">
      <c r="C265" s="515"/>
      <c r="G265" s="1" t="s">
        <v>2524</v>
      </c>
      <c r="I265" s="516"/>
      <c r="J265" s="516"/>
      <c r="M265" s="515"/>
      <c r="N265" s="516"/>
      <c r="P265" s="1">
        <v>0.0</v>
      </c>
      <c r="Q265" s="1" t="s">
        <v>2404</v>
      </c>
      <c r="S265" s="517"/>
      <c r="V265" s="1">
        <v>0.83</v>
      </c>
      <c r="W265" s="518">
        <f t="shared" si="1"/>
        <v>830</v>
      </c>
    </row>
    <row r="266" hidden="1">
      <c r="C266" s="515"/>
      <c r="G266" s="1" t="s">
        <v>2504</v>
      </c>
      <c r="I266" s="516"/>
      <c r="J266" s="516"/>
      <c r="M266" s="515"/>
      <c r="N266" s="516"/>
      <c r="P266" s="1">
        <v>0.0</v>
      </c>
      <c r="Q266" s="1" t="s">
        <v>2404</v>
      </c>
      <c r="S266" s="517"/>
      <c r="V266" s="1">
        <v>0.04</v>
      </c>
      <c r="W266" s="518">
        <f t="shared" si="1"/>
        <v>40</v>
      </c>
    </row>
    <row r="267" hidden="1">
      <c r="C267" s="515"/>
      <c r="G267" s="1" t="s">
        <v>2505</v>
      </c>
      <c r="I267" s="516"/>
      <c r="J267" s="516"/>
      <c r="M267" s="515"/>
      <c r="N267" s="516"/>
      <c r="P267" s="1">
        <v>0.0</v>
      </c>
      <c r="Q267" s="1" t="s">
        <v>2404</v>
      </c>
      <c r="S267" s="517"/>
      <c r="V267" s="1">
        <v>0.13</v>
      </c>
      <c r="W267" s="518">
        <f t="shared" si="1"/>
        <v>130</v>
      </c>
    </row>
    <row r="268" hidden="1">
      <c r="C268" s="515"/>
      <c r="G268" s="1" t="s">
        <v>2506</v>
      </c>
      <c r="I268" s="516"/>
      <c r="J268" s="516"/>
      <c r="M268" s="515"/>
      <c r="N268" s="516"/>
      <c r="P268" s="1">
        <v>0.0</v>
      </c>
      <c r="Q268" s="1" t="s">
        <v>2404</v>
      </c>
      <c r="S268" s="517"/>
      <c r="V268" s="1">
        <v>0.04</v>
      </c>
      <c r="W268" s="518">
        <f t="shared" si="1"/>
        <v>40</v>
      </c>
    </row>
    <row r="269" hidden="1">
      <c r="C269" s="515"/>
      <c r="G269" s="1" t="s">
        <v>2507</v>
      </c>
      <c r="I269" s="516"/>
      <c r="J269" s="516"/>
      <c r="M269" s="515"/>
      <c r="N269" s="516"/>
      <c r="P269" s="1">
        <v>0.0</v>
      </c>
      <c r="Q269" s="1" t="s">
        <v>2404</v>
      </c>
      <c r="S269" s="517"/>
      <c r="V269" s="1">
        <v>0.08</v>
      </c>
      <c r="W269" s="518">
        <f t="shared" si="1"/>
        <v>80</v>
      </c>
    </row>
    <row r="270" hidden="1">
      <c r="C270" s="515"/>
      <c r="G270" s="1" t="s">
        <v>2508</v>
      </c>
      <c r="I270" s="516"/>
      <c r="J270" s="516"/>
      <c r="M270" s="515"/>
      <c r="N270" s="516"/>
      <c r="P270" s="1">
        <v>0.0</v>
      </c>
      <c r="Q270" s="1" t="s">
        <v>2404</v>
      </c>
      <c r="S270" s="517"/>
      <c r="V270" s="1">
        <v>0.17</v>
      </c>
      <c r="W270" s="518">
        <f t="shared" si="1"/>
        <v>170</v>
      </c>
    </row>
    <row r="271" hidden="1">
      <c r="C271" s="515"/>
      <c r="G271" s="1" t="s">
        <v>2509</v>
      </c>
      <c r="I271" s="516"/>
      <c r="J271" s="516"/>
      <c r="M271" s="515"/>
      <c r="N271" s="516"/>
      <c r="P271" s="1">
        <v>0.0</v>
      </c>
      <c r="Q271" s="1" t="s">
        <v>2404</v>
      </c>
      <c r="S271" s="517"/>
      <c r="V271" s="1">
        <v>0.08</v>
      </c>
      <c r="W271" s="518">
        <f t="shared" si="1"/>
        <v>80</v>
      </c>
    </row>
    <row r="272" hidden="1">
      <c r="C272" s="515"/>
      <c r="G272" s="1" t="s">
        <v>2510</v>
      </c>
      <c r="I272" s="516"/>
      <c r="J272" s="516"/>
      <c r="M272" s="515"/>
      <c r="N272" s="516"/>
      <c r="P272" s="1">
        <v>0.0</v>
      </c>
      <c r="Q272" s="1" t="s">
        <v>2404</v>
      </c>
      <c r="S272" s="517"/>
      <c r="V272" s="1">
        <v>0.08</v>
      </c>
      <c r="W272" s="518">
        <f t="shared" si="1"/>
        <v>80</v>
      </c>
    </row>
    <row r="273" hidden="1">
      <c r="C273" s="515"/>
      <c r="G273" s="1" t="s">
        <v>2511</v>
      </c>
      <c r="I273" s="516"/>
      <c r="J273" s="516"/>
      <c r="M273" s="515"/>
      <c r="N273" s="516"/>
      <c r="P273" s="1">
        <v>0.0</v>
      </c>
      <c r="Q273" s="1" t="s">
        <v>2404</v>
      </c>
      <c r="S273" s="517"/>
      <c r="V273" s="1">
        <v>0.04</v>
      </c>
      <c r="W273" s="518">
        <f t="shared" si="1"/>
        <v>40</v>
      </c>
    </row>
    <row r="274" hidden="1">
      <c r="C274" s="515"/>
      <c r="G274" s="1" t="s">
        <v>2512</v>
      </c>
      <c r="I274" s="516"/>
      <c r="J274" s="516"/>
      <c r="M274" s="515"/>
      <c r="N274" s="516"/>
      <c r="P274" s="1">
        <v>0.0</v>
      </c>
      <c r="Q274" s="1" t="s">
        <v>2404</v>
      </c>
      <c r="S274" s="517"/>
      <c r="V274" s="1">
        <v>0.08</v>
      </c>
      <c r="W274" s="518">
        <f t="shared" si="1"/>
        <v>80</v>
      </c>
    </row>
    <row r="275" hidden="1">
      <c r="C275" s="515"/>
      <c r="G275" s="1" t="s">
        <v>2406</v>
      </c>
      <c r="I275" s="516"/>
      <c r="J275" s="516"/>
      <c r="M275" s="515"/>
      <c r="N275" s="516"/>
      <c r="P275" s="1">
        <v>0.0</v>
      </c>
      <c r="Q275" s="1" t="s">
        <v>2404</v>
      </c>
      <c r="S275" s="517"/>
      <c r="V275" s="1">
        <v>0.17</v>
      </c>
      <c r="W275" s="518">
        <f t="shared" si="1"/>
        <v>170</v>
      </c>
    </row>
    <row r="276" hidden="1">
      <c r="C276" s="515"/>
      <c r="G276" s="1" t="s">
        <v>2403</v>
      </c>
      <c r="I276" s="516"/>
      <c r="J276" s="516"/>
      <c r="M276" s="515"/>
      <c r="N276" s="516"/>
      <c r="P276" s="1">
        <v>0.0</v>
      </c>
      <c r="Q276" s="1" t="s">
        <v>2404</v>
      </c>
      <c r="S276" s="517"/>
      <c r="V276" s="1">
        <v>0.63</v>
      </c>
      <c r="W276" s="518">
        <f t="shared" si="1"/>
        <v>630</v>
      </c>
    </row>
    <row r="277" hidden="1">
      <c r="C277" s="515"/>
      <c r="G277" s="1" t="s">
        <v>2513</v>
      </c>
      <c r="I277" s="516"/>
      <c r="J277" s="516"/>
      <c r="M277" s="515"/>
      <c r="N277" s="516"/>
      <c r="P277" s="1">
        <v>0.0</v>
      </c>
      <c r="Q277" s="1" t="s">
        <v>2404</v>
      </c>
      <c r="S277" s="517"/>
      <c r="V277" s="1">
        <v>0.13</v>
      </c>
      <c r="W277" s="518">
        <f t="shared" si="1"/>
        <v>130</v>
      </c>
    </row>
    <row r="278" hidden="1">
      <c r="C278" s="515"/>
      <c r="G278" s="1" t="s">
        <v>2407</v>
      </c>
      <c r="I278" s="516"/>
      <c r="J278" s="516"/>
      <c r="M278" s="515"/>
      <c r="N278" s="516"/>
      <c r="P278" s="1">
        <v>0.0</v>
      </c>
      <c r="Q278" s="1" t="s">
        <v>2404</v>
      </c>
      <c r="S278" s="517"/>
      <c r="V278" s="1">
        <v>0.42</v>
      </c>
      <c r="W278" s="518">
        <f t="shared" si="1"/>
        <v>420</v>
      </c>
    </row>
    <row r="279" hidden="1">
      <c r="C279" s="515"/>
      <c r="G279" s="1" t="s">
        <v>2408</v>
      </c>
      <c r="I279" s="516"/>
      <c r="J279" s="516"/>
      <c r="M279" s="515"/>
      <c r="N279" s="516"/>
      <c r="P279" s="1">
        <v>0.0</v>
      </c>
      <c r="Q279" s="1" t="s">
        <v>2404</v>
      </c>
      <c r="S279" s="517"/>
      <c r="V279" s="1">
        <v>0.04</v>
      </c>
      <c r="W279" s="518">
        <f t="shared" si="1"/>
        <v>40</v>
      </c>
    </row>
    <row r="280" hidden="1">
      <c r="C280" s="515"/>
      <c r="G280" s="1" t="s">
        <v>2410</v>
      </c>
      <c r="I280" s="516"/>
      <c r="J280" s="516"/>
      <c r="M280" s="515"/>
      <c r="N280" s="516"/>
      <c r="P280" s="1">
        <v>0.0</v>
      </c>
      <c r="Q280" s="1" t="s">
        <v>2404</v>
      </c>
      <c r="S280" s="517"/>
      <c r="V280" s="1">
        <v>0.08</v>
      </c>
      <c r="W280" s="518">
        <f t="shared" si="1"/>
        <v>80</v>
      </c>
    </row>
    <row r="281" hidden="1">
      <c r="C281" s="515"/>
      <c r="G281" s="86" t="s">
        <v>2519</v>
      </c>
      <c r="I281" s="516"/>
      <c r="J281" s="516"/>
      <c r="K281" s="515">
        <v>46387.0</v>
      </c>
      <c r="M281" s="515"/>
      <c r="N281" s="516"/>
      <c r="P281" s="1">
        <v>0.0</v>
      </c>
      <c r="Q281" s="1" t="s">
        <v>2404</v>
      </c>
      <c r="S281" s="517"/>
      <c r="V281" s="1">
        <v>15.0</v>
      </c>
      <c r="W281" s="518">
        <f t="shared" si="1"/>
        <v>15000</v>
      </c>
    </row>
    <row r="282" hidden="1">
      <c r="C282" s="515"/>
      <c r="G282" s="1" t="s">
        <v>2414</v>
      </c>
      <c r="I282" s="516"/>
      <c r="J282" s="516"/>
      <c r="M282" s="515"/>
      <c r="N282" s="516"/>
      <c r="P282" s="1">
        <v>0.0</v>
      </c>
      <c r="Q282" s="1" t="s">
        <v>2404</v>
      </c>
      <c r="S282" s="517"/>
      <c r="V282" s="1">
        <v>0.08</v>
      </c>
      <c r="W282" s="518">
        <f t="shared" si="1"/>
        <v>80</v>
      </c>
    </row>
    <row r="283" hidden="1">
      <c r="C283" s="515"/>
      <c r="G283" s="1" t="s">
        <v>2415</v>
      </c>
      <c r="I283" s="516"/>
      <c r="J283" s="516"/>
      <c r="K283" s="515"/>
      <c r="M283" s="515"/>
      <c r="P283" s="1">
        <v>0.0</v>
      </c>
      <c r="Q283" s="1" t="s">
        <v>2404</v>
      </c>
      <c r="S283" s="517"/>
      <c r="V283" s="1">
        <v>0.33</v>
      </c>
      <c r="W283" s="518">
        <f t="shared" si="1"/>
        <v>330</v>
      </c>
    </row>
    <row r="284" hidden="1">
      <c r="C284" s="515"/>
      <c r="G284" s="1" t="s">
        <v>2525</v>
      </c>
      <c r="I284" s="516"/>
      <c r="J284" s="516"/>
      <c r="M284" s="515"/>
      <c r="N284" s="516"/>
      <c r="P284" s="1">
        <v>0.0</v>
      </c>
      <c r="Q284" s="1" t="s">
        <v>2404</v>
      </c>
      <c r="S284" s="517"/>
      <c r="V284" s="1">
        <v>1.0</v>
      </c>
      <c r="W284" s="518">
        <f t="shared" si="1"/>
        <v>1000</v>
      </c>
    </row>
    <row r="285" hidden="1">
      <c r="C285" s="515"/>
      <c r="G285" s="1" t="s">
        <v>2418</v>
      </c>
      <c r="I285" s="516"/>
      <c r="J285" s="516"/>
      <c r="M285" s="515"/>
      <c r="P285" s="1">
        <v>0.0</v>
      </c>
      <c r="Q285" s="1" t="s">
        <v>2404</v>
      </c>
      <c r="S285" s="517"/>
      <c r="V285" s="1">
        <v>0.14</v>
      </c>
      <c r="W285" s="518">
        <f t="shared" si="1"/>
        <v>140</v>
      </c>
    </row>
    <row r="286" hidden="1">
      <c r="C286" s="515"/>
      <c r="G286" s="1" t="s">
        <v>2419</v>
      </c>
      <c r="I286" s="516"/>
      <c r="J286" s="516"/>
      <c r="P286" s="1">
        <v>0.0</v>
      </c>
      <c r="Q286" s="1" t="s">
        <v>2404</v>
      </c>
      <c r="S286" s="517"/>
      <c r="V286" s="1">
        <v>0.67</v>
      </c>
      <c r="W286" s="518">
        <f t="shared" si="1"/>
        <v>670</v>
      </c>
    </row>
    <row r="287" hidden="1">
      <c r="C287" s="515"/>
      <c r="G287" s="1" t="s">
        <v>2422</v>
      </c>
      <c r="I287" s="516"/>
      <c r="J287" s="516"/>
      <c r="M287" s="515"/>
      <c r="N287" s="516"/>
      <c r="P287" s="1">
        <v>0.0</v>
      </c>
      <c r="Q287" s="1" t="s">
        <v>2404</v>
      </c>
      <c r="S287" s="517"/>
      <c r="V287" s="1">
        <v>0.25</v>
      </c>
      <c r="W287" s="518">
        <f t="shared" si="1"/>
        <v>250</v>
      </c>
    </row>
    <row r="288" hidden="1">
      <c r="C288" s="515"/>
      <c r="G288" s="1" t="s">
        <v>2423</v>
      </c>
      <c r="I288" s="516"/>
      <c r="J288" s="516"/>
      <c r="M288" s="515"/>
      <c r="N288" s="516"/>
      <c r="P288" s="1">
        <v>83.3</v>
      </c>
      <c r="Q288" s="1">
        <v>0.0</v>
      </c>
      <c r="S288" s="517"/>
      <c r="V288" s="1">
        <v>0.08</v>
      </c>
      <c r="W288" s="518">
        <f t="shared" si="1"/>
        <v>0</v>
      </c>
    </row>
    <row r="289" hidden="1">
      <c r="C289" s="515"/>
      <c r="G289" s="1" t="s">
        <v>2425</v>
      </c>
      <c r="I289" s="516"/>
      <c r="J289" s="516"/>
      <c r="M289" s="515"/>
      <c r="N289" s="516"/>
      <c r="P289" s="1">
        <v>0.0</v>
      </c>
      <c r="Q289" s="1" t="s">
        <v>2404</v>
      </c>
      <c r="S289" s="517"/>
      <c r="V289" s="1">
        <v>0.04</v>
      </c>
      <c r="W289" s="518">
        <f t="shared" si="1"/>
        <v>40</v>
      </c>
    </row>
    <row r="290" hidden="1">
      <c r="C290" s="515"/>
      <c r="G290" s="1" t="s">
        <v>2426</v>
      </c>
      <c r="I290" s="516"/>
      <c r="J290" s="516"/>
      <c r="M290" s="515"/>
      <c r="N290" s="516"/>
      <c r="P290" s="1">
        <v>250.0</v>
      </c>
      <c r="Q290" s="1">
        <v>0.0</v>
      </c>
      <c r="S290" s="517"/>
      <c r="V290" s="1">
        <v>0.25</v>
      </c>
      <c r="W290" s="518">
        <f t="shared" si="1"/>
        <v>0</v>
      </c>
    </row>
    <row r="291" hidden="1">
      <c r="C291" s="515"/>
      <c r="G291" s="1" t="s">
        <v>2427</v>
      </c>
      <c r="I291" s="516"/>
      <c r="J291" s="516"/>
      <c r="M291" s="515"/>
      <c r="N291" s="516"/>
      <c r="P291" s="1">
        <v>83.3</v>
      </c>
      <c r="Q291" s="1">
        <v>0.0</v>
      </c>
      <c r="S291" s="517"/>
      <c r="V291" s="1">
        <v>0.08</v>
      </c>
      <c r="W291" s="518">
        <f t="shared" si="1"/>
        <v>0</v>
      </c>
    </row>
    <row r="292" hidden="1">
      <c r="C292" s="515"/>
      <c r="G292" s="1" t="s">
        <v>2430</v>
      </c>
      <c r="I292" s="516"/>
      <c r="J292" s="516"/>
      <c r="M292" s="515"/>
      <c r="N292" s="516"/>
      <c r="P292" s="1">
        <v>83.3</v>
      </c>
      <c r="Q292" s="1">
        <v>0.0</v>
      </c>
      <c r="S292" s="517"/>
      <c r="V292" s="1">
        <v>0.08</v>
      </c>
      <c r="W292" s="518">
        <f t="shared" si="1"/>
        <v>0</v>
      </c>
    </row>
    <row r="293" hidden="1">
      <c r="C293" s="515"/>
      <c r="G293" s="1" t="s">
        <v>2514</v>
      </c>
      <c r="I293" s="516"/>
      <c r="J293" s="516"/>
      <c r="K293" s="515">
        <v>46387.0</v>
      </c>
      <c r="M293" s="515"/>
      <c r="N293" s="516"/>
      <c r="P293" s="1">
        <v>0.0</v>
      </c>
      <c r="Q293" s="1" t="s">
        <v>2404</v>
      </c>
      <c r="S293" s="517"/>
      <c r="V293" s="1">
        <v>3.0</v>
      </c>
      <c r="W293" s="518">
        <f t="shared" si="1"/>
        <v>3000</v>
      </c>
    </row>
    <row r="294" hidden="1">
      <c r="C294" s="515"/>
      <c r="G294" s="1" t="s">
        <v>2429</v>
      </c>
      <c r="I294" s="516"/>
      <c r="J294" s="516"/>
      <c r="M294" s="515"/>
      <c r="N294" s="516"/>
      <c r="P294" s="1">
        <v>0.0</v>
      </c>
      <c r="Q294" s="1" t="s">
        <v>2404</v>
      </c>
      <c r="S294" s="517"/>
      <c r="V294" s="1">
        <v>0.08</v>
      </c>
      <c r="W294" s="518">
        <f t="shared" si="1"/>
        <v>80</v>
      </c>
    </row>
    <row r="295" hidden="1">
      <c r="C295" s="515"/>
      <c r="G295" s="1" t="s">
        <v>2440</v>
      </c>
      <c r="I295" s="516"/>
      <c r="J295" s="516"/>
      <c r="M295" s="515"/>
      <c r="N295" s="516"/>
      <c r="P295" s="1">
        <v>166.7</v>
      </c>
      <c r="Q295" s="1">
        <v>0.0</v>
      </c>
      <c r="S295" s="517"/>
      <c r="V295" s="1">
        <v>0.17</v>
      </c>
      <c r="W295" s="518">
        <f t="shared" si="1"/>
        <v>0</v>
      </c>
    </row>
    <row r="296" hidden="1">
      <c r="C296" s="515"/>
      <c r="G296" s="1" t="s">
        <v>2433</v>
      </c>
      <c r="I296" s="516"/>
      <c r="J296" s="516"/>
      <c r="M296" s="515"/>
      <c r="N296" s="516"/>
      <c r="P296" s="1">
        <v>41.7</v>
      </c>
      <c r="Q296" s="1">
        <v>0.0</v>
      </c>
      <c r="S296" s="517"/>
      <c r="V296" s="1">
        <v>0.04</v>
      </c>
      <c r="W296" s="518">
        <f t="shared" si="1"/>
        <v>0</v>
      </c>
    </row>
    <row r="297" hidden="1">
      <c r="C297" s="515"/>
      <c r="G297" s="1" t="s">
        <v>2434</v>
      </c>
      <c r="I297" s="516"/>
      <c r="J297" s="516"/>
      <c r="M297" s="515"/>
      <c r="N297" s="516"/>
      <c r="P297" s="1">
        <v>41.7</v>
      </c>
      <c r="Q297" s="1">
        <v>0.0</v>
      </c>
      <c r="S297" s="517"/>
      <c r="V297" s="1">
        <v>0.04</v>
      </c>
      <c r="W297" s="518">
        <f t="shared" si="1"/>
        <v>0</v>
      </c>
    </row>
    <row r="298" hidden="1">
      <c r="C298" s="515"/>
      <c r="G298" s="1" t="s">
        <v>2435</v>
      </c>
      <c r="I298" s="516"/>
      <c r="J298" s="516"/>
      <c r="M298" s="515"/>
      <c r="N298" s="516"/>
      <c r="P298" s="1">
        <v>83.3</v>
      </c>
      <c r="Q298" s="1">
        <v>0.0</v>
      </c>
      <c r="S298" s="517"/>
      <c r="V298" s="1">
        <v>0.08</v>
      </c>
      <c r="W298" s="518">
        <f t="shared" si="1"/>
        <v>0</v>
      </c>
    </row>
    <row r="299" hidden="1">
      <c r="C299" s="515"/>
      <c r="G299" s="1" t="s">
        <v>2436</v>
      </c>
      <c r="I299" s="516"/>
      <c r="J299" s="516"/>
      <c r="M299" s="515"/>
      <c r="N299" s="516"/>
      <c r="P299" s="1">
        <v>250.0</v>
      </c>
      <c r="Q299" s="1">
        <v>0.0</v>
      </c>
      <c r="S299" s="517"/>
      <c r="V299" s="1">
        <v>0.25</v>
      </c>
      <c r="W299" s="518">
        <f t="shared" si="1"/>
        <v>0</v>
      </c>
    </row>
    <row r="300" hidden="1">
      <c r="C300" s="515"/>
      <c r="G300" s="1" t="s">
        <v>2437</v>
      </c>
      <c r="I300" s="516"/>
      <c r="J300" s="516"/>
      <c r="M300" s="515"/>
      <c r="N300" s="516"/>
      <c r="P300" s="1">
        <v>83.3</v>
      </c>
      <c r="Q300" s="1">
        <v>0.0</v>
      </c>
      <c r="S300" s="517"/>
      <c r="V300" s="1">
        <v>0.08</v>
      </c>
      <c r="W300" s="518">
        <f t="shared" si="1"/>
        <v>0</v>
      </c>
    </row>
    <row r="301" hidden="1">
      <c r="C301" s="515"/>
      <c r="G301" s="1" t="s">
        <v>2438</v>
      </c>
      <c r="I301" s="516"/>
      <c r="J301" s="516"/>
      <c r="M301" s="515"/>
      <c r="N301" s="516"/>
      <c r="P301" s="1">
        <v>166.7</v>
      </c>
      <c r="Q301" s="1">
        <v>0.0</v>
      </c>
      <c r="S301" s="517"/>
      <c r="V301" s="1">
        <v>0.17</v>
      </c>
      <c r="W301" s="518">
        <f t="shared" si="1"/>
        <v>0</v>
      </c>
    </row>
    <row r="302" hidden="1">
      <c r="C302" s="515"/>
      <c r="G302" s="1" t="s">
        <v>2439</v>
      </c>
      <c r="I302" s="516"/>
      <c r="J302" s="516"/>
      <c r="M302" s="515"/>
      <c r="N302" s="516"/>
      <c r="P302" s="1">
        <v>83.3</v>
      </c>
      <c r="Q302" s="1">
        <v>0.0</v>
      </c>
      <c r="S302" s="517"/>
      <c r="V302" s="1">
        <v>0.08</v>
      </c>
      <c r="W302" s="518">
        <f t="shared" si="1"/>
        <v>0</v>
      </c>
    </row>
    <row r="303" hidden="1">
      <c r="C303" s="515"/>
      <c r="G303" s="1" t="s">
        <v>2444</v>
      </c>
      <c r="I303" s="516"/>
      <c r="J303" s="516"/>
      <c r="M303" s="515"/>
      <c r="N303" s="516"/>
      <c r="P303" s="1">
        <v>125.0</v>
      </c>
      <c r="Q303" s="1">
        <v>0.0</v>
      </c>
      <c r="S303" s="517"/>
      <c r="V303" s="1">
        <v>0.13</v>
      </c>
      <c r="W303" s="518">
        <f t="shared" si="1"/>
        <v>0</v>
      </c>
    </row>
    <row r="304" hidden="1">
      <c r="C304" s="515"/>
      <c r="G304" s="1" t="s">
        <v>2443</v>
      </c>
      <c r="I304" s="516"/>
      <c r="J304" s="516"/>
      <c r="M304" s="515"/>
      <c r="N304" s="516"/>
      <c r="P304" s="1">
        <v>833.3</v>
      </c>
      <c r="Q304" s="1">
        <v>0.0</v>
      </c>
      <c r="S304" s="517"/>
      <c r="V304" s="1">
        <v>0.83</v>
      </c>
      <c r="W304" s="518">
        <f t="shared" si="1"/>
        <v>0</v>
      </c>
    </row>
    <row r="305" hidden="1">
      <c r="C305" s="515"/>
      <c r="G305" s="1" t="s">
        <v>2441</v>
      </c>
      <c r="I305" s="516"/>
      <c r="J305" s="516"/>
      <c r="M305" s="515"/>
      <c r="N305" s="516"/>
      <c r="P305" s="1">
        <v>83.3</v>
      </c>
      <c r="Q305" s="1">
        <v>0.0</v>
      </c>
      <c r="S305" s="517"/>
      <c r="V305" s="1">
        <v>0.08</v>
      </c>
      <c r="W305" s="518">
        <f t="shared" si="1"/>
        <v>0</v>
      </c>
    </row>
    <row r="306" hidden="1">
      <c r="C306" s="515"/>
      <c r="G306" s="1" t="s">
        <v>2445</v>
      </c>
      <c r="I306" s="516"/>
      <c r="J306" s="516"/>
      <c r="M306" s="515"/>
      <c r="N306" s="516"/>
      <c r="P306" s="1">
        <v>166.7</v>
      </c>
      <c r="Q306" s="1">
        <v>0.0</v>
      </c>
      <c r="S306" s="517"/>
      <c r="V306" s="1">
        <v>0.17</v>
      </c>
      <c r="W306" s="518">
        <f t="shared" si="1"/>
        <v>0</v>
      </c>
    </row>
    <row r="307" hidden="1">
      <c r="C307" s="515"/>
      <c r="G307" s="1" t="s">
        <v>2446</v>
      </c>
      <c r="I307" s="516"/>
      <c r="J307" s="516"/>
      <c r="M307" s="515"/>
      <c r="N307" s="516"/>
      <c r="P307" s="1">
        <v>41.7</v>
      </c>
      <c r="Q307" s="1">
        <v>0.0</v>
      </c>
      <c r="S307" s="517"/>
      <c r="V307" s="1">
        <v>0.04</v>
      </c>
      <c r="W307" s="518">
        <f t="shared" si="1"/>
        <v>0</v>
      </c>
    </row>
    <row r="308" hidden="1">
      <c r="C308" s="515"/>
      <c r="G308" s="1" t="s">
        <v>2448</v>
      </c>
      <c r="I308" s="516"/>
      <c r="J308" s="516"/>
      <c r="M308" s="515"/>
      <c r="N308" s="516"/>
      <c r="P308" s="1">
        <v>41.7</v>
      </c>
      <c r="Q308" s="1">
        <v>0.0</v>
      </c>
      <c r="S308" s="517"/>
      <c r="V308" s="1">
        <v>0.04</v>
      </c>
      <c r="W308" s="518">
        <f t="shared" si="1"/>
        <v>0</v>
      </c>
    </row>
    <row r="309" hidden="1">
      <c r="C309" s="515"/>
      <c r="G309" s="1" t="s">
        <v>2447</v>
      </c>
      <c r="I309" s="516"/>
      <c r="J309" s="516"/>
      <c r="M309" s="515"/>
      <c r="N309" s="516"/>
      <c r="P309" s="1">
        <v>83.3</v>
      </c>
      <c r="Q309" s="1">
        <v>0.0</v>
      </c>
      <c r="S309" s="517"/>
      <c r="V309" s="1">
        <v>0.08</v>
      </c>
      <c r="W309" s="518">
        <f t="shared" si="1"/>
        <v>0</v>
      </c>
    </row>
    <row r="310" hidden="1">
      <c r="C310" s="515"/>
      <c r="G310" s="1" t="s">
        <v>2449</v>
      </c>
      <c r="I310" s="516"/>
      <c r="J310" s="516"/>
      <c r="M310" s="515"/>
      <c r="N310" s="516"/>
      <c r="P310" s="1">
        <v>0.0</v>
      </c>
      <c r="Q310" s="1" t="s">
        <v>2404</v>
      </c>
      <c r="S310" s="517"/>
      <c r="V310" s="1">
        <v>0.04</v>
      </c>
      <c r="W310" s="518">
        <f t="shared" si="1"/>
        <v>40</v>
      </c>
    </row>
    <row r="311" hidden="1">
      <c r="C311" s="515"/>
      <c r="G311" s="1" t="s">
        <v>2451</v>
      </c>
      <c r="I311" s="516"/>
      <c r="J311" s="516"/>
      <c r="M311" s="515"/>
      <c r="N311" s="516"/>
      <c r="P311" s="1">
        <v>41.7</v>
      </c>
      <c r="Q311" s="1">
        <v>0.0</v>
      </c>
      <c r="S311" s="517"/>
      <c r="V311" s="1">
        <v>0.04</v>
      </c>
      <c r="W311" s="518">
        <f t="shared" si="1"/>
        <v>0</v>
      </c>
    </row>
    <row r="312" hidden="1">
      <c r="C312" s="515"/>
      <c r="G312" s="1" t="s">
        <v>2453</v>
      </c>
      <c r="I312" s="516"/>
      <c r="J312" s="516"/>
      <c r="M312" s="515"/>
      <c r="N312" s="516"/>
      <c r="P312" s="1">
        <v>83.3</v>
      </c>
      <c r="Q312" s="1">
        <v>0.0</v>
      </c>
      <c r="S312" s="517"/>
      <c r="V312" s="1">
        <v>0.08</v>
      </c>
      <c r="W312" s="518">
        <f t="shared" si="1"/>
        <v>0</v>
      </c>
    </row>
    <row r="313" hidden="1">
      <c r="C313" s="515"/>
      <c r="G313" s="1" t="s">
        <v>2518</v>
      </c>
      <c r="I313" s="516"/>
      <c r="J313" s="516"/>
      <c r="M313" s="515"/>
      <c r="N313" s="516"/>
      <c r="P313" s="1">
        <v>125.0</v>
      </c>
      <c r="Q313" s="1">
        <v>0.0</v>
      </c>
      <c r="S313" s="517"/>
      <c r="V313" s="1">
        <v>0.13</v>
      </c>
      <c r="W313" s="518">
        <f t="shared" si="1"/>
        <v>0</v>
      </c>
    </row>
    <row r="314" hidden="1">
      <c r="C314" s="515"/>
      <c r="G314" s="1" t="s">
        <v>2454</v>
      </c>
      <c r="I314" s="516"/>
      <c r="J314" s="516"/>
      <c r="M314" s="515"/>
      <c r="N314" s="516"/>
      <c r="P314" s="1">
        <v>83.3</v>
      </c>
      <c r="Q314" s="1">
        <v>0.0</v>
      </c>
      <c r="S314" s="517"/>
      <c r="V314" s="1">
        <v>0.08</v>
      </c>
      <c r="W314" s="518">
        <f t="shared" si="1"/>
        <v>0</v>
      </c>
    </row>
    <row r="315" hidden="1">
      <c r="C315" s="515"/>
      <c r="G315" s="1" t="s">
        <v>2455</v>
      </c>
      <c r="I315" s="516"/>
      <c r="J315" s="516"/>
      <c r="M315" s="515"/>
      <c r="N315" s="516"/>
      <c r="P315" s="1">
        <v>166.7</v>
      </c>
      <c r="Q315" s="1">
        <v>0.0</v>
      </c>
      <c r="S315" s="517"/>
      <c r="V315" s="1">
        <v>0.17</v>
      </c>
      <c r="W315" s="518">
        <f t="shared" si="1"/>
        <v>0</v>
      </c>
    </row>
    <row r="316" hidden="1">
      <c r="C316" s="515"/>
      <c r="G316" s="1" t="s">
        <v>2456</v>
      </c>
      <c r="I316" s="516"/>
      <c r="J316" s="516"/>
      <c r="M316" s="515"/>
      <c r="N316" s="516"/>
      <c r="P316" s="1">
        <v>666.7</v>
      </c>
      <c r="Q316" s="1">
        <v>0.0</v>
      </c>
      <c r="S316" s="517"/>
      <c r="V316" s="1">
        <v>0.67</v>
      </c>
      <c r="W316" s="518">
        <f t="shared" si="1"/>
        <v>0</v>
      </c>
    </row>
    <row r="317" hidden="1">
      <c r="C317" s="515"/>
      <c r="G317" s="1" t="s">
        <v>2457</v>
      </c>
      <c r="I317" s="516"/>
      <c r="J317" s="516"/>
      <c r="M317" s="515"/>
      <c r="N317" s="516"/>
      <c r="P317" s="1">
        <v>500.0</v>
      </c>
      <c r="Q317" s="1">
        <v>0.0</v>
      </c>
      <c r="S317" s="517"/>
      <c r="V317" s="1">
        <v>0.5</v>
      </c>
      <c r="W317" s="518">
        <f t="shared" si="1"/>
        <v>0</v>
      </c>
    </row>
    <row r="318" hidden="1">
      <c r="C318" s="515"/>
      <c r="G318" s="1" t="s">
        <v>2458</v>
      </c>
      <c r="I318" s="516"/>
      <c r="J318" s="516"/>
      <c r="M318" s="515"/>
      <c r="N318" s="516"/>
      <c r="P318" s="1">
        <v>83.3</v>
      </c>
      <c r="Q318" s="1">
        <v>0.0</v>
      </c>
      <c r="S318" s="517"/>
      <c r="V318" s="1">
        <v>0.08</v>
      </c>
      <c r="W318" s="518">
        <f t="shared" si="1"/>
        <v>0</v>
      </c>
    </row>
    <row r="319" hidden="1">
      <c r="C319" s="515"/>
      <c r="G319" s="1" t="s">
        <v>2460</v>
      </c>
      <c r="I319" s="516"/>
      <c r="J319" s="516"/>
      <c r="M319" s="515"/>
      <c r="N319" s="516"/>
      <c r="P319" s="1">
        <v>833.3</v>
      </c>
      <c r="Q319" s="1">
        <v>0.0</v>
      </c>
      <c r="S319" s="517"/>
      <c r="V319" s="1">
        <v>0.83</v>
      </c>
      <c r="W319" s="518">
        <f t="shared" si="1"/>
        <v>0</v>
      </c>
    </row>
    <row r="320" hidden="1">
      <c r="C320" s="515"/>
      <c r="G320" s="1" t="s">
        <v>2461</v>
      </c>
      <c r="I320" s="516"/>
      <c r="J320" s="516"/>
      <c r="M320" s="515"/>
      <c r="N320" s="516"/>
      <c r="P320" s="1">
        <v>83.3</v>
      </c>
      <c r="Q320" s="1">
        <v>0.0</v>
      </c>
      <c r="S320" s="517"/>
      <c r="V320" s="1">
        <v>0.08</v>
      </c>
      <c r="W320" s="518">
        <f t="shared" si="1"/>
        <v>0</v>
      </c>
    </row>
    <row r="321" hidden="1">
      <c r="C321" s="515"/>
      <c r="G321" s="1" t="s">
        <v>2462</v>
      </c>
      <c r="I321" s="516"/>
      <c r="J321" s="516"/>
      <c r="M321" s="515"/>
      <c r="N321" s="516"/>
      <c r="P321" s="1">
        <v>41.7</v>
      </c>
      <c r="Q321" s="1">
        <v>0.0</v>
      </c>
      <c r="S321" s="517"/>
      <c r="V321" s="1">
        <v>0.04</v>
      </c>
      <c r="W321" s="518">
        <f t="shared" si="1"/>
        <v>0</v>
      </c>
    </row>
    <row r="322" hidden="1">
      <c r="C322" s="515"/>
      <c r="G322" s="1" t="s">
        <v>2526</v>
      </c>
      <c r="I322" s="516"/>
      <c r="J322" s="516"/>
      <c r="M322" s="515"/>
      <c r="N322" s="516"/>
      <c r="P322" s="1">
        <v>0.0</v>
      </c>
      <c r="Q322" s="1" t="s">
        <v>2404</v>
      </c>
      <c r="S322" s="517"/>
      <c r="V322" s="1">
        <v>0.08</v>
      </c>
      <c r="W322" s="518">
        <f t="shared" si="1"/>
        <v>80</v>
      </c>
    </row>
    <row r="323" hidden="1">
      <c r="C323" s="515"/>
      <c r="G323" s="1" t="s">
        <v>2463</v>
      </c>
      <c r="I323" s="516"/>
      <c r="J323" s="516"/>
      <c r="M323" s="515"/>
      <c r="N323" s="516"/>
      <c r="P323" s="1">
        <v>83.3</v>
      </c>
      <c r="Q323" s="1">
        <v>0.0</v>
      </c>
      <c r="S323" s="517"/>
      <c r="V323" s="1">
        <v>0.08</v>
      </c>
      <c r="W323" s="518">
        <f t="shared" si="1"/>
        <v>0</v>
      </c>
    </row>
    <row r="324" hidden="1">
      <c r="C324" s="515"/>
      <c r="G324" s="1" t="s">
        <v>2465</v>
      </c>
      <c r="I324" s="516"/>
      <c r="J324" s="516"/>
      <c r="M324" s="515"/>
      <c r="N324" s="516"/>
      <c r="P324" s="1">
        <v>166.7</v>
      </c>
      <c r="Q324" s="1">
        <v>0.0</v>
      </c>
      <c r="S324" s="517"/>
      <c r="V324" s="1">
        <v>0.17</v>
      </c>
      <c r="W324" s="518">
        <f t="shared" si="1"/>
        <v>0</v>
      </c>
    </row>
    <row r="325" hidden="1">
      <c r="C325" s="515"/>
      <c r="G325" s="1" t="s">
        <v>2466</v>
      </c>
      <c r="I325" s="516"/>
      <c r="J325" s="516"/>
      <c r="M325" s="515"/>
      <c r="N325" s="516"/>
      <c r="P325" s="1">
        <v>208.3</v>
      </c>
      <c r="Q325" s="1">
        <v>0.0</v>
      </c>
      <c r="S325" s="517"/>
      <c r="V325" s="1">
        <v>0.21</v>
      </c>
      <c r="W325" s="518">
        <f t="shared" si="1"/>
        <v>0</v>
      </c>
    </row>
    <row r="326" hidden="1">
      <c r="C326" s="515"/>
      <c r="G326" s="1" t="s">
        <v>2468</v>
      </c>
      <c r="I326" s="516"/>
      <c r="J326" s="516"/>
      <c r="M326" s="515"/>
      <c r="N326" s="516"/>
      <c r="P326" s="1">
        <v>41.7</v>
      </c>
      <c r="Q326" s="1">
        <v>0.0</v>
      </c>
      <c r="S326" s="517"/>
      <c r="V326" s="1">
        <v>0.04</v>
      </c>
      <c r="W326" s="518">
        <f t="shared" si="1"/>
        <v>0</v>
      </c>
    </row>
    <row r="327" hidden="1">
      <c r="C327" s="515"/>
      <c r="G327" s="1" t="s">
        <v>2521</v>
      </c>
      <c r="I327" s="516"/>
      <c r="J327" s="516"/>
      <c r="M327" s="515"/>
      <c r="N327" s="516"/>
      <c r="P327" s="1">
        <v>83.3</v>
      </c>
      <c r="Q327" s="1">
        <v>0.0</v>
      </c>
      <c r="S327" s="517"/>
      <c r="V327" s="1">
        <v>0.08</v>
      </c>
      <c r="W327" s="518">
        <f t="shared" si="1"/>
        <v>0</v>
      </c>
    </row>
    <row r="328" hidden="1">
      <c r="C328" s="515"/>
      <c r="G328" s="1" t="s">
        <v>2469</v>
      </c>
      <c r="I328" s="516"/>
      <c r="J328" s="516"/>
      <c r="M328" s="515"/>
      <c r="N328" s="516"/>
      <c r="P328" s="1">
        <v>41.7</v>
      </c>
      <c r="Q328" s="1">
        <v>0.0</v>
      </c>
      <c r="S328" s="517"/>
      <c r="V328" s="1">
        <v>0.04</v>
      </c>
      <c r="W328" s="518">
        <f t="shared" si="1"/>
        <v>0</v>
      </c>
    </row>
    <row r="329" hidden="1">
      <c r="C329" s="515"/>
      <c r="G329" s="1" t="s">
        <v>2527</v>
      </c>
      <c r="I329" s="516"/>
      <c r="J329" s="516"/>
      <c r="M329" s="515"/>
      <c r="N329" s="516"/>
      <c r="P329" s="1">
        <v>1000.0</v>
      </c>
      <c r="Q329" s="1">
        <v>0.0</v>
      </c>
      <c r="S329" s="517"/>
      <c r="V329" s="1">
        <v>1.0</v>
      </c>
      <c r="W329" s="518">
        <f t="shared" si="1"/>
        <v>0</v>
      </c>
    </row>
    <row r="330" hidden="1">
      <c r="C330" s="515"/>
      <c r="G330" s="1" t="s">
        <v>2470</v>
      </c>
      <c r="I330" s="516"/>
      <c r="J330" s="516"/>
      <c r="M330" s="515"/>
      <c r="N330" s="516"/>
      <c r="P330" s="1">
        <v>333.3</v>
      </c>
      <c r="Q330" s="1">
        <v>0.0</v>
      </c>
      <c r="S330" s="517"/>
      <c r="V330" s="1">
        <v>0.33</v>
      </c>
      <c r="W330" s="518">
        <f t="shared" si="1"/>
        <v>0</v>
      </c>
    </row>
    <row r="331" hidden="1">
      <c r="C331" s="515"/>
      <c r="G331" s="1" t="s">
        <v>2471</v>
      </c>
      <c r="I331" s="516"/>
      <c r="J331" s="516"/>
      <c r="M331" s="515"/>
      <c r="N331" s="516"/>
      <c r="P331" s="1">
        <v>41.7</v>
      </c>
      <c r="Q331" s="1">
        <v>0.0</v>
      </c>
      <c r="S331" s="517"/>
      <c r="V331" s="1">
        <v>0.04</v>
      </c>
      <c r="W331" s="518">
        <f t="shared" si="1"/>
        <v>0</v>
      </c>
    </row>
    <row r="332" hidden="1">
      <c r="C332" s="515"/>
      <c r="G332" s="1" t="s">
        <v>2472</v>
      </c>
      <c r="I332" s="516"/>
      <c r="J332" s="516"/>
      <c r="M332" s="515"/>
      <c r="N332" s="516"/>
      <c r="P332" s="1">
        <v>83.3</v>
      </c>
      <c r="Q332" s="1">
        <v>0.0</v>
      </c>
      <c r="S332" s="517"/>
      <c r="V332" s="1">
        <v>0.08</v>
      </c>
      <c r="W332" s="518">
        <f t="shared" si="1"/>
        <v>0</v>
      </c>
    </row>
    <row r="333" hidden="1">
      <c r="C333" s="515"/>
      <c r="G333" s="1" t="s">
        <v>2473</v>
      </c>
      <c r="I333" s="516"/>
      <c r="J333" s="516"/>
      <c r="M333" s="515"/>
      <c r="N333" s="516"/>
      <c r="P333" s="1">
        <v>83.3</v>
      </c>
      <c r="Q333" s="1">
        <v>0.0</v>
      </c>
      <c r="S333" s="517"/>
      <c r="V333" s="1">
        <v>0.08</v>
      </c>
      <c r="W333" s="518">
        <f t="shared" si="1"/>
        <v>0</v>
      </c>
    </row>
    <row r="334" hidden="1">
      <c r="C334" s="515"/>
      <c r="G334" s="1" t="s">
        <v>2474</v>
      </c>
      <c r="I334" s="516"/>
      <c r="J334" s="516"/>
      <c r="M334" s="515"/>
      <c r="N334" s="516"/>
      <c r="P334" s="1">
        <v>183.3</v>
      </c>
      <c r="Q334" s="1">
        <v>0.0</v>
      </c>
      <c r="S334" s="517"/>
      <c r="V334" s="1">
        <v>0.18</v>
      </c>
      <c r="W334" s="518">
        <f t="shared" si="1"/>
        <v>0</v>
      </c>
    </row>
    <row r="335" hidden="1">
      <c r="C335" s="515"/>
      <c r="G335" s="1" t="s">
        <v>2477</v>
      </c>
      <c r="I335" s="516"/>
      <c r="J335" s="516"/>
      <c r="M335" s="515"/>
      <c r="N335" s="516"/>
      <c r="P335" s="1">
        <v>83.3</v>
      </c>
      <c r="Q335" s="1">
        <v>0.0</v>
      </c>
      <c r="S335" s="517"/>
      <c r="V335" s="1">
        <v>0.08</v>
      </c>
      <c r="W335" s="518">
        <f t="shared" si="1"/>
        <v>0</v>
      </c>
    </row>
    <row r="336" hidden="1">
      <c r="C336" s="515"/>
      <c r="G336" s="1" t="s">
        <v>2478</v>
      </c>
      <c r="I336" s="516"/>
      <c r="J336" s="516"/>
      <c r="M336" s="515"/>
      <c r="N336" s="516"/>
      <c r="P336" s="1">
        <v>83.3</v>
      </c>
      <c r="Q336" s="1">
        <v>0.0</v>
      </c>
      <c r="S336" s="517"/>
      <c r="V336" s="1">
        <v>0.08</v>
      </c>
      <c r="W336" s="518">
        <f t="shared" si="1"/>
        <v>0</v>
      </c>
    </row>
    <row r="337" hidden="1">
      <c r="C337" s="515"/>
      <c r="G337" s="1" t="s">
        <v>2479</v>
      </c>
      <c r="I337" s="516"/>
      <c r="J337" s="516"/>
      <c r="M337" s="515"/>
      <c r="N337" s="516"/>
      <c r="P337" s="1">
        <v>41.7</v>
      </c>
      <c r="Q337" s="1">
        <v>0.0</v>
      </c>
      <c r="S337" s="517"/>
      <c r="V337" s="1">
        <v>0.04</v>
      </c>
      <c r="W337" s="518">
        <f t="shared" si="1"/>
        <v>0</v>
      </c>
    </row>
    <row r="338" hidden="1">
      <c r="C338" s="515"/>
      <c r="G338" s="1" t="s">
        <v>2482</v>
      </c>
      <c r="I338" s="516"/>
      <c r="J338" s="516"/>
      <c r="M338" s="515"/>
      <c r="N338" s="516"/>
      <c r="P338" s="1">
        <v>41.7</v>
      </c>
      <c r="Q338" s="1">
        <v>0.0</v>
      </c>
      <c r="S338" s="517"/>
      <c r="V338" s="1">
        <v>0.04</v>
      </c>
      <c r="W338" s="518">
        <f t="shared" si="1"/>
        <v>0</v>
      </c>
    </row>
    <row r="339" hidden="1">
      <c r="C339" s="515"/>
      <c r="G339" s="1" t="s">
        <v>2483</v>
      </c>
      <c r="I339" s="516"/>
      <c r="J339" s="516"/>
      <c r="M339" s="515"/>
      <c r="N339" s="516"/>
      <c r="P339" s="1">
        <v>708.3</v>
      </c>
      <c r="Q339" s="1">
        <v>0.0</v>
      </c>
      <c r="S339" s="517"/>
      <c r="V339" s="1">
        <v>0.71</v>
      </c>
      <c r="W339" s="518">
        <f t="shared" si="1"/>
        <v>0</v>
      </c>
    </row>
    <row r="340" hidden="1">
      <c r="C340" s="515"/>
      <c r="G340" s="1" t="s">
        <v>2484</v>
      </c>
      <c r="I340" s="516"/>
      <c r="J340" s="516"/>
      <c r="M340" s="515"/>
      <c r="N340" s="516"/>
      <c r="P340" s="1">
        <v>500.0</v>
      </c>
      <c r="Q340" s="1">
        <v>0.0</v>
      </c>
      <c r="S340" s="517"/>
      <c r="V340" s="1">
        <v>0.5</v>
      </c>
      <c r="W340" s="518">
        <f t="shared" si="1"/>
        <v>0</v>
      </c>
    </row>
    <row r="341" hidden="1">
      <c r="C341" s="515"/>
      <c r="G341" s="1" t="s">
        <v>2485</v>
      </c>
      <c r="I341" s="516"/>
      <c r="J341" s="516"/>
      <c r="M341" s="515"/>
      <c r="N341" s="516"/>
      <c r="P341" s="1">
        <v>83.3</v>
      </c>
      <c r="Q341" s="1">
        <v>0.0</v>
      </c>
      <c r="S341" s="517"/>
      <c r="V341" s="1">
        <v>0.08</v>
      </c>
      <c r="W341" s="518">
        <f t="shared" si="1"/>
        <v>0</v>
      </c>
    </row>
    <row r="342" hidden="1">
      <c r="C342" s="515"/>
      <c r="G342" s="1" t="s">
        <v>2486</v>
      </c>
      <c r="I342" s="516"/>
      <c r="J342" s="516"/>
      <c r="M342" s="515"/>
      <c r="N342" s="516"/>
      <c r="P342" s="1">
        <v>83.3</v>
      </c>
      <c r="Q342" s="1">
        <v>0.0</v>
      </c>
      <c r="S342" s="517"/>
      <c r="V342" s="1">
        <v>0.08</v>
      </c>
      <c r="W342" s="518">
        <f t="shared" si="1"/>
        <v>0</v>
      </c>
    </row>
    <row r="343" hidden="1">
      <c r="C343" s="515"/>
      <c r="G343" s="1" t="s">
        <v>2487</v>
      </c>
      <c r="I343" s="516"/>
      <c r="J343" s="516"/>
      <c r="M343" s="515"/>
      <c r="N343" s="516"/>
      <c r="P343" s="1">
        <v>41.7</v>
      </c>
      <c r="Q343" s="1">
        <v>0.0</v>
      </c>
      <c r="S343" s="517"/>
      <c r="V343" s="1">
        <v>0.04</v>
      </c>
      <c r="W343" s="518">
        <f t="shared" si="1"/>
        <v>0</v>
      </c>
    </row>
    <row r="344" hidden="1">
      <c r="C344" s="515"/>
      <c r="G344" s="1" t="s">
        <v>2488</v>
      </c>
      <c r="I344" s="516"/>
      <c r="J344" s="516"/>
      <c r="M344" s="515"/>
      <c r="N344" s="516"/>
      <c r="P344" s="1">
        <v>208.3</v>
      </c>
      <c r="Q344" s="1">
        <v>0.0</v>
      </c>
      <c r="S344" s="517"/>
      <c r="V344" s="1">
        <v>0.21</v>
      </c>
      <c r="W344" s="518">
        <f t="shared" si="1"/>
        <v>0</v>
      </c>
    </row>
    <row r="345" hidden="1">
      <c r="C345" s="515"/>
      <c r="G345" s="1" t="s">
        <v>2489</v>
      </c>
      <c r="I345" s="516"/>
      <c r="J345" s="516"/>
      <c r="M345" s="515"/>
      <c r="N345" s="516"/>
      <c r="P345" s="1">
        <v>83.3</v>
      </c>
      <c r="Q345" s="1">
        <v>0.0</v>
      </c>
      <c r="S345" s="517"/>
      <c r="V345" s="1">
        <v>0.08</v>
      </c>
      <c r="W345" s="518">
        <f t="shared" si="1"/>
        <v>0</v>
      </c>
    </row>
    <row r="346" hidden="1">
      <c r="C346" s="515"/>
      <c r="G346" s="1" t="s">
        <v>2490</v>
      </c>
      <c r="I346" s="516"/>
      <c r="J346" s="516"/>
      <c r="M346" s="515"/>
      <c r="N346" s="516"/>
      <c r="P346" s="1">
        <v>41.7</v>
      </c>
      <c r="Q346" s="1">
        <v>0.0</v>
      </c>
      <c r="S346" s="517"/>
      <c r="V346" s="1">
        <v>0.04</v>
      </c>
      <c r="W346" s="518">
        <f t="shared" si="1"/>
        <v>0</v>
      </c>
    </row>
    <row r="347" hidden="1">
      <c r="C347" s="515"/>
      <c r="G347" s="1" t="s">
        <v>2491</v>
      </c>
      <c r="I347" s="516"/>
      <c r="J347" s="516"/>
      <c r="M347" s="515"/>
      <c r="N347" s="516"/>
      <c r="P347" s="1">
        <v>41.7</v>
      </c>
      <c r="Q347" s="1">
        <v>0.0</v>
      </c>
      <c r="S347" s="517"/>
      <c r="V347" s="1">
        <v>0.04</v>
      </c>
      <c r="W347" s="518">
        <f t="shared" si="1"/>
        <v>0</v>
      </c>
    </row>
    <row r="348" hidden="1">
      <c r="C348" s="515"/>
      <c r="G348" s="1" t="s">
        <v>2492</v>
      </c>
      <c r="I348" s="516"/>
      <c r="J348" s="516"/>
      <c r="M348" s="515"/>
      <c r="N348" s="516"/>
      <c r="P348" s="1">
        <v>1000.0</v>
      </c>
      <c r="Q348" s="1">
        <v>0.0</v>
      </c>
      <c r="S348" s="517"/>
      <c r="V348" s="1">
        <v>1.0</v>
      </c>
      <c r="W348" s="518">
        <f t="shared" si="1"/>
        <v>0</v>
      </c>
    </row>
    <row r="349" hidden="1">
      <c r="C349" s="515"/>
      <c r="G349" s="1" t="s">
        <v>2493</v>
      </c>
      <c r="I349" s="516"/>
      <c r="J349" s="516"/>
      <c r="M349" s="515"/>
      <c r="N349" s="516"/>
      <c r="P349" s="1">
        <v>166.7</v>
      </c>
      <c r="Q349" s="1">
        <v>0.0</v>
      </c>
      <c r="S349" s="517"/>
      <c r="V349" s="1">
        <v>0.17</v>
      </c>
      <c r="W349" s="518">
        <f t="shared" si="1"/>
        <v>0</v>
      </c>
    </row>
    <row r="350" hidden="1">
      <c r="C350" s="515"/>
      <c r="G350" s="1" t="s">
        <v>2494</v>
      </c>
      <c r="I350" s="516"/>
      <c r="J350" s="516"/>
      <c r="M350" s="515"/>
      <c r="N350" s="516"/>
      <c r="P350" s="1">
        <v>41.7</v>
      </c>
      <c r="Q350" s="1">
        <v>0.0</v>
      </c>
      <c r="S350" s="517"/>
      <c r="V350" s="1">
        <v>0.04</v>
      </c>
      <c r="W350" s="518">
        <f t="shared" si="1"/>
        <v>0</v>
      </c>
    </row>
    <row r="351" hidden="1">
      <c r="C351" s="515"/>
      <c r="G351" s="1" t="s">
        <v>2522</v>
      </c>
      <c r="I351" s="516"/>
      <c r="J351" s="516"/>
      <c r="M351" s="515"/>
      <c r="N351" s="516"/>
      <c r="P351" s="1">
        <v>83.3</v>
      </c>
      <c r="Q351" s="1">
        <v>0.0</v>
      </c>
      <c r="S351" s="517"/>
      <c r="V351" s="1">
        <v>0.08</v>
      </c>
      <c r="W351" s="518">
        <f t="shared" si="1"/>
        <v>0</v>
      </c>
    </row>
    <row r="352" hidden="1">
      <c r="C352" s="515"/>
      <c r="G352" s="1" t="s">
        <v>2495</v>
      </c>
      <c r="I352" s="516"/>
      <c r="J352" s="516"/>
      <c r="M352" s="515"/>
      <c r="N352" s="516"/>
      <c r="P352" s="1">
        <v>83.3</v>
      </c>
      <c r="Q352" s="1">
        <v>0.0</v>
      </c>
      <c r="S352" s="517"/>
      <c r="V352" s="1">
        <v>0.08</v>
      </c>
      <c r="W352" s="518">
        <f t="shared" si="1"/>
        <v>0</v>
      </c>
    </row>
    <row r="353" hidden="1">
      <c r="C353" s="515"/>
      <c r="G353" s="1" t="s">
        <v>2497</v>
      </c>
      <c r="I353" s="516"/>
      <c r="J353" s="516"/>
      <c r="M353" s="515"/>
      <c r="N353" s="516"/>
      <c r="P353" s="1">
        <v>2000.0</v>
      </c>
      <c r="Q353" s="1">
        <v>0.0</v>
      </c>
      <c r="S353" s="517"/>
      <c r="V353" s="1">
        <v>2.0</v>
      </c>
      <c r="W353" s="518">
        <f t="shared" si="1"/>
        <v>0</v>
      </c>
    </row>
    <row r="354" hidden="1">
      <c r="C354" s="515"/>
      <c r="G354" s="1" t="s">
        <v>2498</v>
      </c>
      <c r="I354" s="516"/>
      <c r="J354" s="516"/>
      <c r="M354" s="515"/>
      <c r="N354" s="516"/>
      <c r="P354" s="1">
        <v>183.3</v>
      </c>
      <c r="Q354" s="1">
        <v>0.0</v>
      </c>
      <c r="S354" s="517"/>
      <c r="V354" s="1">
        <v>0.18</v>
      </c>
      <c r="W354" s="518">
        <f t="shared" si="1"/>
        <v>0</v>
      </c>
    </row>
    <row r="355" hidden="1">
      <c r="C355" s="515"/>
      <c r="G355" s="1" t="s">
        <v>2499</v>
      </c>
      <c r="I355" s="516"/>
      <c r="J355" s="516"/>
      <c r="M355" s="515"/>
      <c r="N355" s="516"/>
      <c r="P355" s="1">
        <v>41.7</v>
      </c>
      <c r="Q355" s="1">
        <v>0.0</v>
      </c>
      <c r="S355" s="517"/>
      <c r="V355" s="1">
        <v>0.04</v>
      </c>
      <c r="W355" s="518">
        <f t="shared" si="1"/>
        <v>0</v>
      </c>
    </row>
    <row r="356" hidden="1">
      <c r="C356" s="515"/>
      <c r="G356" s="1" t="s">
        <v>2500</v>
      </c>
      <c r="I356" s="516"/>
      <c r="J356" s="516"/>
      <c r="M356" s="515"/>
      <c r="N356" s="516"/>
      <c r="P356" s="1">
        <v>41.7</v>
      </c>
      <c r="Q356" s="1">
        <v>0.0</v>
      </c>
      <c r="S356" s="517"/>
      <c r="V356" s="1">
        <v>0.04</v>
      </c>
      <c r="W356" s="518">
        <f t="shared" si="1"/>
        <v>0</v>
      </c>
    </row>
    <row r="357" hidden="1">
      <c r="C357" s="515"/>
      <c r="G357" s="1" t="s">
        <v>2501</v>
      </c>
      <c r="I357" s="516"/>
      <c r="J357" s="516"/>
      <c r="M357" s="515"/>
      <c r="N357" s="516"/>
      <c r="P357" s="1">
        <v>83.3</v>
      </c>
      <c r="Q357" s="1">
        <v>0.0</v>
      </c>
      <c r="S357" s="517"/>
      <c r="V357" s="1">
        <v>0.08</v>
      </c>
      <c r="W357" s="518">
        <f t="shared" si="1"/>
        <v>0</v>
      </c>
    </row>
    <row r="358" hidden="1">
      <c r="C358" s="515"/>
      <c r="G358" s="1" t="s">
        <v>2502</v>
      </c>
      <c r="I358" s="516"/>
      <c r="J358" s="516"/>
      <c r="M358" s="515"/>
      <c r="N358" s="516"/>
      <c r="P358" s="1">
        <v>41.7</v>
      </c>
      <c r="Q358" s="1">
        <v>0.0</v>
      </c>
      <c r="S358" s="517"/>
      <c r="V358" s="1">
        <v>0.04</v>
      </c>
      <c r="W358" s="518">
        <f t="shared" si="1"/>
        <v>0</v>
      </c>
    </row>
    <row r="359" hidden="1">
      <c r="C359" s="515"/>
      <c r="G359" s="1" t="s">
        <v>2503</v>
      </c>
      <c r="I359" s="516"/>
      <c r="J359" s="516"/>
      <c r="M359" s="515"/>
      <c r="P359" s="1">
        <v>1666.7</v>
      </c>
      <c r="Q359" s="1">
        <v>0.0</v>
      </c>
      <c r="S359" s="517"/>
      <c r="V359" s="1">
        <v>1.67</v>
      </c>
      <c r="W359" s="518">
        <f t="shared" si="1"/>
        <v>0</v>
      </c>
    </row>
    <row r="360" hidden="1">
      <c r="C360" s="515"/>
      <c r="G360" s="1" t="s">
        <v>2524</v>
      </c>
      <c r="I360" s="516"/>
      <c r="J360" s="516"/>
      <c r="M360" s="515"/>
      <c r="N360" s="516"/>
      <c r="P360" s="1">
        <v>833.3</v>
      </c>
      <c r="Q360" s="1">
        <v>0.0</v>
      </c>
      <c r="S360" s="517"/>
      <c r="V360" s="1">
        <v>0.83</v>
      </c>
      <c r="W360" s="518">
        <f t="shared" si="1"/>
        <v>0</v>
      </c>
    </row>
    <row r="361" hidden="1">
      <c r="C361" s="515"/>
      <c r="G361" s="1" t="s">
        <v>2504</v>
      </c>
      <c r="I361" s="516"/>
      <c r="J361" s="516"/>
      <c r="M361" s="515"/>
      <c r="N361" s="516"/>
      <c r="P361" s="1">
        <v>41.7</v>
      </c>
      <c r="Q361" s="1">
        <v>0.0</v>
      </c>
      <c r="S361" s="517"/>
      <c r="V361" s="1">
        <v>0.04</v>
      </c>
      <c r="W361" s="518">
        <f t="shared" si="1"/>
        <v>0</v>
      </c>
    </row>
    <row r="362" hidden="1">
      <c r="C362" s="515"/>
      <c r="G362" s="1" t="s">
        <v>2528</v>
      </c>
      <c r="I362" s="516"/>
      <c r="J362" s="516"/>
      <c r="M362" s="515"/>
      <c r="N362" s="516"/>
      <c r="P362" s="1">
        <v>500.0</v>
      </c>
      <c r="Q362" s="1">
        <v>0.0</v>
      </c>
      <c r="S362" s="517"/>
      <c r="V362" s="1">
        <v>0.5</v>
      </c>
      <c r="W362" s="518">
        <f t="shared" si="1"/>
        <v>0</v>
      </c>
    </row>
    <row r="363" hidden="1">
      <c r="C363" s="515"/>
      <c r="G363" s="1" t="s">
        <v>2505</v>
      </c>
      <c r="I363" s="516"/>
      <c r="J363" s="516"/>
      <c r="M363" s="515"/>
      <c r="N363" s="516"/>
      <c r="P363" s="1">
        <v>125.0</v>
      </c>
      <c r="Q363" s="1">
        <v>0.0</v>
      </c>
      <c r="S363" s="517"/>
      <c r="V363" s="1">
        <v>0.13</v>
      </c>
      <c r="W363" s="518">
        <f t="shared" si="1"/>
        <v>0</v>
      </c>
    </row>
    <row r="364" hidden="1">
      <c r="C364" s="515"/>
      <c r="G364" s="1" t="s">
        <v>2506</v>
      </c>
      <c r="I364" s="516"/>
      <c r="J364" s="516"/>
      <c r="M364" s="515"/>
      <c r="N364" s="516"/>
      <c r="P364" s="1">
        <v>41.7</v>
      </c>
      <c r="Q364" s="1">
        <v>0.0</v>
      </c>
      <c r="S364" s="517"/>
      <c r="V364" s="1">
        <v>0.04</v>
      </c>
      <c r="W364" s="518">
        <f t="shared" si="1"/>
        <v>0</v>
      </c>
    </row>
    <row r="365" hidden="1">
      <c r="C365" s="515"/>
      <c r="G365" s="1" t="s">
        <v>2507</v>
      </c>
      <c r="I365" s="516"/>
      <c r="J365" s="516"/>
      <c r="M365" s="515"/>
      <c r="N365" s="516"/>
      <c r="P365" s="1">
        <v>83.3</v>
      </c>
      <c r="Q365" s="1">
        <v>0.0</v>
      </c>
      <c r="S365" s="517"/>
      <c r="V365" s="1">
        <v>0.08</v>
      </c>
      <c r="W365" s="518">
        <f t="shared" si="1"/>
        <v>0</v>
      </c>
    </row>
    <row r="366" hidden="1">
      <c r="C366" s="515"/>
      <c r="G366" s="1" t="s">
        <v>2508</v>
      </c>
      <c r="I366" s="516"/>
      <c r="J366" s="516"/>
      <c r="M366" s="515"/>
      <c r="N366" s="516"/>
      <c r="P366" s="1">
        <v>166.7</v>
      </c>
      <c r="Q366" s="1">
        <v>0.0</v>
      </c>
      <c r="S366" s="517"/>
      <c r="V366" s="1">
        <v>0.17</v>
      </c>
      <c r="W366" s="518">
        <f t="shared" si="1"/>
        <v>0</v>
      </c>
    </row>
    <row r="367" hidden="1">
      <c r="C367" s="515"/>
      <c r="G367" s="1" t="s">
        <v>2509</v>
      </c>
      <c r="I367" s="516"/>
      <c r="J367" s="516"/>
      <c r="M367" s="515"/>
      <c r="N367" s="516"/>
      <c r="P367" s="1">
        <v>83.3</v>
      </c>
      <c r="Q367" s="1">
        <v>0.0</v>
      </c>
      <c r="S367" s="517"/>
      <c r="V367" s="1">
        <v>0.08</v>
      </c>
      <c r="W367" s="518">
        <f t="shared" si="1"/>
        <v>0</v>
      </c>
    </row>
    <row r="368" hidden="1">
      <c r="C368" s="515"/>
      <c r="G368" s="1" t="s">
        <v>2510</v>
      </c>
      <c r="I368" s="516"/>
      <c r="J368" s="516"/>
      <c r="M368" s="515"/>
      <c r="N368" s="516"/>
      <c r="P368" s="1">
        <v>83.3</v>
      </c>
      <c r="Q368" s="1">
        <v>0.0</v>
      </c>
      <c r="S368" s="517"/>
      <c r="V368" s="1">
        <v>0.08</v>
      </c>
      <c r="W368" s="518">
        <f t="shared" si="1"/>
        <v>0</v>
      </c>
    </row>
    <row r="369" hidden="1">
      <c r="C369" s="515"/>
      <c r="G369" s="1" t="s">
        <v>2511</v>
      </c>
      <c r="I369" s="516"/>
      <c r="J369" s="516"/>
      <c r="M369" s="515"/>
      <c r="N369" s="516"/>
      <c r="P369" s="1">
        <v>41.7</v>
      </c>
      <c r="Q369" s="1">
        <v>0.0</v>
      </c>
      <c r="S369" s="517"/>
      <c r="V369" s="1">
        <v>0.04</v>
      </c>
      <c r="W369" s="518">
        <f t="shared" si="1"/>
        <v>0</v>
      </c>
    </row>
    <row r="370" hidden="1">
      <c r="C370" s="515"/>
      <c r="G370" s="1" t="s">
        <v>2512</v>
      </c>
      <c r="I370" s="516"/>
      <c r="J370" s="516"/>
      <c r="M370" s="515"/>
      <c r="N370" s="516"/>
      <c r="P370" s="1">
        <v>83.3</v>
      </c>
      <c r="Q370" s="1">
        <v>0.0</v>
      </c>
      <c r="S370" s="517"/>
      <c r="V370" s="1">
        <v>0.08</v>
      </c>
      <c r="W370" s="518">
        <f t="shared" si="1"/>
        <v>0</v>
      </c>
    </row>
    <row r="371" hidden="1">
      <c r="C371" s="515"/>
      <c r="G371" s="1" t="s">
        <v>2406</v>
      </c>
      <c r="I371" s="516"/>
      <c r="J371" s="516"/>
      <c r="M371" s="515"/>
      <c r="N371" s="516"/>
      <c r="P371" s="1">
        <v>166.7</v>
      </c>
      <c r="Q371" s="1">
        <v>0.0</v>
      </c>
      <c r="S371" s="517"/>
      <c r="V371" s="1">
        <v>0.17</v>
      </c>
      <c r="W371" s="518">
        <f t="shared" si="1"/>
        <v>0</v>
      </c>
    </row>
    <row r="372" hidden="1">
      <c r="C372" s="515"/>
      <c r="G372" s="1" t="s">
        <v>2403</v>
      </c>
      <c r="I372" s="516"/>
      <c r="J372" s="516"/>
      <c r="M372" s="515"/>
      <c r="N372" s="516"/>
      <c r="P372" s="1">
        <v>625.0</v>
      </c>
      <c r="Q372" s="1">
        <v>0.0</v>
      </c>
      <c r="S372" s="517"/>
      <c r="V372" s="1">
        <v>0.63</v>
      </c>
      <c r="W372" s="518">
        <f t="shared" si="1"/>
        <v>0</v>
      </c>
    </row>
    <row r="373" hidden="1">
      <c r="C373" s="515"/>
      <c r="G373" s="1" t="s">
        <v>2513</v>
      </c>
      <c r="I373" s="516"/>
      <c r="J373" s="516"/>
      <c r="M373" s="515"/>
      <c r="N373" s="516"/>
      <c r="P373" s="1">
        <v>125.0</v>
      </c>
      <c r="Q373" s="1">
        <v>0.0</v>
      </c>
      <c r="S373" s="517"/>
      <c r="V373" s="1">
        <v>0.13</v>
      </c>
      <c r="W373" s="518">
        <f t="shared" si="1"/>
        <v>0</v>
      </c>
    </row>
    <row r="374" hidden="1">
      <c r="C374" s="515"/>
      <c r="G374" s="1" t="s">
        <v>2407</v>
      </c>
      <c r="I374" s="516"/>
      <c r="J374" s="516"/>
      <c r="M374" s="515"/>
      <c r="N374" s="516"/>
      <c r="P374" s="1">
        <v>416.7</v>
      </c>
      <c r="Q374" s="1">
        <v>0.0</v>
      </c>
      <c r="S374" s="517"/>
      <c r="V374" s="1">
        <v>0.42</v>
      </c>
      <c r="W374" s="518">
        <f t="shared" si="1"/>
        <v>0</v>
      </c>
    </row>
    <row r="375" hidden="1">
      <c r="C375" s="515"/>
      <c r="G375" s="1" t="s">
        <v>2408</v>
      </c>
      <c r="I375" s="516"/>
      <c r="J375" s="516"/>
      <c r="M375" s="515"/>
      <c r="N375" s="516"/>
      <c r="P375" s="1">
        <v>41.7</v>
      </c>
      <c r="Q375" s="1">
        <v>0.0</v>
      </c>
      <c r="S375" s="517"/>
      <c r="V375" s="1">
        <v>0.04</v>
      </c>
      <c r="W375" s="518">
        <f t="shared" si="1"/>
        <v>0</v>
      </c>
    </row>
    <row r="376" hidden="1">
      <c r="C376" s="515"/>
      <c r="G376" s="1" t="s">
        <v>2410</v>
      </c>
      <c r="I376" s="516"/>
      <c r="J376" s="516"/>
      <c r="M376" s="515"/>
      <c r="N376" s="516"/>
      <c r="P376" s="1">
        <v>83.3</v>
      </c>
      <c r="Q376" s="1">
        <v>0.0</v>
      </c>
      <c r="S376" s="517"/>
      <c r="V376" s="1">
        <v>0.08</v>
      </c>
      <c r="W376" s="518">
        <f t="shared" si="1"/>
        <v>0</v>
      </c>
    </row>
    <row r="377" hidden="1">
      <c r="C377" s="515"/>
      <c r="G377" s="1" t="s">
        <v>2414</v>
      </c>
      <c r="I377" s="516"/>
      <c r="J377" s="516"/>
      <c r="M377" s="515"/>
      <c r="N377" s="516"/>
      <c r="P377" s="1">
        <v>83.3</v>
      </c>
      <c r="Q377" s="1">
        <v>0.0</v>
      </c>
      <c r="S377" s="517"/>
      <c r="V377" s="1">
        <v>0.08</v>
      </c>
      <c r="W377" s="518">
        <f t="shared" si="1"/>
        <v>0</v>
      </c>
    </row>
    <row r="378" hidden="1">
      <c r="C378" s="515"/>
      <c r="G378" s="1" t="s">
        <v>2415</v>
      </c>
      <c r="I378" s="516"/>
      <c r="J378" s="516"/>
      <c r="M378" s="515"/>
      <c r="N378" s="516"/>
      <c r="P378" s="1">
        <v>333.3</v>
      </c>
      <c r="Q378" s="1">
        <v>0.0</v>
      </c>
      <c r="S378" s="517"/>
      <c r="V378" s="1">
        <v>0.33</v>
      </c>
      <c r="W378" s="518">
        <f t="shared" si="1"/>
        <v>0</v>
      </c>
    </row>
    <row r="379" hidden="1">
      <c r="C379" s="515"/>
      <c r="G379" s="1" t="s">
        <v>2440</v>
      </c>
      <c r="I379" s="516"/>
      <c r="J379" s="516"/>
      <c r="M379" s="515"/>
      <c r="N379" s="516"/>
      <c r="P379" s="1">
        <v>375.0</v>
      </c>
      <c r="Q379" s="1">
        <v>0.0</v>
      </c>
      <c r="S379" s="517"/>
      <c r="V379" s="1">
        <v>0.38</v>
      </c>
      <c r="W379" s="518">
        <f t="shared" si="1"/>
        <v>0</v>
      </c>
    </row>
    <row r="380" hidden="1">
      <c r="C380" s="515"/>
      <c r="G380" s="1" t="s">
        <v>2418</v>
      </c>
      <c r="I380" s="516"/>
      <c r="J380" s="516"/>
      <c r="M380" s="515"/>
      <c r="N380" s="516"/>
      <c r="P380" s="1">
        <v>141.7</v>
      </c>
      <c r="Q380" s="1">
        <v>0.0</v>
      </c>
      <c r="S380" s="517"/>
      <c r="V380" s="1">
        <v>0.14</v>
      </c>
      <c r="W380" s="518">
        <f t="shared" si="1"/>
        <v>0</v>
      </c>
    </row>
    <row r="381" hidden="1">
      <c r="C381" s="515"/>
      <c r="G381" s="1" t="s">
        <v>2419</v>
      </c>
      <c r="I381" s="516"/>
      <c r="J381" s="516"/>
      <c r="M381" s="515"/>
      <c r="N381" s="516"/>
      <c r="P381" s="1">
        <v>666.7</v>
      </c>
      <c r="Q381" s="1">
        <v>0.0</v>
      </c>
      <c r="S381" s="517"/>
      <c r="V381" s="1">
        <v>0.67</v>
      </c>
      <c r="W381" s="518">
        <f t="shared" si="1"/>
        <v>0</v>
      </c>
    </row>
    <row r="382" hidden="1">
      <c r="C382" s="515"/>
      <c r="G382" s="1" t="s">
        <v>2422</v>
      </c>
      <c r="I382" s="516"/>
      <c r="J382" s="516"/>
      <c r="M382" s="515"/>
      <c r="N382" s="516"/>
      <c r="P382" s="1">
        <v>250.0</v>
      </c>
      <c r="Q382" s="1">
        <v>0.0</v>
      </c>
      <c r="S382" s="517"/>
      <c r="V382" s="1">
        <v>0.25</v>
      </c>
      <c r="W382" s="518">
        <f t="shared" si="1"/>
        <v>0</v>
      </c>
    </row>
    <row r="383" hidden="1">
      <c r="C383" s="515"/>
      <c r="G383" s="1" t="s">
        <v>2423</v>
      </c>
      <c r="I383" s="516"/>
      <c r="J383" s="516"/>
      <c r="M383" s="515"/>
      <c r="N383" s="516"/>
      <c r="P383" s="1">
        <v>83.3</v>
      </c>
      <c r="Q383" s="1">
        <v>0.0</v>
      </c>
      <c r="S383" s="517"/>
      <c r="V383" s="1">
        <v>0.08</v>
      </c>
      <c r="W383" s="518">
        <f t="shared" si="1"/>
        <v>0</v>
      </c>
    </row>
    <row r="384" hidden="1">
      <c r="C384" s="515"/>
      <c r="G384" s="1" t="s">
        <v>2425</v>
      </c>
      <c r="I384" s="516"/>
      <c r="J384" s="516"/>
      <c r="M384" s="515"/>
      <c r="N384" s="516"/>
      <c r="P384" s="1">
        <v>41.7</v>
      </c>
      <c r="Q384" s="1">
        <v>0.0</v>
      </c>
      <c r="S384" s="517"/>
      <c r="V384" s="1">
        <v>0.04</v>
      </c>
      <c r="W384" s="518">
        <f t="shared" si="1"/>
        <v>0</v>
      </c>
    </row>
    <row r="385" hidden="1">
      <c r="C385" s="515"/>
      <c r="G385" s="1" t="s">
        <v>2426</v>
      </c>
      <c r="I385" s="516"/>
      <c r="J385" s="516"/>
      <c r="M385" s="515"/>
      <c r="N385" s="516"/>
      <c r="P385" s="1">
        <v>250.0</v>
      </c>
      <c r="Q385" s="1">
        <v>0.0</v>
      </c>
      <c r="S385" s="517"/>
      <c r="V385" s="1">
        <v>0.25</v>
      </c>
      <c r="W385" s="518">
        <f t="shared" si="1"/>
        <v>0</v>
      </c>
    </row>
    <row r="386" hidden="1">
      <c r="C386" s="515"/>
      <c r="G386" s="1" t="s">
        <v>2427</v>
      </c>
      <c r="I386" s="516"/>
      <c r="J386" s="516"/>
      <c r="M386" s="515"/>
      <c r="N386" s="516"/>
      <c r="P386" s="1">
        <v>83.3</v>
      </c>
      <c r="Q386" s="1">
        <v>0.0</v>
      </c>
      <c r="S386" s="517"/>
      <c r="V386" s="1">
        <v>0.08</v>
      </c>
      <c r="W386" s="518">
        <f t="shared" si="1"/>
        <v>0</v>
      </c>
    </row>
    <row r="387" hidden="1">
      <c r="C387" s="515"/>
      <c r="G387" s="1" t="s">
        <v>2429</v>
      </c>
      <c r="I387" s="516"/>
      <c r="J387" s="516"/>
      <c r="M387" s="515"/>
      <c r="N387" s="516"/>
      <c r="P387" s="1">
        <v>83.3</v>
      </c>
      <c r="Q387" s="1">
        <v>0.0</v>
      </c>
      <c r="S387" s="517"/>
      <c r="V387" s="1">
        <v>0.08</v>
      </c>
      <c r="W387" s="518">
        <f t="shared" si="1"/>
        <v>0</v>
      </c>
    </row>
    <row r="388" hidden="1">
      <c r="C388" s="515"/>
      <c r="G388" s="1" t="s">
        <v>2430</v>
      </c>
      <c r="I388" s="516"/>
      <c r="J388" s="516"/>
      <c r="M388" s="515"/>
      <c r="N388" s="516"/>
      <c r="P388" s="1">
        <v>83.3</v>
      </c>
      <c r="Q388" s="1">
        <v>0.0</v>
      </c>
      <c r="S388" s="517"/>
      <c r="V388" s="1">
        <v>0.08</v>
      </c>
      <c r="W388" s="518">
        <f t="shared" si="1"/>
        <v>0</v>
      </c>
    </row>
    <row r="389" hidden="1">
      <c r="C389" s="515"/>
      <c r="G389" s="1" t="s">
        <v>2431</v>
      </c>
      <c r="I389" s="516"/>
      <c r="J389" s="516"/>
      <c r="M389" s="515"/>
      <c r="N389" s="516"/>
      <c r="P389" s="1">
        <v>83.3</v>
      </c>
      <c r="Q389" s="1">
        <v>0.0</v>
      </c>
      <c r="S389" s="517"/>
      <c r="V389" s="1">
        <v>0.08</v>
      </c>
      <c r="W389" s="518">
        <f t="shared" si="1"/>
        <v>0</v>
      </c>
    </row>
    <row r="390" hidden="1">
      <c r="C390" s="515"/>
      <c r="G390" s="1" t="s">
        <v>2433</v>
      </c>
      <c r="I390" s="516"/>
      <c r="J390" s="516"/>
      <c r="M390" s="515"/>
      <c r="N390" s="516"/>
      <c r="P390" s="1">
        <v>41.7</v>
      </c>
      <c r="Q390" s="1">
        <v>0.0</v>
      </c>
      <c r="S390" s="517"/>
      <c r="V390" s="1">
        <v>0.04</v>
      </c>
      <c r="W390" s="518">
        <f t="shared" si="1"/>
        <v>0</v>
      </c>
    </row>
    <row r="391" hidden="1">
      <c r="C391" s="515"/>
      <c r="G391" s="1" t="s">
        <v>2434</v>
      </c>
      <c r="I391" s="516"/>
      <c r="J391" s="516"/>
      <c r="M391" s="515"/>
      <c r="N391" s="516"/>
      <c r="P391" s="1">
        <v>41.7</v>
      </c>
      <c r="Q391" s="1">
        <v>0.0</v>
      </c>
      <c r="S391" s="517"/>
      <c r="V391" s="1">
        <v>0.04</v>
      </c>
      <c r="W391" s="518">
        <f t="shared" si="1"/>
        <v>0</v>
      </c>
    </row>
    <row r="392" hidden="1">
      <c r="C392" s="515"/>
      <c r="G392" s="1" t="s">
        <v>2435</v>
      </c>
      <c r="I392" s="516"/>
      <c r="J392" s="516"/>
      <c r="M392" s="515"/>
      <c r="N392" s="516"/>
      <c r="P392" s="1">
        <v>83.3</v>
      </c>
      <c r="Q392" s="1">
        <v>0.0</v>
      </c>
      <c r="S392" s="517"/>
      <c r="V392" s="1">
        <v>0.08</v>
      </c>
      <c r="W392" s="518">
        <f t="shared" si="1"/>
        <v>0</v>
      </c>
    </row>
    <row r="393" hidden="1">
      <c r="C393" s="515"/>
      <c r="G393" s="1" t="s">
        <v>2436</v>
      </c>
      <c r="I393" s="516"/>
      <c r="J393" s="516"/>
      <c r="M393" s="515"/>
      <c r="N393" s="516"/>
      <c r="P393" s="1">
        <v>250.0</v>
      </c>
      <c r="Q393" s="1">
        <v>0.0</v>
      </c>
      <c r="S393" s="517"/>
      <c r="V393" s="1">
        <v>0.25</v>
      </c>
      <c r="W393" s="518">
        <f t="shared" si="1"/>
        <v>0</v>
      </c>
    </row>
    <row r="394" hidden="1">
      <c r="C394" s="515"/>
      <c r="G394" s="1" t="s">
        <v>2437</v>
      </c>
      <c r="I394" s="516"/>
      <c r="J394" s="516"/>
      <c r="M394" s="515"/>
      <c r="N394" s="516"/>
      <c r="P394" s="1">
        <v>83.3</v>
      </c>
      <c r="Q394" s="1">
        <v>0.0</v>
      </c>
      <c r="S394" s="517"/>
      <c r="V394" s="1">
        <v>0.08</v>
      </c>
      <c r="W394" s="518">
        <f t="shared" si="1"/>
        <v>0</v>
      </c>
    </row>
    <row r="395" hidden="1">
      <c r="C395" s="515"/>
      <c r="G395" s="1" t="s">
        <v>2438</v>
      </c>
      <c r="I395" s="516"/>
      <c r="J395" s="516"/>
      <c r="M395" s="515"/>
      <c r="N395" s="516"/>
      <c r="P395" s="1">
        <v>166.7</v>
      </c>
      <c r="Q395" s="1">
        <v>0.0</v>
      </c>
      <c r="S395" s="517"/>
      <c r="V395" s="1">
        <v>0.17</v>
      </c>
      <c r="W395" s="518">
        <f t="shared" si="1"/>
        <v>0</v>
      </c>
    </row>
    <row r="396" hidden="1">
      <c r="C396" s="515"/>
      <c r="G396" s="1" t="s">
        <v>2439</v>
      </c>
      <c r="I396" s="516"/>
      <c r="J396" s="516"/>
      <c r="M396" s="515"/>
      <c r="N396" s="516"/>
      <c r="P396" s="1">
        <v>83.3</v>
      </c>
      <c r="Q396" s="1">
        <v>0.0</v>
      </c>
      <c r="S396" s="517"/>
      <c r="V396" s="1">
        <v>0.08</v>
      </c>
      <c r="W396" s="518">
        <f t="shared" si="1"/>
        <v>0</v>
      </c>
    </row>
    <row r="397" hidden="1">
      <c r="C397" s="515"/>
      <c r="G397" s="1" t="s">
        <v>2441</v>
      </c>
      <c r="I397" s="516"/>
      <c r="J397" s="516"/>
      <c r="M397" s="515"/>
      <c r="N397" s="516"/>
      <c r="P397" s="1">
        <v>83.3</v>
      </c>
      <c r="Q397" s="1">
        <v>0.0</v>
      </c>
      <c r="S397" s="517"/>
      <c r="V397" s="1">
        <v>0.08</v>
      </c>
      <c r="W397" s="518">
        <f t="shared" si="1"/>
        <v>0</v>
      </c>
    </row>
    <row r="398" hidden="1">
      <c r="C398" s="515"/>
      <c r="G398" s="1" t="s">
        <v>2443</v>
      </c>
      <c r="I398" s="516"/>
      <c r="J398" s="516"/>
      <c r="M398" s="515"/>
      <c r="N398" s="516"/>
      <c r="P398" s="1">
        <v>833.3</v>
      </c>
      <c r="Q398" s="1">
        <v>0.0</v>
      </c>
      <c r="S398" s="517"/>
      <c r="V398" s="1">
        <v>0.83</v>
      </c>
      <c r="W398" s="518">
        <f t="shared" si="1"/>
        <v>0</v>
      </c>
    </row>
    <row r="399" hidden="1">
      <c r="C399" s="515"/>
      <c r="G399" s="1" t="s">
        <v>2444</v>
      </c>
      <c r="I399" s="516"/>
      <c r="J399" s="516"/>
      <c r="M399" s="515"/>
      <c r="N399" s="516"/>
      <c r="P399" s="1">
        <v>125.0</v>
      </c>
      <c r="Q399" s="1">
        <v>0.0</v>
      </c>
      <c r="S399" s="517"/>
      <c r="V399" s="1">
        <v>0.13</v>
      </c>
      <c r="W399" s="518">
        <f t="shared" si="1"/>
        <v>0</v>
      </c>
    </row>
    <row r="400" hidden="1">
      <c r="C400" s="515"/>
      <c r="G400" s="1" t="s">
        <v>2445</v>
      </c>
      <c r="I400" s="516"/>
      <c r="J400" s="516"/>
      <c r="M400" s="515"/>
      <c r="N400" s="516"/>
      <c r="P400" s="1">
        <v>166.7</v>
      </c>
      <c r="Q400" s="1">
        <v>0.0</v>
      </c>
      <c r="S400" s="517"/>
      <c r="V400" s="1">
        <v>0.17</v>
      </c>
      <c r="W400" s="518">
        <f t="shared" si="1"/>
        <v>0</v>
      </c>
    </row>
    <row r="401" hidden="1">
      <c r="C401" s="515"/>
      <c r="G401" s="1" t="s">
        <v>2447</v>
      </c>
      <c r="I401" s="516"/>
      <c r="J401" s="516"/>
      <c r="M401" s="515"/>
      <c r="N401" s="516"/>
      <c r="P401" s="1">
        <v>83.3</v>
      </c>
      <c r="Q401" s="1">
        <v>0.0</v>
      </c>
      <c r="S401" s="517"/>
      <c r="V401" s="1">
        <v>0.08</v>
      </c>
      <c r="W401" s="518">
        <f t="shared" si="1"/>
        <v>0</v>
      </c>
    </row>
    <row r="402" hidden="1">
      <c r="C402" s="515"/>
      <c r="G402" s="1" t="s">
        <v>2528</v>
      </c>
      <c r="I402" s="516"/>
      <c r="J402" s="516"/>
      <c r="K402" s="515">
        <v>46387.0</v>
      </c>
      <c r="M402" s="515"/>
      <c r="N402" s="516"/>
      <c r="P402" s="1">
        <v>0.0</v>
      </c>
      <c r="Q402" s="1" t="s">
        <v>2404</v>
      </c>
      <c r="S402" s="517"/>
      <c r="V402" s="1">
        <v>300.0</v>
      </c>
      <c r="W402" s="518">
        <f t="shared" si="1"/>
        <v>300000</v>
      </c>
    </row>
    <row r="403" hidden="1">
      <c r="C403" s="515"/>
      <c r="G403" s="1" t="s">
        <v>2449</v>
      </c>
      <c r="I403" s="516"/>
      <c r="J403" s="516"/>
      <c r="M403" s="515"/>
      <c r="N403" s="516"/>
      <c r="P403" s="1">
        <v>41.7</v>
      </c>
      <c r="Q403" s="1">
        <v>0.0</v>
      </c>
      <c r="S403" s="517"/>
      <c r="V403" s="1">
        <v>0.04</v>
      </c>
      <c r="W403" s="518">
        <f t="shared" si="1"/>
        <v>0</v>
      </c>
    </row>
    <row r="404" hidden="1">
      <c r="C404" s="515"/>
      <c r="G404" s="1" t="s">
        <v>2451</v>
      </c>
      <c r="I404" s="516"/>
      <c r="J404" s="516"/>
      <c r="M404" s="515"/>
      <c r="N404" s="516"/>
      <c r="P404" s="1">
        <v>41.7</v>
      </c>
      <c r="Q404" s="1">
        <v>0.0</v>
      </c>
      <c r="S404" s="517"/>
      <c r="V404" s="1">
        <v>0.04</v>
      </c>
      <c r="W404" s="518">
        <f t="shared" si="1"/>
        <v>0</v>
      </c>
    </row>
    <row r="405" hidden="1">
      <c r="C405" s="515"/>
      <c r="G405" s="1" t="s">
        <v>2518</v>
      </c>
      <c r="I405" s="516"/>
      <c r="J405" s="516"/>
      <c r="M405" s="515"/>
      <c r="N405" s="516"/>
      <c r="P405" s="1">
        <v>125.0</v>
      </c>
      <c r="Q405" s="1">
        <v>0.0</v>
      </c>
      <c r="S405" s="517"/>
      <c r="V405" s="1">
        <v>0.13</v>
      </c>
      <c r="W405" s="518">
        <f t="shared" si="1"/>
        <v>0</v>
      </c>
    </row>
    <row r="406" hidden="1">
      <c r="C406" s="515"/>
      <c r="G406" s="1" t="s">
        <v>2529</v>
      </c>
      <c r="I406" s="516"/>
      <c r="J406" s="516"/>
      <c r="M406" s="515"/>
      <c r="N406" s="516"/>
      <c r="P406" s="1">
        <v>0.0</v>
      </c>
      <c r="Q406" s="1" t="s">
        <v>2404</v>
      </c>
      <c r="S406" s="517"/>
      <c r="V406" s="1">
        <v>200.0</v>
      </c>
      <c r="W406" s="518">
        <f t="shared" si="1"/>
        <v>200000</v>
      </c>
    </row>
    <row r="407" hidden="1">
      <c r="C407" s="515"/>
      <c r="G407" s="1" t="s">
        <v>2454</v>
      </c>
      <c r="I407" s="516"/>
      <c r="J407" s="516"/>
      <c r="M407" s="515"/>
      <c r="N407" s="516"/>
      <c r="P407" s="1">
        <v>83.3</v>
      </c>
      <c r="Q407" s="1">
        <v>0.0</v>
      </c>
      <c r="S407" s="517"/>
      <c r="V407" s="1">
        <v>0.08</v>
      </c>
      <c r="W407" s="518">
        <f t="shared" si="1"/>
        <v>0</v>
      </c>
    </row>
    <row r="408" hidden="1">
      <c r="C408" s="515"/>
      <c r="G408" s="1" t="s">
        <v>2455</v>
      </c>
      <c r="I408" s="516"/>
      <c r="J408" s="516"/>
      <c r="M408" s="515"/>
      <c r="N408" s="516"/>
      <c r="P408" s="1">
        <v>166.7</v>
      </c>
      <c r="Q408" s="1">
        <v>0.0</v>
      </c>
      <c r="S408" s="517"/>
      <c r="V408" s="1">
        <v>0.17</v>
      </c>
      <c r="W408" s="518">
        <f t="shared" si="1"/>
        <v>0</v>
      </c>
    </row>
    <row r="409" hidden="1">
      <c r="C409" s="515"/>
      <c r="G409" s="1" t="s">
        <v>2456</v>
      </c>
      <c r="I409" s="516"/>
      <c r="J409" s="516"/>
      <c r="M409" s="515"/>
      <c r="N409" s="516"/>
      <c r="P409" s="1">
        <v>666.7</v>
      </c>
      <c r="Q409" s="1">
        <v>0.0</v>
      </c>
      <c r="S409" s="517"/>
      <c r="V409" s="1">
        <v>0.67</v>
      </c>
      <c r="W409" s="518">
        <f t="shared" si="1"/>
        <v>0</v>
      </c>
    </row>
    <row r="410" hidden="1">
      <c r="C410" s="515"/>
      <c r="G410" s="1" t="s">
        <v>2457</v>
      </c>
      <c r="I410" s="516"/>
      <c r="J410" s="516"/>
      <c r="M410" s="515"/>
      <c r="N410" s="516"/>
      <c r="P410" s="1">
        <v>500.0</v>
      </c>
      <c r="Q410" s="1">
        <v>0.0</v>
      </c>
      <c r="S410" s="517"/>
      <c r="V410" s="1">
        <v>0.5</v>
      </c>
      <c r="W410" s="518">
        <f t="shared" si="1"/>
        <v>0</v>
      </c>
    </row>
    <row r="411" hidden="1">
      <c r="C411" s="515"/>
      <c r="G411" s="1" t="s">
        <v>2458</v>
      </c>
      <c r="I411" s="516"/>
      <c r="J411" s="516"/>
      <c r="M411" s="515"/>
      <c r="N411" s="516"/>
      <c r="P411" s="1">
        <v>83.3</v>
      </c>
      <c r="Q411" s="1">
        <v>0.0</v>
      </c>
      <c r="S411" s="517"/>
      <c r="V411" s="1">
        <v>0.08</v>
      </c>
      <c r="W411" s="518">
        <f t="shared" si="1"/>
        <v>0</v>
      </c>
    </row>
    <row r="412" hidden="1">
      <c r="C412" s="515"/>
      <c r="G412" s="1" t="s">
        <v>2460</v>
      </c>
      <c r="I412" s="516"/>
      <c r="J412" s="516"/>
      <c r="M412" s="515"/>
      <c r="N412" s="516"/>
      <c r="P412" s="1">
        <v>833.3</v>
      </c>
      <c r="Q412" s="1">
        <v>0.0</v>
      </c>
      <c r="S412" s="517"/>
      <c r="V412" s="1">
        <v>0.83</v>
      </c>
      <c r="W412" s="518">
        <f t="shared" si="1"/>
        <v>0</v>
      </c>
    </row>
    <row r="413" hidden="1">
      <c r="C413" s="515"/>
      <c r="G413" s="1" t="s">
        <v>2461</v>
      </c>
      <c r="I413" s="516"/>
      <c r="J413" s="516"/>
      <c r="M413" s="515"/>
      <c r="N413" s="516"/>
      <c r="P413" s="1">
        <v>83.3</v>
      </c>
      <c r="Q413" s="1">
        <v>0.0</v>
      </c>
      <c r="S413" s="517"/>
      <c r="V413" s="1">
        <v>0.08</v>
      </c>
      <c r="W413" s="518">
        <f t="shared" si="1"/>
        <v>0</v>
      </c>
    </row>
    <row r="414" hidden="1">
      <c r="C414" s="515"/>
      <c r="G414" s="1" t="s">
        <v>2462</v>
      </c>
      <c r="I414" s="516"/>
      <c r="J414" s="516"/>
      <c r="M414" s="515"/>
      <c r="N414" s="516"/>
      <c r="P414" s="1">
        <v>41.7</v>
      </c>
      <c r="Q414" s="1">
        <v>0.0</v>
      </c>
      <c r="S414" s="517"/>
      <c r="V414" s="1">
        <v>0.04</v>
      </c>
      <c r="W414" s="518">
        <f t="shared" si="1"/>
        <v>0</v>
      </c>
    </row>
    <row r="415" hidden="1">
      <c r="C415" s="515"/>
      <c r="G415" s="1" t="s">
        <v>2526</v>
      </c>
      <c r="I415" s="516"/>
      <c r="J415" s="516"/>
      <c r="M415" s="515"/>
      <c r="N415" s="516"/>
      <c r="P415" s="1">
        <v>83.3</v>
      </c>
      <c r="Q415" s="1">
        <v>0.0</v>
      </c>
      <c r="S415" s="517"/>
      <c r="V415" s="1">
        <v>0.08</v>
      </c>
      <c r="W415" s="518">
        <f t="shared" si="1"/>
        <v>0</v>
      </c>
    </row>
    <row r="416" hidden="1">
      <c r="C416" s="515"/>
      <c r="G416" s="1" t="s">
        <v>2463</v>
      </c>
      <c r="I416" s="516"/>
      <c r="J416" s="516"/>
      <c r="M416" s="515"/>
      <c r="N416" s="516"/>
      <c r="P416" s="1">
        <v>83.3</v>
      </c>
      <c r="Q416" s="1">
        <v>0.0</v>
      </c>
      <c r="S416" s="517"/>
      <c r="V416" s="1">
        <v>0.08</v>
      </c>
      <c r="W416" s="518">
        <f t="shared" si="1"/>
        <v>0</v>
      </c>
    </row>
    <row r="417" hidden="1">
      <c r="C417" s="515"/>
      <c r="G417" s="1" t="s">
        <v>2465</v>
      </c>
      <c r="I417" s="516"/>
      <c r="J417" s="516"/>
      <c r="M417" s="515"/>
      <c r="N417" s="516"/>
      <c r="P417" s="1">
        <v>166.7</v>
      </c>
      <c r="Q417" s="1">
        <v>0.0</v>
      </c>
      <c r="S417" s="517"/>
      <c r="V417" s="1">
        <v>0.17</v>
      </c>
      <c r="W417" s="518">
        <f t="shared" si="1"/>
        <v>0</v>
      </c>
    </row>
    <row r="418" hidden="1">
      <c r="C418" s="515"/>
      <c r="G418" s="1" t="s">
        <v>2466</v>
      </c>
      <c r="I418" s="516"/>
      <c r="J418" s="516"/>
      <c r="M418" s="515"/>
      <c r="N418" s="516"/>
      <c r="P418" s="1">
        <v>208.3</v>
      </c>
      <c r="Q418" s="1">
        <v>0.0</v>
      </c>
      <c r="S418" s="517"/>
      <c r="V418" s="1">
        <v>0.21</v>
      </c>
      <c r="W418" s="518">
        <f t="shared" si="1"/>
        <v>0</v>
      </c>
    </row>
    <row r="419" hidden="1">
      <c r="C419" s="515"/>
      <c r="G419" s="1" t="s">
        <v>2468</v>
      </c>
      <c r="I419" s="516"/>
      <c r="J419" s="516"/>
      <c r="M419" s="515"/>
      <c r="N419" s="516"/>
      <c r="P419" s="1">
        <v>41.7</v>
      </c>
      <c r="Q419" s="1">
        <v>0.0</v>
      </c>
      <c r="S419" s="517"/>
      <c r="V419" s="1">
        <v>0.04</v>
      </c>
      <c r="W419" s="518">
        <f t="shared" si="1"/>
        <v>0</v>
      </c>
    </row>
    <row r="420" hidden="1">
      <c r="C420" s="515"/>
      <c r="G420" s="1" t="s">
        <v>2521</v>
      </c>
      <c r="I420" s="516"/>
      <c r="J420" s="516"/>
      <c r="M420" s="515"/>
      <c r="N420" s="516"/>
      <c r="P420" s="1">
        <v>83.3</v>
      </c>
      <c r="Q420" s="1">
        <v>0.0</v>
      </c>
      <c r="S420" s="517"/>
      <c r="V420" s="1">
        <v>0.08</v>
      </c>
      <c r="W420" s="518">
        <f t="shared" si="1"/>
        <v>0</v>
      </c>
    </row>
    <row r="421" hidden="1">
      <c r="C421" s="515"/>
      <c r="G421" s="1" t="s">
        <v>2469</v>
      </c>
      <c r="I421" s="516"/>
      <c r="J421" s="516"/>
      <c r="M421" s="515"/>
      <c r="N421" s="516"/>
      <c r="P421" s="1">
        <v>41.7</v>
      </c>
      <c r="Q421" s="1">
        <v>0.0</v>
      </c>
      <c r="S421" s="517"/>
      <c r="V421" s="1">
        <v>0.04</v>
      </c>
      <c r="W421" s="518">
        <f t="shared" si="1"/>
        <v>0</v>
      </c>
    </row>
    <row r="422" hidden="1">
      <c r="C422" s="515"/>
      <c r="G422" s="1" t="s">
        <v>2470</v>
      </c>
      <c r="I422" s="516"/>
      <c r="J422" s="516"/>
      <c r="M422" s="515"/>
      <c r="N422" s="516"/>
      <c r="P422" s="1">
        <v>333.3</v>
      </c>
      <c r="Q422" s="1">
        <v>0.0</v>
      </c>
      <c r="S422" s="517"/>
      <c r="V422" s="1">
        <v>0.33</v>
      </c>
      <c r="W422" s="518">
        <f t="shared" si="1"/>
        <v>0</v>
      </c>
    </row>
    <row r="423" hidden="1">
      <c r="C423" s="515"/>
      <c r="G423" s="1" t="s">
        <v>2471</v>
      </c>
      <c r="I423" s="516"/>
      <c r="J423" s="516"/>
      <c r="M423" s="515"/>
      <c r="N423" s="516"/>
      <c r="P423" s="1">
        <v>41.7</v>
      </c>
      <c r="Q423" s="1">
        <v>0.0</v>
      </c>
      <c r="S423" s="517"/>
      <c r="V423" s="1">
        <v>0.04</v>
      </c>
      <c r="W423" s="518">
        <f t="shared" si="1"/>
        <v>0</v>
      </c>
    </row>
    <row r="424" hidden="1">
      <c r="C424" s="515"/>
      <c r="G424" s="1" t="s">
        <v>2472</v>
      </c>
      <c r="I424" s="516"/>
      <c r="J424" s="516"/>
      <c r="M424" s="515"/>
      <c r="N424" s="516"/>
      <c r="P424" s="1">
        <v>83.3</v>
      </c>
      <c r="Q424" s="1">
        <v>0.0</v>
      </c>
      <c r="S424" s="517"/>
      <c r="V424" s="1">
        <v>0.08</v>
      </c>
      <c r="W424" s="518">
        <f t="shared" si="1"/>
        <v>0</v>
      </c>
    </row>
    <row r="425" hidden="1">
      <c r="C425" s="515"/>
      <c r="G425" s="1" t="s">
        <v>2473</v>
      </c>
      <c r="I425" s="516"/>
      <c r="J425" s="516"/>
      <c r="M425" s="515"/>
      <c r="N425" s="516"/>
      <c r="P425" s="1">
        <v>83.3</v>
      </c>
      <c r="Q425" s="1">
        <v>0.0</v>
      </c>
      <c r="S425" s="517"/>
      <c r="V425" s="1">
        <v>0.08</v>
      </c>
      <c r="W425" s="518">
        <f t="shared" si="1"/>
        <v>0</v>
      </c>
    </row>
    <row r="426" hidden="1">
      <c r="C426" s="515"/>
      <c r="G426" s="1" t="s">
        <v>2530</v>
      </c>
      <c r="I426" s="516"/>
      <c r="J426" s="516"/>
      <c r="M426" s="515"/>
      <c r="N426" s="516"/>
      <c r="P426" s="1">
        <v>41.7</v>
      </c>
      <c r="Q426" s="1">
        <v>0.0</v>
      </c>
      <c r="S426" s="517"/>
      <c r="V426" s="1">
        <v>0.04</v>
      </c>
      <c r="W426" s="518">
        <f t="shared" si="1"/>
        <v>0</v>
      </c>
    </row>
    <row r="427" hidden="1">
      <c r="C427" s="515"/>
      <c r="G427" s="1" t="s">
        <v>2474</v>
      </c>
      <c r="I427" s="516"/>
      <c r="J427" s="516"/>
      <c r="M427" s="515"/>
      <c r="N427" s="516"/>
      <c r="P427" s="1">
        <v>183.3</v>
      </c>
      <c r="Q427" s="1">
        <v>0.0</v>
      </c>
      <c r="S427" s="517"/>
      <c r="V427" s="1">
        <v>0.18</v>
      </c>
      <c r="W427" s="518">
        <f t="shared" si="1"/>
        <v>0</v>
      </c>
    </row>
    <row r="428" hidden="1">
      <c r="C428" s="515"/>
      <c r="G428" s="1" t="s">
        <v>2453</v>
      </c>
      <c r="I428" s="516"/>
      <c r="J428" s="516"/>
      <c r="M428" s="515"/>
      <c r="N428" s="516"/>
      <c r="P428" s="1">
        <v>83.3</v>
      </c>
      <c r="Q428" s="1">
        <v>0.0</v>
      </c>
      <c r="S428" s="517"/>
      <c r="V428" s="1">
        <v>0.08</v>
      </c>
      <c r="W428" s="518">
        <f t="shared" si="1"/>
        <v>0</v>
      </c>
    </row>
    <row r="429" hidden="1">
      <c r="C429" s="515"/>
      <c r="G429" s="1" t="s">
        <v>2477</v>
      </c>
      <c r="I429" s="516"/>
      <c r="J429" s="516"/>
      <c r="M429" s="515"/>
      <c r="N429" s="516"/>
      <c r="P429" s="1">
        <v>83.3</v>
      </c>
      <c r="Q429" s="1">
        <v>0.0</v>
      </c>
      <c r="S429" s="517"/>
      <c r="V429" s="1">
        <v>0.08</v>
      </c>
      <c r="W429" s="518">
        <f t="shared" si="1"/>
        <v>0</v>
      </c>
    </row>
    <row r="430" hidden="1">
      <c r="C430" s="515"/>
      <c r="G430" s="1" t="s">
        <v>2478</v>
      </c>
      <c r="I430" s="516"/>
      <c r="J430" s="516"/>
      <c r="M430" s="515"/>
      <c r="N430" s="516"/>
      <c r="P430" s="1">
        <v>83.3</v>
      </c>
      <c r="Q430" s="1">
        <v>0.0</v>
      </c>
      <c r="S430" s="517"/>
      <c r="V430" s="1">
        <v>0.08</v>
      </c>
      <c r="W430" s="518">
        <f t="shared" si="1"/>
        <v>0</v>
      </c>
    </row>
    <row r="431" hidden="1">
      <c r="C431" s="515"/>
      <c r="G431" s="1" t="s">
        <v>2479</v>
      </c>
      <c r="I431" s="516"/>
      <c r="J431" s="516"/>
      <c r="M431" s="515"/>
      <c r="N431" s="516"/>
      <c r="P431" s="1">
        <v>41.7</v>
      </c>
      <c r="Q431" s="1">
        <v>0.0</v>
      </c>
      <c r="S431" s="517"/>
      <c r="V431" s="1">
        <v>0.04</v>
      </c>
      <c r="W431" s="518">
        <f t="shared" si="1"/>
        <v>0</v>
      </c>
    </row>
    <row r="432" hidden="1">
      <c r="C432" s="515"/>
      <c r="G432" s="1" t="s">
        <v>2482</v>
      </c>
      <c r="I432" s="516"/>
      <c r="J432" s="516"/>
      <c r="M432" s="515"/>
      <c r="N432" s="516"/>
      <c r="P432" s="1">
        <v>41.7</v>
      </c>
      <c r="Q432" s="1">
        <v>0.0</v>
      </c>
      <c r="S432" s="517"/>
      <c r="V432" s="1">
        <v>0.04</v>
      </c>
      <c r="W432" s="518">
        <f t="shared" si="1"/>
        <v>0</v>
      </c>
    </row>
    <row r="433" hidden="1">
      <c r="C433" s="515"/>
      <c r="G433" s="1" t="s">
        <v>2483</v>
      </c>
      <c r="I433" s="516"/>
      <c r="J433" s="516"/>
      <c r="M433" s="515"/>
      <c r="N433" s="516"/>
      <c r="P433" s="1">
        <v>708.3</v>
      </c>
      <c r="Q433" s="1">
        <v>0.0</v>
      </c>
      <c r="S433" s="517"/>
      <c r="V433" s="1">
        <v>0.71</v>
      </c>
      <c r="W433" s="518">
        <f t="shared" si="1"/>
        <v>0</v>
      </c>
    </row>
    <row r="434" hidden="1">
      <c r="C434" s="515"/>
      <c r="G434" s="1" t="s">
        <v>2484</v>
      </c>
      <c r="I434" s="516"/>
      <c r="J434" s="516"/>
      <c r="M434" s="515"/>
      <c r="N434" s="516"/>
      <c r="P434" s="1">
        <v>500.0</v>
      </c>
      <c r="Q434" s="1">
        <v>0.0</v>
      </c>
      <c r="S434" s="517"/>
      <c r="V434" s="1">
        <v>0.5</v>
      </c>
      <c r="W434" s="518">
        <f t="shared" si="1"/>
        <v>0</v>
      </c>
    </row>
    <row r="435" hidden="1">
      <c r="C435" s="515"/>
      <c r="G435" s="1" t="s">
        <v>2485</v>
      </c>
      <c r="I435" s="516"/>
      <c r="J435" s="516"/>
      <c r="M435" s="515"/>
      <c r="N435" s="516"/>
      <c r="P435" s="1">
        <v>83.3</v>
      </c>
      <c r="Q435" s="1">
        <v>0.0</v>
      </c>
      <c r="S435" s="517"/>
      <c r="V435" s="1">
        <v>0.08</v>
      </c>
      <c r="W435" s="518">
        <f t="shared" si="1"/>
        <v>0</v>
      </c>
    </row>
    <row r="436" hidden="1">
      <c r="C436" s="515"/>
      <c r="G436" s="1" t="s">
        <v>2486</v>
      </c>
      <c r="I436" s="516"/>
      <c r="J436" s="516"/>
      <c r="M436" s="515"/>
      <c r="N436" s="516"/>
      <c r="P436" s="1">
        <v>83.3</v>
      </c>
      <c r="Q436" s="1">
        <v>0.0</v>
      </c>
      <c r="S436" s="517"/>
      <c r="V436" s="1">
        <v>0.08</v>
      </c>
      <c r="W436" s="518">
        <f t="shared" si="1"/>
        <v>0</v>
      </c>
    </row>
    <row r="437" hidden="1">
      <c r="C437" s="515"/>
      <c r="G437" s="1" t="s">
        <v>2487</v>
      </c>
      <c r="I437" s="516"/>
      <c r="J437" s="516"/>
      <c r="M437" s="515"/>
      <c r="N437" s="516"/>
      <c r="P437" s="1">
        <v>41.7</v>
      </c>
      <c r="Q437" s="1">
        <v>0.0</v>
      </c>
      <c r="S437" s="517"/>
      <c r="V437" s="1">
        <v>0.04</v>
      </c>
      <c r="W437" s="518">
        <f t="shared" si="1"/>
        <v>0</v>
      </c>
    </row>
    <row r="438" hidden="1">
      <c r="C438" s="515"/>
      <c r="G438" s="1" t="s">
        <v>2488</v>
      </c>
      <c r="I438" s="516"/>
      <c r="J438" s="516"/>
      <c r="M438" s="515"/>
      <c r="N438" s="516"/>
      <c r="P438" s="1">
        <v>208.3</v>
      </c>
      <c r="Q438" s="1">
        <v>0.0</v>
      </c>
      <c r="S438" s="517"/>
      <c r="V438" s="1">
        <v>0.21</v>
      </c>
      <c r="W438" s="518">
        <f t="shared" si="1"/>
        <v>0</v>
      </c>
    </row>
    <row r="439" hidden="1">
      <c r="C439" s="515"/>
      <c r="G439" s="1" t="s">
        <v>2489</v>
      </c>
      <c r="I439" s="516"/>
      <c r="J439" s="516"/>
      <c r="M439" s="515"/>
      <c r="N439" s="516"/>
      <c r="P439" s="1">
        <v>83.3</v>
      </c>
      <c r="Q439" s="1">
        <v>0.0</v>
      </c>
      <c r="S439" s="517"/>
      <c r="V439" s="1">
        <v>0.08</v>
      </c>
      <c r="W439" s="518">
        <f t="shared" si="1"/>
        <v>0</v>
      </c>
    </row>
    <row r="440" hidden="1">
      <c r="C440" s="515"/>
      <c r="G440" s="1" t="s">
        <v>2490</v>
      </c>
      <c r="I440" s="516"/>
      <c r="J440" s="516"/>
      <c r="M440" s="515"/>
      <c r="N440" s="516"/>
      <c r="P440" s="1">
        <v>41.7</v>
      </c>
      <c r="Q440" s="1">
        <v>0.0</v>
      </c>
      <c r="S440" s="517"/>
      <c r="V440" s="1">
        <v>0.04</v>
      </c>
      <c r="W440" s="518">
        <f t="shared" si="1"/>
        <v>0</v>
      </c>
    </row>
    <row r="441" hidden="1">
      <c r="C441" s="515"/>
      <c r="G441" s="1" t="s">
        <v>2491</v>
      </c>
      <c r="I441" s="516"/>
      <c r="J441" s="516"/>
      <c r="M441" s="515"/>
      <c r="N441" s="516"/>
      <c r="P441" s="1">
        <v>41.7</v>
      </c>
      <c r="Q441" s="1">
        <v>0.0</v>
      </c>
      <c r="S441" s="517"/>
      <c r="V441" s="1">
        <v>0.04</v>
      </c>
      <c r="W441" s="518">
        <f t="shared" si="1"/>
        <v>0</v>
      </c>
    </row>
    <row r="442" hidden="1">
      <c r="C442" s="515"/>
      <c r="G442" s="1" t="s">
        <v>2492</v>
      </c>
      <c r="I442" s="516"/>
      <c r="J442" s="516"/>
      <c r="M442" s="515"/>
      <c r="N442" s="516"/>
      <c r="P442" s="1">
        <v>1000.0</v>
      </c>
      <c r="Q442" s="1">
        <v>0.0</v>
      </c>
      <c r="S442" s="517"/>
      <c r="V442" s="1">
        <v>1.0</v>
      </c>
      <c r="W442" s="518">
        <f t="shared" si="1"/>
        <v>0</v>
      </c>
    </row>
    <row r="443" hidden="1">
      <c r="C443" s="515"/>
      <c r="G443" s="1" t="s">
        <v>2494</v>
      </c>
      <c r="I443" s="516"/>
      <c r="J443" s="516"/>
      <c r="M443" s="515"/>
      <c r="N443" s="516"/>
      <c r="P443" s="1">
        <v>41.7</v>
      </c>
      <c r="Q443" s="1">
        <v>0.0</v>
      </c>
      <c r="S443" s="517"/>
      <c r="V443" s="1">
        <v>0.04</v>
      </c>
      <c r="W443" s="518">
        <f t="shared" si="1"/>
        <v>0</v>
      </c>
    </row>
    <row r="444" hidden="1">
      <c r="C444" s="515"/>
      <c r="G444" s="1" t="s">
        <v>2493</v>
      </c>
      <c r="I444" s="516"/>
      <c r="J444" s="516"/>
      <c r="M444" s="515"/>
      <c r="N444" s="516"/>
      <c r="P444" s="1">
        <v>166.7</v>
      </c>
      <c r="Q444" s="1">
        <v>0.0</v>
      </c>
      <c r="S444" s="517"/>
      <c r="V444" s="1">
        <v>0.17</v>
      </c>
      <c r="W444" s="518">
        <f t="shared" si="1"/>
        <v>0</v>
      </c>
    </row>
    <row r="445" hidden="1">
      <c r="C445" s="515"/>
      <c r="G445" s="1" t="s">
        <v>2522</v>
      </c>
      <c r="I445" s="516"/>
      <c r="J445" s="516"/>
      <c r="M445" s="515"/>
      <c r="N445" s="516"/>
      <c r="P445" s="1">
        <v>83.3</v>
      </c>
      <c r="Q445" s="1">
        <v>0.0</v>
      </c>
      <c r="S445" s="517"/>
      <c r="V445" s="1">
        <v>0.08</v>
      </c>
      <c r="W445" s="518">
        <f t="shared" si="1"/>
        <v>0</v>
      </c>
    </row>
    <row r="446" hidden="1">
      <c r="C446" s="515"/>
      <c r="G446" s="1" t="s">
        <v>2495</v>
      </c>
      <c r="I446" s="516"/>
      <c r="J446" s="516"/>
      <c r="M446" s="515"/>
      <c r="N446" s="516"/>
      <c r="P446" s="1">
        <v>83.3</v>
      </c>
      <c r="Q446" s="1">
        <v>0.0</v>
      </c>
      <c r="S446" s="517"/>
      <c r="V446" s="1">
        <v>0.08</v>
      </c>
      <c r="W446" s="518">
        <f t="shared" si="1"/>
        <v>0</v>
      </c>
    </row>
    <row r="447" hidden="1">
      <c r="C447" s="515"/>
      <c r="G447" s="1" t="s">
        <v>2497</v>
      </c>
      <c r="I447" s="516"/>
      <c r="J447" s="516"/>
      <c r="M447" s="515"/>
      <c r="N447" s="516"/>
      <c r="P447" s="1">
        <v>2000.0</v>
      </c>
      <c r="Q447" s="1">
        <v>0.0</v>
      </c>
      <c r="S447" s="517"/>
      <c r="V447" s="1">
        <v>2.0</v>
      </c>
      <c r="W447" s="518">
        <f t="shared" si="1"/>
        <v>0</v>
      </c>
    </row>
    <row r="448" hidden="1">
      <c r="C448" s="515"/>
      <c r="G448" s="1" t="s">
        <v>2498</v>
      </c>
      <c r="I448" s="516"/>
      <c r="J448" s="516"/>
      <c r="M448" s="515"/>
      <c r="N448" s="516"/>
      <c r="P448" s="1">
        <v>183.3</v>
      </c>
      <c r="Q448" s="1">
        <v>0.0</v>
      </c>
      <c r="S448" s="517"/>
      <c r="V448" s="1">
        <v>0.18</v>
      </c>
      <c r="W448" s="518">
        <f t="shared" si="1"/>
        <v>0</v>
      </c>
    </row>
    <row r="449" hidden="1">
      <c r="C449" s="515"/>
      <c r="G449" s="1" t="s">
        <v>2499</v>
      </c>
      <c r="I449" s="516"/>
      <c r="J449" s="516"/>
      <c r="M449" s="515"/>
      <c r="N449" s="516"/>
      <c r="P449" s="1">
        <v>41.7</v>
      </c>
      <c r="Q449" s="1">
        <v>0.0</v>
      </c>
      <c r="S449" s="517"/>
      <c r="V449" s="1">
        <v>0.04</v>
      </c>
      <c r="W449" s="518">
        <f t="shared" si="1"/>
        <v>0</v>
      </c>
    </row>
    <row r="450" hidden="1">
      <c r="C450" s="515"/>
      <c r="G450" s="1" t="s">
        <v>2500</v>
      </c>
      <c r="I450" s="516"/>
      <c r="J450" s="516"/>
      <c r="M450" s="515"/>
      <c r="P450" s="1">
        <v>41.7</v>
      </c>
      <c r="Q450" s="1">
        <v>0.0</v>
      </c>
      <c r="S450" s="517"/>
      <c r="V450" s="1">
        <v>0.04</v>
      </c>
      <c r="W450" s="518">
        <f t="shared" si="1"/>
        <v>0</v>
      </c>
    </row>
    <row r="451" hidden="1">
      <c r="C451" s="515"/>
      <c r="G451" s="1" t="s">
        <v>2501</v>
      </c>
      <c r="I451" s="516"/>
      <c r="J451" s="516"/>
      <c r="M451" s="515"/>
      <c r="N451" s="516"/>
      <c r="P451" s="1">
        <v>83.3</v>
      </c>
      <c r="Q451" s="1">
        <v>0.0</v>
      </c>
      <c r="S451" s="517"/>
      <c r="V451" s="1">
        <v>0.08</v>
      </c>
      <c r="W451" s="518">
        <f t="shared" si="1"/>
        <v>0</v>
      </c>
    </row>
    <row r="452" hidden="1">
      <c r="C452" s="515"/>
      <c r="G452" s="1" t="s">
        <v>2502</v>
      </c>
      <c r="I452" s="516"/>
      <c r="J452" s="516"/>
      <c r="M452" s="515"/>
      <c r="N452" s="516"/>
      <c r="P452" s="1">
        <v>41.7</v>
      </c>
      <c r="Q452" s="1">
        <v>0.0</v>
      </c>
      <c r="S452" s="517"/>
      <c r="V452" s="1">
        <v>0.04</v>
      </c>
      <c r="W452" s="518">
        <f t="shared" si="1"/>
        <v>0</v>
      </c>
    </row>
    <row r="453" hidden="1">
      <c r="C453" s="515"/>
      <c r="G453" s="1" t="s">
        <v>2503</v>
      </c>
      <c r="I453" s="516"/>
      <c r="J453" s="516"/>
      <c r="M453" s="515"/>
      <c r="N453" s="516"/>
      <c r="P453" s="1">
        <v>1666.7</v>
      </c>
      <c r="Q453" s="1">
        <v>0.0</v>
      </c>
      <c r="S453" s="517"/>
      <c r="V453" s="1">
        <v>1.67</v>
      </c>
      <c r="W453" s="518">
        <f t="shared" si="1"/>
        <v>0</v>
      </c>
    </row>
    <row r="454" hidden="1">
      <c r="C454" s="515"/>
      <c r="G454" s="1" t="s">
        <v>2524</v>
      </c>
      <c r="I454" s="516"/>
      <c r="J454" s="516"/>
      <c r="M454" s="515"/>
      <c r="N454" s="516"/>
      <c r="P454" s="1">
        <v>833.3</v>
      </c>
      <c r="Q454" s="1">
        <v>0.0</v>
      </c>
      <c r="S454" s="517"/>
      <c r="V454" s="1">
        <v>0.83</v>
      </c>
      <c r="W454" s="518">
        <f t="shared" si="1"/>
        <v>0</v>
      </c>
    </row>
    <row r="455" hidden="1">
      <c r="C455" s="515"/>
      <c r="G455" s="1" t="s">
        <v>2504</v>
      </c>
      <c r="I455" s="516"/>
      <c r="J455" s="516"/>
      <c r="M455" s="515"/>
      <c r="N455" s="516"/>
      <c r="P455" s="1">
        <v>41.7</v>
      </c>
      <c r="Q455" s="1">
        <v>0.0</v>
      </c>
      <c r="S455" s="517"/>
      <c r="V455" s="1">
        <v>0.04</v>
      </c>
      <c r="W455" s="518">
        <f t="shared" si="1"/>
        <v>0</v>
      </c>
    </row>
    <row r="456" hidden="1">
      <c r="C456" s="515"/>
      <c r="G456" s="1" t="s">
        <v>2505</v>
      </c>
      <c r="I456" s="516"/>
      <c r="J456" s="516"/>
      <c r="M456" s="515"/>
      <c r="N456" s="516"/>
      <c r="P456" s="1">
        <v>125.0</v>
      </c>
      <c r="Q456" s="1">
        <v>0.0</v>
      </c>
      <c r="S456" s="517"/>
      <c r="V456" s="1">
        <v>0.13</v>
      </c>
      <c r="W456" s="518">
        <f t="shared" si="1"/>
        <v>0</v>
      </c>
    </row>
    <row r="457" hidden="1">
      <c r="C457" s="515"/>
      <c r="G457" s="1" t="s">
        <v>2506</v>
      </c>
      <c r="I457" s="516"/>
      <c r="J457" s="516"/>
      <c r="M457" s="515"/>
      <c r="N457" s="516"/>
      <c r="P457" s="1">
        <v>41.7</v>
      </c>
      <c r="Q457" s="1">
        <v>0.0</v>
      </c>
      <c r="S457" s="517"/>
      <c r="V457" s="1">
        <v>0.04</v>
      </c>
      <c r="W457" s="518">
        <f t="shared" si="1"/>
        <v>0</v>
      </c>
    </row>
    <row r="458" hidden="1">
      <c r="C458" s="515"/>
      <c r="G458" s="1" t="s">
        <v>2507</v>
      </c>
      <c r="I458" s="516"/>
      <c r="J458" s="516"/>
      <c r="M458" s="515"/>
      <c r="N458" s="516"/>
      <c r="P458" s="1">
        <v>83.3</v>
      </c>
      <c r="Q458" s="1">
        <v>0.0</v>
      </c>
      <c r="S458" s="517"/>
      <c r="V458" s="1">
        <v>0.08</v>
      </c>
      <c r="W458" s="518">
        <f t="shared" si="1"/>
        <v>0</v>
      </c>
    </row>
    <row r="459" hidden="1">
      <c r="C459" s="515"/>
      <c r="G459" s="1" t="s">
        <v>2509</v>
      </c>
      <c r="I459" s="516"/>
      <c r="J459" s="516"/>
      <c r="M459" s="515"/>
      <c r="N459" s="516"/>
      <c r="P459" s="1">
        <v>83.3</v>
      </c>
      <c r="Q459" s="1">
        <v>0.0</v>
      </c>
      <c r="S459" s="517"/>
      <c r="V459" s="1">
        <v>0.08</v>
      </c>
      <c r="W459" s="518">
        <f t="shared" si="1"/>
        <v>0</v>
      </c>
    </row>
    <row r="460" hidden="1">
      <c r="C460" s="515"/>
      <c r="G460" s="1" t="s">
        <v>2510</v>
      </c>
      <c r="I460" s="516"/>
      <c r="J460" s="516"/>
      <c r="M460" s="515"/>
      <c r="N460" s="516"/>
      <c r="P460" s="1">
        <v>83.3</v>
      </c>
      <c r="Q460" s="1">
        <v>0.0</v>
      </c>
      <c r="S460" s="517"/>
      <c r="V460" s="1">
        <v>0.08</v>
      </c>
      <c r="W460" s="518">
        <f t="shared" si="1"/>
        <v>0</v>
      </c>
    </row>
    <row r="461" hidden="1">
      <c r="C461" s="515"/>
      <c r="G461" s="1" t="s">
        <v>2511</v>
      </c>
      <c r="I461" s="516"/>
      <c r="J461" s="516"/>
      <c r="M461" s="515"/>
      <c r="N461" s="516"/>
      <c r="P461" s="1">
        <v>41.7</v>
      </c>
      <c r="Q461" s="1">
        <v>0.0</v>
      </c>
      <c r="S461" s="517"/>
      <c r="V461" s="1">
        <v>0.04</v>
      </c>
      <c r="W461" s="518">
        <f t="shared" si="1"/>
        <v>0</v>
      </c>
    </row>
    <row r="462" hidden="1">
      <c r="C462" s="515"/>
      <c r="G462" s="1" t="s">
        <v>2512</v>
      </c>
      <c r="I462" s="516"/>
      <c r="J462" s="516"/>
      <c r="M462" s="515"/>
      <c r="N462" s="516"/>
      <c r="P462" s="1">
        <v>83.3</v>
      </c>
      <c r="Q462" s="1">
        <v>0.0</v>
      </c>
      <c r="S462" s="517"/>
      <c r="V462" s="1">
        <v>0.08</v>
      </c>
      <c r="W462" s="518">
        <f t="shared" si="1"/>
        <v>0</v>
      </c>
    </row>
    <row r="463" hidden="1">
      <c r="C463" s="515"/>
      <c r="G463" s="1" t="s">
        <v>2406</v>
      </c>
      <c r="I463" s="516"/>
      <c r="J463" s="516"/>
      <c r="M463" s="515"/>
      <c r="N463" s="516"/>
      <c r="P463" s="1">
        <v>166.7</v>
      </c>
      <c r="Q463" s="1">
        <v>0.0</v>
      </c>
      <c r="S463" s="517"/>
      <c r="V463" s="1">
        <v>0.17</v>
      </c>
      <c r="W463" s="518">
        <f t="shared" si="1"/>
        <v>0</v>
      </c>
    </row>
    <row r="464" hidden="1">
      <c r="C464" s="515"/>
      <c r="G464" s="1" t="s">
        <v>2403</v>
      </c>
      <c r="I464" s="516"/>
      <c r="J464" s="516"/>
      <c r="M464" s="515"/>
      <c r="N464" s="516"/>
      <c r="P464" s="1">
        <v>625.0</v>
      </c>
      <c r="Q464" s="1">
        <v>0.0</v>
      </c>
      <c r="S464" s="517"/>
      <c r="V464" s="1">
        <v>0.63</v>
      </c>
      <c r="W464" s="518">
        <f t="shared" si="1"/>
        <v>0</v>
      </c>
    </row>
    <row r="465" hidden="1">
      <c r="C465" s="515"/>
      <c r="G465" s="1" t="s">
        <v>2513</v>
      </c>
      <c r="I465" s="516"/>
      <c r="J465" s="516"/>
      <c r="M465" s="515"/>
      <c r="N465" s="516"/>
      <c r="P465" s="1">
        <v>125.0</v>
      </c>
      <c r="Q465" s="1">
        <v>0.0</v>
      </c>
      <c r="S465" s="517"/>
      <c r="V465" s="1">
        <v>0.13</v>
      </c>
      <c r="W465" s="518">
        <f t="shared" si="1"/>
        <v>0</v>
      </c>
    </row>
    <row r="466" hidden="1">
      <c r="C466" s="515"/>
      <c r="G466" s="1" t="s">
        <v>2407</v>
      </c>
      <c r="I466" s="516"/>
      <c r="J466" s="516"/>
      <c r="M466" s="515"/>
      <c r="N466" s="516"/>
      <c r="P466" s="1">
        <v>416.7</v>
      </c>
      <c r="Q466" s="1">
        <v>0.0</v>
      </c>
      <c r="S466" s="517"/>
      <c r="V466" s="1">
        <v>0.42</v>
      </c>
      <c r="W466" s="518">
        <f t="shared" si="1"/>
        <v>0</v>
      </c>
    </row>
    <row r="467" hidden="1">
      <c r="C467" s="515"/>
      <c r="G467" s="1" t="s">
        <v>2408</v>
      </c>
      <c r="I467" s="516"/>
      <c r="J467" s="516"/>
      <c r="M467" s="515"/>
      <c r="N467" s="516"/>
      <c r="P467" s="1">
        <v>41.7</v>
      </c>
      <c r="Q467" s="1">
        <v>0.0</v>
      </c>
      <c r="S467" s="517"/>
      <c r="V467" s="1">
        <v>0.04</v>
      </c>
      <c r="W467" s="518">
        <f t="shared" si="1"/>
        <v>0</v>
      </c>
    </row>
    <row r="468" hidden="1">
      <c r="C468" s="515"/>
      <c r="G468" s="1" t="s">
        <v>2410</v>
      </c>
      <c r="I468" s="516"/>
      <c r="J468" s="516"/>
      <c r="M468" s="515"/>
      <c r="N468" s="516"/>
      <c r="P468" s="1">
        <v>83.3</v>
      </c>
      <c r="Q468" s="1">
        <v>0.0</v>
      </c>
      <c r="S468" s="517"/>
      <c r="V468" s="1">
        <v>0.08</v>
      </c>
      <c r="W468" s="518">
        <f t="shared" si="1"/>
        <v>0</v>
      </c>
    </row>
    <row r="469" hidden="1">
      <c r="C469" s="515"/>
      <c r="G469" s="1" t="s">
        <v>2414</v>
      </c>
      <c r="I469" s="516"/>
      <c r="J469" s="516"/>
      <c r="M469" s="515"/>
      <c r="N469" s="516"/>
      <c r="P469" s="1">
        <v>83.3</v>
      </c>
      <c r="Q469" s="1">
        <v>0.0</v>
      </c>
      <c r="S469" s="517"/>
      <c r="V469" s="1">
        <v>0.08</v>
      </c>
      <c r="W469" s="518">
        <f t="shared" si="1"/>
        <v>0</v>
      </c>
    </row>
    <row r="470" hidden="1">
      <c r="C470" s="515"/>
      <c r="G470" s="1" t="s">
        <v>2531</v>
      </c>
      <c r="I470" s="516"/>
      <c r="J470" s="516"/>
      <c r="M470" s="515"/>
      <c r="N470" s="516"/>
      <c r="P470" s="1">
        <v>83.3</v>
      </c>
      <c r="Q470" s="1">
        <v>0.0</v>
      </c>
      <c r="S470" s="517"/>
      <c r="V470" s="1">
        <v>0.08</v>
      </c>
      <c r="W470" s="518">
        <f t="shared" si="1"/>
        <v>0</v>
      </c>
    </row>
    <row r="471" hidden="1">
      <c r="C471" s="515"/>
      <c r="G471" s="1" t="s">
        <v>2415</v>
      </c>
      <c r="I471" s="516"/>
      <c r="J471" s="516"/>
      <c r="M471" s="515"/>
      <c r="N471" s="516"/>
      <c r="P471" s="1">
        <v>333.3</v>
      </c>
      <c r="Q471" s="1">
        <v>0.0</v>
      </c>
      <c r="S471" s="517"/>
      <c r="V471" s="1">
        <v>0.33</v>
      </c>
      <c r="W471" s="518">
        <f t="shared" si="1"/>
        <v>0</v>
      </c>
    </row>
    <row r="472" hidden="1">
      <c r="C472" s="515"/>
      <c r="G472" s="1" t="s">
        <v>2532</v>
      </c>
      <c r="I472" s="516"/>
      <c r="J472" s="516"/>
      <c r="K472" s="515">
        <v>46387.0</v>
      </c>
      <c r="M472" s="515"/>
      <c r="N472" s="516"/>
      <c r="P472" s="1">
        <v>171.0</v>
      </c>
      <c r="Q472" s="1">
        <v>0.0</v>
      </c>
      <c r="S472" s="517"/>
      <c r="V472" s="1">
        <v>0.17</v>
      </c>
      <c r="W472" s="518">
        <f t="shared" si="1"/>
        <v>0</v>
      </c>
    </row>
    <row r="473" hidden="1">
      <c r="C473" s="515"/>
      <c r="G473" s="1" t="s">
        <v>2418</v>
      </c>
      <c r="I473" s="516"/>
      <c r="J473" s="516"/>
      <c r="M473" s="515"/>
      <c r="N473" s="516"/>
      <c r="P473" s="1">
        <v>141.7</v>
      </c>
      <c r="Q473" s="1">
        <v>0.0</v>
      </c>
      <c r="S473" s="517"/>
      <c r="V473" s="1">
        <v>0.14</v>
      </c>
      <c r="W473" s="518">
        <f t="shared" si="1"/>
        <v>0</v>
      </c>
    </row>
    <row r="474" hidden="1">
      <c r="C474" s="515"/>
      <c r="G474" s="1" t="s">
        <v>2419</v>
      </c>
      <c r="I474" s="516"/>
      <c r="J474" s="516"/>
      <c r="M474" s="515"/>
      <c r="N474" s="516"/>
      <c r="P474" s="1">
        <v>666.7</v>
      </c>
      <c r="Q474" s="1">
        <v>0.0</v>
      </c>
      <c r="S474" s="517"/>
      <c r="V474" s="1">
        <v>0.67</v>
      </c>
      <c r="W474" s="518">
        <f t="shared" si="1"/>
        <v>0</v>
      </c>
    </row>
    <row r="475" hidden="1">
      <c r="C475" s="515"/>
      <c r="G475" s="1" t="s">
        <v>2533</v>
      </c>
      <c r="I475" s="516"/>
      <c r="J475" s="516"/>
      <c r="M475" s="515"/>
      <c r="N475" s="516"/>
      <c r="P475" s="1">
        <v>0.0</v>
      </c>
      <c r="Q475" s="1" t="s">
        <v>2404</v>
      </c>
      <c r="S475" s="517"/>
      <c r="V475" s="1">
        <v>95.8</v>
      </c>
      <c r="W475" s="518">
        <f t="shared" si="1"/>
        <v>95800</v>
      </c>
    </row>
    <row r="476" hidden="1">
      <c r="C476" s="515"/>
      <c r="G476" s="1" t="s">
        <v>2422</v>
      </c>
      <c r="I476" s="516"/>
      <c r="J476" s="516"/>
      <c r="M476" s="515"/>
      <c r="N476" s="516"/>
      <c r="P476" s="1">
        <v>250.0</v>
      </c>
      <c r="Q476" s="1">
        <v>0.0</v>
      </c>
      <c r="S476" s="517"/>
      <c r="V476" s="1">
        <v>0.25</v>
      </c>
      <c r="W476" s="518">
        <f t="shared" si="1"/>
        <v>0</v>
      </c>
    </row>
    <row r="477" hidden="1">
      <c r="C477" s="515"/>
      <c r="G477" s="1" t="s">
        <v>2423</v>
      </c>
      <c r="I477" s="516"/>
      <c r="J477" s="516"/>
      <c r="M477" s="515"/>
      <c r="N477" s="516"/>
      <c r="P477" s="1">
        <v>83.3</v>
      </c>
      <c r="Q477" s="1">
        <v>0.0</v>
      </c>
      <c r="S477" s="517"/>
      <c r="V477" s="1">
        <v>0.08</v>
      </c>
      <c r="W477" s="518">
        <f t="shared" si="1"/>
        <v>0</v>
      </c>
    </row>
    <row r="478" hidden="1">
      <c r="C478" s="515"/>
      <c r="G478" s="1" t="s">
        <v>2425</v>
      </c>
      <c r="I478" s="516"/>
      <c r="J478" s="516"/>
      <c r="M478" s="515"/>
      <c r="N478" s="516"/>
      <c r="P478" s="1">
        <v>41.7</v>
      </c>
      <c r="Q478" s="1">
        <v>0.0</v>
      </c>
      <c r="S478" s="517"/>
      <c r="V478" s="1">
        <v>0.04</v>
      </c>
      <c r="W478" s="518">
        <f t="shared" si="1"/>
        <v>0</v>
      </c>
    </row>
    <row r="479" hidden="1">
      <c r="C479" s="515"/>
      <c r="G479" s="1" t="s">
        <v>2426</v>
      </c>
      <c r="I479" s="516"/>
      <c r="J479" s="516"/>
      <c r="M479" s="515"/>
      <c r="N479" s="516"/>
      <c r="P479" s="1">
        <v>250.0</v>
      </c>
      <c r="Q479" s="1">
        <v>0.0</v>
      </c>
      <c r="S479" s="517"/>
      <c r="V479" s="1">
        <v>0.25</v>
      </c>
      <c r="W479" s="518">
        <f t="shared" si="1"/>
        <v>0</v>
      </c>
    </row>
    <row r="480" hidden="1">
      <c r="C480" s="515"/>
      <c r="G480" s="1" t="s">
        <v>2427</v>
      </c>
      <c r="I480" s="516"/>
      <c r="J480" s="516"/>
      <c r="M480" s="515"/>
      <c r="N480" s="516"/>
      <c r="P480" s="1">
        <v>83.3</v>
      </c>
      <c r="Q480" s="1">
        <v>0.0</v>
      </c>
      <c r="S480" s="517"/>
      <c r="V480" s="1">
        <v>0.08</v>
      </c>
      <c r="W480" s="518">
        <f t="shared" si="1"/>
        <v>0</v>
      </c>
    </row>
    <row r="481" hidden="1">
      <c r="C481" s="515"/>
      <c r="G481" s="1" t="s">
        <v>2534</v>
      </c>
      <c r="I481" s="516"/>
      <c r="J481" s="516"/>
      <c r="M481" s="515"/>
      <c r="N481" s="516"/>
      <c r="P481" s="1">
        <v>41.7</v>
      </c>
      <c r="Q481" s="1">
        <v>0.0</v>
      </c>
      <c r="S481" s="517"/>
      <c r="V481" s="1">
        <v>0.04</v>
      </c>
      <c r="W481" s="518">
        <f t="shared" si="1"/>
        <v>0</v>
      </c>
    </row>
    <row r="482" hidden="1">
      <c r="C482" s="515"/>
      <c r="G482" s="1" t="s">
        <v>2429</v>
      </c>
      <c r="I482" s="516"/>
      <c r="J482" s="516"/>
      <c r="M482" s="515"/>
      <c r="N482" s="516"/>
      <c r="P482" s="1">
        <v>83.3</v>
      </c>
      <c r="Q482" s="1">
        <v>0.0</v>
      </c>
      <c r="S482" s="517"/>
      <c r="V482" s="1">
        <v>0.08</v>
      </c>
      <c r="W482" s="518">
        <f t="shared" si="1"/>
        <v>0</v>
      </c>
    </row>
    <row r="483" hidden="1">
      <c r="C483" s="515"/>
      <c r="G483" s="1" t="s">
        <v>2430</v>
      </c>
      <c r="I483" s="516"/>
      <c r="J483" s="516"/>
      <c r="M483" s="515"/>
      <c r="N483" s="516"/>
      <c r="P483" s="1">
        <v>83.3</v>
      </c>
      <c r="Q483" s="1">
        <v>0.0</v>
      </c>
      <c r="S483" s="517"/>
      <c r="V483" s="1">
        <v>0.08</v>
      </c>
      <c r="W483" s="518">
        <f t="shared" si="1"/>
        <v>0</v>
      </c>
    </row>
    <row r="484" hidden="1">
      <c r="C484" s="515"/>
      <c r="G484" s="1" t="s">
        <v>2431</v>
      </c>
      <c r="I484" s="516"/>
      <c r="J484" s="516"/>
      <c r="M484" s="515"/>
      <c r="N484" s="516"/>
      <c r="P484" s="1">
        <v>83.3</v>
      </c>
      <c r="Q484" s="1">
        <v>0.0</v>
      </c>
      <c r="S484" s="517"/>
      <c r="V484" s="1">
        <v>0.08</v>
      </c>
      <c r="W484" s="518">
        <f t="shared" si="1"/>
        <v>0</v>
      </c>
    </row>
    <row r="485" hidden="1">
      <c r="C485" s="515"/>
      <c r="G485" s="1" t="s">
        <v>2535</v>
      </c>
      <c r="I485" s="516"/>
      <c r="J485" s="516"/>
      <c r="M485" s="515"/>
      <c r="N485" s="516"/>
      <c r="P485" s="1">
        <v>41.7</v>
      </c>
      <c r="Q485" s="1">
        <v>0.0</v>
      </c>
      <c r="S485" s="517"/>
      <c r="V485" s="1">
        <v>0.04</v>
      </c>
      <c r="W485" s="518">
        <f t="shared" si="1"/>
        <v>0</v>
      </c>
    </row>
    <row r="486" hidden="1">
      <c r="C486" s="515"/>
      <c r="G486" s="1" t="s">
        <v>2433</v>
      </c>
      <c r="I486" s="516"/>
      <c r="J486" s="516"/>
      <c r="M486" s="515"/>
      <c r="N486" s="516"/>
      <c r="P486" s="1">
        <v>41.7</v>
      </c>
      <c r="Q486" s="1">
        <v>0.0</v>
      </c>
      <c r="S486" s="517"/>
      <c r="V486" s="1">
        <v>0.04</v>
      </c>
      <c r="W486" s="518">
        <f t="shared" si="1"/>
        <v>0</v>
      </c>
    </row>
    <row r="487" hidden="1">
      <c r="C487" s="515"/>
      <c r="G487" s="1" t="s">
        <v>2434</v>
      </c>
      <c r="I487" s="516"/>
      <c r="J487" s="516"/>
      <c r="M487" s="515"/>
      <c r="N487" s="516"/>
      <c r="P487" s="1">
        <v>41.7</v>
      </c>
      <c r="Q487" s="1">
        <v>0.0</v>
      </c>
      <c r="S487" s="517"/>
      <c r="V487" s="1">
        <v>0.04</v>
      </c>
      <c r="W487" s="518">
        <f t="shared" si="1"/>
        <v>0</v>
      </c>
    </row>
    <row r="488" hidden="1">
      <c r="C488" s="515"/>
      <c r="G488" s="1" t="s">
        <v>2435</v>
      </c>
      <c r="I488" s="516"/>
      <c r="J488" s="516"/>
      <c r="M488" s="515"/>
      <c r="N488" s="516"/>
      <c r="P488" s="1">
        <v>83.3</v>
      </c>
      <c r="Q488" s="1">
        <v>0.0</v>
      </c>
      <c r="S488" s="517"/>
      <c r="V488" s="1">
        <v>0.08</v>
      </c>
      <c r="W488" s="518">
        <f t="shared" si="1"/>
        <v>0</v>
      </c>
    </row>
    <row r="489" hidden="1">
      <c r="C489" s="515"/>
      <c r="G489" s="1" t="s">
        <v>2436</v>
      </c>
      <c r="I489" s="516"/>
      <c r="J489" s="516"/>
      <c r="M489" s="515"/>
      <c r="N489" s="516"/>
      <c r="P489" s="1">
        <v>250.0</v>
      </c>
      <c r="Q489" s="1">
        <v>0.0</v>
      </c>
      <c r="S489" s="517"/>
      <c r="V489" s="1">
        <v>0.25</v>
      </c>
      <c r="W489" s="518">
        <f t="shared" si="1"/>
        <v>0</v>
      </c>
    </row>
    <row r="490" hidden="1">
      <c r="C490" s="515"/>
      <c r="G490" s="1" t="s">
        <v>2437</v>
      </c>
      <c r="I490" s="516"/>
      <c r="J490" s="516"/>
      <c r="M490" s="515"/>
      <c r="N490" s="516"/>
      <c r="P490" s="1">
        <v>83.3</v>
      </c>
      <c r="Q490" s="1">
        <v>0.0</v>
      </c>
      <c r="S490" s="517"/>
      <c r="V490" s="1">
        <v>0.08</v>
      </c>
      <c r="W490" s="518">
        <f t="shared" si="1"/>
        <v>0</v>
      </c>
    </row>
    <row r="491" hidden="1">
      <c r="C491" s="515"/>
      <c r="G491" s="1" t="s">
        <v>2438</v>
      </c>
      <c r="I491" s="516"/>
      <c r="J491" s="516"/>
      <c r="M491" s="515"/>
      <c r="N491" s="516"/>
      <c r="P491" s="1">
        <v>166.7</v>
      </c>
      <c r="Q491" s="1">
        <v>0.0</v>
      </c>
      <c r="S491" s="517"/>
      <c r="V491" s="1">
        <v>0.17</v>
      </c>
      <c r="W491" s="518">
        <f t="shared" si="1"/>
        <v>0</v>
      </c>
    </row>
    <row r="492" hidden="1">
      <c r="C492" s="515"/>
      <c r="G492" s="1" t="s">
        <v>2536</v>
      </c>
      <c r="I492" s="516"/>
      <c r="J492" s="516"/>
      <c r="M492" s="515"/>
      <c r="N492" s="516"/>
      <c r="P492" s="1">
        <v>166.7</v>
      </c>
      <c r="Q492" s="1">
        <v>0.0</v>
      </c>
      <c r="S492" s="517"/>
      <c r="V492" s="1">
        <v>0.17</v>
      </c>
      <c r="W492" s="518">
        <f t="shared" si="1"/>
        <v>0</v>
      </c>
    </row>
    <row r="493" hidden="1">
      <c r="C493" s="515"/>
      <c r="G493" s="1" t="s">
        <v>2439</v>
      </c>
      <c r="I493" s="516"/>
      <c r="J493" s="516"/>
      <c r="M493" s="515"/>
      <c r="N493" s="516"/>
      <c r="P493" s="1">
        <v>83.3</v>
      </c>
      <c r="Q493" s="1">
        <v>0.0</v>
      </c>
      <c r="S493" s="517"/>
      <c r="V493" s="1">
        <v>0.08</v>
      </c>
      <c r="W493" s="518">
        <f t="shared" si="1"/>
        <v>0</v>
      </c>
    </row>
    <row r="494" hidden="1">
      <c r="C494" s="515"/>
      <c r="G494" s="1" t="s">
        <v>2537</v>
      </c>
      <c r="I494" s="516"/>
      <c r="J494" s="516"/>
      <c r="M494" s="515"/>
      <c r="N494" s="516"/>
      <c r="P494" s="1">
        <v>83.3</v>
      </c>
      <c r="Q494" s="1">
        <v>0.0</v>
      </c>
      <c r="S494" s="517"/>
      <c r="V494" s="1">
        <v>0.08</v>
      </c>
      <c r="W494" s="518">
        <f t="shared" si="1"/>
        <v>0</v>
      </c>
    </row>
    <row r="495" hidden="1">
      <c r="C495" s="515"/>
      <c r="G495" s="1" t="s">
        <v>2538</v>
      </c>
      <c r="I495" s="516"/>
      <c r="J495" s="516"/>
      <c r="K495" s="515">
        <v>47848.0</v>
      </c>
      <c r="M495" s="515"/>
      <c r="N495" s="516"/>
      <c r="P495" s="1">
        <v>0.0</v>
      </c>
      <c r="Q495" s="1" t="s">
        <v>2404</v>
      </c>
      <c r="S495" s="517"/>
      <c r="V495" s="1">
        <v>3600.0</v>
      </c>
      <c r="W495" s="518">
        <f t="shared" si="1"/>
        <v>3600000</v>
      </c>
    </row>
    <row r="496" hidden="1">
      <c r="C496" s="515"/>
      <c r="G496" s="1" t="s">
        <v>2533</v>
      </c>
      <c r="I496" s="516"/>
      <c r="J496" s="516"/>
      <c r="K496" s="515">
        <v>46387.0</v>
      </c>
      <c r="M496" s="515"/>
      <c r="N496" s="516"/>
      <c r="P496" s="1">
        <v>0.0</v>
      </c>
      <c r="Q496" s="1" t="s">
        <v>2404</v>
      </c>
      <c r="S496" s="517"/>
      <c r="V496" s="1">
        <v>95.8</v>
      </c>
      <c r="W496" s="518">
        <f t="shared" si="1"/>
        <v>95800</v>
      </c>
    </row>
    <row r="497" hidden="1">
      <c r="C497" s="515"/>
      <c r="G497" s="1" t="s">
        <v>2441</v>
      </c>
      <c r="I497" s="516"/>
      <c r="J497" s="516"/>
      <c r="M497" s="515"/>
      <c r="N497" s="516"/>
      <c r="P497" s="1">
        <v>83.3</v>
      </c>
      <c r="Q497" s="1">
        <v>0.0</v>
      </c>
      <c r="S497" s="517"/>
      <c r="V497" s="1">
        <v>0.08</v>
      </c>
      <c r="W497" s="518">
        <f t="shared" si="1"/>
        <v>0</v>
      </c>
    </row>
    <row r="498" hidden="1">
      <c r="C498" s="515"/>
      <c r="G498" s="1" t="s">
        <v>2443</v>
      </c>
      <c r="I498" s="516"/>
      <c r="J498" s="516"/>
      <c r="M498" s="515"/>
      <c r="N498" s="516"/>
      <c r="P498" s="1">
        <v>833.3</v>
      </c>
      <c r="Q498" s="1">
        <v>0.0</v>
      </c>
      <c r="S498" s="517"/>
      <c r="V498" s="1">
        <v>0.83</v>
      </c>
      <c r="W498" s="518">
        <f t="shared" si="1"/>
        <v>0</v>
      </c>
    </row>
    <row r="499" hidden="1">
      <c r="C499" s="515"/>
      <c r="G499" s="1" t="s">
        <v>2444</v>
      </c>
      <c r="I499" s="516"/>
      <c r="J499" s="516"/>
      <c r="M499" s="515"/>
      <c r="N499" s="516"/>
      <c r="P499" s="1">
        <v>125.0</v>
      </c>
      <c r="Q499" s="1">
        <v>0.0</v>
      </c>
      <c r="S499" s="517"/>
      <c r="V499" s="1">
        <v>0.13</v>
      </c>
      <c r="W499" s="518">
        <f t="shared" si="1"/>
        <v>0</v>
      </c>
    </row>
    <row r="500" hidden="1">
      <c r="C500" s="515"/>
      <c r="G500" s="1" t="s">
        <v>2445</v>
      </c>
      <c r="I500" s="516"/>
      <c r="J500" s="516"/>
      <c r="M500" s="515"/>
      <c r="N500" s="516"/>
      <c r="P500" s="1">
        <v>166.7</v>
      </c>
      <c r="Q500" s="1">
        <v>0.0</v>
      </c>
      <c r="S500" s="517"/>
      <c r="V500" s="1">
        <v>0.17</v>
      </c>
      <c r="W500" s="518">
        <f t="shared" si="1"/>
        <v>0</v>
      </c>
    </row>
    <row r="501" hidden="1">
      <c r="C501" s="515"/>
      <c r="G501" s="1" t="s">
        <v>2447</v>
      </c>
      <c r="I501" s="516"/>
      <c r="J501" s="516"/>
      <c r="M501" s="515"/>
      <c r="N501" s="516"/>
      <c r="P501" s="1">
        <v>83.3</v>
      </c>
      <c r="Q501" s="1">
        <v>0.0</v>
      </c>
      <c r="S501" s="517"/>
      <c r="V501" s="1">
        <v>0.08</v>
      </c>
      <c r="W501" s="518">
        <f t="shared" si="1"/>
        <v>0</v>
      </c>
    </row>
    <row r="502" hidden="1">
      <c r="C502" s="515"/>
      <c r="G502" s="1" t="s">
        <v>2449</v>
      </c>
      <c r="I502" s="516"/>
      <c r="J502" s="516"/>
      <c r="M502" s="515"/>
      <c r="N502" s="516"/>
      <c r="P502" s="1">
        <v>41.7</v>
      </c>
      <c r="Q502" s="1">
        <v>0.0</v>
      </c>
      <c r="S502" s="517"/>
      <c r="V502" s="1">
        <v>0.04</v>
      </c>
      <c r="W502" s="518">
        <f t="shared" si="1"/>
        <v>0</v>
      </c>
    </row>
    <row r="503" hidden="1">
      <c r="C503" s="515"/>
      <c r="G503" s="1" t="s">
        <v>2451</v>
      </c>
      <c r="I503" s="516"/>
      <c r="J503" s="516"/>
      <c r="M503" s="515"/>
      <c r="N503" s="516"/>
      <c r="P503" s="1">
        <v>41.7</v>
      </c>
      <c r="Q503" s="1">
        <v>0.0</v>
      </c>
      <c r="S503" s="517"/>
      <c r="V503" s="1">
        <v>0.04</v>
      </c>
      <c r="W503" s="518">
        <f t="shared" si="1"/>
        <v>0</v>
      </c>
    </row>
    <row r="504" hidden="1">
      <c r="C504" s="515"/>
      <c r="G504" s="1" t="s">
        <v>2518</v>
      </c>
      <c r="I504" s="516"/>
      <c r="J504" s="516"/>
      <c r="M504" s="515"/>
      <c r="N504" s="516"/>
      <c r="P504" s="1">
        <v>125.0</v>
      </c>
      <c r="Q504" s="1">
        <v>0.0</v>
      </c>
      <c r="S504" s="517"/>
      <c r="V504" s="1">
        <v>0.13</v>
      </c>
      <c r="W504" s="518">
        <f t="shared" si="1"/>
        <v>0</v>
      </c>
    </row>
    <row r="505" hidden="1">
      <c r="C505" s="515"/>
      <c r="G505" s="1" t="s">
        <v>2454</v>
      </c>
      <c r="I505" s="516"/>
      <c r="J505" s="516"/>
      <c r="M505" s="515"/>
      <c r="N505" s="516"/>
      <c r="P505" s="1">
        <v>83.3</v>
      </c>
      <c r="Q505" s="1">
        <v>0.0</v>
      </c>
      <c r="S505" s="517"/>
      <c r="V505" s="1">
        <v>0.08</v>
      </c>
      <c r="W505" s="518">
        <f t="shared" si="1"/>
        <v>0</v>
      </c>
    </row>
    <row r="506" hidden="1">
      <c r="C506" s="515"/>
      <c r="G506" s="1" t="s">
        <v>2455</v>
      </c>
      <c r="I506" s="516"/>
      <c r="J506" s="516"/>
      <c r="M506" s="515"/>
      <c r="N506" s="516"/>
      <c r="P506" s="1">
        <v>166.7</v>
      </c>
      <c r="Q506" s="1">
        <v>0.0</v>
      </c>
      <c r="S506" s="517"/>
      <c r="V506" s="1">
        <v>0.17</v>
      </c>
      <c r="W506" s="518">
        <f t="shared" si="1"/>
        <v>0</v>
      </c>
    </row>
    <row r="507" hidden="1">
      <c r="C507" s="515"/>
      <c r="G507" s="1" t="s">
        <v>2456</v>
      </c>
      <c r="I507" s="516"/>
      <c r="J507" s="516"/>
      <c r="M507" s="515"/>
      <c r="N507" s="516"/>
      <c r="P507" s="1">
        <v>666.7</v>
      </c>
      <c r="Q507" s="1">
        <v>0.0</v>
      </c>
      <c r="S507" s="517"/>
      <c r="V507" s="1">
        <v>0.67</v>
      </c>
      <c r="W507" s="518">
        <f t="shared" si="1"/>
        <v>0</v>
      </c>
    </row>
    <row r="508" hidden="1">
      <c r="C508" s="515"/>
      <c r="G508" s="1" t="s">
        <v>2539</v>
      </c>
      <c r="I508" s="516"/>
      <c r="J508" s="516"/>
      <c r="M508" s="515"/>
      <c r="N508" s="516"/>
      <c r="P508" s="1">
        <v>41.7</v>
      </c>
      <c r="Q508" s="1">
        <v>0.0</v>
      </c>
      <c r="S508" s="517"/>
      <c r="V508" s="1">
        <v>0.04</v>
      </c>
      <c r="W508" s="518">
        <f t="shared" si="1"/>
        <v>0</v>
      </c>
    </row>
    <row r="509" hidden="1">
      <c r="C509" s="515"/>
      <c r="G509" s="1" t="s">
        <v>2457</v>
      </c>
      <c r="I509" s="516"/>
      <c r="J509" s="516"/>
      <c r="M509" s="515"/>
      <c r="N509" s="516"/>
      <c r="P509" s="1">
        <v>500.0</v>
      </c>
      <c r="Q509" s="1">
        <v>0.0</v>
      </c>
      <c r="S509" s="517"/>
      <c r="V509" s="1">
        <v>0.5</v>
      </c>
      <c r="W509" s="518">
        <f t="shared" si="1"/>
        <v>0</v>
      </c>
    </row>
    <row r="510" hidden="1">
      <c r="C510" s="515"/>
      <c r="G510" s="1" t="s">
        <v>2540</v>
      </c>
      <c r="I510" s="516"/>
      <c r="J510" s="516"/>
      <c r="M510" s="515"/>
      <c r="N510" s="516"/>
      <c r="P510" s="1">
        <v>416.7</v>
      </c>
      <c r="Q510" s="1">
        <v>0.0</v>
      </c>
      <c r="S510" s="517"/>
      <c r="V510" s="1">
        <v>0.42</v>
      </c>
      <c r="W510" s="518">
        <f t="shared" si="1"/>
        <v>0</v>
      </c>
    </row>
    <row r="511" hidden="1">
      <c r="C511" s="515"/>
      <c r="G511" s="1" t="s">
        <v>2458</v>
      </c>
      <c r="I511" s="516"/>
      <c r="J511" s="516"/>
      <c r="M511" s="515"/>
      <c r="P511" s="1">
        <v>83.3</v>
      </c>
      <c r="Q511" s="1">
        <v>0.0</v>
      </c>
      <c r="S511" s="517"/>
      <c r="V511" s="1">
        <v>0.08</v>
      </c>
      <c r="W511" s="518">
        <f t="shared" si="1"/>
        <v>0</v>
      </c>
    </row>
    <row r="512" hidden="1">
      <c r="C512" s="515"/>
      <c r="G512" s="1" t="s">
        <v>2460</v>
      </c>
      <c r="I512" s="516"/>
      <c r="J512" s="516"/>
      <c r="M512" s="515"/>
      <c r="N512" s="516"/>
      <c r="P512" s="1">
        <v>833.3</v>
      </c>
      <c r="Q512" s="1">
        <v>0.0</v>
      </c>
      <c r="S512" s="517"/>
      <c r="V512" s="1">
        <v>0.83</v>
      </c>
      <c r="W512" s="518">
        <f t="shared" si="1"/>
        <v>0</v>
      </c>
    </row>
    <row r="513" hidden="1">
      <c r="C513" s="515"/>
      <c r="G513" s="1" t="s">
        <v>2461</v>
      </c>
      <c r="I513" s="516"/>
      <c r="J513" s="516"/>
      <c r="M513" s="515"/>
      <c r="N513" s="516"/>
      <c r="P513" s="1">
        <v>83.3</v>
      </c>
      <c r="Q513" s="1">
        <v>0.0</v>
      </c>
      <c r="S513" s="517"/>
      <c r="V513" s="1">
        <v>0.08</v>
      </c>
      <c r="W513" s="518">
        <f t="shared" si="1"/>
        <v>0</v>
      </c>
    </row>
    <row r="514" hidden="1">
      <c r="C514" s="515"/>
      <c r="G514" s="1" t="s">
        <v>2462</v>
      </c>
      <c r="I514" s="516"/>
      <c r="J514" s="516"/>
      <c r="M514" s="515"/>
      <c r="N514" s="516"/>
      <c r="P514" s="1">
        <v>41.7</v>
      </c>
      <c r="Q514" s="1">
        <v>0.0</v>
      </c>
      <c r="S514" s="517"/>
      <c r="V514" s="1">
        <v>0.04</v>
      </c>
      <c r="W514" s="518">
        <f t="shared" si="1"/>
        <v>0</v>
      </c>
    </row>
    <row r="515" hidden="1">
      <c r="C515" s="515"/>
      <c r="G515" s="1" t="s">
        <v>2526</v>
      </c>
      <c r="I515" s="516"/>
      <c r="J515" s="516"/>
      <c r="M515" s="515"/>
      <c r="N515" s="516"/>
      <c r="P515" s="1">
        <v>83.3</v>
      </c>
      <c r="Q515" s="1">
        <v>0.0</v>
      </c>
      <c r="S515" s="517"/>
      <c r="V515" s="1">
        <v>0.08</v>
      </c>
      <c r="W515" s="518">
        <f t="shared" si="1"/>
        <v>0</v>
      </c>
    </row>
    <row r="516" hidden="1">
      <c r="C516" s="515"/>
      <c r="G516" s="1" t="s">
        <v>2463</v>
      </c>
      <c r="I516" s="516"/>
      <c r="J516" s="516"/>
      <c r="M516" s="515"/>
      <c r="N516" s="516"/>
      <c r="P516" s="1">
        <v>83.3</v>
      </c>
      <c r="Q516" s="1">
        <v>0.0</v>
      </c>
      <c r="S516" s="517"/>
      <c r="V516" s="1">
        <v>0.08</v>
      </c>
      <c r="W516" s="518">
        <f t="shared" si="1"/>
        <v>0</v>
      </c>
    </row>
    <row r="517" hidden="1">
      <c r="C517" s="515"/>
      <c r="G517" s="1" t="s">
        <v>2465</v>
      </c>
      <c r="I517" s="516"/>
      <c r="J517" s="516"/>
      <c r="M517" s="515"/>
      <c r="N517" s="516"/>
      <c r="P517" s="1">
        <v>166.7</v>
      </c>
      <c r="Q517" s="1">
        <v>0.0</v>
      </c>
      <c r="S517" s="517"/>
      <c r="V517" s="1">
        <v>0.17</v>
      </c>
      <c r="W517" s="518">
        <f t="shared" si="1"/>
        <v>0</v>
      </c>
    </row>
    <row r="518" hidden="1">
      <c r="C518" s="515"/>
      <c r="G518" s="1" t="s">
        <v>2541</v>
      </c>
      <c r="I518" s="516"/>
      <c r="J518" s="516"/>
      <c r="M518" s="515"/>
      <c r="N518" s="516"/>
      <c r="P518" s="1">
        <v>166.7</v>
      </c>
      <c r="Q518" s="1">
        <v>0.0</v>
      </c>
      <c r="S518" s="517"/>
      <c r="V518" s="1">
        <v>0.17</v>
      </c>
      <c r="W518" s="518">
        <f t="shared" si="1"/>
        <v>0</v>
      </c>
    </row>
    <row r="519" hidden="1">
      <c r="C519" s="515"/>
      <c r="G519" s="1" t="s">
        <v>2466</v>
      </c>
      <c r="I519" s="516"/>
      <c r="J519" s="516"/>
      <c r="M519" s="515"/>
      <c r="N519" s="516"/>
      <c r="P519" s="1">
        <v>208.3</v>
      </c>
      <c r="Q519" s="1">
        <v>0.0</v>
      </c>
      <c r="S519" s="517"/>
      <c r="V519" s="1">
        <v>0.21</v>
      </c>
      <c r="W519" s="518">
        <f t="shared" si="1"/>
        <v>0</v>
      </c>
    </row>
    <row r="520" hidden="1">
      <c r="C520" s="515"/>
      <c r="G520" s="1" t="s">
        <v>2468</v>
      </c>
      <c r="I520" s="516"/>
      <c r="J520" s="516"/>
      <c r="M520" s="515"/>
      <c r="N520" s="516"/>
      <c r="P520" s="1">
        <v>41.7</v>
      </c>
      <c r="Q520" s="1">
        <v>0.0</v>
      </c>
      <c r="S520" s="517"/>
      <c r="V520" s="1">
        <v>0.04</v>
      </c>
      <c r="W520" s="518">
        <f t="shared" si="1"/>
        <v>0</v>
      </c>
    </row>
    <row r="521" hidden="1">
      <c r="C521" s="515"/>
      <c r="G521" s="1" t="s">
        <v>2469</v>
      </c>
      <c r="I521" s="516"/>
      <c r="J521" s="516"/>
      <c r="M521" s="515"/>
      <c r="N521" s="516"/>
      <c r="P521" s="1">
        <v>41.7</v>
      </c>
      <c r="Q521" s="1">
        <v>0.0</v>
      </c>
      <c r="S521" s="517"/>
      <c r="V521" s="1">
        <v>0.04</v>
      </c>
      <c r="W521" s="518">
        <f t="shared" si="1"/>
        <v>0</v>
      </c>
    </row>
    <row r="522" hidden="1">
      <c r="C522" s="515"/>
      <c r="G522" s="1" t="s">
        <v>2521</v>
      </c>
      <c r="I522" s="516"/>
      <c r="J522" s="516"/>
      <c r="M522" s="515"/>
      <c r="N522" s="516"/>
      <c r="P522" s="1">
        <v>83.3</v>
      </c>
      <c r="Q522" s="1">
        <v>0.0</v>
      </c>
      <c r="S522" s="517"/>
      <c r="V522" s="1">
        <v>0.08</v>
      </c>
      <c r="W522" s="518">
        <f t="shared" si="1"/>
        <v>0</v>
      </c>
    </row>
    <row r="523" hidden="1">
      <c r="C523" s="515"/>
      <c r="G523" s="1" t="s">
        <v>2470</v>
      </c>
      <c r="I523" s="516"/>
      <c r="J523" s="516"/>
      <c r="M523" s="515"/>
      <c r="N523" s="516"/>
      <c r="P523" s="1">
        <v>333.3</v>
      </c>
      <c r="Q523" s="1">
        <v>0.0</v>
      </c>
      <c r="S523" s="517"/>
      <c r="V523" s="1">
        <v>0.33</v>
      </c>
      <c r="W523" s="518">
        <f t="shared" si="1"/>
        <v>0</v>
      </c>
    </row>
    <row r="524" hidden="1">
      <c r="C524" s="515"/>
      <c r="G524" s="1" t="s">
        <v>2471</v>
      </c>
      <c r="I524" s="516"/>
      <c r="J524" s="516"/>
      <c r="M524" s="515"/>
      <c r="N524" s="516"/>
      <c r="P524" s="1">
        <v>41.7</v>
      </c>
      <c r="Q524" s="1">
        <v>0.0</v>
      </c>
      <c r="S524" s="517"/>
      <c r="V524" s="1">
        <v>0.04</v>
      </c>
      <c r="W524" s="518">
        <f t="shared" si="1"/>
        <v>0</v>
      </c>
    </row>
    <row r="525" hidden="1">
      <c r="C525" s="515"/>
      <c r="G525" s="1" t="s">
        <v>2472</v>
      </c>
      <c r="I525" s="516"/>
      <c r="J525" s="516"/>
      <c r="M525" s="515"/>
      <c r="N525" s="516"/>
      <c r="P525" s="1">
        <v>83.3</v>
      </c>
      <c r="Q525" s="1">
        <v>0.0</v>
      </c>
      <c r="S525" s="517"/>
      <c r="V525" s="1">
        <v>0.08</v>
      </c>
      <c r="W525" s="518">
        <f t="shared" si="1"/>
        <v>0</v>
      </c>
    </row>
    <row r="526" hidden="1">
      <c r="C526" s="515"/>
      <c r="G526" s="1" t="s">
        <v>2473</v>
      </c>
      <c r="I526" s="516"/>
      <c r="J526" s="516"/>
      <c r="M526" s="515"/>
      <c r="N526" s="516"/>
      <c r="P526" s="1">
        <v>83.3</v>
      </c>
      <c r="Q526" s="1">
        <v>0.0</v>
      </c>
      <c r="S526" s="517"/>
      <c r="V526" s="1">
        <v>0.08</v>
      </c>
      <c r="W526" s="518">
        <f t="shared" si="1"/>
        <v>0</v>
      </c>
    </row>
    <row r="527" hidden="1">
      <c r="C527" s="515"/>
      <c r="G527" s="1" t="s">
        <v>2530</v>
      </c>
      <c r="I527" s="516"/>
      <c r="J527" s="516"/>
      <c r="M527" s="515"/>
      <c r="N527" s="516"/>
      <c r="P527" s="1">
        <v>41.7</v>
      </c>
      <c r="Q527" s="1">
        <v>0.0</v>
      </c>
      <c r="S527" s="517"/>
      <c r="V527" s="1">
        <v>0.04</v>
      </c>
      <c r="W527" s="518">
        <f t="shared" si="1"/>
        <v>0</v>
      </c>
    </row>
    <row r="528" hidden="1">
      <c r="C528" s="515"/>
      <c r="G528" s="1" t="s">
        <v>2542</v>
      </c>
      <c r="I528" s="516"/>
      <c r="J528" s="516"/>
      <c r="M528" s="515"/>
      <c r="N528" s="516"/>
      <c r="P528" s="1">
        <v>83.3</v>
      </c>
      <c r="Q528" s="1">
        <v>0.0</v>
      </c>
      <c r="S528" s="517"/>
      <c r="V528" s="1">
        <v>0.08</v>
      </c>
      <c r="W528" s="518">
        <f t="shared" si="1"/>
        <v>0</v>
      </c>
    </row>
    <row r="529" hidden="1">
      <c r="C529" s="515"/>
      <c r="G529" s="1" t="s">
        <v>2474</v>
      </c>
      <c r="I529" s="516"/>
      <c r="J529" s="516"/>
      <c r="M529" s="515"/>
      <c r="N529" s="516"/>
      <c r="P529" s="1">
        <v>183.3</v>
      </c>
      <c r="Q529" s="1">
        <v>0.0</v>
      </c>
      <c r="S529" s="517"/>
      <c r="V529" s="1">
        <v>0.18</v>
      </c>
      <c r="W529" s="518">
        <f t="shared" si="1"/>
        <v>0</v>
      </c>
    </row>
    <row r="530" hidden="1">
      <c r="C530" s="515"/>
      <c r="G530" s="1" t="s">
        <v>2543</v>
      </c>
      <c r="I530" s="516"/>
      <c r="J530" s="516"/>
      <c r="M530" s="515"/>
      <c r="N530" s="516"/>
      <c r="P530" s="1">
        <v>166.7</v>
      </c>
      <c r="Q530" s="1">
        <v>0.0</v>
      </c>
      <c r="S530" s="517"/>
      <c r="V530" s="1">
        <v>0.17</v>
      </c>
      <c r="W530" s="518">
        <f t="shared" si="1"/>
        <v>0</v>
      </c>
    </row>
    <row r="531" hidden="1">
      <c r="C531" s="515"/>
      <c r="G531" s="1" t="s">
        <v>2453</v>
      </c>
      <c r="I531" s="516"/>
      <c r="J531" s="516"/>
      <c r="M531" s="515"/>
      <c r="N531" s="516"/>
      <c r="P531" s="1">
        <v>83.3</v>
      </c>
      <c r="Q531" s="1">
        <v>0.0</v>
      </c>
      <c r="S531" s="517"/>
      <c r="V531" s="1">
        <v>0.08</v>
      </c>
      <c r="W531" s="518">
        <f t="shared" si="1"/>
        <v>0</v>
      </c>
    </row>
    <row r="532" hidden="1">
      <c r="C532" s="515"/>
      <c r="G532" s="1" t="s">
        <v>2477</v>
      </c>
      <c r="I532" s="516"/>
      <c r="J532" s="516"/>
      <c r="M532" s="515"/>
      <c r="N532" s="516"/>
      <c r="P532" s="1">
        <v>83.3</v>
      </c>
      <c r="Q532" s="1">
        <v>0.0</v>
      </c>
      <c r="S532" s="517"/>
      <c r="V532" s="1">
        <v>0.08</v>
      </c>
      <c r="W532" s="518">
        <f t="shared" si="1"/>
        <v>0</v>
      </c>
    </row>
    <row r="533" hidden="1">
      <c r="C533" s="515"/>
      <c r="G533" s="1" t="s">
        <v>2478</v>
      </c>
      <c r="I533" s="516"/>
      <c r="J533" s="516"/>
      <c r="M533" s="515"/>
      <c r="N533" s="516"/>
      <c r="P533" s="1">
        <v>83.3</v>
      </c>
      <c r="Q533" s="1">
        <v>0.0</v>
      </c>
      <c r="S533" s="517"/>
      <c r="V533" s="1">
        <v>0.08</v>
      </c>
      <c r="W533" s="518">
        <f t="shared" si="1"/>
        <v>0</v>
      </c>
    </row>
    <row r="534" hidden="1">
      <c r="C534" s="515"/>
      <c r="G534" s="1" t="s">
        <v>2479</v>
      </c>
      <c r="I534" s="516"/>
      <c r="J534" s="516"/>
      <c r="M534" s="515"/>
      <c r="N534" s="516"/>
      <c r="P534" s="1">
        <v>41.7</v>
      </c>
      <c r="Q534" s="1">
        <v>0.0</v>
      </c>
      <c r="S534" s="517"/>
      <c r="V534" s="1">
        <v>0.04</v>
      </c>
      <c r="W534" s="518">
        <f t="shared" si="1"/>
        <v>0</v>
      </c>
    </row>
    <row r="535" hidden="1">
      <c r="C535" s="515"/>
      <c r="G535" s="1" t="s">
        <v>2544</v>
      </c>
      <c r="I535" s="516"/>
      <c r="J535" s="516"/>
      <c r="M535" s="515"/>
      <c r="N535" s="516"/>
      <c r="P535" s="1">
        <v>41.7</v>
      </c>
      <c r="Q535" s="1">
        <v>0.0</v>
      </c>
      <c r="S535" s="517"/>
      <c r="V535" s="1">
        <v>0.04</v>
      </c>
      <c r="W535" s="518">
        <f t="shared" si="1"/>
        <v>0</v>
      </c>
    </row>
    <row r="536" hidden="1">
      <c r="C536" s="515"/>
      <c r="G536" s="1" t="s">
        <v>2482</v>
      </c>
      <c r="I536" s="516"/>
      <c r="J536" s="516"/>
      <c r="M536" s="515"/>
      <c r="N536" s="516"/>
      <c r="P536" s="1">
        <v>41.7</v>
      </c>
      <c r="Q536" s="1">
        <v>0.0</v>
      </c>
      <c r="S536" s="517"/>
      <c r="V536" s="1">
        <v>0.04</v>
      </c>
      <c r="W536" s="518">
        <f t="shared" si="1"/>
        <v>0</v>
      </c>
    </row>
    <row r="537" hidden="1">
      <c r="C537" s="515"/>
      <c r="G537" s="1" t="s">
        <v>2483</v>
      </c>
      <c r="I537" s="516"/>
      <c r="J537" s="516"/>
      <c r="M537" s="515"/>
      <c r="N537" s="516"/>
      <c r="P537" s="1">
        <v>708.3</v>
      </c>
      <c r="Q537" s="1">
        <v>0.0</v>
      </c>
      <c r="S537" s="517"/>
      <c r="V537" s="1">
        <v>0.71</v>
      </c>
      <c r="W537" s="518">
        <f t="shared" si="1"/>
        <v>0</v>
      </c>
    </row>
    <row r="538" hidden="1">
      <c r="C538" s="515"/>
      <c r="G538" s="1" t="s">
        <v>2484</v>
      </c>
      <c r="I538" s="516"/>
      <c r="J538" s="516"/>
      <c r="M538" s="515"/>
      <c r="N538" s="516"/>
      <c r="P538" s="1">
        <v>500.0</v>
      </c>
      <c r="Q538" s="1">
        <v>0.0</v>
      </c>
      <c r="S538" s="517"/>
      <c r="V538" s="1">
        <v>0.5</v>
      </c>
      <c r="W538" s="518">
        <f t="shared" si="1"/>
        <v>0</v>
      </c>
    </row>
    <row r="539" hidden="1">
      <c r="C539" s="515"/>
      <c r="G539" s="1" t="s">
        <v>2485</v>
      </c>
      <c r="I539" s="516"/>
      <c r="J539" s="516"/>
      <c r="M539" s="515"/>
      <c r="N539" s="516"/>
      <c r="P539" s="1">
        <v>83.3</v>
      </c>
      <c r="Q539" s="1">
        <v>0.0</v>
      </c>
      <c r="S539" s="517"/>
      <c r="V539" s="1">
        <v>0.08</v>
      </c>
      <c r="W539" s="518">
        <f t="shared" si="1"/>
        <v>0</v>
      </c>
    </row>
    <row r="540" hidden="1">
      <c r="C540" s="515"/>
      <c r="G540" s="1" t="s">
        <v>2486</v>
      </c>
      <c r="I540" s="516"/>
      <c r="J540" s="516"/>
      <c r="M540" s="515"/>
      <c r="N540" s="516"/>
      <c r="P540" s="1">
        <v>83.3</v>
      </c>
      <c r="Q540" s="1">
        <v>0.0</v>
      </c>
      <c r="S540" s="517"/>
      <c r="V540" s="1">
        <v>0.08</v>
      </c>
      <c r="W540" s="518">
        <f t="shared" si="1"/>
        <v>0</v>
      </c>
    </row>
    <row r="541" hidden="1">
      <c r="C541" s="515"/>
      <c r="G541" s="1" t="s">
        <v>2545</v>
      </c>
      <c r="I541" s="516"/>
      <c r="J541" s="516"/>
      <c r="M541" s="515"/>
      <c r="N541" s="516"/>
      <c r="P541" s="1">
        <v>41.7</v>
      </c>
      <c r="Q541" s="1">
        <v>0.0</v>
      </c>
      <c r="S541" s="517"/>
      <c r="V541" s="1">
        <v>0.04</v>
      </c>
      <c r="W541" s="518">
        <f t="shared" si="1"/>
        <v>0</v>
      </c>
    </row>
    <row r="542" hidden="1">
      <c r="C542" s="515"/>
      <c r="G542" s="1" t="s">
        <v>2487</v>
      </c>
      <c r="I542" s="516"/>
      <c r="J542" s="516"/>
      <c r="M542" s="515"/>
      <c r="N542" s="516"/>
      <c r="P542" s="1">
        <v>41.7</v>
      </c>
      <c r="Q542" s="1">
        <v>0.0</v>
      </c>
      <c r="S542" s="517"/>
      <c r="V542" s="1">
        <v>0.04</v>
      </c>
      <c r="W542" s="518">
        <f t="shared" si="1"/>
        <v>0</v>
      </c>
    </row>
    <row r="543" hidden="1">
      <c r="C543" s="515"/>
      <c r="G543" s="1" t="s">
        <v>2488</v>
      </c>
      <c r="I543" s="516"/>
      <c r="J543" s="516"/>
      <c r="M543" s="515"/>
      <c r="N543" s="516"/>
      <c r="P543" s="1">
        <v>208.3</v>
      </c>
      <c r="Q543" s="1">
        <v>0.0</v>
      </c>
      <c r="S543" s="517"/>
      <c r="V543" s="1">
        <v>0.21</v>
      </c>
      <c r="W543" s="518">
        <f t="shared" si="1"/>
        <v>0</v>
      </c>
    </row>
    <row r="544" hidden="1">
      <c r="C544" s="515"/>
      <c r="G544" s="1" t="s">
        <v>2489</v>
      </c>
      <c r="I544" s="516"/>
      <c r="J544" s="516"/>
      <c r="M544" s="515"/>
      <c r="N544" s="516"/>
      <c r="P544" s="1">
        <v>83.3</v>
      </c>
      <c r="Q544" s="1">
        <v>0.0</v>
      </c>
      <c r="S544" s="517"/>
      <c r="V544" s="1">
        <v>0.08</v>
      </c>
      <c r="W544" s="518">
        <f t="shared" si="1"/>
        <v>0</v>
      </c>
    </row>
    <row r="545" hidden="1">
      <c r="C545" s="515"/>
      <c r="G545" s="1" t="s">
        <v>2490</v>
      </c>
      <c r="I545" s="516"/>
      <c r="J545" s="516"/>
      <c r="M545" s="515"/>
      <c r="N545" s="516"/>
      <c r="P545" s="1">
        <v>41.7</v>
      </c>
      <c r="Q545" s="1">
        <v>0.0</v>
      </c>
      <c r="S545" s="517"/>
      <c r="V545" s="1">
        <v>0.04</v>
      </c>
      <c r="W545" s="518">
        <f t="shared" si="1"/>
        <v>0</v>
      </c>
    </row>
    <row r="546" hidden="1">
      <c r="C546" s="515"/>
      <c r="G546" s="1" t="s">
        <v>2491</v>
      </c>
      <c r="I546" s="516"/>
      <c r="J546" s="516"/>
      <c r="M546" s="515"/>
      <c r="N546" s="516"/>
      <c r="P546" s="1">
        <v>41.7</v>
      </c>
      <c r="Q546" s="1">
        <v>0.0</v>
      </c>
      <c r="S546" s="517"/>
      <c r="V546" s="1">
        <v>0.04</v>
      </c>
      <c r="W546" s="518">
        <f t="shared" si="1"/>
        <v>0</v>
      </c>
    </row>
    <row r="547" hidden="1">
      <c r="C547" s="515"/>
      <c r="G547" s="1" t="s">
        <v>2492</v>
      </c>
      <c r="I547" s="516"/>
      <c r="J547" s="516"/>
      <c r="M547" s="515"/>
      <c r="N547" s="516"/>
      <c r="P547" s="1">
        <v>1000.0</v>
      </c>
      <c r="Q547" s="1">
        <v>0.0</v>
      </c>
      <c r="S547" s="517"/>
      <c r="V547" s="1">
        <v>1.0</v>
      </c>
      <c r="W547" s="518">
        <f t="shared" si="1"/>
        <v>0</v>
      </c>
    </row>
    <row r="548" hidden="1">
      <c r="C548" s="515"/>
      <c r="G548" s="1" t="s">
        <v>2493</v>
      </c>
      <c r="I548" s="516"/>
      <c r="J548" s="516"/>
      <c r="M548" s="515"/>
      <c r="N548" s="516"/>
      <c r="P548" s="1">
        <v>166.7</v>
      </c>
      <c r="Q548" s="1">
        <v>0.0</v>
      </c>
      <c r="S548" s="517"/>
      <c r="V548" s="1">
        <v>0.17</v>
      </c>
      <c r="W548" s="518">
        <f t="shared" si="1"/>
        <v>0</v>
      </c>
    </row>
    <row r="549" hidden="1">
      <c r="C549" s="515"/>
      <c r="G549" s="1" t="s">
        <v>2522</v>
      </c>
      <c r="I549" s="516"/>
      <c r="J549" s="516"/>
      <c r="M549" s="515"/>
      <c r="N549" s="516"/>
      <c r="P549" s="1">
        <v>83.3</v>
      </c>
      <c r="Q549" s="1">
        <v>0.0</v>
      </c>
      <c r="S549" s="517"/>
      <c r="V549" s="1">
        <v>0.08</v>
      </c>
      <c r="W549" s="518">
        <f t="shared" si="1"/>
        <v>0</v>
      </c>
    </row>
    <row r="550" hidden="1">
      <c r="C550" s="515"/>
      <c r="G550" s="1" t="s">
        <v>2546</v>
      </c>
      <c r="I550" s="516"/>
      <c r="J550" s="516"/>
      <c r="M550" s="515"/>
      <c r="N550" s="516"/>
      <c r="P550" s="1">
        <v>3000.0</v>
      </c>
      <c r="Q550" s="1">
        <v>0.0</v>
      </c>
      <c r="S550" s="517"/>
      <c r="V550" s="1">
        <v>3.0</v>
      </c>
      <c r="W550" s="518">
        <f t="shared" si="1"/>
        <v>0</v>
      </c>
    </row>
    <row r="551" hidden="1">
      <c r="C551" s="515"/>
      <c r="G551" s="1" t="s">
        <v>2495</v>
      </c>
      <c r="I551" s="516"/>
      <c r="J551" s="516"/>
      <c r="M551" s="515"/>
      <c r="N551" s="516"/>
      <c r="P551" s="1">
        <v>83.3</v>
      </c>
      <c r="Q551" s="1">
        <v>0.0</v>
      </c>
      <c r="S551" s="517"/>
      <c r="V551" s="1">
        <v>0.08</v>
      </c>
      <c r="W551" s="518">
        <f t="shared" si="1"/>
        <v>0</v>
      </c>
    </row>
    <row r="552" hidden="1">
      <c r="C552" s="515"/>
      <c r="G552" s="1" t="s">
        <v>2497</v>
      </c>
      <c r="I552" s="516"/>
      <c r="J552" s="516"/>
      <c r="M552" s="515"/>
      <c r="N552" s="516"/>
      <c r="P552" s="1">
        <v>2000.0</v>
      </c>
      <c r="Q552" s="1">
        <v>0.0</v>
      </c>
      <c r="S552" s="517"/>
      <c r="V552" s="1">
        <v>2.0</v>
      </c>
      <c r="W552" s="518">
        <f t="shared" si="1"/>
        <v>0</v>
      </c>
    </row>
    <row r="553" hidden="1">
      <c r="C553" s="515"/>
      <c r="G553" s="1" t="s">
        <v>2498</v>
      </c>
      <c r="I553" s="516"/>
      <c r="J553" s="516"/>
      <c r="M553" s="515"/>
      <c r="N553" s="516"/>
      <c r="P553" s="1">
        <v>183.3</v>
      </c>
      <c r="Q553" s="1">
        <v>0.0</v>
      </c>
      <c r="S553" s="517"/>
      <c r="V553" s="1">
        <v>0.18</v>
      </c>
      <c r="W553" s="518">
        <f t="shared" si="1"/>
        <v>0</v>
      </c>
    </row>
    <row r="554" hidden="1">
      <c r="C554" s="515"/>
      <c r="G554" s="1" t="s">
        <v>2547</v>
      </c>
      <c r="I554" s="516"/>
      <c r="J554" s="516"/>
      <c r="M554" s="515"/>
      <c r="N554" s="516"/>
      <c r="P554" s="1">
        <v>166.7</v>
      </c>
      <c r="Q554" s="1">
        <v>0.0</v>
      </c>
      <c r="S554" s="517"/>
      <c r="V554" s="1">
        <v>0.17</v>
      </c>
      <c r="W554" s="518">
        <f t="shared" si="1"/>
        <v>0</v>
      </c>
    </row>
    <row r="555" hidden="1">
      <c r="C555" s="515"/>
      <c r="G555" s="1" t="s">
        <v>2499</v>
      </c>
      <c r="I555" s="516"/>
      <c r="J555" s="516"/>
      <c r="M555" s="515"/>
      <c r="N555" s="516"/>
      <c r="P555" s="1">
        <v>41.7</v>
      </c>
      <c r="Q555" s="1">
        <v>0.0</v>
      </c>
      <c r="S555" s="517"/>
      <c r="V555" s="1">
        <v>0.04</v>
      </c>
      <c r="W555" s="518">
        <f t="shared" si="1"/>
        <v>0</v>
      </c>
    </row>
    <row r="556" hidden="1">
      <c r="C556" s="515"/>
      <c r="G556" s="1" t="s">
        <v>2546</v>
      </c>
      <c r="I556" s="516"/>
      <c r="J556" s="516"/>
      <c r="K556" s="515">
        <v>46387.0</v>
      </c>
      <c r="M556" s="515"/>
      <c r="N556" s="516"/>
      <c r="P556" s="1">
        <v>3000.0</v>
      </c>
      <c r="Q556" s="1">
        <v>0.0</v>
      </c>
      <c r="S556" s="517"/>
      <c r="V556" s="1">
        <v>3.0</v>
      </c>
      <c r="W556" s="518">
        <f t="shared" si="1"/>
        <v>0</v>
      </c>
    </row>
    <row r="557" hidden="1">
      <c r="C557" s="515"/>
      <c r="G557" s="1" t="s">
        <v>2500</v>
      </c>
      <c r="I557" s="516"/>
      <c r="J557" s="516"/>
      <c r="M557" s="515"/>
      <c r="N557" s="516"/>
      <c r="P557" s="1">
        <v>41.7</v>
      </c>
      <c r="Q557" s="1">
        <v>0.0</v>
      </c>
      <c r="S557" s="517"/>
      <c r="V557" s="1">
        <v>0.04</v>
      </c>
      <c r="W557" s="518">
        <f t="shared" si="1"/>
        <v>0</v>
      </c>
    </row>
    <row r="558" hidden="1">
      <c r="C558" s="515"/>
      <c r="G558" s="1" t="s">
        <v>2501</v>
      </c>
      <c r="I558" s="516"/>
      <c r="J558" s="516"/>
      <c r="M558" s="515"/>
      <c r="N558" s="516"/>
      <c r="P558" s="1">
        <v>83.3</v>
      </c>
      <c r="Q558" s="1">
        <v>0.0</v>
      </c>
      <c r="S558" s="517"/>
      <c r="V558" s="1">
        <v>0.08</v>
      </c>
      <c r="W558" s="518">
        <f t="shared" si="1"/>
        <v>0</v>
      </c>
    </row>
    <row r="559" hidden="1">
      <c r="C559" s="515"/>
      <c r="G559" s="1" t="s">
        <v>2502</v>
      </c>
      <c r="I559" s="516"/>
      <c r="J559" s="516"/>
      <c r="M559" s="515"/>
      <c r="N559" s="516"/>
      <c r="P559" s="1">
        <v>41.7</v>
      </c>
      <c r="Q559" s="1">
        <v>0.0</v>
      </c>
      <c r="S559" s="517"/>
      <c r="V559" s="1">
        <v>0.04</v>
      </c>
      <c r="W559" s="518">
        <f t="shared" si="1"/>
        <v>0</v>
      </c>
    </row>
    <row r="560" hidden="1">
      <c r="C560" s="515"/>
      <c r="G560" s="1" t="s">
        <v>2503</v>
      </c>
      <c r="I560" s="516"/>
      <c r="J560" s="516"/>
      <c r="M560" s="515"/>
      <c r="N560" s="516"/>
      <c r="P560" s="1">
        <v>1666.7</v>
      </c>
      <c r="Q560" s="1">
        <v>0.0</v>
      </c>
      <c r="S560" s="517"/>
      <c r="V560" s="1">
        <v>1.67</v>
      </c>
      <c r="W560" s="518">
        <f t="shared" si="1"/>
        <v>0</v>
      </c>
    </row>
    <row r="561" hidden="1">
      <c r="C561" s="515"/>
      <c r="G561" s="1" t="s">
        <v>2504</v>
      </c>
      <c r="I561" s="516"/>
      <c r="J561" s="516"/>
      <c r="M561" s="515"/>
      <c r="N561" s="516"/>
      <c r="P561" s="1">
        <v>41.7</v>
      </c>
      <c r="Q561" s="1">
        <v>0.0</v>
      </c>
      <c r="S561" s="517"/>
      <c r="V561" s="1">
        <v>0.04</v>
      </c>
      <c r="W561" s="518">
        <f t="shared" si="1"/>
        <v>0</v>
      </c>
    </row>
    <row r="562" hidden="1">
      <c r="C562" s="515"/>
      <c r="G562" s="1" t="s">
        <v>2506</v>
      </c>
      <c r="I562" s="516"/>
      <c r="J562" s="516"/>
      <c r="M562" s="515"/>
      <c r="N562" s="516"/>
      <c r="P562" s="1">
        <v>41.7</v>
      </c>
      <c r="Q562" s="1">
        <v>0.0</v>
      </c>
      <c r="S562" s="517"/>
      <c r="V562" s="1">
        <v>0.04</v>
      </c>
      <c r="W562" s="518">
        <f t="shared" si="1"/>
        <v>0</v>
      </c>
    </row>
    <row r="563" hidden="1">
      <c r="C563" s="515"/>
      <c r="G563" s="1" t="s">
        <v>2505</v>
      </c>
      <c r="I563" s="516"/>
      <c r="J563" s="516"/>
      <c r="M563" s="515"/>
      <c r="N563" s="516"/>
      <c r="P563" s="1">
        <v>125.0</v>
      </c>
      <c r="Q563" s="1">
        <v>0.0</v>
      </c>
      <c r="S563" s="517"/>
      <c r="V563" s="1">
        <v>0.13</v>
      </c>
      <c r="W563" s="518">
        <f t="shared" si="1"/>
        <v>0</v>
      </c>
    </row>
    <row r="564" hidden="1">
      <c r="C564" s="515"/>
      <c r="G564" s="1" t="s">
        <v>2509</v>
      </c>
      <c r="I564" s="516"/>
      <c r="J564" s="516"/>
      <c r="M564" s="515"/>
      <c r="N564" s="516"/>
      <c r="P564" s="1">
        <v>83.3</v>
      </c>
      <c r="Q564" s="1">
        <v>0.0</v>
      </c>
      <c r="S564" s="517"/>
      <c r="V564" s="1">
        <v>0.08</v>
      </c>
      <c r="W564" s="518">
        <f t="shared" si="1"/>
        <v>0</v>
      </c>
    </row>
    <row r="565" hidden="1">
      <c r="C565" s="515"/>
      <c r="G565" s="1" t="s">
        <v>2510</v>
      </c>
      <c r="I565" s="516"/>
      <c r="J565" s="516"/>
      <c r="M565" s="515"/>
      <c r="N565" s="516"/>
      <c r="P565" s="1">
        <v>83.3</v>
      </c>
      <c r="Q565" s="1">
        <v>0.0</v>
      </c>
      <c r="S565" s="517"/>
      <c r="V565" s="1">
        <v>0.08</v>
      </c>
      <c r="W565" s="518">
        <f t="shared" si="1"/>
        <v>0</v>
      </c>
    </row>
    <row r="566" hidden="1">
      <c r="C566" s="515"/>
      <c r="G566" s="1" t="s">
        <v>2511</v>
      </c>
      <c r="I566" s="516"/>
      <c r="J566" s="516"/>
      <c r="M566" s="515"/>
      <c r="N566" s="516"/>
      <c r="P566" s="1">
        <v>41.7</v>
      </c>
      <c r="Q566" s="1">
        <v>0.0</v>
      </c>
      <c r="S566" s="517"/>
      <c r="V566" s="1">
        <v>0.04</v>
      </c>
      <c r="W566" s="518">
        <f t="shared" si="1"/>
        <v>0</v>
      </c>
    </row>
    <row r="567" hidden="1">
      <c r="C567" s="515"/>
      <c r="G567" s="1" t="s">
        <v>2512</v>
      </c>
      <c r="I567" s="516"/>
      <c r="J567" s="516"/>
      <c r="M567" s="515"/>
      <c r="N567" s="516"/>
      <c r="P567" s="1">
        <v>83.3</v>
      </c>
      <c r="Q567" s="1">
        <v>0.0</v>
      </c>
      <c r="S567" s="517"/>
      <c r="V567" s="1">
        <v>0.08</v>
      </c>
      <c r="W567" s="518">
        <f t="shared" si="1"/>
        <v>0</v>
      </c>
    </row>
    <row r="568" hidden="1">
      <c r="C568" s="515"/>
      <c r="G568" s="1" t="s">
        <v>2548</v>
      </c>
      <c r="I568" s="516"/>
      <c r="J568" s="516"/>
      <c r="M568" s="515"/>
      <c r="N568" s="516"/>
      <c r="P568" s="1">
        <v>625.0</v>
      </c>
      <c r="Q568" s="1">
        <v>0.0</v>
      </c>
      <c r="S568" s="517"/>
      <c r="V568" s="1">
        <v>0.63</v>
      </c>
      <c r="W568" s="518">
        <f t="shared" si="1"/>
        <v>0</v>
      </c>
    </row>
    <row r="569" hidden="1">
      <c r="C569" s="515"/>
      <c r="G569" s="1" t="s">
        <v>2406</v>
      </c>
      <c r="I569" s="516"/>
      <c r="J569" s="516"/>
      <c r="M569" s="515"/>
      <c r="N569" s="516"/>
      <c r="P569" s="1">
        <v>166.7</v>
      </c>
      <c r="Q569" s="1">
        <v>0.0</v>
      </c>
      <c r="S569" s="517"/>
      <c r="V569" s="1">
        <v>0.17</v>
      </c>
      <c r="W569" s="518">
        <f t="shared" si="1"/>
        <v>0</v>
      </c>
    </row>
    <row r="570" hidden="1">
      <c r="C570" s="515"/>
      <c r="G570" s="1" t="s">
        <v>2513</v>
      </c>
      <c r="I570" s="516"/>
      <c r="J570" s="516"/>
      <c r="M570" s="515"/>
      <c r="N570" s="516"/>
      <c r="P570" s="1">
        <v>125.0</v>
      </c>
      <c r="Q570" s="1">
        <v>0.0</v>
      </c>
      <c r="S570" s="517"/>
      <c r="V570" s="1">
        <v>0.13</v>
      </c>
      <c r="W570" s="518">
        <f t="shared" si="1"/>
        <v>0</v>
      </c>
    </row>
    <row r="571" hidden="1">
      <c r="C571" s="515"/>
      <c r="G571" s="1" t="s">
        <v>2407</v>
      </c>
      <c r="I571" s="516"/>
      <c r="J571" s="516"/>
      <c r="M571" s="515"/>
      <c r="N571" s="516"/>
      <c r="P571" s="1">
        <v>416.7</v>
      </c>
      <c r="Q571" s="1">
        <v>0.0</v>
      </c>
      <c r="S571" s="517"/>
      <c r="V571" s="1">
        <v>0.42</v>
      </c>
      <c r="W571" s="518">
        <f t="shared" si="1"/>
        <v>0</v>
      </c>
    </row>
    <row r="572" hidden="1">
      <c r="C572" s="515"/>
      <c r="G572" s="1" t="s">
        <v>2408</v>
      </c>
      <c r="I572" s="516"/>
      <c r="J572" s="516"/>
      <c r="M572" s="515"/>
      <c r="N572" s="516"/>
      <c r="P572" s="1">
        <v>41.7</v>
      </c>
      <c r="Q572" s="1">
        <v>0.0</v>
      </c>
      <c r="S572" s="517"/>
      <c r="V572" s="1">
        <v>0.04</v>
      </c>
      <c r="W572" s="518">
        <f t="shared" si="1"/>
        <v>0</v>
      </c>
    </row>
    <row r="573" hidden="1">
      <c r="C573" s="515"/>
      <c r="G573" s="1" t="s">
        <v>2410</v>
      </c>
      <c r="I573" s="516"/>
      <c r="J573" s="516"/>
      <c r="M573" s="515"/>
      <c r="N573" s="516"/>
      <c r="P573" s="1">
        <v>83.3</v>
      </c>
      <c r="Q573" s="1">
        <v>0.0</v>
      </c>
      <c r="S573" s="517"/>
      <c r="V573" s="1">
        <v>0.08</v>
      </c>
      <c r="W573" s="518">
        <f t="shared" si="1"/>
        <v>0</v>
      </c>
    </row>
    <row r="574" hidden="1">
      <c r="C574" s="515"/>
      <c r="G574" s="1" t="s">
        <v>2549</v>
      </c>
      <c r="I574" s="516"/>
      <c r="J574" s="516"/>
      <c r="M574" s="515"/>
      <c r="N574" s="516"/>
      <c r="P574" s="1">
        <v>83.3</v>
      </c>
      <c r="Q574" s="1">
        <v>0.0</v>
      </c>
      <c r="S574" s="517"/>
      <c r="V574" s="1">
        <v>0.08</v>
      </c>
      <c r="W574" s="518">
        <f t="shared" si="1"/>
        <v>0</v>
      </c>
    </row>
    <row r="575" hidden="1">
      <c r="C575" s="515"/>
      <c r="G575" s="1" t="s">
        <v>2414</v>
      </c>
      <c r="I575" s="516"/>
      <c r="J575" s="516"/>
      <c r="M575" s="515"/>
      <c r="N575" s="516"/>
      <c r="P575" s="1">
        <v>83.3</v>
      </c>
      <c r="Q575" s="1">
        <v>0.0</v>
      </c>
      <c r="S575" s="517"/>
      <c r="V575" s="1">
        <v>0.08</v>
      </c>
      <c r="W575" s="518">
        <f t="shared" si="1"/>
        <v>0</v>
      </c>
    </row>
    <row r="576" hidden="1">
      <c r="C576" s="515"/>
      <c r="G576" s="1" t="s">
        <v>2550</v>
      </c>
      <c r="I576" s="516"/>
      <c r="J576" s="516"/>
      <c r="M576" s="515"/>
      <c r="N576" s="516"/>
      <c r="P576" s="1">
        <v>83.3</v>
      </c>
      <c r="Q576" s="1">
        <v>0.0</v>
      </c>
      <c r="S576" s="517"/>
      <c r="V576" s="1">
        <v>0.08</v>
      </c>
      <c r="W576" s="518">
        <f t="shared" si="1"/>
        <v>0</v>
      </c>
    </row>
    <row r="577" hidden="1">
      <c r="C577" s="515"/>
      <c r="G577" s="1" t="s">
        <v>2415</v>
      </c>
      <c r="I577" s="516"/>
      <c r="J577" s="516"/>
      <c r="M577" s="515"/>
      <c r="N577" s="516"/>
      <c r="P577" s="1">
        <v>333.3</v>
      </c>
      <c r="Q577" s="1">
        <v>0.0</v>
      </c>
      <c r="S577" s="517"/>
      <c r="V577" s="1">
        <v>0.33</v>
      </c>
      <c r="W577" s="518">
        <f t="shared" si="1"/>
        <v>0</v>
      </c>
    </row>
    <row r="578" hidden="1">
      <c r="C578" s="515"/>
      <c r="G578" s="1" t="s">
        <v>2418</v>
      </c>
      <c r="I578" s="516"/>
      <c r="J578" s="516"/>
      <c r="M578" s="515"/>
      <c r="N578" s="516"/>
      <c r="P578" s="1">
        <v>141.7</v>
      </c>
      <c r="Q578" s="1">
        <v>0.0</v>
      </c>
      <c r="S578" s="517"/>
      <c r="V578" s="1">
        <v>0.14</v>
      </c>
      <c r="W578" s="518">
        <f t="shared" si="1"/>
        <v>0</v>
      </c>
    </row>
    <row r="579" hidden="1">
      <c r="C579" s="515"/>
      <c r="G579" s="1" t="s">
        <v>2419</v>
      </c>
      <c r="I579" s="516"/>
      <c r="J579" s="516"/>
      <c r="M579" s="515"/>
      <c r="N579" s="516"/>
      <c r="P579" s="1">
        <v>666.7</v>
      </c>
      <c r="Q579" s="1">
        <v>0.0</v>
      </c>
      <c r="S579" s="517"/>
      <c r="V579" s="1">
        <v>0.67</v>
      </c>
      <c r="W579" s="518">
        <f t="shared" si="1"/>
        <v>0</v>
      </c>
    </row>
    <row r="580" hidden="1">
      <c r="C580" s="515"/>
      <c r="G580" s="1" t="s">
        <v>2551</v>
      </c>
      <c r="I580" s="516"/>
      <c r="J580" s="516"/>
      <c r="M580" s="515"/>
      <c r="N580" s="516"/>
      <c r="P580" s="1">
        <v>333.3</v>
      </c>
      <c r="Q580" s="1">
        <v>0.0</v>
      </c>
      <c r="S580" s="517"/>
      <c r="V580" s="1">
        <v>0.33</v>
      </c>
      <c r="W580" s="518">
        <f t="shared" si="1"/>
        <v>0</v>
      </c>
    </row>
    <row r="581" hidden="1">
      <c r="C581" s="515"/>
      <c r="G581" s="1" t="s">
        <v>2422</v>
      </c>
      <c r="I581" s="516"/>
      <c r="J581" s="516"/>
      <c r="M581" s="515"/>
      <c r="N581" s="516"/>
      <c r="P581" s="1">
        <v>250.0</v>
      </c>
      <c r="Q581" s="1">
        <v>0.0</v>
      </c>
      <c r="S581" s="517"/>
      <c r="V581" s="1">
        <v>0.25</v>
      </c>
      <c r="W581" s="518">
        <f t="shared" si="1"/>
        <v>0</v>
      </c>
    </row>
    <row r="582" hidden="1">
      <c r="C582" s="515"/>
      <c r="G582" s="1" t="s">
        <v>2423</v>
      </c>
      <c r="I582" s="516"/>
      <c r="J582" s="516"/>
      <c r="M582" s="515"/>
      <c r="P582" s="1">
        <v>83.3</v>
      </c>
      <c r="Q582" s="1">
        <v>0.0</v>
      </c>
      <c r="S582" s="517"/>
      <c r="V582" s="1">
        <v>0.08</v>
      </c>
      <c r="W582" s="518">
        <f t="shared" si="1"/>
        <v>0</v>
      </c>
    </row>
    <row r="583" hidden="1">
      <c r="C583" s="515"/>
      <c r="G583" s="1" t="s">
        <v>2425</v>
      </c>
      <c r="I583" s="516"/>
      <c r="J583" s="516"/>
      <c r="M583" s="515"/>
      <c r="N583" s="516"/>
      <c r="P583" s="1">
        <v>41.7</v>
      </c>
      <c r="Q583" s="1">
        <v>0.0</v>
      </c>
      <c r="S583" s="517"/>
      <c r="V583" s="1">
        <v>0.04</v>
      </c>
      <c r="W583" s="518">
        <f t="shared" si="1"/>
        <v>0</v>
      </c>
    </row>
    <row r="584" hidden="1">
      <c r="C584" s="515"/>
      <c r="G584" s="1" t="s">
        <v>2426</v>
      </c>
      <c r="I584" s="516"/>
      <c r="J584" s="516"/>
      <c r="M584" s="515"/>
      <c r="N584" s="516"/>
      <c r="P584" s="1">
        <v>250.0</v>
      </c>
      <c r="Q584" s="1">
        <v>0.0</v>
      </c>
      <c r="S584" s="517"/>
      <c r="V584" s="1">
        <v>0.25</v>
      </c>
      <c r="W584" s="518">
        <f t="shared" si="1"/>
        <v>0</v>
      </c>
    </row>
    <row r="585" hidden="1">
      <c r="C585" s="515"/>
      <c r="G585" s="1" t="s">
        <v>2427</v>
      </c>
      <c r="I585" s="516"/>
      <c r="J585" s="516"/>
      <c r="M585" s="515"/>
      <c r="N585" s="516"/>
      <c r="P585" s="1">
        <v>83.3</v>
      </c>
      <c r="Q585" s="1">
        <v>0.0</v>
      </c>
      <c r="S585" s="517"/>
      <c r="V585" s="1">
        <v>0.08</v>
      </c>
      <c r="W585" s="518">
        <f t="shared" si="1"/>
        <v>0</v>
      </c>
    </row>
    <row r="586" hidden="1">
      <c r="C586" s="515"/>
      <c r="G586" s="1" t="s">
        <v>2534</v>
      </c>
      <c r="I586" s="516"/>
      <c r="J586" s="516"/>
      <c r="M586" s="515"/>
      <c r="N586" s="516"/>
      <c r="P586" s="1">
        <v>41.7</v>
      </c>
      <c r="Q586" s="1">
        <v>0.0</v>
      </c>
      <c r="S586" s="517"/>
      <c r="V586" s="1">
        <v>0.04</v>
      </c>
      <c r="W586" s="518">
        <f t="shared" si="1"/>
        <v>0</v>
      </c>
    </row>
    <row r="587" hidden="1">
      <c r="C587" s="515"/>
      <c r="G587" s="1" t="s">
        <v>2429</v>
      </c>
      <c r="I587" s="516"/>
      <c r="J587" s="516"/>
      <c r="M587" s="515"/>
      <c r="N587" s="516"/>
      <c r="P587" s="1">
        <v>83.3</v>
      </c>
      <c r="Q587" s="1">
        <v>0.0</v>
      </c>
      <c r="S587" s="517"/>
      <c r="V587" s="1">
        <v>0.08</v>
      </c>
      <c r="W587" s="518">
        <f t="shared" si="1"/>
        <v>0</v>
      </c>
    </row>
    <row r="588" hidden="1">
      <c r="C588" s="515"/>
      <c r="G588" s="1" t="s">
        <v>2430</v>
      </c>
      <c r="I588" s="516"/>
      <c r="J588" s="516"/>
      <c r="M588" s="515"/>
      <c r="N588" s="516"/>
      <c r="P588" s="1">
        <v>83.3</v>
      </c>
      <c r="Q588" s="1">
        <v>0.0</v>
      </c>
      <c r="S588" s="517"/>
      <c r="V588" s="1">
        <v>0.08</v>
      </c>
      <c r="W588" s="518">
        <f t="shared" si="1"/>
        <v>0</v>
      </c>
    </row>
    <row r="589" hidden="1">
      <c r="C589" s="515"/>
      <c r="G589" s="1" t="s">
        <v>2431</v>
      </c>
      <c r="I589" s="516"/>
      <c r="J589" s="516"/>
      <c r="M589" s="515"/>
      <c r="N589" s="516"/>
      <c r="P589" s="1">
        <v>83.3</v>
      </c>
      <c r="Q589" s="1">
        <v>0.0</v>
      </c>
      <c r="S589" s="517"/>
      <c r="V589" s="1">
        <v>0.08</v>
      </c>
      <c r="W589" s="518">
        <f t="shared" si="1"/>
        <v>0</v>
      </c>
    </row>
    <row r="590" hidden="1">
      <c r="C590" s="515"/>
      <c r="G590" s="1" t="s">
        <v>2535</v>
      </c>
      <c r="I590" s="516"/>
      <c r="J590" s="516"/>
      <c r="M590" s="515"/>
      <c r="N590" s="516"/>
      <c r="P590" s="1">
        <v>41.7</v>
      </c>
      <c r="Q590" s="1">
        <v>0.0</v>
      </c>
      <c r="S590" s="517"/>
      <c r="V590" s="1">
        <v>0.04</v>
      </c>
      <c r="W590" s="518">
        <f t="shared" si="1"/>
        <v>0</v>
      </c>
    </row>
    <row r="591" hidden="1">
      <c r="C591" s="515"/>
      <c r="G591" s="1" t="s">
        <v>2433</v>
      </c>
      <c r="I591" s="516"/>
      <c r="J591" s="516"/>
      <c r="M591" s="515"/>
      <c r="N591" s="516"/>
      <c r="P591" s="1">
        <v>41.7</v>
      </c>
      <c r="Q591" s="1">
        <v>0.0</v>
      </c>
      <c r="S591" s="517"/>
      <c r="V591" s="1">
        <v>0.04</v>
      </c>
      <c r="W591" s="518">
        <f t="shared" si="1"/>
        <v>0</v>
      </c>
    </row>
    <row r="592" hidden="1">
      <c r="C592" s="515"/>
      <c r="G592" s="1" t="s">
        <v>2434</v>
      </c>
      <c r="I592" s="516"/>
      <c r="J592" s="516"/>
      <c r="M592" s="515"/>
      <c r="N592" s="516"/>
      <c r="P592" s="1">
        <v>41.7</v>
      </c>
      <c r="Q592" s="1">
        <v>0.0</v>
      </c>
      <c r="S592" s="517"/>
      <c r="V592" s="1">
        <v>0.04</v>
      </c>
      <c r="W592" s="518">
        <f t="shared" si="1"/>
        <v>0</v>
      </c>
    </row>
    <row r="593" hidden="1">
      <c r="C593" s="515"/>
      <c r="G593" s="1" t="s">
        <v>2552</v>
      </c>
      <c r="I593" s="516"/>
      <c r="J593" s="516"/>
      <c r="K593" s="515">
        <v>46387.0</v>
      </c>
      <c r="M593" s="515"/>
      <c r="N593" s="516"/>
      <c r="P593" s="1">
        <v>7000.0</v>
      </c>
      <c r="Q593" s="1">
        <v>0.0</v>
      </c>
      <c r="S593" s="517"/>
      <c r="V593" s="1">
        <v>7.0</v>
      </c>
      <c r="W593" s="518">
        <f t="shared" si="1"/>
        <v>0</v>
      </c>
    </row>
    <row r="594" hidden="1">
      <c r="C594" s="515"/>
      <c r="G594" s="1" t="s">
        <v>2435</v>
      </c>
      <c r="I594" s="516"/>
      <c r="J594" s="516"/>
      <c r="M594" s="515"/>
      <c r="N594" s="516"/>
      <c r="P594" s="1">
        <v>83.3</v>
      </c>
      <c r="Q594" s="1">
        <v>0.0</v>
      </c>
      <c r="S594" s="517"/>
      <c r="V594" s="1">
        <v>0.08</v>
      </c>
      <c r="W594" s="518">
        <f t="shared" si="1"/>
        <v>0</v>
      </c>
    </row>
    <row r="595" hidden="1">
      <c r="C595" s="515"/>
      <c r="G595" s="1" t="s">
        <v>2436</v>
      </c>
      <c r="I595" s="516"/>
      <c r="J595" s="516"/>
      <c r="M595" s="515"/>
      <c r="N595" s="516"/>
      <c r="P595" s="1">
        <v>250.0</v>
      </c>
      <c r="Q595" s="1">
        <v>0.0</v>
      </c>
      <c r="S595" s="517"/>
      <c r="V595" s="1">
        <v>0.25</v>
      </c>
      <c r="W595" s="518">
        <f t="shared" si="1"/>
        <v>0</v>
      </c>
    </row>
    <row r="596" hidden="1">
      <c r="C596" s="515"/>
      <c r="G596" s="1" t="s">
        <v>2437</v>
      </c>
      <c r="I596" s="516"/>
      <c r="J596" s="516"/>
      <c r="M596" s="515"/>
      <c r="N596" s="516"/>
      <c r="P596" s="1">
        <v>83.3</v>
      </c>
      <c r="Q596" s="1">
        <v>0.0</v>
      </c>
      <c r="S596" s="517"/>
      <c r="V596" s="1">
        <v>0.08</v>
      </c>
      <c r="W596" s="518">
        <f t="shared" si="1"/>
        <v>0</v>
      </c>
    </row>
    <row r="597" hidden="1">
      <c r="C597" s="515"/>
      <c r="G597" s="1" t="s">
        <v>2438</v>
      </c>
      <c r="I597" s="516"/>
      <c r="J597" s="516"/>
      <c r="M597" s="515"/>
      <c r="N597" s="516"/>
      <c r="P597" s="1">
        <v>166.7</v>
      </c>
      <c r="Q597" s="1">
        <v>0.0</v>
      </c>
      <c r="S597" s="517"/>
      <c r="V597" s="1">
        <v>0.17</v>
      </c>
      <c r="W597" s="518">
        <f t="shared" si="1"/>
        <v>0</v>
      </c>
    </row>
    <row r="598" hidden="1">
      <c r="C598" s="515"/>
      <c r="G598" s="1" t="s">
        <v>2536</v>
      </c>
      <c r="I598" s="516"/>
      <c r="J598" s="516"/>
      <c r="M598" s="515"/>
      <c r="N598" s="516"/>
      <c r="P598" s="1">
        <v>166.7</v>
      </c>
      <c r="Q598" s="1">
        <v>0.0</v>
      </c>
      <c r="S598" s="517"/>
      <c r="V598" s="1">
        <v>0.17</v>
      </c>
      <c r="W598" s="518">
        <f t="shared" si="1"/>
        <v>0</v>
      </c>
    </row>
    <row r="599" hidden="1">
      <c r="C599" s="515"/>
      <c r="G599" s="1" t="s">
        <v>2439</v>
      </c>
      <c r="I599" s="516"/>
      <c r="J599" s="516"/>
      <c r="M599" s="515"/>
      <c r="N599" s="516"/>
      <c r="P599" s="1">
        <v>83.3</v>
      </c>
      <c r="Q599" s="1">
        <v>0.0</v>
      </c>
      <c r="S599" s="517"/>
      <c r="V599" s="1">
        <v>0.08</v>
      </c>
      <c r="W599" s="518">
        <f t="shared" si="1"/>
        <v>0</v>
      </c>
    </row>
    <row r="600" hidden="1">
      <c r="C600" s="515"/>
      <c r="G600" s="1" t="s">
        <v>2537</v>
      </c>
      <c r="I600" s="516"/>
      <c r="J600" s="516"/>
      <c r="M600" s="515"/>
      <c r="N600" s="516"/>
      <c r="P600" s="1">
        <v>83.3</v>
      </c>
      <c r="Q600" s="1">
        <v>0.0</v>
      </c>
      <c r="S600" s="517"/>
      <c r="V600" s="1">
        <v>0.08</v>
      </c>
      <c r="W600" s="518">
        <f t="shared" si="1"/>
        <v>0</v>
      </c>
    </row>
    <row r="601" hidden="1">
      <c r="C601" s="515"/>
      <c r="G601" s="1" t="s">
        <v>2441</v>
      </c>
      <c r="I601" s="516"/>
      <c r="J601" s="516"/>
      <c r="M601" s="515"/>
      <c r="N601" s="516"/>
      <c r="P601" s="1">
        <v>83.3</v>
      </c>
      <c r="Q601" s="1">
        <v>0.0</v>
      </c>
      <c r="S601" s="517"/>
      <c r="V601" s="1">
        <v>0.08</v>
      </c>
      <c r="W601" s="518">
        <f t="shared" si="1"/>
        <v>0</v>
      </c>
    </row>
    <row r="602" hidden="1">
      <c r="C602" s="515"/>
      <c r="G602" s="1" t="s">
        <v>2443</v>
      </c>
      <c r="I602" s="516"/>
      <c r="J602" s="516"/>
      <c r="M602" s="515"/>
      <c r="N602" s="516"/>
      <c r="P602" s="1">
        <v>833.3</v>
      </c>
      <c r="Q602" s="1">
        <v>0.0</v>
      </c>
      <c r="S602" s="517"/>
      <c r="V602" s="1">
        <v>0.83</v>
      </c>
      <c r="W602" s="518">
        <f t="shared" si="1"/>
        <v>0</v>
      </c>
    </row>
    <row r="603" hidden="1">
      <c r="C603" s="515"/>
      <c r="G603" s="1" t="s">
        <v>2444</v>
      </c>
      <c r="I603" s="516"/>
      <c r="J603" s="516"/>
      <c r="M603" s="515"/>
      <c r="N603" s="516"/>
      <c r="P603" s="1">
        <v>125.0</v>
      </c>
      <c r="Q603" s="1">
        <v>0.0</v>
      </c>
      <c r="S603" s="517"/>
      <c r="V603" s="1">
        <v>0.13</v>
      </c>
      <c r="W603" s="518">
        <f t="shared" si="1"/>
        <v>0</v>
      </c>
    </row>
    <row r="604" hidden="1">
      <c r="C604" s="515"/>
      <c r="G604" s="1" t="s">
        <v>2445</v>
      </c>
      <c r="I604" s="516"/>
      <c r="J604" s="516"/>
      <c r="M604" s="515"/>
      <c r="N604" s="516"/>
      <c r="P604" s="1">
        <v>166.7</v>
      </c>
      <c r="Q604" s="1">
        <v>0.0</v>
      </c>
      <c r="S604" s="517"/>
      <c r="V604" s="1">
        <v>0.17</v>
      </c>
      <c r="W604" s="518">
        <f t="shared" si="1"/>
        <v>0</v>
      </c>
    </row>
    <row r="605" hidden="1">
      <c r="C605" s="515"/>
      <c r="G605" s="1" t="s">
        <v>2447</v>
      </c>
      <c r="I605" s="516"/>
      <c r="J605" s="516"/>
      <c r="M605" s="515"/>
      <c r="N605" s="516"/>
      <c r="P605" s="1">
        <v>83.3</v>
      </c>
      <c r="Q605" s="1">
        <v>0.0</v>
      </c>
      <c r="S605" s="517"/>
      <c r="V605" s="1">
        <v>0.08</v>
      </c>
      <c r="W605" s="518">
        <f t="shared" si="1"/>
        <v>0</v>
      </c>
    </row>
    <row r="606" hidden="1">
      <c r="C606" s="515"/>
      <c r="G606" s="1" t="s">
        <v>2449</v>
      </c>
      <c r="I606" s="516"/>
      <c r="J606" s="516"/>
      <c r="M606" s="515"/>
      <c r="N606" s="516"/>
      <c r="P606" s="1">
        <v>41.7</v>
      </c>
      <c r="Q606" s="1">
        <v>0.0</v>
      </c>
      <c r="S606" s="517"/>
      <c r="V606" s="1">
        <v>0.04</v>
      </c>
      <c r="W606" s="518">
        <f t="shared" si="1"/>
        <v>0</v>
      </c>
    </row>
    <row r="607" hidden="1">
      <c r="C607" s="515"/>
      <c r="G607" s="1" t="s">
        <v>2451</v>
      </c>
      <c r="I607" s="516"/>
      <c r="J607" s="516"/>
      <c r="M607" s="515"/>
      <c r="N607" s="516"/>
      <c r="P607" s="1">
        <v>41.7</v>
      </c>
      <c r="Q607" s="1">
        <v>0.0</v>
      </c>
      <c r="S607" s="517"/>
      <c r="V607" s="1">
        <v>0.04</v>
      </c>
      <c r="W607" s="518">
        <f t="shared" si="1"/>
        <v>0</v>
      </c>
    </row>
    <row r="608" hidden="1">
      <c r="C608" s="515"/>
      <c r="G608" s="1" t="s">
        <v>2518</v>
      </c>
      <c r="I608" s="516"/>
      <c r="J608" s="516"/>
      <c r="M608" s="515"/>
      <c r="N608" s="516"/>
      <c r="P608" s="1">
        <v>125.0</v>
      </c>
      <c r="Q608" s="1">
        <v>0.0</v>
      </c>
      <c r="S608" s="517"/>
      <c r="V608" s="1">
        <v>0.13</v>
      </c>
      <c r="W608" s="518">
        <f t="shared" si="1"/>
        <v>0</v>
      </c>
    </row>
    <row r="609" hidden="1">
      <c r="C609" s="515"/>
      <c r="G609" s="1" t="s">
        <v>2454</v>
      </c>
      <c r="I609" s="516"/>
      <c r="J609" s="516"/>
      <c r="M609" s="515"/>
      <c r="N609" s="516"/>
      <c r="P609" s="1">
        <v>83.3</v>
      </c>
      <c r="Q609" s="1">
        <v>0.0</v>
      </c>
      <c r="S609" s="517"/>
      <c r="V609" s="1">
        <v>0.08</v>
      </c>
      <c r="W609" s="518">
        <f t="shared" si="1"/>
        <v>0</v>
      </c>
    </row>
    <row r="610" hidden="1">
      <c r="C610" s="515"/>
      <c r="G610" s="1" t="s">
        <v>2455</v>
      </c>
      <c r="I610" s="516"/>
      <c r="J610" s="516"/>
      <c r="M610" s="515"/>
      <c r="N610" s="516"/>
      <c r="P610" s="1">
        <v>166.7</v>
      </c>
      <c r="Q610" s="1">
        <v>0.0</v>
      </c>
      <c r="S610" s="517"/>
      <c r="V610" s="1">
        <v>0.17</v>
      </c>
      <c r="W610" s="518">
        <f t="shared" si="1"/>
        <v>0</v>
      </c>
    </row>
    <row r="611" hidden="1">
      <c r="C611" s="515"/>
      <c r="G611" s="1" t="s">
        <v>2456</v>
      </c>
      <c r="I611" s="516"/>
      <c r="J611" s="516"/>
      <c r="M611" s="515"/>
      <c r="N611" s="516"/>
      <c r="P611" s="1">
        <v>666.7</v>
      </c>
      <c r="Q611" s="1">
        <v>0.0</v>
      </c>
      <c r="S611" s="517"/>
      <c r="V611" s="1">
        <v>0.67</v>
      </c>
      <c r="W611" s="518">
        <f t="shared" si="1"/>
        <v>0</v>
      </c>
    </row>
    <row r="612" hidden="1">
      <c r="C612" s="515"/>
      <c r="G612" s="1" t="s">
        <v>2539</v>
      </c>
      <c r="I612" s="516"/>
      <c r="J612" s="516"/>
      <c r="M612" s="515"/>
      <c r="N612" s="516"/>
      <c r="P612" s="1">
        <v>41.7</v>
      </c>
      <c r="Q612" s="1">
        <v>0.0</v>
      </c>
      <c r="S612" s="517"/>
      <c r="V612" s="1">
        <v>0.04</v>
      </c>
      <c r="W612" s="518">
        <f t="shared" si="1"/>
        <v>0</v>
      </c>
    </row>
    <row r="613" hidden="1">
      <c r="C613" s="515"/>
      <c r="G613" s="1" t="s">
        <v>2457</v>
      </c>
      <c r="I613" s="516"/>
      <c r="J613" s="516"/>
      <c r="M613" s="515"/>
      <c r="N613" s="516"/>
      <c r="P613" s="1">
        <v>500.0</v>
      </c>
      <c r="Q613" s="1">
        <v>0.0</v>
      </c>
      <c r="S613" s="517"/>
      <c r="V613" s="1">
        <v>0.5</v>
      </c>
      <c r="W613" s="518">
        <f t="shared" si="1"/>
        <v>0</v>
      </c>
    </row>
    <row r="614" hidden="1">
      <c r="C614" s="515"/>
      <c r="G614" s="1" t="s">
        <v>2540</v>
      </c>
      <c r="I614" s="516"/>
      <c r="J614" s="516"/>
      <c r="M614" s="515"/>
      <c r="N614" s="516"/>
      <c r="P614" s="1">
        <v>416.7</v>
      </c>
      <c r="Q614" s="1">
        <v>0.0</v>
      </c>
      <c r="S614" s="517"/>
      <c r="V614" s="1">
        <v>0.42</v>
      </c>
      <c r="W614" s="518">
        <f t="shared" si="1"/>
        <v>0</v>
      </c>
    </row>
    <row r="615" hidden="1">
      <c r="C615" s="515"/>
      <c r="G615" s="1" t="s">
        <v>2458</v>
      </c>
      <c r="I615" s="516"/>
      <c r="J615" s="516"/>
      <c r="M615" s="515"/>
      <c r="N615" s="516"/>
      <c r="P615" s="1">
        <v>83.3</v>
      </c>
      <c r="Q615" s="1">
        <v>0.0</v>
      </c>
      <c r="S615" s="517"/>
      <c r="V615" s="1">
        <v>0.08</v>
      </c>
      <c r="W615" s="518">
        <f t="shared" si="1"/>
        <v>0</v>
      </c>
    </row>
    <row r="616" hidden="1">
      <c r="C616" s="515"/>
      <c r="G616" s="1" t="s">
        <v>2460</v>
      </c>
      <c r="I616" s="516"/>
      <c r="J616" s="516"/>
      <c r="M616" s="515"/>
      <c r="N616" s="516"/>
      <c r="P616" s="1">
        <v>833.3</v>
      </c>
      <c r="Q616" s="1">
        <v>0.0</v>
      </c>
      <c r="S616" s="517"/>
      <c r="V616" s="1">
        <v>0.83</v>
      </c>
      <c r="W616" s="518">
        <f t="shared" si="1"/>
        <v>0</v>
      </c>
    </row>
    <row r="617" hidden="1">
      <c r="C617" s="515"/>
      <c r="G617" s="1" t="s">
        <v>2461</v>
      </c>
      <c r="I617" s="516"/>
      <c r="J617" s="516"/>
      <c r="M617" s="515"/>
      <c r="N617" s="516"/>
      <c r="P617" s="1">
        <v>83.3</v>
      </c>
      <c r="Q617" s="1">
        <v>0.0</v>
      </c>
      <c r="S617" s="517"/>
      <c r="V617" s="1">
        <v>0.08</v>
      </c>
      <c r="W617" s="518">
        <f t="shared" si="1"/>
        <v>0</v>
      </c>
    </row>
    <row r="618" hidden="1">
      <c r="C618" s="515"/>
      <c r="G618" s="1" t="s">
        <v>2553</v>
      </c>
      <c r="I618" s="516"/>
      <c r="J618" s="516"/>
      <c r="M618" s="515"/>
      <c r="N618" s="516"/>
      <c r="P618" s="1">
        <v>41.7</v>
      </c>
      <c r="Q618" s="1">
        <v>0.0</v>
      </c>
      <c r="S618" s="517"/>
      <c r="V618" s="1">
        <v>0.04</v>
      </c>
      <c r="W618" s="518">
        <f t="shared" si="1"/>
        <v>0</v>
      </c>
    </row>
    <row r="619" hidden="1">
      <c r="C619" s="515"/>
      <c r="G619" s="1" t="s">
        <v>2462</v>
      </c>
      <c r="I619" s="516"/>
      <c r="J619" s="516"/>
      <c r="M619" s="515"/>
      <c r="N619" s="516"/>
      <c r="P619" s="1">
        <v>41.7</v>
      </c>
      <c r="Q619" s="1">
        <v>0.0</v>
      </c>
      <c r="S619" s="517"/>
      <c r="V619" s="1">
        <v>0.04</v>
      </c>
      <c r="W619" s="518">
        <f t="shared" si="1"/>
        <v>0</v>
      </c>
    </row>
    <row r="620" hidden="1">
      <c r="C620" s="515"/>
      <c r="G620" s="1" t="s">
        <v>2526</v>
      </c>
      <c r="I620" s="516"/>
      <c r="J620" s="516"/>
      <c r="M620" s="515"/>
      <c r="N620" s="516"/>
      <c r="P620" s="1">
        <v>83.3</v>
      </c>
      <c r="Q620" s="1">
        <v>0.0</v>
      </c>
      <c r="S620" s="517"/>
      <c r="V620" s="1">
        <v>0.08</v>
      </c>
      <c r="W620" s="518">
        <f t="shared" si="1"/>
        <v>0</v>
      </c>
    </row>
    <row r="621" hidden="1">
      <c r="C621" s="515"/>
      <c r="G621" s="1" t="s">
        <v>2463</v>
      </c>
      <c r="I621" s="516"/>
      <c r="J621" s="516"/>
      <c r="M621" s="515"/>
      <c r="N621" s="516"/>
      <c r="P621" s="1">
        <v>83.3</v>
      </c>
      <c r="Q621" s="1">
        <v>0.0</v>
      </c>
      <c r="S621" s="517"/>
      <c r="V621" s="1">
        <v>0.08</v>
      </c>
      <c r="W621" s="518">
        <f t="shared" si="1"/>
        <v>0</v>
      </c>
    </row>
    <row r="622" hidden="1">
      <c r="C622" s="515"/>
      <c r="G622" s="1" t="s">
        <v>2465</v>
      </c>
      <c r="I622" s="516"/>
      <c r="J622" s="516"/>
      <c r="M622" s="515"/>
      <c r="N622" s="516"/>
      <c r="P622" s="1">
        <v>166.7</v>
      </c>
      <c r="Q622" s="1">
        <v>0.0</v>
      </c>
      <c r="S622" s="517"/>
      <c r="V622" s="1">
        <v>0.17</v>
      </c>
      <c r="W622" s="518">
        <f t="shared" si="1"/>
        <v>0</v>
      </c>
    </row>
    <row r="623" hidden="1">
      <c r="C623" s="515"/>
      <c r="G623" s="1" t="s">
        <v>2541</v>
      </c>
      <c r="I623" s="516"/>
      <c r="J623" s="516"/>
      <c r="M623" s="515"/>
      <c r="N623" s="516"/>
      <c r="P623" s="1">
        <v>166.7</v>
      </c>
      <c r="Q623" s="1">
        <v>0.0</v>
      </c>
      <c r="S623" s="517"/>
      <c r="V623" s="1">
        <v>0.17</v>
      </c>
      <c r="W623" s="518">
        <f t="shared" si="1"/>
        <v>0</v>
      </c>
    </row>
    <row r="624" hidden="1">
      <c r="C624" s="515"/>
      <c r="G624" s="1" t="s">
        <v>2466</v>
      </c>
      <c r="I624" s="516"/>
      <c r="J624" s="516"/>
      <c r="M624" s="515"/>
      <c r="N624" s="516"/>
      <c r="P624" s="1">
        <v>208.3</v>
      </c>
      <c r="Q624" s="1">
        <v>0.0</v>
      </c>
      <c r="S624" s="517"/>
      <c r="V624" s="1">
        <v>0.21</v>
      </c>
      <c r="W624" s="518">
        <f t="shared" si="1"/>
        <v>0</v>
      </c>
    </row>
    <row r="625" hidden="1">
      <c r="C625" s="515"/>
      <c r="G625" s="1" t="s">
        <v>2468</v>
      </c>
      <c r="I625" s="516"/>
      <c r="J625" s="516"/>
      <c r="M625" s="515"/>
      <c r="N625" s="516"/>
      <c r="P625" s="1">
        <v>41.7</v>
      </c>
      <c r="Q625" s="1">
        <v>0.0</v>
      </c>
      <c r="S625" s="517"/>
      <c r="V625" s="1">
        <v>0.04</v>
      </c>
      <c r="W625" s="518">
        <f t="shared" si="1"/>
        <v>0</v>
      </c>
    </row>
    <row r="626" hidden="1">
      <c r="C626" s="515"/>
      <c r="G626" s="1" t="s">
        <v>2521</v>
      </c>
      <c r="I626" s="516"/>
      <c r="J626" s="516"/>
      <c r="M626" s="515"/>
      <c r="N626" s="516"/>
      <c r="P626" s="1">
        <v>83.3</v>
      </c>
      <c r="Q626" s="1">
        <v>0.0</v>
      </c>
      <c r="S626" s="517"/>
      <c r="V626" s="1">
        <v>0.08</v>
      </c>
      <c r="W626" s="518">
        <f t="shared" si="1"/>
        <v>0</v>
      </c>
    </row>
    <row r="627" hidden="1">
      <c r="C627" s="515"/>
      <c r="G627" s="1" t="s">
        <v>2469</v>
      </c>
      <c r="I627" s="516"/>
      <c r="J627" s="516"/>
      <c r="M627" s="515"/>
      <c r="N627" s="516"/>
      <c r="P627" s="1">
        <v>41.7</v>
      </c>
      <c r="Q627" s="1">
        <v>0.0</v>
      </c>
      <c r="S627" s="517"/>
      <c r="V627" s="1">
        <v>0.04</v>
      </c>
      <c r="W627" s="518">
        <f t="shared" si="1"/>
        <v>0</v>
      </c>
    </row>
    <row r="628" hidden="1">
      <c r="C628" s="515"/>
      <c r="G628" s="1" t="s">
        <v>2554</v>
      </c>
      <c r="I628" s="516"/>
      <c r="J628" s="516"/>
      <c r="M628" s="515"/>
      <c r="N628" s="516"/>
      <c r="P628" s="1">
        <v>166.7</v>
      </c>
      <c r="Q628" s="1">
        <v>0.0</v>
      </c>
      <c r="S628" s="517"/>
      <c r="V628" s="1">
        <v>0.17</v>
      </c>
      <c r="W628" s="518">
        <f t="shared" si="1"/>
        <v>0</v>
      </c>
    </row>
    <row r="629" hidden="1">
      <c r="C629" s="515"/>
      <c r="G629" s="1" t="s">
        <v>2470</v>
      </c>
      <c r="I629" s="516"/>
      <c r="J629" s="516"/>
      <c r="M629" s="515"/>
      <c r="N629" s="516"/>
      <c r="P629" s="1">
        <v>333.3</v>
      </c>
      <c r="Q629" s="1">
        <v>0.0</v>
      </c>
      <c r="S629" s="517"/>
      <c r="V629" s="1">
        <v>0.33</v>
      </c>
      <c r="W629" s="518">
        <f t="shared" si="1"/>
        <v>0</v>
      </c>
    </row>
    <row r="630" hidden="1">
      <c r="C630" s="515"/>
      <c r="G630" s="1" t="s">
        <v>2471</v>
      </c>
      <c r="I630" s="516"/>
      <c r="J630" s="516"/>
      <c r="M630" s="515"/>
      <c r="N630" s="516"/>
      <c r="P630" s="1">
        <v>41.7</v>
      </c>
      <c r="Q630" s="1">
        <v>0.0</v>
      </c>
      <c r="S630" s="517"/>
      <c r="V630" s="1">
        <v>0.04</v>
      </c>
      <c r="W630" s="518">
        <f t="shared" si="1"/>
        <v>0</v>
      </c>
    </row>
    <row r="631" hidden="1">
      <c r="C631" s="515"/>
      <c r="G631" s="1" t="s">
        <v>2472</v>
      </c>
      <c r="I631" s="516"/>
      <c r="J631" s="516"/>
      <c r="M631" s="515"/>
      <c r="N631" s="516"/>
      <c r="P631" s="1">
        <v>83.3</v>
      </c>
      <c r="Q631" s="1">
        <v>0.0</v>
      </c>
      <c r="S631" s="517"/>
      <c r="V631" s="1">
        <v>0.08</v>
      </c>
      <c r="W631" s="518">
        <f t="shared" si="1"/>
        <v>0</v>
      </c>
    </row>
    <row r="632" hidden="1">
      <c r="C632" s="515"/>
      <c r="G632" s="1" t="s">
        <v>2473</v>
      </c>
      <c r="I632" s="516"/>
      <c r="J632" s="516"/>
      <c r="M632" s="515"/>
      <c r="N632" s="516"/>
      <c r="P632" s="1">
        <v>83.3</v>
      </c>
      <c r="Q632" s="1">
        <v>0.0</v>
      </c>
      <c r="S632" s="517"/>
      <c r="V632" s="1">
        <v>0.08</v>
      </c>
      <c r="W632" s="518">
        <f t="shared" si="1"/>
        <v>0</v>
      </c>
    </row>
    <row r="633" hidden="1">
      <c r="C633" s="515"/>
      <c r="G633" s="1" t="s">
        <v>2530</v>
      </c>
      <c r="I633" s="516"/>
      <c r="J633" s="516"/>
      <c r="M633" s="515"/>
      <c r="N633" s="516"/>
      <c r="P633" s="1">
        <v>41.7</v>
      </c>
      <c r="Q633" s="1">
        <v>0.0</v>
      </c>
      <c r="S633" s="517"/>
      <c r="V633" s="1">
        <v>0.04</v>
      </c>
      <c r="W633" s="518">
        <f t="shared" si="1"/>
        <v>0</v>
      </c>
    </row>
    <row r="634" hidden="1">
      <c r="C634" s="515"/>
      <c r="G634" s="1" t="s">
        <v>2542</v>
      </c>
      <c r="I634" s="516"/>
      <c r="J634" s="516"/>
      <c r="M634" s="515"/>
      <c r="N634" s="516"/>
      <c r="P634" s="1">
        <v>83.3</v>
      </c>
      <c r="Q634" s="1">
        <v>0.0</v>
      </c>
      <c r="S634" s="517"/>
      <c r="V634" s="1">
        <v>0.08</v>
      </c>
      <c r="W634" s="518">
        <f t="shared" si="1"/>
        <v>0</v>
      </c>
    </row>
    <row r="635" hidden="1">
      <c r="C635" s="515"/>
      <c r="G635" s="1" t="s">
        <v>2474</v>
      </c>
      <c r="I635" s="516"/>
      <c r="J635" s="516"/>
      <c r="M635" s="515"/>
      <c r="N635" s="516"/>
      <c r="P635" s="1">
        <v>183.3</v>
      </c>
      <c r="Q635" s="1">
        <v>0.0</v>
      </c>
      <c r="S635" s="517"/>
      <c r="V635" s="1">
        <v>0.18</v>
      </c>
      <c r="W635" s="518">
        <f t="shared" si="1"/>
        <v>0</v>
      </c>
    </row>
    <row r="636" hidden="1">
      <c r="C636" s="515"/>
      <c r="G636" s="1" t="s">
        <v>2543</v>
      </c>
      <c r="I636" s="516"/>
      <c r="J636" s="516"/>
      <c r="M636" s="515"/>
      <c r="N636" s="516"/>
      <c r="P636" s="1">
        <v>166.7</v>
      </c>
      <c r="Q636" s="1">
        <v>0.0</v>
      </c>
      <c r="S636" s="517"/>
      <c r="V636" s="1">
        <v>0.17</v>
      </c>
      <c r="W636" s="518">
        <f t="shared" si="1"/>
        <v>0</v>
      </c>
    </row>
    <row r="637" hidden="1">
      <c r="C637" s="515"/>
      <c r="G637" s="1" t="s">
        <v>2453</v>
      </c>
      <c r="I637" s="516"/>
      <c r="J637" s="516"/>
      <c r="M637" s="515"/>
      <c r="N637" s="516"/>
      <c r="P637" s="1">
        <v>83.3</v>
      </c>
      <c r="Q637" s="1">
        <v>0.0</v>
      </c>
      <c r="S637" s="517"/>
      <c r="V637" s="1">
        <v>0.08</v>
      </c>
      <c r="W637" s="518">
        <f t="shared" si="1"/>
        <v>0</v>
      </c>
    </row>
    <row r="638" hidden="1">
      <c r="C638" s="515"/>
      <c r="G638" s="1" t="s">
        <v>2477</v>
      </c>
      <c r="I638" s="516"/>
      <c r="J638" s="516"/>
      <c r="M638" s="515"/>
      <c r="N638" s="516"/>
      <c r="P638" s="1">
        <v>83.3</v>
      </c>
      <c r="Q638" s="1">
        <v>0.0</v>
      </c>
      <c r="S638" s="517"/>
      <c r="V638" s="1">
        <v>0.08</v>
      </c>
      <c r="W638" s="518">
        <f t="shared" si="1"/>
        <v>0</v>
      </c>
    </row>
    <row r="639" hidden="1">
      <c r="C639" s="515"/>
      <c r="G639" s="1" t="s">
        <v>2478</v>
      </c>
      <c r="I639" s="516"/>
      <c r="J639" s="516"/>
      <c r="M639" s="515"/>
      <c r="N639" s="516"/>
      <c r="P639" s="1">
        <v>83.3</v>
      </c>
      <c r="Q639" s="1">
        <v>0.0</v>
      </c>
      <c r="S639" s="517"/>
      <c r="V639" s="1">
        <v>0.08</v>
      </c>
      <c r="W639" s="518">
        <f t="shared" si="1"/>
        <v>0</v>
      </c>
    </row>
    <row r="640" hidden="1">
      <c r="C640" s="515"/>
      <c r="G640" s="1" t="s">
        <v>2479</v>
      </c>
      <c r="I640" s="516"/>
      <c r="J640" s="516"/>
      <c r="M640" s="515"/>
      <c r="N640" s="516"/>
      <c r="P640" s="1">
        <v>41.7</v>
      </c>
      <c r="Q640" s="1">
        <v>0.0</v>
      </c>
      <c r="S640" s="517"/>
      <c r="V640" s="1">
        <v>0.04</v>
      </c>
      <c r="W640" s="518">
        <f t="shared" si="1"/>
        <v>0</v>
      </c>
    </row>
    <row r="641" hidden="1">
      <c r="C641" s="515"/>
      <c r="G641" s="1" t="s">
        <v>2482</v>
      </c>
      <c r="I641" s="516"/>
      <c r="J641" s="516"/>
      <c r="M641" s="515"/>
      <c r="N641" s="516"/>
      <c r="P641" s="1">
        <v>41.7</v>
      </c>
      <c r="Q641" s="1">
        <v>0.0</v>
      </c>
      <c r="S641" s="517"/>
      <c r="V641" s="1">
        <v>0.04</v>
      </c>
      <c r="W641" s="518">
        <f t="shared" si="1"/>
        <v>0</v>
      </c>
    </row>
    <row r="642" hidden="1">
      <c r="C642" s="515"/>
      <c r="G642" s="1" t="s">
        <v>2488</v>
      </c>
      <c r="I642" s="516"/>
      <c r="J642" s="516"/>
      <c r="M642" s="515"/>
      <c r="N642" s="516"/>
      <c r="P642" s="1">
        <v>40.8</v>
      </c>
      <c r="Q642" s="1">
        <v>0.0</v>
      </c>
      <c r="S642" s="517"/>
      <c r="V642" s="1">
        <v>0.04</v>
      </c>
      <c r="W642" s="518">
        <f t="shared" si="1"/>
        <v>0</v>
      </c>
    </row>
    <row r="643" hidden="1">
      <c r="C643" s="515"/>
      <c r="G643" s="1" t="s">
        <v>2483</v>
      </c>
      <c r="I643" s="516"/>
      <c r="J643" s="516"/>
      <c r="M643" s="515"/>
      <c r="N643" s="516"/>
      <c r="P643" s="1">
        <v>708.3</v>
      </c>
      <c r="Q643" s="1">
        <v>0.0</v>
      </c>
      <c r="S643" s="517"/>
      <c r="V643" s="1">
        <v>0.71</v>
      </c>
      <c r="W643" s="518">
        <f t="shared" si="1"/>
        <v>0</v>
      </c>
    </row>
    <row r="644" hidden="1">
      <c r="C644" s="515"/>
      <c r="G644" s="1" t="s">
        <v>2484</v>
      </c>
      <c r="I644" s="516"/>
      <c r="J644" s="516"/>
      <c r="M644" s="515"/>
      <c r="N644" s="516"/>
      <c r="P644" s="1">
        <v>500.0</v>
      </c>
      <c r="Q644" s="1">
        <v>0.0</v>
      </c>
      <c r="S644" s="517"/>
      <c r="V644" s="1">
        <v>0.5</v>
      </c>
      <c r="W644" s="518">
        <f t="shared" si="1"/>
        <v>0</v>
      </c>
    </row>
    <row r="645" hidden="1">
      <c r="C645" s="515"/>
      <c r="G645" s="1" t="s">
        <v>2486</v>
      </c>
      <c r="I645" s="516"/>
      <c r="J645" s="516"/>
      <c r="M645" s="515"/>
      <c r="N645" s="516"/>
      <c r="P645" s="1">
        <v>83.3</v>
      </c>
      <c r="Q645" s="1">
        <v>0.0</v>
      </c>
      <c r="S645" s="517"/>
      <c r="V645" s="1">
        <v>0.08</v>
      </c>
      <c r="W645" s="518">
        <f t="shared" si="1"/>
        <v>0</v>
      </c>
    </row>
    <row r="646" hidden="1">
      <c r="C646" s="515"/>
      <c r="G646" s="1" t="s">
        <v>2485</v>
      </c>
      <c r="I646" s="516"/>
      <c r="J646" s="516"/>
      <c r="M646" s="515"/>
      <c r="N646" s="516"/>
      <c r="P646" s="1">
        <v>83.3</v>
      </c>
      <c r="Q646" s="1">
        <v>0.0</v>
      </c>
      <c r="S646" s="517"/>
      <c r="V646" s="1">
        <v>0.08</v>
      </c>
      <c r="W646" s="518">
        <f t="shared" si="1"/>
        <v>0</v>
      </c>
    </row>
    <row r="647" hidden="1">
      <c r="C647" s="515"/>
      <c r="G647" s="1" t="s">
        <v>2545</v>
      </c>
      <c r="I647" s="516"/>
      <c r="J647" s="516"/>
      <c r="M647" s="515"/>
      <c r="N647" s="516"/>
      <c r="P647" s="1">
        <v>41.7</v>
      </c>
      <c r="Q647" s="1">
        <v>0.0</v>
      </c>
      <c r="S647" s="517"/>
      <c r="V647" s="1">
        <v>0.04</v>
      </c>
      <c r="W647" s="518">
        <f t="shared" si="1"/>
        <v>0</v>
      </c>
    </row>
    <row r="648" hidden="1">
      <c r="C648" s="515"/>
      <c r="G648" s="1" t="s">
        <v>2487</v>
      </c>
      <c r="I648" s="516"/>
      <c r="J648" s="516"/>
      <c r="M648" s="515"/>
      <c r="N648" s="516"/>
      <c r="P648" s="1">
        <v>41.7</v>
      </c>
      <c r="Q648" s="1">
        <v>0.0</v>
      </c>
      <c r="S648" s="517"/>
      <c r="V648" s="1">
        <v>0.04</v>
      </c>
      <c r="W648" s="518">
        <f t="shared" si="1"/>
        <v>0</v>
      </c>
    </row>
    <row r="649" hidden="1">
      <c r="C649" s="515"/>
      <c r="G649" s="1" t="s">
        <v>2488</v>
      </c>
      <c r="I649" s="516"/>
      <c r="J649" s="516"/>
      <c r="M649" s="515"/>
      <c r="N649" s="516"/>
      <c r="P649" s="1">
        <v>166.7</v>
      </c>
      <c r="Q649" s="1">
        <v>0.0</v>
      </c>
      <c r="S649" s="517"/>
      <c r="V649" s="1">
        <v>0.17</v>
      </c>
      <c r="W649" s="518">
        <f t="shared" si="1"/>
        <v>0</v>
      </c>
    </row>
    <row r="650" hidden="1">
      <c r="C650" s="515"/>
      <c r="G650" s="1" t="s">
        <v>2489</v>
      </c>
      <c r="I650" s="516"/>
      <c r="J650" s="516"/>
      <c r="M650" s="515"/>
      <c r="N650" s="516"/>
      <c r="P650" s="1">
        <v>83.3</v>
      </c>
      <c r="Q650" s="1">
        <v>0.0</v>
      </c>
      <c r="S650" s="517"/>
      <c r="V650" s="1">
        <v>0.08</v>
      </c>
      <c r="W650" s="518">
        <f t="shared" si="1"/>
        <v>0</v>
      </c>
    </row>
    <row r="651" hidden="1">
      <c r="C651" s="515"/>
      <c r="G651" s="1" t="s">
        <v>2490</v>
      </c>
      <c r="I651" s="516"/>
      <c r="J651" s="516"/>
      <c r="M651" s="515"/>
      <c r="N651" s="516"/>
      <c r="P651" s="1">
        <v>41.7</v>
      </c>
      <c r="Q651" s="1">
        <v>0.0</v>
      </c>
      <c r="S651" s="517"/>
      <c r="V651" s="1">
        <v>0.04</v>
      </c>
      <c r="W651" s="518">
        <f t="shared" si="1"/>
        <v>0</v>
      </c>
    </row>
    <row r="652" hidden="1">
      <c r="C652" s="515"/>
      <c r="G652" s="1" t="s">
        <v>2491</v>
      </c>
      <c r="I652" s="516"/>
      <c r="J652" s="516"/>
      <c r="M652" s="515"/>
      <c r="N652" s="516"/>
      <c r="P652" s="1">
        <v>41.7</v>
      </c>
      <c r="Q652" s="1">
        <v>0.0</v>
      </c>
      <c r="S652" s="517"/>
      <c r="V652" s="1">
        <v>0.04</v>
      </c>
      <c r="W652" s="518">
        <f t="shared" si="1"/>
        <v>0</v>
      </c>
    </row>
    <row r="653" hidden="1">
      <c r="C653" s="515"/>
      <c r="G653" s="1" t="s">
        <v>2492</v>
      </c>
      <c r="I653" s="516"/>
      <c r="J653" s="516"/>
      <c r="M653" s="515"/>
      <c r="N653" s="516"/>
      <c r="P653" s="1">
        <v>1000.0</v>
      </c>
      <c r="Q653" s="1">
        <v>0.0</v>
      </c>
      <c r="S653" s="517"/>
      <c r="V653" s="1">
        <v>1.0</v>
      </c>
      <c r="W653" s="518">
        <f t="shared" si="1"/>
        <v>0</v>
      </c>
    </row>
    <row r="654" hidden="1">
      <c r="C654" s="515"/>
      <c r="G654" s="1" t="s">
        <v>2493</v>
      </c>
      <c r="I654" s="516"/>
      <c r="J654" s="516"/>
      <c r="M654" s="515"/>
      <c r="N654" s="516"/>
      <c r="P654" s="1">
        <v>166.7</v>
      </c>
      <c r="Q654" s="1">
        <v>0.0</v>
      </c>
      <c r="S654" s="517"/>
      <c r="V654" s="1">
        <v>0.17</v>
      </c>
      <c r="W654" s="518">
        <f t="shared" si="1"/>
        <v>0</v>
      </c>
    </row>
    <row r="655" hidden="1">
      <c r="C655" s="515"/>
      <c r="G655" s="1" t="s">
        <v>2495</v>
      </c>
      <c r="I655" s="516"/>
      <c r="J655" s="516"/>
      <c r="M655" s="515"/>
      <c r="N655" s="516"/>
      <c r="P655" s="1">
        <v>83.3</v>
      </c>
      <c r="Q655" s="1">
        <v>0.0</v>
      </c>
      <c r="S655" s="517"/>
      <c r="V655" s="1">
        <v>0.08</v>
      </c>
      <c r="W655" s="518">
        <f t="shared" si="1"/>
        <v>0</v>
      </c>
    </row>
    <row r="656" hidden="1">
      <c r="C656" s="515"/>
      <c r="G656" s="1" t="s">
        <v>2497</v>
      </c>
      <c r="I656" s="516"/>
      <c r="J656" s="516"/>
      <c r="M656" s="515"/>
      <c r="N656" s="516"/>
      <c r="P656" s="1">
        <v>2000.0</v>
      </c>
      <c r="Q656" s="1">
        <v>0.0</v>
      </c>
      <c r="S656" s="517"/>
      <c r="V656" s="1">
        <v>2.0</v>
      </c>
      <c r="W656" s="518">
        <f t="shared" si="1"/>
        <v>0</v>
      </c>
    </row>
    <row r="657" hidden="1">
      <c r="C657" s="515"/>
      <c r="G657" s="1" t="s">
        <v>2498</v>
      </c>
      <c r="I657" s="516"/>
      <c r="J657" s="516"/>
      <c r="M657" s="515"/>
      <c r="N657" s="516"/>
      <c r="P657" s="1">
        <v>183.3</v>
      </c>
      <c r="Q657" s="1">
        <v>0.0</v>
      </c>
      <c r="S657" s="517"/>
      <c r="V657" s="1">
        <v>0.18</v>
      </c>
      <c r="W657" s="518">
        <f t="shared" si="1"/>
        <v>0</v>
      </c>
    </row>
    <row r="658" hidden="1">
      <c r="C658" s="515"/>
      <c r="G658" s="1" t="s">
        <v>2547</v>
      </c>
      <c r="I658" s="516"/>
      <c r="J658" s="516"/>
      <c r="M658" s="515"/>
      <c r="N658" s="516"/>
      <c r="P658" s="1">
        <v>166.7</v>
      </c>
      <c r="Q658" s="1">
        <v>0.0</v>
      </c>
      <c r="S658" s="517"/>
      <c r="V658" s="1">
        <v>0.17</v>
      </c>
      <c r="W658" s="518">
        <f t="shared" si="1"/>
        <v>0</v>
      </c>
    </row>
    <row r="659" hidden="1">
      <c r="C659" s="515"/>
      <c r="G659" s="1" t="s">
        <v>2499</v>
      </c>
      <c r="I659" s="516"/>
      <c r="J659" s="516"/>
      <c r="M659" s="515"/>
      <c r="N659" s="516"/>
      <c r="P659" s="1">
        <v>41.7</v>
      </c>
      <c r="Q659" s="1">
        <v>0.0</v>
      </c>
      <c r="S659" s="517"/>
      <c r="V659" s="1">
        <v>0.04</v>
      </c>
      <c r="W659" s="518">
        <f t="shared" si="1"/>
        <v>0</v>
      </c>
    </row>
    <row r="660" hidden="1">
      <c r="C660" s="515"/>
      <c r="G660" s="1" t="s">
        <v>2500</v>
      </c>
      <c r="I660" s="516"/>
      <c r="J660" s="516"/>
      <c r="M660" s="515"/>
      <c r="N660" s="516"/>
      <c r="P660" s="1">
        <v>41.7</v>
      </c>
      <c r="Q660" s="1">
        <v>0.0</v>
      </c>
      <c r="S660" s="517"/>
      <c r="V660" s="1">
        <v>0.04</v>
      </c>
      <c r="W660" s="518">
        <f t="shared" si="1"/>
        <v>0</v>
      </c>
    </row>
    <row r="661" hidden="1">
      <c r="C661" s="515"/>
      <c r="G661" s="1" t="s">
        <v>2501</v>
      </c>
      <c r="I661" s="516"/>
      <c r="J661" s="516"/>
      <c r="M661" s="515"/>
      <c r="N661" s="516"/>
      <c r="P661" s="1">
        <v>83.3</v>
      </c>
      <c r="Q661" s="1">
        <v>0.0</v>
      </c>
      <c r="S661" s="517"/>
      <c r="V661" s="1">
        <v>0.08</v>
      </c>
      <c r="W661" s="518">
        <f t="shared" si="1"/>
        <v>0</v>
      </c>
    </row>
    <row r="662" hidden="1">
      <c r="C662" s="515"/>
      <c r="G662" s="1" t="s">
        <v>2502</v>
      </c>
      <c r="I662" s="516"/>
      <c r="J662" s="516"/>
      <c r="M662" s="515"/>
      <c r="N662" s="516"/>
      <c r="P662" s="1">
        <v>41.7</v>
      </c>
      <c r="Q662" s="1">
        <v>0.0</v>
      </c>
      <c r="S662" s="517"/>
      <c r="V662" s="1">
        <v>0.04</v>
      </c>
      <c r="W662" s="518">
        <f t="shared" si="1"/>
        <v>0</v>
      </c>
    </row>
    <row r="663" hidden="1">
      <c r="C663" s="515"/>
      <c r="G663" s="1" t="s">
        <v>2503</v>
      </c>
      <c r="I663" s="516"/>
      <c r="J663" s="516"/>
      <c r="M663" s="515"/>
      <c r="N663" s="516"/>
      <c r="P663" s="1">
        <v>1666.7</v>
      </c>
      <c r="Q663" s="1">
        <v>0.0</v>
      </c>
      <c r="S663" s="517"/>
      <c r="V663" s="1">
        <v>1.67</v>
      </c>
      <c r="W663" s="518">
        <f t="shared" si="1"/>
        <v>0</v>
      </c>
    </row>
    <row r="664" hidden="1">
      <c r="C664" s="515"/>
      <c r="G664" s="1" t="s">
        <v>2504</v>
      </c>
      <c r="I664" s="516"/>
      <c r="J664" s="516"/>
      <c r="M664" s="515"/>
      <c r="N664" s="516"/>
      <c r="P664" s="1">
        <v>41.7</v>
      </c>
      <c r="Q664" s="1">
        <v>0.0</v>
      </c>
      <c r="S664" s="517"/>
      <c r="V664" s="1">
        <v>0.04</v>
      </c>
      <c r="W664" s="518">
        <f t="shared" si="1"/>
        <v>0</v>
      </c>
    </row>
    <row r="665" hidden="1">
      <c r="C665" s="515"/>
      <c r="G665" s="1" t="s">
        <v>2505</v>
      </c>
      <c r="I665" s="516"/>
      <c r="J665" s="516"/>
      <c r="M665" s="515"/>
      <c r="N665" s="516"/>
      <c r="P665" s="1">
        <v>125.0</v>
      </c>
      <c r="Q665" s="1">
        <v>0.0</v>
      </c>
      <c r="S665" s="517"/>
      <c r="V665" s="1">
        <v>0.13</v>
      </c>
      <c r="W665" s="518">
        <f t="shared" si="1"/>
        <v>0</v>
      </c>
    </row>
    <row r="666" hidden="1">
      <c r="C666" s="515"/>
      <c r="G666" s="1" t="s">
        <v>2509</v>
      </c>
      <c r="I666" s="516"/>
      <c r="J666" s="516"/>
      <c r="M666" s="515"/>
      <c r="P666" s="1">
        <v>83.3</v>
      </c>
      <c r="Q666" s="1">
        <v>0.0</v>
      </c>
      <c r="S666" s="517"/>
      <c r="V666" s="1">
        <v>0.08</v>
      </c>
      <c r="W666" s="518">
        <f t="shared" si="1"/>
        <v>0</v>
      </c>
    </row>
    <row r="667" hidden="1">
      <c r="C667" s="515"/>
      <c r="G667" s="1" t="s">
        <v>2510</v>
      </c>
      <c r="I667" s="516"/>
      <c r="J667" s="516"/>
      <c r="M667" s="515"/>
      <c r="N667" s="516"/>
      <c r="P667" s="1">
        <v>83.3</v>
      </c>
      <c r="Q667" s="1">
        <v>0.0</v>
      </c>
      <c r="S667" s="517"/>
      <c r="V667" s="1">
        <v>0.08</v>
      </c>
      <c r="W667" s="518">
        <f t="shared" si="1"/>
        <v>0</v>
      </c>
    </row>
    <row r="668" hidden="1">
      <c r="C668" s="515"/>
      <c r="G668" s="1" t="s">
        <v>2511</v>
      </c>
      <c r="I668" s="516"/>
      <c r="J668" s="516"/>
      <c r="M668" s="515"/>
      <c r="N668" s="516"/>
      <c r="P668" s="1">
        <v>41.7</v>
      </c>
      <c r="Q668" s="1">
        <v>0.0</v>
      </c>
      <c r="S668" s="517"/>
      <c r="V668" s="1">
        <v>0.04</v>
      </c>
      <c r="W668" s="518">
        <f t="shared" si="1"/>
        <v>0</v>
      </c>
    </row>
    <row r="669" hidden="1">
      <c r="C669" s="515"/>
      <c r="G669" s="1" t="s">
        <v>2512</v>
      </c>
      <c r="I669" s="516"/>
      <c r="J669" s="516"/>
      <c r="M669" s="515"/>
      <c r="N669" s="516"/>
      <c r="P669" s="1">
        <v>83.3</v>
      </c>
      <c r="Q669" s="1">
        <v>0.0</v>
      </c>
      <c r="S669" s="517"/>
      <c r="V669" s="1">
        <v>0.08</v>
      </c>
      <c r="W669" s="518">
        <f t="shared" si="1"/>
        <v>0</v>
      </c>
    </row>
    <row r="670" hidden="1">
      <c r="C670" s="515"/>
      <c r="G670" s="1" t="s">
        <v>2406</v>
      </c>
      <c r="I670" s="516"/>
      <c r="J670" s="516"/>
      <c r="M670" s="515"/>
      <c r="N670" s="516"/>
      <c r="P670" s="1">
        <v>166.7</v>
      </c>
      <c r="Q670" s="1">
        <v>0.0</v>
      </c>
      <c r="S670" s="517"/>
      <c r="V670" s="1">
        <v>0.17</v>
      </c>
      <c r="W670" s="518">
        <f t="shared" si="1"/>
        <v>0</v>
      </c>
    </row>
    <row r="671" hidden="1">
      <c r="C671" s="515"/>
      <c r="G671" s="1" t="s">
        <v>2513</v>
      </c>
      <c r="I671" s="516"/>
      <c r="J671" s="516"/>
      <c r="M671" s="515"/>
      <c r="N671" s="516"/>
      <c r="P671" s="1">
        <v>125.0</v>
      </c>
      <c r="Q671" s="1">
        <v>0.0</v>
      </c>
      <c r="S671" s="517"/>
      <c r="V671" s="1">
        <v>0.13</v>
      </c>
      <c r="W671" s="518">
        <f t="shared" si="1"/>
        <v>0</v>
      </c>
    </row>
    <row r="672" hidden="1">
      <c r="C672" s="515"/>
      <c r="G672" s="1" t="s">
        <v>2407</v>
      </c>
      <c r="I672" s="516"/>
      <c r="J672" s="516"/>
      <c r="M672" s="515"/>
      <c r="N672" s="516"/>
      <c r="P672" s="1">
        <v>416.7</v>
      </c>
      <c r="Q672" s="1">
        <v>0.0</v>
      </c>
      <c r="S672" s="517"/>
      <c r="V672" s="1">
        <v>0.42</v>
      </c>
      <c r="W672" s="518">
        <f t="shared" si="1"/>
        <v>0</v>
      </c>
    </row>
    <row r="673" hidden="1">
      <c r="C673" s="515"/>
      <c r="G673" s="1" t="s">
        <v>2408</v>
      </c>
      <c r="I673" s="516"/>
      <c r="J673" s="516"/>
      <c r="M673" s="515"/>
      <c r="N673" s="516"/>
      <c r="P673" s="1">
        <v>41.7</v>
      </c>
      <c r="Q673" s="1">
        <v>0.0</v>
      </c>
      <c r="S673" s="517"/>
      <c r="V673" s="1">
        <v>0.04</v>
      </c>
      <c r="W673" s="518">
        <f t="shared" si="1"/>
        <v>0</v>
      </c>
    </row>
    <row r="674" hidden="1">
      <c r="C674" s="515"/>
      <c r="G674" s="1" t="s">
        <v>2410</v>
      </c>
      <c r="I674" s="516"/>
      <c r="J674" s="516"/>
      <c r="M674" s="515"/>
      <c r="N674" s="516"/>
      <c r="P674" s="1">
        <v>83.3</v>
      </c>
      <c r="Q674" s="1">
        <v>0.0</v>
      </c>
      <c r="S674" s="517"/>
      <c r="V674" s="1">
        <v>0.08</v>
      </c>
      <c r="W674" s="518">
        <f t="shared" si="1"/>
        <v>0</v>
      </c>
    </row>
    <row r="675" hidden="1">
      <c r="C675" s="515"/>
      <c r="G675" s="1" t="s">
        <v>2549</v>
      </c>
      <c r="I675" s="516"/>
      <c r="J675" s="516"/>
      <c r="M675" s="515"/>
      <c r="N675" s="516"/>
      <c r="P675" s="1">
        <v>83.3</v>
      </c>
      <c r="Q675" s="1">
        <v>0.0</v>
      </c>
      <c r="S675" s="517"/>
      <c r="V675" s="1">
        <v>0.08</v>
      </c>
      <c r="W675" s="518">
        <f t="shared" si="1"/>
        <v>0</v>
      </c>
    </row>
    <row r="676" hidden="1">
      <c r="C676" s="515"/>
      <c r="G676" s="1" t="s">
        <v>2414</v>
      </c>
      <c r="I676" s="516"/>
      <c r="J676" s="516"/>
      <c r="M676" s="515"/>
      <c r="N676" s="516"/>
      <c r="P676" s="1">
        <v>83.3</v>
      </c>
      <c r="Q676" s="1">
        <v>0.0</v>
      </c>
      <c r="S676" s="517"/>
      <c r="V676" s="1">
        <v>0.08</v>
      </c>
      <c r="W676" s="518">
        <f t="shared" si="1"/>
        <v>0</v>
      </c>
    </row>
    <row r="677" hidden="1">
      <c r="C677" s="515"/>
      <c r="G677" s="1" t="s">
        <v>2555</v>
      </c>
      <c r="I677" s="516"/>
      <c r="J677" s="516"/>
      <c r="M677" s="515"/>
      <c r="N677" s="516"/>
      <c r="P677" s="1">
        <v>83.3</v>
      </c>
      <c r="Q677" s="1">
        <v>0.0</v>
      </c>
      <c r="S677" s="517"/>
      <c r="V677" s="1">
        <v>0.08</v>
      </c>
      <c r="W677" s="518">
        <f t="shared" si="1"/>
        <v>0</v>
      </c>
    </row>
    <row r="678" hidden="1">
      <c r="C678" s="515"/>
      <c r="G678" s="1" t="s">
        <v>2415</v>
      </c>
      <c r="I678" s="516"/>
      <c r="J678" s="516"/>
      <c r="M678" s="515"/>
      <c r="N678" s="516"/>
      <c r="P678" s="1">
        <v>333.3</v>
      </c>
      <c r="Q678" s="1">
        <v>0.0</v>
      </c>
      <c r="S678" s="517"/>
      <c r="V678" s="1">
        <v>0.33</v>
      </c>
      <c r="W678" s="518">
        <f t="shared" si="1"/>
        <v>0</v>
      </c>
    </row>
    <row r="679" hidden="1">
      <c r="C679" s="515"/>
      <c r="G679" s="1" t="s">
        <v>2418</v>
      </c>
      <c r="I679" s="516"/>
      <c r="J679" s="516"/>
      <c r="M679" s="515"/>
      <c r="N679" s="516"/>
      <c r="P679" s="1">
        <v>141.7</v>
      </c>
      <c r="Q679" s="1">
        <v>0.0</v>
      </c>
      <c r="S679" s="517"/>
      <c r="V679" s="1">
        <v>0.14</v>
      </c>
      <c r="W679" s="518">
        <f t="shared" si="1"/>
        <v>0</v>
      </c>
    </row>
    <row r="680" hidden="1">
      <c r="C680" s="515"/>
      <c r="G680" s="1" t="s">
        <v>2419</v>
      </c>
      <c r="I680" s="516"/>
      <c r="J680" s="516"/>
      <c r="M680" s="515"/>
      <c r="N680" s="516"/>
      <c r="P680" s="1">
        <v>666.7</v>
      </c>
      <c r="Q680" s="1">
        <v>0.0</v>
      </c>
      <c r="S680" s="517"/>
      <c r="V680" s="1">
        <v>0.67</v>
      </c>
      <c r="W680" s="518">
        <f t="shared" si="1"/>
        <v>0</v>
      </c>
    </row>
    <row r="681" hidden="1">
      <c r="C681" s="515"/>
      <c r="G681" s="1" t="s">
        <v>2551</v>
      </c>
      <c r="I681" s="516"/>
      <c r="J681" s="516"/>
      <c r="M681" s="515"/>
      <c r="N681" s="516"/>
      <c r="P681" s="1">
        <v>333.3</v>
      </c>
      <c r="Q681" s="1">
        <v>0.0</v>
      </c>
      <c r="S681" s="517"/>
      <c r="V681" s="1">
        <v>0.33</v>
      </c>
      <c r="W681" s="518">
        <f t="shared" si="1"/>
        <v>0</v>
      </c>
    </row>
    <row r="682" hidden="1">
      <c r="C682" s="515"/>
      <c r="G682" s="1" t="s">
        <v>2422</v>
      </c>
      <c r="I682" s="516"/>
      <c r="J682" s="516"/>
      <c r="M682" s="515"/>
      <c r="N682" s="516"/>
      <c r="P682" s="1">
        <v>250.0</v>
      </c>
      <c r="Q682" s="1">
        <v>0.0</v>
      </c>
      <c r="S682" s="517"/>
      <c r="V682" s="1">
        <v>0.25</v>
      </c>
      <c r="W682" s="518">
        <f t="shared" si="1"/>
        <v>0</v>
      </c>
    </row>
    <row r="683" hidden="1">
      <c r="C683" s="515"/>
      <c r="G683" s="1" t="s">
        <v>2423</v>
      </c>
      <c r="I683" s="516"/>
      <c r="J683" s="516"/>
      <c r="M683" s="515"/>
      <c r="N683" s="516"/>
      <c r="P683" s="1">
        <v>83.3</v>
      </c>
      <c r="Q683" s="1">
        <v>0.0</v>
      </c>
      <c r="S683" s="517"/>
      <c r="V683" s="1">
        <v>0.08</v>
      </c>
      <c r="W683" s="518">
        <f t="shared" si="1"/>
        <v>0</v>
      </c>
    </row>
    <row r="684" hidden="1">
      <c r="C684" s="515"/>
      <c r="G684" s="1" t="s">
        <v>2425</v>
      </c>
      <c r="I684" s="516"/>
      <c r="J684" s="516"/>
      <c r="M684" s="515"/>
      <c r="N684" s="516"/>
      <c r="P684" s="1">
        <v>41.7</v>
      </c>
      <c r="Q684" s="1">
        <v>0.0</v>
      </c>
      <c r="S684" s="517"/>
      <c r="V684" s="1">
        <v>0.04</v>
      </c>
      <c r="W684" s="518">
        <f t="shared" si="1"/>
        <v>0</v>
      </c>
    </row>
    <row r="685" hidden="1">
      <c r="C685" s="515"/>
      <c r="G685" s="1" t="s">
        <v>2426</v>
      </c>
      <c r="I685" s="516"/>
      <c r="J685" s="516"/>
      <c r="M685" s="515"/>
      <c r="N685" s="516"/>
      <c r="P685" s="1">
        <v>250.0</v>
      </c>
      <c r="Q685" s="1">
        <v>0.0</v>
      </c>
      <c r="S685" s="517"/>
      <c r="V685" s="1">
        <v>0.25</v>
      </c>
      <c r="W685" s="518">
        <f t="shared" si="1"/>
        <v>0</v>
      </c>
    </row>
    <row r="686" hidden="1">
      <c r="C686" s="515"/>
      <c r="G686" s="1" t="s">
        <v>2427</v>
      </c>
      <c r="I686" s="516"/>
      <c r="J686" s="516"/>
      <c r="M686" s="515"/>
      <c r="N686" s="516"/>
      <c r="P686" s="1">
        <v>67.3</v>
      </c>
      <c r="Q686" s="1">
        <v>0.0</v>
      </c>
      <c r="S686" s="517"/>
      <c r="V686" s="1">
        <v>0.07</v>
      </c>
      <c r="W686" s="518">
        <f t="shared" si="1"/>
        <v>0</v>
      </c>
    </row>
    <row r="687" hidden="1">
      <c r="C687" s="515"/>
      <c r="G687" s="1" t="s">
        <v>2534</v>
      </c>
      <c r="I687" s="516"/>
      <c r="J687" s="516"/>
      <c r="M687" s="515"/>
      <c r="N687" s="516"/>
      <c r="P687" s="1">
        <v>41.7</v>
      </c>
      <c r="Q687" s="1">
        <v>0.0</v>
      </c>
      <c r="S687" s="517"/>
      <c r="V687" s="1">
        <v>0.04</v>
      </c>
      <c r="W687" s="518">
        <f t="shared" si="1"/>
        <v>0</v>
      </c>
    </row>
    <row r="688" hidden="1">
      <c r="C688" s="515"/>
      <c r="G688" s="1" t="s">
        <v>2556</v>
      </c>
      <c r="I688" s="516"/>
      <c r="J688" s="516"/>
      <c r="M688" s="515"/>
      <c r="N688" s="516"/>
      <c r="P688" s="1">
        <v>83.3</v>
      </c>
      <c r="Q688" s="1">
        <v>0.0</v>
      </c>
      <c r="S688" s="517"/>
      <c r="V688" s="1">
        <v>0.08</v>
      </c>
      <c r="W688" s="518">
        <f t="shared" si="1"/>
        <v>0</v>
      </c>
    </row>
    <row r="689" hidden="1">
      <c r="C689" s="515"/>
      <c r="G689" s="1" t="s">
        <v>2430</v>
      </c>
      <c r="I689" s="516"/>
      <c r="J689" s="516"/>
      <c r="M689" s="515"/>
      <c r="N689" s="516"/>
      <c r="P689" s="1">
        <v>83.3</v>
      </c>
      <c r="Q689" s="1">
        <v>0.0</v>
      </c>
      <c r="S689" s="517"/>
      <c r="V689" s="1">
        <v>0.08</v>
      </c>
      <c r="W689" s="518">
        <f t="shared" si="1"/>
        <v>0</v>
      </c>
    </row>
    <row r="690" hidden="1">
      <c r="C690" s="515"/>
      <c r="G690" s="1" t="s">
        <v>2431</v>
      </c>
      <c r="I690" s="516"/>
      <c r="J690" s="516"/>
      <c r="M690" s="515"/>
      <c r="N690" s="516"/>
      <c r="P690" s="1">
        <v>83.3</v>
      </c>
      <c r="Q690" s="1">
        <v>0.0</v>
      </c>
      <c r="S690" s="517"/>
      <c r="V690" s="1">
        <v>0.08</v>
      </c>
      <c r="W690" s="518">
        <f t="shared" si="1"/>
        <v>0</v>
      </c>
    </row>
    <row r="691" hidden="1">
      <c r="C691" s="515"/>
      <c r="G691" s="1" t="s">
        <v>2557</v>
      </c>
      <c r="I691" s="516"/>
      <c r="J691" s="516"/>
      <c r="K691" s="515">
        <v>46387.0</v>
      </c>
      <c r="M691" s="515"/>
      <c r="N691" s="516"/>
      <c r="P691" s="1">
        <v>3000.0</v>
      </c>
      <c r="Q691" s="1">
        <v>0.0</v>
      </c>
      <c r="S691" s="517"/>
      <c r="V691" s="1">
        <v>3.0</v>
      </c>
      <c r="W691" s="518">
        <f t="shared" si="1"/>
        <v>0</v>
      </c>
    </row>
    <row r="692" hidden="1">
      <c r="C692" s="515"/>
      <c r="G692" s="1" t="s">
        <v>2429</v>
      </c>
      <c r="I692" s="516"/>
      <c r="J692" s="516"/>
      <c r="M692" s="515"/>
      <c r="N692" s="516"/>
      <c r="P692" s="1">
        <v>83.3</v>
      </c>
      <c r="Q692" s="1">
        <v>0.0</v>
      </c>
      <c r="S692" s="517"/>
      <c r="V692" s="1">
        <v>0.08</v>
      </c>
      <c r="W692" s="518">
        <f t="shared" si="1"/>
        <v>0</v>
      </c>
    </row>
    <row r="693" hidden="1">
      <c r="C693" s="515"/>
      <c r="G693" s="1" t="s">
        <v>2535</v>
      </c>
      <c r="I693" s="516"/>
      <c r="J693" s="516"/>
      <c r="M693" s="515"/>
      <c r="N693" s="516"/>
      <c r="P693" s="1">
        <v>41.7</v>
      </c>
      <c r="Q693" s="1">
        <v>0.0</v>
      </c>
      <c r="S693" s="517"/>
      <c r="V693" s="1">
        <v>0.04</v>
      </c>
      <c r="W693" s="518">
        <f t="shared" si="1"/>
        <v>0</v>
      </c>
    </row>
    <row r="694" hidden="1">
      <c r="C694" s="515"/>
      <c r="G694" s="1" t="s">
        <v>2433</v>
      </c>
      <c r="I694" s="516"/>
      <c r="J694" s="516"/>
      <c r="M694" s="515"/>
      <c r="N694" s="516"/>
      <c r="P694" s="1">
        <v>41.7</v>
      </c>
      <c r="Q694" s="1">
        <v>0.0</v>
      </c>
      <c r="S694" s="517"/>
      <c r="V694" s="1">
        <v>0.04</v>
      </c>
      <c r="W694" s="518">
        <f t="shared" si="1"/>
        <v>0</v>
      </c>
    </row>
    <row r="695" hidden="1">
      <c r="C695" s="515"/>
      <c r="G695" s="1" t="s">
        <v>2434</v>
      </c>
      <c r="I695" s="516"/>
      <c r="J695" s="516"/>
      <c r="M695" s="515"/>
      <c r="N695" s="516"/>
      <c r="P695" s="1">
        <v>41.7</v>
      </c>
      <c r="Q695" s="1">
        <v>0.0</v>
      </c>
      <c r="S695" s="517"/>
      <c r="V695" s="1">
        <v>0.04</v>
      </c>
      <c r="W695" s="518">
        <f t="shared" si="1"/>
        <v>0</v>
      </c>
    </row>
    <row r="696" hidden="1">
      <c r="C696" s="515"/>
      <c r="G696" s="1" t="s">
        <v>2435</v>
      </c>
      <c r="I696" s="516"/>
      <c r="J696" s="516"/>
      <c r="M696" s="515"/>
      <c r="N696" s="516"/>
      <c r="P696" s="1">
        <v>83.3</v>
      </c>
      <c r="Q696" s="1">
        <v>0.0</v>
      </c>
      <c r="S696" s="517"/>
      <c r="V696" s="1">
        <v>0.08</v>
      </c>
      <c r="W696" s="518">
        <f t="shared" si="1"/>
        <v>0</v>
      </c>
    </row>
    <row r="697" hidden="1">
      <c r="C697" s="515"/>
      <c r="G697" s="1" t="s">
        <v>2436</v>
      </c>
      <c r="I697" s="516"/>
      <c r="J697" s="516"/>
      <c r="M697" s="515"/>
      <c r="N697" s="516"/>
      <c r="P697" s="1">
        <v>250.0</v>
      </c>
      <c r="Q697" s="1">
        <v>0.0</v>
      </c>
      <c r="S697" s="517"/>
      <c r="V697" s="1">
        <v>0.25</v>
      </c>
      <c r="W697" s="518">
        <f t="shared" si="1"/>
        <v>0</v>
      </c>
    </row>
    <row r="698" hidden="1">
      <c r="C698" s="515"/>
      <c r="G698" s="1" t="s">
        <v>2437</v>
      </c>
      <c r="I698" s="516"/>
      <c r="J698" s="516"/>
      <c r="M698" s="515"/>
      <c r="N698" s="516"/>
      <c r="P698" s="1">
        <v>83.3</v>
      </c>
      <c r="Q698" s="1">
        <v>0.0</v>
      </c>
      <c r="S698" s="517"/>
      <c r="V698" s="1">
        <v>0.08</v>
      </c>
      <c r="W698" s="518">
        <f t="shared" si="1"/>
        <v>0</v>
      </c>
    </row>
    <row r="699" hidden="1">
      <c r="C699" s="515"/>
      <c r="G699" s="1" t="s">
        <v>2438</v>
      </c>
      <c r="I699" s="516"/>
      <c r="J699" s="516"/>
      <c r="M699" s="515"/>
      <c r="N699" s="516"/>
      <c r="P699" s="1">
        <v>166.7</v>
      </c>
      <c r="Q699" s="1">
        <v>0.0</v>
      </c>
      <c r="S699" s="517"/>
      <c r="V699" s="1">
        <v>0.17</v>
      </c>
      <c r="W699" s="518">
        <f t="shared" si="1"/>
        <v>0</v>
      </c>
    </row>
    <row r="700" hidden="1">
      <c r="C700" s="515"/>
      <c r="G700" s="1" t="s">
        <v>2536</v>
      </c>
      <c r="I700" s="516"/>
      <c r="J700" s="516"/>
      <c r="M700" s="515"/>
      <c r="N700" s="516"/>
      <c r="P700" s="1">
        <v>166.7</v>
      </c>
      <c r="Q700" s="1">
        <v>0.0</v>
      </c>
      <c r="S700" s="517"/>
      <c r="V700" s="1">
        <v>0.17</v>
      </c>
      <c r="W700" s="518">
        <f t="shared" si="1"/>
        <v>0</v>
      </c>
    </row>
    <row r="701" hidden="1">
      <c r="C701" s="515"/>
      <c r="G701" s="1" t="s">
        <v>2439</v>
      </c>
      <c r="I701" s="516"/>
      <c r="J701" s="516"/>
      <c r="M701" s="515"/>
      <c r="N701" s="516"/>
      <c r="P701" s="1">
        <v>83.3</v>
      </c>
      <c r="Q701" s="1">
        <v>0.0</v>
      </c>
      <c r="S701" s="517"/>
      <c r="V701" s="1">
        <v>0.08</v>
      </c>
      <c r="W701" s="518">
        <f t="shared" si="1"/>
        <v>0</v>
      </c>
    </row>
    <row r="702" hidden="1">
      <c r="C702" s="515"/>
      <c r="G702" s="1" t="s">
        <v>2537</v>
      </c>
      <c r="I702" s="516"/>
      <c r="J702" s="516"/>
      <c r="M702" s="515"/>
      <c r="N702" s="516"/>
      <c r="P702" s="1">
        <v>83.3</v>
      </c>
      <c r="Q702" s="1">
        <v>0.0</v>
      </c>
      <c r="S702" s="517"/>
      <c r="V702" s="1">
        <v>0.08</v>
      </c>
      <c r="W702" s="518">
        <f t="shared" si="1"/>
        <v>0</v>
      </c>
    </row>
    <row r="703" hidden="1">
      <c r="C703" s="515"/>
      <c r="G703" s="1" t="s">
        <v>2441</v>
      </c>
      <c r="I703" s="516"/>
      <c r="J703" s="516"/>
      <c r="M703" s="515"/>
      <c r="N703" s="516"/>
      <c r="P703" s="1">
        <v>83.3</v>
      </c>
      <c r="Q703" s="1">
        <v>0.0</v>
      </c>
      <c r="S703" s="517"/>
      <c r="V703" s="1">
        <v>0.08</v>
      </c>
      <c r="W703" s="518">
        <f t="shared" si="1"/>
        <v>0</v>
      </c>
    </row>
    <row r="704" hidden="1">
      <c r="C704" s="515"/>
      <c r="G704" s="1" t="s">
        <v>2558</v>
      </c>
      <c r="I704" s="516"/>
      <c r="J704" s="516"/>
      <c r="M704" s="515"/>
      <c r="N704" s="516"/>
      <c r="P704" s="1">
        <v>41.7</v>
      </c>
      <c r="Q704" s="1">
        <v>0.0</v>
      </c>
      <c r="S704" s="517"/>
      <c r="V704" s="1">
        <v>0.04</v>
      </c>
      <c r="W704" s="518">
        <f t="shared" si="1"/>
        <v>0</v>
      </c>
    </row>
    <row r="705" hidden="1">
      <c r="C705" s="515"/>
      <c r="G705" s="1" t="s">
        <v>2443</v>
      </c>
      <c r="I705" s="516"/>
      <c r="J705" s="516"/>
      <c r="M705" s="515"/>
      <c r="N705" s="516"/>
      <c r="P705" s="1">
        <v>833.3</v>
      </c>
      <c r="Q705" s="1">
        <v>0.0</v>
      </c>
      <c r="S705" s="517"/>
      <c r="V705" s="1">
        <v>0.83</v>
      </c>
      <c r="W705" s="518">
        <f t="shared" si="1"/>
        <v>0</v>
      </c>
    </row>
    <row r="706" hidden="1">
      <c r="C706" s="515"/>
      <c r="G706" s="1" t="s">
        <v>2444</v>
      </c>
      <c r="I706" s="516"/>
      <c r="J706" s="516"/>
      <c r="M706" s="515"/>
      <c r="N706" s="516"/>
      <c r="P706" s="1">
        <v>125.0</v>
      </c>
      <c r="Q706" s="1">
        <v>0.0</v>
      </c>
      <c r="S706" s="517"/>
      <c r="V706" s="1">
        <v>0.13</v>
      </c>
      <c r="W706" s="518">
        <f t="shared" si="1"/>
        <v>0</v>
      </c>
    </row>
    <row r="707" hidden="1">
      <c r="C707" s="515"/>
      <c r="G707" s="1" t="s">
        <v>2445</v>
      </c>
      <c r="I707" s="516"/>
      <c r="J707" s="516"/>
      <c r="M707" s="515"/>
      <c r="N707" s="516"/>
      <c r="P707" s="1">
        <v>166.7</v>
      </c>
      <c r="Q707" s="1">
        <v>0.0</v>
      </c>
      <c r="S707" s="517"/>
      <c r="V707" s="1">
        <v>0.17</v>
      </c>
      <c r="W707" s="518">
        <f t="shared" si="1"/>
        <v>0</v>
      </c>
    </row>
    <row r="708" hidden="1">
      <c r="C708" s="515"/>
      <c r="G708" s="1" t="s">
        <v>2559</v>
      </c>
      <c r="I708" s="516"/>
      <c r="J708" s="516"/>
      <c r="M708" s="515"/>
      <c r="N708" s="516"/>
      <c r="P708" s="1">
        <v>83.3</v>
      </c>
      <c r="Q708" s="1">
        <v>0.0</v>
      </c>
      <c r="S708" s="517"/>
      <c r="V708" s="1">
        <v>0.08</v>
      </c>
      <c r="W708" s="518">
        <f t="shared" si="1"/>
        <v>0</v>
      </c>
    </row>
    <row r="709" hidden="1">
      <c r="C709" s="515"/>
      <c r="G709" s="1" t="s">
        <v>2447</v>
      </c>
      <c r="I709" s="516"/>
      <c r="J709" s="516"/>
      <c r="M709" s="515"/>
      <c r="N709" s="516"/>
      <c r="P709" s="1">
        <v>83.3</v>
      </c>
      <c r="Q709" s="1">
        <v>0.0</v>
      </c>
      <c r="S709" s="517"/>
      <c r="V709" s="1">
        <v>0.08</v>
      </c>
      <c r="W709" s="518">
        <f t="shared" si="1"/>
        <v>0</v>
      </c>
    </row>
    <row r="710" hidden="1">
      <c r="C710" s="515"/>
      <c r="G710" s="1" t="s">
        <v>2427</v>
      </c>
      <c r="I710" s="516"/>
      <c r="J710" s="516"/>
      <c r="M710" s="515"/>
      <c r="N710" s="516"/>
      <c r="P710" s="1">
        <v>8.7</v>
      </c>
      <c r="Q710" s="1">
        <v>0.0</v>
      </c>
      <c r="S710" s="517"/>
      <c r="V710" s="1">
        <v>0.01</v>
      </c>
      <c r="W710" s="518">
        <f t="shared" si="1"/>
        <v>0</v>
      </c>
    </row>
    <row r="711" hidden="1">
      <c r="C711" s="515"/>
      <c r="G711" s="1" t="s">
        <v>2449</v>
      </c>
      <c r="I711" s="516"/>
      <c r="J711" s="516"/>
      <c r="M711" s="515"/>
      <c r="N711" s="516"/>
      <c r="P711" s="1">
        <v>41.7</v>
      </c>
      <c r="Q711" s="1">
        <v>0.0</v>
      </c>
      <c r="S711" s="517"/>
      <c r="V711" s="1">
        <v>0.04</v>
      </c>
      <c r="W711" s="518">
        <f t="shared" si="1"/>
        <v>0</v>
      </c>
    </row>
    <row r="712" hidden="1">
      <c r="C712" s="515"/>
      <c r="G712" s="1" t="s">
        <v>2451</v>
      </c>
      <c r="I712" s="516"/>
      <c r="J712" s="516"/>
      <c r="M712" s="515"/>
      <c r="N712" s="516"/>
      <c r="P712" s="1">
        <v>41.7</v>
      </c>
      <c r="Q712" s="1">
        <v>0.0</v>
      </c>
      <c r="S712" s="517"/>
      <c r="V712" s="1">
        <v>0.04</v>
      </c>
      <c r="W712" s="518">
        <f t="shared" si="1"/>
        <v>0</v>
      </c>
    </row>
    <row r="713" hidden="1">
      <c r="C713" s="515"/>
      <c r="G713" s="1" t="s">
        <v>2518</v>
      </c>
      <c r="I713" s="516"/>
      <c r="J713" s="516"/>
      <c r="M713" s="515"/>
      <c r="N713" s="516"/>
      <c r="P713" s="1">
        <v>125.0</v>
      </c>
      <c r="Q713" s="1">
        <v>0.0</v>
      </c>
      <c r="S713" s="517"/>
      <c r="V713" s="1">
        <v>0.13</v>
      </c>
      <c r="W713" s="518">
        <f t="shared" si="1"/>
        <v>0</v>
      </c>
    </row>
    <row r="714" hidden="1">
      <c r="C714" s="515"/>
      <c r="G714" s="1" t="s">
        <v>2454</v>
      </c>
      <c r="I714" s="516"/>
      <c r="J714" s="516"/>
      <c r="M714" s="515"/>
      <c r="N714" s="516"/>
      <c r="P714" s="1">
        <v>83.3</v>
      </c>
      <c r="Q714" s="1">
        <v>0.0</v>
      </c>
      <c r="S714" s="517"/>
      <c r="V714" s="1">
        <v>0.08</v>
      </c>
      <c r="W714" s="518">
        <f t="shared" si="1"/>
        <v>0</v>
      </c>
    </row>
    <row r="715" hidden="1">
      <c r="C715" s="515"/>
      <c r="G715" s="1" t="s">
        <v>2455</v>
      </c>
      <c r="I715" s="516"/>
      <c r="J715" s="516"/>
      <c r="M715" s="515"/>
      <c r="N715" s="516"/>
      <c r="P715" s="1">
        <v>166.7</v>
      </c>
      <c r="Q715" s="1">
        <v>0.0</v>
      </c>
      <c r="S715" s="517"/>
      <c r="V715" s="1">
        <v>0.17</v>
      </c>
      <c r="W715" s="518">
        <f t="shared" si="1"/>
        <v>0</v>
      </c>
    </row>
    <row r="716" hidden="1">
      <c r="C716" s="515"/>
      <c r="G716" s="1" t="s">
        <v>2456</v>
      </c>
      <c r="I716" s="516"/>
      <c r="J716" s="516"/>
      <c r="M716" s="515"/>
      <c r="N716" s="516"/>
      <c r="P716" s="1">
        <v>666.7</v>
      </c>
      <c r="Q716" s="1">
        <v>0.0</v>
      </c>
      <c r="S716" s="517"/>
      <c r="V716" s="1">
        <v>0.67</v>
      </c>
      <c r="W716" s="518">
        <f t="shared" si="1"/>
        <v>0</v>
      </c>
    </row>
    <row r="717" hidden="1">
      <c r="C717" s="515"/>
      <c r="G717" s="1" t="s">
        <v>2539</v>
      </c>
      <c r="I717" s="516"/>
      <c r="J717" s="516"/>
      <c r="M717" s="515"/>
      <c r="N717" s="516"/>
      <c r="P717" s="1">
        <v>41.7</v>
      </c>
      <c r="Q717" s="1">
        <v>0.0</v>
      </c>
      <c r="S717" s="517"/>
      <c r="V717" s="1">
        <v>0.04</v>
      </c>
      <c r="W717" s="518">
        <f t="shared" si="1"/>
        <v>0</v>
      </c>
    </row>
    <row r="718" hidden="1">
      <c r="C718" s="515"/>
      <c r="G718" s="1" t="s">
        <v>2457</v>
      </c>
      <c r="I718" s="516"/>
      <c r="J718" s="516"/>
      <c r="M718" s="515"/>
      <c r="N718" s="516"/>
      <c r="P718" s="1">
        <v>500.0</v>
      </c>
      <c r="Q718" s="1">
        <v>0.0</v>
      </c>
      <c r="S718" s="517"/>
      <c r="V718" s="1">
        <v>0.5</v>
      </c>
      <c r="W718" s="518">
        <f t="shared" si="1"/>
        <v>0</v>
      </c>
    </row>
    <row r="719" hidden="1">
      <c r="C719" s="515"/>
      <c r="G719" s="1" t="s">
        <v>2540</v>
      </c>
      <c r="I719" s="516"/>
      <c r="J719" s="516"/>
      <c r="M719" s="515"/>
      <c r="N719" s="516"/>
      <c r="P719" s="1">
        <v>416.7</v>
      </c>
      <c r="Q719" s="1">
        <v>0.0</v>
      </c>
      <c r="S719" s="517"/>
      <c r="V719" s="1">
        <v>0.42</v>
      </c>
      <c r="W719" s="518">
        <f t="shared" si="1"/>
        <v>0</v>
      </c>
    </row>
    <row r="720" hidden="1">
      <c r="C720" s="515"/>
      <c r="G720" s="1" t="s">
        <v>2458</v>
      </c>
      <c r="I720" s="516"/>
      <c r="J720" s="516"/>
      <c r="M720" s="515"/>
      <c r="N720" s="516"/>
      <c r="P720" s="1">
        <v>83.3</v>
      </c>
      <c r="Q720" s="1">
        <v>0.0</v>
      </c>
      <c r="S720" s="517"/>
      <c r="V720" s="1">
        <v>0.08</v>
      </c>
      <c r="W720" s="518">
        <f t="shared" si="1"/>
        <v>0</v>
      </c>
    </row>
    <row r="721" hidden="1">
      <c r="C721" s="515"/>
      <c r="G721" s="1" t="s">
        <v>2460</v>
      </c>
      <c r="I721" s="516"/>
      <c r="J721" s="516"/>
      <c r="P721" s="1">
        <v>833.3</v>
      </c>
      <c r="Q721" s="1">
        <v>0.0</v>
      </c>
      <c r="S721" s="517"/>
      <c r="V721" s="1">
        <v>0.83</v>
      </c>
      <c r="W721" s="518">
        <f t="shared" si="1"/>
        <v>0</v>
      </c>
    </row>
    <row r="722" hidden="1">
      <c r="C722" s="515"/>
      <c r="G722" s="1" t="s">
        <v>2461</v>
      </c>
      <c r="I722" s="516"/>
      <c r="J722" s="516"/>
      <c r="M722" s="515"/>
      <c r="P722" s="1">
        <v>83.3</v>
      </c>
      <c r="Q722" s="1">
        <v>0.0</v>
      </c>
      <c r="S722" s="517"/>
      <c r="V722" s="1">
        <v>0.08</v>
      </c>
      <c r="W722" s="518">
        <f t="shared" si="1"/>
        <v>0</v>
      </c>
    </row>
    <row r="723" hidden="1">
      <c r="C723" s="515"/>
      <c r="G723" s="1" t="s">
        <v>2553</v>
      </c>
      <c r="I723" s="516"/>
      <c r="J723" s="516"/>
      <c r="P723" s="1">
        <v>41.7</v>
      </c>
      <c r="Q723" s="1">
        <v>0.0</v>
      </c>
      <c r="S723" s="517"/>
      <c r="V723" s="1">
        <v>0.04</v>
      </c>
      <c r="W723" s="518">
        <f t="shared" si="1"/>
        <v>0</v>
      </c>
    </row>
    <row r="724" hidden="1">
      <c r="C724" s="515"/>
      <c r="G724" s="1" t="s">
        <v>2462</v>
      </c>
      <c r="I724" s="516"/>
      <c r="J724" s="516"/>
      <c r="P724" s="1">
        <v>41.7</v>
      </c>
      <c r="Q724" s="1">
        <v>0.0</v>
      </c>
      <c r="S724" s="517"/>
      <c r="V724" s="1">
        <v>0.04</v>
      </c>
      <c r="W724" s="518">
        <f t="shared" si="1"/>
        <v>0</v>
      </c>
    </row>
    <row r="725" hidden="1">
      <c r="C725" s="515"/>
      <c r="G725" s="1" t="s">
        <v>2560</v>
      </c>
      <c r="I725" s="516"/>
      <c r="J725" s="516"/>
      <c r="M725" s="515"/>
      <c r="N725" s="516"/>
      <c r="P725" s="1">
        <v>83.3</v>
      </c>
      <c r="Q725" s="1">
        <v>0.0</v>
      </c>
      <c r="S725" s="517"/>
      <c r="V725" s="1">
        <v>0.08</v>
      </c>
      <c r="W725" s="518">
        <f t="shared" si="1"/>
        <v>0</v>
      </c>
    </row>
    <row r="726" hidden="1">
      <c r="C726" s="515"/>
      <c r="G726" s="1" t="s">
        <v>2526</v>
      </c>
      <c r="I726" s="516"/>
      <c r="J726" s="516"/>
      <c r="M726" s="515"/>
      <c r="N726" s="516"/>
      <c r="P726" s="1">
        <v>83.3</v>
      </c>
      <c r="Q726" s="1">
        <v>0.0</v>
      </c>
      <c r="S726" s="517"/>
      <c r="V726" s="1">
        <v>0.08</v>
      </c>
      <c r="W726" s="518">
        <f t="shared" si="1"/>
        <v>0</v>
      </c>
    </row>
    <row r="727" hidden="1">
      <c r="C727" s="515"/>
      <c r="G727" s="1" t="s">
        <v>2463</v>
      </c>
      <c r="I727" s="516"/>
      <c r="J727" s="516"/>
      <c r="M727" s="515"/>
      <c r="N727" s="516"/>
      <c r="P727" s="1">
        <v>83.3</v>
      </c>
      <c r="Q727" s="1">
        <v>0.0</v>
      </c>
      <c r="S727" s="517"/>
      <c r="V727" s="1">
        <v>0.08</v>
      </c>
      <c r="W727" s="518">
        <f t="shared" si="1"/>
        <v>0</v>
      </c>
    </row>
    <row r="728" hidden="1">
      <c r="C728" s="515"/>
      <c r="G728" s="1" t="s">
        <v>2465</v>
      </c>
      <c r="I728" s="516"/>
      <c r="J728" s="516"/>
      <c r="M728" s="515"/>
      <c r="N728" s="516"/>
      <c r="P728" s="1">
        <v>166.7</v>
      </c>
      <c r="Q728" s="1">
        <v>0.0</v>
      </c>
      <c r="S728" s="517"/>
      <c r="V728" s="1">
        <v>0.17</v>
      </c>
      <c r="W728" s="518">
        <f t="shared" si="1"/>
        <v>0</v>
      </c>
    </row>
    <row r="729" hidden="1">
      <c r="C729" s="515"/>
      <c r="G729" s="1" t="s">
        <v>2541</v>
      </c>
      <c r="I729" s="516"/>
      <c r="J729" s="516"/>
      <c r="M729" s="515"/>
      <c r="N729" s="516"/>
      <c r="P729" s="1">
        <v>166.7</v>
      </c>
      <c r="Q729" s="1">
        <v>0.0</v>
      </c>
      <c r="S729" s="517"/>
      <c r="V729" s="1">
        <v>0.17</v>
      </c>
      <c r="W729" s="518">
        <f t="shared" si="1"/>
        <v>0</v>
      </c>
    </row>
    <row r="730" hidden="1">
      <c r="C730" s="515"/>
      <c r="G730" s="1" t="s">
        <v>2466</v>
      </c>
      <c r="I730" s="516"/>
      <c r="J730" s="516"/>
      <c r="M730" s="515"/>
      <c r="N730" s="516"/>
      <c r="P730" s="1">
        <v>208.3</v>
      </c>
      <c r="Q730" s="1">
        <v>0.0</v>
      </c>
      <c r="S730" s="517"/>
      <c r="V730" s="1">
        <v>0.21</v>
      </c>
      <c r="W730" s="518">
        <f t="shared" si="1"/>
        <v>0</v>
      </c>
    </row>
    <row r="731" hidden="1">
      <c r="C731" s="515"/>
      <c r="G731" s="1" t="s">
        <v>2468</v>
      </c>
      <c r="I731" s="516"/>
      <c r="J731" s="516"/>
      <c r="M731" s="515"/>
      <c r="N731" s="516"/>
      <c r="P731" s="1">
        <v>41.7</v>
      </c>
      <c r="Q731" s="1">
        <v>0.0</v>
      </c>
      <c r="S731" s="517"/>
      <c r="V731" s="1">
        <v>0.04</v>
      </c>
      <c r="W731" s="518">
        <f t="shared" si="1"/>
        <v>0</v>
      </c>
    </row>
    <row r="732" hidden="1">
      <c r="C732" s="515"/>
      <c r="G732" s="1" t="s">
        <v>2521</v>
      </c>
      <c r="I732" s="516"/>
      <c r="J732" s="516"/>
      <c r="M732" s="515"/>
      <c r="N732" s="516"/>
      <c r="P732" s="1">
        <v>83.3</v>
      </c>
      <c r="Q732" s="1">
        <v>0.0</v>
      </c>
      <c r="S732" s="517"/>
      <c r="V732" s="1">
        <v>0.08</v>
      </c>
      <c r="W732" s="518">
        <f t="shared" si="1"/>
        <v>0</v>
      </c>
    </row>
    <row r="733" hidden="1">
      <c r="C733" s="515"/>
      <c r="G733" s="1" t="s">
        <v>2469</v>
      </c>
      <c r="I733" s="516"/>
      <c r="J733" s="516"/>
      <c r="M733" s="515"/>
      <c r="N733" s="516"/>
      <c r="P733" s="1">
        <v>41.7</v>
      </c>
      <c r="Q733" s="1">
        <v>0.0</v>
      </c>
      <c r="S733" s="517"/>
      <c r="V733" s="1">
        <v>0.04</v>
      </c>
      <c r="W733" s="518">
        <f t="shared" si="1"/>
        <v>0</v>
      </c>
    </row>
    <row r="734" hidden="1">
      <c r="C734" s="515"/>
      <c r="G734" s="1" t="s">
        <v>2554</v>
      </c>
      <c r="I734" s="516"/>
      <c r="J734" s="516"/>
      <c r="M734" s="515"/>
      <c r="N734" s="516"/>
      <c r="P734" s="1">
        <v>166.7</v>
      </c>
      <c r="Q734" s="1">
        <v>0.0</v>
      </c>
      <c r="S734" s="517"/>
      <c r="V734" s="1">
        <v>0.17</v>
      </c>
      <c r="W734" s="518">
        <f t="shared" si="1"/>
        <v>0</v>
      </c>
    </row>
    <row r="735" hidden="1">
      <c r="C735" s="515"/>
      <c r="G735" s="1" t="s">
        <v>2470</v>
      </c>
      <c r="I735" s="516"/>
      <c r="J735" s="516"/>
      <c r="M735" s="515"/>
      <c r="N735" s="516"/>
      <c r="P735" s="1">
        <v>333.3</v>
      </c>
      <c r="Q735" s="1">
        <v>0.0</v>
      </c>
      <c r="S735" s="517"/>
      <c r="V735" s="1">
        <v>0.33</v>
      </c>
      <c r="W735" s="518">
        <f t="shared" si="1"/>
        <v>0</v>
      </c>
    </row>
    <row r="736" hidden="1">
      <c r="C736" s="515"/>
      <c r="G736" s="1" t="s">
        <v>2427</v>
      </c>
      <c r="I736" s="516"/>
      <c r="J736" s="516"/>
      <c r="M736" s="515"/>
      <c r="N736" s="516"/>
      <c r="P736" s="1">
        <v>17.4</v>
      </c>
      <c r="Q736" s="1">
        <v>0.0</v>
      </c>
      <c r="S736" s="517"/>
      <c r="V736" s="1">
        <v>0.02</v>
      </c>
      <c r="W736" s="518">
        <f t="shared" si="1"/>
        <v>0</v>
      </c>
    </row>
    <row r="737" hidden="1">
      <c r="C737" s="515"/>
      <c r="G737" s="1" t="s">
        <v>2471</v>
      </c>
      <c r="I737" s="516"/>
      <c r="J737" s="516"/>
      <c r="M737" s="515"/>
      <c r="N737" s="516"/>
      <c r="P737" s="1">
        <v>41.7</v>
      </c>
      <c r="Q737" s="1">
        <v>0.0</v>
      </c>
      <c r="S737" s="517"/>
      <c r="V737" s="1">
        <v>0.04</v>
      </c>
      <c r="W737" s="518">
        <f t="shared" si="1"/>
        <v>0</v>
      </c>
    </row>
    <row r="738" hidden="1">
      <c r="C738" s="515"/>
      <c r="G738" s="1" t="s">
        <v>2472</v>
      </c>
      <c r="I738" s="516"/>
      <c r="J738" s="516"/>
      <c r="M738" s="515"/>
      <c r="N738" s="516"/>
      <c r="P738" s="1">
        <v>83.3</v>
      </c>
      <c r="Q738" s="1">
        <v>0.0</v>
      </c>
      <c r="S738" s="517"/>
      <c r="V738" s="1">
        <v>0.08</v>
      </c>
      <c r="W738" s="518">
        <f t="shared" si="1"/>
        <v>0</v>
      </c>
    </row>
    <row r="739" hidden="1">
      <c r="C739" s="515"/>
      <c r="G739" s="1" t="s">
        <v>2473</v>
      </c>
      <c r="I739" s="516"/>
      <c r="J739" s="516"/>
      <c r="M739" s="515"/>
      <c r="N739" s="516"/>
      <c r="P739" s="1">
        <v>83.3</v>
      </c>
      <c r="Q739" s="1">
        <v>0.0</v>
      </c>
      <c r="S739" s="517"/>
      <c r="V739" s="1">
        <v>0.08</v>
      </c>
      <c r="W739" s="518">
        <f t="shared" si="1"/>
        <v>0</v>
      </c>
    </row>
    <row r="740" hidden="1">
      <c r="C740" s="515"/>
      <c r="G740" s="1" t="s">
        <v>2530</v>
      </c>
      <c r="I740" s="516"/>
      <c r="J740" s="516"/>
      <c r="M740" s="515"/>
      <c r="N740" s="516"/>
      <c r="P740" s="1">
        <v>41.7</v>
      </c>
      <c r="Q740" s="1">
        <v>0.0</v>
      </c>
      <c r="S740" s="517"/>
      <c r="V740" s="1">
        <v>0.04</v>
      </c>
      <c r="W740" s="518">
        <f t="shared" si="1"/>
        <v>0</v>
      </c>
    </row>
    <row r="741" hidden="1">
      <c r="C741" s="515"/>
      <c r="G741" s="1" t="s">
        <v>2542</v>
      </c>
      <c r="I741" s="516"/>
      <c r="J741" s="516"/>
      <c r="M741" s="515"/>
      <c r="N741" s="516"/>
      <c r="P741" s="1">
        <v>83.3</v>
      </c>
      <c r="Q741" s="1">
        <v>0.0</v>
      </c>
      <c r="S741" s="517"/>
      <c r="V741" s="1">
        <v>0.08</v>
      </c>
      <c r="W741" s="518">
        <f t="shared" si="1"/>
        <v>0</v>
      </c>
    </row>
    <row r="742" hidden="1">
      <c r="C742" s="515"/>
      <c r="G742" s="1" t="s">
        <v>2474</v>
      </c>
      <c r="I742" s="516"/>
      <c r="J742" s="516"/>
      <c r="M742" s="515"/>
      <c r="N742" s="516"/>
      <c r="P742" s="1">
        <v>183.3</v>
      </c>
      <c r="Q742" s="1">
        <v>0.0</v>
      </c>
      <c r="S742" s="517"/>
      <c r="V742" s="1">
        <v>0.18</v>
      </c>
      <c r="W742" s="518">
        <f t="shared" si="1"/>
        <v>0</v>
      </c>
    </row>
    <row r="743" hidden="1">
      <c r="C743" s="515"/>
      <c r="G743" s="1" t="s">
        <v>2543</v>
      </c>
      <c r="I743" s="516"/>
      <c r="J743" s="516"/>
      <c r="M743" s="515"/>
      <c r="N743" s="516"/>
      <c r="P743" s="1">
        <v>166.7</v>
      </c>
      <c r="Q743" s="1">
        <v>0.0</v>
      </c>
      <c r="S743" s="517"/>
      <c r="V743" s="1">
        <v>0.17</v>
      </c>
      <c r="W743" s="518">
        <f t="shared" si="1"/>
        <v>0</v>
      </c>
    </row>
    <row r="744" hidden="1">
      <c r="C744" s="515"/>
      <c r="G744" s="1" t="s">
        <v>2453</v>
      </c>
      <c r="I744" s="516"/>
      <c r="J744" s="516"/>
      <c r="M744" s="515"/>
      <c r="N744" s="516"/>
      <c r="P744" s="1">
        <v>83.3</v>
      </c>
      <c r="Q744" s="1">
        <v>0.0</v>
      </c>
      <c r="S744" s="517"/>
      <c r="V744" s="1">
        <v>0.08</v>
      </c>
      <c r="W744" s="518">
        <f t="shared" si="1"/>
        <v>0</v>
      </c>
    </row>
    <row r="745" hidden="1">
      <c r="C745" s="515"/>
      <c r="G745" s="1" t="s">
        <v>2477</v>
      </c>
      <c r="I745" s="516"/>
      <c r="J745" s="516"/>
      <c r="M745" s="515"/>
      <c r="N745" s="516"/>
      <c r="P745" s="1">
        <v>83.3</v>
      </c>
      <c r="Q745" s="1">
        <v>0.0</v>
      </c>
      <c r="S745" s="517"/>
      <c r="V745" s="1">
        <v>0.08</v>
      </c>
      <c r="W745" s="518">
        <f t="shared" si="1"/>
        <v>0</v>
      </c>
    </row>
    <row r="746" hidden="1">
      <c r="C746" s="515"/>
      <c r="G746" s="1" t="s">
        <v>2478</v>
      </c>
      <c r="I746" s="516"/>
      <c r="J746" s="516"/>
      <c r="M746" s="515"/>
      <c r="N746" s="516"/>
      <c r="P746" s="1">
        <v>83.3</v>
      </c>
      <c r="Q746" s="1">
        <v>0.0</v>
      </c>
      <c r="S746" s="517"/>
      <c r="V746" s="1">
        <v>0.08</v>
      </c>
      <c r="W746" s="518">
        <f t="shared" si="1"/>
        <v>0</v>
      </c>
    </row>
    <row r="747" hidden="1">
      <c r="C747" s="515"/>
      <c r="G747" s="1" t="s">
        <v>2479</v>
      </c>
      <c r="I747" s="516"/>
      <c r="J747" s="516"/>
      <c r="M747" s="515"/>
      <c r="N747" s="516"/>
      <c r="P747" s="1">
        <v>41.7</v>
      </c>
      <c r="Q747" s="1">
        <v>0.0</v>
      </c>
      <c r="S747" s="517"/>
      <c r="V747" s="1">
        <v>0.04</v>
      </c>
      <c r="W747" s="518">
        <f t="shared" si="1"/>
        <v>0</v>
      </c>
    </row>
    <row r="748" hidden="1">
      <c r="C748" s="515"/>
      <c r="G748" s="1" t="s">
        <v>2482</v>
      </c>
      <c r="I748" s="516"/>
      <c r="J748" s="516"/>
      <c r="M748" s="515"/>
      <c r="N748" s="516"/>
      <c r="P748" s="1">
        <v>41.7</v>
      </c>
      <c r="Q748" s="1">
        <v>0.0</v>
      </c>
      <c r="S748" s="517"/>
      <c r="V748" s="1">
        <v>0.04</v>
      </c>
      <c r="W748" s="518">
        <f t="shared" si="1"/>
        <v>0</v>
      </c>
    </row>
    <row r="749" hidden="1">
      <c r="C749" s="515"/>
      <c r="G749" s="1" t="s">
        <v>2483</v>
      </c>
      <c r="I749" s="516"/>
      <c r="J749" s="516"/>
      <c r="M749" s="515"/>
      <c r="N749" s="516"/>
      <c r="P749" s="1">
        <v>708.3</v>
      </c>
      <c r="Q749" s="1">
        <v>0.0</v>
      </c>
      <c r="S749" s="517"/>
      <c r="V749" s="1">
        <v>0.71</v>
      </c>
      <c r="W749" s="518">
        <f t="shared" si="1"/>
        <v>0</v>
      </c>
    </row>
    <row r="750" hidden="1">
      <c r="C750" s="515"/>
      <c r="G750" s="1" t="s">
        <v>2484</v>
      </c>
      <c r="I750" s="516"/>
      <c r="J750" s="516"/>
      <c r="M750" s="515"/>
      <c r="N750" s="516"/>
      <c r="P750" s="1">
        <v>500.0</v>
      </c>
      <c r="Q750" s="1">
        <v>0.0</v>
      </c>
      <c r="S750" s="517"/>
      <c r="V750" s="1">
        <v>0.5</v>
      </c>
      <c r="W750" s="518">
        <f t="shared" si="1"/>
        <v>0</v>
      </c>
    </row>
    <row r="751" hidden="1">
      <c r="C751" s="515"/>
      <c r="G751" s="1" t="s">
        <v>2485</v>
      </c>
      <c r="I751" s="516"/>
      <c r="J751" s="516"/>
      <c r="M751" s="515"/>
      <c r="N751" s="516"/>
      <c r="P751" s="1">
        <v>83.3</v>
      </c>
      <c r="Q751" s="1">
        <v>0.0</v>
      </c>
      <c r="S751" s="517"/>
      <c r="V751" s="1">
        <v>0.08</v>
      </c>
      <c r="W751" s="518">
        <f t="shared" si="1"/>
        <v>0</v>
      </c>
    </row>
    <row r="752" hidden="1">
      <c r="C752" s="515"/>
      <c r="G752" s="1" t="s">
        <v>2486</v>
      </c>
      <c r="I752" s="516"/>
      <c r="J752" s="516"/>
      <c r="M752" s="515"/>
      <c r="N752" s="516"/>
      <c r="P752" s="1">
        <v>83.3</v>
      </c>
      <c r="Q752" s="1">
        <v>0.0</v>
      </c>
      <c r="S752" s="517"/>
      <c r="V752" s="1">
        <v>0.08</v>
      </c>
      <c r="W752" s="518">
        <f t="shared" si="1"/>
        <v>0</v>
      </c>
    </row>
    <row r="753" hidden="1">
      <c r="C753" s="515"/>
      <c r="G753" s="1" t="s">
        <v>2545</v>
      </c>
      <c r="I753" s="516"/>
      <c r="J753" s="516"/>
      <c r="M753" s="515"/>
      <c r="N753" s="516"/>
      <c r="P753" s="1">
        <v>41.7</v>
      </c>
      <c r="Q753" s="1">
        <v>0.0</v>
      </c>
      <c r="S753" s="517"/>
      <c r="V753" s="1">
        <v>0.04</v>
      </c>
      <c r="W753" s="518">
        <f t="shared" si="1"/>
        <v>0</v>
      </c>
    </row>
    <row r="754" hidden="1">
      <c r="C754" s="515"/>
      <c r="G754" s="1" t="s">
        <v>2487</v>
      </c>
      <c r="I754" s="516"/>
      <c r="J754" s="516"/>
      <c r="M754" s="515"/>
      <c r="N754" s="516"/>
      <c r="P754" s="1">
        <v>41.7</v>
      </c>
      <c r="Q754" s="1">
        <v>0.0</v>
      </c>
      <c r="S754" s="517"/>
      <c r="V754" s="1">
        <v>0.04</v>
      </c>
      <c r="W754" s="518">
        <f t="shared" si="1"/>
        <v>0</v>
      </c>
    </row>
    <row r="755" hidden="1">
      <c r="C755" s="515"/>
      <c r="G755" s="1" t="s">
        <v>2488</v>
      </c>
      <c r="I755" s="516"/>
      <c r="J755" s="516"/>
      <c r="M755" s="515"/>
      <c r="N755" s="516"/>
      <c r="P755" s="1">
        <v>201.7</v>
      </c>
      <c r="Q755" s="1">
        <v>0.0</v>
      </c>
      <c r="S755" s="517"/>
      <c r="V755" s="1">
        <v>0.2</v>
      </c>
      <c r="W755" s="518">
        <f t="shared" si="1"/>
        <v>0</v>
      </c>
    </row>
    <row r="756" hidden="1">
      <c r="C756" s="515"/>
      <c r="G756" s="1" t="s">
        <v>2489</v>
      </c>
      <c r="I756" s="516"/>
      <c r="J756" s="516"/>
      <c r="M756" s="515"/>
      <c r="N756" s="516"/>
      <c r="P756" s="1">
        <v>83.3</v>
      </c>
      <c r="Q756" s="1">
        <v>0.0</v>
      </c>
      <c r="S756" s="517"/>
      <c r="V756" s="1">
        <v>0.08</v>
      </c>
      <c r="W756" s="518">
        <f t="shared" si="1"/>
        <v>0</v>
      </c>
    </row>
    <row r="757" hidden="1">
      <c r="C757" s="515"/>
      <c r="G757" s="1" t="s">
        <v>2490</v>
      </c>
      <c r="I757" s="516"/>
      <c r="J757" s="516"/>
      <c r="M757" s="515"/>
      <c r="N757" s="516"/>
      <c r="P757" s="1">
        <v>41.7</v>
      </c>
      <c r="Q757" s="1">
        <v>0.0</v>
      </c>
      <c r="S757" s="517"/>
      <c r="V757" s="1">
        <v>0.04</v>
      </c>
      <c r="W757" s="518">
        <f t="shared" si="1"/>
        <v>0</v>
      </c>
    </row>
    <row r="758" hidden="1">
      <c r="C758" s="515"/>
      <c r="G758" s="1" t="s">
        <v>2491</v>
      </c>
      <c r="I758" s="516"/>
      <c r="J758" s="516"/>
      <c r="M758" s="515"/>
      <c r="N758" s="516"/>
      <c r="P758" s="1">
        <v>41.7</v>
      </c>
      <c r="Q758" s="1">
        <v>0.0</v>
      </c>
      <c r="S758" s="517"/>
      <c r="V758" s="1">
        <v>0.04</v>
      </c>
      <c r="W758" s="518">
        <f t="shared" si="1"/>
        <v>0</v>
      </c>
    </row>
    <row r="759" hidden="1">
      <c r="C759" s="515"/>
      <c r="G759" s="1" t="s">
        <v>2492</v>
      </c>
      <c r="I759" s="516"/>
      <c r="J759" s="516"/>
      <c r="M759" s="515"/>
      <c r="N759" s="516"/>
      <c r="P759" s="1">
        <v>1000.0</v>
      </c>
      <c r="Q759" s="1">
        <v>0.0</v>
      </c>
      <c r="S759" s="517"/>
      <c r="V759" s="1">
        <v>1.0</v>
      </c>
      <c r="W759" s="518">
        <f t="shared" si="1"/>
        <v>0</v>
      </c>
    </row>
    <row r="760" hidden="1">
      <c r="C760" s="515"/>
      <c r="G760" s="1" t="s">
        <v>2493</v>
      </c>
      <c r="I760" s="516"/>
      <c r="J760" s="516"/>
      <c r="M760" s="515"/>
      <c r="N760" s="516"/>
      <c r="P760" s="1">
        <v>166.7</v>
      </c>
      <c r="Q760" s="1">
        <v>0.0</v>
      </c>
      <c r="S760" s="517"/>
      <c r="V760" s="1">
        <v>0.17</v>
      </c>
      <c r="W760" s="518">
        <f t="shared" si="1"/>
        <v>0</v>
      </c>
    </row>
    <row r="761" hidden="1">
      <c r="C761" s="515"/>
      <c r="G761" s="1" t="s">
        <v>2495</v>
      </c>
      <c r="I761" s="516"/>
      <c r="J761" s="516"/>
      <c r="M761" s="515"/>
      <c r="N761" s="516"/>
      <c r="P761" s="1">
        <v>83.3</v>
      </c>
      <c r="Q761" s="1">
        <v>0.0</v>
      </c>
      <c r="S761" s="517"/>
      <c r="V761" s="1">
        <v>0.08</v>
      </c>
      <c r="W761" s="518">
        <f t="shared" si="1"/>
        <v>0</v>
      </c>
    </row>
    <row r="762" hidden="1">
      <c r="C762" s="515"/>
      <c r="G762" s="1" t="s">
        <v>2497</v>
      </c>
      <c r="I762" s="516"/>
      <c r="J762" s="516"/>
      <c r="M762" s="515"/>
      <c r="N762" s="516"/>
      <c r="P762" s="1">
        <v>2000.0</v>
      </c>
      <c r="Q762" s="1">
        <v>0.0</v>
      </c>
      <c r="S762" s="517"/>
      <c r="V762" s="1">
        <v>2.0</v>
      </c>
      <c r="W762" s="518">
        <f t="shared" si="1"/>
        <v>0</v>
      </c>
    </row>
    <row r="763" hidden="1">
      <c r="C763" s="515"/>
      <c r="G763" s="1" t="s">
        <v>2498</v>
      </c>
      <c r="I763" s="516"/>
      <c r="J763" s="516"/>
      <c r="M763" s="515"/>
      <c r="N763" s="516"/>
      <c r="P763" s="1">
        <v>183.3</v>
      </c>
      <c r="Q763" s="1">
        <v>0.0</v>
      </c>
      <c r="S763" s="517"/>
      <c r="V763" s="1">
        <v>0.18</v>
      </c>
      <c r="W763" s="518">
        <f t="shared" si="1"/>
        <v>0</v>
      </c>
    </row>
    <row r="764" hidden="1">
      <c r="C764" s="515"/>
      <c r="G764" s="1" t="s">
        <v>2547</v>
      </c>
      <c r="I764" s="516"/>
      <c r="J764" s="516"/>
      <c r="M764" s="515"/>
      <c r="N764" s="516"/>
      <c r="P764" s="1">
        <v>166.7</v>
      </c>
      <c r="Q764" s="1">
        <v>0.0</v>
      </c>
      <c r="S764" s="517"/>
      <c r="V764" s="1">
        <v>0.17</v>
      </c>
      <c r="W764" s="518">
        <f t="shared" si="1"/>
        <v>0</v>
      </c>
    </row>
    <row r="765" hidden="1">
      <c r="C765" s="515"/>
      <c r="G765" s="1" t="s">
        <v>2499</v>
      </c>
      <c r="I765" s="516"/>
      <c r="J765" s="516"/>
      <c r="M765" s="515"/>
      <c r="N765" s="516"/>
      <c r="P765" s="1">
        <v>41.7</v>
      </c>
      <c r="Q765" s="1">
        <v>0.0</v>
      </c>
      <c r="S765" s="517"/>
      <c r="V765" s="1">
        <v>0.04</v>
      </c>
      <c r="W765" s="518">
        <f t="shared" si="1"/>
        <v>0</v>
      </c>
    </row>
    <row r="766" hidden="1">
      <c r="C766" s="515"/>
      <c r="G766" s="1" t="s">
        <v>2500</v>
      </c>
      <c r="I766" s="516"/>
      <c r="J766" s="516"/>
      <c r="M766" s="515"/>
      <c r="N766" s="516"/>
      <c r="P766" s="1">
        <v>41.7</v>
      </c>
      <c r="Q766" s="1">
        <v>0.0</v>
      </c>
      <c r="S766" s="517"/>
      <c r="V766" s="1">
        <v>0.04</v>
      </c>
      <c r="W766" s="518">
        <f t="shared" si="1"/>
        <v>0</v>
      </c>
    </row>
    <row r="767" hidden="1">
      <c r="C767" s="515"/>
      <c r="G767" s="1" t="s">
        <v>2501</v>
      </c>
      <c r="I767" s="516"/>
      <c r="J767" s="516"/>
      <c r="M767" s="515"/>
      <c r="N767" s="516"/>
      <c r="P767" s="1">
        <v>83.3</v>
      </c>
      <c r="Q767" s="1">
        <v>0.0</v>
      </c>
      <c r="S767" s="517"/>
      <c r="V767" s="1">
        <v>0.08</v>
      </c>
      <c r="W767" s="518">
        <f t="shared" si="1"/>
        <v>0</v>
      </c>
    </row>
    <row r="768" hidden="1">
      <c r="C768" s="515"/>
      <c r="G768" s="1" t="s">
        <v>2502</v>
      </c>
      <c r="I768" s="516"/>
      <c r="J768" s="516"/>
      <c r="M768" s="515"/>
      <c r="N768" s="516"/>
      <c r="P768" s="1">
        <v>41.7</v>
      </c>
      <c r="Q768" s="1">
        <v>0.0</v>
      </c>
      <c r="S768" s="517"/>
      <c r="V768" s="1">
        <v>0.04</v>
      </c>
      <c r="W768" s="518">
        <f t="shared" si="1"/>
        <v>0</v>
      </c>
    </row>
    <row r="769" hidden="1">
      <c r="C769" s="515"/>
      <c r="G769" s="1" t="s">
        <v>2503</v>
      </c>
      <c r="I769" s="516"/>
      <c r="J769" s="516"/>
      <c r="M769" s="515"/>
      <c r="N769" s="516"/>
      <c r="P769" s="1">
        <v>1666.7</v>
      </c>
      <c r="Q769" s="1">
        <v>0.0</v>
      </c>
      <c r="S769" s="517"/>
      <c r="V769" s="1">
        <v>1.67</v>
      </c>
      <c r="W769" s="518">
        <f t="shared" si="1"/>
        <v>0</v>
      </c>
    </row>
    <row r="770" hidden="1">
      <c r="C770" s="515"/>
      <c r="G770" s="1" t="s">
        <v>2504</v>
      </c>
      <c r="I770" s="516"/>
      <c r="J770" s="516"/>
      <c r="M770" s="515"/>
      <c r="N770" s="516"/>
      <c r="P770" s="1">
        <v>41.7</v>
      </c>
      <c r="Q770" s="1">
        <v>0.0</v>
      </c>
      <c r="S770" s="517"/>
      <c r="V770" s="1">
        <v>0.04</v>
      </c>
      <c r="W770" s="518">
        <f t="shared" si="1"/>
        <v>0</v>
      </c>
    </row>
    <row r="771" hidden="1">
      <c r="C771" s="515"/>
      <c r="G771" s="1" t="s">
        <v>2505</v>
      </c>
      <c r="I771" s="516"/>
      <c r="J771" s="516"/>
      <c r="M771" s="515"/>
      <c r="N771" s="516"/>
      <c r="P771" s="1">
        <v>125.0</v>
      </c>
      <c r="Q771" s="1">
        <v>0.0</v>
      </c>
      <c r="S771" s="517"/>
      <c r="V771" s="1">
        <v>0.13</v>
      </c>
      <c r="W771" s="518">
        <f t="shared" si="1"/>
        <v>0</v>
      </c>
    </row>
    <row r="772" hidden="1">
      <c r="C772" s="515"/>
      <c r="G772" s="1" t="s">
        <v>2510</v>
      </c>
      <c r="I772" s="516"/>
      <c r="J772" s="516"/>
      <c r="M772" s="515"/>
      <c r="N772" s="516"/>
      <c r="P772" s="1">
        <v>83.3</v>
      </c>
      <c r="Q772" s="1">
        <v>0.0</v>
      </c>
      <c r="S772" s="517"/>
      <c r="V772" s="1">
        <v>0.08</v>
      </c>
      <c r="W772" s="518">
        <f t="shared" si="1"/>
        <v>0</v>
      </c>
    </row>
    <row r="773" hidden="1">
      <c r="C773" s="515"/>
      <c r="G773" s="1" t="s">
        <v>2511</v>
      </c>
      <c r="I773" s="516"/>
      <c r="J773" s="516"/>
      <c r="M773" s="515"/>
      <c r="N773" s="516"/>
      <c r="P773" s="1">
        <v>41.7</v>
      </c>
      <c r="Q773" s="1">
        <v>0.0</v>
      </c>
      <c r="S773" s="517"/>
      <c r="V773" s="1">
        <v>0.04</v>
      </c>
      <c r="W773" s="518">
        <f t="shared" si="1"/>
        <v>0</v>
      </c>
    </row>
    <row r="774" hidden="1">
      <c r="C774" s="515"/>
      <c r="G774" s="1" t="s">
        <v>2512</v>
      </c>
      <c r="I774" s="516"/>
      <c r="J774" s="516"/>
      <c r="M774" s="515"/>
      <c r="N774" s="516"/>
      <c r="P774" s="1">
        <v>83.3</v>
      </c>
      <c r="Q774" s="1">
        <v>0.0</v>
      </c>
      <c r="S774" s="517"/>
      <c r="V774" s="1">
        <v>0.08</v>
      </c>
      <c r="W774" s="518">
        <f t="shared" si="1"/>
        <v>0</v>
      </c>
    </row>
    <row r="775" hidden="1">
      <c r="C775" s="515"/>
      <c r="G775" s="1" t="s">
        <v>2406</v>
      </c>
      <c r="I775" s="516"/>
      <c r="J775" s="516"/>
      <c r="M775" s="515"/>
      <c r="N775" s="516"/>
      <c r="P775" s="1">
        <v>166.7</v>
      </c>
      <c r="Q775" s="1">
        <v>0.0</v>
      </c>
      <c r="S775" s="517"/>
      <c r="V775" s="1">
        <v>0.17</v>
      </c>
      <c r="W775" s="518">
        <f t="shared" si="1"/>
        <v>0</v>
      </c>
    </row>
    <row r="776" hidden="1">
      <c r="C776" s="515"/>
      <c r="G776" s="1" t="s">
        <v>2407</v>
      </c>
      <c r="I776" s="516"/>
      <c r="J776" s="516"/>
      <c r="M776" s="515"/>
      <c r="N776" s="516"/>
      <c r="P776" s="1">
        <v>416.7</v>
      </c>
      <c r="Q776" s="1">
        <v>0.0</v>
      </c>
      <c r="S776" s="517"/>
      <c r="V776" s="1">
        <v>0.42</v>
      </c>
      <c r="W776" s="518">
        <f t="shared" si="1"/>
        <v>0</v>
      </c>
    </row>
    <row r="777" hidden="1">
      <c r="C777" s="515"/>
      <c r="G777" s="1" t="s">
        <v>2408</v>
      </c>
      <c r="I777" s="516"/>
      <c r="J777" s="516"/>
      <c r="M777" s="515"/>
      <c r="N777" s="516"/>
      <c r="P777" s="1">
        <v>41.7</v>
      </c>
      <c r="Q777" s="1">
        <v>0.0</v>
      </c>
      <c r="S777" s="517"/>
      <c r="V777" s="1">
        <v>0.04</v>
      </c>
      <c r="W777" s="518">
        <f t="shared" si="1"/>
        <v>0</v>
      </c>
    </row>
    <row r="778" hidden="1">
      <c r="C778" s="515"/>
      <c r="G778" s="1" t="s">
        <v>2410</v>
      </c>
      <c r="I778" s="516"/>
      <c r="J778" s="516"/>
      <c r="M778" s="515"/>
      <c r="N778" s="516"/>
      <c r="P778" s="1">
        <v>83.3</v>
      </c>
      <c r="Q778" s="1">
        <v>0.0</v>
      </c>
      <c r="S778" s="517"/>
      <c r="V778" s="1">
        <v>0.08</v>
      </c>
      <c r="W778" s="518">
        <f t="shared" si="1"/>
        <v>0</v>
      </c>
    </row>
    <row r="779" hidden="1">
      <c r="C779" s="515"/>
      <c r="G779" s="1" t="s">
        <v>2549</v>
      </c>
      <c r="I779" s="516"/>
      <c r="J779" s="516"/>
      <c r="M779" s="515"/>
      <c r="N779" s="516"/>
      <c r="P779" s="1">
        <v>83.3</v>
      </c>
      <c r="Q779" s="1">
        <v>0.0</v>
      </c>
      <c r="S779" s="517"/>
      <c r="V779" s="1">
        <v>0.08</v>
      </c>
      <c r="W779" s="518">
        <f t="shared" si="1"/>
        <v>0</v>
      </c>
    </row>
    <row r="780" hidden="1">
      <c r="C780" s="515"/>
      <c r="G780" s="1" t="s">
        <v>2555</v>
      </c>
      <c r="I780" s="516"/>
      <c r="J780" s="516"/>
      <c r="M780" s="515"/>
      <c r="N780" s="516"/>
      <c r="P780" s="1">
        <v>83.3</v>
      </c>
      <c r="Q780" s="1">
        <v>0.0</v>
      </c>
      <c r="S780" s="517"/>
      <c r="V780" s="1">
        <v>0.08</v>
      </c>
      <c r="W780" s="518">
        <f t="shared" si="1"/>
        <v>0</v>
      </c>
    </row>
    <row r="781" hidden="1">
      <c r="C781" s="515"/>
      <c r="G781" s="1" t="s">
        <v>2415</v>
      </c>
      <c r="I781" s="516"/>
      <c r="J781" s="516"/>
      <c r="M781" s="515"/>
      <c r="N781" s="516"/>
      <c r="P781" s="1">
        <v>333.3</v>
      </c>
      <c r="Q781" s="1">
        <v>0.0</v>
      </c>
      <c r="S781" s="517"/>
      <c r="V781" s="1">
        <v>0.33</v>
      </c>
      <c r="W781" s="518">
        <f t="shared" si="1"/>
        <v>0</v>
      </c>
    </row>
    <row r="782" hidden="1">
      <c r="C782" s="515"/>
      <c r="G782" s="1" t="s">
        <v>2418</v>
      </c>
      <c r="I782" s="516"/>
      <c r="J782" s="516"/>
      <c r="M782" s="515"/>
      <c r="N782" s="516"/>
      <c r="P782" s="1">
        <v>141.7</v>
      </c>
      <c r="Q782" s="1">
        <v>0.0</v>
      </c>
      <c r="S782" s="517"/>
      <c r="V782" s="1">
        <v>0.14</v>
      </c>
      <c r="W782" s="518">
        <f t="shared" si="1"/>
        <v>0</v>
      </c>
    </row>
    <row r="783" hidden="1">
      <c r="C783" s="515"/>
      <c r="G783" s="1" t="s">
        <v>2419</v>
      </c>
      <c r="I783" s="516"/>
      <c r="J783" s="516"/>
      <c r="M783" s="515"/>
      <c r="N783" s="516"/>
      <c r="P783" s="1">
        <v>666.7</v>
      </c>
      <c r="Q783" s="1">
        <v>0.0</v>
      </c>
      <c r="S783" s="517"/>
      <c r="V783" s="1">
        <v>0.67</v>
      </c>
      <c r="W783" s="518">
        <f t="shared" si="1"/>
        <v>0</v>
      </c>
    </row>
    <row r="784" hidden="1">
      <c r="C784" s="515"/>
      <c r="G784" s="1" t="s">
        <v>2551</v>
      </c>
      <c r="I784" s="516"/>
      <c r="J784" s="516"/>
      <c r="M784" s="515"/>
      <c r="P784" s="1">
        <v>333.3</v>
      </c>
      <c r="Q784" s="1">
        <v>0.0</v>
      </c>
      <c r="S784" s="517"/>
      <c r="V784" s="1">
        <v>0.33</v>
      </c>
      <c r="W784" s="518">
        <f t="shared" si="1"/>
        <v>0</v>
      </c>
    </row>
    <row r="785" hidden="1">
      <c r="C785" s="515"/>
      <c r="G785" s="1" t="s">
        <v>2422</v>
      </c>
      <c r="I785" s="516"/>
      <c r="J785" s="516"/>
      <c r="M785" s="515"/>
      <c r="N785" s="516"/>
      <c r="P785" s="1">
        <v>250.0</v>
      </c>
      <c r="Q785" s="1">
        <v>0.0</v>
      </c>
      <c r="S785" s="517"/>
      <c r="V785" s="1">
        <v>0.25</v>
      </c>
      <c r="W785" s="518">
        <f t="shared" si="1"/>
        <v>0</v>
      </c>
    </row>
    <row r="786" hidden="1">
      <c r="C786" s="515"/>
      <c r="G786" s="1" t="s">
        <v>2423</v>
      </c>
      <c r="I786" s="516"/>
      <c r="J786" s="516"/>
      <c r="M786" s="515"/>
      <c r="N786" s="516"/>
      <c r="P786" s="1">
        <v>83.3</v>
      </c>
      <c r="Q786" s="1">
        <v>0.0</v>
      </c>
      <c r="S786" s="517"/>
      <c r="V786" s="1">
        <v>0.08</v>
      </c>
      <c r="W786" s="518">
        <f t="shared" si="1"/>
        <v>0</v>
      </c>
    </row>
    <row r="787" hidden="1">
      <c r="C787" s="515"/>
      <c r="G787" s="1" t="s">
        <v>2425</v>
      </c>
      <c r="I787" s="516"/>
      <c r="J787" s="516"/>
      <c r="M787" s="515"/>
      <c r="N787" s="516"/>
      <c r="P787" s="1">
        <v>41.7</v>
      </c>
      <c r="Q787" s="1">
        <v>0.0</v>
      </c>
      <c r="S787" s="517"/>
      <c r="V787" s="1">
        <v>0.04</v>
      </c>
      <c r="W787" s="518">
        <f t="shared" si="1"/>
        <v>0</v>
      </c>
    </row>
    <row r="788" hidden="1">
      <c r="C788" s="515"/>
      <c r="G788" s="1" t="s">
        <v>2426</v>
      </c>
      <c r="I788" s="516"/>
      <c r="J788" s="516"/>
      <c r="M788" s="515"/>
      <c r="N788" s="516"/>
      <c r="P788" s="1">
        <v>250.0</v>
      </c>
      <c r="Q788" s="1">
        <v>0.0</v>
      </c>
      <c r="S788" s="517"/>
      <c r="V788" s="1">
        <v>0.25</v>
      </c>
      <c r="W788" s="518">
        <f t="shared" si="1"/>
        <v>0</v>
      </c>
    </row>
    <row r="789" hidden="1">
      <c r="C789" s="515"/>
      <c r="G789" s="1" t="s">
        <v>2427</v>
      </c>
      <c r="I789" s="516"/>
      <c r="J789" s="516"/>
      <c r="M789" s="515"/>
      <c r="N789" s="516"/>
      <c r="P789" s="1">
        <v>83.3</v>
      </c>
      <c r="Q789" s="1">
        <v>0.0</v>
      </c>
      <c r="S789" s="517"/>
      <c r="V789" s="1">
        <v>0.08</v>
      </c>
      <c r="W789" s="518">
        <f t="shared" si="1"/>
        <v>0</v>
      </c>
    </row>
    <row r="790" hidden="1">
      <c r="C790" s="515"/>
      <c r="G790" s="1" t="s">
        <v>2534</v>
      </c>
      <c r="I790" s="516"/>
      <c r="J790" s="516"/>
      <c r="M790" s="515"/>
      <c r="N790" s="516"/>
      <c r="P790" s="1">
        <v>41.7</v>
      </c>
      <c r="Q790" s="1">
        <v>0.0</v>
      </c>
      <c r="S790" s="517"/>
      <c r="V790" s="1">
        <v>0.04</v>
      </c>
      <c r="W790" s="518">
        <f t="shared" si="1"/>
        <v>0</v>
      </c>
    </row>
    <row r="791" hidden="1">
      <c r="C791" s="515"/>
      <c r="G791" s="1" t="s">
        <v>2429</v>
      </c>
      <c r="I791" s="516"/>
      <c r="J791" s="516"/>
      <c r="M791" s="515"/>
      <c r="N791" s="516"/>
      <c r="P791" s="1">
        <v>333.3</v>
      </c>
      <c r="Q791" s="1">
        <v>0.0</v>
      </c>
      <c r="S791" s="517"/>
      <c r="V791" s="1">
        <v>0.33</v>
      </c>
      <c r="W791" s="518">
        <f t="shared" si="1"/>
        <v>0</v>
      </c>
    </row>
    <row r="792" hidden="1">
      <c r="C792" s="515"/>
      <c r="G792" s="1" t="s">
        <v>2556</v>
      </c>
      <c r="I792" s="516"/>
      <c r="J792" s="516"/>
      <c r="M792" s="515"/>
      <c r="N792" s="516"/>
      <c r="P792" s="1">
        <v>83.3</v>
      </c>
      <c r="Q792" s="1">
        <v>0.0</v>
      </c>
      <c r="S792" s="517"/>
      <c r="V792" s="1">
        <v>0.08</v>
      </c>
      <c r="W792" s="518">
        <f t="shared" si="1"/>
        <v>0</v>
      </c>
    </row>
    <row r="793" hidden="1">
      <c r="C793" s="515"/>
      <c r="G793" s="1" t="s">
        <v>2431</v>
      </c>
      <c r="I793" s="516"/>
      <c r="J793" s="516"/>
      <c r="M793" s="515"/>
      <c r="N793" s="516"/>
      <c r="P793" s="1">
        <v>83.3</v>
      </c>
      <c r="Q793" s="1">
        <v>0.0</v>
      </c>
      <c r="S793" s="517"/>
      <c r="V793" s="1">
        <v>0.08</v>
      </c>
      <c r="W793" s="518">
        <f t="shared" si="1"/>
        <v>0</v>
      </c>
    </row>
    <row r="794" hidden="1">
      <c r="C794" s="515"/>
      <c r="G794" s="1" t="s">
        <v>2535</v>
      </c>
      <c r="I794" s="516"/>
      <c r="J794" s="516"/>
      <c r="M794" s="515"/>
      <c r="N794" s="516"/>
      <c r="P794" s="1">
        <v>41.7</v>
      </c>
      <c r="Q794" s="1">
        <v>0.0</v>
      </c>
      <c r="S794" s="517"/>
      <c r="V794" s="1">
        <v>0.04</v>
      </c>
      <c r="W794" s="518">
        <f t="shared" si="1"/>
        <v>0</v>
      </c>
    </row>
    <row r="795" hidden="1">
      <c r="C795" s="515"/>
      <c r="G795" s="1" t="s">
        <v>2433</v>
      </c>
      <c r="I795" s="516"/>
      <c r="J795" s="516"/>
      <c r="M795" s="515"/>
      <c r="N795" s="516"/>
      <c r="P795" s="1">
        <v>41.7</v>
      </c>
      <c r="Q795" s="1">
        <v>0.0</v>
      </c>
      <c r="S795" s="517"/>
      <c r="V795" s="1">
        <v>0.04</v>
      </c>
      <c r="W795" s="518">
        <f t="shared" si="1"/>
        <v>0</v>
      </c>
    </row>
    <row r="796" hidden="1">
      <c r="C796" s="515"/>
      <c r="G796" s="1" t="s">
        <v>2434</v>
      </c>
      <c r="I796" s="516"/>
      <c r="J796" s="516"/>
      <c r="M796" s="515"/>
      <c r="N796" s="516"/>
      <c r="P796" s="1">
        <v>41.7</v>
      </c>
      <c r="Q796" s="1">
        <v>0.0</v>
      </c>
      <c r="S796" s="517"/>
      <c r="V796" s="1">
        <v>0.04</v>
      </c>
      <c r="W796" s="518">
        <f t="shared" si="1"/>
        <v>0</v>
      </c>
    </row>
    <row r="797" hidden="1">
      <c r="C797" s="515"/>
      <c r="G797" s="1" t="s">
        <v>2435</v>
      </c>
      <c r="I797" s="516"/>
      <c r="J797" s="516"/>
      <c r="M797" s="515"/>
      <c r="N797" s="516"/>
      <c r="P797" s="1">
        <v>83.3</v>
      </c>
      <c r="Q797" s="1">
        <v>0.0</v>
      </c>
      <c r="S797" s="517"/>
      <c r="V797" s="1">
        <v>0.08</v>
      </c>
      <c r="W797" s="518">
        <f t="shared" si="1"/>
        <v>0</v>
      </c>
    </row>
    <row r="798" hidden="1">
      <c r="C798" s="515"/>
      <c r="G798" s="1" t="s">
        <v>2436</v>
      </c>
      <c r="I798" s="516"/>
      <c r="J798" s="516"/>
      <c r="M798" s="515"/>
      <c r="N798" s="516"/>
      <c r="P798" s="1">
        <v>250.0</v>
      </c>
      <c r="Q798" s="1">
        <v>0.0</v>
      </c>
      <c r="S798" s="517"/>
      <c r="V798" s="1">
        <v>0.25</v>
      </c>
      <c r="W798" s="518">
        <f t="shared" si="1"/>
        <v>0</v>
      </c>
    </row>
    <row r="799" hidden="1">
      <c r="C799" s="515"/>
      <c r="G799" s="1" t="s">
        <v>2437</v>
      </c>
      <c r="I799" s="516"/>
      <c r="J799" s="516"/>
      <c r="M799" s="515"/>
      <c r="N799" s="516"/>
      <c r="P799" s="1">
        <v>83.3</v>
      </c>
      <c r="Q799" s="1">
        <v>0.0</v>
      </c>
      <c r="S799" s="517"/>
      <c r="V799" s="1">
        <v>0.08</v>
      </c>
      <c r="W799" s="518">
        <f t="shared" si="1"/>
        <v>0</v>
      </c>
    </row>
    <row r="800" hidden="1">
      <c r="C800" s="515"/>
      <c r="G800" s="1" t="s">
        <v>2438</v>
      </c>
      <c r="I800" s="516"/>
      <c r="J800" s="516"/>
      <c r="M800" s="515"/>
      <c r="N800" s="516"/>
      <c r="P800" s="1">
        <v>166.7</v>
      </c>
      <c r="Q800" s="1">
        <v>0.0</v>
      </c>
      <c r="S800" s="517"/>
      <c r="V800" s="1">
        <v>0.17</v>
      </c>
      <c r="W800" s="518">
        <f t="shared" si="1"/>
        <v>0</v>
      </c>
    </row>
    <row r="801" hidden="1">
      <c r="C801" s="515"/>
      <c r="G801" s="1" t="s">
        <v>2536</v>
      </c>
      <c r="I801" s="516"/>
      <c r="J801" s="516"/>
      <c r="M801" s="515"/>
      <c r="N801" s="516"/>
      <c r="P801" s="1">
        <v>166.7</v>
      </c>
      <c r="Q801" s="1">
        <v>0.0</v>
      </c>
      <c r="S801" s="517"/>
      <c r="V801" s="1">
        <v>0.17</v>
      </c>
      <c r="W801" s="518">
        <f t="shared" si="1"/>
        <v>0</v>
      </c>
    </row>
    <row r="802" hidden="1">
      <c r="C802" s="515"/>
      <c r="G802" s="1" t="s">
        <v>2439</v>
      </c>
      <c r="I802" s="516"/>
      <c r="J802" s="516"/>
      <c r="M802" s="515"/>
      <c r="N802" s="516"/>
      <c r="P802" s="1">
        <v>83.3</v>
      </c>
      <c r="Q802" s="1">
        <v>0.0</v>
      </c>
      <c r="S802" s="517"/>
      <c r="V802" s="1">
        <v>0.08</v>
      </c>
      <c r="W802" s="518">
        <f t="shared" si="1"/>
        <v>0</v>
      </c>
    </row>
    <row r="803" hidden="1">
      <c r="C803" s="515"/>
      <c r="G803" s="1" t="s">
        <v>2537</v>
      </c>
      <c r="I803" s="516"/>
      <c r="J803" s="516"/>
      <c r="M803" s="515"/>
      <c r="N803" s="516"/>
      <c r="P803" s="1">
        <v>83.3</v>
      </c>
      <c r="Q803" s="1">
        <v>0.0</v>
      </c>
      <c r="S803" s="517"/>
      <c r="V803" s="1">
        <v>0.08</v>
      </c>
      <c r="W803" s="518">
        <f t="shared" si="1"/>
        <v>0</v>
      </c>
    </row>
    <row r="804" hidden="1">
      <c r="C804" s="515"/>
      <c r="G804" s="1" t="s">
        <v>2441</v>
      </c>
      <c r="I804" s="516"/>
      <c r="J804" s="516"/>
      <c r="M804" s="515"/>
      <c r="N804" s="516"/>
      <c r="P804" s="1">
        <v>83.3</v>
      </c>
      <c r="Q804" s="1">
        <v>0.0</v>
      </c>
      <c r="S804" s="517"/>
      <c r="V804" s="1">
        <v>0.08</v>
      </c>
      <c r="W804" s="518">
        <f t="shared" si="1"/>
        <v>0</v>
      </c>
    </row>
    <row r="805" hidden="1">
      <c r="C805" s="515"/>
      <c r="G805" s="1" t="s">
        <v>2558</v>
      </c>
      <c r="I805" s="516"/>
      <c r="J805" s="516"/>
      <c r="M805" s="515"/>
      <c r="N805" s="516"/>
      <c r="P805" s="1">
        <v>41.7</v>
      </c>
      <c r="Q805" s="1">
        <v>0.0</v>
      </c>
      <c r="S805" s="517"/>
      <c r="V805" s="1">
        <v>0.04</v>
      </c>
      <c r="W805" s="518">
        <f t="shared" si="1"/>
        <v>0</v>
      </c>
    </row>
    <row r="806" hidden="1">
      <c r="C806" s="515"/>
      <c r="G806" s="1" t="s">
        <v>2561</v>
      </c>
      <c r="I806" s="516"/>
      <c r="J806" s="516"/>
      <c r="M806" s="515"/>
      <c r="N806" s="516"/>
      <c r="P806" s="1">
        <v>41.7</v>
      </c>
      <c r="Q806" s="1">
        <v>0.0</v>
      </c>
      <c r="S806" s="517"/>
      <c r="V806" s="1">
        <v>0.04</v>
      </c>
      <c r="W806" s="518">
        <f t="shared" si="1"/>
        <v>0</v>
      </c>
    </row>
    <row r="807" hidden="1">
      <c r="C807" s="515"/>
      <c r="G807" s="1" t="s">
        <v>2443</v>
      </c>
      <c r="I807" s="516"/>
      <c r="J807" s="516"/>
      <c r="M807" s="515"/>
      <c r="N807" s="516"/>
      <c r="P807" s="1">
        <v>833.3</v>
      </c>
      <c r="Q807" s="1">
        <v>0.0</v>
      </c>
      <c r="S807" s="517"/>
      <c r="V807" s="1">
        <v>0.83</v>
      </c>
      <c r="W807" s="518">
        <f t="shared" si="1"/>
        <v>0</v>
      </c>
    </row>
    <row r="808" hidden="1">
      <c r="C808" s="515"/>
      <c r="G808" s="1" t="s">
        <v>2444</v>
      </c>
      <c r="I808" s="516"/>
      <c r="J808" s="516"/>
      <c r="M808" s="515"/>
      <c r="N808" s="516"/>
      <c r="P808" s="1">
        <v>125.0</v>
      </c>
      <c r="Q808" s="1">
        <v>0.0</v>
      </c>
      <c r="S808" s="517"/>
      <c r="V808" s="1">
        <v>0.13</v>
      </c>
      <c r="W808" s="518">
        <f t="shared" si="1"/>
        <v>0</v>
      </c>
    </row>
    <row r="809" hidden="1">
      <c r="C809" s="515"/>
      <c r="G809" s="1" t="s">
        <v>2445</v>
      </c>
      <c r="I809" s="516"/>
      <c r="J809" s="516"/>
      <c r="M809" s="515"/>
      <c r="N809" s="516"/>
      <c r="P809" s="1">
        <v>166.7</v>
      </c>
      <c r="Q809" s="1">
        <v>0.0</v>
      </c>
      <c r="S809" s="517"/>
      <c r="V809" s="1">
        <v>0.17</v>
      </c>
      <c r="W809" s="518">
        <f t="shared" si="1"/>
        <v>0</v>
      </c>
    </row>
    <row r="810" hidden="1">
      <c r="C810" s="515"/>
      <c r="G810" s="1" t="s">
        <v>2559</v>
      </c>
      <c r="I810" s="516"/>
      <c r="J810" s="516"/>
      <c r="M810" s="515"/>
      <c r="N810" s="516"/>
      <c r="P810" s="1">
        <v>83.3</v>
      </c>
      <c r="Q810" s="1">
        <v>0.0</v>
      </c>
      <c r="S810" s="517"/>
      <c r="V810" s="1">
        <v>0.08</v>
      </c>
      <c r="W810" s="518">
        <f t="shared" si="1"/>
        <v>0</v>
      </c>
    </row>
    <row r="811" hidden="1">
      <c r="C811" s="515"/>
      <c r="G811" s="1" t="s">
        <v>2447</v>
      </c>
      <c r="I811" s="516"/>
      <c r="J811" s="516"/>
      <c r="M811" s="515"/>
      <c r="N811" s="516"/>
      <c r="P811" s="1">
        <v>83.3</v>
      </c>
      <c r="Q811" s="1">
        <v>0.0</v>
      </c>
      <c r="S811" s="517"/>
      <c r="V811" s="1">
        <v>0.08</v>
      </c>
      <c r="W811" s="518">
        <f t="shared" si="1"/>
        <v>0</v>
      </c>
    </row>
    <row r="812" hidden="1">
      <c r="C812" s="515"/>
      <c r="G812" s="1" t="s">
        <v>2449</v>
      </c>
      <c r="I812" s="516"/>
      <c r="J812" s="516"/>
      <c r="M812" s="515"/>
      <c r="N812" s="516"/>
      <c r="P812" s="1">
        <v>41.7</v>
      </c>
      <c r="Q812" s="1">
        <v>0.0</v>
      </c>
      <c r="S812" s="517"/>
      <c r="V812" s="1">
        <v>0.04</v>
      </c>
      <c r="W812" s="518">
        <f t="shared" si="1"/>
        <v>0</v>
      </c>
    </row>
    <row r="813" hidden="1">
      <c r="C813" s="515"/>
      <c r="G813" s="1" t="s">
        <v>2451</v>
      </c>
      <c r="I813" s="516"/>
      <c r="J813" s="516"/>
      <c r="M813" s="515"/>
      <c r="N813" s="516"/>
      <c r="P813" s="1">
        <v>41.7</v>
      </c>
      <c r="Q813" s="1">
        <v>0.0</v>
      </c>
      <c r="S813" s="517"/>
      <c r="V813" s="1">
        <v>0.04</v>
      </c>
      <c r="W813" s="518">
        <f t="shared" si="1"/>
        <v>0</v>
      </c>
    </row>
    <row r="814" hidden="1">
      <c r="C814" s="515"/>
      <c r="G814" s="1" t="s">
        <v>2518</v>
      </c>
      <c r="I814" s="516"/>
      <c r="J814" s="516"/>
      <c r="M814" s="515"/>
      <c r="N814" s="516"/>
      <c r="P814" s="1">
        <v>125.0</v>
      </c>
      <c r="Q814" s="1">
        <v>0.0</v>
      </c>
      <c r="S814" s="517"/>
      <c r="V814" s="1">
        <v>0.13</v>
      </c>
      <c r="W814" s="518">
        <f t="shared" si="1"/>
        <v>0</v>
      </c>
    </row>
    <row r="815" hidden="1">
      <c r="C815" s="515"/>
      <c r="G815" s="1" t="s">
        <v>2454</v>
      </c>
      <c r="I815" s="516"/>
      <c r="J815" s="516"/>
      <c r="M815" s="515"/>
      <c r="N815" s="516"/>
      <c r="P815" s="1">
        <v>83.3</v>
      </c>
      <c r="Q815" s="1">
        <v>0.0</v>
      </c>
      <c r="S815" s="517"/>
      <c r="V815" s="1">
        <v>0.08</v>
      </c>
      <c r="W815" s="518">
        <f t="shared" si="1"/>
        <v>0</v>
      </c>
    </row>
    <row r="816" hidden="1">
      <c r="C816" s="515"/>
      <c r="G816" s="1" t="s">
        <v>2455</v>
      </c>
      <c r="I816" s="516"/>
      <c r="J816" s="516"/>
      <c r="M816" s="515"/>
      <c r="N816" s="516"/>
      <c r="P816" s="1">
        <v>166.7</v>
      </c>
      <c r="Q816" s="1">
        <v>0.0</v>
      </c>
      <c r="S816" s="517"/>
      <c r="V816" s="1">
        <v>0.17</v>
      </c>
      <c r="W816" s="518">
        <f t="shared" si="1"/>
        <v>0</v>
      </c>
    </row>
    <row r="817" hidden="1">
      <c r="C817" s="515"/>
      <c r="G817" s="1" t="s">
        <v>2456</v>
      </c>
      <c r="I817" s="516"/>
      <c r="J817" s="516"/>
      <c r="M817" s="515"/>
      <c r="N817" s="516"/>
      <c r="P817" s="1">
        <v>666.7</v>
      </c>
      <c r="Q817" s="1">
        <v>0.0</v>
      </c>
      <c r="S817" s="517"/>
      <c r="V817" s="1">
        <v>0.67</v>
      </c>
      <c r="W817" s="518">
        <f t="shared" si="1"/>
        <v>0</v>
      </c>
    </row>
    <row r="818" hidden="1">
      <c r="C818" s="515"/>
      <c r="G818" s="1" t="s">
        <v>2539</v>
      </c>
      <c r="I818" s="516"/>
      <c r="J818" s="516"/>
      <c r="M818" s="515"/>
      <c r="N818" s="516"/>
      <c r="P818" s="1">
        <v>41.7</v>
      </c>
      <c r="Q818" s="1">
        <v>0.0</v>
      </c>
      <c r="S818" s="517"/>
      <c r="V818" s="1">
        <v>0.04</v>
      </c>
      <c r="W818" s="518">
        <f t="shared" si="1"/>
        <v>0</v>
      </c>
    </row>
    <row r="819" hidden="1">
      <c r="C819" s="515"/>
      <c r="G819" s="1" t="s">
        <v>2457</v>
      </c>
      <c r="I819" s="516"/>
      <c r="J819" s="516"/>
      <c r="M819" s="515"/>
      <c r="N819" s="516"/>
      <c r="P819" s="1">
        <v>500.0</v>
      </c>
      <c r="Q819" s="1">
        <v>0.0</v>
      </c>
      <c r="S819" s="517"/>
      <c r="V819" s="1">
        <v>0.5</v>
      </c>
      <c r="W819" s="518">
        <f t="shared" si="1"/>
        <v>0</v>
      </c>
    </row>
    <row r="820" hidden="1">
      <c r="C820" s="515"/>
      <c r="G820" s="1" t="s">
        <v>2540</v>
      </c>
      <c r="I820" s="516"/>
      <c r="J820" s="516"/>
      <c r="M820" s="515"/>
      <c r="N820" s="516"/>
      <c r="P820" s="1">
        <v>416.7</v>
      </c>
      <c r="Q820" s="1">
        <v>0.0</v>
      </c>
      <c r="S820" s="517"/>
      <c r="V820" s="1">
        <v>0.42</v>
      </c>
      <c r="W820" s="518">
        <f t="shared" si="1"/>
        <v>0</v>
      </c>
    </row>
    <row r="821" hidden="1">
      <c r="C821" s="515"/>
      <c r="G821" s="1" t="s">
        <v>2458</v>
      </c>
      <c r="I821" s="516"/>
      <c r="J821" s="516"/>
      <c r="M821" s="515"/>
      <c r="N821" s="516"/>
      <c r="P821" s="1">
        <v>83.3</v>
      </c>
      <c r="Q821" s="1">
        <v>0.0</v>
      </c>
      <c r="S821" s="517"/>
      <c r="V821" s="1">
        <v>0.08</v>
      </c>
      <c r="W821" s="518">
        <f t="shared" si="1"/>
        <v>0</v>
      </c>
    </row>
    <row r="822" hidden="1">
      <c r="C822" s="515"/>
      <c r="G822" s="1" t="s">
        <v>2460</v>
      </c>
      <c r="I822" s="516"/>
      <c r="J822" s="516"/>
      <c r="M822" s="515"/>
      <c r="N822" s="516"/>
      <c r="P822" s="1">
        <v>833.3</v>
      </c>
      <c r="Q822" s="1">
        <v>0.0</v>
      </c>
      <c r="S822" s="517"/>
      <c r="V822" s="1">
        <v>0.83</v>
      </c>
      <c r="W822" s="518">
        <f t="shared" si="1"/>
        <v>0</v>
      </c>
    </row>
    <row r="823" hidden="1">
      <c r="C823" s="515"/>
      <c r="G823" s="1" t="s">
        <v>2461</v>
      </c>
      <c r="I823" s="516"/>
      <c r="J823" s="516"/>
      <c r="M823" s="515"/>
      <c r="N823" s="516"/>
      <c r="P823" s="1">
        <v>83.3</v>
      </c>
      <c r="Q823" s="1">
        <v>0.0</v>
      </c>
      <c r="S823" s="517"/>
      <c r="V823" s="1">
        <v>0.08</v>
      </c>
      <c r="W823" s="518">
        <f t="shared" si="1"/>
        <v>0</v>
      </c>
    </row>
    <row r="824" hidden="1">
      <c r="C824" s="515"/>
      <c r="G824" s="1" t="s">
        <v>2553</v>
      </c>
      <c r="I824" s="516"/>
      <c r="J824" s="516"/>
      <c r="M824" s="515"/>
      <c r="N824" s="516"/>
      <c r="P824" s="1">
        <v>41.7</v>
      </c>
      <c r="Q824" s="1">
        <v>0.0</v>
      </c>
      <c r="S824" s="517"/>
      <c r="V824" s="1">
        <v>0.04</v>
      </c>
      <c r="W824" s="518">
        <f t="shared" si="1"/>
        <v>0</v>
      </c>
    </row>
    <row r="825" hidden="1">
      <c r="C825" s="515"/>
      <c r="G825" s="1" t="s">
        <v>2462</v>
      </c>
      <c r="I825" s="516"/>
      <c r="J825" s="516"/>
      <c r="M825" s="515"/>
      <c r="N825" s="516"/>
      <c r="P825" s="1">
        <v>41.7</v>
      </c>
      <c r="Q825" s="1">
        <v>0.0</v>
      </c>
      <c r="S825" s="517"/>
      <c r="V825" s="1">
        <v>0.04</v>
      </c>
      <c r="W825" s="518">
        <f t="shared" si="1"/>
        <v>0</v>
      </c>
    </row>
    <row r="826" hidden="1">
      <c r="C826" s="515"/>
      <c r="G826" s="1" t="s">
        <v>2560</v>
      </c>
      <c r="I826" s="516"/>
      <c r="J826" s="516"/>
      <c r="M826" s="515"/>
      <c r="N826" s="516"/>
      <c r="P826" s="1">
        <v>83.3</v>
      </c>
      <c r="Q826" s="1">
        <v>0.0</v>
      </c>
      <c r="S826" s="517"/>
      <c r="V826" s="1">
        <v>0.08</v>
      </c>
      <c r="W826" s="518">
        <f t="shared" si="1"/>
        <v>0</v>
      </c>
    </row>
    <row r="827" hidden="1">
      <c r="C827" s="515"/>
      <c r="G827" s="1" t="s">
        <v>2526</v>
      </c>
      <c r="I827" s="516"/>
      <c r="J827" s="516"/>
      <c r="M827" s="515"/>
      <c r="N827" s="516"/>
      <c r="P827" s="1">
        <v>83.3</v>
      </c>
      <c r="Q827" s="1">
        <v>0.0</v>
      </c>
      <c r="S827" s="517"/>
      <c r="V827" s="1">
        <v>0.08</v>
      </c>
      <c r="W827" s="518">
        <f t="shared" si="1"/>
        <v>0</v>
      </c>
    </row>
    <row r="828" hidden="1">
      <c r="C828" s="515"/>
      <c r="G828" s="1" t="s">
        <v>2463</v>
      </c>
      <c r="I828" s="516"/>
      <c r="J828" s="516"/>
      <c r="M828" s="515"/>
      <c r="N828" s="516"/>
      <c r="P828" s="1">
        <v>83.3</v>
      </c>
      <c r="Q828" s="1">
        <v>0.0</v>
      </c>
      <c r="S828" s="517"/>
      <c r="V828" s="1">
        <v>0.08</v>
      </c>
      <c r="W828" s="518">
        <f t="shared" si="1"/>
        <v>0</v>
      </c>
    </row>
    <row r="829" hidden="1">
      <c r="C829" s="515"/>
      <c r="G829" s="1" t="s">
        <v>2465</v>
      </c>
      <c r="I829" s="516"/>
      <c r="J829" s="516"/>
      <c r="M829" s="515"/>
      <c r="N829" s="516"/>
      <c r="P829" s="1">
        <v>166.7</v>
      </c>
      <c r="Q829" s="1">
        <v>0.0</v>
      </c>
      <c r="S829" s="517"/>
      <c r="V829" s="1">
        <v>0.17</v>
      </c>
      <c r="W829" s="518">
        <f t="shared" si="1"/>
        <v>0</v>
      </c>
    </row>
    <row r="830" hidden="1">
      <c r="C830" s="515"/>
      <c r="G830" s="1" t="s">
        <v>2541</v>
      </c>
      <c r="I830" s="516"/>
      <c r="J830" s="516"/>
      <c r="M830" s="515"/>
      <c r="N830" s="516"/>
      <c r="P830" s="1">
        <v>166.7</v>
      </c>
      <c r="Q830" s="1">
        <v>0.0</v>
      </c>
      <c r="S830" s="517"/>
      <c r="V830" s="1">
        <v>0.17</v>
      </c>
      <c r="W830" s="518">
        <f t="shared" si="1"/>
        <v>0</v>
      </c>
    </row>
    <row r="831" hidden="1">
      <c r="C831" s="515"/>
      <c r="G831" s="1" t="s">
        <v>2466</v>
      </c>
      <c r="I831" s="516"/>
      <c r="J831" s="516"/>
      <c r="M831" s="515"/>
      <c r="N831" s="516"/>
      <c r="P831" s="1">
        <v>208.3</v>
      </c>
      <c r="Q831" s="1">
        <v>0.0</v>
      </c>
      <c r="S831" s="517"/>
      <c r="V831" s="1">
        <v>0.21</v>
      </c>
      <c r="W831" s="518">
        <f t="shared" si="1"/>
        <v>0</v>
      </c>
    </row>
    <row r="832" hidden="1">
      <c r="C832" s="515"/>
      <c r="G832" s="1" t="s">
        <v>2468</v>
      </c>
      <c r="I832" s="516"/>
      <c r="J832" s="516"/>
      <c r="M832" s="515"/>
      <c r="N832" s="516"/>
      <c r="P832" s="1">
        <v>41.7</v>
      </c>
      <c r="Q832" s="1">
        <v>0.0</v>
      </c>
      <c r="S832" s="517"/>
      <c r="V832" s="1">
        <v>0.04</v>
      </c>
      <c r="W832" s="518">
        <f t="shared" si="1"/>
        <v>0</v>
      </c>
    </row>
    <row r="833" hidden="1">
      <c r="C833" s="515"/>
      <c r="G833" s="1" t="s">
        <v>2521</v>
      </c>
      <c r="I833" s="516"/>
      <c r="J833" s="516"/>
      <c r="M833" s="515"/>
      <c r="N833" s="516"/>
      <c r="P833" s="1">
        <v>83.3</v>
      </c>
      <c r="Q833" s="1">
        <v>0.0</v>
      </c>
      <c r="S833" s="517"/>
      <c r="V833" s="1">
        <v>0.08</v>
      </c>
      <c r="W833" s="518">
        <f t="shared" si="1"/>
        <v>0</v>
      </c>
    </row>
    <row r="834" hidden="1">
      <c r="C834" s="515"/>
      <c r="G834" s="1" t="s">
        <v>2469</v>
      </c>
      <c r="I834" s="516"/>
      <c r="J834" s="516"/>
      <c r="M834" s="515"/>
      <c r="N834" s="516"/>
      <c r="P834" s="1">
        <v>41.7</v>
      </c>
      <c r="Q834" s="1">
        <v>0.0</v>
      </c>
      <c r="S834" s="517"/>
      <c r="V834" s="1">
        <v>0.04</v>
      </c>
      <c r="W834" s="518">
        <f t="shared" si="1"/>
        <v>0</v>
      </c>
    </row>
    <row r="835" hidden="1">
      <c r="C835" s="515"/>
      <c r="G835" s="1" t="s">
        <v>2554</v>
      </c>
      <c r="I835" s="516"/>
      <c r="J835" s="516"/>
      <c r="M835" s="515"/>
      <c r="N835" s="516"/>
      <c r="P835" s="1">
        <v>166.7</v>
      </c>
      <c r="Q835" s="1">
        <v>0.0</v>
      </c>
      <c r="S835" s="517"/>
      <c r="V835" s="1">
        <v>0.17</v>
      </c>
      <c r="W835" s="518">
        <f t="shared" si="1"/>
        <v>0</v>
      </c>
    </row>
    <row r="836" hidden="1">
      <c r="C836" s="515"/>
      <c r="G836" s="1" t="s">
        <v>2470</v>
      </c>
      <c r="I836" s="516"/>
      <c r="J836" s="516"/>
      <c r="M836" s="515"/>
      <c r="N836" s="516"/>
      <c r="P836" s="1">
        <v>333.3</v>
      </c>
      <c r="Q836" s="1">
        <v>0.0</v>
      </c>
      <c r="S836" s="517"/>
      <c r="V836" s="1">
        <v>0.33</v>
      </c>
      <c r="W836" s="518">
        <f t="shared" si="1"/>
        <v>0</v>
      </c>
    </row>
    <row r="837" hidden="1">
      <c r="C837" s="515"/>
      <c r="G837" s="1" t="s">
        <v>2471</v>
      </c>
      <c r="I837" s="516"/>
      <c r="J837" s="516"/>
      <c r="M837" s="515"/>
      <c r="N837" s="516"/>
      <c r="P837" s="1">
        <v>41.7</v>
      </c>
      <c r="Q837" s="1">
        <v>0.0</v>
      </c>
      <c r="S837" s="517"/>
      <c r="V837" s="1">
        <v>0.04</v>
      </c>
      <c r="W837" s="518">
        <f t="shared" si="1"/>
        <v>0</v>
      </c>
    </row>
    <row r="838" hidden="1">
      <c r="C838" s="515"/>
      <c r="G838" s="1" t="s">
        <v>2472</v>
      </c>
      <c r="I838" s="516"/>
      <c r="J838" s="516"/>
      <c r="M838" s="515"/>
      <c r="N838" s="516"/>
      <c r="P838" s="1">
        <v>83.3</v>
      </c>
      <c r="Q838" s="1">
        <v>0.0</v>
      </c>
      <c r="S838" s="517"/>
      <c r="V838" s="1">
        <v>0.08</v>
      </c>
      <c r="W838" s="518">
        <f t="shared" si="1"/>
        <v>0</v>
      </c>
    </row>
    <row r="839" hidden="1">
      <c r="C839" s="515"/>
      <c r="G839" s="1" t="s">
        <v>2473</v>
      </c>
      <c r="I839" s="516"/>
      <c r="J839" s="516"/>
      <c r="M839" s="515"/>
      <c r="N839" s="516"/>
      <c r="P839" s="1">
        <v>83.3</v>
      </c>
      <c r="Q839" s="1">
        <v>0.0</v>
      </c>
      <c r="S839" s="517"/>
      <c r="V839" s="1">
        <v>0.08</v>
      </c>
      <c r="W839" s="518">
        <f t="shared" si="1"/>
        <v>0</v>
      </c>
    </row>
    <row r="840" hidden="1">
      <c r="C840" s="515"/>
      <c r="G840" s="1" t="s">
        <v>2530</v>
      </c>
      <c r="I840" s="516"/>
      <c r="J840" s="516"/>
      <c r="M840" s="515"/>
      <c r="N840" s="516"/>
      <c r="P840" s="1">
        <v>41.7</v>
      </c>
      <c r="Q840" s="1">
        <v>0.0</v>
      </c>
      <c r="S840" s="517"/>
      <c r="V840" s="1">
        <v>0.04</v>
      </c>
      <c r="W840" s="518">
        <f t="shared" si="1"/>
        <v>0</v>
      </c>
    </row>
    <row r="841" hidden="1">
      <c r="C841" s="515"/>
      <c r="G841" s="1" t="s">
        <v>2542</v>
      </c>
      <c r="I841" s="516"/>
      <c r="J841" s="516"/>
      <c r="M841" s="515"/>
      <c r="N841" s="516"/>
      <c r="P841" s="1">
        <v>83.3</v>
      </c>
      <c r="Q841" s="1">
        <v>0.0</v>
      </c>
      <c r="S841" s="517"/>
      <c r="V841" s="1">
        <v>0.08</v>
      </c>
      <c r="W841" s="518">
        <f t="shared" si="1"/>
        <v>0</v>
      </c>
    </row>
    <row r="842" hidden="1">
      <c r="C842" s="515"/>
      <c r="G842" s="1" t="s">
        <v>2474</v>
      </c>
      <c r="I842" s="516"/>
      <c r="J842" s="516"/>
      <c r="M842" s="515"/>
      <c r="N842" s="516"/>
      <c r="P842" s="1">
        <v>183.3</v>
      </c>
      <c r="Q842" s="1">
        <v>0.0</v>
      </c>
      <c r="S842" s="517"/>
      <c r="V842" s="1">
        <v>0.18</v>
      </c>
      <c r="W842" s="518">
        <f t="shared" si="1"/>
        <v>0</v>
      </c>
    </row>
    <row r="843" hidden="1">
      <c r="C843" s="515"/>
      <c r="G843" s="1" t="s">
        <v>2543</v>
      </c>
      <c r="I843" s="516"/>
      <c r="J843" s="516"/>
      <c r="M843" s="515"/>
      <c r="N843" s="516"/>
      <c r="P843" s="1">
        <v>166.7</v>
      </c>
      <c r="Q843" s="1">
        <v>0.0</v>
      </c>
      <c r="S843" s="517"/>
      <c r="V843" s="1">
        <v>0.17</v>
      </c>
      <c r="W843" s="518">
        <f t="shared" si="1"/>
        <v>0</v>
      </c>
    </row>
    <row r="844" hidden="1">
      <c r="C844" s="515"/>
      <c r="G844" s="1" t="s">
        <v>2453</v>
      </c>
      <c r="I844" s="516"/>
      <c r="J844" s="516"/>
      <c r="M844" s="515"/>
      <c r="N844" s="516"/>
      <c r="P844" s="1">
        <v>83.3</v>
      </c>
      <c r="Q844" s="1">
        <v>0.0</v>
      </c>
      <c r="S844" s="517"/>
      <c r="V844" s="1">
        <v>0.08</v>
      </c>
      <c r="W844" s="518">
        <f t="shared" si="1"/>
        <v>0</v>
      </c>
    </row>
    <row r="845" hidden="1">
      <c r="C845" s="515"/>
      <c r="G845" s="1" t="s">
        <v>2477</v>
      </c>
      <c r="I845" s="516"/>
      <c r="J845" s="516"/>
      <c r="M845" s="515"/>
      <c r="N845" s="516"/>
      <c r="P845" s="1">
        <v>83.3</v>
      </c>
      <c r="Q845" s="1">
        <v>0.0</v>
      </c>
      <c r="S845" s="517"/>
      <c r="V845" s="1">
        <v>0.08</v>
      </c>
      <c r="W845" s="518">
        <f t="shared" si="1"/>
        <v>0</v>
      </c>
    </row>
    <row r="846" hidden="1">
      <c r="C846" s="515"/>
      <c r="G846" s="1" t="s">
        <v>2478</v>
      </c>
      <c r="I846" s="516"/>
      <c r="J846" s="516"/>
      <c r="M846" s="515"/>
      <c r="N846" s="516"/>
      <c r="P846" s="1">
        <v>83.3</v>
      </c>
      <c r="Q846" s="1">
        <v>0.0</v>
      </c>
      <c r="S846" s="517"/>
      <c r="V846" s="1">
        <v>0.08</v>
      </c>
      <c r="W846" s="518">
        <f t="shared" si="1"/>
        <v>0</v>
      </c>
    </row>
    <row r="847" hidden="1">
      <c r="C847" s="515"/>
      <c r="G847" s="1" t="s">
        <v>2479</v>
      </c>
      <c r="I847" s="516"/>
      <c r="J847" s="516"/>
      <c r="M847" s="515"/>
      <c r="N847" s="516"/>
      <c r="P847" s="1">
        <v>41.7</v>
      </c>
      <c r="Q847" s="1">
        <v>0.0</v>
      </c>
      <c r="S847" s="517"/>
      <c r="V847" s="1">
        <v>0.04</v>
      </c>
      <c r="W847" s="518">
        <f t="shared" si="1"/>
        <v>0</v>
      </c>
    </row>
    <row r="848" hidden="1">
      <c r="C848" s="515"/>
      <c r="G848" s="1" t="s">
        <v>2482</v>
      </c>
      <c r="I848" s="516"/>
      <c r="J848" s="516"/>
      <c r="M848" s="515"/>
      <c r="N848" s="516"/>
      <c r="P848" s="1">
        <v>41.7</v>
      </c>
      <c r="Q848" s="1">
        <v>0.0</v>
      </c>
      <c r="S848" s="517"/>
      <c r="V848" s="1">
        <v>0.04</v>
      </c>
      <c r="W848" s="518">
        <f t="shared" si="1"/>
        <v>0</v>
      </c>
    </row>
    <row r="849" hidden="1">
      <c r="C849" s="515"/>
      <c r="G849" s="1" t="s">
        <v>2562</v>
      </c>
      <c r="I849" s="516"/>
      <c r="J849" s="516"/>
      <c r="M849" s="515"/>
      <c r="N849" s="516"/>
      <c r="P849" s="1">
        <v>625.0</v>
      </c>
      <c r="Q849" s="1">
        <v>0.0</v>
      </c>
      <c r="S849" s="517"/>
      <c r="V849" s="1">
        <v>0.63</v>
      </c>
      <c r="W849" s="518">
        <f t="shared" si="1"/>
        <v>0</v>
      </c>
    </row>
    <row r="850" hidden="1">
      <c r="C850" s="515"/>
      <c r="G850" s="1" t="s">
        <v>2483</v>
      </c>
      <c r="I850" s="516"/>
      <c r="J850" s="516"/>
      <c r="M850" s="515"/>
      <c r="N850" s="516"/>
      <c r="P850" s="1">
        <v>708.3</v>
      </c>
      <c r="Q850" s="1">
        <v>0.0</v>
      </c>
      <c r="S850" s="517"/>
      <c r="V850" s="1">
        <v>0.71</v>
      </c>
      <c r="W850" s="518">
        <f t="shared" si="1"/>
        <v>0</v>
      </c>
    </row>
    <row r="851" hidden="1">
      <c r="C851" s="515"/>
      <c r="G851" s="1" t="s">
        <v>2484</v>
      </c>
      <c r="I851" s="516"/>
      <c r="J851" s="516"/>
      <c r="M851" s="515"/>
      <c r="N851" s="516"/>
      <c r="P851" s="1">
        <v>500.0</v>
      </c>
      <c r="Q851" s="1">
        <v>0.0</v>
      </c>
      <c r="S851" s="517"/>
      <c r="V851" s="1">
        <v>0.5</v>
      </c>
      <c r="W851" s="518">
        <f t="shared" si="1"/>
        <v>0</v>
      </c>
    </row>
    <row r="852" hidden="1">
      <c r="C852" s="515"/>
      <c r="G852" s="1" t="s">
        <v>2485</v>
      </c>
      <c r="I852" s="516"/>
      <c r="J852" s="516"/>
      <c r="M852" s="515"/>
      <c r="N852" s="516"/>
      <c r="P852" s="1">
        <v>83.3</v>
      </c>
      <c r="Q852" s="1">
        <v>0.0</v>
      </c>
      <c r="S852" s="517"/>
      <c r="V852" s="1">
        <v>0.08</v>
      </c>
      <c r="W852" s="518">
        <f t="shared" si="1"/>
        <v>0</v>
      </c>
    </row>
    <row r="853" hidden="1">
      <c r="C853" s="515"/>
      <c r="G853" s="1" t="s">
        <v>2486</v>
      </c>
      <c r="I853" s="516"/>
      <c r="J853" s="516"/>
      <c r="M853" s="515"/>
      <c r="N853" s="516"/>
      <c r="P853" s="1">
        <v>83.3</v>
      </c>
      <c r="Q853" s="1">
        <v>0.0</v>
      </c>
      <c r="S853" s="517"/>
      <c r="V853" s="1">
        <v>0.08</v>
      </c>
      <c r="W853" s="518">
        <f t="shared" si="1"/>
        <v>0</v>
      </c>
    </row>
    <row r="854" hidden="1">
      <c r="C854" s="515"/>
      <c r="G854" s="1" t="s">
        <v>2545</v>
      </c>
      <c r="I854" s="516"/>
      <c r="J854" s="516"/>
      <c r="M854" s="515"/>
      <c r="N854" s="516"/>
      <c r="P854" s="1">
        <v>41.7</v>
      </c>
      <c r="Q854" s="1">
        <v>0.0</v>
      </c>
      <c r="S854" s="517"/>
      <c r="V854" s="1">
        <v>0.04</v>
      </c>
      <c r="W854" s="518">
        <f t="shared" si="1"/>
        <v>0</v>
      </c>
    </row>
    <row r="855" hidden="1">
      <c r="C855" s="515"/>
      <c r="G855" s="1" t="s">
        <v>2487</v>
      </c>
      <c r="I855" s="516"/>
      <c r="J855" s="516"/>
      <c r="M855" s="515"/>
      <c r="N855" s="516"/>
      <c r="P855" s="1">
        <v>41.7</v>
      </c>
      <c r="Q855" s="1">
        <v>0.0</v>
      </c>
      <c r="S855" s="517"/>
      <c r="V855" s="1">
        <v>0.04</v>
      </c>
      <c r="W855" s="518">
        <f t="shared" si="1"/>
        <v>0</v>
      </c>
    </row>
    <row r="856" hidden="1">
      <c r="C856" s="515"/>
      <c r="G856" s="1" t="s">
        <v>2488</v>
      </c>
      <c r="I856" s="516"/>
      <c r="J856" s="516"/>
      <c r="M856" s="515"/>
      <c r="N856" s="516"/>
      <c r="P856" s="1">
        <v>125.0</v>
      </c>
      <c r="Q856" s="1">
        <v>0.0</v>
      </c>
      <c r="S856" s="517"/>
      <c r="V856" s="1">
        <v>0.13</v>
      </c>
      <c r="W856" s="518">
        <f t="shared" si="1"/>
        <v>0</v>
      </c>
    </row>
    <row r="857" hidden="1">
      <c r="C857" s="515"/>
      <c r="G857" s="1" t="s">
        <v>2489</v>
      </c>
      <c r="I857" s="516"/>
      <c r="J857" s="516"/>
      <c r="M857" s="515"/>
      <c r="N857" s="516"/>
      <c r="P857" s="1">
        <v>83.3</v>
      </c>
      <c r="Q857" s="1">
        <v>0.0</v>
      </c>
      <c r="S857" s="517"/>
      <c r="V857" s="1">
        <v>0.08</v>
      </c>
      <c r="W857" s="518">
        <f t="shared" si="1"/>
        <v>0</v>
      </c>
    </row>
    <row r="858" hidden="1">
      <c r="C858" s="515"/>
      <c r="G858" s="1" t="s">
        <v>2490</v>
      </c>
      <c r="I858" s="516"/>
      <c r="J858" s="516"/>
      <c r="M858" s="515"/>
      <c r="N858" s="516"/>
      <c r="P858" s="1">
        <v>41.7</v>
      </c>
      <c r="Q858" s="1">
        <v>0.0</v>
      </c>
      <c r="S858" s="517"/>
      <c r="V858" s="1">
        <v>0.04</v>
      </c>
      <c r="W858" s="518">
        <f t="shared" si="1"/>
        <v>0</v>
      </c>
    </row>
    <row r="859" hidden="1">
      <c r="C859" s="515"/>
      <c r="G859" s="1" t="s">
        <v>2491</v>
      </c>
      <c r="I859" s="516"/>
      <c r="J859" s="516"/>
      <c r="M859" s="515"/>
      <c r="N859" s="516"/>
      <c r="P859" s="1">
        <v>41.7</v>
      </c>
      <c r="Q859" s="1">
        <v>0.0</v>
      </c>
      <c r="S859" s="517"/>
      <c r="V859" s="1">
        <v>0.04</v>
      </c>
      <c r="W859" s="518">
        <f t="shared" si="1"/>
        <v>0</v>
      </c>
    </row>
    <row r="860" hidden="1">
      <c r="C860" s="515"/>
      <c r="G860" s="1" t="s">
        <v>2492</v>
      </c>
      <c r="I860" s="516"/>
      <c r="J860" s="516"/>
      <c r="M860" s="515"/>
      <c r="N860" s="516"/>
      <c r="P860" s="1">
        <v>1000.0</v>
      </c>
      <c r="Q860" s="1">
        <v>0.0</v>
      </c>
      <c r="S860" s="517"/>
      <c r="V860" s="1">
        <v>1.0</v>
      </c>
      <c r="W860" s="518">
        <f t="shared" si="1"/>
        <v>0</v>
      </c>
    </row>
    <row r="861" hidden="1">
      <c r="C861" s="515"/>
      <c r="G861" s="1" t="s">
        <v>2493</v>
      </c>
      <c r="I861" s="516"/>
      <c r="J861" s="516"/>
      <c r="M861" s="515"/>
      <c r="N861" s="516"/>
      <c r="P861" s="1">
        <v>166.7</v>
      </c>
      <c r="Q861" s="1">
        <v>0.0</v>
      </c>
      <c r="S861" s="517"/>
      <c r="V861" s="1">
        <v>0.17</v>
      </c>
      <c r="W861" s="518">
        <f t="shared" si="1"/>
        <v>0</v>
      </c>
    </row>
    <row r="862" hidden="1">
      <c r="C862" s="515"/>
      <c r="G862" s="1" t="s">
        <v>2495</v>
      </c>
      <c r="I862" s="516"/>
      <c r="J862" s="516"/>
      <c r="M862" s="515"/>
      <c r="N862" s="516"/>
      <c r="P862" s="1">
        <v>83.3</v>
      </c>
      <c r="Q862" s="1">
        <v>0.0</v>
      </c>
      <c r="S862" s="517"/>
      <c r="V862" s="1">
        <v>0.08</v>
      </c>
      <c r="W862" s="518">
        <f t="shared" si="1"/>
        <v>0</v>
      </c>
    </row>
    <row r="863" hidden="1">
      <c r="C863" s="515"/>
      <c r="G863" s="1" t="s">
        <v>2563</v>
      </c>
      <c r="I863" s="516"/>
      <c r="J863" s="516"/>
      <c r="M863" s="515"/>
      <c r="N863" s="516"/>
      <c r="P863" s="1">
        <v>125.0</v>
      </c>
      <c r="Q863" s="1">
        <v>0.0</v>
      </c>
      <c r="S863" s="517"/>
      <c r="V863" s="1">
        <v>0.13</v>
      </c>
      <c r="W863" s="518">
        <f t="shared" si="1"/>
        <v>0</v>
      </c>
    </row>
    <row r="864" hidden="1">
      <c r="C864" s="515"/>
      <c r="G864" s="1" t="s">
        <v>2497</v>
      </c>
      <c r="I864" s="516"/>
      <c r="J864" s="516"/>
      <c r="M864" s="515"/>
      <c r="N864" s="516"/>
      <c r="P864" s="1">
        <v>2000.0</v>
      </c>
      <c r="Q864" s="1">
        <v>0.0</v>
      </c>
      <c r="S864" s="517"/>
      <c r="V864" s="1">
        <v>2.0</v>
      </c>
      <c r="W864" s="518">
        <f t="shared" si="1"/>
        <v>0</v>
      </c>
    </row>
    <row r="865" hidden="1">
      <c r="C865" s="515"/>
      <c r="G865" s="1" t="s">
        <v>2498</v>
      </c>
      <c r="I865" s="516"/>
      <c r="J865" s="516"/>
      <c r="M865" s="515"/>
      <c r="N865" s="516"/>
      <c r="P865" s="1">
        <v>183.3</v>
      </c>
      <c r="Q865" s="1">
        <v>0.0</v>
      </c>
      <c r="S865" s="517"/>
      <c r="V865" s="1">
        <v>0.18</v>
      </c>
      <c r="W865" s="518">
        <f t="shared" si="1"/>
        <v>0</v>
      </c>
    </row>
    <row r="866" hidden="1">
      <c r="C866" s="515"/>
      <c r="G866" s="1" t="s">
        <v>2547</v>
      </c>
      <c r="I866" s="516"/>
      <c r="J866" s="516"/>
      <c r="M866" s="515"/>
      <c r="N866" s="516"/>
      <c r="P866" s="1">
        <v>166.7</v>
      </c>
      <c r="Q866" s="1">
        <v>0.0</v>
      </c>
      <c r="S866" s="517"/>
      <c r="V866" s="1">
        <v>0.17</v>
      </c>
      <c r="W866" s="518">
        <f t="shared" si="1"/>
        <v>0</v>
      </c>
    </row>
    <row r="867" hidden="1">
      <c r="C867" s="515"/>
      <c r="G867" s="1" t="s">
        <v>2499</v>
      </c>
      <c r="I867" s="516"/>
      <c r="J867" s="516"/>
      <c r="M867" s="515"/>
      <c r="N867" s="516"/>
      <c r="P867" s="1">
        <v>41.7</v>
      </c>
      <c r="Q867" s="1">
        <v>0.0</v>
      </c>
      <c r="S867" s="517"/>
      <c r="V867" s="1">
        <v>0.04</v>
      </c>
      <c r="W867" s="518">
        <f t="shared" si="1"/>
        <v>0</v>
      </c>
    </row>
    <row r="868" hidden="1">
      <c r="C868" s="515"/>
      <c r="G868" s="1" t="s">
        <v>2564</v>
      </c>
      <c r="I868" s="516"/>
      <c r="J868" s="516"/>
      <c r="M868" s="515"/>
      <c r="N868" s="516"/>
      <c r="P868" s="1">
        <v>1000.0</v>
      </c>
      <c r="Q868" s="1">
        <v>0.0</v>
      </c>
      <c r="S868" s="517"/>
      <c r="V868" s="1">
        <v>1.0</v>
      </c>
      <c r="W868" s="518">
        <f t="shared" si="1"/>
        <v>0</v>
      </c>
    </row>
    <row r="869" hidden="1">
      <c r="C869" s="515"/>
      <c r="G869" s="1" t="s">
        <v>2565</v>
      </c>
      <c r="I869" s="516"/>
      <c r="J869" s="516"/>
      <c r="M869" s="515"/>
      <c r="P869" s="1">
        <v>83.3</v>
      </c>
      <c r="Q869" s="1">
        <v>0.0</v>
      </c>
      <c r="S869" s="517"/>
      <c r="V869" s="1">
        <v>0.08</v>
      </c>
      <c r="W869" s="518">
        <f t="shared" si="1"/>
        <v>0</v>
      </c>
    </row>
    <row r="870" hidden="1">
      <c r="C870" s="515"/>
      <c r="G870" s="1" t="s">
        <v>2500</v>
      </c>
      <c r="I870" s="516"/>
      <c r="J870" s="516"/>
      <c r="M870" s="515"/>
      <c r="N870" s="516"/>
      <c r="P870" s="1">
        <v>41.7</v>
      </c>
      <c r="Q870" s="1">
        <v>0.0</v>
      </c>
      <c r="S870" s="517"/>
      <c r="V870" s="1">
        <v>0.04</v>
      </c>
      <c r="W870" s="518">
        <f t="shared" si="1"/>
        <v>0</v>
      </c>
    </row>
    <row r="871" hidden="1">
      <c r="C871" s="515"/>
      <c r="G871" s="1" t="s">
        <v>2501</v>
      </c>
      <c r="I871" s="516"/>
      <c r="J871" s="516"/>
      <c r="M871" s="515"/>
      <c r="N871" s="516"/>
      <c r="P871" s="1">
        <v>83.3</v>
      </c>
      <c r="Q871" s="1">
        <v>0.0</v>
      </c>
      <c r="S871" s="517"/>
      <c r="V871" s="1">
        <v>0.08</v>
      </c>
      <c r="W871" s="518">
        <f t="shared" si="1"/>
        <v>0</v>
      </c>
    </row>
    <row r="872" hidden="1">
      <c r="C872" s="515"/>
      <c r="G872" s="1" t="s">
        <v>2502</v>
      </c>
      <c r="I872" s="516"/>
      <c r="J872" s="516"/>
      <c r="M872" s="515"/>
      <c r="N872" s="516"/>
      <c r="P872" s="1">
        <v>41.7</v>
      </c>
      <c r="Q872" s="1">
        <v>0.0</v>
      </c>
      <c r="S872" s="517"/>
      <c r="V872" s="1">
        <v>0.04</v>
      </c>
      <c r="W872" s="518">
        <f t="shared" si="1"/>
        <v>0</v>
      </c>
    </row>
    <row r="873" hidden="1">
      <c r="C873" s="515"/>
      <c r="G873" s="1" t="s">
        <v>2503</v>
      </c>
      <c r="I873" s="516"/>
      <c r="J873" s="516"/>
      <c r="M873" s="515"/>
      <c r="N873" s="516"/>
      <c r="P873" s="1">
        <v>1666.7</v>
      </c>
      <c r="Q873" s="1">
        <v>0.0</v>
      </c>
      <c r="S873" s="517"/>
      <c r="V873" s="1">
        <v>1.67</v>
      </c>
      <c r="W873" s="518">
        <f t="shared" si="1"/>
        <v>0</v>
      </c>
    </row>
    <row r="874" hidden="1">
      <c r="C874" s="515"/>
      <c r="G874" s="1" t="s">
        <v>2504</v>
      </c>
      <c r="I874" s="516"/>
      <c r="J874" s="516"/>
      <c r="M874" s="515"/>
      <c r="N874" s="516"/>
      <c r="P874" s="1">
        <v>41.7</v>
      </c>
      <c r="Q874" s="1">
        <v>0.0</v>
      </c>
      <c r="S874" s="517"/>
      <c r="V874" s="1">
        <v>0.04</v>
      </c>
      <c r="W874" s="518">
        <f t="shared" si="1"/>
        <v>0</v>
      </c>
    </row>
    <row r="875" hidden="1">
      <c r="C875" s="515"/>
      <c r="G875" s="1" t="s">
        <v>2505</v>
      </c>
      <c r="I875" s="516"/>
      <c r="J875" s="516"/>
      <c r="M875" s="515"/>
      <c r="N875" s="516"/>
      <c r="P875" s="1">
        <v>125.0</v>
      </c>
      <c r="Q875" s="1">
        <v>0.0</v>
      </c>
      <c r="S875" s="517"/>
      <c r="V875" s="1">
        <v>0.13</v>
      </c>
      <c r="W875" s="518">
        <f t="shared" si="1"/>
        <v>0</v>
      </c>
    </row>
    <row r="876" hidden="1">
      <c r="C876" s="515"/>
      <c r="G876" s="1" t="s">
        <v>2510</v>
      </c>
      <c r="I876" s="516"/>
      <c r="J876" s="516"/>
      <c r="M876" s="515"/>
      <c r="N876" s="516"/>
      <c r="P876" s="1">
        <v>83.3</v>
      </c>
      <c r="Q876" s="1">
        <v>0.0</v>
      </c>
      <c r="S876" s="517"/>
      <c r="V876" s="1">
        <v>0.08</v>
      </c>
      <c r="W876" s="518">
        <f t="shared" si="1"/>
        <v>0</v>
      </c>
    </row>
    <row r="877" hidden="1">
      <c r="C877" s="515"/>
      <c r="G877" s="1" t="s">
        <v>2511</v>
      </c>
      <c r="I877" s="516"/>
      <c r="J877" s="516"/>
      <c r="M877" s="515"/>
      <c r="N877" s="516"/>
      <c r="P877" s="1">
        <v>41.7</v>
      </c>
      <c r="Q877" s="1">
        <v>0.0</v>
      </c>
      <c r="S877" s="517"/>
      <c r="V877" s="1">
        <v>0.04</v>
      </c>
      <c r="W877" s="518">
        <f t="shared" si="1"/>
        <v>0</v>
      </c>
    </row>
    <row r="878" hidden="1">
      <c r="C878" s="515"/>
      <c r="G878" s="1" t="s">
        <v>2512</v>
      </c>
      <c r="I878" s="516"/>
      <c r="J878" s="516"/>
      <c r="M878" s="515"/>
      <c r="N878" s="516"/>
      <c r="P878" s="1">
        <v>83.3</v>
      </c>
      <c r="Q878" s="1">
        <v>0.0</v>
      </c>
      <c r="S878" s="517"/>
      <c r="V878" s="1">
        <v>0.08</v>
      </c>
      <c r="W878" s="518">
        <f t="shared" si="1"/>
        <v>0</v>
      </c>
    </row>
    <row r="879" hidden="1">
      <c r="C879" s="515"/>
      <c r="G879" s="1" t="s">
        <v>2406</v>
      </c>
      <c r="I879" s="516"/>
      <c r="J879" s="516"/>
      <c r="M879" s="515"/>
      <c r="N879" s="516"/>
      <c r="P879" s="1">
        <v>166.7</v>
      </c>
      <c r="Q879" s="1">
        <v>0.0</v>
      </c>
      <c r="S879" s="517"/>
      <c r="V879" s="1">
        <v>0.17</v>
      </c>
      <c r="W879" s="518">
        <f t="shared" si="1"/>
        <v>0</v>
      </c>
    </row>
    <row r="880" hidden="1">
      <c r="C880" s="515"/>
      <c r="G880" s="1" t="s">
        <v>2407</v>
      </c>
      <c r="I880" s="516"/>
      <c r="J880" s="516"/>
      <c r="M880" s="515"/>
      <c r="N880" s="516"/>
      <c r="P880" s="1">
        <v>416.7</v>
      </c>
      <c r="Q880" s="1">
        <v>0.0</v>
      </c>
      <c r="S880" s="517"/>
      <c r="V880" s="1">
        <v>0.42</v>
      </c>
      <c r="W880" s="518">
        <f t="shared" si="1"/>
        <v>0</v>
      </c>
    </row>
    <row r="881" hidden="1">
      <c r="C881" s="515"/>
      <c r="G881" s="1" t="s">
        <v>2408</v>
      </c>
      <c r="I881" s="516"/>
      <c r="J881" s="516"/>
      <c r="M881" s="515"/>
      <c r="N881" s="516"/>
      <c r="P881" s="1">
        <v>41.7</v>
      </c>
      <c r="Q881" s="1">
        <v>0.0</v>
      </c>
      <c r="S881" s="517"/>
      <c r="V881" s="1">
        <v>0.04</v>
      </c>
      <c r="W881" s="518">
        <f t="shared" si="1"/>
        <v>0</v>
      </c>
    </row>
    <row r="882" hidden="1">
      <c r="C882" s="515"/>
      <c r="G882" s="1" t="s">
        <v>2410</v>
      </c>
      <c r="I882" s="516"/>
      <c r="J882" s="516"/>
      <c r="M882" s="515"/>
      <c r="N882" s="516"/>
      <c r="P882" s="1">
        <v>83.3</v>
      </c>
      <c r="Q882" s="1">
        <v>0.0</v>
      </c>
      <c r="S882" s="517"/>
      <c r="V882" s="1">
        <v>0.08</v>
      </c>
      <c r="W882" s="518">
        <f t="shared" si="1"/>
        <v>0</v>
      </c>
    </row>
    <row r="883" hidden="1">
      <c r="C883" s="515"/>
      <c r="G883" s="1" t="s">
        <v>2549</v>
      </c>
      <c r="I883" s="516"/>
      <c r="J883" s="516"/>
      <c r="M883" s="515"/>
      <c r="N883" s="516"/>
      <c r="P883" s="1">
        <v>83.3</v>
      </c>
      <c r="Q883" s="1">
        <v>0.0</v>
      </c>
      <c r="S883" s="517"/>
      <c r="V883" s="1">
        <v>0.08</v>
      </c>
      <c r="W883" s="518">
        <f t="shared" si="1"/>
        <v>0</v>
      </c>
    </row>
    <row r="884" hidden="1">
      <c r="C884" s="515"/>
      <c r="G884" s="1" t="s">
        <v>2516</v>
      </c>
      <c r="I884" s="516"/>
      <c r="J884" s="516"/>
      <c r="K884" s="515">
        <v>46387.0</v>
      </c>
      <c r="M884" s="515"/>
      <c r="N884" s="516"/>
      <c r="P884" s="1">
        <v>0.0</v>
      </c>
      <c r="Q884" s="1" t="s">
        <v>2404</v>
      </c>
      <c r="S884" s="517"/>
      <c r="V884" s="1">
        <v>21.91</v>
      </c>
      <c r="W884" s="518">
        <f t="shared" si="1"/>
        <v>21910</v>
      </c>
    </row>
    <row r="885" hidden="1">
      <c r="C885" s="515"/>
      <c r="G885" s="1" t="s">
        <v>2555</v>
      </c>
      <c r="I885" s="516"/>
      <c r="J885" s="516"/>
      <c r="M885" s="515"/>
      <c r="N885" s="516"/>
      <c r="P885" s="1">
        <v>83.3</v>
      </c>
      <c r="Q885" s="1">
        <v>0.0</v>
      </c>
      <c r="S885" s="517"/>
      <c r="V885" s="1">
        <v>0.08</v>
      </c>
      <c r="W885" s="518">
        <f t="shared" si="1"/>
        <v>0</v>
      </c>
    </row>
    <row r="886" hidden="1">
      <c r="C886" s="515"/>
      <c r="G886" s="1" t="s">
        <v>2415</v>
      </c>
      <c r="I886" s="516"/>
      <c r="J886" s="516"/>
      <c r="M886" s="515"/>
      <c r="N886" s="516"/>
      <c r="P886" s="1">
        <v>333.3</v>
      </c>
      <c r="Q886" s="1">
        <v>0.0</v>
      </c>
      <c r="S886" s="517"/>
      <c r="V886" s="1">
        <v>0.33</v>
      </c>
      <c r="W886" s="518">
        <f t="shared" si="1"/>
        <v>0</v>
      </c>
    </row>
    <row r="887" hidden="1">
      <c r="C887" s="515"/>
      <c r="G887" s="1" t="s">
        <v>2418</v>
      </c>
      <c r="I887" s="516"/>
      <c r="J887" s="516"/>
      <c r="M887" s="515"/>
      <c r="N887" s="516"/>
      <c r="P887" s="1">
        <v>141.7</v>
      </c>
      <c r="Q887" s="1">
        <v>0.0</v>
      </c>
      <c r="S887" s="517"/>
      <c r="V887" s="1">
        <v>0.14</v>
      </c>
      <c r="W887" s="518">
        <f t="shared" si="1"/>
        <v>0</v>
      </c>
    </row>
    <row r="888" hidden="1">
      <c r="C888" s="515"/>
      <c r="G888" s="1" t="s">
        <v>2419</v>
      </c>
      <c r="I888" s="516"/>
      <c r="J888" s="516"/>
      <c r="M888" s="515"/>
      <c r="N888" s="516"/>
      <c r="P888" s="1">
        <v>666.7</v>
      </c>
      <c r="Q888" s="1">
        <v>0.0</v>
      </c>
      <c r="S888" s="517"/>
      <c r="V888" s="1">
        <v>0.67</v>
      </c>
      <c r="W888" s="518">
        <f t="shared" si="1"/>
        <v>0</v>
      </c>
    </row>
    <row r="889" hidden="1">
      <c r="C889" s="515"/>
      <c r="G889" s="1" t="s">
        <v>2420</v>
      </c>
      <c r="I889" s="516"/>
      <c r="J889" s="516"/>
      <c r="M889" s="515"/>
      <c r="N889" s="516"/>
      <c r="P889" s="1">
        <v>83.3</v>
      </c>
      <c r="Q889" s="1">
        <v>0.0</v>
      </c>
      <c r="S889" s="517"/>
      <c r="V889" s="1">
        <v>0.08</v>
      </c>
      <c r="W889" s="518">
        <f t="shared" si="1"/>
        <v>0</v>
      </c>
    </row>
    <row r="890" hidden="1">
      <c r="C890" s="515"/>
      <c r="G890" s="1" t="s">
        <v>2551</v>
      </c>
      <c r="I890" s="516"/>
      <c r="J890" s="516"/>
      <c r="M890" s="515"/>
      <c r="N890" s="516"/>
      <c r="P890" s="1">
        <v>333.3</v>
      </c>
      <c r="Q890" s="1">
        <v>0.0</v>
      </c>
      <c r="S890" s="517"/>
      <c r="V890" s="1">
        <v>0.33</v>
      </c>
      <c r="W890" s="518">
        <f t="shared" si="1"/>
        <v>0</v>
      </c>
    </row>
    <row r="891" hidden="1">
      <c r="C891" s="515"/>
      <c r="G891" s="1" t="s">
        <v>2422</v>
      </c>
      <c r="I891" s="516"/>
      <c r="J891" s="516"/>
      <c r="M891" s="515"/>
      <c r="N891" s="516"/>
      <c r="P891" s="1">
        <v>250.0</v>
      </c>
      <c r="Q891" s="1">
        <v>0.0</v>
      </c>
      <c r="S891" s="517"/>
      <c r="V891" s="1">
        <v>0.25</v>
      </c>
      <c r="W891" s="518">
        <f t="shared" si="1"/>
        <v>0</v>
      </c>
    </row>
    <row r="892" hidden="1">
      <c r="C892" s="515"/>
      <c r="G892" s="1" t="s">
        <v>2423</v>
      </c>
      <c r="I892" s="516"/>
      <c r="J892" s="516"/>
      <c r="M892" s="515"/>
      <c r="N892" s="516"/>
      <c r="P892" s="1">
        <v>83.3</v>
      </c>
      <c r="Q892" s="1">
        <v>0.0</v>
      </c>
      <c r="S892" s="517"/>
      <c r="V892" s="1">
        <v>0.08</v>
      </c>
      <c r="W892" s="518">
        <f t="shared" si="1"/>
        <v>0</v>
      </c>
    </row>
    <row r="893" hidden="1">
      <c r="C893" s="515"/>
      <c r="G893" s="1" t="s">
        <v>2424</v>
      </c>
      <c r="I893" s="516"/>
      <c r="J893" s="516"/>
      <c r="M893" s="515"/>
      <c r="N893" s="516"/>
      <c r="P893" s="1">
        <v>83.3</v>
      </c>
      <c r="Q893" s="1">
        <v>0.0</v>
      </c>
      <c r="S893" s="517"/>
      <c r="V893" s="1">
        <v>0.08</v>
      </c>
      <c r="W893" s="518">
        <f t="shared" si="1"/>
        <v>0</v>
      </c>
    </row>
    <row r="894" hidden="1">
      <c r="C894" s="515"/>
      <c r="G894" s="1" t="s">
        <v>2425</v>
      </c>
      <c r="I894" s="516"/>
      <c r="J894" s="516"/>
      <c r="M894" s="515"/>
      <c r="N894" s="516"/>
      <c r="P894" s="1">
        <v>41.7</v>
      </c>
      <c r="Q894" s="1">
        <v>0.0</v>
      </c>
      <c r="S894" s="517"/>
      <c r="V894" s="1">
        <v>0.04</v>
      </c>
      <c r="W894" s="518">
        <f t="shared" si="1"/>
        <v>0</v>
      </c>
    </row>
    <row r="895" hidden="1">
      <c r="C895" s="515"/>
      <c r="G895" s="1" t="s">
        <v>2426</v>
      </c>
      <c r="I895" s="516"/>
      <c r="J895" s="516"/>
      <c r="M895" s="515"/>
      <c r="N895" s="516"/>
      <c r="P895" s="1">
        <v>250.0</v>
      </c>
      <c r="Q895" s="1">
        <v>0.0</v>
      </c>
      <c r="S895" s="517"/>
      <c r="V895" s="1">
        <v>0.25</v>
      </c>
      <c r="W895" s="518">
        <f t="shared" si="1"/>
        <v>0</v>
      </c>
    </row>
    <row r="896" hidden="1">
      <c r="C896" s="515"/>
      <c r="G896" s="1" t="s">
        <v>2427</v>
      </c>
      <c r="I896" s="516"/>
      <c r="J896" s="516"/>
      <c r="M896" s="515"/>
      <c r="N896" s="516"/>
      <c r="P896" s="1">
        <v>83.3</v>
      </c>
      <c r="Q896" s="1">
        <v>0.0</v>
      </c>
      <c r="S896" s="517"/>
      <c r="V896" s="1">
        <v>0.08</v>
      </c>
      <c r="W896" s="518">
        <f t="shared" si="1"/>
        <v>0</v>
      </c>
    </row>
    <row r="897" hidden="1">
      <c r="C897" s="515"/>
      <c r="G897" s="1" t="s">
        <v>2429</v>
      </c>
      <c r="I897" s="516"/>
      <c r="J897" s="516"/>
      <c r="M897" s="515"/>
      <c r="N897" s="516"/>
      <c r="P897" s="1">
        <v>333.3</v>
      </c>
      <c r="Q897" s="1">
        <v>0.0</v>
      </c>
      <c r="S897" s="517"/>
      <c r="V897" s="1">
        <v>0.33</v>
      </c>
      <c r="W897" s="518">
        <f t="shared" si="1"/>
        <v>0</v>
      </c>
    </row>
    <row r="898" hidden="1">
      <c r="C898" s="515"/>
      <c r="G898" s="1" t="s">
        <v>2556</v>
      </c>
      <c r="I898" s="516"/>
      <c r="J898" s="516"/>
      <c r="M898" s="515"/>
      <c r="N898" s="516"/>
      <c r="P898" s="1">
        <v>83.3</v>
      </c>
      <c r="Q898" s="1">
        <v>0.0</v>
      </c>
      <c r="S898" s="517"/>
      <c r="V898" s="1">
        <v>0.08</v>
      </c>
      <c r="W898" s="518">
        <f t="shared" si="1"/>
        <v>0</v>
      </c>
    </row>
    <row r="899" hidden="1">
      <c r="C899" s="515"/>
      <c r="G899" s="1" t="s">
        <v>2431</v>
      </c>
      <c r="I899" s="516"/>
      <c r="J899" s="516"/>
      <c r="M899" s="515"/>
      <c r="N899" s="516"/>
      <c r="P899" s="1">
        <v>83.3</v>
      </c>
      <c r="Q899" s="1">
        <v>0.0</v>
      </c>
      <c r="S899" s="517"/>
      <c r="V899" s="1">
        <v>0.08</v>
      </c>
      <c r="W899" s="518">
        <f t="shared" si="1"/>
        <v>0</v>
      </c>
    </row>
    <row r="900" hidden="1">
      <c r="C900" s="515"/>
      <c r="G900" s="1" t="s">
        <v>2566</v>
      </c>
      <c r="I900" s="516"/>
      <c r="J900" s="516"/>
      <c r="M900" s="515"/>
      <c r="N900" s="516"/>
      <c r="P900" s="1">
        <v>31.0</v>
      </c>
      <c r="Q900" s="1">
        <v>0.0</v>
      </c>
      <c r="S900" s="517"/>
      <c r="V900" s="1">
        <v>0.03</v>
      </c>
      <c r="W900" s="518">
        <f t="shared" si="1"/>
        <v>0</v>
      </c>
    </row>
    <row r="901" hidden="1">
      <c r="C901" s="515"/>
      <c r="G901" s="1" t="s">
        <v>2535</v>
      </c>
      <c r="I901" s="516"/>
      <c r="J901" s="516"/>
      <c r="M901" s="515"/>
      <c r="N901" s="516"/>
      <c r="P901" s="1">
        <v>41.7</v>
      </c>
      <c r="Q901" s="1">
        <v>0.0</v>
      </c>
      <c r="S901" s="517"/>
      <c r="V901" s="1">
        <v>0.04</v>
      </c>
      <c r="W901" s="518">
        <f t="shared" si="1"/>
        <v>0</v>
      </c>
    </row>
    <row r="902" hidden="1">
      <c r="C902" s="515"/>
      <c r="G902" s="1" t="s">
        <v>2433</v>
      </c>
      <c r="I902" s="516"/>
      <c r="J902" s="516"/>
      <c r="M902" s="515"/>
      <c r="N902" s="516"/>
      <c r="P902" s="1">
        <v>41.7</v>
      </c>
      <c r="Q902" s="1">
        <v>0.0</v>
      </c>
      <c r="S902" s="517"/>
      <c r="V902" s="1">
        <v>0.04</v>
      </c>
      <c r="W902" s="518">
        <f t="shared" si="1"/>
        <v>0</v>
      </c>
    </row>
    <row r="903" hidden="1">
      <c r="C903" s="515"/>
      <c r="G903" s="1" t="s">
        <v>2435</v>
      </c>
      <c r="I903" s="516"/>
      <c r="J903" s="516"/>
      <c r="M903" s="515"/>
      <c r="N903" s="516"/>
      <c r="P903" s="1">
        <v>83.3</v>
      </c>
      <c r="Q903" s="1">
        <v>0.0</v>
      </c>
      <c r="S903" s="517"/>
      <c r="V903" s="1">
        <v>0.08</v>
      </c>
      <c r="W903" s="518">
        <f t="shared" si="1"/>
        <v>0</v>
      </c>
    </row>
    <row r="904" hidden="1">
      <c r="C904" s="515"/>
      <c r="G904" s="1" t="s">
        <v>2436</v>
      </c>
      <c r="I904" s="516"/>
      <c r="J904" s="516"/>
      <c r="M904" s="515"/>
      <c r="N904" s="516"/>
      <c r="P904" s="1">
        <v>250.0</v>
      </c>
      <c r="Q904" s="1">
        <v>0.0</v>
      </c>
      <c r="S904" s="517"/>
      <c r="V904" s="1">
        <v>0.25</v>
      </c>
      <c r="W904" s="518">
        <f t="shared" si="1"/>
        <v>0</v>
      </c>
    </row>
    <row r="905" hidden="1">
      <c r="C905" s="515"/>
      <c r="G905" s="1" t="s">
        <v>2437</v>
      </c>
      <c r="I905" s="516"/>
      <c r="J905" s="516"/>
      <c r="M905" s="515"/>
      <c r="N905" s="516"/>
      <c r="P905" s="1">
        <v>83.3</v>
      </c>
      <c r="Q905" s="1">
        <v>0.0</v>
      </c>
      <c r="S905" s="517"/>
      <c r="V905" s="1">
        <v>0.08</v>
      </c>
      <c r="W905" s="518">
        <f t="shared" si="1"/>
        <v>0</v>
      </c>
    </row>
    <row r="906" hidden="1">
      <c r="C906" s="515"/>
      <c r="G906" s="1" t="s">
        <v>2438</v>
      </c>
      <c r="I906" s="516"/>
      <c r="J906" s="516"/>
      <c r="M906" s="515"/>
      <c r="N906" s="516"/>
      <c r="P906" s="1">
        <v>166.7</v>
      </c>
      <c r="Q906" s="1">
        <v>0.0</v>
      </c>
      <c r="S906" s="517"/>
      <c r="V906" s="1">
        <v>0.17</v>
      </c>
      <c r="W906" s="518">
        <f t="shared" si="1"/>
        <v>0</v>
      </c>
    </row>
    <row r="907" hidden="1">
      <c r="C907" s="515"/>
      <c r="G907" s="1" t="s">
        <v>2536</v>
      </c>
      <c r="I907" s="516"/>
      <c r="J907" s="516"/>
      <c r="M907" s="515"/>
      <c r="N907" s="516"/>
      <c r="P907" s="1">
        <v>166.7</v>
      </c>
      <c r="Q907" s="1">
        <v>0.0</v>
      </c>
      <c r="S907" s="517"/>
      <c r="V907" s="1">
        <v>0.17</v>
      </c>
      <c r="W907" s="518">
        <f t="shared" si="1"/>
        <v>0</v>
      </c>
    </row>
    <row r="908" hidden="1">
      <c r="C908" s="515"/>
      <c r="G908" s="1" t="s">
        <v>2439</v>
      </c>
      <c r="I908" s="516"/>
      <c r="J908" s="516"/>
      <c r="M908" s="515"/>
      <c r="N908" s="516"/>
      <c r="P908" s="1">
        <v>83.3</v>
      </c>
      <c r="Q908" s="1">
        <v>0.0</v>
      </c>
      <c r="S908" s="517"/>
      <c r="V908" s="1">
        <v>0.08</v>
      </c>
      <c r="W908" s="518">
        <f t="shared" si="1"/>
        <v>0</v>
      </c>
    </row>
    <row r="909" hidden="1">
      <c r="C909" s="515"/>
      <c r="G909" s="1" t="s">
        <v>2537</v>
      </c>
      <c r="I909" s="516"/>
      <c r="J909" s="516"/>
      <c r="M909" s="515"/>
      <c r="N909" s="516"/>
      <c r="P909" s="1">
        <v>83.3</v>
      </c>
      <c r="Q909" s="1">
        <v>0.0</v>
      </c>
      <c r="S909" s="517"/>
      <c r="V909" s="1">
        <v>0.08</v>
      </c>
      <c r="W909" s="518">
        <f t="shared" si="1"/>
        <v>0</v>
      </c>
    </row>
    <row r="910" hidden="1">
      <c r="C910" s="515"/>
      <c r="G910" s="1" t="s">
        <v>2567</v>
      </c>
      <c r="I910" s="516"/>
      <c r="J910" s="516"/>
      <c r="K910" s="515">
        <v>46387.0</v>
      </c>
      <c r="M910" s="515"/>
      <c r="N910" s="516"/>
      <c r="P910" s="1">
        <v>31.0</v>
      </c>
      <c r="Q910" s="1">
        <v>0.0</v>
      </c>
      <c r="S910" s="517"/>
      <c r="V910" s="1">
        <v>0.03</v>
      </c>
      <c r="W910" s="518">
        <f t="shared" si="1"/>
        <v>0</v>
      </c>
    </row>
    <row r="911" hidden="1">
      <c r="C911" s="515"/>
      <c r="G911" s="1" t="s">
        <v>2441</v>
      </c>
      <c r="I911" s="516"/>
      <c r="J911" s="516"/>
      <c r="M911" s="515"/>
      <c r="N911" s="516"/>
      <c r="P911" s="1">
        <v>83.3</v>
      </c>
      <c r="Q911" s="1">
        <v>0.0</v>
      </c>
      <c r="S911" s="517"/>
      <c r="V911" s="1">
        <v>0.08</v>
      </c>
      <c r="W911" s="518">
        <f t="shared" si="1"/>
        <v>0</v>
      </c>
    </row>
    <row r="912" hidden="1">
      <c r="C912" s="515"/>
      <c r="G912" s="1" t="s">
        <v>2558</v>
      </c>
      <c r="I912" s="516"/>
      <c r="J912" s="516"/>
      <c r="M912" s="515"/>
      <c r="N912" s="516"/>
      <c r="P912" s="1">
        <v>41.7</v>
      </c>
      <c r="Q912" s="1">
        <v>0.0</v>
      </c>
      <c r="S912" s="517"/>
      <c r="V912" s="1">
        <v>0.04</v>
      </c>
      <c r="W912" s="518">
        <f t="shared" si="1"/>
        <v>0</v>
      </c>
    </row>
    <row r="913" hidden="1">
      <c r="C913" s="515"/>
      <c r="G913" s="1" t="s">
        <v>2568</v>
      </c>
      <c r="I913" s="516"/>
      <c r="J913" s="516"/>
      <c r="M913" s="515"/>
      <c r="N913" s="516"/>
      <c r="P913" s="1">
        <v>1000.0</v>
      </c>
      <c r="Q913" s="1">
        <v>0.0</v>
      </c>
      <c r="S913" s="517"/>
      <c r="V913" s="1">
        <v>1.0</v>
      </c>
      <c r="W913" s="518">
        <f t="shared" si="1"/>
        <v>0</v>
      </c>
    </row>
    <row r="914" hidden="1">
      <c r="C914" s="515"/>
      <c r="G914" s="1" t="s">
        <v>2561</v>
      </c>
      <c r="I914" s="516"/>
      <c r="J914" s="516"/>
      <c r="M914" s="515"/>
      <c r="N914" s="516"/>
      <c r="P914" s="1">
        <v>41.7</v>
      </c>
      <c r="Q914" s="1">
        <v>0.0</v>
      </c>
      <c r="S914" s="517"/>
      <c r="V914" s="1">
        <v>0.04</v>
      </c>
      <c r="W914" s="518">
        <f t="shared" si="1"/>
        <v>0</v>
      </c>
    </row>
    <row r="915" hidden="1">
      <c r="C915" s="515"/>
      <c r="G915" s="1" t="s">
        <v>2443</v>
      </c>
      <c r="I915" s="516"/>
      <c r="J915" s="516"/>
      <c r="M915" s="515"/>
      <c r="N915" s="516"/>
      <c r="P915" s="1">
        <v>833.3</v>
      </c>
      <c r="Q915" s="1">
        <v>0.0</v>
      </c>
      <c r="S915" s="517"/>
      <c r="V915" s="1">
        <v>0.83</v>
      </c>
      <c r="W915" s="518">
        <f t="shared" si="1"/>
        <v>0</v>
      </c>
    </row>
    <row r="916" hidden="1">
      <c r="C916" s="515"/>
      <c r="G916" s="1" t="s">
        <v>2444</v>
      </c>
      <c r="I916" s="516"/>
      <c r="J916" s="516"/>
      <c r="M916" s="515"/>
      <c r="N916" s="516"/>
      <c r="P916" s="1">
        <v>125.0</v>
      </c>
      <c r="Q916" s="1">
        <v>0.0</v>
      </c>
      <c r="S916" s="517"/>
      <c r="V916" s="1">
        <v>0.13</v>
      </c>
      <c r="W916" s="518">
        <f t="shared" si="1"/>
        <v>0</v>
      </c>
    </row>
    <row r="917" hidden="1">
      <c r="C917" s="515"/>
      <c r="G917" s="1" t="s">
        <v>2569</v>
      </c>
      <c r="I917" s="516"/>
      <c r="J917" s="516"/>
      <c r="M917" s="515"/>
      <c r="N917" s="516"/>
      <c r="P917" s="1">
        <v>0.0</v>
      </c>
      <c r="Q917" s="1" t="s">
        <v>2404</v>
      </c>
      <c r="S917" s="517"/>
      <c r="V917" s="1">
        <v>10.0</v>
      </c>
      <c r="W917" s="518">
        <f t="shared" si="1"/>
        <v>10000</v>
      </c>
    </row>
    <row r="918" hidden="1">
      <c r="C918" s="515"/>
      <c r="G918" s="1" t="s">
        <v>2570</v>
      </c>
      <c r="I918" s="516"/>
      <c r="J918" s="516"/>
      <c r="M918" s="515"/>
      <c r="N918" s="516"/>
      <c r="P918" s="1">
        <v>4000.0</v>
      </c>
      <c r="Q918" s="1">
        <v>0.0</v>
      </c>
      <c r="S918" s="517"/>
      <c r="V918" s="1">
        <v>4.0</v>
      </c>
      <c r="W918" s="518">
        <f t="shared" si="1"/>
        <v>0</v>
      </c>
    </row>
    <row r="919" hidden="1">
      <c r="C919" s="515"/>
      <c r="G919" s="1" t="s">
        <v>2571</v>
      </c>
      <c r="I919" s="516"/>
      <c r="J919" s="516"/>
      <c r="M919" s="515"/>
      <c r="N919" s="516"/>
      <c r="P919" s="1">
        <v>0.0</v>
      </c>
      <c r="Q919" s="1" t="s">
        <v>2404</v>
      </c>
      <c r="S919" s="517"/>
      <c r="V919" s="1">
        <v>416.67</v>
      </c>
      <c r="W919" s="518">
        <f t="shared" si="1"/>
        <v>416670</v>
      </c>
    </row>
    <row r="920" hidden="1">
      <c r="C920" s="515"/>
      <c r="G920" s="1" t="s">
        <v>2572</v>
      </c>
      <c r="I920" s="516"/>
      <c r="J920" s="516"/>
      <c r="M920" s="515"/>
      <c r="N920" s="516"/>
      <c r="P920" s="1">
        <v>0.0</v>
      </c>
      <c r="Q920" s="1" t="s">
        <v>2404</v>
      </c>
      <c r="S920" s="517"/>
      <c r="V920" s="1">
        <v>10.0</v>
      </c>
      <c r="W920" s="518">
        <f t="shared" si="1"/>
        <v>10000</v>
      </c>
    </row>
    <row r="921" hidden="1">
      <c r="C921" s="515"/>
      <c r="G921" s="1" t="s">
        <v>2445</v>
      </c>
      <c r="I921" s="516"/>
      <c r="J921" s="516"/>
      <c r="M921" s="515"/>
      <c r="N921" s="516"/>
      <c r="P921" s="1">
        <v>166.7</v>
      </c>
      <c r="Q921" s="1">
        <v>0.0</v>
      </c>
      <c r="S921" s="517"/>
      <c r="V921" s="1">
        <v>0.17</v>
      </c>
      <c r="W921" s="518">
        <f t="shared" si="1"/>
        <v>0</v>
      </c>
    </row>
    <row r="922" hidden="1">
      <c r="C922" s="515"/>
      <c r="G922" s="1" t="s">
        <v>2559</v>
      </c>
      <c r="I922" s="516"/>
      <c r="J922" s="516"/>
      <c r="M922" s="515"/>
      <c r="N922" s="516"/>
      <c r="P922" s="1">
        <v>83.3</v>
      </c>
      <c r="Q922" s="1">
        <v>0.0</v>
      </c>
      <c r="S922" s="517"/>
      <c r="V922" s="1">
        <v>0.08</v>
      </c>
      <c r="W922" s="518">
        <f t="shared" si="1"/>
        <v>0</v>
      </c>
    </row>
    <row r="923" hidden="1">
      <c r="C923" s="515"/>
      <c r="G923" s="1" t="s">
        <v>2447</v>
      </c>
      <c r="I923" s="516"/>
      <c r="J923" s="516"/>
      <c r="M923" s="515"/>
      <c r="N923" s="516"/>
      <c r="P923" s="1">
        <v>83.3</v>
      </c>
      <c r="Q923" s="1">
        <v>0.0</v>
      </c>
      <c r="S923" s="517"/>
      <c r="V923" s="1">
        <v>0.08</v>
      </c>
      <c r="W923" s="518">
        <f t="shared" si="1"/>
        <v>0</v>
      </c>
    </row>
    <row r="924" hidden="1">
      <c r="C924" s="515"/>
      <c r="G924" s="1" t="s">
        <v>2449</v>
      </c>
      <c r="I924" s="516"/>
      <c r="J924" s="516"/>
      <c r="M924" s="515"/>
      <c r="N924" s="516"/>
      <c r="P924" s="1">
        <v>41.7</v>
      </c>
      <c r="Q924" s="1">
        <v>0.0</v>
      </c>
      <c r="S924" s="517"/>
      <c r="V924" s="1">
        <v>0.04</v>
      </c>
      <c r="W924" s="518">
        <f t="shared" si="1"/>
        <v>0</v>
      </c>
    </row>
    <row r="925" hidden="1">
      <c r="C925" s="515"/>
      <c r="G925" s="1" t="s">
        <v>2451</v>
      </c>
      <c r="I925" s="516"/>
      <c r="J925" s="516"/>
      <c r="M925" s="515"/>
      <c r="N925" s="516"/>
      <c r="P925" s="1">
        <v>41.7</v>
      </c>
      <c r="Q925" s="1">
        <v>0.0</v>
      </c>
      <c r="S925" s="517"/>
      <c r="V925" s="1">
        <v>0.04</v>
      </c>
      <c r="W925" s="518">
        <f t="shared" si="1"/>
        <v>0</v>
      </c>
    </row>
    <row r="926" hidden="1">
      <c r="C926" s="515"/>
      <c r="G926" s="1" t="s">
        <v>2518</v>
      </c>
      <c r="I926" s="516"/>
      <c r="J926" s="516"/>
      <c r="M926" s="515"/>
      <c r="N926" s="516"/>
      <c r="P926" s="1">
        <v>125.0</v>
      </c>
      <c r="Q926" s="1">
        <v>0.0</v>
      </c>
      <c r="S926" s="517"/>
      <c r="V926" s="1">
        <v>0.13</v>
      </c>
      <c r="W926" s="518">
        <f t="shared" si="1"/>
        <v>0</v>
      </c>
    </row>
    <row r="927" hidden="1">
      <c r="C927" s="515"/>
      <c r="G927" s="1" t="s">
        <v>2454</v>
      </c>
      <c r="I927" s="516"/>
      <c r="J927" s="516"/>
      <c r="M927" s="515"/>
      <c r="N927" s="516"/>
      <c r="P927" s="1">
        <v>83.3</v>
      </c>
      <c r="Q927" s="1">
        <v>0.0</v>
      </c>
      <c r="S927" s="517"/>
      <c r="V927" s="1">
        <v>0.08</v>
      </c>
      <c r="W927" s="518">
        <f t="shared" si="1"/>
        <v>0</v>
      </c>
    </row>
    <row r="928" hidden="1">
      <c r="C928" s="515"/>
      <c r="G928" s="1" t="s">
        <v>2455</v>
      </c>
      <c r="I928" s="516"/>
      <c r="J928" s="516"/>
      <c r="M928" s="515"/>
      <c r="P928" s="1">
        <v>166.7</v>
      </c>
      <c r="Q928" s="1">
        <v>0.0</v>
      </c>
      <c r="S928" s="517"/>
      <c r="V928" s="1">
        <v>0.17</v>
      </c>
      <c r="W928" s="518">
        <f t="shared" si="1"/>
        <v>0</v>
      </c>
    </row>
    <row r="929" hidden="1">
      <c r="C929" s="515"/>
      <c r="G929" s="1" t="s">
        <v>2539</v>
      </c>
      <c r="I929" s="516"/>
      <c r="J929" s="516"/>
      <c r="M929" s="515"/>
      <c r="N929" s="516"/>
      <c r="P929" s="1">
        <v>41.7</v>
      </c>
      <c r="Q929" s="1">
        <v>0.0</v>
      </c>
      <c r="S929" s="517"/>
      <c r="V929" s="1">
        <v>0.04</v>
      </c>
      <c r="W929" s="518">
        <f t="shared" si="1"/>
        <v>0</v>
      </c>
    </row>
    <row r="930" hidden="1">
      <c r="C930" s="515"/>
      <c r="G930" s="1" t="s">
        <v>2457</v>
      </c>
      <c r="I930" s="516"/>
      <c r="J930" s="516"/>
      <c r="M930" s="515"/>
      <c r="N930" s="516"/>
      <c r="P930" s="1">
        <v>500.0</v>
      </c>
      <c r="Q930" s="1">
        <v>0.0</v>
      </c>
      <c r="S930" s="517"/>
      <c r="V930" s="1">
        <v>0.5</v>
      </c>
      <c r="W930" s="518">
        <f t="shared" si="1"/>
        <v>0</v>
      </c>
    </row>
    <row r="931" hidden="1">
      <c r="C931" s="515"/>
      <c r="G931" s="1" t="s">
        <v>2540</v>
      </c>
      <c r="I931" s="516"/>
      <c r="J931" s="516"/>
      <c r="M931" s="515"/>
      <c r="N931" s="516"/>
      <c r="P931" s="1">
        <v>416.7</v>
      </c>
      <c r="Q931" s="1">
        <v>0.0</v>
      </c>
      <c r="S931" s="517"/>
      <c r="V931" s="1">
        <v>0.42</v>
      </c>
      <c r="W931" s="518">
        <f t="shared" si="1"/>
        <v>0</v>
      </c>
    </row>
    <row r="932" hidden="1">
      <c r="C932" s="515"/>
      <c r="G932" s="1" t="s">
        <v>2458</v>
      </c>
      <c r="I932" s="516"/>
      <c r="J932" s="516"/>
      <c r="M932" s="515"/>
      <c r="N932" s="516"/>
      <c r="P932" s="1">
        <v>83.3</v>
      </c>
      <c r="Q932" s="1">
        <v>0.0</v>
      </c>
      <c r="S932" s="517"/>
      <c r="V932" s="1">
        <v>0.08</v>
      </c>
      <c r="W932" s="518">
        <f t="shared" si="1"/>
        <v>0</v>
      </c>
    </row>
    <row r="933" hidden="1">
      <c r="C933" s="515"/>
      <c r="G933" s="1" t="s">
        <v>2460</v>
      </c>
      <c r="I933" s="516"/>
      <c r="J933" s="516"/>
      <c r="M933" s="515"/>
      <c r="N933" s="516"/>
      <c r="P933" s="1">
        <v>833.3</v>
      </c>
      <c r="Q933" s="1">
        <v>0.0</v>
      </c>
      <c r="S933" s="517"/>
      <c r="V933" s="1">
        <v>0.83</v>
      </c>
      <c r="W933" s="518">
        <f t="shared" si="1"/>
        <v>0</v>
      </c>
    </row>
    <row r="934" hidden="1">
      <c r="C934" s="515"/>
      <c r="G934" s="1" t="s">
        <v>2566</v>
      </c>
      <c r="I934" s="516"/>
      <c r="J934" s="516"/>
      <c r="M934" s="515"/>
      <c r="N934" s="516"/>
      <c r="P934" s="1">
        <v>45.0</v>
      </c>
      <c r="Q934" s="1">
        <v>0.0</v>
      </c>
      <c r="S934" s="517"/>
      <c r="V934" s="1">
        <v>0.05</v>
      </c>
      <c r="W934" s="518">
        <f t="shared" si="1"/>
        <v>0</v>
      </c>
    </row>
    <row r="935" hidden="1">
      <c r="C935" s="515"/>
      <c r="G935" s="1" t="s">
        <v>2456</v>
      </c>
      <c r="I935" s="516"/>
      <c r="J935" s="516"/>
      <c r="M935" s="515"/>
      <c r="N935" s="516"/>
      <c r="P935" s="1">
        <v>666.7</v>
      </c>
      <c r="Q935" s="1">
        <v>0.0</v>
      </c>
      <c r="S935" s="517"/>
      <c r="V935" s="1">
        <v>0.67</v>
      </c>
      <c r="W935" s="518">
        <f t="shared" si="1"/>
        <v>0</v>
      </c>
    </row>
    <row r="936" hidden="1">
      <c r="C936" s="515"/>
      <c r="G936" s="1" t="s">
        <v>2461</v>
      </c>
      <c r="I936" s="516"/>
      <c r="J936" s="516"/>
      <c r="M936" s="515"/>
      <c r="N936" s="516"/>
      <c r="P936" s="1">
        <v>83.3</v>
      </c>
      <c r="Q936" s="1">
        <v>0.0</v>
      </c>
      <c r="S936" s="517"/>
      <c r="V936" s="1">
        <v>0.08</v>
      </c>
      <c r="W936" s="518">
        <f t="shared" si="1"/>
        <v>0</v>
      </c>
    </row>
    <row r="937" hidden="1">
      <c r="C937" s="515"/>
      <c r="G937" s="1" t="s">
        <v>2553</v>
      </c>
      <c r="I937" s="516"/>
      <c r="J937" s="516"/>
      <c r="M937" s="515"/>
      <c r="N937" s="516"/>
      <c r="P937" s="1">
        <v>41.7</v>
      </c>
      <c r="Q937" s="1">
        <v>0.0</v>
      </c>
      <c r="S937" s="517"/>
      <c r="V937" s="1">
        <v>0.04</v>
      </c>
      <c r="W937" s="518">
        <f t="shared" si="1"/>
        <v>0</v>
      </c>
    </row>
    <row r="938" hidden="1">
      <c r="C938" s="515"/>
      <c r="G938" s="1" t="s">
        <v>2462</v>
      </c>
      <c r="I938" s="516"/>
      <c r="J938" s="516"/>
      <c r="M938" s="515"/>
      <c r="N938" s="516"/>
      <c r="P938" s="1">
        <v>41.7</v>
      </c>
      <c r="Q938" s="1">
        <v>0.0</v>
      </c>
      <c r="S938" s="517"/>
      <c r="V938" s="1">
        <v>0.04</v>
      </c>
      <c r="W938" s="518">
        <f t="shared" si="1"/>
        <v>0</v>
      </c>
    </row>
    <row r="939" hidden="1">
      <c r="C939" s="515"/>
      <c r="G939" s="1" t="s">
        <v>2560</v>
      </c>
      <c r="I939" s="516"/>
      <c r="J939" s="516"/>
      <c r="M939" s="515"/>
      <c r="N939" s="516"/>
      <c r="P939" s="1">
        <v>83.3</v>
      </c>
      <c r="Q939" s="1">
        <v>0.0</v>
      </c>
      <c r="S939" s="517"/>
      <c r="V939" s="1">
        <v>0.08</v>
      </c>
      <c r="W939" s="518">
        <f t="shared" si="1"/>
        <v>0</v>
      </c>
    </row>
    <row r="940" hidden="1">
      <c r="C940" s="515"/>
      <c r="G940" s="1" t="s">
        <v>2526</v>
      </c>
      <c r="I940" s="516"/>
      <c r="J940" s="516"/>
      <c r="M940" s="515"/>
      <c r="N940" s="516"/>
      <c r="P940" s="1">
        <v>83.3</v>
      </c>
      <c r="Q940" s="1">
        <v>0.0</v>
      </c>
      <c r="S940" s="517"/>
      <c r="V940" s="1">
        <v>0.08</v>
      </c>
      <c r="W940" s="518">
        <f t="shared" si="1"/>
        <v>0</v>
      </c>
    </row>
    <row r="941" hidden="1">
      <c r="C941" s="515"/>
      <c r="G941" s="1" t="s">
        <v>2573</v>
      </c>
      <c r="I941" s="516"/>
      <c r="J941" s="516"/>
      <c r="K941" s="515">
        <v>46387.0</v>
      </c>
      <c r="M941" s="515"/>
      <c r="N941" s="516"/>
      <c r="P941" s="1">
        <v>0.0</v>
      </c>
      <c r="Q941" s="1" t="s">
        <v>2404</v>
      </c>
      <c r="S941" s="517"/>
      <c r="V941" s="1">
        <v>10.0</v>
      </c>
      <c r="W941" s="518">
        <f t="shared" si="1"/>
        <v>10000</v>
      </c>
    </row>
    <row r="942" hidden="1">
      <c r="C942" s="515"/>
      <c r="G942" s="1" t="s">
        <v>2463</v>
      </c>
      <c r="I942" s="516"/>
      <c r="J942" s="516"/>
      <c r="M942" s="515"/>
      <c r="N942" s="516"/>
      <c r="P942" s="1">
        <v>83.3</v>
      </c>
      <c r="Q942" s="1">
        <v>0.0</v>
      </c>
      <c r="S942" s="517"/>
      <c r="V942" s="1">
        <v>0.08</v>
      </c>
      <c r="W942" s="518">
        <f t="shared" si="1"/>
        <v>0</v>
      </c>
    </row>
    <row r="943" hidden="1">
      <c r="C943" s="515"/>
      <c r="G943" s="1" t="s">
        <v>2465</v>
      </c>
      <c r="I943" s="516"/>
      <c r="J943" s="516"/>
      <c r="M943" s="515"/>
      <c r="N943" s="516"/>
      <c r="P943" s="1">
        <v>166.7</v>
      </c>
      <c r="Q943" s="1">
        <v>0.0</v>
      </c>
      <c r="S943" s="517"/>
      <c r="V943" s="1">
        <v>0.17</v>
      </c>
      <c r="W943" s="518">
        <f t="shared" si="1"/>
        <v>0</v>
      </c>
    </row>
    <row r="944" hidden="1">
      <c r="C944" s="515"/>
      <c r="G944" s="1" t="s">
        <v>2466</v>
      </c>
      <c r="I944" s="516"/>
      <c r="J944" s="516"/>
      <c r="M944" s="515"/>
      <c r="N944" s="516"/>
      <c r="P944" s="1">
        <v>208.3</v>
      </c>
      <c r="Q944" s="1">
        <v>0.0</v>
      </c>
      <c r="S944" s="517"/>
      <c r="V944" s="1">
        <v>0.21</v>
      </c>
      <c r="W944" s="518">
        <f t="shared" si="1"/>
        <v>0</v>
      </c>
    </row>
    <row r="945" hidden="1">
      <c r="C945" s="515"/>
      <c r="G945" s="1" t="s">
        <v>2468</v>
      </c>
      <c r="I945" s="516"/>
      <c r="J945" s="516"/>
      <c r="M945" s="515"/>
      <c r="N945" s="516"/>
      <c r="P945" s="1">
        <v>41.7</v>
      </c>
      <c r="Q945" s="1">
        <v>0.0</v>
      </c>
      <c r="S945" s="517"/>
      <c r="V945" s="1">
        <v>0.04</v>
      </c>
      <c r="W945" s="518">
        <f t="shared" si="1"/>
        <v>0</v>
      </c>
    </row>
    <row r="946" hidden="1">
      <c r="C946" s="515"/>
      <c r="G946" s="1" t="s">
        <v>2521</v>
      </c>
      <c r="I946" s="516"/>
      <c r="J946" s="516"/>
      <c r="M946" s="515"/>
      <c r="N946" s="516"/>
      <c r="P946" s="1">
        <v>83.3</v>
      </c>
      <c r="Q946" s="1">
        <v>0.0</v>
      </c>
      <c r="S946" s="517"/>
      <c r="V946" s="1">
        <v>0.08</v>
      </c>
      <c r="W946" s="518">
        <f t="shared" si="1"/>
        <v>0</v>
      </c>
    </row>
    <row r="947" hidden="1">
      <c r="C947" s="515"/>
      <c r="G947" s="1" t="s">
        <v>2469</v>
      </c>
      <c r="I947" s="516"/>
      <c r="J947" s="516"/>
      <c r="M947" s="515"/>
      <c r="N947" s="516"/>
      <c r="P947" s="1">
        <v>41.7</v>
      </c>
      <c r="Q947" s="1">
        <v>0.0</v>
      </c>
      <c r="S947" s="517"/>
      <c r="V947" s="1">
        <v>0.04</v>
      </c>
      <c r="W947" s="518">
        <f t="shared" si="1"/>
        <v>0</v>
      </c>
    </row>
    <row r="948" hidden="1">
      <c r="C948" s="515"/>
      <c r="G948" s="1" t="s">
        <v>2470</v>
      </c>
      <c r="I948" s="516"/>
      <c r="J948" s="516"/>
      <c r="M948" s="515"/>
      <c r="N948" s="516"/>
      <c r="P948" s="1">
        <v>333.3</v>
      </c>
      <c r="Q948" s="1">
        <v>0.0</v>
      </c>
      <c r="S948" s="517"/>
      <c r="V948" s="1">
        <v>0.33</v>
      </c>
      <c r="W948" s="518">
        <f t="shared" si="1"/>
        <v>0</v>
      </c>
    </row>
    <row r="949" hidden="1">
      <c r="C949" s="515"/>
      <c r="G949" s="1" t="s">
        <v>2471</v>
      </c>
      <c r="I949" s="516"/>
      <c r="J949" s="516"/>
      <c r="M949" s="515"/>
      <c r="N949" s="516"/>
      <c r="P949" s="1">
        <v>41.7</v>
      </c>
      <c r="Q949" s="1">
        <v>0.0</v>
      </c>
      <c r="S949" s="517"/>
      <c r="V949" s="1">
        <v>0.04</v>
      </c>
      <c r="W949" s="518">
        <f t="shared" si="1"/>
        <v>0</v>
      </c>
    </row>
    <row r="950" hidden="1">
      <c r="C950" s="515"/>
      <c r="G950" s="1" t="s">
        <v>2472</v>
      </c>
      <c r="I950" s="516"/>
      <c r="J950" s="516"/>
      <c r="M950" s="515"/>
      <c r="N950" s="516"/>
      <c r="P950" s="1">
        <v>83.3</v>
      </c>
      <c r="Q950" s="1">
        <v>0.0</v>
      </c>
      <c r="S950" s="517"/>
      <c r="V950" s="1">
        <v>0.08</v>
      </c>
      <c r="W950" s="518">
        <f t="shared" si="1"/>
        <v>0</v>
      </c>
    </row>
    <row r="951" hidden="1">
      <c r="C951" s="515"/>
      <c r="G951" s="1" t="s">
        <v>2473</v>
      </c>
      <c r="I951" s="516"/>
      <c r="J951" s="516"/>
      <c r="M951" s="515"/>
      <c r="N951" s="516"/>
      <c r="P951" s="1">
        <v>83.3</v>
      </c>
      <c r="Q951" s="1">
        <v>0.0</v>
      </c>
      <c r="S951" s="517"/>
      <c r="V951" s="1">
        <v>0.08</v>
      </c>
      <c r="W951" s="518">
        <f t="shared" si="1"/>
        <v>0</v>
      </c>
    </row>
    <row r="952" hidden="1">
      <c r="C952" s="515"/>
      <c r="G952" s="1" t="s">
        <v>2542</v>
      </c>
      <c r="I952" s="516"/>
      <c r="J952" s="516"/>
      <c r="P952" s="1">
        <v>83.3</v>
      </c>
      <c r="Q952" s="1">
        <v>0.0</v>
      </c>
      <c r="S952" s="517"/>
      <c r="V952" s="1">
        <v>0.08</v>
      </c>
      <c r="W952" s="518">
        <f t="shared" si="1"/>
        <v>0</v>
      </c>
    </row>
    <row r="953" hidden="1">
      <c r="C953" s="515"/>
      <c r="G953" s="1" t="s">
        <v>2474</v>
      </c>
      <c r="I953" s="516"/>
      <c r="J953" s="516"/>
      <c r="M953" s="515"/>
      <c r="N953" s="516"/>
      <c r="P953" s="1">
        <v>183.3</v>
      </c>
      <c r="Q953" s="1">
        <v>0.0</v>
      </c>
      <c r="S953" s="517"/>
      <c r="V953" s="1">
        <v>0.18</v>
      </c>
      <c r="W953" s="518">
        <f t="shared" si="1"/>
        <v>0</v>
      </c>
    </row>
    <row r="954" hidden="1">
      <c r="C954" s="515"/>
      <c r="G954" s="1" t="s">
        <v>2543</v>
      </c>
      <c r="I954" s="516"/>
      <c r="J954" s="516"/>
      <c r="M954" s="515"/>
      <c r="N954" s="516"/>
      <c r="P954" s="1">
        <v>166.7</v>
      </c>
      <c r="Q954" s="1">
        <v>0.0</v>
      </c>
      <c r="S954" s="517"/>
      <c r="V954" s="1">
        <v>0.17</v>
      </c>
      <c r="W954" s="518">
        <f t="shared" si="1"/>
        <v>0</v>
      </c>
    </row>
    <row r="955" hidden="1">
      <c r="C955" s="515"/>
      <c r="G955" s="1" t="s">
        <v>2453</v>
      </c>
      <c r="I955" s="516"/>
      <c r="J955" s="516"/>
      <c r="M955" s="515"/>
      <c r="N955" s="516"/>
      <c r="P955" s="1">
        <v>83.3</v>
      </c>
      <c r="Q955" s="1">
        <v>0.0</v>
      </c>
      <c r="S955" s="517"/>
      <c r="V955" s="1">
        <v>0.08</v>
      </c>
      <c r="W955" s="518">
        <f t="shared" si="1"/>
        <v>0</v>
      </c>
    </row>
    <row r="956" hidden="1">
      <c r="C956" s="515"/>
      <c r="G956" s="1" t="s">
        <v>2478</v>
      </c>
      <c r="I956" s="516"/>
      <c r="J956" s="516"/>
      <c r="M956" s="515"/>
      <c r="N956" s="516"/>
      <c r="P956" s="1">
        <v>83.3</v>
      </c>
      <c r="Q956" s="1">
        <v>0.0</v>
      </c>
      <c r="S956" s="517"/>
      <c r="V956" s="1">
        <v>0.08</v>
      </c>
      <c r="W956" s="518">
        <f t="shared" si="1"/>
        <v>0</v>
      </c>
    </row>
    <row r="957" hidden="1">
      <c r="C957" s="515"/>
      <c r="G957" s="1" t="s">
        <v>2479</v>
      </c>
      <c r="I957" s="516"/>
      <c r="J957" s="516"/>
      <c r="M957" s="515"/>
      <c r="N957" s="516"/>
      <c r="P957" s="1">
        <v>416.7</v>
      </c>
      <c r="Q957" s="1">
        <v>0.0</v>
      </c>
      <c r="S957" s="517"/>
      <c r="V957" s="1">
        <v>0.42</v>
      </c>
      <c r="W957" s="518">
        <f t="shared" si="1"/>
        <v>0</v>
      </c>
    </row>
    <row r="958" hidden="1">
      <c r="C958" s="515"/>
      <c r="G958" s="1" t="s">
        <v>2482</v>
      </c>
      <c r="I958" s="516"/>
      <c r="J958" s="516"/>
      <c r="M958" s="515"/>
      <c r="N958" s="516"/>
      <c r="P958" s="1">
        <v>41.7</v>
      </c>
      <c r="Q958" s="1">
        <v>0.0</v>
      </c>
      <c r="S958" s="517"/>
      <c r="V958" s="1">
        <v>0.04</v>
      </c>
      <c r="W958" s="518">
        <f t="shared" si="1"/>
        <v>0</v>
      </c>
    </row>
    <row r="959" hidden="1">
      <c r="C959" s="515"/>
      <c r="G959" s="1" t="s">
        <v>2483</v>
      </c>
      <c r="I959" s="516"/>
      <c r="J959" s="516"/>
      <c r="M959" s="515"/>
      <c r="N959" s="516"/>
      <c r="P959" s="1">
        <v>708.3</v>
      </c>
      <c r="Q959" s="1">
        <v>0.0</v>
      </c>
      <c r="S959" s="517"/>
      <c r="V959" s="1">
        <v>0.71</v>
      </c>
      <c r="W959" s="518">
        <f t="shared" si="1"/>
        <v>0</v>
      </c>
    </row>
    <row r="960" hidden="1">
      <c r="C960" s="515"/>
      <c r="G960" s="1" t="s">
        <v>2485</v>
      </c>
      <c r="I960" s="516"/>
      <c r="J960" s="516"/>
      <c r="M960" s="515"/>
      <c r="N960" s="516"/>
      <c r="P960" s="1">
        <v>83.3</v>
      </c>
      <c r="Q960" s="1">
        <v>0.0</v>
      </c>
      <c r="S960" s="517"/>
      <c r="V960" s="1">
        <v>0.08</v>
      </c>
      <c r="W960" s="518">
        <f t="shared" si="1"/>
        <v>0</v>
      </c>
    </row>
    <row r="961" hidden="1">
      <c r="C961" s="515"/>
      <c r="G961" s="1" t="s">
        <v>2484</v>
      </c>
      <c r="I961" s="516"/>
      <c r="J961" s="516"/>
      <c r="M961" s="515"/>
      <c r="N961" s="516"/>
      <c r="P961" s="1">
        <v>500.0</v>
      </c>
      <c r="Q961" s="1">
        <v>0.0</v>
      </c>
      <c r="S961" s="517"/>
      <c r="V961" s="1">
        <v>0.5</v>
      </c>
      <c r="W961" s="518">
        <f t="shared" si="1"/>
        <v>0</v>
      </c>
    </row>
    <row r="962" hidden="1">
      <c r="C962" s="515"/>
      <c r="G962" s="1" t="s">
        <v>2486</v>
      </c>
      <c r="I962" s="516"/>
      <c r="J962" s="516"/>
      <c r="M962" s="515"/>
      <c r="N962" s="516"/>
      <c r="P962" s="1">
        <v>83.3</v>
      </c>
      <c r="Q962" s="1">
        <v>0.0</v>
      </c>
      <c r="S962" s="517"/>
      <c r="V962" s="1">
        <v>0.08</v>
      </c>
      <c r="W962" s="518">
        <f t="shared" si="1"/>
        <v>0</v>
      </c>
    </row>
    <row r="963" hidden="1">
      <c r="C963" s="515"/>
      <c r="G963" s="1" t="s">
        <v>2545</v>
      </c>
      <c r="I963" s="516"/>
      <c r="J963" s="516"/>
      <c r="M963" s="515"/>
      <c r="N963" s="516"/>
      <c r="P963" s="1">
        <v>41.7</v>
      </c>
      <c r="Q963" s="1">
        <v>0.0</v>
      </c>
      <c r="S963" s="517"/>
      <c r="V963" s="1">
        <v>0.04</v>
      </c>
      <c r="W963" s="518">
        <f t="shared" si="1"/>
        <v>0</v>
      </c>
    </row>
    <row r="964" hidden="1">
      <c r="C964" s="515"/>
      <c r="G964" s="1" t="s">
        <v>2487</v>
      </c>
      <c r="I964" s="516"/>
      <c r="J964" s="516"/>
      <c r="M964" s="515"/>
      <c r="N964" s="516"/>
      <c r="P964" s="1">
        <v>41.7</v>
      </c>
      <c r="Q964" s="1">
        <v>0.0</v>
      </c>
      <c r="S964" s="517"/>
      <c r="V964" s="1">
        <v>0.04</v>
      </c>
      <c r="W964" s="518">
        <f t="shared" si="1"/>
        <v>0</v>
      </c>
    </row>
    <row r="965" hidden="1">
      <c r="C965" s="515"/>
      <c r="G965" s="1" t="s">
        <v>2574</v>
      </c>
      <c r="I965" s="516"/>
      <c r="J965" s="516"/>
      <c r="K965" s="515">
        <v>46022.0</v>
      </c>
      <c r="M965" s="515"/>
      <c r="N965" s="516"/>
      <c r="P965" s="1">
        <v>0.0</v>
      </c>
      <c r="Q965" s="1" t="s">
        <v>2404</v>
      </c>
      <c r="S965" s="517"/>
      <c r="V965" s="1">
        <v>100.0</v>
      </c>
      <c r="W965" s="518">
        <f t="shared" si="1"/>
        <v>100000</v>
      </c>
    </row>
    <row r="966" hidden="1">
      <c r="C966" s="515"/>
      <c r="G966" s="1" t="s">
        <v>2488</v>
      </c>
      <c r="I966" s="516"/>
      <c r="J966" s="516"/>
      <c r="M966" s="515"/>
      <c r="N966" s="516"/>
      <c r="P966" s="1">
        <v>134.6</v>
      </c>
      <c r="Q966" s="1">
        <v>0.0</v>
      </c>
      <c r="S966" s="517"/>
      <c r="V966" s="1">
        <v>0.13</v>
      </c>
      <c r="W966" s="518">
        <f t="shared" si="1"/>
        <v>0</v>
      </c>
    </row>
    <row r="967" hidden="1">
      <c r="C967" s="515"/>
      <c r="G967" s="1" t="s">
        <v>2489</v>
      </c>
      <c r="I967" s="516"/>
      <c r="J967" s="516"/>
      <c r="M967" s="515"/>
      <c r="N967" s="516"/>
      <c r="P967" s="1">
        <v>83.3</v>
      </c>
      <c r="Q967" s="1">
        <v>0.0</v>
      </c>
      <c r="S967" s="517"/>
      <c r="V967" s="1">
        <v>0.08</v>
      </c>
      <c r="W967" s="518">
        <f t="shared" si="1"/>
        <v>0</v>
      </c>
    </row>
    <row r="968" hidden="1">
      <c r="C968" s="515"/>
      <c r="G968" s="1" t="s">
        <v>2490</v>
      </c>
      <c r="I968" s="516"/>
      <c r="J968" s="516"/>
      <c r="M968" s="515"/>
      <c r="N968" s="516"/>
      <c r="P968" s="1">
        <v>41.7</v>
      </c>
      <c r="Q968" s="1">
        <v>0.0</v>
      </c>
      <c r="S968" s="517"/>
      <c r="V968" s="1">
        <v>0.04</v>
      </c>
      <c r="W968" s="518">
        <f t="shared" si="1"/>
        <v>0</v>
      </c>
    </row>
    <row r="969" hidden="1">
      <c r="C969" s="515"/>
      <c r="G969" s="1" t="s">
        <v>2491</v>
      </c>
      <c r="I969" s="516"/>
      <c r="J969" s="516"/>
      <c r="M969" s="515"/>
      <c r="N969" s="516"/>
      <c r="P969" s="1">
        <v>41.7</v>
      </c>
      <c r="Q969" s="1">
        <v>0.0</v>
      </c>
      <c r="S969" s="517"/>
      <c r="V969" s="1">
        <v>0.04</v>
      </c>
      <c r="W969" s="518">
        <f t="shared" si="1"/>
        <v>0</v>
      </c>
    </row>
    <row r="970" hidden="1">
      <c r="C970" s="515"/>
      <c r="G970" s="1" t="s">
        <v>2492</v>
      </c>
      <c r="I970" s="516"/>
      <c r="J970" s="516"/>
      <c r="M970" s="515"/>
      <c r="N970" s="516"/>
      <c r="P970" s="1">
        <v>1000.0</v>
      </c>
      <c r="Q970" s="1">
        <v>0.0</v>
      </c>
      <c r="S970" s="517"/>
      <c r="V970" s="1">
        <v>1.0</v>
      </c>
      <c r="W970" s="518">
        <f t="shared" si="1"/>
        <v>0</v>
      </c>
    </row>
    <row r="971" hidden="1">
      <c r="C971" s="515"/>
      <c r="G971" s="1" t="s">
        <v>2493</v>
      </c>
      <c r="I971" s="516"/>
      <c r="J971" s="516"/>
      <c r="M971" s="515"/>
      <c r="N971" s="516"/>
      <c r="P971" s="1">
        <v>166.7</v>
      </c>
      <c r="Q971" s="1">
        <v>0.0</v>
      </c>
      <c r="S971" s="517"/>
      <c r="V971" s="1">
        <v>0.17</v>
      </c>
      <c r="W971" s="518">
        <f t="shared" si="1"/>
        <v>0</v>
      </c>
    </row>
    <row r="972" hidden="1">
      <c r="C972" s="515"/>
      <c r="G972" s="1" t="s">
        <v>2495</v>
      </c>
      <c r="I972" s="516"/>
      <c r="J972" s="516"/>
      <c r="M972" s="515"/>
      <c r="N972" s="516"/>
      <c r="P972" s="1">
        <v>83.3</v>
      </c>
      <c r="Q972" s="1">
        <v>0.0</v>
      </c>
      <c r="S972" s="517"/>
      <c r="V972" s="1">
        <v>0.08</v>
      </c>
      <c r="W972" s="518">
        <f t="shared" si="1"/>
        <v>0</v>
      </c>
    </row>
    <row r="973" hidden="1">
      <c r="C973" s="515"/>
      <c r="G973" s="1" t="s">
        <v>2563</v>
      </c>
      <c r="I973" s="516"/>
      <c r="J973" s="516"/>
      <c r="M973" s="515"/>
      <c r="N973" s="516"/>
      <c r="P973" s="1">
        <v>125.0</v>
      </c>
      <c r="Q973" s="1">
        <v>0.0</v>
      </c>
      <c r="S973" s="517"/>
      <c r="V973" s="1">
        <v>0.13</v>
      </c>
      <c r="W973" s="518">
        <f t="shared" si="1"/>
        <v>0</v>
      </c>
    </row>
    <row r="974" hidden="1">
      <c r="C974" s="515"/>
      <c r="G974" s="1" t="s">
        <v>2497</v>
      </c>
      <c r="I974" s="516"/>
      <c r="J974" s="516"/>
      <c r="M974" s="515"/>
      <c r="N974" s="516"/>
      <c r="P974" s="1">
        <v>2000.0</v>
      </c>
      <c r="Q974" s="1">
        <v>0.0</v>
      </c>
      <c r="S974" s="517"/>
      <c r="V974" s="1">
        <v>2.0</v>
      </c>
      <c r="W974" s="518">
        <f t="shared" si="1"/>
        <v>0</v>
      </c>
    </row>
    <row r="975" hidden="1">
      <c r="C975" s="515"/>
      <c r="G975" s="1" t="s">
        <v>2498</v>
      </c>
      <c r="I975" s="516"/>
      <c r="J975" s="516"/>
      <c r="M975" s="515"/>
      <c r="N975" s="516"/>
      <c r="P975" s="1">
        <v>183.3</v>
      </c>
      <c r="Q975" s="1">
        <v>0.0</v>
      </c>
      <c r="S975" s="517"/>
      <c r="V975" s="1">
        <v>0.18</v>
      </c>
      <c r="W975" s="518">
        <f t="shared" si="1"/>
        <v>0</v>
      </c>
    </row>
    <row r="976" hidden="1">
      <c r="C976" s="515"/>
      <c r="G976" s="1" t="s">
        <v>2547</v>
      </c>
      <c r="I976" s="516"/>
      <c r="J976" s="516"/>
      <c r="M976" s="515"/>
      <c r="N976" s="516"/>
      <c r="P976" s="1">
        <v>166.7</v>
      </c>
      <c r="Q976" s="1">
        <v>0.0</v>
      </c>
      <c r="S976" s="517"/>
      <c r="V976" s="1">
        <v>0.17</v>
      </c>
      <c r="W976" s="518">
        <f t="shared" si="1"/>
        <v>0</v>
      </c>
    </row>
    <row r="977" hidden="1">
      <c r="C977" s="515"/>
      <c r="G977" s="1" t="s">
        <v>2499</v>
      </c>
      <c r="I977" s="516"/>
      <c r="J977" s="516"/>
      <c r="M977" s="515"/>
      <c r="N977" s="516"/>
      <c r="P977" s="1">
        <v>41.7</v>
      </c>
      <c r="Q977" s="1">
        <v>0.0</v>
      </c>
      <c r="S977" s="517"/>
      <c r="V977" s="1">
        <v>0.04</v>
      </c>
      <c r="W977" s="518">
        <f t="shared" si="1"/>
        <v>0</v>
      </c>
    </row>
    <row r="978" hidden="1">
      <c r="C978" s="515"/>
      <c r="G978" s="1" t="s">
        <v>2565</v>
      </c>
      <c r="I978" s="516"/>
      <c r="J978" s="516"/>
      <c r="M978" s="515"/>
      <c r="N978" s="516"/>
      <c r="P978" s="1">
        <v>83.3</v>
      </c>
      <c r="Q978" s="1">
        <v>0.0</v>
      </c>
      <c r="S978" s="517"/>
      <c r="V978" s="1">
        <v>0.08</v>
      </c>
      <c r="W978" s="518">
        <f t="shared" si="1"/>
        <v>0</v>
      </c>
    </row>
    <row r="979" hidden="1">
      <c r="C979" s="515"/>
      <c r="G979" s="1" t="s">
        <v>2500</v>
      </c>
      <c r="I979" s="516"/>
      <c r="J979" s="516"/>
      <c r="M979" s="515"/>
      <c r="N979" s="516"/>
      <c r="P979" s="1">
        <v>41.7</v>
      </c>
      <c r="Q979" s="1">
        <v>0.0</v>
      </c>
      <c r="S979" s="517"/>
      <c r="V979" s="1">
        <v>0.04</v>
      </c>
      <c r="W979" s="518">
        <f t="shared" si="1"/>
        <v>0</v>
      </c>
    </row>
    <row r="980" hidden="1">
      <c r="C980" s="515"/>
      <c r="G980" s="1" t="s">
        <v>2501</v>
      </c>
      <c r="I980" s="516"/>
      <c r="J980" s="516"/>
      <c r="M980" s="515"/>
      <c r="N980" s="516"/>
      <c r="P980" s="1">
        <v>83.3</v>
      </c>
      <c r="Q980" s="1">
        <v>0.0</v>
      </c>
      <c r="S980" s="517"/>
      <c r="V980" s="1">
        <v>0.08</v>
      </c>
      <c r="W980" s="518">
        <f t="shared" si="1"/>
        <v>0</v>
      </c>
    </row>
    <row r="981" hidden="1">
      <c r="C981" s="515"/>
      <c r="G981" s="1" t="s">
        <v>2502</v>
      </c>
      <c r="I981" s="516"/>
      <c r="J981" s="516"/>
      <c r="M981" s="515"/>
      <c r="N981" s="516"/>
      <c r="P981" s="1">
        <v>41.7</v>
      </c>
      <c r="Q981" s="1">
        <v>0.0</v>
      </c>
      <c r="S981" s="517"/>
      <c r="V981" s="1">
        <v>0.04</v>
      </c>
      <c r="W981" s="518">
        <f t="shared" si="1"/>
        <v>0</v>
      </c>
    </row>
    <row r="982" hidden="1">
      <c r="C982" s="515"/>
      <c r="G982" s="1" t="s">
        <v>2503</v>
      </c>
      <c r="I982" s="516"/>
      <c r="J982" s="516"/>
      <c r="M982" s="515"/>
      <c r="P982" s="1">
        <v>1666.7</v>
      </c>
      <c r="Q982" s="1">
        <v>0.0</v>
      </c>
      <c r="S982" s="517"/>
      <c r="V982" s="1">
        <v>1.67</v>
      </c>
      <c r="W982" s="518">
        <f t="shared" si="1"/>
        <v>0</v>
      </c>
    </row>
    <row r="983" hidden="1">
      <c r="C983" s="515"/>
      <c r="G983" s="1" t="s">
        <v>2504</v>
      </c>
      <c r="I983" s="516"/>
      <c r="J983" s="516"/>
      <c r="M983" s="515"/>
      <c r="N983" s="516"/>
      <c r="P983" s="1">
        <v>41.7</v>
      </c>
      <c r="Q983" s="1">
        <v>0.0</v>
      </c>
      <c r="S983" s="517"/>
      <c r="V983" s="1">
        <v>0.04</v>
      </c>
      <c r="W983" s="518">
        <f t="shared" si="1"/>
        <v>0</v>
      </c>
    </row>
    <row r="984" hidden="1">
      <c r="C984" s="515"/>
      <c r="G984" s="1" t="s">
        <v>2505</v>
      </c>
      <c r="I984" s="516"/>
      <c r="J984" s="516"/>
      <c r="M984" s="515"/>
      <c r="N984" s="516"/>
      <c r="P984" s="1">
        <v>125.0</v>
      </c>
      <c r="Q984" s="1">
        <v>0.0</v>
      </c>
      <c r="S984" s="517"/>
      <c r="V984" s="1">
        <v>0.13</v>
      </c>
      <c r="W984" s="518">
        <f t="shared" si="1"/>
        <v>0</v>
      </c>
    </row>
    <row r="985" hidden="1">
      <c r="C985" s="515"/>
      <c r="G985" s="1" t="s">
        <v>2510</v>
      </c>
      <c r="I985" s="516"/>
      <c r="J985" s="516"/>
      <c r="M985" s="515"/>
      <c r="N985" s="516"/>
      <c r="P985" s="1">
        <v>83.3</v>
      </c>
      <c r="Q985" s="1">
        <v>0.0</v>
      </c>
      <c r="S985" s="517"/>
      <c r="V985" s="1">
        <v>0.08</v>
      </c>
      <c r="W985" s="518">
        <f t="shared" si="1"/>
        <v>0</v>
      </c>
    </row>
    <row r="986" hidden="1">
      <c r="C986" s="515"/>
      <c r="G986" s="1" t="s">
        <v>2511</v>
      </c>
      <c r="I986" s="516"/>
      <c r="J986" s="516"/>
      <c r="M986" s="515"/>
      <c r="N986" s="516"/>
      <c r="P986" s="1">
        <v>41.7</v>
      </c>
      <c r="Q986" s="1">
        <v>0.0</v>
      </c>
      <c r="S986" s="517"/>
      <c r="V986" s="1">
        <v>0.04</v>
      </c>
      <c r="W986" s="518">
        <f t="shared" si="1"/>
        <v>0</v>
      </c>
    </row>
    <row r="987" hidden="1">
      <c r="C987" s="515"/>
      <c r="G987" s="1" t="s">
        <v>2575</v>
      </c>
      <c r="I987" s="516"/>
      <c r="J987" s="516"/>
      <c r="M987" s="515"/>
      <c r="N987" s="516"/>
      <c r="P987" s="1">
        <v>83.3</v>
      </c>
      <c r="Q987" s="1">
        <v>0.0</v>
      </c>
      <c r="S987" s="517"/>
      <c r="V987" s="1">
        <v>0.08</v>
      </c>
      <c r="W987" s="518">
        <f t="shared" si="1"/>
        <v>0</v>
      </c>
    </row>
    <row r="988" hidden="1">
      <c r="C988" s="515"/>
      <c r="G988" s="1" t="s">
        <v>2405</v>
      </c>
      <c r="I988" s="516"/>
      <c r="J988" s="516"/>
      <c r="M988" s="515"/>
      <c r="N988" s="516"/>
      <c r="P988" s="1">
        <v>166.7</v>
      </c>
      <c r="Q988" s="1">
        <v>0.0</v>
      </c>
      <c r="S988" s="517"/>
      <c r="V988" s="1">
        <v>0.17</v>
      </c>
      <c r="W988" s="518">
        <f t="shared" si="1"/>
        <v>0</v>
      </c>
    </row>
    <row r="989" hidden="1">
      <c r="C989" s="515"/>
      <c r="G989" s="1" t="s">
        <v>2406</v>
      </c>
      <c r="I989" s="516"/>
      <c r="J989" s="516"/>
      <c r="M989" s="515"/>
      <c r="N989" s="516"/>
      <c r="P989" s="1">
        <v>166.7</v>
      </c>
      <c r="Q989" s="1">
        <v>0.0</v>
      </c>
      <c r="S989" s="517"/>
      <c r="V989" s="1">
        <v>0.17</v>
      </c>
      <c r="W989" s="518">
        <f t="shared" si="1"/>
        <v>0</v>
      </c>
    </row>
    <row r="990" hidden="1">
      <c r="C990" s="515"/>
      <c r="G990" s="1" t="s">
        <v>2407</v>
      </c>
      <c r="I990" s="516"/>
      <c r="J990" s="516"/>
      <c r="M990" s="515"/>
      <c r="N990" s="516"/>
      <c r="P990" s="1">
        <v>416.7</v>
      </c>
      <c r="Q990" s="1">
        <v>0.0</v>
      </c>
      <c r="S990" s="517"/>
      <c r="V990" s="1">
        <v>0.42</v>
      </c>
      <c r="W990" s="518">
        <f t="shared" si="1"/>
        <v>0</v>
      </c>
    </row>
    <row r="991" hidden="1">
      <c r="C991" s="515"/>
      <c r="G991" s="1" t="s">
        <v>2408</v>
      </c>
      <c r="I991" s="516"/>
      <c r="J991" s="516"/>
      <c r="M991" s="515"/>
      <c r="N991" s="516"/>
      <c r="P991" s="1">
        <v>41.7</v>
      </c>
      <c r="Q991" s="1">
        <v>0.0</v>
      </c>
      <c r="S991" s="517"/>
      <c r="V991" s="1">
        <v>0.04</v>
      </c>
      <c r="W991" s="518">
        <f t="shared" si="1"/>
        <v>0</v>
      </c>
    </row>
    <row r="992" hidden="1">
      <c r="C992" s="515"/>
      <c r="G992" s="1" t="s">
        <v>2410</v>
      </c>
      <c r="I992" s="516"/>
      <c r="J992" s="516"/>
      <c r="M992" s="515"/>
      <c r="P992" s="1">
        <v>83.3</v>
      </c>
      <c r="Q992" s="1">
        <v>0.0</v>
      </c>
      <c r="S992" s="517"/>
      <c r="V992" s="1">
        <v>0.08</v>
      </c>
      <c r="W992" s="518">
        <f t="shared" si="1"/>
        <v>0</v>
      </c>
    </row>
    <row r="993" hidden="1">
      <c r="C993" s="515"/>
      <c r="G993" s="1" t="s">
        <v>2549</v>
      </c>
      <c r="I993" s="516"/>
      <c r="J993" s="516"/>
      <c r="M993" s="515"/>
      <c r="N993" s="516"/>
      <c r="P993" s="1">
        <v>83.3</v>
      </c>
      <c r="Q993" s="1">
        <v>0.0</v>
      </c>
      <c r="S993" s="517"/>
      <c r="V993" s="1">
        <v>0.08</v>
      </c>
      <c r="W993" s="518">
        <f t="shared" si="1"/>
        <v>0</v>
      </c>
    </row>
    <row r="994" hidden="1">
      <c r="C994" s="515"/>
      <c r="G994" s="1" t="s">
        <v>2555</v>
      </c>
      <c r="I994" s="516"/>
      <c r="J994" s="516"/>
      <c r="M994" s="515"/>
      <c r="N994" s="516"/>
      <c r="P994" s="1">
        <v>83.3</v>
      </c>
      <c r="Q994" s="1">
        <v>0.0</v>
      </c>
      <c r="S994" s="517"/>
      <c r="V994" s="1">
        <v>0.08</v>
      </c>
      <c r="W994" s="518">
        <f t="shared" si="1"/>
        <v>0</v>
      </c>
    </row>
    <row r="995" hidden="1">
      <c r="C995" s="515"/>
      <c r="G995" s="1" t="s">
        <v>2576</v>
      </c>
      <c r="I995" s="516"/>
      <c r="J995" s="516"/>
      <c r="M995" s="515"/>
      <c r="N995" s="516"/>
      <c r="P995" s="1">
        <v>41.7</v>
      </c>
      <c r="Q995" s="1">
        <v>0.0</v>
      </c>
      <c r="S995" s="517"/>
      <c r="V995" s="1">
        <v>0.04</v>
      </c>
      <c r="W995" s="518">
        <f t="shared" si="1"/>
        <v>0</v>
      </c>
    </row>
    <row r="996" hidden="1">
      <c r="C996" s="515"/>
      <c r="G996" s="1" t="s">
        <v>2415</v>
      </c>
      <c r="I996" s="516"/>
      <c r="J996" s="516"/>
      <c r="M996" s="515"/>
      <c r="N996" s="516"/>
      <c r="P996" s="1">
        <v>333.3</v>
      </c>
      <c r="Q996" s="1">
        <v>0.0</v>
      </c>
      <c r="S996" s="517"/>
      <c r="V996" s="1">
        <v>0.33</v>
      </c>
      <c r="W996" s="518">
        <f t="shared" si="1"/>
        <v>0</v>
      </c>
    </row>
    <row r="997" hidden="1">
      <c r="C997" s="515"/>
      <c r="G997" s="1" t="s">
        <v>2418</v>
      </c>
      <c r="I997" s="516"/>
      <c r="J997" s="516"/>
      <c r="M997" s="515"/>
      <c r="N997" s="516"/>
      <c r="P997" s="1">
        <v>141.7</v>
      </c>
      <c r="Q997" s="1">
        <v>0.0</v>
      </c>
      <c r="S997" s="517"/>
      <c r="V997" s="1">
        <v>0.14</v>
      </c>
      <c r="W997" s="518">
        <f t="shared" si="1"/>
        <v>0</v>
      </c>
    </row>
    <row r="998" hidden="1">
      <c r="C998" s="515"/>
      <c r="G998" s="1" t="s">
        <v>2419</v>
      </c>
      <c r="I998" s="516"/>
      <c r="J998" s="516"/>
      <c r="M998" s="515"/>
      <c r="N998" s="516"/>
      <c r="P998" s="1">
        <v>666.7</v>
      </c>
      <c r="Q998" s="1">
        <v>0.0</v>
      </c>
      <c r="S998" s="517"/>
      <c r="V998" s="1">
        <v>0.67</v>
      </c>
      <c r="W998" s="518">
        <f t="shared" si="1"/>
        <v>0</v>
      </c>
    </row>
    <row r="999" hidden="1">
      <c r="C999" s="515"/>
      <c r="G999" s="1" t="s">
        <v>2420</v>
      </c>
      <c r="I999" s="516"/>
      <c r="J999" s="516"/>
      <c r="M999" s="515"/>
      <c r="N999" s="516"/>
      <c r="P999" s="1">
        <v>83.3</v>
      </c>
      <c r="Q999" s="1">
        <v>0.0</v>
      </c>
      <c r="S999" s="517"/>
      <c r="V999" s="1">
        <v>0.08</v>
      </c>
      <c r="W999" s="518">
        <f t="shared" si="1"/>
        <v>0</v>
      </c>
    </row>
    <row r="1000" hidden="1">
      <c r="C1000" s="515"/>
      <c r="G1000" s="1" t="s">
        <v>2551</v>
      </c>
      <c r="I1000" s="516"/>
      <c r="J1000" s="516"/>
      <c r="M1000" s="515"/>
      <c r="N1000" s="516"/>
      <c r="P1000" s="1">
        <v>333.3</v>
      </c>
      <c r="Q1000" s="1">
        <v>0.0</v>
      </c>
      <c r="S1000" s="517"/>
      <c r="V1000" s="1">
        <v>0.33</v>
      </c>
      <c r="W1000" s="518">
        <f t="shared" si="1"/>
        <v>0</v>
      </c>
    </row>
    <row r="1001" hidden="1">
      <c r="C1001" s="515"/>
      <c r="G1001" s="1" t="s">
        <v>2422</v>
      </c>
      <c r="I1001" s="516"/>
      <c r="J1001" s="516"/>
      <c r="M1001" s="515"/>
      <c r="N1001" s="516"/>
      <c r="P1001" s="1">
        <v>250.0</v>
      </c>
      <c r="Q1001" s="1">
        <v>0.0</v>
      </c>
      <c r="S1001" s="517"/>
      <c r="V1001" s="1">
        <v>0.25</v>
      </c>
      <c r="W1001" s="518">
        <f t="shared" si="1"/>
        <v>0</v>
      </c>
    </row>
    <row r="1002" hidden="1">
      <c r="C1002" s="515"/>
      <c r="G1002" s="1" t="s">
        <v>2577</v>
      </c>
      <c r="I1002" s="516"/>
      <c r="J1002" s="516"/>
      <c r="M1002" s="515"/>
      <c r="N1002" s="516"/>
      <c r="P1002" s="1">
        <v>41.7</v>
      </c>
      <c r="Q1002" s="1">
        <v>0.0</v>
      </c>
      <c r="S1002" s="517"/>
      <c r="V1002" s="1">
        <v>0.04</v>
      </c>
      <c r="W1002" s="518">
        <f t="shared" si="1"/>
        <v>0</v>
      </c>
    </row>
    <row r="1003" hidden="1">
      <c r="C1003" s="515"/>
      <c r="G1003" s="1" t="s">
        <v>2423</v>
      </c>
      <c r="I1003" s="516"/>
      <c r="J1003" s="516"/>
      <c r="M1003" s="515"/>
      <c r="N1003" s="516"/>
      <c r="P1003" s="1">
        <v>83.3</v>
      </c>
      <c r="Q1003" s="1">
        <v>0.0</v>
      </c>
      <c r="S1003" s="517"/>
      <c r="V1003" s="1">
        <v>0.08</v>
      </c>
      <c r="W1003" s="518">
        <f t="shared" si="1"/>
        <v>0</v>
      </c>
    </row>
    <row r="1004" hidden="1">
      <c r="C1004" s="515"/>
      <c r="G1004" s="1" t="s">
        <v>2424</v>
      </c>
      <c r="I1004" s="516"/>
      <c r="J1004" s="516"/>
      <c r="M1004" s="515"/>
      <c r="N1004" s="516"/>
      <c r="P1004" s="1">
        <v>83.3</v>
      </c>
      <c r="Q1004" s="1">
        <v>0.0</v>
      </c>
      <c r="S1004" s="517"/>
      <c r="V1004" s="1">
        <v>0.08</v>
      </c>
      <c r="W1004" s="518">
        <f t="shared" si="1"/>
        <v>0</v>
      </c>
    </row>
    <row r="1005" hidden="1">
      <c r="C1005" s="515"/>
      <c r="G1005" s="1" t="s">
        <v>2425</v>
      </c>
      <c r="I1005" s="516"/>
      <c r="J1005" s="516"/>
      <c r="M1005" s="515"/>
      <c r="N1005" s="516"/>
      <c r="P1005" s="1">
        <v>41.7</v>
      </c>
      <c r="Q1005" s="1">
        <v>0.0</v>
      </c>
      <c r="S1005" s="517"/>
      <c r="V1005" s="1">
        <v>0.04</v>
      </c>
      <c r="W1005" s="518">
        <f t="shared" si="1"/>
        <v>0</v>
      </c>
    </row>
    <row r="1006" hidden="1">
      <c r="C1006" s="515"/>
      <c r="G1006" s="1" t="s">
        <v>2427</v>
      </c>
      <c r="I1006" s="516"/>
      <c r="J1006" s="516"/>
      <c r="M1006" s="515"/>
      <c r="N1006" s="516"/>
      <c r="P1006" s="1">
        <v>83.3</v>
      </c>
      <c r="Q1006" s="1">
        <v>0.0</v>
      </c>
      <c r="S1006" s="517"/>
      <c r="V1006" s="1">
        <v>0.08</v>
      </c>
      <c r="W1006" s="518">
        <f t="shared" si="1"/>
        <v>0</v>
      </c>
    </row>
    <row r="1007" hidden="1">
      <c r="C1007" s="515"/>
      <c r="G1007" s="1" t="s">
        <v>2426</v>
      </c>
      <c r="I1007" s="516"/>
      <c r="J1007" s="516"/>
      <c r="M1007" s="515"/>
      <c r="N1007" s="516"/>
      <c r="P1007" s="1">
        <v>250.0</v>
      </c>
      <c r="Q1007" s="1">
        <v>0.0</v>
      </c>
      <c r="S1007" s="517"/>
      <c r="V1007" s="1">
        <v>0.25</v>
      </c>
      <c r="W1007" s="518">
        <f t="shared" si="1"/>
        <v>0</v>
      </c>
    </row>
    <row r="1008" hidden="1">
      <c r="C1008" s="515"/>
      <c r="G1008" s="1" t="s">
        <v>2556</v>
      </c>
      <c r="I1008" s="516"/>
      <c r="J1008" s="516"/>
      <c r="M1008" s="515"/>
      <c r="N1008" s="516"/>
      <c r="P1008" s="1">
        <v>83.3</v>
      </c>
      <c r="Q1008" s="1">
        <v>0.0</v>
      </c>
      <c r="S1008" s="517"/>
      <c r="V1008" s="1">
        <v>0.08</v>
      </c>
      <c r="W1008" s="518">
        <f t="shared" si="1"/>
        <v>0</v>
      </c>
    </row>
    <row r="1009" hidden="1">
      <c r="C1009" s="515"/>
      <c r="G1009" s="1" t="s">
        <v>2431</v>
      </c>
      <c r="I1009" s="516"/>
      <c r="J1009" s="516"/>
      <c r="M1009" s="515"/>
      <c r="N1009" s="516"/>
      <c r="P1009" s="1">
        <v>83.3</v>
      </c>
      <c r="Q1009" s="1">
        <v>0.0</v>
      </c>
      <c r="S1009" s="517"/>
      <c r="V1009" s="1">
        <v>0.08</v>
      </c>
      <c r="W1009" s="518">
        <f t="shared" si="1"/>
        <v>0</v>
      </c>
    </row>
    <row r="1010" hidden="1">
      <c r="C1010" s="515"/>
      <c r="G1010" s="1" t="s">
        <v>2429</v>
      </c>
      <c r="I1010" s="516"/>
      <c r="J1010" s="516"/>
      <c r="M1010" s="515"/>
      <c r="N1010" s="516"/>
      <c r="P1010" s="1">
        <v>333.3</v>
      </c>
      <c r="Q1010" s="1">
        <v>0.0</v>
      </c>
      <c r="S1010" s="517"/>
      <c r="V1010" s="1">
        <v>0.33</v>
      </c>
      <c r="W1010" s="518">
        <f t="shared" si="1"/>
        <v>0</v>
      </c>
    </row>
    <row r="1011" hidden="1">
      <c r="C1011" s="515"/>
      <c r="G1011" s="1" t="s">
        <v>2567</v>
      </c>
      <c r="I1011" s="516"/>
      <c r="J1011" s="516"/>
      <c r="K1011" s="515">
        <v>46022.0</v>
      </c>
      <c r="M1011" s="515"/>
      <c r="N1011" s="516"/>
      <c r="P1011" s="1">
        <v>45.0</v>
      </c>
      <c r="Q1011" s="1">
        <v>0.0</v>
      </c>
      <c r="S1011" s="517"/>
      <c r="V1011" s="1">
        <v>1.0</v>
      </c>
      <c r="W1011" s="518">
        <f t="shared" si="1"/>
        <v>0</v>
      </c>
    </row>
    <row r="1012" hidden="1">
      <c r="C1012" s="515"/>
      <c r="G1012" s="1" t="s">
        <v>2578</v>
      </c>
      <c r="I1012" s="516"/>
      <c r="J1012" s="516"/>
      <c r="K1012" s="515">
        <v>46022.0</v>
      </c>
      <c r="M1012" s="515"/>
      <c r="N1012" s="516"/>
      <c r="P1012" s="1">
        <v>0.0</v>
      </c>
      <c r="Q1012" s="1" t="s">
        <v>2404</v>
      </c>
      <c r="S1012" s="517"/>
      <c r="V1012" s="1">
        <v>10.0</v>
      </c>
      <c r="W1012" s="518">
        <f t="shared" si="1"/>
        <v>10000</v>
      </c>
    </row>
    <row r="1013" hidden="1">
      <c r="C1013" s="515"/>
      <c r="G1013" s="1" t="s">
        <v>2535</v>
      </c>
      <c r="I1013" s="516"/>
      <c r="J1013" s="516"/>
      <c r="M1013" s="515"/>
      <c r="N1013" s="516"/>
      <c r="P1013" s="1">
        <v>41.7</v>
      </c>
      <c r="Q1013" s="1">
        <v>0.0</v>
      </c>
      <c r="S1013" s="517"/>
      <c r="V1013" s="1">
        <v>0.04</v>
      </c>
      <c r="W1013" s="518">
        <f t="shared" si="1"/>
        <v>0</v>
      </c>
    </row>
    <row r="1014" hidden="1">
      <c r="C1014" s="515"/>
      <c r="G1014" s="1" t="s">
        <v>2433</v>
      </c>
      <c r="I1014" s="516"/>
      <c r="J1014" s="516"/>
      <c r="M1014" s="515"/>
      <c r="N1014" s="516"/>
      <c r="P1014" s="1">
        <v>41.7</v>
      </c>
      <c r="Q1014" s="1">
        <v>0.0</v>
      </c>
      <c r="S1014" s="517"/>
      <c r="V1014" s="1">
        <v>0.04</v>
      </c>
      <c r="W1014" s="518">
        <f t="shared" si="1"/>
        <v>0</v>
      </c>
    </row>
    <row r="1015" hidden="1">
      <c r="C1015" s="515"/>
      <c r="G1015" s="1" t="s">
        <v>2579</v>
      </c>
      <c r="I1015" s="516"/>
      <c r="J1015" s="516"/>
      <c r="M1015" s="515"/>
      <c r="N1015" s="516"/>
      <c r="P1015" s="1">
        <v>333.3</v>
      </c>
      <c r="Q1015" s="1">
        <v>0.0</v>
      </c>
      <c r="S1015" s="517"/>
      <c r="V1015" s="1">
        <v>0.33</v>
      </c>
      <c r="W1015" s="518">
        <f t="shared" si="1"/>
        <v>0</v>
      </c>
    </row>
    <row r="1016" hidden="1">
      <c r="C1016" s="515"/>
      <c r="G1016" s="1" t="s">
        <v>2536</v>
      </c>
      <c r="I1016" s="516"/>
      <c r="J1016" s="516"/>
      <c r="K1016" s="515"/>
      <c r="M1016" s="515"/>
      <c r="N1016" s="516"/>
      <c r="P1016" s="1">
        <v>166.7</v>
      </c>
      <c r="Q1016" s="1">
        <v>0.0</v>
      </c>
      <c r="S1016" s="517"/>
      <c r="V1016" s="1">
        <v>0.17</v>
      </c>
      <c r="W1016" s="518">
        <f t="shared" si="1"/>
        <v>0</v>
      </c>
    </row>
    <row r="1017" hidden="1">
      <c r="C1017" s="515"/>
      <c r="G1017" s="1" t="s">
        <v>2439</v>
      </c>
      <c r="I1017" s="516"/>
      <c r="J1017" s="516"/>
      <c r="M1017" s="515"/>
      <c r="N1017" s="516"/>
      <c r="P1017" s="1">
        <v>83.3</v>
      </c>
      <c r="Q1017" s="1">
        <v>0.0</v>
      </c>
      <c r="S1017" s="517"/>
      <c r="V1017" s="1">
        <v>0.08</v>
      </c>
      <c r="W1017" s="518">
        <f t="shared" si="1"/>
        <v>0</v>
      </c>
    </row>
    <row r="1018" hidden="1">
      <c r="C1018" s="515"/>
      <c r="G1018" s="1" t="s">
        <v>2441</v>
      </c>
      <c r="I1018" s="516"/>
      <c r="J1018" s="516"/>
      <c r="M1018" s="515"/>
      <c r="N1018" s="516"/>
      <c r="P1018" s="1">
        <v>83.3</v>
      </c>
      <c r="Q1018" s="1">
        <v>0.0</v>
      </c>
      <c r="S1018" s="517"/>
      <c r="V1018" s="1">
        <v>0.08</v>
      </c>
      <c r="W1018" s="518">
        <f t="shared" si="1"/>
        <v>0</v>
      </c>
    </row>
    <row r="1019" hidden="1">
      <c r="C1019" s="515"/>
      <c r="G1019" s="1" t="s">
        <v>2437</v>
      </c>
      <c r="I1019" s="516"/>
      <c r="J1019" s="516"/>
      <c r="M1019" s="515"/>
      <c r="N1019" s="516"/>
      <c r="P1019" s="1">
        <v>83.3</v>
      </c>
      <c r="Q1019" s="1">
        <v>0.0</v>
      </c>
      <c r="S1019" s="517"/>
      <c r="V1019" s="1">
        <v>0.08</v>
      </c>
      <c r="W1019" s="518">
        <f t="shared" si="1"/>
        <v>0</v>
      </c>
    </row>
    <row r="1020" hidden="1">
      <c r="C1020" s="515"/>
      <c r="G1020" s="1" t="s">
        <v>2580</v>
      </c>
      <c r="I1020" s="516"/>
      <c r="J1020" s="516"/>
      <c r="M1020" s="515"/>
      <c r="N1020" s="516"/>
      <c r="P1020" s="1">
        <v>250.0</v>
      </c>
      <c r="Q1020" s="1">
        <v>0.0</v>
      </c>
      <c r="S1020" s="517"/>
      <c r="V1020" s="1">
        <v>0.25</v>
      </c>
      <c r="W1020" s="518">
        <f t="shared" si="1"/>
        <v>0</v>
      </c>
    </row>
    <row r="1021" hidden="1">
      <c r="C1021" s="515"/>
      <c r="G1021" s="1" t="s">
        <v>2435</v>
      </c>
      <c r="I1021" s="516"/>
      <c r="J1021" s="516"/>
      <c r="M1021" s="515"/>
      <c r="N1021" s="516"/>
      <c r="P1021" s="1">
        <v>83.3</v>
      </c>
      <c r="Q1021" s="1">
        <v>0.0</v>
      </c>
      <c r="S1021" s="517"/>
      <c r="V1021" s="1">
        <v>0.08</v>
      </c>
      <c r="W1021" s="518">
        <f t="shared" si="1"/>
        <v>0</v>
      </c>
    </row>
    <row r="1022" hidden="1">
      <c r="C1022" s="515"/>
      <c r="G1022" s="1" t="s">
        <v>2444</v>
      </c>
      <c r="I1022" s="516"/>
      <c r="J1022" s="516"/>
      <c r="M1022" s="515"/>
      <c r="N1022" s="516"/>
      <c r="P1022" s="1">
        <v>125.0</v>
      </c>
      <c r="Q1022" s="1">
        <v>0.0</v>
      </c>
      <c r="S1022" s="517"/>
      <c r="V1022" s="1">
        <v>0.13</v>
      </c>
      <c r="W1022" s="518">
        <f t="shared" si="1"/>
        <v>0</v>
      </c>
    </row>
    <row r="1023" hidden="1">
      <c r="C1023" s="515"/>
      <c r="G1023" s="1" t="s">
        <v>2443</v>
      </c>
      <c r="I1023" s="516"/>
      <c r="J1023" s="516"/>
      <c r="M1023" s="515"/>
      <c r="N1023" s="516"/>
      <c r="P1023" s="1">
        <v>833.3</v>
      </c>
      <c r="Q1023" s="1">
        <v>0.0</v>
      </c>
      <c r="S1023" s="517"/>
      <c r="V1023" s="1">
        <v>0.83</v>
      </c>
      <c r="W1023" s="518">
        <f t="shared" si="1"/>
        <v>0</v>
      </c>
    </row>
    <row r="1024" hidden="1">
      <c r="C1024" s="515"/>
      <c r="G1024" s="1" t="s">
        <v>2561</v>
      </c>
      <c r="I1024" s="516"/>
      <c r="J1024" s="516"/>
      <c r="M1024" s="515"/>
      <c r="N1024" s="516"/>
      <c r="P1024" s="1">
        <v>41.7</v>
      </c>
      <c r="Q1024" s="1">
        <v>0.0</v>
      </c>
      <c r="S1024" s="517"/>
      <c r="V1024" s="1">
        <v>0.04</v>
      </c>
      <c r="W1024" s="518">
        <f t="shared" si="1"/>
        <v>0</v>
      </c>
    </row>
    <row r="1025" hidden="1">
      <c r="C1025" s="515"/>
      <c r="G1025" s="1" t="s">
        <v>2581</v>
      </c>
      <c r="I1025" s="516"/>
      <c r="J1025" s="516"/>
      <c r="M1025" s="515"/>
      <c r="N1025" s="516"/>
      <c r="P1025" s="1">
        <v>41.7</v>
      </c>
      <c r="Q1025" s="1">
        <v>0.0</v>
      </c>
      <c r="S1025" s="517"/>
      <c r="V1025" s="1">
        <v>0.04</v>
      </c>
      <c r="W1025" s="518">
        <f t="shared" si="1"/>
        <v>0</v>
      </c>
    </row>
    <row r="1026" hidden="1">
      <c r="C1026" s="515"/>
      <c r="G1026" s="1" t="s">
        <v>2445</v>
      </c>
      <c r="I1026" s="516"/>
      <c r="J1026" s="516"/>
      <c r="M1026" s="515"/>
      <c r="N1026" s="516"/>
      <c r="P1026" s="1">
        <v>166.7</v>
      </c>
      <c r="Q1026" s="1">
        <v>0.0</v>
      </c>
      <c r="S1026" s="517"/>
      <c r="V1026" s="1">
        <v>0.17</v>
      </c>
      <c r="W1026" s="518">
        <f t="shared" si="1"/>
        <v>0</v>
      </c>
    </row>
    <row r="1027" hidden="1">
      <c r="C1027" s="515"/>
      <c r="G1027" s="1" t="s">
        <v>2559</v>
      </c>
      <c r="I1027" s="516"/>
      <c r="J1027" s="516"/>
      <c r="M1027" s="515"/>
      <c r="N1027" s="516"/>
      <c r="P1027" s="1">
        <v>83.3</v>
      </c>
      <c r="Q1027" s="1">
        <v>0.0</v>
      </c>
      <c r="S1027" s="517"/>
      <c r="V1027" s="1">
        <v>0.08</v>
      </c>
      <c r="W1027" s="518">
        <f t="shared" si="1"/>
        <v>0</v>
      </c>
    </row>
    <row r="1028" hidden="1">
      <c r="C1028" s="515"/>
      <c r="G1028" s="1" t="s">
        <v>2447</v>
      </c>
      <c r="I1028" s="516"/>
      <c r="J1028" s="516"/>
      <c r="M1028" s="515"/>
      <c r="N1028" s="516"/>
      <c r="P1028" s="1">
        <v>83.3</v>
      </c>
      <c r="Q1028" s="1">
        <v>0.0</v>
      </c>
      <c r="S1028" s="517"/>
      <c r="V1028" s="1">
        <v>0.08</v>
      </c>
      <c r="W1028" s="518">
        <f t="shared" si="1"/>
        <v>0</v>
      </c>
    </row>
    <row r="1029" hidden="1">
      <c r="C1029" s="515"/>
      <c r="G1029" s="1" t="s">
        <v>2449</v>
      </c>
      <c r="I1029" s="516"/>
      <c r="J1029" s="516"/>
      <c r="M1029" s="515"/>
      <c r="N1029" s="516"/>
      <c r="P1029" s="1">
        <v>41.7</v>
      </c>
      <c r="Q1029" s="1">
        <v>0.0</v>
      </c>
      <c r="S1029" s="517"/>
      <c r="V1029" s="1">
        <v>0.04</v>
      </c>
      <c r="W1029" s="518">
        <f t="shared" si="1"/>
        <v>0</v>
      </c>
    </row>
    <row r="1030" hidden="1">
      <c r="C1030" s="515"/>
      <c r="G1030" s="1" t="s">
        <v>2451</v>
      </c>
      <c r="I1030" s="516"/>
      <c r="J1030" s="516"/>
      <c r="M1030" s="515"/>
      <c r="N1030" s="516"/>
      <c r="P1030" s="1">
        <v>41.7</v>
      </c>
      <c r="Q1030" s="1">
        <v>0.0</v>
      </c>
      <c r="S1030" s="517"/>
      <c r="V1030" s="1">
        <v>0.04</v>
      </c>
      <c r="W1030" s="518">
        <f t="shared" si="1"/>
        <v>0</v>
      </c>
    </row>
    <row r="1031" hidden="1">
      <c r="C1031" s="515"/>
      <c r="G1031" s="1" t="s">
        <v>2582</v>
      </c>
      <c r="I1031" s="516"/>
      <c r="J1031" s="516"/>
      <c r="K1031" s="515">
        <v>46022.0</v>
      </c>
      <c r="M1031" s="515"/>
      <c r="N1031" s="516"/>
      <c r="P1031" s="1">
        <v>0.0</v>
      </c>
      <c r="Q1031" s="1" t="s">
        <v>2404</v>
      </c>
      <c r="S1031" s="517"/>
      <c r="V1031" s="1">
        <v>363.0</v>
      </c>
      <c r="W1031" s="518">
        <f t="shared" si="1"/>
        <v>363000</v>
      </c>
    </row>
    <row r="1032" hidden="1">
      <c r="C1032" s="515"/>
      <c r="G1032" s="1" t="s">
        <v>2518</v>
      </c>
      <c r="I1032" s="516"/>
      <c r="J1032" s="516"/>
      <c r="M1032" s="515"/>
      <c r="N1032" s="516"/>
      <c r="P1032" s="1">
        <v>125.0</v>
      </c>
      <c r="Q1032" s="1">
        <v>0.0</v>
      </c>
      <c r="S1032" s="517"/>
      <c r="V1032" s="1">
        <v>0.13</v>
      </c>
      <c r="W1032" s="518">
        <f t="shared" si="1"/>
        <v>0</v>
      </c>
    </row>
    <row r="1033" hidden="1">
      <c r="C1033" s="515"/>
      <c r="G1033" s="1" t="s">
        <v>2454</v>
      </c>
      <c r="I1033" s="516"/>
      <c r="J1033" s="516"/>
      <c r="M1033" s="515"/>
      <c r="N1033" s="516"/>
      <c r="P1033" s="1">
        <v>83.3</v>
      </c>
      <c r="Q1033" s="1">
        <v>0.0</v>
      </c>
      <c r="S1033" s="517"/>
      <c r="V1033" s="1">
        <v>0.08</v>
      </c>
      <c r="W1033" s="518">
        <f t="shared" si="1"/>
        <v>0</v>
      </c>
    </row>
    <row r="1034" hidden="1">
      <c r="C1034" s="515"/>
      <c r="G1034" s="1" t="s">
        <v>2455</v>
      </c>
      <c r="I1034" s="516"/>
      <c r="J1034" s="516"/>
      <c r="M1034" s="515"/>
      <c r="N1034" s="516"/>
      <c r="P1034" s="1">
        <v>166.7</v>
      </c>
      <c r="Q1034" s="1">
        <v>0.0</v>
      </c>
      <c r="S1034" s="517"/>
      <c r="V1034" s="1">
        <v>0.17</v>
      </c>
      <c r="W1034" s="518">
        <f t="shared" si="1"/>
        <v>0</v>
      </c>
    </row>
    <row r="1035" hidden="1">
      <c r="C1035" s="515"/>
      <c r="G1035" s="1" t="s">
        <v>2456</v>
      </c>
      <c r="I1035" s="516"/>
      <c r="J1035" s="516"/>
      <c r="M1035" s="515"/>
      <c r="N1035" s="516"/>
      <c r="P1035" s="1">
        <v>666.7</v>
      </c>
      <c r="Q1035" s="1">
        <v>0.0</v>
      </c>
      <c r="S1035" s="517"/>
      <c r="V1035" s="1">
        <v>0.67</v>
      </c>
      <c r="W1035" s="518">
        <f t="shared" si="1"/>
        <v>0</v>
      </c>
    </row>
    <row r="1036" hidden="1">
      <c r="C1036" s="515"/>
      <c r="G1036" s="1" t="s">
        <v>2539</v>
      </c>
      <c r="I1036" s="516"/>
      <c r="J1036" s="516"/>
      <c r="M1036" s="515"/>
      <c r="N1036" s="516"/>
      <c r="P1036" s="1">
        <v>41.7</v>
      </c>
      <c r="Q1036" s="1">
        <v>0.0</v>
      </c>
      <c r="S1036" s="517"/>
      <c r="V1036" s="1">
        <v>0.04</v>
      </c>
      <c r="W1036" s="518">
        <f t="shared" si="1"/>
        <v>0</v>
      </c>
    </row>
    <row r="1037" hidden="1">
      <c r="C1037" s="515"/>
      <c r="G1037" s="1" t="s">
        <v>2457</v>
      </c>
      <c r="I1037" s="516"/>
      <c r="J1037" s="516"/>
      <c r="M1037" s="515"/>
      <c r="N1037" s="516"/>
      <c r="P1037" s="1">
        <v>500.0</v>
      </c>
      <c r="Q1037" s="1">
        <v>0.0</v>
      </c>
      <c r="S1037" s="517"/>
      <c r="V1037" s="1">
        <v>0.5</v>
      </c>
      <c r="W1037" s="518">
        <f t="shared" si="1"/>
        <v>0</v>
      </c>
    </row>
    <row r="1038" hidden="1">
      <c r="C1038" s="515"/>
      <c r="G1038" s="1" t="s">
        <v>2540</v>
      </c>
      <c r="I1038" s="516"/>
      <c r="J1038" s="516"/>
      <c r="M1038" s="515"/>
      <c r="N1038" s="516"/>
      <c r="P1038" s="1">
        <v>416.7</v>
      </c>
      <c r="Q1038" s="1">
        <v>0.0</v>
      </c>
      <c r="S1038" s="517"/>
      <c r="V1038" s="1">
        <v>0.42</v>
      </c>
      <c r="W1038" s="518">
        <f t="shared" si="1"/>
        <v>0</v>
      </c>
    </row>
    <row r="1039" hidden="1">
      <c r="C1039" s="515"/>
      <c r="G1039" s="1" t="s">
        <v>2458</v>
      </c>
      <c r="I1039" s="516"/>
      <c r="J1039" s="516"/>
      <c r="M1039" s="515"/>
      <c r="N1039" s="516"/>
      <c r="P1039" s="1">
        <v>83.3</v>
      </c>
      <c r="Q1039" s="1">
        <v>0.0</v>
      </c>
      <c r="S1039" s="517"/>
      <c r="V1039" s="1">
        <v>0.08</v>
      </c>
      <c r="W1039" s="518">
        <f t="shared" si="1"/>
        <v>0</v>
      </c>
    </row>
    <row r="1040" hidden="1">
      <c r="C1040" s="515"/>
      <c r="G1040" s="1" t="s">
        <v>2460</v>
      </c>
      <c r="I1040" s="516"/>
      <c r="J1040" s="516"/>
      <c r="M1040" s="515"/>
      <c r="N1040" s="516"/>
      <c r="P1040" s="1">
        <v>833.3</v>
      </c>
      <c r="Q1040" s="1">
        <v>0.0</v>
      </c>
      <c r="S1040" s="517"/>
      <c r="V1040" s="1">
        <v>0.83</v>
      </c>
      <c r="W1040" s="518">
        <f t="shared" si="1"/>
        <v>0</v>
      </c>
    </row>
    <row r="1041" hidden="1">
      <c r="C1041" s="515"/>
      <c r="G1041" s="1" t="s">
        <v>2461</v>
      </c>
      <c r="I1041" s="516"/>
      <c r="J1041" s="516"/>
      <c r="M1041" s="515"/>
      <c r="N1041" s="516"/>
      <c r="P1041" s="1">
        <v>83.3</v>
      </c>
      <c r="Q1041" s="1">
        <v>0.0</v>
      </c>
      <c r="S1041" s="517"/>
      <c r="V1041" s="1">
        <v>0.08</v>
      </c>
      <c r="W1041" s="518">
        <f t="shared" si="1"/>
        <v>0</v>
      </c>
    </row>
    <row r="1042" hidden="1">
      <c r="C1042" s="515"/>
      <c r="G1042" s="1" t="s">
        <v>2553</v>
      </c>
      <c r="I1042" s="516"/>
      <c r="J1042" s="516"/>
      <c r="M1042" s="515"/>
      <c r="N1042" s="516"/>
      <c r="P1042" s="1">
        <v>41.7</v>
      </c>
      <c r="Q1042" s="1">
        <v>0.0</v>
      </c>
      <c r="S1042" s="517"/>
      <c r="V1042" s="1">
        <v>0.04</v>
      </c>
      <c r="W1042" s="518">
        <f t="shared" si="1"/>
        <v>0</v>
      </c>
    </row>
    <row r="1043" hidden="1">
      <c r="C1043" s="515"/>
      <c r="G1043" s="1" t="s">
        <v>2462</v>
      </c>
      <c r="I1043" s="516"/>
      <c r="J1043" s="516"/>
      <c r="M1043" s="515"/>
      <c r="N1043" s="516"/>
      <c r="P1043" s="1">
        <v>41.7</v>
      </c>
      <c r="Q1043" s="1">
        <v>0.0</v>
      </c>
      <c r="S1043" s="517"/>
      <c r="V1043" s="1">
        <v>0.04</v>
      </c>
      <c r="W1043" s="518">
        <f t="shared" si="1"/>
        <v>0</v>
      </c>
    </row>
    <row r="1044" hidden="1">
      <c r="C1044" s="515"/>
      <c r="G1044" s="1" t="s">
        <v>2560</v>
      </c>
      <c r="I1044" s="516"/>
      <c r="J1044" s="516"/>
      <c r="M1044" s="515"/>
      <c r="N1044" s="516"/>
      <c r="P1044" s="1">
        <v>83.3</v>
      </c>
      <c r="Q1044" s="1">
        <v>0.0</v>
      </c>
      <c r="S1044" s="517"/>
      <c r="V1044" s="1">
        <v>0.08</v>
      </c>
      <c r="W1044" s="518">
        <f t="shared" si="1"/>
        <v>0</v>
      </c>
    </row>
    <row r="1045" hidden="1">
      <c r="C1045" s="515"/>
      <c r="G1045" s="1" t="s">
        <v>2526</v>
      </c>
      <c r="I1045" s="516"/>
      <c r="J1045" s="516"/>
      <c r="M1045" s="515"/>
      <c r="N1045" s="516"/>
      <c r="P1045" s="1">
        <v>83.3</v>
      </c>
      <c r="Q1045" s="1">
        <v>0.0</v>
      </c>
      <c r="S1045" s="517"/>
      <c r="V1045" s="1">
        <v>0.08</v>
      </c>
      <c r="W1045" s="518">
        <f t="shared" si="1"/>
        <v>0</v>
      </c>
    </row>
    <row r="1046" hidden="1">
      <c r="C1046" s="515"/>
      <c r="G1046" s="1" t="s">
        <v>2463</v>
      </c>
      <c r="I1046" s="516"/>
      <c r="J1046" s="516"/>
      <c r="M1046" s="515"/>
      <c r="N1046" s="516"/>
      <c r="P1046" s="1">
        <v>83.3</v>
      </c>
      <c r="Q1046" s="1">
        <v>0.0</v>
      </c>
      <c r="S1046" s="517"/>
      <c r="V1046" s="1">
        <v>0.08</v>
      </c>
      <c r="W1046" s="518">
        <f t="shared" si="1"/>
        <v>0</v>
      </c>
    </row>
    <row r="1047" hidden="1">
      <c r="C1047" s="515"/>
      <c r="G1047" s="1" t="s">
        <v>2465</v>
      </c>
      <c r="I1047" s="516"/>
      <c r="J1047" s="516"/>
      <c r="P1047" s="1">
        <v>166.7</v>
      </c>
      <c r="Q1047" s="1">
        <v>0.0</v>
      </c>
      <c r="S1047" s="517"/>
      <c r="V1047" s="1">
        <v>0.17</v>
      </c>
      <c r="W1047" s="518">
        <f t="shared" si="1"/>
        <v>0</v>
      </c>
    </row>
    <row r="1048" hidden="1">
      <c r="C1048" s="515"/>
      <c r="G1048" s="1" t="s">
        <v>2466</v>
      </c>
      <c r="I1048" s="516"/>
      <c r="J1048" s="516"/>
      <c r="M1048" s="515"/>
      <c r="P1048" s="1">
        <v>208.3</v>
      </c>
      <c r="Q1048" s="1">
        <v>0.0</v>
      </c>
      <c r="S1048" s="517"/>
      <c r="V1048" s="1">
        <v>0.21</v>
      </c>
      <c r="W1048" s="518">
        <f t="shared" si="1"/>
        <v>0</v>
      </c>
    </row>
    <row r="1049" hidden="1">
      <c r="C1049" s="515"/>
      <c r="G1049" s="1" t="s">
        <v>2468</v>
      </c>
      <c r="I1049" s="516"/>
      <c r="J1049" s="516"/>
      <c r="M1049" s="515"/>
      <c r="N1049" s="516"/>
      <c r="P1049" s="1">
        <v>41.7</v>
      </c>
      <c r="Q1049" s="1">
        <v>0.0</v>
      </c>
      <c r="S1049" s="517"/>
      <c r="V1049" s="1">
        <v>0.04</v>
      </c>
      <c r="W1049" s="518">
        <f t="shared" si="1"/>
        <v>0</v>
      </c>
    </row>
    <row r="1050" hidden="1">
      <c r="C1050" s="515"/>
      <c r="G1050" s="1" t="s">
        <v>2521</v>
      </c>
      <c r="I1050" s="516"/>
      <c r="J1050" s="516"/>
      <c r="M1050" s="515"/>
      <c r="N1050" s="516"/>
      <c r="P1050" s="1">
        <v>83.3</v>
      </c>
      <c r="Q1050" s="1">
        <v>0.0</v>
      </c>
      <c r="S1050" s="517"/>
      <c r="V1050" s="1">
        <v>0.08</v>
      </c>
      <c r="W1050" s="518">
        <f t="shared" si="1"/>
        <v>0</v>
      </c>
    </row>
    <row r="1051" hidden="1">
      <c r="C1051" s="515"/>
      <c r="G1051" s="1" t="s">
        <v>2469</v>
      </c>
      <c r="I1051" s="516"/>
      <c r="J1051" s="516"/>
      <c r="M1051" s="515"/>
      <c r="N1051" s="516"/>
      <c r="P1051" s="1">
        <v>41.7</v>
      </c>
      <c r="Q1051" s="1">
        <v>0.0</v>
      </c>
      <c r="S1051" s="517"/>
      <c r="V1051" s="1">
        <v>0.04</v>
      </c>
      <c r="W1051" s="518">
        <f t="shared" si="1"/>
        <v>0</v>
      </c>
    </row>
    <row r="1052" hidden="1">
      <c r="C1052" s="515"/>
      <c r="G1052" s="1" t="s">
        <v>2470</v>
      </c>
      <c r="I1052" s="516"/>
      <c r="J1052" s="516"/>
      <c r="M1052" s="515"/>
      <c r="P1052" s="1">
        <v>333.3</v>
      </c>
      <c r="Q1052" s="1">
        <v>0.0</v>
      </c>
      <c r="S1052" s="517"/>
      <c r="V1052" s="1">
        <v>0.33</v>
      </c>
      <c r="W1052" s="518">
        <f t="shared" si="1"/>
        <v>0</v>
      </c>
    </row>
    <row r="1053" hidden="1">
      <c r="C1053" s="515"/>
      <c r="G1053" s="1" t="s">
        <v>2471</v>
      </c>
      <c r="I1053" s="516"/>
      <c r="J1053" s="516"/>
      <c r="M1053" s="515"/>
      <c r="N1053" s="516"/>
      <c r="P1053" s="1">
        <v>41.7</v>
      </c>
      <c r="Q1053" s="1">
        <v>0.0</v>
      </c>
      <c r="S1053" s="517"/>
      <c r="V1053" s="1">
        <v>0.04</v>
      </c>
      <c r="W1053" s="518">
        <f t="shared" si="1"/>
        <v>0</v>
      </c>
    </row>
    <row r="1054" hidden="1">
      <c r="C1054" s="515"/>
      <c r="G1054" s="1" t="s">
        <v>2472</v>
      </c>
      <c r="I1054" s="516"/>
      <c r="J1054" s="516"/>
      <c r="M1054" s="515"/>
      <c r="N1054" s="516"/>
      <c r="P1054" s="1">
        <v>83.3</v>
      </c>
      <c r="Q1054" s="1">
        <v>0.0</v>
      </c>
      <c r="S1054" s="517"/>
      <c r="V1054" s="1">
        <v>0.08</v>
      </c>
      <c r="W1054" s="518">
        <f t="shared" si="1"/>
        <v>0</v>
      </c>
    </row>
    <row r="1055" hidden="1">
      <c r="C1055" s="515"/>
      <c r="G1055" s="1" t="s">
        <v>2473</v>
      </c>
      <c r="I1055" s="516"/>
      <c r="J1055" s="516"/>
      <c r="M1055" s="515"/>
      <c r="N1055" s="516"/>
      <c r="P1055" s="1">
        <v>83.3</v>
      </c>
      <c r="Q1055" s="1">
        <v>0.0</v>
      </c>
      <c r="S1055" s="517"/>
      <c r="V1055" s="1">
        <v>0.08</v>
      </c>
      <c r="W1055" s="518">
        <f t="shared" si="1"/>
        <v>0</v>
      </c>
    </row>
    <row r="1056" hidden="1">
      <c r="C1056" s="515"/>
      <c r="G1056" s="1" t="s">
        <v>2542</v>
      </c>
      <c r="I1056" s="516"/>
      <c r="J1056" s="516"/>
      <c r="M1056" s="515"/>
      <c r="N1056" s="516"/>
      <c r="P1056" s="1">
        <v>83.3</v>
      </c>
      <c r="Q1056" s="1">
        <v>0.0</v>
      </c>
      <c r="S1056" s="517"/>
      <c r="V1056" s="1">
        <v>0.08</v>
      </c>
      <c r="W1056" s="518">
        <f t="shared" si="1"/>
        <v>0</v>
      </c>
    </row>
    <row r="1057" hidden="1">
      <c r="C1057" s="515"/>
      <c r="G1057" s="1" t="s">
        <v>2474</v>
      </c>
      <c r="I1057" s="516"/>
      <c r="J1057" s="516"/>
      <c r="M1057" s="515"/>
      <c r="N1057" s="516"/>
      <c r="P1057" s="1">
        <v>166.7</v>
      </c>
      <c r="Q1057" s="1">
        <v>0.0</v>
      </c>
      <c r="S1057" s="517"/>
      <c r="V1057" s="1">
        <v>0.17</v>
      </c>
      <c r="W1057" s="518">
        <f t="shared" si="1"/>
        <v>0</v>
      </c>
    </row>
    <row r="1058" hidden="1">
      <c r="C1058" s="515"/>
      <c r="G1058" s="1" t="s">
        <v>2583</v>
      </c>
      <c r="I1058" s="516"/>
      <c r="J1058" s="516"/>
      <c r="M1058" s="515"/>
      <c r="N1058" s="516"/>
      <c r="P1058" s="1">
        <v>166.7</v>
      </c>
      <c r="Q1058" s="1">
        <v>0.0</v>
      </c>
      <c r="S1058" s="517"/>
      <c r="V1058" s="1">
        <v>0.17</v>
      </c>
      <c r="W1058" s="518">
        <f t="shared" si="1"/>
        <v>0</v>
      </c>
    </row>
    <row r="1059" hidden="1">
      <c r="C1059" s="515"/>
      <c r="G1059" s="1" t="s">
        <v>2453</v>
      </c>
      <c r="I1059" s="516"/>
      <c r="J1059" s="516"/>
      <c r="M1059" s="515"/>
      <c r="N1059" s="516"/>
      <c r="P1059" s="1">
        <v>83.3</v>
      </c>
      <c r="Q1059" s="1">
        <v>0.0</v>
      </c>
      <c r="S1059" s="517"/>
      <c r="V1059" s="1">
        <v>0.08</v>
      </c>
      <c r="W1059" s="518">
        <f t="shared" si="1"/>
        <v>0</v>
      </c>
    </row>
    <row r="1060" hidden="1">
      <c r="C1060" s="515"/>
      <c r="G1060" s="1" t="s">
        <v>2479</v>
      </c>
      <c r="I1060" s="516"/>
      <c r="J1060" s="516"/>
      <c r="M1060" s="515"/>
      <c r="N1060" s="516"/>
      <c r="P1060" s="1">
        <v>416.7</v>
      </c>
      <c r="Q1060" s="1">
        <v>0.0</v>
      </c>
      <c r="S1060" s="517"/>
      <c r="V1060" s="1">
        <v>0.42</v>
      </c>
      <c r="W1060" s="518">
        <f t="shared" si="1"/>
        <v>0</v>
      </c>
    </row>
    <row r="1061" hidden="1">
      <c r="C1061" s="515"/>
      <c r="G1061" s="1" t="s">
        <v>2478</v>
      </c>
      <c r="I1061" s="516"/>
      <c r="J1061" s="516"/>
      <c r="M1061" s="515"/>
      <c r="N1061" s="516"/>
      <c r="P1061" s="1">
        <v>83.3</v>
      </c>
      <c r="Q1061" s="1">
        <v>0.0</v>
      </c>
      <c r="S1061" s="517"/>
      <c r="V1061" s="1">
        <v>0.08</v>
      </c>
      <c r="W1061" s="518">
        <f t="shared" si="1"/>
        <v>0</v>
      </c>
    </row>
    <row r="1062" hidden="1">
      <c r="C1062" s="515"/>
      <c r="G1062" s="1" t="s">
        <v>2486</v>
      </c>
      <c r="I1062" s="516"/>
      <c r="J1062" s="516"/>
      <c r="M1062" s="515"/>
      <c r="P1062" s="1">
        <v>83.3</v>
      </c>
      <c r="Q1062" s="1">
        <v>0.0</v>
      </c>
      <c r="S1062" s="517"/>
      <c r="V1062" s="1">
        <v>0.08</v>
      </c>
      <c r="W1062" s="518">
        <f t="shared" si="1"/>
        <v>0</v>
      </c>
    </row>
    <row r="1063" hidden="1">
      <c r="C1063" s="515"/>
      <c r="G1063" s="1" t="s">
        <v>2484</v>
      </c>
      <c r="I1063" s="516"/>
      <c r="J1063" s="516"/>
      <c r="M1063" s="515"/>
      <c r="N1063" s="516"/>
      <c r="P1063" s="1">
        <v>500.0</v>
      </c>
      <c r="Q1063" s="1">
        <v>0.0</v>
      </c>
      <c r="S1063" s="517"/>
      <c r="V1063" s="1">
        <v>0.5</v>
      </c>
      <c r="W1063" s="518">
        <f t="shared" si="1"/>
        <v>0</v>
      </c>
    </row>
    <row r="1064" hidden="1">
      <c r="C1064" s="515"/>
      <c r="G1064" s="1" t="s">
        <v>2483</v>
      </c>
      <c r="I1064" s="516"/>
      <c r="J1064" s="516"/>
      <c r="M1064" s="515"/>
      <c r="N1064" s="516"/>
      <c r="P1064" s="1">
        <v>708.3</v>
      </c>
      <c r="Q1064" s="1">
        <v>0.0</v>
      </c>
      <c r="S1064" s="517"/>
      <c r="V1064" s="1">
        <v>0.71</v>
      </c>
      <c r="W1064" s="518">
        <f t="shared" si="1"/>
        <v>0</v>
      </c>
    </row>
    <row r="1065" hidden="1">
      <c r="C1065" s="515"/>
      <c r="G1065" s="1" t="s">
        <v>2482</v>
      </c>
      <c r="I1065" s="516"/>
      <c r="J1065" s="516"/>
      <c r="M1065" s="515"/>
      <c r="N1065" s="516"/>
      <c r="P1065" s="1">
        <v>41.7</v>
      </c>
      <c r="Q1065" s="1">
        <v>0.0</v>
      </c>
      <c r="S1065" s="517"/>
      <c r="V1065" s="1">
        <v>0.04</v>
      </c>
      <c r="W1065" s="518">
        <f t="shared" si="1"/>
        <v>0</v>
      </c>
    </row>
    <row r="1066" hidden="1">
      <c r="C1066" s="515"/>
      <c r="G1066" s="1" t="s">
        <v>2488</v>
      </c>
      <c r="I1066" s="516"/>
      <c r="J1066" s="516"/>
      <c r="M1066" s="515"/>
      <c r="N1066" s="516"/>
      <c r="P1066" s="1">
        <v>83.3</v>
      </c>
      <c r="Q1066" s="1">
        <v>0.0</v>
      </c>
      <c r="S1066" s="517"/>
      <c r="V1066" s="1">
        <v>0.08</v>
      </c>
      <c r="W1066" s="518">
        <f t="shared" si="1"/>
        <v>0</v>
      </c>
    </row>
    <row r="1067" hidden="1">
      <c r="C1067" s="515"/>
      <c r="G1067" s="1" t="s">
        <v>2545</v>
      </c>
      <c r="I1067" s="516"/>
      <c r="J1067" s="516"/>
      <c r="M1067" s="515"/>
      <c r="P1067" s="1">
        <v>41.7</v>
      </c>
      <c r="Q1067" s="1">
        <v>0.0</v>
      </c>
      <c r="S1067" s="517"/>
      <c r="V1067" s="1">
        <v>0.04</v>
      </c>
      <c r="W1067" s="518">
        <f t="shared" si="1"/>
        <v>0</v>
      </c>
    </row>
    <row r="1068" hidden="1">
      <c r="C1068" s="515"/>
      <c r="G1068" s="1" t="s">
        <v>2491</v>
      </c>
      <c r="I1068" s="516"/>
      <c r="J1068" s="516"/>
      <c r="M1068" s="515"/>
      <c r="N1068" s="516"/>
      <c r="P1068" s="1">
        <v>41.7</v>
      </c>
      <c r="Q1068" s="1">
        <v>0.0</v>
      </c>
      <c r="S1068" s="517"/>
      <c r="V1068" s="1">
        <v>0.04</v>
      </c>
      <c r="W1068" s="518">
        <f t="shared" si="1"/>
        <v>0</v>
      </c>
    </row>
    <row r="1069" hidden="1">
      <c r="C1069" s="515"/>
      <c r="G1069" s="1" t="s">
        <v>2490</v>
      </c>
      <c r="I1069" s="516"/>
      <c r="J1069" s="516"/>
      <c r="M1069" s="515"/>
      <c r="N1069" s="516"/>
      <c r="P1069" s="1">
        <v>41.7</v>
      </c>
      <c r="Q1069" s="1">
        <v>0.0</v>
      </c>
      <c r="S1069" s="517"/>
      <c r="V1069" s="1">
        <v>0.04</v>
      </c>
      <c r="W1069" s="518">
        <f t="shared" si="1"/>
        <v>0</v>
      </c>
    </row>
    <row r="1070" hidden="1">
      <c r="C1070" s="515"/>
      <c r="G1070" s="1" t="s">
        <v>2489</v>
      </c>
      <c r="I1070" s="516"/>
      <c r="J1070" s="516"/>
      <c r="M1070" s="515"/>
      <c r="N1070" s="516"/>
      <c r="P1070" s="1">
        <v>83.3</v>
      </c>
      <c r="Q1070" s="1">
        <v>0.0</v>
      </c>
      <c r="S1070" s="517"/>
      <c r="V1070" s="1">
        <v>0.08</v>
      </c>
      <c r="W1070" s="518">
        <f t="shared" si="1"/>
        <v>0</v>
      </c>
    </row>
    <row r="1071" hidden="1">
      <c r="C1071" s="515"/>
      <c r="G1071" s="1" t="s">
        <v>2493</v>
      </c>
      <c r="I1071" s="516"/>
      <c r="J1071" s="516"/>
      <c r="M1071" s="515"/>
      <c r="N1071" s="516"/>
      <c r="P1071" s="1">
        <v>166.7</v>
      </c>
      <c r="Q1071" s="1">
        <v>0.0</v>
      </c>
      <c r="S1071" s="517"/>
      <c r="V1071" s="1">
        <v>0.17</v>
      </c>
      <c r="W1071" s="518">
        <f t="shared" si="1"/>
        <v>0</v>
      </c>
    </row>
    <row r="1072" hidden="1">
      <c r="C1072" s="515"/>
      <c r="G1072" s="1" t="s">
        <v>2492</v>
      </c>
      <c r="I1072" s="516"/>
      <c r="J1072" s="516"/>
      <c r="M1072" s="515"/>
      <c r="N1072" s="516"/>
      <c r="P1072" s="1">
        <v>1000.0</v>
      </c>
      <c r="Q1072" s="1">
        <v>0.0</v>
      </c>
      <c r="S1072" s="517"/>
      <c r="V1072" s="1">
        <v>1.0</v>
      </c>
      <c r="W1072" s="518">
        <f t="shared" si="1"/>
        <v>0</v>
      </c>
    </row>
    <row r="1073" hidden="1">
      <c r="C1073" s="515"/>
      <c r="G1073" s="1" t="s">
        <v>2499</v>
      </c>
      <c r="I1073" s="516"/>
      <c r="J1073" s="516"/>
      <c r="M1073" s="515"/>
      <c r="N1073" s="516"/>
      <c r="P1073" s="1">
        <v>41.7</v>
      </c>
      <c r="Q1073" s="1">
        <v>0.0</v>
      </c>
      <c r="S1073" s="517"/>
      <c r="V1073" s="1">
        <v>0.04</v>
      </c>
      <c r="W1073" s="518">
        <f t="shared" si="1"/>
        <v>0</v>
      </c>
    </row>
    <row r="1074" hidden="1">
      <c r="C1074" s="515"/>
      <c r="G1074" s="1" t="s">
        <v>2547</v>
      </c>
      <c r="I1074" s="516"/>
      <c r="J1074" s="516"/>
      <c r="M1074" s="515"/>
      <c r="N1074" s="516"/>
      <c r="P1074" s="1">
        <v>166.7</v>
      </c>
      <c r="Q1074" s="1">
        <v>0.0</v>
      </c>
      <c r="S1074" s="517"/>
      <c r="V1074" s="1">
        <v>0.17</v>
      </c>
      <c r="W1074" s="518">
        <f t="shared" si="1"/>
        <v>0</v>
      </c>
    </row>
    <row r="1075" hidden="1">
      <c r="C1075" s="515"/>
      <c r="G1075" s="1" t="s">
        <v>2498</v>
      </c>
      <c r="I1075" s="516"/>
      <c r="J1075" s="516"/>
      <c r="M1075" s="515"/>
      <c r="N1075" s="516"/>
      <c r="P1075" s="1">
        <v>183.3</v>
      </c>
      <c r="Q1075" s="1">
        <v>0.0</v>
      </c>
      <c r="S1075" s="517"/>
      <c r="V1075" s="1">
        <v>0.18</v>
      </c>
      <c r="W1075" s="518">
        <f t="shared" si="1"/>
        <v>0</v>
      </c>
    </row>
    <row r="1076" hidden="1">
      <c r="C1076" s="515"/>
      <c r="G1076" s="1" t="s">
        <v>2497</v>
      </c>
      <c r="I1076" s="516"/>
      <c r="J1076" s="516"/>
      <c r="M1076" s="515"/>
      <c r="N1076" s="516"/>
      <c r="P1076" s="1">
        <v>2000.0</v>
      </c>
      <c r="Q1076" s="1">
        <v>0.0</v>
      </c>
      <c r="S1076" s="517"/>
      <c r="V1076" s="1">
        <v>2.0</v>
      </c>
      <c r="W1076" s="518">
        <f t="shared" si="1"/>
        <v>0</v>
      </c>
    </row>
    <row r="1077" hidden="1">
      <c r="C1077" s="515"/>
      <c r="G1077" s="1" t="s">
        <v>2565</v>
      </c>
      <c r="I1077" s="516"/>
      <c r="J1077" s="516"/>
      <c r="M1077" s="515"/>
      <c r="N1077" s="516"/>
      <c r="P1077" s="1">
        <v>83.3</v>
      </c>
      <c r="Q1077" s="1">
        <v>0.0</v>
      </c>
      <c r="S1077" s="517"/>
      <c r="V1077" s="1">
        <v>0.08</v>
      </c>
      <c r="W1077" s="518">
        <f t="shared" si="1"/>
        <v>0</v>
      </c>
    </row>
    <row r="1078" hidden="1">
      <c r="C1078" s="515"/>
      <c r="G1078" s="1" t="s">
        <v>2563</v>
      </c>
      <c r="I1078" s="516"/>
      <c r="J1078" s="516"/>
      <c r="M1078" s="515"/>
      <c r="P1078" s="1">
        <v>125.0</v>
      </c>
      <c r="Q1078" s="1">
        <v>0.0</v>
      </c>
      <c r="S1078" s="517"/>
      <c r="V1078" s="1">
        <v>0.13</v>
      </c>
      <c r="W1078" s="518">
        <f t="shared" si="1"/>
        <v>0</v>
      </c>
    </row>
    <row r="1079" hidden="1">
      <c r="C1079" s="515"/>
      <c r="G1079" s="1" t="s">
        <v>2495</v>
      </c>
      <c r="I1079" s="516"/>
      <c r="J1079" s="516"/>
      <c r="M1079" s="515"/>
      <c r="N1079" s="516"/>
      <c r="P1079" s="1">
        <v>83.3</v>
      </c>
      <c r="Q1079" s="1">
        <v>0.0</v>
      </c>
      <c r="S1079" s="517"/>
      <c r="V1079" s="1">
        <v>0.08</v>
      </c>
      <c r="W1079" s="518">
        <f t="shared" si="1"/>
        <v>0</v>
      </c>
    </row>
    <row r="1080" hidden="1">
      <c r="C1080" s="515"/>
      <c r="G1080" s="1" t="s">
        <v>2504</v>
      </c>
      <c r="I1080" s="516"/>
      <c r="J1080" s="516"/>
      <c r="M1080" s="515"/>
      <c r="N1080" s="516"/>
      <c r="P1080" s="1">
        <v>41.7</v>
      </c>
      <c r="Q1080" s="1">
        <v>0.0</v>
      </c>
      <c r="S1080" s="517"/>
      <c r="V1080" s="1">
        <v>0.04</v>
      </c>
      <c r="W1080" s="518">
        <f t="shared" si="1"/>
        <v>0</v>
      </c>
    </row>
    <row r="1081" hidden="1">
      <c r="C1081" s="515"/>
      <c r="G1081" s="86" t="s">
        <v>2584</v>
      </c>
      <c r="I1081" s="516"/>
      <c r="J1081" s="516"/>
      <c r="M1081" s="515"/>
      <c r="N1081" s="516"/>
      <c r="P1081" s="1">
        <v>1666.7</v>
      </c>
      <c r="Q1081" s="1">
        <v>0.0</v>
      </c>
      <c r="S1081" s="517"/>
      <c r="V1081" s="1">
        <v>1.67</v>
      </c>
      <c r="W1081" s="518">
        <f t="shared" si="1"/>
        <v>0</v>
      </c>
    </row>
    <row r="1082" hidden="1">
      <c r="C1082" s="515"/>
      <c r="G1082" s="1" t="s">
        <v>2502</v>
      </c>
      <c r="I1082" s="516"/>
      <c r="J1082" s="516"/>
      <c r="M1082" s="515"/>
      <c r="N1082" s="516"/>
      <c r="P1082" s="1">
        <v>41.7</v>
      </c>
      <c r="Q1082" s="1">
        <v>0.0</v>
      </c>
      <c r="S1082" s="517"/>
      <c r="V1082" s="1">
        <v>0.04</v>
      </c>
      <c r="W1082" s="518">
        <f t="shared" si="1"/>
        <v>0</v>
      </c>
    </row>
    <row r="1083" hidden="1">
      <c r="C1083" s="515"/>
      <c r="G1083" s="1" t="s">
        <v>2501</v>
      </c>
      <c r="I1083" s="516"/>
      <c r="J1083" s="516"/>
      <c r="M1083" s="515"/>
      <c r="N1083" s="516"/>
      <c r="P1083" s="1">
        <v>83.3</v>
      </c>
      <c r="Q1083" s="1">
        <v>0.0</v>
      </c>
      <c r="S1083" s="517"/>
      <c r="V1083" s="1">
        <v>0.08</v>
      </c>
      <c r="W1083" s="518">
        <f t="shared" si="1"/>
        <v>0</v>
      </c>
    </row>
    <row r="1084" hidden="1">
      <c r="C1084" s="515"/>
      <c r="G1084" s="1" t="s">
        <v>2500</v>
      </c>
      <c r="I1084" s="516"/>
      <c r="J1084" s="516"/>
      <c r="M1084" s="515"/>
      <c r="N1084" s="516"/>
      <c r="P1084" s="1">
        <v>41.7</v>
      </c>
      <c r="Q1084" s="1">
        <v>0.0</v>
      </c>
      <c r="S1084" s="517"/>
      <c r="V1084" s="1">
        <v>0.04</v>
      </c>
      <c r="W1084" s="518">
        <f t="shared" si="1"/>
        <v>0</v>
      </c>
    </row>
    <row r="1085" hidden="1">
      <c r="C1085" s="515"/>
      <c r="G1085" s="1" t="s">
        <v>2505</v>
      </c>
      <c r="I1085" s="516"/>
      <c r="J1085" s="516"/>
      <c r="M1085" s="515"/>
      <c r="N1085" s="516"/>
      <c r="P1085" s="1">
        <v>125.0</v>
      </c>
      <c r="Q1085" s="1">
        <v>0.0</v>
      </c>
      <c r="S1085" s="517"/>
      <c r="V1085" s="1">
        <v>0.13</v>
      </c>
      <c r="W1085" s="518">
        <f t="shared" si="1"/>
        <v>0</v>
      </c>
    </row>
    <row r="1086" hidden="1">
      <c r="C1086" s="515"/>
      <c r="G1086" s="1" t="s">
        <v>2575</v>
      </c>
      <c r="I1086" s="516"/>
      <c r="J1086" s="516"/>
      <c r="M1086" s="515"/>
      <c r="N1086" s="516"/>
      <c r="P1086" s="1">
        <v>83.3</v>
      </c>
      <c r="Q1086" s="1">
        <v>0.0</v>
      </c>
      <c r="S1086" s="517"/>
      <c r="V1086" s="1">
        <v>0.08</v>
      </c>
      <c r="W1086" s="518">
        <f t="shared" si="1"/>
        <v>0</v>
      </c>
    </row>
    <row r="1087" hidden="1">
      <c r="C1087" s="515"/>
      <c r="G1087" s="1" t="s">
        <v>2511</v>
      </c>
      <c r="I1087" s="516"/>
      <c r="J1087" s="516"/>
      <c r="M1087" s="515"/>
      <c r="N1087" s="516"/>
      <c r="P1087" s="1">
        <v>41.7</v>
      </c>
      <c r="Q1087" s="1">
        <v>0.0</v>
      </c>
      <c r="S1087" s="517"/>
      <c r="V1087" s="1">
        <v>0.04</v>
      </c>
      <c r="W1087" s="518">
        <f t="shared" si="1"/>
        <v>0</v>
      </c>
    </row>
    <row r="1088" hidden="1">
      <c r="C1088" s="515"/>
      <c r="G1088" s="1" t="s">
        <v>2510</v>
      </c>
      <c r="I1088" s="516"/>
      <c r="J1088" s="516"/>
      <c r="M1088" s="515"/>
      <c r="N1088" s="516"/>
      <c r="P1088" s="1">
        <v>83.3</v>
      </c>
      <c r="Q1088" s="1">
        <v>0.0</v>
      </c>
      <c r="S1088" s="517"/>
      <c r="V1088" s="1">
        <v>0.08</v>
      </c>
      <c r="W1088" s="518">
        <f t="shared" si="1"/>
        <v>0</v>
      </c>
    </row>
    <row r="1089" hidden="1">
      <c r="C1089" s="515"/>
      <c r="G1089" s="1" t="s">
        <v>2406</v>
      </c>
      <c r="I1089" s="516"/>
      <c r="J1089" s="516"/>
      <c r="M1089" s="515"/>
      <c r="N1089" s="516"/>
      <c r="P1089" s="1">
        <v>166.7</v>
      </c>
      <c r="Q1089" s="1">
        <v>0.0</v>
      </c>
      <c r="S1089" s="517"/>
      <c r="V1089" s="1">
        <v>0.17</v>
      </c>
      <c r="W1089" s="518">
        <f t="shared" si="1"/>
        <v>0</v>
      </c>
    </row>
    <row r="1090" hidden="1">
      <c r="C1090" s="515"/>
      <c r="G1090" s="1" t="s">
        <v>2405</v>
      </c>
      <c r="I1090" s="516"/>
      <c r="J1090" s="516"/>
      <c r="M1090" s="515"/>
      <c r="N1090" s="516"/>
      <c r="P1090" s="1">
        <v>166.7</v>
      </c>
      <c r="Q1090" s="1">
        <v>0.0</v>
      </c>
      <c r="S1090" s="517"/>
      <c r="V1090" s="1">
        <v>0.17</v>
      </c>
      <c r="W1090" s="518">
        <f t="shared" si="1"/>
        <v>0</v>
      </c>
    </row>
    <row r="1091" hidden="1">
      <c r="C1091" s="515"/>
      <c r="G1091" s="1" t="s">
        <v>2549</v>
      </c>
      <c r="I1091" s="516"/>
      <c r="J1091" s="516"/>
      <c r="M1091" s="515"/>
      <c r="N1091" s="516"/>
      <c r="P1091" s="1">
        <v>83.3</v>
      </c>
      <c r="Q1091" s="1">
        <v>0.0</v>
      </c>
      <c r="S1091" s="517"/>
      <c r="V1091" s="1">
        <v>0.08</v>
      </c>
      <c r="W1091" s="518">
        <f t="shared" si="1"/>
        <v>0</v>
      </c>
    </row>
    <row r="1092" hidden="1">
      <c r="C1092" s="515"/>
      <c r="G1092" s="1" t="s">
        <v>2410</v>
      </c>
      <c r="I1092" s="516"/>
      <c r="J1092" s="516"/>
      <c r="M1092" s="515"/>
      <c r="N1092" s="516"/>
      <c r="P1092" s="1">
        <v>83.3</v>
      </c>
      <c r="Q1092" s="1">
        <v>0.0</v>
      </c>
      <c r="S1092" s="517"/>
      <c r="V1092" s="1">
        <v>0.08</v>
      </c>
      <c r="W1092" s="518">
        <f t="shared" si="1"/>
        <v>0</v>
      </c>
    </row>
    <row r="1093" hidden="1">
      <c r="C1093" s="515"/>
      <c r="G1093" s="1" t="s">
        <v>2408</v>
      </c>
      <c r="I1093" s="516"/>
      <c r="J1093" s="516"/>
      <c r="M1093" s="515"/>
      <c r="N1093" s="516"/>
      <c r="P1093" s="1">
        <v>41.7</v>
      </c>
      <c r="Q1093" s="1">
        <v>0.0</v>
      </c>
      <c r="S1093" s="517"/>
      <c r="V1093" s="1">
        <v>0.04</v>
      </c>
      <c r="W1093" s="518">
        <f t="shared" si="1"/>
        <v>0</v>
      </c>
    </row>
    <row r="1094" hidden="1">
      <c r="C1094" s="515"/>
      <c r="G1094" s="1" t="s">
        <v>2407</v>
      </c>
      <c r="I1094" s="516"/>
      <c r="J1094" s="516"/>
      <c r="M1094" s="515"/>
      <c r="N1094" s="516"/>
      <c r="P1094" s="1">
        <v>416.7</v>
      </c>
      <c r="Q1094" s="1">
        <v>0.0</v>
      </c>
      <c r="S1094" s="517"/>
      <c r="V1094" s="1">
        <v>0.42</v>
      </c>
      <c r="W1094" s="518">
        <f t="shared" si="1"/>
        <v>0</v>
      </c>
    </row>
    <row r="1095" hidden="1">
      <c r="C1095" s="515"/>
      <c r="G1095" s="1" t="s">
        <v>2576</v>
      </c>
      <c r="I1095" s="516"/>
      <c r="J1095" s="516"/>
      <c r="M1095" s="515"/>
      <c r="N1095" s="516"/>
      <c r="P1095" s="1">
        <v>41.7</v>
      </c>
      <c r="Q1095" s="1">
        <v>0.0</v>
      </c>
      <c r="S1095" s="517"/>
      <c r="V1095" s="1">
        <v>0.04</v>
      </c>
      <c r="W1095" s="518">
        <f t="shared" si="1"/>
        <v>0</v>
      </c>
    </row>
    <row r="1096" hidden="1">
      <c r="C1096" s="515"/>
      <c r="G1096" s="1" t="s">
        <v>2555</v>
      </c>
      <c r="I1096" s="516"/>
      <c r="J1096" s="516"/>
      <c r="M1096" s="515"/>
      <c r="N1096" s="516"/>
      <c r="P1096" s="1">
        <v>83.3</v>
      </c>
      <c r="Q1096" s="1">
        <v>0.0</v>
      </c>
      <c r="S1096" s="517"/>
      <c r="V1096" s="1">
        <v>0.08</v>
      </c>
      <c r="W1096" s="518">
        <f t="shared" si="1"/>
        <v>0</v>
      </c>
    </row>
    <row r="1097" hidden="1">
      <c r="C1097" s="515"/>
      <c r="G1097" s="1" t="s">
        <v>2415</v>
      </c>
      <c r="I1097" s="516"/>
      <c r="J1097" s="516"/>
      <c r="M1097" s="515"/>
      <c r="N1097" s="516"/>
      <c r="P1097" s="1">
        <v>333.3</v>
      </c>
      <c r="Q1097" s="1">
        <v>0.0</v>
      </c>
      <c r="S1097" s="517"/>
      <c r="V1097" s="1">
        <v>0.33</v>
      </c>
      <c r="W1097" s="518">
        <f t="shared" si="1"/>
        <v>0</v>
      </c>
    </row>
    <row r="1098" hidden="1">
      <c r="C1098" s="515"/>
      <c r="G1098" s="1" t="s">
        <v>2551</v>
      </c>
      <c r="I1098" s="516"/>
      <c r="J1098" s="516"/>
      <c r="M1098" s="515"/>
      <c r="N1098" s="516"/>
      <c r="P1098" s="1">
        <v>333.3</v>
      </c>
      <c r="Q1098" s="1">
        <v>0.0</v>
      </c>
      <c r="S1098" s="517"/>
      <c r="V1098" s="1">
        <v>0.33</v>
      </c>
      <c r="W1098" s="518">
        <f t="shared" si="1"/>
        <v>0</v>
      </c>
    </row>
    <row r="1099" hidden="1">
      <c r="C1099" s="515"/>
      <c r="G1099" s="1" t="s">
        <v>2420</v>
      </c>
      <c r="I1099" s="516"/>
      <c r="J1099" s="516"/>
      <c r="M1099" s="515"/>
      <c r="N1099" s="516"/>
      <c r="P1099" s="1">
        <v>83.3</v>
      </c>
      <c r="Q1099" s="1">
        <v>0.0</v>
      </c>
      <c r="S1099" s="517"/>
      <c r="V1099" s="1">
        <v>0.08</v>
      </c>
      <c r="W1099" s="518">
        <f t="shared" si="1"/>
        <v>0</v>
      </c>
    </row>
    <row r="1100" hidden="1">
      <c r="C1100" s="515"/>
      <c r="G1100" s="1" t="s">
        <v>2419</v>
      </c>
      <c r="I1100" s="516"/>
      <c r="J1100" s="516"/>
      <c r="M1100" s="515"/>
      <c r="N1100" s="516"/>
      <c r="P1100" s="1">
        <v>666.7</v>
      </c>
      <c r="Q1100" s="1">
        <v>0.0</v>
      </c>
      <c r="S1100" s="517"/>
      <c r="V1100" s="1">
        <v>0.67</v>
      </c>
      <c r="W1100" s="518">
        <f t="shared" si="1"/>
        <v>0</v>
      </c>
    </row>
    <row r="1101" hidden="1">
      <c r="C1101" s="515"/>
      <c r="G1101" s="1" t="s">
        <v>2418</v>
      </c>
      <c r="I1101" s="516"/>
      <c r="J1101" s="516"/>
      <c r="M1101" s="515"/>
      <c r="N1101" s="516"/>
      <c r="P1101" s="1">
        <v>141.7</v>
      </c>
      <c r="Q1101" s="1">
        <v>0.0</v>
      </c>
      <c r="S1101" s="517"/>
      <c r="V1101" s="1">
        <v>0.14</v>
      </c>
      <c r="W1101" s="518">
        <f t="shared" si="1"/>
        <v>0</v>
      </c>
    </row>
    <row r="1102" hidden="1">
      <c r="C1102" s="515"/>
      <c r="G1102" s="1" t="s">
        <v>2577</v>
      </c>
      <c r="I1102" s="516"/>
      <c r="J1102" s="516"/>
      <c r="M1102" s="515"/>
      <c r="N1102" s="516"/>
      <c r="P1102" s="1">
        <v>41.7</v>
      </c>
      <c r="Q1102" s="1">
        <v>0.0</v>
      </c>
      <c r="S1102" s="517"/>
      <c r="V1102" s="1">
        <v>0.04</v>
      </c>
      <c r="W1102" s="518">
        <f t="shared" si="1"/>
        <v>0</v>
      </c>
    </row>
    <row r="1103" hidden="1">
      <c r="C1103" s="515"/>
      <c r="G1103" s="1" t="s">
        <v>2422</v>
      </c>
      <c r="I1103" s="516"/>
      <c r="J1103" s="516"/>
      <c r="M1103" s="515"/>
      <c r="N1103" s="516"/>
      <c r="P1103" s="1">
        <v>250.0</v>
      </c>
      <c r="Q1103" s="1">
        <v>0.0</v>
      </c>
      <c r="S1103" s="517"/>
      <c r="V1103" s="1">
        <v>0.25</v>
      </c>
      <c r="W1103" s="518">
        <f t="shared" si="1"/>
        <v>0</v>
      </c>
    </row>
    <row r="1104" hidden="1">
      <c r="C1104" s="515"/>
      <c r="G1104" s="1" t="s">
        <v>2425</v>
      </c>
      <c r="I1104" s="516"/>
      <c r="J1104" s="516"/>
      <c r="M1104" s="515"/>
      <c r="N1104" s="516"/>
      <c r="P1104" s="1">
        <v>41.7</v>
      </c>
      <c r="Q1104" s="1">
        <v>0.0</v>
      </c>
      <c r="S1104" s="517"/>
      <c r="V1104" s="1">
        <v>0.04</v>
      </c>
      <c r="W1104" s="518">
        <f t="shared" si="1"/>
        <v>0</v>
      </c>
    </row>
    <row r="1105" hidden="1">
      <c r="C1105" s="515"/>
      <c r="G1105" s="1" t="s">
        <v>2431</v>
      </c>
      <c r="I1105" s="516"/>
      <c r="J1105" s="516"/>
      <c r="M1105" s="515"/>
      <c r="N1105" s="516"/>
      <c r="P1105" s="1">
        <v>83.3</v>
      </c>
      <c r="Q1105" s="1">
        <v>0.0</v>
      </c>
      <c r="S1105" s="517"/>
      <c r="V1105" s="1">
        <v>0.08</v>
      </c>
      <c r="W1105" s="518">
        <f t="shared" si="1"/>
        <v>0</v>
      </c>
    </row>
    <row r="1106" hidden="1">
      <c r="C1106" s="515"/>
      <c r="G1106" s="1" t="s">
        <v>2556</v>
      </c>
      <c r="I1106" s="516"/>
      <c r="J1106" s="516"/>
      <c r="M1106" s="515"/>
      <c r="N1106" s="516"/>
      <c r="P1106" s="1">
        <v>83.3</v>
      </c>
      <c r="Q1106" s="1">
        <v>0.0</v>
      </c>
      <c r="S1106" s="517"/>
      <c r="V1106" s="1">
        <v>0.08</v>
      </c>
      <c r="W1106" s="518">
        <f t="shared" si="1"/>
        <v>0</v>
      </c>
    </row>
    <row r="1107" hidden="1">
      <c r="C1107" s="515"/>
      <c r="G1107" s="1" t="s">
        <v>2429</v>
      </c>
      <c r="I1107" s="516"/>
      <c r="J1107" s="516"/>
      <c r="M1107" s="515"/>
      <c r="N1107" s="516"/>
      <c r="P1107" s="1">
        <v>333.3</v>
      </c>
      <c r="Q1107" s="1">
        <v>0.0</v>
      </c>
      <c r="S1107" s="517"/>
      <c r="V1107" s="1">
        <v>0.33</v>
      </c>
      <c r="W1107" s="518">
        <f t="shared" si="1"/>
        <v>0</v>
      </c>
    </row>
    <row r="1108" hidden="1">
      <c r="C1108" s="515"/>
      <c r="G1108" s="1" t="s">
        <v>2426</v>
      </c>
      <c r="I1108" s="516"/>
      <c r="J1108" s="516"/>
      <c r="M1108" s="515"/>
      <c r="N1108" s="516"/>
      <c r="P1108" s="1">
        <v>250.0</v>
      </c>
      <c r="Q1108" s="1">
        <v>0.0</v>
      </c>
      <c r="S1108" s="517"/>
      <c r="V1108" s="1">
        <v>0.25</v>
      </c>
      <c r="W1108" s="518">
        <f t="shared" si="1"/>
        <v>0</v>
      </c>
    </row>
    <row r="1109" hidden="1">
      <c r="C1109" s="515"/>
      <c r="G1109" s="1" t="s">
        <v>2433</v>
      </c>
      <c r="I1109" s="516"/>
      <c r="J1109" s="516"/>
      <c r="M1109" s="515"/>
      <c r="N1109" s="516"/>
      <c r="P1109" s="1">
        <v>41.7</v>
      </c>
      <c r="Q1109" s="1">
        <v>0.0</v>
      </c>
      <c r="S1109" s="517"/>
      <c r="V1109" s="1">
        <v>0.04</v>
      </c>
      <c r="W1109" s="518">
        <f t="shared" si="1"/>
        <v>0</v>
      </c>
    </row>
    <row r="1110" hidden="1">
      <c r="C1110" s="515"/>
      <c r="G1110" s="1" t="s">
        <v>2442</v>
      </c>
      <c r="I1110" s="516"/>
      <c r="J1110" s="516"/>
      <c r="K1110" s="515">
        <v>45291.0</v>
      </c>
      <c r="M1110" s="515"/>
      <c r="N1110" s="516"/>
      <c r="P1110" s="1">
        <v>21800.0</v>
      </c>
      <c r="Q1110" s="1">
        <v>306200.0</v>
      </c>
      <c r="S1110" s="517"/>
      <c r="V1110" s="1">
        <v>328.0</v>
      </c>
      <c r="W1110" s="518">
        <f t="shared" si="1"/>
        <v>306200</v>
      </c>
    </row>
    <row r="1111" hidden="1">
      <c r="C1111" s="515"/>
      <c r="G1111" s="1" t="s">
        <v>2442</v>
      </c>
      <c r="I1111" s="516"/>
      <c r="J1111" s="516"/>
      <c r="K1111" s="515">
        <v>46022.0</v>
      </c>
      <c r="M1111" s="515"/>
      <c r="N1111" s="516"/>
      <c r="P1111" s="1">
        <v>0.0</v>
      </c>
      <c r="Q1111" s="1" t="s">
        <v>2404</v>
      </c>
      <c r="S1111" s="517"/>
      <c r="V1111" s="1">
        <v>24.73</v>
      </c>
      <c r="W1111" s="518">
        <f t="shared" si="1"/>
        <v>24730</v>
      </c>
    </row>
    <row r="1112" hidden="1">
      <c r="C1112" s="515"/>
      <c r="G1112" s="1" t="s">
        <v>2441</v>
      </c>
      <c r="I1112" s="516"/>
      <c r="J1112" s="516"/>
      <c r="M1112" s="515"/>
      <c r="N1112" s="516"/>
      <c r="P1112" s="1">
        <v>83.3</v>
      </c>
      <c r="Q1112" s="1">
        <v>0.0</v>
      </c>
      <c r="S1112" s="517"/>
      <c r="V1112" s="1">
        <v>0.08</v>
      </c>
      <c r="W1112" s="518">
        <f t="shared" si="1"/>
        <v>0</v>
      </c>
    </row>
    <row r="1113" hidden="1">
      <c r="C1113" s="515"/>
      <c r="G1113" s="1" t="s">
        <v>2439</v>
      </c>
      <c r="I1113" s="516"/>
      <c r="J1113" s="516"/>
      <c r="M1113" s="515"/>
      <c r="N1113" s="516"/>
      <c r="P1113" s="1">
        <v>83.3</v>
      </c>
      <c r="Q1113" s="1">
        <v>0.0</v>
      </c>
      <c r="S1113" s="517"/>
      <c r="V1113" s="1">
        <v>0.08</v>
      </c>
      <c r="W1113" s="518">
        <f t="shared" si="1"/>
        <v>0</v>
      </c>
    </row>
    <row r="1114" hidden="1">
      <c r="C1114" s="515"/>
      <c r="G1114" s="1" t="s">
        <v>2536</v>
      </c>
      <c r="I1114" s="516"/>
      <c r="J1114" s="516"/>
      <c r="M1114" s="515"/>
      <c r="N1114" s="516"/>
      <c r="P1114" s="1">
        <v>166.7</v>
      </c>
      <c r="Q1114" s="1">
        <v>0.0</v>
      </c>
      <c r="S1114" s="517"/>
      <c r="V1114" s="1">
        <v>0.17</v>
      </c>
      <c r="W1114" s="518">
        <f t="shared" si="1"/>
        <v>0</v>
      </c>
    </row>
    <row r="1115" hidden="1">
      <c r="C1115" s="515"/>
      <c r="G1115" s="1" t="s">
        <v>2437</v>
      </c>
      <c r="I1115" s="516"/>
      <c r="J1115" s="516"/>
      <c r="M1115" s="515"/>
      <c r="N1115" s="516"/>
      <c r="P1115" s="1">
        <v>83.3</v>
      </c>
      <c r="Q1115" s="1">
        <v>0.0</v>
      </c>
      <c r="S1115" s="517"/>
      <c r="V1115" s="1">
        <v>0.08</v>
      </c>
      <c r="W1115" s="518">
        <f t="shared" si="1"/>
        <v>0</v>
      </c>
    </row>
    <row r="1116" hidden="1">
      <c r="C1116" s="515"/>
      <c r="G1116" s="1" t="s">
        <v>2436</v>
      </c>
      <c r="I1116" s="516"/>
      <c r="J1116" s="516"/>
      <c r="M1116" s="515"/>
      <c r="N1116" s="516"/>
      <c r="P1116" s="1">
        <v>250.0</v>
      </c>
      <c r="Q1116" s="1">
        <v>0.0</v>
      </c>
      <c r="S1116" s="517"/>
      <c r="V1116" s="1">
        <v>0.25</v>
      </c>
      <c r="W1116" s="518">
        <f t="shared" si="1"/>
        <v>0</v>
      </c>
    </row>
    <row r="1117" hidden="1">
      <c r="C1117" s="515"/>
      <c r="G1117" s="1" t="s">
        <v>2435</v>
      </c>
      <c r="I1117" s="516"/>
      <c r="J1117" s="516"/>
      <c r="M1117" s="515"/>
      <c r="N1117" s="516"/>
      <c r="P1117" s="1">
        <v>83.3</v>
      </c>
      <c r="Q1117" s="1">
        <v>0.0</v>
      </c>
      <c r="S1117" s="517"/>
      <c r="V1117" s="1">
        <v>0.08</v>
      </c>
      <c r="W1117" s="518">
        <f t="shared" si="1"/>
        <v>0</v>
      </c>
    </row>
    <row r="1118" hidden="1">
      <c r="C1118" s="515"/>
      <c r="G1118" s="1" t="s">
        <v>2444</v>
      </c>
      <c r="I1118" s="516"/>
      <c r="J1118" s="516"/>
      <c r="M1118" s="515"/>
      <c r="N1118" s="516"/>
      <c r="P1118" s="1">
        <v>125.0</v>
      </c>
      <c r="Q1118" s="1">
        <v>0.0</v>
      </c>
      <c r="S1118" s="517"/>
      <c r="V1118" s="1">
        <v>0.13</v>
      </c>
      <c r="W1118" s="518">
        <f t="shared" si="1"/>
        <v>0</v>
      </c>
    </row>
    <row r="1119" hidden="1">
      <c r="C1119" s="515"/>
      <c r="G1119" s="1" t="s">
        <v>2443</v>
      </c>
      <c r="I1119" s="516"/>
      <c r="J1119" s="516"/>
      <c r="M1119" s="515"/>
      <c r="N1119" s="516"/>
      <c r="P1119" s="1">
        <v>833.3</v>
      </c>
      <c r="Q1119" s="1">
        <v>0.0</v>
      </c>
      <c r="S1119" s="517"/>
      <c r="V1119" s="1">
        <v>0.83</v>
      </c>
      <c r="W1119" s="518">
        <f t="shared" si="1"/>
        <v>0</v>
      </c>
    </row>
    <row r="1120" hidden="1">
      <c r="C1120" s="515"/>
      <c r="G1120" s="1" t="s">
        <v>2561</v>
      </c>
      <c r="I1120" s="516"/>
      <c r="J1120" s="516"/>
      <c r="M1120" s="515"/>
      <c r="N1120" s="516"/>
      <c r="P1120" s="1">
        <v>41.7</v>
      </c>
      <c r="Q1120" s="1">
        <v>0.0</v>
      </c>
      <c r="S1120" s="517"/>
      <c r="V1120" s="1">
        <v>0.04</v>
      </c>
      <c r="W1120" s="518">
        <f t="shared" si="1"/>
        <v>0</v>
      </c>
    </row>
    <row r="1121" hidden="1">
      <c r="C1121" s="515"/>
      <c r="G1121" s="1" t="s">
        <v>2558</v>
      </c>
      <c r="I1121" s="516"/>
      <c r="J1121" s="516"/>
      <c r="M1121" s="515"/>
      <c r="N1121" s="516"/>
      <c r="P1121" s="1">
        <v>41.7</v>
      </c>
      <c r="Q1121" s="1">
        <v>0.0</v>
      </c>
      <c r="S1121" s="517"/>
      <c r="V1121" s="1">
        <v>0.04</v>
      </c>
      <c r="W1121" s="518">
        <f t="shared" si="1"/>
        <v>0</v>
      </c>
    </row>
    <row r="1122" hidden="1">
      <c r="C1122" s="515"/>
      <c r="G1122" s="1" t="s">
        <v>2447</v>
      </c>
      <c r="I1122" s="516"/>
      <c r="J1122" s="516"/>
      <c r="M1122" s="515"/>
      <c r="N1122" s="516"/>
      <c r="P1122" s="1">
        <v>83.3</v>
      </c>
      <c r="Q1122" s="1">
        <v>0.0</v>
      </c>
      <c r="S1122" s="517"/>
      <c r="V1122" s="1">
        <v>0.08</v>
      </c>
      <c r="W1122" s="518">
        <f t="shared" si="1"/>
        <v>0</v>
      </c>
    </row>
    <row r="1123" hidden="1">
      <c r="C1123" s="515"/>
      <c r="G1123" s="1" t="s">
        <v>2559</v>
      </c>
      <c r="I1123" s="516"/>
      <c r="J1123" s="516"/>
      <c r="M1123" s="515"/>
      <c r="N1123" s="516"/>
      <c r="P1123" s="1">
        <v>83.3</v>
      </c>
      <c r="Q1123" s="1">
        <v>0.0</v>
      </c>
      <c r="S1123" s="517"/>
      <c r="V1123" s="1">
        <v>0.08</v>
      </c>
      <c r="W1123" s="518">
        <f t="shared" si="1"/>
        <v>0</v>
      </c>
    </row>
    <row r="1124" hidden="1">
      <c r="C1124" s="515"/>
      <c r="G1124" s="1" t="s">
        <v>2445</v>
      </c>
      <c r="I1124" s="516"/>
      <c r="J1124" s="516"/>
      <c r="M1124" s="515"/>
      <c r="N1124" s="516"/>
      <c r="P1124" s="1">
        <v>166.7</v>
      </c>
      <c r="Q1124" s="1">
        <v>0.0</v>
      </c>
      <c r="S1124" s="517"/>
      <c r="V1124" s="1">
        <v>0.17</v>
      </c>
      <c r="W1124" s="518">
        <f t="shared" si="1"/>
        <v>0</v>
      </c>
    </row>
    <row r="1125" hidden="1">
      <c r="C1125" s="515"/>
      <c r="G1125" s="1" t="s">
        <v>2585</v>
      </c>
      <c r="I1125" s="516"/>
      <c r="J1125" s="516"/>
      <c r="M1125" s="515"/>
      <c r="N1125" s="516"/>
      <c r="P1125" s="1">
        <v>41.7</v>
      </c>
      <c r="Q1125" s="1">
        <v>0.0</v>
      </c>
      <c r="S1125" s="517"/>
      <c r="V1125" s="1">
        <v>0.04</v>
      </c>
      <c r="W1125" s="518">
        <f t="shared" si="1"/>
        <v>0</v>
      </c>
    </row>
    <row r="1126" hidden="1">
      <c r="C1126" s="515"/>
      <c r="G1126" s="1" t="s">
        <v>2449</v>
      </c>
      <c r="I1126" s="516"/>
      <c r="J1126" s="516"/>
      <c r="M1126" s="515"/>
      <c r="N1126" s="516"/>
      <c r="P1126" s="1">
        <v>41.7</v>
      </c>
      <c r="Q1126" s="1">
        <v>0.0</v>
      </c>
      <c r="S1126" s="517"/>
      <c r="V1126" s="1">
        <v>0.04</v>
      </c>
      <c r="W1126" s="518">
        <f t="shared" si="1"/>
        <v>0</v>
      </c>
    </row>
    <row r="1127" hidden="1">
      <c r="C1127" s="515"/>
      <c r="G1127" s="1" t="s">
        <v>2451</v>
      </c>
      <c r="I1127" s="516"/>
      <c r="J1127" s="516"/>
      <c r="M1127" s="515"/>
      <c r="N1127" s="516"/>
      <c r="P1127" s="1">
        <v>41.7</v>
      </c>
      <c r="Q1127" s="1">
        <v>0.0</v>
      </c>
      <c r="S1127" s="517"/>
      <c r="V1127" s="1">
        <v>0.04</v>
      </c>
      <c r="W1127" s="518">
        <f t="shared" si="1"/>
        <v>0</v>
      </c>
    </row>
    <row r="1128" hidden="1">
      <c r="C1128" s="515"/>
      <c r="G1128" s="1" t="s">
        <v>2518</v>
      </c>
      <c r="I1128" s="516"/>
      <c r="J1128" s="516"/>
      <c r="M1128" s="515"/>
      <c r="N1128" s="516"/>
      <c r="P1128" s="1">
        <v>125.0</v>
      </c>
      <c r="Q1128" s="1">
        <v>0.0</v>
      </c>
      <c r="S1128" s="517"/>
      <c r="V1128" s="1">
        <v>0.13</v>
      </c>
      <c r="W1128" s="518">
        <f t="shared" si="1"/>
        <v>0</v>
      </c>
    </row>
    <row r="1129" hidden="1">
      <c r="C1129" s="515"/>
      <c r="G1129" s="1" t="s">
        <v>2586</v>
      </c>
      <c r="I1129" s="516"/>
      <c r="J1129" s="516"/>
      <c r="K1129" s="515">
        <v>46022.0</v>
      </c>
      <c r="M1129" s="515"/>
      <c r="N1129" s="516"/>
      <c r="P1129" s="1">
        <v>0.0</v>
      </c>
      <c r="Q1129" s="1" t="s">
        <v>2404</v>
      </c>
      <c r="S1129" s="517"/>
      <c r="V1129" s="1">
        <v>200.0</v>
      </c>
      <c r="W1129" s="518">
        <f t="shared" si="1"/>
        <v>200000</v>
      </c>
    </row>
    <row r="1130" hidden="1">
      <c r="C1130" s="515"/>
      <c r="G1130" s="1" t="s">
        <v>2460</v>
      </c>
      <c r="I1130" s="516"/>
      <c r="J1130" s="516"/>
      <c r="M1130" s="515"/>
      <c r="N1130" s="516"/>
      <c r="P1130" s="1">
        <v>833.3</v>
      </c>
      <c r="Q1130" s="1">
        <v>0.0</v>
      </c>
      <c r="S1130" s="517"/>
      <c r="V1130" s="1">
        <v>0.83</v>
      </c>
      <c r="W1130" s="518">
        <f t="shared" si="1"/>
        <v>0</v>
      </c>
    </row>
    <row r="1131" hidden="1">
      <c r="C1131" s="515"/>
      <c r="G1131" s="1" t="s">
        <v>2458</v>
      </c>
      <c r="I1131" s="516"/>
      <c r="J1131" s="516"/>
      <c r="M1131" s="515"/>
      <c r="N1131" s="516"/>
      <c r="P1131" s="1">
        <v>83.3</v>
      </c>
      <c r="Q1131" s="1">
        <v>0.0</v>
      </c>
      <c r="S1131" s="517"/>
      <c r="V1131" s="1">
        <v>0.08</v>
      </c>
      <c r="W1131" s="518">
        <f t="shared" si="1"/>
        <v>0</v>
      </c>
    </row>
    <row r="1132" hidden="1">
      <c r="C1132" s="515"/>
      <c r="G1132" s="1" t="s">
        <v>2540</v>
      </c>
      <c r="I1132" s="516"/>
      <c r="J1132" s="516"/>
      <c r="M1132" s="515"/>
      <c r="N1132" s="516"/>
      <c r="P1132" s="1">
        <v>416.7</v>
      </c>
      <c r="Q1132" s="1">
        <v>0.0</v>
      </c>
      <c r="S1132" s="517"/>
      <c r="V1132" s="1">
        <v>0.42</v>
      </c>
      <c r="W1132" s="518">
        <f t="shared" si="1"/>
        <v>0</v>
      </c>
    </row>
    <row r="1133" hidden="1">
      <c r="C1133" s="515"/>
      <c r="G1133" s="1" t="s">
        <v>2457</v>
      </c>
      <c r="I1133" s="516"/>
      <c r="J1133" s="516"/>
      <c r="M1133" s="515"/>
      <c r="N1133" s="516"/>
      <c r="P1133" s="1">
        <v>500.0</v>
      </c>
      <c r="Q1133" s="1">
        <v>0.0</v>
      </c>
      <c r="S1133" s="517"/>
      <c r="V1133" s="1">
        <v>0.5</v>
      </c>
      <c r="W1133" s="518">
        <f t="shared" si="1"/>
        <v>0</v>
      </c>
    </row>
    <row r="1134" hidden="1">
      <c r="C1134" s="515"/>
      <c r="G1134" s="1" t="s">
        <v>2539</v>
      </c>
      <c r="I1134" s="516"/>
      <c r="J1134" s="516"/>
      <c r="M1134" s="515"/>
      <c r="P1134" s="1">
        <v>41.7</v>
      </c>
      <c r="Q1134" s="1">
        <v>0.0</v>
      </c>
      <c r="S1134" s="517"/>
      <c r="V1134" s="1">
        <v>0.04</v>
      </c>
      <c r="W1134" s="518">
        <f t="shared" si="1"/>
        <v>0</v>
      </c>
    </row>
    <row r="1135" hidden="1">
      <c r="C1135" s="515"/>
      <c r="G1135" s="1" t="s">
        <v>2456</v>
      </c>
      <c r="I1135" s="516"/>
      <c r="J1135" s="516"/>
      <c r="M1135" s="515"/>
      <c r="N1135" s="516"/>
      <c r="P1135" s="1">
        <v>666.7</v>
      </c>
      <c r="Q1135" s="1">
        <v>0.0</v>
      </c>
      <c r="S1135" s="517"/>
      <c r="V1135" s="1">
        <v>0.67</v>
      </c>
      <c r="W1135" s="518">
        <f t="shared" si="1"/>
        <v>0</v>
      </c>
    </row>
    <row r="1136" hidden="1">
      <c r="C1136" s="515"/>
      <c r="G1136" s="1" t="s">
        <v>2455</v>
      </c>
      <c r="I1136" s="516"/>
      <c r="J1136" s="516"/>
      <c r="M1136" s="515"/>
      <c r="N1136" s="516"/>
      <c r="P1136" s="1">
        <v>166.7</v>
      </c>
      <c r="Q1136" s="1">
        <v>0.0</v>
      </c>
      <c r="S1136" s="517"/>
      <c r="V1136" s="1">
        <v>0.17</v>
      </c>
      <c r="W1136" s="518">
        <f t="shared" si="1"/>
        <v>0</v>
      </c>
    </row>
    <row r="1137" hidden="1">
      <c r="C1137" s="515"/>
      <c r="G1137" s="1" t="s">
        <v>2454</v>
      </c>
      <c r="I1137" s="516"/>
      <c r="J1137" s="516"/>
      <c r="M1137" s="515"/>
      <c r="N1137" s="516"/>
      <c r="P1137" s="1">
        <v>83.3</v>
      </c>
      <c r="Q1137" s="1">
        <v>0.0</v>
      </c>
      <c r="S1137" s="517"/>
      <c r="V1137" s="1">
        <v>0.08</v>
      </c>
      <c r="W1137" s="518">
        <f t="shared" si="1"/>
        <v>0</v>
      </c>
    </row>
    <row r="1138" hidden="1">
      <c r="C1138" s="515"/>
      <c r="G1138" s="1" t="s">
        <v>2587</v>
      </c>
      <c r="I1138" s="516"/>
      <c r="J1138" s="516"/>
      <c r="K1138" s="515">
        <v>46022.0</v>
      </c>
      <c r="M1138" s="515"/>
      <c r="N1138" s="516"/>
      <c r="P1138" s="1">
        <v>0.0</v>
      </c>
      <c r="Q1138" s="1" t="s">
        <v>2404</v>
      </c>
      <c r="S1138" s="517"/>
      <c r="V1138" s="1">
        <v>15.0</v>
      </c>
      <c r="W1138" s="518">
        <f t="shared" si="1"/>
        <v>15000</v>
      </c>
    </row>
    <row r="1139" hidden="1">
      <c r="C1139" s="515"/>
      <c r="G1139" s="1" t="s">
        <v>2526</v>
      </c>
      <c r="I1139" s="516"/>
      <c r="J1139" s="516"/>
      <c r="M1139" s="515"/>
      <c r="N1139" s="516"/>
      <c r="P1139" s="1">
        <v>83.3</v>
      </c>
      <c r="Q1139" s="1">
        <v>0.0</v>
      </c>
      <c r="S1139" s="517"/>
      <c r="V1139" s="1">
        <v>0.08</v>
      </c>
      <c r="W1139" s="518">
        <f t="shared" si="1"/>
        <v>0</v>
      </c>
    </row>
    <row r="1140" hidden="1">
      <c r="C1140" s="515"/>
      <c r="G1140" s="1" t="s">
        <v>2560</v>
      </c>
      <c r="I1140" s="516"/>
      <c r="J1140" s="516"/>
      <c r="M1140" s="515"/>
      <c r="P1140" s="1">
        <v>83.3</v>
      </c>
      <c r="Q1140" s="1">
        <v>0.0</v>
      </c>
      <c r="S1140" s="517"/>
      <c r="V1140" s="1">
        <v>0.08</v>
      </c>
      <c r="W1140" s="518">
        <f t="shared" si="1"/>
        <v>0</v>
      </c>
    </row>
    <row r="1141" hidden="1">
      <c r="C1141" s="515"/>
      <c r="G1141" s="1" t="s">
        <v>2462</v>
      </c>
      <c r="I1141" s="516"/>
      <c r="J1141" s="516"/>
      <c r="M1141" s="515"/>
      <c r="P1141" s="1">
        <v>41.7</v>
      </c>
      <c r="Q1141" s="1">
        <v>0.0</v>
      </c>
      <c r="S1141" s="517"/>
      <c r="V1141" s="1">
        <v>0.04</v>
      </c>
      <c r="W1141" s="518">
        <f t="shared" si="1"/>
        <v>0</v>
      </c>
    </row>
    <row r="1142" hidden="1">
      <c r="C1142" s="515"/>
      <c r="G1142" s="1" t="s">
        <v>2553</v>
      </c>
      <c r="I1142" s="516"/>
      <c r="J1142" s="516"/>
      <c r="P1142" s="1">
        <v>41.7</v>
      </c>
      <c r="Q1142" s="1">
        <v>0.0</v>
      </c>
      <c r="S1142" s="517"/>
      <c r="V1142" s="1">
        <v>0.04</v>
      </c>
      <c r="W1142" s="518">
        <f t="shared" si="1"/>
        <v>0</v>
      </c>
    </row>
    <row r="1143" hidden="1">
      <c r="C1143" s="515"/>
      <c r="G1143" s="1" t="s">
        <v>2461</v>
      </c>
      <c r="I1143" s="516"/>
      <c r="J1143" s="516"/>
      <c r="M1143" s="515"/>
      <c r="N1143" s="516"/>
      <c r="P1143" s="1">
        <v>83.3</v>
      </c>
      <c r="Q1143" s="1">
        <v>0.0</v>
      </c>
      <c r="S1143" s="517"/>
      <c r="V1143" s="1">
        <v>0.08</v>
      </c>
      <c r="W1143" s="518">
        <f t="shared" si="1"/>
        <v>0</v>
      </c>
    </row>
    <row r="1144" hidden="1">
      <c r="C1144" s="515"/>
      <c r="G1144" s="1" t="s">
        <v>2469</v>
      </c>
      <c r="I1144" s="516"/>
      <c r="J1144" s="516"/>
      <c r="M1144" s="515"/>
      <c r="N1144" s="516"/>
      <c r="P1144" s="1">
        <v>41.7</v>
      </c>
      <c r="Q1144" s="1">
        <v>0.0</v>
      </c>
      <c r="S1144" s="517"/>
      <c r="V1144" s="1">
        <v>0.04</v>
      </c>
      <c r="W1144" s="518">
        <f t="shared" si="1"/>
        <v>0</v>
      </c>
    </row>
    <row r="1145" hidden="1">
      <c r="C1145" s="515"/>
      <c r="G1145" s="1" t="s">
        <v>2521</v>
      </c>
      <c r="I1145" s="516"/>
      <c r="J1145" s="516"/>
      <c r="P1145" s="1">
        <v>83.3</v>
      </c>
      <c r="Q1145" s="1">
        <v>0.0</v>
      </c>
      <c r="S1145" s="517"/>
      <c r="V1145" s="1">
        <v>0.08</v>
      </c>
      <c r="W1145" s="518">
        <f t="shared" si="1"/>
        <v>0</v>
      </c>
    </row>
    <row r="1146" hidden="1">
      <c r="C1146" s="515"/>
      <c r="G1146" s="1" t="s">
        <v>2468</v>
      </c>
      <c r="I1146" s="516"/>
      <c r="J1146" s="516"/>
      <c r="M1146" s="515"/>
      <c r="N1146" s="516"/>
      <c r="P1146" s="1">
        <v>41.7</v>
      </c>
      <c r="Q1146" s="1">
        <v>0.0</v>
      </c>
      <c r="S1146" s="517"/>
      <c r="V1146" s="1">
        <v>0.04</v>
      </c>
      <c r="W1146" s="518">
        <f t="shared" si="1"/>
        <v>0</v>
      </c>
    </row>
    <row r="1147" hidden="1">
      <c r="C1147" s="515"/>
      <c r="G1147" s="1" t="s">
        <v>2466</v>
      </c>
      <c r="I1147" s="516"/>
      <c r="J1147" s="516"/>
      <c r="M1147" s="515"/>
      <c r="N1147" s="516"/>
      <c r="P1147" s="1">
        <v>208.3</v>
      </c>
      <c r="Q1147" s="1">
        <v>0.0</v>
      </c>
      <c r="S1147" s="517"/>
      <c r="V1147" s="1">
        <v>0.21</v>
      </c>
      <c r="W1147" s="518">
        <f t="shared" si="1"/>
        <v>0</v>
      </c>
    </row>
    <row r="1148" hidden="1">
      <c r="C1148" s="515"/>
      <c r="G1148" s="1" t="s">
        <v>2465</v>
      </c>
      <c r="I1148" s="516"/>
      <c r="J1148" s="516"/>
      <c r="M1148" s="515"/>
      <c r="N1148" s="516"/>
      <c r="P1148" s="1">
        <v>166.7</v>
      </c>
      <c r="Q1148" s="1">
        <v>0.0</v>
      </c>
      <c r="S1148" s="517"/>
      <c r="V1148" s="1">
        <v>0.17</v>
      </c>
      <c r="W1148" s="518">
        <f t="shared" si="1"/>
        <v>0</v>
      </c>
    </row>
    <row r="1149" hidden="1">
      <c r="C1149" s="515"/>
      <c r="G1149" s="1" t="s">
        <v>2463</v>
      </c>
      <c r="I1149" s="516"/>
      <c r="J1149" s="516"/>
      <c r="M1149" s="515"/>
      <c r="N1149" s="516"/>
      <c r="P1149" s="1">
        <v>83.3</v>
      </c>
      <c r="Q1149" s="1">
        <v>0.0</v>
      </c>
      <c r="S1149" s="517"/>
      <c r="V1149" s="1">
        <v>0.08</v>
      </c>
      <c r="W1149" s="518">
        <f t="shared" si="1"/>
        <v>0</v>
      </c>
    </row>
    <row r="1150" hidden="1">
      <c r="C1150" s="515"/>
      <c r="G1150" s="1" t="s">
        <v>2542</v>
      </c>
      <c r="I1150" s="516"/>
      <c r="J1150" s="516"/>
      <c r="M1150" s="515"/>
      <c r="N1150" s="516"/>
      <c r="P1150" s="1">
        <v>83.3</v>
      </c>
      <c r="Q1150" s="1">
        <v>0.0</v>
      </c>
      <c r="S1150" s="517"/>
      <c r="V1150" s="1">
        <v>0.08</v>
      </c>
      <c r="W1150" s="518">
        <f t="shared" si="1"/>
        <v>0</v>
      </c>
    </row>
    <row r="1151" hidden="1">
      <c r="C1151" s="515"/>
      <c r="G1151" s="1" t="s">
        <v>2473</v>
      </c>
      <c r="I1151" s="516"/>
      <c r="J1151" s="516"/>
      <c r="M1151" s="515"/>
      <c r="N1151" s="516"/>
      <c r="P1151" s="1">
        <v>83.3</v>
      </c>
      <c r="Q1151" s="1">
        <v>0.0</v>
      </c>
      <c r="S1151" s="517"/>
      <c r="V1151" s="1">
        <v>0.08</v>
      </c>
      <c r="W1151" s="518">
        <f t="shared" si="1"/>
        <v>0</v>
      </c>
    </row>
    <row r="1152" hidden="1">
      <c r="C1152" s="515"/>
      <c r="G1152" s="1" t="s">
        <v>2472</v>
      </c>
      <c r="I1152" s="516"/>
      <c r="J1152" s="516"/>
      <c r="M1152" s="515"/>
      <c r="N1152" s="516"/>
      <c r="P1152" s="1">
        <v>83.3</v>
      </c>
      <c r="Q1152" s="1">
        <v>0.0</v>
      </c>
      <c r="S1152" s="517"/>
      <c r="V1152" s="1">
        <v>0.08</v>
      </c>
      <c r="W1152" s="518">
        <f t="shared" si="1"/>
        <v>0</v>
      </c>
    </row>
    <row r="1153" hidden="1">
      <c r="C1153" s="515"/>
      <c r="G1153" s="1" t="s">
        <v>2471</v>
      </c>
      <c r="I1153" s="516"/>
      <c r="J1153" s="516"/>
      <c r="M1153" s="515"/>
      <c r="N1153" s="516"/>
      <c r="P1153" s="1">
        <v>41.7</v>
      </c>
      <c r="Q1153" s="1">
        <v>0.0</v>
      </c>
      <c r="S1153" s="517"/>
      <c r="V1153" s="1">
        <v>0.04</v>
      </c>
      <c r="W1153" s="518">
        <f t="shared" si="1"/>
        <v>0</v>
      </c>
    </row>
    <row r="1154" hidden="1">
      <c r="C1154" s="515"/>
      <c r="G1154" s="1" t="s">
        <v>2470</v>
      </c>
      <c r="I1154" s="516"/>
      <c r="J1154" s="516"/>
      <c r="M1154" s="515"/>
      <c r="N1154" s="516"/>
      <c r="P1154" s="1">
        <v>333.3</v>
      </c>
      <c r="Q1154" s="1">
        <v>0.0</v>
      </c>
      <c r="S1154" s="517"/>
      <c r="V1154" s="1">
        <v>0.33</v>
      </c>
      <c r="W1154" s="518">
        <f t="shared" si="1"/>
        <v>0</v>
      </c>
    </row>
    <row r="1155" hidden="1">
      <c r="C1155" s="515"/>
      <c r="G1155" s="1" t="s">
        <v>2474</v>
      </c>
      <c r="I1155" s="516"/>
      <c r="J1155" s="516"/>
      <c r="M1155" s="515"/>
      <c r="N1155" s="516"/>
      <c r="P1155" s="1">
        <v>166.7</v>
      </c>
      <c r="Q1155" s="1">
        <v>0.0</v>
      </c>
      <c r="S1155" s="517"/>
      <c r="V1155" s="1">
        <v>0.17</v>
      </c>
      <c r="W1155" s="518">
        <f t="shared" si="1"/>
        <v>0</v>
      </c>
    </row>
    <row r="1156" hidden="1">
      <c r="C1156" s="515"/>
      <c r="G1156" s="1" t="s">
        <v>2479</v>
      </c>
      <c r="I1156" s="516"/>
      <c r="J1156" s="516"/>
      <c r="M1156" s="515"/>
      <c r="N1156" s="516"/>
      <c r="P1156" s="1">
        <v>416.7</v>
      </c>
      <c r="Q1156" s="1">
        <v>0.0</v>
      </c>
      <c r="S1156" s="517"/>
      <c r="V1156" s="1">
        <v>0.42</v>
      </c>
      <c r="W1156" s="518">
        <f t="shared" si="1"/>
        <v>0</v>
      </c>
    </row>
    <row r="1157" hidden="1">
      <c r="C1157" s="515"/>
      <c r="G1157" s="1" t="s">
        <v>2588</v>
      </c>
      <c r="I1157" s="516"/>
      <c r="J1157" s="516"/>
      <c r="M1157" s="515"/>
      <c r="N1157" s="516"/>
      <c r="P1157" s="1">
        <v>0.0</v>
      </c>
      <c r="Q1157" s="1" t="s">
        <v>2404</v>
      </c>
      <c r="S1157" s="517"/>
      <c r="V1157" s="1">
        <v>8.33</v>
      </c>
      <c r="W1157" s="518">
        <f t="shared" si="1"/>
        <v>8330</v>
      </c>
    </row>
    <row r="1158" hidden="1">
      <c r="C1158" s="515"/>
      <c r="G1158" s="1" t="s">
        <v>2478</v>
      </c>
      <c r="I1158" s="516"/>
      <c r="J1158" s="516"/>
      <c r="M1158" s="515"/>
      <c r="N1158" s="516"/>
      <c r="P1158" s="1">
        <v>83.3</v>
      </c>
      <c r="Q1158" s="1">
        <v>0.0</v>
      </c>
      <c r="S1158" s="517"/>
      <c r="V1158" s="1">
        <v>0.08</v>
      </c>
      <c r="W1158" s="518">
        <f t="shared" si="1"/>
        <v>0</v>
      </c>
    </row>
    <row r="1159" hidden="1">
      <c r="C1159" s="515"/>
      <c r="G1159" s="1" t="s">
        <v>2486</v>
      </c>
      <c r="I1159" s="516"/>
      <c r="J1159" s="516"/>
      <c r="M1159" s="515"/>
      <c r="N1159" s="516"/>
      <c r="P1159" s="1">
        <v>83.3</v>
      </c>
      <c r="Q1159" s="1">
        <v>0.0</v>
      </c>
      <c r="S1159" s="517"/>
      <c r="V1159" s="1">
        <v>0.08</v>
      </c>
      <c r="W1159" s="518">
        <f t="shared" si="1"/>
        <v>0</v>
      </c>
    </row>
    <row r="1160" hidden="1">
      <c r="C1160" s="515"/>
      <c r="G1160" s="1" t="s">
        <v>2484</v>
      </c>
      <c r="I1160" s="516"/>
      <c r="J1160" s="516"/>
      <c r="M1160" s="515"/>
      <c r="P1160" s="1">
        <v>500.0</v>
      </c>
      <c r="Q1160" s="1">
        <v>0.0</v>
      </c>
      <c r="S1160" s="517"/>
      <c r="V1160" s="1">
        <v>0.5</v>
      </c>
      <c r="W1160" s="518">
        <f t="shared" si="1"/>
        <v>0</v>
      </c>
    </row>
    <row r="1161" hidden="1">
      <c r="C1161" s="515"/>
      <c r="G1161" s="1" t="s">
        <v>2483</v>
      </c>
      <c r="I1161" s="516"/>
      <c r="J1161" s="516"/>
      <c r="M1161" s="515"/>
      <c r="N1161" s="516"/>
      <c r="P1161" s="1">
        <v>708.3</v>
      </c>
      <c r="Q1161" s="1">
        <v>0.0</v>
      </c>
      <c r="S1161" s="517"/>
      <c r="V1161" s="1">
        <v>0.71</v>
      </c>
      <c r="W1161" s="518">
        <f t="shared" si="1"/>
        <v>0</v>
      </c>
    </row>
    <row r="1162" hidden="1">
      <c r="C1162" s="515"/>
      <c r="G1162" s="1" t="s">
        <v>2482</v>
      </c>
      <c r="I1162" s="516"/>
      <c r="J1162" s="516"/>
      <c r="M1162" s="515"/>
      <c r="N1162" s="516"/>
      <c r="P1162" s="1">
        <v>41.7</v>
      </c>
      <c r="Q1162" s="1">
        <v>0.0</v>
      </c>
      <c r="S1162" s="517"/>
      <c r="V1162" s="1">
        <v>0.04</v>
      </c>
      <c r="W1162" s="518">
        <f t="shared" si="1"/>
        <v>0</v>
      </c>
    </row>
    <row r="1163" hidden="1">
      <c r="C1163" s="515"/>
      <c r="G1163" s="1" t="s">
        <v>2545</v>
      </c>
      <c r="I1163" s="516"/>
      <c r="J1163" s="516"/>
      <c r="M1163" s="515"/>
      <c r="N1163" s="516"/>
      <c r="P1163" s="1">
        <v>41.7</v>
      </c>
      <c r="Q1163" s="1">
        <v>0.0</v>
      </c>
      <c r="S1163" s="517"/>
      <c r="V1163" s="1">
        <v>0.04</v>
      </c>
      <c r="W1163" s="518">
        <f t="shared" si="1"/>
        <v>0</v>
      </c>
    </row>
    <row r="1164" hidden="1">
      <c r="C1164" s="515"/>
      <c r="G1164" s="1" t="s">
        <v>2573</v>
      </c>
      <c r="I1164" s="516"/>
      <c r="J1164" s="516"/>
      <c r="K1164" s="515">
        <v>46022.0</v>
      </c>
      <c r="M1164" s="515"/>
      <c r="N1164" s="516"/>
      <c r="P1164" s="1">
        <v>0.0</v>
      </c>
      <c r="Q1164" s="1" t="s">
        <v>2404</v>
      </c>
      <c r="S1164" s="517"/>
      <c r="V1164" s="1">
        <v>16.0</v>
      </c>
      <c r="W1164" s="518">
        <f t="shared" si="1"/>
        <v>16000</v>
      </c>
    </row>
    <row r="1165" hidden="1">
      <c r="C1165" s="515"/>
      <c r="G1165" s="1" t="s">
        <v>2491</v>
      </c>
      <c r="I1165" s="516"/>
      <c r="J1165" s="516"/>
      <c r="M1165" s="515"/>
      <c r="N1165" s="516"/>
      <c r="P1165" s="1">
        <v>41.7</v>
      </c>
      <c r="Q1165" s="1">
        <v>0.0</v>
      </c>
      <c r="S1165" s="517"/>
      <c r="V1165" s="1">
        <v>0.04</v>
      </c>
      <c r="W1165" s="518">
        <f t="shared" si="1"/>
        <v>0</v>
      </c>
    </row>
    <row r="1166" hidden="1">
      <c r="C1166" s="515"/>
      <c r="G1166" s="1" t="s">
        <v>2490</v>
      </c>
      <c r="I1166" s="516"/>
      <c r="J1166" s="516"/>
      <c r="M1166" s="515"/>
      <c r="N1166" s="516"/>
      <c r="P1166" s="1">
        <v>41.7</v>
      </c>
      <c r="Q1166" s="1">
        <v>0.0</v>
      </c>
      <c r="S1166" s="517"/>
      <c r="V1166" s="1">
        <v>0.04</v>
      </c>
      <c r="W1166" s="518">
        <f t="shared" si="1"/>
        <v>0</v>
      </c>
    </row>
    <row r="1167" hidden="1">
      <c r="C1167" s="515"/>
      <c r="G1167" s="1" t="s">
        <v>2489</v>
      </c>
      <c r="I1167" s="516"/>
      <c r="J1167" s="516"/>
      <c r="M1167" s="515"/>
      <c r="N1167" s="516"/>
      <c r="P1167" s="1">
        <v>83.3</v>
      </c>
      <c r="Q1167" s="1">
        <v>0.0</v>
      </c>
      <c r="S1167" s="517"/>
      <c r="V1167" s="1">
        <v>0.08</v>
      </c>
      <c r="W1167" s="518">
        <f t="shared" si="1"/>
        <v>0</v>
      </c>
    </row>
    <row r="1168" hidden="1">
      <c r="C1168" s="515"/>
      <c r="G1168" s="1" t="s">
        <v>2493</v>
      </c>
      <c r="I1168" s="516"/>
      <c r="J1168" s="516"/>
      <c r="M1168" s="515"/>
      <c r="N1168" s="516"/>
      <c r="P1168" s="1">
        <v>166.7</v>
      </c>
      <c r="Q1168" s="1">
        <v>0.0</v>
      </c>
      <c r="S1168" s="517"/>
      <c r="V1168" s="1">
        <v>0.17</v>
      </c>
      <c r="W1168" s="518">
        <f t="shared" si="1"/>
        <v>0</v>
      </c>
    </row>
    <row r="1169" hidden="1">
      <c r="C1169" s="515"/>
      <c r="G1169" s="1" t="s">
        <v>2492</v>
      </c>
      <c r="I1169" s="516"/>
      <c r="J1169" s="516"/>
      <c r="M1169" s="515"/>
      <c r="N1169" s="516"/>
      <c r="P1169" s="1">
        <v>1000.0</v>
      </c>
      <c r="Q1169" s="1">
        <v>0.0</v>
      </c>
      <c r="S1169" s="517"/>
      <c r="V1169" s="1">
        <v>1.0</v>
      </c>
      <c r="W1169" s="518">
        <f t="shared" si="1"/>
        <v>0</v>
      </c>
    </row>
    <row r="1170" hidden="1">
      <c r="C1170" s="515"/>
      <c r="G1170" s="1" t="s">
        <v>2499</v>
      </c>
      <c r="I1170" s="516"/>
      <c r="J1170" s="516"/>
      <c r="M1170" s="515"/>
      <c r="N1170" s="516"/>
      <c r="P1170" s="1">
        <v>41.7</v>
      </c>
      <c r="Q1170" s="1">
        <v>0.0</v>
      </c>
      <c r="S1170" s="517"/>
      <c r="V1170" s="1">
        <v>0.04</v>
      </c>
      <c r="W1170" s="518">
        <f t="shared" si="1"/>
        <v>0</v>
      </c>
    </row>
    <row r="1171" hidden="1">
      <c r="C1171" s="515"/>
      <c r="G1171" s="1" t="s">
        <v>2547</v>
      </c>
      <c r="I1171" s="516"/>
      <c r="J1171" s="516"/>
      <c r="M1171" s="515"/>
      <c r="N1171" s="516"/>
      <c r="P1171" s="1">
        <v>166.7</v>
      </c>
      <c r="Q1171" s="1">
        <v>0.0</v>
      </c>
      <c r="S1171" s="517"/>
      <c r="V1171" s="1">
        <v>0.17</v>
      </c>
      <c r="W1171" s="518">
        <f t="shared" si="1"/>
        <v>0</v>
      </c>
    </row>
    <row r="1172" hidden="1">
      <c r="C1172" s="515"/>
      <c r="G1172" s="1" t="s">
        <v>2498</v>
      </c>
      <c r="I1172" s="516"/>
      <c r="J1172" s="516"/>
      <c r="M1172" s="515"/>
      <c r="N1172" s="516"/>
      <c r="P1172" s="1">
        <v>183.3</v>
      </c>
      <c r="Q1172" s="1">
        <v>0.0</v>
      </c>
      <c r="S1172" s="517"/>
      <c r="V1172" s="1">
        <v>0.18</v>
      </c>
      <c r="W1172" s="518">
        <f t="shared" si="1"/>
        <v>0</v>
      </c>
    </row>
    <row r="1173" hidden="1">
      <c r="C1173" s="515"/>
      <c r="G1173" s="1" t="s">
        <v>2497</v>
      </c>
      <c r="I1173" s="516"/>
      <c r="J1173" s="516"/>
      <c r="M1173" s="515"/>
      <c r="N1173" s="516"/>
      <c r="P1173" s="1">
        <v>2000.0</v>
      </c>
      <c r="Q1173" s="1">
        <v>0.0</v>
      </c>
      <c r="S1173" s="517"/>
      <c r="V1173" s="1">
        <v>2.0</v>
      </c>
      <c r="W1173" s="518">
        <f t="shared" si="1"/>
        <v>0</v>
      </c>
    </row>
    <row r="1174" hidden="1">
      <c r="C1174" s="515"/>
      <c r="G1174" s="1" t="s">
        <v>2565</v>
      </c>
      <c r="I1174" s="516"/>
      <c r="J1174" s="516"/>
      <c r="M1174" s="515"/>
      <c r="N1174" s="516"/>
      <c r="P1174" s="1">
        <v>83.3</v>
      </c>
      <c r="Q1174" s="1">
        <v>0.0</v>
      </c>
      <c r="S1174" s="517"/>
      <c r="V1174" s="1">
        <v>0.08</v>
      </c>
      <c r="W1174" s="518">
        <f t="shared" si="1"/>
        <v>0</v>
      </c>
    </row>
    <row r="1175" hidden="1">
      <c r="C1175" s="515"/>
      <c r="G1175" s="1" t="s">
        <v>2563</v>
      </c>
      <c r="I1175" s="516"/>
      <c r="J1175" s="516"/>
      <c r="M1175" s="515"/>
      <c r="N1175" s="516"/>
      <c r="P1175" s="1">
        <v>125.0</v>
      </c>
      <c r="Q1175" s="1">
        <v>0.0</v>
      </c>
      <c r="S1175" s="517"/>
      <c r="V1175" s="1">
        <v>0.13</v>
      </c>
      <c r="W1175" s="518">
        <f t="shared" si="1"/>
        <v>0</v>
      </c>
    </row>
    <row r="1176" hidden="1">
      <c r="C1176" s="515"/>
      <c r="G1176" s="1" t="s">
        <v>2495</v>
      </c>
      <c r="I1176" s="516"/>
      <c r="J1176" s="516"/>
      <c r="M1176" s="515"/>
      <c r="N1176" s="516"/>
      <c r="P1176" s="1">
        <v>83.3</v>
      </c>
      <c r="Q1176" s="1">
        <v>0.0</v>
      </c>
      <c r="S1176" s="517"/>
      <c r="V1176" s="1">
        <v>0.08</v>
      </c>
      <c r="W1176" s="518">
        <f t="shared" si="1"/>
        <v>0</v>
      </c>
    </row>
    <row r="1177" hidden="1">
      <c r="C1177" s="515"/>
      <c r="G1177" s="1" t="s">
        <v>2504</v>
      </c>
      <c r="I1177" s="516"/>
      <c r="J1177" s="516"/>
      <c r="M1177" s="515"/>
      <c r="N1177" s="516"/>
      <c r="P1177" s="1">
        <v>41.7</v>
      </c>
      <c r="Q1177" s="1">
        <v>0.0</v>
      </c>
      <c r="S1177" s="517"/>
      <c r="V1177" s="1">
        <v>0.04</v>
      </c>
      <c r="W1177" s="518">
        <f t="shared" si="1"/>
        <v>0</v>
      </c>
    </row>
    <row r="1178" hidden="1">
      <c r="C1178" s="515"/>
      <c r="G1178" s="86" t="s">
        <v>2584</v>
      </c>
      <c r="I1178" s="516"/>
      <c r="J1178" s="516"/>
      <c r="M1178" s="515"/>
      <c r="N1178" s="516"/>
      <c r="P1178" s="1">
        <v>1666.7</v>
      </c>
      <c r="Q1178" s="1">
        <v>0.0</v>
      </c>
      <c r="S1178" s="517"/>
      <c r="V1178" s="1">
        <v>1.67</v>
      </c>
      <c r="W1178" s="518">
        <f t="shared" si="1"/>
        <v>0</v>
      </c>
    </row>
    <row r="1179" hidden="1">
      <c r="C1179" s="515"/>
      <c r="G1179" s="1" t="s">
        <v>2502</v>
      </c>
      <c r="I1179" s="516"/>
      <c r="J1179" s="516"/>
      <c r="M1179" s="515"/>
      <c r="N1179" s="516"/>
      <c r="P1179" s="1">
        <v>41.7</v>
      </c>
      <c r="Q1179" s="1">
        <v>0.0</v>
      </c>
      <c r="S1179" s="517"/>
      <c r="V1179" s="1">
        <v>0.04</v>
      </c>
      <c r="W1179" s="518">
        <f t="shared" si="1"/>
        <v>0</v>
      </c>
    </row>
    <row r="1180" hidden="1">
      <c r="C1180" s="515"/>
      <c r="G1180" s="1" t="s">
        <v>2501</v>
      </c>
      <c r="I1180" s="516"/>
      <c r="J1180" s="516"/>
      <c r="M1180" s="515"/>
      <c r="N1180" s="516"/>
      <c r="P1180" s="1">
        <v>83.3</v>
      </c>
      <c r="Q1180" s="1">
        <v>0.0</v>
      </c>
      <c r="S1180" s="517"/>
      <c r="V1180" s="1">
        <v>0.08</v>
      </c>
      <c r="W1180" s="518">
        <f t="shared" si="1"/>
        <v>0</v>
      </c>
    </row>
    <row r="1181" hidden="1">
      <c r="C1181" s="515"/>
      <c r="G1181" s="1" t="s">
        <v>2500</v>
      </c>
      <c r="I1181" s="516"/>
      <c r="J1181" s="516"/>
      <c r="M1181" s="515"/>
      <c r="N1181" s="516"/>
      <c r="P1181" s="1">
        <v>41.7</v>
      </c>
      <c r="Q1181" s="1">
        <v>0.0</v>
      </c>
      <c r="S1181" s="517"/>
      <c r="V1181" s="1">
        <v>0.04</v>
      </c>
      <c r="W1181" s="518">
        <f t="shared" si="1"/>
        <v>0</v>
      </c>
    </row>
    <row r="1182" hidden="1">
      <c r="C1182" s="515"/>
      <c r="G1182" s="1" t="s">
        <v>2505</v>
      </c>
      <c r="I1182" s="516"/>
      <c r="J1182" s="516"/>
      <c r="M1182" s="515"/>
      <c r="N1182" s="516"/>
      <c r="P1182" s="1">
        <v>125.0</v>
      </c>
      <c r="Q1182" s="1">
        <v>0.0</v>
      </c>
      <c r="S1182" s="517"/>
      <c r="V1182" s="1">
        <v>0.13</v>
      </c>
      <c r="W1182" s="518">
        <f t="shared" si="1"/>
        <v>0</v>
      </c>
    </row>
    <row r="1183" hidden="1">
      <c r="C1183" s="515"/>
      <c r="G1183" s="1" t="s">
        <v>2575</v>
      </c>
      <c r="I1183" s="516"/>
      <c r="J1183" s="516"/>
      <c r="M1183" s="515"/>
      <c r="N1183" s="516"/>
      <c r="P1183" s="1">
        <v>83.3</v>
      </c>
      <c r="Q1183" s="1">
        <v>0.0</v>
      </c>
      <c r="S1183" s="517"/>
      <c r="V1183" s="1">
        <v>0.08</v>
      </c>
      <c r="W1183" s="518">
        <f t="shared" si="1"/>
        <v>0</v>
      </c>
    </row>
    <row r="1184" hidden="1">
      <c r="C1184" s="515"/>
      <c r="G1184" s="1" t="s">
        <v>2511</v>
      </c>
      <c r="I1184" s="516"/>
      <c r="J1184" s="516"/>
      <c r="M1184" s="515"/>
      <c r="N1184" s="516"/>
      <c r="P1184" s="1">
        <v>41.7</v>
      </c>
      <c r="Q1184" s="1">
        <v>0.0</v>
      </c>
      <c r="S1184" s="517"/>
      <c r="V1184" s="1">
        <v>0.04</v>
      </c>
      <c r="W1184" s="518">
        <f t="shared" si="1"/>
        <v>0</v>
      </c>
    </row>
    <row r="1185" hidden="1">
      <c r="C1185" s="515"/>
      <c r="G1185" s="1" t="s">
        <v>2510</v>
      </c>
      <c r="I1185" s="516"/>
      <c r="J1185" s="516"/>
      <c r="M1185" s="515"/>
      <c r="N1185" s="516"/>
      <c r="P1185" s="1">
        <v>83.3</v>
      </c>
      <c r="Q1185" s="1">
        <v>0.0</v>
      </c>
      <c r="S1185" s="517"/>
      <c r="V1185" s="1">
        <v>0.08</v>
      </c>
      <c r="W1185" s="518">
        <f t="shared" si="1"/>
        <v>0</v>
      </c>
    </row>
    <row r="1186" hidden="1">
      <c r="C1186" s="515"/>
      <c r="G1186" s="1" t="s">
        <v>2406</v>
      </c>
      <c r="I1186" s="516"/>
      <c r="J1186" s="516"/>
      <c r="M1186" s="515"/>
      <c r="N1186" s="516"/>
      <c r="P1186" s="1">
        <v>166.7</v>
      </c>
      <c r="Q1186" s="1">
        <v>0.0</v>
      </c>
      <c r="S1186" s="517"/>
      <c r="V1186" s="1">
        <v>0.17</v>
      </c>
      <c r="W1186" s="518">
        <f t="shared" si="1"/>
        <v>0</v>
      </c>
    </row>
    <row r="1187" hidden="1">
      <c r="C1187" s="515"/>
      <c r="G1187" s="1" t="s">
        <v>2405</v>
      </c>
      <c r="I1187" s="516"/>
      <c r="J1187" s="516"/>
      <c r="M1187" s="515"/>
      <c r="N1187" s="516"/>
      <c r="P1187" s="1">
        <v>166.7</v>
      </c>
      <c r="Q1187" s="1">
        <v>0.0</v>
      </c>
      <c r="S1187" s="517"/>
      <c r="V1187" s="1">
        <v>0.17</v>
      </c>
      <c r="W1187" s="518">
        <f t="shared" si="1"/>
        <v>0</v>
      </c>
    </row>
    <row r="1188" hidden="1">
      <c r="C1188" s="515"/>
      <c r="G1188" s="1" t="s">
        <v>2412</v>
      </c>
      <c r="I1188" s="516"/>
      <c r="J1188" s="516"/>
      <c r="M1188" s="515"/>
      <c r="N1188" s="516"/>
      <c r="P1188" s="1">
        <v>4000.0</v>
      </c>
      <c r="Q1188" s="1">
        <v>0.0</v>
      </c>
      <c r="S1188" s="517"/>
      <c r="V1188" s="1">
        <v>4.0</v>
      </c>
      <c r="W1188" s="518">
        <f t="shared" si="1"/>
        <v>0</v>
      </c>
    </row>
    <row r="1189" hidden="1">
      <c r="C1189" s="515"/>
      <c r="G1189" s="1" t="s">
        <v>2549</v>
      </c>
      <c r="I1189" s="516"/>
      <c r="J1189" s="516"/>
      <c r="M1189" s="515"/>
      <c r="P1189" s="1">
        <v>83.3</v>
      </c>
      <c r="Q1189" s="1">
        <v>0.0</v>
      </c>
      <c r="S1189" s="517"/>
      <c r="V1189" s="1">
        <v>0.08</v>
      </c>
      <c r="W1189" s="518">
        <f t="shared" si="1"/>
        <v>0</v>
      </c>
    </row>
    <row r="1190" hidden="1">
      <c r="C1190" s="515"/>
      <c r="G1190" s="1" t="s">
        <v>2410</v>
      </c>
      <c r="I1190" s="516"/>
      <c r="J1190" s="516"/>
      <c r="M1190" s="515"/>
      <c r="N1190" s="516"/>
      <c r="P1190" s="1">
        <v>83.3</v>
      </c>
      <c r="Q1190" s="1">
        <v>0.0</v>
      </c>
      <c r="S1190" s="517"/>
      <c r="V1190" s="1">
        <v>0.08</v>
      </c>
      <c r="W1190" s="518">
        <f t="shared" si="1"/>
        <v>0</v>
      </c>
    </row>
    <row r="1191" hidden="1">
      <c r="C1191" s="515"/>
      <c r="G1191" s="1" t="s">
        <v>2409</v>
      </c>
      <c r="I1191" s="516"/>
      <c r="J1191" s="516"/>
      <c r="M1191" s="515"/>
      <c r="N1191" s="516"/>
      <c r="P1191" s="1">
        <v>208.3</v>
      </c>
      <c r="Q1191" s="1">
        <v>0.0</v>
      </c>
      <c r="S1191" s="517"/>
      <c r="V1191" s="1">
        <v>0.21</v>
      </c>
      <c r="W1191" s="518">
        <f t="shared" si="1"/>
        <v>0</v>
      </c>
    </row>
    <row r="1192" hidden="1">
      <c r="C1192" s="515"/>
      <c r="G1192" s="1" t="s">
        <v>2408</v>
      </c>
      <c r="I1192" s="516"/>
      <c r="J1192" s="516"/>
      <c r="M1192" s="515"/>
      <c r="N1192" s="516"/>
      <c r="P1192" s="1">
        <v>41.7</v>
      </c>
      <c r="Q1192" s="1">
        <v>0.0</v>
      </c>
      <c r="S1192" s="517"/>
      <c r="V1192" s="1">
        <v>0.04</v>
      </c>
      <c r="W1192" s="518">
        <f t="shared" si="1"/>
        <v>0</v>
      </c>
    </row>
    <row r="1193" hidden="1">
      <c r="C1193" s="515"/>
      <c r="G1193" s="1" t="s">
        <v>2407</v>
      </c>
      <c r="I1193" s="516"/>
      <c r="J1193" s="516"/>
      <c r="M1193" s="515"/>
      <c r="N1193" s="516"/>
      <c r="P1193" s="1">
        <v>416.7</v>
      </c>
      <c r="Q1193" s="1">
        <v>0.0</v>
      </c>
      <c r="S1193" s="517"/>
      <c r="V1193" s="1">
        <v>0.42</v>
      </c>
      <c r="W1193" s="518">
        <f t="shared" si="1"/>
        <v>0</v>
      </c>
    </row>
    <row r="1194" hidden="1">
      <c r="C1194" s="515"/>
      <c r="G1194" s="1" t="s">
        <v>2555</v>
      </c>
      <c r="I1194" s="516"/>
      <c r="J1194" s="516"/>
      <c r="M1194" s="515"/>
      <c r="N1194" s="516"/>
      <c r="P1194" s="1">
        <v>83.3</v>
      </c>
      <c r="Q1194" s="1">
        <v>0.0</v>
      </c>
      <c r="S1194" s="517"/>
      <c r="V1194" s="1">
        <v>0.08</v>
      </c>
      <c r="W1194" s="518">
        <f t="shared" si="1"/>
        <v>0</v>
      </c>
    </row>
    <row r="1195" hidden="1">
      <c r="C1195" s="515"/>
      <c r="G1195" s="1" t="s">
        <v>2415</v>
      </c>
      <c r="I1195" s="516"/>
      <c r="J1195" s="516"/>
      <c r="M1195" s="515"/>
      <c r="N1195" s="516"/>
      <c r="P1195" s="1">
        <v>333.3</v>
      </c>
      <c r="Q1195" s="1">
        <v>0.0</v>
      </c>
      <c r="S1195" s="517"/>
      <c r="V1195" s="1">
        <v>0.33</v>
      </c>
      <c r="W1195" s="518">
        <f t="shared" si="1"/>
        <v>0</v>
      </c>
    </row>
    <row r="1196" hidden="1">
      <c r="C1196" s="515"/>
      <c r="G1196" s="1" t="s">
        <v>2551</v>
      </c>
      <c r="I1196" s="516"/>
      <c r="J1196" s="516"/>
      <c r="M1196" s="515"/>
      <c r="N1196" s="516"/>
      <c r="P1196" s="1">
        <v>333.3</v>
      </c>
      <c r="Q1196" s="1">
        <v>0.0</v>
      </c>
      <c r="S1196" s="517"/>
      <c r="V1196" s="1">
        <v>0.33</v>
      </c>
      <c r="W1196" s="518">
        <f t="shared" si="1"/>
        <v>0</v>
      </c>
    </row>
    <row r="1197" hidden="1">
      <c r="C1197" s="515"/>
      <c r="G1197" s="1" t="s">
        <v>2420</v>
      </c>
      <c r="I1197" s="516"/>
      <c r="J1197" s="516"/>
      <c r="M1197" s="515"/>
      <c r="N1197" s="516"/>
      <c r="P1197" s="1">
        <v>83.3</v>
      </c>
      <c r="Q1197" s="1">
        <v>0.0</v>
      </c>
      <c r="S1197" s="517"/>
      <c r="V1197" s="1">
        <v>0.08</v>
      </c>
      <c r="W1197" s="518">
        <f t="shared" si="1"/>
        <v>0</v>
      </c>
    </row>
    <row r="1198" hidden="1">
      <c r="C1198" s="515"/>
      <c r="G1198" s="1" t="s">
        <v>2419</v>
      </c>
      <c r="I1198" s="516"/>
      <c r="J1198" s="516"/>
      <c r="M1198" s="515"/>
      <c r="N1198" s="516"/>
      <c r="P1198" s="1">
        <v>666.7</v>
      </c>
      <c r="Q1198" s="1">
        <v>0.0</v>
      </c>
      <c r="S1198" s="517"/>
      <c r="V1198" s="1">
        <v>0.67</v>
      </c>
      <c r="W1198" s="518">
        <f t="shared" si="1"/>
        <v>0</v>
      </c>
    </row>
    <row r="1199" hidden="1">
      <c r="C1199" s="515"/>
      <c r="G1199" s="1" t="s">
        <v>2418</v>
      </c>
      <c r="I1199" s="516"/>
      <c r="J1199" s="516"/>
      <c r="M1199" s="515"/>
      <c r="N1199" s="516"/>
      <c r="P1199" s="1">
        <v>141.7</v>
      </c>
      <c r="Q1199" s="1">
        <v>0.0</v>
      </c>
      <c r="S1199" s="517"/>
      <c r="V1199" s="1">
        <v>0.14</v>
      </c>
      <c r="W1199" s="518">
        <f t="shared" si="1"/>
        <v>0</v>
      </c>
    </row>
    <row r="1200" hidden="1">
      <c r="C1200" s="515"/>
      <c r="G1200" s="1" t="s">
        <v>2577</v>
      </c>
      <c r="I1200" s="516"/>
      <c r="J1200" s="516"/>
      <c r="M1200" s="515"/>
      <c r="N1200" s="516"/>
      <c r="P1200" s="1">
        <v>41.7</v>
      </c>
      <c r="Q1200" s="1">
        <v>0.0</v>
      </c>
      <c r="S1200" s="517"/>
      <c r="V1200" s="1">
        <v>0.04</v>
      </c>
      <c r="W1200" s="518">
        <f t="shared" si="1"/>
        <v>0</v>
      </c>
    </row>
    <row r="1201" hidden="1">
      <c r="C1201" s="515"/>
      <c r="G1201" s="1" t="s">
        <v>2422</v>
      </c>
      <c r="I1201" s="516"/>
      <c r="J1201" s="516"/>
      <c r="M1201" s="515"/>
      <c r="N1201" s="516"/>
      <c r="P1201" s="1">
        <v>250.0</v>
      </c>
      <c r="Q1201" s="1">
        <v>0.0</v>
      </c>
      <c r="S1201" s="517"/>
      <c r="V1201" s="1">
        <v>0.25</v>
      </c>
      <c r="W1201" s="518">
        <f t="shared" si="1"/>
        <v>0</v>
      </c>
    </row>
    <row r="1202" hidden="1">
      <c r="C1202" s="515"/>
      <c r="G1202" s="1" t="s">
        <v>2425</v>
      </c>
      <c r="I1202" s="516"/>
      <c r="J1202" s="516"/>
      <c r="M1202" s="515"/>
      <c r="N1202" s="516"/>
      <c r="P1202" s="1">
        <v>41.7</v>
      </c>
      <c r="Q1202" s="1">
        <v>0.0</v>
      </c>
      <c r="S1202" s="517"/>
      <c r="V1202" s="1">
        <v>0.04</v>
      </c>
      <c r="W1202" s="518">
        <f t="shared" si="1"/>
        <v>0</v>
      </c>
    </row>
    <row r="1203" hidden="1">
      <c r="C1203" s="515"/>
      <c r="G1203" s="1" t="s">
        <v>2589</v>
      </c>
      <c r="I1203" s="516"/>
      <c r="J1203" s="516"/>
      <c r="M1203" s="515"/>
      <c r="N1203" s="516"/>
      <c r="P1203" s="1">
        <v>166.7</v>
      </c>
      <c r="Q1203" s="1">
        <v>0.0</v>
      </c>
      <c r="S1203" s="517"/>
      <c r="V1203" s="1">
        <v>0.17</v>
      </c>
      <c r="W1203" s="518">
        <f t="shared" si="1"/>
        <v>0</v>
      </c>
    </row>
    <row r="1204" hidden="1">
      <c r="C1204" s="515"/>
      <c r="G1204" s="1" t="s">
        <v>2431</v>
      </c>
      <c r="I1204" s="516"/>
      <c r="J1204" s="516"/>
      <c r="M1204" s="515"/>
      <c r="N1204" s="516"/>
      <c r="P1204" s="1">
        <v>83.3</v>
      </c>
      <c r="Q1204" s="1">
        <v>0.0</v>
      </c>
      <c r="S1204" s="517"/>
      <c r="V1204" s="1">
        <v>0.08</v>
      </c>
      <c r="W1204" s="518">
        <f t="shared" si="1"/>
        <v>0</v>
      </c>
    </row>
    <row r="1205" hidden="1">
      <c r="C1205" s="515"/>
      <c r="G1205" s="1" t="s">
        <v>2556</v>
      </c>
      <c r="I1205" s="516"/>
      <c r="J1205" s="516"/>
      <c r="M1205" s="515"/>
      <c r="N1205" s="516"/>
      <c r="P1205" s="1">
        <v>83.3</v>
      </c>
      <c r="Q1205" s="1">
        <v>0.0</v>
      </c>
      <c r="S1205" s="517"/>
      <c r="V1205" s="1">
        <v>0.08</v>
      </c>
      <c r="W1205" s="518">
        <f t="shared" si="1"/>
        <v>0</v>
      </c>
    </row>
    <row r="1206" hidden="1">
      <c r="C1206" s="515"/>
      <c r="G1206" s="1" t="s">
        <v>2429</v>
      </c>
      <c r="I1206" s="516"/>
      <c r="J1206" s="516"/>
      <c r="M1206" s="515"/>
      <c r="N1206" s="516"/>
      <c r="P1206" s="1">
        <v>333.3</v>
      </c>
      <c r="Q1206" s="1">
        <v>0.0</v>
      </c>
      <c r="S1206" s="517"/>
      <c r="V1206" s="1">
        <v>0.33</v>
      </c>
      <c r="W1206" s="518">
        <f t="shared" si="1"/>
        <v>0</v>
      </c>
    </row>
    <row r="1207" hidden="1">
      <c r="C1207" s="515"/>
      <c r="G1207" s="1" t="s">
        <v>2426</v>
      </c>
      <c r="I1207" s="516"/>
      <c r="J1207" s="516"/>
      <c r="M1207" s="515"/>
      <c r="N1207" s="516"/>
      <c r="P1207" s="1">
        <v>250.0</v>
      </c>
      <c r="Q1207" s="1">
        <v>0.0</v>
      </c>
      <c r="S1207" s="517"/>
      <c r="V1207" s="1">
        <v>0.25</v>
      </c>
      <c r="W1207" s="518">
        <f t="shared" si="1"/>
        <v>0</v>
      </c>
    </row>
    <row r="1208" hidden="1">
      <c r="C1208" s="515"/>
      <c r="G1208" s="1" t="s">
        <v>2433</v>
      </c>
      <c r="I1208" s="516"/>
      <c r="J1208" s="516"/>
      <c r="M1208" s="515"/>
      <c r="N1208" s="516"/>
      <c r="P1208" s="1">
        <v>41.7</v>
      </c>
      <c r="Q1208" s="1">
        <v>0.0</v>
      </c>
      <c r="S1208" s="517"/>
      <c r="V1208" s="1">
        <v>0.04</v>
      </c>
      <c r="W1208" s="518">
        <f t="shared" si="1"/>
        <v>0</v>
      </c>
    </row>
    <row r="1209" hidden="1">
      <c r="C1209" s="515"/>
      <c r="G1209" s="1" t="s">
        <v>2590</v>
      </c>
      <c r="I1209" s="516"/>
      <c r="J1209" s="516"/>
      <c r="M1209" s="515"/>
      <c r="N1209" s="516"/>
      <c r="P1209" s="1">
        <v>83.3</v>
      </c>
      <c r="Q1209" s="1">
        <v>0.0</v>
      </c>
      <c r="S1209" s="517"/>
      <c r="V1209" s="1">
        <v>0.08</v>
      </c>
      <c r="W1209" s="518">
        <f t="shared" si="1"/>
        <v>0</v>
      </c>
    </row>
    <row r="1210" hidden="1">
      <c r="C1210" s="515"/>
      <c r="G1210" s="1" t="s">
        <v>2439</v>
      </c>
      <c r="I1210" s="516"/>
      <c r="J1210" s="516"/>
      <c r="M1210" s="515"/>
      <c r="N1210" s="516"/>
      <c r="P1210" s="1">
        <v>83.3</v>
      </c>
      <c r="Q1210" s="1">
        <v>0.0</v>
      </c>
      <c r="S1210" s="517"/>
      <c r="V1210" s="1">
        <v>0.08</v>
      </c>
      <c r="W1210" s="518">
        <f t="shared" si="1"/>
        <v>0</v>
      </c>
    </row>
    <row r="1211" hidden="1">
      <c r="C1211" s="515"/>
      <c r="G1211" s="1" t="s">
        <v>2536</v>
      </c>
      <c r="I1211" s="516"/>
      <c r="J1211" s="516"/>
      <c r="M1211" s="515"/>
      <c r="N1211" s="516"/>
      <c r="P1211" s="1">
        <v>166.7</v>
      </c>
      <c r="Q1211" s="1">
        <v>0.0</v>
      </c>
      <c r="S1211" s="517"/>
      <c r="V1211" s="1">
        <v>0.17</v>
      </c>
      <c r="W1211" s="518">
        <f t="shared" si="1"/>
        <v>0</v>
      </c>
    </row>
    <row r="1212" hidden="1">
      <c r="C1212" s="515"/>
      <c r="G1212" s="1" t="s">
        <v>2437</v>
      </c>
      <c r="I1212" s="516"/>
      <c r="J1212" s="516"/>
      <c r="M1212" s="515"/>
      <c r="N1212" s="516"/>
      <c r="P1212" s="1">
        <v>83.3</v>
      </c>
      <c r="Q1212" s="1">
        <v>0.0</v>
      </c>
      <c r="S1212" s="517"/>
      <c r="V1212" s="1">
        <v>0.08</v>
      </c>
      <c r="W1212" s="518">
        <f t="shared" si="1"/>
        <v>0</v>
      </c>
    </row>
    <row r="1213" hidden="1">
      <c r="C1213" s="515"/>
      <c r="G1213" s="1" t="s">
        <v>2591</v>
      </c>
      <c r="I1213" s="516"/>
      <c r="J1213" s="516"/>
      <c r="M1213" s="515"/>
      <c r="N1213" s="516"/>
      <c r="P1213" s="1">
        <v>250.0</v>
      </c>
      <c r="Q1213" s="1">
        <v>0.0</v>
      </c>
      <c r="S1213" s="517"/>
      <c r="V1213" s="1">
        <v>0.25</v>
      </c>
      <c r="W1213" s="518">
        <f t="shared" si="1"/>
        <v>0</v>
      </c>
    </row>
    <row r="1214" hidden="1">
      <c r="C1214" s="515"/>
      <c r="G1214" s="1" t="s">
        <v>2435</v>
      </c>
      <c r="I1214" s="516"/>
      <c r="J1214" s="516"/>
      <c r="M1214" s="515"/>
      <c r="N1214" s="516"/>
      <c r="P1214" s="1">
        <v>83.3</v>
      </c>
      <c r="Q1214" s="1">
        <v>0.0</v>
      </c>
      <c r="S1214" s="517"/>
      <c r="V1214" s="1">
        <v>0.08</v>
      </c>
      <c r="W1214" s="518">
        <f t="shared" si="1"/>
        <v>0</v>
      </c>
    </row>
    <row r="1215" hidden="1">
      <c r="C1215" s="515"/>
      <c r="G1215" s="86" t="s">
        <v>2519</v>
      </c>
      <c r="I1215" s="516"/>
      <c r="J1215" s="516"/>
      <c r="K1215" s="515">
        <v>46022.0</v>
      </c>
      <c r="M1215" s="515"/>
      <c r="N1215" s="516"/>
      <c r="P1215" s="1">
        <v>0.0</v>
      </c>
      <c r="Q1215" s="1" t="s">
        <v>2404</v>
      </c>
      <c r="S1215" s="517"/>
      <c r="V1215" s="1">
        <v>10.0</v>
      </c>
      <c r="W1215" s="518">
        <f t="shared" si="1"/>
        <v>10000</v>
      </c>
    </row>
    <row r="1216" hidden="1">
      <c r="C1216" s="515"/>
      <c r="G1216" s="1" t="s">
        <v>2441</v>
      </c>
      <c r="I1216" s="516"/>
      <c r="J1216" s="516"/>
      <c r="M1216" s="515"/>
      <c r="N1216" s="516"/>
      <c r="P1216" s="1">
        <v>83.3</v>
      </c>
      <c r="Q1216" s="1">
        <v>0.0</v>
      </c>
      <c r="S1216" s="517"/>
      <c r="V1216" s="1">
        <v>0.08</v>
      </c>
      <c r="W1216" s="518">
        <f t="shared" si="1"/>
        <v>0</v>
      </c>
    </row>
    <row r="1217" hidden="1">
      <c r="C1217" s="515"/>
      <c r="G1217" s="1" t="s">
        <v>2444</v>
      </c>
      <c r="I1217" s="516"/>
      <c r="J1217" s="516"/>
      <c r="M1217" s="515"/>
      <c r="N1217" s="516"/>
      <c r="P1217" s="1">
        <v>125.0</v>
      </c>
      <c r="Q1217" s="1">
        <v>0.0</v>
      </c>
      <c r="S1217" s="517"/>
      <c r="V1217" s="1">
        <v>0.13</v>
      </c>
      <c r="W1217" s="518">
        <f t="shared" si="1"/>
        <v>0</v>
      </c>
    </row>
    <row r="1218" hidden="1">
      <c r="C1218" s="515"/>
      <c r="G1218" s="1" t="s">
        <v>2443</v>
      </c>
      <c r="I1218" s="516"/>
      <c r="J1218" s="516"/>
      <c r="M1218" s="515"/>
      <c r="N1218" s="516"/>
      <c r="P1218" s="1">
        <v>833.3</v>
      </c>
      <c r="Q1218" s="1">
        <v>0.0</v>
      </c>
      <c r="S1218" s="517"/>
      <c r="V1218" s="1">
        <v>0.83</v>
      </c>
      <c r="W1218" s="518">
        <f t="shared" si="1"/>
        <v>0</v>
      </c>
    </row>
    <row r="1219" hidden="1">
      <c r="C1219" s="515"/>
      <c r="G1219" s="1" t="s">
        <v>2561</v>
      </c>
      <c r="I1219" s="516"/>
      <c r="J1219" s="516"/>
      <c r="M1219" s="515"/>
      <c r="N1219" s="516"/>
      <c r="P1219" s="1">
        <v>41.7</v>
      </c>
      <c r="Q1219" s="1">
        <v>0.0</v>
      </c>
      <c r="S1219" s="517"/>
      <c r="V1219" s="1">
        <v>0.04</v>
      </c>
      <c r="W1219" s="518">
        <f t="shared" si="1"/>
        <v>0</v>
      </c>
    </row>
    <row r="1220" hidden="1">
      <c r="C1220" s="515"/>
      <c r="G1220" s="1" t="s">
        <v>2558</v>
      </c>
      <c r="I1220" s="516"/>
      <c r="J1220" s="516"/>
      <c r="M1220" s="515"/>
      <c r="N1220" s="516"/>
      <c r="P1220" s="1">
        <v>41.7</v>
      </c>
      <c r="Q1220" s="1">
        <v>0.0</v>
      </c>
      <c r="S1220" s="517"/>
      <c r="V1220" s="1">
        <v>0.04</v>
      </c>
      <c r="W1220" s="518">
        <f t="shared" si="1"/>
        <v>0</v>
      </c>
    </row>
    <row r="1221" hidden="1">
      <c r="C1221" s="515"/>
      <c r="G1221" s="1" t="s">
        <v>2447</v>
      </c>
      <c r="I1221" s="516"/>
      <c r="J1221" s="516"/>
      <c r="M1221" s="515"/>
      <c r="N1221" s="516"/>
      <c r="P1221" s="1">
        <v>83.3</v>
      </c>
      <c r="Q1221" s="1">
        <v>0.0</v>
      </c>
      <c r="S1221" s="517"/>
      <c r="V1221" s="1">
        <v>0.08</v>
      </c>
      <c r="W1221" s="518">
        <f t="shared" si="1"/>
        <v>0</v>
      </c>
    </row>
    <row r="1222" hidden="1">
      <c r="C1222" s="515"/>
      <c r="G1222" s="1" t="s">
        <v>2559</v>
      </c>
      <c r="I1222" s="516"/>
      <c r="J1222" s="516"/>
      <c r="M1222" s="515"/>
      <c r="N1222" s="516"/>
      <c r="P1222" s="1">
        <v>83.3</v>
      </c>
      <c r="Q1222" s="1">
        <v>0.0</v>
      </c>
      <c r="S1222" s="517"/>
      <c r="V1222" s="1">
        <v>0.08</v>
      </c>
      <c r="W1222" s="518">
        <f t="shared" si="1"/>
        <v>0</v>
      </c>
    </row>
    <row r="1223" hidden="1">
      <c r="C1223" s="515"/>
      <c r="G1223" s="1" t="s">
        <v>2445</v>
      </c>
      <c r="I1223" s="516"/>
      <c r="J1223" s="516"/>
      <c r="K1223" s="515">
        <v>46022.0</v>
      </c>
      <c r="M1223" s="515"/>
      <c r="N1223" s="516"/>
      <c r="P1223" s="1">
        <v>166.7</v>
      </c>
      <c r="Q1223" s="1">
        <v>0.0</v>
      </c>
      <c r="S1223" s="517"/>
      <c r="V1223" s="1">
        <v>0.17</v>
      </c>
      <c r="W1223" s="518">
        <f t="shared" si="1"/>
        <v>0</v>
      </c>
    </row>
    <row r="1224" hidden="1">
      <c r="C1224" s="515"/>
      <c r="G1224" s="1" t="s">
        <v>2585</v>
      </c>
      <c r="I1224" s="516"/>
      <c r="J1224" s="516"/>
      <c r="M1224" s="515"/>
      <c r="N1224" s="516"/>
      <c r="P1224" s="1">
        <v>41.7</v>
      </c>
      <c r="Q1224" s="1">
        <v>0.0</v>
      </c>
      <c r="S1224" s="517"/>
      <c r="V1224" s="1">
        <v>0.04</v>
      </c>
      <c r="W1224" s="518">
        <f t="shared" si="1"/>
        <v>0</v>
      </c>
    </row>
    <row r="1225" hidden="1">
      <c r="C1225" s="515"/>
      <c r="G1225" s="1" t="s">
        <v>2449</v>
      </c>
      <c r="I1225" s="516"/>
      <c r="J1225" s="516"/>
      <c r="M1225" s="515"/>
      <c r="N1225" s="516"/>
      <c r="P1225" s="1">
        <v>41.7</v>
      </c>
      <c r="Q1225" s="1">
        <v>0.0</v>
      </c>
      <c r="S1225" s="517"/>
      <c r="V1225" s="1">
        <v>0.04</v>
      </c>
      <c r="W1225" s="518">
        <f t="shared" si="1"/>
        <v>0</v>
      </c>
    </row>
    <row r="1226" hidden="1">
      <c r="C1226" s="515"/>
      <c r="G1226" s="1" t="s">
        <v>2451</v>
      </c>
      <c r="I1226" s="516"/>
      <c r="J1226" s="516"/>
      <c r="M1226" s="515"/>
      <c r="N1226" s="516"/>
      <c r="P1226" s="1">
        <v>41.7</v>
      </c>
      <c r="Q1226" s="1">
        <v>0.0</v>
      </c>
      <c r="S1226" s="517"/>
      <c r="V1226" s="1">
        <v>0.04</v>
      </c>
      <c r="W1226" s="518">
        <f t="shared" si="1"/>
        <v>0</v>
      </c>
    </row>
    <row r="1227" hidden="1">
      <c r="C1227" s="515"/>
      <c r="G1227" s="1" t="s">
        <v>2592</v>
      </c>
      <c r="I1227" s="516"/>
      <c r="J1227" s="516"/>
      <c r="M1227" s="515"/>
      <c r="N1227" s="516"/>
      <c r="P1227" s="1">
        <v>41.7</v>
      </c>
      <c r="Q1227" s="1">
        <v>0.0</v>
      </c>
      <c r="S1227" s="517"/>
      <c r="V1227" s="1">
        <v>0.04</v>
      </c>
      <c r="W1227" s="518">
        <f t="shared" si="1"/>
        <v>0</v>
      </c>
    </row>
    <row r="1228" hidden="1">
      <c r="C1228" s="515"/>
      <c r="G1228" s="1" t="s">
        <v>2518</v>
      </c>
      <c r="I1228" s="516"/>
      <c r="J1228" s="516"/>
      <c r="M1228" s="515"/>
      <c r="N1228" s="516"/>
      <c r="P1228" s="1">
        <v>125.0</v>
      </c>
      <c r="Q1228" s="1">
        <v>0.0</v>
      </c>
      <c r="S1228" s="517"/>
      <c r="V1228" s="1">
        <v>0.13</v>
      </c>
      <c r="W1228" s="518">
        <f t="shared" si="1"/>
        <v>0</v>
      </c>
    </row>
    <row r="1229" hidden="1">
      <c r="C1229" s="515"/>
      <c r="G1229" s="1" t="s">
        <v>2460</v>
      </c>
      <c r="I1229" s="516"/>
      <c r="J1229" s="516"/>
      <c r="M1229" s="515"/>
      <c r="N1229" s="516"/>
      <c r="P1229" s="1">
        <v>833.3</v>
      </c>
      <c r="Q1229" s="1">
        <v>0.0</v>
      </c>
      <c r="S1229" s="517"/>
      <c r="V1229" s="1">
        <v>0.83</v>
      </c>
      <c r="W1229" s="518">
        <f t="shared" si="1"/>
        <v>0</v>
      </c>
    </row>
    <row r="1230" hidden="1">
      <c r="C1230" s="515"/>
      <c r="G1230" s="1" t="s">
        <v>2458</v>
      </c>
      <c r="I1230" s="516"/>
      <c r="J1230" s="516"/>
      <c r="M1230" s="515"/>
      <c r="N1230" s="516"/>
      <c r="P1230" s="1">
        <v>83.3</v>
      </c>
      <c r="Q1230" s="1">
        <v>0.0</v>
      </c>
      <c r="S1230" s="517"/>
      <c r="V1230" s="1">
        <v>0.08</v>
      </c>
      <c r="W1230" s="518">
        <f t="shared" si="1"/>
        <v>0</v>
      </c>
    </row>
    <row r="1231" hidden="1">
      <c r="C1231" s="515"/>
      <c r="G1231" s="1" t="s">
        <v>2540</v>
      </c>
      <c r="I1231" s="516"/>
      <c r="J1231" s="516"/>
      <c r="M1231" s="515"/>
      <c r="N1231" s="516"/>
      <c r="P1231" s="1">
        <v>416.7</v>
      </c>
      <c r="Q1231" s="1">
        <v>0.0</v>
      </c>
      <c r="S1231" s="517"/>
      <c r="V1231" s="1">
        <v>0.42</v>
      </c>
      <c r="W1231" s="518">
        <f t="shared" si="1"/>
        <v>0</v>
      </c>
    </row>
    <row r="1232" hidden="1">
      <c r="C1232" s="515"/>
      <c r="G1232" s="1" t="s">
        <v>2457</v>
      </c>
      <c r="I1232" s="516"/>
      <c r="J1232" s="516"/>
      <c r="M1232" s="515"/>
      <c r="N1232" s="516"/>
      <c r="P1232" s="1">
        <v>500.0</v>
      </c>
      <c r="Q1232" s="1">
        <v>0.0</v>
      </c>
      <c r="S1232" s="517"/>
      <c r="V1232" s="1">
        <v>0.5</v>
      </c>
      <c r="W1232" s="518">
        <f t="shared" si="1"/>
        <v>0</v>
      </c>
    </row>
    <row r="1233" hidden="1">
      <c r="C1233" s="515"/>
      <c r="G1233" s="1" t="s">
        <v>2539</v>
      </c>
      <c r="I1233" s="516"/>
      <c r="J1233" s="516"/>
      <c r="M1233" s="515"/>
      <c r="N1233" s="516"/>
      <c r="P1233" s="1">
        <v>41.7</v>
      </c>
      <c r="Q1233" s="1">
        <v>0.0</v>
      </c>
      <c r="S1233" s="517"/>
      <c r="V1233" s="1">
        <v>0.04</v>
      </c>
      <c r="W1233" s="518">
        <f t="shared" si="1"/>
        <v>0</v>
      </c>
    </row>
    <row r="1234" hidden="1">
      <c r="C1234" s="515"/>
      <c r="G1234" s="1" t="s">
        <v>2456</v>
      </c>
      <c r="I1234" s="516"/>
      <c r="J1234" s="516"/>
      <c r="M1234" s="515"/>
      <c r="N1234" s="516"/>
      <c r="P1234" s="1">
        <v>666.7</v>
      </c>
      <c r="Q1234" s="1">
        <v>0.0</v>
      </c>
      <c r="S1234" s="517"/>
      <c r="V1234" s="1">
        <v>0.67</v>
      </c>
      <c r="W1234" s="518">
        <f t="shared" si="1"/>
        <v>0</v>
      </c>
    </row>
    <row r="1235" hidden="1">
      <c r="C1235" s="515"/>
      <c r="G1235" s="1" t="s">
        <v>2454</v>
      </c>
      <c r="I1235" s="516"/>
      <c r="J1235" s="516"/>
      <c r="M1235" s="515"/>
      <c r="N1235" s="516"/>
      <c r="P1235" s="1">
        <v>83.3</v>
      </c>
      <c r="Q1235" s="1">
        <v>0.0</v>
      </c>
      <c r="S1235" s="517"/>
      <c r="V1235" s="1">
        <v>0.08</v>
      </c>
      <c r="W1235" s="518">
        <f t="shared" si="1"/>
        <v>0</v>
      </c>
    </row>
    <row r="1236" hidden="1">
      <c r="C1236" s="515"/>
      <c r="G1236" s="1" t="s">
        <v>2526</v>
      </c>
      <c r="I1236" s="516"/>
      <c r="J1236" s="516"/>
      <c r="M1236" s="515"/>
      <c r="P1236" s="1">
        <v>83.3</v>
      </c>
      <c r="Q1236" s="1">
        <v>0.0</v>
      </c>
      <c r="S1236" s="517"/>
      <c r="V1236" s="1">
        <v>0.08</v>
      </c>
      <c r="W1236" s="518">
        <f t="shared" si="1"/>
        <v>0</v>
      </c>
    </row>
    <row r="1237" hidden="1">
      <c r="C1237" s="515"/>
      <c r="G1237" s="1" t="s">
        <v>2560</v>
      </c>
      <c r="I1237" s="516"/>
      <c r="J1237" s="516"/>
      <c r="M1237" s="515"/>
      <c r="N1237" s="516"/>
      <c r="P1237" s="1">
        <v>83.3</v>
      </c>
      <c r="Q1237" s="1">
        <v>0.0</v>
      </c>
      <c r="S1237" s="517"/>
      <c r="V1237" s="1">
        <v>0.08</v>
      </c>
      <c r="W1237" s="518">
        <f t="shared" si="1"/>
        <v>0</v>
      </c>
    </row>
    <row r="1238" hidden="1">
      <c r="C1238" s="515"/>
      <c r="G1238" s="1" t="s">
        <v>2462</v>
      </c>
      <c r="I1238" s="516"/>
      <c r="J1238" s="516"/>
      <c r="M1238" s="515"/>
      <c r="N1238" s="516"/>
      <c r="P1238" s="1">
        <v>41.7</v>
      </c>
      <c r="Q1238" s="1">
        <v>0.0</v>
      </c>
      <c r="S1238" s="517"/>
      <c r="V1238" s="1">
        <v>0.04</v>
      </c>
      <c r="W1238" s="518">
        <f t="shared" si="1"/>
        <v>0</v>
      </c>
    </row>
    <row r="1239" hidden="1">
      <c r="C1239" s="515"/>
      <c r="G1239" s="1" t="s">
        <v>2553</v>
      </c>
      <c r="I1239" s="516"/>
      <c r="J1239" s="516"/>
      <c r="P1239" s="1">
        <v>41.7</v>
      </c>
      <c r="Q1239" s="1">
        <v>0.0</v>
      </c>
      <c r="S1239" s="517"/>
      <c r="V1239" s="1">
        <v>0.04</v>
      </c>
      <c r="W1239" s="518">
        <f t="shared" si="1"/>
        <v>0</v>
      </c>
    </row>
    <row r="1240" hidden="1">
      <c r="C1240" s="515"/>
      <c r="G1240" s="1" t="s">
        <v>2461</v>
      </c>
      <c r="I1240" s="516"/>
      <c r="J1240" s="516"/>
      <c r="M1240" s="515"/>
      <c r="N1240" s="516"/>
      <c r="P1240" s="1">
        <v>83.3</v>
      </c>
      <c r="Q1240" s="1">
        <v>0.0</v>
      </c>
      <c r="S1240" s="517"/>
      <c r="V1240" s="1">
        <v>0.08</v>
      </c>
      <c r="W1240" s="518">
        <f t="shared" si="1"/>
        <v>0</v>
      </c>
    </row>
    <row r="1241" hidden="1">
      <c r="C1241" s="515"/>
      <c r="G1241" s="1" t="s">
        <v>2593</v>
      </c>
      <c r="I1241" s="516"/>
      <c r="J1241" s="516"/>
      <c r="K1241" s="515">
        <v>46022.0</v>
      </c>
      <c r="M1241" s="515"/>
      <c r="N1241" s="516"/>
      <c r="P1241" s="1">
        <v>6600.0</v>
      </c>
      <c r="Q1241" s="1">
        <v>0.0</v>
      </c>
      <c r="S1241" s="517"/>
      <c r="V1241" s="1">
        <v>6.6</v>
      </c>
      <c r="W1241" s="518">
        <f t="shared" si="1"/>
        <v>0</v>
      </c>
    </row>
    <row r="1242" hidden="1">
      <c r="C1242" s="515"/>
      <c r="G1242" s="1" t="s">
        <v>2469</v>
      </c>
      <c r="I1242" s="516"/>
      <c r="J1242" s="516"/>
      <c r="P1242" s="1">
        <v>41.7</v>
      </c>
      <c r="Q1242" s="1">
        <v>0.0</v>
      </c>
      <c r="S1242" s="517"/>
      <c r="V1242" s="1">
        <v>0.04</v>
      </c>
      <c r="W1242" s="518">
        <f t="shared" si="1"/>
        <v>0</v>
      </c>
    </row>
    <row r="1243" hidden="1">
      <c r="C1243" s="515"/>
      <c r="G1243" s="1" t="s">
        <v>2521</v>
      </c>
      <c r="I1243" s="516"/>
      <c r="J1243" s="516"/>
      <c r="M1243" s="515"/>
      <c r="N1243" s="516"/>
      <c r="P1243" s="1">
        <v>83.3</v>
      </c>
      <c r="Q1243" s="1">
        <v>0.0</v>
      </c>
      <c r="S1243" s="517"/>
      <c r="V1243" s="1">
        <v>0.08</v>
      </c>
      <c r="W1243" s="518">
        <f t="shared" si="1"/>
        <v>0</v>
      </c>
    </row>
    <row r="1244" hidden="1">
      <c r="C1244" s="515"/>
      <c r="G1244" s="1" t="s">
        <v>2468</v>
      </c>
      <c r="I1244" s="516"/>
      <c r="J1244" s="516"/>
      <c r="M1244" s="515"/>
      <c r="N1244" s="516"/>
      <c r="P1244" s="1">
        <v>41.7</v>
      </c>
      <c r="Q1244" s="1">
        <v>0.0</v>
      </c>
      <c r="S1244" s="517"/>
      <c r="V1244" s="1">
        <v>0.04</v>
      </c>
      <c r="W1244" s="518">
        <f t="shared" si="1"/>
        <v>0</v>
      </c>
    </row>
    <row r="1245" hidden="1">
      <c r="C1245" s="515"/>
      <c r="G1245" s="1" t="s">
        <v>2466</v>
      </c>
      <c r="I1245" s="516"/>
      <c r="J1245" s="516"/>
      <c r="M1245" s="515"/>
      <c r="N1245" s="516"/>
      <c r="P1245" s="1">
        <v>208.3</v>
      </c>
      <c r="Q1245" s="1">
        <v>0.0</v>
      </c>
      <c r="S1245" s="517"/>
      <c r="V1245" s="1">
        <v>0.21</v>
      </c>
      <c r="W1245" s="518">
        <f t="shared" si="1"/>
        <v>0</v>
      </c>
    </row>
    <row r="1246" hidden="1">
      <c r="C1246" s="515"/>
      <c r="G1246" s="1" t="s">
        <v>2465</v>
      </c>
      <c r="I1246" s="516"/>
      <c r="J1246" s="516"/>
      <c r="M1246" s="515"/>
      <c r="N1246" s="516"/>
      <c r="P1246" s="1">
        <v>166.7</v>
      </c>
      <c r="Q1246" s="1">
        <v>0.0</v>
      </c>
      <c r="S1246" s="517"/>
      <c r="V1246" s="1">
        <v>0.17</v>
      </c>
      <c r="W1246" s="518">
        <f t="shared" si="1"/>
        <v>0</v>
      </c>
    </row>
    <row r="1247" hidden="1">
      <c r="C1247" s="515"/>
      <c r="G1247" s="1" t="s">
        <v>2463</v>
      </c>
      <c r="I1247" s="516"/>
      <c r="J1247" s="516"/>
      <c r="M1247" s="515"/>
      <c r="N1247" s="516"/>
      <c r="P1247" s="1">
        <v>83.3</v>
      </c>
      <c r="Q1247" s="1">
        <v>0.0</v>
      </c>
      <c r="S1247" s="517"/>
      <c r="V1247" s="1">
        <v>0.08</v>
      </c>
      <c r="W1247" s="518">
        <f t="shared" si="1"/>
        <v>0</v>
      </c>
    </row>
    <row r="1248" hidden="1">
      <c r="C1248" s="515"/>
      <c r="G1248" s="1" t="s">
        <v>2542</v>
      </c>
      <c r="I1248" s="516"/>
      <c r="J1248" s="516"/>
      <c r="M1248" s="515"/>
      <c r="N1248" s="516"/>
      <c r="P1248" s="1">
        <v>83.3</v>
      </c>
      <c r="Q1248" s="1">
        <v>0.0</v>
      </c>
      <c r="S1248" s="517"/>
      <c r="V1248" s="1">
        <v>0.08</v>
      </c>
      <c r="W1248" s="518">
        <f t="shared" si="1"/>
        <v>0</v>
      </c>
    </row>
    <row r="1249" hidden="1">
      <c r="C1249" s="515"/>
      <c r="G1249" s="1" t="s">
        <v>2473</v>
      </c>
      <c r="I1249" s="516"/>
      <c r="J1249" s="516"/>
      <c r="M1249" s="515"/>
      <c r="N1249" s="516"/>
      <c r="P1249" s="1">
        <v>83.3</v>
      </c>
      <c r="Q1249" s="1">
        <v>0.0</v>
      </c>
      <c r="S1249" s="517"/>
      <c r="V1249" s="1">
        <v>0.08</v>
      </c>
      <c r="W1249" s="518">
        <f t="shared" si="1"/>
        <v>0</v>
      </c>
    </row>
    <row r="1250" hidden="1">
      <c r="C1250" s="515"/>
      <c r="G1250" s="1" t="s">
        <v>2472</v>
      </c>
      <c r="I1250" s="516"/>
      <c r="J1250" s="516"/>
      <c r="M1250" s="515"/>
      <c r="N1250" s="516"/>
      <c r="P1250" s="1">
        <v>83.3</v>
      </c>
      <c r="Q1250" s="1">
        <v>0.0</v>
      </c>
      <c r="S1250" s="517"/>
      <c r="V1250" s="1">
        <v>0.08</v>
      </c>
      <c r="W1250" s="518">
        <f t="shared" si="1"/>
        <v>0</v>
      </c>
    </row>
    <row r="1251" hidden="1">
      <c r="C1251" s="515"/>
      <c r="G1251" s="1" t="s">
        <v>2471</v>
      </c>
      <c r="I1251" s="516"/>
      <c r="J1251" s="516"/>
      <c r="M1251" s="515"/>
      <c r="N1251" s="516"/>
      <c r="P1251" s="1">
        <v>41.7</v>
      </c>
      <c r="Q1251" s="1">
        <v>0.0</v>
      </c>
      <c r="S1251" s="517"/>
      <c r="V1251" s="1">
        <v>0.04</v>
      </c>
      <c r="W1251" s="518">
        <f t="shared" si="1"/>
        <v>0</v>
      </c>
    </row>
    <row r="1252" hidden="1">
      <c r="C1252" s="515"/>
      <c r="G1252" s="1" t="s">
        <v>2470</v>
      </c>
      <c r="I1252" s="516"/>
      <c r="J1252" s="516"/>
      <c r="M1252" s="515"/>
      <c r="N1252" s="516"/>
      <c r="P1252" s="1">
        <v>333.3</v>
      </c>
      <c r="Q1252" s="1">
        <v>0.0</v>
      </c>
      <c r="S1252" s="517"/>
      <c r="V1252" s="1">
        <v>0.33</v>
      </c>
      <c r="W1252" s="518">
        <f t="shared" si="1"/>
        <v>0</v>
      </c>
    </row>
    <row r="1253" hidden="1">
      <c r="C1253" s="515"/>
      <c r="G1253" s="1" t="s">
        <v>2474</v>
      </c>
      <c r="I1253" s="516"/>
      <c r="J1253" s="516"/>
      <c r="M1253" s="515"/>
      <c r="N1253" s="516"/>
      <c r="P1253" s="1">
        <v>333.3</v>
      </c>
      <c r="Q1253" s="1">
        <v>0.0</v>
      </c>
      <c r="S1253" s="517"/>
      <c r="V1253" s="1">
        <v>0.33</v>
      </c>
      <c r="W1253" s="518">
        <f t="shared" si="1"/>
        <v>0</v>
      </c>
    </row>
    <row r="1254" hidden="1">
      <c r="C1254" s="515"/>
      <c r="G1254" s="1" t="s">
        <v>2479</v>
      </c>
      <c r="I1254" s="516"/>
      <c r="J1254" s="516"/>
      <c r="M1254" s="515"/>
      <c r="N1254" s="516"/>
      <c r="P1254" s="1">
        <v>416.7</v>
      </c>
      <c r="Q1254" s="1">
        <v>0.0</v>
      </c>
      <c r="S1254" s="517"/>
      <c r="V1254" s="1">
        <v>0.42</v>
      </c>
      <c r="W1254" s="518">
        <f t="shared" si="1"/>
        <v>0</v>
      </c>
    </row>
    <row r="1255" hidden="1">
      <c r="C1255" s="515"/>
      <c r="G1255" s="1" t="s">
        <v>2588</v>
      </c>
      <c r="I1255" s="516"/>
      <c r="J1255" s="516"/>
      <c r="M1255" s="515"/>
      <c r="N1255" s="516"/>
      <c r="P1255" s="1">
        <v>0.0</v>
      </c>
      <c r="Q1255" s="1" t="s">
        <v>2404</v>
      </c>
      <c r="S1255" s="517"/>
      <c r="V1255" s="1">
        <v>8.33</v>
      </c>
      <c r="W1255" s="518">
        <f t="shared" si="1"/>
        <v>8330</v>
      </c>
    </row>
    <row r="1256" hidden="1">
      <c r="C1256" s="515"/>
      <c r="G1256" s="1" t="s">
        <v>2594</v>
      </c>
      <c r="I1256" s="516"/>
      <c r="J1256" s="516"/>
      <c r="M1256" s="515"/>
      <c r="N1256" s="516"/>
      <c r="P1256" s="1">
        <v>2000.0</v>
      </c>
      <c r="Q1256" s="1">
        <v>0.0</v>
      </c>
      <c r="S1256" s="517"/>
      <c r="V1256" s="1">
        <v>2.0</v>
      </c>
      <c r="W1256" s="518">
        <f t="shared" si="1"/>
        <v>0</v>
      </c>
    </row>
    <row r="1257" hidden="1">
      <c r="C1257" s="515"/>
      <c r="G1257" s="1" t="s">
        <v>2478</v>
      </c>
      <c r="I1257" s="516"/>
      <c r="J1257" s="516"/>
      <c r="M1257" s="515"/>
      <c r="N1257" s="516"/>
      <c r="P1257" s="1">
        <v>83.3</v>
      </c>
      <c r="Q1257" s="1">
        <v>0.0</v>
      </c>
      <c r="S1257" s="517"/>
      <c r="V1257" s="1">
        <v>0.08</v>
      </c>
      <c r="W1257" s="518">
        <f t="shared" si="1"/>
        <v>0</v>
      </c>
    </row>
    <row r="1258" hidden="1">
      <c r="C1258" s="515"/>
      <c r="G1258" s="1" t="s">
        <v>2573</v>
      </c>
      <c r="I1258" s="516"/>
      <c r="J1258" s="516"/>
      <c r="K1258" s="515">
        <v>46022.0</v>
      </c>
      <c r="M1258" s="515"/>
      <c r="N1258" s="516"/>
      <c r="P1258" s="1">
        <v>1000.0</v>
      </c>
      <c r="Q1258" s="1">
        <v>34000.0</v>
      </c>
      <c r="S1258" s="517"/>
      <c r="V1258" s="1">
        <v>35.0</v>
      </c>
      <c r="W1258" s="518">
        <f t="shared" si="1"/>
        <v>34000</v>
      </c>
    </row>
    <row r="1259" hidden="1">
      <c r="C1259" s="515"/>
      <c r="G1259" s="1" t="s">
        <v>2486</v>
      </c>
      <c r="I1259" s="516"/>
      <c r="J1259" s="516"/>
      <c r="M1259" s="515"/>
      <c r="N1259" s="516"/>
      <c r="P1259" s="1">
        <v>83.3</v>
      </c>
      <c r="Q1259" s="1">
        <v>0.0</v>
      </c>
      <c r="S1259" s="517"/>
      <c r="V1259" s="1">
        <v>0.08</v>
      </c>
      <c r="W1259" s="518">
        <f t="shared" si="1"/>
        <v>0</v>
      </c>
    </row>
    <row r="1260" hidden="1">
      <c r="C1260" s="515"/>
      <c r="G1260" s="1" t="s">
        <v>2484</v>
      </c>
      <c r="I1260" s="516"/>
      <c r="J1260" s="516"/>
      <c r="M1260" s="515"/>
      <c r="N1260" s="516"/>
      <c r="P1260" s="1">
        <v>500.0</v>
      </c>
      <c r="Q1260" s="1">
        <v>0.0</v>
      </c>
      <c r="S1260" s="517"/>
      <c r="V1260" s="1">
        <v>0.5</v>
      </c>
      <c r="W1260" s="518">
        <f t="shared" si="1"/>
        <v>0</v>
      </c>
    </row>
    <row r="1261" hidden="1">
      <c r="C1261" s="515"/>
      <c r="G1261" s="1" t="s">
        <v>2483</v>
      </c>
      <c r="I1261" s="516"/>
      <c r="J1261" s="516"/>
      <c r="M1261" s="515"/>
      <c r="N1261" s="516"/>
      <c r="P1261" s="1">
        <v>708.3</v>
      </c>
      <c r="Q1261" s="1">
        <v>0.0</v>
      </c>
      <c r="S1261" s="517"/>
      <c r="V1261" s="1">
        <v>0.71</v>
      </c>
      <c r="W1261" s="518">
        <f t="shared" si="1"/>
        <v>0</v>
      </c>
    </row>
    <row r="1262" hidden="1">
      <c r="C1262" s="515"/>
      <c r="G1262" s="1" t="s">
        <v>2482</v>
      </c>
      <c r="I1262" s="516"/>
      <c r="J1262" s="516"/>
      <c r="M1262" s="515"/>
      <c r="N1262" s="516"/>
      <c r="P1262" s="1">
        <v>41.7</v>
      </c>
      <c r="Q1262" s="1">
        <v>0.0</v>
      </c>
      <c r="S1262" s="517"/>
      <c r="V1262" s="1">
        <v>0.04</v>
      </c>
      <c r="W1262" s="518">
        <f t="shared" si="1"/>
        <v>0</v>
      </c>
    </row>
    <row r="1263" hidden="1">
      <c r="C1263" s="515"/>
      <c r="G1263" s="1" t="s">
        <v>2545</v>
      </c>
      <c r="I1263" s="516"/>
      <c r="J1263" s="516"/>
      <c r="M1263" s="515"/>
      <c r="N1263" s="516"/>
      <c r="P1263" s="1">
        <v>41.7</v>
      </c>
      <c r="Q1263" s="1">
        <v>0.0</v>
      </c>
      <c r="S1263" s="517"/>
      <c r="V1263" s="1">
        <v>0.04</v>
      </c>
      <c r="W1263" s="518">
        <f t="shared" si="1"/>
        <v>0</v>
      </c>
    </row>
    <row r="1264" hidden="1">
      <c r="C1264" s="515"/>
      <c r="G1264" s="1" t="s">
        <v>2491</v>
      </c>
      <c r="I1264" s="516"/>
      <c r="J1264" s="516"/>
      <c r="M1264" s="515"/>
      <c r="N1264" s="516"/>
      <c r="P1264" s="1">
        <v>41.7</v>
      </c>
      <c r="Q1264" s="1">
        <v>0.0</v>
      </c>
      <c r="S1264" s="517"/>
      <c r="V1264" s="1">
        <v>0.04</v>
      </c>
      <c r="W1264" s="518">
        <f t="shared" si="1"/>
        <v>0</v>
      </c>
    </row>
    <row r="1265" hidden="1">
      <c r="C1265" s="515"/>
      <c r="G1265" s="1" t="s">
        <v>2490</v>
      </c>
      <c r="I1265" s="516"/>
      <c r="J1265" s="516"/>
      <c r="M1265" s="515"/>
      <c r="N1265" s="516"/>
      <c r="P1265" s="1">
        <v>41.7</v>
      </c>
      <c r="Q1265" s="1">
        <v>0.0</v>
      </c>
      <c r="S1265" s="517"/>
      <c r="V1265" s="1">
        <v>0.04</v>
      </c>
      <c r="W1265" s="518">
        <f t="shared" si="1"/>
        <v>0</v>
      </c>
    </row>
    <row r="1266" hidden="1">
      <c r="C1266" s="515"/>
      <c r="G1266" s="1" t="s">
        <v>2489</v>
      </c>
      <c r="I1266" s="516"/>
      <c r="J1266" s="516"/>
      <c r="M1266" s="515"/>
      <c r="N1266" s="516"/>
      <c r="P1266" s="1">
        <v>83.3</v>
      </c>
      <c r="Q1266" s="1">
        <v>0.0</v>
      </c>
      <c r="S1266" s="517"/>
      <c r="V1266" s="1">
        <v>0.08</v>
      </c>
      <c r="W1266" s="518">
        <f t="shared" si="1"/>
        <v>0</v>
      </c>
    </row>
    <row r="1267" hidden="1">
      <c r="C1267" s="515"/>
      <c r="G1267" s="1" t="s">
        <v>2493</v>
      </c>
      <c r="I1267" s="516"/>
      <c r="J1267" s="516"/>
      <c r="M1267" s="515"/>
      <c r="N1267" s="516"/>
      <c r="P1267" s="1">
        <v>166.7</v>
      </c>
      <c r="Q1267" s="1">
        <v>0.0</v>
      </c>
      <c r="S1267" s="517"/>
      <c r="V1267" s="1">
        <v>0.17</v>
      </c>
      <c r="W1267" s="518">
        <f t="shared" si="1"/>
        <v>0</v>
      </c>
    </row>
    <row r="1268" hidden="1">
      <c r="C1268" s="515"/>
      <c r="G1268" s="1" t="s">
        <v>2492</v>
      </c>
      <c r="I1268" s="516"/>
      <c r="J1268" s="516"/>
      <c r="M1268" s="515"/>
      <c r="N1268" s="516"/>
      <c r="P1268" s="1">
        <v>1000.0</v>
      </c>
      <c r="Q1268" s="1">
        <v>0.0</v>
      </c>
      <c r="S1268" s="517"/>
      <c r="V1268" s="1">
        <v>1.0</v>
      </c>
      <c r="W1268" s="518">
        <f t="shared" si="1"/>
        <v>0</v>
      </c>
    </row>
    <row r="1269" hidden="1">
      <c r="C1269" s="515"/>
      <c r="G1269" s="1" t="s">
        <v>2547</v>
      </c>
      <c r="I1269" s="516"/>
      <c r="J1269" s="516"/>
      <c r="M1269" s="515"/>
      <c r="N1269" s="516"/>
      <c r="P1269" s="1">
        <v>166.7</v>
      </c>
      <c r="Q1269" s="1">
        <v>0.0</v>
      </c>
      <c r="S1269" s="517"/>
      <c r="V1269" s="1">
        <v>0.17</v>
      </c>
      <c r="W1269" s="518">
        <f t="shared" si="1"/>
        <v>0</v>
      </c>
    </row>
    <row r="1270" hidden="1">
      <c r="C1270" s="515"/>
      <c r="G1270" s="1" t="s">
        <v>2498</v>
      </c>
      <c r="I1270" s="516"/>
      <c r="J1270" s="516"/>
      <c r="M1270" s="515"/>
      <c r="N1270" s="516"/>
      <c r="P1270" s="1">
        <v>183.3</v>
      </c>
      <c r="Q1270" s="1">
        <v>0.0</v>
      </c>
      <c r="S1270" s="517"/>
      <c r="V1270" s="1">
        <v>0.18</v>
      </c>
      <c r="W1270" s="518">
        <f t="shared" si="1"/>
        <v>0</v>
      </c>
    </row>
    <row r="1271" hidden="1">
      <c r="C1271" s="515"/>
      <c r="G1271" s="1" t="s">
        <v>2497</v>
      </c>
      <c r="I1271" s="516"/>
      <c r="J1271" s="516"/>
      <c r="M1271" s="515"/>
      <c r="N1271" s="516"/>
      <c r="P1271" s="1">
        <v>2000.0</v>
      </c>
      <c r="Q1271" s="1">
        <v>0.0</v>
      </c>
      <c r="S1271" s="517"/>
      <c r="V1271" s="1">
        <v>2.0</v>
      </c>
      <c r="W1271" s="518">
        <f t="shared" si="1"/>
        <v>0</v>
      </c>
    </row>
    <row r="1272" hidden="1">
      <c r="C1272" s="515"/>
      <c r="G1272" s="1" t="s">
        <v>2565</v>
      </c>
      <c r="I1272" s="516"/>
      <c r="J1272" s="516"/>
      <c r="M1272" s="515"/>
      <c r="N1272" s="516"/>
      <c r="P1272" s="1">
        <v>83.3</v>
      </c>
      <c r="Q1272" s="1">
        <v>0.0</v>
      </c>
      <c r="S1272" s="517"/>
      <c r="V1272" s="1">
        <v>0.08</v>
      </c>
      <c r="W1272" s="518">
        <f t="shared" si="1"/>
        <v>0</v>
      </c>
    </row>
    <row r="1273" hidden="1">
      <c r="C1273" s="515"/>
      <c r="G1273" s="1" t="s">
        <v>2563</v>
      </c>
      <c r="I1273" s="516"/>
      <c r="J1273" s="516"/>
      <c r="M1273" s="515"/>
      <c r="N1273" s="516"/>
      <c r="P1273" s="1">
        <v>125.0</v>
      </c>
      <c r="Q1273" s="1">
        <v>0.0</v>
      </c>
      <c r="S1273" s="517"/>
      <c r="V1273" s="1">
        <v>0.13</v>
      </c>
      <c r="W1273" s="518">
        <f t="shared" si="1"/>
        <v>0</v>
      </c>
    </row>
    <row r="1274" hidden="1">
      <c r="C1274" s="515"/>
      <c r="G1274" s="1" t="s">
        <v>2495</v>
      </c>
      <c r="I1274" s="516"/>
      <c r="J1274" s="516"/>
      <c r="M1274" s="515"/>
      <c r="N1274" s="516"/>
      <c r="P1274" s="1">
        <v>83.3</v>
      </c>
      <c r="Q1274" s="1">
        <v>0.0</v>
      </c>
      <c r="S1274" s="517"/>
      <c r="V1274" s="1">
        <v>0.08</v>
      </c>
      <c r="W1274" s="518">
        <f t="shared" si="1"/>
        <v>0</v>
      </c>
    </row>
    <row r="1275" hidden="1">
      <c r="C1275" s="515"/>
      <c r="G1275" s="1" t="s">
        <v>2504</v>
      </c>
      <c r="I1275" s="516"/>
      <c r="J1275" s="516"/>
      <c r="M1275" s="515"/>
      <c r="N1275" s="516"/>
      <c r="P1275" s="1">
        <v>41.7</v>
      </c>
      <c r="Q1275" s="1">
        <v>0.0</v>
      </c>
      <c r="S1275" s="517"/>
      <c r="V1275" s="1">
        <v>0.04</v>
      </c>
      <c r="W1275" s="518">
        <f t="shared" si="1"/>
        <v>0</v>
      </c>
    </row>
    <row r="1276" hidden="1">
      <c r="C1276" s="515"/>
      <c r="G1276" s="86" t="s">
        <v>2584</v>
      </c>
      <c r="I1276" s="516"/>
      <c r="J1276" s="516"/>
      <c r="M1276" s="515"/>
      <c r="N1276" s="516"/>
      <c r="P1276" s="1">
        <v>1666.7</v>
      </c>
      <c r="Q1276" s="1">
        <v>0.0</v>
      </c>
      <c r="S1276" s="517"/>
      <c r="V1276" s="1">
        <v>1.67</v>
      </c>
      <c r="W1276" s="518">
        <f t="shared" si="1"/>
        <v>0</v>
      </c>
    </row>
    <row r="1277" hidden="1">
      <c r="C1277" s="515"/>
      <c r="G1277" s="1" t="s">
        <v>2502</v>
      </c>
      <c r="I1277" s="516"/>
      <c r="J1277" s="516"/>
      <c r="M1277" s="515"/>
      <c r="N1277" s="516"/>
      <c r="P1277" s="1">
        <v>41.7</v>
      </c>
      <c r="Q1277" s="1">
        <v>0.0</v>
      </c>
      <c r="S1277" s="517"/>
      <c r="V1277" s="1">
        <v>0.04</v>
      </c>
      <c r="W1277" s="518">
        <f t="shared" si="1"/>
        <v>0</v>
      </c>
    </row>
    <row r="1278" hidden="1">
      <c r="C1278" s="515"/>
      <c r="G1278" s="1" t="s">
        <v>2501</v>
      </c>
      <c r="I1278" s="516"/>
      <c r="J1278" s="516"/>
      <c r="M1278" s="515"/>
      <c r="N1278" s="516"/>
      <c r="P1278" s="1">
        <v>83.3</v>
      </c>
      <c r="Q1278" s="1">
        <v>0.0</v>
      </c>
      <c r="S1278" s="517"/>
      <c r="V1278" s="1">
        <v>0.08</v>
      </c>
      <c r="W1278" s="518">
        <f t="shared" si="1"/>
        <v>0</v>
      </c>
    </row>
    <row r="1279" hidden="1">
      <c r="C1279" s="515"/>
      <c r="G1279" s="1" t="s">
        <v>2500</v>
      </c>
      <c r="I1279" s="516"/>
      <c r="J1279" s="516"/>
      <c r="M1279" s="515"/>
      <c r="N1279" s="516"/>
      <c r="P1279" s="1">
        <v>41.7</v>
      </c>
      <c r="Q1279" s="1">
        <v>0.0</v>
      </c>
      <c r="S1279" s="517"/>
      <c r="V1279" s="1">
        <v>0.04</v>
      </c>
      <c r="W1279" s="518">
        <f t="shared" si="1"/>
        <v>0</v>
      </c>
    </row>
    <row r="1280" hidden="1">
      <c r="C1280" s="515"/>
      <c r="G1280" s="1" t="s">
        <v>2505</v>
      </c>
      <c r="I1280" s="516"/>
      <c r="J1280" s="516"/>
      <c r="M1280" s="515"/>
      <c r="N1280" s="516"/>
      <c r="P1280" s="1">
        <v>125.0</v>
      </c>
      <c r="Q1280" s="1">
        <v>0.0</v>
      </c>
      <c r="S1280" s="517"/>
      <c r="V1280" s="1">
        <v>0.13</v>
      </c>
      <c r="W1280" s="518">
        <f t="shared" si="1"/>
        <v>0</v>
      </c>
    </row>
    <row r="1281" hidden="1">
      <c r="C1281" s="515"/>
      <c r="G1281" s="1" t="s">
        <v>2575</v>
      </c>
      <c r="I1281" s="516"/>
      <c r="J1281" s="516"/>
      <c r="M1281" s="515"/>
      <c r="N1281" s="516"/>
      <c r="P1281" s="1">
        <v>83.3</v>
      </c>
      <c r="Q1281" s="1">
        <v>0.0</v>
      </c>
      <c r="S1281" s="517"/>
      <c r="V1281" s="1">
        <v>0.08</v>
      </c>
      <c r="W1281" s="518">
        <f t="shared" si="1"/>
        <v>0</v>
      </c>
    </row>
    <row r="1282" hidden="1">
      <c r="C1282" s="515"/>
      <c r="G1282" s="1" t="s">
        <v>2511</v>
      </c>
      <c r="I1282" s="516"/>
      <c r="J1282" s="516"/>
      <c r="M1282" s="515"/>
      <c r="N1282" s="516"/>
      <c r="P1282" s="1">
        <v>41.7</v>
      </c>
      <c r="Q1282" s="1">
        <v>0.0</v>
      </c>
      <c r="S1282" s="517"/>
      <c r="V1282" s="1">
        <v>0.04</v>
      </c>
      <c r="W1282" s="518">
        <f t="shared" si="1"/>
        <v>0</v>
      </c>
    </row>
    <row r="1283" hidden="1">
      <c r="C1283" s="515"/>
      <c r="G1283" s="1" t="s">
        <v>2510</v>
      </c>
      <c r="I1283" s="516"/>
      <c r="J1283" s="516"/>
      <c r="M1283" s="515"/>
      <c r="N1283" s="516"/>
      <c r="P1283" s="1">
        <v>83.3</v>
      </c>
      <c r="Q1283" s="1">
        <v>0.0</v>
      </c>
      <c r="S1283" s="517"/>
      <c r="V1283" s="1">
        <v>0.08</v>
      </c>
      <c r="W1283" s="518">
        <f t="shared" si="1"/>
        <v>0</v>
      </c>
    </row>
    <row r="1284" hidden="1">
      <c r="C1284" s="515"/>
      <c r="G1284" s="1" t="s">
        <v>2406</v>
      </c>
      <c r="I1284" s="516"/>
      <c r="J1284" s="516"/>
      <c r="M1284" s="515"/>
      <c r="N1284" s="516"/>
      <c r="P1284" s="1">
        <v>166.7</v>
      </c>
      <c r="Q1284" s="1">
        <v>0.0</v>
      </c>
      <c r="S1284" s="517"/>
      <c r="V1284" s="1">
        <v>0.17</v>
      </c>
      <c r="W1284" s="518">
        <f t="shared" si="1"/>
        <v>0</v>
      </c>
    </row>
    <row r="1285" hidden="1">
      <c r="C1285" s="515"/>
      <c r="G1285" s="1" t="s">
        <v>2405</v>
      </c>
      <c r="I1285" s="516"/>
      <c r="J1285" s="516"/>
      <c r="M1285" s="515"/>
      <c r="N1285" s="516"/>
      <c r="P1285" s="1">
        <v>166.7</v>
      </c>
      <c r="Q1285" s="1">
        <v>0.0</v>
      </c>
      <c r="S1285" s="517"/>
      <c r="V1285" s="1">
        <v>0.17</v>
      </c>
      <c r="W1285" s="518">
        <f t="shared" si="1"/>
        <v>0</v>
      </c>
    </row>
    <row r="1286" hidden="1">
      <c r="C1286" s="515"/>
      <c r="G1286" s="1" t="s">
        <v>2413</v>
      </c>
      <c r="I1286" s="516"/>
      <c r="J1286" s="516"/>
      <c r="M1286" s="515"/>
      <c r="N1286" s="516"/>
      <c r="P1286" s="1">
        <v>83.3</v>
      </c>
      <c r="Q1286" s="1">
        <v>0.0</v>
      </c>
      <c r="S1286" s="517"/>
      <c r="V1286" s="1">
        <v>0.08</v>
      </c>
      <c r="W1286" s="518">
        <f t="shared" si="1"/>
        <v>0</v>
      </c>
    </row>
    <row r="1287" hidden="1">
      <c r="C1287" s="515"/>
      <c r="G1287" s="1" t="s">
        <v>2412</v>
      </c>
      <c r="I1287" s="516"/>
      <c r="J1287" s="516"/>
      <c r="M1287" s="515"/>
      <c r="N1287" s="516"/>
      <c r="P1287" s="1">
        <v>4000.0</v>
      </c>
      <c r="Q1287" s="1">
        <v>0.0</v>
      </c>
      <c r="S1287" s="517"/>
      <c r="V1287" s="1">
        <v>4.0</v>
      </c>
      <c r="W1287" s="518">
        <f t="shared" si="1"/>
        <v>0</v>
      </c>
    </row>
    <row r="1288" hidden="1">
      <c r="C1288" s="515"/>
      <c r="G1288" s="1" t="s">
        <v>2549</v>
      </c>
      <c r="I1288" s="516"/>
      <c r="J1288" s="516"/>
      <c r="M1288" s="515"/>
      <c r="N1288" s="516"/>
      <c r="P1288" s="1">
        <v>83.3</v>
      </c>
      <c r="Q1288" s="1">
        <v>0.0</v>
      </c>
      <c r="S1288" s="517"/>
      <c r="V1288" s="1">
        <v>0.08</v>
      </c>
      <c r="W1288" s="518">
        <f t="shared" si="1"/>
        <v>0</v>
      </c>
    </row>
    <row r="1289" hidden="1">
      <c r="C1289" s="515"/>
      <c r="G1289" s="1" t="s">
        <v>2410</v>
      </c>
      <c r="I1289" s="516"/>
      <c r="J1289" s="516"/>
      <c r="M1289" s="515"/>
      <c r="N1289" s="516"/>
      <c r="P1289" s="1">
        <v>83.3</v>
      </c>
      <c r="Q1289" s="1">
        <v>0.0</v>
      </c>
      <c r="S1289" s="517"/>
      <c r="V1289" s="1">
        <v>0.08</v>
      </c>
      <c r="W1289" s="518">
        <f t="shared" si="1"/>
        <v>0</v>
      </c>
    </row>
    <row r="1290" hidden="1">
      <c r="C1290" s="515"/>
      <c r="G1290" s="1" t="s">
        <v>2409</v>
      </c>
      <c r="I1290" s="516"/>
      <c r="J1290" s="516"/>
      <c r="M1290" s="515"/>
      <c r="N1290" s="516"/>
      <c r="P1290" s="1">
        <v>208.3</v>
      </c>
      <c r="Q1290" s="1">
        <v>0.0</v>
      </c>
      <c r="S1290" s="517"/>
      <c r="V1290" s="1">
        <v>0.21</v>
      </c>
      <c r="W1290" s="518">
        <f t="shared" si="1"/>
        <v>0</v>
      </c>
    </row>
    <row r="1291" hidden="1">
      <c r="C1291" s="515"/>
      <c r="G1291" s="1" t="s">
        <v>2408</v>
      </c>
      <c r="I1291" s="516"/>
      <c r="J1291" s="516"/>
      <c r="M1291" s="515"/>
      <c r="N1291" s="516"/>
      <c r="P1291" s="1">
        <v>41.7</v>
      </c>
      <c r="Q1291" s="1">
        <v>0.0</v>
      </c>
      <c r="S1291" s="517"/>
      <c r="V1291" s="1">
        <v>0.04</v>
      </c>
      <c r="W1291" s="518">
        <f t="shared" si="1"/>
        <v>0</v>
      </c>
    </row>
    <row r="1292" hidden="1">
      <c r="C1292" s="515"/>
      <c r="G1292" s="1" t="s">
        <v>2407</v>
      </c>
      <c r="I1292" s="516"/>
      <c r="J1292" s="516"/>
      <c r="M1292" s="515"/>
      <c r="N1292" s="516"/>
      <c r="P1292" s="1">
        <v>416.7</v>
      </c>
      <c r="Q1292" s="1">
        <v>0.0</v>
      </c>
      <c r="S1292" s="517"/>
      <c r="V1292" s="1">
        <v>0.42</v>
      </c>
      <c r="W1292" s="518">
        <f t="shared" si="1"/>
        <v>0</v>
      </c>
    </row>
    <row r="1293" hidden="1">
      <c r="C1293" s="515"/>
      <c r="G1293" s="1" t="s">
        <v>2453</v>
      </c>
      <c r="I1293" s="516"/>
      <c r="J1293" s="516"/>
      <c r="M1293" s="515"/>
      <c r="N1293" s="516"/>
      <c r="P1293" s="1">
        <v>83.3</v>
      </c>
      <c r="Q1293" s="1">
        <v>0.0</v>
      </c>
      <c r="S1293" s="517"/>
      <c r="V1293" s="1">
        <v>0.08</v>
      </c>
      <c r="W1293" s="518">
        <f t="shared" si="1"/>
        <v>0</v>
      </c>
    </row>
    <row r="1294" hidden="1">
      <c r="C1294" s="515"/>
      <c r="G1294" s="1" t="s">
        <v>2555</v>
      </c>
      <c r="I1294" s="516"/>
      <c r="J1294" s="516"/>
      <c r="M1294" s="515"/>
      <c r="N1294" s="516"/>
      <c r="P1294" s="1">
        <v>83.3</v>
      </c>
      <c r="Q1294" s="1">
        <v>0.0</v>
      </c>
      <c r="S1294" s="517"/>
      <c r="V1294" s="1">
        <v>0.08</v>
      </c>
      <c r="W1294" s="518">
        <f t="shared" si="1"/>
        <v>0</v>
      </c>
    </row>
    <row r="1295" hidden="1">
      <c r="C1295" s="515"/>
      <c r="G1295" s="1" t="s">
        <v>2415</v>
      </c>
      <c r="I1295" s="516"/>
      <c r="J1295" s="516"/>
      <c r="M1295" s="515"/>
      <c r="N1295" s="516"/>
      <c r="P1295" s="1">
        <v>333.3</v>
      </c>
      <c r="Q1295" s="1">
        <v>0.0</v>
      </c>
      <c r="S1295" s="517"/>
      <c r="V1295" s="1">
        <v>0.33</v>
      </c>
      <c r="W1295" s="518">
        <f t="shared" si="1"/>
        <v>0</v>
      </c>
    </row>
    <row r="1296" hidden="1">
      <c r="C1296" s="515"/>
      <c r="G1296" s="1" t="s">
        <v>2551</v>
      </c>
      <c r="I1296" s="516"/>
      <c r="J1296" s="516"/>
      <c r="M1296" s="515"/>
      <c r="N1296" s="516"/>
      <c r="P1296" s="1">
        <v>333.3</v>
      </c>
      <c r="Q1296" s="1">
        <v>0.0</v>
      </c>
      <c r="S1296" s="517"/>
      <c r="V1296" s="1">
        <v>0.33</v>
      </c>
      <c r="W1296" s="518">
        <f t="shared" si="1"/>
        <v>0</v>
      </c>
    </row>
    <row r="1297" hidden="1">
      <c r="C1297" s="515"/>
      <c r="G1297" s="1" t="s">
        <v>2420</v>
      </c>
      <c r="I1297" s="516"/>
      <c r="J1297" s="516"/>
      <c r="M1297" s="515"/>
      <c r="N1297" s="516"/>
      <c r="P1297" s="1">
        <v>83.3</v>
      </c>
      <c r="Q1297" s="1">
        <v>0.0</v>
      </c>
      <c r="S1297" s="517"/>
      <c r="V1297" s="1">
        <v>0.08</v>
      </c>
      <c r="W1297" s="518">
        <f t="shared" si="1"/>
        <v>0</v>
      </c>
    </row>
    <row r="1298" hidden="1">
      <c r="C1298" s="515"/>
      <c r="G1298" s="1" t="s">
        <v>2419</v>
      </c>
      <c r="I1298" s="516"/>
      <c r="J1298" s="516"/>
      <c r="M1298" s="515"/>
      <c r="N1298" s="516"/>
      <c r="P1298" s="1">
        <v>666.7</v>
      </c>
      <c r="Q1298" s="1">
        <v>0.0</v>
      </c>
      <c r="S1298" s="517"/>
      <c r="V1298" s="1">
        <v>0.67</v>
      </c>
      <c r="W1298" s="518">
        <f t="shared" si="1"/>
        <v>0</v>
      </c>
    </row>
    <row r="1299" hidden="1">
      <c r="C1299" s="515"/>
      <c r="G1299" s="1" t="s">
        <v>2418</v>
      </c>
      <c r="I1299" s="516"/>
      <c r="J1299" s="516"/>
      <c r="M1299" s="515"/>
      <c r="N1299" s="516"/>
      <c r="P1299" s="1">
        <v>141.7</v>
      </c>
      <c r="Q1299" s="1">
        <v>0.0</v>
      </c>
      <c r="S1299" s="517"/>
      <c r="V1299" s="1">
        <v>0.14</v>
      </c>
      <c r="W1299" s="518">
        <f t="shared" si="1"/>
        <v>0</v>
      </c>
    </row>
    <row r="1300" hidden="1">
      <c r="C1300" s="515"/>
      <c r="G1300" s="86" t="s">
        <v>2595</v>
      </c>
      <c r="I1300" s="516"/>
      <c r="J1300" s="516"/>
      <c r="K1300" s="515">
        <v>46022.0</v>
      </c>
      <c r="M1300" s="515"/>
      <c r="N1300" s="516"/>
      <c r="P1300" s="1">
        <v>1000.0</v>
      </c>
      <c r="Q1300" s="1">
        <v>0.0</v>
      </c>
      <c r="S1300" s="517"/>
      <c r="V1300" s="1">
        <v>1.0</v>
      </c>
      <c r="W1300" s="518">
        <f t="shared" si="1"/>
        <v>0</v>
      </c>
    </row>
    <row r="1301" hidden="1">
      <c r="C1301" s="515"/>
      <c r="G1301" s="1" t="s">
        <v>2577</v>
      </c>
      <c r="I1301" s="516"/>
      <c r="J1301" s="516"/>
      <c r="M1301" s="515"/>
      <c r="N1301" s="516"/>
      <c r="P1301" s="1">
        <v>41.7</v>
      </c>
      <c r="Q1301" s="1">
        <v>0.0</v>
      </c>
      <c r="S1301" s="517"/>
      <c r="V1301" s="1">
        <v>0.04</v>
      </c>
      <c r="W1301" s="518">
        <f t="shared" si="1"/>
        <v>0</v>
      </c>
    </row>
    <row r="1302" hidden="1">
      <c r="C1302" s="515"/>
      <c r="G1302" s="1" t="s">
        <v>2422</v>
      </c>
      <c r="I1302" s="516"/>
      <c r="J1302" s="516"/>
      <c r="M1302" s="515"/>
      <c r="N1302" s="516"/>
      <c r="P1302" s="1">
        <v>250.0</v>
      </c>
      <c r="Q1302" s="1">
        <v>0.0</v>
      </c>
      <c r="S1302" s="517"/>
      <c r="V1302" s="1">
        <v>0.25</v>
      </c>
      <c r="W1302" s="518">
        <f t="shared" si="1"/>
        <v>0</v>
      </c>
    </row>
    <row r="1303" hidden="1">
      <c r="C1303" s="515"/>
      <c r="G1303" s="1" t="s">
        <v>2425</v>
      </c>
      <c r="I1303" s="516"/>
      <c r="J1303" s="516"/>
      <c r="M1303" s="515"/>
      <c r="N1303" s="516"/>
      <c r="P1303" s="1">
        <v>41.7</v>
      </c>
      <c r="Q1303" s="1">
        <v>0.0</v>
      </c>
      <c r="S1303" s="517"/>
      <c r="V1303" s="1">
        <v>0.04</v>
      </c>
      <c r="W1303" s="518">
        <f t="shared" si="1"/>
        <v>0</v>
      </c>
    </row>
    <row r="1304" hidden="1">
      <c r="C1304" s="515"/>
      <c r="G1304" s="1" t="s">
        <v>2589</v>
      </c>
      <c r="I1304" s="516"/>
      <c r="J1304" s="516"/>
      <c r="M1304" s="515"/>
      <c r="N1304" s="516"/>
      <c r="P1304" s="1">
        <v>166.7</v>
      </c>
      <c r="Q1304" s="1">
        <v>0.0</v>
      </c>
      <c r="S1304" s="517"/>
      <c r="V1304" s="1">
        <v>0.17</v>
      </c>
      <c r="W1304" s="518">
        <f t="shared" si="1"/>
        <v>0</v>
      </c>
    </row>
    <row r="1305" hidden="1">
      <c r="C1305" s="515"/>
      <c r="G1305" s="1" t="s">
        <v>2431</v>
      </c>
      <c r="I1305" s="516"/>
      <c r="J1305" s="516"/>
      <c r="M1305" s="515"/>
      <c r="N1305" s="516"/>
      <c r="P1305" s="1">
        <v>83.3</v>
      </c>
      <c r="Q1305" s="1">
        <v>0.0</v>
      </c>
      <c r="S1305" s="517"/>
      <c r="V1305" s="1">
        <v>0.08</v>
      </c>
      <c r="W1305" s="518">
        <f t="shared" si="1"/>
        <v>0</v>
      </c>
    </row>
    <row r="1306" hidden="1">
      <c r="C1306" s="515"/>
      <c r="G1306" s="1" t="s">
        <v>2556</v>
      </c>
      <c r="I1306" s="516"/>
      <c r="J1306" s="516"/>
      <c r="M1306" s="515"/>
      <c r="N1306" s="516"/>
      <c r="P1306" s="1">
        <v>83.3</v>
      </c>
      <c r="Q1306" s="1">
        <v>0.0</v>
      </c>
      <c r="S1306" s="517"/>
      <c r="V1306" s="1">
        <v>0.08</v>
      </c>
      <c r="W1306" s="518">
        <f t="shared" si="1"/>
        <v>0</v>
      </c>
    </row>
    <row r="1307" hidden="1">
      <c r="C1307" s="515"/>
      <c r="G1307" s="1" t="s">
        <v>2429</v>
      </c>
      <c r="I1307" s="516"/>
      <c r="J1307" s="516"/>
      <c r="M1307" s="515"/>
      <c r="N1307" s="516"/>
      <c r="P1307" s="1">
        <v>333.3</v>
      </c>
      <c r="Q1307" s="1">
        <v>0.0</v>
      </c>
      <c r="S1307" s="517"/>
      <c r="V1307" s="1">
        <v>0.33</v>
      </c>
      <c r="W1307" s="518">
        <f t="shared" si="1"/>
        <v>0</v>
      </c>
    </row>
    <row r="1308" hidden="1">
      <c r="C1308" s="515"/>
      <c r="G1308" s="1" t="s">
        <v>2428</v>
      </c>
      <c r="I1308" s="516"/>
      <c r="J1308" s="516"/>
      <c r="M1308" s="515"/>
      <c r="N1308" s="516"/>
      <c r="P1308" s="1">
        <v>166.7</v>
      </c>
      <c r="Q1308" s="1">
        <v>0.0</v>
      </c>
      <c r="S1308" s="517"/>
      <c r="V1308" s="1">
        <v>0.17</v>
      </c>
      <c r="W1308" s="518">
        <f t="shared" si="1"/>
        <v>0</v>
      </c>
    </row>
    <row r="1309" hidden="1">
      <c r="C1309" s="515"/>
      <c r="G1309" s="1" t="s">
        <v>2426</v>
      </c>
      <c r="I1309" s="516"/>
      <c r="J1309" s="516"/>
      <c r="M1309" s="515"/>
      <c r="N1309" s="516"/>
      <c r="P1309" s="1">
        <v>250.0</v>
      </c>
      <c r="Q1309" s="1">
        <v>0.0</v>
      </c>
      <c r="S1309" s="517"/>
      <c r="V1309" s="1">
        <v>0.25</v>
      </c>
      <c r="W1309" s="518">
        <f t="shared" si="1"/>
        <v>0</v>
      </c>
    </row>
    <row r="1310" hidden="1">
      <c r="C1310" s="515"/>
      <c r="G1310" s="1" t="s">
        <v>2433</v>
      </c>
      <c r="I1310" s="516"/>
      <c r="J1310" s="516"/>
      <c r="M1310" s="515"/>
      <c r="N1310" s="516"/>
      <c r="P1310" s="1">
        <v>41.7</v>
      </c>
      <c r="Q1310" s="1">
        <v>0.0</v>
      </c>
      <c r="S1310" s="517"/>
      <c r="V1310" s="1">
        <v>0.04</v>
      </c>
      <c r="W1310" s="518">
        <f t="shared" si="1"/>
        <v>0</v>
      </c>
    </row>
    <row r="1311" hidden="1">
      <c r="C1311" s="515"/>
      <c r="G1311" s="1" t="s">
        <v>2590</v>
      </c>
      <c r="I1311" s="516"/>
      <c r="J1311" s="516"/>
      <c r="M1311" s="515"/>
      <c r="N1311" s="516"/>
      <c r="P1311" s="1">
        <v>83.3</v>
      </c>
      <c r="Q1311" s="1">
        <v>0.0</v>
      </c>
      <c r="S1311" s="517"/>
      <c r="V1311" s="1">
        <v>0.08</v>
      </c>
      <c r="W1311" s="518">
        <f t="shared" si="1"/>
        <v>0</v>
      </c>
    </row>
    <row r="1312" hidden="1">
      <c r="C1312" s="515"/>
      <c r="G1312" s="1" t="s">
        <v>2441</v>
      </c>
      <c r="I1312" s="516"/>
      <c r="J1312" s="516"/>
      <c r="M1312" s="515"/>
      <c r="N1312" s="516"/>
      <c r="P1312" s="1">
        <v>83.3</v>
      </c>
      <c r="Q1312" s="1">
        <v>0.0</v>
      </c>
      <c r="S1312" s="517"/>
      <c r="V1312" s="1">
        <v>0.08</v>
      </c>
      <c r="W1312" s="518">
        <f t="shared" si="1"/>
        <v>0</v>
      </c>
    </row>
    <row r="1313" hidden="1">
      <c r="C1313" s="515"/>
      <c r="G1313" s="1" t="s">
        <v>2439</v>
      </c>
      <c r="I1313" s="516"/>
      <c r="J1313" s="516"/>
      <c r="M1313" s="515"/>
      <c r="N1313" s="516"/>
      <c r="P1313" s="1">
        <v>83.3</v>
      </c>
      <c r="Q1313" s="1">
        <v>0.0</v>
      </c>
      <c r="S1313" s="517"/>
      <c r="V1313" s="1">
        <v>0.08</v>
      </c>
      <c r="W1313" s="518">
        <f t="shared" si="1"/>
        <v>0</v>
      </c>
    </row>
    <row r="1314" hidden="1">
      <c r="C1314" s="515"/>
      <c r="G1314" s="1" t="s">
        <v>2536</v>
      </c>
      <c r="I1314" s="516"/>
      <c r="J1314" s="516"/>
      <c r="M1314" s="515"/>
      <c r="N1314" s="516"/>
      <c r="P1314" s="1">
        <v>166.7</v>
      </c>
      <c r="Q1314" s="1">
        <v>0.0</v>
      </c>
      <c r="S1314" s="517"/>
      <c r="V1314" s="1">
        <v>0.17</v>
      </c>
      <c r="W1314" s="518">
        <f t="shared" si="1"/>
        <v>0</v>
      </c>
    </row>
    <row r="1315" hidden="1">
      <c r="C1315" s="515"/>
      <c r="G1315" s="1" t="s">
        <v>2444</v>
      </c>
      <c r="I1315" s="516"/>
      <c r="J1315" s="516"/>
      <c r="M1315" s="515"/>
      <c r="N1315" s="516"/>
      <c r="P1315" s="1">
        <v>125.0</v>
      </c>
      <c r="Q1315" s="1">
        <v>0.0</v>
      </c>
      <c r="S1315" s="517"/>
      <c r="V1315" s="1">
        <v>0.13</v>
      </c>
      <c r="W1315" s="518">
        <f t="shared" si="1"/>
        <v>0</v>
      </c>
    </row>
    <row r="1316" hidden="1">
      <c r="C1316" s="515"/>
      <c r="G1316" s="1" t="s">
        <v>2443</v>
      </c>
      <c r="I1316" s="516"/>
      <c r="J1316" s="516"/>
      <c r="M1316" s="515"/>
      <c r="N1316" s="516"/>
      <c r="P1316" s="1">
        <v>833.3</v>
      </c>
      <c r="Q1316" s="1">
        <v>0.0</v>
      </c>
      <c r="S1316" s="517"/>
      <c r="V1316" s="1">
        <v>0.83</v>
      </c>
      <c r="W1316" s="518">
        <f t="shared" si="1"/>
        <v>0</v>
      </c>
    </row>
    <row r="1317" hidden="1">
      <c r="C1317" s="515"/>
      <c r="G1317" s="1" t="s">
        <v>2561</v>
      </c>
      <c r="I1317" s="516"/>
      <c r="J1317" s="516"/>
      <c r="M1317" s="515"/>
      <c r="N1317" s="516"/>
      <c r="P1317" s="1">
        <v>41.7</v>
      </c>
      <c r="Q1317" s="1">
        <v>0.0</v>
      </c>
      <c r="S1317" s="517"/>
      <c r="V1317" s="1">
        <v>0.04</v>
      </c>
      <c r="W1317" s="518">
        <f t="shared" si="1"/>
        <v>0</v>
      </c>
    </row>
    <row r="1318" hidden="1">
      <c r="C1318" s="515"/>
      <c r="G1318" s="1" t="s">
        <v>2596</v>
      </c>
      <c r="I1318" s="516"/>
      <c r="J1318" s="516"/>
      <c r="M1318" s="515"/>
      <c r="N1318" s="516"/>
      <c r="P1318" s="1">
        <v>41.7</v>
      </c>
      <c r="Q1318" s="1">
        <v>0.0</v>
      </c>
      <c r="S1318" s="517"/>
      <c r="V1318" s="1">
        <v>0.04</v>
      </c>
      <c r="W1318" s="518">
        <f t="shared" si="1"/>
        <v>0</v>
      </c>
    </row>
    <row r="1319" hidden="1">
      <c r="C1319" s="515"/>
      <c r="G1319" s="1" t="s">
        <v>2447</v>
      </c>
      <c r="I1319" s="516"/>
      <c r="J1319" s="516"/>
      <c r="M1319" s="515"/>
      <c r="N1319" s="516"/>
      <c r="P1319" s="1">
        <v>83.3</v>
      </c>
      <c r="Q1319" s="1">
        <v>0.0</v>
      </c>
      <c r="S1319" s="517"/>
      <c r="V1319" s="1">
        <v>0.08</v>
      </c>
      <c r="W1319" s="518">
        <f t="shared" si="1"/>
        <v>0</v>
      </c>
    </row>
    <row r="1320" hidden="1">
      <c r="C1320" s="515"/>
      <c r="G1320" s="1" t="s">
        <v>2559</v>
      </c>
      <c r="I1320" s="516"/>
      <c r="J1320" s="516"/>
      <c r="M1320" s="515"/>
      <c r="N1320" s="516"/>
      <c r="P1320" s="1">
        <v>83.3</v>
      </c>
      <c r="Q1320" s="1">
        <v>0.0</v>
      </c>
      <c r="S1320" s="517"/>
      <c r="V1320" s="1">
        <v>0.08</v>
      </c>
      <c r="W1320" s="518">
        <f t="shared" si="1"/>
        <v>0</v>
      </c>
    </row>
    <row r="1321" hidden="1">
      <c r="C1321" s="515"/>
      <c r="G1321" s="1" t="s">
        <v>2445</v>
      </c>
      <c r="I1321" s="516"/>
      <c r="J1321" s="516"/>
      <c r="M1321" s="515"/>
      <c r="N1321" s="516"/>
      <c r="P1321" s="1">
        <v>166.7</v>
      </c>
      <c r="Q1321" s="1">
        <v>0.0</v>
      </c>
      <c r="S1321" s="517"/>
      <c r="V1321" s="1">
        <v>0.17</v>
      </c>
      <c r="W1321" s="518">
        <f t="shared" si="1"/>
        <v>0</v>
      </c>
    </row>
    <row r="1322" hidden="1">
      <c r="C1322" s="515"/>
      <c r="G1322" s="1" t="s">
        <v>2528</v>
      </c>
      <c r="I1322" s="516"/>
      <c r="J1322" s="516"/>
      <c r="K1322" s="515">
        <v>46022.0</v>
      </c>
      <c r="M1322" s="515"/>
      <c r="N1322" s="516"/>
      <c r="P1322" s="1">
        <v>0.0</v>
      </c>
      <c r="Q1322" s="1" t="s">
        <v>2404</v>
      </c>
      <c r="S1322" s="517"/>
      <c r="V1322" s="1">
        <v>10.0</v>
      </c>
      <c r="W1322" s="518">
        <f t="shared" si="1"/>
        <v>10000</v>
      </c>
    </row>
    <row r="1323" hidden="1">
      <c r="C1323" s="515"/>
      <c r="G1323" s="1" t="s">
        <v>2585</v>
      </c>
      <c r="I1323" s="516"/>
      <c r="J1323" s="516"/>
      <c r="M1323" s="515"/>
      <c r="N1323" s="516"/>
      <c r="P1323" s="1">
        <v>41.7</v>
      </c>
      <c r="Q1323" s="1">
        <v>0.0</v>
      </c>
      <c r="S1323" s="517"/>
      <c r="V1323" s="1">
        <v>0.04</v>
      </c>
      <c r="W1323" s="518">
        <f t="shared" si="1"/>
        <v>0</v>
      </c>
    </row>
    <row r="1324" hidden="1">
      <c r="C1324" s="515"/>
      <c r="G1324" s="1" t="s">
        <v>2449</v>
      </c>
      <c r="I1324" s="516"/>
      <c r="J1324" s="516"/>
      <c r="P1324" s="1">
        <v>41.7</v>
      </c>
      <c r="Q1324" s="1">
        <v>0.0</v>
      </c>
      <c r="S1324" s="517"/>
      <c r="V1324" s="1">
        <v>0.04</v>
      </c>
      <c r="W1324" s="518">
        <f t="shared" si="1"/>
        <v>0</v>
      </c>
    </row>
    <row r="1325" hidden="1">
      <c r="C1325" s="515"/>
      <c r="G1325" s="1" t="s">
        <v>2451</v>
      </c>
      <c r="I1325" s="516"/>
      <c r="J1325" s="516"/>
      <c r="M1325" s="515"/>
      <c r="N1325" s="516"/>
      <c r="P1325" s="1">
        <v>41.7</v>
      </c>
      <c r="Q1325" s="1">
        <v>0.0</v>
      </c>
      <c r="S1325" s="517"/>
      <c r="V1325" s="1">
        <v>0.04</v>
      </c>
      <c r="W1325" s="518">
        <f t="shared" si="1"/>
        <v>0</v>
      </c>
    </row>
    <row r="1326" hidden="1">
      <c r="C1326" s="515"/>
      <c r="G1326" s="1" t="s">
        <v>2592</v>
      </c>
      <c r="I1326" s="516"/>
      <c r="J1326" s="516"/>
      <c r="M1326" s="515"/>
      <c r="N1326" s="516"/>
      <c r="P1326" s="1">
        <v>41.7</v>
      </c>
      <c r="Q1326" s="1">
        <v>0.0</v>
      </c>
      <c r="S1326" s="517"/>
      <c r="V1326" s="1">
        <v>0.04</v>
      </c>
      <c r="W1326" s="518">
        <f t="shared" si="1"/>
        <v>0</v>
      </c>
    </row>
    <row r="1327" hidden="1">
      <c r="C1327" s="515"/>
      <c r="G1327" s="1" t="s">
        <v>2518</v>
      </c>
      <c r="I1327" s="516"/>
      <c r="J1327" s="516"/>
      <c r="M1327" s="515"/>
      <c r="P1327" s="1">
        <v>125.0</v>
      </c>
      <c r="Q1327" s="1">
        <v>0.0</v>
      </c>
      <c r="S1327" s="517"/>
      <c r="V1327" s="1">
        <v>0.13</v>
      </c>
      <c r="W1327" s="518">
        <f t="shared" si="1"/>
        <v>0</v>
      </c>
    </row>
    <row r="1328" hidden="1">
      <c r="C1328" s="515"/>
      <c r="G1328" s="1" t="s">
        <v>2460</v>
      </c>
      <c r="I1328" s="516"/>
      <c r="J1328" s="516"/>
      <c r="M1328" s="515"/>
      <c r="N1328" s="516"/>
      <c r="P1328" s="1">
        <v>833.3</v>
      </c>
      <c r="Q1328" s="1">
        <v>0.0</v>
      </c>
      <c r="S1328" s="517"/>
      <c r="V1328" s="1">
        <v>0.83</v>
      </c>
      <c r="W1328" s="518">
        <f t="shared" si="1"/>
        <v>0</v>
      </c>
    </row>
    <row r="1329" hidden="1">
      <c r="C1329" s="515"/>
      <c r="G1329" s="1" t="s">
        <v>2458</v>
      </c>
      <c r="I1329" s="516"/>
      <c r="J1329" s="516"/>
      <c r="M1329" s="515"/>
      <c r="N1329" s="516"/>
      <c r="P1329" s="1">
        <v>83.3</v>
      </c>
      <c r="Q1329" s="1">
        <v>0.0</v>
      </c>
      <c r="S1329" s="517"/>
      <c r="V1329" s="1">
        <v>0.08</v>
      </c>
      <c r="W1329" s="518">
        <f t="shared" si="1"/>
        <v>0</v>
      </c>
    </row>
    <row r="1330" hidden="1">
      <c r="C1330" s="515"/>
      <c r="G1330" s="1" t="s">
        <v>2540</v>
      </c>
      <c r="I1330" s="516"/>
      <c r="J1330" s="516"/>
      <c r="M1330" s="515"/>
      <c r="N1330" s="516"/>
      <c r="P1330" s="1">
        <v>416.7</v>
      </c>
      <c r="Q1330" s="1">
        <v>0.0</v>
      </c>
      <c r="S1330" s="517"/>
      <c r="V1330" s="1">
        <v>0.42</v>
      </c>
      <c r="W1330" s="518">
        <f t="shared" si="1"/>
        <v>0</v>
      </c>
    </row>
    <row r="1331" hidden="1">
      <c r="C1331" s="515"/>
      <c r="G1331" s="1" t="s">
        <v>2457</v>
      </c>
      <c r="I1331" s="516"/>
      <c r="J1331" s="516"/>
      <c r="M1331" s="515"/>
      <c r="N1331" s="516"/>
      <c r="P1331" s="1">
        <v>500.0</v>
      </c>
      <c r="Q1331" s="1">
        <v>0.0</v>
      </c>
      <c r="S1331" s="517"/>
      <c r="V1331" s="1">
        <v>0.5</v>
      </c>
      <c r="W1331" s="518">
        <f t="shared" si="1"/>
        <v>0</v>
      </c>
    </row>
    <row r="1332" hidden="1">
      <c r="C1332" s="515"/>
      <c r="G1332" s="1" t="s">
        <v>2539</v>
      </c>
      <c r="I1332" s="516"/>
      <c r="J1332" s="516"/>
      <c r="M1332" s="515"/>
      <c r="N1332" s="516"/>
      <c r="P1332" s="1">
        <v>41.7</v>
      </c>
      <c r="Q1332" s="1">
        <v>0.0</v>
      </c>
      <c r="S1332" s="517"/>
      <c r="V1332" s="1">
        <v>0.04</v>
      </c>
      <c r="W1332" s="518">
        <f t="shared" si="1"/>
        <v>0</v>
      </c>
    </row>
    <row r="1333" hidden="1">
      <c r="C1333" s="515"/>
      <c r="G1333" s="1" t="s">
        <v>2456</v>
      </c>
      <c r="I1333" s="516"/>
      <c r="J1333" s="516"/>
      <c r="M1333" s="515"/>
      <c r="N1333" s="516"/>
      <c r="P1333" s="1">
        <v>666.7</v>
      </c>
      <c r="Q1333" s="1">
        <v>0.0</v>
      </c>
      <c r="S1333" s="517"/>
      <c r="V1333" s="1">
        <v>0.67</v>
      </c>
      <c r="W1333" s="518">
        <f t="shared" si="1"/>
        <v>0</v>
      </c>
    </row>
    <row r="1334" hidden="1">
      <c r="C1334" s="515"/>
      <c r="G1334" s="1" t="s">
        <v>2454</v>
      </c>
      <c r="I1334" s="516"/>
      <c r="J1334" s="516"/>
      <c r="M1334" s="515"/>
      <c r="N1334" s="516"/>
      <c r="P1334" s="1">
        <v>83.3</v>
      </c>
      <c r="Q1334" s="1">
        <v>0.0</v>
      </c>
      <c r="S1334" s="517"/>
      <c r="V1334" s="1">
        <v>0.08</v>
      </c>
      <c r="W1334" s="518">
        <f t="shared" si="1"/>
        <v>0</v>
      </c>
    </row>
    <row r="1335" hidden="1">
      <c r="C1335" s="515"/>
      <c r="G1335" s="1" t="s">
        <v>2597</v>
      </c>
      <c r="I1335" s="516"/>
      <c r="J1335" s="516"/>
      <c r="M1335" s="515"/>
      <c r="N1335" s="516"/>
      <c r="P1335" s="1">
        <v>83.3</v>
      </c>
      <c r="Q1335" s="1">
        <v>0.0</v>
      </c>
      <c r="S1335" s="517"/>
      <c r="V1335" s="1">
        <v>0.08</v>
      </c>
      <c r="W1335" s="518">
        <f t="shared" si="1"/>
        <v>0</v>
      </c>
    </row>
    <row r="1336" hidden="1">
      <c r="C1336" s="515"/>
      <c r="G1336" s="1" t="s">
        <v>2560</v>
      </c>
      <c r="I1336" s="516"/>
      <c r="J1336" s="516"/>
      <c r="M1336" s="515"/>
      <c r="N1336" s="516"/>
      <c r="P1336" s="1">
        <v>83.3</v>
      </c>
      <c r="Q1336" s="1">
        <v>0.0</v>
      </c>
      <c r="S1336" s="517"/>
      <c r="V1336" s="1">
        <v>0.08</v>
      </c>
      <c r="W1336" s="518">
        <f t="shared" si="1"/>
        <v>0</v>
      </c>
    </row>
    <row r="1337" hidden="1">
      <c r="C1337" s="515"/>
      <c r="G1337" s="1" t="s">
        <v>2462</v>
      </c>
      <c r="I1337" s="516"/>
      <c r="J1337" s="516"/>
      <c r="M1337" s="515"/>
      <c r="N1337" s="516"/>
      <c r="P1337" s="1">
        <v>41.7</v>
      </c>
      <c r="Q1337" s="1">
        <v>0.0</v>
      </c>
      <c r="S1337" s="517"/>
      <c r="V1337" s="1">
        <v>0.04</v>
      </c>
      <c r="W1337" s="518">
        <f t="shared" si="1"/>
        <v>0</v>
      </c>
    </row>
    <row r="1338" hidden="1">
      <c r="C1338" s="515"/>
      <c r="G1338" s="1" t="s">
        <v>2553</v>
      </c>
      <c r="I1338" s="516"/>
      <c r="J1338" s="516"/>
      <c r="M1338" s="515"/>
      <c r="N1338" s="516"/>
      <c r="P1338" s="1">
        <v>41.7</v>
      </c>
      <c r="Q1338" s="1">
        <v>0.0</v>
      </c>
      <c r="S1338" s="517"/>
      <c r="V1338" s="1">
        <v>0.04</v>
      </c>
      <c r="W1338" s="518">
        <f t="shared" si="1"/>
        <v>0</v>
      </c>
    </row>
    <row r="1339" hidden="1">
      <c r="C1339" s="515"/>
      <c r="G1339" s="1" t="s">
        <v>2461</v>
      </c>
      <c r="I1339" s="516"/>
      <c r="J1339" s="516"/>
      <c r="M1339" s="515"/>
      <c r="N1339" s="516"/>
      <c r="P1339" s="1">
        <v>83.3</v>
      </c>
      <c r="Q1339" s="1">
        <v>0.0</v>
      </c>
      <c r="S1339" s="517"/>
      <c r="V1339" s="1">
        <v>0.08</v>
      </c>
      <c r="W1339" s="518">
        <f t="shared" si="1"/>
        <v>0</v>
      </c>
    </row>
    <row r="1340" hidden="1">
      <c r="C1340" s="515"/>
      <c r="G1340" s="1" t="s">
        <v>2469</v>
      </c>
      <c r="I1340" s="516"/>
      <c r="J1340" s="516"/>
      <c r="M1340" s="515"/>
      <c r="N1340" s="516"/>
      <c r="P1340" s="1">
        <v>41.7</v>
      </c>
      <c r="Q1340" s="1">
        <v>0.0</v>
      </c>
      <c r="S1340" s="517"/>
      <c r="V1340" s="1">
        <v>0.04</v>
      </c>
      <c r="W1340" s="518">
        <f t="shared" si="1"/>
        <v>0</v>
      </c>
    </row>
    <row r="1341" hidden="1">
      <c r="C1341" s="515"/>
      <c r="G1341" s="1" t="s">
        <v>2521</v>
      </c>
      <c r="I1341" s="516"/>
      <c r="J1341" s="516"/>
      <c r="M1341" s="515"/>
      <c r="N1341" s="516"/>
      <c r="P1341" s="1">
        <v>83.3</v>
      </c>
      <c r="Q1341" s="1">
        <v>0.0</v>
      </c>
      <c r="S1341" s="517"/>
      <c r="V1341" s="1">
        <v>0.08</v>
      </c>
      <c r="W1341" s="518">
        <f t="shared" si="1"/>
        <v>0</v>
      </c>
    </row>
    <row r="1342" hidden="1">
      <c r="C1342" s="515"/>
      <c r="G1342" s="1" t="s">
        <v>2468</v>
      </c>
      <c r="I1342" s="516"/>
      <c r="J1342" s="516"/>
      <c r="M1342" s="515"/>
      <c r="N1342" s="516"/>
      <c r="P1342" s="1">
        <v>41.7</v>
      </c>
      <c r="Q1342" s="1">
        <v>0.0</v>
      </c>
      <c r="S1342" s="517"/>
      <c r="V1342" s="1">
        <v>0.04</v>
      </c>
      <c r="W1342" s="518">
        <f t="shared" si="1"/>
        <v>0</v>
      </c>
    </row>
    <row r="1343" hidden="1">
      <c r="C1343" s="515"/>
      <c r="G1343" s="1" t="s">
        <v>2466</v>
      </c>
      <c r="I1343" s="516"/>
      <c r="J1343" s="516"/>
      <c r="M1343" s="515"/>
      <c r="N1343" s="516"/>
      <c r="P1343" s="1">
        <v>208.3</v>
      </c>
      <c r="Q1343" s="1">
        <v>0.0</v>
      </c>
      <c r="S1343" s="517"/>
      <c r="V1343" s="1">
        <v>0.21</v>
      </c>
      <c r="W1343" s="518">
        <f t="shared" si="1"/>
        <v>0</v>
      </c>
    </row>
    <row r="1344" hidden="1">
      <c r="C1344" s="515"/>
      <c r="G1344" s="1" t="s">
        <v>2465</v>
      </c>
      <c r="I1344" s="516"/>
      <c r="J1344" s="516"/>
      <c r="M1344" s="515"/>
      <c r="N1344" s="516"/>
      <c r="P1344" s="1">
        <v>166.7</v>
      </c>
      <c r="Q1344" s="1">
        <v>0.0</v>
      </c>
      <c r="S1344" s="517"/>
      <c r="V1344" s="1">
        <v>0.17</v>
      </c>
      <c r="W1344" s="518">
        <f t="shared" si="1"/>
        <v>0</v>
      </c>
    </row>
    <row r="1345" hidden="1">
      <c r="C1345" s="515"/>
      <c r="G1345" s="1" t="s">
        <v>2463</v>
      </c>
      <c r="I1345" s="516"/>
      <c r="J1345" s="516"/>
      <c r="M1345" s="515"/>
      <c r="N1345" s="516"/>
      <c r="P1345" s="1">
        <v>83.3</v>
      </c>
      <c r="Q1345" s="1">
        <v>0.0</v>
      </c>
      <c r="S1345" s="517"/>
      <c r="V1345" s="1">
        <v>0.08</v>
      </c>
      <c r="W1345" s="518">
        <f t="shared" si="1"/>
        <v>0</v>
      </c>
    </row>
    <row r="1346" hidden="1">
      <c r="C1346" s="515"/>
      <c r="G1346" s="1" t="s">
        <v>2542</v>
      </c>
      <c r="I1346" s="516"/>
      <c r="J1346" s="516"/>
      <c r="M1346" s="515"/>
      <c r="N1346" s="516"/>
      <c r="P1346" s="1">
        <v>83.3</v>
      </c>
      <c r="Q1346" s="1">
        <v>0.0</v>
      </c>
      <c r="S1346" s="517"/>
      <c r="V1346" s="1">
        <v>0.08</v>
      </c>
      <c r="W1346" s="518">
        <f t="shared" si="1"/>
        <v>0</v>
      </c>
    </row>
    <row r="1347" hidden="1">
      <c r="C1347" s="515"/>
      <c r="G1347" s="1" t="s">
        <v>2473</v>
      </c>
      <c r="I1347" s="516"/>
      <c r="J1347" s="516"/>
      <c r="M1347" s="515"/>
      <c r="N1347" s="516"/>
      <c r="P1347" s="1">
        <v>83.3</v>
      </c>
      <c r="Q1347" s="1">
        <v>0.0</v>
      </c>
      <c r="S1347" s="517"/>
      <c r="V1347" s="1">
        <v>0.08</v>
      </c>
      <c r="W1347" s="518">
        <f t="shared" si="1"/>
        <v>0</v>
      </c>
    </row>
    <row r="1348" hidden="1">
      <c r="C1348" s="515"/>
      <c r="G1348" s="1" t="s">
        <v>2472</v>
      </c>
      <c r="I1348" s="516"/>
      <c r="J1348" s="516"/>
      <c r="M1348" s="515"/>
      <c r="N1348" s="516"/>
      <c r="P1348" s="1">
        <v>83.3</v>
      </c>
      <c r="Q1348" s="1">
        <v>0.0</v>
      </c>
      <c r="S1348" s="517"/>
      <c r="V1348" s="1">
        <v>0.08</v>
      </c>
      <c r="W1348" s="518">
        <f t="shared" si="1"/>
        <v>0</v>
      </c>
    </row>
    <row r="1349" hidden="1">
      <c r="C1349" s="515"/>
      <c r="G1349" s="1" t="s">
        <v>2471</v>
      </c>
      <c r="I1349" s="516"/>
      <c r="J1349" s="516"/>
      <c r="M1349" s="515"/>
      <c r="N1349" s="516"/>
      <c r="P1349" s="1">
        <v>41.7</v>
      </c>
      <c r="Q1349" s="1">
        <v>0.0</v>
      </c>
      <c r="S1349" s="517"/>
      <c r="V1349" s="1">
        <v>0.04</v>
      </c>
      <c r="W1349" s="518">
        <f t="shared" si="1"/>
        <v>0</v>
      </c>
    </row>
    <row r="1350" hidden="1">
      <c r="C1350" s="515"/>
      <c r="G1350" s="1" t="s">
        <v>2470</v>
      </c>
      <c r="I1350" s="516"/>
      <c r="J1350" s="516"/>
      <c r="M1350" s="515"/>
      <c r="N1350" s="516"/>
      <c r="P1350" s="1">
        <v>333.3</v>
      </c>
      <c r="Q1350" s="1">
        <v>0.0</v>
      </c>
      <c r="S1350" s="517"/>
      <c r="V1350" s="1">
        <v>0.33</v>
      </c>
      <c r="W1350" s="518">
        <f t="shared" si="1"/>
        <v>0</v>
      </c>
    </row>
    <row r="1351" hidden="1">
      <c r="C1351" s="515"/>
      <c r="G1351" s="1" t="s">
        <v>2570</v>
      </c>
      <c r="I1351" s="516"/>
      <c r="J1351" s="516"/>
      <c r="K1351" s="515">
        <v>46022.0</v>
      </c>
      <c r="M1351" s="515"/>
      <c r="N1351" s="516"/>
      <c r="P1351" s="1">
        <v>4000.0</v>
      </c>
      <c r="Q1351" s="1">
        <v>0.0</v>
      </c>
      <c r="S1351" s="517"/>
      <c r="V1351" s="1">
        <v>4.0</v>
      </c>
      <c r="W1351" s="518">
        <f t="shared" si="1"/>
        <v>0</v>
      </c>
    </row>
    <row r="1352" hidden="1">
      <c r="C1352" s="515"/>
      <c r="G1352" s="1" t="s">
        <v>2474</v>
      </c>
      <c r="I1352" s="516"/>
      <c r="J1352" s="516"/>
      <c r="M1352" s="515"/>
      <c r="P1352" s="1">
        <v>166.7</v>
      </c>
      <c r="Q1352" s="1">
        <v>0.0</v>
      </c>
      <c r="S1352" s="517"/>
      <c r="V1352" s="1">
        <v>0.17</v>
      </c>
      <c r="W1352" s="518">
        <f t="shared" si="1"/>
        <v>0</v>
      </c>
    </row>
    <row r="1353" hidden="1">
      <c r="C1353" s="515"/>
      <c r="G1353" s="1" t="s">
        <v>2479</v>
      </c>
      <c r="I1353" s="516"/>
      <c r="J1353" s="516"/>
      <c r="M1353" s="515"/>
      <c r="N1353" s="516"/>
      <c r="P1353" s="1">
        <v>416.7</v>
      </c>
      <c r="Q1353" s="1">
        <v>0.0</v>
      </c>
      <c r="S1353" s="517"/>
      <c r="V1353" s="1">
        <v>0.42</v>
      </c>
      <c r="W1353" s="518">
        <f t="shared" si="1"/>
        <v>0</v>
      </c>
    </row>
    <row r="1354" hidden="1">
      <c r="C1354" s="515"/>
      <c r="G1354" s="1" t="s">
        <v>2588</v>
      </c>
      <c r="I1354" s="516"/>
      <c r="J1354" s="516"/>
      <c r="M1354" s="515"/>
      <c r="N1354" s="516"/>
      <c r="P1354" s="1">
        <v>0.0</v>
      </c>
      <c r="Q1354" s="1" t="s">
        <v>2404</v>
      </c>
      <c r="S1354" s="517"/>
      <c r="V1354" s="1">
        <v>8.33</v>
      </c>
      <c r="W1354" s="518">
        <f t="shared" si="1"/>
        <v>8330</v>
      </c>
    </row>
    <row r="1355" hidden="1">
      <c r="C1355" s="515"/>
      <c r="G1355" s="1" t="s">
        <v>2594</v>
      </c>
      <c r="I1355" s="516"/>
      <c r="J1355" s="516"/>
      <c r="M1355" s="515"/>
      <c r="N1355" s="516"/>
      <c r="P1355" s="1">
        <v>2000.0</v>
      </c>
      <c r="Q1355" s="1">
        <v>0.0</v>
      </c>
      <c r="S1355" s="517"/>
      <c r="V1355" s="1">
        <v>2.0</v>
      </c>
      <c r="W1355" s="518">
        <f t="shared" si="1"/>
        <v>0</v>
      </c>
    </row>
    <row r="1356" hidden="1">
      <c r="C1356" s="515"/>
      <c r="G1356" s="1" t="s">
        <v>2478</v>
      </c>
      <c r="I1356" s="516"/>
      <c r="J1356" s="516"/>
      <c r="M1356" s="515"/>
      <c r="N1356" s="516"/>
      <c r="P1356" s="1">
        <v>83.3</v>
      </c>
      <c r="Q1356" s="1">
        <v>0.0</v>
      </c>
      <c r="S1356" s="517"/>
      <c r="V1356" s="1">
        <v>0.08</v>
      </c>
      <c r="W1356" s="518">
        <f t="shared" si="1"/>
        <v>0</v>
      </c>
    </row>
    <row r="1357" hidden="1">
      <c r="C1357" s="515"/>
      <c r="G1357" s="1" t="s">
        <v>2598</v>
      </c>
      <c r="I1357" s="516"/>
      <c r="J1357" s="516"/>
      <c r="M1357" s="515"/>
      <c r="N1357" s="516"/>
      <c r="P1357" s="1">
        <v>0.0</v>
      </c>
      <c r="Q1357" s="1" t="s">
        <v>2404</v>
      </c>
      <c r="S1357" s="517"/>
      <c r="V1357" s="1">
        <v>8.33</v>
      </c>
      <c r="W1357" s="518">
        <f t="shared" si="1"/>
        <v>8330</v>
      </c>
    </row>
    <row r="1358" hidden="1">
      <c r="C1358" s="515"/>
      <c r="G1358" s="1" t="s">
        <v>2484</v>
      </c>
      <c r="I1358" s="516"/>
      <c r="J1358" s="516"/>
      <c r="M1358" s="515"/>
      <c r="N1358" s="516"/>
      <c r="P1358" s="1">
        <v>500.0</v>
      </c>
      <c r="Q1358" s="1">
        <v>0.0</v>
      </c>
      <c r="S1358" s="517"/>
      <c r="V1358" s="1">
        <v>0.5</v>
      </c>
      <c r="W1358" s="518">
        <f t="shared" si="1"/>
        <v>0</v>
      </c>
    </row>
    <row r="1359" hidden="1">
      <c r="C1359" s="515"/>
      <c r="G1359" s="1" t="s">
        <v>2483</v>
      </c>
      <c r="I1359" s="516"/>
      <c r="J1359" s="516"/>
      <c r="M1359" s="515"/>
      <c r="N1359" s="516"/>
      <c r="P1359" s="1">
        <v>708.3</v>
      </c>
      <c r="Q1359" s="1">
        <v>0.0</v>
      </c>
      <c r="S1359" s="517"/>
      <c r="V1359" s="1">
        <v>0.71</v>
      </c>
      <c r="W1359" s="518">
        <f t="shared" si="1"/>
        <v>0</v>
      </c>
    </row>
    <row r="1360" hidden="1">
      <c r="C1360" s="515"/>
      <c r="G1360" s="1" t="s">
        <v>2482</v>
      </c>
      <c r="I1360" s="516"/>
      <c r="J1360" s="516"/>
      <c r="M1360" s="515"/>
      <c r="N1360" s="516"/>
      <c r="P1360" s="1">
        <v>41.7</v>
      </c>
      <c r="Q1360" s="1">
        <v>0.0</v>
      </c>
      <c r="S1360" s="517"/>
      <c r="V1360" s="1">
        <v>0.04</v>
      </c>
      <c r="W1360" s="518">
        <f t="shared" si="1"/>
        <v>0</v>
      </c>
    </row>
    <row r="1361" hidden="1">
      <c r="C1361" s="515"/>
      <c r="G1361" s="1" t="s">
        <v>2545</v>
      </c>
      <c r="I1361" s="516"/>
      <c r="J1361" s="516"/>
      <c r="M1361" s="515"/>
      <c r="N1361" s="516"/>
      <c r="P1361" s="1">
        <v>41.7</v>
      </c>
      <c r="Q1361" s="1">
        <v>0.0</v>
      </c>
      <c r="S1361" s="517"/>
      <c r="V1361" s="1">
        <v>0.04</v>
      </c>
      <c r="W1361" s="518">
        <f t="shared" si="1"/>
        <v>0</v>
      </c>
    </row>
    <row r="1362" hidden="1">
      <c r="C1362" s="515"/>
      <c r="G1362" s="1" t="s">
        <v>2571</v>
      </c>
      <c r="I1362" s="516"/>
      <c r="J1362" s="516"/>
      <c r="K1362" s="515">
        <v>46022.0</v>
      </c>
      <c r="M1362" s="515"/>
      <c r="N1362" s="516"/>
      <c r="P1362" s="1">
        <v>0.0</v>
      </c>
      <c r="Q1362" s="1" t="s">
        <v>2404</v>
      </c>
      <c r="S1362" s="517"/>
      <c r="V1362" s="1">
        <v>1666.67</v>
      </c>
      <c r="W1362" s="518">
        <f t="shared" si="1"/>
        <v>1666670</v>
      </c>
    </row>
    <row r="1363" hidden="1">
      <c r="C1363" s="515"/>
      <c r="G1363" s="1" t="s">
        <v>2491</v>
      </c>
      <c r="I1363" s="516"/>
      <c r="J1363" s="516"/>
      <c r="M1363" s="515"/>
      <c r="N1363" s="516"/>
      <c r="P1363" s="1">
        <v>41.7</v>
      </c>
      <c r="Q1363" s="1">
        <v>0.0</v>
      </c>
      <c r="S1363" s="517"/>
      <c r="V1363" s="1">
        <v>0.04</v>
      </c>
      <c r="W1363" s="518">
        <f t="shared" si="1"/>
        <v>0</v>
      </c>
    </row>
    <row r="1364" hidden="1">
      <c r="C1364" s="515"/>
      <c r="G1364" s="1" t="s">
        <v>2490</v>
      </c>
      <c r="I1364" s="516"/>
      <c r="J1364" s="516"/>
      <c r="M1364" s="515"/>
      <c r="N1364" s="516"/>
      <c r="P1364" s="1">
        <v>41.7</v>
      </c>
      <c r="Q1364" s="1">
        <v>0.0</v>
      </c>
      <c r="S1364" s="517"/>
      <c r="V1364" s="1">
        <v>0.04</v>
      </c>
      <c r="W1364" s="518">
        <f t="shared" si="1"/>
        <v>0</v>
      </c>
    </row>
    <row r="1365" hidden="1">
      <c r="C1365" s="515"/>
      <c r="G1365" s="1" t="s">
        <v>2489</v>
      </c>
      <c r="I1365" s="516"/>
      <c r="J1365" s="516"/>
      <c r="M1365" s="515"/>
      <c r="N1365" s="516"/>
      <c r="P1365" s="1">
        <v>83.3</v>
      </c>
      <c r="Q1365" s="1">
        <v>0.0</v>
      </c>
      <c r="S1365" s="517"/>
      <c r="V1365" s="1">
        <v>0.08</v>
      </c>
      <c r="W1365" s="518">
        <f t="shared" si="1"/>
        <v>0</v>
      </c>
    </row>
    <row r="1366" hidden="1">
      <c r="C1366" s="515"/>
      <c r="G1366" s="1" t="s">
        <v>2599</v>
      </c>
      <c r="I1366" s="516"/>
      <c r="J1366" s="516"/>
      <c r="K1366" s="515">
        <v>46022.0</v>
      </c>
      <c r="M1366" s="515"/>
      <c r="N1366" s="516"/>
      <c r="P1366" s="1">
        <v>5000.0</v>
      </c>
      <c r="Q1366" s="1">
        <v>0.0</v>
      </c>
      <c r="S1366" s="517"/>
      <c r="V1366" s="1">
        <v>5.0</v>
      </c>
      <c r="W1366" s="518">
        <f t="shared" si="1"/>
        <v>0</v>
      </c>
    </row>
    <row r="1367" hidden="1">
      <c r="C1367" s="515"/>
      <c r="G1367" s="1" t="s">
        <v>2493</v>
      </c>
      <c r="I1367" s="516"/>
      <c r="J1367" s="516"/>
      <c r="M1367" s="515"/>
      <c r="N1367" s="516"/>
      <c r="P1367" s="1">
        <v>166.7</v>
      </c>
      <c r="Q1367" s="1">
        <v>0.0</v>
      </c>
      <c r="S1367" s="517"/>
      <c r="V1367" s="1">
        <v>0.17</v>
      </c>
      <c r="W1367" s="518">
        <f t="shared" si="1"/>
        <v>0</v>
      </c>
    </row>
    <row r="1368" hidden="1">
      <c r="C1368" s="515"/>
      <c r="G1368" s="1" t="s">
        <v>2492</v>
      </c>
      <c r="I1368" s="516"/>
      <c r="J1368" s="516"/>
      <c r="M1368" s="515"/>
      <c r="N1368" s="516"/>
      <c r="P1368" s="1">
        <v>1000.0</v>
      </c>
      <c r="Q1368" s="1">
        <v>0.0</v>
      </c>
      <c r="S1368" s="517"/>
      <c r="V1368" s="1">
        <v>1.0</v>
      </c>
      <c r="W1368" s="518">
        <f t="shared" si="1"/>
        <v>0</v>
      </c>
    </row>
    <row r="1369" hidden="1">
      <c r="C1369" s="515"/>
      <c r="G1369" s="1" t="s">
        <v>2547</v>
      </c>
      <c r="I1369" s="516"/>
      <c r="J1369" s="516"/>
      <c r="M1369" s="515"/>
      <c r="N1369" s="516"/>
      <c r="P1369" s="1">
        <v>166.7</v>
      </c>
      <c r="Q1369" s="1">
        <v>0.0</v>
      </c>
      <c r="S1369" s="517"/>
      <c r="V1369" s="1">
        <v>0.17</v>
      </c>
      <c r="W1369" s="518">
        <f t="shared" si="1"/>
        <v>0</v>
      </c>
    </row>
    <row r="1370" hidden="1">
      <c r="C1370" s="515"/>
      <c r="G1370" s="1" t="s">
        <v>2498</v>
      </c>
      <c r="I1370" s="516"/>
      <c r="J1370" s="516"/>
      <c r="M1370" s="515"/>
      <c r="N1370" s="516"/>
      <c r="P1370" s="1">
        <v>183.3</v>
      </c>
      <c r="Q1370" s="1">
        <v>0.0</v>
      </c>
      <c r="S1370" s="517"/>
      <c r="V1370" s="1">
        <v>0.18</v>
      </c>
      <c r="W1370" s="518">
        <f t="shared" si="1"/>
        <v>0</v>
      </c>
    </row>
    <row r="1371" hidden="1">
      <c r="C1371" s="515"/>
      <c r="G1371" s="1" t="s">
        <v>2497</v>
      </c>
      <c r="I1371" s="516"/>
      <c r="J1371" s="516"/>
      <c r="M1371" s="515"/>
      <c r="N1371" s="516"/>
      <c r="P1371" s="1">
        <v>2000.0</v>
      </c>
      <c r="Q1371" s="1">
        <v>0.0</v>
      </c>
      <c r="S1371" s="517"/>
      <c r="V1371" s="1">
        <v>2.0</v>
      </c>
      <c r="W1371" s="518">
        <f t="shared" si="1"/>
        <v>0</v>
      </c>
    </row>
    <row r="1372" hidden="1">
      <c r="C1372" s="515"/>
      <c r="G1372" s="1" t="s">
        <v>2565</v>
      </c>
      <c r="I1372" s="516"/>
      <c r="J1372" s="516"/>
      <c r="M1372" s="515"/>
      <c r="N1372" s="516"/>
      <c r="P1372" s="1">
        <v>83.3</v>
      </c>
      <c r="Q1372" s="1">
        <v>0.0</v>
      </c>
      <c r="S1372" s="517"/>
      <c r="V1372" s="1">
        <v>0.08</v>
      </c>
      <c r="W1372" s="518">
        <f t="shared" si="1"/>
        <v>0</v>
      </c>
    </row>
    <row r="1373" hidden="1">
      <c r="C1373" s="515"/>
      <c r="G1373" s="1" t="s">
        <v>2563</v>
      </c>
      <c r="I1373" s="516"/>
      <c r="J1373" s="516"/>
      <c r="M1373" s="515"/>
      <c r="N1373" s="516"/>
      <c r="P1373" s="1">
        <v>125.0</v>
      </c>
      <c r="Q1373" s="1">
        <v>0.0</v>
      </c>
      <c r="S1373" s="517"/>
      <c r="V1373" s="1">
        <v>0.13</v>
      </c>
      <c r="W1373" s="518">
        <f t="shared" si="1"/>
        <v>0</v>
      </c>
    </row>
    <row r="1374" hidden="1">
      <c r="C1374" s="515"/>
      <c r="G1374" s="1" t="s">
        <v>2495</v>
      </c>
      <c r="I1374" s="516"/>
      <c r="J1374" s="516"/>
      <c r="M1374" s="515"/>
      <c r="N1374" s="516"/>
      <c r="P1374" s="1">
        <v>83.3</v>
      </c>
      <c r="Q1374" s="1">
        <v>0.0</v>
      </c>
      <c r="S1374" s="517"/>
      <c r="V1374" s="1">
        <v>0.08</v>
      </c>
      <c r="W1374" s="518">
        <f t="shared" si="1"/>
        <v>0</v>
      </c>
    </row>
    <row r="1375" hidden="1">
      <c r="C1375" s="515"/>
      <c r="G1375" s="1" t="s">
        <v>2504</v>
      </c>
      <c r="I1375" s="516"/>
      <c r="J1375" s="516"/>
      <c r="M1375" s="515"/>
      <c r="N1375" s="516"/>
      <c r="P1375" s="1">
        <v>41.7</v>
      </c>
      <c r="Q1375" s="1">
        <v>0.0</v>
      </c>
      <c r="S1375" s="517"/>
      <c r="V1375" s="1">
        <v>0.04</v>
      </c>
      <c r="W1375" s="518">
        <f t="shared" si="1"/>
        <v>0</v>
      </c>
    </row>
    <row r="1376" hidden="1">
      <c r="C1376" s="515"/>
      <c r="G1376" s="86" t="s">
        <v>2584</v>
      </c>
      <c r="I1376" s="516"/>
      <c r="J1376" s="516"/>
      <c r="M1376" s="515"/>
      <c r="N1376" s="516"/>
      <c r="P1376" s="1">
        <v>1666.7</v>
      </c>
      <c r="Q1376" s="1">
        <v>0.0</v>
      </c>
      <c r="S1376" s="517"/>
      <c r="V1376" s="1">
        <v>1.67</v>
      </c>
      <c r="W1376" s="518">
        <f t="shared" si="1"/>
        <v>0</v>
      </c>
    </row>
    <row r="1377" hidden="1">
      <c r="C1377" s="515"/>
      <c r="G1377" s="1" t="s">
        <v>2600</v>
      </c>
      <c r="I1377" s="516"/>
      <c r="J1377" s="516"/>
      <c r="M1377" s="515"/>
      <c r="N1377" s="516"/>
      <c r="P1377" s="1">
        <v>1000.0</v>
      </c>
      <c r="Q1377" s="1">
        <v>0.0</v>
      </c>
      <c r="S1377" s="517"/>
      <c r="V1377" s="1">
        <v>1.0</v>
      </c>
      <c r="W1377" s="518">
        <f t="shared" si="1"/>
        <v>0</v>
      </c>
    </row>
    <row r="1378" hidden="1">
      <c r="C1378" s="515"/>
      <c r="G1378" s="1" t="s">
        <v>2502</v>
      </c>
      <c r="I1378" s="516"/>
      <c r="J1378" s="516"/>
      <c r="M1378" s="515"/>
      <c r="N1378" s="516"/>
      <c r="P1378" s="1">
        <v>41.7</v>
      </c>
      <c r="Q1378" s="1">
        <v>0.0</v>
      </c>
      <c r="S1378" s="517"/>
      <c r="V1378" s="1">
        <v>0.04</v>
      </c>
      <c r="W1378" s="518">
        <f t="shared" si="1"/>
        <v>0</v>
      </c>
    </row>
    <row r="1379" hidden="1">
      <c r="C1379" s="515"/>
      <c r="G1379" s="1" t="s">
        <v>2501</v>
      </c>
      <c r="I1379" s="516"/>
      <c r="J1379" s="516"/>
      <c r="M1379" s="515"/>
      <c r="N1379" s="516"/>
      <c r="P1379" s="1">
        <v>83.3</v>
      </c>
      <c r="Q1379" s="1">
        <v>0.0</v>
      </c>
      <c r="S1379" s="517"/>
      <c r="V1379" s="1">
        <v>0.08</v>
      </c>
      <c r="W1379" s="518">
        <f t="shared" si="1"/>
        <v>0</v>
      </c>
    </row>
    <row r="1380" hidden="1">
      <c r="C1380" s="515"/>
      <c r="G1380" s="1" t="s">
        <v>2500</v>
      </c>
      <c r="I1380" s="516"/>
      <c r="J1380" s="516"/>
      <c r="M1380" s="515"/>
      <c r="N1380" s="516"/>
      <c r="P1380" s="1">
        <v>41.7</v>
      </c>
      <c r="Q1380" s="1">
        <v>0.0</v>
      </c>
      <c r="S1380" s="517"/>
      <c r="V1380" s="1">
        <v>0.04</v>
      </c>
      <c r="W1380" s="518">
        <f t="shared" si="1"/>
        <v>0</v>
      </c>
    </row>
    <row r="1381" hidden="1">
      <c r="C1381" s="515"/>
      <c r="G1381" s="1" t="s">
        <v>2505</v>
      </c>
      <c r="I1381" s="516"/>
      <c r="J1381" s="516"/>
      <c r="M1381" s="515"/>
      <c r="N1381" s="516"/>
      <c r="P1381" s="1">
        <v>125.0</v>
      </c>
      <c r="Q1381" s="1">
        <v>0.0</v>
      </c>
      <c r="S1381" s="517"/>
      <c r="V1381" s="1">
        <v>0.13</v>
      </c>
      <c r="W1381" s="518">
        <f t="shared" si="1"/>
        <v>0</v>
      </c>
    </row>
    <row r="1382" hidden="1">
      <c r="C1382" s="515"/>
      <c r="G1382" s="1" t="s">
        <v>2575</v>
      </c>
      <c r="I1382" s="516"/>
      <c r="J1382" s="516"/>
      <c r="M1382" s="515"/>
      <c r="N1382" s="516"/>
      <c r="P1382" s="1">
        <v>83.3</v>
      </c>
      <c r="Q1382" s="1">
        <v>0.0</v>
      </c>
      <c r="S1382" s="517"/>
      <c r="V1382" s="1">
        <v>0.08</v>
      </c>
      <c r="W1382" s="518">
        <f t="shared" si="1"/>
        <v>0</v>
      </c>
    </row>
    <row r="1383" hidden="1">
      <c r="C1383" s="515"/>
      <c r="G1383" s="1" t="s">
        <v>2511</v>
      </c>
      <c r="I1383" s="516"/>
      <c r="J1383" s="516"/>
      <c r="M1383" s="515"/>
      <c r="N1383" s="516"/>
      <c r="P1383" s="1">
        <v>41.7</v>
      </c>
      <c r="Q1383" s="1">
        <v>0.0</v>
      </c>
      <c r="S1383" s="517"/>
      <c r="V1383" s="1">
        <v>0.04</v>
      </c>
      <c r="W1383" s="518">
        <f t="shared" si="1"/>
        <v>0</v>
      </c>
    </row>
    <row r="1384" hidden="1">
      <c r="C1384" s="515"/>
      <c r="G1384" s="1" t="s">
        <v>2510</v>
      </c>
      <c r="I1384" s="516"/>
      <c r="J1384" s="516"/>
      <c r="M1384" s="515"/>
      <c r="N1384" s="516"/>
      <c r="P1384" s="1">
        <v>83.3</v>
      </c>
      <c r="Q1384" s="1">
        <v>0.0</v>
      </c>
      <c r="S1384" s="517"/>
      <c r="V1384" s="1">
        <v>0.08</v>
      </c>
      <c r="W1384" s="518">
        <f t="shared" si="1"/>
        <v>0</v>
      </c>
    </row>
    <row r="1385" hidden="1">
      <c r="C1385" s="515"/>
      <c r="G1385" s="1" t="s">
        <v>2406</v>
      </c>
      <c r="I1385" s="516"/>
      <c r="J1385" s="516"/>
      <c r="M1385" s="515"/>
      <c r="N1385" s="516"/>
      <c r="P1385" s="1">
        <v>166.7</v>
      </c>
      <c r="Q1385" s="1">
        <v>0.0</v>
      </c>
      <c r="S1385" s="517"/>
      <c r="V1385" s="1">
        <v>0.17</v>
      </c>
      <c r="W1385" s="518">
        <f t="shared" si="1"/>
        <v>0</v>
      </c>
    </row>
    <row r="1386" hidden="1">
      <c r="C1386" s="515"/>
      <c r="G1386" s="1" t="s">
        <v>2405</v>
      </c>
      <c r="I1386" s="516"/>
      <c r="J1386" s="516"/>
      <c r="M1386" s="515"/>
      <c r="N1386" s="516"/>
      <c r="P1386" s="1">
        <v>166.7</v>
      </c>
      <c r="Q1386" s="1">
        <v>0.0</v>
      </c>
      <c r="S1386" s="517"/>
      <c r="V1386" s="1">
        <v>0.17</v>
      </c>
      <c r="W1386" s="518">
        <f t="shared" si="1"/>
        <v>0</v>
      </c>
    </row>
    <row r="1387" hidden="1">
      <c r="C1387" s="515"/>
      <c r="G1387" s="1" t="s">
        <v>2413</v>
      </c>
      <c r="I1387" s="516"/>
      <c r="J1387" s="516"/>
      <c r="M1387" s="515"/>
      <c r="N1387" s="516"/>
      <c r="P1387" s="1">
        <v>333.3</v>
      </c>
      <c r="Q1387" s="1">
        <v>0.0</v>
      </c>
      <c r="S1387" s="517"/>
      <c r="V1387" s="1">
        <v>0.33</v>
      </c>
      <c r="W1387" s="518">
        <f t="shared" si="1"/>
        <v>0</v>
      </c>
    </row>
    <row r="1388" hidden="1">
      <c r="C1388" s="515"/>
      <c r="G1388" s="1" t="s">
        <v>2412</v>
      </c>
      <c r="I1388" s="516"/>
      <c r="J1388" s="516"/>
      <c r="M1388" s="515"/>
      <c r="N1388" s="516"/>
      <c r="P1388" s="1">
        <v>4000.0</v>
      </c>
      <c r="Q1388" s="1">
        <v>0.0</v>
      </c>
      <c r="S1388" s="517"/>
      <c r="V1388" s="1">
        <v>4.0</v>
      </c>
      <c r="W1388" s="518">
        <f t="shared" si="1"/>
        <v>0</v>
      </c>
    </row>
    <row r="1389" hidden="1">
      <c r="C1389" s="515"/>
      <c r="G1389" s="1" t="s">
        <v>2549</v>
      </c>
      <c r="I1389" s="516"/>
      <c r="J1389" s="516"/>
      <c r="M1389" s="515"/>
      <c r="N1389" s="516"/>
      <c r="P1389" s="1">
        <v>83.3</v>
      </c>
      <c r="Q1389" s="1">
        <v>0.0</v>
      </c>
      <c r="S1389" s="517"/>
      <c r="V1389" s="1">
        <v>0.08</v>
      </c>
      <c r="W1389" s="518">
        <f t="shared" si="1"/>
        <v>0</v>
      </c>
    </row>
    <row r="1390" hidden="1">
      <c r="C1390" s="515"/>
      <c r="G1390" s="1" t="s">
        <v>2410</v>
      </c>
      <c r="I1390" s="516"/>
      <c r="J1390" s="516"/>
      <c r="M1390" s="515"/>
      <c r="N1390" s="516"/>
      <c r="P1390" s="1">
        <v>83.3</v>
      </c>
      <c r="Q1390" s="1">
        <v>0.0</v>
      </c>
      <c r="S1390" s="517"/>
      <c r="V1390" s="1">
        <v>0.08</v>
      </c>
      <c r="W1390" s="518">
        <f t="shared" si="1"/>
        <v>0</v>
      </c>
    </row>
    <row r="1391" hidden="1">
      <c r="C1391" s="515"/>
      <c r="G1391" s="1" t="s">
        <v>2409</v>
      </c>
      <c r="I1391" s="516"/>
      <c r="J1391" s="516"/>
      <c r="M1391" s="515"/>
      <c r="N1391" s="516"/>
      <c r="P1391" s="1">
        <v>208.3</v>
      </c>
      <c r="Q1391" s="1">
        <v>0.0</v>
      </c>
      <c r="S1391" s="517"/>
      <c r="V1391" s="1">
        <v>0.21</v>
      </c>
      <c r="W1391" s="518">
        <f t="shared" si="1"/>
        <v>0</v>
      </c>
    </row>
    <row r="1392" hidden="1">
      <c r="C1392" s="515"/>
      <c r="G1392" s="1" t="s">
        <v>2408</v>
      </c>
      <c r="I1392" s="516"/>
      <c r="J1392" s="516"/>
      <c r="M1392" s="515"/>
      <c r="N1392" s="516"/>
      <c r="P1392" s="1">
        <v>41.7</v>
      </c>
      <c r="Q1392" s="1">
        <v>0.0</v>
      </c>
      <c r="S1392" s="517"/>
      <c r="V1392" s="1">
        <v>0.04</v>
      </c>
      <c r="W1392" s="518">
        <f t="shared" si="1"/>
        <v>0</v>
      </c>
    </row>
    <row r="1393" hidden="1">
      <c r="C1393" s="515"/>
      <c r="G1393" s="1" t="s">
        <v>2601</v>
      </c>
      <c r="I1393" s="516"/>
      <c r="J1393" s="516"/>
      <c r="M1393" s="515"/>
      <c r="N1393" s="516"/>
      <c r="P1393" s="1">
        <v>41.7</v>
      </c>
      <c r="Q1393" s="1">
        <v>0.0</v>
      </c>
      <c r="S1393" s="517"/>
      <c r="V1393" s="1">
        <v>0.04</v>
      </c>
      <c r="W1393" s="518">
        <f t="shared" si="1"/>
        <v>0</v>
      </c>
    </row>
    <row r="1394" hidden="1">
      <c r="C1394" s="515"/>
      <c r="G1394" s="1" t="s">
        <v>2407</v>
      </c>
      <c r="I1394" s="516"/>
      <c r="J1394" s="516"/>
      <c r="M1394" s="515"/>
      <c r="N1394" s="516"/>
      <c r="P1394" s="1">
        <v>416.7</v>
      </c>
      <c r="Q1394" s="1">
        <v>0.0</v>
      </c>
      <c r="S1394" s="517"/>
      <c r="V1394" s="1">
        <v>0.42</v>
      </c>
      <c r="W1394" s="518">
        <f t="shared" si="1"/>
        <v>0</v>
      </c>
    </row>
    <row r="1395" hidden="1">
      <c r="C1395" s="515"/>
      <c r="G1395" s="1" t="s">
        <v>2453</v>
      </c>
      <c r="I1395" s="516"/>
      <c r="J1395" s="516"/>
      <c r="M1395" s="515"/>
      <c r="N1395" s="516"/>
      <c r="P1395" s="1">
        <v>83.3</v>
      </c>
      <c r="Q1395" s="1">
        <v>0.0</v>
      </c>
      <c r="S1395" s="517"/>
      <c r="V1395" s="1">
        <v>0.08</v>
      </c>
      <c r="W1395" s="518">
        <f t="shared" si="1"/>
        <v>0</v>
      </c>
    </row>
    <row r="1396" hidden="1">
      <c r="C1396" s="515"/>
      <c r="G1396" s="1" t="s">
        <v>2555</v>
      </c>
      <c r="I1396" s="516"/>
      <c r="J1396" s="516"/>
      <c r="M1396" s="515"/>
      <c r="N1396" s="516"/>
      <c r="P1396" s="1">
        <v>83.3</v>
      </c>
      <c r="Q1396" s="1">
        <v>0.0</v>
      </c>
      <c r="S1396" s="517"/>
      <c r="V1396" s="1">
        <v>0.08</v>
      </c>
      <c r="W1396" s="518">
        <f t="shared" si="1"/>
        <v>0</v>
      </c>
    </row>
    <row r="1397" hidden="1">
      <c r="C1397" s="515"/>
      <c r="G1397" s="1" t="s">
        <v>2415</v>
      </c>
      <c r="I1397" s="516"/>
      <c r="J1397" s="516"/>
      <c r="M1397" s="515"/>
      <c r="N1397" s="516"/>
      <c r="P1397" s="1">
        <v>333.3</v>
      </c>
      <c r="Q1397" s="1">
        <v>0.0</v>
      </c>
      <c r="S1397" s="517"/>
      <c r="V1397" s="1">
        <v>0.33</v>
      </c>
      <c r="W1397" s="518">
        <f t="shared" si="1"/>
        <v>0</v>
      </c>
    </row>
    <row r="1398" hidden="1">
      <c r="C1398" s="515"/>
      <c r="G1398" s="1" t="s">
        <v>2602</v>
      </c>
      <c r="I1398" s="516"/>
      <c r="J1398" s="516"/>
      <c r="K1398" s="515">
        <v>46022.0</v>
      </c>
      <c r="M1398" s="515"/>
      <c r="N1398" s="516"/>
      <c r="P1398" s="1">
        <v>0.0</v>
      </c>
      <c r="Q1398" s="1" t="s">
        <v>2404</v>
      </c>
      <c r="S1398" s="517"/>
      <c r="V1398" s="1">
        <v>10.0</v>
      </c>
      <c r="W1398" s="518">
        <f t="shared" si="1"/>
        <v>10000</v>
      </c>
    </row>
    <row r="1399" hidden="1">
      <c r="C1399" s="515"/>
      <c r="G1399" s="1" t="s">
        <v>2551</v>
      </c>
      <c r="I1399" s="516"/>
      <c r="J1399" s="516"/>
      <c r="M1399" s="515"/>
      <c r="N1399" s="516"/>
      <c r="P1399" s="1">
        <v>333.3</v>
      </c>
      <c r="Q1399" s="1">
        <v>0.0</v>
      </c>
      <c r="S1399" s="517"/>
      <c r="V1399" s="1">
        <v>0.33</v>
      </c>
      <c r="W1399" s="518">
        <f t="shared" si="1"/>
        <v>0</v>
      </c>
    </row>
    <row r="1400" hidden="1">
      <c r="C1400" s="515"/>
      <c r="G1400" s="1" t="s">
        <v>2420</v>
      </c>
      <c r="I1400" s="516"/>
      <c r="J1400" s="516"/>
      <c r="M1400" s="515"/>
      <c r="N1400" s="516"/>
      <c r="P1400" s="1">
        <v>83.3</v>
      </c>
      <c r="Q1400" s="1">
        <v>0.0</v>
      </c>
      <c r="S1400" s="517"/>
      <c r="V1400" s="1">
        <v>0.08</v>
      </c>
      <c r="W1400" s="518">
        <f t="shared" si="1"/>
        <v>0</v>
      </c>
    </row>
    <row r="1401" hidden="1">
      <c r="C1401" s="515"/>
      <c r="G1401" s="1" t="s">
        <v>2419</v>
      </c>
      <c r="I1401" s="516"/>
      <c r="J1401" s="516"/>
      <c r="M1401" s="515"/>
      <c r="N1401" s="516"/>
      <c r="P1401" s="1">
        <v>666.7</v>
      </c>
      <c r="Q1401" s="1">
        <v>0.0</v>
      </c>
      <c r="S1401" s="517"/>
      <c r="V1401" s="1">
        <v>0.67</v>
      </c>
      <c r="W1401" s="518">
        <f t="shared" si="1"/>
        <v>0</v>
      </c>
    </row>
    <row r="1402" hidden="1">
      <c r="C1402" s="515"/>
      <c r="G1402" s="1" t="s">
        <v>2603</v>
      </c>
      <c r="I1402" s="516"/>
      <c r="J1402" s="516"/>
      <c r="M1402" s="515"/>
      <c r="N1402" s="516"/>
      <c r="P1402" s="1">
        <v>83.3</v>
      </c>
      <c r="Q1402" s="1">
        <v>0.0</v>
      </c>
      <c r="S1402" s="517"/>
      <c r="V1402" s="1">
        <v>0.08</v>
      </c>
      <c r="W1402" s="518">
        <f t="shared" si="1"/>
        <v>0</v>
      </c>
    </row>
    <row r="1403" hidden="1">
      <c r="C1403" s="515"/>
      <c r="G1403" s="1" t="s">
        <v>2577</v>
      </c>
      <c r="I1403" s="516"/>
      <c r="J1403" s="516"/>
      <c r="M1403" s="515"/>
      <c r="N1403" s="516"/>
      <c r="P1403" s="1">
        <v>41.7</v>
      </c>
      <c r="Q1403" s="1">
        <v>0.0</v>
      </c>
      <c r="S1403" s="517"/>
      <c r="V1403" s="1">
        <v>0.04</v>
      </c>
      <c r="W1403" s="518">
        <f t="shared" si="1"/>
        <v>0</v>
      </c>
    </row>
    <row r="1404" hidden="1">
      <c r="C1404" s="515"/>
      <c r="G1404" s="1" t="s">
        <v>2422</v>
      </c>
      <c r="I1404" s="516"/>
      <c r="J1404" s="516"/>
      <c r="M1404" s="515"/>
      <c r="P1404" s="1">
        <v>250.0</v>
      </c>
      <c r="Q1404" s="1">
        <v>0.0</v>
      </c>
      <c r="S1404" s="517"/>
      <c r="V1404" s="1">
        <v>0.25</v>
      </c>
      <c r="W1404" s="518">
        <f t="shared" si="1"/>
        <v>0</v>
      </c>
    </row>
    <row r="1405" hidden="1">
      <c r="C1405" s="515"/>
      <c r="G1405" s="1" t="s">
        <v>2425</v>
      </c>
      <c r="I1405" s="516"/>
      <c r="J1405" s="516"/>
      <c r="P1405" s="1">
        <v>41.7</v>
      </c>
      <c r="Q1405" s="1">
        <v>0.0</v>
      </c>
      <c r="S1405" s="517"/>
      <c r="V1405" s="1">
        <v>0.04</v>
      </c>
      <c r="W1405" s="518">
        <f t="shared" si="1"/>
        <v>0</v>
      </c>
    </row>
    <row r="1406" hidden="1">
      <c r="C1406" s="515"/>
      <c r="G1406" s="1" t="s">
        <v>2589</v>
      </c>
      <c r="I1406" s="516"/>
      <c r="J1406" s="516"/>
      <c r="M1406" s="515"/>
      <c r="N1406" s="516"/>
      <c r="P1406" s="1">
        <v>166.7</v>
      </c>
      <c r="Q1406" s="1">
        <v>0.0</v>
      </c>
      <c r="S1406" s="517"/>
      <c r="V1406" s="1">
        <v>0.17</v>
      </c>
      <c r="W1406" s="518">
        <f t="shared" si="1"/>
        <v>0</v>
      </c>
    </row>
    <row r="1407" hidden="1">
      <c r="C1407" s="515"/>
      <c r="G1407" s="1" t="s">
        <v>2431</v>
      </c>
      <c r="I1407" s="516"/>
      <c r="J1407" s="516"/>
      <c r="M1407" s="515"/>
      <c r="N1407" s="516"/>
      <c r="P1407" s="1">
        <v>83.3</v>
      </c>
      <c r="Q1407" s="1">
        <v>0.0</v>
      </c>
      <c r="S1407" s="517"/>
      <c r="V1407" s="1">
        <v>0.08</v>
      </c>
      <c r="W1407" s="518">
        <f t="shared" si="1"/>
        <v>0</v>
      </c>
    </row>
    <row r="1408" hidden="1">
      <c r="C1408" s="515"/>
      <c r="G1408" s="1" t="s">
        <v>2556</v>
      </c>
      <c r="I1408" s="516"/>
      <c r="J1408" s="516"/>
      <c r="M1408" s="515"/>
      <c r="P1408" s="1">
        <v>83.3</v>
      </c>
      <c r="Q1408" s="1">
        <v>0.0</v>
      </c>
      <c r="S1408" s="517"/>
      <c r="V1408" s="1">
        <v>0.08</v>
      </c>
      <c r="W1408" s="518">
        <f t="shared" si="1"/>
        <v>0</v>
      </c>
    </row>
    <row r="1409" hidden="1">
      <c r="C1409" s="515"/>
      <c r="G1409" s="1" t="s">
        <v>2429</v>
      </c>
      <c r="I1409" s="516"/>
      <c r="J1409" s="516"/>
      <c r="M1409" s="515"/>
      <c r="N1409" s="516"/>
      <c r="P1409" s="1">
        <v>333.3</v>
      </c>
      <c r="Q1409" s="1">
        <v>0.0</v>
      </c>
      <c r="S1409" s="517"/>
      <c r="V1409" s="1">
        <v>0.33</v>
      </c>
      <c r="W1409" s="518">
        <f t="shared" si="1"/>
        <v>0</v>
      </c>
    </row>
    <row r="1410" hidden="1">
      <c r="C1410" s="515"/>
      <c r="G1410" s="1" t="s">
        <v>2428</v>
      </c>
      <c r="I1410" s="516"/>
      <c r="J1410" s="516"/>
      <c r="M1410" s="515"/>
      <c r="N1410" s="516"/>
      <c r="P1410" s="1">
        <v>166.7</v>
      </c>
      <c r="Q1410" s="1">
        <v>0.0</v>
      </c>
      <c r="S1410" s="517"/>
      <c r="V1410" s="1">
        <v>0.17</v>
      </c>
      <c r="W1410" s="518">
        <f t="shared" si="1"/>
        <v>0</v>
      </c>
    </row>
    <row r="1411" hidden="1">
      <c r="C1411" s="515"/>
      <c r="G1411" s="1" t="s">
        <v>2426</v>
      </c>
      <c r="I1411" s="516"/>
      <c r="J1411" s="516"/>
      <c r="M1411" s="515"/>
      <c r="N1411" s="516"/>
      <c r="P1411" s="1">
        <v>250.0</v>
      </c>
      <c r="Q1411" s="1">
        <v>0.0</v>
      </c>
      <c r="S1411" s="517"/>
      <c r="V1411" s="1">
        <v>0.25</v>
      </c>
      <c r="W1411" s="518">
        <f t="shared" si="1"/>
        <v>0</v>
      </c>
    </row>
    <row r="1412" hidden="1">
      <c r="C1412" s="515"/>
      <c r="G1412" s="1" t="s">
        <v>2433</v>
      </c>
      <c r="I1412" s="516"/>
      <c r="J1412" s="516"/>
      <c r="M1412" s="515"/>
      <c r="N1412" s="516"/>
      <c r="P1412" s="1">
        <v>41.7</v>
      </c>
      <c r="Q1412" s="1">
        <v>0.0</v>
      </c>
      <c r="S1412" s="517"/>
      <c r="V1412" s="1">
        <v>0.04</v>
      </c>
      <c r="W1412" s="518">
        <f t="shared" si="1"/>
        <v>0</v>
      </c>
    </row>
    <row r="1413" hidden="1">
      <c r="C1413" s="515"/>
      <c r="G1413" s="1" t="s">
        <v>2590</v>
      </c>
      <c r="I1413" s="516"/>
      <c r="J1413" s="516"/>
      <c r="M1413" s="515"/>
      <c r="N1413" s="516"/>
      <c r="P1413" s="1">
        <v>83.3</v>
      </c>
      <c r="Q1413" s="1">
        <v>0.0</v>
      </c>
      <c r="S1413" s="517"/>
      <c r="V1413" s="1">
        <v>0.08</v>
      </c>
      <c r="W1413" s="518">
        <f t="shared" si="1"/>
        <v>0</v>
      </c>
    </row>
    <row r="1414" hidden="1">
      <c r="C1414" s="515"/>
      <c r="G1414" s="1" t="s">
        <v>2604</v>
      </c>
      <c r="I1414" s="516"/>
      <c r="J1414" s="516"/>
      <c r="M1414" s="515"/>
      <c r="N1414" s="516"/>
      <c r="P1414" s="1">
        <v>41.7</v>
      </c>
      <c r="Q1414" s="1">
        <v>0.0</v>
      </c>
      <c r="S1414" s="517"/>
      <c r="V1414" s="1">
        <v>0.04</v>
      </c>
      <c r="W1414" s="518">
        <f t="shared" si="1"/>
        <v>0</v>
      </c>
    </row>
    <row r="1415" hidden="1">
      <c r="C1415" s="515"/>
      <c r="G1415" s="1" t="s">
        <v>2439</v>
      </c>
      <c r="I1415" s="516"/>
      <c r="J1415" s="516"/>
      <c r="M1415" s="515"/>
      <c r="N1415" s="516"/>
      <c r="P1415" s="1">
        <v>83.3</v>
      </c>
      <c r="Q1415" s="1">
        <v>0.0</v>
      </c>
      <c r="S1415" s="517"/>
      <c r="V1415" s="1">
        <v>0.08</v>
      </c>
      <c r="W1415" s="518">
        <f t="shared" si="1"/>
        <v>0</v>
      </c>
    </row>
    <row r="1416" hidden="1">
      <c r="C1416" s="515"/>
      <c r="G1416" s="1" t="s">
        <v>2536</v>
      </c>
      <c r="I1416" s="516"/>
      <c r="J1416" s="516"/>
      <c r="M1416" s="515"/>
      <c r="N1416" s="516"/>
      <c r="P1416" s="1">
        <v>166.7</v>
      </c>
      <c r="Q1416" s="1">
        <v>0.0</v>
      </c>
      <c r="S1416" s="517"/>
      <c r="V1416" s="1">
        <v>0.17</v>
      </c>
      <c r="W1416" s="518">
        <f t="shared" si="1"/>
        <v>0</v>
      </c>
    </row>
    <row r="1417" hidden="1">
      <c r="C1417" s="515"/>
      <c r="G1417" s="1" t="s">
        <v>2441</v>
      </c>
      <c r="I1417" s="516"/>
      <c r="J1417" s="516"/>
      <c r="M1417" s="515"/>
      <c r="N1417" s="516"/>
      <c r="P1417" s="1">
        <v>83.3</v>
      </c>
      <c r="Q1417" s="1">
        <v>0.0</v>
      </c>
      <c r="S1417" s="517"/>
      <c r="V1417" s="1">
        <v>0.08</v>
      </c>
      <c r="W1417" s="518">
        <f t="shared" si="1"/>
        <v>0</v>
      </c>
    </row>
    <row r="1418" hidden="1">
      <c r="C1418" s="515"/>
      <c r="G1418" s="1" t="s">
        <v>2444</v>
      </c>
      <c r="I1418" s="516"/>
      <c r="J1418" s="516"/>
      <c r="M1418" s="515"/>
      <c r="N1418" s="516"/>
      <c r="P1418" s="1">
        <v>125.0</v>
      </c>
      <c r="Q1418" s="1">
        <v>0.0</v>
      </c>
      <c r="S1418" s="517"/>
      <c r="V1418" s="1">
        <v>0.13</v>
      </c>
      <c r="W1418" s="518">
        <f t="shared" si="1"/>
        <v>0</v>
      </c>
    </row>
    <row r="1419" hidden="1">
      <c r="C1419" s="515"/>
      <c r="G1419" s="1" t="s">
        <v>2443</v>
      </c>
      <c r="I1419" s="516"/>
      <c r="J1419" s="516"/>
      <c r="M1419" s="515"/>
      <c r="N1419" s="516"/>
      <c r="P1419" s="1">
        <v>833.3</v>
      </c>
      <c r="Q1419" s="1">
        <v>0.0</v>
      </c>
      <c r="S1419" s="517"/>
      <c r="V1419" s="1">
        <v>0.83</v>
      </c>
      <c r="W1419" s="518">
        <f t="shared" si="1"/>
        <v>0</v>
      </c>
    </row>
    <row r="1420" hidden="1">
      <c r="C1420" s="515"/>
      <c r="G1420" s="1" t="s">
        <v>2596</v>
      </c>
      <c r="I1420" s="516"/>
      <c r="J1420" s="516"/>
      <c r="M1420" s="515"/>
      <c r="N1420" s="516"/>
      <c r="P1420" s="1">
        <v>41.7</v>
      </c>
      <c r="Q1420" s="1">
        <v>0.0</v>
      </c>
      <c r="S1420" s="517"/>
      <c r="V1420" s="1">
        <v>0.04</v>
      </c>
      <c r="W1420" s="518">
        <f t="shared" si="1"/>
        <v>0</v>
      </c>
    </row>
    <row r="1421" hidden="1">
      <c r="C1421" s="515"/>
      <c r="G1421" s="1" t="s">
        <v>2447</v>
      </c>
      <c r="I1421" s="516"/>
      <c r="J1421" s="516"/>
      <c r="M1421" s="515"/>
      <c r="N1421" s="516"/>
      <c r="P1421" s="1">
        <v>83.3</v>
      </c>
      <c r="Q1421" s="1">
        <v>0.0</v>
      </c>
      <c r="S1421" s="517"/>
      <c r="V1421" s="1">
        <v>0.08</v>
      </c>
      <c r="W1421" s="518">
        <f t="shared" si="1"/>
        <v>0</v>
      </c>
    </row>
    <row r="1422" hidden="1">
      <c r="C1422" s="515"/>
      <c r="G1422" s="1" t="s">
        <v>2445</v>
      </c>
      <c r="I1422" s="516"/>
      <c r="J1422" s="516"/>
      <c r="M1422" s="515"/>
      <c r="N1422" s="516"/>
      <c r="P1422" s="1">
        <v>166.7</v>
      </c>
      <c r="Q1422" s="1">
        <v>0.0</v>
      </c>
      <c r="S1422" s="517"/>
      <c r="V1422" s="1">
        <v>0.17</v>
      </c>
      <c r="W1422" s="518">
        <f t="shared" si="1"/>
        <v>0</v>
      </c>
    </row>
    <row r="1423" hidden="1">
      <c r="C1423" s="515"/>
      <c r="G1423" s="1" t="s">
        <v>2585</v>
      </c>
      <c r="I1423" s="516"/>
      <c r="J1423" s="516"/>
      <c r="M1423" s="515"/>
      <c r="N1423" s="516"/>
      <c r="P1423" s="1">
        <v>41.7</v>
      </c>
      <c r="Q1423" s="1">
        <v>0.0</v>
      </c>
      <c r="S1423" s="517"/>
      <c r="V1423" s="1">
        <v>0.04</v>
      </c>
      <c r="W1423" s="518">
        <f t="shared" si="1"/>
        <v>0</v>
      </c>
    </row>
    <row r="1424" hidden="1">
      <c r="C1424" s="515"/>
      <c r="G1424" s="1" t="s">
        <v>2449</v>
      </c>
      <c r="I1424" s="516"/>
      <c r="J1424" s="516"/>
      <c r="M1424" s="515"/>
      <c r="P1424" s="1">
        <v>41.7</v>
      </c>
      <c r="Q1424" s="1">
        <v>0.0</v>
      </c>
      <c r="S1424" s="517"/>
      <c r="V1424" s="1">
        <v>0.04</v>
      </c>
      <c r="W1424" s="518">
        <f t="shared" si="1"/>
        <v>0</v>
      </c>
    </row>
    <row r="1425" hidden="1">
      <c r="C1425" s="515"/>
      <c r="G1425" s="1" t="s">
        <v>2451</v>
      </c>
      <c r="I1425" s="516"/>
      <c r="J1425" s="516"/>
      <c r="M1425" s="515"/>
      <c r="N1425" s="516"/>
      <c r="P1425" s="1">
        <v>41.7</v>
      </c>
      <c r="Q1425" s="1">
        <v>0.0</v>
      </c>
      <c r="S1425" s="517"/>
      <c r="V1425" s="1">
        <v>0.04</v>
      </c>
      <c r="W1425" s="518">
        <f t="shared" si="1"/>
        <v>0</v>
      </c>
    </row>
    <row r="1426" hidden="1">
      <c r="C1426" s="515"/>
      <c r="G1426" s="1" t="s">
        <v>2592</v>
      </c>
      <c r="I1426" s="516"/>
      <c r="J1426" s="516"/>
      <c r="M1426" s="515"/>
      <c r="N1426" s="516"/>
      <c r="P1426" s="1">
        <v>41.7</v>
      </c>
      <c r="Q1426" s="1">
        <v>0.0</v>
      </c>
      <c r="S1426" s="517"/>
      <c r="V1426" s="1">
        <v>0.04</v>
      </c>
      <c r="W1426" s="518">
        <f t="shared" si="1"/>
        <v>0</v>
      </c>
    </row>
    <row r="1427" hidden="1">
      <c r="C1427" s="515"/>
      <c r="G1427" s="1" t="s">
        <v>2518</v>
      </c>
      <c r="I1427" s="516"/>
      <c r="J1427" s="516"/>
      <c r="M1427" s="515"/>
      <c r="N1427" s="516"/>
      <c r="P1427" s="1">
        <v>125.0</v>
      </c>
      <c r="Q1427" s="1">
        <v>0.0</v>
      </c>
      <c r="S1427" s="517"/>
      <c r="V1427" s="1">
        <v>0.13</v>
      </c>
      <c r="W1427" s="518">
        <f t="shared" si="1"/>
        <v>0</v>
      </c>
    </row>
    <row r="1428" hidden="1">
      <c r="C1428" s="515"/>
      <c r="G1428" s="1" t="s">
        <v>2518</v>
      </c>
      <c r="I1428" s="516"/>
      <c r="J1428" s="516"/>
      <c r="M1428" s="515"/>
      <c r="N1428" s="516"/>
      <c r="P1428" s="1">
        <v>125.0</v>
      </c>
      <c r="Q1428" s="1">
        <v>0.0</v>
      </c>
      <c r="S1428" s="517"/>
      <c r="V1428" s="1">
        <v>0.13</v>
      </c>
      <c r="W1428" s="518">
        <f t="shared" si="1"/>
        <v>0</v>
      </c>
    </row>
    <row r="1429" hidden="1">
      <c r="C1429" s="515"/>
      <c r="G1429" s="1" t="s">
        <v>2460</v>
      </c>
      <c r="I1429" s="516"/>
      <c r="J1429" s="516"/>
      <c r="M1429" s="515"/>
      <c r="N1429" s="516"/>
      <c r="P1429" s="1">
        <v>833.3</v>
      </c>
      <c r="Q1429" s="1">
        <v>0.0</v>
      </c>
      <c r="S1429" s="517"/>
      <c r="V1429" s="1">
        <v>0.83</v>
      </c>
      <c r="W1429" s="518">
        <f t="shared" si="1"/>
        <v>0</v>
      </c>
    </row>
    <row r="1430" hidden="1">
      <c r="C1430" s="515"/>
      <c r="G1430" s="1" t="s">
        <v>2458</v>
      </c>
      <c r="I1430" s="516"/>
      <c r="J1430" s="516"/>
      <c r="M1430" s="515"/>
      <c r="P1430" s="1">
        <v>83.3</v>
      </c>
      <c r="Q1430" s="1">
        <v>0.0</v>
      </c>
      <c r="S1430" s="517"/>
      <c r="V1430" s="1">
        <v>0.08</v>
      </c>
      <c r="W1430" s="518">
        <f t="shared" si="1"/>
        <v>0</v>
      </c>
    </row>
    <row r="1431" hidden="1">
      <c r="C1431" s="515"/>
      <c r="G1431" s="1" t="s">
        <v>2540</v>
      </c>
      <c r="I1431" s="516"/>
      <c r="J1431" s="516"/>
      <c r="M1431" s="515"/>
      <c r="N1431" s="516"/>
      <c r="P1431" s="1">
        <v>416.7</v>
      </c>
      <c r="Q1431" s="1">
        <v>0.0</v>
      </c>
      <c r="S1431" s="517"/>
      <c r="V1431" s="1">
        <v>0.42</v>
      </c>
      <c r="W1431" s="518">
        <f t="shared" si="1"/>
        <v>0</v>
      </c>
    </row>
    <row r="1432" hidden="1">
      <c r="C1432" s="515"/>
      <c r="G1432" s="1" t="s">
        <v>2457</v>
      </c>
      <c r="I1432" s="516"/>
      <c r="J1432" s="516"/>
      <c r="M1432" s="515"/>
      <c r="N1432" s="516"/>
      <c r="P1432" s="1">
        <v>500.0</v>
      </c>
      <c r="Q1432" s="1">
        <v>0.0</v>
      </c>
      <c r="S1432" s="517"/>
      <c r="V1432" s="1">
        <v>0.5</v>
      </c>
      <c r="W1432" s="518">
        <f t="shared" si="1"/>
        <v>0</v>
      </c>
    </row>
    <row r="1433" hidden="1">
      <c r="C1433" s="515"/>
      <c r="G1433" s="1" t="s">
        <v>2539</v>
      </c>
      <c r="I1433" s="516"/>
      <c r="J1433" s="516"/>
      <c r="M1433" s="515"/>
      <c r="N1433" s="516"/>
      <c r="P1433" s="1">
        <v>41.7</v>
      </c>
      <c r="Q1433" s="1">
        <v>0.0</v>
      </c>
      <c r="S1433" s="517"/>
      <c r="V1433" s="1">
        <v>0.04</v>
      </c>
      <c r="W1433" s="518">
        <f t="shared" si="1"/>
        <v>0</v>
      </c>
    </row>
    <row r="1434" hidden="1">
      <c r="C1434" s="515"/>
      <c r="G1434" s="1" t="s">
        <v>2456</v>
      </c>
      <c r="I1434" s="516"/>
      <c r="J1434" s="516"/>
      <c r="M1434" s="515"/>
      <c r="N1434" s="516"/>
      <c r="P1434" s="1">
        <v>666.7</v>
      </c>
      <c r="Q1434" s="1">
        <v>0.0</v>
      </c>
      <c r="S1434" s="517"/>
      <c r="V1434" s="1">
        <v>0.67</v>
      </c>
      <c r="W1434" s="518">
        <f t="shared" si="1"/>
        <v>0</v>
      </c>
    </row>
    <row r="1435" hidden="1">
      <c r="C1435" s="515"/>
      <c r="G1435" s="1" t="s">
        <v>2454</v>
      </c>
      <c r="I1435" s="516"/>
      <c r="J1435" s="516"/>
      <c r="M1435" s="515"/>
      <c r="N1435" s="516"/>
      <c r="P1435" s="1">
        <v>83.3</v>
      </c>
      <c r="Q1435" s="1">
        <v>0.0</v>
      </c>
      <c r="S1435" s="517"/>
      <c r="V1435" s="1">
        <v>0.08</v>
      </c>
      <c r="W1435" s="518">
        <f t="shared" si="1"/>
        <v>0</v>
      </c>
    </row>
    <row r="1436" hidden="1">
      <c r="C1436" s="515"/>
      <c r="G1436" s="1" t="s">
        <v>2560</v>
      </c>
      <c r="I1436" s="516"/>
      <c r="J1436" s="516"/>
      <c r="M1436" s="515"/>
      <c r="N1436" s="516"/>
      <c r="P1436" s="1">
        <v>83.3</v>
      </c>
      <c r="Q1436" s="1">
        <v>0.0</v>
      </c>
      <c r="S1436" s="517"/>
      <c r="V1436" s="1">
        <v>0.08</v>
      </c>
      <c r="W1436" s="518">
        <f t="shared" si="1"/>
        <v>0</v>
      </c>
    </row>
    <row r="1437" hidden="1">
      <c r="C1437" s="515"/>
      <c r="G1437" s="1" t="s">
        <v>2462</v>
      </c>
      <c r="I1437" s="516"/>
      <c r="J1437" s="516"/>
      <c r="M1437" s="515"/>
      <c r="N1437" s="516"/>
      <c r="P1437" s="1">
        <v>41.7</v>
      </c>
      <c r="Q1437" s="1">
        <v>0.0</v>
      </c>
      <c r="S1437" s="517"/>
      <c r="V1437" s="1">
        <v>0.04</v>
      </c>
      <c r="W1437" s="518">
        <f t="shared" si="1"/>
        <v>0</v>
      </c>
    </row>
    <row r="1438" hidden="1">
      <c r="C1438" s="515"/>
      <c r="G1438" s="1" t="s">
        <v>2553</v>
      </c>
      <c r="I1438" s="516"/>
      <c r="J1438" s="516"/>
      <c r="M1438" s="515"/>
      <c r="N1438" s="516"/>
      <c r="P1438" s="1">
        <v>41.7</v>
      </c>
      <c r="Q1438" s="1">
        <v>0.0</v>
      </c>
      <c r="S1438" s="517"/>
      <c r="V1438" s="1">
        <v>0.04</v>
      </c>
      <c r="W1438" s="518">
        <f t="shared" si="1"/>
        <v>0</v>
      </c>
    </row>
    <row r="1439" hidden="1">
      <c r="C1439" s="515"/>
      <c r="G1439" s="1" t="s">
        <v>2461</v>
      </c>
      <c r="I1439" s="516"/>
      <c r="J1439" s="516"/>
      <c r="M1439" s="515"/>
      <c r="N1439" s="516"/>
      <c r="P1439" s="1">
        <v>83.3</v>
      </c>
      <c r="Q1439" s="1">
        <v>0.0</v>
      </c>
      <c r="S1439" s="517"/>
      <c r="V1439" s="1">
        <v>0.08</v>
      </c>
      <c r="W1439" s="518">
        <f t="shared" si="1"/>
        <v>0</v>
      </c>
    </row>
    <row r="1440" hidden="1">
      <c r="C1440" s="515"/>
      <c r="G1440" s="1" t="s">
        <v>2521</v>
      </c>
      <c r="I1440" s="516"/>
      <c r="J1440" s="516"/>
      <c r="M1440" s="515"/>
      <c r="N1440" s="516"/>
      <c r="P1440" s="1">
        <v>83.3</v>
      </c>
      <c r="Q1440" s="1">
        <v>0.0</v>
      </c>
      <c r="S1440" s="517"/>
      <c r="V1440" s="1">
        <v>0.08</v>
      </c>
      <c r="W1440" s="518">
        <f t="shared" si="1"/>
        <v>0</v>
      </c>
    </row>
    <row r="1441" hidden="1">
      <c r="C1441" s="515"/>
      <c r="G1441" s="1" t="s">
        <v>2469</v>
      </c>
      <c r="I1441" s="516"/>
      <c r="J1441" s="516"/>
      <c r="M1441" s="515"/>
      <c r="N1441" s="516"/>
      <c r="P1441" s="1">
        <v>41.7</v>
      </c>
      <c r="Q1441" s="1">
        <v>0.0</v>
      </c>
      <c r="S1441" s="517"/>
      <c r="V1441" s="1">
        <v>0.04</v>
      </c>
      <c r="W1441" s="518">
        <f t="shared" si="1"/>
        <v>0</v>
      </c>
    </row>
    <row r="1442" hidden="1">
      <c r="C1442" s="515"/>
      <c r="G1442" s="1" t="s">
        <v>2468</v>
      </c>
      <c r="I1442" s="516"/>
      <c r="J1442" s="516"/>
      <c r="M1442" s="515"/>
      <c r="N1442" s="516"/>
      <c r="P1442" s="1">
        <v>41.7</v>
      </c>
      <c r="Q1442" s="1">
        <v>0.0</v>
      </c>
      <c r="S1442" s="517"/>
      <c r="V1442" s="1">
        <v>0.04</v>
      </c>
      <c r="W1442" s="518">
        <f t="shared" si="1"/>
        <v>0</v>
      </c>
    </row>
    <row r="1443" hidden="1">
      <c r="C1443" s="515"/>
      <c r="G1443" s="1" t="s">
        <v>2605</v>
      </c>
      <c r="I1443" s="516"/>
      <c r="J1443" s="516"/>
      <c r="M1443" s="515"/>
      <c r="N1443" s="516"/>
      <c r="P1443" s="1">
        <v>125.0</v>
      </c>
      <c r="Q1443" s="1">
        <v>0.0</v>
      </c>
      <c r="S1443" s="517"/>
      <c r="V1443" s="1">
        <v>0.13</v>
      </c>
      <c r="W1443" s="518">
        <f t="shared" si="1"/>
        <v>0</v>
      </c>
    </row>
    <row r="1444" hidden="1">
      <c r="C1444" s="515"/>
      <c r="G1444" s="1" t="s">
        <v>2466</v>
      </c>
      <c r="I1444" s="516"/>
      <c r="J1444" s="516"/>
      <c r="M1444" s="515"/>
      <c r="N1444" s="516"/>
      <c r="P1444" s="1">
        <v>208.3</v>
      </c>
      <c r="Q1444" s="1">
        <v>0.0</v>
      </c>
      <c r="S1444" s="517"/>
      <c r="V1444" s="1">
        <v>0.21</v>
      </c>
      <c r="W1444" s="518">
        <f t="shared" si="1"/>
        <v>0</v>
      </c>
    </row>
    <row r="1445" hidden="1">
      <c r="C1445" s="515"/>
      <c r="G1445" s="1" t="s">
        <v>2465</v>
      </c>
      <c r="I1445" s="516"/>
      <c r="J1445" s="516"/>
      <c r="M1445" s="515"/>
      <c r="N1445" s="516"/>
      <c r="P1445" s="1">
        <v>166.7</v>
      </c>
      <c r="Q1445" s="1">
        <v>0.0</v>
      </c>
      <c r="S1445" s="517"/>
      <c r="V1445" s="1">
        <v>0.17</v>
      </c>
      <c r="W1445" s="518">
        <f t="shared" si="1"/>
        <v>0</v>
      </c>
    </row>
    <row r="1446" hidden="1">
      <c r="C1446" s="515"/>
      <c r="G1446" s="1" t="s">
        <v>2463</v>
      </c>
      <c r="I1446" s="516"/>
      <c r="J1446" s="516"/>
      <c r="M1446" s="515"/>
      <c r="N1446" s="516"/>
      <c r="P1446" s="1">
        <v>83.3</v>
      </c>
      <c r="Q1446" s="1">
        <v>0.0</v>
      </c>
      <c r="S1446" s="517"/>
      <c r="V1446" s="1">
        <v>0.08</v>
      </c>
      <c r="W1446" s="518">
        <f t="shared" si="1"/>
        <v>0</v>
      </c>
    </row>
    <row r="1447" hidden="1">
      <c r="C1447" s="515"/>
      <c r="G1447" s="1" t="s">
        <v>2542</v>
      </c>
      <c r="I1447" s="516"/>
      <c r="J1447" s="516"/>
      <c r="M1447" s="515"/>
      <c r="N1447" s="516"/>
      <c r="P1447" s="1">
        <v>83.3</v>
      </c>
      <c r="Q1447" s="1">
        <v>0.0</v>
      </c>
      <c r="S1447" s="517"/>
      <c r="V1447" s="1">
        <v>0.08</v>
      </c>
      <c r="W1447" s="518">
        <f t="shared" si="1"/>
        <v>0</v>
      </c>
    </row>
    <row r="1448" hidden="1">
      <c r="C1448" s="515"/>
      <c r="G1448" s="1" t="s">
        <v>2473</v>
      </c>
      <c r="I1448" s="516"/>
      <c r="J1448" s="516"/>
      <c r="M1448" s="515"/>
      <c r="N1448" s="516"/>
      <c r="P1448" s="1">
        <v>83.3</v>
      </c>
      <c r="Q1448" s="1">
        <v>0.0</v>
      </c>
      <c r="S1448" s="517"/>
      <c r="V1448" s="1">
        <v>0.08</v>
      </c>
      <c r="W1448" s="518">
        <f t="shared" si="1"/>
        <v>0</v>
      </c>
    </row>
    <row r="1449" hidden="1">
      <c r="C1449" s="515"/>
      <c r="G1449" s="1" t="s">
        <v>2472</v>
      </c>
      <c r="I1449" s="516"/>
      <c r="J1449" s="516"/>
      <c r="M1449" s="515"/>
      <c r="N1449" s="516"/>
      <c r="P1449" s="1">
        <v>83.3</v>
      </c>
      <c r="Q1449" s="1">
        <v>0.0</v>
      </c>
      <c r="S1449" s="517"/>
      <c r="V1449" s="1">
        <v>0.08</v>
      </c>
      <c r="W1449" s="518">
        <f t="shared" si="1"/>
        <v>0</v>
      </c>
    </row>
    <row r="1450" hidden="1">
      <c r="C1450" s="515"/>
      <c r="G1450" s="1" t="s">
        <v>2471</v>
      </c>
      <c r="I1450" s="516"/>
      <c r="J1450" s="516"/>
      <c r="M1450" s="515"/>
      <c r="N1450" s="516"/>
      <c r="P1450" s="1">
        <v>41.7</v>
      </c>
      <c r="Q1450" s="1">
        <v>0.0</v>
      </c>
      <c r="S1450" s="517"/>
      <c r="V1450" s="1">
        <v>0.04</v>
      </c>
      <c r="W1450" s="518">
        <f t="shared" si="1"/>
        <v>0</v>
      </c>
    </row>
    <row r="1451" hidden="1">
      <c r="C1451" s="515"/>
      <c r="G1451" s="1" t="s">
        <v>2470</v>
      </c>
      <c r="I1451" s="516"/>
      <c r="J1451" s="516"/>
      <c r="M1451" s="515"/>
      <c r="N1451" s="516"/>
      <c r="P1451" s="1">
        <v>333.3</v>
      </c>
      <c r="Q1451" s="1">
        <v>0.0</v>
      </c>
      <c r="S1451" s="517"/>
      <c r="V1451" s="1">
        <v>0.33</v>
      </c>
      <c r="W1451" s="518">
        <f t="shared" si="1"/>
        <v>0</v>
      </c>
    </row>
    <row r="1452" hidden="1">
      <c r="C1452" s="515"/>
      <c r="G1452" s="1" t="s">
        <v>2474</v>
      </c>
      <c r="I1452" s="516"/>
      <c r="J1452" s="516"/>
      <c r="M1452" s="515"/>
      <c r="N1452" s="516"/>
      <c r="P1452" s="1">
        <v>166.7</v>
      </c>
      <c r="Q1452" s="1">
        <v>0.0</v>
      </c>
      <c r="S1452" s="517"/>
      <c r="V1452" s="1">
        <v>0.17</v>
      </c>
      <c r="W1452" s="518">
        <f t="shared" si="1"/>
        <v>0</v>
      </c>
    </row>
    <row r="1453" hidden="1">
      <c r="C1453" s="515"/>
      <c r="G1453" s="1" t="s">
        <v>2479</v>
      </c>
      <c r="I1453" s="516"/>
      <c r="J1453" s="516"/>
      <c r="M1453" s="515"/>
      <c r="N1453" s="516"/>
      <c r="P1453" s="1">
        <v>416.7</v>
      </c>
      <c r="Q1453" s="1">
        <v>0.0</v>
      </c>
      <c r="S1453" s="517"/>
      <c r="V1453" s="1">
        <v>0.42</v>
      </c>
      <c r="W1453" s="518">
        <f t="shared" si="1"/>
        <v>0</v>
      </c>
    </row>
    <row r="1454" hidden="1">
      <c r="C1454" s="515"/>
      <c r="G1454" s="1" t="s">
        <v>2588</v>
      </c>
      <c r="I1454" s="516"/>
      <c r="J1454" s="516"/>
      <c r="M1454" s="515"/>
      <c r="N1454" s="516"/>
      <c r="P1454" s="1">
        <v>0.0</v>
      </c>
      <c r="Q1454" s="1" t="s">
        <v>2404</v>
      </c>
      <c r="S1454" s="517"/>
      <c r="V1454" s="1">
        <v>8.33</v>
      </c>
      <c r="W1454" s="518">
        <f t="shared" si="1"/>
        <v>8330</v>
      </c>
    </row>
    <row r="1455" hidden="1">
      <c r="C1455" s="515"/>
      <c r="G1455" s="1" t="s">
        <v>2594</v>
      </c>
      <c r="I1455" s="516"/>
      <c r="J1455" s="516"/>
      <c r="M1455" s="515"/>
      <c r="N1455" s="516"/>
      <c r="P1455" s="1">
        <v>2000.0</v>
      </c>
      <c r="Q1455" s="1">
        <v>0.0</v>
      </c>
      <c r="S1455" s="517"/>
      <c r="V1455" s="1">
        <v>2.0</v>
      </c>
      <c r="W1455" s="518">
        <f t="shared" si="1"/>
        <v>0</v>
      </c>
    </row>
    <row r="1456" hidden="1">
      <c r="C1456" s="515"/>
      <c r="G1456" s="1" t="s">
        <v>2478</v>
      </c>
      <c r="I1456" s="516"/>
      <c r="J1456" s="516"/>
      <c r="M1456" s="515"/>
      <c r="N1456" s="516"/>
      <c r="P1456" s="1">
        <v>83.3</v>
      </c>
      <c r="Q1456" s="1">
        <v>0.0</v>
      </c>
      <c r="S1456" s="517"/>
      <c r="V1456" s="1">
        <v>0.08</v>
      </c>
      <c r="W1456" s="518">
        <f t="shared" si="1"/>
        <v>0</v>
      </c>
    </row>
    <row r="1457" hidden="1">
      <c r="C1457" s="515"/>
      <c r="G1457" s="1" t="s">
        <v>2606</v>
      </c>
      <c r="I1457" s="516"/>
      <c r="J1457" s="516"/>
      <c r="K1457" s="515">
        <v>46022.0</v>
      </c>
      <c r="M1457" s="515"/>
      <c r="N1457" s="516"/>
      <c r="P1457" s="1">
        <v>1000.0</v>
      </c>
      <c r="Q1457" s="1">
        <v>0.0</v>
      </c>
      <c r="S1457" s="517"/>
      <c r="V1457" s="1">
        <v>1.0</v>
      </c>
      <c r="W1457" s="518">
        <f t="shared" si="1"/>
        <v>0</v>
      </c>
    </row>
    <row r="1458" hidden="1">
      <c r="C1458" s="515"/>
      <c r="G1458" s="1" t="s">
        <v>2598</v>
      </c>
      <c r="I1458" s="516"/>
      <c r="J1458" s="516"/>
      <c r="M1458" s="515"/>
      <c r="N1458" s="516"/>
      <c r="P1458" s="1">
        <v>0.0</v>
      </c>
      <c r="Q1458" s="1" t="s">
        <v>2404</v>
      </c>
      <c r="S1458" s="517"/>
      <c r="V1458" s="1">
        <v>8.33</v>
      </c>
      <c r="W1458" s="518">
        <f t="shared" si="1"/>
        <v>8330</v>
      </c>
    </row>
    <row r="1459" hidden="1">
      <c r="C1459" s="515"/>
      <c r="G1459" s="1" t="s">
        <v>2484</v>
      </c>
      <c r="I1459" s="516"/>
      <c r="J1459" s="516"/>
      <c r="M1459" s="515"/>
      <c r="N1459" s="516"/>
      <c r="P1459" s="1">
        <v>500.0</v>
      </c>
      <c r="Q1459" s="1">
        <v>0.0</v>
      </c>
      <c r="S1459" s="517"/>
      <c r="V1459" s="1">
        <v>0.5</v>
      </c>
      <c r="W1459" s="518">
        <f t="shared" si="1"/>
        <v>0</v>
      </c>
    </row>
    <row r="1460" hidden="1">
      <c r="C1460" s="515"/>
      <c r="G1460" s="1" t="s">
        <v>2483</v>
      </c>
      <c r="I1460" s="516"/>
      <c r="J1460" s="516"/>
      <c r="M1460" s="515"/>
      <c r="N1460" s="516"/>
      <c r="P1460" s="1">
        <v>708.3</v>
      </c>
      <c r="Q1460" s="1">
        <v>0.0</v>
      </c>
      <c r="S1460" s="517"/>
      <c r="V1460" s="1">
        <v>0.71</v>
      </c>
      <c r="W1460" s="518">
        <f t="shared" si="1"/>
        <v>0</v>
      </c>
    </row>
    <row r="1461" hidden="1">
      <c r="C1461" s="515"/>
      <c r="G1461" s="1" t="s">
        <v>2482</v>
      </c>
      <c r="I1461" s="516"/>
      <c r="J1461" s="516"/>
      <c r="M1461" s="515"/>
      <c r="N1461" s="516"/>
      <c r="P1461" s="1">
        <v>41.7</v>
      </c>
      <c r="Q1461" s="1">
        <v>0.0</v>
      </c>
      <c r="S1461" s="517"/>
      <c r="V1461" s="1">
        <v>0.04</v>
      </c>
      <c r="W1461" s="518">
        <f t="shared" si="1"/>
        <v>0</v>
      </c>
    </row>
    <row r="1462" hidden="1">
      <c r="C1462" s="515"/>
      <c r="G1462" s="1" t="s">
        <v>2545</v>
      </c>
      <c r="I1462" s="516"/>
      <c r="J1462" s="516"/>
      <c r="M1462" s="515"/>
      <c r="N1462" s="516"/>
      <c r="P1462" s="1">
        <v>41.7</v>
      </c>
      <c r="Q1462" s="1">
        <v>0.0</v>
      </c>
      <c r="S1462" s="517"/>
      <c r="V1462" s="1">
        <v>0.04</v>
      </c>
      <c r="W1462" s="518">
        <f t="shared" si="1"/>
        <v>0</v>
      </c>
    </row>
    <row r="1463" hidden="1">
      <c r="C1463" s="515"/>
      <c r="G1463" s="1" t="s">
        <v>2491</v>
      </c>
      <c r="I1463" s="516"/>
      <c r="J1463" s="516"/>
      <c r="M1463" s="515"/>
      <c r="N1463" s="516"/>
      <c r="P1463" s="1">
        <v>41.7</v>
      </c>
      <c r="Q1463" s="1">
        <v>0.0</v>
      </c>
      <c r="S1463" s="517"/>
      <c r="V1463" s="1">
        <v>0.04</v>
      </c>
      <c r="W1463" s="518">
        <f t="shared" si="1"/>
        <v>0</v>
      </c>
    </row>
    <row r="1464" hidden="1">
      <c r="C1464" s="515"/>
      <c r="G1464" s="1" t="s">
        <v>2490</v>
      </c>
      <c r="I1464" s="516"/>
      <c r="J1464" s="516"/>
      <c r="M1464" s="515"/>
      <c r="N1464" s="516"/>
      <c r="P1464" s="1">
        <v>41.7</v>
      </c>
      <c r="Q1464" s="1">
        <v>0.0</v>
      </c>
      <c r="S1464" s="517"/>
      <c r="V1464" s="1">
        <v>0.04</v>
      </c>
      <c r="W1464" s="518">
        <f t="shared" si="1"/>
        <v>0</v>
      </c>
    </row>
    <row r="1465" hidden="1">
      <c r="C1465" s="515"/>
      <c r="G1465" s="1" t="s">
        <v>2489</v>
      </c>
      <c r="I1465" s="516"/>
      <c r="J1465" s="516"/>
      <c r="M1465" s="515"/>
      <c r="N1465" s="516"/>
      <c r="P1465" s="1">
        <v>83.3</v>
      </c>
      <c r="Q1465" s="1">
        <v>0.0</v>
      </c>
      <c r="S1465" s="517"/>
      <c r="V1465" s="1">
        <v>0.08</v>
      </c>
      <c r="W1465" s="518">
        <f t="shared" si="1"/>
        <v>0</v>
      </c>
    </row>
    <row r="1466" hidden="1">
      <c r="C1466" s="515"/>
      <c r="G1466" s="1" t="s">
        <v>2493</v>
      </c>
      <c r="I1466" s="516"/>
      <c r="J1466" s="516"/>
      <c r="M1466" s="515"/>
      <c r="N1466" s="516"/>
      <c r="P1466" s="1">
        <v>166.7</v>
      </c>
      <c r="Q1466" s="1">
        <v>0.0</v>
      </c>
      <c r="S1466" s="517"/>
      <c r="V1466" s="1">
        <v>0.17</v>
      </c>
      <c r="W1466" s="518">
        <f t="shared" si="1"/>
        <v>0</v>
      </c>
    </row>
    <row r="1467" hidden="1">
      <c r="C1467" s="515"/>
      <c r="G1467" s="1" t="s">
        <v>2492</v>
      </c>
      <c r="I1467" s="516"/>
      <c r="J1467" s="516"/>
      <c r="M1467" s="515"/>
      <c r="N1467" s="516"/>
      <c r="P1467" s="1">
        <v>1000.0</v>
      </c>
      <c r="Q1467" s="1">
        <v>0.0</v>
      </c>
      <c r="S1467" s="517"/>
      <c r="V1467" s="1">
        <v>1.0</v>
      </c>
      <c r="W1467" s="518">
        <f t="shared" si="1"/>
        <v>0</v>
      </c>
    </row>
    <row r="1468" hidden="1">
      <c r="C1468" s="515"/>
      <c r="G1468" s="1" t="s">
        <v>2547</v>
      </c>
      <c r="I1468" s="516"/>
      <c r="J1468" s="516"/>
      <c r="M1468" s="515"/>
      <c r="N1468" s="516"/>
      <c r="P1468" s="1">
        <v>166.7</v>
      </c>
      <c r="Q1468" s="1">
        <v>0.0</v>
      </c>
      <c r="S1468" s="517"/>
      <c r="V1468" s="1">
        <v>0.17</v>
      </c>
      <c r="W1468" s="518">
        <f t="shared" si="1"/>
        <v>0</v>
      </c>
    </row>
    <row r="1469" hidden="1">
      <c r="C1469" s="515"/>
      <c r="G1469" s="1" t="s">
        <v>2498</v>
      </c>
      <c r="I1469" s="516"/>
      <c r="J1469" s="516"/>
      <c r="M1469" s="515"/>
      <c r="N1469" s="516"/>
      <c r="P1469" s="1">
        <v>183.3</v>
      </c>
      <c r="Q1469" s="1">
        <v>0.0</v>
      </c>
      <c r="S1469" s="517"/>
      <c r="V1469" s="1">
        <v>0.18</v>
      </c>
      <c r="W1469" s="518">
        <f t="shared" si="1"/>
        <v>0</v>
      </c>
    </row>
    <row r="1470" hidden="1">
      <c r="C1470" s="515"/>
      <c r="G1470" s="1" t="s">
        <v>2497</v>
      </c>
      <c r="I1470" s="516"/>
      <c r="J1470" s="516"/>
      <c r="M1470" s="515"/>
      <c r="N1470" s="516"/>
      <c r="P1470" s="1">
        <v>2000.0</v>
      </c>
      <c r="Q1470" s="1">
        <v>0.0</v>
      </c>
      <c r="S1470" s="517"/>
      <c r="V1470" s="1">
        <v>2.0</v>
      </c>
      <c r="W1470" s="518">
        <f t="shared" si="1"/>
        <v>0</v>
      </c>
    </row>
    <row r="1471" hidden="1">
      <c r="C1471" s="515"/>
      <c r="G1471" s="1" t="s">
        <v>2565</v>
      </c>
      <c r="I1471" s="516"/>
      <c r="J1471" s="516"/>
      <c r="M1471" s="515"/>
      <c r="N1471" s="516"/>
      <c r="P1471" s="1">
        <v>83.3</v>
      </c>
      <c r="Q1471" s="1">
        <v>0.0</v>
      </c>
      <c r="S1471" s="517"/>
      <c r="V1471" s="1">
        <v>0.08</v>
      </c>
      <c r="W1471" s="518">
        <f t="shared" si="1"/>
        <v>0</v>
      </c>
    </row>
    <row r="1472" hidden="1">
      <c r="C1472" s="515"/>
      <c r="G1472" s="1" t="s">
        <v>2563</v>
      </c>
      <c r="I1472" s="516"/>
      <c r="J1472" s="516"/>
      <c r="M1472" s="515"/>
      <c r="N1472" s="516"/>
      <c r="P1472" s="1">
        <v>125.0</v>
      </c>
      <c r="Q1472" s="1">
        <v>0.0</v>
      </c>
      <c r="S1472" s="517"/>
      <c r="V1472" s="1">
        <v>0.13</v>
      </c>
      <c r="W1472" s="518">
        <f t="shared" si="1"/>
        <v>0</v>
      </c>
    </row>
    <row r="1473" hidden="1">
      <c r="C1473" s="515"/>
      <c r="G1473" s="1" t="s">
        <v>2495</v>
      </c>
      <c r="I1473" s="516"/>
      <c r="J1473" s="516"/>
      <c r="M1473" s="515"/>
      <c r="N1473" s="516"/>
      <c r="P1473" s="1">
        <v>83.3</v>
      </c>
      <c r="Q1473" s="1">
        <v>0.0</v>
      </c>
      <c r="S1473" s="517"/>
      <c r="V1473" s="1">
        <v>0.08</v>
      </c>
      <c r="W1473" s="518">
        <f t="shared" si="1"/>
        <v>0</v>
      </c>
    </row>
    <row r="1474" hidden="1">
      <c r="C1474" s="515"/>
      <c r="G1474" s="1" t="s">
        <v>2504</v>
      </c>
      <c r="I1474" s="516"/>
      <c r="J1474" s="516"/>
      <c r="M1474" s="515"/>
      <c r="N1474" s="516"/>
      <c r="P1474" s="1">
        <v>41.7</v>
      </c>
      <c r="Q1474" s="1">
        <v>0.0</v>
      </c>
      <c r="S1474" s="517"/>
      <c r="V1474" s="1">
        <v>0.04</v>
      </c>
      <c r="W1474" s="518">
        <f t="shared" si="1"/>
        <v>0</v>
      </c>
    </row>
    <row r="1475" hidden="1">
      <c r="C1475" s="515"/>
      <c r="G1475" s="86" t="s">
        <v>2584</v>
      </c>
      <c r="I1475" s="516"/>
      <c r="J1475" s="516"/>
      <c r="M1475" s="515"/>
      <c r="N1475" s="516"/>
      <c r="P1475" s="1">
        <v>1666.7</v>
      </c>
      <c r="Q1475" s="1">
        <v>0.0</v>
      </c>
      <c r="S1475" s="517"/>
      <c r="V1475" s="1">
        <v>1.67</v>
      </c>
      <c r="W1475" s="518">
        <f t="shared" si="1"/>
        <v>0</v>
      </c>
    </row>
    <row r="1476" hidden="1">
      <c r="C1476" s="515"/>
      <c r="G1476" s="1" t="s">
        <v>2502</v>
      </c>
      <c r="I1476" s="516"/>
      <c r="J1476" s="516"/>
      <c r="M1476" s="515"/>
      <c r="N1476" s="516"/>
      <c r="P1476" s="1">
        <v>41.7</v>
      </c>
      <c r="Q1476" s="1">
        <v>0.0</v>
      </c>
      <c r="S1476" s="517"/>
      <c r="V1476" s="1">
        <v>0.04</v>
      </c>
      <c r="W1476" s="518">
        <f t="shared" si="1"/>
        <v>0</v>
      </c>
    </row>
    <row r="1477" hidden="1">
      <c r="C1477" s="515"/>
      <c r="G1477" s="1" t="s">
        <v>2501</v>
      </c>
      <c r="I1477" s="516"/>
      <c r="J1477" s="516"/>
      <c r="M1477" s="515"/>
      <c r="N1477" s="516"/>
      <c r="P1477" s="1">
        <v>83.3</v>
      </c>
      <c r="Q1477" s="1">
        <v>0.0</v>
      </c>
      <c r="S1477" s="517"/>
      <c r="V1477" s="1">
        <v>0.08</v>
      </c>
      <c r="W1477" s="518">
        <f t="shared" si="1"/>
        <v>0</v>
      </c>
    </row>
    <row r="1478" hidden="1">
      <c r="C1478" s="515"/>
      <c r="G1478" s="1" t="s">
        <v>2607</v>
      </c>
      <c r="I1478" s="516"/>
      <c r="J1478" s="516"/>
      <c r="K1478" s="515">
        <v>46022.0</v>
      </c>
      <c r="M1478" s="515"/>
      <c r="N1478" s="516"/>
      <c r="P1478" s="1">
        <v>0.0</v>
      </c>
      <c r="Q1478" s="1" t="s">
        <v>2404</v>
      </c>
      <c r="S1478" s="517"/>
      <c r="V1478" s="1">
        <v>229.17</v>
      </c>
      <c r="W1478" s="518">
        <f t="shared" si="1"/>
        <v>229170</v>
      </c>
    </row>
    <row r="1479" hidden="1">
      <c r="C1479" s="515"/>
      <c r="G1479" s="1" t="s">
        <v>2505</v>
      </c>
      <c r="I1479" s="516"/>
      <c r="J1479" s="516"/>
      <c r="M1479" s="515"/>
      <c r="N1479" s="516"/>
      <c r="P1479" s="1">
        <v>125.0</v>
      </c>
      <c r="Q1479" s="1">
        <v>0.0</v>
      </c>
      <c r="S1479" s="517"/>
      <c r="V1479" s="1">
        <v>0.13</v>
      </c>
      <c r="W1479" s="518">
        <f t="shared" si="1"/>
        <v>0</v>
      </c>
    </row>
    <row r="1480" hidden="1">
      <c r="C1480" s="515"/>
      <c r="G1480" s="1" t="s">
        <v>2575</v>
      </c>
      <c r="I1480" s="516"/>
      <c r="J1480" s="516"/>
      <c r="M1480" s="515"/>
      <c r="N1480" s="516"/>
      <c r="P1480" s="1">
        <v>83.3</v>
      </c>
      <c r="Q1480" s="1">
        <v>0.0</v>
      </c>
      <c r="S1480" s="517"/>
      <c r="V1480" s="1">
        <v>0.08</v>
      </c>
      <c r="W1480" s="518">
        <f t="shared" si="1"/>
        <v>0</v>
      </c>
    </row>
    <row r="1481" hidden="1">
      <c r="C1481" s="515"/>
      <c r="G1481" s="1" t="s">
        <v>2511</v>
      </c>
      <c r="I1481" s="516"/>
      <c r="J1481" s="516"/>
      <c r="M1481" s="515"/>
      <c r="N1481" s="516"/>
      <c r="P1481" s="1">
        <v>41.7</v>
      </c>
      <c r="Q1481" s="1">
        <v>0.0</v>
      </c>
      <c r="S1481" s="517"/>
      <c r="V1481" s="1">
        <v>0.04</v>
      </c>
      <c r="W1481" s="518">
        <f t="shared" si="1"/>
        <v>0</v>
      </c>
    </row>
    <row r="1482" hidden="1">
      <c r="C1482" s="515"/>
      <c r="G1482" s="1" t="s">
        <v>2406</v>
      </c>
      <c r="I1482" s="516"/>
      <c r="J1482" s="516"/>
      <c r="M1482" s="515"/>
      <c r="N1482" s="516"/>
      <c r="P1482" s="1">
        <v>166.7</v>
      </c>
      <c r="Q1482" s="1">
        <v>0.0</v>
      </c>
      <c r="S1482" s="517"/>
      <c r="V1482" s="1">
        <v>0.17</v>
      </c>
      <c r="W1482" s="518">
        <f t="shared" si="1"/>
        <v>0</v>
      </c>
    </row>
    <row r="1483" hidden="1">
      <c r="C1483" s="515"/>
      <c r="G1483" s="1" t="s">
        <v>2405</v>
      </c>
      <c r="I1483" s="516"/>
      <c r="J1483" s="516"/>
      <c r="M1483" s="515"/>
      <c r="N1483" s="516"/>
      <c r="P1483" s="1">
        <v>166.7</v>
      </c>
      <c r="Q1483" s="1">
        <v>0.0</v>
      </c>
      <c r="S1483" s="517"/>
      <c r="V1483" s="1">
        <v>0.17</v>
      </c>
      <c r="W1483" s="518">
        <f t="shared" si="1"/>
        <v>0</v>
      </c>
    </row>
    <row r="1484" hidden="1">
      <c r="C1484" s="515"/>
      <c r="G1484" s="1" t="s">
        <v>2413</v>
      </c>
      <c r="I1484" s="516"/>
      <c r="J1484" s="516"/>
      <c r="M1484" s="515"/>
      <c r="N1484" s="516"/>
      <c r="P1484" s="1">
        <v>333.3</v>
      </c>
      <c r="Q1484" s="1">
        <v>0.0</v>
      </c>
      <c r="S1484" s="517"/>
      <c r="V1484" s="1">
        <v>0.33</v>
      </c>
      <c r="W1484" s="518">
        <f t="shared" si="1"/>
        <v>0</v>
      </c>
    </row>
    <row r="1485" hidden="1">
      <c r="C1485" s="515"/>
      <c r="G1485" s="1" t="s">
        <v>2412</v>
      </c>
      <c r="I1485" s="516"/>
      <c r="J1485" s="516"/>
      <c r="P1485" s="1">
        <v>4000.0</v>
      </c>
      <c r="Q1485" s="1">
        <v>0.0</v>
      </c>
      <c r="S1485" s="517"/>
      <c r="V1485" s="1">
        <v>4.0</v>
      </c>
      <c r="W1485" s="518">
        <f t="shared" si="1"/>
        <v>0</v>
      </c>
    </row>
    <row r="1486" hidden="1">
      <c r="C1486" s="515"/>
      <c r="G1486" s="1" t="s">
        <v>2549</v>
      </c>
      <c r="I1486" s="516"/>
      <c r="J1486" s="516"/>
      <c r="M1486" s="515"/>
      <c r="N1486" s="516"/>
      <c r="P1486" s="1">
        <v>83.3</v>
      </c>
      <c r="Q1486" s="1">
        <v>0.0</v>
      </c>
      <c r="S1486" s="517"/>
      <c r="V1486" s="1">
        <v>0.08</v>
      </c>
      <c r="W1486" s="518">
        <f t="shared" si="1"/>
        <v>0</v>
      </c>
    </row>
    <row r="1487" hidden="1">
      <c r="C1487" s="515"/>
      <c r="G1487" s="1" t="s">
        <v>2410</v>
      </c>
      <c r="I1487" s="516"/>
      <c r="J1487" s="516"/>
      <c r="M1487" s="515"/>
      <c r="N1487" s="516"/>
      <c r="P1487" s="1">
        <v>83.3</v>
      </c>
      <c r="Q1487" s="1">
        <v>0.0</v>
      </c>
      <c r="S1487" s="517"/>
      <c r="V1487" s="1">
        <v>0.08</v>
      </c>
      <c r="W1487" s="518">
        <f t="shared" si="1"/>
        <v>0</v>
      </c>
    </row>
    <row r="1488" hidden="1">
      <c r="C1488" s="515"/>
      <c r="G1488" s="1" t="s">
        <v>2409</v>
      </c>
      <c r="I1488" s="516"/>
      <c r="J1488" s="516"/>
      <c r="M1488" s="515"/>
      <c r="N1488" s="516"/>
      <c r="P1488" s="1">
        <v>208.3</v>
      </c>
      <c r="Q1488" s="1">
        <v>0.0</v>
      </c>
      <c r="S1488" s="517"/>
      <c r="V1488" s="1">
        <v>0.21</v>
      </c>
      <c r="W1488" s="518">
        <f t="shared" si="1"/>
        <v>0</v>
      </c>
    </row>
    <row r="1489" hidden="1">
      <c r="C1489" s="515"/>
      <c r="G1489" s="1" t="s">
        <v>2408</v>
      </c>
      <c r="I1489" s="516"/>
      <c r="J1489" s="516"/>
      <c r="M1489" s="515"/>
      <c r="N1489" s="516"/>
      <c r="P1489" s="1">
        <v>41.7</v>
      </c>
      <c r="Q1489" s="1">
        <v>0.0</v>
      </c>
      <c r="S1489" s="517"/>
      <c r="V1489" s="1">
        <v>0.04</v>
      </c>
      <c r="W1489" s="518">
        <f t="shared" si="1"/>
        <v>0</v>
      </c>
    </row>
    <row r="1490" hidden="1">
      <c r="C1490" s="515"/>
      <c r="G1490" s="1" t="s">
        <v>2601</v>
      </c>
      <c r="I1490" s="516"/>
      <c r="J1490" s="516"/>
      <c r="M1490" s="515"/>
      <c r="N1490" s="516"/>
      <c r="P1490" s="1">
        <v>41.7</v>
      </c>
      <c r="Q1490" s="1">
        <v>0.0</v>
      </c>
      <c r="S1490" s="517"/>
      <c r="V1490" s="1">
        <v>0.04</v>
      </c>
      <c r="W1490" s="518">
        <f t="shared" si="1"/>
        <v>0</v>
      </c>
    </row>
    <row r="1491" hidden="1">
      <c r="C1491" s="515"/>
      <c r="G1491" s="1" t="s">
        <v>2407</v>
      </c>
      <c r="I1491" s="516"/>
      <c r="J1491" s="516"/>
      <c r="M1491" s="515"/>
      <c r="N1491" s="516"/>
      <c r="P1491" s="1">
        <v>416.7</v>
      </c>
      <c r="Q1491" s="1">
        <v>0.0</v>
      </c>
      <c r="S1491" s="517"/>
      <c r="V1491" s="1">
        <v>0.42</v>
      </c>
      <c r="W1491" s="518">
        <f t="shared" si="1"/>
        <v>0</v>
      </c>
    </row>
    <row r="1492" hidden="1">
      <c r="C1492" s="515"/>
      <c r="G1492" s="1" t="s">
        <v>2453</v>
      </c>
      <c r="I1492" s="516"/>
      <c r="J1492" s="516"/>
      <c r="M1492" s="515"/>
      <c r="N1492" s="516"/>
      <c r="P1492" s="1">
        <v>83.3</v>
      </c>
      <c r="Q1492" s="1">
        <v>0.0</v>
      </c>
      <c r="S1492" s="517"/>
      <c r="V1492" s="1">
        <v>0.08</v>
      </c>
      <c r="W1492" s="518">
        <f t="shared" si="1"/>
        <v>0</v>
      </c>
    </row>
    <row r="1493" hidden="1">
      <c r="C1493" s="515"/>
      <c r="G1493" s="1" t="s">
        <v>2555</v>
      </c>
      <c r="I1493" s="516"/>
      <c r="J1493" s="516"/>
      <c r="M1493" s="515"/>
      <c r="P1493" s="1">
        <v>83.3</v>
      </c>
      <c r="Q1493" s="1">
        <v>0.0</v>
      </c>
      <c r="S1493" s="517"/>
      <c r="V1493" s="1">
        <v>0.08</v>
      </c>
      <c r="W1493" s="518">
        <f t="shared" si="1"/>
        <v>0</v>
      </c>
    </row>
    <row r="1494" hidden="1">
      <c r="C1494" s="515"/>
      <c r="G1494" s="1" t="s">
        <v>2415</v>
      </c>
      <c r="I1494" s="516"/>
      <c r="J1494" s="516"/>
      <c r="M1494" s="515"/>
      <c r="N1494" s="516"/>
      <c r="P1494" s="1">
        <v>333.3</v>
      </c>
      <c r="Q1494" s="1">
        <v>0.0</v>
      </c>
      <c r="S1494" s="517"/>
      <c r="V1494" s="1">
        <v>0.33</v>
      </c>
      <c r="W1494" s="518">
        <f t="shared" si="1"/>
        <v>0</v>
      </c>
    </row>
    <row r="1495" hidden="1">
      <c r="C1495" s="515"/>
      <c r="G1495" s="1" t="s">
        <v>2551</v>
      </c>
      <c r="I1495" s="516"/>
      <c r="J1495" s="516"/>
      <c r="M1495" s="515"/>
      <c r="N1495" s="516"/>
      <c r="P1495" s="1">
        <v>333.3</v>
      </c>
      <c r="Q1495" s="1">
        <v>0.0</v>
      </c>
      <c r="S1495" s="517"/>
      <c r="V1495" s="1">
        <v>0.33</v>
      </c>
      <c r="W1495" s="518">
        <f t="shared" si="1"/>
        <v>0</v>
      </c>
    </row>
    <row r="1496" hidden="1">
      <c r="C1496" s="515"/>
      <c r="G1496" s="1" t="s">
        <v>2420</v>
      </c>
      <c r="I1496" s="516"/>
      <c r="J1496" s="516"/>
      <c r="M1496" s="515"/>
      <c r="N1496" s="516"/>
      <c r="P1496" s="1">
        <v>83.3</v>
      </c>
      <c r="Q1496" s="1">
        <v>0.0</v>
      </c>
      <c r="S1496" s="517"/>
      <c r="V1496" s="1">
        <v>0.08</v>
      </c>
      <c r="W1496" s="518">
        <f t="shared" si="1"/>
        <v>0</v>
      </c>
    </row>
    <row r="1497" hidden="1">
      <c r="C1497" s="515"/>
      <c r="G1497" s="1" t="s">
        <v>2603</v>
      </c>
      <c r="I1497" s="516"/>
      <c r="J1497" s="516"/>
      <c r="M1497" s="515"/>
      <c r="N1497" s="516"/>
      <c r="P1497" s="1">
        <v>83.3</v>
      </c>
      <c r="Q1497" s="1">
        <v>0.0</v>
      </c>
      <c r="S1497" s="517"/>
      <c r="V1497" s="1">
        <v>0.08</v>
      </c>
      <c r="W1497" s="518">
        <f t="shared" si="1"/>
        <v>0</v>
      </c>
    </row>
    <row r="1498" hidden="1">
      <c r="C1498" s="515"/>
      <c r="G1498" s="1" t="s">
        <v>2425</v>
      </c>
      <c r="I1498" s="516"/>
      <c r="J1498" s="516"/>
      <c r="M1498" s="515"/>
      <c r="N1498" s="516"/>
      <c r="P1498" s="1">
        <v>41.7</v>
      </c>
      <c r="Q1498" s="1">
        <v>0.0</v>
      </c>
      <c r="S1498" s="517"/>
      <c r="V1498" s="1">
        <v>0.04</v>
      </c>
      <c r="W1498" s="518">
        <f t="shared" si="1"/>
        <v>0</v>
      </c>
    </row>
    <row r="1499" hidden="1">
      <c r="C1499" s="515"/>
      <c r="G1499" s="1" t="s">
        <v>2589</v>
      </c>
      <c r="I1499" s="516"/>
      <c r="J1499" s="516"/>
      <c r="M1499" s="515"/>
      <c r="N1499" s="516"/>
      <c r="P1499" s="1">
        <v>166.7</v>
      </c>
      <c r="Q1499" s="1">
        <v>0.0</v>
      </c>
      <c r="S1499" s="517"/>
      <c r="V1499" s="1">
        <v>0.17</v>
      </c>
      <c r="W1499" s="518">
        <f t="shared" si="1"/>
        <v>0</v>
      </c>
    </row>
    <row r="1500" hidden="1">
      <c r="C1500" s="515"/>
      <c r="G1500" s="1" t="s">
        <v>2431</v>
      </c>
      <c r="I1500" s="516"/>
      <c r="J1500" s="516"/>
      <c r="M1500" s="515"/>
      <c r="N1500" s="516"/>
      <c r="P1500" s="1">
        <v>83.3</v>
      </c>
      <c r="Q1500" s="1">
        <v>0.0</v>
      </c>
      <c r="S1500" s="517"/>
      <c r="V1500" s="1">
        <v>0.08</v>
      </c>
      <c r="W1500" s="518">
        <f t="shared" si="1"/>
        <v>0</v>
      </c>
    </row>
    <row r="1501" hidden="1">
      <c r="C1501" s="515"/>
      <c r="G1501" s="1" t="s">
        <v>2556</v>
      </c>
      <c r="I1501" s="516"/>
      <c r="J1501" s="516"/>
      <c r="M1501" s="515"/>
      <c r="N1501" s="516"/>
      <c r="P1501" s="1">
        <v>83.3</v>
      </c>
      <c r="Q1501" s="1">
        <v>0.0</v>
      </c>
      <c r="S1501" s="517"/>
      <c r="V1501" s="1">
        <v>0.08</v>
      </c>
      <c r="W1501" s="518">
        <f t="shared" si="1"/>
        <v>0</v>
      </c>
    </row>
    <row r="1502" hidden="1">
      <c r="C1502" s="515"/>
      <c r="G1502" s="1" t="s">
        <v>2429</v>
      </c>
      <c r="I1502" s="516"/>
      <c r="J1502" s="516"/>
      <c r="M1502" s="515"/>
      <c r="N1502" s="516"/>
      <c r="P1502" s="1">
        <v>333.3</v>
      </c>
      <c r="Q1502" s="1">
        <v>0.0</v>
      </c>
      <c r="S1502" s="517"/>
      <c r="V1502" s="1">
        <v>0.33</v>
      </c>
      <c r="W1502" s="518">
        <f t="shared" si="1"/>
        <v>0</v>
      </c>
    </row>
    <row r="1503" hidden="1">
      <c r="C1503" s="515"/>
      <c r="G1503" s="1" t="s">
        <v>2428</v>
      </c>
      <c r="I1503" s="516"/>
      <c r="J1503" s="516"/>
      <c r="M1503" s="515"/>
      <c r="N1503" s="516"/>
      <c r="P1503" s="1">
        <v>108.3</v>
      </c>
      <c r="Q1503" s="1">
        <v>0.0</v>
      </c>
      <c r="S1503" s="517"/>
      <c r="V1503" s="1">
        <v>0.11</v>
      </c>
      <c r="W1503" s="518">
        <f t="shared" si="1"/>
        <v>0</v>
      </c>
    </row>
    <row r="1504" hidden="1">
      <c r="C1504" s="515"/>
      <c r="G1504" s="1" t="s">
        <v>2426</v>
      </c>
      <c r="I1504" s="516"/>
      <c r="J1504" s="516"/>
      <c r="M1504" s="515"/>
      <c r="N1504" s="516"/>
      <c r="P1504" s="1">
        <v>250.0</v>
      </c>
      <c r="Q1504" s="1">
        <v>0.0</v>
      </c>
      <c r="S1504" s="517"/>
      <c r="V1504" s="1">
        <v>0.25</v>
      </c>
      <c r="W1504" s="518">
        <f t="shared" si="1"/>
        <v>0</v>
      </c>
    </row>
    <row r="1505" hidden="1">
      <c r="C1505" s="515"/>
      <c r="G1505" s="1" t="s">
        <v>2590</v>
      </c>
      <c r="I1505" s="516"/>
      <c r="J1505" s="516"/>
      <c r="M1505" s="515"/>
      <c r="N1505" s="516"/>
      <c r="P1505" s="1">
        <v>83.3</v>
      </c>
      <c r="Q1505" s="1">
        <v>0.0</v>
      </c>
      <c r="S1505" s="517"/>
      <c r="V1505" s="1">
        <v>0.08</v>
      </c>
      <c r="W1505" s="518">
        <f t="shared" si="1"/>
        <v>0</v>
      </c>
    </row>
    <row r="1506" hidden="1">
      <c r="C1506" s="515"/>
      <c r="G1506" s="1" t="s">
        <v>2441</v>
      </c>
      <c r="I1506" s="516"/>
      <c r="J1506" s="516"/>
      <c r="M1506" s="515"/>
      <c r="N1506" s="516"/>
      <c r="P1506" s="1">
        <v>83.3</v>
      </c>
      <c r="Q1506" s="1">
        <v>0.0</v>
      </c>
      <c r="S1506" s="517"/>
      <c r="V1506" s="1">
        <v>0.08</v>
      </c>
      <c r="W1506" s="518">
        <f t="shared" si="1"/>
        <v>0</v>
      </c>
    </row>
    <row r="1507" hidden="1">
      <c r="C1507" s="515"/>
      <c r="G1507" s="1" t="s">
        <v>2444</v>
      </c>
      <c r="I1507" s="516"/>
      <c r="J1507" s="516"/>
      <c r="M1507" s="515"/>
      <c r="N1507" s="516"/>
      <c r="P1507" s="1">
        <v>125.0</v>
      </c>
      <c r="Q1507" s="1">
        <v>0.0</v>
      </c>
      <c r="S1507" s="517"/>
      <c r="V1507" s="1">
        <v>0.13</v>
      </c>
      <c r="W1507" s="518">
        <f t="shared" si="1"/>
        <v>0</v>
      </c>
    </row>
    <row r="1508" hidden="1">
      <c r="C1508" s="515"/>
      <c r="G1508" s="1" t="s">
        <v>2443</v>
      </c>
      <c r="I1508" s="516"/>
      <c r="J1508" s="516"/>
      <c r="M1508" s="515"/>
      <c r="N1508" s="516"/>
      <c r="P1508" s="1">
        <v>833.3</v>
      </c>
      <c r="Q1508" s="1">
        <v>0.0</v>
      </c>
      <c r="S1508" s="517"/>
      <c r="V1508" s="1">
        <v>0.83</v>
      </c>
      <c r="W1508" s="518">
        <f t="shared" si="1"/>
        <v>0</v>
      </c>
    </row>
    <row r="1509" hidden="1">
      <c r="C1509" s="515"/>
      <c r="G1509" s="1" t="s">
        <v>2439</v>
      </c>
      <c r="I1509" s="516"/>
      <c r="J1509" s="516"/>
      <c r="M1509" s="515"/>
      <c r="N1509" s="516"/>
      <c r="P1509" s="1">
        <v>83.3</v>
      </c>
      <c r="Q1509" s="1">
        <v>0.0</v>
      </c>
      <c r="S1509" s="517"/>
      <c r="V1509" s="1">
        <v>0.08</v>
      </c>
      <c r="W1509" s="518">
        <f t="shared" si="1"/>
        <v>0</v>
      </c>
    </row>
    <row r="1510" hidden="1">
      <c r="C1510" s="515"/>
      <c r="G1510" s="1" t="s">
        <v>2596</v>
      </c>
      <c r="I1510" s="516"/>
      <c r="J1510" s="516"/>
      <c r="M1510" s="515"/>
      <c r="N1510" s="516"/>
      <c r="P1510" s="1">
        <v>41.7</v>
      </c>
      <c r="Q1510" s="1">
        <v>0.0</v>
      </c>
      <c r="S1510" s="517"/>
      <c r="V1510" s="1">
        <v>0.04</v>
      </c>
      <c r="W1510" s="518">
        <f t="shared" si="1"/>
        <v>0</v>
      </c>
    </row>
    <row r="1511" hidden="1">
      <c r="C1511" s="515"/>
      <c r="G1511" s="1" t="s">
        <v>2536</v>
      </c>
      <c r="I1511" s="516"/>
      <c r="J1511" s="516"/>
      <c r="M1511" s="515"/>
      <c r="N1511" s="516"/>
      <c r="P1511" s="1">
        <v>166.7</v>
      </c>
      <c r="Q1511" s="1">
        <v>0.0</v>
      </c>
      <c r="S1511" s="517"/>
      <c r="V1511" s="1">
        <v>0.17</v>
      </c>
      <c r="W1511" s="518">
        <f t="shared" si="1"/>
        <v>0</v>
      </c>
    </row>
    <row r="1512" hidden="1">
      <c r="C1512" s="515"/>
      <c r="G1512" s="1" t="s">
        <v>2447</v>
      </c>
      <c r="I1512" s="516"/>
      <c r="J1512" s="516"/>
      <c r="M1512" s="515"/>
      <c r="N1512" s="516"/>
      <c r="P1512" s="1">
        <v>83.3</v>
      </c>
      <c r="Q1512" s="1">
        <v>0.0</v>
      </c>
      <c r="S1512" s="517"/>
      <c r="V1512" s="1">
        <v>0.08</v>
      </c>
      <c r="W1512" s="518">
        <f t="shared" si="1"/>
        <v>0</v>
      </c>
    </row>
    <row r="1513" hidden="1">
      <c r="C1513" s="515"/>
      <c r="G1513" s="1" t="s">
        <v>2445</v>
      </c>
      <c r="I1513" s="516"/>
      <c r="J1513" s="516"/>
      <c r="M1513" s="515"/>
      <c r="N1513" s="516"/>
      <c r="P1513" s="1">
        <v>166.7</v>
      </c>
      <c r="Q1513" s="1">
        <v>0.0</v>
      </c>
      <c r="S1513" s="517"/>
      <c r="V1513" s="1">
        <v>0.17</v>
      </c>
      <c r="W1513" s="518">
        <f t="shared" si="1"/>
        <v>0</v>
      </c>
    </row>
    <row r="1514" hidden="1">
      <c r="C1514" s="515"/>
      <c r="G1514" s="1" t="s">
        <v>2451</v>
      </c>
      <c r="I1514" s="516"/>
      <c r="J1514" s="516"/>
      <c r="M1514" s="515"/>
      <c r="N1514" s="516"/>
      <c r="P1514" s="1">
        <v>41.7</v>
      </c>
      <c r="Q1514" s="1">
        <v>0.0</v>
      </c>
      <c r="S1514" s="517"/>
      <c r="V1514" s="1">
        <v>0.04</v>
      </c>
      <c r="W1514" s="518">
        <f t="shared" si="1"/>
        <v>0</v>
      </c>
    </row>
    <row r="1515" hidden="1">
      <c r="C1515" s="515"/>
      <c r="G1515" s="1" t="s">
        <v>2592</v>
      </c>
      <c r="I1515" s="516"/>
      <c r="J1515" s="516"/>
      <c r="M1515" s="515"/>
      <c r="N1515" s="516"/>
      <c r="P1515" s="1">
        <v>41.7</v>
      </c>
      <c r="Q1515" s="1">
        <v>0.0</v>
      </c>
      <c r="S1515" s="517"/>
      <c r="V1515" s="1">
        <v>0.04</v>
      </c>
      <c r="W1515" s="518">
        <f t="shared" si="1"/>
        <v>0</v>
      </c>
    </row>
    <row r="1516" hidden="1">
      <c r="C1516" s="515"/>
      <c r="G1516" s="1" t="s">
        <v>2458</v>
      </c>
      <c r="I1516" s="516"/>
      <c r="J1516" s="516"/>
      <c r="M1516" s="515"/>
      <c r="N1516" s="516"/>
      <c r="P1516" s="1">
        <v>83.3</v>
      </c>
      <c r="Q1516" s="1">
        <v>0.0</v>
      </c>
      <c r="S1516" s="517"/>
      <c r="V1516" s="1">
        <v>0.08</v>
      </c>
      <c r="W1516" s="518">
        <f t="shared" si="1"/>
        <v>0</v>
      </c>
    </row>
    <row r="1517" hidden="1">
      <c r="C1517" s="515"/>
      <c r="G1517" s="1" t="s">
        <v>2540</v>
      </c>
      <c r="I1517" s="516"/>
      <c r="J1517" s="516"/>
      <c r="M1517" s="515"/>
      <c r="N1517" s="516"/>
      <c r="P1517" s="1">
        <v>416.7</v>
      </c>
      <c r="Q1517" s="1">
        <v>0.0</v>
      </c>
      <c r="S1517" s="517"/>
      <c r="V1517" s="1">
        <v>0.42</v>
      </c>
      <c r="W1517" s="518">
        <f t="shared" si="1"/>
        <v>0</v>
      </c>
    </row>
    <row r="1518" hidden="1">
      <c r="C1518" s="515"/>
      <c r="G1518" s="1" t="s">
        <v>2608</v>
      </c>
      <c r="I1518" s="516"/>
      <c r="J1518" s="516"/>
      <c r="K1518" s="515">
        <v>46022.0</v>
      </c>
      <c r="M1518" s="515"/>
      <c r="N1518" s="516"/>
      <c r="P1518" s="1">
        <v>0.0</v>
      </c>
      <c r="Q1518" s="1" t="s">
        <v>2404</v>
      </c>
      <c r="S1518" s="517"/>
      <c r="V1518" s="1">
        <v>416.67</v>
      </c>
      <c r="W1518" s="518">
        <f t="shared" si="1"/>
        <v>416670</v>
      </c>
    </row>
    <row r="1519" hidden="1">
      <c r="C1519" s="515"/>
      <c r="G1519" s="1" t="s">
        <v>2457</v>
      </c>
      <c r="I1519" s="516"/>
      <c r="J1519" s="516"/>
      <c r="M1519" s="515"/>
      <c r="N1519" s="516"/>
      <c r="P1519" s="1">
        <v>500.0</v>
      </c>
      <c r="Q1519" s="1">
        <v>0.0</v>
      </c>
      <c r="S1519" s="517"/>
      <c r="V1519" s="1">
        <v>0.5</v>
      </c>
      <c r="W1519" s="518">
        <f t="shared" si="1"/>
        <v>0</v>
      </c>
    </row>
    <row r="1520" hidden="1">
      <c r="C1520" s="515"/>
      <c r="G1520" s="1" t="s">
        <v>2539</v>
      </c>
      <c r="I1520" s="516"/>
      <c r="J1520" s="516"/>
      <c r="M1520" s="515"/>
      <c r="P1520" s="1">
        <v>41.7</v>
      </c>
      <c r="Q1520" s="1">
        <v>0.0</v>
      </c>
      <c r="S1520" s="517"/>
      <c r="V1520" s="1">
        <v>0.04</v>
      </c>
      <c r="W1520" s="518">
        <f t="shared" si="1"/>
        <v>0</v>
      </c>
    </row>
    <row r="1521" hidden="1">
      <c r="C1521" s="515"/>
      <c r="G1521" s="1" t="s">
        <v>2456</v>
      </c>
      <c r="I1521" s="516"/>
      <c r="J1521" s="516"/>
      <c r="M1521" s="515"/>
      <c r="N1521" s="516"/>
      <c r="P1521" s="1">
        <v>666.7</v>
      </c>
      <c r="Q1521" s="1">
        <v>0.0</v>
      </c>
      <c r="S1521" s="517"/>
      <c r="V1521" s="1">
        <v>0.67</v>
      </c>
      <c r="W1521" s="518">
        <f t="shared" si="1"/>
        <v>0</v>
      </c>
    </row>
    <row r="1522" hidden="1">
      <c r="C1522" s="515"/>
      <c r="G1522" s="1" t="s">
        <v>2454</v>
      </c>
      <c r="I1522" s="516"/>
      <c r="J1522" s="516"/>
      <c r="M1522" s="515"/>
      <c r="N1522" s="516"/>
      <c r="P1522" s="1">
        <v>83.3</v>
      </c>
      <c r="Q1522" s="1">
        <v>0.0</v>
      </c>
      <c r="S1522" s="517"/>
      <c r="V1522" s="1">
        <v>0.08</v>
      </c>
      <c r="W1522" s="518">
        <f t="shared" si="1"/>
        <v>0</v>
      </c>
    </row>
    <row r="1523" hidden="1">
      <c r="C1523" s="515"/>
      <c r="G1523" s="1" t="s">
        <v>2560</v>
      </c>
      <c r="I1523" s="516"/>
      <c r="J1523" s="516"/>
      <c r="M1523" s="515"/>
      <c r="N1523" s="516"/>
      <c r="P1523" s="1">
        <v>83.3</v>
      </c>
      <c r="Q1523" s="1">
        <v>0.0</v>
      </c>
      <c r="S1523" s="517"/>
      <c r="V1523" s="1">
        <v>0.08</v>
      </c>
      <c r="W1523" s="518">
        <f t="shared" si="1"/>
        <v>0</v>
      </c>
    </row>
    <row r="1524" hidden="1">
      <c r="C1524" s="515"/>
      <c r="G1524" s="1" t="s">
        <v>2462</v>
      </c>
      <c r="I1524" s="516"/>
      <c r="J1524" s="516"/>
      <c r="M1524" s="515"/>
      <c r="N1524" s="516"/>
      <c r="P1524" s="1">
        <v>41.7</v>
      </c>
      <c r="Q1524" s="1">
        <v>0.0</v>
      </c>
      <c r="S1524" s="517"/>
      <c r="V1524" s="1">
        <v>0.04</v>
      </c>
      <c r="W1524" s="518">
        <f t="shared" si="1"/>
        <v>0</v>
      </c>
    </row>
    <row r="1525" hidden="1">
      <c r="C1525" s="515"/>
      <c r="G1525" s="1" t="s">
        <v>2553</v>
      </c>
      <c r="I1525" s="516"/>
      <c r="J1525" s="516"/>
      <c r="M1525" s="515"/>
      <c r="N1525" s="516"/>
      <c r="P1525" s="1">
        <v>41.7</v>
      </c>
      <c r="Q1525" s="1">
        <v>0.0</v>
      </c>
      <c r="S1525" s="517"/>
      <c r="V1525" s="1">
        <v>0.04</v>
      </c>
      <c r="W1525" s="518">
        <f t="shared" si="1"/>
        <v>0</v>
      </c>
    </row>
    <row r="1526" hidden="1">
      <c r="C1526" s="515"/>
      <c r="G1526" s="1" t="s">
        <v>2461</v>
      </c>
      <c r="I1526" s="516"/>
      <c r="J1526" s="516"/>
      <c r="M1526" s="515"/>
      <c r="N1526" s="516"/>
      <c r="P1526" s="1">
        <v>83.3</v>
      </c>
      <c r="Q1526" s="1">
        <v>0.0</v>
      </c>
      <c r="S1526" s="517"/>
      <c r="V1526" s="1">
        <v>0.08</v>
      </c>
      <c r="W1526" s="518">
        <f t="shared" si="1"/>
        <v>0</v>
      </c>
    </row>
    <row r="1527" hidden="1">
      <c r="C1527" s="515"/>
      <c r="G1527" s="1" t="s">
        <v>2469</v>
      </c>
      <c r="I1527" s="516"/>
      <c r="J1527" s="516"/>
      <c r="M1527" s="515"/>
      <c r="N1527" s="516"/>
      <c r="P1527" s="1">
        <v>41.7</v>
      </c>
      <c r="Q1527" s="1">
        <v>0.0</v>
      </c>
      <c r="S1527" s="517"/>
      <c r="V1527" s="1">
        <v>0.04</v>
      </c>
      <c r="W1527" s="518">
        <f t="shared" si="1"/>
        <v>0</v>
      </c>
    </row>
    <row r="1528" hidden="1">
      <c r="C1528" s="515"/>
      <c r="G1528" s="1" t="s">
        <v>2521</v>
      </c>
      <c r="I1528" s="516"/>
      <c r="J1528" s="516"/>
      <c r="M1528" s="515"/>
      <c r="N1528" s="516"/>
      <c r="P1528" s="1">
        <v>83.3</v>
      </c>
      <c r="Q1528" s="1">
        <v>0.0</v>
      </c>
      <c r="S1528" s="517"/>
      <c r="V1528" s="1">
        <v>0.08</v>
      </c>
      <c r="W1528" s="518">
        <f t="shared" si="1"/>
        <v>0</v>
      </c>
    </row>
    <row r="1529" hidden="1">
      <c r="C1529" s="515"/>
      <c r="G1529" s="1" t="s">
        <v>2468</v>
      </c>
      <c r="I1529" s="516"/>
      <c r="J1529" s="516"/>
      <c r="M1529" s="515"/>
      <c r="N1529" s="516"/>
      <c r="P1529" s="1">
        <v>41.7</v>
      </c>
      <c r="Q1529" s="1">
        <v>0.0</v>
      </c>
      <c r="S1529" s="517"/>
      <c r="V1529" s="1">
        <v>0.04</v>
      </c>
      <c r="W1529" s="518">
        <f t="shared" si="1"/>
        <v>0</v>
      </c>
    </row>
    <row r="1530" hidden="1">
      <c r="C1530" s="515"/>
      <c r="G1530" s="1" t="s">
        <v>2605</v>
      </c>
      <c r="I1530" s="516"/>
      <c r="J1530" s="516"/>
      <c r="M1530" s="515"/>
      <c r="N1530" s="516"/>
      <c r="P1530" s="1">
        <v>125.0</v>
      </c>
      <c r="Q1530" s="1">
        <v>0.0</v>
      </c>
      <c r="S1530" s="517"/>
      <c r="V1530" s="1">
        <v>0.13</v>
      </c>
      <c r="W1530" s="518">
        <f t="shared" si="1"/>
        <v>0</v>
      </c>
    </row>
    <row r="1531" hidden="1">
      <c r="C1531" s="515"/>
      <c r="G1531" s="1" t="s">
        <v>2466</v>
      </c>
      <c r="I1531" s="516"/>
      <c r="J1531" s="516"/>
      <c r="M1531" s="515"/>
      <c r="N1531" s="516"/>
      <c r="P1531" s="1">
        <v>208.3</v>
      </c>
      <c r="Q1531" s="1">
        <v>0.0</v>
      </c>
      <c r="S1531" s="517"/>
      <c r="V1531" s="1">
        <v>0.21</v>
      </c>
      <c r="W1531" s="518">
        <f t="shared" si="1"/>
        <v>0</v>
      </c>
    </row>
    <row r="1532" hidden="1">
      <c r="C1532" s="515"/>
      <c r="G1532" s="1" t="s">
        <v>2465</v>
      </c>
      <c r="I1532" s="516"/>
      <c r="J1532" s="516"/>
      <c r="M1532" s="515"/>
      <c r="N1532" s="516"/>
      <c r="P1532" s="1">
        <v>166.7</v>
      </c>
      <c r="Q1532" s="1">
        <v>0.0</v>
      </c>
      <c r="S1532" s="517"/>
      <c r="V1532" s="1">
        <v>0.17</v>
      </c>
      <c r="W1532" s="518">
        <f t="shared" si="1"/>
        <v>0</v>
      </c>
    </row>
    <row r="1533" hidden="1">
      <c r="C1533" s="515"/>
      <c r="G1533" s="1" t="s">
        <v>2463</v>
      </c>
      <c r="I1533" s="516"/>
      <c r="J1533" s="516"/>
      <c r="M1533" s="515"/>
      <c r="N1533" s="516"/>
      <c r="P1533" s="1">
        <v>83.3</v>
      </c>
      <c r="Q1533" s="1">
        <v>0.0</v>
      </c>
      <c r="S1533" s="517"/>
      <c r="V1533" s="1">
        <v>0.08</v>
      </c>
      <c r="W1533" s="518">
        <f t="shared" si="1"/>
        <v>0</v>
      </c>
    </row>
    <row r="1534" hidden="1">
      <c r="C1534" s="515"/>
      <c r="G1534" s="1" t="s">
        <v>2542</v>
      </c>
      <c r="I1534" s="516"/>
      <c r="J1534" s="516"/>
      <c r="M1534" s="515"/>
      <c r="N1534" s="516"/>
      <c r="P1534" s="1">
        <v>83.3</v>
      </c>
      <c r="Q1534" s="1">
        <v>0.0</v>
      </c>
      <c r="S1534" s="517"/>
      <c r="V1534" s="1">
        <v>0.08</v>
      </c>
      <c r="W1534" s="518">
        <f t="shared" si="1"/>
        <v>0</v>
      </c>
    </row>
    <row r="1535" hidden="1">
      <c r="C1535" s="515"/>
      <c r="G1535" s="1" t="s">
        <v>2473</v>
      </c>
      <c r="I1535" s="516"/>
      <c r="J1535" s="516"/>
      <c r="M1535" s="515"/>
      <c r="N1535" s="516"/>
      <c r="P1535" s="1">
        <v>83.3</v>
      </c>
      <c r="Q1535" s="1">
        <v>0.0</v>
      </c>
      <c r="S1535" s="517"/>
      <c r="V1535" s="1">
        <v>0.08</v>
      </c>
      <c r="W1535" s="518">
        <f t="shared" si="1"/>
        <v>0</v>
      </c>
    </row>
    <row r="1536" hidden="1">
      <c r="C1536" s="515"/>
      <c r="G1536" s="1" t="s">
        <v>2472</v>
      </c>
      <c r="I1536" s="516"/>
      <c r="J1536" s="516"/>
      <c r="M1536" s="515"/>
      <c r="N1536" s="516"/>
      <c r="P1536" s="1">
        <v>83.3</v>
      </c>
      <c r="Q1536" s="1">
        <v>0.0</v>
      </c>
      <c r="S1536" s="517"/>
      <c r="V1536" s="1">
        <v>0.08</v>
      </c>
      <c r="W1536" s="518">
        <f t="shared" si="1"/>
        <v>0</v>
      </c>
    </row>
    <row r="1537" hidden="1">
      <c r="C1537" s="515"/>
      <c r="G1537" s="1" t="s">
        <v>2471</v>
      </c>
      <c r="I1537" s="516"/>
      <c r="J1537" s="516"/>
      <c r="M1537" s="515"/>
      <c r="N1537" s="516"/>
      <c r="P1537" s="1">
        <v>41.7</v>
      </c>
      <c r="Q1537" s="1">
        <v>0.0</v>
      </c>
      <c r="S1537" s="517"/>
      <c r="V1537" s="1">
        <v>0.04</v>
      </c>
      <c r="W1537" s="518">
        <f t="shared" si="1"/>
        <v>0</v>
      </c>
    </row>
    <row r="1538" hidden="1">
      <c r="C1538" s="515"/>
      <c r="G1538" s="1" t="s">
        <v>2470</v>
      </c>
      <c r="I1538" s="516"/>
      <c r="J1538" s="516"/>
      <c r="M1538" s="515"/>
      <c r="N1538" s="516"/>
      <c r="P1538" s="1">
        <v>333.3</v>
      </c>
      <c r="Q1538" s="1">
        <v>0.0</v>
      </c>
      <c r="S1538" s="517"/>
      <c r="V1538" s="1">
        <v>0.33</v>
      </c>
      <c r="W1538" s="518">
        <f t="shared" si="1"/>
        <v>0</v>
      </c>
    </row>
    <row r="1539" hidden="1">
      <c r="C1539" s="515"/>
      <c r="G1539" s="1" t="s">
        <v>2474</v>
      </c>
      <c r="I1539" s="516"/>
      <c r="J1539" s="516"/>
      <c r="P1539" s="1">
        <v>166.7</v>
      </c>
      <c r="Q1539" s="1">
        <v>0.0</v>
      </c>
      <c r="S1539" s="517"/>
      <c r="V1539" s="1">
        <v>0.17</v>
      </c>
      <c r="W1539" s="518">
        <f t="shared" si="1"/>
        <v>0</v>
      </c>
    </row>
    <row r="1540" hidden="1">
      <c r="C1540" s="515"/>
      <c r="G1540" s="1" t="s">
        <v>2609</v>
      </c>
      <c r="I1540" s="516"/>
      <c r="J1540" s="516"/>
      <c r="M1540" s="515"/>
      <c r="N1540" s="516"/>
      <c r="P1540" s="1">
        <v>83.3</v>
      </c>
      <c r="Q1540" s="1">
        <v>0.0</v>
      </c>
      <c r="S1540" s="517"/>
      <c r="V1540" s="1">
        <v>0.08</v>
      </c>
      <c r="W1540" s="518">
        <f t="shared" si="1"/>
        <v>0</v>
      </c>
    </row>
    <row r="1541" hidden="1">
      <c r="C1541" s="515"/>
      <c r="G1541" s="1" t="s">
        <v>2479</v>
      </c>
      <c r="I1541" s="516"/>
      <c r="J1541" s="516"/>
      <c r="M1541" s="515"/>
      <c r="N1541" s="516"/>
      <c r="P1541" s="1">
        <v>416.7</v>
      </c>
      <c r="Q1541" s="1">
        <v>0.0</v>
      </c>
      <c r="S1541" s="517"/>
      <c r="V1541" s="1">
        <v>0.42</v>
      </c>
      <c r="W1541" s="518">
        <f t="shared" si="1"/>
        <v>0</v>
      </c>
    </row>
    <row r="1542" hidden="1">
      <c r="C1542" s="515"/>
      <c r="G1542" s="1" t="s">
        <v>2588</v>
      </c>
      <c r="I1542" s="516"/>
      <c r="J1542" s="516"/>
      <c r="M1542" s="515"/>
      <c r="N1542" s="516"/>
      <c r="P1542" s="1">
        <v>0.0</v>
      </c>
      <c r="Q1542" s="1" t="s">
        <v>2404</v>
      </c>
      <c r="S1542" s="517"/>
      <c r="V1542" s="1">
        <v>8.33</v>
      </c>
      <c r="W1542" s="518">
        <f t="shared" si="1"/>
        <v>8330</v>
      </c>
    </row>
    <row r="1543" hidden="1">
      <c r="C1543" s="515"/>
      <c r="G1543" s="1" t="s">
        <v>2594</v>
      </c>
      <c r="I1543" s="516"/>
      <c r="J1543" s="516"/>
      <c r="M1543" s="515"/>
      <c r="N1543" s="516"/>
      <c r="P1543" s="1">
        <v>2000.0</v>
      </c>
      <c r="Q1543" s="1">
        <v>0.0</v>
      </c>
      <c r="S1543" s="517"/>
      <c r="V1543" s="1">
        <v>2.0</v>
      </c>
      <c r="W1543" s="518">
        <f t="shared" si="1"/>
        <v>0</v>
      </c>
    </row>
    <row r="1544" hidden="1">
      <c r="C1544" s="515"/>
      <c r="G1544" s="1" t="s">
        <v>2478</v>
      </c>
      <c r="I1544" s="516"/>
      <c r="J1544" s="516"/>
      <c r="M1544" s="515"/>
      <c r="N1544" s="516"/>
      <c r="P1544" s="1">
        <v>83.3</v>
      </c>
      <c r="Q1544" s="1">
        <v>0.0</v>
      </c>
      <c r="S1544" s="517"/>
      <c r="V1544" s="1">
        <v>0.08</v>
      </c>
      <c r="W1544" s="518">
        <f t="shared" si="1"/>
        <v>0</v>
      </c>
    </row>
    <row r="1545" hidden="1">
      <c r="C1545" s="515"/>
      <c r="G1545" s="1" t="s">
        <v>2598</v>
      </c>
      <c r="I1545" s="516"/>
      <c r="J1545" s="516"/>
      <c r="M1545" s="515"/>
      <c r="N1545" s="516"/>
      <c r="P1545" s="1">
        <v>8333.3</v>
      </c>
      <c r="Q1545" s="1">
        <v>0.0</v>
      </c>
      <c r="S1545" s="517"/>
      <c r="V1545" s="1">
        <v>8.33</v>
      </c>
      <c r="W1545" s="518">
        <f t="shared" si="1"/>
        <v>0</v>
      </c>
    </row>
    <row r="1546" hidden="1">
      <c r="C1546" s="515"/>
      <c r="G1546" s="1" t="s">
        <v>2483</v>
      </c>
      <c r="I1546" s="516"/>
      <c r="J1546" s="516"/>
      <c r="M1546" s="515"/>
      <c r="N1546" s="516"/>
      <c r="P1546" s="1">
        <v>708.3</v>
      </c>
      <c r="Q1546" s="1">
        <v>0.0</v>
      </c>
      <c r="S1546" s="517"/>
      <c r="V1546" s="1">
        <v>0.71</v>
      </c>
      <c r="W1546" s="518">
        <f t="shared" si="1"/>
        <v>0</v>
      </c>
    </row>
    <row r="1547" hidden="1">
      <c r="C1547" s="515"/>
      <c r="G1547" s="1" t="s">
        <v>2482</v>
      </c>
      <c r="I1547" s="516"/>
      <c r="J1547" s="516"/>
      <c r="M1547" s="515"/>
      <c r="P1547" s="1">
        <v>41.7</v>
      </c>
      <c r="Q1547" s="1">
        <v>0.0</v>
      </c>
      <c r="S1547" s="517"/>
      <c r="V1547" s="1">
        <v>0.04</v>
      </c>
      <c r="W1547" s="518">
        <f t="shared" si="1"/>
        <v>0</v>
      </c>
    </row>
    <row r="1548" hidden="1">
      <c r="C1548" s="515"/>
      <c r="G1548" s="1" t="s">
        <v>2545</v>
      </c>
      <c r="I1548" s="516"/>
      <c r="J1548" s="516"/>
      <c r="M1548" s="515"/>
      <c r="N1548" s="516"/>
      <c r="P1548" s="1">
        <v>41.7</v>
      </c>
      <c r="Q1548" s="1">
        <v>0.0</v>
      </c>
      <c r="S1548" s="517"/>
      <c r="V1548" s="1">
        <v>0.04</v>
      </c>
      <c r="W1548" s="518">
        <f t="shared" si="1"/>
        <v>0</v>
      </c>
    </row>
    <row r="1549" hidden="1">
      <c r="C1549" s="515"/>
      <c r="G1549" s="1" t="s">
        <v>2491</v>
      </c>
      <c r="I1549" s="516"/>
      <c r="J1549" s="516"/>
      <c r="M1549" s="515"/>
      <c r="N1549" s="516"/>
      <c r="P1549" s="1">
        <v>41.7</v>
      </c>
      <c r="Q1549" s="1">
        <v>0.0</v>
      </c>
      <c r="S1549" s="517"/>
      <c r="V1549" s="1">
        <v>0.04</v>
      </c>
      <c r="W1549" s="518">
        <f t="shared" si="1"/>
        <v>0</v>
      </c>
    </row>
    <row r="1550" hidden="1">
      <c r="C1550" s="515"/>
      <c r="G1550" s="1" t="s">
        <v>2490</v>
      </c>
      <c r="I1550" s="516"/>
      <c r="J1550" s="516"/>
      <c r="M1550" s="515"/>
      <c r="N1550" s="516"/>
      <c r="P1550" s="1">
        <v>41.7</v>
      </c>
      <c r="Q1550" s="1">
        <v>0.0</v>
      </c>
      <c r="S1550" s="517"/>
      <c r="V1550" s="1">
        <v>0.04</v>
      </c>
      <c r="W1550" s="518">
        <f t="shared" si="1"/>
        <v>0</v>
      </c>
    </row>
    <row r="1551" hidden="1">
      <c r="C1551" s="515"/>
      <c r="G1551" s="1" t="s">
        <v>2489</v>
      </c>
      <c r="I1551" s="516"/>
      <c r="J1551" s="516"/>
      <c r="M1551" s="515"/>
      <c r="N1551" s="516"/>
      <c r="P1551" s="1">
        <v>83.3</v>
      </c>
      <c r="Q1551" s="1">
        <v>0.0</v>
      </c>
      <c r="S1551" s="517"/>
      <c r="V1551" s="1">
        <v>0.08</v>
      </c>
      <c r="W1551" s="518">
        <f t="shared" si="1"/>
        <v>0</v>
      </c>
    </row>
    <row r="1552" hidden="1">
      <c r="C1552" s="515"/>
      <c r="G1552" s="1" t="s">
        <v>2493</v>
      </c>
      <c r="I1552" s="516"/>
      <c r="J1552" s="516"/>
      <c r="M1552" s="515"/>
      <c r="N1552" s="516"/>
      <c r="P1552" s="1">
        <v>166.7</v>
      </c>
      <c r="Q1552" s="1">
        <v>0.0</v>
      </c>
      <c r="S1552" s="517"/>
      <c r="V1552" s="1">
        <v>0.17</v>
      </c>
      <c r="W1552" s="518">
        <f t="shared" si="1"/>
        <v>0</v>
      </c>
    </row>
    <row r="1553" hidden="1">
      <c r="C1553" s="515"/>
      <c r="G1553" s="1" t="s">
        <v>2492</v>
      </c>
      <c r="I1553" s="516"/>
      <c r="J1553" s="516"/>
      <c r="M1553" s="515"/>
      <c r="N1553" s="516"/>
      <c r="P1553" s="1">
        <v>1000.0</v>
      </c>
      <c r="Q1553" s="1">
        <v>0.0</v>
      </c>
      <c r="S1553" s="517"/>
      <c r="V1553" s="1">
        <v>1.0</v>
      </c>
      <c r="W1553" s="518">
        <f t="shared" si="1"/>
        <v>0</v>
      </c>
    </row>
    <row r="1554" hidden="1">
      <c r="C1554" s="515"/>
      <c r="G1554" s="1" t="s">
        <v>2547</v>
      </c>
      <c r="I1554" s="516"/>
      <c r="J1554" s="516"/>
      <c r="M1554" s="515"/>
      <c r="N1554" s="516"/>
      <c r="P1554" s="1">
        <v>166.7</v>
      </c>
      <c r="Q1554" s="1">
        <v>0.0</v>
      </c>
      <c r="S1554" s="517"/>
      <c r="V1554" s="1">
        <v>0.17</v>
      </c>
      <c r="W1554" s="518">
        <f t="shared" si="1"/>
        <v>0</v>
      </c>
    </row>
    <row r="1555" hidden="1">
      <c r="C1555" s="515"/>
      <c r="G1555" s="1" t="s">
        <v>2498</v>
      </c>
      <c r="I1555" s="516"/>
      <c r="J1555" s="516"/>
      <c r="M1555" s="515"/>
      <c r="N1555" s="516"/>
      <c r="P1555" s="1">
        <v>183.3</v>
      </c>
      <c r="Q1555" s="1">
        <v>0.0</v>
      </c>
      <c r="S1555" s="517"/>
      <c r="V1555" s="1">
        <v>0.18</v>
      </c>
      <c r="W1555" s="518">
        <f t="shared" si="1"/>
        <v>0</v>
      </c>
    </row>
    <row r="1556" hidden="1">
      <c r="C1556" s="515"/>
      <c r="G1556" s="1" t="s">
        <v>2497</v>
      </c>
      <c r="I1556" s="516"/>
      <c r="J1556" s="516"/>
      <c r="M1556" s="515"/>
      <c r="N1556" s="516"/>
      <c r="P1556" s="1">
        <v>2000.0</v>
      </c>
      <c r="Q1556" s="1">
        <v>0.0</v>
      </c>
      <c r="S1556" s="517"/>
      <c r="V1556" s="1">
        <v>2.0</v>
      </c>
      <c r="W1556" s="518">
        <f t="shared" si="1"/>
        <v>0</v>
      </c>
    </row>
    <row r="1557" hidden="1">
      <c r="C1557" s="515"/>
      <c r="G1557" s="1" t="s">
        <v>2565</v>
      </c>
      <c r="I1557" s="516"/>
      <c r="J1557" s="516"/>
      <c r="M1557" s="515"/>
      <c r="N1557" s="516"/>
      <c r="P1557" s="1">
        <v>83.3</v>
      </c>
      <c r="Q1557" s="1">
        <v>0.0</v>
      </c>
      <c r="S1557" s="517"/>
      <c r="V1557" s="1">
        <v>0.08</v>
      </c>
      <c r="W1557" s="518">
        <f t="shared" si="1"/>
        <v>0</v>
      </c>
    </row>
    <row r="1558" hidden="1">
      <c r="C1558" s="515"/>
      <c r="G1558" s="1" t="s">
        <v>2563</v>
      </c>
      <c r="I1558" s="516"/>
      <c r="J1558" s="516"/>
      <c r="M1558" s="515"/>
      <c r="N1558" s="516"/>
      <c r="P1558" s="1">
        <v>125.0</v>
      </c>
      <c r="Q1558" s="1">
        <v>0.0</v>
      </c>
      <c r="S1558" s="517"/>
      <c r="V1558" s="1">
        <v>0.13</v>
      </c>
      <c r="W1558" s="518">
        <f t="shared" si="1"/>
        <v>0</v>
      </c>
    </row>
    <row r="1559" hidden="1">
      <c r="C1559" s="515"/>
      <c r="G1559" s="1" t="s">
        <v>2495</v>
      </c>
      <c r="I1559" s="516"/>
      <c r="J1559" s="516"/>
      <c r="M1559" s="515"/>
      <c r="N1559" s="516"/>
      <c r="P1559" s="1">
        <v>83.3</v>
      </c>
      <c r="Q1559" s="1">
        <v>0.0</v>
      </c>
      <c r="S1559" s="517"/>
      <c r="V1559" s="1">
        <v>0.08</v>
      </c>
      <c r="W1559" s="518">
        <f t="shared" si="1"/>
        <v>0</v>
      </c>
    </row>
    <row r="1560" hidden="1">
      <c r="C1560" s="515"/>
      <c r="G1560" s="1" t="s">
        <v>2504</v>
      </c>
      <c r="I1560" s="516"/>
      <c r="J1560" s="516"/>
      <c r="M1560" s="515"/>
      <c r="N1560" s="516"/>
      <c r="P1560" s="1">
        <v>41.7</v>
      </c>
      <c r="Q1560" s="1">
        <v>0.0</v>
      </c>
      <c r="S1560" s="517"/>
      <c r="V1560" s="1">
        <v>0.04</v>
      </c>
      <c r="W1560" s="518">
        <f t="shared" si="1"/>
        <v>0</v>
      </c>
    </row>
    <row r="1561" hidden="1">
      <c r="C1561" s="515"/>
      <c r="G1561" s="86" t="s">
        <v>2584</v>
      </c>
      <c r="I1561" s="516"/>
      <c r="J1561" s="516"/>
      <c r="M1561" s="515"/>
      <c r="N1561" s="516"/>
      <c r="P1561" s="1">
        <v>1666.7</v>
      </c>
      <c r="Q1561" s="1">
        <v>0.0</v>
      </c>
      <c r="S1561" s="517"/>
      <c r="V1561" s="1">
        <v>1.67</v>
      </c>
      <c r="W1561" s="518">
        <f t="shared" si="1"/>
        <v>0</v>
      </c>
    </row>
    <row r="1562" hidden="1">
      <c r="C1562" s="515"/>
      <c r="G1562" s="1" t="s">
        <v>2502</v>
      </c>
      <c r="I1562" s="516"/>
      <c r="J1562" s="516"/>
      <c r="M1562" s="515"/>
      <c r="N1562" s="516"/>
      <c r="P1562" s="1">
        <v>41.7</v>
      </c>
      <c r="Q1562" s="1">
        <v>0.0</v>
      </c>
      <c r="S1562" s="517"/>
      <c r="V1562" s="1">
        <v>0.04</v>
      </c>
      <c r="W1562" s="518">
        <f t="shared" si="1"/>
        <v>0</v>
      </c>
    </row>
    <row r="1563" hidden="1">
      <c r="C1563" s="515"/>
      <c r="G1563" s="1" t="s">
        <v>2501</v>
      </c>
      <c r="I1563" s="516"/>
      <c r="J1563" s="516"/>
      <c r="M1563" s="515"/>
      <c r="N1563" s="516"/>
      <c r="P1563" s="1">
        <v>83.3</v>
      </c>
      <c r="Q1563" s="1">
        <v>0.0</v>
      </c>
      <c r="S1563" s="517"/>
      <c r="V1563" s="1">
        <v>0.08</v>
      </c>
      <c r="W1563" s="518">
        <f t="shared" si="1"/>
        <v>0</v>
      </c>
    </row>
    <row r="1564" hidden="1">
      <c r="C1564" s="515"/>
      <c r="G1564" s="1" t="s">
        <v>2505</v>
      </c>
      <c r="I1564" s="516"/>
      <c r="J1564" s="516"/>
      <c r="M1564" s="515"/>
      <c r="N1564" s="516"/>
      <c r="P1564" s="1">
        <v>125.0</v>
      </c>
      <c r="Q1564" s="1">
        <v>0.0</v>
      </c>
      <c r="S1564" s="517"/>
      <c r="V1564" s="1">
        <v>0.13</v>
      </c>
      <c r="W1564" s="518">
        <f t="shared" si="1"/>
        <v>0</v>
      </c>
    </row>
    <row r="1565">
      <c r="C1565" s="515"/>
      <c r="G1565" s="1" t="s">
        <v>2582</v>
      </c>
      <c r="I1565" s="516"/>
      <c r="J1565" s="516"/>
      <c r="K1565" s="515">
        <v>45657.0</v>
      </c>
      <c r="M1565" s="515"/>
      <c r="N1565" s="516"/>
      <c r="P1565" s="1">
        <v>1000.0</v>
      </c>
      <c r="Q1565" s="1">
        <v>1075000.0</v>
      </c>
      <c r="S1565" s="517"/>
      <c r="V1565" s="1">
        <v>1076.0</v>
      </c>
      <c r="W1565" s="518">
        <f t="shared" si="1"/>
        <v>1075000</v>
      </c>
    </row>
    <row r="1566" hidden="1">
      <c r="C1566" s="515"/>
      <c r="G1566" s="1" t="s">
        <v>2610</v>
      </c>
      <c r="I1566" s="516"/>
      <c r="J1566" s="516"/>
      <c r="M1566" s="515"/>
      <c r="N1566" s="516"/>
      <c r="P1566" s="1">
        <v>83.3</v>
      </c>
      <c r="Q1566" s="1">
        <v>0.0</v>
      </c>
      <c r="S1566" s="517"/>
      <c r="V1566" s="1">
        <v>0.08</v>
      </c>
      <c r="W1566" s="518">
        <f t="shared" si="1"/>
        <v>0</v>
      </c>
    </row>
    <row r="1567" hidden="1">
      <c r="C1567" s="515"/>
      <c r="G1567" s="1" t="s">
        <v>2511</v>
      </c>
      <c r="I1567" s="516"/>
      <c r="J1567" s="516"/>
      <c r="M1567" s="515"/>
      <c r="N1567" s="516"/>
      <c r="P1567" s="1">
        <v>41.7</v>
      </c>
      <c r="Q1567" s="1">
        <v>0.0</v>
      </c>
      <c r="S1567" s="517"/>
      <c r="V1567" s="1">
        <v>0.04</v>
      </c>
      <c r="W1567" s="518">
        <f t="shared" si="1"/>
        <v>0</v>
      </c>
    </row>
    <row r="1568" hidden="1">
      <c r="C1568" s="515"/>
      <c r="G1568" s="1" t="s">
        <v>2406</v>
      </c>
      <c r="I1568" s="516"/>
      <c r="J1568" s="516"/>
      <c r="M1568" s="515"/>
      <c r="N1568" s="516"/>
      <c r="P1568" s="1">
        <v>166.7</v>
      </c>
      <c r="Q1568" s="1">
        <v>0.0</v>
      </c>
      <c r="S1568" s="517"/>
      <c r="V1568" s="1">
        <v>0.17</v>
      </c>
      <c r="W1568" s="518">
        <f t="shared" si="1"/>
        <v>0</v>
      </c>
    </row>
    <row r="1569" hidden="1">
      <c r="C1569" s="515"/>
      <c r="G1569" s="1" t="s">
        <v>2405</v>
      </c>
      <c r="I1569" s="516"/>
      <c r="J1569" s="516"/>
      <c r="M1569" s="515"/>
      <c r="N1569" s="516"/>
      <c r="P1569" s="1">
        <v>166.7</v>
      </c>
      <c r="Q1569" s="1">
        <v>0.0</v>
      </c>
      <c r="S1569" s="517"/>
      <c r="V1569" s="1">
        <v>0.17</v>
      </c>
      <c r="W1569" s="518">
        <f t="shared" si="1"/>
        <v>0</v>
      </c>
    </row>
    <row r="1570" hidden="1">
      <c r="C1570" s="515"/>
      <c r="G1570" s="1" t="s">
        <v>2413</v>
      </c>
      <c r="I1570" s="516"/>
      <c r="J1570" s="516"/>
      <c r="M1570" s="515"/>
      <c r="N1570" s="516"/>
      <c r="P1570" s="1">
        <v>333.3</v>
      </c>
      <c r="Q1570" s="1">
        <v>0.0</v>
      </c>
      <c r="S1570" s="517"/>
      <c r="V1570" s="1">
        <v>0.33</v>
      </c>
      <c r="W1570" s="518">
        <f t="shared" si="1"/>
        <v>0</v>
      </c>
    </row>
    <row r="1571" hidden="1">
      <c r="C1571" s="515"/>
      <c r="G1571" s="1" t="s">
        <v>2412</v>
      </c>
      <c r="I1571" s="516"/>
      <c r="J1571" s="516"/>
      <c r="M1571" s="515"/>
      <c r="N1571" s="516"/>
      <c r="P1571" s="1">
        <v>4000.0</v>
      </c>
      <c r="Q1571" s="1">
        <v>0.0</v>
      </c>
      <c r="S1571" s="517"/>
      <c r="V1571" s="1">
        <v>4.0</v>
      </c>
      <c r="W1571" s="518">
        <f t="shared" si="1"/>
        <v>0</v>
      </c>
    </row>
    <row r="1572" hidden="1">
      <c r="C1572" s="515"/>
      <c r="G1572" s="1" t="s">
        <v>2549</v>
      </c>
      <c r="I1572" s="516"/>
      <c r="J1572" s="516"/>
      <c r="M1572" s="515"/>
      <c r="N1572" s="516"/>
      <c r="P1572" s="1">
        <v>83.3</v>
      </c>
      <c r="Q1572" s="1">
        <v>0.0</v>
      </c>
      <c r="S1572" s="517"/>
      <c r="V1572" s="1">
        <v>0.08</v>
      </c>
      <c r="W1572" s="518">
        <f t="shared" si="1"/>
        <v>0</v>
      </c>
    </row>
    <row r="1573" hidden="1">
      <c r="C1573" s="515"/>
      <c r="G1573" s="1" t="s">
        <v>2410</v>
      </c>
      <c r="I1573" s="516"/>
      <c r="J1573" s="516"/>
      <c r="M1573" s="515"/>
      <c r="N1573" s="516"/>
      <c r="P1573" s="1">
        <v>83.3</v>
      </c>
      <c r="Q1573" s="1">
        <v>0.0</v>
      </c>
      <c r="S1573" s="517"/>
      <c r="V1573" s="1">
        <v>0.08</v>
      </c>
      <c r="W1573" s="518">
        <f t="shared" si="1"/>
        <v>0</v>
      </c>
    </row>
    <row r="1574" hidden="1">
      <c r="C1574" s="515"/>
      <c r="G1574" s="1" t="s">
        <v>2611</v>
      </c>
      <c r="I1574" s="516"/>
      <c r="J1574" s="516"/>
      <c r="M1574" s="515"/>
      <c r="N1574" s="516"/>
      <c r="P1574" s="1">
        <v>208.3</v>
      </c>
      <c r="Q1574" s="1">
        <v>0.0</v>
      </c>
      <c r="S1574" s="517"/>
      <c r="V1574" s="1">
        <v>0.21</v>
      </c>
      <c r="W1574" s="518">
        <f t="shared" si="1"/>
        <v>0</v>
      </c>
    </row>
    <row r="1575" hidden="1">
      <c r="C1575" s="515"/>
      <c r="G1575" s="1" t="s">
        <v>2408</v>
      </c>
      <c r="I1575" s="516"/>
      <c r="J1575" s="516"/>
      <c r="M1575" s="515"/>
      <c r="N1575" s="516"/>
      <c r="P1575" s="1">
        <v>41.7</v>
      </c>
      <c r="Q1575" s="1">
        <v>0.0</v>
      </c>
      <c r="S1575" s="517"/>
      <c r="V1575" s="1">
        <v>0.04</v>
      </c>
      <c r="W1575" s="518">
        <f t="shared" si="1"/>
        <v>0</v>
      </c>
    </row>
    <row r="1576" hidden="1">
      <c r="C1576" s="515"/>
      <c r="G1576" s="1" t="s">
        <v>2601</v>
      </c>
      <c r="I1576" s="516"/>
      <c r="J1576" s="516"/>
      <c r="M1576" s="515"/>
      <c r="N1576" s="516"/>
      <c r="P1576" s="1">
        <v>41.7</v>
      </c>
      <c r="Q1576" s="1">
        <v>0.0</v>
      </c>
      <c r="S1576" s="517"/>
      <c r="V1576" s="1">
        <v>0.04</v>
      </c>
      <c r="W1576" s="518">
        <f t="shared" si="1"/>
        <v>0</v>
      </c>
    </row>
    <row r="1577" hidden="1">
      <c r="C1577" s="515"/>
      <c r="G1577" s="1" t="s">
        <v>2407</v>
      </c>
      <c r="I1577" s="516"/>
      <c r="J1577" s="516"/>
      <c r="M1577" s="515"/>
      <c r="N1577" s="516"/>
      <c r="P1577" s="1">
        <v>416.7</v>
      </c>
      <c r="Q1577" s="1">
        <v>0.0</v>
      </c>
      <c r="S1577" s="517"/>
      <c r="V1577" s="1">
        <v>0.42</v>
      </c>
      <c r="W1577" s="518">
        <f t="shared" si="1"/>
        <v>0</v>
      </c>
    </row>
    <row r="1578" hidden="1">
      <c r="C1578" s="515"/>
      <c r="G1578" s="1" t="s">
        <v>2453</v>
      </c>
      <c r="I1578" s="516"/>
      <c r="J1578" s="516"/>
      <c r="M1578" s="515"/>
      <c r="N1578" s="516"/>
      <c r="P1578" s="1">
        <v>83.3</v>
      </c>
      <c r="Q1578" s="1">
        <v>0.0</v>
      </c>
      <c r="S1578" s="517"/>
      <c r="V1578" s="1">
        <v>0.08</v>
      </c>
      <c r="W1578" s="518">
        <f t="shared" si="1"/>
        <v>0</v>
      </c>
    </row>
    <row r="1579" hidden="1">
      <c r="C1579" s="515"/>
      <c r="G1579" s="1" t="s">
        <v>2555</v>
      </c>
      <c r="I1579" s="516"/>
      <c r="J1579" s="516"/>
      <c r="M1579" s="515"/>
      <c r="N1579" s="516"/>
      <c r="P1579" s="1">
        <v>83.3</v>
      </c>
      <c r="Q1579" s="1">
        <v>0.0</v>
      </c>
      <c r="S1579" s="517"/>
      <c r="V1579" s="1">
        <v>0.08</v>
      </c>
      <c r="W1579" s="518">
        <f t="shared" si="1"/>
        <v>0</v>
      </c>
    </row>
    <row r="1580" hidden="1">
      <c r="C1580" s="515"/>
      <c r="G1580" s="1" t="s">
        <v>2415</v>
      </c>
      <c r="I1580" s="516"/>
      <c r="J1580" s="516"/>
      <c r="M1580" s="515"/>
      <c r="N1580" s="516"/>
      <c r="P1580" s="1">
        <v>333.3</v>
      </c>
      <c r="Q1580" s="1">
        <v>0.0</v>
      </c>
      <c r="S1580" s="517"/>
      <c r="V1580" s="1">
        <v>0.33</v>
      </c>
      <c r="W1580" s="518">
        <f t="shared" si="1"/>
        <v>0</v>
      </c>
    </row>
    <row r="1581" hidden="1">
      <c r="C1581" s="515"/>
      <c r="G1581" s="1" t="s">
        <v>2551</v>
      </c>
      <c r="I1581" s="516"/>
      <c r="J1581" s="516"/>
      <c r="M1581" s="515"/>
      <c r="N1581" s="516"/>
      <c r="P1581" s="1">
        <v>333.3</v>
      </c>
      <c r="Q1581" s="1">
        <v>0.0</v>
      </c>
      <c r="S1581" s="517"/>
      <c r="V1581" s="1">
        <v>0.33</v>
      </c>
      <c r="W1581" s="518">
        <f t="shared" si="1"/>
        <v>0</v>
      </c>
    </row>
    <row r="1582" hidden="1">
      <c r="C1582" s="515"/>
      <c r="G1582" s="1" t="s">
        <v>2420</v>
      </c>
      <c r="I1582" s="516"/>
      <c r="J1582" s="516"/>
      <c r="M1582" s="515"/>
      <c r="N1582" s="516"/>
      <c r="P1582" s="1">
        <v>83.3</v>
      </c>
      <c r="Q1582" s="1">
        <v>0.0</v>
      </c>
      <c r="S1582" s="517"/>
      <c r="V1582" s="1">
        <v>0.08</v>
      </c>
      <c r="W1582" s="518">
        <f t="shared" si="1"/>
        <v>0</v>
      </c>
    </row>
    <row r="1583" hidden="1">
      <c r="C1583" s="515"/>
      <c r="G1583" s="1" t="s">
        <v>2603</v>
      </c>
      <c r="I1583" s="516"/>
      <c r="J1583" s="516"/>
      <c r="M1583" s="515"/>
      <c r="N1583" s="516"/>
      <c r="P1583" s="1">
        <v>83.3</v>
      </c>
      <c r="Q1583" s="1">
        <v>0.0</v>
      </c>
      <c r="S1583" s="517"/>
      <c r="V1583" s="1">
        <v>0.08</v>
      </c>
      <c r="W1583" s="518">
        <f t="shared" si="1"/>
        <v>0</v>
      </c>
    </row>
    <row r="1584" hidden="1">
      <c r="C1584" s="515"/>
      <c r="G1584" s="1" t="s">
        <v>2417</v>
      </c>
      <c r="I1584" s="516"/>
      <c r="J1584" s="516"/>
      <c r="M1584" s="515"/>
      <c r="N1584" s="516"/>
      <c r="P1584" s="1">
        <v>166.7</v>
      </c>
      <c r="Q1584" s="1">
        <v>0.0</v>
      </c>
      <c r="S1584" s="517"/>
      <c r="V1584" s="1">
        <v>0.17</v>
      </c>
      <c r="W1584" s="518">
        <f t="shared" si="1"/>
        <v>0</v>
      </c>
    </row>
    <row r="1585" hidden="1">
      <c r="C1585" s="515"/>
      <c r="G1585" s="1" t="s">
        <v>2425</v>
      </c>
      <c r="I1585" s="516"/>
      <c r="J1585" s="516"/>
      <c r="M1585" s="515"/>
      <c r="N1585" s="516"/>
      <c r="P1585" s="1">
        <v>41.7</v>
      </c>
      <c r="Q1585" s="1">
        <v>0.0</v>
      </c>
      <c r="S1585" s="517"/>
      <c r="V1585" s="1">
        <v>0.04</v>
      </c>
      <c r="W1585" s="518">
        <f t="shared" si="1"/>
        <v>0</v>
      </c>
    </row>
    <row r="1586" hidden="1">
      <c r="C1586" s="515"/>
      <c r="G1586" s="1" t="s">
        <v>2589</v>
      </c>
      <c r="I1586" s="516"/>
      <c r="J1586" s="516"/>
      <c r="M1586" s="515"/>
      <c r="N1586" s="516"/>
      <c r="P1586" s="1">
        <v>166.7</v>
      </c>
      <c r="Q1586" s="1">
        <v>0.0</v>
      </c>
      <c r="S1586" s="517"/>
      <c r="V1586" s="1">
        <v>0.17</v>
      </c>
      <c r="W1586" s="518">
        <f t="shared" si="1"/>
        <v>0</v>
      </c>
    </row>
    <row r="1587" hidden="1">
      <c r="C1587" s="515"/>
      <c r="G1587" s="1" t="s">
        <v>2431</v>
      </c>
      <c r="I1587" s="516"/>
      <c r="J1587" s="516"/>
      <c r="M1587" s="515"/>
      <c r="N1587" s="516"/>
      <c r="P1587" s="1">
        <v>83.3</v>
      </c>
      <c r="Q1587" s="1">
        <v>0.0</v>
      </c>
      <c r="S1587" s="517"/>
      <c r="V1587" s="1">
        <v>0.08</v>
      </c>
      <c r="W1587" s="518">
        <f t="shared" si="1"/>
        <v>0</v>
      </c>
    </row>
    <row r="1588" hidden="1">
      <c r="C1588" s="515"/>
      <c r="G1588" s="1" t="s">
        <v>2556</v>
      </c>
      <c r="I1588" s="516"/>
      <c r="J1588" s="516"/>
      <c r="M1588" s="515"/>
      <c r="N1588" s="516"/>
      <c r="P1588" s="1">
        <v>83.3</v>
      </c>
      <c r="Q1588" s="1">
        <v>0.0</v>
      </c>
      <c r="S1588" s="517"/>
      <c r="V1588" s="1">
        <v>0.08</v>
      </c>
      <c r="W1588" s="518">
        <f t="shared" si="1"/>
        <v>0</v>
      </c>
    </row>
    <row r="1589" hidden="1">
      <c r="C1589" s="515"/>
      <c r="G1589" s="1" t="s">
        <v>2429</v>
      </c>
      <c r="I1589" s="516"/>
      <c r="J1589" s="516"/>
      <c r="M1589" s="515"/>
      <c r="N1589" s="516"/>
      <c r="P1589" s="1">
        <v>333.3</v>
      </c>
      <c r="Q1589" s="1">
        <v>0.0</v>
      </c>
      <c r="S1589" s="517"/>
      <c r="V1589" s="1">
        <v>0.33</v>
      </c>
      <c r="W1589" s="518">
        <f t="shared" si="1"/>
        <v>0</v>
      </c>
    </row>
    <row r="1590" hidden="1">
      <c r="C1590" s="515"/>
      <c r="G1590" s="1" t="s">
        <v>2428</v>
      </c>
      <c r="I1590" s="516"/>
      <c r="J1590" s="516"/>
      <c r="M1590" s="515"/>
      <c r="N1590" s="516"/>
      <c r="P1590" s="1">
        <v>166.7</v>
      </c>
      <c r="Q1590" s="1">
        <v>0.0</v>
      </c>
      <c r="S1590" s="517"/>
      <c r="V1590" s="1">
        <v>0.17</v>
      </c>
      <c r="W1590" s="518">
        <f t="shared" si="1"/>
        <v>0</v>
      </c>
    </row>
    <row r="1591" hidden="1">
      <c r="C1591" s="515"/>
      <c r="G1591" s="1" t="s">
        <v>2426</v>
      </c>
      <c r="I1591" s="516"/>
      <c r="J1591" s="516"/>
      <c r="M1591" s="515"/>
      <c r="N1591" s="516"/>
      <c r="P1591" s="1">
        <v>250.0</v>
      </c>
      <c r="Q1591" s="1">
        <v>0.0</v>
      </c>
      <c r="S1591" s="517"/>
      <c r="V1591" s="1">
        <v>0.25</v>
      </c>
      <c r="W1591" s="518">
        <f t="shared" si="1"/>
        <v>0</v>
      </c>
    </row>
    <row r="1592" hidden="1">
      <c r="C1592" s="515"/>
      <c r="G1592" s="1" t="s">
        <v>2590</v>
      </c>
      <c r="I1592" s="516"/>
      <c r="J1592" s="516"/>
      <c r="M1592" s="515"/>
      <c r="N1592" s="516"/>
      <c r="P1592" s="1">
        <v>83.3</v>
      </c>
      <c r="Q1592" s="1">
        <v>0.0</v>
      </c>
      <c r="S1592" s="517"/>
      <c r="V1592" s="1">
        <v>0.08</v>
      </c>
      <c r="W1592" s="518">
        <f t="shared" si="1"/>
        <v>0</v>
      </c>
    </row>
    <row r="1593" hidden="1">
      <c r="C1593" s="515"/>
      <c r="G1593" s="1" t="s">
        <v>2612</v>
      </c>
      <c r="I1593" s="516"/>
      <c r="J1593" s="516"/>
      <c r="K1593" s="515">
        <v>45291.0</v>
      </c>
      <c r="M1593" s="515"/>
      <c r="N1593" s="516"/>
      <c r="P1593" s="1">
        <v>69927.9</v>
      </c>
      <c r="Q1593" s="1">
        <v>430072.0</v>
      </c>
      <c r="S1593" s="517"/>
      <c r="V1593" s="1">
        <v>500.0</v>
      </c>
      <c r="W1593" s="518">
        <f t="shared" si="1"/>
        <v>430072</v>
      </c>
    </row>
    <row r="1594">
      <c r="C1594" s="515"/>
      <c r="G1594" s="1" t="s">
        <v>2612</v>
      </c>
      <c r="I1594" s="516"/>
      <c r="J1594" s="516"/>
      <c r="K1594" s="515">
        <v>45657.0</v>
      </c>
      <c r="M1594" s="515"/>
      <c r="N1594" s="516"/>
      <c r="P1594" s="1">
        <v>0.0</v>
      </c>
      <c r="Q1594" s="1" t="s">
        <v>2404</v>
      </c>
      <c r="S1594" s="517"/>
      <c r="V1594" s="1">
        <v>600.0</v>
      </c>
      <c r="W1594" s="518">
        <f t="shared" si="1"/>
        <v>600000</v>
      </c>
    </row>
    <row r="1595" hidden="1">
      <c r="C1595" s="515"/>
      <c r="G1595" s="1" t="s">
        <v>2612</v>
      </c>
      <c r="I1595" s="516"/>
      <c r="J1595" s="516"/>
      <c r="K1595" s="515">
        <v>46022.0</v>
      </c>
      <c r="M1595" s="515"/>
      <c r="N1595" s="516"/>
      <c r="P1595" s="1">
        <v>0.0</v>
      </c>
      <c r="Q1595" s="1" t="s">
        <v>2404</v>
      </c>
      <c r="S1595" s="517"/>
      <c r="V1595" s="1">
        <v>600.0</v>
      </c>
      <c r="W1595" s="518">
        <f t="shared" si="1"/>
        <v>600000</v>
      </c>
    </row>
    <row r="1596" hidden="1">
      <c r="C1596" s="515"/>
      <c r="G1596" s="1" t="s">
        <v>2612</v>
      </c>
      <c r="I1596" s="516"/>
      <c r="J1596" s="516"/>
      <c r="K1596" s="515">
        <v>46387.0</v>
      </c>
      <c r="M1596" s="515"/>
      <c r="N1596" s="516"/>
      <c r="P1596" s="1">
        <v>0.0</v>
      </c>
      <c r="Q1596" s="1" t="s">
        <v>2404</v>
      </c>
      <c r="S1596" s="517"/>
      <c r="V1596" s="1">
        <v>600.0</v>
      </c>
      <c r="W1596" s="518">
        <f t="shared" si="1"/>
        <v>600000</v>
      </c>
    </row>
    <row r="1597" hidden="1">
      <c r="C1597" s="515"/>
      <c r="G1597" s="1" t="s">
        <v>2612</v>
      </c>
      <c r="I1597" s="516"/>
      <c r="J1597" s="516"/>
      <c r="K1597" s="515">
        <v>46752.0</v>
      </c>
      <c r="M1597" s="515"/>
      <c r="N1597" s="516"/>
      <c r="P1597" s="1">
        <v>0.0</v>
      </c>
      <c r="Q1597" s="1" t="s">
        <v>2404</v>
      </c>
      <c r="S1597" s="517"/>
      <c r="V1597" s="1">
        <v>600.0</v>
      </c>
      <c r="W1597" s="518">
        <f t="shared" si="1"/>
        <v>600000</v>
      </c>
    </row>
    <row r="1598">
      <c r="C1598" s="515"/>
      <c r="G1598" s="86" t="s">
        <v>2519</v>
      </c>
      <c r="I1598" s="516"/>
      <c r="J1598" s="516"/>
      <c r="K1598" s="515">
        <v>45657.0</v>
      </c>
      <c r="M1598" s="515"/>
      <c r="N1598" s="516"/>
      <c r="P1598" s="1">
        <v>1000.0</v>
      </c>
      <c r="Q1598" s="1">
        <v>13970.0</v>
      </c>
      <c r="S1598" s="517"/>
      <c r="V1598" s="1">
        <v>14.97</v>
      </c>
      <c r="W1598" s="518">
        <f t="shared" si="1"/>
        <v>13970</v>
      </c>
    </row>
    <row r="1599" hidden="1">
      <c r="C1599" s="515"/>
      <c r="G1599" s="1" t="s">
        <v>2439</v>
      </c>
      <c r="I1599" s="516"/>
      <c r="J1599" s="516"/>
      <c r="M1599" s="515"/>
      <c r="N1599" s="516"/>
      <c r="P1599" s="1">
        <v>83.3</v>
      </c>
      <c r="Q1599" s="1">
        <v>0.0</v>
      </c>
      <c r="S1599" s="517"/>
      <c r="V1599" s="1">
        <v>0.08</v>
      </c>
      <c r="W1599" s="518">
        <f t="shared" si="1"/>
        <v>0</v>
      </c>
    </row>
    <row r="1600" hidden="1">
      <c r="C1600" s="515"/>
      <c r="G1600" s="1" t="s">
        <v>2536</v>
      </c>
      <c r="I1600" s="516"/>
      <c r="J1600" s="516"/>
      <c r="M1600" s="515"/>
      <c r="N1600" s="516"/>
      <c r="P1600" s="1">
        <v>166.7</v>
      </c>
      <c r="Q1600" s="1">
        <v>0.0</v>
      </c>
      <c r="S1600" s="517"/>
      <c r="V1600" s="1">
        <v>0.17</v>
      </c>
      <c r="W1600" s="518">
        <f t="shared" si="1"/>
        <v>0</v>
      </c>
    </row>
    <row r="1601" hidden="1">
      <c r="C1601" s="515"/>
      <c r="G1601" s="1" t="s">
        <v>2441</v>
      </c>
      <c r="I1601" s="516"/>
      <c r="J1601" s="516"/>
      <c r="M1601" s="515"/>
      <c r="N1601" s="516"/>
      <c r="P1601" s="1">
        <v>83.3</v>
      </c>
      <c r="Q1601" s="1">
        <v>0.0</v>
      </c>
      <c r="S1601" s="517"/>
      <c r="V1601" s="1">
        <v>0.08</v>
      </c>
      <c r="W1601" s="518">
        <f t="shared" si="1"/>
        <v>0</v>
      </c>
    </row>
    <row r="1602" hidden="1">
      <c r="C1602" s="515"/>
      <c r="G1602" s="1" t="s">
        <v>2444</v>
      </c>
      <c r="I1602" s="516"/>
      <c r="J1602" s="516"/>
      <c r="K1602" s="515"/>
      <c r="M1602" s="515"/>
      <c r="P1602" s="1">
        <v>125.0</v>
      </c>
      <c r="Q1602" s="1">
        <v>0.0</v>
      </c>
      <c r="S1602" s="517"/>
      <c r="V1602" s="1">
        <v>0.13</v>
      </c>
      <c r="W1602" s="518">
        <f t="shared" si="1"/>
        <v>0</v>
      </c>
    </row>
    <row r="1603" hidden="1">
      <c r="C1603" s="515"/>
      <c r="G1603" s="1" t="s">
        <v>2443</v>
      </c>
      <c r="I1603" s="516"/>
      <c r="J1603" s="516"/>
      <c r="K1603" s="515"/>
      <c r="M1603" s="515"/>
      <c r="N1603" s="516"/>
      <c r="P1603" s="1">
        <v>833.3</v>
      </c>
      <c r="Q1603" s="1">
        <v>0.0</v>
      </c>
      <c r="S1603" s="517"/>
      <c r="V1603" s="1">
        <v>0.83</v>
      </c>
      <c r="W1603" s="518">
        <f t="shared" si="1"/>
        <v>0</v>
      </c>
    </row>
    <row r="1604" hidden="1">
      <c r="C1604" s="515"/>
      <c r="G1604" s="1" t="s">
        <v>2596</v>
      </c>
      <c r="I1604" s="516"/>
      <c r="J1604" s="516"/>
      <c r="K1604" s="515"/>
      <c r="M1604" s="515"/>
      <c r="P1604" s="1">
        <v>41.7</v>
      </c>
      <c r="Q1604" s="1">
        <v>0.0</v>
      </c>
      <c r="S1604" s="517"/>
      <c r="V1604" s="1">
        <v>0.04</v>
      </c>
      <c r="W1604" s="518">
        <f t="shared" si="1"/>
        <v>0</v>
      </c>
    </row>
    <row r="1605" hidden="1">
      <c r="C1605" s="515"/>
      <c r="G1605" s="1" t="s">
        <v>2447</v>
      </c>
      <c r="I1605" s="516"/>
      <c r="J1605" s="516"/>
      <c r="K1605" s="515"/>
      <c r="M1605" s="515"/>
      <c r="P1605" s="1">
        <v>83.3</v>
      </c>
      <c r="Q1605" s="1">
        <v>0.0</v>
      </c>
      <c r="S1605" s="517"/>
      <c r="V1605" s="1">
        <v>0.08</v>
      </c>
      <c r="W1605" s="518">
        <f t="shared" si="1"/>
        <v>0</v>
      </c>
    </row>
    <row r="1606" hidden="1">
      <c r="C1606" s="515"/>
      <c r="G1606" s="1" t="s">
        <v>2445</v>
      </c>
      <c r="I1606" s="516"/>
      <c r="J1606" s="516"/>
      <c r="K1606" s="515"/>
      <c r="M1606" s="515"/>
      <c r="N1606" s="516"/>
      <c r="P1606" s="1">
        <v>166.7</v>
      </c>
      <c r="Q1606" s="1">
        <v>0.0</v>
      </c>
      <c r="S1606" s="517"/>
      <c r="V1606" s="1">
        <v>0.17</v>
      </c>
      <c r="W1606" s="518">
        <f t="shared" si="1"/>
        <v>0</v>
      </c>
    </row>
    <row r="1607" hidden="1">
      <c r="C1607" s="515"/>
      <c r="G1607" s="1" t="s">
        <v>2451</v>
      </c>
      <c r="I1607" s="516"/>
      <c r="J1607" s="516"/>
      <c r="K1607" s="515"/>
      <c r="M1607" s="515"/>
      <c r="P1607" s="1">
        <v>41.7</v>
      </c>
      <c r="Q1607" s="1">
        <v>0.0</v>
      </c>
      <c r="S1607" s="517"/>
      <c r="V1607" s="1">
        <v>0.04</v>
      </c>
      <c r="W1607" s="518">
        <f t="shared" si="1"/>
        <v>0</v>
      </c>
    </row>
    <row r="1608" hidden="1">
      <c r="C1608" s="515"/>
      <c r="G1608" s="1" t="s">
        <v>2592</v>
      </c>
      <c r="I1608" s="516"/>
      <c r="J1608" s="516"/>
      <c r="K1608" s="515"/>
      <c r="M1608" s="515"/>
      <c r="N1608" s="516"/>
      <c r="P1608" s="1">
        <v>41.7</v>
      </c>
      <c r="Q1608" s="1">
        <v>0.0</v>
      </c>
      <c r="S1608" s="517"/>
      <c r="V1608" s="1">
        <v>0.04</v>
      </c>
      <c r="W1608" s="518">
        <f t="shared" si="1"/>
        <v>0</v>
      </c>
    </row>
    <row r="1609" hidden="1">
      <c r="C1609" s="515"/>
      <c r="G1609" s="1" t="s">
        <v>2540</v>
      </c>
      <c r="I1609" s="516"/>
      <c r="J1609" s="516"/>
      <c r="K1609" s="515"/>
      <c r="M1609" s="515"/>
      <c r="N1609" s="516"/>
      <c r="P1609" s="1">
        <v>416.7</v>
      </c>
      <c r="Q1609" s="1">
        <v>0.0</v>
      </c>
      <c r="S1609" s="517"/>
      <c r="V1609" s="1">
        <v>0.42</v>
      </c>
      <c r="W1609" s="518">
        <f t="shared" si="1"/>
        <v>0</v>
      </c>
    </row>
    <row r="1610" hidden="1">
      <c r="C1610" s="515"/>
      <c r="G1610" s="1" t="s">
        <v>2457</v>
      </c>
      <c r="I1610" s="516"/>
      <c r="J1610" s="516"/>
      <c r="K1610" s="515"/>
      <c r="M1610" s="515"/>
      <c r="N1610" s="516"/>
      <c r="P1610" s="1">
        <v>500.0</v>
      </c>
      <c r="Q1610" s="1">
        <v>0.0</v>
      </c>
      <c r="S1610" s="517"/>
      <c r="V1610" s="1">
        <v>0.5</v>
      </c>
      <c r="W1610" s="518">
        <f t="shared" si="1"/>
        <v>0</v>
      </c>
    </row>
    <row r="1611" hidden="1">
      <c r="C1611" s="515"/>
      <c r="G1611" s="1" t="s">
        <v>2539</v>
      </c>
      <c r="I1611" s="516"/>
      <c r="J1611" s="516"/>
      <c r="K1611" s="515"/>
      <c r="M1611" s="515"/>
      <c r="N1611" s="516"/>
      <c r="P1611" s="1">
        <v>41.7</v>
      </c>
      <c r="Q1611" s="1">
        <v>0.0</v>
      </c>
      <c r="S1611" s="517"/>
      <c r="V1611" s="1">
        <v>0.04</v>
      </c>
      <c r="W1611" s="518">
        <f t="shared" si="1"/>
        <v>0</v>
      </c>
    </row>
    <row r="1612" hidden="1">
      <c r="C1612" s="515"/>
      <c r="G1612" s="1" t="s">
        <v>2456</v>
      </c>
      <c r="I1612" s="516"/>
      <c r="J1612" s="516"/>
      <c r="K1612" s="515"/>
      <c r="M1612" s="515"/>
      <c r="N1612" s="516"/>
      <c r="P1612" s="1">
        <v>666.7</v>
      </c>
      <c r="Q1612" s="1">
        <v>0.0</v>
      </c>
      <c r="S1612" s="517"/>
      <c r="V1612" s="1">
        <v>0.67</v>
      </c>
      <c r="W1612" s="518">
        <f t="shared" si="1"/>
        <v>0</v>
      </c>
    </row>
    <row r="1613" hidden="1">
      <c r="C1613" s="515"/>
      <c r="G1613" s="1" t="s">
        <v>2560</v>
      </c>
      <c r="I1613" s="516"/>
      <c r="J1613" s="516"/>
      <c r="K1613" s="515"/>
      <c r="M1613" s="515"/>
      <c r="P1613" s="1">
        <v>83.3</v>
      </c>
      <c r="Q1613" s="1">
        <v>0.0</v>
      </c>
      <c r="S1613" s="517"/>
      <c r="V1613" s="1">
        <v>0.08</v>
      </c>
      <c r="W1613" s="518">
        <f t="shared" si="1"/>
        <v>0</v>
      </c>
    </row>
    <row r="1614" hidden="1">
      <c r="C1614" s="515"/>
      <c r="G1614" s="1" t="s">
        <v>2462</v>
      </c>
      <c r="I1614" s="516"/>
      <c r="J1614" s="516"/>
      <c r="K1614" s="515"/>
      <c r="M1614" s="515"/>
      <c r="N1614" s="516"/>
      <c r="P1614" s="1">
        <v>41.7</v>
      </c>
      <c r="Q1614" s="1">
        <v>0.0</v>
      </c>
      <c r="S1614" s="517"/>
      <c r="V1614" s="1">
        <v>0.04</v>
      </c>
      <c r="W1614" s="518">
        <f t="shared" si="1"/>
        <v>0</v>
      </c>
    </row>
    <row r="1615" hidden="1">
      <c r="C1615" s="515"/>
      <c r="G1615" s="1" t="s">
        <v>2553</v>
      </c>
      <c r="I1615" s="516"/>
      <c r="J1615" s="516"/>
      <c r="K1615" s="515"/>
      <c r="M1615" s="515"/>
      <c r="N1615" s="516"/>
      <c r="P1615" s="1">
        <v>41.7</v>
      </c>
      <c r="Q1615" s="1">
        <v>0.0</v>
      </c>
      <c r="S1615" s="517"/>
      <c r="V1615" s="1">
        <v>0.04</v>
      </c>
      <c r="W1615" s="518">
        <f t="shared" si="1"/>
        <v>0</v>
      </c>
    </row>
    <row r="1616" hidden="1">
      <c r="C1616" s="515"/>
      <c r="G1616" s="1" t="s">
        <v>2461</v>
      </c>
      <c r="I1616" s="516"/>
      <c r="J1616" s="516"/>
      <c r="K1616" s="515"/>
      <c r="M1616" s="515"/>
      <c r="N1616" s="516"/>
      <c r="P1616" s="1">
        <v>83.3</v>
      </c>
      <c r="Q1616" s="1">
        <v>0.0</v>
      </c>
      <c r="S1616" s="517"/>
      <c r="V1616" s="1">
        <v>0.08</v>
      </c>
      <c r="W1616" s="518">
        <f t="shared" si="1"/>
        <v>0</v>
      </c>
    </row>
    <row r="1617">
      <c r="C1617" s="515"/>
      <c r="G1617" s="1" t="s">
        <v>2552</v>
      </c>
      <c r="I1617" s="516"/>
      <c r="J1617" s="516"/>
      <c r="K1617" s="515">
        <v>45657.0</v>
      </c>
      <c r="M1617" s="515"/>
      <c r="N1617" s="516"/>
      <c r="P1617" s="1">
        <v>5000.0</v>
      </c>
      <c r="Q1617" s="1">
        <v>0.0</v>
      </c>
      <c r="S1617" s="517"/>
      <c r="V1617" s="1">
        <v>5.0</v>
      </c>
      <c r="W1617" s="518">
        <f t="shared" si="1"/>
        <v>0</v>
      </c>
    </row>
    <row r="1618" hidden="1">
      <c r="C1618" s="515"/>
      <c r="G1618" s="1" t="s">
        <v>2521</v>
      </c>
      <c r="I1618" s="516"/>
      <c r="J1618" s="516"/>
      <c r="K1618" s="515"/>
      <c r="M1618" s="515"/>
      <c r="N1618" s="516"/>
      <c r="P1618" s="1">
        <v>83.3</v>
      </c>
      <c r="Q1618" s="1">
        <v>0.0</v>
      </c>
      <c r="S1618" s="517"/>
      <c r="V1618" s="1">
        <v>0.08</v>
      </c>
      <c r="W1618" s="518">
        <f t="shared" si="1"/>
        <v>0</v>
      </c>
    </row>
    <row r="1619" hidden="1">
      <c r="C1619" s="515"/>
      <c r="G1619" s="1" t="s">
        <v>2469</v>
      </c>
      <c r="I1619" s="516"/>
      <c r="J1619" s="516"/>
      <c r="K1619" s="515"/>
      <c r="M1619" s="515"/>
      <c r="N1619" s="516"/>
      <c r="P1619" s="1">
        <v>41.7</v>
      </c>
      <c r="Q1619" s="1">
        <v>0.0</v>
      </c>
      <c r="S1619" s="517"/>
      <c r="V1619" s="1">
        <v>0.04</v>
      </c>
      <c r="W1619" s="518">
        <f t="shared" si="1"/>
        <v>0</v>
      </c>
    </row>
    <row r="1620" hidden="1">
      <c r="C1620" s="515"/>
      <c r="G1620" s="1" t="s">
        <v>2468</v>
      </c>
      <c r="I1620" s="516"/>
      <c r="J1620" s="516"/>
      <c r="K1620" s="515"/>
      <c r="M1620" s="515"/>
      <c r="P1620" s="1">
        <v>41.7</v>
      </c>
      <c r="Q1620" s="1">
        <v>0.0</v>
      </c>
      <c r="S1620" s="517"/>
      <c r="V1620" s="1">
        <v>0.04</v>
      </c>
      <c r="W1620" s="518">
        <f t="shared" si="1"/>
        <v>0</v>
      </c>
    </row>
    <row r="1621" hidden="1">
      <c r="C1621" s="515"/>
      <c r="G1621" s="1" t="s">
        <v>2605</v>
      </c>
      <c r="I1621" s="516"/>
      <c r="J1621" s="516"/>
      <c r="K1621" s="515"/>
      <c r="M1621" s="515"/>
      <c r="N1621" s="516"/>
      <c r="P1621" s="1">
        <v>125.0</v>
      </c>
      <c r="Q1621" s="1">
        <v>0.0</v>
      </c>
      <c r="S1621" s="517"/>
      <c r="V1621" s="1">
        <v>0.13</v>
      </c>
      <c r="W1621" s="518">
        <f t="shared" si="1"/>
        <v>0</v>
      </c>
    </row>
    <row r="1622" hidden="1">
      <c r="C1622" s="515"/>
      <c r="G1622" s="1" t="s">
        <v>2613</v>
      </c>
      <c r="I1622" s="516"/>
      <c r="J1622" s="516"/>
      <c r="K1622" s="515"/>
      <c r="M1622" s="515"/>
      <c r="P1622" s="1">
        <v>41.7</v>
      </c>
      <c r="Q1622" s="1">
        <v>0.0</v>
      </c>
      <c r="S1622" s="517"/>
      <c r="V1622" s="1">
        <v>0.04</v>
      </c>
      <c r="W1622" s="518">
        <f t="shared" si="1"/>
        <v>0</v>
      </c>
    </row>
    <row r="1623" hidden="1">
      <c r="C1623" s="515"/>
      <c r="G1623" s="1" t="s">
        <v>2466</v>
      </c>
      <c r="I1623" s="516"/>
      <c r="J1623" s="516"/>
      <c r="K1623" s="515"/>
      <c r="M1623" s="515"/>
      <c r="N1623" s="516"/>
      <c r="P1623" s="1">
        <v>208.3</v>
      </c>
      <c r="Q1623" s="1">
        <v>0.0</v>
      </c>
      <c r="S1623" s="517"/>
      <c r="V1623" s="1">
        <v>0.21</v>
      </c>
      <c r="W1623" s="518">
        <f t="shared" si="1"/>
        <v>0</v>
      </c>
    </row>
    <row r="1624" hidden="1">
      <c r="C1624" s="515"/>
      <c r="G1624" s="1" t="s">
        <v>2465</v>
      </c>
      <c r="I1624" s="516"/>
      <c r="J1624" s="516"/>
      <c r="K1624" s="515"/>
      <c r="M1624" s="515"/>
      <c r="N1624" s="516"/>
      <c r="P1624" s="1">
        <v>166.7</v>
      </c>
      <c r="Q1624" s="1">
        <v>0.0</v>
      </c>
      <c r="S1624" s="517"/>
      <c r="V1624" s="1">
        <v>0.17</v>
      </c>
      <c r="W1624" s="518">
        <f t="shared" si="1"/>
        <v>0</v>
      </c>
    </row>
    <row r="1625" hidden="1">
      <c r="C1625" s="515"/>
      <c r="G1625" s="1" t="s">
        <v>2542</v>
      </c>
      <c r="I1625" s="516"/>
      <c r="J1625" s="516"/>
      <c r="K1625" s="515"/>
      <c r="M1625" s="515"/>
      <c r="P1625" s="1">
        <v>83.3</v>
      </c>
      <c r="Q1625" s="1">
        <v>0.0</v>
      </c>
      <c r="S1625" s="517"/>
      <c r="V1625" s="1">
        <v>0.08</v>
      </c>
      <c r="W1625" s="518">
        <f t="shared" si="1"/>
        <v>0</v>
      </c>
    </row>
    <row r="1626" hidden="1">
      <c r="C1626" s="515"/>
      <c r="G1626" s="1" t="s">
        <v>2473</v>
      </c>
      <c r="I1626" s="516"/>
      <c r="J1626" s="516"/>
      <c r="K1626" s="515"/>
      <c r="M1626" s="515"/>
      <c r="P1626" s="1">
        <v>83.3</v>
      </c>
      <c r="Q1626" s="1">
        <v>0.0</v>
      </c>
      <c r="S1626" s="517"/>
      <c r="V1626" s="1">
        <v>0.08</v>
      </c>
      <c r="W1626" s="518">
        <f t="shared" si="1"/>
        <v>0</v>
      </c>
    </row>
    <row r="1627" hidden="1">
      <c r="C1627" s="515"/>
      <c r="G1627" s="1" t="s">
        <v>2471</v>
      </c>
      <c r="I1627" s="516"/>
      <c r="J1627" s="516"/>
      <c r="K1627" s="515"/>
      <c r="M1627" s="515"/>
      <c r="N1627" s="516"/>
      <c r="P1627" s="1">
        <v>41.7</v>
      </c>
      <c r="Q1627" s="1">
        <v>0.0</v>
      </c>
      <c r="S1627" s="517"/>
      <c r="V1627" s="1">
        <v>0.04</v>
      </c>
      <c r="W1627" s="518">
        <f t="shared" si="1"/>
        <v>0</v>
      </c>
    </row>
    <row r="1628" hidden="1">
      <c r="C1628" s="515"/>
      <c r="G1628" s="1" t="s">
        <v>2474</v>
      </c>
      <c r="I1628" s="516"/>
      <c r="J1628" s="516"/>
      <c r="K1628" s="515"/>
      <c r="M1628" s="515"/>
      <c r="N1628" s="516"/>
      <c r="P1628" s="1">
        <v>166.7</v>
      </c>
      <c r="Q1628" s="1">
        <v>0.0</v>
      </c>
      <c r="S1628" s="517"/>
      <c r="V1628" s="1">
        <v>0.17</v>
      </c>
      <c r="W1628" s="518">
        <f t="shared" si="1"/>
        <v>0</v>
      </c>
    </row>
    <row r="1629" hidden="1">
      <c r="C1629" s="515"/>
      <c r="G1629" s="1" t="s">
        <v>2609</v>
      </c>
      <c r="I1629" s="516"/>
      <c r="J1629" s="516"/>
      <c r="K1629" s="515"/>
      <c r="M1629" s="515"/>
      <c r="N1629" s="516"/>
      <c r="P1629" s="1">
        <v>83.3</v>
      </c>
      <c r="Q1629" s="1">
        <v>0.0</v>
      </c>
      <c r="S1629" s="517"/>
      <c r="V1629" s="1">
        <v>0.08</v>
      </c>
      <c r="W1629" s="518">
        <f t="shared" si="1"/>
        <v>0</v>
      </c>
    </row>
    <row r="1630" hidden="1">
      <c r="C1630" s="515"/>
      <c r="G1630" s="1" t="s">
        <v>2479</v>
      </c>
      <c r="I1630" s="516"/>
      <c r="J1630" s="516"/>
      <c r="K1630" s="515"/>
      <c r="M1630" s="515"/>
      <c r="P1630" s="1">
        <v>416.7</v>
      </c>
      <c r="Q1630" s="1">
        <v>0.0</v>
      </c>
      <c r="S1630" s="517"/>
      <c r="V1630" s="1">
        <v>0.42</v>
      </c>
      <c r="W1630" s="518">
        <f t="shared" si="1"/>
        <v>0</v>
      </c>
    </row>
    <row r="1631" hidden="1">
      <c r="C1631" s="515"/>
      <c r="G1631" s="1" t="s">
        <v>2588</v>
      </c>
      <c r="I1631" s="516"/>
      <c r="J1631" s="516"/>
      <c r="K1631" s="515"/>
      <c r="M1631" s="515"/>
      <c r="N1631" s="516"/>
      <c r="P1631" s="1">
        <v>0.0</v>
      </c>
      <c r="Q1631" s="1" t="s">
        <v>2404</v>
      </c>
      <c r="S1631" s="517"/>
      <c r="V1631" s="1">
        <v>8.33</v>
      </c>
      <c r="W1631" s="518">
        <f t="shared" si="1"/>
        <v>8330</v>
      </c>
    </row>
    <row r="1632" hidden="1">
      <c r="C1632" s="515"/>
      <c r="G1632" s="1" t="s">
        <v>2594</v>
      </c>
      <c r="I1632" s="516"/>
      <c r="J1632" s="516"/>
      <c r="K1632" s="515"/>
      <c r="M1632" s="515"/>
      <c r="N1632" s="516"/>
      <c r="P1632" s="1">
        <v>2000.0</v>
      </c>
      <c r="Q1632" s="1">
        <v>0.0</v>
      </c>
      <c r="S1632" s="517"/>
      <c r="V1632" s="1">
        <v>2.0</v>
      </c>
      <c r="W1632" s="518">
        <f t="shared" si="1"/>
        <v>0</v>
      </c>
    </row>
    <row r="1633" hidden="1">
      <c r="C1633" s="515"/>
      <c r="G1633" s="1" t="s">
        <v>2478</v>
      </c>
      <c r="I1633" s="516"/>
      <c r="J1633" s="516"/>
      <c r="K1633" s="515"/>
      <c r="M1633" s="515"/>
      <c r="N1633" s="516"/>
      <c r="P1633" s="1">
        <v>83.3</v>
      </c>
      <c r="Q1633" s="1">
        <v>0.0</v>
      </c>
      <c r="S1633" s="517"/>
      <c r="V1633" s="1">
        <v>0.08</v>
      </c>
      <c r="W1633" s="518">
        <f t="shared" si="1"/>
        <v>0</v>
      </c>
    </row>
    <row r="1634" hidden="1">
      <c r="C1634" s="515"/>
      <c r="G1634" s="1" t="s">
        <v>2483</v>
      </c>
      <c r="I1634" s="516"/>
      <c r="J1634" s="516"/>
      <c r="K1634" s="515"/>
      <c r="M1634" s="515"/>
      <c r="N1634" s="516"/>
      <c r="P1634" s="1">
        <v>708.3</v>
      </c>
      <c r="Q1634" s="1">
        <v>0.0</v>
      </c>
      <c r="S1634" s="517"/>
      <c r="V1634" s="1">
        <v>0.71</v>
      </c>
      <c r="W1634" s="518">
        <f t="shared" si="1"/>
        <v>0</v>
      </c>
    </row>
    <row r="1635" hidden="1">
      <c r="C1635" s="515"/>
      <c r="G1635" s="1" t="s">
        <v>2482</v>
      </c>
      <c r="I1635" s="516"/>
      <c r="J1635" s="516"/>
      <c r="K1635" s="515"/>
      <c r="M1635" s="515"/>
      <c r="N1635" s="516"/>
      <c r="P1635" s="1">
        <v>41.7</v>
      </c>
      <c r="Q1635" s="1">
        <v>0.0</v>
      </c>
      <c r="S1635" s="517"/>
      <c r="V1635" s="1">
        <v>0.04</v>
      </c>
      <c r="W1635" s="518">
        <f t="shared" si="1"/>
        <v>0</v>
      </c>
    </row>
    <row r="1636" hidden="1">
      <c r="C1636" s="515"/>
      <c r="G1636" s="1" t="s">
        <v>2545</v>
      </c>
      <c r="I1636" s="516"/>
      <c r="J1636" s="516"/>
      <c r="K1636" s="515"/>
      <c r="M1636" s="515"/>
      <c r="N1636" s="516"/>
      <c r="P1636" s="1">
        <v>41.7</v>
      </c>
      <c r="Q1636" s="1">
        <v>0.0</v>
      </c>
      <c r="S1636" s="517"/>
      <c r="V1636" s="1">
        <v>0.04</v>
      </c>
      <c r="W1636" s="518">
        <f t="shared" si="1"/>
        <v>0</v>
      </c>
    </row>
    <row r="1637" hidden="1">
      <c r="C1637" s="515"/>
      <c r="G1637" s="1" t="s">
        <v>2491</v>
      </c>
      <c r="I1637" s="516"/>
      <c r="J1637" s="516"/>
      <c r="K1637" s="515"/>
      <c r="M1637" s="515"/>
      <c r="P1637" s="1">
        <v>41.7</v>
      </c>
      <c r="Q1637" s="1">
        <v>0.0</v>
      </c>
      <c r="S1637" s="517"/>
      <c r="V1637" s="1">
        <v>0.04</v>
      </c>
      <c r="W1637" s="518">
        <f t="shared" si="1"/>
        <v>0</v>
      </c>
    </row>
    <row r="1638" hidden="1">
      <c r="C1638" s="515"/>
      <c r="G1638" s="1" t="s">
        <v>2490</v>
      </c>
      <c r="I1638" s="516"/>
      <c r="J1638" s="516"/>
      <c r="K1638" s="515"/>
      <c r="M1638" s="515"/>
      <c r="P1638" s="1">
        <v>41.7</v>
      </c>
      <c r="Q1638" s="1">
        <v>0.0</v>
      </c>
      <c r="S1638" s="517"/>
      <c r="V1638" s="1">
        <v>0.04</v>
      </c>
      <c r="W1638" s="518">
        <f t="shared" si="1"/>
        <v>0</v>
      </c>
    </row>
    <row r="1639" hidden="1">
      <c r="C1639" s="515"/>
      <c r="G1639" s="1" t="s">
        <v>2489</v>
      </c>
      <c r="I1639" s="516"/>
      <c r="J1639" s="516"/>
      <c r="K1639" s="515"/>
      <c r="P1639" s="1">
        <v>83.3</v>
      </c>
      <c r="Q1639" s="1">
        <v>0.0</v>
      </c>
      <c r="S1639" s="517"/>
      <c r="V1639" s="1">
        <v>0.08</v>
      </c>
      <c r="W1639" s="518">
        <f t="shared" si="1"/>
        <v>0</v>
      </c>
    </row>
    <row r="1640" hidden="1">
      <c r="C1640" s="515"/>
      <c r="G1640" s="1" t="s">
        <v>2493</v>
      </c>
      <c r="I1640" s="516"/>
      <c r="J1640" s="516"/>
      <c r="K1640" s="515"/>
      <c r="M1640" s="515"/>
      <c r="P1640" s="1">
        <v>166.7</v>
      </c>
      <c r="Q1640" s="1">
        <v>0.0</v>
      </c>
      <c r="S1640" s="517"/>
      <c r="V1640" s="1">
        <v>0.17</v>
      </c>
      <c r="W1640" s="518">
        <f t="shared" si="1"/>
        <v>0</v>
      </c>
    </row>
    <row r="1641" hidden="1">
      <c r="C1641" s="515"/>
      <c r="G1641" s="1" t="s">
        <v>2498</v>
      </c>
      <c r="I1641" s="516"/>
      <c r="J1641" s="516"/>
      <c r="K1641" s="515"/>
      <c r="M1641" s="515"/>
      <c r="P1641" s="1">
        <v>183.3</v>
      </c>
      <c r="Q1641" s="1">
        <v>0.0</v>
      </c>
      <c r="S1641" s="517"/>
      <c r="V1641" s="1">
        <v>0.18</v>
      </c>
      <c r="W1641" s="518">
        <f t="shared" si="1"/>
        <v>0</v>
      </c>
    </row>
    <row r="1642" hidden="1">
      <c r="C1642" s="515"/>
      <c r="G1642" s="1" t="s">
        <v>2497</v>
      </c>
      <c r="I1642" s="516"/>
      <c r="J1642" s="516"/>
      <c r="K1642" s="515"/>
      <c r="M1642" s="515"/>
      <c r="P1642" s="1">
        <v>2000.0</v>
      </c>
      <c r="Q1642" s="1">
        <v>0.0</v>
      </c>
      <c r="S1642" s="517"/>
      <c r="V1642" s="1">
        <v>2.0</v>
      </c>
      <c r="W1642" s="518">
        <f t="shared" si="1"/>
        <v>0</v>
      </c>
    </row>
    <row r="1643" hidden="1">
      <c r="C1643" s="515"/>
      <c r="G1643" s="1" t="s">
        <v>2565</v>
      </c>
      <c r="I1643" s="516"/>
      <c r="J1643" s="516"/>
      <c r="K1643" s="515"/>
      <c r="M1643" s="515"/>
      <c r="P1643" s="1">
        <v>83.3</v>
      </c>
      <c r="Q1643" s="1">
        <v>0.0</v>
      </c>
      <c r="S1643" s="517"/>
      <c r="V1643" s="1">
        <v>0.08</v>
      </c>
      <c r="W1643" s="518">
        <f t="shared" si="1"/>
        <v>0</v>
      </c>
    </row>
    <row r="1644" hidden="1">
      <c r="C1644" s="515"/>
      <c r="G1644" s="1" t="s">
        <v>2563</v>
      </c>
      <c r="I1644" s="516"/>
      <c r="J1644" s="516"/>
      <c r="K1644" s="515"/>
      <c r="M1644" s="515"/>
      <c r="N1644" s="516"/>
      <c r="P1644" s="1">
        <v>125.0</v>
      </c>
      <c r="Q1644" s="1">
        <v>0.0</v>
      </c>
      <c r="S1644" s="517"/>
      <c r="V1644" s="1">
        <v>0.13</v>
      </c>
      <c r="W1644" s="518">
        <f t="shared" si="1"/>
        <v>0</v>
      </c>
    </row>
    <row r="1645" hidden="1">
      <c r="C1645" s="515"/>
      <c r="G1645" s="1" t="s">
        <v>2495</v>
      </c>
      <c r="I1645" s="516"/>
      <c r="J1645" s="516"/>
      <c r="K1645" s="515"/>
      <c r="M1645" s="515"/>
      <c r="P1645" s="1">
        <v>83.3</v>
      </c>
      <c r="Q1645" s="1">
        <v>0.0</v>
      </c>
      <c r="S1645" s="517"/>
      <c r="V1645" s="1">
        <v>0.08</v>
      </c>
      <c r="W1645" s="518">
        <f t="shared" si="1"/>
        <v>0</v>
      </c>
    </row>
    <row r="1646" hidden="1">
      <c r="C1646" s="515"/>
      <c r="G1646" s="1" t="s">
        <v>2504</v>
      </c>
      <c r="I1646" s="516"/>
      <c r="J1646" s="516"/>
      <c r="K1646" s="515"/>
      <c r="M1646" s="515"/>
      <c r="P1646" s="1">
        <v>41.7</v>
      </c>
      <c r="Q1646" s="1">
        <v>0.0</v>
      </c>
      <c r="S1646" s="517"/>
      <c r="V1646" s="1">
        <v>0.04</v>
      </c>
      <c r="W1646" s="518">
        <f t="shared" si="1"/>
        <v>0</v>
      </c>
    </row>
    <row r="1647" hidden="1">
      <c r="C1647" s="515"/>
      <c r="G1647" s="86" t="s">
        <v>2584</v>
      </c>
      <c r="I1647" s="516"/>
      <c r="J1647" s="516"/>
      <c r="K1647" s="515"/>
      <c r="M1647" s="515"/>
      <c r="N1647" s="516"/>
      <c r="P1647" s="1">
        <v>1666.7</v>
      </c>
      <c r="Q1647" s="1">
        <v>0.0</v>
      </c>
      <c r="S1647" s="517"/>
      <c r="V1647" s="1">
        <v>1.67</v>
      </c>
      <c r="W1647" s="518">
        <f t="shared" si="1"/>
        <v>0</v>
      </c>
    </row>
    <row r="1648" hidden="1">
      <c r="C1648" s="515"/>
      <c r="G1648" s="1" t="s">
        <v>2502</v>
      </c>
      <c r="I1648" s="516"/>
      <c r="J1648" s="516"/>
      <c r="K1648" s="515"/>
      <c r="M1648" s="515"/>
      <c r="N1648" s="516"/>
      <c r="P1648" s="1">
        <v>41.7</v>
      </c>
      <c r="Q1648" s="1">
        <v>0.0</v>
      </c>
      <c r="S1648" s="517"/>
      <c r="V1648" s="1">
        <v>0.04</v>
      </c>
      <c r="W1648" s="518">
        <f t="shared" si="1"/>
        <v>0</v>
      </c>
    </row>
    <row r="1649" hidden="1">
      <c r="C1649" s="515"/>
      <c r="G1649" s="1" t="s">
        <v>2501</v>
      </c>
      <c r="I1649" s="516"/>
      <c r="J1649" s="516"/>
      <c r="K1649" s="515"/>
      <c r="P1649" s="1">
        <v>83.3</v>
      </c>
      <c r="Q1649" s="1">
        <v>0.0</v>
      </c>
      <c r="S1649" s="517"/>
      <c r="V1649" s="1">
        <v>0.08</v>
      </c>
      <c r="W1649" s="518">
        <f t="shared" si="1"/>
        <v>0</v>
      </c>
    </row>
    <row r="1650" hidden="1">
      <c r="C1650" s="515"/>
      <c r="G1650" s="1" t="s">
        <v>2614</v>
      </c>
      <c r="I1650" s="516"/>
      <c r="J1650" s="516"/>
      <c r="K1650" s="515"/>
      <c r="P1650" s="1">
        <v>500.0</v>
      </c>
      <c r="Q1650" s="1">
        <v>0.0</v>
      </c>
      <c r="S1650" s="517"/>
      <c r="V1650" s="1">
        <v>0.5</v>
      </c>
      <c r="W1650" s="518">
        <f t="shared" si="1"/>
        <v>0</v>
      </c>
    </row>
    <row r="1651">
      <c r="C1651" s="515"/>
      <c r="G1651" s="1" t="s">
        <v>2615</v>
      </c>
      <c r="I1651" s="516"/>
      <c r="J1651" s="516"/>
      <c r="K1651" s="515">
        <v>45657.0</v>
      </c>
      <c r="P1651" s="1">
        <v>1000.0</v>
      </c>
      <c r="Q1651" s="1">
        <v>13000.0</v>
      </c>
      <c r="S1651" s="517"/>
      <c r="V1651" s="1">
        <v>14.0</v>
      </c>
      <c r="W1651" s="518">
        <f t="shared" si="1"/>
        <v>13000</v>
      </c>
    </row>
    <row r="1652" hidden="1">
      <c r="C1652" s="515"/>
      <c r="G1652" s="1" t="s">
        <v>2505</v>
      </c>
      <c r="I1652" s="516"/>
      <c r="J1652" s="516"/>
      <c r="K1652" s="515"/>
      <c r="M1652" s="515"/>
      <c r="N1652" s="516"/>
      <c r="P1652" s="1">
        <v>125.0</v>
      </c>
      <c r="Q1652" s="1">
        <v>0.0</v>
      </c>
      <c r="S1652" s="517"/>
      <c r="V1652" s="1">
        <v>0.13</v>
      </c>
      <c r="W1652" s="518">
        <f t="shared" si="1"/>
        <v>0</v>
      </c>
    </row>
    <row r="1653" hidden="1">
      <c r="C1653" s="515"/>
      <c r="G1653" s="1" t="s">
        <v>2511</v>
      </c>
      <c r="I1653" s="516"/>
      <c r="J1653" s="516"/>
      <c r="K1653" s="515"/>
      <c r="M1653" s="515"/>
      <c r="P1653" s="1">
        <v>41.7</v>
      </c>
      <c r="Q1653" s="1">
        <v>0.0</v>
      </c>
      <c r="S1653" s="517"/>
      <c r="V1653" s="1">
        <v>0.04</v>
      </c>
      <c r="W1653" s="518">
        <f t="shared" si="1"/>
        <v>0</v>
      </c>
    </row>
    <row r="1654" hidden="1">
      <c r="C1654" s="515"/>
      <c r="G1654" s="1" t="s">
        <v>2616</v>
      </c>
      <c r="I1654" s="516"/>
      <c r="J1654" s="516"/>
      <c r="K1654" s="515"/>
      <c r="P1654" s="1">
        <v>166.7</v>
      </c>
      <c r="Q1654" s="1">
        <v>0.0</v>
      </c>
      <c r="S1654" s="517"/>
      <c r="V1654" s="1">
        <v>0.17</v>
      </c>
      <c r="W1654" s="518">
        <f t="shared" si="1"/>
        <v>0</v>
      </c>
    </row>
    <row r="1655" hidden="1">
      <c r="C1655" s="515"/>
      <c r="G1655" s="1" t="s">
        <v>2405</v>
      </c>
      <c r="I1655" s="516"/>
      <c r="J1655" s="516"/>
      <c r="K1655" s="515"/>
      <c r="M1655" s="515"/>
      <c r="P1655" s="1">
        <v>166.7</v>
      </c>
      <c r="Q1655" s="1">
        <v>0.0</v>
      </c>
      <c r="S1655" s="517"/>
      <c r="V1655" s="1">
        <v>0.17</v>
      </c>
      <c r="W1655" s="518">
        <f t="shared" si="1"/>
        <v>0</v>
      </c>
    </row>
    <row r="1656" hidden="1">
      <c r="C1656" s="515"/>
      <c r="G1656" s="1" t="s">
        <v>2413</v>
      </c>
      <c r="I1656" s="516"/>
      <c r="J1656" s="516"/>
      <c r="K1656" s="515"/>
      <c r="M1656" s="515"/>
      <c r="P1656" s="1">
        <v>166.7</v>
      </c>
      <c r="Q1656" s="1">
        <v>0.0</v>
      </c>
      <c r="S1656" s="517"/>
      <c r="V1656" s="1">
        <v>0.17</v>
      </c>
      <c r="W1656" s="518">
        <f t="shared" si="1"/>
        <v>0</v>
      </c>
    </row>
    <row r="1657" hidden="1">
      <c r="C1657" s="515"/>
      <c r="G1657" s="1" t="s">
        <v>2412</v>
      </c>
      <c r="I1657" s="516"/>
      <c r="J1657" s="516"/>
      <c r="K1657" s="515"/>
      <c r="M1657" s="515"/>
      <c r="N1657" s="516"/>
      <c r="P1657" s="1">
        <v>4000.0</v>
      </c>
      <c r="Q1657" s="1">
        <v>0.0</v>
      </c>
      <c r="S1657" s="517"/>
      <c r="V1657" s="1">
        <v>4.0</v>
      </c>
      <c r="W1657" s="518">
        <f t="shared" si="1"/>
        <v>0</v>
      </c>
    </row>
    <row r="1658" hidden="1">
      <c r="C1658" s="515"/>
      <c r="G1658" s="1" t="s">
        <v>2408</v>
      </c>
      <c r="I1658" s="516"/>
      <c r="J1658" s="516"/>
      <c r="K1658" s="515"/>
      <c r="M1658" s="515"/>
      <c r="N1658" s="516"/>
      <c r="P1658" s="1">
        <v>41.7</v>
      </c>
      <c r="Q1658" s="1">
        <v>0.0</v>
      </c>
      <c r="S1658" s="517"/>
      <c r="V1658" s="1">
        <v>0.04</v>
      </c>
      <c r="W1658" s="518">
        <f t="shared" si="1"/>
        <v>0</v>
      </c>
    </row>
    <row r="1659" hidden="1">
      <c r="C1659" s="515"/>
      <c r="G1659" s="1" t="s">
        <v>2407</v>
      </c>
      <c r="I1659" s="516"/>
      <c r="J1659" s="516"/>
      <c r="K1659" s="515"/>
      <c r="M1659" s="515"/>
      <c r="N1659" s="516"/>
      <c r="P1659" s="1">
        <v>416.7</v>
      </c>
      <c r="Q1659" s="1">
        <v>0.0</v>
      </c>
      <c r="S1659" s="517"/>
      <c r="V1659" s="1">
        <v>0.42</v>
      </c>
      <c r="W1659" s="518">
        <f t="shared" si="1"/>
        <v>0</v>
      </c>
    </row>
    <row r="1660" hidden="1">
      <c r="C1660" s="515"/>
      <c r="G1660" s="1" t="s">
        <v>2453</v>
      </c>
      <c r="I1660" s="516"/>
      <c r="J1660" s="516"/>
      <c r="K1660" s="515"/>
      <c r="M1660" s="515"/>
      <c r="N1660" s="516"/>
      <c r="P1660" s="1">
        <v>83.3</v>
      </c>
      <c r="Q1660" s="1">
        <v>0.0</v>
      </c>
      <c r="S1660" s="517"/>
      <c r="V1660" s="1">
        <v>0.08</v>
      </c>
      <c r="W1660" s="518">
        <f t="shared" si="1"/>
        <v>0</v>
      </c>
    </row>
    <row r="1661" hidden="1">
      <c r="C1661" s="515"/>
      <c r="G1661" s="1" t="s">
        <v>2555</v>
      </c>
      <c r="I1661" s="516"/>
      <c r="J1661" s="516"/>
      <c r="K1661" s="515"/>
      <c r="M1661" s="515"/>
      <c r="N1661" s="516"/>
      <c r="P1661" s="1">
        <v>83.3</v>
      </c>
      <c r="Q1661" s="1">
        <v>0.0</v>
      </c>
      <c r="S1661" s="517"/>
      <c r="V1661" s="1">
        <v>0.08</v>
      </c>
      <c r="W1661" s="518">
        <f t="shared" si="1"/>
        <v>0</v>
      </c>
    </row>
    <row r="1662">
      <c r="C1662" s="515"/>
      <c r="G1662" s="1" t="s">
        <v>2617</v>
      </c>
      <c r="I1662" s="516"/>
      <c r="J1662" s="516"/>
      <c r="K1662" s="515">
        <v>45657.0</v>
      </c>
      <c r="M1662" s="515"/>
      <c r="N1662" s="516"/>
      <c r="P1662" s="1">
        <v>1000.0</v>
      </c>
      <c r="Q1662" s="1">
        <v>49000.0</v>
      </c>
      <c r="S1662" s="517"/>
      <c r="V1662" s="1">
        <v>50.0</v>
      </c>
      <c r="W1662" s="518">
        <f t="shared" si="1"/>
        <v>49000</v>
      </c>
    </row>
    <row r="1663" hidden="1">
      <c r="C1663" s="515"/>
      <c r="G1663" s="1" t="s">
        <v>2551</v>
      </c>
      <c r="I1663" s="516"/>
      <c r="J1663" s="516"/>
      <c r="K1663" s="515"/>
      <c r="M1663" s="515"/>
      <c r="N1663" s="516"/>
      <c r="P1663" s="1">
        <v>333.3</v>
      </c>
      <c r="Q1663" s="1">
        <v>0.0</v>
      </c>
      <c r="S1663" s="517"/>
      <c r="V1663" s="1">
        <v>0.33</v>
      </c>
      <c r="W1663" s="518">
        <f t="shared" si="1"/>
        <v>0</v>
      </c>
    </row>
    <row r="1664" hidden="1">
      <c r="C1664" s="515"/>
      <c r="G1664" s="1" t="s">
        <v>2420</v>
      </c>
      <c r="I1664" s="516"/>
      <c r="J1664" s="516"/>
      <c r="K1664" s="515"/>
      <c r="M1664" s="515"/>
      <c r="N1664" s="516"/>
      <c r="P1664" s="1">
        <v>83.3</v>
      </c>
      <c r="Q1664" s="1">
        <v>0.0</v>
      </c>
      <c r="S1664" s="517"/>
      <c r="V1664" s="1">
        <v>0.08</v>
      </c>
      <c r="W1664" s="518">
        <f t="shared" si="1"/>
        <v>0</v>
      </c>
    </row>
    <row r="1665" hidden="1">
      <c r="C1665" s="515"/>
      <c r="G1665" s="1" t="s">
        <v>2603</v>
      </c>
      <c r="I1665" s="516"/>
      <c r="J1665" s="516"/>
      <c r="K1665" s="515"/>
      <c r="M1665" s="515"/>
      <c r="N1665" s="516"/>
      <c r="P1665" s="1">
        <v>83.3</v>
      </c>
      <c r="Q1665" s="1">
        <v>0.0</v>
      </c>
      <c r="S1665" s="517"/>
      <c r="V1665" s="1">
        <v>0.08</v>
      </c>
      <c r="W1665" s="518">
        <f t="shared" si="1"/>
        <v>0</v>
      </c>
    </row>
    <row r="1666" hidden="1">
      <c r="C1666" s="515"/>
      <c r="G1666" s="1" t="s">
        <v>2417</v>
      </c>
      <c r="I1666" s="516"/>
      <c r="J1666" s="516"/>
      <c r="K1666" s="515"/>
      <c r="M1666" s="515"/>
      <c r="N1666" s="516"/>
      <c r="P1666" s="1">
        <v>166.7</v>
      </c>
      <c r="Q1666" s="1">
        <v>0.0</v>
      </c>
      <c r="S1666" s="517"/>
      <c r="V1666" s="1">
        <v>0.17</v>
      </c>
      <c r="W1666" s="518">
        <f t="shared" si="1"/>
        <v>0</v>
      </c>
    </row>
    <row r="1667" hidden="1">
      <c r="C1667" s="515"/>
      <c r="G1667" s="1" t="s">
        <v>2425</v>
      </c>
      <c r="I1667" s="516"/>
      <c r="J1667" s="516"/>
      <c r="K1667" s="515"/>
      <c r="M1667" s="515"/>
      <c r="N1667" s="516"/>
      <c r="P1667" s="1">
        <v>41.7</v>
      </c>
      <c r="Q1667" s="1">
        <v>0.0</v>
      </c>
      <c r="S1667" s="517"/>
      <c r="V1667" s="1">
        <v>0.04</v>
      </c>
      <c r="W1667" s="518">
        <f t="shared" si="1"/>
        <v>0</v>
      </c>
    </row>
    <row r="1668" hidden="1">
      <c r="C1668" s="515"/>
      <c r="G1668" s="1" t="s">
        <v>2589</v>
      </c>
      <c r="I1668" s="516"/>
      <c r="J1668" s="516"/>
      <c r="K1668" s="515"/>
      <c r="M1668" s="515"/>
      <c r="N1668" s="516"/>
      <c r="P1668" s="1">
        <v>166.7</v>
      </c>
      <c r="Q1668" s="1">
        <v>0.0</v>
      </c>
      <c r="S1668" s="517"/>
      <c r="V1668" s="1">
        <v>0.17</v>
      </c>
      <c r="W1668" s="518">
        <f t="shared" si="1"/>
        <v>0</v>
      </c>
    </row>
    <row r="1669" hidden="1">
      <c r="C1669" s="515"/>
      <c r="G1669" s="1" t="s">
        <v>2431</v>
      </c>
      <c r="I1669" s="516"/>
      <c r="J1669" s="516"/>
      <c r="K1669" s="515"/>
      <c r="M1669" s="515"/>
      <c r="N1669" s="516"/>
      <c r="P1669" s="1">
        <v>83.3</v>
      </c>
      <c r="Q1669" s="1">
        <v>0.0</v>
      </c>
      <c r="S1669" s="517"/>
      <c r="V1669" s="1">
        <v>0.08</v>
      </c>
      <c r="W1669" s="518">
        <f t="shared" si="1"/>
        <v>0</v>
      </c>
    </row>
    <row r="1670" hidden="1">
      <c r="C1670" s="515"/>
      <c r="G1670" s="1" t="s">
        <v>2556</v>
      </c>
      <c r="I1670" s="516"/>
      <c r="J1670" s="516"/>
      <c r="K1670" s="515"/>
      <c r="M1670" s="515"/>
      <c r="P1670" s="1">
        <v>83.3</v>
      </c>
      <c r="Q1670" s="1">
        <v>0.0</v>
      </c>
      <c r="S1670" s="517"/>
      <c r="V1670" s="1">
        <v>0.08</v>
      </c>
      <c r="W1670" s="518">
        <f t="shared" si="1"/>
        <v>0</v>
      </c>
    </row>
    <row r="1671" hidden="1">
      <c r="C1671" s="515"/>
      <c r="G1671" s="1" t="s">
        <v>2429</v>
      </c>
      <c r="I1671" s="516"/>
      <c r="J1671" s="516"/>
      <c r="K1671" s="515"/>
      <c r="M1671" s="515"/>
      <c r="N1671" s="516"/>
      <c r="P1671" s="1">
        <v>333.3</v>
      </c>
      <c r="Q1671" s="1">
        <v>0.0</v>
      </c>
      <c r="S1671" s="517"/>
      <c r="V1671" s="1">
        <v>0.33</v>
      </c>
      <c r="W1671" s="518">
        <f t="shared" si="1"/>
        <v>0</v>
      </c>
    </row>
    <row r="1672" hidden="1">
      <c r="C1672" s="515"/>
      <c r="G1672" s="1" t="s">
        <v>2428</v>
      </c>
      <c r="I1672" s="516"/>
      <c r="J1672" s="516"/>
      <c r="K1672" s="515"/>
      <c r="M1672" s="515"/>
      <c r="P1672" s="1">
        <v>166.7</v>
      </c>
      <c r="Q1672" s="1">
        <v>0.0</v>
      </c>
      <c r="S1672" s="517"/>
      <c r="V1672" s="1">
        <v>0.17</v>
      </c>
      <c r="W1672" s="518">
        <f t="shared" si="1"/>
        <v>0</v>
      </c>
    </row>
    <row r="1673" hidden="1">
      <c r="C1673" s="515"/>
      <c r="G1673" s="1" t="s">
        <v>2426</v>
      </c>
      <c r="I1673" s="516"/>
      <c r="J1673" s="516"/>
      <c r="K1673" s="515"/>
      <c r="M1673" s="515"/>
      <c r="N1673" s="516"/>
      <c r="P1673" s="1">
        <v>250.0</v>
      </c>
      <c r="Q1673" s="1">
        <v>0.0</v>
      </c>
      <c r="S1673" s="517"/>
      <c r="V1673" s="1">
        <v>0.25</v>
      </c>
      <c r="W1673" s="518">
        <f t="shared" si="1"/>
        <v>0</v>
      </c>
    </row>
    <row r="1674" hidden="1">
      <c r="C1674" s="515"/>
      <c r="G1674" s="1" t="s">
        <v>2618</v>
      </c>
      <c r="I1674" s="516"/>
      <c r="J1674" s="516"/>
      <c r="K1674" s="515"/>
      <c r="M1674" s="515"/>
      <c r="N1674" s="516"/>
      <c r="P1674" s="1">
        <v>3333.3</v>
      </c>
      <c r="Q1674" s="1">
        <v>0.0</v>
      </c>
      <c r="S1674" s="517"/>
      <c r="V1674" s="1">
        <v>3.33</v>
      </c>
      <c r="W1674" s="518">
        <f t="shared" si="1"/>
        <v>0</v>
      </c>
    </row>
    <row r="1675" hidden="1">
      <c r="C1675" s="515"/>
      <c r="G1675" s="1" t="s">
        <v>2439</v>
      </c>
      <c r="I1675" s="516"/>
      <c r="J1675" s="516"/>
      <c r="K1675" s="515"/>
      <c r="M1675" s="515"/>
      <c r="N1675" s="516"/>
      <c r="P1675" s="1">
        <v>83.3</v>
      </c>
      <c r="Q1675" s="1">
        <v>0.0</v>
      </c>
      <c r="S1675" s="517"/>
      <c r="V1675" s="1">
        <v>0.08</v>
      </c>
      <c r="W1675" s="518">
        <f t="shared" si="1"/>
        <v>0</v>
      </c>
    </row>
    <row r="1676" hidden="1">
      <c r="C1676" s="515"/>
      <c r="G1676" s="1" t="s">
        <v>2536</v>
      </c>
      <c r="I1676" s="516"/>
      <c r="J1676" s="516"/>
      <c r="K1676" s="515"/>
      <c r="M1676" s="515"/>
      <c r="N1676" s="516"/>
      <c r="P1676" s="1">
        <v>166.7</v>
      </c>
      <c r="Q1676" s="1">
        <v>0.0</v>
      </c>
      <c r="S1676" s="517"/>
      <c r="V1676" s="1">
        <v>0.17</v>
      </c>
      <c r="W1676" s="518">
        <f t="shared" si="1"/>
        <v>0</v>
      </c>
    </row>
    <row r="1677" hidden="1">
      <c r="C1677" s="515"/>
      <c r="G1677" s="1" t="s">
        <v>2441</v>
      </c>
      <c r="I1677" s="516"/>
      <c r="J1677" s="516"/>
      <c r="K1677" s="515"/>
      <c r="M1677" s="515"/>
      <c r="P1677" s="1">
        <v>83.3</v>
      </c>
      <c r="Q1677" s="1">
        <v>0.0</v>
      </c>
      <c r="S1677" s="517"/>
      <c r="V1677" s="1">
        <v>0.08</v>
      </c>
      <c r="W1677" s="518">
        <f t="shared" si="1"/>
        <v>0</v>
      </c>
    </row>
    <row r="1678" hidden="1">
      <c r="C1678" s="515"/>
      <c r="G1678" s="1" t="s">
        <v>2619</v>
      </c>
      <c r="I1678" s="516"/>
      <c r="J1678" s="516"/>
      <c r="K1678" s="515"/>
      <c r="M1678" s="515"/>
      <c r="N1678" s="516"/>
      <c r="P1678" s="1">
        <v>83.3</v>
      </c>
      <c r="Q1678" s="1">
        <v>0.0</v>
      </c>
      <c r="S1678" s="517"/>
      <c r="V1678" s="1">
        <v>0.08</v>
      </c>
      <c r="W1678" s="518">
        <f t="shared" si="1"/>
        <v>0</v>
      </c>
    </row>
    <row r="1679" hidden="1">
      <c r="C1679" s="515"/>
      <c r="G1679" s="1" t="s">
        <v>2444</v>
      </c>
      <c r="I1679" s="516"/>
      <c r="J1679" s="516"/>
      <c r="K1679" s="515"/>
      <c r="M1679" s="515"/>
      <c r="N1679" s="516"/>
      <c r="P1679" s="1">
        <v>125.0</v>
      </c>
      <c r="Q1679" s="1">
        <v>0.0</v>
      </c>
      <c r="S1679" s="517"/>
      <c r="V1679" s="1">
        <v>0.13</v>
      </c>
      <c r="W1679" s="518">
        <f t="shared" si="1"/>
        <v>0</v>
      </c>
    </row>
    <row r="1680" hidden="1">
      <c r="C1680" s="515"/>
      <c r="G1680" s="1" t="s">
        <v>2443</v>
      </c>
      <c r="I1680" s="516"/>
      <c r="J1680" s="516"/>
      <c r="K1680" s="515"/>
      <c r="M1680" s="515"/>
      <c r="N1680" s="516"/>
      <c r="P1680" s="1">
        <v>833.3</v>
      </c>
      <c r="Q1680" s="1">
        <v>0.0</v>
      </c>
      <c r="S1680" s="517"/>
      <c r="V1680" s="1">
        <v>0.83</v>
      </c>
      <c r="W1680" s="518">
        <f t="shared" si="1"/>
        <v>0</v>
      </c>
    </row>
    <row r="1681" hidden="1">
      <c r="C1681" s="515"/>
      <c r="G1681" s="1" t="s">
        <v>2447</v>
      </c>
      <c r="I1681" s="516"/>
      <c r="J1681" s="516"/>
      <c r="K1681" s="515"/>
      <c r="P1681" s="1">
        <v>83.3</v>
      </c>
      <c r="Q1681" s="1">
        <v>0.0</v>
      </c>
      <c r="S1681" s="517"/>
      <c r="V1681" s="1">
        <v>0.08</v>
      </c>
      <c r="W1681" s="518">
        <f t="shared" si="1"/>
        <v>0</v>
      </c>
    </row>
    <row r="1682" hidden="1">
      <c r="C1682" s="515"/>
      <c r="G1682" s="1" t="s">
        <v>2445</v>
      </c>
      <c r="I1682" s="516"/>
      <c r="J1682" s="516"/>
      <c r="K1682" s="515"/>
      <c r="P1682" s="1">
        <v>166.7</v>
      </c>
      <c r="Q1682" s="1">
        <v>0.0</v>
      </c>
      <c r="S1682" s="517"/>
      <c r="V1682" s="1">
        <v>0.17</v>
      </c>
      <c r="W1682" s="518">
        <f t="shared" si="1"/>
        <v>0</v>
      </c>
    </row>
    <row r="1683" hidden="1">
      <c r="C1683" s="515"/>
      <c r="G1683" s="1" t="s">
        <v>2451</v>
      </c>
      <c r="I1683" s="516"/>
      <c r="J1683" s="516"/>
      <c r="K1683" s="515"/>
      <c r="P1683" s="1">
        <v>41.7</v>
      </c>
      <c r="Q1683" s="1">
        <v>0.0</v>
      </c>
      <c r="S1683" s="517"/>
      <c r="V1683" s="1">
        <v>0.04</v>
      </c>
      <c r="W1683" s="518">
        <f t="shared" si="1"/>
        <v>0</v>
      </c>
    </row>
    <row r="1684" hidden="1">
      <c r="C1684" s="515"/>
      <c r="G1684" s="1" t="s">
        <v>2592</v>
      </c>
      <c r="I1684" s="516"/>
      <c r="J1684" s="516"/>
      <c r="K1684" s="515"/>
      <c r="M1684" s="515"/>
      <c r="N1684" s="516"/>
      <c r="P1684" s="1">
        <v>41.7</v>
      </c>
      <c r="Q1684" s="1">
        <v>0.0</v>
      </c>
      <c r="S1684" s="517"/>
      <c r="V1684" s="1">
        <v>0.04</v>
      </c>
      <c r="W1684" s="518">
        <f t="shared" si="1"/>
        <v>0</v>
      </c>
    </row>
    <row r="1685" hidden="1">
      <c r="C1685" s="515"/>
      <c r="G1685" s="1" t="s">
        <v>2540</v>
      </c>
      <c r="I1685" s="516"/>
      <c r="J1685" s="516"/>
      <c r="K1685" s="515"/>
      <c r="P1685" s="1">
        <v>416.7</v>
      </c>
      <c r="Q1685" s="1">
        <v>0.0</v>
      </c>
      <c r="S1685" s="517"/>
      <c r="V1685" s="1">
        <v>0.42</v>
      </c>
      <c r="W1685" s="518">
        <f t="shared" si="1"/>
        <v>0</v>
      </c>
    </row>
    <row r="1686" hidden="1">
      <c r="C1686" s="515"/>
      <c r="G1686" s="1" t="s">
        <v>2457</v>
      </c>
      <c r="I1686" s="516"/>
      <c r="J1686" s="516"/>
      <c r="K1686" s="515"/>
      <c r="P1686" s="1">
        <v>500.0</v>
      </c>
      <c r="Q1686" s="1">
        <v>0.0</v>
      </c>
      <c r="S1686" s="517"/>
      <c r="V1686" s="1">
        <v>0.5</v>
      </c>
      <c r="W1686" s="518">
        <f t="shared" si="1"/>
        <v>0</v>
      </c>
    </row>
    <row r="1687" hidden="1">
      <c r="C1687" s="515"/>
      <c r="G1687" s="1" t="s">
        <v>2539</v>
      </c>
      <c r="I1687" s="516"/>
      <c r="J1687" s="516"/>
      <c r="K1687" s="515"/>
      <c r="M1687" s="515"/>
      <c r="P1687" s="1">
        <v>41.7</v>
      </c>
      <c r="Q1687" s="1">
        <v>0.0</v>
      </c>
      <c r="S1687" s="517"/>
      <c r="V1687" s="1">
        <v>0.04</v>
      </c>
      <c r="W1687" s="518">
        <f t="shared" si="1"/>
        <v>0</v>
      </c>
    </row>
    <row r="1688" hidden="1">
      <c r="C1688" s="515"/>
      <c r="G1688" s="1" t="s">
        <v>2456</v>
      </c>
      <c r="I1688" s="516"/>
      <c r="J1688" s="516"/>
      <c r="K1688" s="515"/>
      <c r="M1688" s="515"/>
      <c r="N1688" s="516"/>
      <c r="P1688" s="1">
        <v>666.7</v>
      </c>
      <c r="Q1688" s="1">
        <v>0.0</v>
      </c>
      <c r="S1688" s="517"/>
      <c r="V1688" s="1">
        <v>0.67</v>
      </c>
      <c r="W1688" s="518">
        <f t="shared" si="1"/>
        <v>0</v>
      </c>
    </row>
    <row r="1689" hidden="1">
      <c r="C1689" s="515"/>
      <c r="G1689" s="1" t="s">
        <v>2560</v>
      </c>
      <c r="I1689" s="516"/>
      <c r="J1689" s="516"/>
      <c r="K1689" s="515"/>
      <c r="M1689" s="515"/>
      <c r="N1689" s="516"/>
      <c r="P1689" s="1">
        <v>83.3</v>
      </c>
      <c r="Q1689" s="1">
        <v>0.0</v>
      </c>
      <c r="S1689" s="517"/>
      <c r="V1689" s="1">
        <v>0.08</v>
      </c>
      <c r="W1689" s="518">
        <f t="shared" si="1"/>
        <v>0</v>
      </c>
    </row>
    <row r="1690" hidden="1">
      <c r="C1690" s="515"/>
      <c r="G1690" s="1" t="s">
        <v>2462</v>
      </c>
      <c r="I1690" s="516"/>
      <c r="J1690" s="516"/>
      <c r="K1690" s="515"/>
      <c r="P1690" s="1">
        <v>41.7</v>
      </c>
      <c r="Q1690" s="1">
        <v>0.0</v>
      </c>
      <c r="S1690" s="517"/>
      <c r="V1690" s="1">
        <v>0.04</v>
      </c>
      <c r="W1690" s="518">
        <f t="shared" si="1"/>
        <v>0</v>
      </c>
    </row>
    <row r="1691" hidden="1">
      <c r="C1691" s="515"/>
      <c r="G1691" s="1" t="s">
        <v>2620</v>
      </c>
      <c r="I1691" s="516"/>
      <c r="J1691" s="516"/>
      <c r="K1691" s="515"/>
      <c r="M1691" s="515"/>
      <c r="P1691" s="1">
        <v>41.7</v>
      </c>
      <c r="Q1691" s="1">
        <v>0.0</v>
      </c>
      <c r="S1691" s="517"/>
      <c r="V1691" s="1">
        <v>0.04</v>
      </c>
      <c r="W1691" s="518">
        <f t="shared" si="1"/>
        <v>0</v>
      </c>
    </row>
    <row r="1692" hidden="1">
      <c r="C1692" s="515"/>
      <c r="G1692" s="1" t="s">
        <v>2553</v>
      </c>
      <c r="I1692" s="516"/>
      <c r="J1692" s="516"/>
      <c r="K1692" s="515"/>
      <c r="P1692" s="1">
        <v>41.7</v>
      </c>
      <c r="Q1692" s="1">
        <v>0.0</v>
      </c>
      <c r="S1692" s="517"/>
      <c r="V1692" s="1">
        <v>0.04</v>
      </c>
      <c r="W1692" s="518">
        <f t="shared" si="1"/>
        <v>0</v>
      </c>
    </row>
    <row r="1693" hidden="1">
      <c r="C1693" s="515"/>
      <c r="G1693" s="1" t="s">
        <v>2461</v>
      </c>
      <c r="I1693" s="516"/>
      <c r="J1693" s="516"/>
      <c r="K1693" s="515"/>
      <c r="M1693" s="515"/>
      <c r="N1693" s="516"/>
      <c r="P1693" s="1">
        <v>83.3</v>
      </c>
      <c r="Q1693" s="1">
        <v>0.0</v>
      </c>
      <c r="S1693" s="517"/>
      <c r="V1693" s="1">
        <v>0.08</v>
      </c>
      <c r="W1693" s="518">
        <f t="shared" si="1"/>
        <v>0</v>
      </c>
    </row>
    <row r="1694" hidden="1">
      <c r="C1694" s="515"/>
      <c r="G1694" s="1" t="s">
        <v>2469</v>
      </c>
      <c r="I1694" s="516"/>
      <c r="J1694" s="516"/>
      <c r="K1694" s="515"/>
      <c r="M1694" s="515"/>
      <c r="N1694" s="516"/>
      <c r="P1694" s="1">
        <v>41.7</v>
      </c>
      <c r="Q1694" s="1">
        <v>0.0</v>
      </c>
      <c r="S1694" s="517"/>
      <c r="V1694" s="1">
        <v>0.04</v>
      </c>
      <c r="W1694" s="518">
        <f t="shared" si="1"/>
        <v>0</v>
      </c>
    </row>
    <row r="1695" hidden="1">
      <c r="C1695" s="515"/>
      <c r="G1695" s="1" t="s">
        <v>2521</v>
      </c>
      <c r="I1695" s="516"/>
      <c r="J1695" s="516"/>
      <c r="K1695" s="515"/>
      <c r="P1695" s="1">
        <v>83.3</v>
      </c>
      <c r="Q1695" s="1">
        <v>0.0</v>
      </c>
      <c r="S1695" s="517"/>
      <c r="V1695" s="1">
        <v>0.08</v>
      </c>
      <c r="W1695" s="518">
        <f t="shared" si="1"/>
        <v>0</v>
      </c>
    </row>
    <row r="1696" hidden="1">
      <c r="C1696" s="515"/>
      <c r="G1696" s="1" t="s">
        <v>2468</v>
      </c>
      <c r="I1696" s="516"/>
      <c r="J1696" s="516"/>
      <c r="K1696" s="515"/>
      <c r="P1696" s="1">
        <v>41.7</v>
      </c>
      <c r="Q1696" s="1">
        <v>0.0</v>
      </c>
      <c r="S1696" s="517"/>
      <c r="V1696" s="1">
        <v>0.04</v>
      </c>
      <c r="W1696" s="518">
        <f t="shared" si="1"/>
        <v>0</v>
      </c>
    </row>
    <row r="1697" hidden="1">
      <c r="C1697" s="515"/>
      <c r="G1697" s="1" t="s">
        <v>2605</v>
      </c>
      <c r="I1697" s="516"/>
      <c r="J1697" s="516"/>
      <c r="K1697" s="515"/>
      <c r="P1697" s="1">
        <v>125.0</v>
      </c>
      <c r="Q1697" s="1">
        <v>0.0</v>
      </c>
      <c r="S1697" s="517"/>
      <c r="V1697" s="1">
        <v>0.13</v>
      </c>
      <c r="W1697" s="518">
        <f t="shared" si="1"/>
        <v>0</v>
      </c>
    </row>
    <row r="1698" hidden="1">
      <c r="C1698" s="515"/>
      <c r="G1698" s="1" t="s">
        <v>2613</v>
      </c>
      <c r="I1698" s="516"/>
      <c r="J1698" s="516"/>
      <c r="K1698" s="515"/>
      <c r="P1698" s="1">
        <v>41.7</v>
      </c>
      <c r="Q1698" s="1">
        <v>0.0</v>
      </c>
      <c r="S1698" s="517"/>
      <c r="V1698" s="1">
        <v>0.04</v>
      </c>
      <c r="W1698" s="518">
        <f t="shared" si="1"/>
        <v>0</v>
      </c>
    </row>
    <row r="1699" hidden="1">
      <c r="C1699" s="515"/>
      <c r="G1699" s="1" t="s">
        <v>2466</v>
      </c>
      <c r="I1699" s="516"/>
      <c r="J1699" s="516"/>
      <c r="K1699" s="515"/>
      <c r="P1699" s="1">
        <v>208.3</v>
      </c>
      <c r="Q1699" s="1">
        <v>0.0</v>
      </c>
      <c r="S1699" s="517"/>
      <c r="V1699" s="1">
        <v>0.21</v>
      </c>
      <c r="W1699" s="518">
        <f t="shared" si="1"/>
        <v>0</v>
      </c>
    </row>
    <row r="1700" hidden="1">
      <c r="C1700" s="515"/>
      <c r="G1700" s="1" t="s">
        <v>2465</v>
      </c>
      <c r="I1700" s="516"/>
      <c r="J1700" s="516"/>
      <c r="K1700" s="515"/>
      <c r="P1700" s="1">
        <v>166.7</v>
      </c>
      <c r="Q1700" s="1">
        <v>0.0</v>
      </c>
      <c r="S1700" s="517"/>
      <c r="V1700" s="1">
        <v>0.17</v>
      </c>
      <c r="W1700" s="518">
        <f t="shared" si="1"/>
        <v>0</v>
      </c>
    </row>
    <row r="1701" hidden="1">
      <c r="C1701" s="515"/>
      <c r="G1701" s="1" t="s">
        <v>2542</v>
      </c>
      <c r="I1701" s="516"/>
      <c r="J1701" s="516"/>
      <c r="K1701" s="515"/>
      <c r="P1701" s="1">
        <v>83.3</v>
      </c>
      <c r="Q1701" s="1">
        <v>0.0</v>
      </c>
      <c r="S1701" s="517"/>
      <c r="V1701" s="1">
        <v>0.08</v>
      </c>
      <c r="W1701" s="518">
        <f t="shared" si="1"/>
        <v>0</v>
      </c>
    </row>
    <row r="1702" hidden="1">
      <c r="C1702" s="515"/>
      <c r="G1702" s="1" t="s">
        <v>2473</v>
      </c>
      <c r="I1702" s="516"/>
      <c r="J1702" s="516"/>
      <c r="K1702" s="515"/>
      <c r="P1702" s="1">
        <v>83.3</v>
      </c>
      <c r="Q1702" s="1">
        <v>0.0</v>
      </c>
      <c r="S1702" s="517"/>
      <c r="V1702" s="1">
        <v>0.08</v>
      </c>
      <c r="W1702" s="518">
        <f t="shared" si="1"/>
        <v>0</v>
      </c>
    </row>
    <row r="1703" hidden="1">
      <c r="C1703" s="515"/>
      <c r="G1703" s="1" t="s">
        <v>2471</v>
      </c>
      <c r="I1703" s="516"/>
      <c r="J1703" s="516"/>
      <c r="K1703" s="515"/>
      <c r="P1703" s="1">
        <v>41.7</v>
      </c>
      <c r="Q1703" s="1">
        <v>0.0</v>
      </c>
      <c r="S1703" s="517"/>
      <c r="V1703" s="1">
        <v>0.04</v>
      </c>
      <c r="W1703" s="518">
        <f t="shared" si="1"/>
        <v>0</v>
      </c>
    </row>
    <row r="1704" hidden="1">
      <c r="C1704" s="515"/>
      <c r="G1704" s="1" t="s">
        <v>2474</v>
      </c>
      <c r="I1704" s="516"/>
      <c r="J1704" s="516"/>
      <c r="K1704" s="515"/>
      <c r="M1704" s="515"/>
      <c r="P1704" s="1">
        <v>166.7</v>
      </c>
      <c r="Q1704" s="1">
        <v>0.0</v>
      </c>
      <c r="S1704" s="517"/>
      <c r="V1704" s="1">
        <v>0.17</v>
      </c>
      <c r="W1704" s="518">
        <f t="shared" si="1"/>
        <v>0</v>
      </c>
    </row>
    <row r="1705" hidden="1">
      <c r="C1705" s="515"/>
      <c r="G1705" s="1" t="s">
        <v>2428</v>
      </c>
      <c r="I1705" s="516"/>
      <c r="J1705" s="516"/>
      <c r="K1705" s="515"/>
      <c r="M1705" s="515"/>
      <c r="N1705" s="516"/>
      <c r="P1705" s="1">
        <v>391.7</v>
      </c>
      <c r="Q1705" s="1">
        <v>0.0</v>
      </c>
      <c r="S1705" s="517"/>
      <c r="V1705" s="1">
        <v>0.39</v>
      </c>
      <c r="W1705" s="518">
        <f t="shared" si="1"/>
        <v>0</v>
      </c>
    </row>
    <row r="1706" hidden="1">
      <c r="C1706" s="515"/>
      <c r="G1706" s="1" t="s">
        <v>2609</v>
      </c>
      <c r="I1706" s="516"/>
      <c r="J1706" s="516"/>
      <c r="K1706" s="515"/>
      <c r="M1706" s="515"/>
      <c r="P1706" s="1">
        <v>83.3</v>
      </c>
      <c r="Q1706" s="1">
        <v>0.0</v>
      </c>
      <c r="S1706" s="517"/>
      <c r="V1706" s="1">
        <v>0.08</v>
      </c>
      <c r="W1706" s="518">
        <f t="shared" si="1"/>
        <v>0</v>
      </c>
    </row>
    <row r="1707" hidden="1">
      <c r="C1707" s="515"/>
      <c r="G1707" s="1" t="s">
        <v>2479</v>
      </c>
      <c r="I1707" s="516"/>
      <c r="J1707" s="516"/>
      <c r="K1707" s="515"/>
      <c r="P1707" s="1">
        <v>416.7</v>
      </c>
      <c r="Q1707" s="1">
        <v>0.0</v>
      </c>
      <c r="S1707" s="517"/>
      <c r="V1707" s="1">
        <v>0.42</v>
      </c>
      <c r="W1707" s="518">
        <f t="shared" si="1"/>
        <v>0</v>
      </c>
    </row>
    <row r="1708" hidden="1">
      <c r="C1708" s="515"/>
      <c r="G1708" s="1" t="s">
        <v>2588</v>
      </c>
      <c r="I1708" s="516"/>
      <c r="J1708" s="516"/>
      <c r="K1708" s="515"/>
      <c r="P1708" s="1">
        <v>8333.3</v>
      </c>
      <c r="Q1708" s="1">
        <v>0.0</v>
      </c>
      <c r="S1708" s="517"/>
      <c r="V1708" s="1">
        <v>8.33</v>
      </c>
      <c r="W1708" s="518">
        <f t="shared" si="1"/>
        <v>0</v>
      </c>
    </row>
    <row r="1709" hidden="1">
      <c r="C1709" s="515"/>
      <c r="G1709" s="1" t="s">
        <v>2594</v>
      </c>
      <c r="I1709" s="516"/>
      <c r="J1709" s="516"/>
      <c r="K1709" s="515"/>
      <c r="P1709" s="1">
        <v>2916.1</v>
      </c>
      <c r="Q1709" s="1">
        <v>0.0</v>
      </c>
      <c r="S1709" s="517"/>
      <c r="V1709" s="1">
        <v>2.92</v>
      </c>
      <c r="W1709" s="518">
        <f t="shared" si="1"/>
        <v>0</v>
      </c>
    </row>
    <row r="1710" hidden="1">
      <c r="C1710" s="515"/>
      <c r="G1710" s="1" t="s">
        <v>2478</v>
      </c>
      <c r="I1710" s="516"/>
      <c r="J1710" s="516"/>
      <c r="K1710" s="515"/>
      <c r="P1710" s="1">
        <v>83.3</v>
      </c>
      <c r="Q1710" s="1">
        <v>0.0</v>
      </c>
      <c r="S1710" s="517"/>
      <c r="V1710" s="1">
        <v>0.08</v>
      </c>
      <c r="W1710" s="518">
        <f t="shared" si="1"/>
        <v>0</v>
      </c>
    </row>
    <row r="1711" hidden="1">
      <c r="C1711" s="515"/>
      <c r="G1711" s="1" t="s">
        <v>2484</v>
      </c>
      <c r="I1711" s="516"/>
      <c r="J1711" s="516"/>
      <c r="K1711" s="515"/>
      <c r="P1711" s="1">
        <v>1458.3</v>
      </c>
      <c r="Q1711" s="1">
        <v>0.0</v>
      </c>
      <c r="S1711" s="517"/>
      <c r="V1711" s="1">
        <v>1.46</v>
      </c>
      <c r="W1711" s="518">
        <f t="shared" si="1"/>
        <v>0</v>
      </c>
    </row>
    <row r="1712" hidden="1">
      <c r="C1712" s="515"/>
      <c r="G1712" s="1" t="s">
        <v>2483</v>
      </c>
      <c r="I1712" s="516"/>
      <c r="J1712" s="516"/>
      <c r="K1712" s="515"/>
      <c r="M1712" s="515"/>
      <c r="N1712" s="516"/>
      <c r="P1712" s="1">
        <v>708.3</v>
      </c>
      <c r="Q1712" s="1">
        <v>0.0</v>
      </c>
      <c r="S1712" s="517"/>
      <c r="V1712" s="1">
        <v>0.71</v>
      </c>
      <c r="W1712" s="518">
        <f t="shared" si="1"/>
        <v>0</v>
      </c>
    </row>
    <row r="1713" hidden="1">
      <c r="C1713" s="515"/>
      <c r="G1713" s="1" t="s">
        <v>2621</v>
      </c>
      <c r="I1713" s="516"/>
      <c r="J1713" s="516"/>
      <c r="K1713" s="515"/>
      <c r="M1713" s="515"/>
      <c r="N1713" s="516"/>
      <c r="P1713" s="1">
        <v>0.0</v>
      </c>
      <c r="Q1713" s="1" t="s">
        <v>2404</v>
      </c>
      <c r="S1713" s="517"/>
      <c r="V1713" s="1">
        <v>8.33</v>
      </c>
      <c r="W1713" s="518">
        <f t="shared" si="1"/>
        <v>8330</v>
      </c>
    </row>
    <row r="1714">
      <c r="C1714" s="515"/>
      <c r="G1714" s="1" t="s">
        <v>2621</v>
      </c>
      <c r="I1714" s="516"/>
      <c r="J1714" s="516"/>
      <c r="K1714" s="515">
        <v>45657.0</v>
      </c>
      <c r="P1714" s="1">
        <v>1000.0</v>
      </c>
      <c r="Q1714" s="1">
        <v>7333.0</v>
      </c>
      <c r="S1714" s="517"/>
      <c r="V1714" s="1">
        <v>8.33</v>
      </c>
      <c r="W1714" s="518">
        <f t="shared" si="1"/>
        <v>7333</v>
      </c>
    </row>
    <row r="1715" hidden="1">
      <c r="C1715" s="515"/>
      <c r="G1715" s="1" t="s">
        <v>2545</v>
      </c>
      <c r="I1715" s="516"/>
      <c r="J1715" s="516"/>
      <c r="K1715" s="515"/>
      <c r="P1715" s="1">
        <v>41.7</v>
      </c>
      <c r="Q1715" s="1">
        <v>0.0</v>
      </c>
      <c r="S1715" s="517"/>
      <c r="V1715" s="1">
        <v>0.04</v>
      </c>
      <c r="W1715" s="518">
        <f t="shared" si="1"/>
        <v>0</v>
      </c>
    </row>
    <row r="1716">
      <c r="C1716" s="515"/>
      <c r="G1716" s="1" t="s">
        <v>2622</v>
      </c>
      <c r="I1716" s="516"/>
      <c r="J1716" s="516"/>
      <c r="K1716" s="515">
        <v>45657.0</v>
      </c>
      <c r="P1716" s="1">
        <v>1000.0</v>
      </c>
      <c r="Q1716" s="1">
        <v>0.0</v>
      </c>
      <c r="S1716" s="517"/>
      <c r="V1716" s="1">
        <v>1.0</v>
      </c>
      <c r="W1716" s="518">
        <f t="shared" si="1"/>
        <v>0</v>
      </c>
    </row>
    <row r="1717" hidden="1">
      <c r="C1717" s="515"/>
      <c r="G1717" s="1" t="s">
        <v>2491</v>
      </c>
      <c r="I1717" s="516"/>
      <c r="J1717" s="516"/>
      <c r="K1717" s="515"/>
      <c r="P1717" s="1">
        <v>41.7</v>
      </c>
      <c r="Q1717" s="1">
        <v>0.0</v>
      </c>
      <c r="S1717" s="517"/>
      <c r="V1717" s="1">
        <v>0.04</v>
      </c>
      <c r="W1717" s="518">
        <f t="shared" si="1"/>
        <v>0</v>
      </c>
    </row>
    <row r="1718" hidden="1">
      <c r="C1718" s="515"/>
      <c r="G1718" s="1" t="s">
        <v>2490</v>
      </c>
      <c r="I1718" s="516"/>
      <c r="J1718" s="516"/>
      <c r="K1718" s="515"/>
      <c r="P1718" s="1">
        <v>41.7</v>
      </c>
      <c r="Q1718" s="1">
        <v>0.0</v>
      </c>
      <c r="S1718" s="517"/>
      <c r="V1718" s="1">
        <v>0.04</v>
      </c>
      <c r="W1718" s="518">
        <f t="shared" si="1"/>
        <v>0</v>
      </c>
    </row>
    <row r="1719">
      <c r="C1719" s="515"/>
      <c r="G1719" s="1" t="s">
        <v>2623</v>
      </c>
      <c r="I1719" s="516"/>
      <c r="J1719" s="516"/>
      <c r="K1719" s="515">
        <v>45657.0</v>
      </c>
      <c r="P1719" s="1">
        <v>1000.0</v>
      </c>
      <c r="Q1719" s="1">
        <v>4000.0</v>
      </c>
      <c r="S1719" s="517"/>
      <c r="V1719" s="1">
        <v>5.0</v>
      </c>
      <c r="W1719" s="518">
        <f t="shared" si="1"/>
        <v>4000</v>
      </c>
    </row>
    <row r="1720" hidden="1">
      <c r="C1720" s="515"/>
      <c r="G1720" s="1" t="s">
        <v>2493</v>
      </c>
      <c r="I1720" s="516"/>
      <c r="J1720" s="516"/>
      <c r="K1720" s="515"/>
      <c r="M1720" s="515"/>
      <c r="N1720" s="516"/>
      <c r="P1720" s="1">
        <v>166.7</v>
      </c>
      <c r="Q1720" s="1">
        <v>0.0</v>
      </c>
      <c r="S1720" s="517"/>
      <c r="V1720" s="1">
        <v>0.17</v>
      </c>
      <c r="W1720" s="518">
        <f t="shared" si="1"/>
        <v>0</v>
      </c>
    </row>
    <row r="1721" hidden="1">
      <c r="C1721" s="515"/>
      <c r="G1721" s="1" t="s">
        <v>2498</v>
      </c>
      <c r="I1721" s="516"/>
      <c r="J1721" s="516"/>
      <c r="K1721" s="515"/>
      <c r="P1721" s="1">
        <v>183.3</v>
      </c>
      <c r="Q1721" s="1">
        <v>0.0</v>
      </c>
      <c r="S1721" s="517"/>
      <c r="V1721" s="1">
        <v>0.18</v>
      </c>
      <c r="W1721" s="518">
        <f t="shared" si="1"/>
        <v>0</v>
      </c>
    </row>
    <row r="1722" hidden="1">
      <c r="C1722" s="515"/>
      <c r="G1722" s="1" t="s">
        <v>2565</v>
      </c>
      <c r="I1722" s="516"/>
      <c r="J1722" s="516"/>
      <c r="K1722" s="515"/>
      <c r="P1722" s="1">
        <v>83.3</v>
      </c>
      <c r="Q1722" s="1">
        <v>0.0</v>
      </c>
      <c r="S1722" s="517"/>
      <c r="V1722" s="1">
        <v>0.08</v>
      </c>
      <c r="W1722" s="518">
        <f t="shared" si="1"/>
        <v>0</v>
      </c>
    </row>
    <row r="1723" hidden="1">
      <c r="C1723" s="515"/>
      <c r="G1723" s="1" t="s">
        <v>2495</v>
      </c>
      <c r="I1723" s="516"/>
      <c r="J1723" s="516"/>
      <c r="K1723" s="515"/>
      <c r="P1723" s="1">
        <v>83.3</v>
      </c>
      <c r="Q1723" s="1">
        <v>0.0</v>
      </c>
      <c r="S1723" s="517"/>
      <c r="V1723" s="1">
        <v>0.08</v>
      </c>
      <c r="W1723" s="518">
        <f t="shared" si="1"/>
        <v>0</v>
      </c>
    </row>
    <row r="1724" hidden="1">
      <c r="C1724" s="515"/>
      <c r="G1724" s="86" t="s">
        <v>2584</v>
      </c>
      <c r="I1724" s="516"/>
      <c r="J1724" s="516"/>
      <c r="K1724" s="515"/>
      <c r="P1724" s="1">
        <v>1666.7</v>
      </c>
      <c r="Q1724" s="1">
        <v>0.0</v>
      </c>
      <c r="S1724" s="517"/>
      <c r="V1724" s="1">
        <v>1.67</v>
      </c>
      <c r="W1724" s="518">
        <f t="shared" si="1"/>
        <v>0</v>
      </c>
    </row>
    <row r="1725" hidden="1">
      <c r="C1725" s="515"/>
      <c r="G1725" s="1" t="s">
        <v>2614</v>
      </c>
      <c r="I1725" s="516"/>
      <c r="J1725" s="516"/>
      <c r="K1725" s="515"/>
      <c r="P1725" s="1">
        <v>500.0</v>
      </c>
      <c r="Q1725" s="1">
        <v>0.0</v>
      </c>
      <c r="S1725" s="517"/>
      <c r="V1725" s="1">
        <v>0.5</v>
      </c>
      <c r="W1725" s="518">
        <f t="shared" si="1"/>
        <v>0</v>
      </c>
    </row>
    <row r="1726" hidden="1">
      <c r="C1726" s="515"/>
      <c r="G1726" s="1" t="s">
        <v>2505</v>
      </c>
      <c r="I1726" s="516"/>
      <c r="J1726" s="516"/>
      <c r="K1726" s="515"/>
      <c r="P1726" s="1">
        <v>125.0</v>
      </c>
      <c r="Q1726" s="1">
        <v>0.0</v>
      </c>
      <c r="S1726" s="517"/>
      <c r="V1726" s="1">
        <v>0.13</v>
      </c>
      <c r="W1726" s="518">
        <f t="shared" si="1"/>
        <v>0</v>
      </c>
    </row>
    <row r="1727">
      <c r="C1727" s="515"/>
      <c r="G1727" s="1" t="s">
        <v>2624</v>
      </c>
      <c r="I1727" s="516"/>
      <c r="J1727" s="516"/>
      <c r="K1727" s="515">
        <v>45657.0</v>
      </c>
      <c r="P1727" s="1">
        <v>1000.0</v>
      </c>
      <c r="Q1727" s="1">
        <v>185000.0</v>
      </c>
      <c r="S1727" s="517"/>
      <c r="V1727" s="1">
        <v>186.0</v>
      </c>
      <c r="W1727" s="518">
        <f t="shared" si="1"/>
        <v>185000</v>
      </c>
    </row>
    <row r="1728">
      <c r="C1728" s="515"/>
      <c r="G1728" s="1" t="s">
        <v>2427</v>
      </c>
      <c r="I1728" s="516"/>
      <c r="J1728" s="516"/>
      <c r="K1728" s="515">
        <v>45657.0</v>
      </c>
      <c r="P1728" s="1">
        <v>0.0</v>
      </c>
      <c r="Q1728" s="1" t="s">
        <v>2404</v>
      </c>
      <c r="S1728" s="517"/>
      <c r="V1728" s="1">
        <v>75.0</v>
      </c>
      <c r="W1728" s="518">
        <f t="shared" si="1"/>
        <v>75000</v>
      </c>
    </row>
    <row r="1729" hidden="1">
      <c r="C1729" s="515"/>
      <c r="G1729" s="1" t="s">
        <v>2405</v>
      </c>
      <c r="I1729" s="516"/>
      <c r="J1729" s="516"/>
      <c r="K1729" s="515"/>
      <c r="P1729" s="1">
        <v>166.7</v>
      </c>
      <c r="Q1729" s="1">
        <v>0.0</v>
      </c>
      <c r="S1729" s="517"/>
      <c r="V1729" s="1">
        <v>0.17</v>
      </c>
      <c r="W1729" s="518">
        <f t="shared" si="1"/>
        <v>0</v>
      </c>
    </row>
    <row r="1730" hidden="1">
      <c r="C1730" s="515"/>
      <c r="G1730" s="1" t="s">
        <v>2413</v>
      </c>
      <c r="I1730" s="516"/>
      <c r="J1730" s="516"/>
      <c r="K1730" s="515"/>
      <c r="P1730" s="1">
        <v>166.3</v>
      </c>
      <c r="Q1730" s="1">
        <v>0.0</v>
      </c>
      <c r="S1730" s="517"/>
      <c r="V1730" s="1">
        <v>0.17</v>
      </c>
      <c r="W1730" s="518">
        <f t="shared" si="1"/>
        <v>0</v>
      </c>
    </row>
    <row r="1731" hidden="1">
      <c r="C1731" s="515"/>
      <c r="G1731" s="1" t="s">
        <v>2412</v>
      </c>
      <c r="I1731" s="516"/>
      <c r="J1731" s="516"/>
      <c r="K1731" s="515"/>
      <c r="P1731" s="1">
        <v>4000.0</v>
      </c>
      <c r="Q1731" s="1">
        <v>0.0</v>
      </c>
      <c r="S1731" s="517"/>
      <c r="V1731" s="1">
        <v>4.0</v>
      </c>
      <c r="W1731" s="518">
        <f t="shared" si="1"/>
        <v>0</v>
      </c>
    </row>
    <row r="1732" hidden="1">
      <c r="C1732" s="515"/>
      <c r="G1732" s="1" t="s">
        <v>2413</v>
      </c>
      <c r="I1732" s="516"/>
      <c r="J1732" s="516"/>
      <c r="K1732" s="515"/>
      <c r="P1732" s="1">
        <v>0.4</v>
      </c>
      <c r="Q1732" s="1">
        <v>0.0</v>
      </c>
      <c r="S1732" s="517"/>
      <c r="V1732" s="1">
        <v>0.0</v>
      </c>
      <c r="W1732" s="518">
        <f t="shared" si="1"/>
        <v>0</v>
      </c>
    </row>
    <row r="1733" hidden="1">
      <c r="C1733" s="515"/>
      <c r="G1733" s="1" t="s">
        <v>2408</v>
      </c>
      <c r="I1733" s="516"/>
      <c r="J1733" s="516"/>
      <c r="K1733" s="515"/>
      <c r="P1733" s="1">
        <v>41.7</v>
      </c>
      <c r="Q1733" s="1">
        <v>0.0</v>
      </c>
      <c r="S1733" s="517"/>
      <c r="V1733" s="1">
        <v>0.04</v>
      </c>
      <c r="W1733" s="518">
        <f t="shared" si="1"/>
        <v>0</v>
      </c>
    </row>
    <row r="1734" hidden="1">
      <c r="C1734" s="515"/>
      <c r="G1734" s="1" t="s">
        <v>2555</v>
      </c>
      <c r="I1734" s="516"/>
      <c r="J1734" s="516"/>
      <c r="K1734" s="515"/>
      <c r="P1734" s="1">
        <v>83.3</v>
      </c>
      <c r="Q1734" s="1">
        <v>0.0</v>
      </c>
      <c r="S1734" s="517"/>
      <c r="V1734" s="1">
        <v>0.08</v>
      </c>
      <c r="W1734" s="518">
        <f t="shared" si="1"/>
        <v>0</v>
      </c>
    </row>
    <row r="1735">
      <c r="C1735" s="515"/>
      <c r="G1735" s="1" t="s">
        <v>2608</v>
      </c>
      <c r="I1735" s="516"/>
      <c r="J1735" s="516"/>
      <c r="K1735" s="515">
        <v>45657.0</v>
      </c>
      <c r="P1735" s="1">
        <v>1000.0</v>
      </c>
      <c r="Q1735" s="1">
        <v>19000.0</v>
      </c>
      <c r="S1735" s="517"/>
      <c r="V1735" s="1">
        <v>20.0</v>
      </c>
      <c r="W1735" s="518">
        <f t="shared" si="1"/>
        <v>19000</v>
      </c>
    </row>
    <row r="1736">
      <c r="C1736" s="515"/>
      <c r="G1736" s="1" t="s">
        <v>2625</v>
      </c>
      <c r="I1736" s="516"/>
      <c r="J1736" s="516"/>
      <c r="K1736" s="515">
        <v>45657.0</v>
      </c>
      <c r="P1736" s="1">
        <v>1000.0</v>
      </c>
      <c r="Q1736" s="1">
        <v>40000.0</v>
      </c>
      <c r="S1736" s="517"/>
      <c r="V1736" s="1">
        <v>41.0</v>
      </c>
      <c r="W1736" s="518">
        <f t="shared" si="1"/>
        <v>40000</v>
      </c>
    </row>
    <row r="1737" hidden="1">
      <c r="C1737" s="515"/>
      <c r="G1737" s="1" t="s">
        <v>2498</v>
      </c>
      <c r="I1737" s="516"/>
      <c r="J1737" s="516"/>
      <c r="K1737" s="515"/>
      <c r="P1737" s="1">
        <v>3.9</v>
      </c>
      <c r="Q1737" s="1">
        <v>0.0</v>
      </c>
      <c r="S1737" s="517"/>
      <c r="V1737" s="1">
        <v>0.0</v>
      </c>
      <c r="W1737" s="518">
        <f t="shared" si="1"/>
        <v>0</v>
      </c>
    </row>
    <row r="1738" hidden="1">
      <c r="C1738" s="515"/>
      <c r="G1738" s="1" t="s">
        <v>2551</v>
      </c>
      <c r="I1738" s="516"/>
      <c r="J1738" s="516"/>
      <c r="K1738" s="515"/>
      <c r="P1738" s="1">
        <v>333.3</v>
      </c>
      <c r="Q1738" s="1">
        <v>0.0</v>
      </c>
      <c r="S1738" s="517"/>
      <c r="V1738" s="1">
        <v>0.33</v>
      </c>
      <c r="W1738" s="518">
        <f t="shared" si="1"/>
        <v>0</v>
      </c>
    </row>
    <row r="1739" hidden="1">
      <c r="C1739" s="515"/>
      <c r="G1739" s="1" t="s">
        <v>2420</v>
      </c>
      <c r="I1739" s="516"/>
      <c r="J1739" s="516"/>
      <c r="K1739" s="515"/>
      <c r="P1739" s="1">
        <v>83.3</v>
      </c>
      <c r="Q1739" s="1">
        <v>0.0</v>
      </c>
      <c r="S1739" s="517"/>
      <c r="V1739" s="1">
        <v>0.08</v>
      </c>
      <c r="W1739" s="518">
        <f t="shared" si="1"/>
        <v>0</v>
      </c>
    </row>
    <row r="1740" hidden="1">
      <c r="C1740" s="515"/>
      <c r="G1740" s="1" t="s">
        <v>2603</v>
      </c>
      <c r="I1740" s="516"/>
      <c r="J1740" s="516"/>
      <c r="K1740" s="515"/>
      <c r="P1740" s="1">
        <v>83.3</v>
      </c>
      <c r="Q1740" s="1">
        <v>0.0</v>
      </c>
      <c r="S1740" s="517"/>
      <c r="V1740" s="1">
        <v>0.08</v>
      </c>
      <c r="W1740" s="518">
        <f t="shared" si="1"/>
        <v>0</v>
      </c>
    </row>
    <row r="1741" hidden="1">
      <c r="C1741" s="515"/>
      <c r="G1741" s="1" t="s">
        <v>2417</v>
      </c>
      <c r="I1741" s="516"/>
      <c r="J1741" s="516"/>
      <c r="K1741" s="515"/>
      <c r="P1741" s="1">
        <v>166.7</v>
      </c>
      <c r="Q1741" s="1">
        <v>0.0</v>
      </c>
      <c r="S1741" s="517"/>
      <c r="V1741" s="1">
        <v>0.17</v>
      </c>
      <c r="W1741" s="518">
        <f t="shared" si="1"/>
        <v>0</v>
      </c>
    </row>
    <row r="1742" hidden="1">
      <c r="C1742" s="515"/>
      <c r="G1742" s="1" t="s">
        <v>2589</v>
      </c>
      <c r="I1742" s="516"/>
      <c r="J1742" s="516"/>
      <c r="K1742" s="515"/>
      <c r="P1742" s="1">
        <v>166.7</v>
      </c>
      <c r="Q1742" s="1">
        <v>0.0</v>
      </c>
      <c r="S1742" s="517"/>
      <c r="V1742" s="1">
        <v>0.17</v>
      </c>
      <c r="W1742" s="518">
        <f t="shared" si="1"/>
        <v>0</v>
      </c>
    </row>
    <row r="1743">
      <c r="C1743" s="515"/>
      <c r="G1743" s="86" t="s">
        <v>2626</v>
      </c>
      <c r="I1743" s="516"/>
      <c r="J1743" s="516"/>
      <c r="K1743" s="515">
        <v>45657.0</v>
      </c>
      <c r="P1743" s="1">
        <v>1000.0</v>
      </c>
      <c r="Q1743" s="1">
        <v>5000.0</v>
      </c>
      <c r="S1743" s="517"/>
      <c r="V1743" s="1">
        <v>6.0</v>
      </c>
      <c r="W1743" s="518">
        <f t="shared" si="1"/>
        <v>5000</v>
      </c>
    </row>
    <row r="1744" hidden="1">
      <c r="C1744" s="515"/>
      <c r="G1744" s="1" t="s">
        <v>2431</v>
      </c>
      <c r="I1744" s="516"/>
      <c r="J1744" s="516"/>
      <c r="K1744" s="515"/>
      <c r="P1744" s="1">
        <v>83.3</v>
      </c>
      <c r="Q1744" s="1">
        <v>0.0</v>
      </c>
      <c r="S1744" s="517"/>
      <c r="V1744" s="1">
        <v>0.08</v>
      </c>
      <c r="W1744" s="518">
        <f t="shared" si="1"/>
        <v>0</v>
      </c>
    </row>
    <row r="1745" hidden="1">
      <c r="C1745" s="515"/>
      <c r="G1745" s="1" t="s">
        <v>2556</v>
      </c>
      <c r="I1745" s="516"/>
      <c r="J1745" s="516"/>
      <c r="K1745" s="515"/>
      <c r="P1745" s="1">
        <v>83.3</v>
      </c>
      <c r="Q1745" s="1">
        <v>0.0</v>
      </c>
      <c r="S1745" s="517"/>
      <c r="V1745" s="1">
        <v>0.08</v>
      </c>
      <c r="W1745" s="518">
        <f t="shared" si="1"/>
        <v>0</v>
      </c>
    </row>
    <row r="1746" hidden="1">
      <c r="C1746" s="515"/>
      <c r="G1746" s="1" t="s">
        <v>2429</v>
      </c>
      <c r="I1746" s="516"/>
      <c r="J1746" s="516"/>
      <c r="K1746" s="515"/>
      <c r="P1746" s="1">
        <v>333.3</v>
      </c>
      <c r="Q1746" s="1">
        <v>0.0</v>
      </c>
      <c r="S1746" s="517"/>
      <c r="V1746" s="1">
        <v>0.33</v>
      </c>
      <c r="W1746" s="518">
        <f t="shared" si="1"/>
        <v>0</v>
      </c>
    </row>
    <row r="1747" hidden="1">
      <c r="C1747" s="515"/>
      <c r="G1747" s="1" t="s">
        <v>2428</v>
      </c>
      <c r="I1747" s="516"/>
      <c r="J1747" s="516"/>
      <c r="K1747" s="515"/>
      <c r="P1747" s="1">
        <v>1000.0</v>
      </c>
      <c r="Q1747" s="1">
        <v>0.0</v>
      </c>
      <c r="S1747" s="517"/>
      <c r="V1747" s="1">
        <v>1.0</v>
      </c>
      <c r="W1747" s="518">
        <f t="shared" si="1"/>
        <v>0</v>
      </c>
    </row>
    <row r="1748" hidden="1">
      <c r="C1748" s="515"/>
      <c r="G1748" s="1" t="s">
        <v>2441</v>
      </c>
      <c r="I1748" s="516"/>
      <c r="J1748" s="516"/>
      <c r="K1748" s="515"/>
      <c r="P1748" s="1">
        <v>83.3</v>
      </c>
      <c r="Q1748" s="1">
        <v>0.0</v>
      </c>
      <c r="S1748" s="517"/>
      <c r="V1748" s="1">
        <v>0.08</v>
      </c>
      <c r="W1748" s="518">
        <f t="shared" si="1"/>
        <v>0</v>
      </c>
    </row>
    <row r="1749" hidden="1">
      <c r="C1749" s="515"/>
      <c r="G1749" s="1" t="s">
        <v>2444</v>
      </c>
      <c r="I1749" s="516"/>
      <c r="J1749" s="516"/>
      <c r="K1749" s="515"/>
      <c r="P1749" s="1">
        <v>125.0</v>
      </c>
      <c r="Q1749" s="1">
        <v>0.0</v>
      </c>
      <c r="S1749" s="517"/>
      <c r="V1749" s="1">
        <v>0.13</v>
      </c>
      <c r="W1749" s="518">
        <f t="shared" si="1"/>
        <v>0</v>
      </c>
    </row>
    <row r="1750" hidden="1">
      <c r="C1750" s="515"/>
      <c r="G1750" s="1" t="s">
        <v>2443</v>
      </c>
      <c r="I1750" s="516"/>
      <c r="J1750" s="516"/>
      <c r="K1750" s="515"/>
      <c r="P1750" s="1">
        <v>833.3</v>
      </c>
      <c r="Q1750" s="1">
        <v>0.0</v>
      </c>
      <c r="S1750" s="517"/>
      <c r="V1750" s="1">
        <v>0.83</v>
      </c>
      <c r="W1750" s="518">
        <f t="shared" si="1"/>
        <v>0</v>
      </c>
    </row>
    <row r="1751" hidden="1">
      <c r="C1751" s="515"/>
      <c r="G1751" s="1" t="s">
        <v>2447</v>
      </c>
      <c r="I1751" s="516"/>
      <c r="J1751" s="516"/>
      <c r="K1751" s="515"/>
      <c r="P1751" s="1">
        <v>4.0</v>
      </c>
      <c r="Q1751" s="1">
        <v>0.0</v>
      </c>
      <c r="S1751" s="517"/>
      <c r="V1751" s="1">
        <v>0.0</v>
      </c>
      <c r="W1751" s="518">
        <f t="shared" si="1"/>
        <v>0</v>
      </c>
    </row>
    <row r="1752" hidden="1">
      <c r="C1752" s="515"/>
      <c r="G1752" s="1" t="s">
        <v>2445</v>
      </c>
      <c r="I1752" s="516"/>
      <c r="J1752" s="516"/>
      <c r="K1752" s="515"/>
      <c r="P1752" s="1">
        <v>166.7</v>
      </c>
      <c r="Q1752" s="1">
        <v>0.0</v>
      </c>
      <c r="S1752" s="517"/>
      <c r="V1752" s="1">
        <v>0.17</v>
      </c>
      <c r="W1752" s="518">
        <f t="shared" si="1"/>
        <v>0</v>
      </c>
    </row>
    <row r="1753" hidden="1">
      <c r="C1753" s="515"/>
      <c r="G1753" s="1" t="s">
        <v>2451</v>
      </c>
      <c r="I1753" s="516"/>
      <c r="J1753" s="516"/>
      <c r="K1753" s="515"/>
      <c r="P1753" s="1">
        <v>41.7</v>
      </c>
      <c r="Q1753" s="1">
        <v>0.0</v>
      </c>
      <c r="S1753" s="517"/>
      <c r="V1753" s="1">
        <v>0.04</v>
      </c>
      <c r="W1753" s="518">
        <f t="shared" si="1"/>
        <v>0</v>
      </c>
    </row>
    <row r="1754" hidden="1">
      <c r="C1754" s="515"/>
      <c r="G1754" s="1" t="s">
        <v>2592</v>
      </c>
      <c r="I1754" s="516"/>
      <c r="J1754" s="516"/>
      <c r="K1754" s="515"/>
      <c r="P1754" s="1">
        <v>41.7</v>
      </c>
      <c r="Q1754" s="1">
        <v>0.0</v>
      </c>
      <c r="S1754" s="517"/>
      <c r="V1754" s="1">
        <v>0.04</v>
      </c>
      <c r="W1754" s="518">
        <f t="shared" si="1"/>
        <v>0</v>
      </c>
    </row>
    <row r="1755" hidden="1">
      <c r="C1755" s="515"/>
      <c r="G1755" s="1" t="s">
        <v>2627</v>
      </c>
      <c r="I1755" s="516"/>
      <c r="J1755" s="516"/>
      <c r="K1755" s="515"/>
      <c r="P1755" s="1">
        <v>500.0</v>
      </c>
      <c r="Q1755" s="1">
        <v>0.0</v>
      </c>
      <c r="S1755" s="517"/>
      <c r="V1755" s="1">
        <v>0.5</v>
      </c>
      <c r="W1755" s="518">
        <f t="shared" si="1"/>
        <v>0</v>
      </c>
    </row>
    <row r="1756" hidden="1">
      <c r="C1756" s="515"/>
      <c r="G1756" s="1" t="s">
        <v>2456</v>
      </c>
      <c r="I1756" s="516"/>
      <c r="J1756" s="516"/>
      <c r="K1756" s="515"/>
      <c r="P1756" s="1">
        <v>666.7</v>
      </c>
      <c r="Q1756" s="1">
        <v>0.0</v>
      </c>
      <c r="S1756" s="517"/>
      <c r="V1756" s="1">
        <v>0.67</v>
      </c>
      <c r="W1756" s="518">
        <f t="shared" si="1"/>
        <v>0</v>
      </c>
    </row>
    <row r="1757" hidden="1">
      <c r="C1757" s="515"/>
      <c r="G1757" s="1" t="s">
        <v>2560</v>
      </c>
      <c r="I1757" s="516"/>
      <c r="J1757" s="516"/>
      <c r="K1757" s="515"/>
      <c r="P1757" s="1">
        <v>83.3</v>
      </c>
      <c r="Q1757" s="1">
        <v>0.0</v>
      </c>
      <c r="S1757" s="517"/>
      <c r="V1757" s="1">
        <v>0.08</v>
      </c>
      <c r="W1757" s="518">
        <f t="shared" si="1"/>
        <v>0</v>
      </c>
    </row>
    <row r="1758" hidden="1">
      <c r="C1758" s="515"/>
      <c r="G1758" s="1" t="s">
        <v>2462</v>
      </c>
      <c r="I1758" s="516"/>
      <c r="J1758" s="516"/>
      <c r="K1758" s="515"/>
      <c r="P1758" s="1">
        <v>41.7</v>
      </c>
      <c r="Q1758" s="1">
        <v>0.0</v>
      </c>
      <c r="S1758" s="517"/>
      <c r="V1758" s="1">
        <v>0.04</v>
      </c>
      <c r="W1758" s="518">
        <f t="shared" si="1"/>
        <v>0</v>
      </c>
    </row>
    <row r="1759" hidden="1">
      <c r="C1759" s="515"/>
      <c r="G1759" s="1" t="s">
        <v>2620</v>
      </c>
      <c r="I1759" s="516"/>
      <c r="J1759" s="516"/>
      <c r="K1759" s="515"/>
      <c r="P1759" s="1">
        <v>41.7</v>
      </c>
      <c r="Q1759" s="1">
        <v>0.0</v>
      </c>
      <c r="S1759" s="517"/>
      <c r="V1759" s="1">
        <v>0.04</v>
      </c>
      <c r="W1759" s="518">
        <f t="shared" si="1"/>
        <v>0</v>
      </c>
    </row>
    <row r="1760" hidden="1">
      <c r="C1760" s="515"/>
      <c r="G1760" s="1" t="s">
        <v>2553</v>
      </c>
      <c r="I1760" s="516"/>
      <c r="J1760" s="516"/>
      <c r="K1760" s="515"/>
      <c r="P1760" s="1">
        <v>41.7</v>
      </c>
      <c r="Q1760" s="1">
        <v>0.0</v>
      </c>
      <c r="S1760" s="517"/>
      <c r="V1760" s="1">
        <v>0.04</v>
      </c>
      <c r="W1760" s="518">
        <f t="shared" si="1"/>
        <v>0</v>
      </c>
    </row>
    <row r="1761" hidden="1">
      <c r="C1761" s="515"/>
      <c r="G1761" s="1" t="s">
        <v>2461</v>
      </c>
      <c r="I1761" s="516"/>
      <c r="J1761" s="516"/>
      <c r="K1761" s="515"/>
      <c r="P1761" s="1">
        <v>83.3</v>
      </c>
      <c r="Q1761" s="1">
        <v>0.0</v>
      </c>
      <c r="S1761" s="517"/>
      <c r="V1761" s="1">
        <v>0.08</v>
      </c>
      <c r="W1761" s="518">
        <f t="shared" si="1"/>
        <v>0</v>
      </c>
    </row>
    <row r="1762" hidden="1">
      <c r="C1762" s="515"/>
      <c r="G1762" s="1" t="s">
        <v>2469</v>
      </c>
      <c r="I1762" s="516"/>
      <c r="J1762" s="516"/>
      <c r="K1762" s="515"/>
      <c r="P1762" s="1">
        <v>41.7</v>
      </c>
      <c r="Q1762" s="1">
        <v>0.0</v>
      </c>
      <c r="S1762" s="517"/>
      <c r="V1762" s="1">
        <v>0.04</v>
      </c>
      <c r="W1762" s="518">
        <f t="shared" si="1"/>
        <v>0</v>
      </c>
    </row>
    <row r="1763" hidden="1">
      <c r="C1763" s="515"/>
      <c r="G1763" s="1" t="s">
        <v>2521</v>
      </c>
      <c r="I1763" s="516"/>
      <c r="J1763" s="516"/>
      <c r="K1763" s="515"/>
      <c r="P1763" s="1">
        <v>83.3</v>
      </c>
      <c r="Q1763" s="1">
        <v>0.0</v>
      </c>
      <c r="S1763" s="517"/>
      <c r="V1763" s="1">
        <v>0.08</v>
      </c>
      <c r="W1763" s="518">
        <f t="shared" si="1"/>
        <v>0</v>
      </c>
    </row>
    <row r="1764" hidden="1">
      <c r="C1764" s="515"/>
      <c r="G1764" s="1" t="s">
        <v>2468</v>
      </c>
      <c r="I1764" s="516"/>
      <c r="J1764" s="516"/>
      <c r="K1764" s="515"/>
      <c r="P1764" s="1">
        <v>41.7</v>
      </c>
      <c r="Q1764" s="1">
        <v>0.0</v>
      </c>
      <c r="S1764" s="517"/>
      <c r="V1764" s="1">
        <v>0.04</v>
      </c>
      <c r="W1764" s="518">
        <f t="shared" si="1"/>
        <v>0</v>
      </c>
    </row>
    <row r="1765" hidden="1">
      <c r="C1765" s="515"/>
      <c r="G1765" s="1" t="s">
        <v>2605</v>
      </c>
      <c r="I1765" s="516"/>
      <c r="J1765" s="516"/>
      <c r="K1765" s="515"/>
      <c r="P1765" s="1">
        <v>125.0</v>
      </c>
      <c r="Q1765" s="1">
        <v>0.0</v>
      </c>
      <c r="S1765" s="517"/>
      <c r="V1765" s="1">
        <v>0.13</v>
      </c>
      <c r="W1765" s="518">
        <f t="shared" si="1"/>
        <v>0</v>
      </c>
    </row>
    <row r="1766" hidden="1">
      <c r="C1766" s="515"/>
      <c r="G1766" s="1" t="s">
        <v>2613</v>
      </c>
      <c r="I1766" s="516"/>
      <c r="J1766" s="516"/>
      <c r="K1766" s="515"/>
      <c r="P1766" s="1">
        <v>41.7</v>
      </c>
      <c r="Q1766" s="1">
        <v>0.0</v>
      </c>
      <c r="S1766" s="517"/>
      <c r="V1766" s="1">
        <v>0.04</v>
      </c>
      <c r="W1766" s="518">
        <f t="shared" si="1"/>
        <v>0</v>
      </c>
    </row>
    <row r="1767" hidden="1">
      <c r="C1767" s="515"/>
      <c r="G1767" s="1" t="s">
        <v>2466</v>
      </c>
      <c r="I1767" s="516"/>
      <c r="J1767" s="516"/>
      <c r="K1767" s="515"/>
      <c r="P1767" s="1">
        <v>208.3</v>
      </c>
      <c r="Q1767" s="1">
        <v>0.0</v>
      </c>
      <c r="S1767" s="517"/>
      <c r="V1767" s="1">
        <v>0.21</v>
      </c>
      <c r="W1767" s="518">
        <f t="shared" si="1"/>
        <v>0</v>
      </c>
    </row>
    <row r="1768" hidden="1">
      <c r="C1768" s="515"/>
      <c r="G1768" s="1" t="s">
        <v>2465</v>
      </c>
      <c r="I1768" s="516"/>
      <c r="J1768" s="516"/>
      <c r="K1768" s="515"/>
      <c r="P1768" s="1">
        <v>166.7</v>
      </c>
      <c r="Q1768" s="1">
        <v>0.0</v>
      </c>
      <c r="S1768" s="517"/>
      <c r="V1768" s="1">
        <v>0.17</v>
      </c>
      <c r="W1768" s="518">
        <f t="shared" si="1"/>
        <v>0</v>
      </c>
    </row>
    <row r="1769" hidden="1">
      <c r="C1769" s="515"/>
      <c r="G1769" s="1" t="s">
        <v>2473</v>
      </c>
      <c r="I1769" s="516"/>
      <c r="J1769" s="516"/>
      <c r="K1769" s="515"/>
      <c r="P1769" s="1">
        <v>83.3</v>
      </c>
      <c r="Q1769" s="1">
        <v>0.0</v>
      </c>
      <c r="S1769" s="517"/>
      <c r="V1769" s="1">
        <v>0.08</v>
      </c>
      <c r="W1769" s="518">
        <f t="shared" si="1"/>
        <v>0</v>
      </c>
    </row>
    <row r="1770" hidden="1">
      <c r="C1770" s="515"/>
      <c r="G1770" s="1" t="s">
        <v>2474</v>
      </c>
      <c r="I1770" s="516"/>
      <c r="J1770" s="516"/>
      <c r="K1770" s="515"/>
      <c r="P1770" s="1">
        <v>166.7</v>
      </c>
      <c r="Q1770" s="1">
        <v>0.0</v>
      </c>
      <c r="S1770" s="517"/>
      <c r="V1770" s="1">
        <v>0.17</v>
      </c>
      <c r="W1770" s="518">
        <f t="shared" si="1"/>
        <v>0</v>
      </c>
    </row>
    <row r="1771" hidden="1">
      <c r="C1771" s="515"/>
      <c r="G1771" s="1" t="s">
        <v>2609</v>
      </c>
      <c r="I1771" s="516"/>
      <c r="J1771" s="516"/>
      <c r="K1771" s="515"/>
      <c r="P1771" s="1">
        <v>83.3</v>
      </c>
      <c r="Q1771" s="1">
        <v>0.0</v>
      </c>
      <c r="S1771" s="517"/>
      <c r="V1771" s="1">
        <v>0.08</v>
      </c>
      <c r="W1771" s="518">
        <f t="shared" si="1"/>
        <v>0</v>
      </c>
    </row>
    <row r="1772" hidden="1">
      <c r="C1772" s="515"/>
      <c r="G1772" s="1" t="s">
        <v>2479</v>
      </c>
      <c r="I1772" s="516"/>
      <c r="J1772" s="516"/>
      <c r="K1772" s="515"/>
      <c r="P1772" s="1">
        <v>416.7</v>
      </c>
      <c r="Q1772" s="1">
        <v>0.0</v>
      </c>
      <c r="S1772" s="517"/>
      <c r="V1772" s="1">
        <v>0.42</v>
      </c>
      <c r="W1772" s="518">
        <f t="shared" si="1"/>
        <v>0</v>
      </c>
    </row>
    <row r="1773" hidden="1">
      <c r="C1773" s="515"/>
      <c r="G1773" s="1" t="s">
        <v>2628</v>
      </c>
      <c r="I1773" s="516"/>
      <c r="J1773" s="516"/>
      <c r="K1773" s="515"/>
      <c r="P1773" s="1">
        <v>166.7</v>
      </c>
      <c r="Q1773" s="1">
        <v>0.0</v>
      </c>
      <c r="S1773" s="517"/>
      <c r="V1773" s="1">
        <v>0.17</v>
      </c>
      <c r="W1773" s="518">
        <f t="shared" si="1"/>
        <v>0</v>
      </c>
    </row>
    <row r="1774" hidden="1">
      <c r="C1774" s="515"/>
      <c r="G1774" s="1" t="s">
        <v>2483</v>
      </c>
      <c r="I1774" s="516"/>
      <c r="J1774" s="516"/>
      <c r="K1774" s="515"/>
      <c r="P1774" s="1">
        <v>708.3</v>
      </c>
      <c r="Q1774" s="1">
        <v>0.0</v>
      </c>
      <c r="S1774" s="517"/>
      <c r="V1774" s="1">
        <v>0.71</v>
      </c>
      <c r="W1774" s="518">
        <f t="shared" si="1"/>
        <v>0</v>
      </c>
    </row>
    <row r="1775" hidden="1">
      <c r="C1775" s="515"/>
      <c r="G1775" s="1" t="s">
        <v>2629</v>
      </c>
      <c r="I1775" s="516"/>
      <c r="J1775" s="516"/>
      <c r="K1775" s="515"/>
      <c r="P1775" s="1">
        <v>0.0</v>
      </c>
      <c r="Q1775" s="1" t="s">
        <v>2404</v>
      </c>
      <c r="S1775" s="517"/>
      <c r="V1775" s="1">
        <v>25.0</v>
      </c>
      <c r="W1775" s="518">
        <f t="shared" si="1"/>
        <v>25000</v>
      </c>
    </row>
    <row r="1776" hidden="1">
      <c r="C1776" s="515"/>
      <c r="G1776" s="86" t="s">
        <v>2630</v>
      </c>
      <c r="I1776" s="516"/>
      <c r="J1776" s="516"/>
      <c r="K1776" s="515">
        <v>45291.0</v>
      </c>
      <c r="P1776" s="1">
        <v>3944.5</v>
      </c>
      <c r="Q1776" s="1">
        <v>46056.0</v>
      </c>
      <c r="S1776" s="517"/>
      <c r="V1776" s="1">
        <v>50.0</v>
      </c>
      <c r="W1776" s="518">
        <f t="shared" si="1"/>
        <v>46056</v>
      </c>
    </row>
    <row r="1777" hidden="1">
      <c r="C1777" s="515"/>
      <c r="G1777" s="1" t="s">
        <v>2491</v>
      </c>
      <c r="I1777" s="516"/>
      <c r="J1777" s="516"/>
      <c r="K1777" s="515"/>
      <c r="P1777" s="1">
        <v>41.7</v>
      </c>
      <c r="Q1777" s="1">
        <v>0.0</v>
      </c>
      <c r="S1777" s="517"/>
      <c r="V1777" s="1">
        <v>0.04</v>
      </c>
      <c r="W1777" s="518">
        <f t="shared" si="1"/>
        <v>0</v>
      </c>
    </row>
    <row r="1778" hidden="1">
      <c r="C1778" s="515"/>
      <c r="G1778" s="1" t="s">
        <v>2498</v>
      </c>
      <c r="I1778" s="516"/>
      <c r="J1778" s="516"/>
      <c r="K1778" s="515"/>
      <c r="P1778" s="1">
        <v>166.7</v>
      </c>
      <c r="Q1778" s="1">
        <v>0.0</v>
      </c>
      <c r="S1778" s="517"/>
      <c r="V1778" s="1">
        <v>0.17</v>
      </c>
      <c r="W1778" s="518">
        <f t="shared" si="1"/>
        <v>0</v>
      </c>
    </row>
    <row r="1779" hidden="1">
      <c r="C1779" s="515"/>
      <c r="G1779" s="1" t="s">
        <v>2565</v>
      </c>
      <c r="I1779" s="516"/>
      <c r="J1779" s="516"/>
      <c r="K1779" s="515"/>
      <c r="P1779" s="1">
        <v>83.3</v>
      </c>
      <c r="Q1779" s="1">
        <v>0.0</v>
      </c>
      <c r="S1779" s="517"/>
      <c r="V1779" s="1">
        <v>0.08</v>
      </c>
      <c r="W1779" s="518">
        <f t="shared" si="1"/>
        <v>0</v>
      </c>
    </row>
    <row r="1780" hidden="1">
      <c r="C1780" s="515"/>
      <c r="G1780" s="1" t="s">
        <v>2495</v>
      </c>
      <c r="I1780" s="516"/>
      <c r="J1780" s="516"/>
      <c r="K1780" s="515"/>
      <c r="P1780" s="1">
        <v>83.3</v>
      </c>
      <c r="Q1780" s="1">
        <v>0.0</v>
      </c>
      <c r="S1780" s="517"/>
      <c r="V1780" s="1">
        <v>0.08</v>
      </c>
      <c r="W1780" s="518">
        <f t="shared" si="1"/>
        <v>0</v>
      </c>
    </row>
    <row r="1781" hidden="1">
      <c r="C1781" s="515"/>
      <c r="G1781" s="86" t="s">
        <v>2584</v>
      </c>
      <c r="I1781" s="516"/>
      <c r="J1781" s="516"/>
      <c r="K1781" s="515"/>
      <c r="P1781" s="1">
        <v>1666.7</v>
      </c>
      <c r="Q1781" s="1">
        <v>0.0</v>
      </c>
      <c r="S1781" s="517"/>
      <c r="V1781" s="1">
        <v>1.67</v>
      </c>
      <c r="W1781" s="518">
        <f t="shared" si="1"/>
        <v>0</v>
      </c>
    </row>
    <row r="1782" hidden="1">
      <c r="C1782" s="515"/>
      <c r="G1782" s="1" t="s">
        <v>2614</v>
      </c>
      <c r="I1782" s="516"/>
      <c r="J1782" s="516"/>
      <c r="K1782" s="515"/>
      <c r="P1782" s="1">
        <v>500.0</v>
      </c>
      <c r="Q1782" s="1">
        <v>0.0</v>
      </c>
      <c r="S1782" s="517"/>
      <c r="V1782" s="1">
        <v>0.5</v>
      </c>
      <c r="W1782" s="518">
        <f t="shared" si="1"/>
        <v>0</v>
      </c>
    </row>
    <row r="1783" hidden="1">
      <c r="C1783" s="515"/>
      <c r="G1783" s="1" t="s">
        <v>2413</v>
      </c>
      <c r="I1783" s="516"/>
      <c r="J1783" s="516"/>
      <c r="K1783" s="515"/>
      <c r="P1783" s="1">
        <v>250.0</v>
      </c>
      <c r="Q1783" s="1">
        <v>0.0</v>
      </c>
      <c r="S1783" s="517"/>
      <c r="V1783" s="1">
        <v>0.25</v>
      </c>
      <c r="W1783" s="518">
        <f t="shared" si="1"/>
        <v>0</v>
      </c>
    </row>
    <row r="1784" hidden="1">
      <c r="C1784" s="515"/>
      <c r="G1784" s="1" t="s">
        <v>2412</v>
      </c>
      <c r="I1784" s="516"/>
      <c r="J1784" s="516"/>
      <c r="K1784" s="515"/>
      <c r="P1784" s="1">
        <v>4000.0</v>
      </c>
      <c r="Q1784" s="1">
        <v>0.0</v>
      </c>
      <c r="S1784" s="517"/>
      <c r="V1784" s="1">
        <v>4.0</v>
      </c>
      <c r="W1784" s="518">
        <f t="shared" si="1"/>
        <v>0</v>
      </c>
    </row>
    <row r="1785" hidden="1">
      <c r="C1785" s="515"/>
      <c r="G1785" s="1" t="s">
        <v>2555</v>
      </c>
      <c r="I1785" s="516"/>
      <c r="J1785" s="516"/>
      <c r="K1785" s="515"/>
      <c r="P1785" s="1">
        <v>83.3</v>
      </c>
      <c r="Q1785" s="1">
        <v>0.0</v>
      </c>
      <c r="S1785" s="517"/>
      <c r="V1785" s="1">
        <v>0.08</v>
      </c>
      <c r="W1785" s="518">
        <f t="shared" si="1"/>
        <v>0</v>
      </c>
    </row>
    <row r="1786" hidden="1">
      <c r="C1786" s="515"/>
      <c r="G1786" s="1" t="s">
        <v>2551</v>
      </c>
      <c r="I1786" s="516"/>
      <c r="J1786" s="516"/>
      <c r="K1786" s="515"/>
      <c r="P1786" s="1">
        <v>333.3</v>
      </c>
      <c r="Q1786" s="1">
        <v>0.0</v>
      </c>
      <c r="S1786" s="517"/>
      <c r="V1786" s="1">
        <v>0.33</v>
      </c>
      <c r="W1786" s="518">
        <f t="shared" si="1"/>
        <v>0</v>
      </c>
    </row>
    <row r="1787" hidden="1">
      <c r="C1787" s="515"/>
      <c r="G1787" s="1" t="s">
        <v>2420</v>
      </c>
      <c r="I1787" s="516"/>
      <c r="J1787" s="516"/>
      <c r="K1787" s="515"/>
      <c r="P1787" s="1">
        <v>83.3</v>
      </c>
      <c r="Q1787" s="1">
        <v>0.0</v>
      </c>
      <c r="S1787" s="517"/>
      <c r="V1787" s="1">
        <v>0.08</v>
      </c>
      <c r="W1787" s="518">
        <f t="shared" si="1"/>
        <v>0</v>
      </c>
    </row>
    <row r="1788" hidden="1">
      <c r="C1788" s="515"/>
      <c r="G1788" s="1" t="s">
        <v>2603</v>
      </c>
      <c r="I1788" s="516"/>
      <c r="J1788" s="516"/>
      <c r="K1788" s="515"/>
      <c r="P1788" s="1">
        <v>83.3</v>
      </c>
      <c r="Q1788" s="1">
        <v>0.0</v>
      </c>
      <c r="S1788" s="517"/>
      <c r="V1788" s="1">
        <v>0.08</v>
      </c>
      <c r="W1788" s="518">
        <f t="shared" si="1"/>
        <v>0</v>
      </c>
    </row>
    <row r="1789" hidden="1">
      <c r="C1789" s="515"/>
      <c r="G1789" s="1" t="s">
        <v>2417</v>
      </c>
      <c r="I1789" s="516"/>
      <c r="J1789" s="516"/>
      <c r="K1789" s="515"/>
      <c r="P1789" s="1">
        <v>166.7</v>
      </c>
      <c r="Q1789" s="1">
        <v>0.0</v>
      </c>
      <c r="S1789" s="517"/>
      <c r="V1789" s="1">
        <v>0.17</v>
      </c>
      <c r="W1789" s="518">
        <f t="shared" si="1"/>
        <v>0</v>
      </c>
    </row>
    <row r="1790" hidden="1">
      <c r="C1790" s="515"/>
      <c r="G1790" s="1" t="s">
        <v>2589</v>
      </c>
      <c r="I1790" s="516"/>
      <c r="J1790" s="516"/>
      <c r="K1790" s="515"/>
      <c r="P1790" s="1">
        <v>166.7</v>
      </c>
      <c r="Q1790" s="1">
        <v>0.0</v>
      </c>
      <c r="S1790" s="517"/>
      <c r="V1790" s="1">
        <v>0.17</v>
      </c>
      <c r="W1790" s="518">
        <f t="shared" si="1"/>
        <v>0</v>
      </c>
    </row>
    <row r="1791" hidden="1">
      <c r="C1791" s="515"/>
      <c r="G1791" s="1" t="s">
        <v>2431</v>
      </c>
      <c r="I1791" s="516"/>
      <c r="J1791" s="516"/>
      <c r="K1791" s="515"/>
      <c r="P1791" s="1">
        <v>83.3</v>
      </c>
      <c r="Q1791" s="1">
        <v>0.0</v>
      </c>
      <c r="S1791" s="517"/>
      <c r="V1791" s="1">
        <v>0.08</v>
      </c>
      <c r="W1791" s="518">
        <f t="shared" si="1"/>
        <v>0</v>
      </c>
    </row>
    <row r="1792" hidden="1">
      <c r="C1792" s="515"/>
      <c r="G1792" s="1" t="s">
        <v>2556</v>
      </c>
      <c r="I1792" s="516"/>
      <c r="J1792" s="516"/>
      <c r="K1792" s="515"/>
      <c r="P1792" s="1">
        <v>83.3</v>
      </c>
      <c r="Q1792" s="1">
        <v>0.0</v>
      </c>
      <c r="S1792" s="517"/>
      <c r="V1792" s="1">
        <v>0.08</v>
      </c>
      <c r="W1792" s="518">
        <f t="shared" si="1"/>
        <v>0</v>
      </c>
    </row>
    <row r="1793" hidden="1">
      <c r="C1793" s="515"/>
      <c r="G1793" s="1" t="s">
        <v>2429</v>
      </c>
      <c r="I1793" s="516"/>
      <c r="J1793" s="516"/>
      <c r="K1793" s="515"/>
      <c r="P1793" s="1">
        <v>333.3</v>
      </c>
      <c r="Q1793" s="1">
        <v>0.0</v>
      </c>
      <c r="S1793" s="517"/>
      <c r="V1793" s="1">
        <v>0.33</v>
      </c>
      <c r="W1793" s="518">
        <f t="shared" si="1"/>
        <v>0</v>
      </c>
    </row>
    <row r="1794" hidden="1">
      <c r="C1794" s="515"/>
      <c r="G1794" s="1" t="s">
        <v>2428</v>
      </c>
      <c r="I1794" s="516"/>
      <c r="J1794" s="516"/>
      <c r="K1794" s="515"/>
      <c r="P1794" s="1">
        <v>1000.0</v>
      </c>
      <c r="Q1794" s="1">
        <v>0.0</v>
      </c>
      <c r="S1794" s="517"/>
      <c r="V1794" s="1">
        <v>1.0</v>
      </c>
      <c r="W1794" s="518">
        <f t="shared" si="1"/>
        <v>0</v>
      </c>
    </row>
    <row r="1795" hidden="1">
      <c r="C1795" s="515"/>
      <c r="G1795" s="1" t="s">
        <v>2441</v>
      </c>
      <c r="I1795" s="516"/>
      <c r="J1795" s="516"/>
      <c r="K1795" s="515"/>
      <c r="P1795" s="1">
        <v>83.3</v>
      </c>
      <c r="Q1795" s="1">
        <v>0.0</v>
      </c>
      <c r="S1795" s="517"/>
      <c r="V1795" s="1">
        <v>0.08</v>
      </c>
      <c r="W1795" s="518">
        <f t="shared" si="1"/>
        <v>0</v>
      </c>
    </row>
    <row r="1796">
      <c r="C1796" s="515"/>
      <c r="G1796" s="1" t="s">
        <v>2631</v>
      </c>
      <c r="I1796" s="516"/>
      <c r="J1796" s="516"/>
      <c r="K1796" s="515">
        <v>45657.0</v>
      </c>
      <c r="P1796" s="1">
        <v>1000.0</v>
      </c>
      <c r="Q1796" s="1">
        <v>7000.0</v>
      </c>
      <c r="S1796" s="517"/>
      <c r="V1796" s="1">
        <v>8.0</v>
      </c>
      <c r="W1796" s="518">
        <f t="shared" si="1"/>
        <v>7000</v>
      </c>
    </row>
    <row r="1797" hidden="1">
      <c r="C1797" s="515"/>
      <c r="G1797" s="1" t="s">
        <v>2447</v>
      </c>
      <c r="I1797" s="516"/>
      <c r="J1797" s="516"/>
      <c r="K1797" s="515"/>
      <c r="P1797" s="1">
        <v>166.7</v>
      </c>
      <c r="Q1797" s="1">
        <v>0.0</v>
      </c>
      <c r="S1797" s="517"/>
      <c r="V1797" s="1">
        <v>0.17</v>
      </c>
      <c r="W1797" s="518">
        <f t="shared" si="1"/>
        <v>0</v>
      </c>
    </row>
    <row r="1798" hidden="1">
      <c r="C1798" s="515"/>
      <c r="G1798" s="1" t="s">
        <v>2445</v>
      </c>
      <c r="I1798" s="516"/>
      <c r="J1798" s="516"/>
      <c r="K1798" s="515"/>
      <c r="P1798" s="1">
        <v>166.7</v>
      </c>
      <c r="Q1798" s="1">
        <v>0.0</v>
      </c>
      <c r="S1798" s="517"/>
      <c r="V1798" s="1">
        <v>0.17</v>
      </c>
      <c r="W1798" s="518">
        <f t="shared" si="1"/>
        <v>0</v>
      </c>
    </row>
    <row r="1799" hidden="1">
      <c r="C1799" s="515"/>
      <c r="G1799" s="1" t="s">
        <v>2451</v>
      </c>
      <c r="I1799" s="516"/>
      <c r="J1799" s="516"/>
      <c r="K1799" s="515"/>
      <c r="P1799" s="1">
        <v>41.7</v>
      </c>
      <c r="Q1799" s="1">
        <v>0.0</v>
      </c>
      <c r="S1799" s="517"/>
      <c r="V1799" s="1">
        <v>0.04</v>
      </c>
      <c r="W1799" s="518">
        <f t="shared" si="1"/>
        <v>0</v>
      </c>
    </row>
    <row r="1800" hidden="1">
      <c r="C1800" s="515"/>
      <c r="G1800" s="1" t="s">
        <v>2462</v>
      </c>
      <c r="I1800" s="516"/>
      <c r="J1800" s="516"/>
      <c r="K1800" s="515"/>
      <c r="P1800" s="1">
        <v>41.7</v>
      </c>
      <c r="Q1800" s="1">
        <v>0.0</v>
      </c>
      <c r="S1800" s="517"/>
      <c r="V1800" s="1">
        <v>0.04</v>
      </c>
      <c r="W1800" s="518">
        <f t="shared" si="1"/>
        <v>0</v>
      </c>
    </row>
    <row r="1801" hidden="1">
      <c r="C1801" s="515"/>
      <c r="G1801" s="1" t="s">
        <v>2620</v>
      </c>
      <c r="I1801" s="516"/>
      <c r="J1801" s="516"/>
      <c r="K1801" s="515"/>
      <c r="P1801" s="1">
        <v>41.7</v>
      </c>
      <c r="Q1801" s="1">
        <v>0.0</v>
      </c>
      <c r="S1801" s="517"/>
      <c r="V1801" s="1">
        <v>0.04</v>
      </c>
      <c r="W1801" s="518">
        <f t="shared" si="1"/>
        <v>0</v>
      </c>
    </row>
    <row r="1802" hidden="1">
      <c r="C1802" s="515"/>
      <c r="G1802" s="1" t="s">
        <v>2553</v>
      </c>
      <c r="I1802" s="516"/>
      <c r="J1802" s="516"/>
      <c r="K1802" s="515"/>
      <c r="P1802" s="1">
        <v>41.7</v>
      </c>
      <c r="Q1802" s="1">
        <v>0.0</v>
      </c>
      <c r="S1802" s="517"/>
      <c r="V1802" s="1">
        <v>0.04</v>
      </c>
      <c r="W1802" s="518">
        <f t="shared" si="1"/>
        <v>0</v>
      </c>
    </row>
    <row r="1803" hidden="1">
      <c r="C1803" s="515"/>
      <c r="G1803" s="1" t="s">
        <v>2469</v>
      </c>
      <c r="I1803" s="516"/>
      <c r="J1803" s="516"/>
      <c r="K1803" s="515"/>
      <c r="P1803" s="1">
        <v>41.7</v>
      </c>
      <c r="Q1803" s="1">
        <v>0.0</v>
      </c>
      <c r="S1803" s="517"/>
      <c r="V1803" s="1">
        <v>0.04</v>
      </c>
      <c r="W1803" s="518">
        <f t="shared" si="1"/>
        <v>0</v>
      </c>
    </row>
    <row r="1804" hidden="1">
      <c r="C1804" s="515"/>
      <c r="G1804" s="1" t="s">
        <v>2521</v>
      </c>
      <c r="I1804" s="516"/>
      <c r="J1804" s="516"/>
      <c r="K1804" s="515"/>
      <c r="P1804" s="1">
        <v>83.3</v>
      </c>
      <c r="Q1804" s="1">
        <v>0.0</v>
      </c>
      <c r="S1804" s="517"/>
      <c r="V1804" s="1">
        <v>0.08</v>
      </c>
      <c r="W1804" s="518">
        <f t="shared" si="1"/>
        <v>0</v>
      </c>
    </row>
    <row r="1805" hidden="1">
      <c r="C1805" s="515"/>
      <c r="G1805" s="1" t="s">
        <v>2468</v>
      </c>
      <c r="I1805" s="516"/>
      <c r="J1805" s="516"/>
      <c r="K1805" s="515"/>
      <c r="P1805" s="1">
        <v>41.7</v>
      </c>
      <c r="Q1805" s="1">
        <v>0.0</v>
      </c>
      <c r="S1805" s="517"/>
      <c r="V1805" s="1">
        <v>0.04</v>
      </c>
      <c r="W1805" s="518">
        <f t="shared" si="1"/>
        <v>0</v>
      </c>
    </row>
    <row r="1806" hidden="1">
      <c r="C1806" s="515"/>
      <c r="G1806" s="1" t="s">
        <v>2605</v>
      </c>
      <c r="I1806" s="516"/>
      <c r="J1806" s="516"/>
      <c r="K1806" s="515"/>
      <c r="P1806" s="1">
        <v>125.0</v>
      </c>
      <c r="Q1806" s="1">
        <v>0.0</v>
      </c>
      <c r="S1806" s="517"/>
      <c r="V1806" s="1">
        <v>0.13</v>
      </c>
      <c r="W1806" s="518">
        <f t="shared" si="1"/>
        <v>0</v>
      </c>
    </row>
    <row r="1807" hidden="1">
      <c r="C1807" s="515"/>
      <c r="G1807" s="1" t="s">
        <v>2613</v>
      </c>
      <c r="I1807" s="516"/>
      <c r="J1807" s="516"/>
      <c r="K1807" s="515"/>
      <c r="P1807" s="1">
        <v>41.7</v>
      </c>
      <c r="Q1807" s="1">
        <v>0.0</v>
      </c>
      <c r="S1807" s="517"/>
      <c r="V1807" s="1">
        <v>0.04</v>
      </c>
      <c r="W1807" s="518">
        <f t="shared" si="1"/>
        <v>0</v>
      </c>
    </row>
    <row r="1808" hidden="1">
      <c r="C1808" s="515"/>
      <c r="G1808" s="1" t="s">
        <v>2466</v>
      </c>
      <c r="I1808" s="516"/>
      <c r="J1808" s="516"/>
      <c r="K1808" s="515"/>
      <c r="P1808" s="1">
        <v>208.3</v>
      </c>
      <c r="Q1808" s="1">
        <v>0.0</v>
      </c>
      <c r="S1808" s="517"/>
      <c r="V1808" s="1">
        <v>0.21</v>
      </c>
      <c r="W1808" s="518">
        <f t="shared" si="1"/>
        <v>0</v>
      </c>
    </row>
    <row r="1809" hidden="1">
      <c r="C1809" s="515"/>
      <c r="G1809" s="1" t="s">
        <v>2473</v>
      </c>
      <c r="I1809" s="516"/>
      <c r="J1809" s="516"/>
      <c r="K1809" s="515"/>
      <c r="P1809" s="1">
        <v>83.3</v>
      </c>
      <c r="Q1809" s="1">
        <v>0.0</v>
      </c>
      <c r="S1809" s="517"/>
      <c r="V1809" s="1">
        <v>0.08</v>
      </c>
      <c r="W1809" s="518">
        <f t="shared" si="1"/>
        <v>0</v>
      </c>
    </row>
    <row r="1810" hidden="1">
      <c r="C1810" s="515"/>
      <c r="G1810" s="1" t="s">
        <v>2474</v>
      </c>
      <c r="I1810" s="516"/>
      <c r="J1810" s="516"/>
      <c r="K1810" s="515"/>
      <c r="P1810" s="1">
        <v>166.7</v>
      </c>
      <c r="Q1810" s="1">
        <v>0.0</v>
      </c>
      <c r="S1810" s="517"/>
      <c r="V1810" s="1">
        <v>0.17</v>
      </c>
      <c r="W1810" s="518">
        <f t="shared" si="1"/>
        <v>0</v>
      </c>
    </row>
    <row r="1811" hidden="1">
      <c r="C1811" s="515"/>
      <c r="G1811" s="1" t="s">
        <v>2479</v>
      </c>
      <c r="I1811" s="516"/>
      <c r="J1811" s="516"/>
      <c r="K1811" s="515"/>
      <c r="P1811" s="1">
        <v>416.7</v>
      </c>
      <c r="Q1811" s="1">
        <v>0.0</v>
      </c>
      <c r="S1811" s="517"/>
      <c r="V1811" s="1">
        <v>0.42</v>
      </c>
      <c r="W1811" s="518">
        <f t="shared" si="1"/>
        <v>0</v>
      </c>
    </row>
    <row r="1812">
      <c r="C1812" s="515"/>
      <c r="G1812" s="1" t="s">
        <v>2529</v>
      </c>
      <c r="I1812" s="516"/>
      <c r="J1812" s="516"/>
      <c r="K1812" s="515">
        <v>45657.0</v>
      </c>
      <c r="P1812" s="1">
        <v>1000.0</v>
      </c>
      <c r="Q1812" s="1">
        <v>199000.0</v>
      </c>
      <c r="S1812" s="517"/>
      <c r="V1812" s="1">
        <v>200.0</v>
      </c>
      <c r="W1812" s="518">
        <f t="shared" si="1"/>
        <v>199000</v>
      </c>
    </row>
    <row r="1813" hidden="1">
      <c r="C1813" s="515"/>
      <c r="G1813" s="1" t="s">
        <v>2529</v>
      </c>
      <c r="I1813" s="516"/>
      <c r="J1813" s="516"/>
      <c r="K1813" s="515">
        <v>46022.0</v>
      </c>
      <c r="P1813" s="1">
        <v>0.0</v>
      </c>
      <c r="Q1813" s="1" t="s">
        <v>2404</v>
      </c>
      <c r="S1813" s="517"/>
      <c r="V1813" s="1">
        <v>200.0</v>
      </c>
      <c r="W1813" s="518">
        <f t="shared" si="1"/>
        <v>200000</v>
      </c>
    </row>
    <row r="1814" hidden="1">
      <c r="C1814" s="515"/>
      <c r="G1814" s="1" t="s">
        <v>2529</v>
      </c>
      <c r="I1814" s="516"/>
      <c r="J1814" s="516"/>
      <c r="K1814" s="515">
        <v>46387.0</v>
      </c>
      <c r="P1814" s="1">
        <v>0.0</v>
      </c>
      <c r="Q1814" s="1" t="s">
        <v>2404</v>
      </c>
      <c r="S1814" s="517"/>
      <c r="V1814" s="1">
        <v>200.0</v>
      </c>
      <c r="W1814" s="518">
        <f t="shared" si="1"/>
        <v>200000</v>
      </c>
    </row>
    <row r="1815" hidden="1">
      <c r="C1815" s="515"/>
      <c r="G1815" s="1" t="s">
        <v>2529</v>
      </c>
      <c r="I1815" s="516"/>
      <c r="J1815" s="516"/>
      <c r="K1815" s="515">
        <v>46752.0</v>
      </c>
      <c r="P1815" s="1">
        <v>0.0</v>
      </c>
      <c r="Q1815" s="1" t="s">
        <v>2404</v>
      </c>
      <c r="S1815" s="517"/>
      <c r="V1815" s="1">
        <v>200.0</v>
      </c>
      <c r="W1815" s="518">
        <f t="shared" si="1"/>
        <v>200000</v>
      </c>
    </row>
    <row r="1816" hidden="1">
      <c r="C1816" s="515"/>
      <c r="G1816" s="1" t="s">
        <v>2529</v>
      </c>
      <c r="I1816" s="516"/>
      <c r="J1816" s="516"/>
      <c r="K1816" s="515">
        <v>47118.0</v>
      </c>
      <c r="P1816" s="1">
        <v>0.0</v>
      </c>
      <c r="Q1816" s="1" t="s">
        <v>2404</v>
      </c>
      <c r="S1816" s="517"/>
      <c r="V1816" s="1">
        <v>200.0</v>
      </c>
      <c r="W1816" s="518">
        <f t="shared" si="1"/>
        <v>200000</v>
      </c>
    </row>
    <row r="1817" hidden="1">
      <c r="C1817" s="515"/>
      <c r="G1817" s="1" t="s">
        <v>2498</v>
      </c>
      <c r="I1817" s="516"/>
      <c r="J1817" s="516"/>
      <c r="K1817" s="515"/>
      <c r="P1817" s="1">
        <v>166.7</v>
      </c>
      <c r="Q1817" s="1">
        <v>0.0</v>
      </c>
      <c r="S1817" s="517"/>
      <c r="V1817" s="1">
        <v>0.17</v>
      </c>
      <c r="W1817" s="518">
        <f t="shared" si="1"/>
        <v>0</v>
      </c>
    </row>
    <row r="1818" hidden="1">
      <c r="C1818" s="515"/>
      <c r="G1818" s="1" t="s">
        <v>2565</v>
      </c>
      <c r="I1818" s="516"/>
      <c r="J1818" s="516"/>
      <c r="K1818" s="515"/>
      <c r="P1818" s="1">
        <v>83.3</v>
      </c>
      <c r="Q1818" s="1">
        <v>0.0</v>
      </c>
      <c r="S1818" s="517"/>
      <c r="V1818" s="1">
        <v>0.08</v>
      </c>
      <c r="W1818" s="518">
        <f t="shared" si="1"/>
        <v>0</v>
      </c>
    </row>
    <row r="1819" hidden="1">
      <c r="C1819" s="515"/>
      <c r="G1819" s="1" t="s">
        <v>2495</v>
      </c>
      <c r="I1819" s="516"/>
      <c r="J1819" s="516"/>
      <c r="K1819" s="515"/>
      <c r="P1819" s="1">
        <v>83.3</v>
      </c>
      <c r="Q1819" s="1">
        <v>0.0</v>
      </c>
      <c r="S1819" s="517"/>
      <c r="V1819" s="1">
        <v>0.08</v>
      </c>
      <c r="W1819" s="518">
        <f t="shared" si="1"/>
        <v>0</v>
      </c>
    </row>
    <row r="1820" hidden="1">
      <c r="C1820" s="515"/>
      <c r="G1820" s="86" t="s">
        <v>2584</v>
      </c>
      <c r="I1820" s="516"/>
      <c r="J1820" s="516"/>
      <c r="K1820" s="515"/>
      <c r="P1820" s="1">
        <v>1666.7</v>
      </c>
      <c r="Q1820" s="1">
        <v>0.0</v>
      </c>
      <c r="S1820" s="517"/>
      <c r="V1820" s="1">
        <v>1.67</v>
      </c>
      <c r="W1820" s="518">
        <f t="shared" si="1"/>
        <v>0</v>
      </c>
    </row>
    <row r="1821" hidden="1">
      <c r="C1821" s="515"/>
      <c r="G1821" s="1" t="s">
        <v>2413</v>
      </c>
      <c r="I1821" s="516"/>
      <c r="J1821" s="516"/>
      <c r="K1821" s="515"/>
      <c r="P1821" s="1">
        <v>250.0</v>
      </c>
      <c r="Q1821" s="1">
        <v>0.0</v>
      </c>
      <c r="S1821" s="517"/>
      <c r="V1821" s="1">
        <v>0.25</v>
      </c>
      <c r="W1821" s="518">
        <f t="shared" si="1"/>
        <v>0</v>
      </c>
    </row>
    <row r="1822" hidden="1">
      <c r="C1822" s="515"/>
      <c r="G1822" s="1" t="s">
        <v>2412</v>
      </c>
      <c r="I1822" s="516"/>
      <c r="J1822" s="516"/>
      <c r="K1822" s="515"/>
      <c r="P1822" s="1">
        <v>4000.0</v>
      </c>
      <c r="Q1822" s="1">
        <v>0.0</v>
      </c>
      <c r="S1822" s="517"/>
      <c r="V1822" s="1">
        <v>4.0</v>
      </c>
      <c r="W1822" s="518">
        <f t="shared" si="1"/>
        <v>0</v>
      </c>
    </row>
    <row r="1823" hidden="1">
      <c r="C1823" s="515"/>
      <c r="G1823" s="1" t="s">
        <v>2555</v>
      </c>
      <c r="I1823" s="516"/>
      <c r="J1823" s="516"/>
      <c r="K1823" s="515"/>
      <c r="P1823" s="1">
        <v>83.3</v>
      </c>
      <c r="Q1823" s="1">
        <v>0.0</v>
      </c>
      <c r="S1823" s="517"/>
      <c r="V1823" s="1">
        <v>0.08</v>
      </c>
      <c r="W1823" s="518">
        <f t="shared" si="1"/>
        <v>0</v>
      </c>
    </row>
    <row r="1824" hidden="1">
      <c r="C1824" s="515"/>
      <c r="G1824" s="1" t="s">
        <v>2551</v>
      </c>
      <c r="I1824" s="516"/>
      <c r="J1824" s="516"/>
      <c r="K1824" s="515"/>
      <c r="P1824" s="1">
        <v>333.3</v>
      </c>
      <c r="Q1824" s="1">
        <v>0.0</v>
      </c>
      <c r="S1824" s="517"/>
      <c r="V1824" s="1">
        <v>0.33</v>
      </c>
      <c r="W1824" s="518">
        <f t="shared" si="1"/>
        <v>0</v>
      </c>
    </row>
    <row r="1825" hidden="1">
      <c r="C1825" s="515"/>
      <c r="G1825" s="1" t="s">
        <v>2603</v>
      </c>
      <c r="I1825" s="516"/>
      <c r="J1825" s="516"/>
      <c r="K1825" s="515"/>
      <c r="P1825" s="1">
        <v>83.3</v>
      </c>
      <c r="Q1825" s="1">
        <v>0.0</v>
      </c>
      <c r="S1825" s="517"/>
      <c r="V1825" s="1">
        <v>0.08</v>
      </c>
      <c r="W1825" s="518">
        <f t="shared" si="1"/>
        <v>0</v>
      </c>
    </row>
    <row r="1826" hidden="1">
      <c r="C1826" s="515"/>
      <c r="G1826" s="1" t="s">
        <v>2417</v>
      </c>
      <c r="I1826" s="516"/>
      <c r="J1826" s="516"/>
      <c r="K1826" s="515"/>
      <c r="P1826" s="1">
        <v>166.7</v>
      </c>
      <c r="Q1826" s="1">
        <v>0.0</v>
      </c>
      <c r="S1826" s="517"/>
      <c r="V1826" s="1">
        <v>0.17</v>
      </c>
      <c r="W1826" s="518">
        <f t="shared" si="1"/>
        <v>0</v>
      </c>
    </row>
    <row r="1827" hidden="1">
      <c r="C1827" s="515"/>
      <c r="G1827" s="1" t="s">
        <v>2632</v>
      </c>
      <c r="I1827" s="516"/>
      <c r="J1827" s="516"/>
      <c r="K1827" s="515"/>
      <c r="P1827" s="1">
        <v>83.3</v>
      </c>
      <c r="Q1827" s="1">
        <v>0.0</v>
      </c>
      <c r="S1827" s="517"/>
      <c r="V1827" s="1">
        <v>0.08</v>
      </c>
      <c r="W1827" s="518">
        <f t="shared" si="1"/>
        <v>0</v>
      </c>
    </row>
    <row r="1828" hidden="1">
      <c r="C1828" s="515"/>
      <c r="G1828" s="1" t="s">
        <v>2589</v>
      </c>
      <c r="I1828" s="516"/>
      <c r="J1828" s="516"/>
      <c r="K1828" s="515"/>
      <c r="P1828" s="1">
        <v>166.7</v>
      </c>
      <c r="Q1828" s="1">
        <v>0.0</v>
      </c>
      <c r="S1828" s="517"/>
      <c r="V1828" s="1">
        <v>0.17</v>
      </c>
      <c r="W1828" s="518">
        <f t="shared" si="1"/>
        <v>0</v>
      </c>
    </row>
    <row r="1829">
      <c r="C1829" s="515"/>
      <c r="G1829" s="1" t="s">
        <v>2633</v>
      </c>
      <c r="I1829" s="516"/>
      <c r="J1829" s="516"/>
      <c r="K1829" s="515">
        <v>45657.0</v>
      </c>
      <c r="P1829" s="1">
        <v>1000.0</v>
      </c>
      <c r="Q1829" s="1">
        <v>6750.0</v>
      </c>
      <c r="S1829" s="517"/>
      <c r="V1829" s="1">
        <v>7.75</v>
      </c>
      <c r="W1829" s="518">
        <f t="shared" si="1"/>
        <v>6750</v>
      </c>
    </row>
    <row r="1830" hidden="1">
      <c r="C1830" s="515"/>
      <c r="G1830" s="1" t="s">
        <v>2431</v>
      </c>
      <c r="I1830" s="516"/>
      <c r="J1830" s="516"/>
      <c r="K1830" s="515"/>
      <c r="P1830" s="1">
        <v>83.3</v>
      </c>
      <c r="Q1830" s="1">
        <v>0.0</v>
      </c>
      <c r="S1830" s="517"/>
      <c r="V1830" s="1">
        <v>0.08</v>
      </c>
      <c r="W1830" s="518">
        <f t="shared" si="1"/>
        <v>0</v>
      </c>
    </row>
    <row r="1831" hidden="1">
      <c r="C1831" s="515"/>
      <c r="G1831" s="1" t="s">
        <v>2556</v>
      </c>
      <c r="I1831" s="516"/>
      <c r="J1831" s="516"/>
      <c r="K1831" s="515"/>
      <c r="P1831" s="1">
        <v>83.3</v>
      </c>
      <c r="Q1831" s="1">
        <v>0.0</v>
      </c>
      <c r="S1831" s="517"/>
      <c r="V1831" s="1">
        <v>0.08</v>
      </c>
      <c r="W1831" s="518">
        <f t="shared" si="1"/>
        <v>0</v>
      </c>
    </row>
    <row r="1832" hidden="1">
      <c r="C1832" s="515"/>
      <c r="G1832" s="1" t="s">
        <v>2429</v>
      </c>
      <c r="I1832" s="516"/>
      <c r="J1832" s="516"/>
      <c r="K1832" s="515"/>
      <c r="P1832" s="1">
        <v>333.3</v>
      </c>
      <c r="Q1832" s="1">
        <v>0.0</v>
      </c>
      <c r="S1832" s="517"/>
      <c r="V1832" s="1">
        <v>0.33</v>
      </c>
      <c r="W1832" s="518">
        <f t="shared" si="1"/>
        <v>0</v>
      </c>
    </row>
    <row r="1833" hidden="1">
      <c r="C1833" s="515"/>
      <c r="G1833" s="1" t="s">
        <v>2428</v>
      </c>
      <c r="I1833" s="516"/>
      <c r="J1833" s="516"/>
      <c r="K1833" s="515"/>
      <c r="P1833" s="1">
        <v>1000.0</v>
      </c>
      <c r="Q1833" s="1">
        <v>0.0</v>
      </c>
      <c r="S1833" s="517"/>
      <c r="V1833" s="1">
        <v>1.0</v>
      </c>
      <c r="W1833" s="518">
        <f t="shared" si="1"/>
        <v>0</v>
      </c>
    </row>
    <row r="1834">
      <c r="C1834" s="515"/>
      <c r="G1834" s="1" t="s">
        <v>2634</v>
      </c>
      <c r="I1834" s="516"/>
      <c r="J1834" s="516"/>
      <c r="K1834" s="515">
        <v>45657.0</v>
      </c>
      <c r="P1834" s="1">
        <v>1224.3</v>
      </c>
      <c r="Q1834" s="1">
        <v>23776.0</v>
      </c>
      <c r="S1834" s="517"/>
      <c r="V1834" s="1">
        <v>25.0</v>
      </c>
      <c r="W1834" s="518">
        <f t="shared" si="1"/>
        <v>23776</v>
      </c>
    </row>
    <row r="1835" hidden="1">
      <c r="C1835" s="515"/>
      <c r="G1835" s="1" t="s">
        <v>2607</v>
      </c>
      <c r="I1835" s="516"/>
      <c r="J1835" s="516"/>
      <c r="K1835" s="515">
        <v>45291.0</v>
      </c>
      <c r="P1835" s="1">
        <v>16925.4</v>
      </c>
      <c r="Q1835" s="1">
        <v>233075.0</v>
      </c>
      <c r="S1835" s="517"/>
      <c r="V1835" s="1">
        <v>250.0</v>
      </c>
      <c r="W1835" s="518">
        <f t="shared" si="1"/>
        <v>233075</v>
      </c>
    </row>
    <row r="1836">
      <c r="C1836" s="515"/>
      <c r="G1836" s="86" t="s">
        <v>2519</v>
      </c>
      <c r="I1836" s="516"/>
      <c r="J1836" s="516"/>
      <c r="K1836" s="515">
        <v>45657.0</v>
      </c>
      <c r="P1836" s="1">
        <v>1000.0</v>
      </c>
      <c r="Q1836" s="1">
        <v>14000.0</v>
      </c>
      <c r="S1836" s="517"/>
      <c r="V1836" s="1">
        <v>15.0</v>
      </c>
      <c r="W1836" s="518">
        <f t="shared" si="1"/>
        <v>14000</v>
      </c>
    </row>
    <row r="1837" hidden="1">
      <c r="C1837" s="515"/>
      <c r="G1837" s="1" t="s">
        <v>2473</v>
      </c>
      <c r="I1837" s="516"/>
      <c r="J1837" s="516"/>
      <c r="K1837" s="515"/>
      <c r="P1837" s="1">
        <v>83.3</v>
      </c>
      <c r="Q1837" s="1">
        <v>0.0</v>
      </c>
      <c r="S1837" s="517"/>
      <c r="V1837" s="1">
        <v>0.08</v>
      </c>
      <c r="W1837" s="518">
        <f t="shared" si="1"/>
        <v>0</v>
      </c>
    </row>
    <row r="1838" hidden="1">
      <c r="C1838" s="515"/>
      <c r="G1838" s="1" t="s">
        <v>2498</v>
      </c>
      <c r="I1838" s="516"/>
      <c r="J1838" s="516"/>
      <c r="K1838" s="515"/>
      <c r="P1838" s="1">
        <v>166.7</v>
      </c>
      <c r="Q1838" s="1">
        <v>0.0</v>
      </c>
      <c r="S1838" s="517"/>
      <c r="V1838" s="1">
        <v>0.17</v>
      </c>
      <c r="W1838" s="518">
        <f t="shared" si="1"/>
        <v>0</v>
      </c>
    </row>
    <row r="1839" hidden="1">
      <c r="C1839" s="515"/>
      <c r="G1839" s="1" t="s">
        <v>2495</v>
      </c>
      <c r="I1839" s="516"/>
      <c r="J1839" s="516"/>
      <c r="K1839" s="515"/>
      <c r="P1839" s="1">
        <v>83.3</v>
      </c>
      <c r="Q1839" s="1">
        <v>0.0</v>
      </c>
      <c r="S1839" s="517"/>
      <c r="V1839" s="1">
        <v>0.08</v>
      </c>
      <c r="W1839" s="518">
        <f t="shared" si="1"/>
        <v>0</v>
      </c>
    </row>
    <row r="1840" hidden="1">
      <c r="C1840" s="515"/>
      <c r="G1840" s="1" t="s">
        <v>2635</v>
      </c>
      <c r="I1840" s="516"/>
      <c r="J1840" s="516"/>
      <c r="K1840" s="515">
        <v>45291.0</v>
      </c>
      <c r="P1840" s="1">
        <v>39133.2</v>
      </c>
      <c r="Q1840" s="1">
        <v>0.0</v>
      </c>
      <c r="S1840" s="517"/>
      <c r="V1840" s="1">
        <v>39.13</v>
      </c>
      <c r="W1840" s="518">
        <f t="shared" si="1"/>
        <v>0</v>
      </c>
    </row>
    <row r="1841" hidden="1">
      <c r="C1841" s="515"/>
      <c r="G1841" s="1" t="s">
        <v>2412</v>
      </c>
      <c r="I1841" s="516"/>
      <c r="J1841" s="516"/>
      <c r="K1841" s="515"/>
      <c r="P1841" s="1">
        <v>4000.0</v>
      </c>
      <c r="Q1841" s="1">
        <v>0.0</v>
      </c>
      <c r="S1841" s="517"/>
      <c r="V1841" s="1">
        <v>4.0</v>
      </c>
      <c r="W1841" s="518">
        <f t="shared" si="1"/>
        <v>0</v>
      </c>
    </row>
    <row r="1842" hidden="1">
      <c r="C1842" s="515"/>
      <c r="G1842" s="1" t="s">
        <v>2555</v>
      </c>
      <c r="I1842" s="516"/>
      <c r="J1842" s="516"/>
      <c r="K1842" s="515"/>
      <c r="P1842" s="1">
        <v>83.3</v>
      </c>
      <c r="Q1842" s="1">
        <v>0.0</v>
      </c>
      <c r="S1842" s="517"/>
      <c r="V1842" s="1">
        <v>0.08</v>
      </c>
      <c r="W1842" s="518">
        <f t="shared" si="1"/>
        <v>0</v>
      </c>
    </row>
    <row r="1843" hidden="1">
      <c r="C1843" s="515"/>
      <c r="G1843" s="1" t="s">
        <v>2603</v>
      </c>
      <c r="I1843" s="516"/>
      <c r="J1843" s="516"/>
      <c r="K1843" s="515"/>
      <c r="P1843" s="1">
        <v>83.3</v>
      </c>
      <c r="Q1843" s="1">
        <v>0.0</v>
      </c>
      <c r="S1843" s="517"/>
      <c r="V1843" s="1">
        <v>0.08</v>
      </c>
      <c r="W1843" s="518">
        <f t="shared" si="1"/>
        <v>0</v>
      </c>
    </row>
    <row r="1844" hidden="1">
      <c r="C1844" s="515"/>
      <c r="G1844" s="1" t="s">
        <v>2632</v>
      </c>
      <c r="I1844" s="516"/>
      <c r="J1844" s="516"/>
      <c r="K1844" s="515"/>
      <c r="P1844" s="1">
        <v>83.3</v>
      </c>
      <c r="Q1844" s="1">
        <v>0.0</v>
      </c>
      <c r="S1844" s="517"/>
      <c r="V1844" s="1">
        <v>0.08</v>
      </c>
      <c r="W1844" s="518">
        <f t="shared" si="1"/>
        <v>0</v>
      </c>
    </row>
    <row r="1845" hidden="1">
      <c r="C1845" s="515"/>
      <c r="G1845" s="1" t="s">
        <v>2589</v>
      </c>
      <c r="I1845" s="516"/>
      <c r="J1845" s="516"/>
      <c r="K1845" s="515"/>
      <c r="P1845" s="1">
        <v>166.7</v>
      </c>
      <c r="Q1845" s="1">
        <v>0.0</v>
      </c>
      <c r="S1845" s="517"/>
      <c r="V1845" s="1">
        <v>0.17</v>
      </c>
      <c r="W1845" s="518">
        <f t="shared" si="1"/>
        <v>0</v>
      </c>
    </row>
    <row r="1846" hidden="1">
      <c r="C1846" s="515"/>
      <c r="G1846" s="1" t="s">
        <v>2431</v>
      </c>
      <c r="I1846" s="516"/>
      <c r="J1846" s="516"/>
      <c r="K1846" s="515"/>
      <c r="P1846" s="1">
        <v>83.3</v>
      </c>
      <c r="Q1846" s="1">
        <v>0.0</v>
      </c>
      <c r="S1846" s="517"/>
      <c r="V1846" s="1">
        <v>0.08</v>
      </c>
      <c r="W1846" s="518">
        <f t="shared" si="1"/>
        <v>0</v>
      </c>
    </row>
    <row r="1847" hidden="1">
      <c r="C1847" s="515"/>
      <c r="G1847" s="1" t="s">
        <v>2556</v>
      </c>
      <c r="I1847" s="516"/>
      <c r="J1847" s="516"/>
      <c r="K1847" s="515"/>
      <c r="P1847" s="1">
        <v>83.3</v>
      </c>
      <c r="Q1847" s="1">
        <v>0.0</v>
      </c>
      <c r="S1847" s="517"/>
      <c r="V1847" s="1">
        <v>0.08</v>
      </c>
      <c r="W1847" s="518">
        <f t="shared" si="1"/>
        <v>0</v>
      </c>
    </row>
    <row r="1848" hidden="1">
      <c r="C1848" s="515"/>
      <c r="G1848" s="1" t="s">
        <v>2429</v>
      </c>
      <c r="I1848" s="516"/>
      <c r="J1848" s="516"/>
      <c r="K1848" s="515"/>
      <c r="P1848" s="1">
        <v>333.3</v>
      </c>
      <c r="Q1848" s="1">
        <v>0.0</v>
      </c>
      <c r="S1848" s="517"/>
      <c r="V1848" s="1">
        <v>0.33</v>
      </c>
      <c r="W1848" s="518">
        <f t="shared" si="1"/>
        <v>0</v>
      </c>
    </row>
    <row r="1849" hidden="1">
      <c r="C1849" s="515"/>
      <c r="G1849" s="1" t="s">
        <v>2428</v>
      </c>
      <c r="I1849" s="516"/>
      <c r="J1849" s="516"/>
      <c r="K1849" s="515"/>
      <c r="P1849" s="1">
        <v>1000.0</v>
      </c>
      <c r="Q1849" s="1">
        <v>0.0</v>
      </c>
      <c r="S1849" s="517"/>
      <c r="V1849" s="1">
        <v>1.0</v>
      </c>
      <c r="W1849" s="518">
        <f t="shared" si="1"/>
        <v>0</v>
      </c>
    </row>
    <row r="1850">
      <c r="C1850" s="515"/>
      <c r="G1850" s="1" t="s">
        <v>2602</v>
      </c>
      <c r="I1850" s="516"/>
      <c r="J1850" s="516"/>
      <c r="K1850" s="515">
        <v>45657.0</v>
      </c>
      <c r="P1850" s="1">
        <v>1000.0</v>
      </c>
      <c r="Q1850" s="1">
        <v>4000.0</v>
      </c>
      <c r="S1850" s="517"/>
      <c r="V1850" s="1">
        <v>5.0</v>
      </c>
      <c r="W1850" s="518">
        <f t="shared" si="1"/>
        <v>4000</v>
      </c>
    </row>
    <row r="1851" hidden="1">
      <c r="C1851" s="515"/>
      <c r="G1851" s="1" t="s">
        <v>2636</v>
      </c>
      <c r="I1851" s="516"/>
      <c r="J1851" s="516"/>
      <c r="K1851" s="515">
        <v>45097.0</v>
      </c>
      <c r="P1851" s="1">
        <v>0.0</v>
      </c>
      <c r="Q1851" s="1" t="s">
        <v>2404</v>
      </c>
      <c r="S1851" s="517"/>
      <c r="V1851" s="1">
        <v>200.0</v>
      </c>
      <c r="W1851" s="518">
        <f t="shared" si="1"/>
        <v>200000</v>
      </c>
    </row>
    <row r="1852" hidden="1">
      <c r="C1852" s="515"/>
      <c r="G1852" s="1" t="s">
        <v>2637</v>
      </c>
      <c r="I1852" s="516"/>
      <c r="J1852" s="516"/>
      <c r="K1852" s="515">
        <v>45291.0</v>
      </c>
      <c r="P1852" s="1">
        <v>60551.2</v>
      </c>
      <c r="Q1852" s="1">
        <v>939449.0</v>
      </c>
      <c r="S1852" s="517"/>
      <c r="V1852" s="1">
        <v>1000.0</v>
      </c>
      <c r="W1852" s="518">
        <f t="shared" si="1"/>
        <v>939449</v>
      </c>
    </row>
    <row r="1853">
      <c r="C1853" s="515"/>
      <c r="G1853" s="1" t="s">
        <v>2637</v>
      </c>
      <c r="I1853" s="516"/>
      <c r="J1853" s="516"/>
      <c r="K1853" s="515">
        <v>45657.0</v>
      </c>
      <c r="P1853" s="1">
        <v>0.0</v>
      </c>
      <c r="Q1853" s="1" t="s">
        <v>2404</v>
      </c>
      <c r="S1853" s="517"/>
      <c r="V1853" s="1">
        <v>2000.0</v>
      </c>
      <c r="W1853" s="518">
        <f t="shared" si="1"/>
        <v>2000000</v>
      </c>
    </row>
    <row r="1854" hidden="1">
      <c r="C1854" s="515"/>
      <c r="G1854" s="1" t="s">
        <v>2638</v>
      </c>
      <c r="I1854" s="516"/>
      <c r="J1854" s="516"/>
      <c r="K1854" s="515">
        <v>45021.0</v>
      </c>
      <c r="P1854" s="1">
        <v>55000.0</v>
      </c>
      <c r="Q1854" s="1">
        <v>0.0</v>
      </c>
      <c r="S1854" s="517"/>
      <c r="V1854" s="1">
        <v>55.0</v>
      </c>
      <c r="W1854" s="518">
        <f t="shared" si="1"/>
        <v>0</v>
      </c>
    </row>
    <row r="1855" hidden="1">
      <c r="C1855" s="515"/>
      <c r="G1855" s="1" t="s">
        <v>2639</v>
      </c>
      <c r="I1855" s="516"/>
      <c r="J1855" s="516"/>
      <c r="K1855" s="515">
        <v>45291.0</v>
      </c>
      <c r="P1855" s="1">
        <v>9996.4</v>
      </c>
      <c r="Q1855" s="1">
        <v>73337.0</v>
      </c>
      <c r="S1855" s="517"/>
      <c r="V1855" s="1">
        <v>83.33</v>
      </c>
      <c r="W1855" s="518">
        <f t="shared" si="1"/>
        <v>73337</v>
      </c>
    </row>
    <row r="1856" hidden="1">
      <c r="C1856" s="515"/>
      <c r="G1856" s="1" t="s">
        <v>2640</v>
      </c>
      <c r="I1856" s="516"/>
      <c r="J1856" s="516"/>
      <c r="K1856" s="515">
        <v>44557.0</v>
      </c>
      <c r="P1856" s="1">
        <v>9000.0</v>
      </c>
      <c r="Q1856" s="1">
        <v>0.0</v>
      </c>
      <c r="S1856" s="517"/>
      <c r="V1856" s="1">
        <v>9.0</v>
      </c>
      <c r="W1856" s="518">
        <f t="shared" si="1"/>
        <v>0</v>
      </c>
    </row>
    <row r="1857" hidden="1">
      <c r="C1857" s="515"/>
      <c r="G1857" s="1" t="s">
        <v>2641</v>
      </c>
      <c r="I1857" s="516"/>
      <c r="J1857" s="516"/>
      <c r="K1857" s="515">
        <v>44557.0</v>
      </c>
      <c r="P1857" s="1">
        <v>10000.0</v>
      </c>
      <c r="Q1857" s="1">
        <v>0.0</v>
      </c>
      <c r="S1857" s="517"/>
      <c r="V1857" s="1">
        <v>10.0</v>
      </c>
      <c r="W1857" s="518">
        <f t="shared" si="1"/>
        <v>0</v>
      </c>
    </row>
    <row r="1858">
      <c r="C1858" s="515"/>
      <c r="G1858" s="1" t="s">
        <v>2642</v>
      </c>
      <c r="I1858" s="516"/>
      <c r="J1858" s="516"/>
      <c r="K1858" s="515">
        <v>45657.0</v>
      </c>
      <c r="P1858" s="1">
        <v>1233.3</v>
      </c>
      <c r="Q1858" s="1">
        <v>1665433.0</v>
      </c>
      <c r="S1858" s="517"/>
      <c r="V1858" s="1">
        <v>1666.67</v>
      </c>
      <c r="W1858" s="518">
        <f t="shared" si="1"/>
        <v>1665433</v>
      </c>
    </row>
    <row r="1859" hidden="1">
      <c r="C1859" s="515"/>
      <c r="G1859" s="1" t="s">
        <v>2643</v>
      </c>
      <c r="I1859" s="516"/>
      <c r="J1859" s="516"/>
      <c r="K1859" s="515">
        <v>44561.0</v>
      </c>
      <c r="P1859" s="1">
        <v>27000.0</v>
      </c>
      <c r="Q1859" s="1">
        <v>0.0</v>
      </c>
      <c r="S1859" s="517"/>
      <c r="V1859" s="1">
        <v>27.0</v>
      </c>
      <c r="W1859" s="518">
        <f t="shared" si="1"/>
        <v>0</v>
      </c>
    </row>
    <row r="1860" hidden="1">
      <c r="C1860" s="515"/>
      <c r="G1860" s="1" t="s">
        <v>2644</v>
      </c>
      <c r="I1860" s="516"/>
      <c r="J1860" s="516"/>
      <c r="K1860" s="515">
        <v>44747.0</v>
      </c>
      <c r="P1860" s="1">
        <v>5000.0</v>
      </c>
      <c r="Q1860" s="1">
        <v>0.0</v>
      </c>
      <c r="S1860" s="517"/>
      <c r="V1860" s="1">
        <v>5.0</v>
      </c>
      <c r="W1860" s="518">
        <f t="shared" si="1"/>
        <v>0</v>
      </c>
    </row>
    <row r="1861" hidden="1">
      <c r="C1861" s="515"/>
      <c r="G1861" s="1" t="s">
        <v>2645</v>
      </c>
      <c r="I1861" s="516"/>
      <c r="J1861" s="516"/>
      <c r="K1861" s="515">
        <v>44559.0</v>
      </c>
      <c r="P1861" s="1">
        <v>1000.0</v>
      </c>
      <c r="Q1861" s="1">
        <v>0.0</v>
      </c>
      <c r="S1861" s="517"/>
      <c r="V1861" s="1">
        <v>1.0</v>
      </c>
      <c r="W1861" s="518">
        <f t="shared" si="1"/>
        <v>0</v>
      </c>
    </row>
    <row r="1862" hidden="1">
      <c r="C1862" s="515"/>
      <c r="G1862" s="1" t="s">
        <v>2552</v>
      </c>
      <c r="I1862" s="516"/>
      <c r="J1862" s="516"/>
      <c r="K1862" s="515">
        <v>44742.0</v>
      </c>
      <c r="P1862" s="1">
        <v>2000.0</v>
      </c>
      <c r="Q1862" s="1">
        <v>0.0</v>
      </c>
      <c r="S1862" s="517"/>
      <c r="V1862" s="1">
        <v>2.0</v>
      </c>
      <c r="W1862" s="518">
        <f t="shared" si="1"/>
        <v>0</v>
      </c>
    </row>
    <row r="1863" hidden="1">
      <c r="C1863" s="515"/>
      <c r="G1863" s="1" t="s">
        <v>2607</v>
      </c>
      <c r="I1863" s="516"/>
      <c r="J1863" s="516"/>
      <c r="K1863" s="515">
        <v>44553.0</v>
      </c>
      <c r="P1863" s="1">
        <v>166666.7</v>
      </c>
      <c r="Q1863" s="1">
        <v>0.0</v>
      </c>
      <c r="S1863" s="517"/>
      <c r="V1863" s="1">
        <v>166.67</v>
      </c>
      <c r="W1863" s="518">
        <f t="shared" si="1"/>
        <v>0</v>
      </c>
    </row>
    <row r="1864" hidden="1">
      <c r="C1864" s="515"/>
      <c r="G1864" s="86" t="s">
        <v>2519</v>
      </c>
      <c r="I1864" s="516"/>
      <c r="J1864" s="516"/>
      <c r="K1864" s="515">
        <v>44546.0</v>
      </c>
      <c r="P1864" s="1">
        <v>5000.0</v>
      </c>
      <c r="Q1864" s="1">
        <v>0.0</v>
      </c>
      <c r="S1864" s="517"/>
      <c r="V1864" s="1">
        <v>5.0</v>
      </c>
      <c r="W1864" s="518">
        <f t="shared" si="1"/>
        <v>0</v>
      </c>
    </row>
    <row r="1865" hidden="1">
      <c r="C1865" s="515"/>
      <c r="G1865" s="1" t="s">
        <v>2646</v>
      </c>
      <c r="I1865" s="516"/>
      <c r="J1865" s="516"/>
      <c r="K1865" s="515">
        <v>44533.0</v>
      </c>
      <c r="P1865" s="1">
        <v>1000.0</v>
      </c>
      <c r="Q1865" s="1">
        <v>0.0</v>
      </c>
      <c r="S1865" s="517"/>
      <c r="V1865" s="1">
        <v>1.0</v>
      </c>
      <c r="W1865" s="518">
        <f t="shared" si="1"/>
        <v>0</v>
      </c>
    </row>
    <row r="1866" hidden="1">
      <c r="C1866" s="515"/>
      <c r="G1866" s="1" t="s">
        <v>2647</v>
      </c>
      <c r="I1866" s="516"/>
      <c r="J1866" s="516"/>
      <c r="K1866" s="515">
        <v>44517.0</v>
      </c>
      <c r="P1866" s="1">
        <v>2000.0</v>
      </c>
      <c r="Q1866" s="1">
        <v>0.0</v>
      </c>
      <c r="S1866" s="517"/>
      <c r="V1866" s="1">
        <v>2.0</v>
      </c>
      <c r="W1866" s="518">
        <f t="shared" si="1"/>
        <v>0</v>
      </c>
    </row>
    <row r="1867" hidden="1">
      <c r="C1867" s="515"/>
      <c r="G1867" s="1" t="s">
        <v>2442</v>
      </c>
      <c r="I1867" s="516"/>
      <c r="J1867" s="516"/>
      <c r="K1867" s="515">
        <v>46158.0</v>
      </c>
      <c r="P1867" s="1">
        <v>128000.0</v>
      </c>
      <c r="Q1867" s="1">
        <v>0.0</v>
      </c>
      <c r="S1867" s="517"/>
      <c r="V1867" s="1">
        <v>128.0</v>
      </c>
      <c r="W1867" s="518">
        <f t="shared" si="1"/>
        <v>0</v>
      </c>
    </row>
    <row r="1868" hidden="1">
      <c r="C1868" s="515"/>
      <c r="G1868" s="1" t="s">
        <v>2568</v>
      </c>
      <c r="I1868" s="516"/>
      <c r="J1868" s="516"/>
      <c r="K1868" s="515">
        <v>44664.0</v>
      </c>
      <c r="P1868" s="1">
        <v>46000.0</v>
      </c>
      <c r="Q1868" s="1">
        <v>0.0</v>
      </c>
      <c r="S1868" s="517"/>
      <c r="V1868" s="1">
        <v>46.0</v>
      </c>
      <c r="W1868" s="518">
        <f t="shared" si="1"/>
        <v>0</v>
      </c>
    </row>
    <row r="1869" hidden="1">
      <c r="C1869" s="515"/>
      <c r="G1869" s="86" t="s">
        <v>2519</v>
      </c>
      <c r="I1869" s="516"/>
      <c r="J1869" s="516"/>
      <c r="K1869" s="515">
        <v>44497.0</v>
      </c>
      <c r="P1869" s="1">
        <v>5000.0</v>
      </c>
      <c r="Q1869" s="1">
        <v>0.0</v>
      </c>
      <c r="S1869" s="517"/>
      <c r="V1869" s="1">
        <v>5.0</v>
      </c>
      <c r="W1869" s="518">
        <f t="shared" si="1"/>
        <v>0</v>
      </c>
    </row>
    <row r="1870" hidden="1">
      <c r="C1870" s="515"/>
      <c r="G1870" s="1" t="s">
        <v>2648</v>
      </c>
      <c r="I1870" s="516"/>
      <c r="J1870" s="516"/>
      <c r="K1870" s="515">
        <v>44495.0</v>
      </c>
      <c r="P1870" s="1">
        <v>10000.0</v>
      </c>
      <c r="Q1870" s="1">
        <v>0.0</v>
      </c>
      <c r="S1870" s="517"/>
      <c r="V1870" s="1">
        <v>10.0</v>
      </c>
      <c r="W1870" s="518">
        <f t="shared" si="1"/>
        <v>0</v>
      </c>
    </row>
    <row r="1871" hidden="1">
      <c r="C1871" s="515"/>
      <c r="G1871" s="1" t="s">
        <v>2649</v>
      </c>
      <c r="I1871" s="516"/>
      <c r="J1871" s="516"/>
      <c r="K1871" s="515">
        <v>44671.0</v>
      </c>
      <c r="P1871" s="1">
        <v>10000.0</v>
      </c>
      <c r="Q1871" s="1">
        <v>0.0</v>
      </c>
      <c r="S1871" s="517"/>
      <c r="V1871" s="1">
        <v>10.0</v>
      </c>
      <c r="W1871" s="518">
        <f t="shared" si="1"/>
        <v>0</v>
      </c>
    </row>
    <row r="1872" hidden="1">
      <c r="C1872" s="515"/>
      <c r="G1872" s="86" t="s">
        <v>2630</v>
      </c>
      <c r="I1872" s="516"/>
      <c r="J1872" s="516"/>
      <c r="K1872" s="515">
        <v>44485.0</v>
      </c>
      <c r="P1872" s="1">
        <v>30000.0</v>
      </c>
      <c r="Q1872" s="1">
        <v>0.0</v>
      </c>
      <c r="S1872" s="517"/>
      <c r="V1872" s="1">
        <v>30.0</v>
      </c>
      <c r="W1872" s="518">
        <f t="shared" si="1"/>
        <v>0</v>
      </c>
    </row>
    <row r="1873" hidden="1">
      <c r="C1873" s="515"/>
      <c r="G1873" s="1" t="s">
        <v>2650</v>
      </c>
      <c r="I1873" s="516"/>
      <c r="J1873" s="516"/>
      <c r="K1873" s="515">
        <v>44561.0</v>
      </c>
      <c r="P1873" s="1">
        <v>1000.0</v>
      </c>
      <c r="Q1873" s="1">
        <v>0.0</v>
      </c>
      <c r="S1873" s="517"/>
      <c r="V1873" s="1">
        <v>1.0</v>
      </c>
      <c r="W1873" s="518">
        <f t="shared" si="1"/>
        <v>0</v>
      </c>
    </row>
    <row r="1874" hidden="1">
      <c r="C1874" s="515"/>
      <c r="G1874" s="1" t="s">
        <v>2651</v>
      </c>
      <c r="I1874" s="516"/>
      <c r="J1874" s="516"/>
      <c r="K1874" s="515">
        <v>44470.0</v>
      </c>
      <c r="P1874" s="1">
        <v>55000.0</v>
      </c>
      <c r="Q1874" s="1">
        <v>0.0</v>
      </c>
      <c r="S1874" s="517"/>
      <c r="V1874" s="1">
        <v>55.0</v>
      </c>
      <c r="W1874" s="518">
        <f t="shared" si="1"/>
        <v>0</v>
      </c>
    </row>
    <row r="1875" hidden="1">
      <c r="C1875" s="515"/>
      <c r="G1875" s="1" t="s">
        <v>2615</v>
      </c>
      <c r="I1875" s="516"/>
      <c r="J1875" s="516"/>
      <c r="K1875" s="515">
        <v>44470.0</v>
      </c>
      <c r="P1875" s="1">
        <v>31000.0</v>
      </c>
      <c r="Q1875" s="1">
        <v>0.0</v>
      </c>
      <c r="S1875" s="517"/>
      <c r="V1875" s="1">
        <v>31.0</v>
      </c>
      <c r="W1875" s="518">
        <f t="shared" si="1"/>
        <v>0</v>
      </c>
    </row>
    <row r="1876" hidden="1">
      <c r="C1876" s="515"/>
      <c r="G1876" s="1" t="s">
        <v>2651</v>
      </c>
      <c r="I1876" s="516"/>
      <c r="J1876" s="516"/>
      <c r="K1876" s="515">
        <v>44562.0</v>
      </c>
      <c r="P1876" s="1">
        <v>55000.0</v>
      </c>
      <c r="Q1876" s="1">
        <v>0.0</v>
      </c>
      <c r="S1876" s="517"/>
      <c r="V1876" s="1">
        <v>55.0</v>
      </c>
      <c r="W1876" s="518">
        <f t="shared" si="1"/>
        <v>0</v>
      </c>
    </row>
    <row r="1877" hidden="1">
      <c r="C1877" s="515"/>
      <c r="G1877" s="1" t="s">
        <v>2651</v>
      </c>
      <c r="I1877" s="516"/>
      <c r="J1877" s="516"/>
      <c r="K1877" s="515">
        <v>44652.0</v>
      </c>
      <c r="P1877" s="1">
        <v>55000.0</v>
      </c>
      <c r="Q1877" s="1">
        <v>0.0</v>
      </c>
      <c r="S1877" s="517"/>
      <c r="V1877" s="1">
        <v>55.0</v>
      </c>
      <c r="W1877" s="518">
        <f t="shared" si="1"/>
        <v>0</v>
      </c>
    </row>
    <row r="1878" hidden="1">
      <c r="C1878" s="515"/>
      <c r="G1878" s="1" t="s">
        <v>2624</v>
      </c>
      <c r="I1878" s="516"/>
      <c r="J1878" s="516"/>
      <c r="K1878" s="515">
        <v>44561.0</v>
      </c>
      <c r="P1878" s="1">
        <v>5000.0</v>
      </c>
      <c r="Q1878" s="1">
        <v>0.0</v>
      </c>
      <c r="S1878" s="517"/>
      <c r="V1878" s="1">
        <v>5.0</v>
      </c>
      <c r="W1878" s="518">
        <f t="shared" si="1"/>
        <v>0</v>
      </c>
    </row>
    <row r="1879" hidden="1">
      <c r="C1879" s="515"/>
      <c r="G1879" s="1" t="s">
        <v>2652</v>
      </c>
      <c r="I1879" s="516"/>
      <c r="J1879" s="516"/>
      <c r="K1879" s="515">
        <v>44645.0</v>
      </c>
      <c r="P1879" s="1">
        <v>3720.0</v>
      </c>
      <c r="Q1879" s="1">
        <v>0.0</v>
      </c>
      <c r="S1879" s="517"/>
      <c r="V1879" s="1">
        <v>3.72</v>
      </c>
      <c r="W1879" s="518">
        <f t="shared" si="1"/>
        <v>0</v>
      </c>
    </row>
    <row r="1880" hidden="1">
      <c r="C1880" s="515"/>
      <c r="G1880" s="1" t="s">
        <v>2568</v>
      </c>
      <c r="I1880" s="516"/>
      <c r="J1880" s="516"/>
      <c r="K1880" s="515">
        <v>44428.0</v>
      </c>
      <c r="P1880" s="1">
        <v>12000.0</v>
      </c>
      <c r="Q1880" s="1">
        <v>0.0</v>
      </c>
      <c r="S1880" s="517"/>
      <c r="V1880" s="1">
        <v>12.0</v>
      </c>
      <c r="W1880" s="518">
        <f t="shared" si="1"/>
        <v>0</v>
      </c>
    </row>
    <row r="1881" hidden="1">
      <c r="C1881" s="515"/>
      <c r="G1881" s="1" t="s">
        <v>2653</v>
      </c>
      <c r="I1881" s="516"/>
      <c r="J1881" s="516"/>
      <c r="K1881" s="515">
        <v>44469.0</v>
      </c>
      <c r="P1881" s="1">
        <v>1041000.0</v>
      </c>
      <c r="Q1881" s="1">
        <v>0.0</v>
      </c>
      <c r="S1881" s="517"/>
      <c r="V1881" s="1">
        <v>1041.0</v>
      </c>
      <c r="W1881" s="518">
        <f t="shared" si="1"/>
        <v>0</v>
      </c>
    </row>
    <row r="1882" hidden="1">
      <c r="C1882" s="515"/>
      <c r="G1882" s="1" t="s">
        <v>2412</v>
      </c>
      <c r="I1882" s="516"/>
      <c r="J1882" s="516"/>
      <c r="K1882" s="515">
        <v>44928.0</v>
      </c>
      <c r="P1882" s="1">
        <v>10000.0</v>
      </c>
      <c r="Q1882" s="1">
        <v>0.0</v>
      </c>
      <c r="S1882" s="517"/>
      <c r="V1882" s="1">
        <v>10.0</v>
      </c>
      <c r="W1882" s="518">
        <f t="shared" si="1"/>
        <v>0</v>
      </c>
    </row>
    <row r="1883" hidden="1">
      <c r="C1883" s="515"/>
      <c r="G1883" s="1" t="s">
        <v>2498</v>
      </c>
      <c r="I1883" s="516"/>
      <c r="J1883" s="516"/>
      <c r="K1883" s="515">
        <v>44927.0</v>
      </c>
      <c r="P1883" s="1">
        <v>11000.0</v>
      </c>
      <c r="Q1883" s="1">
        <v>0.0</v>
      </c>
      <c r="S1883" s="517"/>
      <c r="V1883" s="1">
        <v>11.0</v>
      </c>
      <c r="W1883" s="518">
        <f t="shared" si="1"/>
        <v>0</v>
      </c>
    </row>
    <row r="1884" hidden="1">
      <c r="C1884" s="515"/>
      <c r="G1884" s="1" t="s">
        <v>2654</v>
      </c>
      <c r="I1884" s="516"/>
      <c r="J1884" s="516"/>
      <c r="K1884" s="515">
        <v>44926.0</v>
      </c>
      <c r="P1884" s="1">
        <v>83000.0</v>
      </c>
      <c r="Q1884" s="1">
        <v>0.0</v>
      </c>
      <c r="S1884" s="517"/>
      <c r="V1884" s="1">
        <v>83.0</v>
      </c>
      <c r="W1884" s="518">
        <f t="shared" si="1"/>
        <v>0</v>
      </c>
    </row>
    <row r="1885" hidden="1">
      <c r="C1885" s="515"/>
      <c r="G1885" s="1" t="s">
        <v>2655</v>
      </c>
      <c r="I1885" s="516"/>
      <c r="J1885" s="516"/>
      <c r="K1885" s="515">
        <v>44926.0</v>
      </c>
      <c r="P1885" s="1">
        <v>1000.0</v>
      </c>
      <c r="Q1885" s="1">
        <v>0.0</v>
      </c>
      <c r="S1885" s="517"/>
      <c r="V1885" s="1">
        <v>1.0</v>
      </c>
      <c r="W1885" s="518">
        <f t="shared" si="1"/>
        <v>0</v>
      </c>
    </row>
    <row r="1886" hidden="1">
      <c r="C1886" s="515"/>
      <c r="G1886" s="1" t="s">
        <v>2498</v>
      </c>
      <c r="I1886" s="516"/>
      <c r="J1886" s="516"/>
      <c r="K1886" s="515">
        <v>44926.0</v>
      </c>
      <c r="P1886" s="1">
        <v>5000.0</v>
      </c>
      <c r="Q1886" s="1">
        <v>0.0</v>
      </c>
      <c r="S1886" s="517"/>
      <c r="V1886" s="1">
        <v>5.0</v>
      </c>
      <c r="W1886" s="518">
        <f t="shared" si="1"/>
        <v>0</v>
      </c>
    </row>
    <row r="1887" hidden="1">
      <c r="C1887" s="515"/>
      <c r="G1887" s="1" t="s">
        <v>2656</v>
      </c>
      <c r="I1887" s="516"/>
      <c r="J1887" s="516"/>
      <c r="K1887" s="515">
        <v>44926.0</v>
      </c>
      <c r="P1887" s="1">
        <v>1000.0</v>
      </c>
      <c r="Q1887" s="1">
        <v>0.0</v>
      </c>
      <c r="S1887" s="517"/>
      <c r="V1887" s="1">
        <v>1.0</v>
      </c>
      <c r="W1887" s="518">
        <f t="shared" si="1"/>
        <v>0</v>
      </c>
    </row>
    <row r="1888" hidden="1">
      <c r="C1888" s="515"/>
      <c r="G1888" s="1" t="s">
        <v>2652</v>
      </c>
      <c r="I1888" s="516"/>
      <c r="J1888" s="516"/>
      <c r="K1888" s="515">
        <v>44926.0</v>
      </c>
      <c r="P1888" s="1">
        <v>4000.0</v>
      </c>
      <c r="Q1888" s="1">
        <v>0.0</v>
      </c>
      <c r="S1888" s="517"/>
      <c r="V1888" s="1">
        <v>4.0</v>
      </c>
      <c r="W1888" s="518">
        <f t="shared" si="1"/>
        <v>0</v>
      </c>
    </row>
    <row r="1889" hidden="1">
      <c r="C1889" s="515"/>
      <c r="G1889" s="1" t="s">
        <v>2657</v>
      </c>
      <c r="I1889" s="516"/>
      <c r="J1889" s="516"/>
      <c r="K1889" s="515">
        <v>44926.0</v>
      </c>
      <c r="P1889" s="1">
        <v>1000.0</v>
      </c>
      <c r="Q1889" s="1">
        <v>0.0</v>
      </c>
      <c r="S1889" s="517"/>
      <c r="V1889" s="1">
        <v>1.0</v>
      </c>
      <c r="W1889" s="518">
        <f t="shared" si="1"/>
        <v>0</v>
      </c>
    </row>
    <row r="1890">
      <c r="C1890" s="515"/>
      <c r="G1890" s="1" t="s">
        <v>2427</v>
      </c>
      <c r="I1890" s="516"/>
      <c r="J1890" s="516"/>
      <c r="K1890" s="515">
        <v>45657.0</v>
      </c>
      <c r="P1890" s="1">
        <v>52000.0</v>
      </c>
      <c r="Q1890" s="1">
        <v>0.0</v>
      </c>
      <c r="S1890" s="517"/>
      <c r="V1890" s="1">
        <v>52.0</v>
      </c>
      <c r="W1890" s="518">
        <f t="shared" si="1"/>
        <v>0</v>
      </c>
    </row>
    <row r="1891" hidden="1">
      <c r="C1891" s="515"/>
      <c r="G1891" s="1" t="s">
        <v>2635</v>
      </c>
      <c r="I1891" s="516"/>
      <c r="J1891" s="516"/>
      <c r="K1891" s="515">
        <v>44561.0</v>
      </c>
      <c r="P1891" s="1">
        <v>25285.6</v>
      </c>
      <c r="Q1891" s="1">
        <v>0.0</v>
      </c>
      <c r="S1891" s="517"/>
      <c r="V1891" s="1">
        <v>25.29</v>
      </c>
      <c r="W1891" s="518">
        <f t="shared" si="1"/>
        <v>0</v>
      </c>
    </row>
    <row r="1892" hidden="1">
      <c r="C1892" s="515"/>
      <c r="G1892" s="1" t="s">
        <v>2636</v>
      </c>
      <c r="I1892" s="516"/>
      <c r="J1892" s="516"/>
      <c r="K1892" s="515">
        <v>44372.0</v>
      </c>
      <c r="P1892" s="1">
        <v>2000000.0</v>
      </c>
      <c r="Q1892" s="1">
        <v>0.0</v>
      </c>
      <c r="S1892" s="517"/>
      <c r="V1892" s="1">
        <v>2000.0</v>
      </c>
      <c r="W1892" s="518">
        <f t="shared" si="1"/>
        <v>0</v>
      </c>
    </row>
    <row r="1893" hidden="1">
      <c r="C1893" s="515"/>
      <c r="G1893" s="1" t="s">
        <v>2552</v>
      </c>
      <c r="I1893" s="516"/>
      <c r="J1893" s="516"/>
      <c r="K1893" s="515">
        <v>44561.0</v>
      </c>
      <c r="P1893" s="1">
        <v>5000.0</v>
      </c>
      <c r="Q1893" s="1">
        <v>0.0</v>
      </c>
      <c r="S1893" s="517"/>
      <c r="V1893" s="1">
        <v>5.0</v>
      </c>
      <c r="W1893" s="518">
        <f t="shared" si="1"/>
        <v>0</v>
      </c>
    </row>
    <row r="1894" hidden="1">
      <c r="C1894" s="515"/>
      <c r="G1894" s="1" t="s">
        <v>2635</v>
      </c>
      <c r="I1894" s="516"/>
      <c r="J1894" s="516"/>
      <c r="K1894" s="515">
        <v>44377.0</v>
      </c>
      <c r="P1894" s="1">
        <v>2172.0</v>
      </c>
      <c r="Q1894" s="1">
        <v>0.0</v>
      </c>
      <c r="S1894" s="517"/>
      <c r="V1894" s="1">
        <v>2.17</v>
      </c>
      <c r="W1894" s="518">
        <f t="shared" si="1"/>
        <v>0</v>
      </c>
    </row>
    <row r="1895" hidden="1">
      <c r="C1895" s="515"/>
      <c r="G1895" s="1" t="s">
        <v>2637</v>
      </c>
      <c r="I1895" s="516"/>
      <c r="J1895" s="516"/>
      <c r="K1895" s="515">
        <v>44561.0</v>
      </c>
      <c r="P1895" s="1">
        <v>1000000.0</v>
      </c>
      <c r="Q1895" s="1">
        <v>0.0</v>
      </c>
      <c r="S1895" s="517"/>
      <c r="V1895" s="1">
        <v>1000.0</v>
      </c>
      <c r="W1895" s="518">
        <f t="shared" si="1"/>
        <v>0</v>
      </c>
    </row>
    <row r="1896" hidden="1">
      <c r="C1896" s="515"/>
      <c r="G1896" s="1" t="s">
        <v>2642</v>
      </c>
      <c r="I1896" s="516"/>
      <c r="J1896" s="516"/>
      <c r="K1896" s="515">
        <v>44377.0</v>
      </c>
      <c r="P1896" s="1">
        <v>416000.0</v>
      </c>
      <c r="Q1896" s="1">
        <v>0.0</v>
      </c>
      <c r="S1896" s="517"/>
      <c r="V1896" s="1">
        <v>416.0</v>
      </c>
      <c r="W1896" s="518">
        <f t="shared" si="1"/>
        <v>0</v>
      </c>
    </row>
    <row r="1897">
      <c r="C1897" s="515"/>
      <c r="G1897" s="1" t="s">
        <v>2658</v>
      </c>
      <c r="I1897" s="516"/>
      <c r="J1897" s="516"/>
      <c r="K1897" s="515">
        <v>45657.0</v>
      </c>
      <c r="P1897" s="1">
        <v>1000.0</v>
      </c>
      <c r="Q1897" s="1">
        <v>0.0</v>
      </c>
      <c r="S1897" s="517"/>
      <c r="V1897" s="1">
        <v>1.0</v>
      </c>
      <c r="W1897" s="518">
        <f t="shared" si="1"/>
        <v>0</v>
      </c>
    </row>
    <row r="1898">
      <c r="C1898" s="515"/>
      <c r="G1898" s="1" t="s">
        <v>2659</v>
      </c>
      <c r="I1898" s="516"/>
      <c r="J1898" s="516"/>
      <c r="K1898" s="515">
        <v>45657.0</v>
      </c>
      <c r="P1898" s="1">
        <v>1000.0</v>
      </c>
      <c r="Q1898" s="1">
        <v>0.0</v>
      </c>
      <c r="S1898" s="517"/>
      <c r="V1898" s="1">
        <v>1.0</v>
      </c>
      <c r="W1898" s="518">
        <f t="shared" si="1"/>
        <v>0</v>
      </c>
    </row>
    <row r="1899">
      <c r="C1899" s="515"/>
      <c r="G1899" s="1" t="s">
        <v>2660</v>
      </c>
      <c r="I1899" s="516"/>
      <c r="J1899" s="516"/>
      <c r="K1899" s="515">
        <v>45657.0</v>
      </c>
      <c r="P1899" s="1">
        <v>1000.0</v>
      </c>
      <c r="Q1899" s="1">
        <v>0.0</v>
      </c>
      <c r="S1899" s="517"/>
      <c r="V1899" s="1">
        <v>1.0</v>
      </c>
      <c r="W1899" s="518">
        <f t="shared" si="1"/>
        <v>0</v>
      </c>
    </row>
    <row r="1900">
      <c r="C1900" s="515"/>
      <c r="G1900" s="1" t="s">
        <v>2661</v>
      </c>
      <c r="I1900" s="516"/>
      <c r="J1900" s="516"/>
      <c r="K1900" s="515">
        <v>45657.0</v>
      </c>
      <c r="P1900" s="1">
        <v>1000.0</v>
      </c>
      <c r="Q1900" s="1">
        <v>0.0</v>
      </c>
      <c r="S1900" s="517"/>
      <c r="V1900" s="1">
        <v>1.0</v>
      </c>
      <c r="W1900" s="518">
        <f t="shared" si="1"/>
        <v>0</v>
      </c>
    </row>
    <row r="1901">
      <c r="C1901" s="515"/>
      <c r="G1901" s="1" t="s">
        <v>2662</v>
      </c>
      <c r="I1901" s="516"/>
      <c r="J1901" s="516"/>
      <c r="K1901" s="515">
        <v>45657.0</v>
      </c>
      <c r="P1901" s="1">
        <v>1000.0</v>
      </c>
      <c r="Q1901" s="1">
        <v>0.0</v>
      </c>
      <c r="S1901" s="517"/>
      <c r="V1901" s="1">
        <v>1.0</v>
      </c>
      <c r="W1901" s="518">
        <f t="shared" si="1"/>
        <v>0</v>
      </c>
    </row>
    <row r="1902">
      <c r="C1902" s="515"/>
      <c r="G1902" s="1" t="s">
        <v>2663</v>
      </c>
      <c r="I1902" s="516"/>
      <c r="J1902" s="516"/>
      <c r="K1902" s="515">
        <v>45657.0</v>
      </c>
      <c r="P1902" s="1">
        <v>1000.0</v>
      </c>
      <c r="Q1902" s="1">
        <v>0.0</v>
      </c>
      <c r="S1902" s="517"/>
      <c r="V1902" s="1">
        <v>1.0</v>
      </c>
      <c r="W1902" s="518">
        <f t="shared" si="1"/>
        <v>0</v>
      </c>
    </row>
    <row r="1903">
      <c r="C1903" s="515"/>
      <c r="G1903" s="1" t="s">
        <v>2427</v>
      </c>
      <c r="I1903" s="516"/>
      <c r="J1903" s="516"/>
      <c r="K1903" s="515">
        <v>45657.0</v>
      </c>
      <c r="P1903" s="1">
        <v>1000.0</v>
      </c>
      <c r="Q1903" s="1">
        <v>0.0</v>
      </c>
      <c r="S1903" s="517"/>
      <c r="V1903" s="1">
        <v>1.0</v>
      </c>
      <c r="W1903" s="518">
        <f t="shared" si="1"/>
        <v>0</v>
      </c>
    </row>
    <row r="1904">
      <c r="C1904" s="515"/>
      <c r="G1904" s="1" t="s">
        <v>2664</v>
      </c>
      <c r="I1904" s="516"/>
      <c r="J1904" s="516"/>
      <c r="K1904" s="515">
        <v>45657.0</v>
      </c>
      <c r="P1904" s="1">
        <v>1000.0</v>
      </c>
      <c r="Q1904" s="1">
        <v>0.0</v>
      </c>
      <c r="S1904" s="517"/>
      <c r="V1904" s="1">
        <v>1.0</v>
      </c>
      <c r="W1904" s="518">
        <f t="shared" si="1"/>
        <v>0</v>
      </c>
    </row>
    <row r="1905">
      <c r="C1905" s="515"/>
      <c r="G1905" s="1" t="s">
        <v>2665</v>
      </c>
      <c r="I1905" s="516"/>
      <c r="J1905" s="516"/>
      <c r="K1905" s="515">
        <v>45657.0</v>
      </c>
      <c r="P1905" s="1">
        <v>1000.0</v>
      </c>
      <c r="Q1905" s="1">
        <v>0.0</v>
      </c>
      <c r="S1905" s="517"/>
      <c r="V1905" s="1">
        <v>1.0</v>
      </c>
      <c r="W1905" s="518">
        <f t="shared" si="1"/>
        <v>0</v>
      </c>
    </row>
    <row r="1906" hidden="1">
      <c r="C1906" s="515"/>
      <c r="G1906" s="1" t="s">
        <v>2508</v>
      </c>
      <c r="I1906" s="516"/>
      <c r="J1906" s="516"/>
      <c r="K1906" s="515"/>
      <c r="P1906" s="1">
        <v>0.0</v>
      </c>
      <c r="Q1906" s="1" t="s">
        <v>2404</v>
      </c>
      <c r="S1906" s="517"/>
      <c r="V1906" s="1">
        <v>0.17</v>
      </c>
      <c r="W1906" s="518">
        <f t="shared" si="1"/>
        <v>170</v>
      </c>
    </row>
    <row r="1907" hidden="1">
      <c r="C1907" s="515"/>
      <c r="G1907" s="1" t="s">
        <v>2508</v>
      </c>
      <c r="I1907" s="516"/>
      <c r="J1907" s="516"/>
      <c r="K1907" s="515"/>
      <c r="P1907" s="1">
        <v>0.0</v>
      </c>
      <c r="Q1907" s="1" t="s">
        <v>2404</v>
      </c>
      <c r="S1907" s="517"/>
      <c r="V1907" s="1">
        <v>0.17</v>
      </c>
      <c r="W1907" s="518">
        <f t="shared" si="1"/>
        <v>170</v>
      </c>
    </row>
    <row r="1908" hidden="1">
      <c r="C1908" s="515"/>
      <c r="G1908" s="1" t="s">
        <v>2509</v>
      </c>
      <c r="I1908" s="516"/>
      <c r="J1908" s="516"/>
      <c r="K1908" s="515"/>
      <c r="P1908" s="1">
        <v>0.0</v>
      </c>
      <c r="Q1908" s="1" t="s">
        <v>2404</v>
      </c>
      <c r="S1908" s="517"/>
      <c r="V1908" s="1">
        <v>0.08</v>
      </c>
      <c r="W1908" s="518">
        <f t="shared" si="1"/>
        <v>80</v>
      </c>
    </row>
    <row r="1909" hidden="1">
      <c r="C1909" s="515"/>
      <c r="G1909" s="1" t="s">
        <v>2510</v>
      </c>
      <c r="I1909" s="516"/>
      <c r="J1909" s="516"/>
      <c r="K1909" s="515"/>
      <c r="P1909" s="1">
        <v>0.0</v>
      </c>
      <c r="Q1909" s="1" t="s">
        <v>2404</v>
      </c>
      <c r="S1909" s="517"/>
      <c r="V1909" s="1">
        <v>0.08</v>
      </c>
      <c r="W1909" s="518">
        <f t="shared" si="1"/>
        <v>80</v>
      </c>
    </row>
    <row r="1910" hidden="1">
      <c r="C1910" s="515"/>
      <c r="G1910" s="1" t="s">
        <v>2511</v>
      </c>
      <c r="I1910" s="516"/>
      <c r="J1910" s="516"/>
      <c r="K1910" s="515"/>
      <c r="P1910" s="1">
        <v>0.0</v>
      </c>
      <c r="Q1910" s="1" t="s">
        <v>2404</v>
      </c>
      <c r="S1910" s="517"/>
      <c r="V1910" s="1">
        <v>0.04</v>
      </c>
      <c r="W1910" s="518">
        <f t="shared" si="1"/>
        <v>40</v>
      </c>
    </row>
    <row r="1911" hidden="1">
      <c r="C1911" s="515"/>
      <c r="G1911" s="1" t="s">
        <v>2511</v>
      </c>
      <c r="I1911" s="516"/>
      <c r="J1911" s="516"/>
      <c r="K1911" s="515"/>
      <c r="P1911" s="1">
        <v>0.0</v>
      </c>
      <c r="Q1911" s="1" t="s">
        <v>2404</v>
      </c>
      <c r="S1911" s="517"/>
      <c r="V1911" s="1">
        <v>0.04</v>
      </c>
      <c r="W1911" s="518">
        <f t="shared" si="1"/>
        <v>40</v>
      </c>
    </row>
    <row r="1912" hidden="1">
      <c r="C1912" s="515"/>
      <c r="G1912" s="1" t="s">
        <v>2512</v>
      </c>
      <c r="I1912" s="516"/>
      <c r="J1912" s="516"/>
      <c r="K1912" s="515"/>
      <c r="P1912" s="1">
        <v>0.0</v>
      </c>
      <c r="Q1912" s="1" t="s">
        <v>2404</v>
      </c>
      <c r="S1912" s="517"/>
      <c r="V1912" s="1">
        <v>0.08</v>
      </c>
      <c r="W1912" s="518">
        <f t="shared" si="1"/>
        <v>80</v>
      </c>
    </row>
    <row r="1913" hidden="1">
      <c r="C1913" s="515"/>
      <c r="G1913" s="1" t="s">
        <v>2512</v>
      </c>
      <c r="I1913" s="516"/>
      <c r="J1913" s="516"/>
      <c r="K1913" s="515"/>
      <c r="P1913" s="1">
        <v>0.0</v>
      </c>
      <c r="Q1913" s="1" t="s">
        <v>2404</v>
      </c>
      <c r="S1913" s="517"/>
      <c r="V1913" s="1">
        <v>0.08</v>
      </c>
      <c r="W1913" s="518">
        <f t="shared" si="1"/>
        <v>80</v>
      </c>
    </row>
    <row r="1914" hidden="1">
      <c r="C1914" s="515"/>
      <c r="G1914" s="1" t="s">
        <v>2505</v>
      </c>
      <c r="I1914" s="516"/>
      <c r="J1914" s="516"/>
      <c r="K1914" s="515"/>
      <c r="P1914" s="1">
        <v>0.0</v>
      </c>
      <c r="Q1914" s="1" t="s">
        <v>2404</v>
      </c>
      <c r="S1914" s="517"/>
      <c r="V1914" s="1">
        <v>0.13</v>
      </c>
      <c r="W1914" s="518">
        <f t="shared" si="1"/>
        <v>130</v>
      </c>
    </row>
    <row r="1915" hidden="1">
      <c r="C1915" s="515"/>
      <c r="G1915" s="1" t="s">
        <v>2505</v>
      </c>
      <c r="I1915" s="516"/>
      <c r="J1915" s="516"/>
      <c r="K1915" s="515"/>
      <c r="P1915" s="1">
        <v>0.0</v>
      </c>
      <c r="Q1915" s="1" t="s">
        <v>2404</v>
      </c>
      <c r="S1915" s="517"/>
      <c r="V1915" s="1">
        <v>0.13</v>
      </c>
      <c r="W1915" s="518">
        <f t="shared" si="1"/>
        <v>130</v>
      </c>
    </row>
    <row r="1916" hidden="1">
      <c r="C1916" s="515"/>
      <c r="G1916" s="1" t="s">
        <v>2506</v>
      </c>
      <c r="I1916" s="516"/>
      <c r="J1916" s="516"/>
      <c r="K1916" s="515"/>
      <c r="P1916" s="1">
        <v>0.0</v>
      </c>
      <c r="Q1916" s="1" t="s">
        <v>2404</v>
      </c>
      <c r="S1916" s="517"/>
      <c r="V1916" s="1">
        <v>0.04</v>
      </c>
      <c r="W1916" s="518">
        <f t="shared" si="1"/>
        <v>40</v>
      </c>
    </row>
    <row r="1917" hidden="1">
      <c r="C1917" s="515"/>
      <c r="G1917" s="1" t="s">
        <v>2506</v>
      </c>
      <c r="I1917" s="516"/>
      <c r="J1917" s="516"/>
      <c r="K1917" s="515"/>
      <c r="P1917" s="1">
        <v>0.0</v>
      </c>
      <c r="Q1917" s="1" t="s">
        <v>2404</v>
      </c>
      <c r="S1917" s="517"/>
      <c r="V1917" s="1">
        <v>0.04</v>
      </c>
      <c r="W1917" s="518">
        <f t="shared" si="1"/>
        <v>40</v>
      </c>
    </row>
    <row r="1918" hidden="1">
      <c r="C1918" s="515"/>
      <c r="G1918" s="1" t="s">
        <v>2507</v>
      </c>
      <c r="I1918" s="516"/>
      <c r="J1918" s="516"/>
      <c r="K1918" s="515"/>
      <c r="P1918" s="1">
        <v>0.0</v>
      </c>
      <c r="Q1918" s="1" t="s">
        <v>2404</v>
      </c>
      <c r="S1918" s="517"/>
      <c r="V1918" s="1">
        <v>0.08</v>
      </c>
      <c r="W1918" s="518">
        <f t="shared" si="1"/>
        <v>80</v>
      </c>
    </row>
    <row r="1919" hidden="1">
      <c r="C1919" s="515"/>
      <c r="G1919" s="1" t="s">
        <v>2507</v>
      </c>
      <c r="I1919" s="516"/>
      <c r="J1919" s="516"/>
      <c r="K1919" s="515"/>
      <c r="P1919" s="1">
        <v>0.0</v>
      </c>
      <c r="Q1919" s="1" t="s">
        <v>2404</v>
      </c>
      <c r="S1919" s="517"/>
      <c r="V1919" s="1">
        <v>0.08</v>
      </c>
      <c r="W1919" s="518">
        <f t="shared" si="1"/>
        <v>80</v>
      </c>
    </row>
    <row r="1920">
      <c r="C1920" s="515"/>
      <c r="G1920" s="1"/>
      <c r="I1920" s="516"/>
      <c r="J1920" s="516"/>
      <c r="K1920" s="515"/>
      <c r="P1920" s="1"/>
      <c r="Q1920" s="1"/>
      <c r="S1920" s="517"/>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5" max="5" width="12.5"/>
    <col customWidth="1" min="6" max="10" width="15.13"/>
  </cols>
  <sheetData>
    <row r="1">
      <c r="A1" s="519"/>
      <c r="B1" s="4"/>
      <c r="C1" s="4" t="s">
        <v>2666</v>
      </c>
      <c r="E1" s="7"/>
      <c r="F1" s="207" t="s">
        <v>2667</v>
      </c>
      <c r="G1" s="6"/>
      <c r="H1" s="6"/>
      <c r="I1" s="492"/>
      <c r="J1" s="492"/>
      <c r="K1" s="492"/>
      <c r="L1" s="492"/>
      <c r="M1" s="492"/>
      <c r="N1" s="492"/>
      <c r="O1" s="207" t="s">
        <v>2668</v>
      </c>
      <c r="P1" s="492"/>
      <c r="Q1" s="492"/>
      <c r="R1" s="492"/>
      <c r="S1" s="492"/>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row>
    <row r="2">
      <c r="A2" s="519"/>
      <c r="B2" s="4"/>
      <c r="C2" s="6" t="s">
        <v>2392</v>
      </c>
      <c r="D2" s="6" t="s">
        <v>2397</v>
      </c>
      <c r="E2" s="7"/>
      <c r="F2" s="520" t="s">
        <v>2637</v>
      </c>
      <c r="G2" s="520" t="s">
        <v>2636</v>
      </c>
      <c r="H2" s="520" t="s">
        <v>2612</v>
      </c>
      <c r="I2" s="521" t="s">
        <v>2442</v>
      </c>
      <c r="J2" s="521" t="s">
        <v>2630</v>
      </c>
      <c r="K2" s="521" t="s">
        <v>2607</v>
      </c>
      <c r="L2" s="521" t="s">
        <v>2639</v>
      </c>
      <c r="M2" s="492"/>
      <c r="N2" s="521" t="s">
        <v>2638</v>
      </c>
      <c r="O2" s="521" t="s">
        <v>2636</v>
      </c>
      <c r="P2" s="521" t="s">
        <v>2442</v>
      </c>
      <c r="Q2" s="521" t="s">
        <v>2612</v>
      </c>
      <c r="R2" s="521" t="s">
        <v>2630</v>
      </c>
      <c r="S2" s="521" t="s">
        <v>2607</v>
      </c>
      <c r="T2" s="521" t="s">
        <v>2637</v>
      </c>
      <c r="U2" s="521" t="s">
        <v>2639</v>
      </c>
      <c r="V2" s="521" t="s">
        <v>2617</v>
      </c>
      <c r="W2" s="521" t="s">
        <v>2624</v>
      </c>
      <c r="X2" s="521" t="s">
        <v>2427</v>
      </c>
      <c r="Y2" s="521" t="s">
        <v>2520</v>
      </c>
      <c r="Z2" s="521" t="s">
        <v>2621</v>
      </c>
      <c r="AA2" s="521" t="s">
        <v>2633</v>
      </c>
      <c r="AB2" s="521" t="s">
        <v>2642</v>
      </c>
      <c r="AC2" s="521" t="s">
        <v>2582</v>
      </c>
      <c r="AD2" s="521" t="s">
        <v>2519</v>
      </c>
      <c r="AE2" s="521" t="s">
        <v>2552</v>
      </c>
      <c r="AF2" s="521" t="s">
        <v>2615</v>
      </c>
      <c r="AG2" s="521" t="s">
        <v>2623</v>
      </c>
      <c r="AH2" s="521" t="s">
        <v>2608</v>
      </c>
      <c r="AI2" s="521" t="s">
        <v>2625</v>
      </c>
      <c r="AJ2" s="521" t="s">
        <v>2626</v>
      </c>
      <c r="AK2" s="521" t="s">
        <v>2631</v>
      </c>
      <c r="AL2" s="521" t="s">
        <v>2529</v>
      </c>
      <c r="AM2" s="521" t="s">
        <v>2634</v>
      </c>
      <c r="AN2" s="521" t="s">
        <v>2602</v>
      </c>
      <c r="AO2" s="521" t="s">
        <v>2445</v>
      </c>
      <c r="AP2" s="521" t="s">
        <v>2574</v>
      </c>
      <c r="AQ2" s="521" t="s">
        <v>2567</v>
      </c>
      <c r="AR2" s="521" t="s">
        <v>2573</v>
      </c>
      <c r="AS2" s="521" t="s">
        <v>2593</v>
      </c>
      <c r="AT2" s="521" t="s">
        <v>2595</v>
      </c>
      <c r="AU2" s="521" t="s">
        <v>2528</v>
      </c>
      <c r="AV2" s="521" t="s">
        <v>2570</v>
      </c>
      <c r="AW2" s="521" t="s">
        <v>2571</v>
      </c>
      <c r="AX2" s="521" t="s">
        <v>2599</v>
      </c>
      <c r="AY2" s="521" t="s">
        <v>2606</v>
      </c>
      <c r="AZ2" s="521" t="s">
        <v>2578</v>
      </c>
      <c r="BA2" s="521" t="s">
        <v>2586</v>
      </c>
      <c r="BB2" s="521" t="s">
        <v>2587</v>
      </c>
      <c r="BC2" s="521" t="s">
        <v>2532</v>
      </c>
      <c r="BD2" s="521" t="s">
        <v>2516</v>
      </c>
      <c r="BE2" s="521" t="s">
        <v>2557</v>
      </c>
      <c r="BF2" s="521" t="s">
        <v>2514</v>
      </c>
      <c r="BG2" s="521" t="s">
        <v>2533</v>
      </c>
      <c r="BH2" s="521" t="s">
        <v>2546</v>
      </c>
      <c r="BI2" s="521" t="s">
        <v>2538</v>
      </c>
    </row>
    <row r="3">
      <c r="A3" s="522">
        <v>44927.0</v>
      </c>
      <c r="B3" s="523">
        <v>45291.0</v>
      </c>
      <c r="C3" s="8">
        <f>SUMIFS('Airtable Sales Data'!$P:$P,'Airtable Sales Data'!$K:$K, "&gt;="&amp;$A3,'Airtable Sales Data'!$K:$K,"&lt;="&amp;$B3)/1000</f>
        <v>298.2786</v>
      </c>
      <c r="D3" s="524">
        <f>SUMIFS('Airtable Sales Data'!$W:$W,'Airtable Sales Data'!$K:$K, "&gt;="&amp;$A3,'Airtable Sales Data'!$K:$K,"&lt;="&amp;$B3)/1000+100</f>
        <v>2328.189</v>
      </c>
      <c r="E3" s="382">
        <f t="shared" ref="E3:E6" si="1">sum(C3:D3)</f>
        <v>2626.4676</v>
      </c>
      <c r="F3" s="8">
        <f>SUMIFS('Airtable Sales Data'!$W:$W,'Airtable Sales Data'!$K:$K, "&gt;="&amp;$A3,'Airtable Sales Data'!$K:$K,"&lt;="&amp;$B3, 'Airtable Sales Data'!$G:$G, F$2)/1000</f>
        <v>939.449</v>
      </c>
      <c r="G3" s="8">
        <f>SUMIFS('Airtable Sales Data'!$W:$W,'Airtable Sales Data'!$K:$K, "&gt;"&amp;$B2,'Airtable Sales Data'!$K:$K,"&lt;="&amp;$B3, 'Airtable Sales Data'!$G:$G, G$2)/1000</f>
        <v>0</v>
      </c>
      <c r="H3" s="8">
        <f>SUMIFS('Airtable Sales Data'!$W:$W,'Airtable Sales Data'!$K:$K, "&gt;="&amp;$A3,'Airtable Sales Data'!$K:$K,"&lt;="&amp;$B3, 'Airtable Sales Data'!$G:$G, H$2)/1000</f>
        <v>430.072</v>
      </c>
      <c r="I3" s="8">
        <f>SUMIFS('Airtable Sales Data'!$W:$W,'Airtable Sales Data'!$K:$K, "&gt;="&amp;$A3,'Airtable Sales Data'!$K:$K,"&lt;="&amp;$B3, 'Airtable Sales Data'!$G:$G, I$2)/1000</f>
        <v>306.2</v>
      </c>
      <c r="J3" s="8">
        <f>SUMIFS('Airtable Sales Data'!$W:$W,'Airtable Sales Data'!$K:$K, "&gt;="&amp;$A3,'Airtable Sales Data'!$K:$K,"&lt;="&amp;$B3, 'Airtable Sales Data'!$G:$G, J$2)/1000</f>
        <v>46.056</v>
      </c>
      <c r="K3" s="8">
        <f>SUMIFS('Airtable Sales Data'!$W:$W,'Airtable Sales Data'!$K:$K, "&gt;="&amp;$A3,'Airtable Sales Data'!$K:$K,"&lt;="&amp;$B3, 'Airtable Sales Data'!$G:$G, K$2)/1000</f>
        <v>233.075</v>
      </c>
      <c r="L3" s="8">
        <f>SUMIFS('Airtable Sales Data'!$W:$W,'Airtable Sales Data'!$K:$K, "&gt;="&amp;$A3,'Airtable Sales Data'!$K:$K,"&lt;="&amp;$B3, 'Airtable Sales Data'!$G:$G, L$2)/1000</f>
        <v>73.337</v>
      </c>
      <c r="M3" s="172"/>
      <c r="N3" s="8">
        <f>SUMIFS('Airtable Sales Data'!$W:$W,'Airtable Sales Data'!$K:$K, "&gt;="&amp;$A3,'Airtable Sales Data'!$K:$K,"&lt;="&amp;$B3, 'Airtable Sales Data'!$G:$G, N$2)/1000</f>
        <v>0</v>
      </c>
      <c r="O3" s="8">
        <f>SUMIFS('Airtable Sales Data'!$W:$W,'Airtable Sales Data'!$K:$K, "&gt;="&amp;$A3,'Airtable Sales Data'!$K:$K,"&lt;="&amp;$B3, 'Airtable Sales Data'!$G:$G, O$2)/1000</f>
        <v>200</v>
      </c>
      <c r="P3" s="8">
        <f>SUMIFS('Airtable Sales Data'!$W:$W,'Airtable Sales Data'!$K:$K, "&gt;="&amp;$A3,'Airtable Sales Data'!$K:$K,"&lt;="&amp;$B3, 'Airtable Sales Data'!$G:$G, P$2)/1000</f>
        <v>306.2</v>
      </c>
      <c r="Q3" s="8">
        <f>SUMIFS('Airtable Sales Data'!$W:$W,'Airtable Sales Data'!$K:$K, "&gt;="&amp;$A3,'Airtable Sales Data'!$K:$K,"&lt;="&amp;$B3, 'Airtable Sales Data'!$G:$G, Q$2)/1000</f>
        <v>430.072</v>
      </c>
      <c r="R3" s="8">
        <f>SUMIFS('Airtable Sales Data'!$W:$W,'Airtable Sales Data'!$K:$K, "&gt;="&amp;$A3,'Airtable Sales Data'!$K:$K,"&lt;="&amp;$B3, 'Airtable Sales Data'!$G:$G, R$2)/1000</f>
        <v>46.056</v>
      </c>
      <c r="S3" s="8">
        <f>SUMIFS('Airtable Sales Data'!$W:$W,'Airtable Sales Data'!$K:$K, "&gt;="&amp;$A3,'Airtable Sales Data'!$K:$K,"&lt;="&amp;$B3, 'Airtable Sales Data'!$G:$G, S$2)/1000</f>
        <v>233.075</v>
      </c>
      <c r="T3" s="8">
        <f>SUMIFS('Airtable Sales Data'!$W:$W,'Airtable Sales Data'!$K:$K, "&gt;="&amp;$A3,'Airtable Sales Data'!$K:$K,"&lt;="&amp;$B3, 'Airtable Sales Data'!$G:$G, T$2)/1000</f>
        <v>939.449</v>
      </c>
      <c r="U3" s="8">
        <f>SUMIFS('Airtable Sales Data'!$W:$W,'Airtable Sales Data'!$K:$K, "&gt;="&amp;$A3,'Airtable Sales Data'!$K:$K,"&lt;="&amp;$B3, 'Airtable Sales Data'!$G:$G, U$2)/1000</f>
        <v>73.337</v>
      </c>
      <c r="V3" s="8">
        <f>SUMIFS('Airtable Sales Data'!$W:$W,'Airtable Sales Data'!$K:$K, "&gt;="&amp;$A3,'Airtable Sales Data'!$K:$K,"&lt;="&amp;$B3, 'Airtable Sales Data'!$G:$G, V$2)/1000</f>
        <v>0</v>
      </c>
      <c r="W3" s="8">
        <f>SUMIFS('Airtable Sales Data'!$W:$W,'Airtable Sales Data'!$K:$K, "&gt;="&amp;$A3,'Airtable Sales Data'!$K:$K,"&lt;="&amp;$B3, 'Airtable Sales Data'!$G:$G, W$2)/1000</f>
        <v>0</v>
      </c>
      <c r="X3" s="8">
        <f>SUMIFS('Airtable Sales Data'!$W:$W,'Airtable Sales Data'!$K:$K, "&gt;="&amp;$A3,'Airtable Sales Data'!$K:$K,"&lt;="&amp;$B3, 'Airtable Sales Data'!$G:$G, X$2)/1000</f>
        <v>0</v>
      </c>
      <c r="Y3" s="8">
        <f>SUMIFS('Airtable Sales Data'!$W:$W,'Airtable Sales Data'!$K:$K, "&gt;="&amp;$A3,'Airtable Sales Data'!$K:$K,"&lt;="&amp;$B3, 'Airtable Sales Data'!$G:$G, Y$2)/1000</f>
        <v>0</v>
      </c>
      <c r="Z3" s="8">
        <f>SUMIFS('Airtable Sales Data'!$W:$W,'Airtable Sales Data'!$K:$K, "&gt;="&amp;$A3,'Airtable Sales Data'!$K:$K,"&lt;="&amp;$B3, 'Airtable Sales Data'!$G:$G, Z$2)/1000</f>
        <v>0</v>
      </c>
      <c r="AA3" s="8">
        <f>SUMIFS('Airtable Sales Data'!$W:$W,'Airtable Sales Data'!$K:$K, "&gt;="&amp;$A3,'Airtable Sales Data'!$K:$K,"&lt;="&amp;$B3, 'Airtable Sales Data'!$G:$G, AA$2)/1000</f>
        <v>0</v>
      </c>
      <c r="AB3" s="8">
        <f>SUMIFS('Airtable Sales Data'!$W:$W,'Airtable Sales Data'!$K:$K, "&gt;="&amp;$A3,'Airtable Sales Data'!$K:$K,"&lt;="&amp;$B3, 'Airtable Sales Data'!$G:$G, AB$2)/1000</f>
        <v>0</v>
      </c>
      <c r="AC3" s="8">
        <f>SUMIFS('Airtable Sales Data'!$W:$W,'Airtable Sales Data'!$K:$K, "&gt;="&amp;$A3,'Airtable Sales Data'!$K:$K,"&lt;="&amp;$B3, 'Airtable Sales Data'!$G:$G, AC$2)/1000</f>
        <v>0</v>
      </c>
      <c r="AD3" s="8">
        <f>SUMIFS('Airtable Sales Data'!$W:$W,'Airtable Sales Data'!$K:$K, "&gt;="&amp;$A3,'Airtable Sales Data'!$K:$K,"&lt;="&amp;$B3, 'Airtable Sales Data'!$G:$G, AD$2)/1000</f>
        <v>0</v>
      </c>
      <c r="AE3" s="8">
        <f>SUMIFS('Airtable Sales Data'!$W:$W,'Airtable Sales Data'!$K:$K, "&gt;="&amp;$A3,'Airtable Sales Data'!$K:$K,"&lt;="&amp;$B3, 'Airtable Sales Data'!$G:$G, AE$2)/1000</f>
        <v>0</v>
      </c>
      <c r="AF3" s="8">
        <f>SUMIFS('Airtable Sales Data'!$W:$W,'Airtable Sales Data'!$K:$K, "&gt;="&amp;$A3,'Airtable Sales Data'!$K:$K,"&lt;="&amp;$B3, 'Airtable Sales Data'!$G:$G, AF$2)/1000</f>
        <v>0</v>
      </c>
      <c r="AG3" s="8">
        <f>SUMIFS('Airtable Sales Data'!$W:$W,'Airtable Sales Data'!$K:$K, "&gt;="&amp;$A3,'Airtable Sales Data'!$K:$K,"&lt;="&amp;$B3, 'Airtable Sales Data'!$G:$G, AG$2)/1000</f>
        <v>0</v>
      </c>
      <c r="AH3" s="8">
        <f>SUMIFS('Airtable Sales Data'!$W:$W,'Airtable Sales Data'!$K:$K, "&gt;="&amp;$A3,'Airtable Sales Data'!$K:$K,"&lt;="&amp;$B3, 'Airtable Sales Data'!$G:$G, AH$2)/1000</f>
        <v>0</v>
      </c>
      <c r="AI3" s="8">
        <f>SUMIFS('Airtable Sales Data'!$W:$W,'Airtable Sales Data'!$K:$K, "&gt;="&amp;$A3,'Airtable Sales Data'!$K:$K,"&lt;="&amp;$B3, 'Airtable Sales Data'!$G:$G, AI$2)/1000</f>
        <v>0</v>
      </c>
      <c r="AJ3" s="8">
        <f>SUMIFS('Airtable Sales Data'!$W:$W,'Airtable Sales Data'!$K:$K, "&gt;="&amp;$A3,'Airtable Sales Data'!$K:$K,"&lt;="&amp;$B3, 'Airtable Sales Data'!$G:$G, AJ$2)/1000</f>
        <v>0</v>
      </c>
      <c r="AK3" s="8">
        <f>SUMIFS('Airtable Sales Data'!$W:$W,'Airtable Sales Data'!$K:$K, "&gt;="&amp;$A3,'Airtable Sales Data'!$K:$K,"&lt;="&amp;$B3, 'Airtable Sales Data'!$G:$G, AK$2)/1000</f>
        <v>0</v>
      </c>
      <c r="AL3" s="8">
        <f>SUMIFS('Airtable Sales Data'!$W:$W,'Airtable Sales Data'!$K:$K, "&gt;="&amp;$A3,'Airtable Sales Data'!$K:$K,"&lt;="&amp;$B3, 'Airtable Sales Data'!$G:$G, AL$2)/1000</f>
        <v>0</v>
      </c>
      <c r="AM3" s="8">
        <f>SUMIFS('Airtable Sales Data'!$W:$W,'Airtable Sales Data'!$K:$K, "&gt;="&amp;$A3,'Airtable Sales Data'!$K:$K,"&lt;="&amp;$B3, 'Airtable Sales Data'!$G:$G, AM$2)/1000</f>
        <v>0</v>
      </c>
      <c r="AN3" s="8">
        <f>SUMIFS('Airtable Sales Data'!$W:$W,'Airtable Sales Data'!$K:$K, "&gt;="&amp;$A3,'Airtable Sales Data'!$K:$K,"&lt;="&amp;$B3, 'Airtable Sales Data'!$G:$G, AN$2)/1000</f>
        <v>0</v>
      </c>
      <c r="AO3" s="8">
        <f>SUMIFS('Airtable Sales Data'!$W:$W,'Airtable Sales Data'!$K:$K, "&gt;="&amp;$A3,'Airtable Sales Data'!$K:$K,"&lt;="&amp;$B3, 'Airtable Sales Data'!$G:$G, AO$2)/1000</f>
        <v>0</v>
      </c>
      <c r="AP3" s="8">
        <f>SUMIFS('Airtable Sales Data'!$W:$W,'Airtable Sales Data'!$K:$K, "&gt;="&amp;$A3,'Airtable Sales Data'!$K:$K,"&lt;="&amp;$B3, 'Airtable Sales Data'!$G:$G, AP$2)/1000</f>
        <v>0</v>
      </c>
      <c r="AQ3" s="8">
        <f>SUMIFS('Airtable Sales Data'!$W:$W,'Airtable Sales Data'!$K:$K, "&gt;="&amp;$A3,'Airtable Sales Data'!$K:$K,"&lt;="&amp;$B3, 'Airtable Sales Data'!$G:$G, AQ$2)/1000</f>
        <v>0</v>
      </c>
      <c r="AR3" s="8">
        <f>SUMIFS('Airtable Sales Data'!$W:$W,'Airtable Sales Data'!$K:$K, "&gt;="&amp;$A3,'Airtable Sales Data'!$K:$K,"&lt;="&amp;$B3, 'Airtable Sales Data'!$G:$G, AR$2)/1000</f>
        <v>0</v>
      </c>
      <c r="AS3" s="8">
        <f>SUMIFS('Airtable Sales Data'!$W:$W,'Airtable Sales Data'!$K:$K, "&gt;="&amp;$A3,'Airtable Sales Data'!$K:$K,"&lt;="&amp;$B3, 'Airtable Sales Data'!$G:$G, AS$2)/1000</f>
        <v>0</v>
      </c>
      <c r="AT3" s="8">
        <f>SUMIFS('Airtable Sales Data'!$W:$W,'Airtable Sales Data'!$K:$K, "&gt;="&amp;$A3,'Airtable Sales Data'!$K:$K,"&lt;="&amp;$B3, 'Airtable Sales Data'!$G:$G, AT$2)/1000</f>
        <v>0</v>
      </c>
      <c r="AU3" s="8">
        <f>SUMIFS('Airtable Sales Data'!$W:$W,'Airtable Sales Data'!$K:$K, "&gt;="&amp;$A3,'Airtable Sales Data'!$K:$K,"&lt;="&amp;$B3, 'Airtable Sales Data'!$G:$G, AU$2)/1000</f>
        <v>0</v>
      </c>
      <c r="AV3" s="8">
        <f>SUMIFS('Airtable Sales Data'!$W:$W,'Airtable Sales Data'!$K:$K, "&gt;="&amp;$A3,'Airtable Sales Data'!$K:$K,"&lt;="&amp;$B3, 'Airtable Sales Data'!$G:$G, AV$2)/1000</f>
        <v>0</v>
      </c>
      <c r="AW3" s="8">
        <f>SUMIFS('Airtable Sales Data'!$W:$W,'Airtable Sales Data'!$K:$K, "&gt;="&amp;$A3,'Airtable Sales Data'!$K:$K,"&lt;="&amp;$B3, 'Airtable Sales Data'!$G:$G, AW$2)/1000</f>
        <v>0</v>
      </c>
      <c r="AX3" s="8">
        <f>SUMIFS('Airtable Sales Data'!$W:$W,'Airtable Sales Data'!$K:$K, "&gt;="&amp;$A3,'Airtable Sales Data'!$K:$K,"&lt;="&amp;$B3, 'Airtable Sales Data'!$G:$G, AX$2)/1000</f>
        <v>0</v>
      </c>
      <c r="AY3" s="8">
        <f>SUMIFS('Airtable Sales Data'!$W:$W,'Airtable Sales Data'!$K:$K, "&gt;="&amp;$A3,'Airtable Sales Data'!$K:$K,"&lt;="&amp;$B3, 'Airtable Sales Data'!$G:$G, AY$2)/1000</f>
        <v>0</v>
      </c>
      <c r="AZ3" s="8">
        <f>SUMIFS('Airtable Sales Data'!$W:$W,'Airtable Sales Data'!$K:$K, "&gt;="&amp;$A3,'Airtable Sales Data'!$K:$K,"&lt;="&amp;$B3, 'Airtable Sales Data'!$G:$G, AZ$2)/1000</f>
        <v>0</v>
      </c>
      <c r="BA3" s="8">
        <f>SUMIFS('Airtable Sales Data'!$W:$W,'Airtable Sales Data'!$K:$K, "&gt;="&amp;$A3,'Airtable Sales Data'!$K:$K,"&lt;="&amp;$B3, 'Airtable Sales Data'!$G:$G, BA$2)/1000</f>
        <v>0</v>
      </c>
      <c r="BB3" s="8">
        <f>SUMIFS('Airtable Sales Data'!$W:$W,'Airtable Sales Data'!$K:$K, "&gt;="&amp;$A3,'Airtable Sales Data'!$K:$K,"&lt;="&amp;$B3, 'Airtable Sales Data'!$G:$G, BB$2)/1000</f>
        <v>0</v>
      </c>
      <c r="BC3" s="8">
        <f>SUMIFS('Airtable Sales Data'!$W:$W,'Airtable Sales Data'!$K:$K, "&gt;="&amp;$A3,'Airtable Sales Data'!$K:$K,"&lt;="&amp;$B3, 'Airtable Sales Data'!$G:$G, BC$2)/1000</f>
        <v>0</v>
      </c>
      <c r="BD3" s="8">
        <f>SUMIFS('Airtable Sales Data'!$W:$W,'Airtable Sales Data'!$K:$K, "&gt;="&amp;$A3,'Airtable Sales Data'!$K:$K,"&lt;="&amp;$B3, 'Airtable Sales Data'!$G:$G, BD$2)/1000</f>
        <v>0</v>
      </c>
      <c r="BE3" s="8">
        <f>SUMIFS('Airtable Sales Data'!$W:$W,'Airtable Sales Data'!$K:$K, "&gt;="&amp;$A3,'Airtable Sales Data'!$K:$K,"&lt;="&amp;$B3, 'Airtable Sales Data'!$G:$G, BE$2)/1000</f>
        <v>0</v>
      </c>
      <c r="BF3" s="8">
        <f>SUMIFS('Airtable Sales Data'!$W:$W,'Airtable Sales Data'!$K:$K, "&gt;="&amp;$A3,'Airtable Sales Data'!$K:$K,"&lt;="&amp;$B3, 'Airtable Sales Data'!$G:$G, BF$2)/1000</f>
        <v>0</v>
      </c>
      <c r="BG3" s="8">
        <f>SUMIFS('Airtable Sales Data'!$W:$W,'Airtable Sales Data'!$K:$K, "&gt;="&amp;$A3,'Airtable Sales Data'!$K:$K,"&lt;="&amp;$B3, 'Airtable Sales Data'!$G:$G, BG$2)/1000</f>
        <v>0</v>
      </c>
      <c r="BH3" s="8">
        <f>SUMIFS('Airtable Sales Data'!$W:$W,'Airtable Sales Data'!$K:$K, "&gt;="&amp;$A3,'Airtable Sales Data'!$K:$K,"&lt;="&amp;$B3, 'Airtable Sales Data'!$G:$G, BH$2)/1000</f>
        <v>0</v>
      </c>
      <c r="BI3" s="8">
        <f>SUMIFS('Airtable Sales Data'!$W:$W,'Airtable Sales Data'!$K:$K, "&gt;="&amp;$A3,'Airtable Sales Data'!$K:$K,"&lt;="&amp;$B3, 'Airtable Sales Data'!$G:$G, BI$2)/1000</f>
        <v>0</v>
      </c>
    </row>
    <row r="4">
      <c r="A4" s="525"/>
      <c r="B4" s="523">
        <v>45657.0</v>
      </c>
      <c r="C4" s="8">
        <f>SUMIFS('Airtable Sales Data'!$P:$P,'Airtable Sales Data'!$K:$K, "&gt;"&amp;$B3,'Airtable Sales Data'!$K:$K,"&lt;="&amp;$B4)/1000</f>
        <v>84.4576</v>
      </c>
      <c r="D4" s="526">
        <f>SUMIFS('Airtable Sales Data'!$W:$W,'Airtable Sales Data'!$K:$K, "&gt;"&amp;$B3,'Airtable Sales Data'!$K:$K,"&lt;="&amp;$B4)/1000</f>
        <v>6335.262</v>
      </c>
      <c r="E4" s="382">
        <f t="shared" si="1"/>
        <v>6419.7196</v>
      </c>
      <c r="F4" s="8"/>
      <c r="G4" s="8"/>
      <c r="H4" s="8"/>
      <c r="I4" s="8"/>
      <c r="J4" s="8"/>
      <c r="K4" s="8"/>
      <c r="L4" s="8"/>
      <c r="M4" s="172"/>
      <c r="N4" s="8">
        <f>SUMIFS('Airtable Sales Data'!$W:$W,'Airtable Sales Data'!$K:$K, "&gt;"&amp;$B3,'Airtable Sales Data'!$K:$K,"&lt;="&amp;$B4, 'Airtable Sales Data'!$G:$G, N$2)/1000</f>
        <v>0</v>
      </c>
      <c r="O4" s="8">
        <f>SUMIFS('Airtable Sales Data'!$W:$W,'Airtable Sales Data'!$K:$K, "&gt;"&amp;$B3,'Airtable Sales Data'!$K:$K,"&lt;="&amp;$B4, 'Airtable Sales Data'!$G:$G, O$2)/1000</f>
        <v>0</v>
      </c>
      <c r="P4" s="8">
        <f>SUMIFS('Airtable Sales Data'!$W:$W,'Airtable Sales Data'!$K:$K, "&gt;"&amp;$B3,'Airtable Sales Data'!$K:$K,"&lt;="&amp;$B4, 'Airtable Sales Data'!$G:$G, P$2)/1000</f>
        <v>0</v>
      </c>
      <c r="Q4" s="8">
        <f>SUMIFS('Airtable Sales Data'!$W:$W,'Airtable Sales Data'!$K:$K, "&gt;"&amp;$B3,'Airtable Sales Data'!$K:$K,"&lt;="&amp;$B4, 'Airtable Sales Data'!$G:$G, Q$2)/1000</f>
        <v>600</v>
      </c>
      <c r="R4" s="8">
        <f>SUMIFS('Airtable Sales Data'!$W:$W,'Airtable Sales Data'!$K:$K, "&gt;"&amp;$B3,'Airtable Sales Data'!$K:$K,"&lt;="&amp;$B4, 'Airtable Sales Data'!$G:$G, R$2)/1000</f>
        <v>0</v>
      </c>
      <c r="S4" s="8">
        <f>SUMIFS('Airtable Sales Data'!$W:$W,'Airtable Sales Data'!$K:$K, "&gt;"&amp;$B3,'Airtable Sales Data'!$K:$K,"&lt;="&amp;$B4, 'Airtable Sales Data'!$G:$G, S$2)/1000</f>
        <v>0</v>
      </c>
      <c r="T4" s="8">
        <f>SUMIFS('Airtable Sales Data'!$W:$W,'Airtable Sales Data'!$K:$K, "&gt;"&amp;$B3,'Airtable Sales Data'!$K:$K,"&lt;="&amp;$B4, 'Airtable Sales Data'!$G:$G, T$2)/1000</f>
        <v>2000</v>
      </c>
      <c r="U4" s="8">
        <f>SUMIFS('Airtable Sales Data'!$W:$W,'Airtable Sales Data'!$K:$K, "&gt;"&amp;$B3,'Airtable Sales Data'!$K:$K,"&lt;="&amp;$B4, 'Airtable Sales Data'!$G:$G, U$2)/1000</f>
        <v>0</v>
      </c>
      <c r="V4" s="8">
        <f>SUMIFS('Airtable Sales Data'!$W:$W,'Airtable Sales Data'!$K:$K, "&gt;"&amp;$B3,'Airtable Sales Data'!$K:$K,"&lt;="&amp;$B4, 'Airtable Sales Data'!$G:$G, V$2)/1000</f>
        <v>49</v>
      </c>
      <c r="W4" s="8">
        <f>SUMIFS('Airtable Sales Data'!$W:$W,'Airtable Sales Data'!$K:$K, "&gt;"&amp;$B3,'Airtable Sales Data'!$K:$K,"&lt;="&amp;$B4, 'Airtable Sales Data'!$G:$G, W$2)/1000</f>
        <v>185</v>
      </c>
      <c r="X4" s="8">
        <f>SUMIFS('Airtable Sales Data'!$W:$W,'Airtable Sales Data'!$K:$K, "&gt;"&amp;$B3,'Airtable Sales Data'!$K:$K,"&lt;="&amp;$B4, 'Airtable Sales Data'!$G:$G, X$2)/1000</f>
        <v>75</v>
      </c>
      <c r="Y4" s="8">
        <f>SUMIFS('Airtable Sales Data'!$W:$W,'Airtable Sales Data'!$K:$K, "&gt;"&amp;$B3,'Airtable Sales Data'!$K:$K,"&lt;="&amp;$B4, 'Airtable Sales Data'!$G:$G, Y$2)/1000</f>
        <v>200</v>
      </c>
      <c r="Z4" s="8">
        <f>SUMIFS('Airtable Sales Data'!$W:$W,'Airtable Sales Data'!$K:$K, "&gt;"&amp;$B3,'Airtable Sales Data'!$K:$K,"&lt;="&amp;$B4, 'Airtable Sales Data'!$G:$G, Z$2)/1000</f>
        <v>7.333</v>
      </c>
      <c r="AA4" s="8">
        <f>SUMIFS('Airtable Sales Data'!$W:$W,'Airtable Sales Data'!$K:$K, "&gt;"&amp;$B3,'Airtable Sales Data'!$K:$K,"&lt;="&amp;$B4, 'Airtable Sales Data'!$G:$G, AA$2)/1000</f>
        <v>6.75</v>
      </c>
      <c r="AB4" s="8">
        <f>SUMIFS('Airtable Sales Data'!$W:$W,'Airtable Sales Data'!$K:$K, "&gt;"&amp;$B3,'Airtable Sales Data'!$K:$K,"&lt;="&amp;$B4, 'Airtable Sales Data'!$G:$G, AB$2)/1000</f>
        <v>1665.433</v>
      </c>
      <c r="AC4" s="8">
        <f>SUMIFS('Airtable Sales Data'!$W:$W,'Airtable Sales Data'!$K:$K, "&gt;"&amp;$B3,'Airtable Sales Data'!$K:$K,"&lt;="&amp;$B4, 'Airtable Sales Data'!$G:$G, AC$2)/1000</f>
        <v>1075</v>
      </c>
      <c r="AD4" s="8">
        <f>SUMIFS('Airtable Sales Data'!$W:$W,'Airtable Sales Data'!$K:$K, "&gt;"&amp;$B3,'Airtable Sales Data'!$K:$K,"&lt;="&amp;$B4, 'Airtable Sales Data'!$G:$G, AD$2)/1000</f>
        <v>27.97</v>
      </c>
      <c r="AE4" s="8">
        <f>SUMIFS('Airtable Sales Data'!$W:$W,'Airtable Sales Data'!$K:$K, "&gt;"&amp;$B3,'Airtable Sales Data'!$K:$K,"&lt;="&amp;$B4, 'Airtable Sales Data'!$G:$G, AE$2)/1000</f>
        <v>0</v>
      </c>
      <c r="AF4" s="8">
        <f>SUMIFS('Airtable Sales Data'!$W:$W,'Airtable Sales Data'!$K:$K, "&gt;"&amp;$B3,'Airtable Sales Data'!$K:$K,"&lt;="&amp;$B4, 'Airtable Sales Data'!$G:$G, AF$2)/1000</f>
        <v>13</v>
      </c>
      <c r="AG4" s="8">
        <f>SUMIFS('Airtable Sales Data'!$W:$W,'Airtable Sales Data'!$K:$K, "&gt;"&amp;$B3,'Airtable Sales Data'!$K:$K,"&lt;="&amp;$B4, 'Airtable Sales Data'!$G:$G, AG$2)/1000</f>
        <v>4</v>
      </c>
      <c r="AH4" s="8">
        <f>SUMIFS('Airtable Sales Data'!$W:$W,'Airtable Sales Data'!$K:$K, "&gt;"&amp;$B3,'Airtable Sales Data'!$K:$K,"&lt;="&amp;$B4, 'Airtable Sales Data'!$G:$G, AH$2)/1000</f>
        <v>19</v>
      </c>
      <c r="AI4" s="8">
        <f>SUMIFS('Airtable Sales Data'!$W:$W,'Airtable Sales Data'!$K:$K, "&gt;"&amp;$B3,'Airtable Sales Data'!$K:$K,"&lt;="&amp;$B4, 'Airtable Sales Data'!$G:$G, AI$2)/1000</f>
        <v>40</v>
      </c>
      <c r="AJ4" s="8">
        <f>SUMIFS('Airtable Sales Data'!$W:$W,'Airtable Sales Data'!$K:$K, "&gt;"&amp;$B3,'Airtable Sales Data'!$K:$K,"&lt;="&amp;$B4, 'Airtable Sales Data'!$G:$G, AJ$2)/1000</f>
        <v>5</v>
      </c>
      <c r="AK4" s="8">
        <f>SUMIFS('Airtable Sales Data'!$W:$W,'Airtable Sales Data'!$K:$K, "&gt;"&amp;$B3,'Airtable Sales Data'!$K:$K,"&lt;="&amp;$B4, 'Airtable Sales Data'!$G:$G, AK$2)/1000</f>
        <v>7</v>
      </c>
      <c r="AL4" s="8">
        <f>SUMIFS('Airtable Sales Data'!$W:$W,'Airtable Sales Data'!$K:$K, "&gt;"&amp;$B3,'Airtable Sales Data'!$K:$K,"&lt;="&amp;$B4, 'Airtable Sales Data'!$G:$G, AL$2)/1000</f>
        <v>199</v>
      </c>
      <c r="AM4" s="8">
        <f>SUMIFS('Airtable Sales Data'!$W:$W,'Airtable Sales Data'!$K:$K, "&gt;"&amp;$B3,'Airtable Sales Data'!$K:$K,"&lt;="&amp;$B4, 'Airtable Sales Data'!$G:$G, AM$2)/1000</f>
        <v>23.776</v>
      </c>
      <c r="AN4" s="8">
        <f>SUMIFS('Airtable Sales Data'!$W:$W,'Airtable Sales Data'!$K:$K, "&gt;"&amp;$B3,'Airtable Sales Data'!$K:$K,"&lt;="&amp;$B4, 'Airtable Sales Data'!$G:$G, AN$2)/1000</f>
        <v>4</v>
      </c>
      <c r="AO4" s="8">
        <f>SUMIFS('Airtable Sales Data'!$W:$W,'Airtable Sales Data'!$K:$K, "&gt;"&amp;$B3,'Airtable Sales Data'!$K:$K,"&lt;="&amp;$B4, 'Airtable Sales Data'!$G:$G, AO$2)/1000</f>
        <v>0</v>
      </c>
      <c r="AP4" s="8">
        <f>SUMIFS('Airtable Sales Data'!$W:$W,'Airtable Sales Data'!$K:$K, "&gt;"&amp;$B3,'Airtable Sales Data'!$K:$K,"&lt;="&amp;$B4, 'Airtable Sales Data'!$G:$G, AP$2)/1000</f>
        <v>0</v>
      </c>
      <c r="AQ4" s="8">
        <f>SUMIFS('Airtable Sales Data'!$W:$W,'Airtable Sales Data'!$K:$K, "&gt;"&amp;$B3,'Airtable Sales Data'!$K:$K,"&lt;="&amp;$B4, 'Airtable Sales Data'!$G:$G, AQ$2)/1000</f>
        <v>0</v>
      </c>
      <c r="AR4" s="8">
        <f>SUMIFS('Airtable Sales Data'!$W:$W,'Airtable Sales Data'!$K:$K, "&gt;"&amp;$B3,'Airtable Sales Data'!$K:$K,"&lt;="&amp;$B4, 'Airtable Sales Data'!$G:$G, AR$2)/1000</f>
        <v>0</v>
      </c>
      <c r="AS4" s="8">
        <f>SUMIFS('Airtable Sales Data'!$W:$W,'Airtable Sales Data'!$K:$K, "&gt;"&amp;$B3,'Airtable Sales Data'!$K:$K,"&lt;="&amp;$B4, 'Airtable Sales Data'!$G:$G, AS$2)/1000</f>
        <v>0</v>
      </c>
      <c r="AT4" s="8">
        <f>SUMIFS('Airtable Sales Data'!$W:$W,'Airtable Sales Data'!$K:$K, "&gt;"&amp;$B3,'Airtable Sales Data'!$K:$K,"&lt;="&amp;$B4, 'Airtable Sales Data'!$G:$G, AT$2)/1000</f>
        <v>0</v>
      </c>
      <c r="AU4" s="8">
        <f>SUMIFS('Airtable Sales Data'!$W:$W,'Airtable Sales Data'!$K:$K, "&gt;"&amp;$B3,'Airtable Sales Data'!$K:$K,"&lt;="&amp;$B4, 'Airtable Sales Data'!$G:$G, AU$2)/1000</f>
        <v>0</v>
      </c>
      <c r="AV4" s="8">
        <f>SUMIFS('Airtable Sales Data'!$W:$W,'Airtable Sales Data'!$K:$K, "&gt;"&amp;$B3,'Airtable Sales Data'!$K:$K,"&lt;="&amp;$B4, 'Airtable Sales Data'!$G:$G, AV$2)/1000</f>
        <v>0</v>
      </c>
      <c r="AW4" s="8">
        <f>SUMIFS('Airtable Sales Data'!$W:$W,'Airtable Sales Data'!$K:$K, "&gt;"&amp;$B3,'Airtable Sales Data'!$K:$K,"&lt;="&amp;$B4, 'Airtable Sales Data'!$G:$G, AW$2)/1000</f>
        <v>0</v>
      </c>
      <c r="AX4" s="8">
        <f>SUMIFS('Airtable Sales Data'!$W:$W,'Airtable Sales Data'!$K:$K, "&gt;"&amp;$B3,'Airtable Sales Data'!$K:$K,"&lt;="&amp;$B4, 'Airtable Sales Data'!$G:$G, AX$2)/1000</f>
        <v>0</v>
      </c>
      <c r="AY4" s="8">
        <f>SUMIFS('Airtable Sales Data'!$W:$W,'Airtable Sales Data'!$K:$K, "&gt;"&amp;$B3,'Airtable Sales Data'!$K:$K,"&lt;="&amp;$B4, 'Airtable Sales Data'!$G:$G, AY$2)/1000</f>
        <v>0</v>
      </c>
      <c r="AZ4" s="8">
        <f>SUMIFS('Airtable Sales Data'!$W:$W,'Airtable Sales Data'!$K:$K, "&gt;"&amp;$B3,'Airtable Sales Data'!$K:$K,"&lt;="&amp;$B4, 'Airtable Sales Data'!$G:$G, AZ$2)/1000</f>
        <v>0</v>
      </c>
      <c r="BA4" s="8">
        <f>SUMIFS('Airtable Sales Data'!$W:$W,'Airtable Sales Data'!$K:$K, "&gt;"&amp;$B3,'Airtable Sales Data'!$K:$K,"&lt;="&amp;$B4, 'Airtable Sales Data'!$G:$G, BA$2)/1000</f>
        <v>0</v>
      </c>
      <c r="BB4" s="8">
        <f>SUMIFS('Airtable Sales Data'!$W:$W,'Airtable Sales Data'!$K:$K, "&gt;"&amp;$B3,'Airtable Sales Data'!$K:$K,"&lt;="&amp;$B4, 'Airtable Sales Data'!$G:$G, BB$2)/1000</f>
        <v>0</v>
      </c>
      <c r="BC4" s="8">
        <f>SUMIFS('Airtable Sales Data'!$W:$W,'Airtable Sales Data'!$K:$K, "&gt;"&amp;$B3,'Airtable Sales Data'!$K:$K,"&lt;="&amp;$B4, 'Airtable Sales Data'!$G:$G, BC$2)/1000</f>
        <v>0</v>
      </c>
      <c r="BD4" s="8">
        <f>SUMIFS('Airtable Sales Data'!$W:$W,'Airtable Sales Data'!$K:$K, "&gt;"&amp;$B3,'Airtable Sales Data'!$K:$K,"&lt;="&amp;$B4, 'Airtable Sales Data'!$G:$G, BD$2)/1000</f>
        <v>0</v>
      </c>
      <c r="BE4" s="8">
        <f>SUMIFS('Airtable Sales Data'!$W:$W,'Airtable Sales Data'!$K:$K, "&gt;"&amp;$B3,'Airtable Sales Data'!$K:$K,"&lt;="&amp;$B4, 'Airtable Sales Data'!$G:$G, BE$2)/1000</f>
        <v>0</v>
      </c>
      <c r="BF4" s="8">
        <f>SUMIFS('Airtable Sales Data'!$W:$W,'Airtable Sales Data'!$K:$K, "&gt;"&amp;$B3,'Airtable Sales Data'!$K:$K,"&lt;="&amp;$B4, 'Airtable Sales Data'!$G:$G, BF$2)/1000</f>
        <v>0</v>
      </c>
      <c r="BG4" s="8">
        <f>SUMIFS('Airtable Sales Data'!$W:$W,'Airtable Sales Data'!$K:$K, "&gt;"&amp;$B3,'Airtable Sales Data'!$K:$K,"&lt;="&amp;$B4, 'Airtable Sales Data'!$G:$G, BG$2)/1000</f>
        <v>0</v>
      </c>
      <c r="BH4" s="8">
        <f>SUMIFS('Airtable Sales Data'!$W:$W,'Airtable Sales Data'!$K:$K, "&gt;"&amp;$B3,'Airtable Sales Data'!$K:$K,"&lt;="&amp;$B4, 'Airtable Sales Data'!$G:$G, BH$2)/1000</f>
        <v>0</v>
      </c>
      <c r="BI4" s="8">
        <f>SUMIFS('Airtable Sales Data'!$W:$W,'Airtable Sales Data'!$K:$K, "&gt;"&amp;$B3,'Airtable Sales Data'!$K:$K,"&lt;="&amp;$B4, 'Airtable Sales Data'!$G:$G, BI$2)/1000</f>
        <v>0</v>
      </c>
    </row>
    <row r="5">
      <c r="A5" s="525"/>
      <c r="B5" s="523">
        <v>46022.0</v>
      </c>
      <c r="C5" s="8">
        <f>SUMIFS('Airtable Sales Data'!$P:$P,'Airtable Sales Data'!$K:$K, "&gt;"&amp;$B4,'Airtable Sales Data'!$K:$K,"&lt;="&amp;$B5)/1000</f>
        <v>18.8117</v>
      </c>
      <c r="D5" s="526">
        <f>SUMIFS('Airtable Sales Data'!$W:$W,'Airtable Sales Data'!$K:$K, "&gt;"&amp;$B4,'Airtable Sales Data'!$K:$K,"&lt;="&amp;$B5)/1000</f>
        <v>6742.52</v>
      </c>
      <c r="E5" s="382">
        <f t="shared" si="1"/>
        <v>6761.3317</v>
      </c>
      <c r="F5" s="8"/>
      <c r="G5" s="8"/>
      <c r="H5" s="8"/>
      <c r="I5" s="8"/>
      <c r="J5" s="8"/>
      <c r="K5" s="8"/>
      <c r="L5" s="8"/>
      <c r="M5" s="172"/>
      <c r="N5" s="8">
        <f>SUMIFS('Airtable Sales Data'!$W:$W,'Airtable Sales Data'!$K:$K, "&gt;"&amp;$B4,'Airtable Sales Data'!$K:$K,"&lt;="&amp;$B5, 'Airtable Sales Data'!$G:$G, N$2)/1000</f>
        <v>0</v>
      </c>
      <c r="O5" s="8">
        <f>SUMIFS('Airtable Sales Data'!$W:$W,'Airtable Sales Data'!$K:$K, "&gt;"&amp;$B4,'Airtable Sales Data'!$K:$K,"&lt;="&amp;$B5, 'Airtable Sales Data'!$G:$G, O$2)/1000</f>
        <v>0</v>
      </c>
      <c r="P5" s="8">
        <f>SUMIFS('Airtable Sales Data'!$W:$W,'Airtable Sales Data'!$K:$K, "&gt;"&amp;$B4,'Airtable Sales Data'!$K:$K,"&lt;="&amp;$B5, 'Airtable Sales Data'!$G:$G, P$2)/1000</f>
        <v>48.01</v>
      </c>
      <c r="Q5" s="8">
        <f>SUMIFS('Airtable Sales Data'!$W:$W,'Airtable Sales Data'!$K:$K, "&gt;"&amp;$B4,'Airtable Sales Data'!$K:$K,"&lt;="&amp;$B5, 'Airtable Sales Data'!$G:$G, Q$2)/1000</f>
        <v>600</v>
      </c>
      <c r="R5" s="8">
        <f>SUMIFS('Airtable Sales Data'!$W:$W,'Airtable Sales Data'!$K:$K, "&gt;"&amp;$B4,'Airtable Sales Data'!$K:$K,"&lt;="&amp;$B5, 'Airtable Sales Data'!$G:$G, R$2)/1000</f>
        <v>0</v>
      </c>
      <c r="S5" s="8">
        <f>SUMIFS('Airtable Sales Data'!$W:$W,'Airtable Sales Data'!$K:$K, "&gt;"&amp;$B4,'Airtable Sales Data'!$K:$K,"&lt;="&amp;$B5, 'Airtable Sales Data'!$G:$G, S$2)/1000</f>
        <v>229.17</v>
      </c>
      <c r="T5" s="8">
        <f>SUMIFS('Airtable Sales Data'!$W:$W,'Airtable Sales Data'!$K:$K, "&gt;"&amp;$B4,'Airtable Sales Data'!$K:$K,"&lt;="&amp;$B5, 'Airtable Sales Data'!$G:$G, T$2)/1000</f>
        <v>0</v>
      </c>
      <c r="U5" s="8">
        <f>SUMIFS('Airtable Sales Data'!$W:$W,'Airtable Sales Data'!$K:$K, "&gt;"&amp;$B4,'Airtable Sales Data'!$K:$K,"&lt;="&amp;$B5, 'Airtable Sales Data'!$G:$G, U$2)/1000</f>
        <v>0</v>
      </c>
      <c r="V5" s="8">
        <f>SUMIFS('Airtable Sales Data'!$W:$W,'Airtable Sales Data'!$K:$K, "&gt;"&amp;$B4,'Airtable Sales Data'!$K:$K,"&lt;="&amp;$B5, 'Airtable Sales Data'!$G:$G, V$2)/1000</f>
        <v>0</v>
      </c>
      <c r="W5" s="8">
        <f>SUMIFS('Airtable Sales Data'!$W:$W,'Airtable Sales Data'!$K:$K, "&gt;"&amp;$B4,'Airtable Sales Data'!$K:$K,"&lt;="&amp;$B5, 'Airtable Sales Data'!$G:$G, W$2)/1000</f>
        <v>0</v>
      </c>
      <c r="X5" s="8">
        <f>SUMIFS('Airtable Sales Data'!$W:$W,'Airtable Sales Data'!$K:$K, "&gt;"&amp;$B4,'Airtable Sales Data'!$K:$K,"&lt;="&amp;$B5, 'Airtable Sales Data'!$G:$G, X$2)/1000</f>
        <v>0</v>
      </c>
      <c r="Y5" s="8">
        <f>SUMIFS('Airtable Sales Data'!$W:$W,'Airtable Sales Data'!$K:$K, "&gt;"&amp;$B4,'Airtable Sales Data'!$K:$K,"&lt;="&amp;$B5, 'Airtable Sales Data'!$G:$G, Y$2)/1000</f>
        <v>2300</v>
      </c>
      <c r="Z5" s="8">
        <f>SUMIFS('Airtable Sales Data'!$W:$W,'Airtable Sales Data'!$K:$K, "&gt;"&amp;$B4,'Airtable Sales Data'!$K:$K,"&lt;="&amp;$B5, 'Airtable Sales Data'!$G:$G, Z$2)/1000</f>
        <v>0</v>
      </c>
      <c r="AA5" s="8">
        <f>SUMIFS('Airtable Sales Data'!$W:$W,'Airtable Sales Data'!$K:$K, "&gt;"&amp;$B4,'Airtable Sales Data'!$K:$K,"&lt;="&amp;$B5, 'Airtable Sales Data'!$G:$G, AA$2)/1000</f>
        <v>0</v>
      </c>
      <c r="AB5" s="8">
        <f>SUMIFS('Airtable Sales Data'!$W:$W,'Airtable Sales Data'!$K:$K, "&gt;"&amp;$B4,'Airtable Sales Data'!$K:$K,"&lt;="&amp;$B5, 'Airtable Sales Data'!$G:$G, AB$2)/1000</f>
        <v>0</v>
      </c>
      <c r="AC5" s="8">
        <f>SUMIFS('Airtable Sales Data'!$W:$W,'Airtable Sales Data'!$K:$K, "&gt;"&amp;$B4,'Airtable Sales Data'!$K:$K,"&lt;="&amp;$B5, 'Airtable Sales Data'!$G:$G, AC$2)/1000</f>
        <v>363</v>
      </c>
      <c r="AD5" s="8">
        <f>SUMIFS('Airtable Sales Data'!$W:$W,'Airtable Sales Data'!$K:$K, "&gt;"&amp;$B4,'Airtable Sales Data'!$K:$K,"&lt;="&amp;$B5, 'Airtable Sales Data'!$G:$G, AD$2)/1000</f>
        <v>10</v>
      </c>
      <c r="AE5" s="8">
        <f>SUMIFS('Airtable Sales Data'!$W:$W,'Airtable Sales Data'!$K:$K, "&gt;"&amp;$B4,'Airtable Sales Data'!$K:$K,"&lt;="&amp;$B5, 'Airtable Sales Data'!$G:$G, AE$2)/1000</f>
        <v>0</v>
      </c>
      <c r="AF5" s="8">
        <f>SUMIFS('Airtable Sales Data'!$W:$W,'Airtable Sales Data'!$K:$K, "&gt;"&amp;$B4,'Airtable Sales Data'!$K:$K,"&lt;="&amp;$B5, 'Airtable Sales Data'!$G:$G, AF$2)/1000</f>
        <v>0</v>
      </c>
      <c r="AG5" s="8">
        <f>SUMIFS('Airtable Sales Data'!$W:$W,'Airtable Sales Data'!$K:$K, "&gt;"&amp;$B4,'Airtable Sales Data'!$K:$K,"&lt;="&amp;$B5, 'Airtable Sales Data'!$G:$G, AG$2)/1000</f>
        <v>0</v>
      </c>
      <c r="AH5" s="8">
        <f>SUMIFS('Airtable Sales Data'!$W:$W,'Airtable Sales Data'!$K:$K, "&gt;"&amp;$B4,'Airtable Sales Data'!$K:$K,"&lt;="&amp;$B5, 'Airtable Sales Data'!$G:$G, AH$2)/1000</f>
        <v>416.67</v>
      </c>
      <c r="AI5" s="8">
        <f>SUMIFS('Airtable Sales Data'!$W:$W,'Airtable Sales Data'!$K:$K, "&gt;"&amp;$B4,'Airtable Sales Data'!$K:$K,"&lt;="&amp;$B5, 'Airtable Sales Data'!$G:$G, AI$2)/1000</f>
        <v>0</v>
      </c>
      <c r="AJ5" s="8">
        <f>SUMIFS('Airtable Sales Data'!$W:$W,'Airtable Sales Data'!$K:$K, "&gt;"&amp;$B4,'Airtable Sales Data'!$K:$K,"&lt;="&amp;$B5, 'Airtable Sales Data'!$G:$G, AJ$2)/1000</f>
        <v>0</v>
      </c>
      <c r="AK5" s="8">
        <f>SUMIFS('Airtable Sales Data'!$W:$W,'Airtable Sales Data'!$K:$K, "&gt;"&amp;$B4,'Airtable Sales Data'!$K:$K,"&lt;="&amp;$B5, 'Airtable Sales Data'!$G:$G, AK$2)/1000</f>
        <v>0</v>
      </c>
      <c r="AL5" s="8">
        <f>SUMIFS('Airtable Sales Data'!$W:$W,'Airtable Sales Data'!$K:$K, "&gt;"&amp;$B4,'Airtable Sales Data'!$K:$K,"&lt;="&amp;$B5, 'Airtable Sales Data'!$G:$G, AL$2)/1000</f>
        <v>200</v>
      </c>
      <c r="AM5" s="8">
        <f>SUMIFS('Airtable Sales Data'!$W:$W,'Airtable Sales Data'!$K:$K, "&gt;"&amp;$B4,'Airtable Sales Data'!$K:$K,"&lt;="&amp;$B5, 'Airtable Sales Data'!$G:$G, AM$2)/1000</f>
        <v>0</v>
      </c>
      <c r="AN5" s="8">
        <f>SUMIFS('Airtable Sales Data'!$W:$W,'Airtable Sales Data'!$K:$K, "&gt;"&amp;$B4,'Airtable Sales Data'!$K:$K,"&lt;="&amp;$B5, 'Airtable Sales Data'!$G:$G, AN$2)/1000</f>
        <v>10</v>
      </c>
      <c r="AO5" s="8">
        <f>SUMIFS('Airtable Sales Data'!$W:$W,'Airtable Sales Data'!$K:$K, "&gt;"&amp;$B4,'Airtable Sales Data'!$K:$K,"&lt;="&amp;$B5, 'Airtable Sales Data'!$G:$G, AO$2)/1000</f>
        <v>0</v>
      </c>
      <c r="AP5" s="8">
        <f>SUMIFS('Airtable Sales Data'!$W:$W,'Airtable Sales Data'!$K:$K, "&gt;"&amp;$B4,'Airtable Sales Data'!$K:$K,"&lt;="&amp;$B5, 'Airtable Sales Data'!$G:$G, AP$2)/1000</f>
        <v>100</v>
      </c>
      <c r="AQ5" s="8">
        <f>SUMIFS('Airtable Sales Data'!$W:$W,'Airtable Sales Data'!$K:$K, "&gt;"&amp;$B4,'Airtable Sales Data'!$K:$K,"&lt;="&amp;$B5, 'Airtable Sales Data'!$G:$G, AQ$2)/1000</f>
        <v>0</v>
      </c>
      <c r="AR5" s="8">
        <f>SUMIFS('Airtable Sales Data'!$W:$W,'Airtable Sales Data'!$K:$K, "&gt;"&amp;$B4,'Airtable Sales Data'!$K:$K,"&lt;="&amp;$B5, 'Airtable Sales Data'!$G:$G, AR$2)/1000</f>
        <v>50</v>
      </c>
      <c r="AS5" s="8">
        <f>SUMIFS('Airtable Sales Data'!$W:$W,'Airtable Sales Data'!$K:$K, "&gt;"&amp;$B4,'Airtable Sales Data'!$K:$K,"&lt;="&amp;$B5, 'Airtable Sales Data'!$G:$G, AS$2)/1000</f>
        <v>0</v>
      </c>
      <c r="AT5" s="8">
        <f>SUMIFS('Airtable Sales Data'!$W:$W,'Airtable Sales Data'!$K:$K, "&gt;"&amp;$B4,'Airtable Sales Data'!$K:$K,"&lt;="&amp;$B5, 'Airtable Sales Data'!$G:$G, AT$2)/1000</f>
        <v>0</v>
      </c>
      <c r="AU5" s="8">
        <f>SUMIFS('Airtable Sales Data'!$W:$W,'Airtable Sales Data'!$K:$K, "&gt;"&amp;$B4,'Airtable Sales Data'!$K:$K,"&lt;="&amp;$B5, 'Airtable Sales Data'!$G:$G, AU$2)/1000</f>
        <v>10</v>
      </c>
      <c r="AV5" s="8">
        <f>SUMIFS('Airtable Sales Data'!$W:$W,'Airtable Sales Data'!$K:$K, "&gt;"&amp;$B4,'Airtable Sales Data'!$K:$K,"&lt;="&amp;$B5, 'Airtable Sales Data'!$G:$G, AV$2)/1000</f>
        <v>0</v>
      </c>
      <c r="AW5" s="8">
        <f>SUMIFS('Airtable Sales Data'!$W:$W,'Airtable Sales Data'!$K:$K, "&gt;"&amp;$B4,'Airtable Sales Data'!$K:$K,"&lt;="&amp;$B5, 'Airtable Sales Data'!$G:$G, AW$2)/1000</f>
        <v>1666.67</v>
      </c>
      <c r="AX5" s="8">
        <f>SUMIFS('Airtable Sales Data'!$W:$W,'Airtable Sales Data'!$K:$K, "&gt;"&amp;$B4,'Airtable Sales Data'!$K:$K,"&lt;="&amp;$B5, 'Airtable Sales Data'!$G:$G, AX$2)/1000</f>
        <v>0</v>
      </c>
      <c r="AY5" s="8">
        <f>SUMIFS('Airtable Sales Data'!$W:$W,'Airtable Sales Data'!$K:$K, "&gt;"&amp;$B4,'Airtable Sales Data'!$K:$K,"&lt;="&amp;$B5, 'Airtable Sales Data'!$G:$G, AY$2)/1000</f>
        <v>0</v>
      </c>
      <c r="AZ5" s="8">
        <f>SUMIFS('Airtable Sales Data'!$W:$W,'Airtable Sales Data'!$K:$K, "&gt;"&amp;$B4,'Airtable Sales Data'!$K:$K,"&lt;="&amp;$B5, 'Airtable Sales Data'!$G:$G, AZ$2)/1000</f>
        <v>10</v>
      </c>
      <c r="BA5" s="8">
        <f>SUMIFS('Airtable Sales Data'!$W:$W,'Airtable Sales Data'!$K:$K, "&gt;"&amp;$B4,'Airtable Sales Data'!$K:$K,"&lt;="&amp;$B5, 'Airtable Sales Data'!$G:$G, BA$2)/1000</f>
        <v>200</v>
      </c>
      <c r="BB5" s="8">
        <f>SUMIFS('Airtable Sales Data'!$W:$W,'Airtable Sales Data'!$K:$K, "&gt;"&amp;$B4,'Airtable Sales Data'!$K:$K,"&lt;="&amp;$B5, 'Airtable Sales Data'!$G:$G, BB$2)/1000</f>
        <v>15</v>
      </c>
      <c r="BC5" s="8">
        <f>SUMIFS('Airtable Sales Data'!$W:$W,'Airtable Sales Data'!$K:$K, "&gt;"&amp;$B4,'Airtable Sales Data'!$K:$K,"&lt;="&amp;$B5, 'Airtable Sales Data'!$G:$G, BC$2)/1000</f>
        <v>0</v>
      </c>
      <c r="BD5" s="8">
        <f>SUMIFS('Airtable Sales Data'!$W:$W,'Airtable Sales Data'!$K:$K, "&gt;"&amp;$B4,'Airtable Sales Data'!$K:$K,"&lt;="&amp;$B5, 'Airtable Sales Data'!$G:$G, BD$2)/1000</f>
        <v>0</v>
      </c>
      <c r="BE5" s="8">
        <f>SUMIFS('Airtable Sales Data'!$W:$W,'Airtable Sales Data'!$K:$K, "&gt;"&amp;$B4,'Airtable Sales Data'!$K:$K,"&lt;="&amp;$B5, 'Airtable Sales Data'!$G:$G, BE$2)/1000</f>
        <v>0</v>
      </c>
      <c r="BF5" s="8">
        <f>SUMIFS('Airtable Sales Data'!$W:$W,'Airtable Sales Data'!$K:$K, "&gt;"&amp;$B4,'Airtable Sales Data'!$K:$K,"&lt;="&amp;$B5, 'Airtable Sales Data'!$G:$G, BF$2)/1000</f>
        <v>0</v>
      </c>
      <c r="BG5" s="8">
        <f>SUMIFS('Airtable Sales Data'!$W:$W,'Airtable Sales Data'!$K:$K, "&gt;"&amp;$B4,'Airtable Sales Data'!$K:$K,"&lt;="&amp;$B5, 'Airtable Sales Data'!$G:$G, BG$2)/1000</f>
        <v>0</v>
      </c>
      <c r="BH5" s="8">
        <f>SUMIFS('Airtable Sales Data'!$W:$W,'Airtable Sales Data'!$K:$K, "&gt;"&amp;$B4,'Airtable Sales Data'!$K:$K,"&lt;="&amp;$B5, 'Airtable Sales Data'!$G:$G, BH$2)/1000</f>
        <v>0</v>
      </c>
      <c r="BI5" s="8">
        <f>SUMIFS('Airtable Sales Data'!$W:$W,'Airtable Sales Data'!$K:$K, "&gt;"&amp;$B4,'Airtable Sales Data'!$K:$K,"&lt;="&amp;$B5, 'Airtable Sales Data'!$G:$G, BI$2)/1000</f>
        <v>0</v>
      </c>
    </row>
    <row r="6">
      <c r="A6" s="525"/>
      <c r="B6" s="523">
        <v>46387.0</v>
      </c>
      <c r="C6" s="8">
        <f>SUMIFS('Airtable Sales Data'!$P:$P,'Airtable Sales Data'!$K:$K, "&gt;"&amp;$B5,'Airtable Sales Data'!$K:$K,"&lt;="&amp;$B6)/1000</f>
        <v>141.202</v>
      </c>
      <c r="D6" s="527">
        <f>SUMIFS('Airtable Sales Data'!$W:$W,'Airtable Sales Data'!$K:$K, "&gt;"&amp;$B5,'Airtable Sales Data'!$K:$K,"&lt;="&amp;$B6)/1000</f>
        <v>10628.81</v>
      </c>
      <c r="E6" s="382">
        <f t="shared" si="1"/>
        <v>10770.012</v>
      </c>
      <c r="F6" s="8"/>
      <c r="G6" s="8"/>
      <c r="H6" s="8"/>
      <c r="I6" s="8"/>
      <c r="J6" s="8"/>
      <c r="K6" s="8"/>
      <c r="L6" s="8"/>
      <c r="M6" s="172"/>
      <c r="N6" s="8">
        <f>SUMIFS('Airtable Sales Data'!$W:$W,'Airtable Sales Data'!$K:$K, "&gt;"&amp;$B5,'Airtable Sales Data'!$K:$K,"&lt;="&amp;$B6, 'Airtable Sales Data'!$G:$G, N$2)/1000</f>
        <v>0</v>
      </c>
      <c r="O6" s="8">
        <f>SUMIFS('Airtable Sales Data'!$W:$W,'Airtable Sales Data'!$K:$K, "&gt;"&amp;$B5,'Airtable Sales Data'!$K:$K,"&lt;="&amp;$B6, 'Airtable Sales Data'!$G:$G, O$2)/1000</f>
        <v>0</v>
      </c>
      <c r="P6" s="8">
        <f>SUMIFS('Airtable Sales Data'!$W:$W,'Airtable Sales Data'!$K:$K, "&gt;"&amp;$B5,'Airtable Sales Data'!$K:$K,"&lt;="&amp;$B6, 'Airtable Sales Data'!$G:$G, P$2)/1000</f>
        <v>411.56</v>
      </c>
      <c r="Q6" s="8">
        <f>SUMIFS('Airtable Sales Data'!$W:$W,'Airtable Sales Data'!$K:$K, "&gt;"&amp;$B5,'Airtable Sales Data'!$K:$K,"&lt;="&amp;$B6, 'Airtable Sales Data'!$G:$G, Q$2)/1000</f>
        <v>600</v>
      </c>
      <c r="R6" s="8">
        <f>SUMIFS('Airtable Sales Data'!$W:$W,'Airtable Sales Data'!$K:$K, "&gt;"&amp;$B5,'Airtable Sales Data'!$K:$K,"&lt;="&amp;$B6, 'Airtable Sales Data'!$G:$G, R$2)/1000</f>
        <v>0</v>
      </c>
      <c r="S6" s="8">
        <f>SUMIFS('Airtable Sales Data'!$W:$W,'Airtable Sales Data'!$K:$K, "&gt;"&amp;$B5,'Airtable Sales Data'!$K:$K,"&lt;="&amp;$B6, 'Airtable Sales Data'!$G:$G, S$2)/1000</f>
        <v>0</v>
      </c>
      <c r="T6" s="8">
        <f>SUMIFS('Airtable Sales Data'!$W:$W,'Airtable Sales Data'!$K:$K, "&gt;"&amp;$B5,'Airtable Sales Data'!$K:$K,"&lt;="&amp;$B6, 'Airtable Sales Data'!$G:$G, T$2)/1000</f>
        <v>0</v>
      </c>
      <c r="U6" s="8">
        <f>SUMIFS('Airtable Sales Data'!$W:$W,'Airtable Sales Data'!$K:$K, "&gt;"&amp;$B5,'Airtable Sales Data'!$K:$K,"&lt;="&amp;$B6, 'Airtable Sales Data'!$G:$G, U$2)/1000</f>
        <v>0</v>
      </c>
      <c r="V6" s="8">
        <f>SUMIFS('Airtable Sales Data'!$W:$W,'Airtable Sales Data'!$K:$K, "&gt;"&amp;$B5,'Airtable Sales Data'!$K:$K,"&lt;="&amp;$B6, 'Airtable Sales Data'!$G:$G, V$2)/1000</f>
        <v>0</v>
      </c>
      <c r="W6" s="8">
        <f>SUMIFS('Airtable Sales Data'!$W:$W,'Airtable Sales Data'!$K:$K, "&gt;"&amp;$B5,'Airtable Sales Data'!$K:$K,"&lt;="&amp;$B6, 'Airtable Sales Data'!$G:$G, W$2)/1000</f>
        <v>0</v>
      </c>
      <c r="X6" s="8">
        <f>SUMIFS('Airtable Sales Data'!$W:$W,'Airtable Sales Data'!$K:$K, "&gt;"&amp;$B5,'Airtable Sales Data'!$K:$K,"&lt;="&amp;$B6, 'Airtable Sales Data'!$G:$G, X$2)/1000</f>
        <v>0</v>
      </c>
      <c r="Y6" s="8">
        <f>SUMIFS('Airtable Sales Data'!$W:$W,'Airtable Sales Data'!$K:$K, "&gt;"&amp;$B5,'Airtable Sales Data'!$K:$K,"&lt;="&amp;$B6, 'Airtable Sales Data'!$G:$G, Y$2)/1000</f>
        <v>6500</v>
      </c>
      <c r="Z6" s="8">
        <f>SUMIFS('Airtable Sales Data'!$W:$W,'Airtable Sales Data'!$K:$K, "&gt;"&amp;$B5,'Airtable Sales Data'!$K:$K,"&lt;="&amp;$B6, 'Airtable Sales Data'!$G:$G, Z$2)/1000</f>
        <v>0</v>
      </c>
      <c r="AA6" s="8">
        <f>SUMIFS('Airtable Sales Data'!$W:$W,'Airtable Sales Data'!$K:$K, "&gt;"&amp;$B5,'Airtable Sales Data'!$K:$K,"&lt;="&amp;$B6, 'Airtable Sales Data'!$G:$G, AA$2)/1000</f>
        <v>0</v>
      </c>
      <c r="AB6" s="8">
        <f>SUMIFS('Airtable Sales Data'!$W:$W,'Airtable Sales Data'!$K:$K, "&gt;"&amp;$B5,'Airtable Sales Data'!$K:$K,"&lt;="&amp;$B6, 'Airtable Sales Data'!$G:$G, AB$2)/1000</f>
        <v>0</v>
      </c>
      <c r="AC6" s="8">
        <f>SUMIFS('Airtable Sales Data'!$W:$W,'Airtable Sales Data'!$K:$K, "&gt;"&amp;$B5,'Airtable Sales Data'!$K:$K,"&lt;="&amp;$B6, 'Airtable Sales Data'!$G:$G, AC$2)/1000</f>
        <v>0</v>
      </c>
      <c r="AD6" s="8">
        <f>SUMIFS('Airtable Sales Data'!$W:$W,'Airtable Sales Data'!$K:$K, "&gt;"&amp;$B5,'Airtable Sales Data'!$K:$K,"&lt;="&amp;$B6, 'Airtable Sales Data'!$G:$G, AD$2)/1000</f>
        <v>50</v>
      </c>
      <c r="AE6" s="8">
        <f>SUMIFS('Airtable Sales Data'!$W:$W,'Airtable Sales Data'!$K:$K, "&gt;"&amp;$B5,'Airtable Sales Data'!$K:$K,"&lt;="&amp;$B6, 'Airtable Sales Data'!$G:$G, AE$2)/1000</f>
        <v>0</v>
      </c>
      <c r="AF6" s="8">
        <f>SUMIFS('Airtable Sales Data'!$W:$W,'Airtable Sales Data'!$K:$K, "&gt;"&amp;$B5,'Airtable Sales Data'!$K:$K,"&lt;="&amp;$B6, 'Airtable Sales Data'!$G:$G, AF$2)/1000</f>
        <v>0</v>
      </c>
      <c r="AG6" s="8">
        <f>SUMIFS('Airtable Sales Data'!$W:$W,'Airtable Sales Data'!$K:$K, "&gt;"&amp;$B5,'Airtable Sales Data'!$K:$K,"&lt;="&amp;$B6, 'Airtable Sales Data'!$G:$G, AG$2)/1000</f>
        <v>0</v>
      </c>
      <c r="AH6" s="8">
        <f>SUMIFS('Airtable Sales Data'!$W:$W,'Airtable Sales Data'!$K:$K, "&gt;"&amp;$B5,'Airtable Sales Data'!$K:$K,"&lt;="&amp;$B6, 'Airtable Sales Data'!$G:$G, AH$2)/1000</f>
        <v>0</v>
      </c>
      <c r="AI6" s="8">
        <f>SUMIFS('Airtable Sales Data'!$W:$W,'Airtable Sales Data'!$K:$K, "&gt;"&amp;$B5,'Airtable Sales Data'!$K:$K,"&lt;="&amp;$B6, 'Airtable Sales Data'!$G:$G, AI$2)/1000</f>
        <v>0</v>
      </c>
      <c r="AJ6" s="8">
        <f>SUMIFS('Airtable Sales Data'!$W:$W,'Airtable Sales Data'!$K:$K, "&gt;"&amp;$B5,'Airtable Sales Data'!$K:$K,"&lt;="&amp;$B6, 'Airtable Sales Data'!$G:$G, AJ$2)/1000</f>
        <v>0</v>
      </c>
      <c r="AK6" s="8">
        <f>SUMIFS('Airtable Sales Data'!$W:$W,'Airtable Sales Data'!$K:$K, "&gt;"&amp;$B5,'Airtable Sales Data'!$K:$K,"&lt;="&amp;$B6, 'Airtable Sales Data'!$G:$G, AK$2)/1000</f>
        <v>0</v>
      </c>
      <c r="AL6" s="8">
        <f>SUMIFS('Airtable Sales Data'!$W:$W,'Airtable Sales Data'!$K:$K, "&gt;"&amp;$B5,'Airtable Sales Data'!$K:$K,"&lt;="&amp;$B6, 'Airtable Sales Data'!$G:$G, AL$2)/1000</f>
        <v>200</v>
      </c>
      <c r="AM6" s="8">
        <f>SUMIFS('Airtable Sales Data'!$W:$W,'Airtable Sales Data'!$K:$K, "&gt;"&amp;$B5,'Airtable Sales Data'!$K:$K,"&lt;="&amp;$B6, 'Airtable Sales Data'!$G:$G, AM$2)/1000</f>
        <v>0</v>
      </c>
      <c r="AN6" s="8">
        <f>SUMIFS('Airtable Sales Data'!$W:$W,'Airtable Sales Data'!$K:$K, "&gt;"&amp;$B5,'Airtable Sales Data'!$K:$K,"&lt;="&amp;$B6, 'Airtable Sales Data'!$G:$G, AN$2)/1000</f>
        <v>0</v>
      </c>
      <c r="AO6" s="8">
        <f>SUMIFS('Airtable Sales Data'!$W:$W,'Airtable Sales Data'!$K:$K, "&gt;"&amp;$B5,'Airtable Sales Data'!$K:$K,"&lt;="&amp;$B6, 'Airtable Sales Data'!$G:$G, AO$2)/1000</f>
        <v>0</v>
      </c>
      <c r="AP6" s="8">
        <f>SUMIFS('Airtable Sales Data'!$W:$W,'Airtable Sales Data'!$K:$K, "&gt;"&amp;$B5,'Airtable Sales Data'!$K:$K,"&lt;="&amp;$B6, 'Airtable Sales Data'!$G:$G, AP$2)/1000</f>
        <v>0</v>
      </c>
      <c r="AQ6" s="8">
        <f>SUMIFS('Airtable Sales Data'!$W:$W,'Airtable Sales Data'!$K:$K, "&gt;"&amp;$B5,'Airtable Sales Data'!$K:$K,"&lt;="&amp;$B6, 'Airtable Sales Data'!$G:$G, AQ$2)/1000</f>
        <v>0.16</v>
      </c>
      <c r="AR6" s="8">
        <f>SUMIFS('Airtable Sales Data'!$W:$W,'Airtable Sales Data'!$K:$K, "&gt;"&amp;$B5,'Airtable Sales Data'!$K:$K,"&lt;="&amp;$B6, 'Airtable Sales Data'!$G:$G, AR$2)/1000</f>
        <v>10</v>
      </c>
      <c r="AS6" s="8">
        <f>SUMIFS('Airtable Sales Data'!$W:$W,'Airtable Sales Data'!$K:$K, "&gt;"&amp;$B5,'Airtable Sales Data'!$K:$K,"&lt;="&amp;$B6, 'Airtable Sales Data'!$G:$G, AS$2)/1000</f>
        <v>0</v>
      </c>
      <c r="AT6" s="8">
        <f>SUMIFS('Airtable Sales Data'!$W:$W,'Airtable Sales Data'!$K:$K, "&gt;"&amp;$B5,'Airtable Sales Data'!$K:$K,"&lt;="&amp;$B6, 'Airtable Sales Data'!$G:$G, AT$2)/1000</f>
        <v>0</v>
      </c>
      <c r="AU6" s="8">
        <f>SUMIFS('Airtable Sales Data'!$W:$W,'Airtable Sales Data'!$K:$K, "&gt;"&amp;$B5,'Airtable Sales Data'!$K:$K,"&lt;="&amp;$B6, 'Airtable Sales Data'!$G:$G, AU$2)/1000</f>
        <v>300</v>
      </c>
      <c r="AV6" s="8">
        <f>SUMIFS('Airtable Sales Data'!$W:$W,'Airtable Sales Data'!$K:$K, "&gt;"&amp;$B5,'Airtable Sales Data'!$K:$K,"&lt;="&amp;$B6, 'Airtable Sales Data'!$G:$G, AV$2)/1000</f>
        <v>0</v>
      </c>
      <c r="AW6" s="8">
        <f>SUMIFS('Airtable Sales Data'!$W:$W,'Airtable Sales Data'!$K:$K, "&gt;"&amp;$B5,'Airtable Sales Data'!$K:$K,"&lt;="&amp;$B6, 'Airtable Sales Data'!$G:$G, AW$2)/1000</f>
        <v>0</v>
      </c>
      <c r="AX6" s="8">
        <f>SUMIFS('Airtable Sales Data'!$W:$W,'Airtable Sales Data'!$K:$K, "&gt;"&amp;$B5,'Airtable Sales Data'!$K:$K,"&lt;="&amp;$B6, 'Airtable Sales Data'!$G:$G, AX$2)/1000</f>
        <v>0</v>
      </c>
      <c r="AY6" s="8">
        <f>SUMIFS('Airtable Sales Data'!$W:$W,'Airtable Sales Data'!$K:$K, "&gt;"&amp;$B5,'Airtable Sales Data'!$K:$K,"&lt;="&amp;$B6, 'Airtable Sales Data'!$G:$G, AY$2)/1000</f>
        <v>0</v>
      </c>
      <c r="AZ6" s="8">
        <f>SUMIFS('Airtable Sales Data'!$W:$W,'Airtable Sales Data'!$K:$K, "&gt;"&amp;$B5,'Airtable Sales Data'!$K:$K,"&lt;="&amp;$B6, 'Airtable Sales Data'!$G:$G, AZ$2)/1000</f>
        <v>0</v>
      </c>
      <c r="BA6" s="8">
        <f>SUMIFS('Airtable Sales Data'!$W:$W,'Airtable Sales Data'!$K:$K, "&gt;"&amp;$B5,'Airtable Sales Data'!$K:$K,"&lt;="&amp;$B6, 'Airtable Sales Data'!$G:$G, BA$2)/1000</f>
        <v>0</v>
      </c>
      <c r="BB6" s="8">
        <f>SUMIFS('Airtable Sales Data'!$W:$W,'Airtable Sales Data'!$K:$K, "&gt;"&amp;$B5,'Airtable Sales Data'!$K:$K,"&lt;="&amp;$B6, 'Airtable Sales Data'!$G:$G, BB$2)/1000</f>
        <v>0</v>
      </c>
      <c r="BC6" s="8">
        <f>SUMIFS('Airtable Sales Data'!$W:$W,'Airtable Sales Data'!$K:$K, "&gt;"&amp;$B5,'Airtable Sales Data'!$K:$K,"&lt;="&amp;$B6, 'Airtable Sales Data'!$G:$G, BC$2)/1000</f>
        <v>0</v>
      </c>
      <c r="BD6" s="8">
        <f>SUMIFS('Airtable Sales Data'!$W:$W,'Airtable Sales Data'!$K:$K, "&gt;"&amp;$B5,'Airtable Sales Data'!$K:$K,"&lt;="&amp;$B6, 'Airtable Sales Data'!$G:$G, BD$2)/1000</f>
        <v>53.91</v>
      </c>
      <c r="BE6" s="8">
        <f>SUMIFS('Airtable Sales Data'!$W:$W,'Airtable Sales Data'!$K:$K, "&gt;"&amp;$B5,'Airtable Sales Data'!$K:$K,"&lt;="&amp;$B6, 'Airtable Sales Data'!$G:$G, BE$2)/1000</f>
        <v>0</v>
      </c>
      <c r="BF6" s="8">
        <f>SUMIFS('Airtable Sales Data'!$W:$W,'Airtable Sales Data'!$K:$K, "&gt;"&amp;$B5,'Airtable Sales Data'!$K:$K,"&lt;="&amp;$B6, 'Airtable Sales Data'!$G:$G, BF$2)/1000</f>
        <v>11</v>
      </c>
      <c r="BG6" s="8">
        <f>SUMIFS('Airtable Sales Data'!$W:$W,'Airtable Sales Data'!$K:$K, "&gt;"&amp;$B5,'Airtable Sales Data'!$K:$K,"&lt;="&amp;$B6, 'Airtable Sales Data'!$G:$G, BG$2)/1000</f>
        <v>95.8</v>
      </c>
      <c r="BH6" s="8">
        <f>SUMIFS('Airtable Sales Data'!$W:$W,'Airtable Sales Data'!$K:$K, "&gt;"&amp;$B5,'Airtable Sales Data'!$K:$K,"&lt;="&amp;$B6, 'Airtable Sales Data'!$G:$G, BH$2)/1000</f>
        <v>0</v>
      </c>
      <c r="BI6" s="8">
        <f>SUMIFS('Airtable Sales Data'!$W:$W,'Airtable Sales Data'!$K:$K, "&gt;"&amp;$B5,'Airtable Sales Data'!$K:$K,"&lt;="&amp;$B6, 'Airtable Sales Data'!$G:$G, BI$2)/1000</f>
        <v>0</v>
      </c>
    </row>
    <row r="7">
      <c r="A7" s="525"/>
      <c r="B7" s="528"/>
      <c r="C7" s="172"/>
      <c r="D7" s="172"/>
      <c r="E7" s="529" t="s">
        <v>2669</v>
      </c>
      <c r="F7" s="530">
        <v>2.0</v>
      </c>
      <c r="G7" s="531"/>
      <c r="H7" s="530">
        <v>1.0</v>
      </c>
      <c r="I7" s="530">
        <v>3.0</v>
      </c>
      <c r="J7" s="530">
        <v>4.0</v>
      </c>
      <c r="K7" s="530">
        <v>5.0</v>
      </c>
      <c r="L7" s="530">
        <v>6.0</v>
      </c>
      <c r="M7" s="172"/>
      <c r="N7" s="172"/>
      <c r="O7" s="172"/>
      <c r="P7" s="172"/>
      <c r="Q7" s="172"/>
      <c r="R7" s="172"/>
      <c r="S7" s="172"/>
    </row>
    <row r="8">
      <c r="A8" s="525"/>
      <c r="B8" s="528"/>
      <c r="C8" s="172"/>
      <c r="D8" s="4"/>
      <c r="F8" s="172"/>
      <c r="G8" s="172"/>
      <c r="H8" s="172"/>
      <c r="I8" s="172"/>
      <c r="J8" s="172"/>
      <c r="K8" s="172"/>
      <c r="L8" s="172"/>
      <c r="M8" s="172"/>
      <c r="N8" s="172"/>
      <c r="O8" s="172"/>
      <c r="P8" s="172"/>
      <c r="Q8" s="172"/>
      <c r="R8" s="172"/>
      <c r="S8" s="172"/>
    </row>
    <row r="9">
      <c r="A9" s="525"/>
      <c r="C9" s="5"/>
      <c r="D9" s="337"/>
      <c r="E9" s="532"/>
      <c r="F9" s="172"/>
      <c r="G9" s="172"/>
      <c r="H9" s="172"/>
      <c r="I9" s="172"/>
      <c r="J9" s="172"/>
      <c r="K9" s="172"/>
      <c r="L9" s="172"/>
      <c r="M9" s="172"/>
      <c r="N9" s="172"/>
      <c r="O9" s="172"/>
      <c r="P9" s="172"/>
      <c r="Q9" s="172"/>
      <c r="R9" s="172"/>
      <c r="S9" s="172"/>
    </row>
    <row r="10">
      <c r="A10" s="525"/>
      <c r="C10" s="5"/>
      <c r="D10" s="8"/>
      <c r="F10" s="172"/>
      <c r="G10" s="172"/>
      <c r="H10" s="172"/>
      <c r="I10" s="172"/>
      <c r="J10" s="172"/>
      <c r="K10" s="172"/>
      <c r="L10" s="172"/>
      <c r="M10" s="172"/>
      <c r="N10" s="172"/>
      <c r="O10" s="172"/>
      <c r="P10" s="172"/>
      <c r="Q10" s="172"/>
      <c r="R10" s="172"/>
      <c r="S10" s="172"/>
    </row>
    <row r="11">
      <c r="A11" s="525"/>
      <c r="C11" s="5"/>
      <c r="D11" s="8"/>
      <c r="F11" s="172"/>
      <c r="G11" s="172"/>
      <c r="H11" s="172"/>
      <c r="I11" s="172"/>
      <c r="J11" s="172"/>
      <c r="K11" s="172"/>
      <c r="L11" s="172"/>
      <c r="M11" s="172"/>
      <c r="N11" s="172"/>
      <c r="O11" s="172"/>
      <c r="P11" s="172"/>
      <c r="Q11" s="172"/>
      <c r="R11" s="172"/>
      <c r="S11" s="172"/>
    </row>
    <row r="12">
      <c r="A12" s="525"/>
      <c r="C12" s="5"/>
      <c r="D12" s="8"/>
      <c r="F12" s="172"/>
      <c r="G12" s="172"/>
      <c r="H12" s="172"/>
      <c r="I12" s="172"/>
      <c r="J12" s="172"/>
      <c r="K12" s="172"/>
      <c r="L12" s="172"/>
      <c r="M12" s="172"/>
      <c r="N12" s="172"/>
      <c r="O12" s="172"/>
      <c r="P12" s="172"/>
      <c r="Q12" s="172"/>
      <c r="R12" s="172"/>
      <c r="S12" s="172"/>
    </row>
    <row r="13">
      <c r="A13" s="525"/>
      <c r="C13" s="5"/>
      <c r="D13" s="8"/>
      <c r="F13" s="172"/>
      <c r="G13" s="172"/>
      <c r="H13" s="172"/>
      <c r="I13" s="172"/>
      <c r="J13" s="172"/>
      <c r="K13" s="172"/>
      <c r="L13" s="172"/>
      <c r="M13" s="172"/>
      <c r="N13" s="172"/>
      <c r="O13" s="172"/>
      <c r="P13" s="172"/>
      <c r="Q13" s="172"/>
      <c r="R13" s="172"/>
      <c r="S13" s="172"/>
    </row>
    <row r="14">
      <c r="A14" s="525"/>
      <c r="C14" s="5"/>
      <c r="D14" s="4"/>
      <c r="F14" s="172"/>
      <c r="G14" s="172"/>
      <c r="H14" s="172"/>
      <c r="I14" s="172"/>
      <c r="J14" s="172"/>
      <c r="K14" s="172"/>
      <c r="L14" s="172"/>
      <c r="M14" s="172"/>
      <c r="N14" s="172"/>
      <c r="O14" s="172"/>
      <c r="P14" s="172"/>
      <c r="Q14" s="172"/>
      <c r="R14" s="172"/>
      <c r="S14" s="172"/>
    </row>
    <row r="15">
      <c r="A15" s="525"/>
      <c r="C15" s="533"/>
      <c r="D15" s="172"/>
      <c r="F15" s="172"/>
      <c r="G15" s="172"/>
      <c r="H15" s="172"/>
      <c r="I15" s="172"/>
      <c r="J15" s="172"/>
      <c r="K15" s="172"/>
      <c r="L15" s="172"/>
      <c r="M15" s="172"/>
      <c r="N15" s="172"/>
      <c r="O15" s="172"/>
      <c r="P15" s="172"/>
      <c r="Q15" s="172"/>
      <c r="R15" s="172"/>
      <c r="S15" s="172"/>
    </row>
    <row r="16">
      <c r="A16" s="525"/>
      <c r="C16" s="533"/>
      <c r="D16" s="172"/>
      <c r="F16" s="172"/>
      <c r="G16" s="172"/>
      <c r="H16" s="172"/>
      <c r="I16" s="172"/>
      <c r="J16" s="172"/>
      <c r="K16" s="172"/>
      <c r="L16" s="172"/>
      <c r="M16" s="172"/>
      <c r="N16" s="172"/>
      <c r="O16" s="172"/>
      <c r="P16" s="172"/>
      <c r="Q16" s="172"/>
      <c r="R16" s="172"/>
      <c r="S16" s="172"/>
    </row>
    <row r="17">
      <c r="A17" s="525"/>
      <c r="C17" s="533"/>
      <c r="D17" s="172"/>
      <c r="F17" s="172"/>
      <c r="G17" s="172"/>
      <c r="H17" s="172"/>
      <c r="I17" s="172"/>
      <c r="J17" s="172"/>
      <c r="K17" s="172"/>
      <c r="L17" s="172"/>
      <c r="M17" s="172"/>
      <c r="N17" s="172"/>
      <c r="O17" s="172"/>
      <c r="P17" s="172"/>
      <c r="Q17" s="172"/>
      <c r="R17" s="172"/>
      <c r="S17" s="172"/>
    </row>
    <row r="18">
      <c r="A18" s="525"/>
      <c r="C18" s="533"/>
      <c r="D18" s="172"/>
      <c r="F18" s="172"/>
      <c r="G18" s="172"/>
      <c r="H18" s="172"/>
      <c r="I18" s="172"/>
      <c r="J18" s="172"/>
      <c r="K18" s="172"/>
      <c r="L18" s="172"/>
      <c r="M18" s="172"/>
      <c r="N18" s="172"/>
      <c r="O18" s="172"/>
      <c r="P18" s="172"/>
      <c r="Q18" s="172"/>
      <c r="R18" s="172"/>
      <c r="S18" s="172"/>
    </row>
    <row r="19">
      <c r="A19" s="525"/>
      <c r="C19" s="533"/>
      <c r="D19" s="172"/>
      <c r="F19" s="172"/>
      <c r="G19" s="172"/>
      <c r="H19" s="172"/>
      <c r="I19" s="172"/>
      <c r="J19" s="172"/>
      <c r="K19" s="172"/>
      <c r="L19" s="172"/>
      <c r="M19" s="172"/>
      <c r="N19" s="172"/>
      <c r="O19" s="172"/>
      <c r="P19" s="172"/>
      <c r="Q19" s="172"/>
      <c r="R19" s="172"/>
      <c r="S19" s="172"/>
    </row>
    <row r="20">
      <c r="A20" s="525"/>
      <c r="C20" s="533"/>
      <c r="D20" s="172"/>
      <c r="F20" s="172"/>
      <c r="G20" s="172"/>
      <c r="H20" s="172"/>
      <c r="I20" s="172"/>
      <c r="J20" s="172"/>
      <c r="K20" s="172"/>
      <c r="L20" s="172"/>
      <c r="M20" s="172"/>
      <c r="N20" s="172"/>
      <c r="O20" s="172"/>
      <c r="P20" s="172"/>
      <c r="Q20" s="172"/>
      <c r="R20" s="172"/>
      <c r="S20" s="172"/>
    </row>
    <row r="21">
      <c r="A21" s="525"/>
      <c r="C21" s="533"/>
      <c r="D21" s="172"/>
      <c r="F21" s="172"/>
      <c r="G21" s="172"/>
      <c r="H21" s="172"/>
      <c r="I21" s="172"/>
      <c r="J21" s="172"/>
      <c r="K21" s="172"/>
      <c r="L21" s="172"/>
      <c r="M21" s="172"/>
      <c r="N21" s="172"/>
      <c r="O21" s="172"/>
      <c r="P21" s="172"/>
      <c r="Q21" s="172"/>
      <c r="R21" s="172"/>
      <c r="S21" s="172"/>
    </row>
    <row r="22">
      <c r="A22" s="525"/>
      <c r="C22" s="533"/>
      <c r="D22" s="172"/>
      <c r="F22" s="172"/>
      <c r="G22" s="172"/>
      <c r="H22" s="172"/>
      <c r="I22" s="172"/>
      <c r="J22" s="172"/>
      <c r="K22" s="172"/>
      <c r="L22" s="172"/>
      <c r="M22" s="172"/>
      <c r="N22" s="172"/>
      <c r="O22" s="172"/>
      <c r="P22" s="172"/>
      <c r="Q22" s="172"/>
      <c r="R22" s="172"/>
      <c r="S22" s="172"/>
    </row>
    <row r="23">
      <c r="A23" s="525"/>
      <c r="C23" s="533"/>
      <c r="D23" s="172"/>
      <c r="F23" s="172"/>
      <c r="G23" s="172"/>
      <c r="H23" s="172"/>
      <c r="I23" s="172"/>
      <c r="J23" s="172"/>
      <c r="K23" s="172"/>
      <c r="L23" s="172"/>
      <c r="M23" s="172"/>
      <c r="N23" s="172"/>
      <c r="O23" s="172"/>
      <c r="P23" s="172"/>
      <c r="Q23" s="172"/>
      <c r="R23" s="172"/>
      <c r="S23" s="172"/>
    </row>
    <row r="24">
      <c r="A24" s="525"/>
      <c r="C24" s="533"/>
      <c r="D24" s="172"/>
      <c r="F24" s="172"/>
      <c r="G24" s="172"/>
      <c r="H24" s="172"/>
      <c r="I24" s="172"/>
      <c r="J24" s="172"/>
      <c r="K24" s="172"/>
      <c r="L24" s="172"/>
      <c r="M24" s="172"/>
      <c r="N24" s="172"/>
      <c r="O24" s="172"/>
      <c r="P24" s="172"/>
      <c r="Q24" s="172"/>
      <c r="R24" s="172"/>
      <c r="S24" s="172"/>
    </row>
    <row r="25">
      <c r="A25" s="525"/>
      <c r="C25" s="533"/>
      <c r="D25" s="172"/>
      <c r="F25" s="172"/>
      <c r="G25" s="172"/>
      <c r="H25" s="172"/>
      <c r="I25" s="172"/>
      <c r="J25" s="172"/>
      <c r="K25" s="172"/>
      <c r="L25" s="172"/>
      <c r="M25" s="172"/>
      <c r="N25" s="172"/>
      <c r="O25" s="172"/>
      <c r="P25" s="172"/>
      <c r="Q25" s="172"/>
      <c r="R25" s="172"/>
      <c r="S25" s="172"/>
    </row>
    <row r="26">
      <c r="A26" s="525"/>
      <c r="C26" s="533"/>
      <c r="D26" s="172"/>
      <c r="F26" s="172"/>
      <c r="G26" s="172"/>
      <c r="H26" s="172"/>
      <c r="I26" s="172"/>
      <c r="J26" s="172"/>
      <c r="K26" s="172"/>
      <c r="L26" s="172"/>
      <c r="M26" s="172"/>
      <c r="N26" s="172"/>
      <c r="O26" s="172"/>
      <c r="P26" s="172"/>
      <c r="Q26" s="172"/>
      <c r="R26" s="172"/>
      <c r="S26" s="172"/>
    </row>
    <row r="27">
      <c r="A27" s="525"/>
      <c r="C27" s="533"/>
      <c r="D27" s="172"/>
      <c r="F27" s="172"/>
      <c r="G27" s="172"/>
      <c r="H27" s="172"/>
      <c r="I27" s="172"/>
      <c r="J27" s="172"/>
      <c r="K27" s="172"/>
      <c r="L27" s="172"/>
      <c r="M27" s="172"/>
      <c r="N27" s="172"/>
      <c r="O27" s="172"/>
      <c r="P27" s="172"/>
      <c r="Q27" s="172"/>
      <c r="R27" s="172"/>
      <c r="S27" s="172"/>
    </row>
    <row r="28">
      <c r="A28" s="525"/>
      <c r="C28" s="533"/>
      <c r="D28" s="172"/>
      <c r="F28" s="172"/>
      <c r="G28" s="172"/>
      <c r="H28" s="172"/>
      <c r="I28" s="172"/>
      <c r="J28" s="172"/>
      <c r="K28" s="172"/>
      <c r="L28" s="172"/>
      <c r="M28" s="172"/>
      <c r="N28" s="172"/>
      <c r="O28" s="172"/>
      <c r="P28" s="172"/>
      <c r="Q28" s="172"/>
      <c r="R28" s="172"/>
      <c r="S28" s="172"/>
    </row>
    <row r="29">
      <c r="A29" s="525"/>
      <c r="C29" s="533"/>
      <c r="D29" s="172"/>
      <c r="F29" s="172"/>
      <c r="G29" s="172"/>
      <c r="H29" s="172"/>
      <c r="I29" s="172"/>
      <c r="J29" s="172"/>
      <c r="K29" s="172"/>
      <c r="L29" s="172"/>
      <c r="M29" s="172"/>
      <c r="N29" s="172"/>
      <c r="O29" s="172"/>
      <c r="P29" s="172"/>
      <c r="Q29" s="172"/>
      <c r="R29" s="172"/>
      <c r="S29" s="172"/>
    </row>
    <row r="30">
      <c r="A30" s="525"/>
      <c r="C30" s="533"/>
      <c r="D30" s="172"/>
      <c r="F30" s="172"/>
      <c r="G30" s="172"/>
      <c r="H30" s="172"/>
      <c r="I30" s="172"/>
      <c r="J30" s="172"/>
      <c r="K30" s="172"/>
      <c r="L30" s="172"/>
      <c r="M30" s="172"/>
      <c r="N30" s="172"/>
      <c r="O30" s="172"/>
      <c r="P30" s="172"/>
      <c r="Q30" s="172"/>
      <c r="R30" s="172"/>
      <c r="S30" s="172"/>
    </row>
    <row r="31">
      <c r="A31" s="525"/>
      <c r="C31" s="533"/>
      <c r="D31" s="172"/>
      <c r="F31" s="172"/>
      <c r="G31" s="172"/>
      <c r="H31" s="172"/>
      <c r="I31" s="172"/>
      <c r="J31" s="172"/>
      <c r="K31" s="172"/>
      <c r="L31" s="172"/>
      <c r="M31" s="172"/>
      <c r="N31" s="172"/>
      <c r="O31" s="172"/>
      <c r="P31" s="172"/>
      <c r="Q31" s="172"/>
      <c r="R31" s="172"/>
      <c r="S31" s="172"/>
    </row>
    <row r="32">
      <c r="A32" s="525"/>
      <c r="C32" s="533"/>
      <c r="D32" s="172"/>
      <c r="F32" s="172"/>
      <c r="G32" s="172"/>
      <c r="H32" s="172"/>
      <c r="I32" s="172"/>
      <c r="J32" s="172"/>
      <c r="K32" s="172"/>
      <c r="L32" s="172"/>
      <c r="M32" s="172"/>
      <c r="N32" s="172"/>
      <c r="O32" s="172"/>
      <c r="P32" s="172"/>
      <c r="Q32" s="172"/>
      <c r="R32" s="172"/>
      <c r="S32" s="172"/>
    </row>
    <row r="33">
      <c r="A33" s="525"/>
      <c r="C33" s="533"/>
      <c r="D33" s="172"/>
      <c r="F33" s="172"/>
      <c r="G33" s="172"/>
      <c r="H33" s="172"/>
      <c r="I33" s="172"/>
      <c r="J33" s="172"/>
      <c r="K33" s="172"/>
      <c r="L33" s="172"/>
      <c r="M33" s="172"/>
      <c r="N33" s="172"/>
      <c r="O33" s="172"/>
      <c r="P33" s="172"/>
      <c r="Q33" s="172"/>
      <c r="R33" s="172"/>
      <c r="S33" s="172"/>
    </row>
    <row r="34">
      <c r="A34" s="525"/>
      <c r="C34" s="533"/>
      <c r="D34" s="172"/>
      <c r="F34" s="172"/>
      <c r="G34" s="172"/>
      <c r="H34" s="172"/>
      <c r="I34" s="172"/>
      <c r="J34" s="172"/>
      <c r="K34" s="172"/>
      <c r="L34" s="172"/>
      <c r="M34" s="172"/>
      <c r="N34" s="172"/>
      <c r="O34" s="172"/>
      <c r="P34" s="172"/>
      <c r="Q34" s="172"/>
      <c r="R34" s="172"/>
      <c r="S34" s="172"/>
    </row>
    <row r="35">
      <c r="A35" s="525"/>
      <c r="C35" s="533"/>
      <c r="D35" s="172"/>
      <c r="F35" s="172"/>
      <c r="G35" s="172"/>
      <c r="H35" s="172"/>
      <c r="I35" s="172"/>
      <c r="J35" s="172"/>
      <c r="K35" s="172"/>
      <c r="L35" s="172"/>
      <c r="M35" s="172"/>
      <c r="N35" s="172"/>
      <c r="O35" s="172"/>
      <c r="P35" s="172"/>
      <c r="Q35" s="172"/>
      <c r="R35" s="172"/>
      <c r="S35" s="172"/>
    </row>
    <row r="36">
      <c r="A36" s="525"/>
      <c r="C36" s="533"/>
      <c r="D36" s="172"/>
      <c r="F36" s="172"/>
      <c r="G36" s="172"/>
      <c r="H36" s="172"/>
      <c r="I36" s="172"/>
      <c r="J36" s="172"/>
      <c r="K36" s="172"/>
      <c r="L36" s="172"/>
      <c r="M36" s="172"/>
      <c r="N36" s="172"/>
      <c r="O36" s="172"/>
      <c r="P36" s="172"/>
      <c r="Q36" s="172"/>
      <c r="R36" s="172"/>
      <c r="S36" s="172"/>
    </row>
    <row r="37">
      <c r="A37" s="525"/>
      <c r="C37" s="533"/>
      <c r="D37" s="172"/>
      <c r="F37" s="172"/>
      <c r="G37" s="172"/>
      <c r="H37" s="172"/>
      <c r="I37" s="172"/>
      <c r="J37" s="172"/>
      <c r="K37" s="172"/>
      <c r="L37" s="172"/>
      <c r="M37" s="172"/>
      <c r="N37" s="172"/>
      <c r="O37" s="172"/>
      <c r="P37" s="172"/>
      <c r="Q37" s="172"/>
      <c r="R37" s="172"/>
      <c r="S37" s="172"/>
    </row>
    <row r="38">
      <c r="A38" s="525"/>
      <c r="C38" s="533"/>
      <c r="D38" s="172"/>
      <c r="F38" s="172"/>
      <c r="G38" s="172"/>
      <c r="H38" s="172"/>
      <c r="I38" s="172"/>
      <c r="J38" s="172"/>
      <c r="K38" s="172"/>
      <c r="L38" s="172"/>
      <c r="M38" s="172"/>
      <c r="N38" s="172"/>
      <c r="O38" s="172"/>
      <c r="P38" s="172"/>
      <c r="Q38" s="172"/>
      <c r="R38" s="172"/>
      <c r="S38" s="172"/>
    </row>
    <row r="39">
      <c r="A39" s="525"/>
      <c r="C39" s="533"/>
      <c r="D39" s="172"/>
      <c r="F39" s="172"/>
      <c r="G39" s="172"/>
      <c r="H39" s="172"/>
      <c r="I39" s="172"/>
      <c r="J39" s="172"/>
      <c r="K39" s="172"/>
      <c r="L39" s="172"/>
      <c r="M39" s="172"/>
      <c r="N39" s="172"/>
      <c r="O39" s="172"/>
      <c r="P39" s="172"/>
      <c r="Q39" s="172"/>
      <c r="R39" s="172"/>
      <c r="S39" s="172"/>
    </row>
    <row r="40">
      <c r="A40" s="525"/>
      <c r="C40" s="533"/>
      <c r="D40" s="172"/>
      <c r="F40" s="172"/>
      <c r="G40" s="172"/>
      <c r="H40" s="172"/>
      <c r="I40" s="172"/>
      <c r="J40" s="172"/>
      <c r="K40" s="172"/>
      <c r="L40" s="172"/>
      <c r="M40" s="172"/>
      <c r="N40" s="172"/>
      <c r="O40" s="172"/>
      <c r="P40" s="172"/>
      <c r="Q40" s="172"/>
      <c r="R40" s="172"/>
      <c r="S40" s="172"/>
    </row>
    <row r="41">
      <c r="A41" s="525"/>
      <c r="C41" s="533"/>
      <c r="D41" s="172"/>
      <c r="F41" s="172"/>
      <c r="G41" s="172"/>
      <c r="H41" s="172"/>
      <c r="I41" s="172"/>
      <c r="J41" s="172"/>
      <c r="K41" s="172"/>
      <c r="L41" s="172"/>
      <c r="M41" s="172"/>
      <c r="N41" s="172"/>
      <c r="O41" s="172"/>
      <c r="P41" s="172"/>
      <c r="Q41" s="172"/>
      <c r="R41" s="172"/>
      <c r="S41" s="172"/>
    </row>
    <row r="42">
      <c r="A42" s="525"/>
      <c r="C42" s="533"/>
      <c r="D42" s="172"/>
      <c r="F42" s="172"/>
      <c r="G42" s="172"/>
      <c r="H42" s="172"/>
      <c r="I42" s="172"/>
      <c r="J42" s="172"/>
      <c r="K42" s="172"/>
      <c r="L42" s="172"/>
      <c r="M42" s="172"/>
      <c r="N42" s="172"/>
      <c r="O42" s="172"/>
      <c r="P42" s="172"/>
      <c r="Q42" s="172"/>
      <c r="R42" s="172"/>
      <c r="S42" s="172"/>
    </row>
    <row r="43">
      <c r="A43" s="525"/>
      <c r="C43" s="533"/>
      <c r="D43" s="172"/>
      <c r="F43" s="172"/>
      <c r="G43" s="172"/>
      <c r="H43" s="172"/>
      <c r="I43" s="172"/>
      <c r="J43" s="172"/>
      <c r="K43" s="172"/>
      <c r="L43" s="172"/>
      <c r="M43" s="172"/>
      <c r="N43" s="172"/>
      <c r="O43" s="172"/>
      <c r="P43" s="172"/>
      <c r="Q43" s="172"/>
      <c r="R43" s="172"/>
      <c r="S43" s="172"/>
    </row>
    <row r="44">
      <c r="A44" s="525"/>
      <c r="C44" s="533"/>
      <c r="D44" s="172"/>
      <c r="F44" s="172"/>
      <c r="G44" s="172"/>
      <c r="H44" s="172"/>
      <c r="I44" s="172"/>
      <c r="J44" s="172"/>
      <c r="K44" s="172"/>
      <c r="L44" s="172"/>
      <c r="M44" s="172"/>
      <c r="N44" s="172"/>
      <c r="O44" s="172"/>
      <c r="P44" s="172"/>
      <c r="Q44" s="172"/>
      <c r="R44" s="172"/>
      <c r="S44" s="172"/>
    </row>
    <row r="45">
      <c r="A45" s="525"/>
      <c r="C45" s="533"/>
      <c r="D45" s="172"/>
      <c r="F45" s="172"/>
      <c r="G45" s="172"/>
      <c r="H45" s="172"/>
      <c r="I45" s="172"/>
      <c r="J45" s="172"/>
      <c r="K45" s="172"/>
      <c r="L45" s="172"/>
      <c r="M45" s="172"/>
      <c r="N45" s="172"/>
      <c r="O45" s="172"/>
      <c r="P45" s="172"/>
      <c r="Q45" s="172"/>
      <c r="R45" s="172"/>
      <c r="S45" s="172"/>
    </row>
    <row r="46">
      <c r="A46" s="525"/>
      <c r="C46" s="533"/>
      <c r="D46" s="172"/>
      <c r="F46" s="172"/>
      <c r="G46" s="172"/>
      <c r="H46" s="172"/>
      <c r="I46" s="172"/>
      <c r="J46" s="172"/>
      <c r="K46" s="172"/>
      <c r="L46" s="172"/>
      <c r="M46" s="172"/>
      <c r="N46" s="172"/>
      <c r="O46" s="172"/>
      <c r="P46" s="172"/>
      <c r="Q46" s="172"/>
      <c r="R46" s="172"/>
      <c r="S46" s="172"/>
    </row>
    <row r="47">
      <c r="A47" s="525"/>
      <c r="C47" s="533"/>
      <c r="D47" s="172"/>
      <c r="F47" s="172"/>
      <c r="G47" s="172"/>
      <c r="H47" s="172"/>
      <c r="I47" s="172"/>
      <c r="J47" s="172"/>
      <c r="K47" s="172"/>
      <c r="L47" s="172"/>
      <c r="M47" s="172"/>
      <c r="N47" s="172"/>
      <c r="O47" s="172"/>
      <c r="P47" s="172"/>
      <c r="Q47" s="172"/>
      <c r="R47" s="172"/>
      <c r="S47" s="172"/>
    </row>
    <row r="48">
      <c r="A48" s="525"/>
      <c r="C48" s="533"/>
      <c r="D48" s="172"/>
      <c r="F48" s="172"/>
      <c r="G48" s="172"/>
      <c r="H48" s="172"/>
      <c r="I48" s="172"/>
      <c r="J48" s="172"/>
      <c r="K48" s="172"/>
      <c r="L48" s="172"/>
      <c r="M48" s="172"/>
      <c r="N48" s="172"/>
      <c r="O48" s="172"/>
      <c r="P48" s="172"/>
      <c r="Q48" s="172"/>
      <c r="R48" s="172"/>
      <c r="S48" s="172"/>
    </row>
    <row r="49">
      <c r="A49" s="525"/>
      <c r="C49" s="533"/>
      <c r="D49" s="172"/>
      <c r="F49" s="172"/>
      <c r="G49" s="172"/>
      <c r="H49" s="172"/>
      <c r="I49" s="172"/>
      <c r="J49" s="172"/>
      <c r="K49" s="172"/>
      <c r="L49" s="172"/>
      <c r="M49" s="172"/>
      <c r="N49" s="172"/>
      <c r="O49" s="172"/>
      <c r="P49" s="172"/>
      <c r="Q49" s="172"/>
      <c r="R49" s="172"/>
      <c r="S49" s="172"/>
    </row>
    <row r="50">
      <c r="A50" s="525"/>
      <c r="C50" s="533"/>
      <c r="D50" s="172"/>
      <c r="F50" s="172"/>
      <c r="G50" s="172"/>
      <c r="H50" s="172"/>
      <c r="I50" s="172"/>
      <c r="J50" s="172"/>
      <c r="K50" s="172"/>
      <c r="L50" s="172"/>
      <c r="M50" s="172"/>
      <c r="N50" s="172"/>
      <c r="O50" s="172"/>
      <c r="P50" s="172"/>
      <c r="Q50" s="172"/>
      <c r="R50" s="172"/>
      <c r="S50" s="172"/>
    </row>
    <row r="51">
      <c r="A51" s="525"/>
      <c r="C51" s="533"/>
      <c r="D51" s="172"/>
      <c r="F51" s="172"/>
      <c r="G51" s="172"/>
      <c r="H51" s="172"/>
      <c r="I51" s="172"/>
      <c r="J51" s="172"/>
      <c r="K51" s="172"/>
      <c r="L51" s="172"/>
      <c r="M51" s="172"/>
      <c r="N51" s="172"/>
      <c r="O51" s="172"/>
      <c r="P51" s="172"/>
      <c r="Q51" s="172"/>
      <c r="R51" s="172"/>
      <c r="S51" s="172"/>
    </row>
    <row r="52">
      <c r="A52" s="525"/>
      <c r="C52" s="533"/>
      <c r="D52" s="172"/>
      <c r="F52" s="172"/>
      <c r="G52" s="172"/>
      <c r="H52" s="172"/>
      <c r="I52" s="172"/>
      <c r="J52" s="172"/>
      <c r="K52" s="172"/>
      <c r="L52" s="172"/>
      <c r="M52" s="172"/>
      <c r="N52" s="172"/>
      <c r="O52" s="172"/>
      <c r="P52" s="172"/>
      <c r="Q52" s="172"/>
      <c r="R52" s="172"/>
      <c r="S52" s="172"/>
    </row>
    <row r="53">
      <c r="A53" s="525"/>
      <c r="C53" s="533"/>
      <c r="D53" s="172"/>
      <c r="F53" s="172"/>
      <c r="G53" s="172"/>
      <c r="H53" s="172"/>
      <c r="I53" s="172"/>
      <c r="J53" s="172"/>
      <c r="K53" s="172"/>
      <c r="L53" s="172"/>
      <c r="M53" s="172"/>
      <c r="N53" s="172"/>
      <c r="O53" s="172"/>
      <c r="P53" s="172"/>
      <c r="Q53" s="172"/>
      <c r="R53" s="172"/>
      <c r="S53" s="172"/>
    </row>
    <row r="54">
      <c r="A54" s="525"/>
      <c r="C54" s="533"/>
      <c r="D54" s="172"/>
      <c r="F54" s="172"/>
      <c r="G54" s="172"/>
      <c r="H54" s="172"/>
      <c r="I54" s="172"/>
      <c r="J54" s="172"/>
      <c r="K54" s="172"/>
      <c r="L54" s="172"/>
      <c r="M54" s="172"/>
      <c r="N54" s="172"/>
      <c r="O54" s="172"/>
      <c r="P54" s="172"/>
      <c r="Q54" s="172"/>
      <c r="R54" s="172"/>
      <c r="S54" s="172"/>
    </row>
    <row r="55">
      <c r="A55" s="525"/>
      <c r="C55" s="533"/>
      <c r="D55" s="172"/>
      <c r="F55" s="172"/>
      <c r="G55" s="172"/>
      <c r="H55" s="172"/>
      <c r="I55" s="172"/>
      <c r="J55" s="172"/>
      <c r="K55" s="172"/>
      <c r="L55" s="172"/>
      <c r="M55" s="172"/>
      <c r="N55" s="172"/>
      <c r="O55" s="172"/>
      <c r="P55" s="172"/>
      <c r="Q55" s="172"/>
      <c r="R55" s="172"/>
      <c r="S55" s="172"/>
    </row>
    <row r="56">
      <c r="A56" s="525"/>
      <c r="C56" s="533"/>
      <c r="D56" s="172"/>
      <c r="F56" s="172"/>
      <c r="G56" s="172"/>
      <c r="H56" s="172"/>
      <c r="I56" s="172"/>
      <c r="J56" s="172"/>
      <c r="K56" s="172"/>
      <c r="L56" s="172"/>
      <c r="M56" s="172"/>
      <c r="N56" s="172"/>
      <c r="O56" s="172"/>
      <c r="P56" s="172"/>
      <c r="Q56" s="172"/>
      <c r="R56" s="172"/>
      <c r="S56" s="172"/>
    </row>
    <row r="57">
      <c r="A57" s="525"/>
      <c r="C57" s="533"/>
      <c r="D57" s="172"/>
      <c r="F57" s="172"/>
      <c r="G57" s="172"/>
      <c r="H57" s="172"/>
      <c r="I57" s="172"/>
      <c r="J57" s="172"/>
      <c r="K57" s="172"/>
      <c r="L57" s="172"/>
      <c r="M57" s="172"/>
      <c r="N57" s="172"/>
      <c r="O57" s="172"/>
      <c r="P57" s="172"/>
      <c r="Q57" s="172"/>
      <c r="R57" s="172"/>
      <c r="S57" s="172"/>
    </row>
    <row r="58">
      <c r="A58" s="525"/>
      <c r="C58" s="533"/>
      <c r="D58" s="172"/>
      <c r="F58" s="172"/>
      <c r="G58" s="172"/>
      <c r="H58" s="172"/>
      <c r="I58" s="172"/>
      <c r="J58" s="172"/>
      <c r="K58" s="172"/>
      <c r="L58" s="172"/>
      <c r="M58" s="172"/>
      <c r="N58" s="172"/>
      <c r="O58" s="172"/>
      <c r="P58" s="172"/>
      <c r="Q58" s="172"/>
      <c r="R58" s="172"/>
      <c r="S58" s="172"/>
    </row>
    <row r="59">
      <c r="A59" s="525"/>
      <c r="C59" s="533"/>
      <c r="D59" s="172"/>
      <c r="F59" s="172"/>
      <c r="G59" s="172"/>
      <c r="H59" s="172"/>
      <c r="I59" s="172"/>
      <c r="J59" s="172"/>
      <c r="K59" s="172"/>
      <c r="L59" s="172"/>
      <c r="M59" s="172"/>
      <c r="N59" s="172"/>
      <c r="O59" s="172"/>
      <c r="P59" s="172"/>
      <c r="Q59" s="172"/>
      <c r="R59" s="172"/>
      <c r="S59" s="172"/>
    </row>
    <row r="60">
      <c r="A60" s="525"/>
      <c r="C60" s="533"/>
      <c r="D60" s="172"/>
      <c r="F60" s="172"/>
      <c r="G60" s="172"/>
      <c r="H60" s="172"/>
      <c r="I60" s="172"/>
      <c r="J60" s="172"/>
      <c r="K60" s="172"/>
      <c r="L60" s="172"/>
      <c r="M60" s="172"/>
      <c r="N60" s="172"/>
      <c r="O60" s="172"/>
      <c r="P60" s="172"/>
      <c r="Q60" s="172"/>
      <c r="R60" s="172"/>
      <c r="S60" s="172"/>
    </row>
    <row r="61">
      <c r="A61" s="525"/>
      <c r="C61" s="533"/>
      <c r="D61" s="172"/>
      <c r="F61" s="172"/>
      <c r="G61" s="172"/>
      <c r="H61" s="172"/>
      <c r="I61" s="172"/>
      <c r="J61" s="172"/>
      <c r="K61" s="172"/>
      <c r="L61" s="172"/>
      <c r="M61" s="172"/>
      <c r="N61" s="172"/>
      <c r="O61" s="172"/>
      <c r="P61" s="172"/>
      <c r="Q61" s="172"/>
      <c r="R61" s="172"/>
      <c r="S61" s="172"/>
    </row>
    <row r="62">
      <c r="A62" s="525"/>
      <c r="C62" s="533"/>
      <c r="D62" s="172"/>
      <c r="F62" s="172"/>
      <c r="G62" s="172"/>
      <c r="H62" s="172"/>
      <c r="I62" s="172"/>
      <c r="J62" s="172"/>
      <c r="K62" s="172"/>
      <c r="L62" s="172"/>
      <c r="M62" s="172"/>
      <c r="N62" s="172"/>
      <c r="O62" s="172"/>
      <c r="P62" s="172"/>
      <c r="Q62" s="172"/>
      <c r="R62" s="172"/>
      <c r="S62" s="172"/>
    </row>
    <row r="63">
      <c r="A63" s="525"/>
      <c r="C63" s="533"/>
      <c r="D63" s="172"/>
      <c r="F63" s="172"/>
      <c r="G63" s="172"/>
      <c r="H63" s="172"/>
      <c r="I63" s="172"/>
      <c r="J63" s="172"/>
      <c r="K63" s="172"/>
      <c r="L63" s="172"/>
      <c r="M63" s="172"/>
      <c r="N63" s="172"/>
      <c r="O63" s="172"/>
      <c r="P63" s="172"/>
      <c r="Q63" s="172"/>
      <c r="R63" s="172"/>
      <c r="S63" s="172"/>
    </row>
    <row r="64">
      <c r="A64" s="525"/>
      <c r="C64" s="533"/>
      <c r="D64" s="172"/>
      <c r="F64" s="172"/>
      <c r="G64" s="172"/>
      <c r="H64" s="172"/>
      <c r="I64" s="172"/>
      <c r="J64" s="172"/>
      <c r="K64" s="172"/>
      <c r="L64" s="172"/>
      <c r="M64" s="172"/>
      <c r="N64" s="172"/>
      <c r="O64" s="172"/>
      <c r="P64" s="172"/>
      <c r="Q64" s="172"/>
      <c r="R64" s="172"/>
      <c r="S64" s="172"/>
    </row>
    <row r="65">
      <c r="A65" s="525"/>
      <c r="C65" s="533"/>
      <c r="D65" s="172"/>
      <c r="F65" s="172"/>
      <c r="G65" s="172"/>
      <c r="H65" s="172"/>
      <c r="I65" s="172"/>
      <c r="J65" s="172"/>
      <c r="K65" s="172"/>
      <c r="L65" s="172"/>
      <c r="M65" s="172"/>
      <c r="N65" s="172"/>
      <c r="O65" s="172"/>
      <c r="P65" s="172"/>
      <c r="Q65" s="172"/>
      <c r="R65" s="172"/>
      <c r="S65" s="172"/>
    </row>
    <row r="66">
      <c r="A66" s="525"/>
      <c r="C66" s="533"/>
      <c r="D66" s="172"/>
      <c r="F66" s="172"/>
      <c r="G66" s="172"/>
      <c r="H66" s="172"/>
      <c r="I66" s="172"/>
      <c r="J66" s="172"/>
      <c r="K66" s="172"/>
      <c r="L66" s="172"/>
      <c r="M66" s="172"/>
      <c r="N66" s="172"/>
      <c r="O66" s="172"/>
      <c r="P66" s="172"/>
      <c r="Q66" s="172"/>
      <c r="R66" s="172"/>
      <c r="S66" s="172"/>
    </row>
    <row r="67">
      <c r="A67" s="525"/>
      <c r="C67" s="533"/>
      <c r="D67" s="172"/>
      <c r="F67" s="172"/>
      <c r="G67" s="172"/>
      <c r="H67" s="172"/>
      <c r="I67" s="172"/>
      <c r="J67" s="172"/>
      <c r="K67" s="172"/>
      <c r="L67" s="172"/>
      <c r="M67" s="172"/>
      <c r="N67" s="172"/>
      <c r="O67" s="172"/>
      <c r="P67" s="172"/>
      <c r="Q67" s="172"/>
      <c r="R67" s="172"/>
      <c r="S67" s="172"/>
    </row>
    <row r="68">
      <c r="A68" s="525"/>
      <c r="C68" s="533"/>
      <c r="D68" s="172"/>
      <c r="F68" s="172"/>
      <c r="G68" s="172"/>
      <c r="H68" s="172"/>
      <c r="I68" s="172"/>
      <c r="J68" s="172"/>
      <c r="K68" s="172"/>
      <c r="L68" s="172"/>
      <c r="M68" s="172"/>
      <c r="N68" s="172"/>
      <c r="O68" s="172"/>
      <c r="P68" s="172"/>
      <c r="Q68" s="172"/>
      <c r="R68" s="172"/>
      <c r="S68" s="172"/>
    </row>
    <row r="69">
      <c r="A69" s="525"/>
      <c r="D69" s="172"/>
      <c r="F69" s="172"/>
      <c r="G69" s="172"/>
      <c r="H69" s="172"/>
      <c r="I69" s="172"/>
      <c r="J69" s="172"/>
      <c r="K69" s="172"/>
      <c r="L69" s="172"/>
      <c r="M69" s="172"/>
      <c r="N69" s="172"/>
      <c r="O69" s="172"/>
      <c r="P69" s="172"/>
      <c r="Q69" s="172"/>
      <c r="R69" s="172"/>
      <c r="S69" s="172"/>
    </row>
    <row r="70">
      <c r="A70" s="525"/>
      <c r="D70" s="172"/>
      <c r="F70" s="172"/>
      <c r="G70" s="172"/>
      <c r="H70" s="172"/>
      <c r="I70" s="172"/>
      <c r="J70" s="172"/>
      <c r="K70" s="172"/>
      <c r="L70" s="172"/>
      <c r="M70" s="172"/>
      <c r="N70" s="172"/>
      <c r="O70" s="172"/>
      <c r="P70" s="172"/>
      <c r="Q70" s="172"/>
      <c r="R70" s="172"/>
      <c r="S70" s="172"/>
    </row>
    <row r="71">
      <c r="A71" s="525"/>
      <c r="D71" s="172"/>
      <c r="F71" s="172"/>
      <c r="G71" s="172"/>
      <c r="H71" s="172"/>
      <c r="I71" s="172"/>
      <c r="J71" s="172"/>
      <c r="K71" s="172"/>
      <c r="L71" s="172"/>
      <c r="M71" s="172"/>
      <c r="N71" s="172"/>
      <c r="O71" s="172"/>
      <c r="P71" s="172"/>
      <c r="Q71" s="172"/>
      <c r="R71" s="172"/>
      <c r="S71" s="172"/>
    </row>
    <row r="72">
      <c r="A72" s="525"/>
      <c r="D72" s="172"/>
      <c r="F72" s="172"/>
      <c r="G72" s="172"/>
      <c r="H72" s="172"/>
      <c r="I72" s="172"/>
      <c r="J72" s="172"/>
      <c r="K72" s="172"/>
      <c r="L72" s="172"/>
      <c r="M72" s="172"/>
      <c r="N72" s="172"/>
      <c r="O72" s="172"/>
      <c r="P72" s="172"/>
      <c r="Q72" s="172"/>
      <c r="R72" s="172"/>
      <c r="S72" s="172"/>
    </row>
    <row r="73">
      <c r="A73" s="525"/>
      <c r="D73" s="172"/>
      <c r="F73" s="172"/>
      <c r="G73" s="172"/>
      <c r="H73" s="172"/>
      <c r="I73" s="172"/>
      <c r="J73" s="172"/>
      <c r="K73" s="172"/>
      <c r="L73" s="172"/>
      <c r="M73" s="172"/>
      <c r="N73" s="172"/>
      <c r="O73" s="172"/>
      <c r="P73" s="172"/>
      <c r="Q73" s="172"/>
      <c r="R73" s="172"/>
      <c r="S73" s="172"/>
    </row>
    <row r="74">
      <c r="A74" s="525"/>
      <c r="D74" s="172"/>
      <c r="F74" s="172"/>
      <c r="G74" s="172"/>
      <c r="H74" s="172"/>
      <c r="I74" s="172"/>
      <c r="J74" s="172"/>
      <c r="K74" s="172"/>
      <c r="L74" s="172"/>
      <c r="M74" s="172"/>
      <c r="N74" s="172"/>
      <c r="O74" s="172"/>
      <c r="P74" s="172"/>
      <c r="Q74" s="172"/>
      <c r="R74" s="172"/>
      <c r="S74" s="172"/>
    </row>
    <row r="75">
      <c r="A75" s="525"/>
      <c r="D75" s="172"/>
      <c r="F75" s="172"/>
      <c r="G75" s="172"/>
      <c r="H75" s="172"/>
      <c r="I75" s="172"/>
      <c r="J75" s="172"/>
      <c r="K75" s="172"/>
      <c r="L75" s="172"/>
      <c r="M75" s="172"/>
      <c r="N75" s="172"/>
      <c r="O75" s="172"/>
      <c r="P75" s="172"/>
      <c r="Q75" s="172"/>
      <c r="R75" s="172"/>
      <c r="S75" s="172"/>
    </row>
    <row r="76">
      <c r="A76" s="525"/>
      <c r="D76" s="172"/>
      <c r="F76" s="172"/>
      <c r="G76" s="172"/>
      <c r="H76" s="172"/>
      <c r="I76" s="172"/>
      <c r="J76" s="172"/>
      <c r="K76" s="172"/>
      <c r="L76" s="172"/>
      <c r="M76" s="172"/>
      <c r="N76" s="172"/>
      <c r="O76" s="172"/>
      <c r="P76" s="172"/>
      <c r="Q76" s="172"/>
      <c r="R76" s="172"/>
      <c r="S76" s="172"/>
    </row>
    <row r="77">
      <c r="A77" s="525"/>
      <c r="D77" s="172"/>
      <c r="F77" s="172"/>
      <c r="G77" s="172"/>
      <c r="H77" s="172"/>
      <c r="I77" s="172"/>
      <c r="J77" s="172"/>
      <c r="K77" s="172"/>
      <c r="L77" s="172"/>
      <c r="M77" s="172"/>
      <c r="N77" s="172"/>
      <c r="O77" s="172"/>
      <c r="P77" s="172"/>
      <c r="Q77" s="172"/>
      <c r="R77" s="172"/>
      <c r="S77" s="172"/>
    </row>
    <row r="78">
      <c r="A78" s="525"/>
      <c r="D78" s="172"/>
      <c r="F78" s="172"/>
      <c r="G78" s="172"/>
      <c r="H78" s="172"/>
      <c r="I78" s="172"/>
      <c r="J78" s="172"/>
      <c r="K78" s="172"/>
      <c r="L78" s="172"/>
      <c r="M78" s="172"/>
      <c r="N78" s="172"/>
      <c r="O78" s="172"/>
      <c r="P78" s="172"/>
      <c r="Q78" s="172"/>
      <c r="R78" s="172"/>
      <c r="S78" s="172"/>
    </row>
    <row r="79">
      <c r="A79" s="525"/>
      <c r="D79" s="172"/>
      <c r="F79" s="172"/>
      <c r="G79" s="172"/>
      <c r="H79" s="172"/>
      <c r="I79" s="172"/>
      <c r="J79" s="172"/>
      <c r="K79" s="172"/>
      <c r="L79" s="172"/>
      <c r="M79" s="172"/>
      <c r="N79" s="172"/>
      <c r="O79" s="172"/>
      <c r="P79" s="172"/>
      <c r="Q79" s="172"/>
      <c r="R79" s="172"/>
      <c r="S79" s="172"/>
    </row>
    <row r="80">
      <c r="A80" s="525"/>
      <c r="D80" s="172"/>
      <c r="F80" s="172"/>
      <c r="G80" s="172"/>
      <c r="H80" s="172"/>
      <c r="I80" s="172"/>
      <c r="J80" s="172"/>
      <c r="K80" s="172"/>
      <c r="L80" s="172"/>
      <c r="M80" s="172"/>
      <c r="N80" s="172"/>
      <c r="O80" s="172"/>
      <c r="P80" s="172"/>
      <c r="Q80" s="172"/>
      <c r="R80" s="172"/>
      <c r="S80" s="172"/>
    </row>
    <row r="81">
      <c r="A81" s="525"/>
      <c r="D81" s="172"/>
      <c r="F81" s="172"/>
      <c r="G81" s="172"/>
      <c r="H81" s="172"/>
      <c r="I81" s="172"/>
      <c r="J81" s="172"/>
      <c r="K81" s="172"/>
      <c r="L81" s="172"/>
      <c r="M81" s="172"/>
      <c r="N81" s="172"/>
      <c r="O81" s="172"/>
      <c r="P81" s="172"/>
      <c r="Q81" s="172"/>
      <c r="R81" s="172"/>
      <c r="S81" s="172"/>
    </row>
    <row r="82">
      <c r="A82" s="525"/>
      <c r="D82" s="172"/>
      <c r="F82" s="172"/>
      <c r="G82" s="172"/>
      <c r="H82" s="172"/>
      <c r="I82" s="172"/>
      <c r="J82" s="172"/>
      <c r="K82" s="172"/>
      <c r="L82" s="172"/>
      <c r="M82" s="172"/>
      <c r="N82" s="172"/>
      <c r="O82" s="172"/>
      <c r="P82" s="172"/>
      <c r="Q82" s="172"/>
      <c r="R82" s="172"/>
      <c r="S82" s="172"/>
    </row>
    <row r="83">
      <c r="A83" s="525"/>
      <c r="D83" s="172"/>
      <c r="F83" s="172"/>
      <c r="G83" s="172"/>
      <c r="H83" s="172"/>
      <c r="I83" s="172"/>
      <c r="J83" s="172"/>
      <c r="K83" s="172"/>
      <c r="L83" s="172"/>
      <c r="M83" s="172"/>
      <c r="N83" s="172"/>
      <c r="O83" s="172"/>
      <c r="P83" s="172"/>
      <c r="Q83" s="172"/>
      <c r="R83" s="172"/>
      <c r="S83" s="172"/>
    </row>
    <row r="84">
      <c r="A84" s="525"/>
      <c r="D84" s="172"/>
      <c r="F84" s="172"/>
      <c r="G84" s="172"/>
      <c r="H84" s="172"/>
      <c r="I84" s="172"/>
      <c r="J84" s="172"/>
      <c r="K84" s="172"/>
      <c r="L84" s="172"/>
      <c r="M84" s="172"/>
      <c r="N84" s="172"/>
      <c r="O84" s="172"/>
      <c r="P84" s="172"/>
      <c r="Q84" s="172"/>
      <c r="R84" s="172"/>
      <c r="S84" s="172"/>
    </row>
    <row r="85">
      <c r="A85" s="525"/>
      <c r="D85" s="172"/>
      <c r="F85" s="172"/>
      <c r="G85" s="172"/>
      <c r="H85" s="172"/>
      <c r="I85" s="172"/>
      <c r="J85" s="172"/>
      <c r="K85" s="172"/>
      <c r="L85" s="172"/>
      <c r="M85" s="172"/>
      <c r="N85" s="172"/>
      <c r="O85" s="172"/>
      <c r="P85" s="172"/>
      <c r="Q85" s="172"/>
      <c r="R85" s="172"/>
      <c r="S85" s="172"/>
    </row>
    <row r="86">
      <c r="A86" s="525"/>
      <c r="D86" s="172"/>
      <c r="F86" s="172"/>
      <c r="G86" s="172"/>
      <c r="H86" s="172"/>
      <c r="I86" s="172"/>
      <c r="J86" s="172"/>
      <c r="K86" s="172"/>
      <c r="L86" s="172"/>
      <c r="M86" s="172"/>
      <c r="N86" s="172"/>
      <c r="O86" s="172"/>
      <c r="P86" s="172"/>
      <c r="Q86" s="172"/>
      <c r="R86" s="172"/>
      <c r="S86" s="172"/>
    </row>
    <row r="87">
      <c r="A87" s="525"/>
      <c r="D87" s="172"/>
      <c r="F87" s="172"/>
      <c r="G87" s="172"/>
      <c r="H87" s="172"/>
      <c r="I87" s="172"/>
      <c r="J87" s="172"/>
      <c r="K87" s="172"/>
      <c r="L87" s="172"/>
      <c r="M87" s="172"/>
      <c r="N87" s="172"/>
      <c r="O87" s="172"/>
      <c r="P87" s="172"/>
      <c r="Q87" s="172"/>
      <c r="R87" s="172"/>
      <c r="S87" s="172"/>
    </row>
    <row r="88">
      <c r="A88" s="525"/>
      <c r="D88" s="172"/>
      <c r="F88" s="172"/>
      <c r="G88" s="172"/>
      <c r="H88" s="172"/>
      <c r="I88" s="172"/>
      <c r="J88" s="172"/>
      <c r="K88" s="172"/>
      <c r="L88" s="172"/>
      <c r="M88" s="172"/>
      <c r="N88" s="172"/>
      <c r="O88" s="172"/>
      <c r="P88" s="172"/>
      <c r="Q88" s="172"/>
      <c r="R88" s="172"/>
      <c r="S88" s="172"/>
    </row>
    <row r="89">
      <c r="A89" s="525"/>
      <c r="D89" s="172"/>
      <c r="F89" s="172"/>
      <c r="G89" s="172"/>
      <c r="H89" s="172"/>
      <c r="I89" s="172"/>
      <c r="J89" s="172"/>
      <c r="K89" s="172"/>
      <c r="L89" s="172"/>
      <c r="M89" s="172"/>
      <c r="N89" s="172"/>
      <c r="O89" s="172"/>
      <c r="P89" s="172"/>
      <c r="Q89" s="172"/>
      <c r="R89" s="172"/>
      <c r="S89" s="172"/>
    </row>
    <row r="90">
      <c r="A90" s="525"/>
      <c r="D90" s="172"/>
      <c r="F90" s="172"/>
      <c r="G90" s="172"/>
      <c r="H90" s="172"/>
      <c r="I90" s="172"/>
      <c r="J90" s="172"/>
      <c r="K90" s="172"/>
      <c r="L90" s="172"/>
      <c r="M90" s="172"/>
      <c r="N90" s="172"/>
      <c r="O90" s="172"/>
      <c r="P90" s="172"/>
      <c r="Q90" s="172"/>
      <c r="R90" s="172"/>
      <c r="S90" s="172"/>
    </row>
    <row r="91">
      <c r="A91" s="525"/>
      <c r="D91" s="172"/>
      <c r="F91" s="172"/>
      <c r="G91" s="172"/>
      <c r="H91" s="172"/>
      <c r="I91" s="172"/>
      <c r="J91" s="172"/>
      <c r="K91" s="172"/>
      <c r="L91" s="172"/>
      <c r="M91" s="172"/>
      <c r="N91" s="172"/>
      <c r="O91" s="172"/>
      <c r="P91" s="172"/>
      <c r="Q91" s="172"/>
      <c r="R91" s="172"/>
      <c r="S91" s="172"/>
    </row>
    <row r="92">
      <c r="A92" s="525"/>
      <c r="D92" s="172"/>
      <c r="F92" s="172"/>
      <c r="G92" s="172"/>
      <c r="H92" s="172"/>
      <c r="I92" s="172"/>
      <c r="J92" s="172"/>
      <c r="K92" s="172"/>
      <c r="L92" s="172"/>
      <c r="M92" s="172"/>
      <c r="N92" s="172"/>
      <c r="O92" s="172"/>
      <c r="P92" s="172"/>
      <c r="Q92" s="172"/>
      <c r="R92" s="172"/>
      <c r="S92" s="172"/>
    </row>
    <row r="93">
      <c r="A93" s="525"/>
      <c r="D93" s="172"/>
      <c r="F93" s="172"/>
      <c r="G93" s="172"/>
      <c r="H93" s="172"/>
      <c r="I93" s="172"/>
      <c r="J93" s="172"/>
      <c r="K93" s="172"/>
      <c r="L93" s="172"/>
      <c r="M93" s="172"/>
      <c r="N93" s="172"/>
      <c r="O93" s="172"/>
      <c r="P93" s="172"/>
      <c r="Q93" s="172"/>
      <c r="R93" s="172"/>
      <c r="S93" s="172"/>
    </row>
    <row r="94">
      <c r="A94" s="525"/>
      <c r="D94" s="172"/>
      <c r="F94" s="172"/>
      <c r="G94" s="172"/>
      <c r="H94" s="172"/>
      <c r="I94" s="172"/>
      <c r="J94" s="172"/>
      <c r="K94" s="172"/>
      <c r="L94" s="172"/>
      <c r="M94" s="172"/>
      <c r="N94" s="172"/>
      <c r="O94" s="172"/>
      <c r="P94" s="172"/>
      <c r="Q94" s="172"/>
      <c r="R94" s="172"/>
      <c r="S94" s="172"/>
    </row>
    <row r="95">
      <c r="A95" s="525"/>
      <c r="D95" s="172"/>
      <c r="F95" s="172"/>
      <c r="G95" s="172"/>
      <c r="H95" s="172"/>
      <c r="I95" s="172"/>
      <c r="J95" s="172"/>
      <c r="K95" s="172"/>
      <c r="L95" s="172"/>
      <c r="M95" s="172"/>
      <c r="N95" s="172"/>
      <c r="O95" s="172"/>
      <c r="P95" s="172"/>
      <c r="Q95" s="172"/>
      <c r="R95" s="172"/>
      <c r="S95" s="172"/>
    </row>
    <row r="96">
      <c r="A96" s="525"/>
      <c r="D96" s="172"/>
      <c r="F96" s="172"/>
      <c r="G96" s="172"/>
      <c r="H96" s="172"/>
      <c r="I96" s="172"/>
      <c r="J96" s="172"/>
      <c r="K96" s="172"/>
      <c r="L96" s="172"/>
      <c r="M96" s="172"/>
      <c r="N96" s="172"/>
      <c r="O96" s="172"/>
      <c r="P96" s="172"/>
      <c r="Q96" s="172"/>
      <c r="R96" s="172"/>
      <c r="S96" s="172"/>
    </row>
    <row r="97">
      <c r="A97" s="525"/>
      <c r="D97" s="172"/>
      <c r="F97" s="172"/>
      <c r="G97" s="172"/>
      <c r="H97" s="172"/>
      <c r="I97" s="172"/>
      <c r="J97" s="172"/>
      <c r="K97" s="172"/>
      <c r="L97" s="172"/>
      <c r="M97" s="172"/>
      <c r="N97" s="172"/>
      <c r="O97" s="172"/>
      <c r="P97" s="172"/>
      <c r="Q97" s="172"/>
      <c r="R97" s="172"/>
      <c r="S97" s="172"/>
    </row>
    <row r="98">
      <c r="A98" s="525"/>
      <c r="D98" s="172"/>
      <c r="F98" s="172"/>
      <c r="G98" s="172"/>
      <c r="H98" s="172"/>
      <c r="I98" s="172"/>
      <c r="J98" s="172"/>
      <c r="K98" s="172"/>
      <c r="L98" s="172"/>
      <c r="M98" s="172"/>
      <c r="N98" s="172"/>
      <c r="O98" s="172"/>
      <c r="P98" s="172"/>
      <c r="Q98" s="172"/>
      <c r="R98" s="172"/>
      <c r="S98" s="172"/>
    </row>
    <row r="99">
      <c r="A99" s="525"/>
      <c r="D99" s="172"/>
      <c r="F99" s="172"/>
      <c r="G99" s="172"/>
      <c r="H99" s="172"/>
      <c r="I99" s="172"/>
      <c r="J99" s="172"/>
      <c r="K99" s="172"/>
      <c r="L99" s="172"/>
      <c r="M99" s="172"/>
      <c r="N99" s="172"/>
      <c r="O99" s="172"/>
      <c r="P99" s="172"/>
      <c r="Q99" s="172"/>
      <c r="R99" s="172"/>
      <c r="S99" s="172"/>
    </row>
    <row r="100">
      <c r="A100" s="525"/>
      <c r="D100" s="172"/>
      <c r="F100" s="172"/>
      <c r="G100" s="172"/>
      <c r="H100" s="172"/>
      <c r="I100" s="172"/>
      <c r="J100" s="172"/>
      <c r="K100" s="172"/>
      <c r="L100" s="172"/>
      <c r="M100" s="172"/>
      <c r="N100" s="172"/>
      <c r="O100" s="172"/>
      <c r="P100" s="172"/>
      <c r="Q100" s="172"/>
      <c r="R100" s="172"/>
      <c r="S100" s="172"/>
    </row>
    <row r="101">
      <c r="A101" s="525"/>
      <c r="C101" s="172"/>
      <c r="D101" s="172"/>
      <c r="F101" s="172"/>
      <c r="G101" s="172"/>
      <c r="H101" s="172"/>
      <c r="I101" s="172"/>
      <c r="J101" s="172"/>
      <c r="K101" s="172"/>
      <c r="L101" s="172"/>
      <c r="M101" s="172"/>
      <c r="N101" s="172"/>
      <c r="O101" s="172"/>
      <c r="P101" s="172"/>
      <c r="Q101" s="172"/>
      <c r="R101" s="172"/>
      <c r="S101" s="172"/>
    </row>
    <row r="102">
      <c r="A102" s="525"/>
      <c r="C102" s="172"/>
      <c r="D102" s="172"/>
      <c r="F102" s="172"/>
      <c r="G102" s="172"/>
      <c r="H102" s="172"/>
      <c r="I102" s="172"/>
      <c r="J102" s="172"/>
      <c r="K102" s="172"/>
      <c r="L102" s="172"/>
      <c r="M102" s="172"/>
      <c r="N102" s="172"/>
      <c r="O102" s="172"/>
      <c r="P102" s="172"/>
      <c r="Q102" s="172"/>
      <c r="R102" s="172"/>
      <c r="S102" s="172"/>
    </row>
    <row r="103">
      <c r="A103" s="525"/>
      <c r="C103" s="172"/>
      <c r="D103" s="172"/>
      <c r="F103" s="172"/>
      <c r="G103" s="172"/>
      <c r="H103" s="172"/>
      <c r="I103" s="172"/>
      <c r="J103" s="172"/>
      <c r="K103" s="172"/>
      <c r="L103" s="172"/>
      <c r="M103" s="172"/>
      <c r="N103" s="172"/>
      <c r="O103" s="172"/>
      <c r="P103" s="172"/>
      <c r="Q103" s="172"/>
      <c r="R103" s="172"/>
      <c r="S103" s="172"/>
    </row>
    <row r="104">
      <c r="A104" s="525"/>
      <c r="C104" s="172"/>
      <c r="D104" s="172"/>
      <c r="F104" s="172"/>
      <c r="G104" s="172"/>
      <c r="H104" s="172"/>
      <c r="I104" s="172"/>
      <c r="J104" s="172"/>
      <c r="K104" s="172"/>
      <c r="L104" s="172"/>
      <c r="M104" s="172"/>
      <c r="N104" s="172"/>
      <c r="O104" s="172"/>
      <c r="P104" s="172"/>
      <c r="Q104" s="172"/>
      <c r="R104" s="172"/>
      <c r="S104" s="172"/>
    </row>
    <row r="105">
      <c r="A105" s="525"/>
      <c r="C105" s="172"/>
      <c r="D105" s="172"/>
      <c r="F105" s="172"/>
      <c r="G105" s="172"/>
      <c r="H105" s="172"/>
      <c r="I105" s="172"/>
      <c r="J105" s="172"/>
      <c r="K105" s="172"/>
      <c r="L105" s="172"/>
      <c r="M105" s="172"/>
      <c r="N105" s="172"/>
      <c r="O105" s="172"/>
      <c r="P105" s="172"/>
      <c r="Q105" s="172"/>
      <c r="R105" s="172"/>
      <c r="S105" s="172"/>
    </row>
    <row r="106">
      <c r="A106" s="525"/>
      <c r="C106" s="172"/>
      <c r="D106" s="172"/>
      <c r="F106" s="172"/>
      <c r="G106" s="172"/>
      <c r="H106" s="172"/>
      <c r="I106" s="172"/>
      <c r="J106" s="172"/>
      <c r="K106" s="172"/>
      <c r="L106" s="172"/>
      <c r="M106" s="172"/>
      <c r="N106" s="172"/>
      <c r="O106" s="172"/>
      <c r="P106" s="172"/>
      <c r="Q106" s="172"/>
      <c r="R106" s="172"/>
      <c r="S106" s="172"/>
    </row>
    <row r="107">
      <c r="A107" s="525"/>
      <c r="C107" s="172"/>
      <c r="D107" s="172"/>
      <c r="F107" s="172"/>
      <c r="G107" s="172"/>
      <c r="H107" s="172"/>
      <c r="I107" s="172"/>
      <c r="J107" s="172"/>
      <c r="K107" s="172"/>
      <c r="L107" s="172"/>
      <c r="M107" s="172"/>
      <c r="N107" s="172"/>
      <c r="O107" s="172"/>
      <c r="P107" s="172"/>
      <c r="Q107" s="172"/>
      <c r="R107" s="172"/>
      <c r="S107" s="172"/>
    </row>
    <row r="108">
      <c r="A108" s="525"/>
      <c r="C108" s="172"/>
      <c r="D108" s="172"/>
      <c r="F108" s="172"/>
      <c r="G108" s="172"/>
      <c r="H108" s="172"/>
      <c r="I108" s="172"/>
      <c r="J108" s="172"/>
      <c r="K108" s="172"/>
      <c r="L108" s="172"/>
      <c r="M108" s="172"/>
      <c r="N108" s="172"/>
      <c r="O108" s="172"/>
      <c r="P108" s="172"/>
      <c r="Q108" s="172"/>
      <c r="R108" s="172"/>
      <c r="S108" s="172"/>
    </row>
    <row r="109">
      <c r="A109" s="525"/>
      <c r="C109" s="172"/>
      <c r="D109" s="172"/>
      <c r="F109" s="172"/>
      <c r="G109" s="172"/>
      <c r="H109" s="172"/>
      <c r="I109" s="172"/>
      <c r="J109" s="172"/>
      <c r="K109" s="172"/>
      <c r="L109" s="172"/>
      <c r="M109" s="172"/>
      <c r="N109" s="172"/>
      <c r="O109" s="172"/>
      <c r="P109" s="172"/>
      <c r="Q109" s="172"/>
      <c r="R109" s="172"/>
      <c r="S109" s="172"/>
    </row>
    <row r="110">
      <c r="A110" s="525"/>
      <c r="C110" s="172"/>
      <c r="D110" s="172"/>
      <c r="F110" s="172"/>
      <c r="G110" s="172"/>
      <c r="H110" s="172"/>
      <c r="I110" s="172"/>
      <c r="J110" s="172"/>
      <c r="K110" s="172"/>
      <c r="L110" s="172"/>
      <c r="M110" s="172"/>
      <c r="N110" s="172"/>
      <c r="O110" s="172"/>
      <c r="P110" s="172"/>
      <c r="Q110" s="172"/>
      <c r="R110" s="172"/>
      <c r="S110" s="172"/>
    </row>
    <row r="111">
      <c r="A111" s="525"/>
      <c r="C111" s="172"/>
      <c r="D111" s="172"/>
      <c r="F111" s="172"/>
      <c r="G111" s="172"/>
      <c r="H111" s="172"/>
      <c r="I111" s="172"/>
      <c r="J111" s="172"/>
      <c r="K111" s="172"/>
      <c r="L111" s="172"/>
      <c r="M111" s="172"/>
      <c r="N111" s="172"/>
      <c r="O111" s="172"/>
      <c r="P111" s="172"/>
      <c r="Q111" s="172"/>
      <c r="R111" s="172"/>
      <c r="S111" s="172"/>
    </row>
    <row r="112">
      <c r="A112" s="525"/>
      <c r="C112" s="172"/>
      <c r="D112" s="172"/>
      <c r="F112" s="172"/>
      <c r="G112" s="172"/>
      <c r="H112" s="172"/>
      <c r="I112" s="172"/>
      <c r="J112" s="172"/>
      <c r="K112" s="172"/>
      <c r="L112" s="172"/>
      <c r="M112" s="172"/>
      <c r="N112" s="172"/>
      <c r="O112" s="172"/>
      <c r="P112" s="172"/>
      <c r="Q112" s="172"/>
      <c r="R112" s="172"/>
      <c r="S112" s="172"/>
    </row>
    <row r="113">
      <c r="A113" s="525"/>
      <c r="C113" s="172"/>
      <c r="D113" s="172"/>
      <c r="F113" s="172"/>
      <c r="G113" s="172"/>
      <c r="H113" s="172"/>
      <c r="I113" s="172"/>
      <c r="J113" s="172"/>
      <c r="K113" s="172"/>
      <c r="L113" s="172"/>
      <c r="M113" s="172"/>
      <c r="N113" s="172"/>
      <c r="O113" s="172"/>
      <c r="P113" s="172"/>
      <c r="Q113" s="172"/>
      <c r="R113" s="172"/>
      <c r="S113" s="172"/>
    </row>
    <row r="114">
      <c r="A114" s="525"/>
      <c r="C114" s="172"/>
      <c r="D114" s="172"/>
      <c r="F114" s="172"/>
      <c r="G114" s="172"/>
      <c r="H114" s="172"/>
      <c r="I114" s="172"/>
      <c r="J114" s="172"/>
      <c r="K114" s="172"/>
      <c r="L114" s="172"/>
      <c r="M114" s="172"/>
      <c r="N114" s="172"/>
      <c r="O114" s="172"/>
      <c r="P114" s="172"/>
      <c r="Q114" s="172"/>
      <c r="R114" s="172"/>
      <c r="S114" s="172"/>
    </row>
    <row r="115">
      <c r="A115" s="525"/>
      <c r="C115" s="172"/>
      <c r="D115" s="172"/>
      <c r="F115" s="172"/>
      <c r="G115" s="172"/>
      <c r="H115" s="172"/>
      <c r="I115" s="172"/>
      <c r="J115" s="172"/>
      <c r="K115" s="172"/>
      <c r="L115" s="172"/>
      <c r="M115" s="172"/>
      <c r="N115" s="172"/>
      <c r="O115" s="172"/>
      <c r="P115" s="172"/>
      <c r="Q115" s="172"/>
      <c r="R115" s="172"/>
      <c r="S115" s="172"/>
    </row>
    <row r="116">
      <c r="A116" s="525"/>
      <c r="C116" s="172"/>
      <c r="D116" s="172"/>
      <c r="F116" s="172"/>
      <c r="G116" s="172"/>
      <c r="H116" s="172"/>
      <c r="I116" s="172"/>
      <c r="J116" s="172"/>
      <c r="K116" s="172"/>
      <c r="L116" s="172"/>
      <c r="M116" s="172"/>
      <c r="N116" s="172"/>
      <c r="O116" s="172"/>
      <c r="P116" s="172"/>
      <c r="Q116" s="172"/>
      <c r="R116" s="172"/>
      <c r="S116" s="172"/>
    </row>
    <row r="117">
      <c r="A117" s="525"/>
      <c r="C117" s="172"/>
      <c r="D117" s="172"/>
      <c r="F117" s="172"/>
      <c r="G117" s="172"/>
      <c r="H117" s="172"/>
      <c r="I117" s="172"/>
      <c r="J117" s="172"/>
      <c r="K117" s="172"/>
      <c r="L117" s="172"/>
      <c r="M117" s="172"/>
      <c r="N117" s="172"/>
      <c r="O117" s="172"/>
      <c r="P117" s="172"/>
      <c r="Q117" s="172"/>
      <c r="R117" s="172"/>
      <c r="S117" s="172"/>
    </row>
    <row r="118">
      <c r="A118" s="525"/>
      <c r="C118" s="172"/>
      <c r="D118" s="172"/>
      <c r="F118" s="172"/>
      <c r="G118" s="172"/>
      <c r="H118" s="172"/>
      <c r="I118" s="172"/>
      <c r="J118" s="172"/>
      <c r="K118" s="172"/>
      <c r="L118" s="172"/>
      <c r="M118" s="172"/>
      <c r="N118" s="172"/>
      <c r="O118" s="172"/>
      <c r="P118" s="172"/>
      <c r="Q118" s="172"/>
      <c r="R118" s="172"/>
      <c r="S118" s="172"/>
    </row>
    <row r="119">
      <c r="A119" s="525"/>
      <c r="C119" s="172"/>
      <c r="D119" s="172"/>
      <c r="F119" s="172"/>
      <c r="G119" s="172"/>
      <c r="H119" s="172"/>
      <c r="I119" s="172"/>
      <c r="J119" s="172"/>
      <c r="K119" s="172"/>
      <c r="L119" s="172"/>
      <c r="M119" s="172"/>
      <c r="N119" s="172"/>
      <c r="O119" s="172"/>
      <c r="P119" s="172"/>
      <c r="Q119" s="172"/>
      <c r="R119" s="172"/>
      <c r="S119" s="172"/>
    </row>
    <row r="120">
      <c r="A120" s="525"/>
      <c r="C120" s="172"/>
      <c r="D120" s="172"/>
      <c r="F120" s="172"/>
      <c r="G120" s="172"/>
      <c r="H120" s="172"/>
      <c r="I120" s="172"/>
      <c r="J120" s="172"/>
      <c r="K120" s="172"/>
      <c r="L120" s="172"/>
      <c r="M120" s="172"/>
      <c r="N120" s="172"/>
      <c r="O120" s="172"/>
      <c r="P120" s="172"/>
      <c r="Q120" s="172"/>
      <c r="R120" s="172"/>
      <c r="S120" s="172"/>
    </row>
    <row r="121">
      <c r="A121" s="525"/>
      <c r="C121" s="172"/>
      <c r="D121" s="172"/>
      <c r="F121" s="172"/>
      <c r="G121" s="172"/>
      <c r="H121" s="172"/>
      <c r="I121" s="172"/>
      <c r="J121" s="172"/>
      <c r="K121" s="172"/>
      <c r="L121" s="172"/>
      <c r="M121" s="172"/>
      <c r="N121" s="172"/>
      <c r="O121" s="172"/>
      <c r="P121" s="172"/>
      <c r="Q121" s="172"/>
      <c r="R121" s="172"/>
      <c r="S121" s="172"/>
    </row>
    <row r="122">
      <c r="A122" s="525"/>
      <c r="C122" s="172"/>
      <c r="D122" s="172"/>
      <c r="F122" s="172"/>
      <c r="G122" s="172"/>
      <c r="H122" s="172"/>
      <c r="I122" s="172"/>
      <c r="J122" s="172"/>
      <c r="K122" s="172"/>
      <c r="L122" s="172"/>
      <c r="M122" s="172"/>
      <c r="N122" s="172"/>
      <c r="O122" s="172"/>
      <c r="P122" s="172"/>
      <c r="Q122" s="172"/>
      <c r="R122" s="172"/>
      <c r="S122" s="172"/>
    </row>
    <row r="123">
      <c r="A123" s="525"/>
      <c r="C123" s="172"/>
      <c r="D123" s="172"/>
      <c r="F123" s="172"/>
      <c r="G123" s="172"/>
      <c r="H123" s="172"/>
      <c r="I123" s="172"/>
      <c r="J123" s="172"/>
      <c r="K123" s="172"/>
      <c r="L123" s="172"/>
      <c r="M123" s="172"/>
      <c r="N123" s="172"/>
      <c r="O123" s="172"/>
      <c r="P123" s="172"/>
      <c r="Q123" s="172"/>
      <c r="R123" s="172"/>
      <c r="S123" s="172"/>
    </row>
    <row r="124">
      <c r="A124" s="525"/>
      <c r="C124" s="172"/>
      <c r="D124" s="172"/>
      <c r="F124" s="172"/>
      <c r="G124" s="172"/>
      <c r="H124" s="172"/>
      <c r="I124" s="172"/>
      <c r="J124" s="172"/>
      <c r="K124" s="172"/>
      <c r="L124" s="172"/>
      <c r="M124" s="172"/>
      <c r="N124" s="172"/>
      <c r="O124" s="172"/>
      <c r="P124" s="172"/>
      <c r="Q124" s="172"/>
      <c r="R124" s="172"/>
      <c r="S124" s="172"/>
    </row>
    <row r="125">
      <c r="A125" s="525"/>
      <c r="C125" s="172"/>
      <c r="D125" s="172"/>
      <c r="F125" s="172"/>
      <c r="G125" s="172"/>
      <c r="H125" s="172"/>
      <c r="I125" s="172"/>
      <c r="J125" s="172"/>
      <c r="K125" s="172"/>
      <c r="L125" s="172"/>
      <c r="M125" s="172"/>
      <c r="N125" s="172"/>
      <c r="O125" s="172"/>
      <c r="P125" s="172"/>
      <c r="Q125" s="172"/>
      <c r="R125" s="172"/>
      <c r="S125" s="172"/>
    </row>
    <row r="126">
      <c r="A126" s="525"/>
      <c r="C126" s="172"/>
      <c r="D126" s="172"/>
      <c r="F126" s="172"/>
      <c r="G126" s="172"/>
      <c r="H126" s="172"/>
      <c r="I126" s="172"/>
      <c r="J126" s="172"/>
      <c r="K126" s="172"/>
      <c r="L126" s="172"/>
      <c r="M126" s="172"/>
      <c r="N126" s="172"/>
      <c r="O126" s="172"/>
      <c r="P126" s="172"/>
      <c r="Q126" s="172"/>
      <c r="R126" s="172"/>
      <c r="S126" s="172"/>
    </row>
    <row r="127">
      <c r="A127" s="525"/>
      <c r="C127" s="172"/>
      <c r="D127" s="172"/>
      <c r="F127" s="172"/>
      <c r="G127" s="172"/>
      <c r="H127" s="172"/>
      <c r="I127" s="172"/>
      <c r="J127" s="172"/>
      <c r="K127" s="172"/>
      <c r="L127" s="172"/>
      <c r="M127" s="172"/>
      <c r="N127" s="172"/>
      <c r="O127" s="172"/>
      <c r="P127" s="172"/>
      <c r="Q127" s="172"/>
      <c r="R127" s="172"/>
      <c r="S127" s="172"/>
    </row>
    <row r="128">
      <c r="A128" s="525"/>
      <c r="C128" s="172"/>
      <c r="D128" s="172"/>
      <c r="F128" s="172"/>
      <c r="G128" s="172"/>
      <c r="H128" s="172"/>
      <c r="I128" s="172"/>
      <c r="J128" s="172"/>
      <c r="K128" s="172"/>
      <c r="L128" s="172"/>
      <c r="M128" s="172"/>
      <c r="N128" s="172"/>
      <c r="O128" s="172"/>
      <c r="P128" s="172"/>
      <c r="Q128" s="172"/>
      <c r="R128" s="172"/>
      <c r="S128" s="172"/>
    </row>
    <row r="129">
      <c r="A129" s="525"/>
      <c r="C129" s="172"/>
      <c r="D129" s="172"/>
      <c r="F129" s="172"/>
      <c r="G129" s="172"/>
      <c r="H129" s="172"/>
      <c r="I129" s="172"/>
      <c r="J129" s="172"/>
      <c r="K129" s="172"/>
      <c r="L129" s="172"/>
      <c r="M129" s="172"/>
      <c r="N129" s="172"/>
      <c r="O129" s="172"/>
      <c r="P129" s="172"/>
      <c r="Q129" s="172"/>
      <c r="R129" s="172"/>
      <c r="S129" s="172"/>
    </row>
    <row r="130">
      <c r="A130" s="525"/>
      <c r="C130" s="172"/>
      <c r="D130" s="172"/>
      <c r="F130" s="172"/>
      <c r="G130" s="172"/>
      <c r="H130" s="172"/>
      <c r="I130" s="172"/>
      <c r="J130" s="172"/>
      <c r="K130" s="172"/>
      <c r="L130" s="172"/>
      <c r="M130" s="172"/>
      <c r="N130" s="172"/>
      <c r="O130" s="172"/>
      <c r="P130" s="172"/>
      <c r="Q130" s="172"/>
      <c r="R130" s="172"/>
      <c r="S130" s="172"/>
    </row>
    <row r="131">
      <c r="A131" s="525"/>
      <c r="C131" s="172"/>
      <c r="D131" s="172"/>
      <c r="F131" s="172"/>
      <c r="G131" s="172"/>
      <c r="H131" s="172"/>
      <c r="I131" s="172"/>
      <c r="J131" s="172"/>
      <c r="K131" s="172"/>
      <c r="L131" s="172"/>
      <c r="M131" s="172"/>
      <c r="N131" s="172"/>
      <c r="O131" s="172"/>
      <c r="P131" s="172"/>
      <c r="Q131" s="172"/>
      <c r="R131" s="172"/>
      <c r="S131" s="172"/>
    </row>
    <row r="132">
      <c r="A132" s="525"/>
      <c r="C132" s="172"/>
      <c r="D132" s="172"/>
      <c r="F132" s="172"/>
      <c r="G132" s="172"/>
      <c r="H132" s="172"/>
      <c r="I132" s="172"/>
      <c r="J132" s="172"/>
      <c r="K132" s="172"/>
      <c r="L132" s="172"/>
      <c r="M132" s="172"/>
      <c r="N132" s="172"/>
      <c r="O132" s="172"/>
      <c r="P132" s="172"/>
      <c r="Q132" s="172"/>
      <c r="R132" s="172"/>
      <c r="S132" s="172"/>
    </row>
    <row r="133">
      <c r="A133" s="525"/>
      <c r="C133" s="172"/>
      <c r="D133" s="172"/>
      <c r="F133" s="172"/>
      <c r="G133" s="172"/>
      <c r="H133" s="172"/>
      <c r="I133" s="172"/>
      <c r="J133" s="172"/>
      <c r="K133" s="172"/>
      <c r="L133" s="172"/>
      <c r="M133" s="172"/>
      <c r="N133" s="172"/>
      <c r="O133" s="172"/>
      <c r="P133" s="172"/>
      <c r="Q133" s="172"/>
      <c r="R133" s="172"/>
      <c r="S133" s="172"/>
    </row>
    <row r="134">
      <c r="A134" s="525"/>
      <c r="C134" s="172"/>
      <c r="D134" s="172"/>
      <c r="F134" s="172"/>
      <c r="G134" s="172"/>
      <c r="H134" s="172"/>
      <c r="I134" s="172"/>
      <c r="J134" s="172"/>
      <c r="K134" s="172"/>
      <c r="L134" s="172"/>
      <c r="M134" s="172"/>
      <c r="N134" s="172"/>
      <c r="O134" s="172"/>
      <c r="P134" s="172"/>
      <c r="Q134" s="172"/>
      <c r="R134" s="172"/>
      <c r="S134" s="172"/>
    </row>
    <row r="135">
      <c r="A135" s="525"/>
      <c r="C135" s="172"/>
      <c r="D135" s="172"/>
      <c r="F135" s="172"/>
      <c r="G135" s="172"/>
      <c r="H135" s="172"/>
      <c r="I135" s="172"/>
      <c r="J135" s="172"/>
      <c r="K135" s="172"/>
      <c r="L135" s="172"/>
      <c r="M135" s="172"/>
      <c r="N135" s="172"/>
      <c r="O135" s="172"/>
      <c r="P135" s="172"/>
      <c r="Q135" s="172"/>
      <c r="R135" s="172"/>
      <c r="S135" s="172"/>
    </row>
    <row r="136">
      <c r="A136" s="525"/>
      <c r="C136" s="172"/>
      <c r="D136" s="172"/>
      <c r="F136" s="172"/>
      <c r="G136" s="172"/>
      <c r="H136" s="172"/>
      <c r="I136" s="172"/>
      <c r="J136" s="172"/>
      <c r="K136" s="172"/>
      <c r="L136" s="172"/>
      <c r="M136" s="172"/>
      <c r="N136" s="172"/>
      <c r="O136" s="172"/>
      <c r="P136" s="172"/>
      <c r="Q136" s="172"/>
      <c r="R136" s="172"/>
      <c r="S136" s="172"/>
    </row>
    <row r="137">
      <c r="A137" s="525"/>
      <c r="B137" s="528"/>
      <c r="C137" s="172"/>
      <c r="D137" s="172"/>
      <c r="F137" s="172"/>
      <c r="G137" s="172"/>
      <c r="H137" s="172"/>
      <c r="I137" s="172"/>
      <c r="J137" s="172"/>
      <c r="K137" s="172"/>
      <c r="L137" s="172"/>
      <c r="M137" s="172"/>
      <c r="N137" s="172"/>
      <c r="O137" s="172"/>
      <c r="P137" s="172"/>
      <c r="Q137" s="172"/>
      <c r="R137" s="172"/>
      <c r="S137" s="172"/>
    </row>
    <row r="138">
      <c r="A138" s="525"/>
      <c r="B138" s="528"/>
      <c r="C138" s="172"/>
      <c r="D138" s="172"/>
      <c r="F138" s="172"/>
      <c r="G138" s="172"/>
      <c r="H138" s="172"/>
      <c r="I138" s="172"/>
      <c r="J138" s="172"/>
      <c r="K138" s="172"/>
      <c r="L138" s="172"/>
      <c r="M138" s="172"/>
      <c r="N138" s="172"/>
      <c r="O138" s="172"/>
      <c r="P138" s="172"/>
      <c r="Q138" s="172"/>
      <c r="R138" s="172"/>
      <c r="S138" s="172"/>
    </row>
    <row r="139">
      <c r="A139" s="525"/>
      <c r="B139" s="528"/>
      <c r="C139" s="172"/>
      <c r="D139" s="172"/>
      <c r="F139" s="172"/>
      <c r="G139" s="172"/>
      <c r="H139" s="172"/>
      <c r="I139" s="172"/>
      <c r="J139" s="172"/>
      <c r="K139" s="172"/>
      <c r="L139" s="172"/>
      <c r="M139" s="172"/>
      <c r="N139" s="172"/>
      <c r="O139" s="172"/>
      <c r="P139" s="172"/>
      <c r="Q139" s="172"/>
      <c r="R139" s="172"/>
      <c r="S139" s="172"/>
    </row>
    <row r="140">
      <c r="A140" s="525"/>
      <c r="B140" s="528"/>
      <c r="C140" s="172"/>
      <c r="D140" s="172"/>
      <c r="F140" s="172"/>
      <c r="G140" s="172"/>
      <c r="H140" s="172"/>
      <c r="I140" s="172"/>
      <c r="J140" s="172"/>
      <c r="K140" s="172"/>
      <c r="L140" s="172"/>
      <c r="M140" s="172"/>
      <c r="N140" s="172"/>
      <c r="O140" s="172"/>
      <c r="P140" s="172"/>
      <c r="Q140" s="172"/>
      <c r="R140" s="172"/>
      <c r="S140" s="172"/>
    </row>
    <row r="141">
      <c r="A141" s="525"/>
      <c r="B141" s="528"/>
      <c r="C141" s="172"/>
      <c r="D141" s="172"/>
      <c r="F141" s="172"/>
      <c r="G141" s="172"/>
      <c r="H141" s="172"/>
      <c r="I141" s="172"/>
      <c r="J141" s="172"/>
      <c r="K141" s="172"/>
      <c r="L141" s="172"/>
      <c r="M141" s="172"/>
      <c r="N141" s="172"/>
      <c r="O141" s="172"/>
      <c r="P141" s="172"/>
      <c r="Q141" s="172"/>
      <c r="R141" s="172"/>
      <c r="S141" s="172"/>
    </row>
    <row r="142">
      <c r="A142" s="525"/>
      <c r="B142" s="528"/>
      <c r="C142" s="172"/>
      <c r="D142" s="172"/>
      <c r="F142" s="172"/>
      <c r="G142" s="172"/>
      <c r="H142" s="172"/>
      <c r="I142" s="172"/>
      <c r="J142" s="172"/>
      <c r="K142" s="172"/>
      <c r="L142" s="172"/>
      <c r="M142" s="172"/>
      <c r="N142" s="172"/>
      <c r="O142" s="172"/>
      <c r="P142" s="172"/>
      <c r="Q142" s="172"/>
      <c r="R142" s="172"/>
      <c r="S142" s="172"/>
    </row>
    <row r="143">
      <c r="A143" s="525"/>
      <c r="B143" s="528"/>
      <c r="C143" s="172"/>
      <c r="D143" s="172"/>
      <c r="F143" s="172"/>
      <c r="G143" s="172"/>
      <c r="H143" s="172"/>
      <c r="I143" s="172"/>
      <c r="J143" s="172"/>
      <c r="K143" s="172"/>
      <c r="L143" s="172"/>
      <c r="M143" s="172"/>
      <c r="N143" s="172"/>
      <c r="O143" s="172"/>
      <c r="P143" s="172"/>
      <c r="Q143" s="172"/>
      <c r="R143" s="172"/>
      <c r="S143" s="172"/>
    </row>
    <row r="144">
      <c r="A144" s="525"/>
      <c r="B144" s="528"/>
      <c r="C144" s="172"/>
      <c r="D144" s="172"/>
      <c r="F144" s="172"/>
      <c r="G144" s="172"/>
      <c r="H144" s="172"/>
      <c r="I144" s="172"/>
      <c r="J144" s="172"/>
      <c r="K144" s="172"/>
      <c r="L144" s="172"/>
      <c r="M144" s="172"/>
      <c r="N144" s="172"/>
      <c r="O144" s="172"/>
      <c r="P144" s="172"/>
      <c r="Q144" s="172"/>
      <c r="R144" s="172"/>
      <c r="S144" s="172"/>
    </row>
    <row r="145">
      <c r="A145" s="525"/>
      <c r="B145" s="528"/>
      <c r="C145" s="172"/>
      <c r="D145" s="172"/>
      <c r="F145" s="172"/>
      <c r="G145" s="172"/>
      <c r="H145" s="172"/>
      <c r="I145" s="172"/>
      <c r="J145" s="172"/>
      <c r="K145" s="172"/>
      <c r="L145" s="172"/>
      <c r="M145" s="172"/>
      <c r="N145" s="172"/>
      <c r="O145" s="172"/>
      <c r="P145" s="172"/>
      <c r="Q145" s="172"/>
      <c r="R145" s="172"/>
      <c r="S145" s="172"/>
    </row>
    <row r="146">
      <c r="A146" s="525"/>
      <c r="B146" s="528"/>
      <c r="C146" s="172"/>
      <c r="D146" s="172"/>
      <c r="F146" s="172"/>
      <c r="G146" s="172"/>
      <c r="H146" s="172"/>
      <c r="I146" s="172"/>
      <c r="J146" s="172"/>
      <c r="K146" s="172"/>
      <c r="L146" s="172"/>
      <c r="M146" s="172"/>
      <c r="N146" s="172"/>
      <c r="O146" s="172"/>
      <c r="P146" s="172"/>
      <c r="Q146" s="172"/>
      <c r="R146" s="172"/>
      <c r="S146" s="172"/>
    </row>
    <row r="147">
      <c r="A147" s="525"/>
      <c r="B147" s="528"/>
      <c r="C147" s="172"/>
      <c r="D147" s="172"/>
      <c r="F147" s="172"/>
      <c r="G147" s="172"/>
      <c r="H147" s="172"/>
      <c r="I147" s="172"/>
      <c r="J147" s="172"/>
      <c r="K147" s="172"/>
      <c r="L147" s="172"/>
      <c r="M147" s="172"/>
      <c r="N147" s="172"/>
      <c r="O147" s="172"/>
      <c r="P147" s="172"/>
      <c r="Q147" s="172"/>
      <c r="R147" s="172"/>
      <c r="S147" s="172"/>
    </row>
    <row r="148">
      <c r="A148" s="525"/>
      <c r="B148" s="528"/>
      <c r="C148" s="172"/>
      <c r="D148" s="172"/>
      <c r="F148" s="172"/>
      <c r="G148" s="172"/>
      <c r="H148" s="172"/>
      <c r="I148" s="172"/>
      <c r="J148" s="172"/>
      <c r="K148" s="172"/>
      <c r="L148" s="172"/>
      <c r="M148" s="172"/>
      <c r="N148" s="172"/>
      <c r="O148" s="172"/>
      <c r="P148" s="172"/>
      <c r="Q148" s="172"/>
      <c r="R148" s="172"/>
      <c r="S148" s="172"/>
    </row>
    <row r="149">
      <c r="A149" s="525"/>
      <c r="B149" s="528"/>
      <c r="C149" s="172"/>
      <c r="D149" s="172"/>
      <c r="F149" s="172"/>
      <c r="G149" s="172"/>
      <c r="H149" s="172"/>
      <c r="I149" s="172"/>
      <c r="J149" s="172"/>
      <c r="K149" s="172"/>
      <c r="L149" s="172"/>
      <c r="M149" s="172"/>
      <c r="N149" s="172"/>
      <c r="O149" s="172"/>
      <c r="P149" s="172"/>
      <c r="Q149" s="172"/>
      <c r="R149" s="172"/>
      <c r="S149" s="172"/>
    </row>
    <row r="150">
      <c r="A150" s="525"/>
      <c r="B150" s="528"/>
      <c r="C150" s="172"/>
      <c r="D150" s="172"/>
      <c r="F150" s="172"/>
      <c r="G150" s="172"/>
      <c r="H150" s="172"/>
      <c r="I150" s="172"/>
      <c r="J150" s="172"/>
      <c r="K150" s="172"/>
      <c r="L150" s="172"/>
      <c r="M150" s="172"/>
      <c r="N150" s="172"/>
      <c r="O150" s="172"/>
      <c r="P150" s="172"/>
      <c r="Q150" s="172"/>
      <c r="R150" s="172"/>
      <c r="S150" s="172"/>
    </row>
    <row r="151">
      <c r="A151" s="525"/>
      <c r="B151" s="528"/>
      <c r="C151" s="172"/>
      <c r="D151" s="172"/>
      <c r="F151" s="172"/>
      <c r="G151" s="172"/>
      <c r="H151" s="172"/>
      <c r="I151" s="172"/>
      <c r="J151" s="172"/>
      <c r="K151" s="172"/>
      <c r="L151" s="172"/>
      <c r="M151" s="172"/>
      <c r="N151" s="172"/>
      <c r="O151" s="172"/>
      <c r="P151" s="172"/>
      <c r="Q151" s="172"/>
      <c r="R151" s="172"/>
      <c r="S151" s="172"/>
    </row>
    <row r="152">
      <c r="A152" s="525"/>
      <c r="B152" s="528"/>
      <c r="C152" s="172"/>
      <c r="D152" s="172"/>
      <c r="F152" s="172"/>
      <c r="G152" s="172"/>
      <c r="H152" s="172"/>
      <c r="I152" s="172"/>
      <c r="J152" s="172"/>
      <c r="K152" s="172"/>
      <c r="L152" s="172"/>
      <c r="M152" s="172"/>
      <c r="N152" s="172"/>
      <c r="O152" s="172"/>
      <c r="P152" s="172"/>
      <c r="Q152" s="172"/>
      <c r="R152" s="172"/>
      <c r="S152" s="172"/>
    </row>
    <row r="153">
      <c r="A153" s="525"/>
      <c r="B153" s="528"/>
      <c r="C153" s="172"/>
      <c r="D153" s="172"/>
      <c r="F153" s="172"/>
      <c r="G153" s="172"/>
      <c r="H153" s="172"/>
      <c r="I153" s="172"/>
      <c r="J153" s="172"/>
      <c r="K153" s="172"/>
      <c r="L153" s="172"/>
      <c r="M153" s="172"/>
      <c r="N153" s="172"/>
      <c r="O153" s="172"/>
      <c r="P153" s="172"/>
      <c r="Q153" s="172"/>
      <c r="R153" s="172"/>
      <c r="S153" s="172"/>
    </row>
    <row r="154">
      <c r="A154" s="525"/>
      <c r="B154" s="528"/>
      <c r="C154" s="172"/>
      <c r="D154" s="172"/>
      <c r="F154" s="172"/>
      <c r="G154" s="172"/>
      <c r="H154" s="172"/>
      <c r="I154" s="172"/>
      <c r="J154" s="172"/>
      <c r="K154" s="172"/>
      <c r="L154" s="172"/>
      <c r="M154" s="172"/>
      <c r="N154" s="172"/>
      <c r="O154" s="172"/>
      <c r="P154" s="172"/>
      <c r="Q154" s="172"/>
      <c r="R154" s="172"/>
      <c r="S154" s="172"/>
    </row>
    <row r="155">
      <c r="A155" s="525"/>
      <c r="B155" s="528"/>
      <c r="C155" s="172"/>
      <c r="D155" s="172"/>
      <c r="F155" s="172"/>
      <c r="G155" s="172"/>
      <c r="H155" s="172"/>
      <c r="I155" s="172"/>
      <c r="J155" s="172"/>
      <c r="K155" s="172"/>
      <c r="L155" s="172"/>
      <c r="M155" s="172"/>
      <c r="N155" s="172"/>
      <c r="O155" s="172"/>
      <c r="P155" s="172"/>
      <c r="Q155" s="172"/>
      <c r="R155" s="172"/>
      <c r="S155" s="172"/>
    </row>
    <row r="156">
      <c r="A156" s="525"/>
      <c r="B156" s="528"/>
      <c r="C156" s="172"/>
      <c r="D156" s="172"/>
      <c r="F156" s="172"/>
      <c r="G156" s="172"/>
      <c r="H156" s="172"/>
      <c r="I156" s="172"/>
      <c r="J156" s="172"/>
      <c r="K156" s="172"/>
      <c r="L156" s="172"/>
      <c r="M156" s="172"/>
      <c r="N156" s="172"/>
      <c r="O156" s="172"/>
      <c r="P156" s="172"/>
      <c r="Q156" s="172"/>
      <c r="R156" s="172"/>
      <c r="S156" s="172"/>
    </row>
    <row r="157">
      <c r="A157" s="525"/>
      <c r="B157" s="528"/>
      <c r="C157" s="172"/>
      <c r="D157" s="172"/>
      <c r="F157" s="172"/>
      <c r="G157" s="172"/>
      <c r="H157" s="172"/>
      <c r="I157" s="172"/>
      <c r="J157" s="172"/>
      <c r="K157" s="172"/>
      <c r="L157" s="172"/>
      <c r="M157" s="172"/>
      <c r="N157" s="172"/>
      <c r="O157" s="172"/>
      <c r="P157" s="172"/>
      <c r="Q157" s="172"/>
      <c r="R157" s="172"/>
      <c r="S157" s="172"/>
    </row>
    <row r="158">
      <c r="A158" s="525"/>
      <c r="B158" s="528"/>
      <c r="C158" s="172"/>
      <c r="D158" s="172"/>
      <c r="F158" s="172"/>
      <c r="G158" s="172"/>
      <c r="H158" s="172"/>
      <c r="I158" s="172"/>
      <c r="J158" s="172"/>
      <c r="K158" s="172"/>
      <c r="L158" s="172"/>
      <c r="M158" s="172"/>
      <c r="N158" s="172"/>
      <c r="O158" s="172"/>
      <c r="P158" s="172"/>
      <c r="Q158" s="172"/>
      <c r="R158" s="172"/>
      <c r="S158" s="172"/>
    </row>
    <row r="159">
      <c r="A159" s="525"/>
      <c r="B159" s="528"/>
      <c r="C159" s="172"/>
      <c r="D159" s="172"/>
      <c r="F159" s="172"/>
      <c r="G159" s="172"/>
      <c r="H159" s="172"/>
      <c r="I159" s="172"/>
      <c r="J159" s="172"/>
      <c r="K159" s="172"/>
      <c r="L159" s="172"/>
      <c r="M159" s="172"/>
      <c r="N159" s="172"/>
      <c r="O159" s="172"/>
      <c r="P159" s="172"/>
      <c r="Q159" s="172"/>
      <c r="R159" s="172"/>
      <c r="S159" s="172"/>
    </row>
    <row r="160">
      <c r="A160" s="525"/>
      <c r="B160" s="528"/>
      <c r="C160" s="172"/>
      <c r="D160" s="172"/>
      <c r="F160" s="172"/>
      <c r="G160" s="172"/>
      <c r="H160" s="172"/>
      <c r="I160" s="172"/>
      <c r="J160" s="172"/>
      <c r="K160" s="172"/>
      <c r="L160" s="172"/>
      <c r="M160" s="172"/>
      <c r="N160" s="172"/>
      <c r="O160" s="172"/>
      <c r="P160" s="172"/>
      <c r="Q160" s="172"/>
      <c r="R160" s="172"/>
      <c r="S160" s="172"/>
    </row>
    <row r="161">
      <c r="A161" s="525"/>
      <c r="B161" s="528"/>
      <c r="C161" s="172"/>
      <c r="D161" s="172"/>
      <c r="F161" s="172"/>
      <c r="G161" s="172"/>
      <c r="H161" s="172"/>
      <c r="I161" s="172"/>
      <c r="J161" s="172"/>
      <c r="K161" s="172"/>
      <c r="L161" s="172"/>
      <c r="M161" s="172"/>
      <c r="N161" s="172"/>
      <c r="O161" s="172"/>
      <c r="P161" s="172"/>
      <c r="Q161" s="172"/>
      <c r="R161" s="172"/>
      <c r="S161" s="172"/>
    </row>
    <row r="162">
      <c r="A162" s="525"/>
      <c r="B162" s="528"/>
      <c r="C162" s="172"/>
      <c r="D162" s="172"/>
      <c r="F162" s="172"/>
      <c r="G162" s="172"/>
      <c r="H162" s="172"/>
      <c r="I162" s="172"/>
      <c r="J162" s="172"/>
      <c r="K162" s="172"/>
      <c r="L162" s="172"/>
      <c r="M162" s="172"/>
      <c r="N162" s="172"/>
      <c r="O162" s="172"/>
      <c r="P162" s="172"/>
      <c r="Q162" s="172"/>
      <c r="R162" s="172"/>
      <c r="S162" s="172"/>
    </row>
    <row r="163">
      <c r="A163" s="525"/>
      <c r="B163" s="528"/>
      <c r="C163" s="172"/>
      <c r="D163" s="172"/>
      <c r="F163" s="172"/>
      <c r="G163" s="172"/>
      <c r="H163" s="172"/>
      <c r="I163" s="172"/>
      <c r="J163" s="172"/>
      <c r="K163" s="172"/>
      <c r="L163" s="172"/>
      <c r="M163" s="172"/>
      <c r="N163" s="172"/>
      <c r="O163" s="172"/>
      <c r="P163" s="172"/>
      <c r="Q163" s="172"/>
      <c r="R163" s="172"/>
      <c r="S163" s="172"/>
    </row>
    <row r="164">
      <c r="A164" s="525"/>
      <c r="B164" s="528"/>
      <c r="C164" s="172"/>
      <c r="D164" s="172"/>
      <c r="F164" s="172"/>
      <c r="G164" s="172"/>
      <c r="H164" s="172"/>
      <c r="I164" s="172"/>
      <c r="J164" s="172"/>
      <c r="K164" s="172"/>
      <c r="L164" s="172"/>
      <c r="M164" s="172"/>
      <c r="N164" s="172"/>
      <c r="O164" s="172"/>
      <c r="P164" s="172"/>
      <c r="Q164" s="172"/>
      <c r="R164" s="172"/>
      <c r="S164" s="172"/>
    </row>
    <row r="165">
      <c r="A165" s="525"/>
      <c r="B165" s="528"/>
      <c r="C165" s="172"/>
      <c r="D165" s="172"/>
      <c r="F165" s="172"/>
      <c r="G165" s="172"/>
      <c r="H165" s="172"/>
      <c r="I165" s="172"/>
      <c r="J165" s="172"/>
      <c r="K165" s="172"/>
      <c r="L165" s="172"/>
      <c r="M165" s="172"/>
      <c r="N165" s="172"/>
      <c r="O165" s="172"/>
      <c r="P165" s="172"/>
      <c r="Q165" s="172"/>
      <c r="R165" s="172"/>
      <c r="S165" s="172"/>
    </row>
    <row r="166">
      <c r="A166" s="525"/>
      <c r="B166" s="528"/>
      <c r="C166" s="172"/>
      <c r="D166" s="172"/>
      <c r="F166" s="172"/>
      <c r="G166" s="172"/>
      <c r="H166" s="172"/>
      <c r="I166" s="172"/>
      <c r="J166" s="172"/>
      <c r="K166" s="172"/>
      <c r="L166" s="172"/>
      <c r="M166" s="172"/>
      <c r="N166" s="172"/>
      <c r="O166" s="172"/>
      <c r="P166" s="172"/>
      <c r="Q166" s="172"/>
      <c r="R166" s="172"/>
      <c r="S166" s="172"/>
    </row>
    <row r="167">
      <c r="A167" s="525"/>
      <c r="B167" s="528"/>
      <c r="C167" s="172"/>
      <c r="D167" s="172"/>
      <c r="F167" s="172"/>
      <c r="G167" s="172"/>
      <c r="H167" s="172"/>
      <c r="I167" s="172"/>
      <c r="J167" s="172"/>
      <c r="K167" s="172"/>
      <c r="L167" s="172"/>
      <c r="M167" s="172"/>
      <c r="N167" s="172"/>
      <c r="O167" s="172"/>
      <c r="P167" s="172"/>
      <c r="Q167" s="172"/>
      <c r="R167" s="172"/>
      <c r="S167" s="172"/>
    </row>
    <row r="168">
      <c r="A168" s="525"/>
      <c r="B168" s="528"/>
      <c r="C168" s="172"/>
      <c r="D168" s="172"/>
      <c r="F168" s="172"/>
      <c r="G168" s="172"/>
      <c r="H168" s="172"/>
      <c r="I168" s="172"/>
      <c r="J168" s="172"/>
      <c r="K168" s="172"/>
      <c r="L168" s="172"/>
      <c r="M168" s="172"/>
      <c r="N168" s="172"/>
      <c r="O168" s="172"/>
      <c r="P168" s="172"/>
      <c r="Q168" s="172"/>
      <c r="R168" s="172"/>
      <c r="S168" s="172"/>
    </row>
    <row r="169">
      <c r="A169" s="525"/>
      <c r="B169" s="528"/>
      <c r="C169" s="172"/>
      <c r="D169" s="172"/>
      <c r="F169" s="172"/>
      <c r="G169" s="172"/>
      <c r="H169" s="172"/>
      <c r="I169" s="172"/>
      <c r="J169" s="172"/>
      <c r="K169" s="172"/>
      <c r="L169" s="172"/>
      <c r="M169" s="172"/>
      <c r="N169" s="172"/>
      <c r="O169" s="172"/>
      <c r="P169" s="172"/>
      <c r="Q169" s="172"/>
      <c r="R169" s="172"/>
      <c r="S169" s="172"/>
    </row>
    <row r="170">
      <c r="A170" s="525"/>
      <c r="B170" s="528"/>
      <c r="C170" s="172"/>
      <c r="D170" s="172"/>
      <c r="F170" s="172"/>
      <c r="G170" s="172"/>
      <c r="H170" s="172"/>
      <c r="I170" s="172"/>
      <c r="J170" s="172"/>
      <c r="K170" s="172"/>
      <c r="L170" s="172"/>
      <c r="M170" s="172"/>
      <c r="N170" s="172"/>
      <c r="O170" s="172"/>
      <c r="P170" s="172"/>
      <c r="Q170" s="172"/>
      <c r="R170" s="172"/>
      <c r="S170" s="172"/>
    </row>
    <row r="171">
      <c r="A171" s="525"/>
      <c r="B171" s="528"/>
      <c r="C171" s="172"/>
      <c r="D171" s="172"/>
      <c r="F171" s="172"/>
      <c r="G171" s="172"/>
      <c r="H171" s="172"/>
      <c r="I171" s="172"/>
      <c r="J171" s="172"/>
      <c r="K171" s="172"/>
      <c r="L171" s="172"/>
      <c r="M171" s="172"/>
      <c r="N171" s="172"/>
      <c r="O171" s="172"/>
      <c r="P171" s="172"/>
      <c r="Q171" s="172"/>
      <c r="R171" s="172"/>
      <c r="S171" s="172"/>
    </row>
    <row r="172">
      <c r="A172" s="525"/>
      <c r="B172" s="528"/>
      <c r="C172" s="172"/>
      <c r="D172" s="172"/>
      <c r="F172" s="172"/>
      <c r="G172" s="172"/>
      <c r="H172" s="172"/>
      <c r="I172" s="172"/>
      <c r="J172" s="172"/>
      <c r="K172" s="172"/>
      <c r="L172" s="172"/>
      <c r="M172" s="172"/>
      <c r="N172" s="172"/>
      <c r="O172" s="172"/>
      <c r="P172" s="172"/>
      <c r="Q172" s="172"/>
      <c r="R172" s="172"/>
      <c r="S172" s="172"/>
    </row>
    <row r="173">
      <c r="A173" s="525"/>
      <c r="B173" s="528"/>
      <c r="C173" s="172"/>
      <c r="D173" s="172"/>
      <c r="F173" s="172"/>
      <c r="G173" s="172"/>
      <c r="H173" s="172"/>
      <c r="I173" s="172"/>
      <c r="J173" s="172"/>
      <c r="K173" s="172"/>
      <c r="L173" s="172"/>
      <c r="M173" s="172"/>
      <c r="N173" s="172"/>
      <c r="O173" s="172"/>
      <c r="P173" s="172"/>
      <c r="Q173" s="172"/>
      <c r="R173" s="172"/>
      <c r="S173" s="172"/>
    </row>
    <row r="174">
      <c r="A174" s="525"/>
      <c r="B174" s="528"/>
      <c r="C174" s="172"/>
      <c r="D174" s="172"/>
      <c r="F174" s="172"/>
      <c r="G174" s="172"/>
      <c r="H174" s="172"/>
      <c r="I174" s="172"/>
      <c r="J174" s="172"/>
      <c r="K174" s="172"/>
      <c r="L174" s="172"/>
      <c r="M174" s="172"/>
      <c r="N174" s="172"/>
      <c r="O174" s="172"/>
      <c r="P174" s="172"/>
      <c r="Q174" s="172"/>
      <c r="R174" s="172"/>
      <c r="S174" s="172"/>
    </row>
    <row r="175">
      <c r="A175" s="525"/>
      <c r="B175" s="528"/>
      <c r="C175" s="172"/>
      <c r="D175" s="172"/>
      <c r="F175" s="172"/>
      <c r="G175" s="172"/>
      <c r="H175" s="172"/>
      <c r="I175" s="172"/>
      <c r="J175" s="172"/>
      <c r="K175" s="172"/>
      <c r="L175" s="172"/>
      <c r="M175" s="172"/>
      <c r="N175" s="172"/>
      <c r="O175" s="172"/>
      <c r="P175" s="172"/>
      <c r="Q175" s="172"/>
      <c r="R175" s="172"/>
      <c r="S175" s="172"/>
    </row>
    <row r="176">
      <c r="A176" s="525"/>
      <c r="B176" s="528"/>
      <c r="C176" s="172"/>
      <c r="D176" s="172"/>
      <c r="F176" s="172"/>
      <c r="G176" s="172"/>
      <c r="H176" s="172"/>
      <c r="I176" s="172"/>
      <c r="J176" s="172"/>
      <c r="K176" s="172"/>
      <c r="L176" s="172"/>
      <c r="M176" s="172"/>
      <c r="N176" s="172"/>
      <c r="O176" s="172"/>
      <c r="P176" s="172"/>
      <c r="Q176" s="172"/>
      <c r="R176" s="172"/>
      <c r="S176" s="172"/>
    </row>
    <row r="177">
      <c r="A177" s="525"/>
      <c r="B177" s="528"/>
      <c r="C177" s="172"/>
      <c r="D177" s="172"/>
      <c r="F177" s="172"/>
      <c r="G177" s="172"/>
      <c r="H177" s="172"/>
      <c r="I177" s="172"/>
      <c r="J177" s="172"/>
      <c r="K177" s="172"/>
      <c r="L177" s="172"/>
      <c r="M177" s="172"/>
      <c r="N177" s="172"/>
      <c r="O177" s="172"/>
      <c r="P177" s="172"/>
      <c r="Q177" s="172"/>
      <c r="R177" s="172"/>
      <c r="S177" s="172"/>
    </row>
    <row r="178">
      <c r="A178" s="525"/>
      <c r="B178" s="528"/>
      <c r="C178" s="172"/>
      <c r="D178" s="172"/>
      <c r="F178" s="172"/>
      <c r="G178" s="172"/>
      <c r="H178" s="172"/>
      <c r="I178" s="172"/>
      <c r="J178" s="172"/>
      <c r="K178" s="172"/>
      <c r="L178" s="172"/>
      <c r="M178" s="172"/>
      <c r="N178" s="172"/>
      <c r="O178" s="172"/>
      <c r="P178" s="172"/>
      <c r="Q178" s="172"/>
      <c r="R178" s="172"/>
      <c r="S178" s="172"/>
    </row>
    <row r="179">
      <c r="A179" s="525"/>
      <c r="B179" s="528"/>
      <c r="C179" s="172"/>
      <c r="D179" s="172"/>
      <c r="F179" s="172"/>
      <c r="G179" s="172"/>
      <c r="H179" s="172"/>
      <c r="I179" s="172"/>
      <c r="J179" s="172"/>
      <c r="K179" s="172"/>
      <c r="L179" s="172"/>
      <c r="M179" s="172"/>
      <c r="N179" s="172"/>
      <c r="O179" s="172"/>
      <c r="P179" s="172"/>
      <c r="Q179" s="172"/>
      <c r="R179" s="172"/>
      <c r="S179" s="172"/>
    </row>
    <row r="180">
      <c r="A180" s="525"/>
      <c r="B180" s="528"/>
      <c r="C180" s="172"/>
      <c r="D180" s="172"/>
      <c r="F180" s="172"/>
      <c r="G180" s="172"/>
      <c r="H180" s="172"/>
      <c r="I180" s="172"/>
      <c r="J180" s="172"/>
      <c r="K180" s="172"/>
      <c r="L180" s="172"/>
      <c r="M180" s="172"/>
      <c r="N180" s="172"/>
      <c r="O180" s="172"/>
      <c r="P180" s="172"/>
      <c r="Q180" s="172"/>
      <c r="R180" s="172"/>
      <c r="S180" s="172"/>
    </row>
    <row r="181">
      <c r="A181" s="525"/>
      <c r="B181" s="528"/>
      <c r="C181" s="172"/>
      <c r="D181" s="172"/>
      <c r="F181" s="172"/>
      <c r="G181" s="172"/>
      <c r="H181" s="172"/>
      <c r="I181" s="172"/>
      <c r="J181" s="172"/>
      <c r="K181" s="172"/>
      <c r="L181" s="172"/>
      <c r="M181" s="172"/>
      <c r="N181" s="172"/>
      <c r="O181" s="172"/>
      <c r="P181" s="172"/>
      <c r="Q181" s="172"/>
      <c r="R181" s="172"/>
      <c r="S181" s="172"/>
    </row>
    <row r="182">
      <c r="A182" s="525"/>
      <c r="B182" s="528"/>
      <c r="C182" s="172"/>
      <c r="D182" s="172"/>
      <c r="F182" s="172"/>
      <c r="G182" s="172"/>
      <c r="H182" s="172"/>
      <c r="I182" s="172"/>
      <c r="J182" s="172"/>
      <c r="K182" s="172"/>
      <c r="L182" s="172"/>
      <c r="M182" s="172"/>
      <c r="N182" s="172"/>
      <c r="O182" s="172"/>
      <c r="P182" s="172"/>
      <c r="Q182" s="172"/>
      <c r="R182" s="172"/>
      <c r="S182" s="172"/>
    </row>
    <row r="183">
      <c r="A183" s="525"/>
      <c r="B183" s="528"/>
      <c r="C183" s="172"/>
      <c r="D183" s="172"/>
      <c r="F183" s="172"/>
      <c r="G183" s="172"/>
      <c r="H183" s="172"/>
      <c r="I183" s="172"/>
      <c r="J183" s="172"/>
      <c r="K183" s="172"/>
      <c r="L183" s="172"/>
      <c r="M183" s="172"/>
      <c r="N183" s="172"/>
      <c r="O183" s="172"/>
      <c r="P183" s="172"/>
      <c r="Q183" s="172"/>
      <c r="R183" s="172"/>
      <c r="S183" s="172"/>
    </row>
    <row r="184">
      <c r="A184" s="525"/>
      <c r="B184" s="528"/>
      <c r="C184" s="172"/>
      <c r="D184" s="172"/>
      <c r="F184" s="172"/>
      <c r="G184" s="172"/>
      <c r="H184" s="172"/>
      <c r="I184" s="172"/>
      <c r="J184" s="172"/>
      <c r="K184" s="172"/>
      <c r="L184" s="172"/>
      <c r="M184" s="172"/>
      <c r="N184" s="172"/>
      <c r="O184" s="172"/>
      <c r="P184" s="172"/>
      <c r="Q184" s="172"/>
      <c r="R184" s="172"/>
      <c r="S184" s="172"/>
    </row>
    <row r="185">
      <c r="A185" s="525"/>
      <c r="B185" s="528"/>
      <c r="C185" s="172"/>
      <c r="D185" s="172"/>
      <c r="F185" s="172"/>
      <c r="G185" s="172"/>
      <c r="H185" s="172"/>
      <c r="I185" s="172"/>
      <c r="J185" s="172"/>
      <c r="K185" s="172"/>
      <c r="L185" s="172"/>
      <c r="M185" s="172"/>
      <c r="N185" s="172"/>
      <c r="O185" s="172"/>
      <c r="P185" s="172"/>
      <c r="Q185" s="172"/>
      <c r="R185" s="172"/>
      <c r="S185" s="172"/>
    </row>
    <row r="186">
      <c r="A186" s="525"/>
      <c r="B186" s="528"/>
      <c r="C186" s="172"/>
      <c r="D186" s="172"/>
      <c r="F186" s="172"/>
      <c r="G186" s="172"/>
      <c r="H186" s="172"/>
      <c r="I186" s="172"/>
      <c r="J186" s="172"/>
      <c r="K186" s="172"/>
      <c r="L186" s="172"/>
      <c r="M186" s="172"/>
      <c r="N186" s="172"/>
      <c r="O186" s="172"/>
      <c r="P186" s="172"/>
      <c r="Q186" s="172"/>
      <c r="R186" s="172"/>
      <c r="S186" s="172"/>
    </row>
    <row r="187">
      <c r="A187" s="525"/>
      <c r="B187" s="528"/>
      <c r="C187" s="172"/>
      <c r="D187" s="172"/>
      <c r="F187" s="172"/>
      <c r="G187" s="172"/>
      <c r="H187" s="172"/>
      <c r="I187" s="172"/>
      <c r="J187" s="172"/>
      <c r="K187" s="172"/>
      <c r="L187" s="172"/>
      <c r="M187" s="172"/>
      <c r="N187" s="172"/>
      <c r="O187" s="172"/>
      <c r="P187" s="172"/>
      <c r="Q187" s="172"/>
      <c r="R187" s="172"/>
      <c r="S187" s="172"/>
    </row>
    <row r="188">
      <c r="A188" s="525"/>
      <c r="B188" s="528"/>
      <c r="C188" s="172"/>
      <c r="D188" s="172"/>
      <c r="F188" s="172"/>
      <c r="G188" s="172"/>
      <c r="H188" s="172"/>
      <c r="I188" s="172"/>
      <c r="J188" s="172"/>
      <c r="K188" s="172"/>
      <c r="L188" s="172"/>
      <c r="M188" s="172"/>
      <c r="N188" s="172"/>
      <c r="O188" s="172"/>
      <c r="P188" s="172"/>
      <c r="Q188" s="172"/>
      <c r="R188" s="172"/>
      <c r="S188" s="172"/>
    </row>
    <row r="189">
      <c r="A189" s="525"/>
      <c r="B189" s="528"/>
      <c r="C189" s="172"/>
      <c r="D189" s="172"/>
      <c r="F189" s="172"/>
      <c r="G189" s="172"/>
      <c r="H189" s="172"/>
      <c r="I189" s="172"/>
      <c r="J189" s="172"/>
      <c r="K189" s="172"/>
      <c r="L189" s="172"/>
      <c r="M189" s="172"/>
      <c r="N189" s="172"/>
      <c r="O189" s="172"/>
      <c r="P189" s="172"/>
      <c r="Q189" s="172"/>
      <c r="R189" s="172"/>
      <c r="S189" s="172"/>
    </row>
    <row r="190">
      <c r="A190" s="525"/>
      <c r="B190" s="528"/>
      <c r="C190" s="172"/>
      <c r="D190" s="172"/>
      <c r="F190" s="172"/>
      <c r="G190" s="172"/>
      <c r="H190" s="172"/>
      <c r="I190" s="172"/>
      <c r="J190" s="172"/>
      <c r="K190" s="172"/>
      <c r="L190" s="172"/>
      <c r="M190" s="172"/>
      <c r="N190" s="172"/>
      <c r="O190" s="172"/>
      <c r="P190" s="172"/>
      <c r="Q190" s="172"/>
      <c r="R190" s="172"/>
      <c r="S190" s="172"/>
    </row>
    <row r="191">
      <c r="A191" s="525"/>
      <c r="B191" s="528"/>
      <c r="C191" s="172"/>
      <c r="D191" s="172"/>
      <c r="F191" s="172"/>
      <c r="G191" s="172"/>
      <c r="H191" s="172"/>
      <c r="I191" s="172"/>
      <c r="J191" s="172"/>
      <c r="K191" s="172"/>
      <c r="L191" s="172"/>
      <c r="M191" s="172"/>
      <c r="N191" s="172"/>
      <c r="O191" s="172"/>
      <c r="P191" s="172"/>
      <c r="Q191" s="172"/>
      <c r="R191" s="172"/>
      <c r="S191" s="172"/>
    </row>
    <row r="192">
      <c r="A192" s="525"/>
      <c r="B192" s="528"/>
      <c r="C192" s="172"/>
      <c r="D192" s="172"/>
      <c r="F192" s="172"/>
      <c r="G192" s="172"/>
      <c r="H192" s="172"/>
      <c r="I192" s="172"/>
      <c r="J192" s="172"/>
      <c r="K192" s="172"/>
      <c r="L192" s="172"/>
      <c r="M192" s="172"/>
      <c r="N192" s="172"/>
      <c r="O192" s="172"/>
      <c r="P192" s="172"/>
      <c r="Q192" s="172"/>
      <c r="R192" s="172"/>
      <c r="S192" s="172"/>
    </row>
    <row r="193">
      <c r="A193" s="525"/>
      <c r="B193" s="528"/>
      <c r="C193" s="172"/>
      <c r="D193" s="172"/>
      <c r="F193" s="172"/>
      <c r="G193" s="172"/>
      <c r="H193" s="172"/>
      <c r="I193" s="172"/>
      <c r="J193" s="172"/>
      <c r="K193" s="172"/>
      <c r="L193" s="172"/>
      <c r="M193" s="172"/>
      <c r="N193" s="172"/>
      <c r="O193" s="172"/>
      <c r="P193" s="172"/>
      <c r="Q193" s="172"/>
      <c r="R193" s="172"/>
      <c r="S193" s="172"/>
    </row>
    <row r="194">
      <c r="A194" s="525"/>
      <c r="B194" s="528"/>
      <c r="C194" s="172"/>
      <c r="D194" s="172"/>
      <c r="F194" s="172"/>
      <c r="G194" s="172"/>
      <c r="H194" s="172"/>
      <c r="I194" s="172"/>
      <c r="J194" s="172"/>
      <c r="K194" s="172"/>
      <c r="L194" s="172"/>
      <c r="M194" s="172"/>
      <c r="N194" s="172"/>
      <c r="O194" s="172"/>
      <c r="P194" s="172"/>
      <c r="Q194" s="172"/>
      <c r="R194" s="172"/>
      <c r="S194" s="172"/>
    </row>
    <row r="195">
      <c r="A195" s="525"/>
      <c r="B195" s="528"/>
      <c r="C195" s="172"/>
      <c r="D195" s="172"/>
      <c r="F195" s="172"/>
      <c r="G195" s="172"/>
      <c r="H195" s="172"/>
      <c r="I195" s="172"/>
      <c r="J195" s="172"/>
      <c r="K195" s="172"/>
      <c r="L195" s="172"/>
      <c r="M195" s="172"/>
      <c r="N195" s="172"/>
      <c r="O195" s="172"/>
      <c r="P195" s="172"/>
      <c r="Q195" s="172"/>
      <c r="R195" s="172"/>
      <c r="S195" s="172"/>
    </row>
    <row r="196">
      <c r="A196" s="525"/>
      <c r="B196" s="528"/>
      <c r="C196" s="172"/>
      <c r="D196" s="172"/>
      <c r="F196" s="172"/>
      <c r="G196" s="172"/>
      <c r="H196" s="172"/>
      <c r="I196" s="172"/>
      <c r="J196" s="172"/>
      <c r="K196" s="172"/>
      <c r="L196" s="172"/>
      <c r="M196" s="172"/>
      <c r="N196" s="172"/>
      <c r="O196" s="172"/>
      <c r="P196" s="172"/>
      <c r="Q196" s="172"/>
      <c r="R196" s="172"/>
      <c r="S196" s="172"/>
    </row>
    <row r="197">
      <c r="A197" s="525"/>
      <c r="B197" s="528"/>
      <c r="C197" s="172"/>
      <c r="D197" s="172"/>
      <c r="F197" s="172"/>
      <c r="G197" s="172"/>
      <c r="H197" s="172"/>
      <c r="I197" s="172"/>
      <c r="J197" s="172"/>
      <c r="K197" s="172"/>
      <c r="L197" s="172"/>
      <c r="M197" s="172"/>
      <c r="N197" s="172"/>
      <c r="O197" s="172"/>
      <c r="P197" s="172"/>
      <c r="Q197" s="172"/>
      <c r="R197" s="172"/>
      <c r="S197" s="172"/>
    </row>
    <row r="198">
      <c r="A198" s="525"/>
      <c r="B198" s="528"/>
      <c r="C198" s="172"/>
      <c r="D198" s="172"/>
      <c r="F198" s="172"/>
      <c r="G198" s="172"/>
      <c r="H198" s="172"/>
      <c r="I198" s="172"/>
      <c r="J198" s="172"/>
      <c r="K198" s="172"/>
      <c r="L198" s="172"/>
      <c r="M198" s="172"/>
      <c r="N198" s="172"/>
      <c r="O198" s="172"/>
      <c r="P198" s="172"/>
      <c r="Q198" s="172"/>
      <c r="R198" s="172"/>
      <c r="S198" s="172"/>
    </row>
    <row r="199">
      <c r="A199" s="525"/>
      <c r="B199" s="528"/>
      <c r="C199" s="172"/>
      <c r="D199" s="172"/>
      <c r="F199" s="172"/>
      <c r="G199" s="172"/>
      <c r="H199" s="172"/>
      <c r="I199" s="172"/>
      <c r="J199" s="172"/>
      <c r="K199" s="172"/>
      <c r="L199" s="172"/>
      <c r="M199" s="172"/>
      <c r="N199" s="172"/>
      <c r="O199" s="172"/>
      <c r="P199" s="172"/>
      <c r="Q199" s="172"/>
      <c r="R199" s="172"/>
      <c r="S199" s="172"/>
    </row>
    <row r="200">
      <c r="A200" s="525"/>
      <c r="B200" s="528"/>
      <c r="C200" s="172"/>
      <c r="D200" s="172"/>
      <c r="F200" s="172"/>
      <c r="G200" s="172"/>
      <c r="H200" s="172"/>
      <c r="I200" s="172"/>
      <c r="J200" s="172"/>
      <c r="K200" s="172"/>
      <c r="L200" s="172"/>
      <c r="M200" s="172"/>
      <c r="N200" s="172"/>
      <c r="O200" s="172"/>
      <c r="P200" s="172"/>
      <c r="Q200" s="172"/>
      <c r="R200" s="172"/>
      <c r="S200" s="172"/>
    </row>
    <row r="201">
      <c r="A201" s="525"/>
      <c r="B201" s="528"/>
      <c r="C201" s="172"/>
      <c r="D201" s="172"/>
      <c r="F201" s="172"/>
      <c r="G201" s="172"/>
      <c r="H201" s="172"/>
      <c r="I201" s="172"/>
      <c r="J201" s="172"/>
      <c r="K201" s="172"/>
      <c r="L201" s="172"/>
      <c r="M201" s="172"/>
      <c r="N201" s="172"/>
      <c r="O201" s="172"/>
      <c r="P201" s="172"/>
      <c r="Q201" s="172"/>
      <c r="R201" s="172"/>
      <c r="S201" s="172"/>
    </row>
    <row r="202">
      <c r="A202" s="525"/>
      <c r="B202" s="528"/>
      <c r="C202" s="172"/>
      <c r="D202" s="172"/>
      <c r="F202" s="172"/>
      <c r="G202" s="172"/>
      <c r="H202" s="172"/>
      <c r="I202" s="172"/>
      <c r="J202" s="172"/>
      <c r="K202" s="172"/>
      <c r="L202" s="172"/>
      <c r="M202" s="172"/>
      <c r="N202" s="172"/>
      <c r="O202" s="172"/>
      <c r="P202" s="172"/>
      <c r="Q202" s="172"/>
      <c r="R202" s="172"/>
      <c r="S202" s="172"/>
    </row>
    <row r="203">
      <c r="A203" s="525"/>
      <c r="B203" s="528"/>
      <c r="C203" s="172"/>
      <c r="D203" s="172"/>
      <c r="F203" s="172"/>
      <c r="G203" s="172"/>
      <c r="H203" s="172"/>
      <c r="I203" s="172"/>
      <c r="J203" s="172"/>
      <c r="K203" s="172"/>
      <c r="L203" s="172"/>
      <c r="M203" s="172"/>
      <c r="N203" s="172"/>
      <c r="O203" s="172"/>
      <c r="P203" s="172"/>
      <c r="Q203" s="172"/>
      <c r="R203" s="172"/>
      <c r="S203" s="172"/>
    </row>
    <row r="204">
      <c r="A204" s="525"/>
      <c r="B204" s="528"/>
      <c r="C204" s="172"/>
      <c r="D204" s="172"/>
      <c r="F204" s="172"/>
      <c r="G204" s="172"/>
      <c r="H204" s="172"/>
      <c r="I204" s="172"/>
      <c r="J204" s="172"/>
      <c r="K204" s="172"/>
      <c r="L204" s="172"/>
      <c r="M204" s="172"/>
      <c r="N204" s="172"/>
      <c r="O204" s="172"/>
      <c r="P204" s="172"/>
      <c r="Q204" s="172"/>
      <c r="R204" s="172"/>
      <c r="S204" s="172"/>
    </row>
    <row r="205">
      <c r="A205" s="525"/>
      <c r="B205" s="528"/>
      <c r="C205" s="172"/>
      <c r="D205" s="172"/>
      <c r="F205" s="172"/>
      <c r="G205" s="172"/>
      <c r="H205" s="172"/>
      <c r="I205" s="172"/>
      <c r="J205" s="172"/>
      <c r="K205" s="172"/>
      <c r="L205" s="172"/>
      <c r="M205" s="172"/>
      <c r="N205" s="172"/>
      <c r="O205" s="172"/>
      <c r="P205" s="172"/>
      <c r="Q205" s="172"/>
      <c r="R205" s="172"/>
      <c r="S205" s="172"/>
    </row>
    <row r="206">
      <c r="A206" s="525"/>
      <c r="B206" s="528"/>
      <c r="C206" s="172"/>
      <c r="D206" s="172"/>
      <c r="F206" s="172"/>
      <c r="G206" s="172"/>
      <c r="H206" s="172"/>
      <c r="I206" s="172"/>
      <c r="J206" s="172"/>
      <c r="K206" s="172"/>
      <c r="L206" s="172"/>
      <c r="M206" s="172"/>
      <c r="N206" s="172"/>
      <c r="O206" s="172"/>
      <c r="P206" s="172"/>
      <c r="Q206" s="172"/>
      <c r="R206" s="172"/>
      <c r="S206" s="172"/>
    </row>
    <row r="207">
      <c r="A207" s="525"/>
      <c r="B207" s="528"/>
      <c r="C207" s="172"/>
      <c r="D207" s="172"/>
      <c r="F207" s="172"/>
      <c r="G207" s="172"/>
      <c r="H207" s="172"/>
      <c r="I207" s="172"/>
      <c r="J207" s="172"/>
      <c r="K207" s="172"/>
      <c r="L207" s="172"/>
      <c r="M207" s="172"/>
      <c r="N207" s="172"/>
      <c r="O207" s="172"/>
      <c r="P207" s="172"/>
      <c r="Q207" s="172"/>
      <c r="R207" s="172"/>
      <c r="S207" s="172"/>
    </row>
    <row r="208">
      <c r="A208" s="525"/>
      <c r="B208" s="528"/>
      <c r="C208" s="172"/>
      <c r="D208" s="172"/>
      <c r="F208" s="172"/>
      <c r="G208" s="172"/>
      <c r="H208" s="172"/>
      <c r="I208" s="172"/>
      <c r="J208" s="172"/>
      <c r="K208" s="172"/>
      <c r="L208" s="172"/>
      <c r="M208" s="172"/>
      <c r="N208" s="172"/>
      <c r="O208" s="172"/>
      <c r="P208" s="172"/>
      <c r="Q208" s="172"/>
      <c r="R208" s="172"/>
      <c r="S208" s="172"/>
    </row>
    <row r="209">
      <c r="A209" s="525"/>
      <c r="B209" s="528"/>
      <c r="C209" s="172"/>
      <c r="D209" s="172"/>
      <c r="F209" s="172"/>
      <c r="G209" s="172"/>
      <c r="H209" s="172"/>
      <c r="I209" s="172"/>
      <c r="J209" s="172"/>
      <c r="K209" s="172"/>
      <c r="L209" s="172"/>
      <c r="M209" s="172"/>
      <c r="N209" s="172"/>
      <c r="O209" s="172"/>
      <c r="P209" s="172"/>
      <c r="Q209" s="172"/>
      <c r="R209" s="172"/>
      <c r="S209" s="172"/>
    </row>
    <row r="210">
      <c r="A210" s="525"/>
      <c r="B210" s="528"/>
      <c r="C210" s="172"/>
      <c r="D210" s="172"/>
      <c r="F210" s="172"/>
      <c r="G210" s="172"/>
      <c r="H210" s="172"/>
      <c r="I210" s="172"/>
      <c r="J210" s="172"/>
      <c r="K210" s="172"/>
      <c r="L210" s="172"/>
      <c r="M210" s="172"/>
      <c r="N210" s="172"/>
      <c r="O210" s="172"/>
      <c r="P210" s="172"/>
      <c r="Q210" s="172"/>
      <c r="R210" s="172"/>
      <c r="S210" s="172"/>
    </row>
    <row r="211">
      <c r="A211" s="525"/>
      <c r="B211" s="528"/>
      <c r="C211" s="172"/>
      <c r="D211" s="172"/>
      <c r="F211" s="172"/>
      <c r="G211" s="172"/>
      <c r="H211" s="172"/>
      <c r="I211" s="172"/>
      <c r="J211" s="172"/>
      <c r="K211" s="172"/>
      <c r="L211" s="172"/>
      <c r="M211" s="172"/>
      <c r="N211" s="172"/>
      <c r="O211" s="172"/>
      <c r="P211" s="172"/>
      <c r="Q211" s="172"/>
      <c r="R211" s="172"/>
      <c r="S211" s="172"/>
    </row>
    <row r="212">
      <c r="A212" s="525"/>
      <c r="B212" s="528"/>
      <c r="C212" s="172"/>
      <c r="D212" s="172"/>
      <c r="F212" s="172"/>
      <c r="G212" s="172"/>
      <c r="H212" s="172"/>
      <c r="I212" s="172"/>
      <c r="J212" s="172"/>
      <c r="K212" s="172"/>
      <c r="L212" s="172"/>
      <c r="M212" s="172"/>
      <c r="N212" s="172"/>
      <c r="O212" s="172"/>
      <c r="P212" s="172"/>
      <c r="Q212" s="172"/>
      <c r="R212" s="172"/>
      <c r="S212" s="172"/>
    </row>
    <row r="213">
      <c r="A213" s="525"/>
      <c r="B213" s="528"/>
      <c r="C213" s="172"/>
      <c r="D213" s="172"/>
      <c r="F213" s="172"/>
      <c r="G213" s="172"/>
      <c r="H213" s="172"/>
      <c r="I213" s="172"/>
      <c r="J213" s="172"/>
      <c r="K213" s="172"/>
      <c r="L213" s="172"/>
      <c r="M213" s="172"/>
      <c r="N213" s="172"/>
      <c r="O213" s="172"/>
      <c r="P213" s="172"/>
      <c r="Q213" s="172"/>
      <c r="R213" s="172"/>
      <c r="S213" s="172"/>
    </row>
    <row r="214">
      <c r="A214" s="525"/>
      <c r="B214" s="528"/>
      <c r="C214" s="172"/>
      <c r="D214" s="172"/>
      <c r="F214" s="172"/>
      <c r="G214" s="172"/>
      <c r="H214" s="172"/>
      <c r="I214" s="172"/>
      <c r="J214" s="172"/>
      <c r="K214" s="172"/>
      <c r="L214" s="172"/>
      <c r="M214" s="172"/>
      <c r="N214" s="172"/>
      <c r="O214" s="172"/>
      <c r="P214" s="172"/>
      <c r="Q214" s="172"/>
      <c r="R214" s="172"/>
      <c r="S214" s="172"/>
    </row>
    <row r="215">
      <c r="A215" s="525"/>
      <c r="B215" s="528"/>
      <c r="C215" s="172"/>
      <c r="D215" s="172"/>
      <c r="F215" s="172"/>
      <c r="G215" s="172"/>
      <c r="H215" s="172"/>
      <c r="I215" s="172"/>
      <c r="J215" s="172"/>
      <c r="K215" s="172"/>
      <c r="L215" s="172"/>
      <c r="M215" s="172"/>
      <c r="N215" s="172"/>
      <c r="O215" s="172"/>
      <c r="P215" s="172"/>
      <c r="Q215" s="172"/>
      <c r="R215" s="172"/>
      <c r="S215" s="172"/>
    </row>
    <row r="216">
      <c r="A216" s="525"/>
      <c r="B216" s="528"/>
      <c r="C216" s="172"/>
      <c r="D216" s="172"/>
      <c r="F216" s="172"/>
      <c r="G216" s="172"/>
      <c r="H216" s="172"/>
      <c r="I216" s="172"/>
      <c r="J216" s="172"/>
      <c r="K216" s="172"/>
      <c r="L216" s="172"/>
      <c r="M216" s="172"/>
      <c r="N216" s="172"/>
      <c r="O216" s="172"/>
      <c r="P216" s="172"/>
      <c r="Q216" s="172"/>
      <c r="R216" s="172"/>
      <c r="S216" s="172"/>
    </row>
    <row r="217">
      <c r="A217" s="525"/>
      <c r="B217" s="528"/>
      <c r="C217" s="172"/>
      <c r="D217" s="172"/>
      <c r="F217" s="172"/>
      <c r="G217" s="172"/>
      <c r="H217" s="172"/>
      <c r="I217" s="172"/>
      <c r="J217" s="172"/>
      <c r="K217" s="172"/>
      <c r="L217" s="172"/>
      <c r="M217" s="172"/>
      <c r="N217" s="172"/>
      <c r="O217" s="172"/>
      <c r="P217" s="172"/>
      <c r="Q217" s="172"/>
      <c r="R217" s="172"/>
      <c r="S217" s="172"/>
    </row>
    <row r="218">
      <c r="A218" s="525"/>
      <c r="B218" s="528"/>
      <c r="C218" s="172"/>
      <c r="D218" s="172"/>
      <c r="F218" s="172"/>
      <c r="G218" s="172"/>
      <c r="H218" s="172"/>
      <c r="I218" s="172"/>
      <c r="J218" s="172"/>
      <c r="K218" s="172"/>
      <c r="L218" s="172"/>
      <c r="M218" s="172"/>
      <c r="N218" s="172"/>
      <c r="O218" s="172"/>
      <c r="P218" s="172"/>
      <c r="Q218" s="172"/>
      <c r="R218" s="172"/>
      <c r="S218" s="172"/>
    </row>
    <row r="219">
      <c r="A219" s="525"/>
      <c r="B219" s="528"/>
      <c r="C219" s="172"/>
      <c r="D219" s="172"/>
      <c r="F219" s="172"/>
      <c r="G219" s="172"/>
      <c r="H219" s="172"/>
      <c r="I219" s="172"/>
      <c r="J219" s="172"/>
      <c r="K219" s="172"/>
      <c r="L219" s="172"/>
      <c r="M219" s="172"/>
      <c r="N219" s="172"/>
      <c r="O219" s="172"/>
      <c r="P219" s="172"/>
      <c r="Q219" s="172"/>
      <c r="R219" s="172"/>
      <c r="S219" s="172"/>
    </row>
    <row r="220">
      <c r="A220" s="525"/>
      <c r="B220" s="528"/>
      <c r="C220" s="172"/>
      <c r="D220" s="172"/>
      <c r="F220" s="172"/>
      <c r="G220" s="172"/>
      <c r="H220" s="172"/>
      <c r="I220" s="172"/>
      <c r="J220" s="172"/>
      <c r="K220" s="172"/>
      <c r="L220" s="172"/>
      <c r="M220" s="172"/>
      <c r="N220" s="172"/>
      <c r="O220" s="172"/>
      <c r="P220" s="172"/>
      <c r="Q220" s="172"/>
      <c r="R220" s="172"/>
      <c r="S220" s="172"/>
    </row>
    <row r="221">
      <c r="A221" s="525"/>
      <c r="B221" s="528"/>
      <c r="C221" s="172"/>
      <c r="D221" s="172"/>
      <c r="F221" s="172"/>
      <c r="G221" s="172"/>
      <c r="H221" s="172"/>
      <c r="I221" s="172"/>
      <c r="J221" s="172"/>
      <c r="K221" s="172"/>
      <c r="L221" s="172"/>
      <c r="M221" s="172"/>
      <c r="N221" s="172"/>
      <c r="O221" s="172"/>
      <c r="P221" s="172"/>
      <c r="Q221" s="172"/>
      <c r="R221" s="172"/>
      <c r="S221" s="172"/>
    </row>
    <row r="222">
      <c r="A222" s="525"/>
      <c r="B222" s="528"/>
      <c r="C222" s="172"/>
      <c r="D222" s="172"/>
      <c r="F222" s="172"/>
      <c r="G222" s="172"/>
      <c r="H222" s="172"/>
      <c r="I222" s="172"/>
      <c r="J222" s="172"/>
      <c r="K222" s="172"/>
      <c r="L222" s="172"/>
      <c r="M222" s="172"/>
      <c r="N222" s="172"/>
      <c r="O222" s="172"/>
      <c r="P222" s="172"/>
      <c r="Q222" s="172"/>
      <c r="R222" s="172"/>
      <c r="S222" s="172"/>
    </row>
    <row r="223">
      <c r="A223" s="525"/>
      <c r="B223" s="528"/>
      <c r="C223" s="172"/>
      <c r="D223" s="172"/>
      <c r="F223" s="172"/>
      <c r="G223" s="172"/>
      <c r="H223" s="172"/>
      <c r="I223" s="172"/>
      <c r="J223" s="172"/>
      <c r="K223" s="172"/>
      <c r="L223" s="172"/>
      <c r="M223" s="172"/>
      <c r="N223" s="172"/>
      <c r="O223" s="172"/>
      <c r="P223" s="172"/>
      <c r="Q223" s="172"/>
      <c r="R223" s="172"/>
      <c r="S223" s="172"/>
    </row>
    <row r="224">
      <c r="A224" s="525"/>
      <c r="B224" s="528"/>
      <c r="C224" s="172"/>
      <c r="D224" s="172"/>
      <c r="F224" s="172"/>
      <c r="G224" s="172"/>
      <c r="H224" s="172"/>
      <c r="I224" s="172"/>
      <c r="J224" s="172"/>
      <c r="K224" s="172"/>
      <c r="L224" s="172"/>
      <c r="M224" s="172"/>
      <c r="N224" s="172"/>
      <c r="O224" s="172"/>
      <c r="P224" s="172"/>
      <c r="Q224" s="172"/>
      <c r="R224" s="172"/>
      <c r="S224" s="172"/>
    </row>
    <row r="225">
      <c r="A225" s="525"/>
      <c r="B225" s="528"/>
      <c r="C225" s="172"/>
      <c r="D225" s="172"/>
      <c r="F225" s="172"/>
      <c r="G225" s="172"/>
      <c r="H225" s="172"/>
      <c r="I225" s="172"/>
      <c r="J225" s="172"/>
      <c r="K225" s="172"/>
      <c r="L225" s="172"/>
      <c r="M225" s="172"/>
      <c r="N225" s="172"/>
      <c r="O225" s="172"/>
      <c r="P225" s="172"/>
      <c r="Q225" s="172"/>
      <c r="R225" s="172"/>
      <c r="S225" s="172"/>
    </row>
    <row r="226">
      <c r="A226" s="525"/>
      <c r="B226" s="528"/>
      <c r="C226" s="172"/>
      <c r="D226" s="172"/>
      <c r="F226" s="172"/>
      <c r="G226" s="172"/>
      <c r="H226" s="172"/>
      <c r="I226" s="172"/>
      <c r="J226" s="172"/>
      <c r="K226" s="172"/>
      <c r="L226" s="172"/>
      <c r="M226" s="172"/>
      <c r="N226" s="172"/>
      <c r="O226" s="172"/>
      <c r="P226" s="172"/>
      <c r="Q226" s="172"/>
      <c r="R226" s="172"/>
      <c r="S226" s="172"/>
    </row>
    <row r="227">
      <c r="A227" s="525"/>
      <c r="B227" s="528"/>
      <c r="C227" s="172"/>
      <c r="D227" s="172"/>
      <c r="F227" s="172"/>
      <c r="G227" s="172"/>
      <c r="H227" s="172"/>
      <c r="I227" s="172"/>
      <c r="J227" s="172"/>
      <c r="K227" s="172"/>
      <c r="L227" s="172"/>
      <c r="M227" s="172"/>
      <c r="N227" s="172"/>
      <c r="O227" s="172"/>
      <c r="P227" s="172"/>
      <c r="Q227" s="172"/>
      <c r="R227" s="172"/>
      <c r="S227" s="172"/>
    </row>
    <row r="228">
      <c r="A228" s="525"/>
      <c r="B228" s="528"/>
      <c r="C228" s="172"/>
      <c r="D228" s="172"/>
      <c r="F228" s="172"/>
      <c r="G228" s="172"/>
      <c r="H228" s="172"/>
      <c r="I228" s="172"/>
      <c r="J228" s="172"/>
      <c r="K228" s="172"/>
      <c r="L228" s="172"/>
      <c r="M228" s="172"/>
      <c r="N228" s="172"/>
      <c r="O228" s="172"/>
      <c r="P228" s="172"/>
      <c r="Q228" s="172"/>
      <c r="R228" s="172"/>
      <c r="S228" s="172"/>
    </row>
    <row r="229">
      <c r="A229" s="525"/>
      <c r="B229" s="528"/>
      <c r="C229" s="172"/>
      <c r="D229" s="172"/>
      <c r="F229" s="172"/>
      <c r="G229" s="172"/>
      <c r="H229" s="172"/>
      <c r="I229" s="172"/>
      <c r="J229" s="172"/>
      <c r="K229" s="172"/>
      <c r="L229" s="172"/>
      <c r="M229" s="172"/>
      <c r="N229" s="172"/>
      <c r="O229" s="172"/>
      <c r="P229" s="172"/>
      <c r="Q229" s="172"/>
      <c r="R229" s="172"/>
      <c r="S229" s="172"/>
    </row>
    <row r="230">
      <c r="A230" s="525"/>
      <c r="B230" s="528"/>
      <c r="C230" s="172"/>
      <c r="D230" s="172"/>
      <c r="F230" s="172"/>
      <c r="G230" s="172"/>
      <c r="H230" s="172"/>
      <c r="I230" s="172"/>
      <c r="J230" s="172"/>
      <c r="K230" s="172"/>
      <c r="L230" s="172"/>
      <c r="M230" s="172"/>
      <c r="N230" s="172"/>
      <c r="O230" s="172"/>
      <c r="P230" s="172"/>
      <c r="Q230" s="172"/>
      <c r="R230" s="172"/>
      <c r="S230" s="172"/>
    </row>
    <row r="231">
      <c r="A231" s="525"/>
      <c r="B231" s="528"/>
      <c r="C231" s="172"/>
      <c r="D231" s="172"/>
      <c r="F231" s="172"/>
      <c r="G231" s="172"/>
      <c r="H231" s="172"/>
      <c r="I231" s="172"/>
      <c r="J231" s="172"/>
      <c r="K231" s="172"/>
      <c r="L231" s="172"/>
      <c r="M231" s="172"/>
      <c r="N231" s="172"/>
      <c r="O231" s="172"/>
      <c r="P231" s="172"/>
      <c r="Q231" s="172"/>
      <c r="R231" s="172"/>
      <c r="S231" s="172"/>
    </row>
    <row r="232">
      <c r="A232" s="525"/>
      <c r="B232" s="528"/>
      <c r="C232" s="172"/>
      <c r="D232" s="172"/>
      <c r="F232" s="172"/>
      <c r="G232" s="172"/>
      <c r="H232" s="172"/>
      <c r="I232" s="172"/>
      <c r="J232" s="172"/>
      <c r="K232" s="172"/>
      <c r="L232" s="172"/>
      <c r="M232" s="172"/>
      <c r="N232" s="172"/>
      <c r="O232" s="172"/>
      <c r="P232" s="172"/>
      <c r="Q232" s="172"/>
      <c r="R232" s="172"/>
      <c r="S232" s="172"/>
    </row>
    <row r="233">
      <c r="A233" s="525"/>
      <c r="B233" s="528"/>
      <c r="C233" s="172"/>
      <c r="D233" s="172"/>
      <c r="F233" s="172"/>
      <c r="G233" s="172"/>
      <c r="H233" s="172"/>
      <c r="I233" s="172"/>
      <c r="J233" s="172"/>
      <c r="K233" s="172"/>
      <c r="L233" s="172"/>
      <c r="M233" s="172"/>
      <c r="N233" s="172"/>
      <c r="O233" s="172"/>
      <c r="P233" s="172"/>
      <c r="Q233" s="172"/>
      <c r="R233" s="172"/>
      <c r="S233" s="172"/>
    </row>
    <row r="234">
      <c r="A234" s="525"/>
      <c r="B234" s="528"/>
      <c r="C234" s="172"/>
      <c r="D234" s="172"/>
      <c r="F234" s="172"/>
      <c r="G234" s="172"/>
      <c r="H234" s="172"/>
      <c r="I234" s="172"/>
      <c r="J234" s="172"/>
      <c r="K234" s="172"/>
      <c r="L234" s="172"/>
      <c r="M234" s="172"/>
      <c r="N234" s="172"/>
      <c r="O234" s="172"/>
      <c r="P234" s="172"/>
      <c r="Q234" s="172"/>
      <c r="R234" s="172"/>
      <c r="S234" s="172"/>
    </row>
    <row r="235">
      <c r="A235" s="525"/>
      <c r="B235" s="528"/>
      <c r="C235" s="172"/>
      <c r="D235" s="172"/>
      <c r="F235" s="172"/>
      <c r="G235" s="172"/>
      <c r="H235" s="172"/>
      <c r="I235" s="172"/>
      <c r="J235" s="172"/>
      <c r="K235" s="172"/>
      <c r="L235" s="172"/>
      <c r="M235" s="172"/>
      <c r="N235" s="172"/>
      <c r="O235" s="172"/>
      <c r="P235" s="172"/>
      <c r="Q235" s="172"/>
      <c r="R235" s="172"/>
      <c r="S235" s="172"/>
    </row>
    <row r="236">
      <c r="A236" s="525"/>
      <c r="B236" s="528"/>
      <c r="C236" s="172"/>
      <c r="D236" s="172"/>
      <c r="F236" s="172"/>
      <c r="G236" s="172"/>
      <c r="H236" s="172"/>
      <c r="I236" s="172"/>
      <c r="J236" s="172"/>
      <c r="K236" s="172"/>
      <c r="L236" s="172"/>
      <c r="M236" s="172"/>
      <c r="N236" s="172"/>
      <c r="O236" s="172"/>
      <c r="P236" s="172"/>
      <c r="Q236" s="172"/>
      <c r="R236" s="172"/>
      <c r="S236" s="172"/>
    </row>
    <row r="237">
      <c r="A237" s="525"/>
      <c r="B237" s="528"/>
      <c r="C237" s="172"/>
      <c r="D237" s="172"/>
      <c r="F237" s="172"/>
      <c r="G237" s="172"/>
      <c r="H237" s="172"/>
      <c r="I237" s="172"/>
      <c r="J237" s="172"/>
      <c r="K237" s="172"/>
      <c r="L237" s="172"/>
      <c r="M237" s="172"/>
      <c r="N237" s="172"/>
      <c r="O237" s="172"/>
      <c r="P237" s="172"/>
      <c r="Q237" s="172"/>
      <c r="R237" s="172"/>
      <c r="S237" s="172"/>
    </row>
    <row r="238">
      <c r="A238" s="525"/>
      <c r="B238" s="528"/>
      <c r="C238" s="172"/>
      <c r="D238" s="172"/>
      <c r="F238" s="172"/>
      <c r="G238" s="172"/>
      <c r="H238" s="172"/>
      <c r="I238" s="172"/>
      <c r="J238" s="172"/>
      <c r="K238" s="172"/>
      <c r="L238" s="172"/>
      <c r="M238" s="172"/>
      <c r="N238" s="172"/>
      <c r="O238" s="172"/>
      <c r="P238" s="172"/>
      <c r="Q238" s="172"/>
      <c r="R238" s="172"/>
      <c r="S238" s="172"/>
    </row>
    <row r="239">
      <c r="A239" s="525"/>
      <c r="B239" s="528"/>
      <c r="C239" s="172"/>
      <c r="D239" s="172"/>
      <c r="F239" s="172"/>
      <c r="G239" s="172"/>
      <c r="H239" s="172"/>
      <c r="I239" s="172"/>
      <c r="J239" s="172"/>
      <c r="K239" s="172"/>
      <c r="L239" s="172"/>
      <c r="M239" s="172"/>
      <c r="N239" s="172"/>
      <c r="O239" s="172"/>
      <c r="P239" s="172"/>
      <c r="Q239" s="172"/>
      <c r="R239" s="172"/>
      <c r="S239" s="172"/>
    </row>
    <row r="240">
      <c r="A240" s="525"/>
      <c r="B240" s="528"/>
      <c r="C240" s="172"/>
      <c r="D240" s="172"/>
      <c r="F240" s="172"/>
      <c r="G240" s="172"/>
      <c r="H240" s="172"/>
      <c r="I240" s="172"/>
      <c r="J240" s="172"/>
      <c r="K240" s="172"/>
      <c r="L240" s="172"/>
      <c r="M240" s="172"/>
      <c r="N240" s="172"/>
      <c r="O240" s="172"/>
      <c r="P240" s="172"/>
      <c r="Q240" s="172"/>
      <c r="R240" s="172"/>
      <c r="S240" s="172"/>
    </row>
    <row r="241">
      <c r="A241" s="525"/>
      <c r="B241" s="528"/>
      <c r="C241" s="172"/>
      <c r="D241" s="172"/>
      <c r="F241" s="172"/>
      <c r="G241" s="172"/>
      <c r="H241" s="172"/>
      <c r="I241" s="172"/>
      <c r="J241" s="172"/>
      <c r="K241" s="172"/>
      <c r="L241" s="172"/>
      <c r="M241" s="172"/>
      <c r="N241" s="172"/>
      <c r="O241" s="172"/>
      <c r="P241" s="172"/>
      <c r="Q241" s="172"/>
      <c r="R241" s="172"/>
      <c r="S241" s="172"/>
    </row>
    <row r="242">
      <c r="A242" s="525"/>
      <c r="B242" s="528"/>
      <c r="C242" s="172"/>
      <c r="D242" s="172"/>
      <c r="F242" s="172"/>
      <c r="G242" s="172"/>
      <c r="H242" s="172"/>
      <c r="I242" s="172"/>
      <c r="J242" s="172"/>
      <c r="K242" s="172"/>
      <c r="L242" s="172"/>
      <c r="M242" s="172"/>
      <c r="N242" s="172"/>
      <c r="O242" s="172"/>
      <c r="P242" s="172"/>
      <c r="Q242" s="172"/>
      <c r="R242" s="172"/>
      <c r="S242" s="172"/>
    </row>
    <row r="243">
      <c r="A243" s="525"/>
      <c r="B243" s="528"/>
      <c r="C243" s="172"/>
      <c r="D243" s="172"/>
      <c r="F243" s="172"/>
      <c r="G243" s="172"/>
      <c r="H243" s="172"/>
      <c r="I243" s="172"/>
      <c r="J243" s="172"/>
      <c r="K243" s="172"/>
      <c r="L243" s="172"/>
      <c r="M243" s="172"/>
      <c r="N243" s="172"/>
      <c r="O243" s="172"/>
      <c r="P243" s="172"/>
      <c r="Q243" s="172"/>
      <c r="R243" s="172"/>
      <c r="S243" s="172"/>
    </row>
    <row r="244">
      <c r="A244" s="525"/>
      <c r="B244" s="528"/>
      <c r="C244" s="172"/>
      <c r="D244" s="172"/>
      <c r="F244" s="172"/>
      <c r="G244" s="172"/>
      <c r="H244" s="172"/>
      <c r="I244" s="172"/>
      <c r="J244" s="172"/>
      <c r="K244" s="172"/>
      <c r="L244" s="172"/>
      <c r="M244" s="172"/>
      <c r="N244" s="172"/>
      <c r="O244" s="172"/>
      <c r="P244" s="172"/>
      <c r="Q244" s="172"/>
      <c r="R244" s="172"/>
      <c r="S244" s="172"/>
    </row>
    <row r="245">
      <c r="A245" s="525"/>
      <c r="B245" s="528"/>
      <c r="C245" s="172"/>
      <c r="D245" s="172"/>
      <c r="F245" s="172"/>
      <c r="G245" s="172"/>
      <c r="H245" s="172"/>
      <c r="I245" s="172"/>
      <c r="J245" s="172"/>
      <c r="K245" s="172"/>
      <c r="L245" s="172"/>
      <c r="M245" s="172"/>
      <c r="N245" s="172"/>
      <c r="O245" s="172"/>
      <c r="P245" s="172"/>
      <c r="Q245" s="172"/>
      <c r="R245" s="172"/>
      <c r="S245" s="172"/>
    </row>
    <row r="246">
      <c r="A246" s="525"/>
      <c r="B246" s="528"/>
      <c r="C246" s="172"/>
      <c r="D246" s="172"/>
      <c r="F246" s="172"/>
      <c r="G246" s="172"/>
      <c r="H246" s="172"/>
      <c r="I246" s="172"/>
      <c r="J246" s="172"/>
      <c r="K246" s="172"/>
      <c r="L246" s="172"/>
      <c r="M246" s="172"/>
      <c r="N246" s="172"/>
      <c r="O246" s="172"/>
      <c r="P246" s="172"/>
      <c r="Q246" s="172"/>
      <c r="R246" s="172"/>
      <c r="S246" s="172"/>
    </row>
    <row r="247">
      <c r="A247" s="525"/>
      <c r="B247" s="528"/>
      <c r="C247" s="172"/>
      <c r="D247" s="172"/>
      <c r="F247" s="172"/>
      <c r="G247" s="172"/>
      <c r="H247" s="172"/>
      <c r="I247" s="172"/>
      <c r="J247" s="172"/>
      <c r="K247" s="172"/>
      <c r="L247" s="172"/>
      <c r="M247" s="172"/>
      <c r="N247" s="172"/>
      <c r="O247" s="172"/>
      <c r="P247" s="172"/>
      <c r="Q247" s="172"/>
      <c r="R247" s="172"/>
      <c r="S247" s="172"/>
    </row>
    <row r="248">
      <c r="A248" s="525"/>
      <c r="B248" s="528"/>
      <c r="C248" s="172"/>
      <c r="D248" s="172"/>
      <c r="F248" s="172"/>
      <c r="G248" s="172"/>
      <c r="H248" s="172"/>
      <c r="I248" s="172"/>
      <c r="J248" s="172"/>
      <c r="K248" s="172"/>
      <c r="L248" s="172"/>
      <c r="M248" s="172"/>
      <c r="N248" s="172"/>
      <c r="O248" s="172"/>
      <c r="P248" s="172"/>
      <c r="Q248" s="172"/>
      <c r="R248" s="172"/>
      <c r="S248" s="172"/>
    </row>
    <row r="249">
      <c r="A249" s="525"/>
      <c r="B249" s="528"/>
      <c r="C249" s="172"/>
      <c r="D249" s="172"/>
      <c r="F249" s="172"/>
      <c r="G249" s="172"/>
      <c r="H249" s="172"/>
      <c r="I249" s="172"/>
      <c r="J249" s="172"/>
      <c r="K249" s="172"/>
      <c r="L249" s="172"/>
      <c r="M249" s="172"/>
      <c r="N249" s="172"/>
      <c r="O249" s="172"/>
      <c r="P249" s="172"/>
      <c r="Q249" s="172"/>
      <c r="R249" s="172"/>
      <c r="S249" s="172"/>
    </row>
    <row r="250">
      <c r="A250" s="525"/>
      <c r="B250" s="528"/>
      <c r="C250" s="172"/>
      <c r="D250" s="172"/>
      <c r="F250" s="172"/>
      <c r="G250" s="172"/>
      <c r="H250" s="172"/>
      <c r="I250" s="172"/>
      <c r="J250" s="172"/>
      <c r="K250" s="172"/>
      <c r="L250" s="172"/>
      <c r="M250" s="172"/>
      <c r="N250" s="172"/>
      <c r="O250" s="172"/>
      <c r="P250" s="172"/>
      <c r="Q250" s="172"/>
      <c r="R250" s="172"/>
      <c r="S250" s="172"/>
    </row>
    <row r="251">
      <c r="A251" s="525"/>
      <c r="B251" s="528"/>
      <c r="C251" s="172"/>
      <c r="D251" s="172"/>
      <c r="F251" s="172"/>
      <c r="G251" s="172"/>
      <c r="H251" s="172"/>
      <c r="I251" s="172"/>
      <c r="J251" s="172"/>
      <c r="K251" s="172"/>
      <c r="L251" s="172"/>
      <c r="M251" s="172"/>
      <c r="N251" s="172"/>
      <c r="O251" s="172"/>
      <c r="P251" s="172"/>
      <c r="Q251" s="172"/>
      <c r="R251" s="172"/>
      <c r="S251" s="172"/>
    </row>
    <row r="252">
      <c r="A252" s="525"/>
      <c r="B252" s="528"/>
      <c r="C252" s="172"/>
      <c r="D252" s="172"/>
      <c r="F252" s="172"/>
      <c r="G252" s="172"/>
      <c r="H252" s="172"/>
      <c r="I252" s="172"/>
      <c r="J252" s="172"/>
      <c r="K252" s="172"/>
      <c r="L252" s="172"/>
      <c r="M252" s="172"/>
      <c r="N252" s="172"/>
      <c r="O252" s="172"/>
      <c r="P252" s="172"/>
      <c r="Q252" s="172"/>
      <c r="R252" s="172"/>
      <c r="S252" s="172"/>
    </row>
    <row r="253">
      <c r="A253" s="525"/>
      <c r="B253" s="528"/>
      <c r="C253" s="172"/>
      <c r="D253" s="172"/>
      <c r="F253" s="172"/>
      <c r="G253" s="172"/>
      <c r="H253" s="172"/>
      <c r="I253" s="172"/>
      <c r="J253" s="172"/>
      <c r="K253" s="172"/>
      <c r="L253" s="172"/>
      <c r="M253" s="172"/>
      <c r="N253" s="172"/>
      <c r="O253" s="172"/>
      <c r="P253" s="172"/>
      <c r="Q253" s="172"/>
      <c r="R253" s="172"/>
      <c r="S253" s="172"/>
    </row>
    <row r="254">
      <c r="A254" s="525"/>
      <c r="B254" s="528"/>
      <c r="C254" s="172"/>
      <c r="D254" s="172"/>
      <c r="F254" s="172"/>
      <c r="G254" s="172"/>
      <c r="H254" s="172"/>
      <c r="I254" s="172"/>
      <c r="J254" s="172"/>
      <c r="K254" s="172"/>
      <c r="L254" s="172"/>
      <c r="M254" s="172"/>
      <c r="N254" s="172"/>
      <c r="O254" s="172"/>
      <c r="P254" s="172"/>
      <c r="Q254" s="172"/>
      <c r="R254" s="172"/>
      <c r="S254" s="172"/>
    </row>
    <row r="255">
      <c r="A255" s="525"/>
      <c r="B255" s="528"/>
      <c r="C255" s="172"/>
      <c r="D255" s="172"/>
      <c r="F255" s="172"/>
      <c r="G255" s="172"/>
      <c r="H255" s="172"/>
      <c r="I255" s="172"/>
      <c r="J255" s="172"/>
      <c r="K255" s="172"/>
      <c r="L255" s="172"/>
      <c r="M255" s="172"/>
      <c r="N255" s="172"/>
      <c r="O255" s="172"/>
      <c r="P255" s="172"/>
      <c r="Q255" s="172"/>
      <c r="R255" s="172"/>
      <c r="S255" s="172"/>
    </row>
    <row r="256">
      <c r="A256" s="525"/>
      <c r="B256" s="528"/>
      <c r="C256" s="172"/>
      <c r="D256" s="172"/>
      <c r="F256" s="172"/>
      <c r="G256" s="172"/>
      <c r="H256" s="172"/>
      <c r="I256" s="172"/>
      <c r="J256" s="172"/>
      <c r="K256" s="172"/>
      <c r="L256" s="172"/>
      <c r="M256" s="172"/>
      <c r="N256" s="172"/>
      <c r="O256" s="172"/>
      <c r="P256" s="172"/>
      <c r="Q256" s="172"/>
      <c r="R256" s="172"/>
      <c r="S256" s="172"/>
    </row>
    <row r="257">
      <c r="A257" s="525"/>
      <c r="B257" s="528"/>
      <c r="C257" s="172"/>
      <c r="D257" s="172"/>
      <c r="F257" s="172"/>
      <c r="G257" s="172"/>
      <c r="H257" s="172"/>
      <c r="I257" s="172"/>
      <c r="J257" s="172"/>
      <c r="K257" s="172"/>
      <c r="L257" s="172"/>
      <c r="M257" s="172"/>
      <c r="N257" s="172"/>
      <c r="O257" s="172"/>
      <c r="P257" s="172"/>
      <c r="Q257" s="172"/>
      <c r="R257" s="172"/>
      <c r="S257" s="172"/>
    </row>
    <row r="258">
      <c r="A258" s="525"/>
      <c r="B258" s="528"/>
      <c r="C258" s="172"/>
      <c r="D258" s="172"/>
      <c r="F258" s="172"/>
      <c r="G258" s="172"/>
      <c r="H258" s="172"/>
      <c r="I258" s="172"/>
      <c r="J258" s="172"/>
      <c r="K258" s="172"/>
      <c r="L258" s="172"/>
      <c r="M258" s="172"/>
      <c r="N258" s="172"/>
      <c r="O258" s="172"/>
      <c r="P258" s="172"/>
      <c r="Q258" s="172"/>
      <c r="R258" s="172"/>
      <c r="S258" s="172"/>
    </row>
    <row r="259">
      <c r="A259" s="525"/>
      <c r="B259" s="528"/>
      <c r="C259" s="172"/>
      <c r="D259" s="172"/>
      <c r="F259" s="172"/>
      <c r="G259" s="172"/>
      <c r="H259" s="172"/>
      <c r="I259" s="172"/>
      <c r="J259" s="172"/>
      <c r="K259" s="172"/>
      <c r="L259" s="172"/>
      <c r="M259" s="172"/>
      <c r="N259" s="172"/>
      <c r="O259" s="172"/>
      <c r="P259" s="172"/>
      <c r="Q259" s="172"/>
      <c r="R259" s="172"/>
      <c r="S259" s="172"/>
    </row>
    <row r="260">
      <c r="A260" s="525"/>
      <c r="B260" s="528"/>
      <c r="C260" s="172"/>
      <c r="D260" s="172"/>
      <c r="F260" s="172"/>
      <c r="G260" s="172"/>
      <c r="H260" s="172"/>
      <c r="I260" s="172"/>
      <c r="J260" s="172"/>
      <c r="K260" s="172"/>
      <c r="L260" s="172"/>
      <c r="M260" s="172"/>
      <c r="N260" s="172"/>
      <c r="O260" s="172"/>
      <c r="P260" s="172"/>
      <c r="Q260" s="172"/>
      <c r="R260" s="172"/>
      <c r="S260" s="172"/>
    </row>
    <row r="261">
      <c r="A261" s="525"/>
      <c r="B261" s="528"/>
      <c r="C261" s="172"/>
      <c r="D261" s="172"/>
      <c r="F261" s="172"/>
      <c r="G261" s="172"/>
      <c r="H261" s="172"/>
      <c r="I261" s="172"/>
      <c r="J261" s="172"/>
      <c r="K261" s="172"/>
      <c r="L261" s="172"/>
      <c r="M261" s="172"/>
      <c r="N261" s="172"/>
      <c r="O261" s="172"/>
      <c r="P261" s="172"/>
      <c r="Q261" s="172"/>
      <c r="R261" s="172"/>
      <c r="S261" s="172"/>
    </row>
    <row r="262">
      <c r="A262" s="525"/>
      <c r="B262" s="528"/>
      <c r="C262" s="172"/>
      <c r="D262" s="172"/>
      <c r="F262" s="172"/>
      <c r="G262" s="172"/>
      <c r="H262" s="172"/>
      <c r="I262" s="172"/>
      <c r="J262" s="172"/>
      <c r="K262" s="172"/>
      <c r="L262" s="172"/>
      <c r="M262" s="172"/>
      <c r="N262" s="172"/>
      <c r="O262" s="172"/>
      <c r="P262" s="172"/>
      <c r="Q262" s="172"/>
      <c r="R262" s="172"/>
      <c r="S262" s="172"/>
    </row>
    <row r="263">
      <c r="A263" s="525"/>
      <c r="B263" s="528"/>
      <c r="C263" s="172"/>
      <c r="D263" s="172"/>
      <c r="F263" s="172"/>
      <c r="G263" s="172"/>
      <c r="H263" s="172"/>
      <c r="I263" s="172"/>
      <c r="J263" s="172"/>
      <c r="K263" s="172"/>
      <c r="L263" s="172"/>
      <c r="M263" s="172"/>
      <c r="N263" s="172"/>
      <c r="O263" s="172"/>
      <c r="P263" s="172"/>
      <c r="Q263" s="172"/>
      <c r="R263" s="172"/>
      <c r="S263" s="172"/>
    </row>
    <row r="264">
      <c r="A264" s="525"/>
      <c r="B264" s="528"/>
      <c r="C264" s="172"/>
      <c r="D264" s="172"/>
      <c r="F264" s="172"/>
      <c r="G264" s="172"/>
      <c r="H264" s="172"/>
      <c r="I264" s="172"/>
      <c r="J264" s="172"/>
      <c r="K264" s="172"/>
      <c r="L264" s="172"/>
      <c r="M264" s="172"/>
      <c r="N264" s="172"/>
      <c r="O264" s="172"/>
      <c r="P264" s="172"/>
      <c r="Q264" s="172"/>
      <c r="R264" s="172"/>
      <c r="S264" s="172"/>
    </row>
    <row r="265">
      <c r="A265" s="525"/>
      <c r="B265" s="528"/>
      <c r="C265" s="172"/>
      <c r="D265" s="172"/>
      <c r="F265" s="172"/>
      <c r="G265" s="172"/>
      <c r="H265" s="172"/>
      <c r="I265" s="172"/>
      <c r="J265" s="172"/>
      <c r="K265" s="172"/>
      <c r="L265" s="172"/>
      <c r="M265" s="172"/>
      <c r="N265" s="172"/>
      <c r="O265" s="172"/>
      <c r="P265" s="172"/>
      <c r="Q265" s="172"/>
      <c r="R265" s="172"/>
      <c r="S265" s="172"/>
    </row>
    <row r="266">
      <c r="A266" s="525"/>
      <c r="B266" s="528"/>
      <c r="C266" s="172"/>
      <c r="D266" s="172"/>
      <c r="F266" s="172"/>
      <c r="G266" s="172"/>
      <c r="H266" s="172"/>
      <c r="I266" s="172"/>
      <c r="J266" s="172"/>
      <c r="K266" s="172"/>
      <c r="L266" s="172"/>
      <c r="M266" s="172"/>
      <c r="N266" s="172"/>
      <c r="O266" s="172"/>
      <c r="P266" s="172"/>
      <c r="Q266" s="172"/>
      <c r="R266" s="172"/>
      <c r="S266" s="172"/>
    </row>
    <row r="267">
      <c r="A267" s="525"/>
      <c r="B267" s="528"/>
      <c r="C267" s="172"/>
      <c r="D267" s="172"/>
      <c r="F267" s="172"/>
      <c r="G267" s="172"/>
      <c r="H267" s="172"/>
      <c r="I267" s="172"/>
      <c r="J267" s="172"/>
      <c r="K267" s="172"/>
      <c r="L267" s="172"/>
      <c r="M267" s="172"/>
      <c r="N267" s="172"/>
      <c r="O267" s="172"/>
      <c r="P267" s="172"/>
      <c r="Q267" s="172"/>
      <c r="R267" s="172"/>
      <c r="S267" s="172"/>
    </row>
    <row r="268">
      <c r="A268" s="525"/>
      <c r="B268" s="528"/>
      <c r="C268" s="172"/>
      <c r="D268" s="172"/>
      <c r="F268" s="172"/>
      <c r="G268" s="172"/>
      <c r="H268" s="172"/>
      <c r="I268" s="172"/>
      <c r="J268" s="172"/>
      <c r="K268" s="172"/>
      <c r="L268" s="172"/>
      <c r="M268" s="172"/>
      <c r="N268" s="172"/>
      <c r="O268" s="172"/>
      <c r="P268" s="172"/>
      <c r="Q268" s="172"/>
      <c r="R268" s="172"/>
      <c r="S268" s="172"/>
    </row>
    <row r="269">
      <c r="A269" s="525"/>
      <c r="B269" s="528"/>
      <c r="C269" s="172"/>
      <c r="D269" s="172"/>
      <c r="F269" s="172"/>
      <c r="G269" s="172"/>
      <c r="H269" s="172"/>
      <c r="I269" s="172"/>
      <c r="J269" s="172"/>
      <c r="K269" s="172"/>
      <c r="L269" s="172"/>
      <c r="M269" s="172"/>
      <c r="N269" s="172"/>
      <c r="O269" s="172"/>
      <c r="P269" s="172"/>
      <c r="Q269" s="172"/>
      <c r="R269" s="172"/>
      <c r="S269" s="172"/>
    </row>
    <row r="270">
      <c r="A270" s="525"/>
      <c r="B270" s="528"/>
      <c r="C270" s="172"/>
      <c r="D270" s="172"/>
      <c r="F270" s="172"/>
      <c r="G270" s="172"/>
      <c r="H270" s="172"/>
      <c r="I270" s="172"/>
      <c r="J270" s="172"/>
      <c r="K270" s="172"/>
      <c r="L270" s="172"/>
      <c r="M270" s="172"/>
      <c r="N270" s="172"/>
      <c r="O270" s="172"/>
      <c r="P270" s="172"/>
      <c r="Q270" s="172"/>
      <c r="R270" s="172"/>
      <c r="S270" s="172"/>
    </row>
    <row r="271">
      <c r="A271" s="525"/>
      <c r="B271" s="528"/>
      <c r="C271" s="172"/>
      <c r="D271" s="172"/>
      <c r="F271" s="172"/>
      <c r="G271" s="172"/>
      <c r="H271" s="172"/>
      <c r="I271" s="172"/>
      <c r="J271" s="172"/>
      <c r="K271" s="172"/>
      <c r="L271" s="172"/>
      <c r="M271" s="172"/>
      <c r="N271" s="172"/>
      <c r="O271" s="172"/>
      <c r="P271" s="172"/>
      <c r="Q271" s="172"/>
      <c r="R271" s="172"/>
      <c r="S271" s="172"/>
    </row>
    <row r="272">
      <c r="A272" s="525"/>
      <c r="B272" s="528"/>
      <c r="C272" s="172"/>
      <c r="D272" s="172"/>
      <c r="F272" s="172"/>
      <c r="G272" s="172"/>
      <c r="H272" s="172"/>
      <c r="I272" s="172"/>
      <c r="J272" s="172"/>
      <c r="K272" s="172"/>
      <c r="L272" s="172"/>
      <c r="M272" s="172"/>
      <c r="N272" s="172"/>
      <c r="O272" s="172"/>
      <c r="P272" s="172"/>
      <c r="Q272" s="172"/>
      <c r="R272" s="172"/>
      <c r="S272" s="172"/>
    </row>
    <row r="273">
      <c r="A273" s="525"/>
      <c r="B273" s="528"/>
      <c r="C273" s="172"/>
      <c r="D273" s="172"/>
      <c r="F273" s="172"/>
      <c r="G273" s="172"/>
      <c r="H273" s="172"/>
      <c r="I273" s="172"/>
      <c r="J273" s="172"/>
      <c r="K273" s="172"/>
      <c r="L273" s="172"/>
      <c r="M273" s="172"/>
      <c r="N273" s="172"/>
      <c r="O273" s="172"/>
      <c r="P273" s="172"/>
      <c r="Q273" s="172"/>
      <c r="R273" s="172"/>
      <c r="S273" s="172"/>
    </row>
    <row r="274">
      <c r="A274" s="525"/>
      <c r="B274" s="528"/>
      <c r="C274" s="172"/>
      <c r="D274" s="172"/>
      <c r="F274" s="172"/>
      <c r="G274" s="172"/>
      <c r="H274" s="172"/>
      <c r="I274" s="172"/>
      <c r="J274" s="172"/>
      <c r="K274" s="172"/>
      <c r="L274" s="172"/>
      <c r="M274" s="172"/>
      <c r="N274" s="172"/>
      <c r="O274" s="172"/>
      <c r="P274" s="172"/>
      <c r="Q274" s="172"/>
      <c r="R274" s="172"/>
      <c r="S274" s="172"/>
    </row>
    <row r="275">
      <c r="A275" s="525"/>
      <c r="B275" s="528"/>
      <c r="C275" s="172"/>
      <c r="D275" s="172"/>
      <c r="F275" s="172"/>
      <c r="G275" s="172"/>
      <c r="H275" s="172"/>
      <c r="I275" s="172"/>
      <c r="J275" s="172"/>
      <c r="K275" s="172"/>
      <c r="L275" s="172"/>
      <c r="M275" s="172"/>
      <c r="N275" s="172"/>
      <c r="O275" s="172"/>
      <c r="P275" s="172"/>
      <c r="Q275" s="172"/>
      <c r="R275" s="172"/>
      <c r="S275" s="172"/>
    </row>
    <row r="276">
      <c r="A276" s="525"/>
      <c r="B276" s="528"/>
      <c r="C276" s="172"/>
      <c r="D276" s="172"/>
      <c r="F276" s="172"/>
      <c r="G276" s="172"/>
      <c r="H276" s="172"/>
      <c r="I276" s="172"/>
      <c r="J276" s="172"/>
      <c r="K276" s="172"/>
      <c r="L276" s="172"/>
      <c r="M276" s="172"/>
      <c r="N276" s="172"/>
      <c r="O276" s="172"/>
      <c r="P276" s="172"/>
      <c r="Q276" s="172"/>
      <c r="R276" s="172"/>
      <c r="S276" s="172"/>
    </row>
    <row r="277">
      <c r="A277" s="525"/>
      <c r="B277" s="528"/>
      <c r="C277" s="172"/>
      <c r="D277" s="172"/>
      <c r="F277" s="172"/>
      <c r="G277" s="172"/>
      <c r="H277" s="172"/>
      <c r="I277" s="172"/>
      <c r="J277" s="172"/>
      <c r="K277" s="172"/>
      <c r="L277" s="172"/>
      <c r="M277" s="172"/>
      <c r="N277" s="172"/>
      <c r="O277" s="172"/>
      <c r="P277" s="172"/>
      <c r="Q277" s="172"/>
      <c r="R277" s="172"/>
      <c r="S277" s="172"/>
    </row>
    <row r="278">
      <c r="A278" s="525"/>
      <c r="B278" s="528"/>
      <c r="C278" s="172"/>
      <c r="D278" s="172"/>
      <c r="F278" s="172"/>
      <c r="G278" s="172"/>
      <c r="H278" s="172"/>
      <c r="I278" s="172"/>
      <c r="J278" s="172"/>
      <c r="K278" s="172"/>
      <c r="L278" s="172"/>
      <c r="M278" s="172"/>
      <c r="N278" s="172"/>
      <c r="O278" s="172"/>
      <c r="P278" s="172"/>
      <c r="Q278" s="172"/>
      <c r="R278" s="172"/>
      <c r="S278" s="172"/>
    </row>
    <row r="279">
      <c r="A279" s="525"/>
      <c r="B279" s="528"/>
      <c r="C279" s="172"/>
      <c r="D279" s="172"/>
      <c r="F279" s="172"/>
      <c r="G279" s="172"/>
      <c r="H279" s="172"/>
      <c r="I279" s="172"/>
      <c r="J279" s="172"/>
      <c r="K279" s="172"/>
      <c r="L279" s="172"/>
      <c r="M279" s="172"/>
      <c r="N279" s="172"/>
      <c r="O279" s="172"/>
      <c r="P279" s="172"/>
      <c r="Q279" s="172"/>
      <c r="R279" s="172"/>
      <c r="S279" s="172"/>
    </row>
    <row r="280">
      <c r="A280" s="525"/>
      <c r="B280" s="528"/>
      <c r="C280" s="172"/>
      <c r="D280" s="172"/>
      <c r="F280" s="172"/>
      <c r="G280" s="172"/>
      <c r="H280" s="172"/>
      <c r="I280" s="172"/>
      <c r="J280" s="172"/>
      <c r="K280" s="172"/>
      <c r="L280" s="172"/>
      <c r="M280" s="172"/>
      <c r="N280" s="172"/>
      <c r="O280" s="172"/>
      <c r="P280" s="172"/>
      <c r="Q280" s="172"/>
      <c r="R280" s="172"/>
      <c r="S280" s="172"/>
    </row>
    <row r="281">
      <c r="A281" s="525"/>
      <c r="B281" s="528"/>
      <c r="C281" s="172"/>
      <c r="D281" s="172"/>
      <c r="F281" s="172"/>
      <c r="G281" s="172"/>
      <c r="H281" s="172"/>
      <c r="I281" s="172"/>
      <c r="J281" s="172"/>
      <c r="K281" s="172"/>
      <c r="L281" s="172"/>
      <c r="M281" s="172"/>
      <c r="N281" s="172"/>
      <c r="O281" s="172"/>
      <c r="P281" s="172"/>
      <c r="Q281" s="172"/>
      <c r="R281" s="172"/>
      <c r="S281" s="172"/>
    </row>
    <row r="282">
      <c r="A282" s="525"/>
      <c r="B282" s="528"/>
      <c r="C282" s="172"/>
      <c r="D282" s="172"/>
      <c r="F282" s="172"/>
      <c r="G282" s="172"/>
      <c r="H282" s="172"/>
      <c r="I282" s="172"/>
      <c r="J282" s="172"/>
      <c r="K282" s="172"/>
      <c r="L282" s="172"/>
      <c r="M282" s="172"/>
      <c r="N282" s="172"/>
      <c r="O282" s="172"/>
      <c r="P282" s="172"/>
      <c r="Q282" s="172"/>
      <c r="R282" s="172"/>
      <c r="S282" s="172"/>
    </row>
    <row r="283">
      <c r="A283" s="525"/>
      <c r="B283" s="528"/>
      <c r="C283" s="172"/>
      <c r="D283" s="172"/>
      <c r="F283" s="172"/>
      <c r="G283" s="172"/>
      <c r="H283" s="172"/>
      <c r="I283" s="172"/>
      <c r="J283" s="172"/>
      <c r="K283" s="172"/>
      <c r="L283" s="172"/>
      <c r="M283" s="172"/>
      <c r="N283" s="172"/>
      <c r="O283" s="172"/>
      <c r="P283" s="172"/>
      <c r="Q283" s="172"/>
      <c r="R283" s="172"/>
      <c r="S283" s="172"/>
    </row>
    <row r="284">
      <c r="A284" s="525"/>
      <c r="B284" s="528"/>
      <c r="C284" s="172"/>
      <c r="D284" s="172"/>
      <c r="F284" s="172"/>
      <c r="G284" s="172"/>
      <c r="H284" s="172"/>
      <c r="I284" s="172"/>
      <c r="J284" s="172"/>
      <c r="K284" s="172"/>
      <c r="L284" s="172"/>
      <c r="M284" s="172"/>
      <c r="N284" s="172"/>
      <c r="O284" s="172"/>
      <c r="P284" s="172"/>
      <c r="Q284" s="172"/>
      <c r="R284" s="172"/>
      <c r="S284" s="172"/>
    </row>
    <row r="285">
      <c r="A285" s="525"/>
      <c r="B285" s="528"/>
      <c r="C285" s="172"/>
      <c r="D285" s="172"/>
      <c r="F285" s="172"/>
      <c r="G285" s="172"/>
      <c r="H285" s="172"/>
      <c r="I285" s="172"/>
      <c r="J285" s="172"/>
      <c r="K285" s="172"/>
      <c r="L285" s="172"/>
      <c r="M285" s="172"/>
      <c r="N285" s="172"/>
      <c r="O285" s="172"/>
      <c r="P285" s="172"/>
      <c r="Q285" s="172"/>
      <c r="R285" s="172"/>
      <c r="S285" s="172"/>
    </row>
    <row r="286">
      <c r="A286" s="525"/>
      <c r="B286" s="528"/>
      <c r="C286" s="172"/>
      <c r="D286" s="172"/>
      <c r="F286" s="172"/>
      <c r="G286" s="172"/>
      <c r="H286" s="172"/>
      <c r="I286" s="172"/>
      <c r="J286" s="172"/>
      <c r="K286" s="172"/>
      <c r="L286" s="172"/>
      <c r="M286" s="172"/>
      <c r="N286" s="172"/>
      <c r="O286" s="172"/>
      <c r="P286" s="172"/>
      <c r="Q286" s="172"/>
      <c r="R286" s="172"/>
      <c r="S286" s="172"/>
    </row>
    <row r="287">
      <c r="A287" s="525"/>
      <c r="B287" s="528"/>
      <c r="C287" s="172"/>
      <c r="D287" s="172"/>
      <c r="F287" s="172"/>
      <c r="G287" s="172"/>
      <c r="H287" s="172"/>
      <c r="I287" s="172"/>
      <c r="J287" s="172"/>
      <c r="K287" s="172"/>
      <c r="L287" s="172"/>
      <c r="M287" s="172"/>
      <c r="N287" s="172"/>
      <c r="O287" s="172"/>
      <c r="P287" s="172"/>
      <c r="Q287" s="172"/>
      <c r="R287" s="172"/>
      <c r="S287" s="172"/>
    </row>
    <row r="288">
      <c r="A288" s="525"/>
      <c r="B288" s="528"/>
      <c r="C288" s="172"/>
      <c r="D288" s="172"/>
      <c r="F288" s="172"/>
      <c r="G288" s="172"/>
      <c r="H288" s="172"/>
      <c r="I288" s="172"/>
      <c r="J288" s="172"/>
      <c r="K288" s="172"/>
      <c r="L288" s="172"/>
      <c r="M288" s="172"/>
      <c r="N288" s="172"/>
      <c r="O288" s="172"/>
      <c r="P288" s="172"/>
      <c r="Q288" s="172"/>
      <c r="R288" s="172"/>
      <c r="S288" s="172"/>
    </row>
    <row r="289">
      <c r="A289" s="525"/>
      <c r="B289" s="528"/>
      <c r="C289" s="172"/>
      <c r="D289" s="172"/>
      <c r="F289" s="172"/>
      <c r="G289" s="172"/>
      <c r="H289" s="172"/>
      <c r="I289" s="172"/>
      <c r="J289" s="172"/>
      <c r="K289" s="172"/>
      <c r="L289" s="172"/>
      <c r="M289" s="172"/>
      <c r="N289" s="172"/>
      <c r="O289" s="172"/>
      <c r="P289" s="172"/>
      <c r="Q289" s="172"/>
      <c r="R289" s="172"/>
      <c r="S289" s="172"/>
    </row>
    <row r="290">
      <c r="A290" s="525"/>
      <c r="B290" s="528"/>
      <c r="C290" s="172"/>
      <c r="D290" s="172"/>
      <c r="F290" s="172"/>
      <c r="G290" s="172"/>
      <c r="H290" s="172"/>
      <c r="I290" s="172"/>
      <c r="J290" s="172"/>
      <c r="K290" s="172"/>
      <c r="L290" s="172"/>
      <c r="M290" s="172"/>
      <c r="N290" s="172"/>
      <c r="O290" s="172"/>
      <c r="P290" s="172"/>
      <c r="Q290" s="172"/>
      <c r="R290" s="172"/>
      <c r="S290" s="172"/>
    </row>
    <row r="291">
      <c r="A291" s="525"/>
      <c r="B291" s="528"/>
      <c r="C291" s="172"/>
      <c r="D291" s="172"/>
      <c r="F291" s="172"/>
      <c r="G291" s="172"/>
      <c r="H291" s="172"/>
      <c r="I291" s="172"/>
      <c r="J291" s="172"/>
      <c r="K291" s="172"/>
      <c r="L291" s="172"/>
      <c r="M291" s="172"/>
      <c r="N291" s="172"/>
      <c r="O291" s="172"/>
      <c r="P291" s="172"/>
      <c r="Q291" s="172"/>
      <c r="R291" s="172"/>
      <c r="S291" s="172"/>
    </row>
    <row r="292">
      <c r="A292" s="525"/>
      <c r="B292" s="528"/>
      <c r="C292" s="172"/>
      <c r="D292" s="172"/>
      <c r="F292" s="172"/>
      <c r="G292" s="172"/>
      <c r="H292" s="172"/>
      <c r="I292" s="172"/>
      <c r="J292" s="172"/>
      <c r="K292" s="172"/>
      <c r="L292" s="172"/>
      <c r="M292" s="172"/>
      <c r="N292" s="172"/>
      <c r="O292" s="172"/>
      <c r="P292" s="172"/>
      <c r="Q292" s="172"/>
      <c r="R292" s="172"/>
      <c r="S292" s="172"/>
    </row>
    <row r="293">
      <c r="A293" s="525"/>
      <c r="B293" s="528"/>
      <c r="C293" s="172"/>
      <c r="D293" s="172"/>
      <c r="F293" s="172"/>
      <c r="G293" s="172"/>
      <c r="H293" s="172"/>
      <c r="I293" s="172"/>
      <c r="J293" s="172"/>
      <c r="K293" s="172"/>
      <c r="L293" s="172"/>
      <c r="M293" s="172"/>
      <c r="N293" s="172"/>
      <c r="O293" s="172"/>
      <c r="P293" s="172"/>
      <c r="Q293" s="172"/>
      <c r="R293" s="172"/>
      <c r="S293" s="172"/>
    </row>
    <row r="294">
      <c r="A294" s="525"/>
      <c r="B294" s="528"/>
      <c r="C294" s="172"/>
      <c r="D294" s="172"/>
      <c r="F294" s="172"/>
      <c r="G294" s="172"/>
      <c r="H294" s="172"/>
      <c r="I294" s="172"/>
      <c r="J294" s="172"/>
      <c r="K294" s="172"/>
      <c r="L294" s="172"/>
      <c r="M294" s="172"/>
      <c r="N294" s="172"/>
      <c r="O294" s="172"/>
      <c r="P294" s="172"/>
      <c r="Q294" s="172"/>
      <c r="R294" s="172"/>
      <c r="S294" s="172"/>
    </row>
    <row r="295">
      <c r="A295" s="525"/>
      <c r="B295" s="528"/>
      <c r="C295" s="172"/>
      <c r="D295" s="172"/>
      <c r="F295" s="172"/>
      <c r="G295" s="172"/>
      <c r="H295" s="172"/>
      <c r="I295" s="172"/>
      <c r="J295" s="172"/>
      <c r="K295" s="172"/>
      <c r="L295" s="172"/>
      <c r="M295" s="172"/>
      <c r="N295" s="172"/>
      <c r="O295" s="172"/>
      <c r="P295" s="172"/>
      <c r="Q295" s="172"/>
      <c r="R295" s="172"/>
      <c r="S295" s="172"/>
    </row>
    <row r="296">
      <c r="A296" s="525"/>
      <c r="B296" s="528"/>
      <c r="C296" s="172"/>
      <c r="D296" s="172"/>
      <c r="F296" s="172"/>
      <c r="G296" s="172"/>
      <c r="H296" s="172"/>
      <c r="I296" s="172"/>
      <c r="J296" s="172"/>
      <c r="K296" s="172"/>
      <c r="L296" s="172"/>
      <c r="M296" s="172"/>
      <c r="N296" s="172"/>
      <c r="O296" s="172"/>
      <c r="P296" s="172"/>
      <c r="Q296" s="172"/>
      <c r="R296" s="172"/>
      <c r="S296" s="172"/>
    </row>
    <row r="297">
      <c r="A297" s="525"/>
      <c r="B297" s="528"/>
      <c r="C297" s="172"/>
      <c r="D297" s="172"/>
      <c r="F297" s="172"/>
      <c r="G297" s="172"/>
      <c r="H297" s="172"/>
      <c r="I297" s="172"/>
      <c r="J297" s="172"/>
      <c r="K297" s="172"/>
      <c r="L297" s="172"/>
      <c r="M297" s="172"/>
      <c r="N297" s="172"/>
      <c r="O297" s="172"/>
      <c r="P297" s="172"/>
      <c r="Q297" s="172"/>
      <c r="R297" s="172"/>
      <c r="S297" s="172"/>
    </row>
    <row r="298">
      <c r="A298" s="525"/>
      <c r="B298" s="528"/>
      <c r="C298" s="172"/>
      <c r="D298" s="172"/>
      <c r="F298" s="172"/>
      <c r="G298" s="172"/>
      <c r="H298" s="172"/>
      <c r="I298" s="172"/>
      <c r="J298" s="172"/>
      <c r="K298" s="172"/>
      <c r="L298" s="172"/>
      <c r="M298" s="172"/>
      <c r="N298" s="172"/>
      <c r="O298" s="172"/>
      <c r="P298" s="172"/>
      <c r="Q298" s="172"/>
      <c r="R298" s="172"/>
      <c r="S298" s="172"/>
    </row>
    <row r="299">
      <c r="A299" s="525"/>
      <c r="B299" s="528"/>
      <c r="C299" s="172"/>
      <c r="D299" s="172"/>
      <c r="F299" s="172"/>
      <c r="G299" s="172"/>
      <c r="H299" s="172"/>
      <c r="I299" s="172"/>
      <c r="J299" s="172"/>
      <c r="K299" s="172"/>
      <c r="L299" s="172"/>
      <c r="M299" s="172"/>
      <c r="N299" s="172"/>
      <c r="O299" s="172"/>
      <c r="P299" s="172"/>
      <c r="Q299" s="172"/>
      <c r="R299" s="172"/>
      <c r="S299" s="172"/>
    </row>
    <row r="300">
      <c r="A300" s="525"/>
      <c r="B300" s="528"/>
      <c r="C300" s="172"/>
      <c r="D300" s="172"/>
      <c r="F300" s="172"/>
      <c r="G300" s="172"/>
      <c r="H300" s="172"/>
      <c r="I300" s="172"/>
      <c r="J300" s="172"/>
      <c r="K300" s="172"/>
      <c r="L300" s="172"/>
      <c r="M300" s="172"/>
      <c r="N300" s="172"/>
      <c r="O300" s="172"/>
      <c r="P300" s="172"/>
      <c r="Q300" s="172"/>
      <c r="R300" s="172"/>
      <c r="S300" s="172"/>
    </row>
    <row r="301">
      <c r="A301" s="525"/>
      <c r="B301" s="528"/>
      <c r="C301" s="172"/>
      <c r="D301" s="172"/>
      <c r="F301" s="172"/>
      <c r="G301" s="172"/>
      <c r="H301" s="172"/>
      <c r="I301" s="172"/>
      <c r="J301" s="172"/>
      <c r="K301" s="172"/>
      <c r="L301" s="172"/>
      <c r="M301" s="172"/>
      <c r="N301" s="172"/>
      <c r="O301" s="172"/>
      <c r="P301" s="172"/>
      <c r="Q301" s="172"/>
      <c r="R301" s="172"/>
      <c r="S301" s="172"/>
    </row>
    <row r="302">
      <c r="A302" s="525"/>
      <c r="B302" s="528"/>
      <c r="C302" s="172"/>
      <c r="D302" s="172"/>
      <c r="F302" s="172"/>
      <c r="G302" s="172"/>
      <c r="H302" s="172"/>
      <c r="I302" s="172"/>
      <c r="J302" s="172"/>
      <c r="K302" s="172"/>
      <c r="L302" s="172"/>
      <c r="M302" s="172"/>
      <c r="N302" s="172"/>
      <c r="O302" s="172"/>
      <c r="P302" s="172"/>
      <c r="Q302" s="172"/>
      <c r="R302" s="172"/>
      <c r="S302" s="172"/>
    </row>
    <row r="303">
      <c r="A303" s="525"/>
      <c r="B303" s="528"/>
      <c r="C303" s="172"/>
      <c r="D303" s="172"/>
      <c r="F303" s="172"/>
      <c r="G303" s="172"/>
      <c r="H303" s="172"/>
      <c r="I303" s="172"/>
      <c r="J303" s="172"/>
      <c r="K303" s="172"/>
      <c r="L303" s="172"/>
      <c r="M303" s="172"/>
      <c r="N303" s="172"/>
      <c r="O303" s="172"/>
      <c r="P303" s="172"/>
      <c r="Q303" s="172"/>
      <c r="R303" s="172"/>
      <c r="S303" s="172"/>
    </row>
    <row r="304">
      <c r="A304" s="525"/>
      <c r="B304" s="528"/>
      <c r="C304" s="172"/>
      <c r="D304" s="172"/>
      <c r="F304" s="172"/>
      <c r="G304" s="172"/>
      <c r="H304" s="172"/>
      <c r="I304" s="172"/>
      <c r="J304" s="172"/>
      <c r="K304" s="172"/>
      <c r="L304" s="172"/>
      <c r="M304" s="172"/>
      <c r="N304" s="172"/>
      <c r="O304" s="172"/>
      <c r="P304" s="172"/>
      <c r="Q304" s="172"/>
      <c r="R304" s="172"/>
      <c r="S304" s="172"/>
    </row>
    <row r="305">
      <c r="A305" s="525"/>
      <c r="B305" s="528"/>
      <c r="C305" s="172"/>
      <c r="D305" s="172"/>
      <c r="F305" s="172"/>
      <c r="G305" s="172"/>
      <c r="H305" s="172"/>
      <c r="I305" s="172"/>
      <c r="J305" s="172"/>
      <c r="K305" s="172"/>
      <c r="L305" s="172"/>
      <c r="M305" s="172"/>
      <c r="N305" s="172"/>
      <c r="O305" s="172"/>
      <c r="P305" s="172"/>
      <c r="Q305" s="172"/>
      <c r="R305" s="172"/>
      <c r="S305" s="172"/>
    </row>
    <row r="306">
      <c r="A306" s="525"/>
      <c r="B306" s="528"/>
      <c r="C306" s="172"/>
      <c r="D306" s="172"/>
      <c r="F306" s="172"/>
      <c r="G306" s="172"/>
      <c r="H306" s="172"/>
      <c r="I306" s="172"/>
      <c r="J306" s="172"/>
      <c r="K306" s="172"/>
      <c r="L306" s="172"/>
      <c r="M306" s="172"/>
      <c r="N306" s="172"/>
      <c r="O306" s="172"/>
      <c r="P306" s="172"/>
      <c r="Q306" s="172"/>
      <c r="R306" s="172"/>
      <c r="S306" s="172"/>
    </row>
    <row r="307">
      <c r="A307" s="525"/>
      <c r="B307" s="528"/>
      <c r="C307" s="172"/>
      <c r="D307" s="172"/>
      <c r="F307" s="172"/>
      <c r="G307" s="172"/>
      <c r="H307" s="172"/>
      <c r="I307" s="172"/>
      <c r="J307" s="172"/>
      <c r="K307" s="172"/>
      <c r="L307" s="172"/>
      <c r="M307" s="172"/>
      <c r="N307" s="172"/>
      <c r="O307" s="172"/>
      <c r="P307" s="172"/>
      <c r="Q307" s="172"/>
      <c r="R307" s="172"/>
      <c r="S307" s="172"/>
    </row>
    <row r="308">
      <c r="A308" s="525"/>
      <c r="B308" s="528"/>
      <c r="C308" s="172"/>
      <c r="D308" s="172"/>
      <c r="F308" s="172"/>
      <c r="G308" s="172"/>
      <c r="H308" s="172"/>
      <c r="I308" s="172"/>
      <c r="J308" s="172"/>
      <c r="K308" s="172"/>
      <c r="L308" s="172"/>
      <c r="M308" s="172"/>
      <c r="N308" s="172"/>
      <c r="O308" s="172"/>
      <c r="P308" s="172"/>
      <c r="Q308" s="172"/>
      <c r="R308" s="172"/>
      <c r="S308" s="172"/>
    </row>
    <row r="309">
      <c r="A309" s="525"/>
      <c r="B309" s="528"/>
      <c r="C309" s="172"/>
      <c r="D309" s="172"/>
      <c r="F309" s="172"/>
      <c r="G309" s="172"/>
      <c r="H309" s="172"/>
      <c r="I309" s="172"/>
      <c r="J309" s="172"/>
      <c r="K309" s="172"/>
      <c r="L309" s="172"/>
      <c r="M309" s="172"/>
      <c r="N309" s="172"/>
      <c r="O309" s="172"/>
      <c r="P309" s="172"/>
      <c r="Q309" s="172"/>
      <c r="R309" s="172"/>
      <c r="S309" s="172"/>
    </row>
    <row r="310">
      <c r="A310" s="525"/>
      <c r="B310" s="528"/>
      <c r="C310" s="172"/>
      <c r="D310" s="172"/>
      <c r="F310" s="172"/>
      <c r="G310" s="172"/>
      <c r="H310" s="172"/>
      <c r="I310" s="172"/>
      <c r="J310" s="172"/>
      <c r="K310" s="172"/>
      <c r="L310" s="172"/>
      <c r="M310" s="172"/>
      <c r="N310" s="172"/>
      <c r="O310" s="172"/>
      <c r="P310" s="172"/>
      <c r="Q310" s="172"/>
      <c r="R310" s="172"/>
      <c r="S310" s="172"/>
    </row>
    <row r="311">
      <c r="A311" s="525"/>
      <c r="B311" s="528"/>
      <c r="C311" s="172"/>
      <c r="D311" s="172"/>
      <c r="F311" s="172"/>
      <c r="G311" s="172"/>
      <c r="H311" s="172"/>
      <c r="I311" s="172"/>
      <c r="J311" s="172"/>
      <c r="K311" s="172"/>
      <c r="L311" s="172"/>
      <c r="M311" s="172"/>
      <c r="N311" s="172"/>
      <c r="O311" s="172"/>
      <c r="P311" s="172"/>
      <c r="Q311" s="172"/>
      <c r="R311" s="172"/>
      <c r="S311" s="172"/>
    </row>
    <row r="312">
      <c r="A312" s="525"/>
      <c r="B312" s="528"/>
      <c r="C312" s="172"/>
      <c r="D312" s="172"/>
      <c r="F312" s="172"/>
      <c r="G312" s="172"/>
      <c r="H312" s="172"/>
      <c r="I312" s="172"/>
      <c r="J312" s="172"/>
      <c r="K312" s="172"/>
      <c r="L312" s="172"/>
      <c r="M312" s="172"/>
      <c r="N312" s="172"/>
      <c r="O312" s="172"/>
      <c r="P312" s="172"/>
      <c r="Q312" s="172"/>
      <c r="R312" s="172"/>
      <c r="S312" s="172"/>
    </row>
    <row r="313">
      <c r="A313" s="525"/>
      <c r="B313" s="528"/>
      <c r="C313" s="172"/>
      <c r="D313" s="172"/>
      <c r="F313" s="172"/>
      <c r="G313" s="172"/>
      <c r="H313" s="172"/>
      <c r="I313" s="172"/>
      <c r="J313" s="172"/>
      <c r="K313" s="172"/>
      <c r="L313" s="172"/>
      <c r="M313" s="172"/>
      <c r="N313" s="172"/>
      <c r="O313" s="172"/>
      <c r="P313" s="172"/>
      <c r="Q313" s="172"/>
      <c r="R313" s="172"/>
      <c r="S313" s="172"/>
    </row>
    <row r="314">
      <c r="A314" s="525"/>
      <c r="B314" s="528"/>
      <c r="C314" s="172"/>
      <c r="D314" s="172"/>
      <c r="F314" s="172"/>
      <c r="G314" s="172"/>
      <c r="H314" s="172"/>
      <c r="I314" s="172"/>
      <c r="J314" s="172"/>
      <c r="K314" s="172"/>
      <c r="L314" s="172"/>
      <c r="M314" s="172"/>
      <c r="N314" s="172"/>
      <c r="O314" s="172"/>
      <c r="P314" s="172"/>
      <c r="Q314" s="172"/>
      <c r="R314" s="172"/>
      <c r="S314" s="172"/>
    </row>
    <row r="315">
      <c r="A315" s="525"/>
      <c r="B315" s="528"/>
      <c r="C315" s="172"/>
      <c r="D315" s="172"/>
      <c r="F315" s="172"/>
      <c r="G315" s="172"/>
      <c r="H315" s="172"/>
      <c r="I315" s="172"/>
      <c r="J315" s="172"/>
      <c r="K315" s="172"/>
      <c r="L315" s="172"/>
      <c r="M315" s="172"/>
      <c r="N315" s="172"/>
      <c r="O315" s="172"/>
      <c r="P315" s="172"/>
      <c r="Q315" s="172"/>
      <c r="R315" s="172"/>
      <c r="S315" s="172"/>
    </row>
    <row r="316">
      <c r="A316" s="525"/>
      <c r="B316" s="528"/>
      <c r="C316" s="172"/>
      <c r="D316" s="172"/>
      <c r="F316" s="172"/>
      <c r="G316" s="172"/>
      <c r="H316" s="172"/>
      <c r="I316" s="172"/>
      <c r="J316" s="172"/>
      <c r="K316" s="172"/>
      <c r="L316" s="172"/>
      <c r="M316" s="172"/>
      <c r="N316" s="172"/>
      <c r="O316" s="172"/>
      <c r="P316" s="172"/>
      <c r="Q316" s="172"/>
      <c r="R316" s="172"/>
      <c r="S316" s="172"/>
    </row>
    <row r="317">
      <c r="A317" s="525"/>
      <c r="B317" s="528"/>
      <c r="C317" s="172"/>
      <c r="D317" s="172"/>
      <c r="F317" s="172"/>
      <c r="G317" s="172"/>
      <c r="H317" s="172"/>
      <c r="I317" s="172"/>
      <c r="J317" s="172"/>
      <c r="K317" s="172"/>
      <c r="L317" s="172"/>
      <c r="M317" s="172"/>
      <c r="N317" s="172"/>
      <c r="O317" s="172"/>
      <c r="P317" s="172"/>
      <c r="Q317" s="172"/>
      <c r="R317" s="172"/>
      <c r="S317" s="172"/>
    </row>
    <row r="318">
      <c r="A318" s="525"/>
      <c r="B318" s="528"/>
      <c r="C318" s="172"/>
      <c r="D318" s="172"/>
      <c r="F318" s="172"/>
      <c r="G318" s="172"/>
      <c r="H318" s="172"/>
      <c r="I318" s="172"/>
      <c r="J318" s="172"/>
      <c r="K318" s="172"/>
      <c r="L318" s="172"/>
      <c r="M318" s="172"/>
      <c r="N318" s="172"/>
      <c r="O318" s="172"/>
      <c r="P318" s="172"/>
      <c r="Q318" s="172"/>
      <c r="R318" s="172"/>
      <c r="S318" s="172"/>
    </row>
    <row r="319">
      <c r="A319" s="525"/>
      <c r="B319" s="528"/>
      <c r="C319" s="172"/>
      <c r="D319" s="172"/>
      <c r="F319" s="172"/>
      <c r="G319" s="172"/>
      <c r="H319" s="172"/>
      <c r="I319" s="172"/>
      <c r="J319" s="172"/>
      <c r="K319" s="172"/>
      <c r="L319" s="172"/>
      <c r="M319" s="172"/>
      <c r="N319" s="172"/>
      <c r="O319" s="172"/>
      <c r="P319" s="172"/>
      <c r="Q319" s="172"/>
      <c r="R319" s="172"/>
      <c r="S319" s="172"/>
    </row>
    <row r="320">
      <c r="A320" s="525"/>
      <c r="B320" s="528"/>
      <c r="C320" s="172"/>
      <c r="D320" s="172"/>
      <c r="F320" s="172"/>
      <c r="G320" s="172"/>
      <c r="H320" s="172"/>
      <c r="I320" s="172"/>
      <c r="J320" s="172"/>
      <c r="K320" s="172"/>
      <c r="L320" s="172"/>
      <c r="M320" s="172"/>
      <c r="N320" s="172"/>
      <c r="O320" s="172"/>
      <c r="P320" s="172"/>
      <c r="Q320" s="172"/>
      <c r="R320" s="172"/>
      <c r="S320" s="172"/>
    </row>
    <row r="321">
      <c r="A321" s="525"/>
      <c r="B321" s="528"/>
      <c r="C321" s="172"/>
      <c r="D321" s="172"/>
      <c r="F321" s="172"/>
      <c r="G321" s="172"/>
      <c r="H321" s="172"/>
      <c r="I321" s="172"/>
      <c r="J321" s="172"/>
      <c r="K321" s="172"/>
      <c r="L321" s="172"/>
      <c r="M321" s="172"/>
      <c r="N321" s="172"/>
      <c r="O321" s="172"/>
      <c r="P321" s="172"/>
      <c r="Q321" s="172"/>
      <c r="R321" s="172"/>
      <c r="S321" s="172"/>
    </row>
    <row r="322">
      <c r="A322" s="525"/>
      <c r="B322" s="528"/>
      <c r="C322" s="172"/>
      <c r="D322" s="172"/>
      <c r="F322" s="172"/>
      <c r="G322" s="172"/>
      <c r="H322" s="172"/>
      <c r="I322" s="172"/>
      <c r="J322" s="172"/>
      <c r="K322" s="172"/>
      <c r="L322" s="172"/>
      <c r="M322" s="172"/>
      <c r="N322" s="172"/>
      <c r="O322" s="172"/>
      <c r="P322" s="172"/>
      <c r="Q322" s="172"/>
      <c r="R322" s="172"/>
      <c r="S322" s="172"/>
    </row>
    <row r="323">
      <c r="A323" s="525"/>
      <c r="B323" s="528"/>
      <c r="C323" s="172"/>
      <c r="D323" s="172"/>
      <c r="F323" s="172"/>
      <c r="G323" s="172"/>
      <c r="H323" s="172"/>
      <c r="I323" s="172"/>
      <c r="J323" s="172"/>
      <c r="K323" s="172"/>
      <c r="L323" s="172"/>
      <c r="M323" s="172"/>
      <c r="N323" s="172"/>
      <c r="O323" s="172"/>
      <c r="P323" s="172"/>
      <c r="Q323" s="172"/>
      <c r="R323" s="172"/>
      <c r="S323" s="172"/>
    </row>
    <row r="324">
      <c r="A324" s="525"/>
      <c r="B324" s="528"/>
      <c r="C324" s="172"/>
      <c r="D324" s="172"/>
      <c r="F324" s="172"/>
      <c r="G324" s="172"/>
      <c r="H324" s="172"/>
      <c r="I324" s="172"/>
      <c r="J324" s="172"/>
      <c r="K324" s="172"/>
      <c r="L324" s="172"/>
      <c r="M324" s="172"/>
      <c r="N324" s="172"/>
      <c r="O324" s="172"/>
      <c r="P324" s="172"/>
      <c r="Q324" s="172"/>
      <c r="R324" s="172"/>
      <c r="S324" s="172"/>
    </row>
    <row r="325">
      <c r="A325" s="525"/>
      <c r="B325" s="528"/>
      <c r="C325" s="172"/>
      <c r="D325" s="172"/>
      <c r="F325" s="172"/>
      <c r="G325" s="172"/>
      <c r="H325" s="172"/>
      <c r="I325" s="172"/>
      <c r="J325" s="172"/>
      <c r="K325" s="172"/>
      <c r="L325" s="172"/>
      <c r="M325" s="172"/>
      <c r="N325" s="172"/>
      <c r="O325" s="172"/>
      <c r="P325" s="172"/>
      <c r="Q325" s="172"/>
      <c r="R325" s="172"/>
      <c r="S325" s="172"/>
    </row>
    <row r="326">
      <c r="A326" s="525"/>
      <c r="B326" s="528"/>
      <c r="C326" s="172"/>
      <c r="D326" s="172"/>
      <c r="F326" s="172"/>
      <c r="G326" s="172"/>
      <c r="H326" s="172"/>
      <c r="I326" s="172"/>
      <c r="J326" s="172"/>
      <c r="K326" s="172"/>
      <c r="L326" s="172"/>
      <c r="M326" s="172"/>
      <c r="N326" s="172"/>
      <c r="O326" s="172"/>
      <c r="P326" s="172"/>
      <c r="Q326" s="172"/>
      <c r="R326" s="172"/>
      <c r="S326" s="172"/>
    </row>
    <row r="327">
      <c r="A327" s="525"/>
      <c r="B327" s="528"/>
      <c r="C327" s="172"/>
      <c r="D327" s="172"/>
      <c r="F327" s="172"/>
      <c r="G327" s="172"/>
      <c r="H327" s="172"/>
      <c r="I327" s="172"/>
      <c r="J327" s="172"/>
      <c r="K327" s="172"/>
      <c r="L327" s="172"/>
      <c r="M327" s="172"/>
      <c r="N327" s="172"/>
      <c r="O327" s="172"/>
      <c r="P327" s="172"/>
      <c r="Q327" s="172"/>
      <c r="R327" s="172"/>
      <c r="S327" s="172"/>
    </row>
    <row r="328">
      <c r="A328" s="525"/>
      <c r="B328" s="528"/>
      <c r="C328" s="172"/>
      <c r="D328" s="172"/>
      <c r="F328" s="172"/>
      <c r="G328" s="172"/>
      <c r="H328" s="172"/>
      <c r="I328" s="172"/>
      <c r="J328" s="172"/>
      <c r="K328" s="172"/>
      <c r="L328" s="172"/>
      <c r="M328" s="172"/>
      <c r="N328" s="172"/>
      <c r="O328" s="172"/>
      <c r="P328" s="172"/>
      <c r="Q328" s="172"/>
      <c r="R328" s="172"/>
      <c r="S328" s="172"/>
    </row>
    <row r="329">
      <c r="A329" s="525"/>
      <c r="B329" s="528"/>
      <c r="C329" s="172"/>
      <c r="D329" s="172"/>
      <c r="F329" s="172"/>
      <c r="G329" s="172"/>
      <c r="H329" s="172"/>
      <c r="I329" s="172"/>
      <c r="J329" s="172"/>
      <c r="K329" s="172"/>
      <c r="L329" s="172"/>
      <c r="M329" s="172"/>
      <c r="N329" s="172"/>
      <c r="O329" s="172"/>
      <c r="P329" s="172"/>
      <c r="Q329" s="172"/>
      <c r="R329" s="172"/>
      <c r="S329" s="172"/>
    </row>
    <row r="330">
      <c r="A330" s="525"/>
      <c r="B330" s="528"/>
      <c r="C330" s="172"/>
      <c r="D330" s="172"/>
      <c r="F330" s="172"/>
      <c r="G330" s="172"/>
      <c r="H330" s="172"/>
      <c r="I330" s="172"/>
      <c r="J330" s="172"/>
      <c r="K330" s="172"/>
      <c r="L330" s="172"/>
      <c r="M330" s="172"/>
      <c r="N330" s="172"/>
      <c r="O330" s="172"/>
      <c r="P330" s="172"/>
      <c r="Q330" s="172"/>
      <c r="R330" s="172"/>
      <c r="S330" s="172"/>
    </row>
    <row r="331">
      <c r="A331" s="525"/>
      <c r="B331" s="528"/>
      <c r="C331" s="172"/>
      <c r="D331" s="172"/>
      <c r="F331" s="172"/>
      <c r="G331" s="172"/>
      <c r="H331" s="172"/>
      <c r="I331" s="172"/>
      <c r="J331" s="172"/>
      <c r="K331" s="172"/>
      <c r="L331" s="172"/>
      <c r="M331" s="172"/>
      <c r="N331" s="172"/>
      <c r="O331" s="172"/>
      <c r="P331" s="172"/>
      <c r="Q331" s="172"/>
      <c r="R331" s="172"/>
      <c r="S331" s="172"/>
    </row>
    <row r="332">
      <c r="A332" s="525"/>
      <c r="B332" s="528"/>
      <c r="C332" s="172"/>
      <c r="D332" s="172"/>
      <c r="F332" s="172"/>
      <c r="G332" s="172"/>
      <c r="H332" s="172"/>
      <c r="I332" s="172"/>
      <c r="J332" s="172"/>
      <c r="K332" s="172"/>
      <c r="L332" s="172"/>
      <c r="M332" s="172"/>
      <c r="N332" s="172"/>
      <c r="O332" s="172"/>
      <c r="P332" s="172"/>
      <c r="Q332" s="172"/>
      <c r="R332" s="172"/>
      <c r="S332" s="172"/>
    </row>
    <row r="333">
      <c r="A333" s="525"/>
      <c r="B333" s="528"/>
      <c r="C333" s="172"/>
      <c r="D333" s="172"/>
      <c r="F333" s="172"/>
      <c r="G333" s="172"/>
      <c r="H333" s="172"/>
      <c r="I333" s="172"/>
      <c r="J333" s="172"/>
      <c r="K333" s="172"/>
      <c r="L333" s="172"/>
      <c r="M333" s="172"/>
      <c r="N333" s="172"/>
      <c r="O333" s="172"/>
      <c r="P333" s="172"/>
      <c r="Q333" s="172"/>
      <c r="R333" s="172"/>
      <c r="S333" s="172"/>
    </row>
    <row r="334">
      <c r="A334" s="525"/>
      <c r="B334" s="528"/>
      <c r="C334" s="172"/>
      <c r="D334" s="172"/>
      <c r="F334" s="172"/>
      <c r="G334" s="172"/>
      <c r="H334" s="172"/>
      <c r="I334" s="172"/>
      <c r="J334" s="172"/>
      <c r="K334" s="172"/>
      <c r="L334" s="172"/>
      <c r="M334" s="172"/>
      <c r="N334" s="172"/>
      <c r="O334" s="172"/>
      <c r="P334" s="172"/>
      <c r="Q334" s="172"/>
      <c r="R334" s="172"/>
      <c r="S334" s="172"/>
    </row>
    <row r="335">
      <c r="A335" s="525"/>
      <c r="B335" s="528"/>
      <c r="C335" s="172"/>
      <c r="D335" s="172"/>
      <c r="F335" s="172"/>
      <c r="G335" s="172"/>
      <c r="H335" s="172"/>
      <c r="I335" s="172"/>
      <c r="J335" s="172"/>
      <c r="K335" s="172"/>
      <c r="L335" s="172"/>
      <c r="M335" s="172"/>
      <c r="N335" s="172"/>
      <c r="O335" s="172"/>
      <c r="P335" s="172"/>
      <c r="Q335" s="172"/>
      <c r="R335" s="172"/>
      <c r="S335" s="172"/>
    </row>
    <row r="336">
      <c r="A336" s="525"/>
      <c r="B336" s="528"/>
      <c r="C336" s="172"/>
      <c r="D336" s="172"/>
      <c r="F336" s="172"/>
      <c r="G336" s="172"/>
      <c r="H336" s="172"/>
      <c r="I336" s="172"/>
      <c r="J336" s="172"/>
      <c r="K336" s="172"/>
      <c r="L336" s="172"/>
      <c r="M336" s="172"/>
      <c r="N336" s="172"/>
      <c r="O336" s="172"/>
      <c r="P336" s="172"/>
      <c r="Q336" s="172"/>
      <c r="R336" s="172"/>
      <c r="S336" s="172"/>
    </row>
    <row r="337">
      <c r="A337" s="525"/>
      <c r="B337" s="528"/>
      <c r="C337" s="172"/>
      <c r="D337" s="172"/>
      <c r="F337" s="172"/>
      <c r="G337" s="172"/>
      <c r="H337" s="172"/>
      <c r="I337" s="172"/>
      <c r="J337" s="172"/>
      <c r="K337" s="172"/>
      <c r="L337" s="172"/>
      <c r="M337" s="172"/>
      <c r="N337" s="172"/>
      <c r="O337" s="172"/>
      <c r="P337" s="172"/>
      <c r="Q337" s="172"/>
      <c r="R337" s="172"/>
      <c r="S337" s="172"/>
    </row>
    <row r="338">
      <c r="A338" s="525"/>
      <c r="B338" s="528"/>
      <c r="C338" s="172"/>
      <c r="D338" s="172"/>
      <c r="F338" s="172"/>
      <c r="G338" s="172"/>
      <c r="H338" s="172"/>
      <c r="I338" s="172"/>
      <c r="J338" s="172"/>
      <c r="K338" s="172"/>
      <c r="L338" s="172"/>
      <c r="M338" s="172"/>
      <c r="N338" s="172"/>
      <c r="O338" s="172"/>
      <c r="P338" s="172"/>
      <c r="Q338" s="172"/>
      <c r="R338" s="172"/>
      <c r="S338" s="172"/>
    </row>
    <row r="339">
      <c r="A339" s="525"/>
      <c r="B339" s="528"/>
      <c r="C339" s="172"/>
      <c r="D339" s="172"/>
      <c r="F339" s="172"/>
      <c r="G339" s="172"/>
      <c r="H339" s="172"/>
      <c r="I339" s="172"/>
      <c r="J339" s="172"/>
      <c r="K339" s="172"/>
      <c r="L339" s="172"/>
      <c r="M339" s="172"/>
      <c r="N339" s="172"/>
      <c r="O339" s="172"/>
      <c r="P339" s="172"/>
      <c r="Q339" s="172"/>
      <c r="R339" s="172"/>
      <c r="S339" s="172"/>
    </row>
    <row r="340">
      <c r="A340" s="525"/>
      <c r="B340" s="528"/>
      <c r="C340" s="172"/>
      <c r="D340" s="172"/>
      <c r="F340" s="172"/>
      <c r="G340" s="172"/>
      <c r="H340" s="172"/>
      <c r="I340" s="172"/>
      <c r="J340" s="172"/>
      <c r="K340" s="172"/>
      <c r="L340" s="172"/>
      <c r="M340" s="172"/>
      <c r="N340" s="172"/>
      <c r="O340" s="172"/>
      <c r="P340" s="172"/>
      <c r="Q340" s="172"/>
      <c r="R340" s="172"/>
      <c r="S340" s="172"/>
    </row>
    <row r="341">
      <c r="A341" s="525"/>
      <c r="B341" s="528"/>
      <c r="C341" s="172"/>
      <c r="D341" s="172"/>
      <c r="F341" s="172"/>
      <c r="G341" s="172"/>
      <c r="H341" s="172"/>
      <c r="I341" s="172"/>
      <c r="J341" s="172"/>
      <c r="K341" s="172"/>
      <c r="L341" s="172"/>
      <c r="M341" s="172"/>
      <c r="N341" s="172"/>
      <c r="O341" s="172"/>
      <c r="P341" s="172"/>
      <c r="Q341" s="172"/>
      <c r="R341" s="172"/>
      <c r="S341" s="172"/>
    </row>
    <row r="342">
      <c r="A342" s="525"/>
      <c r="B342" s="528"/>
      <c r="C342" s="172"/>
      <c r="D342" s="172"/>
      <c r="F342" s="172"/>
      <c r="G342" s="172"/>
      <c r="H342" s="172"/>
      <c r="I342" s="172"/>
      <c r="J342" s="172"/>
      <c r="K342" s="172"/>
      <c r="L342" s="172"/>
      <c r="M342" s="172"/>
      <c r="N342" s="172"/>
      <c r="O342" s="172"/>
      <c r="P342" s="172"/>
      <c r="Q342" s="172"/>
      <c r="R342" s="172"/>
      <c r="S342" s="172"/>
    </row>
    <row r="343">
      <c r="A343" s="525"/>
      <c r="B343" s="528"/>
      <c r="C343" s="172"/>
      <c r="D343" s="172"/>
      <c r="F343" s="172"/>
      <c r="G343" s="172"/>
      <c r="H343" s="172"/>
      <c r="I343" s="172"/>
      <c r="J343" s="172"/>
      <c r="K343" s="172"/>
      <c r="L343" s="172"/>
      <c r="M343" s="172"/>
      <c r="N343" s="172"/>
      <c r="O343" s="172"/>
      <c r="P343" s="172"/>
      <c r="Q343" s="172"/>
      <c r="R343" s="172"/>
      <c r="S343" s="172"/>
    </row>
    <row r="344">
      <c r="A344" s="525"/>
      <c r="B344" s="528"/>
      <c r="C344" s="172"/>
      <c r="D344" s="172"/>
      <c r="F344" s="172"/>
      <c r="G344" s="172"/>
      <c r="H344" s="172"/>
      <c r="I344" s="172"/>
      <c r="J344" s="172"/>
      <c r="K344" s="172"/>
      <c r="L344" s="172"/>
      <c r="M344" s="172"/>
      <c r="N344" s="172"/>
      <c r="O344" s="172"/>
      <c r="P344" s="172"/>
      <c r="Q344" s="172"/>
      <c r="R344" s="172"/>
      <c r="S344" s="172"/>
    </row>
    <row r="345">
      <c r="A345" s="525"/>
      <c r="B345" s="528"/>
      <c r="C345" s="172"/>
      <c r="D345" s="172"/>
      <c r="F345" s="172"/>
      <c r="G345" s="172"/>
      <c r="H345" s="172"/>
      <c r="I345" s="172"/>
      <c r="J345" s="172"/>
      <c r="K345" s="172"/>
      <c r="L345" s="172"/>
      <c r="M345" s="172"/>
      <c r="N345" s="172"/>
      <c r="O345" s="172"/>
      <c r="P345" s="172"/>
      <c r="Q345" s="172"/>
      <c r="R345" s="172"/>
      <c r="S345" s="172"/>
    </row>
    <row r="346">
      <c r="A346" s="525"/>
      <c r="B346" s="528"/>
      <c r="C346" s="172"/>
      <c r="D346" s="172"/>
      <c r="F346" s="172"/>
      <c r="G346" s="172"/>
      <c r="H346" s="172"/>
      <c r="I346" s="172"/>
      <c r="J346" s="172"/>
      <c r="K346" s="172"/>
      <c r="L346" s="172"/>
      <c r="M346" s="172"/>
      <c r="N346" s="172"/>
      <c r="O346" s="172"/>
      <c r="P346" s="172"/>
      <c r="Q346" s="172"/>
      <c r="R346" s="172"/>
      <c r="S346" s="172"/>
    </row>
    <row r="347">
      <c r="A347" s="525"/>
      <c r="B347" s="528"/>
      <c r="C347" s="172"/>
      <c r="D347" s="172"/>
      <c r="F347" s="172"/>
      <c r="G347" s="172"/>
      <c r="H347" s="172"/>
      <c r="I347" s="172"/>
      <c r="J347" s="172"/>
      <c r="K347" s="172"/>
      <c r="L347" s="172"/>
      <c r="M347" s="172"/>
      <c r="N347" s="172"/>
      <c r="O347" s="172"/>
      <c r="P347" s="172"/>
      <c r="Q347" s="172"/>
      <c r="R347" s="172"/>
      <c r="S347" s="172"/>
    </row>
    <row r="348">
      <c r="A348" s="525"/>
      <c r="B348" s="528"/>
      <c r="C348" s="172"/>
      <c r="D348" s="172"/>
      <c r="F348" s="172"/>
      <c r="G348" s="172"/>
      <c r="H348" s="172"/>
      <c r="I348" s="172"/>
      <c r="J348" s="172"/>
      <c r="K348" s="172"/>
      <c r="L348" s="172"/>
      <c r="M348" s="172"/>
      <c r="N348" s="172"/>
      <c r="O348" s="172"/>
      <c r="P348" s="172"/>
      <c r="Q348" s="172"/>
      <c r="R348" s="172"/>
      <c r="S348" s="172"/>
    </row>
    <row r="349">
      <c r="A349" s="525"/>
      <c r="B349" s="528"/>
      <c r="C349" s="172"/>
      <c r="D349" s="172"/>
      <c r="F349" s="172"/>
      <c r="G349" s="172"/>
      <c r="H349" s="172"/>
      <c r="I349" s="172"/>
      <c r="J349" s="172"/>
      <c r="K349" s="172"/>
      <c r="L349" s="172"/>
      <c r="M349" s="172"/>
      <c r="N349" s="172"/>
      <c r="O349" s="172"/>
      <c r="P349" s="172"/>
      <c r="Q349" s="172"/>
      <c r="R349" s="172"/>
      <c r="S349" s="172"/>
    </row>
    <row r="350">
      <c r="A350" s="525"/>
      <c r="B350" s="528"/>
      <c r="C350" s="172"/>
      <c r="D350" s="172"/>
      <c r="F350" s="172"/>
      <c r="G350" s="172"/>
      <c r="H350" s="172"/>
      <c r="I350" s="172"/>
      <c r="J350" s="172"/>
      <c r="K350" s="172"/>
      <c r="L350" s="172"/>
      <c r="M350" s="172"/>
      <c r="N350" s="172"/>
      <c r="O350" s="172"/>
      <c r="P350" s="172"/>
      <c r="Q350" s="172"/>
      <c r="R350" s="172"/>
      <c r="S350" s="172"/>
    </row>
    <row r="351">
      <c r="A351" s="525"/>
      <c r="B351" s="528"/>
      <c r="C351" s="172"/>
      <c r="D351" s="172"/>
      <c r="F351" s="172"/>
      <c r="G351" s="172"/>
      <c r="H351" s="172"/>
      <c r="I351" s="172"/>
      <c r="J351" s="172"/>
      <c r="K351" s="172"/>
      <c r="L351" s="172"/>
      <c r="M351" s="172"/>
      <c r="N351" s="172"/>
      <c r="O351" s="172"/>
      <c r="P351" s="172"/>
      <c r="Q351" s="172"/>
      <c r="R351" s="172"/>
      <c r="S351" s="172"/>
    </row>
    <row r="352">
      <c r="A352" s="525"/>
      <c r="B352" s="528"/>
      <c r="C352" s="172"/>
      <c r="D352" s="172"/>
      <c r="F352" s="172"/>
      <c r="G352" s="172"/>
      <c r="H352" s="172"/>
      <c r="I352" s="172"/>
      <c r="J352" s="172"/>
      <c r="K352" s="172"/>
      <c r="L352" s="172"/>
      <c r="M352" s="172"/>
      <c r="N352" s="172"/>
      <c r="O352" s="172"/>
      <c r="P352" s="172"/>
      <c r="Q352" s="172"/>
      <c r="R352" s="172"/>
      <c r="S352" s="172"/>
    </row>
    <row r="353">
      <c r="A353" s="525"/>
      <c r="B353" s="528"/>
      <c r="C353" s="172"/>
      <c r="D353" s="172"/>
      <c r="F353" s="172"/>
      <c r="G353" s="172"/>
      <c r="H353" s="172"/>
      <c r="I353" s="172"/>
      <c r="J353" s="172"/>
      <c r="K353" s="172"/>
      <c r="L353" s="172"/>
      <c r="M353" s="172"/>
      <c r="N353" s="172"/>
      <c r="O353" s="172"/>
      <c r="P353" s="172"/>
      <c r="Q353" s="172"/>
      <c r="R353" s="172"/>
      <c r="S353" s="172"/>
    </row>
    <row r="354">
      <c r="A354" s="525"/>
      <c r="B354" s="528"/>
      <c r="C354" s="172"/>
      <c r="D354" s="172"/>
      <c r="F354" s="172"/>
      <c r="G354" s="172"/>
      <c r="H354" s="172"/>
      <c r="I354" s="172"/>
      <c r="J354" s="172"/>
      <c r="K354" s="172"/>
      <c r="L354" s="172"/>
      <c r="M354" s="172"/>
      <c r="N354" s="172"/>
      <c r="O354" s="172"/>
      <c r="P354" s="172"/>
      <c r="Q354" s="172"/>
      <c r="R354" s="172"/>
      <c r="S354" s="172"/>
    </row>
    <row r="355">
      <c r="A355" s="525"/>
      <c r="B355" s="528"/>
      <c r="C355" s="172"/>
      <c r="D355" s="172"/>
      <c r="F355" s="172"/>
      <c r="G355" s="172"/>
      <c r="H355" s="172"/>
      <c r="I355" s="172"/>
      <c r="J355" s="172"/>
      <c r="K355" s="172"/>
      <c r="L355" s="172"/>
      <c r="M355" s="172"/>
      <c r="N355" s="172"/>
      <c r="O355" s="172"/>
      <c r="P355" s="172"/>
      <c r="Q355" s="172"/>
      <c r="R355" s="172"/>
      <c r="S355" s="172"/>
    </row>
    <row r="356">
      <c r="A356" s="525"/>
      <c r="B356" s="528"/>
      <c r="C356" s="172"/>
      <c r="D356" s="172"/>
      <c r="F356" s="172"/>
      <c r="G356" s="172"/>
      <c r="H356" s="172"/>
      <c r="I356" s="172"/>
      <c r="J356" s="172"/>
      <c r="K356" s="172"/>
      <c r="L356" s="172"/>
      <c r="M356" s="172"/>
      <c r="N356" s="172"/>
      <c r="O356" s="172"/>
      <c r="P356" s="172"/>
      <c r="Q356" s="172"/>
      <c r="R356" s="172"/>
      <c r="S356" s="172"/>
    </row>
    <row r="357">
      <c r="A357" s="525"/>
      <c r="B357" s="528"/>
      <c r="C357" s="172"/>
      <c r="D357" s="172"/>
      <c r="F357" s="172"/>
      <c r="G357" s="172"/>
      <c r="H357" s="172"/>
      <c r="I357" s="172"/>
      <c r="J357" s="172"/>
      <c r="K357" s="172"/>
      <c r="L357" s="172"/>
      <c r="M357" s="172"/>
      <c r="N357" s="172"/>
      <c r="O357" s="172"/>
      <c r="P357" s="172"/>
      <c r="Q357" s="172"/>
      <c r="R357" s="172"/>
      <c r="S357" s="172"/>
    </row>
    <row r="358">
      <c r="A358" s="525"/>
      <c r="B358" s="528"/>
      <c r="C358" s="172"/>
      <c r="D358" s="172"/>
      <c r="F358" s="172"/>
      <c r="G358" s="172"/>
      <c r="H358" s="172"/>
      <c r="I358" s="172"/>
      <c r="J358" s="172"/>
      <c r="K358" s="172"/>
      <c r="L358" s="172"/>
      <c r="M358" s="172"/>
      <c r="N358" s="172"/>
      <c r="O358" s="172"/>
      <c r="P358" s="172"/>
      <c r="Q358" s="172"/>
      <c r="R358" s="172"/>
      <c r="S358" s="172"/>
    </row>
    <row r="359">
      <c r="A359" s="525"/>
      <c r="B359" s="528"/>
      <c r="C359" s="172"/>
      <c r="D359" s="172"/>
      <c r="F359" s="172"/>
      <c r="G359" s="172"/>
      <c r="H359" s="172"/>
      <c r="I359" s="172"/>
      <c r="J359" s="172"/>
      <c r="K359" s="172"/>
      <c r="L359" s="172"/>
      <c r="M359" s="172"/>
      <c r="N359" s="172"/>
      <c r="O359" s="172"/>
      <c r="P359" s="172"/>
      <c r="Q359" s="172"/>
      <c r="R359" s="172"/>
      <c r="S359" s="172"/>
    </row>
    <row r="360">
      <c r="A360" s="525"/>
      <c r="B360" s="528"/>
      <c r="C360" s="172"/>
      <c r="D360" s="172"/>
      <c r="F360" s="172"/>
      <c r="G360" s="172"/>
      <c r="H360" s="172"/>
      <c r="I360" s="172"/>
      <c r="J360" s="172"/>
      <c r="K360" s="172"/>
      <c r="L360" s="172"/>
      <c r="M360" s="172"/>
      <c r="N360" s="172"/>
      <c r="O360" s="172"/>
      <c r="P360" s="172"/>
      <c r="Q360" s="172"/>
      <c r="R360" s="172"/>
      <c r="S360" s="172"/>
    </row>
    <row r="361">
      <c r="A361" s="525"/>
      <c r="B361" s="528"/>
      <c r="C361" s="172"/>
      <c r="D361" s="172"/>
      <c r="F361" s="172"/>
      <c r="G361" s="172"/>
      <c r="H361" s="172"/>
      <c r="I361" s="172"/>
      <c r="J361" s="172"/>
      <c r="K361" s="172"/>
      <c r="L361" s="172"/>
      <c r="M361" s="172"/>
      <c r="N361" s="172"/>
      <c r="O361" s="172"/>
      <c r="P361" s="172"/>
      <c r="Q361" s="172"/>
      <c r="R361" s="172"/>
      <c r="S361" s="172"/>
    </row>
    <row r="362">
      <c r="A362" s="525"/>
      <c r="B362" s="528"/>
      <c r="C362" s="172"/>
      <c r="D362" s="172"/>
      <c r="F362" s="172"/>
      <c r="G362" s="172"/>
      <c r="H362" s="172"/>
      <c r="I362" s="172"/>
      <c r="J362" s="172"/>
      <c r="K362" s="172"/>
      <c r="L362" s="172"/>
      <c r="M362" s="172"/>
      <c r="N362" s="172"/>
      <c r="O362" s="172"/>
      <c r="P362" s="172"/>
      <c r="Q362" s="172"/>
      <c r="R362" s="172"/>
      <c r="S362" s="172"/>
    </row>
    <row r="363">
      <c r="A363" s="525"/>
      <c r="B363" s="528"/>
      <c r="C363" s="172"/>
      <c r="D363" s="172"/>
      <c r="F363" s="172"/>
      <c r="G363" s="172"/>
      <c r="H363" s="172"/>
      <c r="I363" s="172"/>
      <c r="J363" s="172"/>
      <c r="K363" s="172"/>
      <c r="L363" s="172"/>
      <c r="M363" s="172"/>
      <c r="N363" s="172"/>
      <c r="O363" s="172"/>
      <c r="P363" s="172"/>
      <c r="Q363" s="172"/>
      <c r="R363" s="172"/>
      <c r="S363" s="172"/>
    </row>
    <row r="364">
      <c r="A364" s="525"/>
      <c r="B364" s="528"/>
      <c r="C364" s="172"/>
      <c r="D364" s="172"/>
      <c r="F364" s="172"/>
      <c r="G364" s="172"/>
      <c r="H364" s="172"/>
      <c r="I364" s="172"/>
      <c r="J364" s="172"/>
      <c r="K364" s="172"/>
      <c r="L364" s="172"/>
      <c r="M364" s="172"/>
      <c r="N364" s="172"/>
      <c r="O364" s="172"/>
      <c r="P364" s="172"/>
      <c r="Q364" s="172"/>
      <c r="R364" s="172"/>
      <c r="S364" s="172"/>
    </row>
    <row r="365">
      <c r="A365" s="525"/>
      <c r="B365" s="528"/>
      <c r="C365" s="172"/>
      <c r="D365" s="172"/>
      <c r="F365" s="172"/>
      <c r="G365" s="172"/>
      <c r="H365" s="172"/>
      <c r="I365" s="172"/>
      <c r="J365" s="172"/>
      <c r="K365" s="172"/>
      <c r="L365" s="172"/>
      <c r="M365" s="172"/>
      <c r="N365" s="172"/>
      <c r="O365" s="172"/>
      <c r="P365" s="172"/>
      <c r="Q365" s="172"/>
      <c r="R365" s="172"/>
      <c r="S365" s="172"/>
    </row>
    <row r="366">
      <c r="A366" s="525"/>
      <c r="B366" s="528"/>
      <c r="C366" s="172"/>
      <c r="D366" s="172"/>
      <c r="F366" s="172"/>
      <c r="G366" s="172"/>
      <c r="H366" s="172"/>
      <c r="I366" s="172"/>
      <c r="J366" s="172"/>
      <c r="K366" s="172"/>
      <c r="L366" s="172"/>
      <c r="M366" s="172"/>
      <c r="N366" s="172"/>
      <c r="O366" s="172"/>
      <c r="P366" s="172"/>
      <c r="Q366" s="172"/>
      <c r="R366" s="172"/>
      <c r="S366" s="172"/>
    </row>
    <row r="367">
      <c r="A367" s="525"/>
      <c r="B367" s="528"/>
      <c r="C367" s="172"/>
      <c r="D367" s="172"/>
      <c r="F367" s="172"/>
      <c r="G367" s="172"/>
      <c r="H367" s="172"/>
      <c r="I367" s="172"/>
      <c r="J367" s="172"/>
      <c r="K367" s="172"/>
      <c r="L367" s="172"/>
      <c r="M367" s="172"/>
      <c r="N367" s="172"/>
      <c r="O367" s="172"/>
      <c r="P367" s="172"/>
      <c r="Q367" s="172"/>
      <c r="R367" s="172"/>
      <c r="S367" s="172"/>
    </row>
    <row r="368">
      <c r="A368" s="525"/>
      <c r="B368" s="528"/>
      <c r="C368" s="172"/>
      <c r="D368" s="172"/>
      <c r="F368" s="172"/>
      <c r="G368" s="172"/>
      <c r="H368" s="172"/>
      <c r="I368" s="172"/>
      <c r="J368" s="172"/>
      <c r="K368" s="172"/>
      <c r="L368" s="172"/>
      <c r="M368" s="172"/>
      <c r="N368" s="172"/>
      <c r="O368" s="172"/>
      <c r="P368" s="172"/>
      <c r="Q368" s="172"/>
      <c r="R368" s="172"/>
      <c r="S368" s="172"/>
    </row>
    <row r="369">
      <c r="A369" s="525"/>
      <c r="B369" s="528"/>
      <c r="C369" s="172"/>
      <c r="D369" s="172"/>
      <c r="F369" s="172"/>
      <c r="G369" s="172"/>
      <c r="H369" s="172"/>
      <c r="I369" s="172"/>
      <c r="J369" s="172"/>
      <c r="K369" s="172"/>
      <c r="L369" s="172"/>
      <c r="M369" s="172"/>
      <c r="N369" s="172"/>
      <c r="O369" s="172"/>
      <c r="P369" s="172"/>
      <c r="Q369" s="172"/>
      <c r="R369" s="172"/>
      <c r="S369" s="172"/>
    </row>
    <row r="370">
      <c r="A370" s="525"/>
      <c r="B370" s="528"/>
      <c r="C370" s="172"/>
      <c r="D370" s="172"/>
      <c r="F370" s="172"/>
      <c r="G370" s="172"/>
      <c r="H370" s="172"/>
      <c r="I370" s="172"/>
      <c r="J370" s="172"/>
      <c r="K370" s="172"/>
      <c r="L370" s="172"/>
      <c r="M370" s="172"/>
      <c r="N370" s="172"/>
      <c r="O370" s="172"/>
      <c r="P370" s="172"/>
      <c r="Q370" s="172"/>
      <c r="R370" s="172"/>
      <c r="S370" s="172"/>
    </row>
    <row r="371">
      <c r="A371" s="525"/>
      <c r="B371" s="528"/>
      <c r="C371" s="172"/>
      <c r="D371" s="172"/>
      <c r="F371" s="172"/>
      <c r="G371" s="172"/>
      <c r="H371" s="172"/>
      <c r="I371" s="172"/>
      <c r="J371" s="172"/>
      <c r="K371" s="172"/>
      <c r="L371" s="172"/>
      <c r="M371" s="172"/>
      <c r="N371" s="172"/>
      <c r="O371" s="172"/>
      <c r="P371" s="172"/>
      <c r="Q371" s="172"/>
      <c r="R371" s="172"/>
      <c r="S371" s="172"/>
    </row>
    <row r="372">
      <c r="A372" s="525"/>
      <c r="B372" s="528"/>
      <c r="C372" s="172"/>
      <c r="D372" s="172"/>
      <c r="F372" s="172"/>
      <c r="G372" s="172"/>
      <c r="H372" s="172"/>
      <c r="I372" s="172"/>
      <c r="J372" s="172"/>
      <c r="K372" s="172"/>
      <c r="L372" s="172"/>
      <c r="M372" s="172"/>
      <c r="N372" s="172"/>
      <c r="O372" s="172"/>
      <c r="P372" s="172"/>
      <c r="Q372" s="172"/>
      <c r="R372" s="172"/>
      <c r="S372" s="172"/>
    </row>
    <row r="373">
      <c r="A373" s="525"/>
      <c r="B373" s="528"/>
      <c r="C373" s="172"/>
      <c r="D373" s="172"/>
      <c r="F373" s="172"/>
      <c r="G373" s="172"/>
      <c r="H373" s="172"/>
      <c r="I373" s="172"/>
      <c r="J373" s="172"/>
      <c r="K373" s="172"/>
      <c r="L373" s="172"/>
      <c r="M373" s="172"/>
      <c r="N373" s="172"/>
      <c r="O373" s="172"/>
      <c r="P373" s="172"/>
      <c r="Q373" s="172"/>
      <c r="R373" s="172"/>
      <c r="S373" s="172"/>
    </row>
    <row r="374">
      <c r="A374" s="525"/>
      <c r="B374" s="528"/>
      <c r="C374" s="172"/>
      <c r="D374" s="172"/>
      <c r="F374" s="172"/>
      <c r="G374" s="172"/>
      <c r="H374" s="172"/>
      <c r="I374" s="172"/>
      <c r="J374" s="172"/>
      <c r="K374" s="172"/>
      <c r="L374" s="172"/>
      <c r="M374" s="172"/>
      <c r="N374" s="172"/>
      <c r="O374" s="172"/>
      <c r="P374" s="172"/>
      <c r="Q374" s="172"/>
      <c r="R374" s="172"/>
      <c r="S374" s="172"/>
    </row>
    <row r="375">
      <c r="A375" s="525"/>
      <c r="B375" s="528"/>
      <c r="C375" s="172"/>
      <c r="D375" s="172"/>
      <c r="F375" s="172"/>
      <c r="G375" s="172"/>
      <c r="H375" s="172"/>
      <c r="I375" s="172"/>
      <c r="J375" s="172"/>
      <c r="K375" s="172"/>
      <c r="L375" s="172"/>
      <c r="M375" s="172"/>
      <c r="N375" s="172"/>
      <c r="O375" s="172"/>
      <c r="P375" s="172"/>
      <c r="Q375" s="172"/>
      <c r="R375" s="172"/>
      <c r="S375" s="172"/>
    </row>
    <row r="376">
      <c r="A376" s="525"/>
      <c r="B376" s="528"/>
      <c r="C376" s="172"/>
      <c r="D376" s="172"/>
      <c r="F376" s="172"/>
      <c r="G376" s="172"/>
      <c r="H376" s="172"/>
      <c r="I376" s="172"/>
      <c r="J376" s="172"/>
      <c r="K376" s="172"/>
      <c r="L376" s="172"/>
      <c r="M376" s="172"/>
      <c r="N376" s="172"/>
      <c r="O376" s="172"/>
      <c r="P376" s="172"/>
      <c r="Q376" s="172"/>
      <c r="R376" s="172"/>
      <c r="S376" s="172"/>
    </row>
    <row r="377">
      <c r="A377" s="525"/>
      <c r="B377" s="528"/>
      <c r="C377" s="172"/>
      <c r="D377" s="172"/>
      <c r="F377" s="172"/>
      <c r="G377" s="172"/>
      <c r="H377" s="172"/>
      <c r="I377" s="172"/>
      <c r="J377" s="172"/>
      <c r="K377" s="172"/>
      <c r="L377" s="172"/>
      <c r="M377" s="172"/>
      <c r="N377" s="172"/>
      <c r="O377" s="172"/>
      <c r="P377" s="172"/>
      <c r="Q377" s="172"/>
      <c r="R377" s="172"/>
      <c r="S377" s="172"/>
    </row>
    <row r="378">
      <c r="A378" s="525"/>
      <c r="B378" s="528"/>
      <c r="C378" s="172"/>
      <c r="D378" s="172"/>
      <c r="F378" s="172"/>
      <c r="G378" s="172"/>
      <c r="H378" s="172"/>
      <c r="I378" s="172"/>
      <c r="J378" s="172"/>
      <c r="K378" s="172"/>
      <c r="L378" s="172"/>
      <c r="M378" s="172"/>
      <c r="N378" s="172"/>
      <c r="O378" s="172"/>
      <c r="P378" s="172"/>
      <c r="Q378" s="172"/>
      <c r="R378" s="172"/>
      <c r="S378" s="172"/>
    </row>
    <row r="379">
      <c r="A379" s="525"/>
      <c r="B379" s="528"/>
      <c r="C379" s="172"/>
      <c r="D379" s="172"/>
      <c r="F379" s="172"/>
      <c r="G379" s="172"/>
      <c r="H379" s="172"/>
      <c r="I379" s="172"/>
      <c r="J379" s="172"/>
      <c r="K379" s="172"/>
      <c r="L379" s="172"/>
      <c r="M379" s="172"/>
      <c r="N379" s="172"/>
      <c r="O379" s="172"/>
      <c r="P379" s="172"/>
      <c r="Q379" s="172"/>
      <c r="R379" s="172"/>
      <c r="S379" s="172"/>
    </row>
    <row r="380">
      <c r="A380" s="525"/>
      <c r="B380" s="528"/>
      <c r="C380" s="172"/>
      <c r="D380" s="172"/>
      <c r="F380" s="172"/>
      <c r="G380" s="172"/>
      <c r="H380" s="172"/>
      <c r="I380" s="172"/>
      <c r="J380" s="172"/>
      <c r="K380" s="172"/>
      <c r="L380" s="172"/>
      <c r="M380" s="172"/>
      <c r="N380" s="172"/>
      <c r="O380" s="172"/>
      <c r="P380" s="172"/>
      <c r="Q380" s="172"/>
      <c r="R380" s="172"/>
      <c r="S380" s="172"/>
    </row>
    <row r="381">
      <c r="A381" s="525"/>
      <c r="B381" s="528"/>
      <c r="C381" s="172"/>
      <c r="D381" s="172"/>
      <c r="F381" s="172"/>
      <c r="G381" s="172"/>
      <c r="H381" s="172"/>
      <c r="I381" s="172"/>
      <c r="J381" s="172"/>
      <c r="K381" s="172"/>
      <c r="L381" s="172"/>
      <c r="M381" s="172"/>
      <c r="N381" s="172"/>
      <c r="O381" s="172"/>
      <c r="P381" s="172"/>
      <c r="Q381" s="172"/>
      <c r="R381" s="172"/>
      <c r="S381" s="172"/>
    </row>
    <row r="382">
      <c r="A382" s="525"/>
      <c r="B382" s="528"/>
      <c r="C382" s="172"/>
      <c r="D382" s="172"/>
      <c r="F382" s="172"/>
      <c r="G382" s="172"/>
      <c r="H382" s="172"/>
      <c r="I382" s="172"/>
      <c r="J382" s="172"/>
      <c r="K382" s="172"/>
      <c r="L382" s="172"/>
      <c r="M382" s="172"/>
      <c r="N382" s="172"/>
      <c r="O382" s="172"/>
      <c r="P382" s="172"/>
      <c r="Q382" s="172"/>
      <c r="R382" s="172"/>
      <c r="S382" s="172"/>
    </row>
    <row r="383">
      <c r="A383" s="525"/>
      <c r="B383" s="528"/>
      <c r="C383" s="172"/>
      <c r="D383" s="172"/>
      <c r="F383" s="172"/>
      <c r="G383" s="172"/>
      <c r="H383" s="172"/>
      <c r="I383" s="172"/>
      <c r="J383" s="172"/>
      <c r="K383" s="172"/>
      <c r="L383" s="172"/>
      <c r="M383" s="172"/>
      <c r="N383" s="172"/>
      <c r="O383" s="172"/>
      <c r="P383" s="172"/>
      <c r="Q383" s="172"/>
      <c r="R383" s="172"/>
      <c r="S383" s="172"/>
    </row>
    <row r="384">
      <c r="A384" s="525"/>
      <c r="B384" s="528"/>
      <c r="C384" s="172"/>
      <c r="D384" s="172"/>
      <c r="F384" s="172"/>
      <c r="G384" s="172"/>
      <c r="H384" s="172"/>
      <c r="I384" s="172"/>
      <c r="J384" s="172"/>
      <c r="K384" s="172"/>
      <c r="L384" s="172"/>
      <c r="M384" s="172"/>
      <c r="N384" s="172"/>
      <c r="O384" s="172"/>
      <c r="P384" s="172"/>
      <c r="Q384" s="172"/>
      <c r="R384" s="172"/>
      <c r="S384" s="172"/>
    </row>
    <row r="385">
      <c r="A385" s="525"/>
      <c r="B385" s="528"/>
      <c r="C385" s="172"/>
      <c r="D385" s="172"/>
      <c r="F385" s="172"/>
      <c r="G385" s="172"/>
      <c r="H385" s="172"/>
      <c r="I385" s="172"/>
      <c r="J385" s="172"/>
      <c r="K385" s="172"/>
      <c r="L385" s="172"/>
      <c r="M385" s="172"/>
      <c r="N385" s="172"/>
      <c r="O385" s="172"/>
      <c r="P385" s="172"/>
      <c r="Q385" s="172"/>
      <c r="R385" s="172"/>
      <c r="S385" s="172"/>
    </row>
    <row r="386">
      <c r="A386" s="525"/>
      <c r="B386" s="528"/>
      <c r="C386" s="172"/>
      <c r="D386" s="172"/>
      <c r="F386" s="172"/>
      <c r="G386" s="172"/>
      <c r="H386" s="172"/>
      <c r="I386" s="172"/>
      <c r="J386" s="172"/>
      <c r="K386" s="172"/>
      <c r="L386" s="172"/>
      <c r="M386" s="172"/>
      <c r="N386" s="172"/>
      <c r="O386" s="172"/>
      <c r="P386" s="172"/>
      <c r="Q386" s="172"/>
      <c r="R386" s="172"/>
      <c r="S386" s="172"/>
    </row>
    <row r="387">
      <c r="A387" s="525"/>
      <c r="B387" s="528"/>
      <c r="C387" s="172"/>
      <c r="D387" s="172"/>
      <c r="F387" s="172"/>
      <c r="G387" s="172"/>
      <c r="H387" s="172"/>
      <c r="I387" s="172"/>
      <c r="J387" s="172"/>
      <c r="K387" s="172"/>
      <c r="L387" s="172"/>
      <c r="M387" s="172"/>
      <c r="N387" s="172"/>
      <c r="O387" s="172"/>
      <c r="P387" s="172"/>
      <c r="Q387" s="172"/>
      <c r="R387" s="172"/>
      <c r="S387" s="172"/>
    </row>
    <row r="388">
      <c r="A388" s="525"/>
      <c r="B388" s="528"/>
      <c r="C388" s="172"/>
      <c r="D388" s="172"/>
      <c r="F388" s="172"/>
      <c r="G388" s="172"/>
      <c r="H388" s="172"/>
      <c r="I388" s="172"/>
      <c r="J388" s="172"/>
      <c r="K388" s="172"/>
      <c r="L388" s="172"/>
      <c r="M388" s="172"/>
      <c r="N388" s="172"/>
      <c r="O388" s="172"/>
      <c r="P388" s="172"/>
      <c r="Q388" s="172"/>
      <c r="R388" s="172"/>
      <c r="S388" s="172"/>
    </row>
    <row r="389">
      <c r="A389" s="525"/>
      <c r="B389" s="528"/>
      <c r="C389" s="172"/>
      <c r="D389" s="172"/>
      <c r="F389" s="172"/>
      <c r="G389" s="172"/>
      <c r="H389" s="172"/>
      <c r="I389" s="172"/>
      <c r="J389" s="172"/>
      <c r="K389" s="172"/>
      <c r="L389" s="172"/>
      <c r="M389" s="172"/>
      <c r="N389" s="172"/>
      <c r="O389" s="172"/>
      <c r="P389" s="172"/>
      <c r="Q389" s="172"/>
      <c r="R389" s="172"/>
      <c r="S389" s="172"/>
    </row>
    <row r="390">
      <c r="A390" s="525"/>
      <c r="B390" s="528"/>
      <c r="C390" s="172"/>
      <c r="D390" s="172"/>
      <c r="F390" s="172"/>
      <c r="G390" s="172"/>
      <c r="H390" s="172"/>
      <c r="I390" s="172"/>
      <c r="J390" s="172"/>
      <c r="K390" s="172"/>
      <c r="L390" s="172"/>
      <c r="M390" s="172"/>
      <c r="N390" s="172"/>
      <c r="O390" s="172"/>
      <c r="P390" s="172"/>
      <c r="Q390" s="172"/>
      <c r="R390" s="172"/>
      <c r="S390" s="172"/>
    </row>
    <row r="391">
      <c r="A391" s="525"/>
      <c r="B391" s="528"/>
      <c r="C391" s="172"/>
      <c r="D391" s="172"/>
      <c r="F391" s="172"/>
      <c r="G391" s="172"/>
      <c r="H391" s="172"/>
      <c r="I391" s="172"/>
      <c r="J391" s="172"/>
      <c r="K391" s="172"/>
      <c r="L391" s="172"/>
      <c r="M391" s="172"/>
      <c r="N391" s="172"/>
      <c r="O391" s="172"/>
      <c r="P391" s="172"/>
      <c r="Q391" s="172"/>
      <c r="R391" s="172"/>
      <c r="S391" s="172"/>
    </row>
    <row r="392">
      <c r="A392" s="525"/>
      <c r="B392" s="528"/>
      <c r="C392" s="172"/>
      <c r="D392" s="172"/>
      <c r="F392" s="172"/>
      <c r="G392" s="172"/>
      <c r="H392" s="172"/>
      <c r="I392" s="172"/>
      <c r="J392" s="172"/>
      <c r="K392" s="172"/>
      <c r="L392" s="172"/>
      <c r="M392" s="172"/>
      <c r="N392" s="172"/>
      <c r="O392" s="172"/>
      <c r="P392" s="172"/>
      <c r="Q392" s="172"/>
      <c r="R392" s="172"/>
      <c r="S392" s="172"/>
    </row>
    <row r="393">
      <c r="A393" s="525"/>
      <c r="B393" s="528"/>
      <c r="C393" s="172"/>
      <c r="D393" s="172"/>
      <c r="F393" s="172"/>
      <c r="G393" s="172"/>
      <c r="H393" s="172"/>
      <c r="I393" s="172"/>
      <c r="J393" s="172"/>
      <c r="K393" s="172"/>
      <c r="L393" s="172"/>
      <c r="M393" s="172"/>
      <c r="N393" s="172"/>
      <c r="O393" s="172"/>
      <c r="P393" s="172"/>
      <c r="Q393" s="172"/>
      <c r="R393" s="172"/>
      <c r="S393" s="172"/>
    </row>
    <row r="394">
      <c r="A394" s="525"/>
      <c r="B394" s="528"/>
      <c r="C394" s="172"/>
      <c r="D394" s="172"/>
      <c r="F394" s="172"/>
      <c r="G394" s="172"/>
      <c r="H394" s="172"/>
      <c r="I394" s="172"/>
      <c r="J394" s="172"/>
      <c r="K394" s="172"/>
      <c r="L394" s="172"/>
      <c r="M394" s="172"/>
      <c r="N394" s="172"/>
      <c r="O394" s="172"/>
      <c r="P394" s="172"/>
      <c r="Q394" s="172"/>
      <c r="R394" s="172"/>
      <c r="S394" s="172"/>
    </row>
    <row r="395">
      <c r="A395" s="525"/>
      <c r="B395" s="528"/>
      <c r="C395" s="172"/>
      <c r="D395" s="172"/>
      <c r="F395" s="172"/>
      <c r="G395" s="172"/>
      <c r="H395" s="172"/>
      <c r="I395" s="172"/>
      <c r="J395" s="172"/>
      <c r="K395" s="172"/>
      <c r="L395" s="172"/>
      <c r="M395" s="172"/>
      <c r="N395" s="172"/>
      <c r="O395" s="172"/>
      <c r="P395" s="172"/>
      <c r="Q395" s="172"/>
      <c r="R395" s="172"/>
      <c r="S395" s="172"/>
    </row>
    <row r="396">
      <c r="A396" s="525"/>
      <c r="B396" s="528"/>
      <c r="C396" s="172"/>
      <c r="D396" s="172"/>
      <c r="F396" s="172"/>
      <c r="G396" s="172"/>
      <c r="H396" s="172"/>
      <c r="I396" s="172"/>
      <c r="J396" s="172"/>
      <c r="K396" s="172"/>
      <c r="L396" s="172"/>
      <c r="M396" s="172"/>
      <c r="N396" s="172"/>
      <c r="O396" s="172"/>
      <c r="P396" s="172"/>
      <c r="Q396" s="172"/>
      <c r="R396" s="172"/>
      <c r="S396" s="172"/>
    </row>
    <row r="397">
      <c r="A397" s="525"/>
      <c r="B397" s="528"/>
      <c r="C397" s="172"/>
      <c r="D397" s="172"/>
      <c r="F397" s="172"/>
      <c r="G397" s="172"/>
      <c r="H397" s="172"/>
      <c r="I397" s="172"/>
      <c r="J397" s="172"/>
      <c r="K397" s="172"/>
      <c r="L397" s="172"/>
      <c r="M397" s="172"/>
      <c r="N397" s="172"/>
      <c r="O397" s="172"/>
      <c r="P397" s="172"/>
      <c r="Q397" s="172"/>
      <c r="R397" s="172"/>
      <c r="S397" s="172"/>
    </row>
    <row r="398">
      <c r="A398" s="525"/>
      <c r="B398" s="528"/>
      <c r="C398" s="172"/>
      <c r="D398" s="172"/>
      <c r="F398" s="172"/>
      <c r="G398" s="172"/>
      <c r="H398" s="172"/>
      <c r="I398" s="172"/>
      <c r="J398" s="172"/>
      <c r="K398" s="172"/>
      <c r="L398" s="172"/>
      <c r="M398" s="172"/>
      <c r="N398" s="172"/>
      <c r="O398" s="172"/>
      <c r="P398" s="172"/>
      <c r="Q398" s="172"/>
      <c r="R398" s="172"/>
      <c r="S398" s="172"/>
    </row>
    <row r="399">
      <c r="A399" s="525"/>
      <c r="B399" s="528"/>
      <c r="C399" s="172"/>
      <c r="D399" s="172"/>
      <c r="F399" s="172"/>
      <c r="G399" s="172"/>
      <c r="H399" s="172"/>
      <c r="I399" s="172"/>
      <c r="J399" s="172"/>
      <c r="K399" s="172"/>
      <c r="L399" s="172"/>
      <c r="M399" s="172"/>
      <c r="N399" s="172"/>
      <c r="O399" s="172"/>
      <c r="P399" s="172"/>
      <c r="Q399" s="172"/>
      <c r="R399" s="172"/>
      <c r="S399" s="172"/>
    </row>
    <row r="400">
      <c r="A400" s="525"/>
      <c r="B400" s="528"/>
      <c r="C400" s="172"/>
      <c r="D400" s="172"/>
      <c r="F400" s="172"/>
      <c r="G400" s="172"/>
      <c r="H400" s="172"/>
      <c r="I400" s="172"/>
      <c r="J400" s="172"/>
      <c r="K400" s="172"/>
      <c r="L400" s="172"/>
      <c r="M400" s="172"/>
      <c r="N400" s="172"/>
      <c r="O400" s="172"/>
      <c r="P400" s="172"/>
      <c r="Q400" s="172"/>
      <c r="R400" s="172"/>
      <c r="S400" s="172"/>
    </row>
    <row r="401">
      <c r="A401" s="525"/>
      <c r="B401" s="528"/>
      <c r="C401" s="172"/>
      <c r="D401" s="172"/>
      <c r="F401" s="172"/>
      <c r="G401" s="172"/>
      <c r="H401" s="172"/>
      <c r="I401" s="172"/>
      <c r="J401" s="172"/>
      <c r="K401" s="172"/>
      <c r="L401" s="172"/>
      <c r="M401" s="172"/>
      <c r="N401" s="172"/>
      <c r="O401" s="172"/>
      <c r="P401" s="172"/>
      <c r="Q401" s="172"/>
      <c r="R401" s="172"/>
      <c r="S401" s="172"/>
    </row>
    <row r="402">
      <c r="A402" s="525"/>
      <c r="B402" s="528"/>
      <c r="C402" s="172"/>
      <c r="D402" s="172"/>
      <c r="F402" s="172"/>
      <c r="G402" s="172"/>
      <c r="H402" s="172"/>
      <c r="I402" s="172"/>
      <c r="J402" s="172"/>
      <c r="K402" s="172"/>
      <c r="L402" s="172"/>
      <c r="M402" s="172"/>
      <c r="N402" s="172"/>
      <c r="O402" s="172"/>
      <c r="P402" s="172"/>
      <c r="Q402" s="172"/>
      <c r="R402" s="172"/>
      <c r="S402" s="172"/>
    </row>
    <row r="403">
      <c r="A403" s="525"/>
      <c r="B403" s="528"/>
      <c r="C403" s="172"/>
      <c r="D403" s="172"/>
      <c r="F403" s="172"/>
      <c r="G403" s="172"/>
      <c r="H403" s="172"/>
      <c r="I403" s="172"/>
      <c r="J403" s="172"/>
      <c r="K403" s="172"/>
      <c r="L403" s="172"/>
      <c r="M403" s="172"/>
      <c r="N403" s="172"/>
      <c r="O403" s="172"/>
      <c r="P403" s="172"/>
      <c r="Q403" s="172"/>
      <c r="R403" s="172"/>
      <c r="S403" s="172"/>
    </row>
    <row r="404">
      <c r="A404" s="525"/>
      <c r="B404" s="528"/>
      <c r="C404" s="172"/>
      <c r="D404" s="172"/>
      <c r="F404" s="172"/>
      <c r="G404" s="172"/>
      <c r="H404" s="172"/>
      <c r="I404" s="172"/>
      <c r="J404" s="172"/>
      <c r="K404" s="172"/>
      <c r="L404" s="172"/>
      <c r="M404" s="172"/>
      <c r="N404" s="172"/>
      <c r="O404" s="172"/>
      <c r="P404" s="172"/>
      <c r="Q404" s="172"/>
      <c r="R404" s="172"/>
      <c r="S404" s="172"/>
    </row>
    <row r="405">
      <c r="A405" s="525"/>
      <c r="B405" s="528"/>
      <c r="C405" s="172"/>
      <c r="D405" s="172"/>
      <c r="F405" s="172"/>
      <c r="G405" s="172"/>
      <c r="H405" s="172"/>
      <c r="I405" s="172"/>
      <c r="J405" s="172"/>
      <c r="K405" s="172"/>
      <c r="L405" s="172"/>
      <c r="M405" s="172"/>
      <c r="N405" s="172"/>
      <c r="O405" s="172"/>
      <c r="P405" s="172"/>
      <c r="Q405" s="172"/>
      <c r="R405" s="172"/>
      <c r="S405" s="172"/>
    </row>
    <row r="406">
      <c r="A406" s="525"/>
      <c r="B406" s="528"/>
      <c r="C406" s="172"/>
      <c r="D406" s="172"/>
      <c r="F406" s="172"/>
      <c r="G406" s="172"/>
      <c r="H406" s="172"/>
      <c r="I406" s="172"/>
      <c r="J406" s="172"/>
      <c r="K406" s="172"/>
      <c r="L406" s="172"/>
      <c r="M406" s="172"/>
      <c r="N406" s="172"/>
      <c r="O406" s="172"/>
      <c r="P406" s="172"/>
      <c r="Q406" s="172"/>
      <c r="R406" s="172"/>
      <c r="S406" s="172"/>
    </row>
    <row r="407">
      <c r="A407" s="525"/>
      <c r="B407" s="528"/>
      <c r="C407" s="172"/>
      <c r="D407" s="172"/>
      <c r="F407" s="172"/>
      <c r="G407" s="172"/>
      <c r="H407" s="172"/>
      <c r="I407" s="172"/>
      <c r="J407" s="172"/>
      <c r="K407" s="172"/>
      <c r="L407" s="172"/>
      <c r="M407" s="172"/>
      <c r="N407" s="172"/>
      <c r="O407" s="172"/>
      <c r="P407" s="172"/>
      <c r="Q407" s="172"/>
      <c r="R407" s="172"/>
      <c r="S407" s="172"/>
    </row>
    <row r="408">
      <c r="A408" s="525"/>
      <c r="B408" s="528"/>
      <c r="C408" s="172"/>
      <c r="D408" s="172"/>
      <c r="F408" s="172"/>
      <c r="G408" s="172"/>
      <c r="H408" s="172"/>
      <c r="I408" s="172"/>
      <c r="J408" s="172"/>
      <c r="K408" s="172"/>
      <c r="L408" s="172"/>
      <c r="M408" s="172"/>
      <c r="N408" s="172"/>
      <c r="O408" s="172"/>
      <c r="P408" s="172"/>
      <c r="Q408" s="172"/>
      <c r="R408" s="172"/>
      <c r="S408" s="172"/>
    </row>
    <row r="409">
      <c r="A409" s="525"/>
      <c r="B409" s="528"/>
      <c r="C409" s="172"/>
      <c r="D409" s="172"/>
      <c r="F409" s="172"/>
      <c r="G409" s="172"/>
      <c r="H409" s="172"/>
      <c r="I409" s="172"/>
      <c r="J409" s="172"/>
      <c r="K409" s="172"/>
      <c r="L409" s="172"/>
      <c r="M409" s="172"/>
      <c r="N409" s="172"/>
      <c r="O409" s="172"/>
      <c r="P409" s="172"/>
      <c r="Q409" s="172"/>
      <c r="R409" s="172"/>
      <c r="S409" s="172"/>
    </row>
    <row r="410">
      <c r="A410" s="525"/>
      <c r="B410" s="528"/>
      <c r="C410" s="172"/>
      <c r="D410" s="172"/>
      <c r="F410" s="172"/>
      <c r="G410" s="172"/>
      <c r="H410" s="172"/>
      <c r="I410" s="172"/>
      <c r="J410" s="172"/>
      <c r="K410" s="172"/>
      <c r="L410" s="172"/>
      <c r="M410" s="172"/>
      <c r="N410" s="172"/>
      <c r="O410" s="172"/>
      <c r="P410" s="172"/>
      <c r="Q410" s="172"/>
      <c r="R410" s="172"/>
      <c r="S410" s="172"/>
    </row>
    <row r="411">
      <c r="A411" s="525"/>
      <c r="B411" s="528"/>
      <c r="C411" s="172"/>
      <c r="D411" s="172"/>
      <c r="F411" s="172"/>
      <c r="G411" s="172"/>
      <c r="H411" s="172"/>
      <c r="I411" s="172"/>
      <c r="J411" s="172"/>
      <c r="K411" s="172"/>
      <c r="L411" s="172"/>
      <c r="M411" s="172"/>
      <c r="N411" s="172"/>
      <c r="O411" s="172"/>
      <c r="P411" s="172"/>
      <c r="Q411" s="172"/>
      <c r="R411" s="172"/>
      <c r="S411" s="172"/>
    </row>
    <row r="412">
      <c r="A412" s="525"/>
      <c r="B412" s="528"/>
      <c r="C412" s="172"/>
      <c r="D412" s="172"/>
      <c r="F412" s="172"/>
      <c r="G412" s="172"/>
      <c r="H412" s="172"/>
      <c r="I412" s="172"/>
      <c r="J412" s="172"/>
      <c r="K412" s="172"/>
      <c r="L412" s="172"/>
      <c r="M412" s="172"/>
      <c r="N412" s="172"/>
      <c r="O412" s="172"/>
      <c r="P412" s="172"/>
      <c r="Q412" s="172"/>
      <c r="R412" s="172"/>
      <c r="S412" s="172"/>
    </row>
    <row r="413">
      <c r="A413" s="525"/>
      <c r="B413" s="528"/>
      <c r="C413" s="172"/>
      <c r="D413" s="172"/>
      <c r="F413" s="172"/>
      <c r="G413" s="172"/>
      <c r="H413" s="172"/>
      <c r="I413" s="172"/>
      <c r="J413" s="172"/>
      <c r="K413" s="172"/>
      <c r="L413" s="172"/>
      <c r="M413" s="172"/>
      <c r="N413" s="172"/>
      <c r="O413" s="172"/>
      <c r="P413" s="172"/>
      <c r="Q413" s="172"/>
      <c r="R413" s="172"/>
      <c r="S413" s="172"/>
    </row>
    <row r="414">
      <c r="A414" s="525"/>
      <c r="B414" s="528"/>
      <c r="C414" s="172"/>
      <c r="D414" s="172"/>
      <c r="F414" s="172"/>
      <c r="G414" s="172"/>
      <c r="H414" s="172"/>
      <c r="I414" s="172"/>
      <c r="J414" s="172"/>
      <c r="K414" s="172"/>
      <c r="L414" s="172"/>
      <c r="M414" s="172"/>
      <c r="N414" s="172"/>
      <c r="O414" s="172"/>
      <c r="P414" s="172"/>
      <c r="Q414" s="172"/>
      <c r="R414" s="172"/>
      <c r="S414" s="172"/>
    </row>
    <row r="415">
      <c r="A415" s="525"/>
      <c r="B415" s="528"/>
      <c r="C415" s="172"/>
      <c r="D415" s="172"/>
      <c r="F415" s="172"/>
      <c r="G415" s="172"/>
      <c r="H415" s="172"/>
      <c r="I415" s="172"/>
      <c r="J415" s="172"/>
      <c r="K415" s="172"/>
      <c r="L415" s="172"/>
      <c r="M415" s="172"/>
      <c r="N415" s="172"/>
      <c r="O415" s="172"/>
      <c r="P415" s="172"/>
      <c r="Q415" s="172"/>
      <c r="R415" s="172"/>
      <c r="S415" s="172"/>
    </row>
    <row r="416">
      <c r="A416" s="525"/>
      <c r="B416" s="528"/>
      <c r="C416" s="172"/>
      <c r="D416" s="172"/>
      <c r="F416" s="172"/>
      <c r="G416" s="172"/>
      <c r="H416" s="172"/>
      <c r="I416" s="172"/>
      <c r="J416" s="172"/>
      <c r="K416" s="172"/>
      <c r="L416" s="172"/>
      <c r="M416" s="172"/>
      <c r="N416" s="172"/>
      <c r="O416" s="172"/>
      <c r="P416" s="172"/>
      <c r="Q416" s="172"/>
      <c r="R416" s="172"/>
      <c r="S416" s="172"/>
    </row>
    <row r="417">
      <c r="A417" s="525"/>
      <c r="B417" s="528"/>
      <c r="C417" s="172"/>
      <c r="D417" s="172"/>
      <c r="F417" s="172"/>
      <c r="G417" s="172"/>
      <c r="H417" s="172"/>
      <c r="I417" s="172"/>
      <c r="J417" s="172"/>
      <c r="K417" s="172"/>
      <c r="L417" s="172"/>
      <c r="M417" s="172"/>
      <c r="N417" s="172"/>
      <c r="O417" s="172"/>
      <c r="P417" s="172"/>
      <c r="Q417" s="172"/>
      <c r="R417" s="172"/>
      <c r="S417" s="172"/>
    </row>
    <row r="418">
      <c r="A418" s="525"/>
      <c r="B418" s="528"/>
      <c r="C418" s="172"/>
      <c r="D418" s="172"/>
      <c r="F418" s="172"/>
      <c r="G418" s="172"/>
      <c r="H418" s="172"/>
      <c r="I418" s="172"/>
      <c r="J418" s="172"/>
      <c r="K418" s="172"/>
      <c r="L418" s="172"/>
      <c r="M418" s="172"/>
      <c r="N418" s="172"/>
      <c r="O418" s="172"/>
      <c r="P418" s="172"/>
      <c r="Q418" s="172"/>
      <c r="R418" s="172"/>
      <c r="S418" s="172"/>
    </row>
    <row r="419">
      <c r="A419" s="525"/>
      <c r="B419" s="528"/>
      <c r="C419" s="172"/>
      <c r="D419" s="172"/>
      <c r="F419" s="172"/>
      <c r="G419" s="172"/>
      <c r="H419" s="172"/>
      <c r="I419" s="172"/>
      <c r="J419" s="172"/>
      <c r="K419" s="172"/>
      <c r="L419" s="172"/>
      <c r="M419" s="172"/>
      <c r="N419" s="172"/>
      <c r="O419" s="172"/>
      <c r="P419" s="172"/>
      <c r="Q419" s="172"/>
      <c r="R419" s="172"/>
      <c r="S419" s="172"/>
    </row>
    <row r="420">
      <c r="A420" s="525"/>
      <c r="B420" s="528"/>
      <c r="C420" s="172"/>
      <c r="D420" s="172"/>
      <c r="F420" s="172"/>
      <c r="G420" s="172"/>
      <c r="H420" s="172"/>
      <c r="I420" s="172"/>
      <c r="J420" s="172"/>
      <c r="K420" s="172"/>
      <c r="L420" s="172"/>
      <c r="M420" s="172"/>
      <c r="N420" s="172"/>
      <c r="O420" s="172"/>
      <c r="P420" s="172"/>
      <c r="Q420" s="172"/>
      <c r="R420" s="172"/>
      <c r="S420" s="172"/>
    </row>
    <row r="421">
      <c r="A421" s="525"/>
      <c r="B421" s="528"/>
      <c r="C421" s="172"/>
      <c r="D421" s="172"/>
      <c r="F421" s="172"/>
      <c r="G421" s="172"/>
      <c r="H421" s="172"/>
      <c r="I421" s="172"/>
      <c r="J421" s="172"/>
      <c r="K421" s="172"/>
      <c r="L421" s="172"/>
      <c r="M421" s="172"/>
      <c r="N421" s="172"/>
      <c r="O421" s="172"/>
      <c r="P421" s="172"/>
      <c r="Q421" s="172"/>
      <c r="R421" s="172"/>
      <c r="S421" s="172"/>
    </row>
    <row r="422">
      <c r="A422" s="525"/>
      <c r="B422" s="528"/>
      <c r="C422" s="172"/>
      <c r="D422" s="172"/>
      <c r="F422" s="172"/>
      <c r="G422" s="172"/>
      <c r="H422" s="172"/>
      <c r="I422" s="172"/>
      <c r="J422" s="172"/>
      <c r="K422" s="172"/>
      <c r="L422" s="172"/>
      <c r="M422" s="172"/>
      <c r="N422" s="172"/>
      <c r="O422" s="172"/>
      <c r="P422" s="172"/>
      <c r="Q422" s="172"/>
      <c r="R422" s="172"/>
      <c r="S422" s="172"/>
    </row>
    <row r="423">
      <c r="A423" s="525"/>
      <c r="B423" s="528"/>
      <c r="C423" s="172"/>
      <c r="D423" s="172"/>
      <c r="F423" s="172"/>
      <c r="G423" s="172"/>
      <c r="H423" s="172"/>
      <c r="I423" s="172"/>
      <c r="J423" s="172"/>
      <c r="K423" s="172"/>
      <c r="L423" s="172"/>
      <c r="M423" s="172"/>
      <c r="N423" s="172"/>
      <c r="O423" s="172"/>
      <c r="P423" s="172"/>
      <c r="Q423" s="172"/>
      <c r="R423" s="172"/>
      <c r="S423" s="172"/>
    </row>
    <row r="424">
      <c r="A424" s="525"/>
      <c r="B424" s="528"/>
      <c r="C424" s="172"/>
      <c r="D424" s="172"/>
      <c r="F424" s="172"/>
      <c r="G424" s="172"/>
      <c r="H424" s="172"/>
      <c r="I424" s="172"/>
      <c r="J424" s="172"/>
      <c r="K424" s="172"/>
      <c r="L424" s="172"/>
      <c r="M424" s="172"/>
      <c r="N424" s="172"/>
      <c r="O424" s="172"/>
      <c r="P424" s="172"/>
      <c r="Q424" s="172"/>
      <c r="R424" s="172"/>
      <c r="S424" s="172"/>
    </row>
    <row r="425">
      <c r="A425" s="525"/>
      <c r="B425" s="528"/>
      <c r="C425" s="172"/>
      <c r="D425" s="172"/>
      <c r="F425" s="172"/>
      <c r="G425" s="172"/>
      <c r="H425" s="172"/>
      <c r="I425" s="172"/>
      <c r="J425" s="172"/>
      <c r="K425" s="172"/>
      <c r="L425" s="172"/>
      <c r="M425" s="172"/>
      <c r="N425" s="172"/>
      <c r="O425" s="172"/>
      <c r="P425" s="172"/>
      <c r="Q425" s="172"/>
      <c r="R425" s="172"/>
      <c r="S425" s="172"/>
    </row>
    <row r="426">
      <c r="A426" s="525"/>
      <c r="B426" s="528"/>
      <c r="C426" s="172"/>
      <c r="D426" s="172"/>
      <c r="F426" s="172"/>
      <c r="G426" s="172"/>
      <c r="H426" s="172"/>
      <c r="I426" s="172"/>
      <c r="J426" s="172"/>
      <c r="K426" s="172"/>
      <c r="L426" s="172"/>
      <c r="M426" s="172"/>
      <c r="N426" s="172"/>
      <c r="O426" s="172"/>
      <c r="P426" s="172"/>
      <c r="Q426" s="172"/>
      <c r="R426" s="172"/>
      <c r="S426" s="172"/>
    </row>
    <row r="427">
      <c r="A427" s="525"/>
      <c r="B427" s="528"/>
      <c r="C427" s="172"/>
      <c r="D427" s="172"/>
      <c r="F427" s="172"/>
      <c r="G427" s="172"/>
      <c r="H427" s="172"/>
      <c r="I427" s="172"/>
      <c r="J427" s="172"/>
      <c r="K427" s="172"/>
      <c r="L427" s="172"/>
      <c r="M427" s="172"/>
      <c r="N427" s="172"/>
      <c r="O427" s="172"/>
      <c r="P427" s="172"/>
      <c r="Q427" s="172"/>
      <c r="R427" s="172"/>
      <c r="S427" s="172"/>
    </row>
    <row r="428">
      <c r="A428" s="525"/>
      <c r="B428" s="528"/>
      <c r="C428" s="172"/>
      <c r="D428" s="172"/>
      <c r="F428" s="172"/>
      <c r="G428" s="172"/>
      <c r="H428" s="172"/>
      <c r="I428" s="172"/>
      <c r="J428" s="172"/>
      <c r="K428" s="172"/>
      <c r="L428" s="172"/>
      <c r="M428" s="172"/>
      <c r="N428" s="172"/>
      <c r="O428" s="172"/>
      <c r="P428" s="172"/>
      <c r="Q428" s="172"/>
      <c r="R428" s="172"/>
      <c r="S428" s="172"/>
    </row>
    <row r="429">
      <c r="A429" s="525"/>
      <c r="B429" s="528"/>
      <c r="C429" s="172"/>
      <c r="D429" s="172"/>
      <c r="F429" s="172"/>
      <c r="G429" s="172"/>
      <c r="H429" s="172"/>
      <c r="I429" s="172"/>
      <c r="J429" s="172"/>
      <c r="K429" s="172"/>
      <c r="L429" s="172"/>
      <c r="M429" s="172"/>
      <c r="N429" s="172"/>
      <c r="O429" s="172"/>
      <c r="P429" s="172"/>
      <c r="Q429" s="172"/>
      <c r="R429" s="172"/>
      <c r="S429" s="172"/>
    </row>
    <row r="430">
      <c r="A430" s="525"/>
      <c r="B430" s="528"/>
      <c r="C430" s="172"/>
      <c r="D430" s="172"/>
      <c r="F430" s="172"/>
      <c r="G430" s="172"/>
      <c r="H430" s="172"/>
      <c r="I430" s="172"/>
      <c r="J430" s="172"/>
      <c r="K430" s="172"/>
      <c r="L430" s="172"/>
      <c r="M430" s="172"/>
      <c r="N430" s="172"/>
      <c r="O430" s="172"/>
      <c r="P430" s="172"/>
      <c r="Q430" s="172"/>
      <c r="R430" s="172"/>
      <c r="S430" s="172"/>
    </row>
    <row r="431">
      <c r="A431" s="525"/>
      <c r="B431" s="528"/>
      <c r="C431" s="172"/>
      <c r="D431" s="172"/>
      <c r="F431" s="172"/>
      <c r="G431" s="172"/>
      <c r="H431" s="172"/>
      <c r="I431" s="172"/>
      <c r="J431" s="172"/>
      <c r="K431" s="172"/>
      <c r="L431" s="172"/>
      <c r="M431" s="172"/>
      <c r="N431" s="172"/>
      <c r="O431" s="172"/>
      <c r="P431" s="172"/>
      <c r="Q431" s="172"/>
      <c r="R431" s="172"/>
      <c r="S431" s="172"/>
    </row>
    <row r="432">
      <c r="A432" s="525"/>
      <c r="B432" s="528"/>
      <c r="C432" s="172"/>
      <c r="D432" s="172"/>
      <c r="F432" s="172"/>
      <c r="G432" s="172"/>
      <c r="H432" s="172"/>
      <c r="I432" s="172"/>
      <c r="J432" s="172"/>
      <c r="K432" s="172"/>
      <c r="L432" s="172"/>
      <c r="M432" s="172"/>
      <c r="N432" s="172"/>
      <c r="O432" s="172"/>
      <c r="P432" s="172"/>
      <c r="Q432" s="172"/>
      <c r="R432" s="172"/>
      <c r="S432" s="172"/>
    </row>
    <row r="433">
      <c r="A433" s="525"/>
      <c r="B433" s="528"/>
      <c r="C433" s="172"/>
      <c r="D433" s="172"/>
      <c r="F433" s="172"/>
      <c r="G433" s="172"/>
      <c r="H433" s="172"/>
      <c r="I433" s="172"/>
      <c r="J433" s="172"/>
      <c r="K433" s="172"/>
      <c r="L433" s="172"/>
      <c r="M433" s="172"/>
      <c r="N433" s="172"/>
      <c r="O433" s="172"/>
      <c r="P433" s="172"/>
      <c r="Q433" s="172"/>
      <c r="R433" s="172"/>
      <c r="S433" s="172"/>
    </row>
    <row r="434">
      <c r="A434" s="525"/>
      <c r="B434" s="528"/>
      <c r="C434" s="172"/>
      <c r="D434" s="172"/>
      <c r="F434" s="172"/>
      <c r="G434" s="172"/>
      <c r="H434" s="172"/>
      <c r="I434" s="172"/>
      <c r="J434" s="172"/>
      <c r="K434" s="172"/>
      <c r="L434" s="172"/>
      <c r="M434" s="172"/>
      <c r="N434" s="172"/>
      <c r="O434" s="172"/>
      <c r="P434" s="172"/>
      <c r="Q434" s="172"/>
      <c r="R434" s="172"/>
      <c r="S434" s="172"/>
    </row>
    <row r="435">
      <c r="A435" s="525"/>
      <c r="B435" s="528"/>
      <c r="C435" s="172"/>
      <c r="D435" s="172"/>
      <c r="F435" s="172"/>
      <c r="G435" s="172"/>
      <c r="H435" s="172"/>
      <c r="I435" s="172"/>
      <c r="J435" s="172"/>
      <c r="K435" s="172"/>
      <c r="L435" s="172"/>
      <c r="M435" s="172"/>
      <c r="N435" s="172"/>
      <c r="O435" s="172"/>
      <c r="P435" s="172"/>
      <c r="Q435" s="172"/>
      <c r="R435" s="172"/>
      <c r="S435" s="172"/>
    </row>
    <row r="436">
      <c r="A436" s="525"/>
      <c r="B436" s="528"/>
      <c r="C436" s="172"/>
      <c r="D436" s="172"/>
      <c r="F436" s="172"/>
      <c r="G436" s="172"/>
      <c r="H436" s="172"/>
      <c r="I436" s="172"/>
      <c r="J436" s="172"/>
      <c r="K436" s="172"/>
      <c r="L436" s="172"/>
      <c r="M436" s="172"/>
      <c r="N436" s="172"/>
      <c r="O436" s="172"/>
      <c r="P436" s="172"/>
      <c r="Q436" s="172"/>
      <c r="R436" s="172"/>
      <c r="S436" s="172"/>
    </row>
    <row r="437">
      <c r="A437" s="525"/>
      <c r="B437" s="528"/>
      <c r="C437" s="172"/>
      <c r="D437" s="172"/>
      <c r="F437" s="172"/>
      <c r="G437" s="172"/>
      <c r="H437" s="172"/>
      <c r="I437" s="172"/>
      <c r="J437" s="172"/>
      <c r="K437" s="172"/>
      <c r="L437" s="172"/>
      <c r="M437" s="172"/>
      <c r="N437" s="172"/>
      <c r="O437" s="172"/>
      <c r="P437" s="172"/>
      <c r="Q437" s="172"/>
      <c r="R437" s="172"/>
      <c r="S437" s="172"/>
    </row>
    <row r="438">
      <c r="A438" s="525"/>
      <c r="B438" s="528"/>
      <c r="C438" s="172"/>
      <c r="D438" s="172"/>
      <c r="F438" s="172"/>
      <c r="G438" s="172"/>
      <c r="H438" s="172"/>
      <c r="I438" s="172"/>
      <c r="J438" s="172"/>
      <c r="K438" s="172"/>
      <c r="L438" s="172"/>
      <c r="M438" s="172"/>
      <c r="N438" s="172"/>
      <c r="O438" s="172"/>
      <c r="P438" s="172"/>
      <c r="Q438" s="172"/>
      <c r="R438" s="172"/>
      <c r="S438" s="172"/>
    </row>
    <row r="439">
      <c r="A439" s="525"/>
      <c r="B439" s="528"/>
      <c r="C439" s="172"/>
      <c r="D439" s="172"/>
      <c r="F439" s="172"/>
      <c r="G439" s="172"/>
      <c r="H439" s="172"/>
      <c r="I439" s="172"/>
      <c r="J439" s="172"/>
      <c r="K439" s="172"/>
      <c r="L439" s="172"/>
      <c r="M439" s="172"/>
      <c r="N439" s="172"/>
      <c r="O439" s="172"/>
      <c r="P439" s="172"/>
      <c r="Q439" s="172"/>
      <c r="R439" s="172"/>
      <c r="S439" s="172"/>
    </row>
    <row r="440">
      <c r="A440" s="525"/>
      <c r="B440" s="528"/>
      <c r="C440" s="172"/>
      <c r="D440" s="172"/>
      <c r="F440" s="172"/>
      <c r="G440" s="172"/>
      <c r="H440" s="172"/>
      <c r="I440" s="172"/>
      <c r="J440" s="172"/>
      <c r="K440" s="172"/>
      <c r="L440" s="172"/>
      <c r="M440" s="172"/>
      <c r="N440" s="172"/>
      <c r="O440" s="172"/>
      <c r="P440" s="172"/>
      <c r="Q440" s="172"/>
      <c r="R440" s="172"/>
      <c r="S440" s="172"/>
    </row>
    <row r="441">
      <c r="A441" s="525"/>
      <c r="B441" s="528"/>
      <c r="C441" s="172"/>
      <c r="D441" s="172"/>
      <c r="F441" s="172"/>
      <c r="G441" s="172"/>
      <c r="H441" s="172"/>
      <c r="I441" s="172"/>
      <c r="J441" s="172"/>
      <c r="K441" s="172"/>
      <c r="L441" s="172"/>
      <c r="M441" s="172"/>
      <c r="N441" s="172"/>
      <c r="O441" s="172"/>
      <c r="P441" s="172"/>
      <c r="Q441" s="172"/>
      <c r="R441" s="172"/>
      <c r="S441" s="172"/>
    </row>
    <row r="442">
      <c r="A442" s="525"/>
      <c r="B442" s="528"/>
      <c r="C442" s="172"/>
      <c r="D442" s="172"/>
      <c r="F442" s="172"/>
      <c r="G442" s="172"/>
      <c r="H442" s="172"/>
      <c r="I442" s="172"/>
      <c r="J442" s="172"/>
      <c r="K442" s="172"/>
      <c r="L442" s="172"/>
      <c r="M442" s="172"/>
      <c r="N442" s="172"/>
      <c r="O442" s="172"/>
      <c r="P442" s="172"/>
      <c r="Q442" s="172"/>
      <c r="R442" s="172"/>
      <c r="S442" s="172"/>
    </row>
    <row r="443">
      <c r="A443" s="525"/>
      <c r="B443" s="528"/>
      <c r="C443" s="172"/>
      <c r="D443" s="172"/>
      <c r="F443" s="172"/>
      <c r="G443" s="172"/>
      <c r="H443" s="172"/>
      <c r="I443" s="172"/>
      <c r="J443" s="172"/>
      <c r="K443" s="172"/>
      <c r="L443" s="172"/>
      <c r="M443" s="172"/>
      <c r="N443" s="172"/>
      <c r="O443" s="172"/>
      <c r="P443" s="172"/>
      <c r="Q443" s="172"/>
      <c r="R443" s="172"/>
      <c r="S443" s="172"/>
    </row>
    <row r="444">
      <c r="A444" s="525"/>
      <c r="B444" s="528"/>
      <c r="C444" s="172"/>
      <c r="D444" s="172"/>
      <c r="F444" s="172"/>
      <c r="G444" s="172"/>
      <c r="H444" s="172"/>
      <c r="I444" s="172"/>
      <c r="J444" s="172"/>
      <c r="K444" s="172"/>
      <c r="L444" s="172"/>
      <c r="M444" s="172"/>
      <c r="N444" s="172"/>
      <c r="O444" s="172"/>
      <c r="P444" s="172"/>
      <c r="Q444" s="172"/>
      <c r="R444" s="172"/>
      <c r="S444" s="172"/>
    </row>
    <row r="445">
      <c r="A445" s="525"/>
      <c r="B445" s="528"/>
      <c r="C445" s="172"/>
      <c r="D445" s="172"/>
      <c r="F445" s="172"/>
      <c r="G445" s="172"/>
      <c r="H445" s="172"/>
      <c r="I445" s="172"/>
      <c r="J445" s="172"/>
      <c r="K445" s="172"/>
      <c r="L445" s="172"/>
      <c r="M445" s="172"/>
      <c r="N445" s="172"/>
      <c r="O445" s="172"/>
      <c r="P445" s="172"/>
      <c r="Q445" s="172"/>
      <c r="R445" s="172"/>
      <c r="S445" s="172"/>
    </row>
    <row r="446">
      <c r="A446" s="525"/>
      <c r="B446" s="528"/>
      <c r="C446" s="172"/>
      <c r="D446" s="172"/>
      <c r="F446" s="172"/>
      <c r="G446" s="172"/>
      <c r="H446" s="172"/>
      <c r="I446" s="172"/>
      <c r="J446" s="172"/>
      <c r="K446" s="172"/>
      <c r="L446" s="172"/>
      <c r="M446" s="172"/>
      <c r="N446" s="172"/>
      <c r="O446" s="172"/>
      <c r="P446" s="172"/>
      <c r="Q446" s="172"/>
      <c r="R446" s="172"/>
      <c r="S446" s="172"/>
    </row>
    <row r="447">
      <c r="A447" s="525"/>
      <c r="B447" s="528"/>
      <c r="C447" s="172"/>
      <c r="D447" s="172"/>
      <c r="F447" s="172"/>
      <c r="G447" s="172"/>
      <c r="H447" s="172"/>
      <c r="I447" s="172"/>
      <c r="J447" s="172"/>
      <c r="K447" s="172"/>
      <c r="L447" s="172"/>
      <c r="M447" s="172"/>
      <c r="N447" s="172"/>
      <c r="O447" s="172"/>
      <c r="P447" s="172"/>
      <c r="Q447" s="172"/>
      <c r="R447" s="172"/>
      <c r="S447" s="172"/>
    </row>
    <row r="448">
      <c r="A448" s="525"/>
      <c r="B448" s="528"/>
      <c r="C448" s="172"/>
      <c r="D448" s="172"/>
      <c r="F448" s="172"/>
      <c r="G448" s="172"/>
      <c r="H448" s="172"/>
      <c r="I448" s="172"/>
      <c r="J448" s="172"/>
      <c r="K448" s="172"/>
      <c r="L448" s="172"/>
      <c r="M448" s="172"/>
      <c r="N448" s="172"/>
      <c r="O448" s="172"/>
      <c r="P448" s="172"/>
      <c r="Q448" s="172"/>
      <c r="R448" s="172"/>
      <c r="S448" s="172"/>
    </row>
    <row r="449">
      <c r="A449" s="525"/>
      <c r="B449" s="528"/>
      <c r="C449" s="172"/>
      <c r="D449" s="172"/>
      <c r="F449" s="172"/>
      <c r="G449" s="172"/>
      <c r="H449" s="172"/>
      <c r="I449" s="172"/>
      <c r="J449" s="172"/>
      <c r="K449" s="172"/>
      <c r="L449" s="172"/>
      <c r="M449" s="172"/>
      <c r="N449" s="172"/>
      <c r="O449" s="172"/>
      <c r="P449" s="172"/>
      <c r="Q449" s="172"/>
      <c r="R449" s="172"/>
      <c r="S449" s="172"/>
    </row>
    <row r="450">
      <c r="A450" s="525"/>
      <c r="B450" s="528"/>
      <c r="C450" s="172"/>
      <c r="D450" s="172"/>
      <c r="F450" s="172"/>
      <c r="G450" s="172"/>
      <c r="H450" s="172"/>
      <c r="I450" s="172"/>
      <c r="J450" s="172"/>
      <c r="K450" s="172"/>
      <c r="L450" s="172"/>
      <c r="M450" s="172"/>
      <c r="N450" s="172"/>
      <c r="O450" s="172"/>
      <c r="P450" s="172"/>
      <c r="Q450" s="172"/>
      <c r="R450" s="172"/>
      <c r="S450" s="172"/>
    </row>
    <row r="451">
      <c r="A451" s="525"/>
      <c r="B451" s="528"/>
      <c r="C451" s="172"/>
      <c r="D451" s="172"/>
      <c r="F451" s="172"/>
      <c r="G451" s="172"/>
      <c r="H451" s="172"/>
      <c r="I451" s="172"/>
      <c r="J451" s="172"/>
      <c r="K451" s="172"/>
      <c r="L451" s="172"/>
      <c r="M451" s="172"/>
      <c r="N451" s="172"/>
      <c r="O451" s="172"/>
      <c r="P451" s="172"/>
      <c r="Q451" s="172"/>
      <c r="R451" s="172"/>
      <c r="S451" s="172"/>
    </row>
    <row r="452">
      <c r="A452" s="525"/>
      <c r="B452" s="528"/>
      <c r="C452" s="172"/>
      <c r="D452" s="172"/>
      <c r="F452" s="172"/>
      <c r="G452" s="172"/>
      <c r="H452" s="172"/>
      <c r="I452" s="172"/>
      <c r="J452" s="172"/>
      <c r="K452" s="172"/>
      <c r="L452" s="172"/>
      <c r="M452" s="172"/>
      <c r="N452" s="172"/>
      <c r="O452" s="172"/>
      <c r="P452" s="172"/>
      <c r="Q452" s="172"/>
      <c r="R452" s="172"/>
      <c r="S452" s="172"/>
    </row>
    <row r="453">
      <c r="A453" s="525"/>
      <c r="B453" s="528"/>
      <c r="C453" s="172"/>
      <c r="D453" s="172"/>
      <c r="F453" s="172"/>
      <c r="G453" s="172"/>
      <c r="H453" s="172"/>
      <c r="I453" s="172"/>
      <c r="J453" s="172"/>
      <c r="K453" s="172"/>
      <c r="L453" s="172"/>
      <c r="M453" s="172"/>
      <c r="N453" s="172"/>
      <c r="O453" s="172"/>
      <c r="P453" s="172"/>
      <c r="Q453" s="172"/>
      <c r="R453" s="172"/>
      <c r="S453" s="172"/>
    </row>
    <row r="454">
      <c r="A454" s="525"/>
      <c r="B454" s="528"/>
      <c r="C454" s="172"/>
      <c r="D454" s="172"/>
      <c r="F454" s="172"/>
      <c r="G454" s="172"/>
      <c r="H454" s="172"/>
      <c r="I454" s="172"/>
      <c r="J454" s="172"/>
      <c r="K454" s="172"/>
      <c r="L454" s="172"/>
      <c r="M454" s="172"/>
      <c r="N454" s="172"/>
      <c r="O454" s="172"/>
      <c r="P454" s="172"/>
      <c r="Q454" s="172"/>
      <c r="R454" s="172"/>
      <c r="S454" s="172"/>
    </row>
    <row r="455">
      <c r="A455" s="525"/>
      <c r="B455" s="528"/>
      <c r="C455" s="172"/>
      <c r="D455" s="172"/>
      <c r="F455" s="172"/>
      <c r="G455" s="172"/>
      <c r="H455" s="172"/>
      <c r="I455" s="172"/>
      <c r="J455" s="172"/>
      <c r="K455" s="172"/>
      <c r="L455" s="172"/>
      <c r="M455" s="172"/>
      <c r="N455" s="172"/>
      <c r="O455" s="172"/>
      <c r="P455" s="172"/>
      <c r="Q455" s="172"/>
      <c r="R455" s="172"/>
      <c r="S455" s="172"/>
    </row>
    <row r="456">
      <c r="A456" s="525"/>
      <c r="B456" s="528"/>
      <c r="C456" s="172"/>
      <c r="D456" s="172"/>
      <c r="F456" s="172"/>
      <c r="G456" s="172"/>
      <c r="H456" s="172"/>
      <c r="I456" s="172"/>
      <c r="J456" s="172"/>
      <c r="K456" s="172"/>
      <c r="L456" s="172"/>
      <c r="M456" s="172"/>
      <c r="N456" s="172"/>
      <c r="O456" s="172"/>
      <c r="P456" s="172"/>
      <c r="Q456" s="172"/>
      <c r="R456" s="172"/>
      <c r="S456" s="172"/>
    </row>
    <row r="457">
      <c r="A457" s="525"/>
      <c r="B457" s="528"/>
      <c r="C457" s="172"/>
      <c r="D457" s="172"/>
      <c r="F457" s="172"/>
      <c r="G457" s="172"/>
      <c r="H457" s="172"/>
      <c r="I457" s="172"/>
      <c r="J457" s="172"/>
      <c r="K457" s="172"/>
      <c r="L457" s="172"/>
      <c r="M457" s="172"/>
      <c r="N457" s="172"/>
      <c r="O457" s="172"/>
      <c r="P457" s="172"/>
      <c r="Q457" s="172"/>
      <c r="R457" s="172"/>
      <c r="S457" s="172"/>
    </row>
    <row r="458">
      <c r="A458" s="525"/>
      <c r="B458" s="528"/>
      <c r="C458" s="172"/>
      <c r="D458" s="172"/>
      <c r="F458" s="172"/>
      <c r="G458" s="172"/>
      <c r="H458" s="172"/>
      <c r="I458" s="172"/>
      <c r="J458" s="172"/>
      <c r="K458" s="172"/>
      <c r="L458" s="172"/>
      <c r="M458" s="172"/>
      <c r="N458" s="172"/>
      <c r="O458" s="172"/>
      <c r="P458" s="172"/>
      <c r="Q458" s="172"/>
      <c r="R458" s="172"/>
      <c r="S458" s="172"/>
    </row>
    <row r="459">
      <c r="A459" s="525"/>
      <c r="B459" s="528"/>
      <c r="C459" s="172"/>
      <c r="D459" s="172"/>
      <c r="F459" s="172"/>
      <c r="G459" s="172"/>
      <c r="H459" s="172"/>
      <c r="I459" s="172"/>
      <c r="J459" s="172"/>
      <c r="K459" s="172"/>
      <c r="L459" s="172"/>
      <c r="M459" s="172"/>
      <c r="N459" s="172"/>
      <c r="O459" s="172"/>
      <c r="P459" s="172"/>
      <c r="Q459" s="172"/>
      <c r="R459" s="172"/>
      <c r="S459" s="172"/>
    </row>
    <row r="460">
      <c r="A460" s="525"/>
      <c r="B460" s="528"/>
      <c r="C460" s="172"/>
      <c r="D460" s="172"/>
      <c r="F460" s="172"/>
      <c r="G460" s="172"/>
      <c r="H460" s="172"/>
      <c r="I460" s="172"/>
      <c r="J460" s="172"/>
      <c r="K460" s="172"/>
      <c r="L460" s="172"/>
      <c r="M460" s="172"/>
      <c r="N460" s="172"/>
      <c r="O460" s="172"/>
      <c r="P460" s="172"/>
      <c r="Q460" s="172"/>
      <c r="R460" s="172"/>
      <c r="S460" s="172"/>
    </row>
    <row r="461">
      <c r="A461" s="525"/>
      <c r="B461" s="528"/>
      <c r="C461" s="172"/>
      <c r="D461" s="172"/>
      <c r="F461" s="172"/>
      <c r="G461" s="172"/>
      <c r="H461" s="172"/>
      <c r="I461" s="172"/>
      <c r="J461" s="172"/>
      <c r="K461" s="172"/>
      <c r="L461" s="172"/>
      <c r="M461" s="172"/>
      <c r="N461" s="172"/>
      <c r="O461" s="172"/>
      <c r="P461" s="172"/>
      <c r="Q461" s="172"/>
      <c r="R461" s="172"/>
      <c r="S461" s="172"/>
    </row>
    <row r="462">
      <c r="A462" s="525"/>
      <c r="B462" s="528"/>
      <c r="C462" s="172"/>
      <c r="D462" s="172"/>
      <c r="F462" s="172"/>
      <c r="G462" s="172"/>
      <c r="H462" s="172"/>
      <c r="I462" s="172"/>
      <c r="J462" s="172"/>
      <c r="K462" s="172"/>
      <c r="L462" s="172"/>
      <c r="M462" s="172"/>
      <c r="N462" s="172"/>
      <c r="O462" s="172"/>
      <c r="P462" s="172"/>
      <c r="Q462" s="172"/>
      <c r="R462" s="172"/>
      <c r="S462" s="172"/>
    </row>
    <row r="463">
      <c r="A463" s="525"/>
      <c r="B463" s="528"/>
      <c r="C463" s="172"/>
      <c r="D463" s="172"/>
      <c r="F463" s="172"/>
      <c r="G463" s="172"/>
      <c r="H463" s="172"/>
      <c r="I463" s="172"/>
      <c r="J463" s="172"/>
      <c r="K463" s="172"/>
      <c r="L463" s="172"/>
      <c r="M463" s="172"/>
      <c r="N463" s="172"/>
      <c r="O463" s="172"/>
      <c r="P463" s="172"/>
      <c r="Q463" s="172"/>
      <c r="R463" s="172"/>
      <c r="S463" s="172"/>
    </row>
    <row r="464">
      <c r="A464" s="525"/>
      <c r="B464" s="528"/>
      <c r="C464" s="172"/>
      <c r="D464" s="172"/>
      <c r="F464" s="172"/>
      <c r="G464" s="172"/>
      <c r="H464" s="172"/>
      <c r="I464" s="172"/>
      <c r="J464" s="172"/>
      <c r="K464" s="172"/>
      <c r="L464" s="172"/>
      <c r="M464" s="172"/>
      <c r="N464" s="172"/>
      <c r="O464" s="172"/>
      <c r="P464" s="172"/>
      <c r="Q464" s="172"/>
      <c r="R464" s="172"/>
      <c r="S464" s="172"/>
    </row>
    <row r="465">
      <c r="A465" s="525"/>
      <c r="B465" s="528"/>
      <c r="C465" s="172"/>
      <c r="D465" s="172"/>
      <c r="F465" s="172"/>
      <c r="G465" s="172"/>
      <c r="H465" s="172"/>
      <c r="I465" s="172"/>
      <c r="J465" s="172"/>
      <c r="K465" s="172"/>
      <c r="L465" s="172"/>
      <c r="M465" s="172"/>
      <c r="N465" s="172"/>
      <c r="O465" s="172"/>
      <c r="P465" s="172"/>
      <c r="Q465" s="172"/>
      <c r="R465" s="172"/>
      <c r="S465" s="172"/>
    </row>
    <row r="466">
      <c r="A466" s="525"/>
      <c r="B466" s="528"/>
      <c r="C466" s="172"/>
      <c r="D466" s="172"/>
      <c r="F466" s="172"/>
      <c r="G466" s="172"/>
      <c r="H466" s="172"/>
      <c r="I466" s="172"/>
      <c r="J466" s="172"/>
      <c r="K466" s="172"/>
      <c r="L466" s="172"/>
      <c r="M466" s="172"/>
      <c r="N466" s="172"/>
      <c r="O466" s="172"/>
      <c r="P466" s="172"/>
      <c r="Q466" s="172"/>
      <c r="R466" s="172"/>
      <c r="S466" s="172"/>
    </row>
    <row r="467">
      <c r="A467" s="525"/>
      <c r="B467" s="528"/>
      <c r="C467" s="172"/>
      <c r="D467" s="172"/>
      <c r="F467" s="172"/>
      <c r="G467" s="172"/>
      <c r="H467" s="172"/>
      <c r="I467" s="172"/>
      <c r="J467" s="172"/>
      <c r="K467" s="172"/>
      <c r="L467" s="172"/>
      <c r="M467" s="172"/>
      <c r="N467" s="172"/>
      <c r="O467" s="172"/>
      <c r="P467" s="172"/>
      <c r="Q467" s="172"/>
      <c r="R467" s="172"/>
      <c r="S467" s="172"/>
    </row>
    <row r="468">
      <c r="A468" s="525"/>
      <c r="B468" s="528"/>
      <c r="C468" s="172"/>
      <c r="D468" s="172"/>
      <c r="F468" s="172"/>
      <c r="G468" s="172"/>
      <c r="H468" s="172"/>
      <c r="I468" s="172"/>
      <c r="J468" s="172"/>
      <c r="K468" s="172"/>
      <c r="L468" s="172"/>
      <c r="M468" s="172"/>
      <c r="N468" s="172"/>
      <c r="O468" s="172"/>
      <c r="P468" s="172"/>
      <c r="Q468" s="172"/>
      <c r="R468" s="172"/>
      <c r="S468" s="172"/>
    </row>
    <row r="469">
      <c r="A469" s="525"/>
      <c r="B469" s="528"/>
      <c r="C469" s="172"/>
      <c r="D469" s="172"/>
      <c r="F469" s="172"/>
      <c r="G469" s="172"/>
      <c r="H469" s="172"/>
      <c r="I469" s="172"/>
      <c r="J469" s="172"/>
      <c r="K469" s="172"/>
      <c r="L469" s="172"/>
      <c r="M469" s="172"/>
      <c r="N469" s="172"/>
      <c r="O469" s="172"/>
      <c r="P469" s="172"/>
      <c r="Q469" s="172"/>
      <c r="R469" s="172"/>
      <c r="S469" s="172"/>
    </row>
    <row r="470">
      <c r="A470" s="525"/>
      <c r="B470" s="528"/>
      <c r="C470" s="172"/>
      <c r="D470" s="172"/>
      <c r="F470" s="172"/>
      <c r="G470" s="172"/>
      <c r="H470" s="172"/>
      <c r="I470" s="172"/>
      <c r="J470" s="172"/>
      <c r="K470" s="172"/>
      <c r="L470" s="172"/>
      <c r="M470" s="172"/>
      <c r="N470" s="172"/>
      <c r="O470" s="172"/>
      <c r="P470" s="172"/>
      <c r="Q470" s="172"/>
      <c r="R470" s="172"/>
      <c r="S470" s="172"/>
    </row>
    <row r="471">
      <c r="A471" s="525"/>
      <c r="B471" s="528"/>
      <c r="C471" s="172"/>
      <c r="D471" s="172"/>
      <c r="F471" s="172"/>
      <c r="G471" s="172"/>
      <c r="H471" s="172"/>
      <c r="I471" s="172"/>
      <c r="J471" s="172"/>
      <c r="K471" s="172"/>
      <c r="L471" s="172"/>
      <c r="M471" s="172"/>
      <c r="N471" s="172"/>
      <c r="O471" s="172"/>
      <c r="P471" s="172"/>
      <c r="Q471" s="172"/>
      <c r="R471" s="172"/>
      <c r="S471" s="172"/>
    </row>
    <row r="472">
      <c r="A472" s="525"/>
      <c r="B472" s="528"/>
      <c r="C472" s="172"/>
      <c r="D472" s="172"/>
      <c r="F472" s="172"/>
      <c r="G472" s="172"/>
      <c r="H472" s="172"/>
      <c r="I472" s="172"/>
      <c r="J472" s="172"/>
      <c r="K472" s="172"/>
      <c r="L472" s="172"/>
      <c r="M472" s="172"/>
      <c r="N472" s="172"/>
      <c r="O472" s="172"/>
      <c r="P472" s="172"/>
      <c r="Q472" s="172"/>
      <c r="R472" s="172"/>
      <c r="S472" s="172"/>
    </row>
    <row r="473">
      <c r="A473" s="525"/>
      <c r="B473" s="528"/>
      <c r="C473" s="172"/>
      <c r="D473" s="172"/>
      <c r="F473" s="172"/>
      <c r="G473" s="172"/>
      <c r="H473" s="172"/>
      <c r="I473" s="172"/>
      <c r="J473" s="172"/>
      <c r="K473" s="172"/>
      <c r="L473" s="172"/>
      <c r="M473" s="172"/>
      <c r="N473" s="172"/>
      <c r="O473" s="172"/>
      <c r="P473" s="172"/>
      <c r="Q473" s="172"/>
      <c r="R473" s="172"/>
      <c r="S473" s="172"/>
    </row>
    <row r="474">
      <c r="A474" s="525"/>
      <c r="B474" s="528"/>
      <c r="C474" s="172"/>
      <c r="D474" s="172"/>
      <c r="F474" s="172"/>
      <c r="G474" s="172"/>
      <c r="H474" s="172"/>
      <c r="I474" s="172"/>
      <c r="J474" s="172"/>
      <c r="K474" s="172"/>
      <c r="L474" s="172"/>
      <c r="M474" s="172"/>
      <c r="N474" s="172"/>
      <c r="O474" s="172"/>
      <c r="P474" s="172"/>
      <c r="Q474" s="172"/>
      <c r="R474" s="172"/>
      <c r="S474" s="172"/>
    </row>
    <row r="475">
      <c r="A475" s="525"/>
      <c r="B475" s="528"/>
      <c r="C475" s="172"/>
      <c r="D475" s="172"/>
      <c r="F475" s="172"/>
      <c r="G475" s="172"/>
      <c r="H475" s="172"/>
      <c r="I475" s="172"/>
      <c r="J475" s="172"/>
      <c r="K475" s="172"/>
      <c r="L475" s="172"/>
      <c r="M475" s="172"/>
      <c r="N475" s="172"/>
      <c r="O475" s="172"/>
      <c r="P475" s="172"/>
      <c r="Q475" s="172"/>
      <c r="R475" s="172"/>
      <c r="S475" s="172"/>
    </row>
    <row r="476">
      <c r="A476" s="525"/>
      <c r="B476" s="528"/>
      <c r="C476" s="172"/>
      <c r="D476" s="172"/>
      <c r="F476" s="172"/>
      <c r="G476" s="172"/>
      <c r="H476" s="172"/>
      <c r="I476" s="172"/>
      <c r="J476" s="172"/>
      <c r="K476" s="172"/>
      <c r="L476" s="172"/>
      <c r="M476" s="172"/>
      <c r="N476" s="172"/>
      <c r="O476" s="172"/>
      <c r="P476" s="172"/>
      <c r="Q476" s="172"/>
      <c r="R476" s="172"/>
      <c r="S476" s="172"/>
    </row>
    <row r="477">
      <c r="A477" s="525"/>
      <c r="B477" s="528"/>
      <c r="C477" s="172"/>
      <c r="D477" s="172"/>
      <c r="F477" s="172"/>
      <c r="G477" s="172"/>
      <c r="H477" s="172"/>
      <c r="I477" s="172"/>
      <c r="J477" s="172"/>
      <c r="K477" s="172"/>
      <c r="L477" s="172"/>
      <c r="M477" s="172"/>
      <c r="N477" s="172"/>
      <c r="O477" s="172"/>
      <c r="P477" s="172"/>
      <c r="Q477" s="172"/>
      <c r="R477" s="172"/>
      <c r="S477" s="172"/>
    </row>
    <row r="478">
      <c r="A478" s="525"/>
      <c r="B478" s="528"/>
      <c r="C478" s="172"/>
      <c r="D478" s="172"/>
      <c r="F478" s="172"/>
      <c r="G478" s="172"/>
      <c r="H478" s="172"/>
      <c r="I478" s="172"/>
      <c r="J478" s="172"/>
      <c r="K478" s="172"/>
      <c r="L478" s="172"/>
      <c r="M478" s="172"/>
      <c r="N478" s="172"/>
      <c r="O478" s="172"/>
      <c r="P478" s="172"/>
      <c r="Q478" s="172"/>
      <c r="R478" s="172"/>
      <c r="S478" s="172"/>
    </row>
    <row r="479">
      <c r="A479" s="525"/>
      <c r="B479" s="528"/>
      <c r="C479" s="172"/>
      <c r="D479" s="172"/>
      <c r="F479" s="172"/>
      <c r="G479" s="172"/>
      <c r="H479" s="172"/>
      <c r="I479" s="172"/>
      <c r="J479" s="172"/>
      <c r="K479" s="172"/>
      <c r="L479" s="172"/>
      <c r="M479" s="172"/>
      <c r="N479" s="172"/>
      <c r="O479" s="172"/>
      <c r="P479" s="172"/>
      <c r="Q479" s="172"/>
      <c r="R479" s="172"/>
      <c r="S479" s="172"/>
    </row>
    <row r="480">
      <c r="A480" s="525"/>
      <c r="B480" s="528"/>
      <c r="C480" s="172"/>
      <c r="D480" s="172"/>
      <c r="F480" s="172"/>
      <c r="G480" s="172"/>
      <c r="H480" s="172"/>
      <c r="I480" s="172"/>
      <c r="J480" s="172"/>
      <c r="K480" s="172"/>
      <c r="L480" s="172"/>
      <c r="M480" s="172"/>
      <c r="N480" s="172"/>
      <c r="O480" s="172"/>
      <c r="P480" s="172"/>
      <c r="Q480" s="172"/>
      <c r="R480" s="172"/>
      <c r="S480" s="172"/>
    </row>
    <row r="481">
      <c r="A481" s="525"/>
      <c r="B481" s="528"/>
      <c r="C481" s="172"/>
      <c r="D481" s="172"/>
      <c r="F481" s="172"/>
      <c r="G481" s="172"/>
      <c r="H481" s="172"/>
      <c r="I481" s="172"/>
      <c r="J481" s="172"/>
      <c r="K481" s="172"/>
      <c r="L481" s="172"/>
      <c r="M481" s="172"/>
      <c r="N481" s="172"/>
      <c r="O481" s="172"/>
      <c r="P481" s="172"/>
      <c r="Q481" s="172"/>
      <c r="R481" s="172"/>
      <c r="S481" s="172"/>
    </row>
    <row r="482">
      <c r="A482" s="525"/>
      <c r="B482" s="528"/>
      <c r="C482" s="172"/>
      <c r="D482" s="172"/>
      <c r="F482" s="172"/>
      <c r="G482" s="172"/>
      <c r="H482" s="172"/>
      <c r="I482" s="172"/>
      <c r="J482" s="172"/>
      <c r="K482" s="172"/>
      <c r="L482" s="172"/>
      <c r="M482" s="172"/>
      <c r="N482" s="172"/>
      <c r="O482" s="172"/>
      <c r="P482" s="172"/>
      <c r="Q482" s="172"/>
      <c r="R482" s="172"/>
      <c r="S482" s="172"/>
    </row>
    <row r="483">
      <c r="A483" s="525"/>
      <c r="B483" s="528"/>
      <c r="C483" s="172"/>
      <c r="D483" s="172"/>
      <c r="F483" s="172"/>
      <c r="G483" s="172"/>
      <c r="H483" s="172"/>
      <c r="I483" s="172"/>
      <c r="J483" s="172"/>
      <c r="K483" s="172"/>
      <c r="L483" s="172"/>
      <c r="M483" s="172"/>
      <c r="N483" s="172"/>
      <c r="O483" s="172"/>
      <c r="P483" s="172"/>
      <c r="Q483" s="172"/>
      <c r="R483" s="172"/>
      <c r="S483" s="172"/>
    </row>
    <row r="484">
      <c r="A484" s="525"/>
      <c r="B484" s="528"/>
      <c r="C484" s="172"/>
      <c r="D484" s="172"/>
      <c r="F484" s="172"/>
      <c r="G484" s="172"/>
      <c r="H484" s="172"/>
      <c r="I484" s="172"/>
      <c r="J484" s="172"/>
      <c r="K484" s="172"/>
      <c r="L484" s="172"/>
      <c r="M484" s="172"/>
      <c r="N484" s="172"/>
      <c r="O484" s="172"/>
      <c r="P484" s="172"/>
      <c r="Q484" s="172"/>
      <c r="R484" s="172"/>
      <c r="S484" s="172"/>
    </row>
    <row r="485">
      <c r="A485" s="525"/>
      <c r="B485" s="528"/>
      <c r="C485" s="172"/>
      <c r="D485" s="172"/>
      <c r="F485" s="172"/>
      <c r="G485" s="172"/>
      <c r="H485" s="172"/>
      <c r="I485" s="172"/>
      <c r="J485" s="172"/>
      <c r="K485" s="172"/>
      <c r="L485" s="172"/>
      <c r="M485" s="172"/>
      <c r="N485" s="172"/>
      <c r="O485" s="172"/>
      <c r="P485" s="172"/>
      <c r="Q485" s="172"/>
      <c r="R485" s="172"/>
      <c r="S485" s="172"/>
    </row>
    <row r="486">
      <c r="A486" s="525"/>
      <c r="B486" s="528"/>
      <c r="C486" s="172"/>
      <c r="D486" s="172"/>
      <c r="F486" s="172"/>
      <c r="G486" s="172"/>
      <c r="H486" s="172"/>
      <c r="I486" s="172"/>
      <c r="J486" s="172"/>
      <c r="K486" s="172"/>
      <c r="L486" s="172"/>
      <c r="M486" s="172"/>
      <c r="N486" s="172"/>
      <c r="O486" s="172"/>
      <c r="P486" s="172"/>
      <c r="Q486" s="172"/>
      <c r="R486" s="172"/>
      <c r="S486" s="172"/>
    </row>
    <row r="487">
      <c r="A487" s="525"/>
      <c r="B487" s="528"/>
      <c r="C487" s="172"/>
      <c r="D487" s="172"/>
      <c r="F487" s="172"/>
      <c r="G487" s="172"/>
      <c r="H487" s="172"/>
      <c r="I487" s="172"/>
      <c r="J487" s="172"/>
      <c r="K487" s="172"/>
      <c r="L487" s="172"/>
      <c r="M487" s="172"/>
      <c r="N487" s="172"/>
      <c r="O487" s="172"/>
      <c r="P487" s="172"/>
      <c r="Q487" s="172"/>
      <c r="R487" s="172"/>
      <c r="S487" s="172"/>
    </row>
    <row r="488">
      <c r="A488" s="525"/>
      <c r="B488" s="528"/>
      <c r="C488" s="172"/>
      <c r="D488" s="172"/>
      <c r="F488" s="172"/>
      <c r="G488" s="172"/>
      <c r="H488" s="172"/>
      <c r="I488" s="172"/>
      <c r="J488" s="172"/>
      <c r="K488" s="172"/>
      <c r="L488" s="172"/>
      <c r="M488" s="172"/>
      <c r="N488" s="172"/>
      <c r="O488" s="172"/>
      <c r="P488" s="172"/>
      <c r="Q488" s="172"/>
      <c r="R488" s="172"/>
      <c r="S488" s="172"/>
    </row>
    <row r="489">
      <c r="A489" s="525"/>
      <c r="B489" s="528"/>
      <c r="C489" s="172"/>
      <c r="D489" s="172"/>
      <c r="F489" s="172"/>
      <c r="G489" s="172"/>
      <c r="H489" s="172"/>
      <c r="I489" s="172"/>
      <c r="J489" s="172"/>
      <c r="K489" s="172"/>
      <c r="L489" s="172"/>
      <c r="M489" s="172"/>
      <c r="N489" s="172"/>
      <c r="O489" s="172"/>
      <c r="P489" s="172"/>
      <c r="Q489" s="172"/>
      <c r="R489" s="172"/>
      <c r="S489" s="172"/>
    </row>
    <row r="490">
      <c r="A490" s="525"/>
      <c r="B490" s="528"/>
      <c r="C490" s="172"/>
      <c r="D490" s="172"/>
      <c r="F490" s="172"/>
      <c r="G490" s="172"/>
      <c r="H490" s="172"/>
      <c r="I490" s="172"/>
      <c r="J490" s="172"/>
      <c r="K490" s="172"/>
      <c r="L490" s="172"/>
      <c r="M490" s="172"/>
      <c r="N490" s="172"/>
      <c r="O490" s="172"/>
      <c r="P490" s="172"/>
      <c r="Q490" s="172"/>
      <c r="R490" s="172"/>
      <c r="S490" s="172"/>
    </row>
    <row r="491">
      <c r="A491" s="525"/>
      <c r="B491" s="528"/>
      <c r="C491" s="172"/>
      <c r="D491" s="172"/>
      <c r="F491" s="172"/>
      <c r="G491" s="172"/>
      <c r="H491" s="172"/>
      <c r="I491" s="172"/>
      <c r="J491" s="172"/>
      <c r="K491" s="172"/>
      <c r="L491" s="172"/>
      <c r="M491" s="172"/>
      <c r="N491" s="172"/>
      <c r="O491" s="172"/>
      <c r="P491" s="172"/>
      <c r="Q491" s="172"/>
      <c r="R491" s="172"/>
      <c r="S491" s="172"/>
    </row>
    <row r="492">
      <c r="A492" s="525"/>
      <c r="B492" s="528"/>
      <c r="C492" s="172"/>
      <c r="D492" s="172"/>
      <c r="F492" s="172"/>
      <c r="G492" s="172"/>
      <c r="H492" s="172"/>
      <c r="I492" s="172"/>
      <c r="J492" s="172"/>
      <c r="K492" s="172"/>
      <c r="L492" s="172"/>
      <c r="M492" s="172"/>
      <c r="N492" s="172"/>
      <c r="O492" s="172"/>
      <c r="P492" s="172"/>
      <c r="Q492" s="172"/>
      <c r="R492" s="172"/>
      <c r="S492" s="172"/>
    </row>
    <row r="493">
      <c r="A493" s="525"/>
      <c r="B493" s="528"/>
      <c r="C493" s="172"/>
      <c r="D493" s="172"/>
      <c r="F493" s="172"/>
      <c r="G493" s="172"/>
      <c r="H493" s="172"/>
      <c r="I493" s="172"/>
      <c r="J493" s="172"/>
      <c r="K493" s="172"/>
      <c r="L493" s="172"/>
      <c r="M493" s="172"/>
      <c r="N493" s="172"/>
      <c r="O493" s="172"/>
      <c r="P493" s="172"/>
      <c r="Q493" s="172"/>
      <c r="R493" s="172"/>
      <c r="S493" s="172"/>
    </row>
    <row r="494">
      <c r="A494" s="525"/>
      <c r="B494" s="528"/>
      <c r="C494" s="172"/>
      <c r="D494" s="172"/>
      <c r="F494" s="172"/>
      <c r="G494" s="172"/>
      <c r="H494" s="172"/>
      <c r="I494" s="172"/>
      <c r="J494" s="172"/>
      <c r="K494" s="172"/>
      <c r="L494" s="172"/>
      <c r="M494" s="172"/>
      <c r="N494" s="172"/>
      <c r="O494" s="172"/>
      <c r="P494" s="172"/>
      <c r="Q494" s="172"/>
      <c r="R494" s="172"/>
      <c r="S494" s="172"/>
    </row>
    <row r="495">
      <c r="A495" s="525"/>
      <c r="B495" s="528"/>
      <c r="C495" s="172"/>
      <c r="D495" s="172"/>
      <c r="F495" s="172"/>
      <c r="G495" s="172"/>
      <c r="H495" s="172"/>
      <c r="I495" s="172"/>
      <c r="J495" s="172"/>
      <c r="K495" s="172"/>
      <c r="L495" s="172"/>
      <c r="M495" s="172"/>
      <c r="N495" s="172"/>
      <c r="O495" s="172"/>
      <c r="P495" s="172"/>
      <c r="Q495" s="172"/>
      <c r="R495" s="172"/>
      <c r="S495" s="172"/>
    </row>
    <row r="496">
      <c r="A496" s="525"/>
      <c r="B496" s="528"/>
      <c r="C496" s="172"/>
      <c r="D496" s="172"/>
      <c r="F496" s="172"/>
      <c r="G496" s="172"/>
      <c r="H496" s="172"/>
      <c r="I496" s="172"/>
      <c r="J496" s="172"/>
      <c r="K496" s="172"/>
      <c r="L496" s="172"/>
      <c r="M496" s="172"/>
      <c r="N496" s="172"/>
      <c r="O496" s="172"/>
      <c r="P496" s="172"/>
      <c r="Q496" s="172"/>
      <c r="R496" s="172"/>
      <c r="S496" s="172"/>
    </row>
    <row r="497">
      <c r="A497" s="525"/>
      <c r="B497" s="528"/>
      <c r="C497" s="172"/>
      <c r="D497" s="172"/>
      <c r="F497" s="172"/>
      <c r="G497" s="172"/>
      <c r="H497" s="172"/>
      <c r="I497" s="172"/>
      <c r="J497" s="172"/>
      <c r="K497" s="172"/>
      <c r="L497" s="172"/>
      <c r="M497" s="172"/>
      <c r="N497" s="172"/>
      <c r="O497" s="172"/>
      <c r="P497" s="172"/>
      <c r="Q497" s="172"/>
      <c r="R497" s="172"/>
      <c r="S497" s="172"/>
    </row>
    <row r="498">
      <c r="A498" s="525"/>
      <c r="B498" s="528"/>
      <c r="C498" s="172"/>
      <c r="D498" s="172"/>
      <c r="F498" s="172"/>
      <c r="G498" s="172"/>
      <c r="H498" s="172"/>
      <c r="I498" s="172"/>
      <c r="J498" s="172"/>
      <c r="K498" s="172"/>
      <c r="L498" s="172"/>
      <c r="M498" s="172"/>
      <c r="N498" s="172"/>
      <c r="O498" s="172"/>
      <c r="P498" s="172"/>
      <c r="Q498" s="172"/>
      <c r="R498" s="172"/>
      <c r="S498" s="172"/>
    </row>
    <row r="499">
      <c r="A499" s="525"/>
      <c r="B499" s="528"/>
      <c r="C499" s="172"/>
      <c r="D499" s="172"/>
      <c r="F499" s="172"/>
      <c r="G499" s="172"/>
      <c r="H499" s="172"/>
      <c r="I499" s="172"/>
      <c r="J499" s="172"/>
      <c r="K499" s="172"/>
      <c r="L499" s="172"/>
      <c r="M499" s="172"/>
      <c r="N499" s="172"/>
      <c r="O499" s="172"/>
      <c r="P499" s="172"/>
      <c r="Q499" s="172"/>
      <c r="R499" s="172"/>
      <c r="S499" s="172"/>
    </row>
    <row r="500">
      <c r="A500" s="525"/>
      <c r="B500" s="528"/>
      <c r="C500" s="172"/>
      <c r="D500" s="172"/>
      <c r="F500" s="172"/>
      <c r="G500" s="172"/>
      <c r="H500" s="172"/>
      <c r="I500" s="172"/>
      <c r="J500" s="172"/>
      <c r="K500" s="172"/>
      <c r="L500" s="172"/>
      <c r="M500" s="172"/>
      <c r="N500" s="172"/>
      <c r="O500" s="172"/>
      <c r="P500" s="172"/>
      <c r="Q500" s="172"/>
      <c r="R500" s="172"/>
      <c r="S500" s="172"/>
    </row>
    <row r="501">
      <c r="A501" s="525"/>
      <c r="B501" s="528"/>
      <c r="C501" s="172"/>
      <c r="D501" s="172"/>
      <c r="F501" s="172"/>
      <c r="G501" s="172"/>
      <c r="H501" s="172"/>
      <c r="I501" s="172"/>
      <c r="J501" s="172"/>
      <c r="K501" s="172"/>
      <c r="L501" s="172"/>
      <c r="M501" s="172"/>
      <c r="N501" s="172"/>
      <c r="O501" s="172"/>
      <c r="P501" s="172"/>
      <c r="Q501" s="172"/>
      <c r="R501" s="172"/>
      <c r="S501" s="172"/>
    </row>
    <row r="502">
      <c r="A502" s="525"/>
      <c r="B502" s="528"/>
      <c r="C502" s="172"/>
      <c r="D502" s="172"/>
      <c r="F502" s="172"/>
      <c r="G502" s="172"/>
      <c r="H502" s="172"/>
      <c r="I502" s="172"/>
      <c r="J502" s="172"/>
      <c r="K502" s="172"/>
      <c r="L502" s="172"/>
      <c r="M502" s="172"/>
      <c r="N502" s="172"/>
      <c r="O502" s="172"/>
      <c r="P502" s="172"/>
      <c r="Q502" s="172"/>
      <c r="R502" s="172"/>
      <c r="S502" s="172"/>
    </row>
    <row r="503">
      <c r="A503" s="525"/>
      <c r="B503" s="528"/>
      <c r="C503" s="172"/>
      <c r="D503" s="172"/>
      <c r="F503" s="172"/>
      <c r="G503" s="172"/>
      <c r="H503" s="172"/>
      <c r="I503" s="172"/>
      <c r="J503" s="172"/>
      <c r="K503" s="172"/>
      <c r="L503" s="172"/>
      <c r="M503" s="172"/>
      <c r="N503" s="172"/>
      <c r="O503" s="172"/>
      <c r="P503" s="172"/>
      <c r="Q503" s="172"/>
      <c r="R503" s="172"/>
      <c r="S503" s="172"/>
    </row>
    <row r="504">
      <c r="A504" s="525"/>
      <c r="B504" s="528"/>
      <c r="C504" s="172"/>
      <c r="D504" s="172"/>
      <c r="F504" s="172"/>
      <c r="G504" s="172"/>
      <c r="H504" s="172"/>
      <c r="I504" s="172"/>
      <c r="J504" s="172"/>
      <c r="K504" s="172"/>
      <c r="L504" s="172"/>
      <c r="M504" s="172"/>
      <c r="N504" s="172"/>
      <c r="O504" s="172"/>
      <c r="P504" s="172"/>
      <c r="Q504" s="172"/>
      <c r="R504" s="172"/>
      <c r="S504" s="172"/>
    </row>
    <row r="505">
      <c r="A505" s="525"/>
      <c r="B505" s="528"/>
      <c r="C505" s="172"/>
      <c r="D505" s="172"/>
      <c r="F505" s="172"/>
      <c r="G505" s="172"/>
      <c r="H505" s="172"/>
      <c r="I505" s="172"/>
      <c r="J505" s="172"/>
      <c r="K505" s="172"/>
      <c r="L505" s="172"/>
      <c r="M505" s="172"/>
      <c r="N505" s="172"/>
      <c r="O505" s="172"/>
      <c r="P505" s="172"/>
      <c r="Q505" s="172"/>
      <c r="R505" s="172"/>
      <c r="S505" s="172"/>
    </row>
    <row r="506">
      <c r="A506" s="525"/>
      <c r="B506" s="528"/>
      <c r="C506" s="172"/>
      <c r="D506" s="172"/>
      <c r="F506" s="172"/>
      <c r="G506" s="172"/>
      <c r="H506" s="172"/>
      <c r="I506" s="172"/>
      <c r="J506" s="172"/>
      <c r="K506" s="172"/>
      <c r="L506" s="172"/>
      <c r="M506" s="172"/>
      <c r="N506" s="172"/>
      <c r="O506" s="172"/>
      <c r="P506" s="172"/>
      <c r="Q506" s="172"/>
      <c r="R506" s="172"/>
      <c r="S506" s="172"/>
    </row>
    <row r="507">
      <c r="A507" s="525"/>
      <c r="B507" s="528"/>
      <c r="C507" s="172"/>
      <c r="D507" s="172"/>
      <c r="F507" s="172"/>
      <c r="G507" s="172"/>
      <c r="H507" s="172"/>
      <c r="I507" s="172"/>
      <c r="J507" s="172"/>
      <c r="K507" s="172"/>
      <c r="L507" s="172"/>
      <c r="M507" s="172"/>
      <c r="N507" s="172"/>
      <c r="O507" s="172"/>
      <c r="P507" s="172"/>
      <c r="Q507" s="172"/>
      <c r="R507" s="172"/>
      <c r="S507" s="172"/>
    </row>
    <row r="508">
      <c r="A508" s="525"/>
      <c r="B508" s="528"/>
      <c r="C508" s="172"/>
      <c r="D508" s="172"/>
      <c r="F508" s="172"/>
      <c r="G508" s="172"/>
      <c r="H508" s="172"/>
      <c r="I508" s="172"/>
      <c r="J508" s="172"/>
      <c r="K508" s="172"/>
      <c r="L508" s="172"/>
      <c r="M508" s="172"/>
      <c r="N508" s="172"/>
      <c r="O508" s="172"/>
      <c r="P508" s="172"/>
      <c r="Q508" s="172"/>
      <c r="R508" s="172"/>
      <c r="S508" s="172"/>
    </row>
    <row r="509">
      <c r="A509" s="525"/>
      <c r="B509" s="528"/>
      <c r="C509" s="172"/>
      <c r="D509" s="172"/>
      <c r="F509" s="172"/>
      <c r="G509" s="172"/>
      <c r="H509" s="172"/>
      <c r="I509" s="172"/>
      <c r="J509" s="172"/>
      <c r="K509" s="172"/>
      <c r="L509" s="172"/>
      <c r="M509" s="172"/>
      <c r="N509" s="172"/>
      <c r="O509" s="172"/>
      <c r="P509" s="172"/>
      <c r="Q509" s="172"/>
      <c r="R509" s="172"/>
      <c r="S509" s="172"/>
    </row>
    <row r="510">
      <c r="A510" s="525"/>
      <c r="B510" s="528"/>
      <c r="C510" s="172"/>
      <c r="D510" s="172"/>
      <c r="F510" s="172"/>
      <c r="G510" s="172"/>
      <c r="H510" s="172"/>
      <c r="I510" s="172"/>
      <c r="J510" s="172"/>
      <c r="K510" s="172"/>
      <c r="L510" s="172"/>
      <c r="M510" s="172"/>
      <c r="N510" s="172"/>
      <c r="O510" s="172"/>
      <c r="P510" s="172"/>
      <c r="Q510" s="172"/>
      <c r="R510" s="172"/>
      <c r="S510" s="172"/>
    </row>
    <row r="511">
      <c r="A511" s="525"/>
      <c r="B511" s="528"/>
      <c r="C511" s="172"/>
      <c r="D511" s="172"/>
      <c r="F511" s="172"/>
      <c r="G511" s="172"/>
      <c r="H511" s="172"/>
      <c r="I511" s="172"/>
      <c r="J511" s="172"/>
      <c r="K511" s="172"/>
      <c r="L511" s="172"/>
      <c r="M511" s="172"/>
      <c r="N511" s="172"/>
      <c r="O511" s="172"/>
      <c r="P511" s="172"/>
      <c r="Q511" s="172"/>
      <c r="R511" s="172"/>
      <c r="S511" s="172"/>
    </row>
    <row r="512">
      <c r="A512" s="525"/>
      <c r="B512" s="528"/>
      <c r="C512" s="172"/>
      <c r="D512" s="172"/>
      <c r="F512" s="172"/>
      <c r="G512" s="172"/>
      <c r="H512" s="172"/>
      <c r="I512" s="172"/>
      <c r="J512" s="172"/>
      <c r="K512" s="172"/>
      <c r="L512" s="172"/>
      <c r="M512" s="172"/>
      <c r="N512" s="172"/>
      <c r="O512" s="172"/>
      <c r="P512" s="172"/>
      <c r="Q512" s="172"/>
      <c r="R512" s="172"/>
      <c r="S512" s="172"/>
    </row>
    <row r="513">
      <c r="A513" s="525"/>
      <c r="B513" s="528"/>
      <c r="C513" s="172"/>
      <c r="D513" s="172"/>
      <c r="F513" s="172"/>
      <c r="G513" s="172"/>
      <c r="H513" s="172"/>
      <c r="I513" s="172"/>
      <c r="J513" s="172"/>
      <c r="K513" s="172"/>
      <c r="L513" s="172"/>
      <c r="M513" s="172"/>
      <c r="N513" s="172"/>
      <c r="O513" s="172"/>
      <c r="P513" s="172"/>
      <c r="Q513" s="172"/>
      <c r="R513" s="172"/>
      <c r="S513" s="172"/>
    </row>
    <row r="514">
      <c r="A514" s="525"/>
      <c r="B514" s="528"/>
      <c r="C514" s="172"/>
      <c r="D514" s="172"/>
      <c r="F514" s="172"/>
      <c r="G514" s="172"/>
      <c r="H514" s="172"/>
      <c r="I514" s="172"/>
      <c r="J514" s="172"/>
      <c r="K514" s="172"/>
      <c r="L514" s="172"/>
      <c r="M514" s="172"/>
      <c r="N514" s="172"/>
      <c r="O514" s="172"/>
      <c r="P514" s="172"/>
      <c r="Q514" s="172"/>
      <c r="R514" s="172"/>
      <c r="S514" s="172"/>
    </row>
    <row r="515">
      <c r="A515" s="525"/>
      <c r="B515" s="528"/>
      <c r="C515" s="172"/>
      <c r="D515" s="172"/>
      <c r="F515" s="172"/>
      <c r="G515" s="172"/>
      <c r="H515" s="172"/>
      <c r="I515" s="172"/>
      <c r="J515" s="172"/>
      <c r="K515" s="172"/>
      <c r="L515" s="172"/>
      <c r="M515" s="172"/>
      <c r="N515" s="172"/>
      <c r="O515" s="172"/>
      <c r="P515" s="172"/>
      <c r="Q515" s="172"/>
      <c r="R515" s="172"/>
      <c r="S515" s="172"/>
    </row>
    <row r="516">
      <c r="A516" s="525"/>
      <c r="B516" s="528"/>
      <c r="C516" s="172"/>
      <c r="D516" s="172"/>
      <c r="F516" s="172"/>
      <c r="G516" s="172"/>
      <c r="H516" s="172"/>
      <c r="I516" s="172"/>
      <c r="J516" s="172"/>
      <c r="K516" s="172"/>
      <c r="L516" s="172"/>
      <c r="M516" s="172"/>
      <c r="N516" s="172"/>
      <c r="O516" s="172"/>
      <c r="P516" s="172"/>
      <c r="Q516" s="172"/>
      <c r="R516" s="172"/>
      <c r="S516" s="172"/>
    </row>
    <row r="517">
      <c r="A517" s="525"/>
      <c r="B517" s="528"/>
      <c r="C517" s="172"/>
      <c r="D517" s="172"/>
      <c r="F517" s="172"/>
      <c r="G517" s="172"/>
      <c r="H517" s="172"/>
      <c r="I517" s="172"/>
      <c r="J517" s="172"/>
      <c r="K517" s="172"/>
      <c r="L517" s="172"/>
      <c r="M517" s="172"/>
      <c r="N517" s="172"/>
      <c r="O517" s="172"/>
      <c r="P517" s="172"/>
      <c r="Q517" s="172"/>
      <c r="R517" s="172"/>
      <c r="S517" s="172"/>
    </row>
    <row r="518">
      <c r="A518" s="525"/>
      <c r="B518" s="528"/>
      <c r="C518" s="172"/>
      <c r="D518" s="172"/>
      <c r="F518" s="172"/>
      <c r="G518" s="172"/>
      <c r="H518" s="172"/>
      <c r="I518" s="172"/>
      <c r="J518" s="172"/>
      <c r="K518" s="172"/>
      <c r="L518" s="172"/>
      <c r="M518" s="172"/>
      <c r="N518" s="172"/>
      <c r="O518" s="172"/>
      <c r="P518" s="172"/>
      <c r="Q518" s="172"/>
      <c r="R518" s="172"/>
      <c r="S518" s="172"/>
    </row>
    <row r="519">
      <c r="A519" s="525"/>
      <c r="B519" s="528"/>
      <c r="C519" s="172"/>
      <c r="D519" s="172"/>
      <c r="F519" s="172"/>
      <c r="G519" s="172"/>
      <c r="H519" s="172"/>
      <c r="I519" s="172"/>
      <c r="J519" s="172"/>
      <c r="K519" s="172"/>
      <c r="L519" s="172"/>
      <c r="M519" s="172"/>
      <c r="N519" s="172"/>
      <c r="O519" s="172"/>
      <c r="P519" s="172"/>
      <c r="Q519" s="172"/>
      <c r="R519" s="172"/>
      <c r="S519" s="172"/>
    </row>
    <row r="520">
      <c r="A520" s="525"/>
      <c r="B520" s="528"/>
      <c r="C520" s="172"/>
      <c r="D520" s="172"/>
      <c r="F520" s="172"/>
      <c r="G520" s="172"/>
      <c r="H520" s="172"/>
      <c r="I520" s="172"/>
      <c r="J520" s="172"/>
      <c r="K520" s="172"/>
      <c r="L520" s="172"/>
      <c r="M520" s="172"/>
      <c r="N520" s="172"/>
      <c r="O520" s="172"/>
      <c r="P520" s="172"/>
      <c r="Q520" s="172"/>
      <c r="R520" s="172"/>
      <c r="S520" s="172"/>
    </row>
    <row r="521">
      <c r="A521" s="525"/>
      <c r="B521" s="528"/>
      <c r="C521" s="172"/>
      <c r="D521" s="172"/>
      <c r="F521" s="172"/>
      <c r="G521" s="172"/>
      <c r="H521" s="172"/>
      <c r="I521" s="172"/>
      <c r="J521" s="172"/>
      <c r="K521" s="172"/>
      <c r="L521" s="172"/>
      <c r="M521" s="172"/>
      <c r="N521" s="172"/>
      <c r="O521" s="172"/>
      <c r="P521" s="172"/>
      <c r="Q521" s="172"/>
      <c r="R521" s="172"/>
      <c r="S521" s="172"/>
    </row>
    <row r="522">
      <c r="A522" s="525"/>
      <c r="B522" s="528"/>
      <c r="C522" s="172"/>
      <c r="D522" s="172"/>
      <c r="F522" s="172"/>
      <c r="G522" s="172"/>
      <c r="H522" s="172"/>
      <c r="I522" s="172"/>
      <c r="J522" s="172"/>
      <c r="K522" s="172"/>
      <c r="L522" s="172"/>
      <c r="M522" s="172"/>
      <c r="N522" s="172"/>
      <c r="O522" s="172"/>
      <c r="P522" s="172"/>
      <c r="Q522" s="172"/>
      <c r="R522" s="172"/>
      <c r="S522" s="172"/>
    </row>
    <row r="523">
      <c r="A523" s="525"/>
      <c r="B523" s="528"/>
      <c r="C523" s="172"/>
      <c r="D523" s="172"/>
      <c r="F523" s="172"/>
      <c r="G523" s="172"/>
      <c r="H523" s="172"/>
      <c r="I523" s="172"/>
      <c r="J523" s="172"/>
      <c r="K523" s="172"/>
      <c r="L523" s="172"/>
      <c r="M523" s="172"/>
      <c r="N523" s="172"/>
      <c r="O523" s="172"/>
      <c r="P523" s="172"/>
      <c r="Q523" s="172"/>
      <c r="R523" s="172"/>
      <c r="S523" s="172"/>
    </row>
    <row r="524">
      <c r="A524" s="525"/>
      <c r="B524" s="528"/>
      <c r="C524" s="172"/>
      <c r="D524" s="172"/>
      <c r="F524" s="172"/>
      <c r="G524" s="172"/>
      <c r="H524" s="172"/>
      <c r="I524" s="172"/>
      <c r="J524" s="172"/>
      <c r="K524" s="172"/>
      <c r="L524" s="172"/>
      <c r="M524" s="172"/>
      <c r="N524" s="172"/>
      <c r="O524" s="172"/>
      <c r="P524" s="172"/>
      <c r="Q524" s="172"/>
      <c r="R524" s="172"/>
      <c r="S524" s="172"/>
    </row>
    <row r="525">
      <c r="A525" s="525"/>
      <c r="B525" s="528"/>
      <c r="C525" s="172"/>
      <c r="D525" s="172"/>
      <c r="F525" s="172"/>
      <c r="G525" s="172"/>
      <c r="H525" s="172"/>
      <c r="I525" s="172"/>
      <c r="J525" s="172"/>
      <c r="K525" s="172"/>
      <c r="L525" s="172"/>
      <c r="M525" s="172"/>
      <c r="N525" s="172"/>
      <c r="O525" s="172"/>
      <c r="P525" s="172"/>
      <c r="Q525" s="172"/>
      <c r="R525" s="172"/>
      <c r="S525" s="172"/>
    </row>
    <row r="526">
      <c r="A526" s="525"/>
      <c r="B526" s="528"/>
      <c r="C526" s="172"/>
      <c r="D526" s="172"/>
      <c r="F526" s="172"/>
      <c r="G526" s="172"/>
      <c r="H526" s="172"/>
      <c r="I526" s="172"/>
      <c r="J526" s="172"/>
      <c r="K526" s="172"/>
      <c r="L526" s="172"/>
      <c r="M526" s="172"/>
      <c r="N526" s="172"/>
      <c r="O526" s="172"/>
      <c r="P526" s="172"/>
      <c r="Q526" s="172"/>
      <c r="R526" s="172"/>
      <c r="S526" s="172"/>
    </row>
    <row r="527">
      <c r="A527" s="525"/>
      <c r="B527" s="528"/>
      <c r="C527" s="172"/>
      <c r="D527" s="172"/>
      <c r="F527" s="172"/>
      <c r="G527" s="172"/>
      <c r="H527" s="172"/>
      <c r="I527" s="172"/>
      <c r="J527" s="172"/>
      <c r="K527" s="172"/>
      <c r="L527" s="172"/>
      <c r="M527" s="172"/>
      <c r="N527" s="172"/>
      <c r="O527" s="172"/>
      <c r="P527" s="172"/>
      <c r="Q527" s="172"/>
      <c r="R527" s="172"/>
      <c r="S527" s="172"/>
    </row>
    <row r="528">
      <c r="A528" s="525"/>
      <c r="B528" s="528"/>
      <c r="C528" s="172"/>
      <c r="D528" s="172"/>
      <c r="F528" s="172"/>
      <c r="G528" s="172"/>
      <c r="H528" s="172"/>
      <c r="I528" s="172"/>
      <c r="J528" s="172"/>
      <c r="K528" s="172"/>
      <c r="L528" s="172"/>
      <c r="M528" s="172"/>
      <c r="N528" s="172"/>
      <c r="O528" s="172"/>
      <c r="P528" s="172"/>
      <c r="Q528" s="172"/>
      <c r="R528" s="172"/>
      <c r="S528" s="172"/>
    </row>
    <row r="529">
      <c r="A529" s="525"/>
      <c r="B529" s="528"/>
      <c r="C529" s="172"/>
      <c r="D529" s="172"/>
      <c r="F529" s="172"/>
      <c r="G529" s="172"/>
      <c r="H529" s="172"/>
      <c r="I529" s="172"/>
      <c r="J529" s="172"/>
      <c r="K529" s="172"/>
      <c r="L529" s="172"/>
      <c r="M529" s="172"/>
      <c r="N529" s="172"/>
      <c r="O529" s="172"/>
      <c r="P529" s="172"/>
      <c r="Q529" s="172"/>
      <c r="R529" s="172"/>
      <c r="S529" s="172"/>
    </row>
    <row r="530">
      <c r="A530" s="525"/>
      <c r="B530" s="528"/>
      <c r="C530" s="172"/>
      <c r="D530" s="172"/>
      <c r="F530" s="172"/>
      <c r="G530" s="172"/>
      <c r="H530" s="172"/>
      <c r="I530" s="172"/>
      <c r="J530" s="172"/>
      <c r="K530" s="172"/>
      <c r="L530" s="172"/>
      <c r="M530" s="172"/>
      <c r="N530" s="172"/>
      <c r="O530" s="172"/>
      <c r="P530" s="172"/>
      <c r="Q530" s="172"/>
      <c r="R530" s="172"/>
      <c r="S530" s="172"/>
    </row>
    <row r="531">
      <c r="A531" s="525"/>
      <c r="B531" s="528"/>
      <c r="C531" s="172"/>
      <c r="D531" s="172"/>
      <c r="F531" s="172"/>
      <c r="G531" s="172"/>
      <c r="H531" s="172"/>
      <c r="I531" s="172"/>
      <c r="J531" s="172"/>
      <c r="K531" s="172"/>
      <c r="L531" s="172"/>
      <c r="M531" s="172"/>
      <c r="N531" s="172"/>
      <c r="O531" s="172"/>
      <c r="P531" s="172"/>
      <c r="Q531" s="172"/>
      <c r="R531" s="172"/>
      <c r="S531" s="172"/>
    </row>
    <row r="532">
      <c r="A532" s="525"/>
      <c r="B532" s="528"/>
      <c r="C532" s="172"/>
      <c r="D532" s="172"/>
      <c r="F532" s="172"/>
      <c r="G532" s="172"/>
      <c r="H532" s="172"/>
      <c r="I532" s="172"/>
      <c r="J532" s="172"/>
      <c r="K532" s="172"/>
      <c r="L532" s="172"/>
      <c r="M532" s="172"/>
      <c r="N532" s="172"/>
      <c r="O532" s="172"/>
      <c r="P532" s="172"/>
      <c r="Q532" s="172"/>
      <c r="R532" s="172"/>
      <c r="S532" s="172"/>
    </row>
    <row r="533">
      <c r="A533" s="525"/>
      <c r="B533" s="528"/>
      <c r="C533" s="172"/>
      <c r="D533" s="172"/>
      <c r="F533" s="172"/>
      <c r="G533" s="172"/>
      <c r="H533" s="172"/>
      <c r="I533" s="172"/>
      <c r="J533" s="172"/>
      <c r="K533" s="172"/>
      <c r="L533" s="172"/>
      <c r="M533" s="172"/>
      <c r="N533" s="172"/>
      <c r="O533" s="172"/>
      <c r="P533" s="172"/>
      <c r="Q533" s="172"/>
      <c r="R533" s="172"/>
      <c r="S533" s="172"/>
    </row>
    <row r="534">
      <c r="A534" s="525"/>
      <c r="B534" s="528"/>
      <c r="C534" s="172"/>
      <c r="D534" s="172"/>
      <c r="F534" s="172"/>
      <c r="G534" s="172"/>
      <c r="H534" s="172"/>
      <c r="I534" s="172"/>
      <c r="J534" s="172"/>
      <c r="K534" s="172"/>
      <c r="L534" s="172"/>
      <c r="M534" s="172"/>
      <c r="N534" s="172"/>
      <c r="O534" s="172"/>
      <c r="P534" s="172"/>
      <c r="Q534" s="172"/>
      <c r="R534" s="172"/>
      <c r="S534" s="172"/>
    </row>
    <row r="535">
      <c r="A535" s="525"/>
      <c r="B535" s="528"/>
      <c r="C535" s="172"/>
      <c r="D535" s="172"/>
      <c r="F535" s="172"/>
      <c r="G535" s="172"/>
      <c r="H535" s="172"/>
      <c r="I535" s="172"/>
      <c r="J535" s="172"/>
      <c r="K535" s="172"/>
      <c r="L535" s="172"/>
      <c r="M535" s="172"/>
      <c r="N535" s="172"/>
      <c r="O535" s="172"/>
      <c r="P535" s="172"/>
      <c r="Q535" s="172"/>
      <c r="R535" s="172"/>
      <c r="S535" s="172"/>
    </row>
    <row r="536">
      <c r="A536" s="525"/>
      <c r="B536" s="528"/>
      <c r="C536" s="172"/>
      <c r="D536" s="172"/>
      <c r="F536" s="172"/>
      <c r="G536" s="172"/>
      <c r="H536" s="172"/>
      <c r="I536" s="172"/>
      <c r="J536" s="172"/>
      <c r="K536" s="172"/>
      <c r="L536" s="172"/>
      <c r="M536" s="172"/>
      <c r="N536" s="172"/>
      <c r="O536" s="172"/>
      <c r="P536" s="172"/>
      <c r="Q536" s="172"/>
      <c r="R536" s="172"/>
      <c r="S536" s="172"/>
    </row>
    <row r="537">
      <c r="A537" s="525"/>
      <c r="B537" s="528"/>
      <c r="C537" s="172"/>
      <c r="D537" s="172"/>
      <c r="F537" s="172"/>
      <c r="G537" s="172"/>
      <c r="H537" s="172"/>
      <c r="I537" s="172"/>
      <c r="J537" s="172"/>
      <c r="K537" s="172"/>
      <c r="L537" s="172"/>
      <c r="M537" s="172"/>
      <c r="N537" s="172"/>
      <c r="O537" s="172"/>
      <c r="P537" s="172"/>
      <c r="Q537" s="172"/>
      <c r="R537" s="172"/>
      <c r="S537" s="172"/>
    </row>
    <row r="538">
      <c r="A538" s="525"/>
      <c r="B538" s="528"/>
      <c r="C538" s="172"/>
      <c r="D538" s="172"/>
      <c r="F538" s="172"/>
      <c r="G538" s="172"/>
      <c r="H538" s="172"/>
      <c r="I538" s="172"/>
      <c r="J538" s="172"/>
      <c r="K538" s="172"/>
      <c r="L538" s="172"/>
      <c r="M538" s="172"/>
      <c r="N538" s="172"/>
      <c r="O538" s="172"/>
      <c r="P538" s="172"/>
      <c r="Q538" s="172"/>
      <c r="R538" s="172"/>
      <c r="S538" s="172"/>
    </row>
    <row r="539">
      <c r="A539" s="525"/>
      <c r="B539" s="528"/>
      <c r="C539" s="172"/>
      <c r="D539" s="172"/>
      <c r="F539" s="172"/>
      <c r="G539" s="172"/>
      <c r="H539" s="172"/>
      <c r="I539" s="172"/>
      <c r="J539" s="172"/>
      <c r="K539" s="172"/>
      <c r="L539" s="172"/>
      <c r="M539" s="172"/>
      <c r="N539" s="172"/>
      <c r="O539" s="172"/>
      <c r="P539" s="172"/>
      <c r="Q539" s="172"/>
      <c r="R539" s="172"/>
      <c r="S539" s="172"/>
    </row>
    <row r="540">
      <c r="A540" s="525"/>
      <c r="B540" s="528"/>
      <c r="C540" s="172"/>
      <c r="D540" s="172"/>
      <c r="F540" s="172"/>
      <c r="G540" s="172"/>
      <c r="H540" s="172"/>
      <c r="I540" s="172"/>
      <c r="J540" s="172"/>
      <c r="K540" s="172"/>
      <c r="L540" s="172"/>
      <c r="M540" s="172"/>
      <c r="N540" s="172"/>
      <c r="O540" s="172"/>
      <c r="P540" s="172"/>
      <c r="Q540" s="172"/>
      <c r="R540" s="172"/>
      <c r="S540" s="172"/>
    </row>
    <row r="541">
      <c r="A541" s="525"/>
      <c r="B541" s="528"/>
      <c r="C541" s="172"/>
      <c r="D541" s="172"/>
      <c r="F541" s="172"/>
      <c r="G541" s="172"/>
      <c r="H541" s="172"/>
      <c r="I541" s="172"/>
      <c r="J541" s="172"/>
      <c r="K541" s="172"/>
      <c r="L541" s="172"/>
      <c r="M541" s="172"/>
      <c r="N541" s="172"/>
      <c r="O541" s="172"/>
      <c r="P541" s="172"/>
      <c r="Q541" s="172"/>
      <c r="R541" s="172"/>
      <c r="S541" s="172"/>
    </row>
    <row r="542">
      <c r="A542" s="525"/>
      <c r="B542" s="528"/>
      <c r="C542" s="172"/>
      <c r="D542" s="172"/>
      <c r="F542" s="172"/>
      <c r="G542" s="172"/>
      <c r="H542" s="172"/>
      <c r="I542" s="172"/>
      <c r="J542" s="172"/>
      <c r="K542" s="172"/>
      <c r="L542" s="172"/>
      <c r="M542" s="172"/>
      <c r="N542" s="172"/>
      <c r="O542" s="172"/>
      <c r="P542" s="172"/>
      <c r="Q542" s="172"/>
      <c r="R542" s="172"/>
      <c r="S542" s="172"/>
    </row>
    <row r="543">
      <c r="A543" s="525"/>
      <c r="B543" s="528"/>
      <c r="C543" s="172"/>
      <c r="D543" s="172"/>
      <c r="F543" s="172"/>
      <c r="G543" s="172"/>
      <c r="H543" s="172"/>
      <c r="I543" s="172"/>
      <c r="J543" s="172"/>
      <c r="K543" s="172"/>
      <c r="L543" s="172"/>
      <c r="M543" s="172"/>
      <c r="N543" s="172"/>
      <c r="O543" s="172"/>
      <c r="P543" s="172"/>
      <c r="Q543" s="172"/>
      <c r="R543" s="172"/>
      <c r="S543" s="172"/>
    </row>
    <row r="544">
      <c r="A544" s="525"/>
      <c r="B544" s="528"/>
      <c r="C544" s="172"/>
      <c r="D544" s="172"/>
      <c r="F544" s="172"/>
      <c r="G544" s="172"/>
      <c r="H544" s="172"/>
      <c r="I544" s="172"/>
      <c r="J544" s="172"/>
      <c r="K544" s="172"/>
      <c r="L544" s="172"/>
      <c r="M544" s="172"/>
      <c r="N544" s="172"/>
      <c r="O544" s="172"/>
      <c r="P544" s="172"/>
      <c r="Q544" s="172"/>
      <c r="R544" s="172"/>
      <c r="S544" s="172"/>
    </row>
    <row r="545">
      <c r="A545" s="525"/>
      <c r="B545" s="528"/>
      <c r="C545" s="172"/>
      <c r="D545" s="172"/>
      <c r="F545" s="172"/>
      <c r="G545" s="172"/>
      <c r="H545" s="172"/>
      <c r="I545" s="172"/>
      <c r="J545" s="172"/>
      <c r="K545" s="172"/>
      <c r="L545" s="172"/>
      <c r="M545" s="172"/>
      <c r="N545" s="172"/>
      <c r="O545" s="172"/>
      <c r="P545" s="172"/>
      <c r="Q545" s="172"/>
      <c r="R545" s="172"/>
      <c r="S545" s="172"/>
    </row>
    <row r="546">
      <c r="A546" s="525"/>
      <c r="B546" s="528"/>
      <c r="C546" s="172"/>
      <c r="D546" s="172"/>
      <c r="F546" s="172"/>
      <c r="G546" s="172"/>
      <c r="H546" s="172"/>
      <c r="I546" s="172"/>
      <c r="J546" s="172"/>
      <c r="K546" s="172"/>
      <c r="L546" s="172"/>
      <c r="M546" s="172"/>
      <c r="N546" s="172"/>
      <c r="O546" s="172"/>
      <c r="P546" s="172"/>
      <c r="Q546" s="172"/>
      <c r="R546" s="172"/>
      <c r="S546" s="172"/>
    </row>
    <row r="547">
      <c r="A547" s="525"/>
      <c r="B547" s="528"/>
      <c r="C547" s="172"/>
      <c r="D547" s="172"/>
      <c r="F547" s="172"/>
      <c r="G547" s="172"/>
      <c r="H547" s="172"/>
      <c r="I547" s="172"/>
      <c r="J547" s="172"/>
      <c r="K547" s="172"/>
      <c r="L547" s="172"/>
      <c r="M547" s="172"/>
      <c r="N547" s="172"/>
      <c r="O547" s="172"/>
      <c r="P547" s="172"/>
      <c r="Q547" s="172"/>
      <c r="R547" s="172"/>
      <c r="S547" s="172"/>
    </row>
    <row r="548">
      <c r="A548" s="525"/>
      <c r="B548" s="528"/>
      <c r="C548" s="172"/>
      <c r="D548" s="172"/>
      <c r="F548" s="172"/>
      <c r="G548" s="172"/>
      <c r="H548" s="172"/>
      <c r="I548" s="172"/>
      <c r="J548" s="172"/>
      <c r="K548" s="172"/>
      <c r="L548" s="172"/>
      <c r="M548" s="172"/>
      <c r="N548" s="172"/>
      <c r="O548" s="172"/>
      <c r="P548" s="172"/>
      <c r="Q548" s="172"/>
      <c r="R548" s="172"/>
      <c r="S548" s="172"/>
    </row>
    <row r="549">
      <c r="A549" s="525"/>
      <c r="B549" s="528"/>
      <c r="C549" s="172"/>
      <c r="D549" s="172"/>
      <c r="F549" s="172"/>
      <c r="G549" s="172"/>
      <c r="H549" s="172"/>
      <c r="I549" s="172"/>
      <c r="J549" s="172"/>
      <c r="K549" s="172"/>
      <c r="L549" s="172"/>
      <c r="M549" s="172"/>
      <c r="N549" s="172"/>
      <c r="O549" s="172"/>
      <c r="P549" s="172"/>
      <c r="Q549" s="172"/>
      <c r="R549" s="172"/>
      <c r="S549" s="172"/>
    </row>
    <row r="550">
      <c r="A550" s="525"/>
      <c r="B550" s="528"/>
      <c r="C550" s="172"/>
      <c r="D550" s="172"/>
      <c r="F550" s="172"/>
      <c r="G550" s="172"/>
      <c r="H550" s="172"/>
      <c r="I550" s="172"/>
      <c r="J550" s="172"/>
      <c r="K550" s="172"/>
      <c r="L550" s="172"/>
      <c r="M550" s="172"/>
      <c r="N550" s="172"/>
      <c r="O550" s="172"/>
      <c r="P550" s="172"/>
      <c r="Q550" s="172"/>
      <c r="R550" s="172"/>
      <c r="S550" s="172"/>
    </row>
    <row r="551">
      <c r="A551" s="525"/>
      <c r="B551" s="528"/>
      <c r="C551" s="172"/>
      <c r="D551" s="172"/>
      <c r="F551" s="172"/>
      <c r="G551" s="172"/>
      <c r="H551" s="172"/>
      <c r="I551" s="172"/>
      <c r="J551" s="172"/>
      <c r="K551" s="172"/>
      <c r="L551" s="172"/>
      <c r="M551" s="172"/>
      <c r="N551" s="172"/>
      <c r="O551" s="172"/>
      <c r="P551" s="172"/>
      <c r="Q551" s="172"/>
      <c r="R551" s="172"/>
      <c r="S551" s="172"/>
    </row>
    <row r="552">
      <c r="A552" s="525"/>
      <c r="B552" s="528"/>
      <c r="C552" s="172"/>
      <c r="D552" s="172"/>
      <c r="F552" s="172"/>
      <c r="G552" s="172"/>
      <c r="H552" s="172"/>
      <c r="I552" s="172"/>
      <c r="J552" s="172"/>
      <c r="K552" s="172"/>
      <c r="L552" s="172"/>
      <c r="M552" s="172"/>
      <c r="N552" s="172"/>
      <c r="O552" s="172"/>
      <c r="P552" s="172"/>
      <c r="Q552" s="172"/>
      <c r="R552" s="172"/>
      <c r="S552" s="172"/>
    </row>
    <row r="553">
      <c r="A553" s="525"/>
      <c r="B553" s="528"/>
      <c r="C553" s="172"/>
      <c r="D553" s="172"/>
      <c r="F553" s="172"/>
      <c r="G553" s="172"/>
      <c r="H553" s="172"/>
      <c r="I553" s="172"/>
      <c r="J553" s="172"/>
      <c r="K553" s="172"/>
      <c r="L553" s="172"/>
      <c r="M553" s="172"/>
      <c r="N553" s="172"/>
      <c r="O553" s="172"/>
      <c r="P553" s="172"/>
      <c r="Q553" s="172"/>
      <c r="R553" s="172"/>
      <c r="S553" s="172"/>
    </row>
    <row r="554">
      <c r="A554" s="525"/>
      <c r="B554" s="528"/>
      <c r="C554" s="172"/>
      <c r="D554" s="172"/>
      <c r="F554" s="172"/>
      <c r="G554" s="172"/>
      <c r="H554" s="172"/>
      <c r="I554" s="172"/>
      <c r="J554" s="172"/>
      <c r="K554" s="172"/>
      <c r="L554" s="172"/>
      <c r="M554" s="172"/>
      <c r="N554" s="172"/>
      <c r="O554" s="172"/>
      <c r="P554" s="172"/>
      <c r="Q554" s="172"/>
      <c r="R554" s="172"/>
      <c r="S554" s="172"/>
    </row>
    <row r="555">
      <c r="A555" s="525"/>
      <c r="B555" s="528"/>
      <c r="C555" s="172"/>
      <c r="D555" s="172"/>
      <c r="F555" s="172"/>
      <c r="G555" s="172"/>
      <c r="H555" s="172"/>
      <c r="I555" s="172"/>
      <c r="J555" s="172"/>
      <c r="K555" s="172"/>
      <c r="L555" s="172"/>
      <c r="M555" s="172"/>
      <c r="N555" s="172"/>
      <c r="O555" s="172"/>
      <c r="P555" s="172"/>
      <c r="Q555" s="172"/>
      <c r="R555" s="172"/>
      <c r="S555" s="172"/>
    </row>
    <row r="556">
      <c r="A556" s="525"/>
      <c r="B556" s="528"/>
      <c r="C556" s="172"/>
      <c r="D556" s="172"/>
      <c r="F556" s="172"/>
      <c r="G556" s="172"/>
      <c r="H556" s="172"/>
      <c r="I556" s="172"/>
      <c r="J556" s="172"/>
      <c r="K556" s="172"/>
      <c r="L556" s="172"/>
      <c r="M556" s="172"/>
      <c r="N556" s="172"/>
      <c r="O556" s="172"/>
      <c r="P556" s="172"/>
      <c r="Q556" s="172"/>
      <c r="R556" s="172"/>
      <c r="S556" s="172"/>
    </row>
    <row r="557">
      <c r="A557" s="525"/>
      <c r="B557" s="528"/>
      <c r="C557" s="172"/>
      <c r="D557" s="172"/>
      <c r="F557" s="172"/>
      <c r="G557" s="172"/>
      <c r="H557" s="172"/>
      <c r="I557" s="172"/>
      <c r="J557" s="172"/>
      <c r="K557" s="172"/>
      <c r="L557" s="172"/>
      <c r="M557" s="172"/>
      <c r="N557" s="172"/>
      <c r="O557" s="172"/>
      <c r="P557" s="172"/>
      <c r="Q557" s="172"/>
      <c r="R557" s="172"/>
      <c r="S557" s="172"/>
    </row>
    <row r="558">
      <c r="A558" s="525"/>
      <c r="B558" s="528"/>
      <c r="C558" s="172"/>
      <c r="D558" s="172"/>
      <c r="F558" s="172"/>
      <c r="G558" s="172"/>
      <c r="H558" s="172"/>
      <c r="I558" s="172"/>
      <c r="J558" s="172"/>
      <c r="K558" s="172"/>
      <c r="L558" s="172"/>
      <c r="M558" s="172"/>
      <c r="N558" s="172"/>
      <c r="O558" s="172"/>
      <c r="P558" s="172"/>
      <c r="Q558" s="172"/>
      <c r="R558" s="172"/>
      <c r="S558" s="172"/>
    </row>
    <row r="559">
      <c r="A559" s="525"/>
      <c r="B559" s="528"/>
      <c r="C559" s="172"/>
      <c r="D559" s="172"/>
      <c r="F559" s="172"/>
      <c r="G559" s="172"/>
      <c r="H559" s="172"/>
      <c r="I559" s="172"/>
      <c r="J559" s="172"/>
      <c r="K559" s="172"/>
      <c r="L559" s="172"/>
      <c r="M559" s="172"/>
      <c r="N559" s="172"/>
      <c r="O559" s="172"/>
      <c r="P559" s="172"/>
      <c r="Q559" s="172"/>
      <c r="R559" s="172"/>
      <c r="S559" s="172"/>
    </row>
    <row r="560">
      <c r="A560" s="525"/>
      <c r="B560" s="528"/>
      <c r="C560" s="172"/>
      <c r="D560" s="172"/>
      <c r="F560" s="172"/>
      <c r="G560" s="172"/>
      <c r="H560" s="172"/>
      <c r="I560" s="172"/>
      <c r="J560" s="172"/>
      <c r="K560" s="172"/>
      <c r="L560" s="172"/>
      <c r="M560" s="172"/>
      <c r="N560" s="172"/>
      <c r="O560" s="172"/>
      <c r="P560" s="172"/>
      <c r="Q560" s="172"/>
      <c r="R560" s="172"/>
      <c r="S560" s="172"/>
    </row>
    <row r="561">
      <c r="A561" s="525"/>
      <c r="B561" s="528"/>
      <c r="C561" s="172"/>
      <c r="D561" s="172"/>
      <c r="F561" s="172"/>
      <c r="G561" s="172"/>
      <c r="H561" s="172"/>
      <c r="I561" s="172"/>
      <c r="J561" s="172"/>
      <c r="K561" s="172"/>
      <c r="L561" s="172"/>
      <c r="M561" s="172"/>
      <c r="N561" s="172"/>
      <c r="O561" s="172"/>
      <c r="P561" s="172"/>
      <c r="Q561" s="172"/>
      <c r="R561" s="172"/>
      <c r="S561" s="172"/>
    </row>
    <row r="562">
      <c r="A562" s="525"/>
      <c r="B562" s="528"/>
      <c r="C562" s="172"/>
      <c r="D562" s="172"/>
      <c r="F562" s="172"/>
      <c r="G562" s="172"/>
      <c r="H562" s="172"/>
      <c r="I562" s="172"/>
      <c r="J562" s="172"/>
      <c r="K562" s="172"/>
      <c r="L562" s="172"/>
      <c r="M562" s="172"/>
      <c r="N562" s="172"/>
      <c r="O562" s="172"/>
      <c r="P562" s="172"/>
      <c r="Q562" s="172"/>
      <c r="R562" s="172"/>
      <c r="S562" s="172"/>
    </row>
    <row r="563">
      <c r="A563" s="525"/>
      <c r="B563" s="528"/>
      <c r="C563" s="172"/>
      <c r="D563" s="172"/>
      <c r="F563" s="172"/>
      <c r="G563" s="172"/>
      <c r="H563" s="172"/>
      <c r="I563" s="172"/>
      <c r="J563" s="172"/>
      <c r="K563" s="172"/>
      <c r="L563" s="172"/>
      <c r="M563" s="172"/>
      <c r="N563" s="172"/>
      <c r="O563" s="172"/>
      <c r="P563" s="172"/>
      <c r="Q563" s="172"/>
      <c r="R563" s="172"/>
      <c r="S563" s="172"/>
    </row>
    <row r="564">
      <c r="A564" s="525"/>
      <c r="B564" s="528"/>
      <c r="C564" s="172"/>
      <c r="D564" s="172"/>
      <c r="F564" s="172"/>
      <c r="G564" s="172"/>
      <c r="H564" s="172"/>
      <c r="I564" s="172"/>
      <c r="J564" s="172"/>
      <c r="K564" s="172"/>
      <c r="L564" s="172"/>
      <c r="M564" s="172"/>
      <c r="N564" s="172"/>
      <c r="O564" s="172"/>
      <c r="P564" s="172"/>
      <c r="Q564" s="172"/>
      <c r="R564" s="172"/>
      <c r="S564" s="172"/>
    </row>
    <row r="565">
      <c r="A565" s="525"/>
      <c r="B565" s="528"/>
      <c r="C565" s="172"/>
      <c r="D565" s="172"/>
      <c r="F565" s="172"/>
      <c r="G565" s="172"/>
      <c r="H565" s="172"/>
      <c r="I565" s="172"/>
      <c r="J565" s="172"/>
      <c r="K565" s="172"/>
      <c r="L565" s="172"/>
      <c r="M565" s="172"/>
      <c r="N565" s="172"/>
      <c r="O565" s="172"/>
      <c r="P565" s="172"/>
      <c r="Q565" s="172"/>
      <c r="R565" s="172"/>
      <c r="S565" s="172"/>
    </row>
    <row r="566">
      <c r="A566" s="525"/>
      <c r="B566" s="528"/>
      <c r="C566" s="172"/>
      <c r="D566" s="172"/>
      <c r="F566" s="172"/>
      <c r="G566" s="172"/>
      <c r="H566" s="172"/>
      <c r="I566" s="172"/>
      <c r="J566" s="172"/>
      <c r="K566" s="172"/>
      <c r="L566" s="172"/>
      <c r="M566" s="172"/>
      <c r="N566" s="172"/>
      <c r="O566" s="172"/>
      <c r="P566" s="172"/>
      <c r="Q566" s="172"/>
      <c r="R566" s="172"/>
      <c r="S566" s="172"/>
    </row>
    <row r="567">
      <c r="A567" s="525"/>
      <c r="B567" s="528"/>
      <c r="C567" s="172"/>
      <c r="D567" s="172"/>
      <c r="F567" s="172"/>
      <c r="G567" s="172"/>
      <c r="H567" s="172"/>
      <c r="I567" s="172"/>
      <c r="J567" s="172"/>
      <c r="K567" s="172"/>
      <c r="L567" s="172"/>
      <c r="M567" s="172"/>
      <c r="N567" s="172"/>
      <c r="O567" s="172"/>
      <c r="P567" s="172"/>
      <c r="Q567" s="172"/>
      <c r="R567" s="172"/>
      <c r="S567" s="172"/>
    </row>
    <row r="568">
      <c r="A568" s="525"/>
      <c r="B568" s="528"/>
      <c r="C568" s="172"/>
      <c r="D568" s="172"/>
      <c r="F568" s="172"/>
      <c r="G568" s="172"/>
      <c r="H568" s="172"/>
      <c r="I568" s="172"/>
      <c r="J568" s="172"/>
      <c r="K568" s="172"/>
      <c r="L568" s="172"/>
      <c r="M568" s="172"/>
      <c r="N568" s="172"/>
      <c r="O568" s="172"/>
      <c r="P568" s="172"/>
      <c r="Q568" s="172"/>
      <c r="R568" s="172"/>
      <c r="S568" s="172"/>
    </row>
    <row r="569">
      <c r="A569" s="525"/>
      <c r="B569" s="528"/>
      <c r="C569" s="172"/>
      <c r="D569" s="172"/>
      <c r="F569" s="172"/>
      <c r="G569" s="172"/>
      <c r="H569" s="172"/>
      <c r="I569" s="172"/>
      <c r="J569" s="172"/>
      <c r="K569" s="172"/>
      <c r="L569" s="172"/>
      <c r="M569" s="172"/>
      <c r="N569" s="172"/>
      <c r="O569" s="172"/>
      <c r="P569" s="172"/>
      <c r="Q569" s="172"/>
      <c r="R569" s="172"/>
      <c r="S569" s="172"/>
    </row>
    <row r="570">
      <c r="A570" s="525"/>
      <c r="B570" s="528"/>
      <c r="C570" s="172"/>
      <c r="D570" s="172"/>
      <c r="F570" s="172"/>
      <c r="G570" s="172"/>
      <c r="H570" s="172"/>
      <c r="I570" s="172"/>
      <c r="J570" s="172"/>
      <c r="K570" s="172"/>
      <c r="L570" s="172"/>
      <c r="M570" s="172"/>
      <c r="N570" s="172"/>
      <c r="O570" s="172"/>
      <c r="P570" s="172"/>
      <c r="Q570" s="172"/>
      <c r="R570" s="172"/>
      <c r="S570" s="172"/>
    </row>
    <row r="571">
      <c r="A571" s="525"/>
      <c r="B571" s="528"/>
      <c r="C571" s="172"/>
      <c r="D571" s="172"/>
      <c r="F571" s="172"/>
      <c r="G571" s="172"/>
      <c r="H571" s="172"/>
      <c r="I571" s="172"/>
      <c r="J571" s="172"/>
      <c r="K571" s="172"/>
      <c r="L571" s="172"/>
      <c r="M571" s="172"/>
      <c r="N571" s="172"/>
      <c r="O571" s="172"/>
      <c r="P571" s="172"/>
      <c r="Q571" s="172"/>
      <c r="R571" s="172"/>
      <c r="S571" s="172"/>
    </row>
    <row r="572">
      <c r="A572" s="525"/>
      <c r="B572" s="528"/>
      <c r="C572" s="172"/>
      <c r="D572" s="172"/>
      <c r="F572" s="172"/>
      <c r="G572" s="172"/>
      <c r="H572" s="172"/>
      <c r="I572" s="172"/>
      <c r="J572" s="172"/>
      <c r="K572" s="172"/>
      <c r="L572" s="172"/>
      <c r="M572" s="172"/>
      <c r="N572" s="172"/>
      <c r="O572" s="172"/>
      <c r="P572" s="172"/>
      <c r="Q572" s="172"/>
      <c r="R572" s="172"/>
      <c r="S572" s="172"/>
    </row>
    <row r="573">
      <c r="A573" s="525"/>
      <c r="B573" s="528"/>
      <c r="C573" s="172"/>
      <c r="D573" s="172"/>
      <c r="F573" s="172"/>
      <c r="G573" s="172"/>
      <c r="H573" s="172"/>
      <c r="I573" s="172"/>
      <c r="J573" s="172"/>
      <c r="K573" s="172"/>
      <c r="L573" s="172"/>
      <c r="M573" s="172"/>
      <c r="N573" s="172"/>
      <c r="O573" s="172"/>
      <c r="P573" s="172"/>
      <c r="Q573" s="172"/>
      <c r="R573" s="172"/>
      <c r="S573" s="172"/>
    </row>
    <row r="574">
      <c r="A574" s="525"/>
      <c r="B574" s="528"/>
      <c r="C574" s="172"/>
      <c r="D574" s="172"/>
      <c r="F574" s="172"/>
      <c r="G574" s="172"/>
      <c r="H574" s="172"/>
      <c r="I574" s="172"/>
      <c r="J574" s="172"/>
      <c r="K574" s="172"/>
      <c r="L574" s="172"/>
      <c r="M574" s="172"/>
      <c r="N574" s="172"/>
      <c r="O574" s="172"/>
      <c r="P574" s="172"/>
      <c r="Q574" s="172"/>
      <c r="R574" s="172"/>
      <c r="S574" s="172"/>
    </row>
    <row r="575">
      <c r="A575" s="525"/>
      <c r="B575" s="528"/>
      <c r="C575" s="172"/>
      <c r="D575" s="172"/>
      <c r="F575" s="172"/>
      <c r="G575" s="172"/>
      <c r="H575" s="172"/>
      <c r="I575" s="172"/>
      <c r="J575" s="172"/>
      <c r="K575" s="172"/>
      <c r="L575" s="172"/>
      <c r="M575" s="172"/>
      <c r="N575" s="172"/>
      <c r="O575" s="172"/>
      <c r="P575" s="172"/>
      <c r="Q575" s="172"/>
      <c r="R575" s="172"/>
      <c r="S575" s="172"/>
    </row>
    <row r="576">
      <c r="A576" s="525"/>
      <c r="B576" s="528"/>
      <c r="C576" s="172"/>
      <c r="D576" s="172"/>
      <c r="F576" s="172"/>
      <c r="G576" s="172"/>
      <c r="H576" s="172"/>
      <c r="I576" s="172"/>
      <c r="J576" s="172"/>
      <c r="K576" s="172"/>
      <c r="L576" s="172"/>
      <c r="M576" s="172"/>
      <c r="N576" s="172"/>
      <c r="O576" s="172"/>
      <c r="P576" s="172"/>
      <c r="Q576" s="172"/>
      <c r="R576" s="172"/>
      <c r="S576" s="172"/>
    </row>
    <row r="577">
      <c r="A577" s="525"/>
      <c r="B577" s="528"/>
      <c r="C577" s="172"/>
      <c r="D577" s="172"/>
      <c r="F577" s="172"/>
      <c r="G577" s="172"/>
      <c r="H577" s="172"/>
      <c r="I577" s="172"/>
      <c r="J577" s="172"/>
      <c r="K577" s="172"/>
      <c r="L577" s="172"/>
      <c r="M577" s="172"/>
      <c r="N577" s="172"/>
      <c r="O577" s="172"/>
      <c r="P577" s="172"/>
      <c r="Q577" s="172"/>
      <c r="R577" s="172"/>
      <c r="S577" s="172"/>
    </row>
    <row r="578">
      <c r="A578" s="525"/>
      <c r="B578" s="528"/>
      <c r="C578" s="172"/>
      <c r="D578" s="172"/>
      <c r="F578" s="172"/>
      <c r="G578" s="172"/>
      <c r="H578" s="172"/>
      <c r="I578" s="172"/>
      <c r="J578" s="172"/>
      <c r="K578" s="172"/>
      <c r="L578" s="172"/>
      <c r="M578" s="172"/>
      <c r="N578" s="172"/>
      <c r="O578" s="172"/>
      <c r="P578" s="172"/>
      <c r="Q578" s="172"/>
      <c r="R578" s="172"/>
      <c r="S578" s="172"/>
    </row>
    <row r="579">
      <c r="A579" s="525"/>
      <c r="B579" s="528"/>
      <c r="C579" s="172"/>
      <c r="D579" s="172"/>
      <c r="F579" s="172"/>
      <c r="G579" s="172"/>
      <c r="H579" s="172"/>
      <c r="I579" s="172"/>
      <c r="J579" s="172"/>
      <c r="K579" s="172"/>
      <c r="L579" s="172"/>
      <c r="M579" s="172"/>
      <c r="N579" s="172"/>
      <c r="O579" s="172"/>
      <c r="P579" s="172"/>
      <c r="Q579" s="172"/>
      <c r="R579" s="172"/>
      <c r="S579" s="172"/>
    </row>
    <row r="580">
      <c r="A580" s="525"/>
      <c r="B580" s="528"/>
      <c r="C580" s="172"/>
      <c r="D580" s="172"/>
      <c r="F580" s="172"/>
      <c r="G580" s="172"/>
      <c r="H580" s="172"/>
      <c r="I580" s="172"/>
      <c r="J580" s="172"/>
      <c r="K580" s="172"/>
      <c r="L580" s="172"/>
      <c r="M580" s="172"/>
      <c r="N580" s="172"/>
      <c r="O580" s="172"/>
      <c r="P580" s="172"/>
      <c r="Q580" s="172"/>
      <c r="R580" s="172"/>
      <c r="S580" s="172"/>
    </row>
    <row r="581">
      <c r="A581" s="525"/>
      <c r="B581" s="528"/>
      <c r="C581" s="172"/>
      <c r="D581" s="172"/>
      <c r="F581" s="172"/>
      <c r="G581" s="172"/>
      <c r="H581" s="172"/>
      <c r="I581" s="172"/>
      <c r="J581" s="172"/>
      <c r="K581" s="172"/>
      <c r="L581" s="172"/>
      <c r="M581" s="172"/>
      <c r="N581" s="172"/>
      <c r="O581" s="172"/>
      <c r="P581" s="172"/>
      <c r="Q581" s="172"/>
      <c r="R581" s="172"/>
      <c r="S581" s="172"/>
    </row>
    <row r="582">
      <c r="A582" s="525"/>
      <c r="B582" s="528"/>
      <c r="C582" s="172"/>
      <c r="D582" s="172"/>
      <c r="F582" s="172"/>
      <c r="G582" s="172"/>
      <c r="H582" s="172"/>
      <c r="I582" s="172"/>
      <c r="J582" s="172"/>
      <c r="K582" s="172"/>
      <c r="L582" s="172"/>
      <c r="M582" s="172"/>
      <c r="N582" s="172"/>
      <c r="O582" s="172"/>
      <c r="P582" s="172"/>
      <c r="Q582" s="172"/>
      <c r="R582" s="172"/>
      <c r="S582" s="172"/>
    </row>
    <row r="583">
      <c r="A583" s="525"/>
      <c r="B583" s="528"/>
      <c r="C583" s="172"/>
      <c r="D583" s="172"/>
      <c r="F583" s="172"/>
      <c r="G583" s="172"/>
      <c r="H583" s="172"/>
      <c r="I583" s="172"/>
      <c r="J583" s="172"/>
      <c r="K583" s="172"/>
      <c r="L583" s="172"/>
      <c r="M583" s="172"/>
      <c r="N583" s="172"/>
      <c r="O583" s="172"/>
      <c r="P583" s="172"/>
      <c r="Q583" s="172"/>
      <c r="R583" s="172"/>
      <c r="S583" s="172"/>
    </row>
    <row r="584">
      <c r="A584" s="525"/>
      <c r="B584" s="528"/>
      <c r="C584" s="172"/>
      <c r="D584" s="172"/>
      <c r="F584" s="172"/>
      <c r="G584" s="172"/>
      <c r="H584" s="172"/>
      <c r="I584" s="172"/>
      <c r="J584" s="172"/>
      <c r="K584" s="172"/>
      <c r="L584" s="172"/>
      <c r="M584" s="172"/>
      <c r="N584" s="172"/>
      <c r="O584" s="172"/>
      <c r="P584" s="172"/>
      <c r="Q584" s="172"/>
      <c r="R584" s="172"/>
      <c r="S584" s="172"/>
    </row>
    <row r="585">
      <c r="A585" s="525"/>
      <c r="B585" s="528"/>
      <c r="C585" s="172"/>
      <c r="D585" s="172"/>
      <c r="F585" s="172"/>
      <c r="G585" s="172"/>
      <c r="H585" s="172"/>
      <c r="I585" s="172"/>
      <c r="J585" s="172"/>
      <c r="K585" s="172"/>
      <c r="L585" s="172"/>
      <c r="M585" s="172"/>
      <c r="N585" s="172"/>
      <c r="O585" s="172"/>
      <c r="P585" s="172"/>
      <c r="Q585" s="172"/>
      <c r="R585" s="172"/>
      <c r="S585" s="172"/>
    </row>
    <row r="586">
      <c r="A586" s="525"/>
      <c r="B586" s="528"/>
      <c r="C586" s="172"/>
      <c r="D586" s="172"/>
      <c r="F586" s="172"/>
      <c r="G586" s="172"/>
      <c r="H586" s="172"/>
      <c r="I586" s="172"/>
      <c r="J586" s="172"/>
      <c r="K586" s="172"/>
      <c r="L586" s="172"/>
      <c r="M586" s="172"/>
      <c r="N586" s="172"/>
      <c r="O586" s="172"/>
      <c r="P586" s="172"/>
      <c r="Q586" s="172"/>
      <c r="R586" s="172"/>
      <c r="S586" s="172"/>
    </row>
    <row r="587">
      <c r="A587" s="525"/>
      <c r="B587" s="528"/>
      <c r="C587" s="172"/>
      <c r="D587" s="172"/>
      <c r="F587" s="172"/>
      <c r="G587" s="172"/>
      <c r="H587" s="172"/>
      <c r="I587" s="172"/>
      <c r="J587" s="172"/>
      <c r="K587" s="172"/>
      <c r="L587" s="172"/>
      <c r="M587" s="172"/>
      <c r="N587" s="172"/>
      <c r="O587" s="172"/>
      <c r="P587" s="172"/>
      <c r="Q587" s="172"/>
      <c r="R587" s="172"/>
      <c r="S587" s="172"/>
    </row>
    <row r="588">
      <c r="A588" s="525"/>
      <c r="B588" s="528"/>
      <c r="C588" s="172"/>
      <c r="D588" s="172"/>
      <c r="F588" s="172"/>
      <c r="G588" s="172"/>
      <c r="H588" s="172"/>
      <c r="I588" s="172"/>
      <c r="J588" s="172"/>
      <c r="K588" s="172"/>
      <c r="L588" s="172"/>
      <c r="M588" s="172"/>
      <c r="N588" s="172"/>
      <c r="O588" s="172"/>
      <c r="P588" s="172"/>
      <c r="Q588" s="172"/>
      <c r="R588" s="172"/>
      <c r="S588" s="172"/>
    </row>
    <row r="589">
      <c r="A589" s="525"/>
      <c r="B589" s="528"/>
      <c r="C589" s="172"/>
      <c r="D589" s="172"/>
      <c r="F589" s="172"/>
      <c r="G589" s="172"/>
      <c r="H589" s="172"/>
      <c r="I589" s="172"/>
      <c r="J589" s="172"/>
      <c r="K589" s="172"/>
      <c r="L589" s="172"/>
      <c r="M589" s="172"/>
      <c r="N589" s="172"/>
      <c r="O589" s="172"/>
      <c r="P589" s="172"/>
      <c r="Q589" s="172"/>
      <c r="R589" s="172"/>
      <c r="S589" s="172"/>
    </row>
    <row r="590">
      <c r="A590" s="525"/>
      <c r="B590" s="528"/>
      <c r="C590" s="172"/>
      <c r="D590" s="172"/>
      <c r="F590" s="172"/>
      <c r="G590" s="172"/>
      <c r="H590" s="172"/>
      <c r="I590" s="172"/>
      <c r="J590" s="172"/>
      <c r="K590" s="172"/>
      <c r="L590" s="172"/>
      <c r="M590" s="172"/>
      <c r="N590" s="172"/>
      <c r="O590" s="172"/>
      <c r="P590" s="172"/>
      <c r="Q590" s="172"/>
      <c r="R590" s="172"/>
      <c r="S590" s="172"/>
    </row>
    <row r="591">
      <c r="A591" s="525"/>
      <c r="B591" s="528"/>
      <c r="C591" s="172"/>
      <c r="D591" s="172"/>
      <c r="F591" s="172"/>
      <c r="G591" s="172"/>
      <c r="H591" s="172"/>
      <c r="I591" s="172"/>
      <c r="J591" s="172"/>
      <c r="K591" s="172"/>
      <c r="L591" s="172"/>
      <c r="M591" s="172"/>
      <c r="N591" s="172"/>
      <c r="O591" s="172"/>
      <c r="P591" s="172"/>
      <c r="Q591" s="172"/>
      <c r="R591" s="172"/>
      <c r="S591" s="172"/>
    </row>
    <row r="592">
      <c r="A592" s="525"/>
      <c r="B592" s="528"/>
      <c r="C592" s="172"/>
      <c r="D592" s="172"/>
      <c r="F592" s="172"/>
      <c r="G592" s="172"/>
      <c r="H592" s="172"/>
      <c r="I592" s="172"/>
      <c r="J592" s="172"/>
      <c r="K592" s="172"/>
      <c r="L592" s="172"/>
      <c r="M592" s="172"/>
      <c r="N592" s="172"/>
      <c r="O592" s="172"/>
      <c r="P592" s="172"/>
      <c r="Q592" s="172"/>
      <c r="R592" s="172"/>
      <c r="S592" s="172"/>
    </row>
    <row r="593">
      <c r="A593" s="525"/>
      <c r="B593" s="528"/>
      <c r="C593" s="172"/>
      <c r="D593" s="172"/>
      <c r="F593" s="172"/>
      <c r="G593" s="172"/>
      <c r="H593" s="172"/>
      <c r="I593" s="172"/>
      <c r="J593" s="172"/>
      <c r="K593" s="172"/>
      <c r="L593" s="172"/>
      <c r="M593" s="172"/>
      <c r="N593" s="172"/>
      <c r="O593" s="172"/>
      <c r="P593" s="172"/>
      <c r="Q593" s="172"/>
      <c r="R593" s="172"/>
      <c r="S593" s="172"/>
    </row>
    <row r="594">
      <c r="A594" s="525"/>
      <c r="B594" s="528"/>
      <c r="C594" s="172"/>
      <c r="D594" s="172"/>
      <c r="F594" s="172"/>
      <c r="G594" s="172"/>
      <c r="H594" s="172"/>
      <c r="I594" s="172"/>
      <c r="J594" s="172"/>
      <c r="K594" s="172"/>
      <c r="L594" s="172"/>
      <c r="M594" s="172"/>
      <c r="N594" s="172"/>
      <c r="O594" s="172"/>
      <c r="P594" s="172"/>
      <c r="Q594" s="172"/>
      <c r="R594" s="172"/>
      <c r="S594" s="172"/>
    </row>
    <row r="595">
      <c r="A595" s="525"/>
      <c r="B595" s="528"/>
      <c r="C595" s="172"/>
      <c r="D595" s="172"/>
      <c r="F595" s="172"/>
      <c r="G595" s="172"/>
      <c r="H595" s="172"/>
      <c r="I595" s="172"/>
      <c r="J595" s="172"/>
      <c r="K595" s="172"/>
      <c r="L595" s="172"/>
      <c r="M595" s="172"/>
      <c r="N595" s="172"/>
      <c r="O595" s="172"/>
      <c r="P595" s="172"/>
      <c r="Q595" s="172"/>
      <c r="R595" s="172"/>
      <c r="S595" s="172"/>
    </row>
    <row r="596">
      <c r="A596" s="525"/>
      <c r="B596" s="528"/>
      <c r="C596" s="172"/>
      <c r="D596" s="172"/>
      <c r="F596" s="172"/>
      <c r="G596" s="172"/>
      <c r="H596" s="172"/>
      <c r="I596" s="172"/>
      <c r="J596" s="172"/>
      <c r="K596" s="172"/>
      <c r="L596" s="172"/>
      <c r="M596" s="172"/>
      <c r="N596" s="172"/>
      <c r="O596" s="172"/>
      <c r="P596" s="172"/>
      <c r="Q596" s="172"/>
      <c r="R596" s="172"/>
      <c r="S596" s="172"/>
    </row>
    <row r="597">
      <c r="A597" s="525"/>
      <c r="B597" s="528"/>
      <c r="C597" s="172"/>
      <c r="D597" s="172"/>
      <c r="F597" s="172"/>
      <c r="G597" s="172"/>
      <c r="H597" s="172"/>
      <c r="I597" s="172"/>
      <c r="J597" s="172"/>
      <c r="K597" s="172"/>
      <c r="L597" s="172"/>
      <c r="M597" s="172"/>
      <c r="N597" s="172"/>
      <c r="O597" s="172"/>
      <c r="P597" s="172"/>
      <c r="Q597" s="172"/>
      <c r="R597" s="172"/>
      <c r="S597" s="172"/>
    </row>
    <row r="598">
      <c r="A598" s="525"/>
      <c r="B598" s="528"/>
      <c r="C598" s="172"/>
      <c r="D598" s="172"/>
      <c r="F598" s="172"/>
      <c r="G598" s="172"/>
      <c r="H598" s="172"/>
      <c r="I598" s="172"/>
      <c r="J598" s="172"/>
      <c r="K598" s="172"/>
      <c r="L598" s="172"/>
      <c r="M598" s="172"/>
      <c r="N598" s="172"/>
      <c r="O598" s="172"/>
      <c r="P598" s="172"/>
      <c r="Q598" s="172"/>
      <c r="R598" s="172"/>
      <c r="S598" s="172"/>
    </row>
    <row r="599">
      <c r="A599" s="525"/>
      <c r="B599" s="528"/>
      <c r="C599" s="172"/>
      <c r="D599" s="172"/>
      <c r="F599" s="172"/>
      <c r="G599" s="172"/>
      <c r="H599" s="172"/>
      <c r="I599" s="172"/>
      <c r="J599" s="172"/>
      <c r="K599" s="172"/>
      <c r="L599" s="172"/>
      <c r="M599" s="172"/>
      <c r="N599" s="172"/>
      <c r="O599" s="172"/>
      <c r="P599" s="172"/>
      <c r="Q599" s="172"/>
      <c r="R599" s="172"/>
      <c r="S599" s="172"/>
    </row>
    <row r="600">
      <c r="A600" s="525"/>
      <c r="B600" s="528"/>
      <c r="C600" s="172"/>
      <c r="D600" s="172"/>
      <c r="F600" s="172"/>
      <c r="G600" s="172"/>
      <c r="H600" s="172"/>
      <c r="I600" s="172"/>
      <c r="J600" s="172"/>
      <c r="K600" s="172"/>
      <c r="L600" s="172"/>
      <c r="M600" s="172"/>
      <c r="N600" s="172"/>
      <c r="O600" s="172"/>
      <c r="P600" s="172"/>
      <c r="Q600" s="172"/>
      <c r="R600" s="172"/>
      <c r="S600" s="172"/>
    </row>
    <row r="601">
      <c r="A601" s="525"/>
      <c r="B601" s="528"/>
      <c r="C601" s="172"/>
      <c r="D601" s="172"/>
      <c r="F601" s="172"/>
      <c r="G601" s="172"/>
      <c r="H601" s="172"/>
      <c r="I601" s="172"/>
      <c r="J601" s="172"/>
      <c r="K601" s="172"/>
      <c r="L601" s="172"/>
      <c r="M601" s="172"/>
      <c r="N601" s="172"/>
      <c r="O601" s="172"/>
      <c r="P601" s="172"/>
      <c r="Q601" s="172"/>
      <c r="R601" s="172"/>
      <c r="S601" s="172"/>
    </row>
    <row r="602">
      <c r="A602" s="525"/>
      <c r="B602" s="528"/>
      <c r="C602" s="172"/>
      <c r="D602" s="172"/>
      <c r="F602" s="172"/>
      <c r="G602" s="172"/>
      <c r="H602" s="172"/>
      <c r="I602" s="172"/>
      <c r="J602" s="172"/>
      <c r="K602" s="172"/>
      <c r="L602" s="172"/>
      <c r="M602" s="172"/>
      <c r="N602" s="172"/>
      <c r="O602" s="172"/>
      <c r="P602" s="172"/>
      <c r="Q602" s="172"/>
      <c r="R602" s="172"/>
      <c r="S602" s="172"/>
    </row>
    <row r="603">
      <c r="A603" s="525"/>
      <c r="B603" s="528"/>
      <c r="C603" s="172"/>
      <c r="D603" s="172"/>
      <c r="F603" s="172"/>
      <c r="G603" s="172"/>
      <c r="H603" s="172"/>
      <c r="I603" s="172"/>
      <c r="J603" s="172"/>
      <c r="K603" s="172"/>
      <c r="L603" s="172"/>
      <c r="M603" s="172"/>
      <c r="N603" s="172"/>
      <c r="O603" s="172"/>
      <c r="P603" s="172"/>
      <c r="Q603" s="172"/>
      <c r="R603" s="172"/>
      <c r="S603" s="172"/>
    </row>
    <row r="604">
      <c r="A604" s="525"/>
      <c r="B604" s="528"/>
      <c r="C604" s="172"/>
      <c r="D604" s="172"/>
      <c r="F604" s="172"/>
      <c r="G604" s="172"/>
      <c r="H604" s="172"/>
      <c r="I604" s="172"/>
      <c r="J604" s="172"/>
      <c r="K604" s="172"/>
      <c r="L604" s="172"/>
      <c r="M604" s="172"/>
      <c r="N604" s="172"/>
      <c r="O604" s="172"/>
      <c r="P604" s="172"/>
      <c r="Q604" s="172"/>
      <c r="R604" s="172"/>
      <c r="S604" s="172"/>
    </row>
    <row r="605">
      <c r="A605" s="525"/>
      <c r="B605" s="528"/>
      <c r="C605" s="172"/>
      <c r="D605" s="172"/>
      <c r="F605" s="172"/>
      <c r="G605" s="172"/>
      <c r="H605" s="172"/>
      <c r="I605" s="172"/>
      <c r="J605" s="172"/>
      <c r="K605" s="172"/>
      <c r="L605" s="172"/>
      <c r="M605" s="172"/>
      <c r="N605" s="172"/>
      <c r="O605" s="172"/>
      <c r="P605" s="172"/>
      <c r="Q605" s="172"/>
      <c r="R605" s="172"/>
      <c r="S605" s="172"/>
    </row>
    <row r="606">
      <c r="A606" s="525"/>
      <c r="B606" s="528"/>
      <c r="C606" s="172"/>
      <c r="D606" s="172"/>
      <c r="F606" s="172"/>
      <c r="G606" s="172"/>
      <c r="H606" s="172"/>
      <c r="I606" s="172"/>
      <c r="J606" s="172"/>
      <c r="K606" s="172"/>
      <c r="L606" s="172"/>
      <c r="M606" s="172"/>
      <c r="N606" s="172"/>
      <c r="O606" s="172"/>
      <c r="P606" s="172"/>
      <c r="Q606" s="172"/>
      <c r="R606" s="172"/>
      <c r="S606" s="172"/>
    </row>
    <row r="607">
      <c r="A607" s="525"/>
      <c r="B607" s="528"/>
      <c r="C607" s="172"/>
      <c r="D607" s="172"/>
      <c r="F607" s="172"/>
      <c r="G607" s="172"/>
      <c r="H607" s="172"/>
      <c r="I607" s="172"/>
      <c r="J607" s="172"/>
      <c r="K607" s="172"/>
      <c r="L607" s="172"/>
      <c r="M607" s="172"/>
      <c r="N607" s="172"/>
      <c r="O607" s="172"/>
      <c r="P607" s="172"/>
      <c r="Q607" s="172"/>
      <c r="R607" s="172"/>
      <c r="S607" s="172"/>
    </row>
    <row r="608">
      <c r="A608" s="525"/>
      <c r="B608" s="528"/>
      <c r="C608" s="172"/>
      <c r="D608" s="172"/>
      <c r="F608" s="172"/>
      <c r="G608" s="172"/>
      <c r="H608" s="172"/>
      <c r="I608" s="172"/>
      <c r="J608" s="172"/>
      <c r="K608" s="172"/>
      <c r="L608" s="172"/>
      <c r="M608" s="172"/>
      <c r="N608" s="172"/>
      <c r="O608" s="172"/>
      <c r="P608" s="172"/>
      <c r="Q608" s="172"/>
      <c r="R608" s="172"/>
      <c r="S608" s="172"/>
    </row>
    <row r="609">
      <c r="A609" s="525"/>
      <c r="B609" s="528"/>
      <c r="C609" s="172"/>
      <c r="D609" s="172"/>
      <c r="F609" s="172"/>
      <c r="G609" s="172"/>
      <c r="H609" s="172"/>
      <c r="I609" s="172"/>
      <c r="J609" s="172"/>
      <c r="K609" s="172"/>
      <c r="L609" s="172"/>
      <c r="M609" s="172"/>
      <c r="N609" s="172"/>
      <c r="O609" s="172"/>
      <c r="P609" s="172"/>
      <c r="Q609" s="172"/>
      <c r="R609" s="172"/>
      <c r="S609" s="172"/>
    </row>
    <row r="610">
      <c r="A610" s="525"/>
      <c r="B610" s="528"/>
      <c r="C610" s="172"/>
      <c r="D610" s="172"/>
      <c r="F610" s="172"/>
      <c r="G610" s="172"/>
      <c r="H610" s="172"/>
      <c r="I610" s="172"/>
      <c r="J610" s="172"/>
      <c r="K610" s="172"/>
      <c r="L610" s="172"/>
      <c r="M610" s="172"/>
      <c r="N610" s="172"/>
      <c r="O610" s="172"/>
      <c r="P610" s="172"/>
      <c r="Q610" s="172"/>
      <c r="R610" s="172"/>
      <c r="S610" s="172"/>
    </row>
    <row r="611">
      <c r="A611" s="525"/>
      <c r="B611" s="528"/>
      <c r="C611" s="172"/>
      <c r="D611" s="172"/>
      <c r="F611" s="172"/>
      <c r="G611" s="172"/>
      <c r="H611" s="172"/>
      <c r="I611" s="172"/>
      <c r="J611" s="172"/>
      <c r="K611" s="172"/>
      <c r="L611" s="172"/>
      <c r="M611" s="172"/>
      <c r="N611" s="172"/>
      <c r="O611" s="172"/>
      <c r="P611" s="172"/>
      <c r="Q611" s="172"/>
      <c r="R611" s="172"/>
      <c r="S611" s="172"/>
    </row>
    <row r="612">
      <c r="A612" s="525"/>
      <c r="B612" s="528"/>
      <c r="C612" s="172"/>
      <c r="D612" s="172"/>
      <c r="F612" s="172"/>
      <c r="G612" s="172"/>
      <c r="H612" s="172"/>
      <c r="I612" s="172"/>
      <c r="J612" s="172"/>
      <c r="K612" s="172"/>
      <c r="L612" s="172"/>
      <c r="M612" s="172"/>
      <c r="N612" s="172"/>
      <c r="O612" s="172"/>
      <c r="P612" s="172"/>
      <c r="Q612" s="172"/>
      <c r="R612" s="172"/>
      <c r="S612" s="172"/>
    </row>
    <row r="613">
      <c r="A613" s="525"/>
      <c r="B613" s="528"/>
      <c r="C613" s="172"/>
      <c r="D613" s="172"/>
      <c r="F613" s="172"/>
      <c r="G613" s="172"/>
      <c r="H613" s="172"/>
      <c r="I613" s="172"/>
      <c r="J613" s="172"/>
      <c r="K613" s="172"/>
      <c r="L613" s="172"/>
      <c r="M613" s="172"/>
      <c r="N613" s="172"/>
      <c r="O613" s="172"/>
      <c r="P613" s="172"/>
      <c r="Q613" s="172"/>
      <c r="R613" s="172"/>
      <c r="S613" s="172"/>
    </row>
    <row r="614">
      <c r="A614" s="525"/>
      <c r="B614" s="528"/>
      <c r="C614" s="172"/>
      <c r="D614" s="172"/>
      <c r="F614" s="172"/>
      <c r="G614" s="172"/>
      <c r="H614" s="172"/>
      <c r="I614" s="172"/>
      <c r="J614" s="172"/>
      <c r="K614" s="172"/>
      <c r="L614" s="172"/>
      <c r="M614" s="172"/>
      <c r="N614" s="172"/>
      <c r="O614" s="172"/>
      <c r="P614" s="172"/>
      <c r="Q614" s="172"/>
      <c r="R614" s="172"/>
      <c r="S614" s="172"/>
    </row>
    <row r="615">
      <c r="A615" s="525"/>
      <c r="B615" s="528"/>
      <c r="C615" s="172"/>
      <c r="D615" s="172"/>
      <c r="F615" s="172"/>
      <c r="G615" s="172"/>
      <c r="H615" s="172"/>
      <c r="I615" s="172"/>
      <c r="J615" s="172"/>
      <c r="K615" s="172"/>
      <c r="L615" s="172"/>
      <c r="M615" s="172"/>
      <c r="N615" s="172"/>
      <c r="O615" s="172"/>
      <c r="P615" s="172"/>
      <c r="Q615" s="172"/>
      <c r="R615" s="172"/>
      <c r="S615" s="172"/>
    </row>
    <row r="616">
      <c r="A616" s="525"/>
      <c r="B616" s="528"/>
      <c r="C616" s="172"/>
      <c r="D616" s="172"/>
      <c r="F616" s="172"/>
      <c r="G616" s="172"/>
      <c r="H616" s="172"/>
      <c r="I616" s="172"/>
      <c r="J616" s="172"/>
      <c r="K616" s="172"/>
      <c r="L616" s="172"/>
      <c r="M616" s="172"/>
      <c r="N616" s="172"/>
      <c r="O616" s="172"/>
      <c r="P616" s="172"/>
      <c r="Q616" s="172"/>
      <c r="R616" s="172"/>
      <c r="S616" s="172"/>
    </row>
    <row r="617">
      <c r="A617" s="525"/>
      <c r="B617" s="528"/>
      <c r="C617" s="172"/>
      <c r="D617" s="172"/>
      <c r="F617" s="172"/>
      <c r="G617" s="172"/>
      <c r="H617" s="172"/>
      <c r="I617" s="172"/>
      <c r="J617" s="172"/>
      <c r="K617" s="172"/>
      <c r="L617" s="172"/>
      <c r="M617" s="172"/>
      <c r="N617" s="172"/>
      <c r="O617" s="172"/>
      <c r="P617" s="172"/>
      <c r="Q617" s="172"/>
      <c r="R617" s="172"/>
      <c r="S617" s="172"/>
    </row>
    <row r="618">
      <c r="A618" s="525"/>
      <c r="B618" s="528"/>
      <c r="C618" s="172"/>
      <c r="D618" s="172"/>
      <c r="F618" s="172"/>
      <c r="G618" s="172"/>
      <c r="H618" s="172"/>
      <c r="I618" s="172"/>
      <c r="J618" s="172"/>
      <c r="K618" s="172"/>
      <c r="L618" s="172"/>
      <c r="M618" s="172"/>
      <c r="N618" s="172"/>
      <c r="O618" s="172"/>
      <c r="P618" s="172"/>
      <c r="Q618" s="172"/>
      <c r="R618" s="172"/>
      <c r="S618" s="172"/>
    </row>
    <row r="619">
      <c r="A619" s="525"/>
      <c r="B619" s="528"/>
      <c r="C619" s="172"/>
      <c r="D619" s="172"/>
      <c r="F619" s="172"/>
      <c r="G619" s="172"/>
      <c r="H619" s="172"/>
      <c r="I619" s="172"/>
      <c r="J619" s="172"/>
      <c r="K619" s="172"/>
      <c r="L619" s="172"/>
      <c r="M619" s="172"/>
      <c r="N619" s="172"/>
      <c r="O619" s="172"/>
      <c r="P619" s="172"/>
      <c r="Q619" s="172"/>
      <c r="R619" s="172"/>
      <c r="S619" s="172"/>
    </row>
    <row r="620">
      <c r="A620" s="525"/>
      <c r="B620" s="528"/>
      <c r="C620" s="172"/>
      <c r="D620" s="172"/>
      <c r="F620" s="172"/>
      <c r="G620" s="172"/>
      <c r="H620" s="172"/>
      <c r="I620" s="172"/>
      <c r="J620" s="172"/>
      <c r="K620" s="172"/>
      <c r="L620" s="172"/>
      <c r="M620" s="172"/>
      <c r="N620" s="172"/>
      <c r="O620" s="172"/>
      <c r="P620" s="172"/>
      <c r="Q620" s="172"/>
      <c r="R620" s="172"/>
      <c r="S620" s="172"/>
    </row>
    <row r="621">
      <c r="A621" s="525"/>
      <c r="B621" s="528"/>
      <c r="C621" s="172"/>
      <c r="D621" s="172"/>
      <c r="F621" s="172"/>
      <c r="G621" s="172"/>
      <c r="H621" s="172"/>
      <c r="I621" s="172"/>
      <c r="J621" s="172"/>
      <c r="K621" s="172"/>
      <c r="L621" s="172"/>
      <c r="M621" s="172"/>
      <c r="N621" s="172"/>
      <c r="O621" s="172"/>
      <c r="P621" s="172"/>
      <c r="Q621" s="172"/>
      <c r="R621" s="172"/>
      <c r="S621" s="172"/>
    </row>
    <row r="622">
      <c r="A622" s="525"/>
      <c r="B622" s="528"/>
      <c r="C622" s="172"/>
      <c r="D622" s="172"/>
      <c r="F622" s="172"/>
      <c r="G622" s="172"/>
      <c r="H622" s="172"/>
      <c r="I622" s="172"/>
      <c r="J622" s="172"/>
      <c r="K622" s="172"/>
      <c r="L622" s="172"/>
      <c r="M622" s="172"/>
      <c r="N622" s="172"/>
      <c r="O622" s="172"/>
      <c r="P622" s="172"/>
      <c r="Q622" s="172"/>
      <c r="R622" s="172"/>
      <c r="S622" s="172"/>
    </row>
    <row r="623">
      <c r="A623" s="525"/>
      <c r="B623" s="528"/>
      <c r="C623" s="172"/>
      <c r="D623" s="172"/>
      <c r="F623" s="172"/>
      <c r="G623" s="172"/>
      <c r="H623" s="172"/>
      <c r="I623" s="172"/>
      <c r="J623" s="172"/>
      <c r="K623" s="172"/>
      <c r="L623" s="172"/>
      <c r="M623" s="172"/>
      <c r="N623" s="172"/>
      <c r="O623" s="172"/>
      <c r="P623" s="172"/>
      <c r="Q623" s="172"/>
      <c r="R623" s="172"/>
      <c r="S623" s="172"/>
    </row>
    <row r="624">
      <c r="A624" s="525"/>
      <c r="B624" s="528"/>
      <c r="C624" s="172"/>
      <c r="D624" s="172"/>
      <c r="F624" s="172"/>
      <c r="G624" s="172"/>
      <c r="H624" s="172"/>
      <c r="I624" s="172"/>
      <c r="J624" s="172"/>
      <c r="K624" s="172"/>
      <c r="L624" s="172"/>
      <c r="M624" s="172"/>
      <c r="N624" s="172"/>
      <c r="O624" s="172"/>
      <c r="P624" s="172"/>
      <c r="Q624" s="172"/>
      <c r="R624" s="172"/>
      <c r="S624" s="172"/>
    </row>
    <row r="625">
      <c r="A625" s="525"/>
      <c r="B625" s="528"/>
      <c r="C625" s="172"/>
      <c r="D625" s="172"/>
      <c r="F625" s="172"/>
      <c r="G625" s="172"/>
      <c r="H625" s="172"/>
      <c r="I625" s="172"/>
      <c r="J625" s="172"/>
      <c r="K625" s="172"/>
      <c r="L625" s="172"/>
      <c r="M625" s="172"/>
      <c r="N625" s="172"/>
      <c r="O625" s="172"/>
      <c r="P625" s="172"/>
      <c r="Q625" s="172"/>
      <c r="R625" s="172"/>
      <c r="S625" s="172"/>
    </row>
    <row r="626">
      <c r="A626" s="525"/>
      <c r="B626" s="528"/>
      <c r="C626" s="172"/>
      <c r="D626" s="172"/>
      <c r="F626" s="172"/>
      <c r="G626" s="172"/>
      <c r="H626" s="172"/>
      <c r="I626" s="172"/>
      <c r="J626" s="172"/>
      <c r="K626" s="172"/>
      <c r="L626" s="172"/>
      <c r="M626" s="172"/>
      <c r="N626" s="172"/>
      <c r="O626" s="172"/>
      <c r="P626" s="172"/>
      <c r="Q626" s="172"/>
      <c r="R626" s="172"/>
      <c r="S626" s="172"/>
    </row>
    <row r="627">
      <c r="A627" s="525"/>
      <c r="B627" s="528"/>
      <c r="C627" s="172"/>
      <c r="D627" s="172"/>
      <c r="F627" s="172"/>
      <c r="G627" s="172"/>
      <c r="H627" s="172"/>
      <c r="I627" s="172"/>
      <c r="J627" s="172"/>
      <c r="K627" s="172"/>
      <c r="L627" s="172"/>
      <c r="M627" s="172"/>
      <c r="N627" s="172"/>
      <c r="O627" s="172"/>
      <c r="P627" s="172"/>
      <c r="Q627" s="172"/>
      <c r="R627" s="172"/>
      <c r="S627" s="172"/>
    </row>
    <row r="628">
      <c r="A628" s="525"/>
      <c r="B628" s="528"/>
      <c r="C628" s="172"/>
      <c r="D628" s="172"/>
      <c r="F628" s="172"/>
      <c r="G628" s="172"/>
      <c r="H628" s="172"/>
      <c r="I628" s="172"/>
      <c r="J628" s="172"/>
      <c r="K628" s="172"/>
      <c r="L628" s="172"/>
      <c r="M628" s="172"/>
      <c r="N628" s="172"/>
      <c r="O628" s="172"/>
      <c r="P628" s="172"/>
      <c r="Q628" s="172"/>
      <c r="R628" s="172"/>
      <c r="S628" s="172"/>
    </row>
    <row r="629">
      <c r="A629" s="525"/>
      <c r="B629" s="528"/>
      <c r="C629" s="172"/>
      <c r="D629" s="172"/>
      <c r="F629" s="172"/>
      <c r="G629" s="172"/>
      <c r="H629" s="172"/>
      <c r="I629" s="172"/>
      <c r="J629" s="172"/>
      <c r="K629" s="172"/>
      <c r="L629" s="172"/>
      <c r="M629" s="172"/>
      <c r="N629" s="172"/>
      <c r="O629" s="172"/>
      <c r="P629" s="172"/>
      <c r="Q629" s="172"/>
      <c r="R629" s="172"/>
      <c r="S629" s="172"/>
    </row>
    <row r="630">
      <c r="A630" s="525"/>
      <c r="B630" s="528"/>
      <c r="C630" s="172"/>
      <c r="D630" s="172"/>
      <c r="F630" s="172"/>
      <c r="G630" s="172"/>
      <c r="H630" s="172"/>
      <c r="I630" s="172"/>
      <c r="J630" s="172"/>
      <c r="K630" s="172"/>
      <c r="L630" s="172"/>
      <c r="M630" s="172"/>
      <c r="N630" s="172"/>
      <c r="O630" s="172"/>
      <c r="P630" s="172"/>
      <c r="Q630" s="172"/>
      <c r="R630" s="172"/>
      <c r="S630" s="172"/>
    </row>
    <row r="631">
      <c r="A631" s="525"/>
      <c r="B631" s="528"/>
      <c r="C631" s="172"/>
      <c r="D631" s="172"/>
      <c r="F631" s="172"/>
      <c r="G631" s="172"/>
      <c r="H631" s="172"/>
      <c r="I631" s="172"/>
      <c r="J631" s="172"/>
      <c r="K631" s="172"/>
      <c r="L631" s="172"/>
      <c r="M631" s="172"/>
      <c r="N631" s="172"/>
      <c r="O631" s="172"/>
      <c r="P631" s="172"/>
      <c r="Q631" s="172"/>
      <c r="R631" s="172"/>
      <c r="S631" s="172"/>
    </row>
    <row r="632">
      <c r="A632" s="525"/>
      <c r="B632" s="528"/>
      <c r="C632" s="172"/>
      <c r="D632" s="172"/>
      <c r="F632" s="172"/>
      <c r="G632" s="172"/>
      <c r="H632" s="172"/>
      <c r="I632" s="172"/>
      <c r="J632" s="172"/>
      <c r="K632" s="172"/>
      <c r="L632" s="172"/>
      <c r="M632" s="172"/>
      <c r="N632" s="172"/>
      <c r="O632" s="172"/>
      <c r="P632" s="172"/>
      <c r="Q632" s="172"/>
      <c r="R632" s="172"/>
      <c r="S632" s="172"/>
    </row>
    <row r="633">
      <c r="A633" s="525"/>
      <c r="B633" s="528"/>
      <c r="C633" s="172"/>
      <c r="D633" s="172"/>
      <c r="F633" s="172"/>
      <c r="G633" s="172"/>
      <c r="H633" s="172"/>
      <c r="I633" s="172"/>
      <c r="J633" s="172"/>
      <c r="K633" s="172"/>
      <c r="L633" s="172"/>
      <c r="M633" s="172"/>
      <c r="N633" s="172"/>
      <c r="O633" s="172"/>
      <c r="P633" s="172"/>
      <c r="Q633" s="172"/>
      <c r="R633" s="172"/>
      <c r="S633" s="172"/>
    </row>
    <row r="634">
      <c r="A634" s="525"/>
      <c r="B634" s="528"/>
      <c r="C634" s="172"/>
      <c r="D634" s="172"/>
      <c r="F634" s="172"/>
      <c r="G634" s="172"/>
      <c r="H634" s="172"/>
      <c r="I634" s="172"/>
      <c r="J634" s="172"/>
      <c r="K634" s="172"/>
      <c r="L634" s="172"/>
      <c r="M634" s="172"/>
      <c r="N634" s="172"/>
      <c r="O634" s="172"/>
      <c r="P634" s="172"/>
      <c r="Q634" s="172"/>
      <c r="R634" s="172"/>
      <c r="S634" s="172"/>
    </row>
    <row r="635">
      <c r="A635" s="525"/>
      <c r="B635" s="528"/>
      <c r="C635" s="172"/>
      <c r="D635" s="172"/>
      <c r="F635" s="172"/>
      <c r="G635" s="172"/>
      <c r="H635" s="172"/>
      <c r="I635" s="172"/>
      <c r="J635" s="172"/>
      <c r="K635" s="172"/>
      <c r="L635" s="172"/>
      <c r="M635" s="172"/>
      <c r="N635" s="172"/>
      <c r="O635" s="172"/>
      <c r="P635" s="172"/>
      <c r="Q635" s="172"/>
      <c r="R635" s="172"/>
      <c r="S635" s="172"/>
    </row>
    <row r="636">
      <c r="A636" s="525"/>
      <c r="B636" s="528"/>
      <c r="C636" s="172"/>
      <c r="D636" s="172"/>
      <c r="F636" s="172"/>
      <c r="G636" s="172"/>
      <c r="H636" s="172"/>
      <c r="I636" s="172"/>
      <c r="J636" s="172"/>
      <c r="K636" s="172"/>
      <c r="L636" s="172"/>
      <c r="M636" s="172"/>
      <c r="N636" s="172"/>
      <c r="O636" s="172"/>
      <c r="P636" s="172"/>
      <c r="Q636" s="172"/>
      <c r="R636" s="172"/>
      <c r="S636" s="172"/>
    </row>
    <row r="637">
      <c r="A637" s="525"/>
      <c r="B637" s="528"/>
      <c r="C637" s="172"/>
      <c r="D637" s="172"/>
      <c r="F637" s="172"/>
      <c r="G637" s="172"/>
      <c r="H637" s="172"/>
      <c r="I637" s="172"/>
      <c r="J637" s="172"/>
      <c r="K637" s="172"/>
      <c r="L637" s="172"/>
      <c r="M637" s="172"/>
      <c r="N637" s="172"/>
      <c r="O637" s="172"/>
      <c r="P637" s="172"/>
      <c r="Q637" s="172"/>
      <c r="R637" s="172"/>
      <c r="S637" s="172"/>
    </row>
    <row r="638">
      <c r="A638" s="525"/>
      <c r="B638" s="528"/>
      <c r="C638" s="172"/>
      <c r="D638" s="172"/>
      <c r="F638" s="172"/>
      <c r="G638" s="172"/>
      <c r="H638" s="172"/>
      <c r="I638" s="172"/>
      <c r="J638" s="172"/>
      <c r="K638" s="172"/>
      <c r="L638" s="172"/>
      <c r="M638" s="172"/>
      <c r="N638" s="172"/>
      <c r="O638" s="172"/>
      <c r="P638" s="172"/>
      <c r="Q638" s="172"/>
      <c r="R638" s="172"/>
      <c r="S638" s="172"/>
    </row>
    <row r="639">
      <c r="A639" s="525"/>
      <c r="B639" s="528"/>
      <c r="C639" s="172"/>
      <c r="D639" s="172"/>
      <c r="F639" s="172"/>
      <c r="G639" s="172"/>
      <c r="H639" s="172"/>
      <c r="I639" s="172"/>
      <c r="J639" s="172"/>
      <c r="K639" s="172"/>
      <c r="L639" s="172"/>
      <c r="M639" s="172"/>
      <c r="N639" s="172"/>
      <c r="O639" s="172"/>
      <c r="P639" s="172"/>
      <c r="Q639" s="172"/>
      <c r="R639" s="172"/>
      <c r="S639" s="172"/>
    </row>
    <row r="640">
      <c r="A640" s="525"/>
      <c r="B640" s="528"/>
      <c r="C640" s="172"/>
      <c r="D640" s="172"/>
      <c r="F640" s="172"/>
      <c r="G640" s="172"/>
      <c r="H640" s="172"/>
      <c r="I640" s="172"/>
      <c r="J640" s="172"/>
      <c r="K640" s="172"/>
      <c r="L640" s="172"/>
      <c r="M640" s="172"/>
      <c r="N640" s="172"/>
      <c r="O640" s="172"/>
      <c r="P640" s="172"/>
      <c r="Q640" s="172"/>
      <c r="R640" s="172"/>
      <c r="S640" s="172"/>
    </row>
    <row r="641">
      <c r="A641" s="525"/>
      <c r="B641" s="528"/>
      <c r="C641" s="172"/>
      <c r="D641" s="172"/>
      <c r="F641" s="172"/>
      <c r="G641" s="172"/>
      <c r="H641" s="172"/>
      <c r="I641" s="172"/>
      <c r="J641" s="172"/>
      <c r="K641" s="172"/>
      <c r="L641" s="172"/>
      <c r="M641" s="172"/>
      <c r="N641" s="172"/>
      <c r="O641" s="172"/>
      <c r="P641" s="172"/>
      <c r="Q641" s="172"/>
      <c r="R641" s="172"/>
      <c r="S641" s="172"/>
    </row>
    <row r="642">
      <c r="A642" s="525"/>
      <c r="B642" s="528"/>
      <c r="C642" s="172"/>
      <c r="D642" s="172"/>
      <c r="F642" s="172"/>
      <c r="G642" s="172"/>
      <c r="H642" s="172"/>
      <c r="I642" s="172"/>
      <c r="J642" s="172"/>
      <c r="K642" s="172"/>
      <c r="L642" s="172"/>
      <c r="M642" s="172"/>
      <c r="N642" s="172"/>
      <c r="O642" s="172"/>
      <c r="P642" s="172"/>
      <c r="Q642" s="172"/>
      <c r="R642" s="172"/>
      <c r="S642" s="172"/>
    </row>
    <row r="643">
      <c r="A643" s="525"/>
      <c r="B643" s="528"/>
      <c r="C643" s="172"/>
      <c r="D643" s="172"/>
      <c r="F643" s="172"/>
      <c r="G643" s="172"/>
      <c r="H643" s="172"/>
      <c r="I643" s="172"/>
      <c r="J643" s="172"/>
      <c r="K643" s="172"/>
      <c r="L643" s="172"/>
      <c r="M643" s="172"/>
      <c r="N643" s="172"/>
      <c r="O643" s="172"/>
      <c r="P643" s="172"/>
      <c r="Q643" s="172"/>
      <c r="R643" s="172"/>
      <c r="S643" s="172"/>
    </row>
    <row r="644">
      <c r="A644" s="525"/>
      <c r="B644" s="528"/>
      <c r="C644" s="172"/>
      <c r="D644" s="172"/>
      <c r="F644" s="172"/>
      <c r="G644" s="172"/>
      <c r="H644" s="172"/>
      <c r="I644" s="172"/>
      <c r="J644" s="172"/>
      <c r="K644" s="172"/>
      <c r="L644" s="172"/>
      <c r="M644" s="172"/>
      <c r="N644" s="172"/>
      <c r="O644" s="172"/>
      <c r="P644" s="172"/>
      <c r="Q644" s="172"/>
      <c r="R644" s="172"/>
      <c r="S644" s="172"/>
    </row>
    <row r="645">
      <c r="A645" s="525"/>
      <c r="B645" s="528"/>
      <c r="C645" s="172"/>
      <c r="D645" s="172"/>
      <c r="F645" s="172"/>
      <c r="G645" s="172"/>
      <c r="H645" s="172"/>
      <c r="I645" s="172"/>
      <c r="J645" s="172"/>
      <c r="K645" s="172"/>
      <c r="L645" s="172"/>
      <c r="M645" s="172"/>
      <c r="N645" s="172"/>
      <c r="O645" s="172"/>
      <c r="P645" s="172"/>
      <c r="Q645" s="172"/>
      <c r="R645" s="172"/>
      <c r="S645" s="172"/>
    </row>
    <row r="646">
      <c r="A646" s="525"/>
      <c r="B646" s="528"/>
      <c r="C646" s="172"/>
      <c r="D646" s="172"/>
      <c r="F646" s="172"/>
      <c r="G646" s="172"/>
      <c r="H646" s="172"/>
      <c r="I646" s="172"/>
      <c r="J646" s="172"/>
      <c r="K646" s="172"/>
      <c r="L646" s="172"/>
      <c r="M646" s="172"/>
      <c r="N646" s="172"/>
      <c r="O646" s="172"/>
      <c r="P646" s="172"/>
      <c r="Q646" s="172"/>
      <c r="R646" s="172"/>
      <c r="S646" s="172"/>
    </row>
    <row r="647">
      <c r="A647" s="525"/>
      <c r="B647" s="528"/>
      <c r="C647" s="172"/>
      <c r="D647" s="172"/>
      <c r="F647" s="172"/>
      <c r="G647" s="172"/>
      <c r="H647" s="172"/>
      <c r="I647" s="172"/>
      <c r="J647" s="172"/>
      <c r="K647" s="172"/>
      <c r="L647" s="172"/>
      <c r="M647" s="172"/>
      <c r="N647" s="172"/>
      <c r="O647" s="172"/>
      <c r="P647" s="172"/>
      <c r="Q647" s="172"/>
      <c r="R647" s="172"/>
      <c r="S647" s="172"/>
    </row>
    <row r="648">
      <c r="A648" s="525"/>
      <c r="B648" s="528"/>
      <c r="C648" s="172"/>
      <c r="D648" s="172"/>
      <c r="F648" s="172"/>
      <c r="G648" s="172"/>
      <c r="H648" s="172"/>
      <c r="I648" s="172"/>
      <c r="J648" s="172"/>
      <c r="K648" s="172"/>
      <c r="L648" s="172"/>
      <c r="M648" s="172"/>
      <c r="N648" s="172"/>
      <c r="O648" s="172"/>
      <c r="P648" s="172"/>
      <c r="Q648" s="172"/>
      <c r="R648" s="172"/>
      <c r="S648" s="172"/>
    </row>
    <row r="649">
      <c r="A649" s="525"/>
      <c r="B649" s="528"/>
      <c r="C649" s="172"/>
      <c r="D649" s="172"/>
      <c r="F649" s="172"/>
      <c r="G649" s="172"/>
      <c r="H649" s="172"/>
      <c r="I649" s="172"/>
      <c r="J649" s="172"/>
      <c r="K649" s="172"/>
      <c r="L649" s="172"/>
      <c r="M649" s="172"/>
      <c r="N649" s="172"/>
      <c r="O649" s="172"/>
      <c r="P649" s="172"/>
      <c r="Q649" s="172"/>
      <c r="R649" s="172"/>
      <c r="S649" s="172"/>
    </row>
    <row r="650">
      <c r="A650" s="525"/>
      <c r="B650" s="528"/>
      <c r="C650" s="172"/>
      <c r="D650" s="172"/>
      <c r="F650" s="172"/>
      <c r="G650" s="172"/>
      <c r="H650" s="172"/>
      <c r="I650" s="172"/>
      <c r="J650" s="172"/>
      <c r="K650" s="172"/>
      <c r="L650" s="172"/>
      <c r="M650" s="172"/>
      <c r="N650" s="172"/>
      <c r="O650" s="172"/>
      <c r="P650" s="172"/>
      <c r="Q650" s="172"/>
      <c r="R650" s="172"/>
      <c r="S650" s="172"/>
    </row>
    <row r="651">
      <c r="A651" s="525"/>
      <c r="B651" s="528"/>
      <c r="C651" s="172"/>
      <c r="D651" s="172"/>
      <c r="F651" s="172"/>
      <c r="G651" s="172"/>
      <c r="H651" s="172"/>
      <c r="I651" s="172"/>
      <c r="J651" s="172"/>
      <c r="K651" s="172"/>
      <c r="L651" s="172"/>
      <c r="M651" s="172"/>
      <c r="N651" s="172"/>
      <c r="O651" s="172"/>
      <c r="P651" s="172"/>
      <c r="Q651" s="172"/>
      <c r="R651" s="172"/>
      <c r="S651" s="172"/>
    </row>
    <row r="652">
      <c r="A652" s="525"/>
      <c r="B652" s="528"/>
      <c r="C652" s="172"/>
      <c r="D652" s="172"/>
      <c r="F652" s="172"/>
      <c r="G652" s="172"/>
      <c r="H652" s="172"/>
      <c r="I652" s="172"/>
      <c r="J652" s="172"/>
      <c r="K652" s="172"/>
      <c r="L652" s="172"/>
      <c r="M652" s="172"/>
      <c r="N652" s="172"/>
      <c r="O652" s="172"/>
      <c r="P652" s="172"/>
      <c r="Q652" s="172"/>
      <c r="R652" s="172"/>
      <c r="S652" s="172"/>
    </row>
    <row r="653">
      <c r="A653" s="525"/>
      <c r="B653" s="528"/>
      <c r="C653" s="172"/>
      <c r="D653" s="172"/>
      <c r="F653" s="172"/>
      <c r="G653" s="172"/>
      <c r="H653" s="172"/>
      <c r="I653" s="172"/>
      <c r="J653" s="172"/>
      <c r="K653" s="172"/>
      <c r="L653" s="172"/>
      <c r="M653" s="172"/>
      <c r="N653" s="172"/>
      <c r="O653" s="172"/>
      <c r="P653" s="172"/>
      <c r="Q653" s="172"/>
      <c r="R653" s="172"/>
      <c r="S653" s="172"/>
    </row>
    <row r="654">
      <c r="A654" s="525"/>
      <c r="B654" s="528"/>
      <c r="C654" s="172"/>
      <c r="D654" s="172"/>
      <c r="F654" s="172"/>
      <c r="G654" s="172"/>
      <c r="H654" s="172"/>
      <c r="I654" s="172"/>
      <c r="J654" s="172"/>
      <c r="K654" s="172"/>
      <c r="L654" s="172"/>
      <c r="M654" s="172"/>
      <c r="N654" s="172"/>
      <c r="O654" s="172"/>
      <c r="P654" s="172"/>
      <c r="Q654" s="172"/>
      <c r="R654" s="172"/>
      <c r="S654" s="172"/>
    </row>
    <row r="655">
      <c r="A655" s="525"/>
      <c r="B655" s="528"/>
      <c r="C655" s="172"/>
      <c r="D655" s="172"/>
      <c r="F655" s="172"/>
      <c r="G655" s="172"/>
      <c r="H655" s="172"/>
      <c r="I655" s="172"/>
      <c r="J655" s="172"/>
      <c r="K655" s="172"/>
      <c r="L655" s="172"/>
      <c r="M655" s="172"/>
      <c r="N655" s="172"/>
      <c r="O655" s="172"/>
      <c r="P655" s="172"/>
      <c r="Q655" s="172"/>
      <c r="R655" s="172"/>
      <c r="S655" s="172"/>
    </row>
    <row r="656">
      <c r="A656" s="525"/>
      <c r="B656" s="528"/>
      <c r="C656" s="172"/>
      <c r="D656" s="172"/>
      <c r="F656" s="172"/>
      <c r="G656" s="172"/>
      <c r="H656" s="172"/>
      <c r="I656" s="172"/>
      <c r="J656" s="172"/>
      <c r="K656" s="172"/>
      <c r="L656" s="172"/>
      <c r="M656" s="172"/>
      <c r="N656" s="172"/>
      <c r="O656" s="172"/>
      <c r="P656" s="172"/>
      <c r="Q656" s="172"/>
      <c r="R656" s="172"/>
      <c r="S656" s="172"/>
    </row>
    <row r="657">
      <c r="A657" s="525"/>
      <c r="B657" s="528"/>
      <c r="C657" s="172"/>
      <c r="D657" s="172"/>
      <c r="F657" s="172"/>
      <c r="G657" s="172"/>
      <c r="H657" s="172"/>
      <c r="I657" s="172"/>
      <c r="J657" s="172"/>
      <c r="K657" s="172"/>
      <c r="L657" s="172"/>
      <c r="M657" s="172"/>
      <c r="N657" s="172"/>
      <c r="O657" s="172"/>
      <c r="P657" s="172"/>
      <c r="Q657" s="172"/>
      <c r="R657" s="172"/>
      <c r="S657" s="172"/>
    </row>
    <row r="658">
      <c r="A658" s="525"/>
      <c r="B658" s="528"/>
      <c r="C658" s="172"/>
      <c r="D658" s="172"/>
      <c r="F658" s="172"/>
      <c r="G658" s="172"/>
      <c r="H658" s="172"/>
      <c r="I658" s="172"/>
      <c r="J658" s="172"/>
      <c r="K658" s="172"/>
      <c r="L658" s="172"/>
      <c r="M658" s="172"/>
      <c r="N658" s="172"/>
      <c r="O658" s="172"/>
      <c r="P658" s="172"/>
      <c r="Q658" s="172"/>
      <c r="R658" s="172"/>
      <c r="S658" s="172"/>
    </row>
    <row r="659">
      <c r="A659" s="525"/>
      <c r="B659" s="528"/>
      <c r="C659" s="172"/>
      <c r="D659" s="172"/>
      <c r="F659" s="172"/>
      <c r="G659" s="172"/>
      <c r="H659" s="172"/>
      <c r="I659" s="172"/>
      <c r="J659" s="172"/>
      <c r="K659" s="172"/>
      <c r="L659" s="172"/>
      <c r="M659" s="172"/>
      <c r="N659" s="172"/>
      <c r="O659" s="172"/>
      <c r="P659" s="172"/>
      <c r="Q659" s="172"/>
      <c r="R659" s="172"/>
      <c r="S659" s="172"/>
    </row>
    <row r="660">
      <c r="A660" s="525"/>
      <c r="B660" s="528"/>
      <c r="C660" s="172"/>
      <c r="D660" s="172"/>
      <c r="F660" s="172"/>
      <c r="G660" s="172"/>
      <c r="H660" s="172"/>
      <c r="I660" s="172"/>
      <c r="J660" s="172"/>
      <c r="K660" s="172"/>
      <c r="L660" s="172"/>
      <c r="M660" s="172"/>
      <c r="N660" s="172"/>
      <c r="O660" s="172"/>
      <c r="P660" s="172"/>
      <c r="Q660" s="172"/>
      <c r="R660" s="172"/>
      <c r="S660" s="172"/>
    </row>
    <row r="661">
      <c r="A661" s="525"/>
      <c r="B661" s="528"/>
      <c r="C661" s="172"/>
      <c r="D661" s="172"/>
      <c r="F661" s="172"/>
      <c r="G661" s="172"/>
      <c r="H661" s="172"/>
      <c r="I661" s="172"/>
      <c r="J661" s="172"/>
      <c r="K661" s="172"/>
      <c r="L661" s="172"/>
      <c r="M661" s="172"/>
      <c r="N661" s="172"/>
      <c r="O661" s="172"/>
      <c r="P661" s="172"/>
      <c r="Q661" s="172"/>
      <c r="R661" s="172"/>
      <c r="S661" s="172"/>
    </row>
    <row r="662">
      <c r="A662" s="525"/>
      <c r="B662" s="528"/>
      <c r="C662" s="172"/>
      <c r="D662" s="172"/>
      <c r="F662" s="172"/>
      <c r="G662" s="172"/>
      <c r="H662" s="172"/>
      <c r="I662" s="172"/>
      <c r="J662" s="172"/>
      <c r="K662" s="172"/>
      <c r="L662" s="172"/>
      <c r="M662" s="172"/>
      <c r="N662" s="172"/>
      <c r="O662" s="172"/>
      <c r="P662" s="172"/>
      <c r="Q662" s="172"/>
      <c r="R662" s="172"/>
      <c r="S662" s="172"/>
    </row>
    <row r="663">
      <c r="A663" s="525"/>
      <c r="B663" s="528"/>
      <c r="C663" s="172"/>
      <c r="D663" s="172"/>
      <c r="F663" s="172"/>
      <c r="G663" s="172"/>
      <c r="H663" s="172"/>
      <c r="I663" s="172"/>
      <c r="J663" s="172"/>
      <c r="K663" s="172"/>
      <c r="L663" s="172"/>
      <c r="M663" s="172"/>
      <c r="N663" s="172"/>
      <c r="O663" s="172"/>
      <c r="P663" s="172"/>
      <c r="Q663" s="172"/>
      <c r="R663" s="172"/>
      <c r="S663" s="172"/>
    </row>
    <row r="664">
      <c r="A664" s="525"/>
      <c r="B664" s="528"/>
      <c r="C664" s="172"/>
      <c r="D664" s="172"/>
      <c r="F664" s="172"/>
      <c r="G664" s="172"/>
      <c r="H664" s="172"/>
      <c r="I664" s="172"/>
      <c r="J664" s="172"/>
      <c r="K664" s="172"/>
      <c r="L664" s="172"/>
      <c r="M664" s="172"/>
      <c r="N664" s="172"/>
      <c r="O664" s="172"/>
      <c r="P664" s="172"/>
      <c r="Q664" s="172"/>
      <c r="R664" s="172"/>
      <c r="S664" s="172"/>
    </row>
    <row r="665">
      <c r="A665" s="525"/>
      <c r="B665" s="528"/>
      <c r="C665" s="172"/>
      <c r="D665" s="172"/>
      <c r="F665" s="172"/>
      <c r="G665" s="172"/>
      <c r="H665" s="172"/>
      <c r="I665" s="172"/>
      <c r="J665" s="172"/>
      <c r="K665" s="172"/>
      <c r="L665" s="172"/>
      <c r="M665" s="172"/>
      <c r="N665" s="172"/>
      <c r="O665" s="172"/>
      <c r="P665" s="172"/>
      <c r="Q665" s="172"/>
      <c r="R665" s="172"/>
      <c r="S665" s="172"/>
    </row>
    <row r="666">
      <c r="A666" s="525"/>
      <c r="B666" s="528"/>
      <c r="C666" s="172"/>
      <c r="D666" s="172"/>
      <c r="F666" s="172"/>
      <c r="G666" s="172"/>
      <c r="H666" s="172"/>
      <c r="I666" s="172"/>
      <c r="J666" s="172"/>
      <c r="K666" s="172"/>
      <c r="L666" s="172"/>
      <c r="M666" s="172"/>
      <c r="N666" s="172"/>
      <c r="O666" s="172"/>
      <c r="P666" s="172"/>
      <c r="Q666" s="172"/>
      <c r="R666" s="172"/>
      <c r="S666" s="172"/>
    </row>
    <row r="667">
      <c r="A667" s="525"/>
      <c r="B667" s="528"/>
      <c r="C667" s="172"/>
      <c r="D667" s="172"/>
      <c r="F667" s="172"/>
      <c r="G667" s="172"/>
      <c r="H667" s="172"/>
      <c r="I667" s="172"/>
      <c r="J667" s="172"/>
      <c r="K667" s="172"/>
      <c r="L667" s="172"/>
      <c r="M667" s="172"/>
      <c r="N667" s="172"/>
      <c r="O667" s="172"/>
      <c r="P667" s="172"/>
      <c r="Q667" s="172"/>
      <c r="R667" s="172"/>
      <c r="S667" s="172"/>
    </row>
    <row r="668">
      <c r="A668" s="525"/>
      <c r="B668" s="528"/>
      <c r="C668" s="172"/>
      <c r="D668" s="172"/>
      <c r="F668" s="172"/>
      <c r="G668" s="172"/>
      <c r="H668" s="172"/>
      <c r="I668" s="172"/>
      <c r="J668" s="172"/>
      <c r="K668" s="172"/>
      <c r="L668" s="172"/>
      <c r="M668" s="172"/>
      <c r="N668" s="172"/>
      <c r="O668" s="172"/>
      <c r="P668" s="172"/>
      <c r="Q668" s="172"/>
      <c r="R668" s="172"/>
      <c r="S668" s="172"/>
    </row>
    <row r="669">
      <c r="A669" s="525"/>
      <c r="B669" s="528"/>
      <c r="C669" s="172"/>
      <c r="D669" s="172"/>
      <c r="F669" s="172"/>
      <c r="G669" s="172"/>
      <c r="H669" s="172"/>
      <c r="I669" s="172"/>
      <c r="J669" s="172"/>
      <c r="K669" s="172"/>
      <c r="L669" s="172"/>
      <c r="M669" s="172"/>
      <c r="N669" s="172"/>
      <c r="O669" s="172"/>
      <c r="P669" s="172"/>
      <c r="Q669" s="172"/>
      <c r="R669" s="172"/>
      <c r="S669" s="172"/>
    </row>
    <row r="670">
      <c r="A670" s="525"/>
      <c r="B670" s="528"/>
      <c r="C670" s="172"/>
      <c r="D670" s="172"/>
      <c r="F670" s="172"/>
      <c r="G670" s="172"/>
      <c r="H670" s="172"/>
      <c r="I670" s="172"/>
      <c r="J670" s="172"/>
      <c r="K670" s="172"/>
      <c r="L670" s="172"/>
      <c r="M670" s="172"/>
      <c r="N670" s="172"/>
      <c r="O670" s="172"/>
      <c r="P670" s="172"/>
      <c r="Q670" s="172"/>
      <c r="R670" s="172"/>
      <c r="S670" s="172"/>
    </row>
    <row r="671">
      <c r="A671" s="525"/>
      <c r="B671" s="528"/>
      <c r="C671" s="172"/>
      <c r="D671" s="172"/>
      <c r="F671" s="172"/>
      <c r="G671" s="172"/>
      <c r="H671" s="172"/>
      <c r="I671" s="172"/>
      <c r="J671" s="172"/>
      <c r="K671" s="172"/>
      <c r="L671" s="172"/>
      <c r="M671" s="172"/>
      <c r="N671" s="172"/>
      <c r="O671" s="172"/>
      <c r="P671" s="172"/>
      <c r="Q671" s="172"/>
      <c r="R671" s="172"/>
      <c r="S671" s="172"/>
    </row>
    <row r="672">
      <c r="A672" s="525"/>
      <c r="B672" s="528"/>
      <c r="C672" s="172"/>
      <c r="D672" s="172"/>
      <c r="F672" s="172"/>
      <c r="G672" s="172"/>
      <c r="H672" s="172"/>
      <c r="I672" s="172"/>
      <c r="J672" s="172"/>
      <c r="K672" s="172"/>
      <c r="L672" s="172"/>
      <c r="M672" s="172"/>
      <c r="N672" s="172"/>
      <c r="O672" s="172"/>
      <c r="P672" s="172"/>
      <c r="Q672" s="172"/>
      <c r="R672" s="172"/>
      <c r="S672" s="172"/>
    </row>
    <row r="673">
      <c r="A673" s="525"/>
      <c r="B673" s="528"/>
      <c r="C673" s="172"/>
      <c r="D673" s="172"/>
      <c r="F673" s="172"/>
      <c r="G673" s="172"/>
      <c r="H673" s="172"/>
      <c r="I673" s="172"/>
      <c r="J673" s="172"/>
      <c r="K673" s="172"/>
      <c r="L673" s="172"/>
      <c r="M673" s="172"/>
      <c r="N673" s="172"/>
      <c r="O673" s="172"/>
      <c r="P673" s="172"/>
      <c r="Q673" s="172"/>
      <c r="R673" s="172"/>
      <c r="S673" s="172"/>
    </row>
    <row r="674">
      <c r="A674" s="525"/>
      <c r="B674" s="528"/>
      <c r="C674" s="172"/>
      <c r="D674" s="172"/>
      <c r="F674" s="172"/>
      <c r="G674" s="172"/>
      <c r="H674" s="172"/>
      <c r="I674" s="172"/>
      <c r="J674" s="172"/>
      <c r="K674" s="172"/>
      <c r="L674" s="172"/>
      <c r="M674" s="172"/>
      <c r="N674" s="172"/>
      <c r="O674" s="172"/>
      <c r="P674" s="172"/>
      <c r="Q674" s="172"/>
      <c r="R674" s="172"/>
      <c r="S674" s="172"/>
    </row>
    <row r="675">
      <c r="A675" s="525"/>
      <c r="B675" s="528"/>
      <c r="C675" s="172"/>
      <c r="D675" s="172"/>
      <c r="F675" s="172"/>
      <c r="G675" s="172"/>
      <c r="H675" s="172"/>
      <c r="I675" s="172"/>
      <c r="J675" s="172"/>
      <c r="K675" s="172"/>
      <c r="L675" s="172"/>
      <c r="M675" s="172"/>
      <c r="N675" s="172"/>
      <c r="O675" s="172"/>
      <c r="P675" s="172"/>
      <c r="Q675" s="172"/>
      <c r="R675" s="172"/>
      <c r="S675" s="172"/>
    </row>
    <row r="676">
      <c r="A676" s="525"/>
      <c r="B676" s="528"/>
      <c r="C676" s="172"/>
      <c r="D676" s="172"/>
      <c r="F676" s="172"/>
      <c r="G676" s="172"/>
      <c r="H676" s="172"/>
      <c r="I676" s="172"/>
      <c r="J676" s="172"/>
      <c r="K676" s="172"/>
      <c r="L676" s="172"/>
      <c r="M676" s="172"/>
      <c r="N676" s="172"/>
      <c r="O676" s="172"/>
      <c r="P676" s="172"/>
      <c r="Q676" s="172"/>
      <c r="R676" s="172"/>
      <c r="S676" s="172"/>
    </row>
    <row r="677">
      <c r="A677" s="525"/>
      <c r="B677" s="528"/>
      <c r="C677" s="172"/>
      <c r="D677" s="172"/>
      <c r="F677" s="172"/>
      <c r="G677" s="172"/>
      <c r="H677" s="172"/>
      <c r="I677" s="172"/>
      <c r="J677" s="172"/>
      <c r="K677" s="172"/>
      <c r="L677" s="172"/>
      <c r="M677" s="172"/>
      <c r="N677" s="172"/>
      <c r="O677" s="172"/>
      <c r="P677" s="172"/>
      <c r="Q677" s="172"/>
      <c r="R677" s="172"/>
      <c r="S677" s="172"/>
    </row>
    <row r="678">
      <c r="A678" s="525"/>
      <c r="B678" s="528"/>
      <c r="C678" s="172"/>
      <c r="D678" s="172"/>
      <c r="F678" s="172"/>
      <c r="G678" s="172"/>
      <c r="H678" s="172"/>
      <c r="I678" s="172"/>
      <c r="J678" s="172"/>
      <c r="K678" s="172"/>
      <c r="L678" s="172"/>
      <c r="M678" s="172"/>
      <c r="N678" s="172"/>
      <c r="O678" s="172"/>
      <c r="P678" s="172"/>
      <c r="Q678" s="172"/>
      <c r="R678" s="172"/>
      <c r="S678" s="172"/>
    </row>
    <row r="679">
      <c r="A679" s="525"/>
      <c r="B679" s="528"/>
      <c r="C679" s="172"/>
      <c r="D679" s="172"/>
      <c r="F679" s="172"/>
      <c r="G679" s="172"/>
      <c r="H679" s="172"/>
      <c r="I679" s="172"/>
      <c r="J679" s="172"/>
      <c r="K679" s="172"/>
      <c r="L679" s="172"/>
      <c r="M679" s="172"/>
      <c r="N679" s="172"/>
      <c r="O679" s="172"/>
      <c r="P679" s="172"/>
      <c r="Q679" s="172"/>
      <c r="R679" s="172"/>
      <c r="S679" s="172"/>
    </row>
    <row r="680">
      <c r="A680" s="525"/>
      <c r="B680" s="528"/>
      <c r="C680" s="172"/>
      <c r="D680" s="172"/>
      <c r="F680" s="172"/>
      <c r="G680" s="172"/>
      <c r="H680" s="172"/>
      <c r="I680" s="172"/>
      <c r="J680" s="172"/>
      <c r="K680" s="172"/>
      <c r="L680" s="172"/>
      <c r="M680" s="172"/>
      <c r="N680" s="172"/>
      <c r="O680" s="172"/>
      <c r="P680" s="172"/>
      <c r="Q680" s="172"/>
      <c r="R680" s="172"/>
      <c r="S680" s="172"/>
    </row>
    <row r="681">
      <c r="A681" s="525"/>
      <c r="B681" s="528"/>
      <c r="C681" s="172"/>
      <c r="D681" s="172"/>
      <c r="F681" s="172"/>
      <c r="G681" s="172"/>
      <c r="H681" s="172"/>
      <c r="I681" s="172"/>
      <c r="J681" s="172"/>
      <c r="K681" s="172"/>
      <c r="L681" s="172"/>
      <c r="M681" s="172"/>
      <c r="N681" s="172"/>
      <c r="O681" s="172"/>
      <c r="P681" s="172"/>
      <c r="Q681" s="172"/>
      <c r="R681" s="172"/>
      <c r="S681" s="172"/>
    </row>
    <row r="682">
      <c r="A682" s="525"/>
      <c r="B682" s="528"/>
      <c r="C682" s="172"/>
      <c r="D682" s="172"/>
      <c r="F682" s="172"/>
      <c r="G682" s="172"/>
      <c r="H682" s="172"/>
      <c r="I682" s="172"/>
      <c r="J682" s="172"/>
      <c r="K682" s="172"/>
      <c r="L682" s="172"/>
      <c r="M682" s="172"/>
      <c r="N682" s="172"/>
      <c r="O682" s="172"/>
      <c r="P682" s="172"/>
      <c r="Q682" s="172"/>
      <c r="R682" s="172"/>
      <c r="S682" s="172"/>
    </row>
    <row r="683">
      <c r="A683" s="525"/>
      <c r="B683" s="528"/>
      <c r="C683" s="172"/>
      <c r="D683" s="172"/>
      <c r="F683" s="172"/>
      <c r="G683" s="172"/>
      <c r="H683" s="172"/>
      <c r="I683" s="172"/>
      <c r="J683" s="172"/>
      <c r="K683" s="172"/>
      <c r="L683" s="172"/>
      <c r="M683" s="172"/>
      <c r="N683" s="172"/>
      <c r="O683" s="172"/>
      <c r="P683" s="172"/>
      <c r="Q683" s="172"/>
      <c r="R683" s="172"/>
      <c r="S683" s="172"/>
    </row>
    <row r="684">
      <c r="A684" s="525"/>
      <c r="B684" s="528"/>
      <c r="C684" s="172"/>
      <c r="D684" s="172"/>
      <c r="F684" s="172"/>
      <c r="G684" s="172"/>
      <c r="H684" s="172"/>
      <c r="I684" s="172"/>
      <c r="J684" s="172"/>
      <c r="K684" s="172"/>
      <c r="L684" s="172"/>
      <c r="M684" s="172"/>
      <c r="N684" s="172"/>
      <c r="O684" s="172"/>
      <c r="P684" s="172"/>
      <c r="Q684" s="172"/>
      <c r="R684" s="172"/>
      <c r="S684" s="172"/>
    </row>
    <row r="685">
      <c r="A685" s="525"/>
      <c r="B685" s="528"/>
      <c r="C685" s="172"/>
      <c r="D685" s="172"/>
      <c r="F685" s="172"/>
      <c r="G685" s="172"/>
      <c r="H685" s="172"/>
      <c r="I685" s="172"/>
      <c r="J685" s="172"/>
      <c r="K685" s="172"/>
      <c r="L685" s="172"/>
      <c r="M685" s="172"/>
      <c r="N685" s="172"/>
      <c r="O685" s="172"/>
      <c r="P685" s="172"/>
      <c r="Q685" s="172"/>
      <c r="R685" s="172"/>
      <c r="S685" s="172"/>
    </row>
    <row r="686">
      <c r="A686" s="525"/>
      <c r="B686" s="528"/>
      <c r="C686" s="172"/>
      <c r="D686" s="172"/>
      <c r="F686" s="172"/>
      <c r="G686" s="172"/>
      <c r="H686" s="172"/>
      <c r="I686" s="172"/>
      <c r="J686" s="172"/>
      <c r="K686" s="172"/>
      <c r="L686" s="172"/>
      <c r="M686" s="172"/>
      <c r="N686" s="172"/>
      <c r="O686" s="172"/>
      <c r="P686" s="172"/>
      <c r="Q686" s="172"/>
      <c r="R686" s="172"/>
      <c r="S686" s="172"/>
    </row>
    <row r="687">
      <c r="A687" s="525"/>
      <c r="B687" s="528"/>
      <c r="C687" s="172"/>
      <c r="D687" s="172"/>
      <c r="F687" s="172"/>
      <c r="G687" s="172"/>
      <c r="H687" s="172"/>
      <c r="I687" s="172"/>
      <c r="J687" s="172"/>
      <c r="K687" s="172"/>
      <c r="L687" s="172"/>
      <c r="M687" s="172"/>
      <c r="N687" s="172"/>
      <c r="O687" s="172"/>
      <c r="P687" s="172"/>
      <c r="Q687" s="172"/>
      <c r="R687" s="172"/>
      <c r="S687" s="172"/>
    </row>
    <row r="688">
      <c r="A688" s="525"/>
      <c r="B688" s="528"/>
      <c r="C688" s="172"/>
      <c r="D688" s="172"/>
      <c r="F688" s="172"/>
      <c r="G688" s="172"/>
      <c r="H688" s="172"/>
      <c r="I688" s="172"/>
      <c r="J688" s="172"/>
      <c r="K688" s="172"/>
      <c r="L688" s="172"/>
      <c r="M688" s="172"/>
      <c r="N688" s="172"/>
      <c r="O688" s="172"/>
      <c r="P688" s="172"/>
      <c r="Q688" s="172"/>
      <c r="R688" s="172"/>
      <c r="S688" s="172"/>
    </row>
    <row r="689">
      <c r="A689" s="525"/>
      <c r="B689" s="528"/>
      <c r="C689" s="172"/>
      <c r="D689" s="172"/>
      <c r="F689" s="172"/>
      <c r="G689" s="172"/>
      <c r="H689" s="172"/>
      <c r="I689" s="172"/>
      <c r="J689" s="172"/>
      <c r="K689" s="172"/>
      <c r="L689" s="172"/>
      <c r="M689" s="172"/>
      <c r="N689" s="172"/>
      <c r="O689" s="172"/>
      <c r="P689" s="172"/>
      <c r="Q689" s="172"/>
      <c r="R689" s="172"/>
      <c r="S689" s="172"/>
    </row>
    <row r="690">
      <c r="A690" s="525"/>
      <c r="B690" s="528"/>
      <c r="C690" s="172"/>
      <c r="D690" s="172"/>
      <c r="F690" s="172"/>
      <c r="G690" s="172"/>
      <c r="H690" s="172"/>
      <c r="I690" s="172"/>
      <c r="J690" s="172"/>
      <c r="K690" s="172"/>
      <c r="L690" s="172"/>
      <c r="M690" s="172"/>
      <c r="N690" s="172"/>
      <c r="O690" s="172"/>
      <c r="P690" s="172"/>
      <c r="Q690" s="172"/>
      <c r="R690" s="172"/>
      <c r="S690" s="172"/>
    </row>
    <row r="691">
      <c r="A691" s="525"/>
      <c r="B691" s="528"/>
      <c r="C691" s="172"/>
      <c r="D691" s="172"/>
      <c r="F691" s="172"/>
      <c r="G691" s="172"/>
      <c r="H691" s="172"/>
      <c r="I691" s="172"/>
      <c r="J691" s="172"/>
      <c r="K691" s="172"/>
      <c r="L691" s="172"/>
      <c r="M691" s="172"/>
      <c r="N691" s="172"/>
      <c r="O691" s="172"/>
      <c r="P691" s="172"/>
      <c r="Q691" s="172"/>
      <c r="R691" s="172"/>
      <c r="S691" s="172"/>
    </row>
    <row r="692">
      <c r="A692" s="525"/>
      <c r="B692" s="528"/>
      <c r="C692" s="172"/>
      <c r="D692" s="172"/>
      <c r="F692" s="172"/>
      <c r="G692" s="172"/>
      <c r="H692" s="172"/>
      <c r="I692" s="172"/>
      <c r="J692" s="172"/>
      <c r="K692" s="172"/>
      <c r="L692" s="172"/>
      <c r="M692" s="172"/>
      <c r="N692" s="172"/>
      <c r="O692" s="172"/>
      <c r="P692" s="172"/>
      <c r="Q692" s="172"/>
      <c r="R692" s="172"/>
      <c r="S692" s="172"/>
    </row>
    <row r="693">
      <c r="A693" s="525"/>
      <c r="B693" s="528"/>
      <c r="C693" s="172"/>
      <c r="D693" s="172"/>
      <c r="F693" s="172"/>
      <c r="G693" s="172"/>
      <c r="H693" s="172"/>
      <c r="I693" s="172"/>
      <c r="J693" s="172"/>
      <c r="K693" s="172"/>
      <c r="L693" s="172"/>
      <c r="M693" s="172"/>
      <c r="N693" s="172"/>
      <c r="O693" s="172"/>
      <c r="P693" s="172"/>
      <c r="Q693" s="172"/>
      <c r="R693" s="172"/>
      <c r="S693" s="172"/>
    </row>
    <row r="694">
      <c r="A694" s="525"/>
      <c r="B694" s="528"/>
      <c r="C694" s="172"/>
      <c r="D694" s="172"/>
      <c r="F694" s="172"/>
      <c r="G694" s="172"/>
      <c r="H694" s="172"/>
      <c r="I694" s="172"/>
      <c r="J694" s="172"/>
      <c r="K694" s="172"/>
      <c r="L694" s="172"/>
      <c r="M694" s="172"/>
      <c r="N694" s="172"/>
      <c r="O694" s="172"/>
      <c r="P694" s="172"/>
      <c r="Q694" s="172"/>
      <c r="R694" s="172"/>
      <c r="S694" s="172"/>
    </row>
    <row r="695">
      <c r="A695" s="525"/>
      <c r="B695" s="528"/>
      <c r="C695" s="172"/>
      <c r="D695" s="172"/>
      <c r="F695" s="172"/>
      <c r="G695" s="172"/>
      <c r="H695" s="172"/>
      <c r="I695" s="172"/>
      <c r="J695" s="172"/>
      <c r="K695" s="172"/>
      <c r="L695" s="172"/>
      <c r="M695" s="172"/>
      <c r="N695" s="172"/>
      <c r="O695" s="172"/>
      <c r="P695" s="172"/>
      <c r="Q695" s="172"/>
      <c r="R695" s="172"/>
      <c r="S695" s="172"/>
    </row>
    <row r="696">
      <c r="A696" s="525"/>
      <c r="B696" s="528"/>
      <c r="C696" s="172"/>
      <c r="D696" s="172"/>
      <c r="F696" s="172"/>
      <c r="G696" s="172"/>
      <c r="H696" s="172"/>
      <c r="I696" s="172"/>
      <c r="J696" s="172"/>
      <c r="K696" s="172"/>
      <c r="L696" s="172"/>
      <c r="M696" s="172"/>
      <c r="N696" s="172"/>
      <c r="O696" s="172"/>
      <c r="P696" s="172"/>
      <c r="Q696" s="172"/>
      <c r="R696" s="172"/>
      <c r="S696" s="172"/>
    </row>
    <row r="697">
      <c r="A697" s="525"/>
      <c r="B697" s="528"/>
      <c r="C697" s="172"/>
      <c r="D697" s="172"/>
      <c r="F697" s="172"/>
      <c r="G697" s="172"/>
      <c r="H697" s="172"/>
      <c r="I697" s="172"/>
      <c r="J697" s="172"/>
      <c r="K697" s="172"/>
      <c r="L697" s="172"/>
      <c r="M697" s="172"/>
      <c r="N697" s="172"/>
      <c r="O697" s="172"/>
      <c r="P697" s="172"/>
      <c r="Q697" s="172"/>
      <c r="R697" s="172"/>
      <c r="S697" s="172"/>
    </row>
    <row r="698">
      <c r="A698" s="525"/>
      <c r="B698" s="528"/>
      <c r="C698" s="172"/>
      <c r="D698" s="172"/>
      <c r="F698" s="172"/>
      <c r="G698" s="172"/>
      <c r="H698" s="172"/>
      <c r="I698" s="172"/>
      <c r="J698" s="172"/>
      <c r="K698" s="172"/>
      <c r="L698" s="172"/>
      <c r="M698" s="172"/>
      <c r="N698" s="172"/>
      <c r="O698" s="172"/>
      <c r="P698" s="172"/>
      <c r="Q698" s="172"/>
      <c r="R698" s="172"/>
      <c r="S698" s="172"/>
    </row>
    <row r="699">
      <c r="A699" s="525"/>
      <c r="B699" s="528"/>
      <c r="C699" s="172"/>
      <c r="D699" s="172"/>
      <c r="F699" s="172"/>
      <c r="G699" s="172"/>
      <c r="H699" s="172"/>
      <c r="I699" s="172"/>
      <c r="J699" s="172"/>
      <c r="K699" s="172"/>
      <c r="L699" s="172"/>
      <c r="M699" s="172"/>
      <c r="N699" s="172"/>
      <c r="O699" s="172"/>
      <c r="P699" s="172"/>
      <c r="Q699" s="172"/>
      <c r="R699" s="172"/>
      <c r="S699" s="172"/>
    </row>
    <row r="700">
      <c r="A700" s="525"/>
      <c r="B700" s="528"/>
      <c r="C700" s="172"/>
      <c r="D700" s="172"/>
      <c r="F700" s="172"/>
      <c r="G700" s="172"/>
      <c r="H700" s="172"/>
      <c r="I700" s="172"/>
      <c r="J700" s="172"/>
      <c r="K700" s="172"/>
      <c r="L700" s="172"/>
      <c r="M700" s="172"/>
      <c r="N700" s="172"/>
      <c r="O700" s="172"/>
      <c r="P700" s="172"/>
      <c r="Q700" s="172"/>
      <c r="R700" s="172"/>
      <c r="S700" s="172"/>
    </row>
    <row r="701">
      <c r="A701" s="525"/>
      <c r="B701" s="528"/>
      <c r="C701" s="172"/>
      <c r="D701" s="172"/>
      <c r="F701" s="172"/>
      <c r="G701" s="172"/>
      <c r="H701" s="172"/>
      <c r="I701" s="172"/>
      <c r="J701" s="172"/>
      <c r="K701" s="172"/>
      <c r="L701" s="172"/>
      <c r="M701" s="172"/>
      <c r="N701" s="172"/>
      <c r="O701" s="172"/>
      <c r="P701" s="172"/>
      <c r="Q701" s="172"/>
      <c r="R701" s="172"/>
      <c r="S701" s="172"/>
    </row>
    <row r="702">
      <c r="A702" s="525"/>
      <c r="B702" s="528"/>
      <c r="C702" s="172"/>
      <c r="D702" s="172"/>
      <c r="F702" s="172"/>
      <c r="G702" s="172"/>
      <c r="H702" s="172"/>
      <c r="I702" s="172"/>
      <c r="J702" s="172"/>
      <c r="K702" s="172"/>
      <c r="L702" s="172"/>
      <c r="M702" s="172"/>
      <c r="N702" s="172"/>
      <c r="O702" s="172"/>
      <c r="P702" s="172"/>
      <c r="Q702" s="172"/>
      <c r="R702" s="172"/>
      <c r="S702" s="172"/>
    </row>
    <row r="703">
      <c r="A703" s="525"/>
      <c r="B703" s="528"/>
      <c r="C703" s="172"/>
      <c r="D703" s="172"/>
      <c r="F703" s="172"/>
      <c r="G703" s="172"/>
      <c r="H703" s="172"/>
      <c r="I703" s="172"/>
      <c r="J703" s="172"/>
      <c r="K703" s="172"/>
      <c r="L703" s="172"/>
      <c r="M703" s="172"/>
      <c r="N703" s="172"/>
      <c r="O703" s="172"/>
      <c r="P703" s="172"/>
      <c r="Q703" s="172"/>
      <c r="R703" s="172"/>
      <c r="S703" s="172"/>
    </row>
    <row r="704">
      <c r="A704" s="525"/>
      <c r="B704" s="528"/>
      <c r="C704" s="172"/>
      <c r="D704" s="172"/>
      <c r="F704" s="172"/>
      <c r="G704" s="172"/>
      <c r="H704" s="172"/>
      <c r="I704" s="172"/>
      <c r="J704" s="172"/>
      <c r="K704" s="172"/>
      <c r="L704" s="172"/>
      <c r="M704" s="172"/>
      <c r="N704" s="172"/>
      <c r="O704" s="172"/>
      <c r="P704" s="172"/>
      <c r="Q704" s="172"/>
      <c r="R704" s="172"/>
      <c r="S704" s="172"/>
    </row>
    <row r="705">
      <c r="A705" s="525"/>
      <c r="B705" s="528"/>
      <c r="C705" s="172"/>
      <c r="D705" s="172"/>
      <c r="F705" s="172"/>
      <c r="G705" s="172"/>
      <c r="H705" s="172"/>
      <c r="I705" s="172"/>
      <c r="J705" s="172"/>
      <c r="K705" s="172"/>
      <c r="L705" s="172"/>
      <c r="M705" s="172"/>
      <c r="N705" s="172"/>
      <c r="O705" s="172"/>
      <c r="P705" s="172"/>
      <c r="Q705" s="172"/>
      <c r="R705" s="172"/>
      <c r="S705" s="172"/>
    </row>
    <row r="706">
      <c r="A706" s="525"/>
      <c r="B706" s="528"/>
      <c r="C706" s="172"/>
      <c r="D706" s="172"/>
      <c r="F706" s="172"/>
      <c r="G706" s="172"/>
      <c r="H706" s="172"/>
      <c r="I706" s="172"/>
      <c r="J706" s="172"/>
      <c r="K706" s="172"/>
      <c r="L706" s="172"/>
      <c r="M706" s="172"/>
      <c r="N706" s="172"/>
      <c r="O706" s="172"/>
      <c r="P706" s="172"/>
      <c r="Q706" s="172"/>
      <c r="R706" s="172"/>
      <c r="S706" s="172"/>
    </row>
    <row r="707">
      <c r="A707" s="525"/>
      <c r="B707" s="528"/>
      <c r="C707" s="172"/>
      <c r="D707" s="172"/>
      <c r="F707" s="172"/>
      <c r="G707" s="172"/>
      <c r="H707" s="172"/>
      <c r="I707" s="172"/>
      <c r="J707" s="172"/>
      <c r="K707" s="172"/>
      <c r="L707" s="172"/>
      <c r="M707" s="172"/>
      <c r="N707" s="172"/>
      <c r="O707" s="172"/>
      <c r="P707" s="172"/>
      <c r="Q707" s="172"/>
      <c r="R707" s="172"/>
      <c r="S707" s="172"/>
    </row>
    <row r="708">
      <c r="A708" s="525"/>
      <c r="B708" s="528"/>
      <c r="C708" s="172"/>
      <c r="D708" s="172"/>
      <c r="F708" s="172"/>
      <c r="G708" s="172"/>
      <c r="H708" s="172"/>
      <c r="I708" s="172"/>
      <c r="J708" s="172"/>
      <c r="K708" s="172"/>
      <c r="L708" s="172"/>
      <c r="M708" s="172"/>
      <c r="N708" s="172"/>
      <c r="O708" s="172"/>
      <c r="P708" s="172"/>
      <c r="Q708" s="172"/>
      <c r="R708" s="172"/>
      <c r="S708" s="172"/>
    </row>
    <row r="709">
      <c r="A709" s="525"/>
      <c r="B709" s="528"/>
      <c r="C709" s="172"/>
      <c r="D709" s="172"/>
      <c r="F709" s="172"/>
      <c r="G709" s="172"/>
      <c r="H709" s="172"/>
      <c r="I709" s="172"/>
      <c r="J709" s="172"/>
      <c r="K709" s="172"/>
      <c r="L709" s="172"/>
      <c r="M709" s="172"/>
      <c r="N709" s="172"/>
      <c r="O709" s="172"/>
      <c r="P709" s="172"/>
      <c r="Q709" s="172"/>
      <c r="R709" s="172"/>
      <c r="S709" s="172"/>
    </row>
    <row r="710">
      <c r="A710" s="525"/>
      <c r="B710" s="528"/>
      <c r="C710" s="172"/>
      <c r="D710" s="172"/>
      <c r="F710" s="172"/>
      <c r="G710" s="172"/>
      <c r="H710" s="172"/>
      <c r="I710" s="172"/>
      <c r="J710" s="172"/>
      <c r="K710" s="172"/>
      <c r="L710" s="172"/>
      <c r="M710" s="172"/>
      <c r="N710" s="172"/>
      <c r="O710" s="172"/>
      <c r="P710" s="172"/>
      <c r="Q710" s="172"/>
      <c r="R710" s="172"/>
      <c r="S710" s="172"/>
    </row>
    <row r="711">
      <c r="A711" s="525"/>
      <c r="B711" s="528"/>
      <c r="C711" s="172"/>
      <c r="D711" s="172"/>
      <c r="F711" s="172"/>
      <c r="G711" s="172"/>
      <c r="H711" s="172"/>
      <c r="I711" s="172"/>
      <c r="J711" s="172"/>
      <c r="K711" s="172"/>
      <c r="L711" s="172"/>
      <c r="M711" s="172"/>
      <c r="N711" s="172"/>
      <c r="O711" s="172"/>
      <c r="P711" s="172"/>
      <c r="Q711" s="172"/>
      <c r="R711" s="172"/>
      <c r="S711" s="172"/>
    </row>
    <row r="712">
      <c r="A712" s="525"/>
      <c r="B712" s="528"/>
      <c r="C712" s="172"/>
      <c r="D712" s="172"/>
      <c r="F712" s="172"/>
      <c r="G712" s="172"/>
      <c r="H712" s="172"/>
      <c r="I712" s="172"/>
      <c r="J712" s="172"/>
      <c r="K712" s="172"/>
      <c r="L712" s="172"/>
      <c r="M712" s="172"/>
      <c r="N712" s="172"/>
      <c r="O712" s="172"/>
      <c r="P712" s="172"/>
      <c r="Q712" s="172"/>
      <c r="R712" s="172"/>
      <c r="S712" s="172"/>
    </row>
    <row r="713">
      <c r="A713" s="525"/>
      <c r="B713" s="528"/>
      <c r="C713" s="172"/>
      <c r="D713" s="172"/>
      <c r="F713" s="172"/>
      <c r="G713" s="172"/>
      <c r="H713" s="172"/>
      <c r="I713" s="172"/>
      <c r="J713" s="172"/>
      <c r="K713" s="172"/>
      <c r="L713" s="172"/>
      <c r="M713" s="172"/>
      <c r="N713" s="172"/>
      <c r="O713" s="172"/>
      <c r="P713" s="172"/>
      <c r="Q713" s="172"/>
      <c r="R713" s="172"/>
      <c r="S713" s="172"/>
    </row>
    <row r="714">
      <c r="A714" s="525"/>
      <c r="B714" s="528"/>
      <c r="C714" s="172"/>
      <c r="D714" s="172"/>
      <c r="F714" s="172"/>
      <c r="G714" s="172"/>
      <c r="H714" s="172"/>
      <c r="I714" s="172"/>
      <c r="J714" s="172"/>
      <c r="K714" s="172"/>
      <c r="L714" s="172"/>
      <c r="M714" s="172"/>
      <c r="N714" s="172"/>
      <c r="O714" s="172"/>
      <c r="P714" s="172"/>
      <c r="Q714" s="172"/>
      <c r="R714" s="172"/>
      <c r="S714" s="172"/>
    </row>
    <row r="715">
      <c r="A715" s="525"/>
      <c r="B715" s="528"/>
      <c r="C715" s="172"/>
      <c r="D715" s="172"/>
      <c r="F715" s="172"/>
      <c r="G715" s="172"/>
      <c r="H715" s="172"/>
      <c r="I715" s="172"/>
      <c r="J715" s="172"/>
      <c r="K715" s="172"/>
      <c r="L715" s="172"/>
      <c r="M715" s="172"/>
      <c r="N715" s="172"/>
      <c r="O715" s="172"/>
      <c r="P715" s="172"/>
      <c r="Q715" s="172"/>
      <c r="R715" s="172"/>
      <c r="S715" s="172"/>
    </row>
    <row r="716">
      <c r="A716" s="525"/>
      <c r="B716" s="528"/>
      <c r="C716" s="172"/>
      <c r="D716" s="172"/>
      <c r="F716" s="172"/>
      <c r="G716" s="172"/>
      <c r="H716" s="172"/>
      <c r="I716" s="172"/>
      <c r="J716" s="172"/>
      <c r="K716" s="172"/>
      <c r="L716" s="172"/>
      <c r="M716" s="172"/>
      <c r="N716" s="172"/>
      <c r="O716" s="172"/>
      <c r="P716" s="172"/>
      <c r="Q716" s="172"/>
      <c r="R716" s="172"/>
      <c r="S716" s="172"/>
    </row>
    <row r="717">
      <c r="A717" s="525"/>
      <c r="B717" s="528"/>
      <c r="C717" s="172"/>
      <c r="D717" s="172"/>
      <c r="F717" s="172"/>
      <c r="G717" s="172"/>
      <c r="H717" s="172"/>
      <c r="I717" s="172"/>
      <c r="J717" s="172"/>
      <c r="K717" s="172"/>
      <c r="L717" s="172"/>
      <c r="M717" s="172"/>
      <c r="N717" s="172"/>
      <c r="O717" s="172"/>
      <c r="P717" s="172"/>
      <c r="Q717" s="172"/>
      <c r="R717" s="172"/>
      <c r="S717" s="172"/>
    </row>
    <row r="718">
      <c r="A718" s="525"/>
      <c r="B718" s="528"/>
      <c r="C718" s="172"/>
      <c r="D718" s="172"/>
      <c r="F718" s="172"/>
      <c r="G718" s="172"/>
      <c r="H718" s="172"/>
      <c r="I718" s="172"/>
      <c r="J718" s="172"/>
      <c r="K718" s="172"/>
      <c r="L718" s="172"/>
      <c r="M718" s="172"/>
      <c r="N718" s="172"/>
      <c r="O718" s="172"/>
      <c r="P718" s="172"/>
      <c r="Q718" s="172"/>
      <c r="R718" s="172"/>
      <c r="S718" s="172"/>
    </row>
    <row r="719">
      <c r="A719" s="525"/>
      <c r="B719" s="528"/>
      <c r="C719" s="172"/>
      <c r="D719" s="172"/>
      <c r="F719" s="172"/>
      <c r="G719" s="172"/>
      <c r="H719" s="172"/>
      <c r="I719" s="172"/>
      <c r="J719" s="172"/>
      <c r="K719" s="172"/>
      <c r="L719" s="172"/>
      <c r="M719" s="172"/>
      <c r="N719" s="172"/>
      <c r="O719" s="172"/>
      <c r="P719" s="172"/>
      <c r="Q719" s="172"/>
      <c r="R719" s="172"/>
      <c r="S719" s="172"/>
    </row>
    <row r="720">
      <c r="A720" s="525"/>
      <c r="B720" s="528"/>
      <c r="C720" s="172"/>
      <c r="D720" s="172"/>
      <c r="F720" s="172"/>
      <c r="G720" s="172"/>
      <c r="H720" s="172"/>
      <c r="I720" s="172"/>
      <c r="J720" s="172"/>
      <c r="K720" s="172"/>
      <c r="L720" s="172"/>
      <c r="M720" s="172"/>
      <c r="N720" s="172"/>
      <c r="O720" s="172"/>
      <c r="P720" s="172"/>
      <c r="Q720" s="172"/>
      <c r="R720" s="172"/>
      <c r="S720" s="172"/>
    </row>
    <row r="721">
      <c r="A721" s="525"/>
      <c r="B721" s="528"/>
      <c r="C721" s="172"/>
      <c r="D721" s="172"/>
      <c r="F721" s="172"/>
      <c r="G721" s="172"/>
      <c r="H721" s="172"/>
      <c r="I721" s="172"/>
      <c r="J721" s="172"/>
      <c r="K721" s="172"/>
      <c r="L721" s="172"/>
      <c r="M721" s="172"/>
      <c r="N721" s="172"/>
      <c r="O721" s="172"/>
      <c r="P721" s="172"/>
      <c r="Q721" s="172"/>
      <c r="R721" s="172"/>
      <c r="S721" s="172"/>
    </row>
    <row r="722">
      <c r="A722" s="525"/>
      <c r="B722" s="528"/>
      <c r="C722" s="172"/>
      <c r="D722" s="172"/>
      <c r="F722" s="172"/>
      <c r="G722" s="172"/>
      <c r="H722" s="172"/>
      <c r="I722" s="172"/>
      <c r="J722" s="172"/>
      <c r="K722" s="172"/>
      <c r="L722" s="172"/>
      <c r="M722" s="172"/>
      <c r="N722" s="172"/>
      <c r="O722" s="172"/>
      <c r="P722" s="172"/>
      <c r="Q722" s="172"/>
      <c r="R722" s="172"/>
      <c r="S722" s="172"/>
    </row>
    <row r="723">
      <c r="A723" s="525"/>
      <c r="B723" s="528"/>
      <c r="C723" s="172"/>
      <c r="D723" s="172"/>
      <c r="F723" s="172"/>
      <c r="G723" s="172"/>
      <c r="H723" s="172"/>
      <c r="I723" s="172"/>
      <c r="J723" s="172"/>
      <c r="K723" s="172"/>
      <c r="L723" s="172"/>
      <c r="M723" s="172"/>
      <c r="N723" s="172"/>
      <c r="O723" s="172"/>
      <c r="P723" s="172"/>
      <c r="Q723" s="172"/>
      <c r="R723" s="172"/>
      <c r="S723" s="172"/>
    </row>
    <row r="724">
      <c r="A724" s="525"/>
      <c r="B724" s="528"/>
      <c r="C724" s="172"/>
      <c r="D724" s="172"/>
      <c r="F724" s="172"/>
      <c r="G724" s="172"/>
      <c r="H724" s="172"/>
      <c r="I724" s="172"/>
      <c r="J724" s="172"/>
      <c r="K724" s="172"/>
      <c r="L724" s="172"/>
      <c r="M724" s="172"/>
      <c r="N724" s="172"/>
      <c r="O724" s="172"/>
      <c r="P724" s="172"/>
      <c r="Q724" s="172"/>
      <c r="R724" s="172"/>
      <c r="S724" s="172"/>
    </row>
    <row r="725">
      <c r="A725" s="525"/>
      <c r="B725" s="528"/>
      <c r="C725" s="172"/>
      <c r="D725" s="172"/>
      <c r="F725" s="172"/>
      <c r="G725" s="172"/>
      <c r="H725" s="172"/>
      <c r="I725" s="172"/>
      <c r="J725" s="172"/>
      <c r="K725" s="172"/>
      <c r="L725" s="172"/>
      <c r="M725" s="172"/>
      <c r="N725" s="172"/>
      <c r="O725" s="172"/>
      <c r="P725" s="172"/>
      <c r="Q725" s="172"/>
      <c r="R725" s="172"/>
      <c r="S725" s="172"/>
    </row>
    <row r="726">
      <c r="A726" s="525"/>
      <c r="B726" s="528"/>
      <c r="C726" s="172"/>
      <c r="D726" s="172"/>
      <c r="F726" s="172"/>
      <c r="G726" s="172"/>
      <c r="H726" s="172"/>
      <c r="I726" s="172"/>
      <c r="J726" s="172"/>
      <c r="K726" s="172"/>
      <c r="L726" s="172"/>
      <c r="M726" s="172"/>
      <c r="N726" s="172"/>
      <c r="O726" s="172"/>
      <c r="P726" s="172"/>
      <c r="Q726" s="172"/>
      <c r="R726" s="172"/>
      <c r="S726" s="172"/>
    </row>
    <row r="727">
      <c r="A727" s="525"/>
      <c r="B727" s="528"/>
      <c r="C727" s="172"/>
      <c r="D727" s="172"/>
      <c r="F727" s="172"/>
      <c r="G727" s="172"/>
      <c r="H727" s="172"/>
      <c r="I727" s="172"/>
      <c r="J727" s="172"/>
      <c r="K727" s="172"/>
      <c r="L727" s="172"/>
      <c r="M727" s="172"/>
      <c r="N727" s="172"/>
      <c r="O727" s="172"/>
      <c r="P727" s="172"/>
      <c r="Q727" s="172"/>
      <c r="R727" s="172"/>
      <c r="S727" s="172"/>
    </row>
    <row r="728">
      <c r="A728" s="525"/>
      <c r="B728" s="528"/>
      <c r="C728" s="172"/>
      <c r="D728" s="172"/>
      <c r="F728" s="172"/>
      <c r="G728" s="172"/>
      <c r="H728" s="172"/>
      <c r="I728" s="172"/>
      <c r="J728" s="172"/>
      <c r="K728" s="172"/>
      <c r="L728" s="172"/>
      <c r="M728" s="172"/>
      <c r="N728" s="172"/>
      <c r="O728" s="172"/>
      <c r="P728" s="172"/>
      <c r="Q728" s="172"/>
      <c r="R728" s="172"/>
      <c r="S728" s="172"/>
    </row>
    <row r="729">
      <c r="A729" s="525"/>
      <c r="B729" s="528"/>
      <c r="C729" s="172"/>
      <c r="D729" s="172"/>
      <c r="F729" s="172"/>
      <c r="G729" s="172"/>
      <c r="H729" s="172"/>
      <c r="I729" s="172"/>
      <c r="J729" s="172"/>
      <c r="K729" s="172"/>
      <c r="L729" s="172"/>
      <c r="M729" s="172"/>
      <c r="N729" s="172"/>
      <c r="O729" s="172"/>
      <c r="P729" s="172"/>
      <c r="Q729" s="172"/>
      <c r="R729" s="172"/>
      <c r="S729" s="172"/>
    </row>
    <row r="730">
      <c r="A730" s="525"/>
      <c r="B730" s="528"/>
      <c r="C730" s="172"/>
      <c r="D730" s="172"/>
      <c r="F730" s="172"/>
      <c r="G730" s="172"/>
      <c r="H730" s="172"/>
      <c r="I730" s="172"/>
      <c r="J730" s="172"/>
      <c r="K730" s="172"/>
      <c r="L730" s="172"/>
      <c r="M730" s="172"/>
      <c r="N730" s="172"/>
      <c r="O730" s="172"/>
      <c r="P730" s="172"/>
      <c r="Q730" s="172"/>
      <c r="R730" s="172"/>
      <c r="S730" s="172"/>
    </row>
    <row r="731">
      <c r="A731" s="525"/>
      <c r="B731" s="528"/>
      <c r="C731" s="172"/>
      <c r="D731" s="172"/>
      <c r="F731" s="172"/>
      <c r="G731" s="172"/>
      <c r="H731" s="172"/>
      <c r="I731" s="172"/>
      <c r="J731" s="172"/>
      <c r="K731" s="172"/>
      <c r="L731" s="172"/>
      <c r="M731" s="172"/>
      <c r="N731" s="172"/>
      <c r="O731" s="172"/>
      <c r="P731" s="172"/>
      <c r="Q731" s="172"/>
      <c r="R731" s="172"/>
      <c r="S731" s="172"/>
    </row>
    <row r="732">
      <c r="A732" s="525"/>
      <c r="B732" s="528"/>
      <c r="C732" s="172"/>
      <c r="D732" s="172"/>
      <c r="F732" s="172"/>
      <c r="G732" s="172"/>
      <c r="H732" s="172"/>
      <c r="I732" s="172"/>
      <c r="J732" s="172"/>
      <c r="K732" s="172"/>
      <c r="L732" s="172"/>
      <c r="M732" s="172"/>
      <c r="N732" s="172"/>
      <c r="O732" s="172"/>
      <c r="P732" s="172"/>
      <c r="Q732" s="172"/>
      <c r="R732" s="172"/>
      <c r="S732" s="172"/>
    </row>
    <row r="733">
      <c r="A733" s="525"/>
      <c r="B733" s="528"/>
      <c r="C733" s="172"/>
      <c r="D733" s="172"/>
      <c r="F733" s="172"/>
      <c r="G733" s="172"/>
      <c r="H733" s="172"/>
      <c r="I733" s="172"/>
      <c r="J733" s="172"/>
      <c r="K733" s="172"/>
      <c r="L733" s="172"/>
      <c r="M733" s="172"/>
      <c r="N733" s="172"/>
      <c r="O733" s="172"/>
      <c r="P733" s="172"/>
      <c r="Q733" s="172"/>
      <c r="R733" s="172"/>
      <c r="S733" s="172"/>
    </row>
    <row r="734">
      <c r="A734" s="525"/>
      <c r="B734" s="528"/>
      <c r="C734" s="172"/>
      <c r="D734" s="172"/>
      <c r="F734" s="172"/>
      <c r="G734" s="172"/>
      <c r="H734" s="172"/>
      <c r="I734" s="172"/>
      <c r="J734" s="172"/>
      <c r="K734" s="172"/>
      <c r="L734" s="172"/>
      <c r="M734" s="172"/>
      <c r="N734" s="172"/>
      <c r="O734" s="172"/>
      <c r="P734" s="172"/>
      <c r="Q734" s="172"/>
      <c r="R734" s="172"/>
      <c r="S734" s="172"/>
    </row>
    <row r="735">
      <c r="A735" s="525"/>
      <c r="B735" s="528"/>
      <c r="C735" s="172"/>
      <c r="D735" s="172"/>
      <c r="F735" s="172"/>
      <c r="G735" s="172"/>
      <c r="H735" s="172"/>
      <c r="I735" s="172"/>
      <c r="J735" s="172"/>
      <c r="K735" s="172"/>
      <c r="L735" s="172"/>
      <c r="M735" s="172"/>
      <c r="N735" s="172"/>
      <c r="O735" s="172"/>
      <c r="P735" s="172"/>
      <c r="Q735" s="172"/>
      <c r="R735" s="172"/>
      <c r="S735" s="172"/>
    </row>
    <row r="736">
      <c r="A736" s="525"/>
      <c r="B736" s="528"/>
      <c r="C736" s="172"/>
      <c r="D736" s="172"/>
      <c r="F736" s="172"/>
      <c r="G736" s="172"/>
      <c r="H736" s="172"/>
      <c r="I736" s="172"/>
      <c r="J736" s="172"/>
      <c r="K736" s="172"/>
      <c r="L736" s="172"/>
      <c r="M736" s="172"/>
      <c r="N736" s="172"/>
      <c r="O736" s="172"/>
      <c r="P736" s="172"/>
      <c r="Q736" s="172"/>
      <c r="R736" s="172"/>
      <c r="S736" s="172"/>
    </row>
    <row r="737">
      <c r="A737" s="525"/>
      <c r="B737" s="528"/>
      <c r="C737" s="172"/>
      <c r="D737" s="172"/>
      <c r="F737" s="172"/>
      <c r="G737" s="172"/>
      <c r="H737" s="172"/>
      <c r="I737" s="172"/>
      <c r="J737" s="172"/>
      <c r="K737" s="172"/>
      <c r="L737" s="172"/>
      <c r="M737" s="172"/>
      <c r="N737" s="172"/>
      <c r="O737" s="172"/>
      <c r="P737" s="172"/>
      <c r="Q737" s="172"/>
      <c r="R737" s="172"/>
      <c r="S737" s="172"/>
    </row>
    <row r="738">
      <c r="A738" s="525"/>
      <c r="B738" s="528"/>
      <c r="C738" s="172"/>
      <c r="D738" s="172"/>
      <c r="F738" s="172"/>
      <c r="G738" s="172"/>
      <c r="H738" s="172"/>
      <c r="I738" s="172"/>
      <c r="J738" s="172"/>
      <c r="K738" s="172"/>
      <c r="L738" s="172"/>
      <c r="M738" s="172"/>
      <c r="N738" s="172"/>
      <c r="O738" s="172"/>
      <c r="P738" s="172"/>
      <c r="Q738" s="172"/>
      <c r="R738" s="172"/>
      <c r="S738" s="172"/>
    </row>
    <row r="739">
      <c r="A739" s="525"/>
      <c r="B739" s="528"/>
      <c r="C739" s="172"/>
      <c r="D739" s="172"/>
      <c r="F739" s="172"/>
      <c r="G739" s="172"/>
      <c r="H739" s="172"/>
      <c r="I739" s="172"/>
      <c r="J739" s="172"/>
      <c r="K739" s="172"/>
      <c r="L739" s="172"/>
      <c r="M739" s="172"/>
      <c r="N739" s="172"/>
      <c r="O739" s="172"/>
      <c r="P739" s="172"/>
      <c r="Q739" s="172"/>
      <c r="R739" s="172"/>
      <c r="S739" s="172"/>
    </row>
    <row r="740">
      <c r="A740" s="525"/>
      <c r="B740" s="528"/>
      <c r="C740" s="172"/>
      <c r="D740" s="172"/>
      <c r="F740" s="172"/>
      <c r="G740" s="172"/>
      <c r="H740" s="172"/>
      <c r="I740" s="172"/>
      <c r="J740" s="172"/>
      <c r="K740" s="172"/>
      <c r="L740" s="172"/>
      <c r="M740" s="172"/>
      <c r="N740" s="172"/>
      <c r="O740" s="172"/>
      <c r="P740" s="172"/>
      <c r="Q740" s="172"/>
      <c r="R740" s="172"/>
      <c r="S740" s="172"/>
    </row>
    <row r="741">
      <c r="A741" s="525"/>
      <c r="B741" s="528"/>
      <c r="C741" s="172"/>
      <c r="D741" s="172"/>
      <c r="F741" s="172"/>
      <c r="G741" s="172"/>
      <c r="H741" s="172"/>
      <c r="I741" s="172"/>
      <c r="J741" s="172"/>
      <c r="K741" s="172"/>
      <c r="L741" s="172"/>
      <c r="M741" s="172"/>
      <c r="N741" s="172"/>
      <c r="O741" s="172"/>
      <c r="P741" s="172"/>
      <c r="Q741" s="172"/>
      <c r="R741" s="172"/>
      <c r="S741" s="172"/>
    </row>
    <row r="742">
      <c r="A742" s="525"/>
      <c r="B742" s="528"/>
      <c r="C742" s="172"/>
      <c r="D742" s="172"/>
      <c r="F742" s="172"/>
      <c r="G742" s="172"/>
      <c r="H742" s="172"/>
      <c r="I742" s="172"/>
      <c r="J742" s="172"/>
      <c r="K742" s="172"/>
      <c r="L742" s="172"/>
      <c r="M742" s="172"/>
      <c r="N742" s="172"/>
      <c r="O742" s="172"/>
      <c r="P742" s="172"/>
      <c r="Q742" s="172"/>
      <c r="R742" s="172"/>
      <c r="S742" s="172"/>
    </row>
    <row r="743">
      <c r="A743" s="525"/>
      <c r="B743" s="528"/>
      <c r="C743" s="172"/>
      <c r="D743" s="172"/>
      <c r="F743" s="172"/>
      <c r="G743" s="172"/>
      <c r="H743" s="172"/>
      <c r="I743" s="172"/>
      <c r="J743" s="172"/>
      <c r="K743" s="172"/>
      <c r="L743" s="172"/>
      <c r="M743" s="172"/>
      <c r="N743" s="172"/>
      <c r="O743" s="172"/>
      <c r="P743" s="172"/>
      <c r="Q743" s="172"/>
      <c r="R743" s="172"/>
      <c r="S743" s="172"/>
    </row>
    <row r="744">
      <c r="A744" s="525"/>
      <c r="B744" s="528"/>
      <c r="C744" s="172"/>
      <c r="D744" s="172"/>
      <c r="F744" s="172"/>
      <c r="G744" s="172"/>
      <c r="H744" s="172"/>
      <c r="I744" s="172"/>
      <c r="J744" s="172"/>
      <c r="K744" s="172"/>
      <c r="L744" s="172"/>
      <c r="M744" s="172"/>
      <c r="N744" s="172"/>
      <c r="O744" s="172"/>
      <c r="P744" s="172"/>
      <c r="Q744" s="172"/>
      <c r="R744" s="172"/>
      <c r="S744" s="172"/>
    </row>
    <row r="745">
      <c r="A745" s="525"/>
      <c r="B745" s="528"/>
      <c r="C745" s="172"/>
      <c r="D745" s="172"/>
      <c r="F745" s="172"/>
      <c r="G745" s="172"/>
      <c r="H745" s="172"/>
      <c r="I745" s="172"/>
      <c r="J745" s="172"/>
      <c r="K745" s="172"/>
      <c r="L745" s="172"/>
      <c r="M745" s="172"/>
      <c r="N745" s="172"/>
      <c r="O745" s="172"/>
      <c r="P745" s="172"/>
      <c r="Q745" s="172"/>
      <c r="R745" s="172"/>
      <c r="S745" s="172"/>
    </row>
    <row r="746">
      <c r="A746" s="525"/>
      <c r="B746" s="528"/>
      <c r="C746" s="172"/>
      <c r="D746" s="172"/>
      <c r="F746" s="172"/>
      <c r="G746" s="172"/>
      <c r="H746" s="172"/>
      <c r="I746" s="172"/>
      <c r="J746" s="172"/>
      <c r="K746" s="172"/>
      <c r="L746" s="172"/>
      <c r="M746" s="172"/>
      <c r="N746" s="172"/>
      <c r="O746" s="172"/>
      <c r="P746" s="172"/>
      <c r="Q746" s="172"/>
      <c r="R746" s="172"/>
      <c r="S746" s="172"/>
    </row>
    <row r="747">
      <c r="A747" s="525"/>
      <c r="B747" s="528"/>
      <c r="C747" s="172"/>
      <c r="D747" s="172"/>
      <c r="F747" s="172"/>
      <c r="G747" s="172"/>
      <c r="H747" s="172"/>
      <c r="I747" s="172"/>
      <c r="J747" s="172"/>
      <c r="K747" s="172"/>
      <c r="L747" s="172"/>
      <c r="M747" s="172"/>
      <c r="N747" s="172"/>
      <c r="O747" s="172"/>
      <c r="P747" s="172"/>
      <c r="Q747" s="172"/>
      <c r="R747" s="172"/>
      <c r="S747" s="172"/>
    </row>
    <row r="748">
      <c r="A748" s="525"/>
      <c r="B748" s="528"/>
      <c r="C748" s="172"/>
      <c r="D748" s="172"/>
      <c r="F748" s="172"/>
      <c r="G748" s="172"/>
      <c r="H748" s="172"/>
      <c r="I748" s="172"/>
      <c r="J748" s="172"/>
      <c r="K748" s="172"/>
      <c r="L748" s="172"/>
      <c r="M748" s="172"/>
      <c r="N748" s="172"/>
      <c r="O748" s="172"/>
      <c r="P748" s="172"/>
      <c r="Q748" s="172"/>
      <c r="R748" s="172"/>
      <c r="S748" s="172"/>
    </row>
    <row r="749">
      <c r="A749" s="525"/>
      <c r="B749" s="528"/>
      <c r="C749" s="172"/>
      <c r="D749" s="172"/>
      <c r="F749" s="172"/>
      <c r="G749" s="172"/>
      <c r="H749" s="172"/>
      <c r="I749" s="172"/>
      <c r="J749" s="172"/>
      <c r="K749" s="172"/>
      <c r="L749" s="172"/>
      <c r="M749" s="172"/>
      <c r="N749" s="172"/>
      <c r="O749" s="172"/>
      <c r="P749" s="172"/>
      <c r="Q749" s="172"/>
      <c r="R749" s="172"/>
      <c r="S749" s="172"/>
    </row>
    <row r="750">
      <c r="A750" s="525"/>
      <c r="B750" s="528"/>
      <c r="C750" s="172"/>
      <c r="D750" s="172"/>
      <c r="F750" s="172"/>
      <c r="G750" s="172"/>
      <c r="H750" s="172"/>
      <c r="I750" s="172"/>
      <c r="J750" s="172"/>
      <c r="K750" s="172"/>
      <c r="L750" s="172"/>
      <c r="M750" s="172"/>
      <c r="N750" s="172"/>
      <c r="O750" s="172"/>
      <c r="P750" s="172"/>
      <c r="Q750" s="172"/>
      <c r="R750" s="172"/>
      <c r="S750" s="172"/>
    </row>
    <row r="751">
      <c r="A751" s="525"/>
      <c r="B751" s="528"/>
      <c r="C751" s="172"/>
      <c r="D751" s="172"/>
      <c r="F751" s="172"/>
      <c r="G751" s="172"/>
      <c r="H751" s="172"/>
      <c r="I751" s="172"/>
      <c r="J751" s="172"/>
      <c r="K751" s="172"/>
      <c r="L751" s="172"/>
      <c r="M751" s="172"/>
      <c r="N751" s="172"/>
      <c r="O751" s="172"/>
      <c r="P751" s="172"/>
      <c r="Q751" s="172"/>
      <c r="R751" s="172"/>
      <c r="S751" s="172"/>
    </row>
    <row r="752">
      <c r="A752" s="525"/>
      <c r="B752" s="528"/>
      <c r="C752" s="172"/>
      <c r="D752" s="172"/>
      <c r="F752" s="172"/>
      <c r="G752" s="172"/>
      <c r="H752" s="172"/>
      <c r="I752" s="172"/>
      <c r="J752" s="172"/>
      <c r="K752" s="172"/>
      <c r="L752" s="172"/>
      <c r="M752" s="172"/>
      <c r="N752" s="172"/>
      <c r="O752" s="172"/>
      <c r="P752" s="172"/>
      <c r="Q752" s="172"/>
      <c r="R752" s="172"/>
      <c r="S752" s="172"/>
    </row>
    <row r="753">
      <c r="A753" s="525"/>
      <c r="B753" s="528"/>
      <c r="C753" s="172"/>
      <c r="D753" s="172"/>
      <c r="F753" s="172"/>
      <c r="G753" s="172"/>
      <c r="H753" s="172"/>
      <c r="I753" s="172"/>
      <c r="J753" s="172"/>
      <c r="K753" s="172"/>
      <c r="L753" s="172"/>
      <c r="M753" s="172"/>
      <c r="N753" s="172"/>
      <c r="O753" s="172"/>
      <c r="P753" s="172"/>
      <c r="Q753" s="172"/>
      <c r="R753" s="172"/>
      <c r="S753" s="172"/>
    </row>
    <row r="754">
      <c r="A754" s="525"/>
      <c r="B754" s="528"/>
      <c r="C754" s="172"/>
      <c r="D754" s="172"/>
      <c r="F754" s="172"/>
      <c r="G754" s="172"/>
      <c r="H754" s="172"/>
      <c r="I754" s="172"/>
      <c r="J754" s="172"/>
      <c r="K754" s="172"/>
      <c r="L754" s="172"/>
      <c r="M754" s="172"/>
      <c r="N754" s="172"/>
      <c r="O754" s="172"/>
      <c r="P754" s="172"/>
      <c r="Q754" s="172"/>
      <c r="R754" s="172"/>
      <c r="S754" s="172"/>
    </row>
    <row r="755">
      <c r="A755" s="525"/>
      <c r="B755" s="528"/>
      <c r="C755" s="172"/>
      <c r="D755" s="172"/>
      <c r="F755" s="172"/>
      <c r="G755" s="172"/>
      <c r="H755" s="172"/>
      <c r="I755" s="172"/>
      <c r="J755" s="172"/>
      <c r="K755" s="172"/>
      <c r="L755" s="172"/>
      <c r="M755" s="172"/>
      <c r="N755" s="172"/>
      <c r="O755" s="172"/>
      <c r="P755" s="172"/>
      <c r="Q755" s="172"/>
      <c r="R755" s="172"/>
      <c r="S755" s="172"/>
    </row>
    <row r="756">
      <c r="A756" s="525"/>
      <c r="B756" s="528"/>
      <c r="C756" s="172"/>
      <c r="D756" s="172"/>
      <c r="F756" s="172"/>
      <c r="G756" s="172"/>
      <c r="H756" s="172"/>
      <c r="I756" s="172"/>
      <c r="J756" s="172"/>
      <c r="K756" s="172"/>
      <c r="L756" s="172"/>
      <c r="M756" s="172"/>
      <c r="N756" s="172"/>
      <c r="O756" s="172"/>
      <c r="P756" s="172"/>
      <c r="Q756" s="172"/>
      <c r="R756" s="172"/>
      <c r="S756" s="172"/>
    </row>
    <row r="757">
      <c r="A757" s="525"/>
      <c r="B757" s="528"/>
      <c r="C757" s="172"/>
      <c r="D757" s="172"/>
      <c r="F757" s="172"/>
      <c r="G757" s="172"/>
      <c r="H757" s="172"/>
      <c r="I757" s="172"/>
      <c r="J757" s="172"/>
      <c r="K757" s="172"/>
      <c r="L757" s="172"/>
      <c r="M757" s="172"/>
      <c r="N757" s="172"/>
      <c r="O757" s="172"/>
      <c r="P757" s="172"/>
      <c r="Q757" s="172"/>
      <c r="R757" s="172"/>
      <c r="S757" s="172"/>
    </row>
    <row r="758">
      <c r="A758" s="525"/>
      <c r="B758" s="528"/>
      <c r="C758" s="172"/>
      <c r="D758" s="172"/>
      <c r="F758" s="172"/>
      <c r="G758" s="172"/>
      <c r="H758" s="172"/>
      <c r="I758" s="172"/>
      <c r="J758" s="172"/>
      <c r="K758" s="172"/>
      <c r="L758" s="172"/>
      <c r="M758" s="172"/>
      <c r="N758" s="172"/>
      <c r="O758" s="172"/>
      <c r="P758" s="172"/>
      <c r="Q758" s="172"/>
      <c r="R758" s="172"/>
      <c r="S758" s="172"/>
    </row>
    <row r="759">
      <c r="A759" s="525"/>
      <c r="B759" s="528"/>
      <c r="C759" s="172"/>
      <c r="D759" s="172"/>
      <c r="F759" s="172"/>
      <c r="G759" s="172"/>
      <c r="H759" s="172"/>
      <c r="I759" s="172"/>
      <c r="J759" s="172"/>
      <c r="K759" s="172"/>
      <c r="L759" s="172"/>
      <c r="M759" s="172"/>
      <c r="N759" s="172"/>
      <c r="O759" s="172"/>
      <c r="P759" s="172"/>
      <c r="Q759" s="172"/>
      <c r="R759" s="172"/>
      <c r="S759" s="172"/>
    </row>
    <row r="760">
      <c r="A760" s="525"/>
      <c r="B760" s="528"/>
      <c r="C760" s="172"/>
      <c r="D760" s="172"/>
      <c r="F760" s="172"/>
      <c r="G760" s="172"/>
      <c r="H760" s="172"/>
      <c r="I760" s="172"/>
      <c r="J760" s="172"/>
      <c r="K760" s="172"/>
      <c r="L760" s="172"/>
      <c r="M760" s="172"/>
      <c r="N760" s="172"/>
      <c r="O760" s="172"/>
      <c r="P760" s="172"/>
      <c r="Q760" s="172"/>
      <c r="R760" s="172"/>
      <c r="S760" s="172"/>
    </row>
    <row r="761">
      <c r="A761" s="525"/>
      <c r="B761" s="528"/>
      <c r="C761" s="172"/>
      <c r="D761" s="172"/>
      <c r="F761" s="172"/>
      <c r="G761" s="172"/>
      <c r="H761" s="172"/>
      <c r="I761" s="172"/>
      <c r="J761" s="172"/>
      <c r="K761" s="172"/>
      <c r="L761" s="172"/>
      <c r="M761" s="172"/>
      <c r="N761" s="172"/>
      <c r="O761" s="172"/>
      <c r="P761" s="172"/>
      <c r="Q761" s="172"/>
      <c r="R761" s="172"/>
      <c r="S761" s="172"/>
    </row>
    <row r="762">
      <c r="A762" s="525"/>
      <c r="B762" s="528"/>
      <c r="C762" s="172"/>
      <c r="D762" s="172"/>
      <c r="F762" s="172"/>
      <c r="G762" s="172"/>
      <c r="H762" s="172"/>
      <c r="I762" s="172"/>
      <c r="J762" s="172"/>
      <c r="K762" s="172"/>
      <c r="L762" s="172"/>
      <c r="M762" s="172"/>
      <c r="N762" s="172"/>
      <c r="O762" s="172"/>
      <c r="P762" s="172"/>
      <c r="Q762" s="172"/>
      <c r="R762" s="172"/>
      <c r="S762" s="172"/>
    </row>
    <row r="763">
      <c r="A763" s="525"/>
      <c r="B763" s="528"/>
      <c r="C763" s="172"/>
      <c r="D763" s="172"/>
      <c r="F763" s="172"/>
      <c r="G763" s="172"/>
      <c r="H763" s="172"/>
      <c r="I763" s="172"/>
      <c r="J763" s="172"/>
      <c r="K763" s="172"/>
      <c r="L763" s="172"/>
      <c r="M763" s="172"/>
      <c r="N763" s="172"/>
      <c r="O763" s="172"/>
      <c r="P763" s="172"/>
      <c r="Q763" s="172"/>
      <c r="R763" s="172"/>
      <c r="S763" s="172"/>
    </row>
    <row r="764">
      <c r="A764" s="525"/>
      <c r="B764" s="528"/>
      <c r="C764" s="172"/>
      <c r="D764" s="172"/>
      <c r="F764" s="172"/>
      <c r="G764" s="172"/>
      <c r="H764" s="172"/>
      <c r="I764" s="172"/>
      <c r="J764" s="172"/>
      <c r="K764" s="172"/>
      <c r="L764" s="172"/>
      <c r="M764" s="172"/>
      <c r="N764" s="172"/>
      <c r="O764" s="172"/>
      <c r="P764" s="172"/>
      <c r="Q764" s="172"/>
      <c r="R764" s="172"/>
      <c r="S764" s="172"/>
    </row>
    <row r="765">
      <c r="A765" s="525"/>
      <c r="B765" s="528"/>
      <c r="C765" s="172"/>
      <c r="D765" s="172"/>
      <c r="F765" s="172"/>
      <c r="G765" s="172"/>
      <c r="H765" s="172"/>
      <c r="I765" s="172"/>
      <c r="J765" s="172"/>
      <c r="K765" s="172"/>
      <c r="L765" s="172"/>
      <c r="M765" s="172"/>
      <c r="N765" s="172"/>
      <c r="O765" s="172"/>
      <c r="P765" s="172"/>
      <c r="Q765" s="172"/>
      <c r="R765" s="172"/>
      <c r="S765" s="172"/>
    </row>
    <row r="766">
      <c r="A766" s="525"/>
      <c r="B766" s="528"/>
      <c r="C766" s="172"/>
      <c r="D766" s="172"/>
      <c r="F766" s="172"/>
      <c r="G766" s="172"/>
      <c r="H766" s="172"/>
      <c r="I766" s="172"/>
      <c r="J766" s="172"/>
      <c r="K766" s="172"/>
      <c r="L766" s="172"/>
      <c r="M766" s="172"/>
      <c r="N766" s="172"/>
      <c r="O766" s="172"/>
      <c r="P766" s="172"/>
      <c r="Q766" s="172"/>
      <c r="R766" s="172"/>
      <c r="S766" s="172"/>
    </row>
    <row r="767">
      <c r="A767" s="525"/>
      <c r="B767" s="528"/>
      <c r="C767" s="172"/>
      <c r="D767" s="172"/>
      <c r="F767" s="172"/>
      <c r="G767" s="172"/>
      <c r="H767" s="172"/>
      <c r="I767" s="172"/>
      <c r="J767" s="172"/>
      <c r="K767" s="172"/>
      <c r="L767" s="172"/>
      <c r="M767" s="172"/>
      <c r="N767" s="172"/>
      <c r="O767" s="172"/>
      <c r="P767" s="172"/>
      <c r="Q767" s="172"/>
      <c r="R767" s="172"/>
      <c r="S767" s="172"/>
    </row>
    <row r="768">
      <c r="A768" s="525"/>
      <c r="B768" s="528"/>
      <c r="C768" s="172"/>
      <c r="D768" s="172"/>
      <c r="F768" s="172"/>
      <c r="G768" s="172"/>
      <c r="H768" s="172"/>
      <c r="I768" s="172"/>
      <c r="J768" s="172"/>
      <c r="K768" s="172"/>
      <c r="L768" s="172"/>
      <c r="M768" s="172"/>
      <c r="N768" s="172"/>
      <c r="O768" s="172"/>
      <c r="P768" s="172"/>
      <c r="Q768" s="172"/>
      <c r="R768" s="172"/>
      <c r="S768" s="172"/>
    </row>
    <row r="769">
      <c r="A769" s="525"/>
      <c r="B769" s="528"/>
      <c r="C769" s="172"/>
      <c r="D769" s="172"/>
      <c r="F769" s="172"/>
      <c r="G769" s="172"/>
      <c r="H769" s="172"/>
      <c r="I769" s="172"/>
      <c r="J769" s="172"/>
      <c r="K769" s="172"/>
      <c r="L769" s="172"/>
      <c r="M769" s="172"/>
      <c r="N769" s="172"/>
      <c r="O769" s="172"/>
      <c r="P769" s="172"/>
      <c r="Q769" s="172"/>
      <c r="R769" s="172"/>
      <c r="S769" s="172"/>
    </row>
    <row r="770">
      <c r="A770" s="525"/>
      <c r="B770" s="528"/>
      <c r="C770" s="172"/>
      <c r="D770" s="172"/>
      <c r="F770" s="172"/>
      <c r="G770" s="172"/>
      <c r="H770" s="172"/>
      <c r="I770" s="172"/>
      <c r="J770" s="172"/>
      <c r="K770" s="172"/>
      <c r="L770" s="172"/>
      <c r="M770" s="172"/>
      <c r="N770" s="172"/>
      <c r="O770" s="172"/>
      <c r="P770" s="172"/>
      <c r="Q770" s="172"/>
      <c r="R770" s="172"/>
      <c r="S770" s="172"/>
    </row>
    <row r="771">
      <c r="A771" s="525"/>
      <c r="B771" s="528"/>
      <c r="C771" s="172"/>
      <c r="D771" s="172"/>
      <c r="F771" s="172"/>
      <c r="G771" s="172"/>
      <c r="H771" s="172"/>
      <c r="I771" s="172"/>
      <c r="J771" s="172"/>
      <c r="K771" s="172"/>
      <c r="L771" s="172"/>
      <c r="M771" s="172"/>
      <c r="N771" s="172"/>
      <c r="O771" s="172"/>
      <c r="P771" s="172"/>
      <c r="Q771" s="172"/>
      <c r="R771" s="172"/>
      <c r="S771" s="172"/>
    </row>
    <row r="772">
      <c r="A772" s="525"/>
      <c r="B772" s="528"/>
      <c r="C772" s="172"/>
      <c r="D772" s="172"/>
      <c r="F772" s="172"/>
      <c r="G772" s="172"/>
      <c r="H772" s="172"/>
      <c r="I772" s="172"/>
      <c r="J772" s="172"/>
      <c r="K772" s="172"/>
      <c r="L772" s="172"/>
      <c r="M772" s="172"/>
      <c r="N772" s="172"/>
      <c r="O772" s="172"/>
      <c r="P772" s="172"/>
      <c r="Q772" s="172"/>
      <c r="R772" s="172"/>
      <c r="S772" s="172"/>
    </row>
    <row r="773">
      <c r="A773" s="525"/>
      <c r="B773" s="528"/>
      <c r="C773" s="172"/>
      <c r="D773" s="172"/>
      <c r="F773" s="172"/>
      <c r="G773" s="172"/>
      <c r="H773" s="172"/>
      <c r="I773" s="172"/>
      <c r="J773" s="172"/>
      <c r="K773" s="172"/>
      <c r="L773" s="172"/>
      <c r="M773" s="172"/>
      <c r="N773" s="172"/>
      <c r="O773" s="172"/>
      <c r="P773" s="172"/>
      <c r="Q773" s="172"/>
      <c r="R773" s="172"/>
      <c r="S773" s="172"/>
    </row>
    <row r="774">
      <c r="A774" s="525"/>
      <c r="B774" s="528"/>
      <c r="C774" s="172"/>
      <c r="D774" s="172"/>
      <c r="F774" s="172"/>
      <c r="G774" s="172"/>
      <c r="H774" s="172"/>
      <c r="I774" s="172"/>
      <c r="J774" s="172"/>
      <c r="K774" s="172"/>
      <c r="L774" s="172"/>
      <c r="M774" s="172"/>
      <c r="N774" s="172"/>
      <c r="O774" s="172"/>
      <c r="P774" s="172"/>
      <c r="Q774" s="172"/>
      <c r="R774" s="172"/>
      <c r="S774" s="172"/>
    </row>
    <row r="775">
      <c r="A775" s="525"/>
      <c r="B775" s="528"/>
      <c r="C775" s="172"/>
      <c r="D775" s="172"/>
      <c r="F775" s="172"/>
      <c r="G775" s="172"/>
      <c r="H775" s="172"/>
      <c r="I775" s="172"/>
      <c r="J775" s="172"/>
      <c r="K775" s="172"/>
      <c r="L775" s="172"/>
      <c r="M775" s="172"/>
      <c r="N775" s="172"/>
      <c r="O775" s="172"/>
      <c r="P775" s="172"/>
      <c r="Q775" s="172"/>
      <c r="R775" s="172"/>
      <c r="S775" s="172"/>
    </row>
    <row r="776">
      <c r="A776" s="525"/>
      <c r="B776" s="528"/>
      <c r="C776" s="172"/>
      <c r="D776" s="172"/>
      <c r="F776" s="172"/>
      <c r="G776" s="172"/>
      <c r="H776" s="172"/>
      <c r="I776" s="172"/>
      <c r="J776" s="172"/>
      <c r="K776" s="172"/>
      <c r="L776" s="172"/>
      <c r="M776" s="172"/>
      <c r="N776" s="172"/>
      <c r="O776" s="172"/>
      <c r="P776" s="172"/>
      <c r="Q776" s="172"/>
      <c r="R776" s="172"/>
      <c r="S776" s="172"/>
    </row>
    <row r="777">
      <c r="A777" s="525"/>
      <c r="B777" s="528"/>
      <c r="C777" s="172"/>
      <c r="D777" s="172"/>
      <c r="F777" s="172"/>
      <c r="G777" s="172"/>
      <c r="H777" s="172"/>
      <c r="I777" s="172"/>
      <c r="J777" s="172"/>
      <c r="K777" s="172"/>
      <c r="L777" s="172"/>
      <c r="M777" s="172"/>
      <c r="N777" s="172"/>
      <c r="O777" s="172"/>
      <c r="P777" s="172"/>
      <c r="Q777" s="172"/>
      <c r="R777" s="172"/>
      <c r="S777" s="172"/>
    </row>
    <row r="778">
      <c r="A778" s="525"/>
      <c r="B778" s="528"/>
      <c r="C778" s="172"/>
      <c r="D778" s="172"/>
      <c r="F778" s="172"/>
      <c r="G778" s="172"/>
      <c r="H778" s="172"/>
      <c r="I778" s="172"/>
      <c r="J778" s="172"/>
      <c r="K778" s="172"/>
      <c r="L778" s="172"/>
      <c r="M778" s="172"/>
      <c r="N778" s="172"/>
      <c r="O778" s="172"/>
      <c r="P778" s="172"/>
      <c r="Q778" s="172"/>
      <c r="R778" s="172"/>
      <c r="S778" s="172"/>
    </row>
    <row r="779">
      <c r="A779" s="525"/>
      <c r="B779" s="528"/>
      <c r="C779" s="172"/>
      <c r="D779" s="172"/>
      <c r="F779" s="172"/>
      <c r="G779" s="172"/>
      <c r="H779" s="172"/>
      <c r="I779" s="172"/>
      <c r="J779" s="172"/>
      <c r="K779" s="172"/>
      <c r="L779" s="172"/>
      <c r="M779" s="172"/>
      <c r="N779" s="172"/>
      <c r="O779" s="172"/>
      <c r="P779" s="172"/>
      <c r="Q779" s="172"/>
      <c r="R779" s="172"/>
      <c r="S779" s="172"/>
    </row>
    <row r="780">
      <c r="A780" s="525"/>
      <c r="B780" s="528"/>
      <c r="C780" s="172"/>
      <c r="D780" s="172"/>
      <c r="F780" s="172"/>
      <c r="G780" s="172"/>
      <c r="H780" s="172"/>
      <c r="I780" s="172"/>
      <c r="J780" s="172"/>
      <c r="K780" s="172"/>
      <c r="L780" s="172"/>
      <c r="M780" s="172"/>
      <c r="N780" s="172"/>
      <c r="O780" s="172"/>
      <c r="P780" s="172"/>
      <c r="Q780" s="172"/>
      <c r="R780" s="172"/>
      <c r="S780" s="172"/>
    </row>
    <row r="781">
      <c r="A781" s="525"/>
      <c r="B781" s="528"/>
      <c r="C781" s="172"/>
      <c r="D781" s="172"/>
      <c r="F781" s="172"/>
      <c r="G781" s="172"/>
      <c r="H781" s="172"/>
      <c r="I781" s="172"/>
      <c r="J781" s="172"/>
      <c r="K781" s="172"/>
      <c r="L781" s="172"/>
      <c r="M781" s="172"/>
      <c r="N781" s="172"/>
      <c r="O781" s="172"/>
      <c r="P781" s="172"/>
      <c r="Q781" s="172"/>
      <c r="R781" s="172"/>
      <c r="S781" s="172"/>
    </row>
    <row r="782">
      <c r="A782" s="525"/>
      <c r="B782" s="528"/>
      <c r="C782" s="172"/>
      <c r="D782" s="172"/>
      <c r="F782" s="172"/>
      <c r="G782" s="172"/>
      <c r="H782" s="172"/>
      <c r="I782" s="172"/>
      <c r="J782" s="172"/>
      <c r="K782" s="172"/>
      <c r="L782" s="172"/>
      <c r="M782" s="172"/>
      <c r="N782" s="172"/>
      <c r="O782" s="172"/>
      <c r="P782" s="172"/>
      <c r="Q782" s="172"/>
      <c r="R782" s="172"/>
      <c r="S782" s="172"/>
    </row>
    <row r="783">
      <c r="A783" s="525"/>
      <c r="B783" s="528"/>
      <c r="C783" s="172"/>
      <c r="D783" s="172"/>
      <c r="F783" s="172"/>
      <c r="G783" s="172"/>
      <c r="H783" s="172"/>
      <c r="I783" s="172"/>
      <c r="J783" s="172"/>
      <c r="K783" s="172"/>
      <c r="L783" s="172"/>
      <c r="M783" s="172"/>
      <c r="N783" s="172"/>
      <c r="O783" s="172"/>
      <c r="P783" s="172"/>
      <c r="Q783" s="172"/>
      <c r="R783" s="172"/>
      <c r="S783" s="172"/>
    </row>
    <row r="784">
      <c r="A784" s="525"/>
      <c r="B784" s="528"/>
      <c r="C784" s="172"/>
      <c r="D784" s="172"/>
      <c r="F784" s="172"/>
      <c r="G784" s="172"/>
      <c r="H784" s="172"/>
      <c r="I784" s="172"/>
      <c r="J784" s="172"/>
      <c r="K784" s="172"/>
      <c r="L784" s="172"/>
      <c r="M784" s="172"/>
      <c r="N784" s="172"/>
      <c r="O784" s="172"/>
      <c r="P784" s="172"/>
      <c r="Q784" s="172"/>
      <c r="R784" s="172"/>
      <c r="S784" s="172"/>
    </row>
    <row r="785">
      <c r="A785" s="525"/>
      <c r="B785" s="528"/>
      <c r="C785" s="172"/>
      <c r="D785" s="172"/>
      <c r="F785" s="172"/>
      <c r="G785" s="172"/>
      <c r="H785" s="172"/>
      <c r="I785" s="172"/>
      <c r="J785" s="172"/>
      <c r="K785" s="172"/>
      <c r="L785" s="172"/>
      <c r="M785" s="172"/>
      <c r="N785" s="172"/>
      <c r="O785" s="172"/>
      <c r="P785" s="172"/>
      <c r="Q785" s="172"/>
      <c r="R785" s="172"/>
      <c r="S785" s="172"/>
    </row>
    <row r="786">
      <c r="A786" s="525"/>
      <c r="B786" s="528"/>
      <c r="C786" s="172"/>
      <c r="D786" s="172"/>
      <c r="F786" s="172"/>
      <c r="G786" s="172"/>
      <c r="H786" s="172"/>
      <c r="I786" s="172"/>
      <c r="J786" s="172"/>
      <c r="K786" s="172"/>
      <c r="L786" s="172"/>
      <c r="M786" s="172"/>
      <c r="N786" s="172"/>
      <c r="O786" s="172"/>
      <c r="P786" s="172"/>
      <c r="Q786" s="172"/>
      <c r="R786" s="172"/>
      <c r="S786" s="172"/>
    </row>
    <row r="787">
      <c r="A787" s="525"/>
      <c r="B787" s="528"/>
      <c r="C787" s="172"/>
      <c r="D787" s="172"/>
      <c r="F787" s="172"/>
      <c r="G787" s="172"/>
      <c r="H787" s="172"/>
      <c r="I787" s="172"/>
      <c r="J787" s="172"/>
      <c r="K787" s="172"/>
      <c r="L787" s="172"/>
      <c r="M787" s="172"/>
      <c r="N787" s="172"/>
      <c r="O787" s="172"/>
      <c r="P787" s="172"/>
      <c r="Q787" s="172"/>
      <c r="R787" s="172"/>
      <c r="S787" s="172"/>
    </row>
    <row r="788">
      <c r="A788" s="525"/>
      <c r="B788" s="528"/>
      <c r="C788" s="172"/>
      <c r="D788" s="172"/>
      <c r="F788" s="172"/>
      <c r="G788" s="172"/>
      <c r="H788" s="172"/>
      <c r="I788" s="172"/>
      <c r="J788" s="172"/>
      <c r="K788" s="172"/>
      <c r="L788" s="172"/>
      <c r="M788" s="172"/>
      <c r="N788" s="172"/>
      <c r="O788" s="172"/>
      <c r="P788" s="172"/>
      <c r="Q788" s="172"/>
      <c r="R788" s="172"/>
      <c r="S788" s="172"/>
    </row>
    <row r="789">
      <c r="A789" s="525"/>
      <c r="B789" s="528"/>
      <c r="C789" s="172"/>
      <c r="D789" s="172"/>
      <c r="F789" s="172"/>
      <c r="G789" s="172"/>
      <c r="H789" s="172"/>
      <c r="I789" s="172"/>
      <c r="J789" s="172"/>
      <c r="K789" s="172"/>
      <c r="L789" s="172"/>
      <c r="M789" s="172"/>
      <c r="N789" s="172"/>
      <c r="O789" s="172"/>
      <c r="P789" s="172"/>
      <c r="Q789" s="172"/>
      <c r="R789" s="172"/>
      <c r="S789" s="172"/>
    </row>
    <row r="790">
      <c r="A790" s="525"/>
      <c r="B790" s="528"/>
      <c r="C790" s="172"/>
      <c r="D790" s="172"/>
      <c r="F790" s="172"/>
      <c r="G790" s="172"/>
      <c r="H790" s="172"/>
      <c r="I790" s="172"/>
      <c r="J790" s="172"/>
      <c r="K790" s="172"/>
      <c r="L790" s="172"/>
      <c r="M790" s="172"/>
      <c r="N790" s="172"/>
      <c r="O790" s="172"/>
      <c r="P790" s="172"/>
      <c r="Q790" s="172"/>
      <c r="R790" s="172"/>
      <c r="S790" s="172"/>
    </row>
    <row r="791">
      <c r="A791" s="525"/>
      <c r="B791" s="528"/>
      <c r="C791" s="172"/>
      <c r="D791" s="172"/>
      <c r="F791" s="172"/>
      <c r="G791" s="172"/>
      <c r="H791" s="172"/>
      <c r="I791" s="172"/>
      <c r="J791" s="172"/>
      <c r="K791" s="172"/>
      <c r="L791" s="172"/>
      <c r="M791" s="172"/>
      <c r="N791" s="172"/>
      <c r="O791" s="172"/>
      <c r="P791" s="172"/>
      <c r="Q791" s="172"/>
      <c r="R791" s="172"/>
      <c r="S791" s="172"/>
    </row>
    <row r="792">
      <c r="A792" s="525"/>
      <c r="B792" s="528"/>
      <c r="C792" s="172"/>
      <c r="D792" s="172"/>
      <c r="F792" s="172"/>
      <c r="G792" s="172"/>
      <c r="H792" s="172"/>
      <c r="I792" s="172"/>
      <c r="J792" s="172"/>
      <c r="K792" s="172"/>
      <c r="L792" s="172"/>
      <c r="M792" s="172"/>
      <c r="N792" s="172"/>
      <c r="O792" s="172"/>
      <c r="P792" s="172"/>
      <c r="Q792" s="172"/>
      <c r="R792" s="172"/>
      <c r="S792" s="172"/>
    </row>
    <row r="793">
      <c r="A793" s="525"/>
      <c r="B793" s="528"/>
      <c r="C793" s="172"/>
      <c r="D793" s="172"/>
      <c r="F793" s="172"/>
      <c r="G793" s="172"/>
      <c r="H793" s="172"/>
      <c r="I793" s="172"/>
      <c r="J793" s="172"/>
      <c r="K793" s="172"/>
      <c r="L793" s="172"/>
      <c r="M793" s="172"/>
      <c r="N793" s="172"/>
      <c r="O793" s="172"/>
      <c r="P793" s="172"/>
      <c r="Q793" s="172"/>
      <c r="R793" s="172"/>
      <c r="S793" s="172"/>
    </row>
    <row r="794">
      <c r="A794" s="525"/>
      <c r="B794" s="528"/>
      <c r="C794" s="172"/>
      <c r="D794" s="172"/>
      <c r="F794" s="172"/>
      <c r="G794" s="172"/>
      <c r="H794" s="172"/>
      <c r="I794" s="172"/>
      <c r="J794" s="172"/>
      <c r="K794" s="172"/>
      <c r="L794" s="172"/>
      <c r="M794" s="172"/>
      <c r="N794" s="172"/>
      <c r="O794" s="172"/>
      <c r="P794" s="172"/>
      <c r="Q794" s="172"/>
      <c r="R794" s="172"/>
      <c r="S794" s="172"/>
    </row>
    <row r="795">
      <c r="A795" s="525"/>
      <c r="B795" s="528"/>
      <c r="C795" s="172"/>
      <c r="D795" s="172"/>
      <c r="F795" s="172"/>
      <c r="G795" s="172"/>
      <c r="H795" s="172"/>
      <c r="I795" s="172"/>
      <c r="J795" s="172"/>
      <c r="K795" s="172"/>
      <c r="L795" s="172"/>
      <c r="M795" s="172"/>
      <c r="N795" s="172"/>
      <c r="O795" s="172"/>
      <c r="P795" s="172"/>
      <c r="Q795" s="172"/>
      <c r="R795" s="172"/>
      <c r="S795" s="172"/>
    </row>
    <row r="796">
      <c r="A796" s="525"/>
      <c r="B796" s="528"/>
      <c r="C796" s="172"/>
      <c r="D796" s="172"/>
      <c r="F796" s="172"/>
      <c r="G796" s="172"/>
      <c r="H796" s="172"/>
      <c r="I796" s="172"/>
      <c r="J796" s="172"/>
      <c r="K796" s="172"/>
      <c r="L796" s="172"/>
      <c r="M796" s="172"/>
      <c r="N796" s="172"/>
      <c r="O796" s="172"/>
      <c r="P796" s="172"/>
      <c r="Q796" s="172"/>
      <c r="R796" s="172"/>
      <c r="S796" s="172"/>
    </row>
    <row r="797">
      <c r="A797" s="525"/>
      <c r="B797" s="528"/>
      <c r="C797" s="172"/>
      <c r="D797" s="172"/>
      <c r="F797" s="172"/>
      <c r="G797" s="172"/>
      <c r="H797" s="172"/>
      <c r="I797" s="172"/>
      <c r="J797" s="172"/>
      <c r="K797" s="172"/>
      <c r="L797" s="172"/>
      <c r="M797" s="172"/>
      <c r="N797" s="172"/>
      <c r="O797" s="172"/>
      <c r="P797" s="172"/>
      <c r="Q797" s="172"/>
      <c r="R797" s="172"/>
      <c r="S797" s="172"/>
    </row>
    <row r="798">
      <c r="A798" s="525"/>
      <c r="B798" s="528"/>
      <c r="C798" s="172"/>
      <c r="D798" s="172"/>
      <c r="F798" s="172"/>
      <c r="G798" s="172"/>
      <c r="H798" s="172"/>
      <c r="I798" s="172"/>
      <c r="J798" s="172"/>
      <c r="K798" s="172"/>
      <c r="L798" s="172"/>
      <c r="M798" s="172"/>
      <c r="N798" s="172"/>
      <c r="O798" s="172"/>
      <c r="P798" s="172"/>
      <c r="Q798" s="172"/>
      <c r="R798" s="172"/>
      <c r="S798" s="172"/>
    </row>
    <row r="799">
      <c r="A799" s="525"/>
      <c r="B799" s="528"/>
      <c r="C799" s="172"/>
      <c r="D799" s="172"/>
      <c r="F799" s="172"/>
      <c r="G799" s="172"/>
      <c r="H799" s="172"/>
      <c r="I799" s="172"/>
      <c r="J799" s="172"/>
      <c r="K799" s="172"/>
      <c r="L799" s="172"/>
      <c r="M799" s="172"/>
      <c r="N799" s="172"/>
      <c r="O799" s="172"/>
      <c r="P799" s="172"/>
      <c r="Q799" s="172"/>
      <c r="R799" s="172"/>
      <c r="S799" s="172"/>
    </row>
    <row r="800">
      <c r="A800" s="525"/>
      <c r="B800" s="528"/>
      <c r="C800" s="172"/>
      <c r="D800" s="172"/>
      <c r="F800" s="172"/>
      <c r="G800" s="172"/>
      <c r="H800" s="172"/>
      <c r="I800" s="172"/>
      <c r="J800" s="172"/>
      <c r="K800" s="172"/>
      <c r="L800" s="172"/>
      <c r="M800" s="172"/>
      <c r="N800" s="172"/>
      <c r="O800" s="172"/>
      <c r="P800" s="172"/>
      <c r="Q800" s="172"/>
      <c r="R800" s="172"/>
      <c r="S800" s="172"/>
    </row>
    <row r="801">
      <c r="A801" s="525"/>
      <c r="B801" s="528"/>
      <c r="C801" s="172"/>
      <c r="D801" s="172"/>
      <c r="F801" s="172"/>
      <c r="G801" s="172"/>
      <c r="H801" s="172"/>
      <c r="I801" s="172"/>
      <c r="J801" s="172"/>
      <c r="K801" s="172"/>
      <c r="L801" s="172"/>
      <c r="M801" s="172"/>
      <c r="N801" s="172"/>
      <c r="O801" s="172"/>
      <c r="P801" s="172"/>
      <c r="Q801" s="172"/>
      <c r="R801" s="172"/>
      <c r="S801" s="172"/>
    </row>
    <row r="802">
      <c r="A802" s="525"/>
      <c r="B802" s="528"/>
      <c r="C802" s="172"/>
      <c r="D802" s="172"/>
      <c r="F802" s="172"/>
      <c r="G802" s="172"/>
      <c r="H802" s="172"/>
      <c r="I802" s="172"/>
      <c r="J802" s="172"/>
      <c r="K802" s="172"/>
      <c r="L802" s="172"/>
      <c r="M802" s="172"/>
      <c r="N802" s="172"/>
      <c r="O802" s="172"/>
      <c r="P802" s="172"/>
      <c r="Q802" s="172"/>
      <c r="R802" s="172"/>
      <c r="S802" s="172"/>
    </row>
    <row r="803">
      <c r="A803" s="525"/>
      <c r="B803" s="528"/>
      <c r="C803" s="172"/>
      <c r="D803" s="172"/>
      <c r="F803" s="172"/>
      <c r="G803" s="172"/>
      <c r="H803" s="172"/>
      <c r="I803" s="172"/>
      <c r="J803" s="172"/>
      <c r="K803" s="172"/>
      <c r="L803" s="172"/>
      <c r="M803" s="172"/>
      <c r="N803" s="172"/>
      <c r="O803" s="172"/>
      <c r="P803" s="172"/>
      <c r="Q803" s="172"/>
      <c r="R803" s="172"/>
      <c r="S803" s="172"/>
    </row>
    <row r="804">
      <c r="A804" s="525"/>
      <c r="B804" s="528"/>
      <c r="C804" s="172"/>
      <c r="D804" s="172"/>
      <c r="F804" s="172"/>
      <c r="G804" s="172"/>
      <c r="H804" s="172"/>
      <c r="I804" s="172"/>
      <c r="J804" s="172"/>
      <c r="K804" s="172"/>
      <c r="L804" s="172"/>
      <c r="M804" s="172"/>
      <c r="N804" s="172"/>
      <c r="O804" s="172"/>
      <c r="P804" s="172"/>
      <c r="Q804" s="172"/>
      <c r="R804" s="172"/>
      <c r="S804" s="172"/>
    </row>
    <row r="805">
      <c r="A805" s="525"/>
      <c r="B805" s="528"/>
      <c r="C805" s="172"/>
      <c r="D805" s="172"/>
      <c r="F805" s="172"/>
      <c r="G805" s="172"/>
      <c r="H805" s="172"/>
      <c r="I805" s="172"/>
      <c r="J805" s="172"/>
      <c r="K805" s="172"/>
      <c r="L805" s="172"/>
      <c r="M805" s="172"/>
      <c r="N805" s="172"/>
      <c r="O805" s="172"/>
      <c r="P805" s="172"/>
      <c r="Q805" s="172"/>
      <c r="R805" s="172"/>
      <c r="S805" s="172"/>
    </row>
    <row r="806">
      <c r="A806" s="525"/>
      <c r="B806" s="528"/>
      <c r="C806" s="172"/>
      <c r="D806" s="172"/>
      <c r="F806" s="172"/>
      <c r="G806" s="172"/>
      <c r="H806" s="172"/>
      <c r="I806" s="172"/>
      <c r="J806" s="172"/>
      <c r="K806" s="172"/>
      <c r="L806" s="172"/>
      <c r="M806" s="172"/>
      <c r="N806" s="172"/>
      <c r="O806" s="172"/>
      <c r="P806" s="172"/>
      <c r="Q806" s="172"/>
      <c r="R806" s="172"/>
      <c r="S806" s="172"/>
    </row>
    <row r="807">
      <c r="A807" s="525"/>
      <c r="B807" s="528"/>
      <c r="C807" s="172"/>
      <c r="D807" s="172"/>
      <c r="F807" s="172"/>
      <c r="G807" s="172"/>
      <c r="H807" s="172"/>
      <c r="I807" s="172"/>
      <c r="J807" s="172"/>
      <c r="K807" s="172"/>
      <c r="L807" s="172"/>
      <c r="M807" s="172"/>
      <c r="N807" s="172"/>
      <c r="O807" s="172"/>
      <c r="P807" s="172"/>
      <c r="Q807" s="172"/>
      <c r="R807" s="172"/>
      <c r="S807" s="172"/>
    </row>
    <row r="808">
      <c r="A808" s="525"/>
      <c r="B808" s="528"/>
      <c r="C808" s="172"/>
      <c r="D808" s="172"/>
      <c r="F808" s="172"/>
      <c r="G808" s="172"/>
      <c r="H808" s="172"/>
      <c r="I808" s="172"/>
      <c r="J808" s="172"/>
      <c r="K808" s="172"/>
      <c r="L808" s="172"/>
      <c r="M808" s="172"/>
      <c r="N808" s="172"/>
      <c r="O808" s="172"/>
      <c r="P808" s="172"/>
      <c r="Q808" s="172"/>
      <c r="R808" s="172"/>
      <c r="S808" s="172"/>
    </row>
    <row r="809">
      <c r="A809" s="525"/>
      <c r="B809" s="528"/>
      <c r="C809" s="172"/>
      <c r="D809" s="172"/>
      <c r="F809" s="172"/>
      <c r="G809" s="172"/>
      <c r="H809" s="172"/>
      <c r="I809" s="172"/>
      <c r="J809" s="172"/>
      <c r="K809" s="172"/>
      <c r="L809" s="172"/>
      <c r="M809" s="172"/>
      <c r="N809" s="172"/>
      <c r="O809" s="172"/>
      <c r="P809" s="172"/>
      <c r="Q809" s="172"/>
      <c r="R809" s="172"/>
      <c r="S809" s="172"/>
    </row>
    <row r="810">
      <c r="A810" s="525"/>
      <c r="B810" s="528"/>
      <c r="C810" s="172"/>
      <c r="D810" s="172"/>
      <c r="F810" s="172"/>
      <c r="G810" s="172"/>
      <c r="H810" s="172"/>
      <c r="I810" s="172"/>
      <c r="J810" s="172"/>
      <c r="K810" s="172"/>
      <c r="L810" s="172"/>
      <c r="M810" s="172"/>
      <c r="N810" s="172"/>
      <c r="O810" s="172"/>
      <c r="P810" s="172"/>
      <c r="Q810" s="172"/>
      <c r="R810" s="172"/>
      <c r="S810" s="172"/>
    </row>
    <row r="811">
      <c r="A811" s="525"/>
      <c r="B811" s="528"/>
      <c r="C811" s="172"/>
      <c r="D811" s="172"/>
      <c r="F811" s="172"/>
      <c r="G811" s="172"/>
      <c r="H811" s="172"/>
      <c r="I811" s="172"/>
      <c r="J811" s="172"/>
      <c r="K811" s="172"/>
      <c r="L811" s="172"/>
      <c r="M811" s="172"/>
      <c r="N811" s="172"/>
      <c r="O811" s="172"/>
      <c r="P811" s="172"/>
      <c r="Q811" s="172"/>
      <c r="R811" s="172"/>
      <c r="S811" s="172"/>
    </row>
    <row r="812">
      <c r="A812" s="525"/>
      <c r="B812" s="528"/>
      <c r="C812" s="172"/>
      <c r="D812" s="172"/>
      <c r="F812" s="172"/>
      <c r="G812" s="172"/>
      <c r="H812" s="172"/>
      <c r="I812" s="172"/>
      <c r="J812" s="172"/>
      <c r="K812" s="172"/>
      <c r="L812" s="172"/>
      <c r="M812" s="172"/>
      <c r="N812" s="172"/>
      <c r="O812" s="172"/>
      <c r="P812" s="172"/>
      <c r="Q812" s="172"/>
      <c r="R812" s="172"/>
      <c r="S812" s="172"/>
    </row>
    <row r="813">
      <c r="A813" s="525"/>
      <c r="B813" s="528"/>
      <c r="C813" s="172"/>
      <c r="D813" s="172"/>
      <c r="F813" s="172"/>
      <c r="G813" s="172"/>
      <c r="H813" s="172"/>
      <c r="I813" s="172"/>
      <c r="J813" s="172"/>
      <c r="K813" s="172"/>
      <c r="L813" s="172"/>
      <c r="M813" s="172"/>
      <c r="N813" s="172"/>
      <c r="O813" s="172"/>
      <c r="P813" s="172"/>
      <c r="Q813" s="172"/>
      <c r="R813" s="172"/>
      <c r="S813" s="172"/>
    </row>
    <row r="814">
      <c r="A814" s="525"/>
      <c r="B814" s="528"/>
      <c r="C814" s="172"/>
      <c r="D814" s="172"/>
      <c r="F814" s="172"/>
      <c r="G814" s="172"/>
      <c r="H814" s="172"/>
      <c r="I814" s="172"/>
      <c r="J814" s="172"/>
      <c r="K814" s="172"/>
      <c r="L814" s="172"/>
      <c r="M814" s="172"/>
      <c r="N814" s="172"/>
      <c r="O814" s="172"/>
      <c r="P814" s="172"/>
      <c r="Q814" s="172"/>
      <c r="R814" s="172"/>
      <c r="S814" s="172"/>
    </row>
    <row r="815">
      <c r="A815" s="525"/>
      <c r="B815" s="528"/>
      <c r="C815" s="172"/>
      <c r="D815" s="172"/>
      <c r="F815" s="172"/>
      <c r="G815" s="172"/>
      <c r="H815" s="172"/>
      <c r="I815" s="172"/>
      <c r="J815" s="172"/>
      <c r="K815" s="172"/>
      <c r="L815" s="172"/>
      <c r="M815" s="172"/>
      <c r="N815" s="172"/>
      <c r="O815" s="172"/>
      <c r="P815" s="172"/>
      <c r="Q815" s="172"/>
      <c r="R815" s="172"/>
      <c r="S815" s="172"/>
    </row>
    <row r="816">
      <c r="A816" s="525"/>
      <c r="B816" s="528"/>
      <c r="C816" s="172"/>
      <c r="D816" s="172"/>
      <c r="F816" s="172"/>
      <c r="G816" s="172"/>
      <c r="H816" s="172"/>
      <c r="I816" s="172"/>
      <c r="J816" s="172"/>
      <c r="K816" s="172"/>
      <c r="L816" s="172"/>
      <c r="M816" s="172"/>
      <c r="N816" s="172"/>
      <c r="O816" s="172"/>
      <c r="P816" s="172"/>
      <c r="Q816" s="172"/>
      <c r="R816" s="172"/>
      <c r="S816" s="172"/>
    </row>
    <row r="817">
      <c r="A817" s="525"/>
      <c r="B817" s="528"/>
      <c r="C817" s="172"/>
      <c r="D817" s="172"/>
      <c r="F817" s="172"/>
      <c r="G817" s="172"/>
      <c r="H817" s="172"/>
      <c r="I817" s="172"/>
      <c r="J817" s="172"/>
      <c r="K817" s="172"/>
      <c r="L817" s="172"/>
      <c r="M817" s="172"/>
      <c r="N817" s="172"/>
      <c r="O817" s="172"/>
      <c r="P817" s="172"/>
      <c r="Q817" s="172"/>
      <c r="R817" s="172"/>
      <c r="S817" s="172"/>
    </row>
    <row r="818">
      <c r="A818" s="525"/>
      <c r="B818" s="528"/>
      <c r="C818" s="172"/>
      <c r="D818" s="172"/>
      <c r="F818" s="172"/>
      <c r="G818" s="172"/>
      <c r="H818" s="172"/>
      <c r="I818" s="172"/>
      <c r="J818" s="172"/>
      <c r="K818" s="172"/>
      <c r="L818" s="172"/>
      <c r="M818" s="172"/>
      <c r="N818" s="172"/>
      <c r="O818" s="172"/>
      <c r="P818" s="172"/>
      <c r="Q818" s="172"/>
      <c r="R818" s="172"/>
      <c r="S818" s="172"/>
    </row>
    <row r="819">
      <c r="A819" s="525"/>
      <c r="B819" s="528"/>
      <c r="C819" s="172"/>
      <c r="D819" s="172"/>
      <c r="F819" s="172"/>
      <c r="G819" s="172"/>
      <c r="H819" s="172"/>
      <c r="I819" s="172"/>
      <c r="J819" s="172"/>
      <c r="K819" s="172"/>
      <c r="L819" s="172"/>
      <c r="M819" s="172"/>
      <c r="N819" s="172"/>
      <c r="O819" s="172"/>
      <c r="P819" s="172"/>
      <c r="Q819" s="172"/>
      <c r="R819" s="172"/>
      <c r="S819" s="172"/>
    </row>
    <row r="820">
      <c r="A820" s="525"/>
      <c r="B820" s="528"/>
      <c r="C820" s="172"/>
      <c r="D820" s="172"/>
      <c r="F820" s="172"/>
      <c r="G820" s="172"/>
      <c r="H820" s="172"/>
      <c r="I820" s="172"/>
      <c r="J820" s="172"/>
      <c r="K820" s="172"/>
      <c r="L820" s="172"/>
      <c r="M820" s="172"/>
      <c r="N820" s="172"/>
      <c r="O820" s="172"/>
      <c r="P820" s="172"/>
      <c r="Q820" s="172"/>
      <c r="R820" s="172"/>
      <c r="S820" s="172"/>
    </row>
    <row r="821">
      <c r="A821" s="525"/>
      <c r="B821" s="528"/>
      <c r="C821" s="172"/>
      <c r="D821" s="172"/>
      <c r="F821" s="172"/>
      <c r="G821" s="172"/>
      <c r="H821" s="172"/>
      <c r="I821" s="172"/>
      <c r="J821" s="172"/>
      <c r="K821" s="172"/>
      <c r="L821" s="172"/>
      <c r="M821" s="172"/>
      <c r="N821" s="172"/>
      <c r="O821" s="172"/>
      <c r="P821" s="172"/>
      <c r="Q821" s="172"/>
      <c r="R821" s="172"/>
      <c r="S821" s="172"/>
    </row>
    <row r="822">
      <c r="A822" s="525"/>
      <c r="B822" s="528"/>
      <c r="C822" s="172"/>
      <c r="D822" s="172"/>
      <c r="F822" s="172"/>
      <c r="G822" s="172"/>
      <c r="H822" s="172"/>
      <c r="I822" s="172"/>
      <c r="J822" s="172"/>
      <c r="K822" s="172"/>
      <c r="L822" s="172"/>
      <c r="M822" s="172"/>
      <c r="N822" s="172"/>
      <c r="O822" s="172"/>
      <c r="P822" s="172"/>
      <c r="Q822" s="172"/>
      <c r="R822" s="172"/>
      <c r="S822" s="172"/>
    </row>
    <row r="823">
      <c r="A823" s="525"/>
      <c r="B823" s="528"/>
      <c r="C823" s="172"/>
      <c r="D823" s="172"/>
      <c r="F823" s="172"/>
      <c r="G823" s="172"/>
      <c r="H823" s="172"/>
      <c r="I823" s="172"/>
      <c r="J823" s="172"/>
      <c r="K823" s="172"/>
      <c r="L823" s="172"/>
      <c r="M823" s="172"/>
      <c r="N823" s="172"/>
      <c r="O823" s="172"/>
      <c r="P823" s="172"/>
      <c r="Q823" s="172"/>
      <c r="R823" s="172"/>
      <c r="S823" s="172"/>
    </row>
    <row r="824">
      <c r="A824" s="525"/>
      <c r="B824" s="528"/>
      <c r="C824" s="172"/>
      <c r="D824" s="172"/>
      <c r="F824" s="172"/>
      <c r="G824" s="172"/>
      <c r="H824" s="172"/>
      <c r="I824" s="172"/>
      <c r="J824" s="172"/>
      <c r="K824" s="172"/>
      <c r="L824" s="172"/>
      <c r="M824" s="172"/>
      <c r="N824" s="172"/>
      <c r="O824" s="172"/>
      <c r="P824" s="172"/>
      <c r="Q824" s="172"/>
      <c r="R824" s="172"/>
      <c r="S824" s="172"/>
    </row>
    <row r="825">
      <c r="A825" s="525"/>
      <c r="B825" s="528"/>
      <c r="C825" s="172"/>
      <c r="D825" s="172"/>
      <c r="F825" s="172"/>
      <c r="G825" s="172"/>
      <c r="H825" s="172"/>
      <c r="I825" s="172"/>
      <c r="J825" s="172"/>
      <c r="K825" s="172"/>
      <c r="L825" s="172"/>
      <c r="M825" s="172"/>
      <c r="N825" s="172"/>
      <c r="O825" s="172"/>
      <c r="P825" s="172"/>
      <c r="Q825" s="172"/>
      <c r="R825" s="172"/>
      <c r="S825" s="172"/>
    </row>
    <row r="826">
      <c r="A826" s="525"/>
      <c r="B826" s="528"/>
      <c r="C826" s="172"/>
      <c r="D826" s="172"/>
      <c r="F826" s="172"/>
      <c r="G826" s="172"/>
      <c r="H826" s="172"/>
      <c r="I826" s="172"/>
      <c r="J826" s="172"/>
      <c r="K826" s="172"/>
      <c r="L826" s="172"/>
      <c r="M826" s="172"/>
      <c r="N826" s="172"/>
      <c r="O826" s="172"/>
      <c r="P826" s="172"/>
      <c r="Q826" s="172"/>
      <c r="R826" s="172"/>
      <c r="S826" s="172"/>
    </row>
    <row r="827">
      <c r="A827" s="525"/>
      <c r="B827" s="528"/>
      <c r="C827" s="172"/>
      <c r="D827" s="172"/>
      <c r="F827" s="172"/>
      <c r="G827" s="172"/>
      <c r="H827" s="172"/>
      <c r="I827" s="172"/>
      <c r="J827" s="172"/>
      <c r="K827" s="172"/>
      <c r="L827" s="172"/>
      <c r="M827" s="172"/>
      <c r="N827" s="172"/>
      <c r="O827" s="172"/>
      <c r="P827" s="172"/>
      <c r="Q827" s="172"/>
      <c r="R827" s="172"/>
      <c r="S827" s="172"/>
    </row>
    <row r="828">
      <c r="A828" s="525"/>
      <c r="B828" s="528"/>
      <c r="C828" s="172"/>
      <c r="D828" s="172"/>
      <c r="F828" s="172"/>
      <c r="G828" s="172"/>
      <c r="H828" s="172"/>
      <c r="I828" s="172"/>
      <c r="J828" s="172"/>
      <c r="K828" s="172"/>
      <c r="L828" s="172"/>
      <c r="M828" s="172"/>
      <c r="N828" s="172"/>
      <c r="O828" s="172"/>
      <c r="P828" s="172"/>
      <c r="Q828" s="172"/>
      <c r="R828" s="172"/>
      <c r="S828" s="172"/>
    </row>
    <row r="829">
      <c r="A829" s="525"/>
      <c r="B829" s="528"/>
      <c r="C829" s="172"/>
      <c r="D829" s="172"/>
      <c r="F829" s="172"/>
      <c r="G829" s="172"/>
      <c r="H829" s="172"/>
      <c r="I829" s="172"/>
      <c r="J829" s="172"/>
      <c r="K829" s="172"/>
      <c r="L829" s="172"/>
      <c r="M829" s="172"/>
      <c r="N829" s="172"/>
      <c r="O829" s="172"/>
      <c r="P829" s="172"/>
      <c r="Q829" s="172"/>
      <c r="R829" s="172"/>
      <c r="S829" s="172"/>
    </row>
    <row r="830">
      <c r="A830" s="525"/>
      <c r="B830" s="528"/>
      <c r="C830" s="172"/>
      <c r="D830" s="172"/>
      <c r="F830" s="172"/>
      <c r="G830" s="172"/>
      <c r="H830" s="172"/>
      <c r="I830" s="172"/>
      <c r="J830" s="172"/>
      <c r="K830" s="172"/>
      <c r="L830" s="172"/>
      <c r="M830" s="172"/>
      <c r="N830" s="172"/>
      <c r="O830" s="172"/>
      <c r="P830" s="172"/>
      <c r="Q830" s="172"/>
      <c r="R830" s="172"/>
      <c r="S830" s="172"/>
    </row>
    <row r="831">
      <c r="A831" s="525"/>
      <c r="B831" s="528"/>
      <c r="C831" s="172"/>
      <c r="D831" s="172"/>
      <c r="F831" s="172"/>
      <c r="G831" s="172"/>
      <c r="H831" s="172"/>
      <c r="I831" s="172"/>
      <c r="J831" s="172"/>
      <c r="K831" s="172"/>
      <c r="L831" s="172"/>
      <c r="M831" s="172"/>
      <c r="N831" s="172"/>
      <c r="O831" s="172"/>
      <c r="P831" s="172"/>
      <c r="Q831" s="172"/>
      <c r="R831" s="172"/>
      <c r="S831" s="172"/>
    </row>
    <row r="832">
      <c r="A832" s="525"/>
      <c r="B832" s="528"/>
      <c r="C832" s="172"/>
      <c r="D832" s="172"/>
      <c r="F832" s="172"/>
      <c r="G832" s="172"/>
      <c r="H832" s="172"/>
      <c r="I832" s="172"/>
      <c r="J832" s="172"/>
      <c r="K832" s="172"/>
      <c r="L832" s="172"/>
      <c r="M832" s="172"/>
      <c r="N832" s="172"/>
      <c r="O832" s="172"/>
      <c r="P832" s="172"/>
      <c r="Q832" s="172"/>
      <c r="R832" s="172"/>
      <c r="S832" s="172"/>
    </row>
    <row r="833">
      <c r="A833" s="525"/>
      <c r="B833" s="528"/>
      <c r="C833" s="172"/>
      <c r="D833" s="172"/>
      <c r="F833" s="172"/>
      <c r="G833" s="172"/>
      <c r="H833" s="172"/>
      <c r="I833" s="172"/>
      <c r="J833" s="172"/>
      <c r="K833" s="172"/>
      <c r="L833" s="172"/>
      <c r="M833" s="172"/>
      <c r="N833" s="172"/>
      <c r="O833" s="172"/>
      <c r="P833" s="172"/>
      <c r="Q833" s="172"/>
      <c r="R833" s="172"/>
      <c r="S833" s="172"/>
    </row>
    <row r="834">
      <c r="A834" s="525"/>
      <c r="B834" s="528"/>
      <c r="C834" s="172"/>
      <c r="D834" s="172"/>
      <c r="F834" s="172"/>
      <c r="G834" s="172"/>
      <c r="H834" s="172"/>
      <c r="I834" s="172"/>
      <c r="J834" s="172"/>
      <c r="K834" s="172"/>
      <c r="L834" s="172"/>
      <c r="M834" s="172"/>
      <c r="N834" s="172"/>
      <c r="O834" s="172"/>
      <c r="P834" s="172"/>
      <c r="Q834" s="172"/>
      <c r="R834" s="172"/>
      <c r="S834" s="172"/>
    </row>
    <row r="835">
      <c r="A835" s="525"/>
      <c r="B835" s="528"/>
      <c r="C835" s="172"/>
      <c r="D835" s="172"/>
      <c r="F835" s="172"/>
      <c r="G835" s="172"/>
      <c r="H835" s="172"/>
      <c r="I835" s="172"/>
      <c r="J835" s="172"/>
      <c r="K835" s="172"/>
      <c r="L835" s="172"/>
      <c r="M835" s="172"/>
      <c r="N835" s="172"/>
      <c r="O835" s="172"/>
      <c r="P835" s="172"/>
      <c r="Q835" s="172"/>
      <c r="R835" s="172"/>
      <c r="S835" s="172"/>
    </row>
    <row r="836">
      <c r="A836" s="525"/>
      <c r="B836" s="528"/>
      <c r="C836" s="172"/>
      <c r="D836" s="172"/>
      <c r="F836" s="172"/>
      <c r="G836" s="172"/>
      <c r="H836" s="172"/>
      <c r="I836" s="172"/>
      <c r="J836" s="172"/>
      <c r="K836" s="172"/>
      <c r="L836" s="172"/>
      <c r="M836" s="172"/>
      <c r="N836" s="172"/>
      <c r="O836" s="172"/>
      <c r="P836" s="172"/>
      <c r="Q836" s="172"/>
      <c r="R836" s="172"/>
      <c r="S836" s="172"/>
    </row>
    <row r="837">
      <c r="A837" s="525"/>
      <c r="B837" s="528"/>
      <c r="C837" s="172"/>
      <c r="D837" s="172"/>
      <c r="F837" s="172"/>
      <c r="G837" s="172"/>
      <c r="H837" s="172"/>
      <c r="I837" s="172"/>
      <c r="J837" s="172"/>
      <c r="K837" s="172"/>
      <c r="L837" s="172"/>
      <c r="M837" s="172"/>
      <c r="N837" s="172"/>
      <c r="O837" s="172"/>
      <c r="P837" s="172"/>
      <c r="Q837" s="172"/>
      <c r="R837" s="172"/>
      <c r="S837" s="172"/>
    </row>
    <row r="838">
      <c r="A838" s="525"/>
      <c r="B838" s="528"/>
      <c r="C838" s="172"/>
      <c r="D838" s="172"/>
      <c r="F838" s="172"/>
      <c r="G838" s="172"/>
      <c r="H838" s="172"/>
      <c r="I838" s="172"/>
      <c r="J838" s="172"/>
      <c r="K838" s="172"/>
      <c r="L838" s="172"/>
      <c r="M838" s="172"/>
      <c r="N838" s="172"/>
      <c r="O838" s="172"/>
      <c r="P838" s="172"/>
      <c r="Q838" s="172"/>
      <c r="R838" s="172"/>
      <c r="S838" s="172"/>
    </row>
    <row r="839">
      <c r="A839" s="525"/>
      <c r="B839" s="528"/>
      <c r="C839" s="172"/>
      <c r="D839" s="172"/>
      <c r="F839" s="172"/>
      <c r="G839" s="172"/>
      <c r="H839" s="172"/>
      <c r="I839" s="172"/>
      <c r="J839" s="172"/>
      <c r="K839" s="172"/>
      <c r="L839" s="172"/>
      <c r="M839" s="172"/>
      <c r="N839" s="172"/>
      <c r="O839" s="172"/>
      <c r="P839" s="172"/>
      <c r="Q839" s="172"/>
      <c r="R839" s="172"/>
      <c r="S839" s="172"/>
    </row>
    <row r="840">
      <c r="A840" s="525"/>
      <c r="B840" s="528"/>
      <c r="C840" s="172"/>
      <c r="D840" s="172"/>
      <c r="F840" s="172"/>
      <c r="G840" s="172"/>
      <c r="H840" s="172"/>
      <c r="I840" s="172"/>
      <c r="J840" s="172"/>
      <c r="K840" s="172"/>
      <c r="L840" s="172"/>
      <c r="M840" s="172"/>
      <c r="N840" s="172"/>
      <c r="O840" s="172"/>
      <c r="P840" s="172"/>
      <c r="Q840" s="172"/>
      <c r="R840" s="172"/>
      <c r="S840" s="172"/>
    </row>
    <row r="841">
      <c r="A841" s="525"/>
      <c r="B841" s="528"/>
      <c r="C841" s="172"/>
      <c r="D841" s="172"/>
      <c r="F841" s="172"/>
      <c r="G841" s="172"/>
      <c r="H841" s="172"/>
      <c r="I841" s="172"/>
      <c r="J841" s="172"/>
      <c r="K841" s="172"/>
      <c r="L841" s="172"/>
      <c r="M841" s="172"/>
      <c r="N841" s="172"/>
      <c r="O841" s="172"/>
      <c r="P841" s="172"/>
      <c r="Q841" s="172"/>
      <c r="R841" s="172"/>
      <c r="S841" s="172"/>
    </row>
    <row r="842">
      <c r="A842" s="525"/>
      <c r="B842" s="528"/>
      <c r="C842" s="172"/>
      <c r="D842" s="172"/>
      <c r="F842" s="172"/>
      <c r="G842" s="172"/>
      <c r="H842" s="172"/>
      <c r="I842" s="172"/>
      <c r="J842" s="172"/>
      <c r="K842" s="172"/>
      <c r="L842" s="172"/>
      <c r="M842" s="172"/>
      <c r="N842" s="172"/>
      <c r="O842" s="172"/>
      <c r="P842" s="172"/>
      <c r="Q842" s="172"/>
      <c r="R842" s="172"/>
      <c r="S842" s="172"/>
    </row>
    <row r="843">
      <c r="A843" s="525"/>
      <c r="B843" s="528"/>
      <c r="C843" s="172"/>
      <c r="D843" s="172"/>
      <c r="F843" s="172"/>
      <c r="G843" s="172"/>
      <c r="H843" s="172"/>
      <c r="I843" s="172"/>
      <c r="J843" s="172"/>
      <c r="K843" s="172"/>
      <c r="L843" s="172"/>
      <c r="M843" s="172"/>
      <c r="N843" s="172"/>
      <c r="O843" s="172"/>
      <c r="P843" s="172"/>
      <c r="Q843" s="172"/>
      <c r="R843" s="172"/>
      <c r="S843" s="172"/>
    </row>
    <row r="844">
      <c r="A844" s="525"/>
      <c r="B844" s="528"/>
      <c r="C844" s="172"/>
      <c r="D844" s="172"/>
      <c r="F844" s="172"/>
      <c r="G844" s="172"/>
      <c r="H844" s="172"/>
      <c r="I844" s="172"/>
      <c r="J844" s="172"/>
      <c r="K844" s="172"/>
      <c r="L844" s="172"/>
      <c r="M844" s="172"/>
      <c r="N844" s="172"/>
      <c r="O844" s="172"/>
      <c r="P844" s="172"/>
      <c r="Q844" s="172"/>
      <c r="R844" s="172"/>
      <c r="S844" s="172"/>
    </row>
    <row r="845">
      <c r="A845" s="525"/>
      <c r="B845" s="528"/>
      <c r="C845" s="172"/>
      <c r="D845" s="172"/>
      <c r="F845" s="172"/>
      <c r="G845" s="172"/>
      <c r="H845" s="172"/>
      <c r="I845" s="172"/>
      <c r="J845" s="172"/>
      <c r="K845" s="172"/>
      <c r="L845" s="172"/>
      <c r="M845" s="172"/>
      <c r="N845" s="172"/>
      <c r="O845" s="172"/>
      <c r="P845" s="172"/>
      <c r="Q845" s="172"/>
      <c r="R845" s="172"/>
      <c r="S845" s="172"/>
    </row>
    <row r="846">
      <c r="A846" s="525"/>
      <c r="B846" s="528"/>
      <c r="C846" s="172"/>
      <c r="D846" s="172"/>
      <c r="F846" s="172"/>
      <c r="G846" s="172"/>
      <c r="H846" s="172"/>
      <c r="I846" s="172"/>
      <c r="J846" s="172"/>
      <c r="K846" s="172"/>
      <c r="L846" s="172"/>
      <c r="M846" s="172"/>
      <c r="N846" s="172"/>
      <c r="O846" s="172"/>
      <c r="P846" s="172"/>
      <c r="Q846" s="172"/>
      <c r="R846" s="172"/>
      <c r="S846" s="172"/>
    </row>
    <row r="847">
      <c r="A847" s="525"/>
      <c r="B847" s="528"/>
      <c r="C847" s="172"/>
      <c r="D847" s="172"/>
      <c r="F847" s="172"/>
      <c r="G847" s="172"/>
      <c r="H847" s="172"/>
      <c r="I847" s="172"/>
      <c r="J847" s="172"/>
      <c r="K847" s="172"/>
      <c r="L847" s="172"/>
      <c r="M847" s="172"/>
      <c r="N847" s="172"/>
      <c r="O847" s="172"/>
      <c r="P847" s="172"/>
      <c r="Q847" s="172"/>
      <c r="R847" s="172"/>
      <c r="S847" s="172"/>
    </row>
    <row r="848">
      <c r="A848" s="525"/>
      <c r="B848" s="528"/>
      <c r="C848" s="172"/>
      <c r="D848" s="172"/>
      <c r="F848" s="172"/>
      <c r="G848" s="172"/>
      <c r="H848" s="172"/>
      <c r="I848" s="172"/>
      <c r="J848" s="172"/>
      <c r="K848" s="172"/>
      <c r="L848" s="172"/>
      <c r="M848" s="172"/>
      <c r="N848" s="172"/>
      <c r="O848" s="172"/>
      <c r="P848" s="172"/>
      <c r="Q848" s="172"/>
      <c r="R848" s="172"/>
      <c r="S848" s="172"/>
    </row>
    <row r="849">
      <c r="A849" s="525"/>
      <c r="B849" s="528"/>
      <c r="C849" s="172"/>
      <c r="D849" s="172"/>
      <c r="F849" s="172"/>
      <c r="G849" s="172"/>
      <c r="H849" s="172"/>
      <c r="I849" s="172"/>
      <c r="J849" s="172"/>
      <c r="K849" s="172"/>
      <c r="L849" s="172"/>
      <c r="M849" s="172"/>
      <c r="N849" s="172"/>
      <c r="O849" s="172"/>
      <c r="P849" s="172"/>
      <c r="Q849" s="172"/>
      <c r="R849" s="172"/>
      <c r="S849" s="172"/>
    </row>
    <row r="850">
      <c r="A850" s="525"/>
      <c r="B850" s="528"/>
      <c r="C850" s="172"/>
      <c r="D850" s="172"/>
      <c r="F850" s="172"/>
      <c r="G850" s="172"/>
      <c r="H850" s="172"/>
      <c r="I850" s="172"/>
      <c r="J850" s="172"/>
      <c r="K850" s="172"/>
      <c r="L850" s="172"/>
      <c r="M850" s="172"/>
      <c r="N850" s="172"/>
      <c r="O850" s="172"/>
      <c r="P850" s="172"/>
      <c r="Q850" s="172"/>
      <c r="R850" s="172"/>
      <c r="S850" s="172"/>
    </row>
    <row r="851">
      <c r="A851" s="525"/>
      <c r="B851" s="528"/>
      <c r="C851" s="172"/>
      <c r="D851" s="172"/>
      <c r="F851" s="172"/>
      <c r="G851" s="172"/>
      <c r="H851" s="172"/>
      <c r="I851" s="172"/>
      <c r="J851" s="172"/>
      <c r="K851" s="172"/>
      <c r="L851" s="172"/>
      <c r="M851" s="172"/>
      <c r="N851" s="172"/>
      <c r="O851" s="172"/>
      <c r="P851" s="172"/>
      <c r="Q851" s="172"/>
      <c r="R851" s="172"/>
      <c r="S851" s="172"/>
    </row>
    <row r="852">
      <c r="A852" s="525"/>
      <c r="B852" s="528"/>
      <c r="C852" s="172"/>
      <c r="D852" s="172"/>
      <c r="F852" s="172"/>
      <c r="G852" s="172"/>
      <c r="H852" s="172"/>
      <c r="I852" s="172"/>
      <c r="J852" s="172"/>
      <c r="K852" s="172"/>
      <c r="L852" s="172"/>
      <c r="M852" s="172"/>
      <c r="N852" s="172"/>
      <c r="O852" s="172"/>
      <c r="P852" s="172"/>
      <c r="Q852" s="172"/>
      <c r="R852" s="172"/>
      <c r="S852" s="172"/>
    </row>
    <row r="853">
      <c r="A853" s="525"/>
      <c r="B853" s="528"/>
      <c r="C853" s="172"/>
      <c r="D853" s="172"/>
      <c r="F853" s="172"/>
      <c r="G853" s="172"/>
      <c r="H853" s="172"/>
      <c r="I853" s="172"/>
      <c r="J853" s="172"/>
      <c r="K853" s="172"/>
      <c r="L853" s="172"/>
      <c r="M853" s="172"/>
      <c r="N853" s="172"/>
      <c r="O853" s="172"/>
      <c r="P853" s="172"/>
      <c r="Q853" s="172"/>
      <c r="R853" s="172"/>
      <c r="S853" s="172"/>
    </row>
    <row r="854">
      <c r="A854" s="525"/>
      <c r="B854" s="528"/>
      <c r="C854" s="172"/>
      <c r="D854" s="172"/>
      <c r="F854" s="172"/>
      <c r="G854" s="172"/>
      <c r="H854" s="172"/>
      <c r="I854" s="172"/>
      <c r="J854" s="172"/>
      <c r="K854" s="172"/>
      <c r="L854" s="172"/>
      <c r="M854" s="172"/>
      <c r="N854" s="172"/>
      <c r="O854" s="172"/>
      <c r="P854" s="172"/>
      <c r="Q854" s="172"/>
      <c r="R854" s="172"/>
      <c r="S854" s="172"/>
    </row>
    <row r="855">
      <c r="A855" s="525"/>
      <c r="B855" s="528"/>
      <c r="C855" s="172"/>
      <c r="D855" s="172"/>
      <c r="F855" s="172"/>
      <c r="G855" s="172"/>
      <c r="H855" s="172"/>
      <c r="I855" s="172"/>
      <c r="J855" s="172"/>
      <c r="K855" s="172"/>
      <c r="L855" s="172"/>
      <c r="M855" s="172"/>
      <c r="N855" s="172"/>
      <c r="O855" s="172"/>
      <c r="P855" s="172"/>
      <c r="Q855" s="172"/>
      <c r="R855" s="172"/>
      <c r="S855" s="172"/>
    </row>
    <row r="856">
      <c r="A856" s="525"/>
      <c r="B856" s="528"/>
      <c r="C856" s="172"/>
      <c r="D856" s="172"/>
      <c r="F856" s="172"/>
      <c r="G856" s="172"/>
      <c r="H856" s="172"/>
      <c r="I856" s="172"/>
      <c r="J856" s="172"/>
      <c r="K856" s="172"/>
      <c r="L856" s="172"/>
      <c r="M856" s="172"/>
      <c r="N856" s="172"/>
      <c r="O856" s="172"/>
      <c r="P856" s="172"/>
      <c r="Q856" s="172"/>
      <c r="R856" s="172"/>
      <c r="S856" s="172"/>
    </row>
    <row r="857">
      <c r="A857" s="525"/>
      <c r="B857" s="528"/>
      <c r="C857" s="172"/>
      <c r="D857" s="172"/>
      <c r="F857" s="172"/>
      <c r="G857" s="172"/>
      <c r="H857" s="172"/>
      <c r="I857" s="172"/>
      <c r="J857" s="172"/>
      <c r="K857" s="172"/>
      <c r="L857" s="172"/>
      <c r="M857" s="172"/>
      <c r="N857" s="172"/>
      <c r="O857" s="172"/>
      <c r="P857" s="172"/>
      <c r="Q857" s="172"/>
      <c r="R857" s="172"/>
      <c r="S857" s="172"/>
    </row>
    <row r="858">
      <c r="A858" s="525"/>
      <c r="B858" s="528"/>
      <c r="C858" s="172"/>
      <c r="D858" s="172"/>
      <c r="F858" s="172"/>
      <c r="G858" s="172"/>
      <c r="H858" s="172"/>
      <c r="I858" s="172"/>
      <c r="J858" s="172"/>
      <c r="K858" s="172"/>
      <c r="L858" s="172"/>
      <c r="M858" s="172"/>
      <c r="N858" s="172"/>
      <c r="O858" s="172"/>
      <c r="P858" s="172"/>
      <c r="Q858" s="172"/>
      <c r="R858" s="172"/>
      <c r="S858" s="172"/>
    </row>
    <row r="859">
      <c r="A859" s="525"/>
      <c r="B859" s="528"/>
      <c r="C859" s="172"/>
      <c r="D859" s="172"/>
      <c r="F859" s="172"/>
      <c r="G859" s="172"/>
      <c r="H859" s="172"/>
      <c r="I859" s="172"/>
      <c r="J859" s="172"/>
      <c r="K859" s="172"/>
      <c r="L859" s="172"/>
      <c r="M859" s="172"/>
      <c r="N859" s="172"/>
      <c r="O859" s="172"/>
      <c r="P859" s="172"/>
      <c r="Q859" s="172"/>
      <c r="R859" s="172"/>
      <c r="S859" s="172"/>
    </row>
    <row r="860">
      <c r="A860" s="525"/>
      <c r="B860" s="528"/>
      <c r="C860" s="172"/>
      <c r="D860" s="172"/>
      <c r="F860" s="172"/>
      <c r="G860" s="172"/>
      <c r="H860" s="172"/>
      <c r="I860" s="172"/>
      <c r="J860" s="172"/>
      <c r="K860" s="172"/>
      <c r="L860" s="172"/>
      <c r="M860" s="172"/>
      <c r="N860" s="172"/>
      <c r="O860" s="172"/>
      <c r="P860" s="172"/>
      <c r="Q860" s="172"/>
      <c r="R860" s="172"/>
      <c r="S860" s="172"/>
    </row>
    <row r="861">
      <c r="A861" s="525"/>
      <c r="B861" s="528"/>
      <c r="C861" s="172"/>
      <c r="D861" s="172"/>
      <c r="F861" s="172"/>
      <c r="G861" s="172"/>
      <c r="H861" s="172"/>
      <c r="I861" s="172"/>
      <c r="J861" s="172"/>
      <c r="K861" s="172"/>
      <c r="L861" s="172"/>
      <c r="M861" s="172"/>
      <c r="N861" s="172"/>
      <c r="O861" s="172"/>
      <c r="P861" s="172"/>
      <c r="Q861" s="172"/>
      <c r="R861" s="172"/>
      <c r="S861" s="172"/>
    </row>
    <row r="862">
      <c r="A862" s="525"/>
      <c r="B862" s="528"/>
      <c r="C862" s="172"/>
      <c r="D862" s="172"/>
      <c r="F862" s="172"/>
      <c r="G862" s="172"/>
      <c r="H862" s="172"/>
      <c r="I862" s="172"/>
      <c r="J862" s="172"/>
      <c r="K862" s="172"/>
      <c r="L862" s="172"/>
      <c r="M862" s="172"/>
      <c r="N862" s="172"/>
      <c r="O862" s="172"/>
      <c r="P862" s="172"/>
      <c r="Q862" s="172"/>
      <c r="R862" s="172"/>
      <c r="S862" s="172"/>
    </row>
    <row r="863">
      <c r="A863" s="525"/>
      <c r="B863" s="528"/>
      <c r="C863" s="172"/>
      <c r="D863" s="172"/>
      <c r="F863" s="172"/>
      <c r="G863" s="172"/>
      <c r="H863" s="172"/>
      <c r="I863" s="172"/>
      <c r="J863" s="172"/>
      <c r="K863" s="172"/>
      <c r="L863" s="172"/>
      <c r="M863" s="172"/>
      <c r="N863" s="172"/>
      <c r="O863" s="172"/>
      <c r="P863" s="172"/>
      <c r="Q863" s="172"/>
      <c r="R863" s="172"/>
      <c r="S863" s="172"/>
    </row>
    <row r="864">
      <c r="A864" s="525"/>
      <c r="B864" s="528"/>
      <c r="C864" s="172"/>
      <c r="D864" s="172"/>
      <c r="F864" s="172"/>
      <c r="G864" s="172"/>
      <c r="H864" s="172"/>
      <c r="I864" s="172"/>
      <c r="J864" s="172"/>
      <c r="K864" s="172"/>
      <c r="L864" s="172"/>
      <c r="M864" s="172"/>
      <c r="N864" s="172"/>
      <c r="O864" s="172"/>
      <c r="P864" s="172"/>
      <c r="Q864" s="172"/>
      <c r="R864" s="172"/>
      <c r="S864" s="172"/>
    </row>
    <row r="865">
      <c r="A865" s="525"/>
      <c r="B865" s="528"/>
      <c r="C865" s="172"/>
      <c r="D865" s="172"/>
      <c r="F865" s="172"/>
      <c r="G865" s="172"/>
      <c r="H865" s="172"/>
      <c r="I865" s="172"/>
      <c r="J865" s="172"/>
      <c r="K865" s="172"/>
      <c r="L865" s="172"/>
      <c r="M865" s="172"/>
      <c r="N865" s="172"/>
      <c r="O865" s="172"/>
      <c r="P865" s="172"/>
      <c r="Q865" s="172"/>
      <c r="R865" s="172"/>
      <c r="S865" s="172"/>
    </row>
    <row r="866">
      <c r="A866" s="525"/>
      <c r="B866" s="528"/>
      <c r="C866" s="172"/>
      <c r="D866" s="172"/>
      <c r="F866" s="172"/>
      <c r="G866" s="172"/>
      <c r="H866" s="172"/>
      <c r="I866" s="172"/>
      <c r="J866" s="172"/>
      <c r="K866" s="172"/>
      <c r="L866" s="172"/>
      <c r="M866" s="172"/>
      <c r="N866" s="172"/>
      <c r="O866" s="172"/>
      <c r="P866" s="172"/>
      <c r="Q866" s="172"/>
      <c r="R866" s="172"/>
      <c r="S866" s="172"/>
    </row>
    <row r="867">
      <c r="A867" s="525"/>
      <c r="B867" s="528"/>
      <c r="C867" s="172"/>
      <c r="D867" s="172"/>
      <c r="F867" s="172"/>
      <c r="G867" s="172"/>
      <c r="H867" s="172"/>
      <c r="I867" s="172"/>
      <c r="J867" s="172"/>
      <c r="K867" s="172"/>
      <c r="L867" s="172"/>
      <c r="M867" s="172"/>
      <c r="N867" s="172"/>
      <c r="O867" s="172"/>
      <c r="P867" s="172"/>
      <c r="Q867" s="172"/>
      <c r="R867" s="172"/>
      <c r="S867" s="172"/>
    </row>
    <row r="868">
      <c r="A868" s="525"/>
      <c r="B868" s="528"/>
      <c r="C868" s="172"/>
      <c r="D868" s="172"/>
      <c r="F868" s="172"/>
      <c r="G868" s="172"/>
      <c r="H868" s="172"/>
      <c r="I868" s="172"/>
      <c r="J868" s="172"/>
      <c r="K868" s="172"/>
      <c r="L868" s="172"/>
      <c r="M868" s="172"/>
      <c r="N868" s="172"/>
      <c r="O868" s="172"/>
      <c r="P868" s="172"/>
      <c r="Q868" s="172"/>
      <c r="R868" s="172"/>
      <c r="S868" s="172"/>
    </row>
    <row r="869">
      <c r="A869" s="525"/>
      <c r="B869" s="528"/>
      <c r="C869" s="172"/>
      <c r="D869" s="172"/>
      <c r="F869" s="172"/>
      <c r="G869" s="172"/>
      <c r="H869" s="172"/>
      <c r="I869" s="172"/>
      <c r="J869" s="172"/>
      <c r="K869" s="172"/>
      <c r="L869" s="172"/>
      <c r="M869" s="172"/>
      <c r="N869" s="172"/>
      <c r="O869" s="172"/>
      <c r="P869" s="172"/>
      <c r="Q869" s="172"/>
      <c r="R869" s="172"/>
      <c r="S869" s="172"/>
    </row>
    <row r="870">
      <c r="A870" s="525"/>
      <c r="B870" s="528"/>
      <c r="C870" s="172"/>
      <c r="D870" s="172"/>
      <c r="F870" s="172"/>
      <c r="G870" s="172"/>
      <c r="H870" s="172"/>
      <c r="I870" s="172"/>
      <c r="J870" s="172"/>
      <c r="K870" s="172"/>
      <c r="L870" s="172"/>
      <c r="M870" s="172"/>
      <c r="N870" s="172"/>
      <c r="O870" s="172"/>
      <c r="P870" s="172"/>
      <c r="Q870" s="172"/>
      <c r="R870" s="172"/>
      <c r="S870" s="172"/>
    </row>
    <row r="871">
      <c r="A871" s="525"/>
      <c r="B871" s="528"/>
      <c r="C871" s="172"/>
      <c r="D871" s="172"/>
      <c r="F871" s="172"/>
      <c r="G871" s="172"/>
      <c r="H871" s="172"/>
      <c r="I871" s="172"/>
      <c r="J871" s="172"/>
      <c r="K871" s="172"/>
      <c r="L871" s="172"/>
      <c r="M871" s="172"/>
      <c r="N871" s="172"/>
      <c r="O871" s="172"/>
      <c r="P871" s="172"/>
      <c r="Q871" s="172"/>
      <c r="R871" s="172"/>
      <c r="S871" s="172"/>
    </row>
    <row r="872">
      <c r="A872" s="525"/>
      <c r="B872" s="528"/>
      <c r="C872" s="172"/>
      <c r="D872" s="172"/>
      <c r="F872" s="172"/>
      <c r="G872" s="172"/>
      <c r="H872" s="172"/>
      <c r="I872" s="172"/>
      <c r="J872" s="172"/>
      <c r="K872" s="172"/>
      <c r="L872" s="172"/>
      <c r="M872" s="172"/>
      <c r="N872" s="172"/>
      <c r="O872" s="172"/>
      <c r="P872" s="172"/>
      <c r="Q872" s="172"/>
      <c r="R872" s="172"/>
      <c r="S872" s="172"/>
    </row>
    <row r="873">
      <c r="A873" s="525"/>
      <c r="B873" s="528"/>
      <c r="C873" s="172"/>
      <c r="D873" s="172"/>
      <c r="F873" s="172"/>
      <c r="G873" s="172"/>
      <c r="H873" s="172"/>
      <c r="I873" s="172"/>
      <c r="J873" s="172"/>
      <c r="K873" s="172"/>
      <c r="L873" s="172"/>
      <c r="M873" s="172"/>
      <c r="N873" s="172"/>
      <c r="O873" s="172"/>
      <c r="P873" s="172"/>
      <c r="Q873" s="172"/>
      <c r="R873" s="172"/>
      <c r="S873" s="172"/>
    </row>
    <row r="874">
      <c r="A874" s="525"/>
      <c r="B874" s="528"/>
      <c r="C874" s="172"/>
      <c r="D874" s="172"/>
      <c r="F874" s="172"/>
      <c r="G874" s="172"/>
      <c r="H874" s="172"/>
      <c r="I874" s="172"/>
      <c r="J874" s="172"/>
      <c r="K874" s="172"/>
      <c r="L874" s="172"/>
      <c r="M874" s="172"/>
      <c r="N874" s="172"/>
      <c r="O874" s="172"/>
      <c r="P874" s="172"/>
      <c r="Q874" s="172"/>
      <c r="R874" s="172"/>
      <c r="S874" s="172"/>
    </row>
    <row r="875">
      <c r="A875" s="525"/>
      <c r="B875" s="528"/>
      <c r="C875" s="172"/>
      <c r="D875" s="172"/>
      <c r="F875" s="172"/>
      <c r="G875" s="172"/>
      <c r="H875" s="172"/>
      <c r="I875" s="172"/>
      <c r="J875" s="172"/>
      <c r="K875" s="172"/>
      <c r="L875" s="172"/>
      <c r="M875" s="172"/>
      <c r="N875" s="172"/>
      <c r="O875" s="172"/>
      <c r="P875" s="172"/>
      <c r="Q875" s="172"/>
      <c r="R875" s="172"/>
      <c r="S875" s="172"/>
    </row>
    <row r="876">
      <c r="A876" s="525"/>
      <c r="B876" s="528"/>
      <c r="C876" s="172"/>
      <c r="D876" s="172"/>
      <c r="F876" s="172"/>
      <c r="G876" s="172"/>
      <c r="H876" s="172"/>
      <c r="I876" s="172"/>
      <c r="J876" s="172"/>
      <c r="K876" s="172"/>
      <c r="L876" s="172"/>
      <c r="M876" s="172"/>
      <c r="N876" s="172"/>
      <c r="O876" s="172"/>
      <c r="P876" s="172"/>
      <c r="Q876" s="172"/>
      <c r="R876" s="172"/>
      <c r="S876" s="172"/>
    </row>
    <row r="877">
      <c r="A877" s="525"/>
      <c r="B877" s="528"/>
      <c r="C877" s="172"/>
      <c r="D877" s="172"/>
      <c r="F877" s="172"/>
      <c r="G877" s="172"/>
      <c r="H877" s="172"/>
      <c r="I877" s="172"/>
      <c r="J877" s="172"/>
      <c r="K877" s="172"/>
      <c r="L877" s="172"/>
      <c r="M877" s="172"/>
      <c r="N877" s="172"/>
      <c r="O877" s="172"/>
      <c r="P877" s="172"/>
      <c r="Q877" s="172"/>
      <c r="R877" s="172"/>
      <c r="S877" s="172"/>
    </row>
    <row r="878">
      <c r="A878" s="525"/>
      <c r="B878" s="528"/>
      <c r="C878" s="172"/>
      <c r="D878" s="172"/>
      <c r="F878" s="172"/>
      <c r="G878" s="172"/>
      <c r="H878" s="172"/>
      <c r="I878" s="172"/>
      <c r="J878" s="172"/>
      <c r="K878" s="172"/>
      <c r="L878" s="172"/>
      <c r="M878" s="172"/>
      <c r="N878" s="172"/>
      <c r="O878" s="172"/>
      <c r="P878" s="172"/>
      <c r="Q878" s="172"/>
      <c r="R878" s="172"/>
      <c r="S878" s="172"/>
    </row>
    <row r="879">
      <c r="A879" s="525"/>
      <c r="B879" s="528"/>
      <c r="C879" s="172"/>
      <c r="D879" s="172"/>
      <c r="F879" s="172"/>
      <c r="G879" s="172"/>
      <c r="H879" s="172"/>
      <c r="I879" s="172"/>
      <c r="J879" s="172"/>
      <c r="K879" s="172"/>
      <c r="L879" s="172"/>
      <c r="M879" s="172"/>
      <c r="N879" s="172"/>
      <c r="O879" s="172"/>
      <c r="P879" s="172"/>
      <c r="Q879" s="172"/>
      <c r="R879" s="172"/>
      <c r="S879" s="172"/>
    </row>
    <row r="880">
      <c r="A880" s="525"/>
      <c r="B880" s="528"/>
      <c r="C880" s="172"/>
      <c r="D880" s="172"/>
      <c r="F880" s="172"/>
      <c r="G880" s="172"/>
      <c r="H880" s="172"/>
      <c r="I880" s="172"/>
      <c r="J880" s="172"/>
      <c r="K880" s="172"/>
      <c r="L880" s="172"/>
      <c r="M880" s="172"/>
      <c r="N880" s="172"/>
      <c r="O880" s="172"/>
      <c r="P880" s="172"/>
      <c r="Q880" s="172"/>
      <c r="R880" s="172"/>
      <c r="S880" s="172"/>
    </row>
    <row r="881">
      <c r="A881" s="525"/>
      <c r="B881" s="528"/>
      <c r="C881" s="172"/>
      <c r="D881" s="172"/>
      <c r="F881" s="172"/>
      <c r="G881" s="172"/>
      <c r="H881" s="172"/>
      <c r="I881" s="172"/>
      <c r="J881" s="172"/>
      <c r="K881" s="172"/>
      <c r="L881" s="172"/>
      <c r="M881" s="172"/>
      <c r="N881" s="172"/>
      <c r="O881" s="172"/>
      <c r="P881" s="172"/>
      <c r="Q881" s="172"/>
      <c r="R881" s="172"/>
      <c r="S881" s="172"/>
    </row>
    <row r="882">
      <c r="A882" s="525"/>
      <c r="B882" s="528"/>
      <c r="C882" s="172"/>
      <c r="D882" s="172"/>
      <c r="F882" s="172"/>
      <c r="G882" s="172"/>
      <c r="H882" s="172"/>
      <c r="I882" s="172"/>
      <c r="J882" s="172"/>
      <c r="K882" s="172"/>
      <c r="L882" s="172"/>
      <c r="M882" s="172"/>
      <c r="N882" s="172"/>
      <c r="O882" s="172"/>
      <c r="P882" s="172"/>
      <c r="Q882" s="172"/>
      <c r="R882" s="172"/>
      <c r="S882" s="172"/>
    </row>
    <row r="883">
      <c r="A883" s="525"/>
      <c r="B883" s="528"/>
      <c r="C883" s="172"/>
      <c r="D883" s="172"/>
      <c r="F883" s="172"/>
      <c r="G883" s="172"/>
      <c r="H883" s="172"/>
      <c r="I883" s="172"/>
      <c r="J883" s="172"/>
      <c r="K883" s="172"/>
      <c r="L883" s="172"/>
      <c r="M883" s="172"/>
      <c r="N883" s="172"/>
      <c r="O883" s="172"/>
      <c r="P883" s="172"/>
      <c r="Q883" s="172"/>
      <c r="R883" s="172"/>
      <c r="S883" s="172"/>
    </row>
    <row r="884">
      <c r="A884" s="525"/>
      <c r="B884" s="528"/>
      <c r="C884" s="172"/>
      <c r="D884" s="172"/>
      <c r="F884" s="172"/>
      <c r="G884" s="172"/>
      <c r="H884" s="172"/>
      <c r="I884" s="172"/>
      <c r="J884" s="172"/>
      <c r="K884" s="172"/>
      <c r="L884" s="172"/>
      <c r="M884" s="172"/>
      <c r="N884" s="172"/>
      <c r="O884" s="172"/>
      <c r="P884" s="172"/>
      <c r="Q884" s="172"/>
      <c r="R884" s="172"/>
      <c r="S884" s="172"/>
    </row>
    <row r="885">
      <c r="A885" s="525"/>
      <c r="B885" s="528"/>
      <c r="C885" s="172"/>
      <c r="D885" s="172"/>
      <c r="F885" s="172"/>
      <c r="G885" s="172"/>
      <c r="H885" s="172"/>
      <c r="I885" s="172"/>
      <c r="J885" s="172"/>
      <c r="K885" s="172"/>
      <c r="L885" s="172"/>
      <c r="M885" s="172"/>
      <c r="N885" s="172"/>
      <c r="O885" s="172"/>
      <c r="P885" s="172"/>
      <c r="Q885" s="172"/>
      <c r="R885" s="172"/>
      <c r="S885" s="172"/>
    </row>
    <row r="886">
      <c r="A886" s="525"/>
      <c r="B886" s="528"/>
      <c r="C886" s="172"/>
      <c r="D886" s="172"/>
      <c r="F886" s="172"/>
      <c r="G886" s="172"/>
      <c r="H886" s="172"/>
      <c r="I886" s="172"/>
      <c r="J886" s="172"/>
      <c r="K886" s="172"/>
      <c r="L886" s="172"/>
      <c r="M886" s="172"/>
      <c r="N886" s="172"/>
      <c r="O886" s="172"/>
      <c r="P886" s="172"/>
      <c r="Q886" s="172"/>
      <c r="R886" s="172"/>
      <c r="S886" s="172"/>
    </row>
    <row r="887">
      <c r="A887" s="525"/>
      <c r="B887" s="528"/>
      <c r="C887" s="172"/>
      <c r="D887" s="172"/>
      <c r="F887" s="172"/>
      <c r="G887" s="172"/>
      <c r="H887" s="172"/>
      <c r="I887" s="172"/>
      <c r="J887" s="172"/>
      <c r="K887" s="172"/>
      <c r="L887" s="172"/>
      <c r="M887" s="172"/>
      <c r="N887" s="172"/>
      <c r="O887" s="172"/>
      <c r="P887" s="172"/>
      <c r="Q887" s="172"/>
      <c r="R887" s="172"/>
      <c r="S887" s="172"/>
    </row>
    <row r="888">
      <c r="A888" s="525"/>
      <c r="B888" s="528"/>
      <c r="C888" s="172"/>
      <c r="D888" s="172"/>
      <c r="F888" s="172"/>
      <c r="G888" s="172"/>
      <c r="H888" s="172"/>
      <c r="I888" s="172"/>
      <c r="J888" s="172"/>
      <c r="K888" s="172"/>
      <c r="L888" s="172"/>
      <c r="M888" s="172"/>
      <c r="N888" s="172"/>
      <c r="O888" s="172"/>
      <c r="P888" s="172"/>
      <c r="Q888" s="172"/>
      <c r="R888" s="172"/>
      <c r="S888" s="172"/>
    </row>
    <row r="889">
      <c r="A889" s="525"/>
      <c r="B889" s="528"/>
      <c r="C889" s="172"/>
      <c r="D889" s="172"/>
      <c r="F889" s="172"/>
      <c r="G889" s="172"/>
      <c r="H889" s="172"/>
      <c r="I889" s="172"/>
      <c r="J889" s="172"/>
      <c r="K889" s="172"/>
      <c r="L889" s="172"/>
      <c r="M889" s="172"/>
      <c r="N889" s="172"/>
      <c r="O889" s="172"/>
      <c r="P889" s="172"/>
      <c r="Q889" s="172"/>
      <c r="R889" s="172"/>
      <c r="S889" s="172"/>
    </row>
    <row r="890">
      <c r="A890" s="525"/>
      <c r="B890" s="528"/>
      <c r="C890" s="172"/>
      <c r="D890" s="172"/>
      <c r="F890" s="172"/>
      <c r="G890" s="172"/>
      <c r="H890" s="172"/>
      <c r="I890" s="172"/>
      <c r="J890" s="172"/>
      <c r="K890" s="172"/>
      <c r="L890" s="172"/>
      <c r="M890" s="172"/>
      <c r="N890" s="172"/>
      <c r="O890" s="172"/>
      <c r="P890" s="172"/>
      <c r="Q890" s="172"/>
      <c r="R890" s="172"/>
      <c r="S890" s="172"/>
    </row>
    <row r="891">
      <c r="A891" s="525"/>
      <c r="B891" s="528"/>
      <c r="C891" s="172"/>
      <c r="D891" s="172"/>
      <c r="F891" s="172"/>
      <c r="G891" s="172"/>
      <c r="H891" s="172"/>
      <c r="I891" s="172"/>
      <c r="J891" s="172"/>
      <c r="K891" s="172"/>
      <c r="L891" s="172"/>
      <c r="M891" s="172"/>
      <c r="N891" s="172"/>
      <c r="O891" s="172"/>
      <c r="P891" s="172"/>
      <c r="Q891" s="172"/>
      <c r="R891" s="172"/>
      <c r="S891" s="172"/>
    </row>
    <row r="892">
      <c r="A892" s="525"/>
      <c r="B892" s="528"/>
      <c r="C892" s="172"/>
      <c r="D892" s="172"/>
      <c r="F892" s="172"/>
      <c r="G892" s="172"/>
      <c r="H892" s="172"/>
      <c r="I892" s="172"/>
      <c r="J892" s="172"/>
      <c r="K892" s="172"/>
      <c r="L892" s="172"/>
      <c r="M892" s="172"/>
      <c r="N892" s="172"/>
      <c r="O892" s="172"/>
      <c r="P892" s="172"/>
      <c r="Q892" s="172"/>
      <c r="R892" s="172"/>
      <c r="S892" s="172"/>
    </row>
    <row r="893">
      <c r="A893" s="525"/>
      <c r="B893" s="528"/>
      <c r="C893" s="172"/>
      <c r="D893" s="172"/>
      <c r="F893" s="172"/>
      <c r="G893" s="172"/>
      <c r="H893" s="172"/>
      <c r="I893" s="172"/>
      <c r="J893" s="172"/>
      <c r="K893" s="172"/>
      <c r="L893" s="172"/>
      <c r="M893" s="172"/>
      <c r="N893" s="172"/>
      <c r="O893" s="172"/>
      <c r="P893" s="172"/>
      <c r="Q893" s="172"/>
      <c r="R893" s="172"/>
      <c r="S893" s="172"/>
    </row>
    <row r="894">
      <c r="A894" s="525"/>
      <c r="B894" s="528"/>
      <c r="C894" s="172"/>
      <c r="D894" s="172"/>
      <c r="F894" s="172"/>
      <c r="G894" s="172"/>
      <c r="H894" s="172"/>
      <c r="I894" s="172"/>
      <c r="J894" s="172"/>
      <c r="K894" s="172"/>
      <c r="L894" s="172"/>
      <c r="M894" s="172"/>
      <c r="N894" s="172"/>
      <c r="O894" s="172"/>
      <c r="P894" s="172"/>
      <c r="Q894" s="172"/>
      <c r="R894" s="172"/>
      <c r="S894" s="172"/>
    </row>
    <row r="895">
      <c r="A895" s="525"/>
      <c r="B895" s="528"/>
      <c r="C895" s="172"/>
      <c r="D895" s="172"/>
      <c r="F895" s="172"/>
      <c r="G895" s="172"/>
      <c r="H895" s="172"/>
      <c r="I895" s="172"/>
      <c r="J895" s="172"/>
      <c r="K895" s="172"/>
      <c r="L895" s="172"/>
      <c r="M895" s="172"/>
      <c r="N895" s="172"/>
      <c r="O895" s="172"/>
      <c r="P895" s="172"/>
      <c r="Q895" s="172"/>
      <c r="R895" s="172"/>
      <c r="S895" s="172"/>
    </row>
    <row r="896">
      <c r="A896" s="525"/>
      <c r="B896" s="528"/>
      <c r="C896" s="172"/>
      <c r="D896" s="172"/>
      <c r="F896" s="172"/>
      <c r="G896" s="172"/>
      <c r="H896" s="172"/>
      <c r="I896" s="172"/>
      <c r="J896" s="172"/>
      <c r="K896" s="172"/>
      <c r="L896" s="172"/>
      <c r="M896" s="172"/>
      <c r="N896" s="172"/>
      <c r="O896" s="172"/>
      <c r="P896" s="172"/>
      <c r="Q896" s="172"/>
      <c r="R896" s="172"/>
      <c r="S896" s="172"/>
    </row>
    <row r="897">
      <c r="A897" s="525"/>
      <c r="B897" s="528"/>
      <c r="C897" s="172"/>
      <c r="D897" s="172"/>
      <c r="F897" s="172"/>
      <c r="G897" s="172"/>
      <c r="H897" s="172"/>
      <c r="I897" s="172"/>
      <c r="J897" s="172"/>
      <c r="K897" s="172"/>
      <c r="L897" s="172"/>
      <c r="M897" s="172"/>
      <c r="N897" s="172"/>
      <c r="O897" s="172"/>
      <c r="P897" s="172"/>
      <c r="Q897" s="172"/>
      <c r="R897" s="172"/>
      <c r="S897" s="172"/>
    </row>
    <row r="898">
      <c r="A898" s="525"/>
      <c r="B898" s="528"/>
      <c r="C898" s="172"/>
      <c r="D898" s="172"/>
      <c r="F898" s="172"/>
      <c r="G898" s="172"/>
      <c r="H898" s="172"/>
      <c r="I898" s="172"/>
      <c r="J898" s="172"/>
      <c r="K898" s="172"/>
      <c r="L898" s="172"/>
      <c r="M898" s="172"/>
      <c r="N898" s="172"/>
      <c r="O898" s="172"/>
      <c r="P898" s="172"/>
      <c r="Q898" s="172"/>
      <c r="R898" s="172"/>
      <c r="S898" s="172"/>
    </row>
    <row r="899">
      <c r="A899" s="525"/>
      <c r="B899" s="528"/>
      <c r="C899" s="172"/>
      <c r="D899" s="172"/>
      <c r="F899" s="172"/>
      <c r="G899" s="172"/>
      <c r="H899" s="172"/>
      <c r="I899" s="172"/>
      <c r="J899" s="172"/>
      <c r="K899" s="172"/>
      <c r="L899" s="172"/>
      <c r="M899" s="172"/>
      <c r="N899" s="172"/>
      <c r="O899" s="172"/>
      <c r="P899" s="172"/>
      <c r="Q899" s="172"/>
      <c r="R899" s="172"/>
      <c r="S899" s="172"/>
    </row>
    <row r="900">
      <c r="A900" s="525"/>
      <c r="B900" s="528"/>
      <c r="C900" s="172"/>
      <c r="D900" s="172"/>
      <c r="F900" s="172"/>
      <c r="G900" s="172"/>
      <c r="H900" s="172"/>
      <c r="I900" s="172"/>
      <c r="J900" s="172"/>
      <c r="K900" s="172"/>
      <c r="L900" s="172"/>
      <c r="M900" s="172"/>
      <c r="N900" s="172"/>
      <c r="O900" s="172"/>
      <c r="P900" s="172"/>
      <c r="Q900" s="172"/>
      <c r="R900" s="172"/>
      <c r="S900" s="172"/>
    </row>
    <row r="901">
      <c r="A901" s="525"/>
      <c r="B901" s="528"/>
      <c r="C901" s="172"/>
      <c r="D901" s="172"/>
      <c r="F901" s="172"/>
      <c r="G901" s="172"/>
      <c r="H901" s="172"/>
      <c r="I901" s="172"/>
      <c r="J901" s="172"/>
      <c r="K901" s="172"/>
      <c r="L901" s="172"/>
      <c r="M901" s="172"/>
      <c r="N901" s="172"/>
      <c r="O901" s="172"/>
      <c r="P901" s="172"/>
      <c r="Q901" s="172"/>
      <c r="R901" s="172"/>
      <c r="S901" s="172"/>
    </row>
    <row r="902">
      <c r="A902" s="525"/>
      <c r="B902" s="528"/>
      <c r="C902" s="172"/>
      <c r="D902" s="172"/>
      <c r="F902" s="172"/>
      <c r="G902" s="172"/>
      <c r="H902" s="172"/>
      <c r="I902" s="172"/>
      <c r="J902" s="172"/>
      <c r="K902" s="172"/>
      <c r="L902" s="172"/>
      <c r="M902" s="172"/>
      <c r="N902" s="172"/>
      <c r="O902" s="172"/>
      <c r="P902" s="172"/>
      <c r="Q902" s="172"/>
      <c r="R902" s="172"/>
      <c r="S902" s="172"/>
    </row>
    <row r="903">
      <c r="A903" s="525"/>
      <c r="B903" s="528"/>
      <c r="C903" s="172"/>
      <c r="D903" s="172"/>
      <c r="F903" s="172"/>
      <c r="G903" s="172"/>
      <c r="H903" s="172"/>
      <c r="I903" s="172"/>
      <c r="J903" s="172"/>
      <c r="K903" s="172"/>
      <c r="L903" s="172"/>
      <c r="M903" s="172"/>
      <c r="N903" s="172"/>
      <c r="O903" s="172"/>
      <c r="P903" s="172"/>
      <c r="Q903" s="172"/>
      <c r="R903" s="172"/>
      <c r="S903" s="172"/>
    </row>
    <row r="904">
      <c r="A904" s="525"/>
      <c r="B904" s="528"/>
      <c r="C904" s="172"/>
      <c r="D904" s="172"/>
      <c r="F904" s="172"/>
      <c r="G904" s="172"/>
      <c r="H904" s="172"/>
      <c r="I904" s="172"/>
      <c r="J904" s="172"/>
      <c r="K904" s="172"/>
      <c r="L904" s="172"/>
      <c r="M904" s="172"/>
      <c r="N904" s="172"/>
      <c r="O904" s="172"/>
      <c r="P904" s="172"/>
      <c r="Q904" s="172"/>
      <c r="R904" s="172"/>
      <c r="S904" s="172"/>
    </row>
    <row r="905">
      <c r="A905" s="525"/>
      <c r="B905" s="528"/>
      <c r="C905" s="172"/>
      <c r="D905" s="172"/>
      <c r="F905" s="172"/>
      <c r="G905" s="172"/>
      <c r="H905" s="172"/>
      <c r="I905" s="172"/>
      <c r="J905" s="172"/>
      <c r="K905" s="172"/>
      <c r="L905" s="172"/>
      <c r="M905" s="172"/>
      <c r="N905" s="172"/>
      <c r="O905" s="172"/>
      <c r="P905" s="172"/>
      <c r="Q905" s="172"/>
      <c r="R905" s="172"/>
      <c r="S905" s="172"/>
    </row>
    <row r="906">
      <c r="A906" s="525"/>
      <c r="B906" s="528"/>
      <c r="C906" s="172"/>
      <c r="D906" s="172"/>
      <c r="F906" s="172"/>
      <c r="G906" s="172"/>
      <c r="H906" s="172"/>
      <c r="I906" s="172"/>
      <c r="J906" s="172"/>
      <c r="K906" s="172"/>
      <c r="L906" s="172"/>
      <c r="M906" s="172"/>
      <c r="N906" s="172"/>
      <c r="O906" s="172"/>
      <c r="P906" s="172"/>
      <c r="Q906" s="172"/>
      <c r="R906" s="172"/>
      <c r="S906" s="172"/>
    </row>
    <row r="907">
      <c r="A907" s="525"/>
      <c r="B907" s="528"/>
      <c r="C907" s="172"/>
      <c r="D907" s="172"/>
      <c r="F907" s="172"/>
      <c r="G907" s="172"/>
      <c r="H907" s="172"/>
      <c r="I907" s="172"/>
      <c r="J907" s="172"/>
      <c r="K907" s="172"/>
      <c r="L907" s="172"/>
      <c r="M907" s="172"/>
      <c r="N907" s="172"/>
      <c r="O907" s="172"/>
      <c r="P907" s="172"/>
      <c r="Q907" s="172"/>
      <c r="R907" s="172"/>
      <c r="S907" s="172"/>
    </row>
    <row r="908">
      <c r="A908" s="525"/>
      <c r="B908" s="528"/>
      <c r="C908" s="172"/>
      <c r="D908" s="172"/>
      <c r="F908" s="172"/>
      <c r="G908" s="172"/>
      <c r="H908" s="172"/>
      <c r="I908" s="172"/>
      <c r="J908" s="172"/>
      <c r="K908" s="172"/>
      <c r="L908" s="172"/>
      <c r="M908" s="172"/>
      <c r="N908" s="172"/>
      <c r="O908" s="172"/>
      <c r="P908" s="172"/>
      <c r="Q908" s="172"/>
      <c r="R908" s="172"/>
      <c r="S908" s="172"/>
    </row>
    <row r="909">
      <c r="A909" s="525"/>
      <c r="B909" s="528"/>
      <c r="C909" s="172"/>
      <c r="D909" s="172"/>
      <c r="F909" s="172"/>
      <c r="G909" s="172"/>
      <c r="H909" s="172"/>
      <c r="I909" s="172"/>
      <c r="J909" s="172"/>
      <c r="K909" s="172"/>
      <c r="L909" s="172"/>
      <c r="M909" s="172"/>
      <c r="N909" s="172"/>
      <c r="O909" s="172"/>
      <c r="P909" s="172"/>
      <c r="Q909" s="172"/>
      <c r="R909" s="172"/>
      <c r="S909" s="172"/>
    </row>
    <row r="910">
      <c r="A910" s="525"/>
      <c r="B910" s="528"/>
      <c r="C910" s="172"/>
      <c r="D910" s="172"/>
      <c r="F910" s="172"/>
      <c r="G910" s="172"/>
      <c r="H910" s="172"/>
      <c r="I910" s="172"/>
      <c r="J910" s="172"/>
      <c r="K910" s="172"/>
      <c r="L910" s="172"/>
      <c r="M910" s="172"/>
      <c r="N910" s="172"/>
      <c r="O910" s="172"/>
      <c r="P910" s="172"/>
      <c r="Q910" s="172"/>
      <c r="R910" s="172"/>
      <c r="S910" s="172"/>
    </row>
    <row r="911">
      <c r="A911" s="525"/>
      <c r="B911" s="528"/>
      <c r="C911" s="172"/>
      <c r="D911" s="172"/>
      <c r="F911" s="172"/>
      <c r="G911" s="172"/>
      <c r="H911" s="172"/>
      <c r="I911" s="172"/>
      <c r="J911" s="172"/>
      <c r="K911" s="172"/>
      <c r="L911" s="172"/>
      <c r="M911" s="172"/>
      <c r="N911" s="172"/>
      <c r="O911" s="172"/>
      <c r="P911" s="172"/>
      <c r="Q911" s="172"/>
      <c r="R911" s="172"/>
      <c r="S911" s="172"/>
    </row>
    <row r="912">
      <c r="A912" s="525"/>
      <c r="B912" s="528"/>
      <c r="C912" s="172"/>
      <c r="D912" s="172"/>
      <c r="F912" s="172"/>
      <c r="G912" s="172"/>
      <c r="H912" s="172"/>
      <c r="I912" s="172"/>
      <c r="J912" s="172"/>
      <c r="K912" s="172"/>
      <c r="L912" s="172"/>
      <c r="M912" s="172"/>
      <c r="N912" s="172"/>
      <c r="O912" s="172"/>
      <c r="P912" s="172"/>
      <c r="Q912" s="172"/>
      <c r="R912" s="172"/>
      <c r="S912" s="172"/>
    </row>
    <row r="913">
      <c r="A913" s="525"/>
      <c r="B913" s="528"/>
      <c r="C913" s="172"/>
      <c r="D913" s="172"/>
      <c r="F913" s="172"/>
      <c r="G913" s="172"/>
      <c r="H913" s="172"/>
      <c r="I913" s="172"/>
      <c r="J913" s="172"/>
      <c r="K913" s="172"/>
      <c r="L913" s="172"/>
      <c r="M913" s="172"/>
      <c r="N913" s="172"/>
      <c r="O913" s="172"/>
      <c r="P913" s="172"/>
      <c r="Q913" s="172"/>
      <c r="R913" s="172"/>
      <c r="S913" s="172"/>
    </row>
    <row r="914">
      <c r="A914" s="525"/>
      <c r="B914" s="528"/>
      <c r="C914" s="172"/>
      <c r="D914" s="172"/>
      <c r="F914" s="172"/>
      <c r="G914" s="172"/>
      <c r="H914" s="172"/>
      <c r="I914" s="172"/>
      <c r="J914" s="172"/>
      <c r="K914" s="172"/>
      <c r="L914" s="172"/>
      <c r="M914" s="172"/>
      <c r="N914" s="172"/>
      <c r="O914" s="172"/>
      <c r="P914" s="172"/>
      <c r="Q914" s="172"/>
      <c r="R914" s="172"/>
      <c r="S914" s="172"/>
    </row>
    <row r="915">
      <c r="A915" s="525"/>
      <c r="B915" s="528"/>
      <c r="C915" s="172"/>
      <c r="D915" s="172"/>
      <c r="F915" s="172"/>
      <c r="G915" s="172"/>
      <c r="H915" s="172"/>
      <c r="I915" s="172"/>
      <c r="J915" s="172"/>
      <c r="K915" s="172"/>
      <c r="L915" s="172"/>
      <c r="M915" s="172"/>
      <c r="N915" s="172"/>
      <c r="O915" s="172"/>
      <c r="P915" s="172"/>
      <c r="Q915" s="172"/>
      <c r="R915" s="172"/>
      <c r="S915" s="172"/>
    </row>
    <row r="916">
      <c r="A916" s="525"/>
      <c r="B916" s="528"/>
      <c r="C916" s="172"/>
      <c r="D916" s="172"/>
      <c r="F916" s="172"/>
      <c r="G916" s="172"/>
      <c r="H916" s="172"/>
      <c r="I916" s="172"/>
      <c r="J916" s="172"/>
      <c r="K916" s="172"/>
      <c r="L916" s="172"/>
      <c r="M916" s="172"/>
      <c r="N916" s="172"/>
      <c r="O916" s="172"/>
      <c r="P916" s="172"/>
      <c r="Q916" s="172"/>
      <c r="R916" s="172"/>
      <c r="S916" s="172"/>
    </row>
    <row r="917">
      <c r="A917" s="525"/>
      <c r="B917" s="528"/>
      <c r="C917" s="172"/>
      <c r="D917" s="172"/>
      <c r="F917" s="172"/>
      <c r="G917" s="172"/>
      <c r="H917" s="172"/>
      <c r="I917" s="172"/>
      <c r="J917" s="172"/>
      <c r="K917" s="172"/>
      <c r="L917" s="172"/>
      <c r="M917" s="172"/>
      <c r="N917" s="172"/>
      <c r="O917" s="172"/>
      <c r="P917" s="172"/>
      <c r="Q917" s="172"/>
      <c r="R917" s="172"/>
      <c r="S917" s="172"/>
    </row>
    <row r="918">
      <c r="A918" s="525"/>
      <c r="B918" s="528"/>
      <c r="C918" s="172"/>
      <c r="D918" s="172"/>
      <c r="F918" s="172"/>
      <c r="G918" s="172"/>
      <c r="H918" s="172"/>
      <c r="I918" s="172"/>
      <c r="J918" s="172"/>
      <c r="K918" s="172"/>
      <c r="L918" s="172"/>
      <c r="M918" s="172"/>
      <c r="N918" s="172"/>
      <c r="O918" s="172"/>
      <c r="P918" s="172"/>
      <c r="Q918" s="172"/>
      <c r="R918" s="172"/>
      <c r="S918" s="172"/>
    </row>
    <row r="919">
      <c r="A919" s="525"/>
      <c r="B919" s="528"/>
      <c r="C919" s="172"/>
      <c r="D919" s="172"/>
      <c r="F919" s="172"/>
      <c r="G919" s="172"/>
      <c r="H919" s="172"/>
      <c r="I919" s="172"/>
      <c r="J919" s="172"/>
      <c r="K919" s="172"/>
      <c r="L919" s="172"/>
      <c r="M919" s="172"/>
      <c r="N919" s="172"/>
      <c r="O919" s="172"/>
      <c r="P919" s="172"/>
      <c r="Q919" s="172"/>
      <c r="R919" s="172"/>
      <c r="S919" s="172"/>
    </row>
    <row r="920">
      <c r="A920" s="525"/>
      <c r="B920" s="528"/>
      <c r="C920" s="172"/>
      <c r="D920" s="172"/>
      <c r="F920" s="172"/>
      <c r="G920" s="172"/>
      <c r="H920" s="172"/>
      <c r="I920" s="172"/>
      <c r="J920" s="172"/>
      <c r="K920" s="172"/>
      <c r="L920" s="172"/>
      <c r="M920" s="172"/>
      <c r="N920" s="172"/>
      <c r="O920" s="172"/>
      <c r="P920" s="172"/>
      <c r="Q920" s="172"/>
      <c r="R920" s="172"/>
      <c r="S920" s="172"/>
    </row>
    <row r="921">
      <c r="A921" s="525"/>
      <c r="B921" s="528"/>
      <c r="C921" s="172"/>
      <c r="D921" s="172"/>
      <c r="F921" s="172"/>
      <c r="G921" s="172"/>
      <c r="H921" s="172"/>
      <c r="I921" s="172"/>
      <c r="J921" s="172"/>
      <c r="K921" s="172"/>
      <c r="L921" s="172"/>
      <c r="M921" s="172"/>
      <c r="N921" s="172"/>
      <c r="O921" s="172"/>
      <c r="P921" s="172"/>
      <c r="Q921" s="172"/>
      <c r="R921" s="172"/>
      <c r="S921" s="172"/>
    </row>
    <row r="922">
      <c r="A922" s="525"/>
      <c r="B922" s="528"/>
      <c r="C922" s="172"/>
      <c r="D922" s="172"/>
      <c r="F922" s="172"/>
      <c r="G922" s="172"/>
      <c r="H922" s="172"/>
      <c r="I922" s="172"/>
      <c r="J922" s="172"/>
      <c r="K922" s="172"/>
      <c r="L922" s="172"/>
      <c r="M922" s="172"/>
      <c r="N922" s="172"/>
      <c r="O922" s="172"/>
      <c r="P922" s="172"/>
      <c r="Q922" s="172"/>
      <c r="R922" s="172"/>
      <c r="S922" s="172"/>
    </row>
    <row r="923">
      <c r="A923" s="525"/>
      <c r="B923" s="528"/>
      <c r="C923" s="172"/>
      <c r="D923" s="172"/>
      <c r="F923" s="172"/>
      <c r="G923" s="172"/>
      <c r="H923" s="172"/>
      <c r="I923" s="172"/>
      <c r="J923" s="172"/>
      <c r="K923" s="172"/>
      <c r="L923" s="172"/>
      <c r="M923" s="172"/>
      <c r="N923" s="172"/>
      <c r="O923" s="172"/>
      <c r="P923" s="172"/>
      <c r="Q923" s="172"/>
      <c r="R923" s="172"/>
      <c r="S923" s="172"/>
    </row>
    <row r="924">
      <c r="A924" s="525"/>
      <c r="B924" s="528"/>
      <c r="C924" s="172"/>
      <c r="D924" s="172"/>
      <c r="F924" s="172"/>
      <c r="G924" s="172"/>
      <c r="H924" s="172"/>
      <c r="I924" s="172"/>
      <c r="J924" s="172"/>
      <c r="K924" s="172"/>
      <c r="L924" s="172"/>
      <c r="M924" s="172"/>
      <c r="N924" s="172"/>
      <c r="O924" s="172"/>
      <c r="P924" s="172"/>
      <c r="Q924" s="172"/>
      <c r="R924" s="172"/>
      <c r="S924" s="172"/>
    </row>
    <row r="925">
      <c r="A925" s="525"/>
      <c r="B925" s="528"/>
      <c r="C925" s="172"/>
      <c r="D925" s="172"/>
      <c r="F925" s="172"/>
      <c r="G925" s="172"/>
      <c r="H925" s="172"/>
      <c r="I925" s="172"/>
      <c r="J925" s="172"/>
      <c r="K925" s="172"/>
      <c r="L925" s="172"/>
      <c r="M925" s="172"/>
      <c r="N925" s="172"/>
      <c r="O925" s="172"/>
      <c r="P925" s="172"/>
      <c r="Q925" s="172"/>
      <c r="R925" s="172"/>
      <c r="S925" s="172"/>
    </row>
    <row r="926">
      <c r="A926" s="525"/>
      <c r="B926" s="528"/>
      <c r="C926" s="172"/>
      <c r="D926" s="172"/>
      <c r="F926" s="172"/>
      <c r="G926" s="172"/>
      <c r="H926" s="172"/>
      <c r="I926" s="172"/>
      <c r="J926" s="172"/>
      <c r="K926" s="172"/>
      <c r="L926" s="172"/>
      <c r="M926" s="172"/>
      <c r="N926" s="172"/>
      <c r="O926" s="172"/>
      <c r="P926" s="172"/>
      <c r="Q926" s="172"/>
      <c r="R926" s="172"/>
      <c r="S926" s="172"/>
    </row>
    <row r="927">
      <c r="A927" s="525"/>
      <c r="B927" s="528"/>
      <c r="C927" s="172"/>
      <c r="D927" s="172"/>
      <c r="F927" s="172"/>
      <c r="G927" s="172"/>
      <c r="H927" s="172"/>
      <c r="I927" s="172"/>
      <c r="J927" s="172"/>
      <c r="K927" s="172"/>
      <c r="L927" s="172"/>
      <c r="M927" s="172"/>
      <c r="N927" s="172"/>
      <c r="O927" s="172"/>
      <c r="P927" s="172"/>
      <c r="Q927" s="172"/>
      <c r="R927" s="172"/>
      <c r="S927" s="172"/>
    </row>
    <row r="928">
      <c r="A928" s="525"/>
      <c r="B928" s="528"/>
      <c r="C928" s="172"/>
      <c r="D928" s="172"/>
      <c r="F928" s="172"/>
      <c r="G928" s="172"/>
      <c r="H928" s="172"/>
      <c r="I928" s="172"/>
      <c r="J928" s="172"/>
      <c r="K928" s="172"/>
      <c r="L928" s="172"/>
      <c r="M928" s="172"/>
      <c r="N928" s="172"/>
      <c r="O928" s="172"/>
      <c r="P928" s="172"/>
      <c r="Q928" s="172"/>
      <c r="R928" s="172"/>
      <c r="S928" s="172"/>
    </row>
    <row r="929">
      <c r="A929" s="525"/>
      <c r="B929" s="528"/>
      <c r="C929" s="172"/>
      <c r="D929" s="172"/>
      <c r="F929" s="172"/>
      <c r="G929" s="172"/>
      <c r="H929" s="172"/>
      <c r="I929" s="172"/>
      <c r="J929" s="172"/>
      <c r="K929" s="172"/>
      <c r="L929" s="172"/>
      <c r="M929" s="172"/>
      <c r="N929" s="172"/>
      <c r="O929" s="172"/>
      <c r="P929" s="172"/>
      <c r="Q929" s="172"/>
      <c r="R929" s="172"/>
      <c r="S929" s="172"/>
    </row>
    <row r="930">
      <c r="A930" s="525"/>
      <c r="B930" s="528"/>
      <c r="C930" s="172"/>
      <c r="D930" s="172"/>
      <c r="F930" s="172"/>
      <c r="G930" s="172"/>
      <c r="H930" s="172"/>
      <c r="I930" s="172"/>
      <c r="J930" s="172"/>
      <c r="K930" s="172"/>
      <c r="L930" s="172"/>
      <c r="M930" s="172"/>
      <c r="N930" s="172"/>
      <c r="O930" s="172"/>
      <c r="P930" s="172"/>
      <c r="Q930" s="172"/>
      <c r="R930" s="172"/>
      <c r="S930" s="172"/>
    </row>
    <row r="931">
      <c r="A931" s="525"/>
      <c r="B931" s="528"/>
      <c r="C931" s="172"/>
      <c r="D931" s="172"/>
      <c r="F931" s="172"/>
      <c r="G931" s="172"/>
      <c r="H931" s="172"/>
      <c r="I931" s="172"/>
      <c r="J931" s="172"/>
      <c r="K931" s="172"/>
      <c r="L931" s="172"/>
      <c r="M931" s="172"/>
      <c r="N931" s="172"/>
      <c r="O931" s="172"/>
      <c r="P931" s="172"/>
      <c r="Q931" s="172"/>
      <c r="R931" s="172"/>
      <c r="S931" s="172"/>
    </row>
    <row r="932">
      <c r="A932" s="525"/>
      <c r="B932" s="528"/>
      <c r="C932" s="172"/>
      <c r="D932" s="172"/>
      <c r="F932" s="172"/>
      <c r="G932" s="172"/>
      <c r="H932" s="172"/>
      <c r="I932" s="172"/>
      <c r="J932" s="172"/>
      <c r="K932" s="172"/>
      <c r="L932" s="172"/>
      <c r="M932" s="172"/>
      <c r="N932" s="172"/>
      <c r="O932" s="172"/>
      <c r="P932" s="172"/>
      <c r="Q932" s="172"/>
      <c r="R932" s="172"/>
      <c r="S932" s="172"/>
    </row>
    <row r="933">
      <c r="A933" s="525"/>
      <c r="B933" s="528"/>
      <c r="C933" s="172"/>
      <c r="D933" s="172"/>
      <c r="F933" s="172"/>
      <c r="G933" s="172"/>
      <c r="H933" s="172"/>
      <c r="I933" s="172"/>
      <c r="J933" s="172"/>
      <c r="K933" s="172"/>
      <c r="L933" s="172"/>
      <c r="M933" s="172"/>
      <c r="N933" s="172"/>
      <c r="O933" s="172"/>
      <c r="P933" s="172"/>
      <c r="Q933" s="172"/>
      <c r="R933" s="172"/>
      <c r="S933" s="172"/>
    </row>
    <row r="934">
      <c r="A934" s="525"/>
      <c r="B934" s="528"/>
      <c r="C934" s="172"/>
      <c r="D934" s="172"/>
      <c r="F934" s="172"/>
      <c r="G934" s="172"/>
      <c r="H934" s="172"/>
      <c r="I934" s="172"/>
      <c r="J934" s="172"/>
      <c r="K934" s="172"/>
      <c r="L934" s="172"/>
      <c r="M934" s="172"/>
      <c r="N934" s="172"/>
      <c r="O934" s="172"/>
      <c r="P934" s="172"/>
      <c r="Q934" s="172"/>
      <c r="R934" s="172"/>
      <c r="S934" s="172"/>
    </row>
    <row r="935">
      <c r="A935" s="525"/>
      <c r="B935" s="528"/>
      <c r="C935" s="172"/>
      <c r="D935" s="172"/>
      <c r="F935" s="172"/>
      <c r="G935" s="172"/>
      <c r="H935" s="172"/>
      <c r="I935" s="172"/>
      <c r="J935" s="172"/>
      <c r="K935" s="172"/>
      <c r="L935" s="172"/>
      <c r="M935" s="172"/>
      <c r="N935" s="172"/>
      <c r="O935" s="172"/>
      <c r="P935" s="172"/>
      <c r="Q935" s="172"/>
      <c r="R935" s="172"/>
      <c r="S935" s="172"/>
    </row>
    <row r="936">
      <c r="A936" s="525"/>
      <c r="B936" s="528"/>
      <c r="C936" s="172"/>
      <c r="D936" s="172"/>
      <c r="F936" s="172"/>
      <c r="G936" s="172"/>
      <c r="H936" s="172"/>
      <c r="I936" s="172"/>
      <c r="J936" s="172"/>
      <c r="K936" s="172"/>
      <c r="L936" s="172"/>
      <c r="M936" s="172"/>
      <c r="N936" s="172"/>
      <c r="O936" s="172"/>
      <c r="P936" s="172"/>
      <c r="Q936" s="172"/>
      <c r="R936" s="172"/>
      <c r="S936" s="172"/>
    </row>
    <row r="937">
      <c r="A937" s="525"/>
      <c r="B937" s="528"/>
      <c r="C937" s="172"/>
      <c r="D937" s="172"/>
      <c r="F937" s="172"/>
      <c r="G937" s="172"/>
      <c r="H937" s="172"/>
      <c r="I937" s="172"/>
      <c r="J937" s="172"/>
      <c r="K937" s="172"/>
      <c r="L937" s="172"/>
      <c r="M937" s="172"/>
      <c r="N937" s="172"/>
      <c r="O937" s="172"/>
      <c r="P937" s="172"/>
      <c r="Q937" s="172"/>
      <c r="R937" s="172"/>
      <c r="S937" s="172"/>
    </row>
    <row r="938">
      <c r="A938" s="525"/>
      <c r="B938" s="528"/>
      <c r="C938" s="172"/>
      <c r="D938" s="172"/>
      <c r="F938" s="172"/>
      <c r="G938" s="172"/>
      <c r="H938" s="172"/>
      <c r="I938" s="172"/>
      <c r="J938" s="172"/>
      <c r="K938" s="172"/>
      <c r="L938" s="172"/>
      <c r="M938" s="172"/>
      <c r="N938" s="172"/>
      <c r="O938" s="172"/>
      <c r="P938" s="172"/>
      <c r="Q938" s="172"/>
      <c r="R938" s="172"/>
      <c r="S938" s="172"/>
    </row>
    <row r="939">
      <c r="A939" s="525"/>
      <c r="B939" s="528"/>
      <c r="C939" s="172"/>
      <c r="D939" s="172"/>
      <c r="F939" s="172"/>
      <c r="G939" s="172"/>
      <c r="H939" s="172"/>
      <c r="I939" s="172"/>
      <c r="J939" s="172"/>
      <c r="K939" s="172"/>
      <c r="L939" s="172"/>
      <c r="M939" s="172"/>
      <c r="N939" s="172"/>
      <c r="O939" s="172"/>
      <c r="P939" s="172"/>
      <c r="Q939" s="172"/>
      <c r="R939" s="172"/>
      <c r="S939" s="172"/>
    </row>
    <row r="940">
      <c r="A940" s="525"/>
      <c r="B940" s="528"/>
      <c r="C940" s="172"/>
      <c r="D940" s="172"/>
      <c r="F940" s="172"/>
      <c r="G940" s="172"/>
      <c r="H940" s="172"/>
      <c r="I940" s="172"/>
      <c r="J940" s="172"/>
      <c r="K940" s="172"/>
      <c r="L940" s="172"/>
      <c r="M940" s="172"/>
      <c r="N940" s="172"/>
      <c r="O940" s="172"/>
      <c r="P940" s="172"/>
      <c r="Q940" s="172"/>
      <c r="R940" s="172"/>
      <c r="S940" s="172"/>
    </row>
    <row r="941">
      <c r="A941" s="525"/>
      <c r="B941" s="528"/>
      <c r="C941" s="172"/>
      <c r="D941" s="172"/>
      <c r="F941" s="172"/>
      <c r="G941" s="172"/>
      <c r="H941" s="172"/>
      <c r="I941" s="172"/>
      <c r="J941" s="172"/>
      <c r="K941" s="172"/>
      <c r="L941" s="172"/>
      <c r="M941" s="172"/>
      <c r="N941" s="172"/>
      <c r="O941" s="172"/>
      <c r="P941" s="172"/>
      <c r="Q941" s="172"/>
      <c r="R941" s="172"/>
      <c r="S941" s="172"/>
    </row>
    <row r="942">
      <c r="A942" s="525"/>
      <c r="B942" s="528"/>
      <c r="C942" s="172"/>
      <c r="D942" s="172"/>
      <c r="F942" s="172"/>
      <c r="G942" s="172"/>
      <c r="H942" s="172"/>
      <c r="I942" s="172"/>
      <c r="J942" s="172"/>
      <c r="K942" s="172"/>
      <c r="L942" s="172"/>
      <c r="M942" s="172"/>
      <c r="N942" s="172"/>
      <c r="O942" s="172"/>
      <c r="P942" s="172"/>
      <c r="Q942" s="172"/>
      <c r="R942" s="172"/>
      <c r="S942" s="172"/>
    </row>
    <row r="943">
      <c r="A943" s="525"/>
      <c r="B943" s="528"/>
      <c r="C943" s="172"/>
      <c r="D943" s="172"/>
      <c r="F943" s="172"/>
      <c r="G943" s="172"/>
      <c r="H943" s="172"/>
      <c r="I943" s="172"/>
      <c r="J943" s="172"/>
      <c r="K943" s="172"/>
      <c r="L943" s="172"/>
      <c r="M943" s="172"/>
      <c r="N943" s="172"/>
      <c r="O943" s="172"/>
      <c r="P943" s="172"/>
      <c r="Q943" s="172"/>
      <c r="R943" s="172"/>
      <c r="S943" s="172"/>
    </row>
    <row r="944">
      <c r="A944" s="525"/>
      <c r="B944" s="528"/>
      <c r="C944" s="172"/>
      <c r="D944" s="172"/>
      <c r="F944" s="172"/>
      <c r="G944" s="172"/>
      <c r="H944" s="172"/>
      <c r="I944" s="172"/>
      <c r="J944" s="172"/>
      <c r="K944" s="172"/>
      <c r="L944" s="172"/>
      <c r="M944" s="172"/>
      <c r="N944" s="172"/>
      <c r="O944" s="172"/>
      <c r="P944" s="172"/>
      <c r="Q944" s="172"/>
      <c r="R944" s="172"/>
      <c r="S944" s="172"/>
    </row>
    <row r="945">
      <c r="A945" s="525"/>
      <c r="B945" s="528"/>
      <c r="C945" s="172"/>
      <c r="D945" s="172"/>
      <c r="F945" s="172"/>
      <c r="G945" s="172"/>
      <c r="H945" s="172"/>
      <c r="I945" s="172"/>
      <c r="J945" s="172"/>
      <c r="K945" s="172"/>
      <c r="L945" s="172"/>
      <c r="M945" s="172"/>
      <c r="N945" s="172"/>
      <c r="O945" s="172"/>
      <c r="P945" s="172"/>
      <c r="Q945" s="172"/>
      <c r="R945" s="172"/>
      <c r="S945" s="172"/>
    </row>
    <row r="946">
      <c r="A946" s="525"/>
      <c r="B946" s="528"/>
      <c r="C946" s="172"/>
      <c r="D946" s="172"/>
      <c r="F946" s="172"/>
      <c r="G946" s="172"/>
      <c r="H946" s="172"/>
      <c r="I946" s="172"/>
      <c r="J946" s="172"/>
      <c r="K946" s="172"/>
      <c r="L946" s="172"/>
      <c r="M946" s="172"/>
      <c r="N946" s="172"/>
      <c r="O946" s="172"/>
      <c r="P946" s="172"/>
      <c r="Q946" s="172"/>
      <c r="R946" s="172"/>
      <c r="S946" s="172"/>
    </row>
    <row r="947">
      <c r="A947" s="525"/>
      <c r="B947" s="528"/>
      <c r="C947" s="172"/>
      <c r="D947" s="172"/>
      <c r="F947" s="172"/>
      <c r="G947" s="172"/>
      <c r="H947" s="172"/>
      <c r="I947" s="172"/>
      <c r="J947" s="172"/>
      <c r="K947" s="172"/>
      <c r="L947" s="172"/>
      <c r="M947" s="172"/>
      <c r="N947" s="172"/>
      <c r="O947" s="172"/>
      <c r="P947" s="172"/>
      <c r="Q947" s="172"/>
      <c r="R947" s="172"/>
      <c r="S947" s="172"/>
    </row>
    <row r="948">
      <c r="A948" s="525"/>
      <c r="B948" s="528"/>
      <c r="C948" s="172"/>
      <c r="D948" s="172"/>
      <c r="F948" s="172"/>
      <c r="G948" s="172"/>
      <c r="H948" s="172"/>
      <c r="I948" s="172"/>
      <c r="J948" s="172"/>
      <c r="K948" s="172"/>
      <c r="L948" s="172"/>
      <c r="M948" s="172"/>
      <c r="N948" s="172"/>
      <c r="O948" s="172"/>
      <c r="P948" s="172"/>
      <c r="Q948" s="172"/>
      <c r="R948" s="172"/>
      <c r="S948" s="172"/>
    </row>
    <row r="949">
      <c r="A949" s="525"/>
      <c r="B949" s="528"/>
      <c r="C949" s="172"/>
      <c r="D949" s="172"/>
      <c r="F949" s="172"/>
      <c r="G949" s="172"/>
      <c r="H949" s="172"/>
      <c r="I949" s="172"/>
      <c r="J949" s="172"/>
      <c r="K949" s="172"/>
      <c r="L949" s="172"/>
      <c r="M949" s="172"/>
      <c r="N949" s="172"/>
      <c r="O949" s="172"/>
      <c r="P949" s="172"/>
      <c r="Q949" s="172"/>
      <c r="R949" s="172"/>
      <c r="S949" s="172"/>
    </row>
    <row r="950">
      <c r="A950" s="525"/>
      <c r="B950" s="528"/>
      <c r="C950" s="172"/>
      <c r="D950" s="172"/>
      <c r="F950" s="172"/>
      <c r="G950" s="172"/>
      <c r="H950" s="172"/>
      <c r="I950" s="172"/>
      <c r="J950" s="172"/>
      <c r="K950" s="172"/>
      <c r="L950" s="172"/>
      <c r="M950" s="172"/>
      <c r="N950" s="172"/>
      <c r="O950" s="172"/>
      <c r="P950" s="172"/>
      <c r="Q950" s="172"/>
      <c r="R950" s="172"/>
      <c r="S950" s="172"/>
    </row>
    <row r="951">
      <c r="A951" s="525"/>
      <c r="B951" s="528"/>
      <c r="C951" s="172"/>
      <c r="D951" s="172"/>
      <c r="F951" s="172"/>
      <c r="G951" s="172"/>
      <c r="H951" s="172"/>
      <c r="I951" s="172"/>
      <c r="J951" s="172"/>
      <c r="K951" s="172"/>
      <c r="L951" s="172"/>
      <c r="M951" s="172"/>
      <c r="N951" s="172"/>
      <c r="O951" s="172"/>
      <c r="P951" s="172"/>
      <c r="Q951" s="172"/>
      <c r="R951" s="172"/>
      <c r="S951" s="172"/>
    </row>
    <row r="952">
      <c r="A952" s="525"/>
      <c r="B952" s="528"/>
      <c r="C952" s="172"/>
      <c r="D952" s="172"/>
      <c r="F952" s="172"/>
      <c r="G952" s="172"/>
      <c r="H952" s="172"/>
      <c r="I952" s="172"/>
      <c r="J952" s="172"/>
      <c r="K952" s="172"/>
      <c r="L952" s="172"/>
      <c r="M952" s="172"/>
      <c r="N952" s="172"/>
      <c r="O952" s="172"/>
      <c r="P952" s="172"/>
      <c r="Q952" s="172"/>
      <c r="R952" s="172"/>
      <c r="S952" s="172"/>
    </row>
    <row r="953">
      <c r="A953" s="525"/>
      <c r="B953" s="528"/>
      <c r="C953" s="172"/>
      <c r="D953" s="172"/>
      <c r="F953" s="172"/>
      <c r="G953" s="172"/>
      <c r="H953" s="172"/>
      <c r="I953" s="172"/>
      <c r="J953" s="172"/>
      <c r="K953" s="172"/>
      <c r="L953" s="172"/>
      <c r="M953" s="172"/>
      <c r="N953" s="172"/>
      <c r="O953" s="172"/>
      <c r="P953" s="172"/>
      <c r="Q953" s="172"/>
      <c r="R953" s="172"/>
      <c r="S953" s="172"/>
    </row>
    <row r="954">
      <c r="A954" s="525"/>
      <c r="B954" s="528"/>
      <c r="C954" s="172"/>
      <c r="D954" s="172"/>
      <c r="F954" s="172"/>
      <c r="G954" s="172"/>
      <c r="H954" s="172"/>
      <c r="I954" s="172"/>
      <c r="J954" s="172"/>
      <c r="K954" s="172"/>
      <c r="L954" s="172"/>
      <c r="M954" s="172"/>
      <c r="N954" s="172"/>
      <c r="O954" s="172"/>
      <c r="P954" s="172"/>
      <c r="Q954" s="172"/>
      <c r="R954" s="172"/>
      <c r="S954" s="172"/>
    </row>
    <row r="955">
      <c r="A955" s="525"/>
      <c r="B955" s="528"/>
      <c r="C955" s="172"/>
      <c r="D955" s="172"/>
      <c r="F955" s="172"/>
      <c r="G955" s="172"/>
      <c r="H955" s="172"/>
      <c r="I955" s="172"/>
      <c r="J955" s="172"/>
      <c r="K955" s="172"/>
      <c r="L955" s="172"/>
      <c r="M955" s="172"/>
      <c r="N955" s="172"/>
      <c r="O955" s="172"/>
      <c r="P955" s="172"/>
      <c r="Q955" s="172"/>
      <c r="R955" s="172"/>
      <c r="S955" s="172"/>
    </row>
    <row r="956">
      <c r="A956" s="525"/>
      <c r="B956" s="528"/>
      <c r="C956" s="172"/>
      <c r="D956" s="172"/>
      <c r="F956" s="172"/>
      <c r="G956" s="172"/>
      <c r="H956" s="172"/>
      <c r="I956" s="172"/>
      <c r="J956" s="172"/>
      <c r="K956" s="172"/>
      <c r="L956" s="172"/>
      <c r="M956" s="172"/>
      <c r="N956" s="172"/>
      <c r="O956" s="172"/>
      <c r="P956" s="172"/>
      <c r="Q956" s="172"/>
      <c r="R956" s="172"/>
      <c r="S956" s="172"/>
    </row>
    <row r="957">
      <c r="A957" s="525"/>
      <c r="B957" s="528"/>
      <c r="C957" s="172"/>
      <c r="D957" s="172"/>
      <c r="F957" s="172"/>
      <c r="G957" s="172"/>
      <c r="H957" s="172"/>
      <c r="I957" s="172"/>
      <c r="J957" s="172"/>
      <c r="K957" s="172"/>
      <c r="L957" s="172"/>
      <c r="M957" s="172"/>
      <c r="N957" s="172"/>
      <c r="O957" s="172"/>
      <c r="P957" s="172"/>
      <c r="Q957" s="172"/>
      <c r="R957" s="172"/>
      <c r="S957" s="172"/>
    </row>
    <row r="958">
      <c r="A958" s="525"/>
      <c r="B958" s="528"/>
      <c r="C958" s="172"/>
      <c r="D958" s="172"/>
      <c r="F958" s="172"/>
      <c r="G958" s="172"/>
      <c r="H958" s="172"/>
      <c r="I958" s="172"/>
      <c r="J958" s="172"/>
      <c r="K958" s="172"/>
      <c r="L958" s="172"/>
      <c r="M958" s="172"/>
      <c r="N958" s="172"/>
      <c r="O958" s="172"/>
      <c r="P958" s="172"/>
      <c r="Q958" s="172"/>
      <c r="R958" s="172"/>
      <c r="S958" s="172"/>
    </row>
    <row r="959">
      <c r="A959" s="525"/>
      <c r="B959" s="528"/>
      <c r="C959" s="172"/>
      <c r="D959" s="172"/>
      <c r="F959" s="172"/>
      <c r="G959" s="172"/>
      <c r="H959" s="172"/>
      <c r="I959" s="172"/>
      <c r="J959" s="172"/>
      <c r="K959" s="172"/>
      <c r="L959" s="172"/>
      <c r="M959" s="172"/>
      <c r="N959" s="172"/>
      <c r="O959" s="172"/>
      <c r="P959" s="172"/>
      <c r="Q959" s="172"/>
      <c r="R959" s="172"/>
      <c r="S959" s="172"/>
    </row>
    <row r="960">
      <c r="A960" s="525"/>
      <c r="B960" s="528"/>
      <c r="C960" s="172"/>
      <c r="D960" s="172"/>
      <c r="F960" s="172"/>
      <c r="G960" s="172"/>
      <c r="H960" s="172"/>
      <c r="I960" s="172"/>
      <c r="J960" s="172"/>
      <c r="K960" s="172"/>
      <c r="L960" s="172"/>
      <c r="M960" s="172"/>
      <c r="N960" s="172"/>
      <c r="O960" s="172"/>
      <c r="P960" s="172"/>
      <c r="Q960" s="172"/>
      <c r="R960" s="172"/>
      <c r="S960" s="172"/>
    </row>
    <row r="961">
      <c r="A961" s="525"/>
      <c r="B961" s="528"/>
      <c r="C961" s="172"/>
      <c r="D961" s="172"/>
      <c r="F961" s="172"/>
      <c r="G961" s="172"/>
      <c r="H961" s="172"/>
      <c r="I961" s="172"/>
      <c r="J961" s="172"/>
      <c r="K961" s="172"/>
      <c r="L961" s="172"/>
      <c r="M961" s="172"/>
      <c r="N961" s="172"/>
      <c r="O961" s="172"/>
      <c r="P961" s="172"/>
      <c r="Q961" s="172"/>
      <c r="R961" s="172"/>
      <c r="S961" s="172"/>
    </row>
    <row r="962">
      <c r="A962" s="525"/>
      <c r="B962" s="528"/>
      <c r="C962" s="172"/>
      <c r="D962" s="172"/>
      <c r="F962" s="172"/>
      <c r="G962" s="172"/>
      <c r="H962" s="172"/>
      <c r="I962" s="172"/>
      <c r="J962" s="172"/>
      <c r="K962" s="172"/>
      <c r="L962" s="172"/>
      <c r="M962" s="172"/>
      <c r="N962" s="172"/>
      <c r="O962" s="172"/>
      <c r="P962" s="172"/>
      <c r="Q962" s="172"/>
      <c r="R962" s="172"/>
      <c r="S962" s="172"/>
    </row>
    <row r="963">
      <c r="A963" s="525"/>
      <c r="B963" s="528"/>
      <c r="C963" s="172"/>
      <c r="D963" s="172"/>
      <c r="F963" s="172"/>
      <c r="G963" s="172"/>
      <c r="H963" s="172"/>
      <c r="I963" s="172"/>
      <c r="J963" s="172"/>
      <c r="K963" s="172"/>
      <c r="L963" s="172"/>
      <c r="M963" s="172"/>
      <c r="N963" s="172"/>
      <c r="O963" s="172"/>
      <c r="P963" s="172"/>
      <c r="Q963" s="172"/>
      <c r="R963" s="172"/>
      <c r="S963" s="172"/>
    </row>
    <row r="964">
      <c r="A964" s="525"/>
      <c r="B964" s="528"/>
      <c r="C964" s="172"/>
      <c r="D964" s="172"/>
      <c r="F964" s="172"/>
      <c r="G964" s="172"/>
      <c r="H964" s="172"/>
      <c r="I964" s="172"/>
      <c r="J964" s="172"/>
      <c r="K964" s="172"/>
      <c r="L964" s="172"/>
      <c r="M964" s="172"/>
      <c r="N964" s="172"/>
      <c r="O964" s="172"/>
      <c r="P964" s="172"/>
      <c r="Q964" s="172"/>
      <c r="R964" s="172"/>
      <c r="S964" s="172"/>
    </row>
    <row r="965">
      <c r="A965" s="525"/>
      <c r="B965" s="528"/>
      <c r="C965" s="172"/>
      <c r="D965" s="172"/>
      <c r="F965" s="172"/>
      <c r="G965" s="172"/>
      <c r="H965" s="172"/>
      <c r="I965" s="172"/>
      <c r="J965" s="172"/>
      <c r="K965" s="172"/>
      <c r="L965" s="172"/>
      <c r="M965" s="172"/>
      <c r="N965" s="172"/>
      <c r="O965" s="172"/>
      <c r="P965" s="172"/>
      <c r="Q965" s="172"/>
      <c r="R965" s="172"/>
      <c r="S965" s="172"/>
    </row>
    <row r="966">
      <c r="A966" s="525"/>
      <c r="B966" s="528"/>
      <c r="C966" s="172"/>
      <c r="D966" s="172"/>
      <c r="F966" s="172"/>
      <c r="G966" s="172"/>
      <c r="H966" s="172"/>
      <c r="I966" s="172"/>
      <c r="J966" s="172"/>
      <c r="K966" s="172"/>
      <c r="L966" s="172"/>
      <c r="M966" s="172"/>
      <c r="N966" s="172"/>
      <c r="O966" s="172"/>
      <c r="P966" s="172"/>
      <c r="Q966" s="172"/>
      <c r="R966" s="172"/>
      <c r="S966" s="172"/>
    </row>
    <row r="967">
      <c r="A967" s="525"/>
      <c r="B967" s="528"/>
      <c r="C967" s="172"/>
      <c r="D967" s="172"/>
      <c r="F967" s="172"/>
      <c r="G967" s="172"/>
      <c r="H967" s="172"/>
      <c r="I967" s="172"/>
      <c r="J967" s="172"/>
      <c r="K967" s="172"/>
      <c r="L967" s="172"/>
      <c r="M967" s="172"/>
      <c r="N967" s="172"/>
      <c r="O967" s="172"/>
      <c r="P967" s="172"/>
      <c r="Q967" s="172"/>
      <c r="R967" s="172"/>
      <c r="S967" s="172"/>
    </row>
    <row r="968">
      <c r="A968" s="525"/>
      <c r="B968" s="528"/>
      <c r="C968" s="172"/>
      <c r="D968" s="172"/>
      <c r="F968" s="172"/>
      <c r="G968" s="172"/>
      <c r="H968" s="172"/>
      <c r="I968" s="172"/>
      <c r="J968" s="172"/>
      <c r="K968" s="172"/>
      <c r="L968" s="172"/>
      <c r="M968" s="172"/>
      <c r="N968" s="172"/>
      <c r="O968" s="172"/>
      <c r="P968" s="172"/>
      <c r="Q968" s="172"/>
      <c r="R968" s="172"/>
      <c r="S968" s="172"/>
    </row>
    <row r="969">
      <c r="A969" s="525"/>
      <c r="B969" s="528"/>
      <c r="C969" s="172"/>
      <c r="D969" s="172"/>
      <c r="F969" s="172"/>
      <c r="G969" s="172"/>
      <c r="H969" s="172"/>
      <c r="I969" s="172"/>
      <c r="J969" s="172"/>
      <c r="K969" s="172"/>
      <c r="L969" s="172"/>
      <c r="M969" s="172"/>
      <c r="N969" s="172"/>
      <c r="O969" s="172"/>
      <c r="P969" s="172"/>
      <c r="Q969" s="172"/>
      <c r="R969" s="172"/>
      <c r="S969" s="172"/>
    </row>
    <row r="970">
      <c r="A970" s="525"/>
      <c r="B970" s="528"/>
      <c r="C970" s="172"/>
      <c r="D970" s="172"/>
      <c r="F970" s="172"/>
      <c r="G970" s="172"/>
      <c r="H970" s="172"/>
      <c r="I970" s="172"/>
      <c r="J970" s="172"/>
      <c r="K970" s="172"/>
      <c r="L970" s="172"/>
      <c r="M970" s="172"/>
      <c r="N970" s="172"/>
      <c r="O970" s="172"/>
      <c r="P970" s="172"/>
      <c r="Q970" s="172"/>
      <c r="R970" s="172"/>
      <c r="S970" s="172"/>
    </row>
    <row r="971">
      <c r="A971" s="525"/>
      <c r="B971" s="528"/>
      <c r="C971" s="172"/>
      <c r="D971" s="172"/>
      <c r="F971" s="172"/>
      <c r="G971" s="172"/>
      <c r="H971" s="172"/>
      <c r="I971" s="172"/>
      <c r="J971" s="172"/>
      <c r="K971" s="172"/>
      <c r="L971" s="172"/>
      <c r="M971" s="172"/>
      <c r="N971" s="172"/>
      <c r="O971" s="172"/>
      <c r="P971" s="172"/>
      <c r="Q971" s="172"/>
      <c r="R971" s="172"/>
      <c r="S971" s="172"/>
    </row>
    <row r="972">
      <c r="A972" s="525"/>
      <c r="B972" s="528"/>
      <c r="C972" s="172"/>
      <c r="D972" s="172"/>
      <c r="F972" s="172"/>
      <c r="G972" s="172"/>
      <c r="H972" s="172"/>
      <c r="I972" s="172"/>
      <c r="J972" s="172"/>
      <c r="K972" s="172"/>
      <c r="L972" s="172"/>
      <c r="M972" s="172"/>
      <c r="N972" s="172"/>
      <c r="O972" s="172"/>
      <c r="P972" s="172"/>
      <c r="Q972" s="172"/>
      <c r="R972" s="172"/>
      <c r="S972" s="172"/>
    </row>
    <row r="973">
      <c r="A973" s="525"/>
      <c r="B973" s="528"/>
      <c r="C973" s="172"/>
      <c r="D973" s="172"/>
      <c r="F973" s="172"/>
      <c r="G973" s="172"/>
      <c r="H973" s="172"/>
      <c r="I973" s="172"/>
      <c r="J973" s="172"/>
      <c r="K973" s="172"/>
      <c r="L973" s="172"/>
      <c r="M973" s="172"/>
      <c r="N973" s="172"/>
      <c r="O973" s="172"/>
      <c r="P973" s="172"/>
      <c r="Q973" s="172"/>
      <c r="R973" s="172"/>
      <c r="S973" s="172"/>
    </row>
    <row r="974">
      <c r="A974" s="525"/>
      <c r="B974" s="528"/>
      <c r="C974" s="172"/>
      <c r="D974" s="172"/>
      <c r="F974" s="172"/>
      <c r="G974" s="172"/>
      <c r="H974" s="172"/>
      <c r="I974" s="172"/>
      <c r="J974" s="172"/>
      <c r="K974" s="172"/>
      <c r="L974" s="172"/>
      <c r="M974" s="172"/>
      <c r="N974" s="172"/>
      <c r="O974" s="172"/>
      <c r="P974" s="172"/>
      <c r="Q974" s="172"/>
      <c r="R974" s="172"/>
      <c r="S974" s="172"/>
    </row>
    <row r="975">
      <c r="A975" s="525"/>
      <c r="B975" s="528"/>
      <c r="C975" s="172"/>
      <c r="D975" s="172"/>
      <c r="F975" s="172"/>
      <c r="G975" s="172"/>
      <c r="H975" s="172"/>
      <c r="I975" s="172"/>
      <c r="J975" s="172"/>
      <c r="K975" s="172"/>
      <c r="L975" s="172"/>
      <c r="M975" s="172"/>
      <c r="N975" s="172"/>
      <c r="O975" s="172"/>
      <c r="P975" s="172"/>
      <c r="Q975" s="172"/>
      <c r="R975" s="172"/>
      <c r="S975" s="172"/>
    </row>
    <row r="976">
      <c r="A976" s="525"/>
      <c r="B976" s="528"/>
      <c r="C976" s="172"/>
      <c r="D976" s="172"/>
      <c r="F976" s="172"/>
      <c r="G976" s="172"/>
      <c r="H976" s="172"/>
      <c r="I976" s="172"/>
      <c r="J976" s="172"/>
      <c r="K976" s="172"/>
      <c r="L976" s="172"/>
      <c r="M976" s="172"/>
      <c r="N976" s="172"/>
      <c r="O976" s="172"/>
      <c r="P976" s="172"/>
      <c r="Q976" s="172"/>
      <c r="R976" s="172"/>
      <c r="S976" s="172"/>
    </row>
    <row r="977">
      <c r="A977" s="525"/>
      <c r="B977" s="528"/>
      <c r="C977" s="172"/>
      <c r="D977" s="172"/>
      <c r="F977" s="172"/>
      <c r="G977" s="172"/>
      <c r="H977" s="172"/>
      <c r="I977" s="172"/>
      <c r="J977" s="172"/>
      <c r="K977" s="172"/>
      <c r="L977" s="172"/>
      <c r="M977" s="172"/>
      <c r="N977" s="172"/>
      <c r="O977" s="172"/>
      <c r="P977" s="172"/>
      <c r="Q977" s="172"/>
      <c r="R977" s="172"/>
      <c r="S977" s="172"/>
    </row>
    <row r="978">
      <c r="A978" s="525"/>
      <c r="B978" s="528"/>
      <c r="C978" s="172"/>
      <c r="D978" s="172"/>
      <c r="F978" s="172"/>
      <c r="G978" s="172"/>
      <c r="H978" s="172"/>
      <c r="I978" s="172"/>
      <c r="J978" s="172"/>
      <c r="K978" s="172"/>
      <c r="L978" s="172"/>
      <c r="M978" s="172"/>
      <c r="N978" s="172"/>
      <c r="O978" s="172"/>
      <c r="P978" s="172"/>
      <c r="Q978" s="172"/>
      <c r="R978" s="172"/>
      <c r="S978" s="172"/>
    </row>
    <row r="979">
      <c r="A979" s="525"/>
      <c r="B979" s="528"/>
      <c r="C979" s="172"/>
      <c r="D979" s="172"/>
      <c r="F979" s="172"/>
      <c r="G979" s="172"/>
      <c r="H979" s="172"/>
      <c r="I979" s="172"/>
      <c r="J979" s="172"/>
      <c r="K979" s="172"/>
      <c r="L979" s="172"/>
      <c r="M979" s="172"/>
      <c r="N979" s="172"/>
      <c r="O979" s="172"/>
      <c r="P979" s="172"/>
      <c r="Q979" s="172"/>
      <c r="R979" s="172"/>
      <c r="S979" s="172"/>
    </row>
    <row r="980">
      <c r="A980" s="525"/>
      <c r="B980" s="528"/>
      <c r="C980" s="172"/>
      <c r="D980" s="172"/>
      <c r="F980" s="172"/>
      <c r="G980" s="172"/>
      <c r="H980" s="172"/>
      <c r="I980" s="172"/>
      <c r="J980" s="172"/>
      <c r="K980" s="172"/>
      <c r="L980" s="172"/>
      <c r="M980" s="172"/>
      <c r="N980" s="172"/>
      <c r="O980" s="172"/>
      <c r="P980" s="172"/>
      <c r="Q980" s="172"/>
      <c r="R980" s="172"/>
      <c r="S980" s="172"/>
    </row>
    <row r="981">
      <c r="A981" s="525"/>
      <c r="B981" s="528"/>
      <c r="C981" s="172"/>
      <c r="D981" s="172"/>
      <c r="F981" s="172"/>
      <c r="G981" s="172"/>
      <c r="H981" s="172"/>
      <c r="I981" s="172"/>
      <c r="J981" s="172"/>
      <c r="K981" s="172"/>
      <c r="L981" s="172"/>
      <c r="M981" s="172"/>
      <c r="N981" s="172"/>
      <c r="O981" s="172"/>
      <c r="P981" s="172"/>
      <c r="Q981" s="172"/>
      <c r="R981" s="172"/>
      <c r="S981" s="172"/>
    </row>
    <row r="982">
      <c r="A982" s="525"/>
      <c r="B982" s="528"/>
      <c r="C982" s="172"/>
      <c r="D982" s="172"/>
      <c r="F982" s="172"/>
      <c r="G982" s="172"/>
      <c r="H982" s="172"/>
      <c r="I982" s="172"/>
      <c r="J982" s="172"/>
      <c r="K982" s="172"/>
      <c r="L982" s="172"/>
      <c r="M982" s="172"/>
      <c r="N982" s="172"/>
      <c r="O982" s="172"/>
      <c r="P982" s="172"/>
      <c r="Q982" s="172"/>
      <c r="R982" s="172"/>
      <c r="S982" s="172"/>
    </row>
    <row r="983">
      <c r="A983" s="525"/>
      <c r="B983" s="528"/>
      <c r="C983" s="172"/>
      <c r="D983" s="172"/>
      <c r="F983" s="172"/>
      <c r="G983" s="172"/>
      <c r="H983" s="172"/>
      <c r="I983" s="172"/>
      <c r="J983" s="172"/>
      <c r="K983" s="172"/>
      <c r="L983" s="172"/>
      <c r="M983" s="172"/>
      <c r="N983" s="172"/>
      <c r="O983" s="172"/>
      <c r="P983" s="172"/>
      <c r="Q983" s="172"/>
      <c r="R983" s="172"/>
      <c r="S983" s="172"/>
    </row>
    <row r="984">
      <c r="A984" s="525"/>
      <c r="B984" s="528"/>
      <c r="C984" s="172"/>
      <c r="D984" s="172"/>
      <c r="F984" s="172"/>
      <c r="G984" s="172"/>
      <c r="H984" s="172"/>
      <c r="I984" s="172"/>
      <c r="J984" s="172"/>
      <c r="K984" s="172"/>
      <c r="L984" s="172"/>
      <c r="M984" s="172"/>
      <c r="N984" s="172"/>
      <c r="O984" s="172"/>
      <c r="P984" s="172"/>
      <c r="Q984" s="172"/>
      <c r="R984" s="172"/>
      <c r="S984" s="172"/>
    </row>
    <row r="985">
      <c r="A985" s="525"/>
      <c r="B985" s="528"/>
      <c r="C985" s="172"/>
      <c r="D985" s="172"/>
      <c r="F985" s="172"/>
      <c r="G985" s="172"/>
      <c r="H985" s="172"/>
      <c r="I985" s="172"/>
      <c r="J985" s="172"/>
      <c r="K985" s="172"/>
      <c r="L985" s="172"/>
      <c r="M985" s="172"/>
      <c r="N985" s="172"/>
      <c r="O985" s="172"/>
      <c r="P985" s="172"/>
      <c r="Q985" s="172"/>
      <c r="R985" s="172"/>
      <c r="S985" s="172"/>
    </row>
    <row r="986">
      <c r="A986" s="525"/>
      <c r="B986" s="528"/>
      <c r="C986" s="172"/>
      <c r="D986" s="172"/>
      <c r="F986" s="172"/>
      <c r="G986" s="172"/>
      <c r="H986" s="172"/>
      <c r="I986" s="172"/>
      <c r="J986" s="172"/>
      <c r="K986" s="172"/>
      <c r="L986" s="172"/>
      <c r="M986" s="172"/>
      <c r="N986" s="172"/>
      <c r="O986" s="172"/>
      <c r="P986" s="172"/>
      <c r="Q986" s="172"/>
      <c r="R986" s="172"/>
      <c r="S986" s="172"/>
    </row>
    <row r="987">
      <c r="A987" s="525"/>
      <c r="B987" s="528"/>
      <c r="C987" s="172"/>
      <c r="D987" s="172"/>
      <c r="F987" s="172"/>
      <c r="G987" s="172"/>
      <c r="H987" s="172"/>
      <c r="I987" s="172"/>
      <c r="J987" s="172"/>
      <c r="K987" s="172"/>
      <c r="L987" s="172"/>
      <c r="M987" s="172"/>
      <c r="N987" s="172"/>
      <c r="O987" s="172"/>
      <c r="P987" s="172"/>
      <c r="Q987" s="172"/>
      <c r="R987" s="172"/>
      <c r="S987" s="172"/>
    </row>
    <row r="988">
      <c r="A988" s="525"/>
      <c r="B988" s="528"/>
      <c r="C988" s="172"/>
      <c r="D988" s="172"/>
      <c r="F988" s="172"/>
      <c r="G988" s="172"/>
      <c r="H988" s="172"/>
      <c r="I988" s="172"/>
      <c r="J988" s="172"/>
      <c r="K988" s="172"/>
      <c r="L988" s="172"/>
      <c r="M988" s="172"/>
      <c r="N988" s="172"/>
      <c r="O988" s="172"/>
      <c r="P988" s="172"/>
      <c r="Q988" s="172"/>
      <c r="R988" s="172"/>
      <c r="S988" s="172"/>
    </row>
    <row r="989">
      <c r="A989" s="525"/>
      <c r="B989" s="528"/>
      <c r="C989" s="172"/>
      <c r="D989" s="172"/>
      <c r="F989" s="172"/>
      <c r="G989" s="172"/>
      <c r="H989" s="172"/>
      <c r="I989" s="172"/>
      <c r="J989" s="172"/>
      <c r="K989" s="172"/>
      <c r="L989" s="172"/>
      <c r="M989" s="172"/>
      <c r="N989" s="172"/>
      <c r="O989" s="172"/>
      <c r="P989" s="172"/>
      <c r="Q989" s="172"/>
      <c r="R989" s="172"/>
      <c r="S989" s="172"/>
    </row>
    <row r="990">
      <c r="A990" s="525"/>
      <c r="B990" s="528"/>
      <c r="C990" s="172"/>
      <c r="D990" s="172"/>
      <c r="F990" s="172"/>
      <c r="G990" s="172"/>
      <c r="H990" s="172"/>
      <c r="I990" s="172"/>
      <c r="J990" s="172"/>
      <c r="K990" s="172"/>
      <c r="L990" s="172"/>
      <c r="M990" s="172"/>
      <c r="N990" s="172"/>
      <c r="O990" s="172"/>
      <c r="P990" s="172"/>
      <c r="Q990" s="172"/>
      <c r="R990" s="172"/>
      <c r="S990" s="172"/>
    </row>
    <row r="991">
      <c r="A991" s="525"/>
      <c r="B991" s="528"/>
      <c r="C991" s="172"/>
      <c r="D991" s="172"/>
      <c r="F991" s="172"/>
      <c r="G991" s="172"/>
      <c r="H991" s="172"/>
      <c r="I991" s="172"/>
      <c r="J991" s="172"/>
      <c r="K991" s="172"/>
      <c r="L991" s="172"/>
      <c r="M991" s="172"/>
      <c r="N991" s="172"/>
      <c r="O991" s="172"/>
      <c r="P991" s="172"/>
      <c r="Q991" s="172"/>
      <c r="R991" s="172"/>
      <c r="S991" s="172"/>
    </row>
    <row r="992">
      <c r="A992" s="525"/>
      <c r="B992" s="528"/>
      <c r="C992" s="172"/>
      <c r="D992" s="172"/>
      <c r="F992" s="172"/>
      <c r="G992" s="172"/>
      <c r="H992" s="172"/>
      <c r="I992" s="172"/>
      <c r="J992" s="172"/>
      <c r="K992" s="172"/>
      <c r="L992" s="172"/>
      <c r="M992" s="172"/>
      <c r="N992" s="172"/>
      <c r="O992" s="172"/>
      <c r="P992" s="172"/>
      <c r="Q992" s="172"/>
      <c r="R992" s="172"/>
      <c r="S992" s="172"/>
    </row>
    <row r="993">
      <c r="A993" s="525"/>
      <c r="B993" s="528"/>
      <c r="C993" s="172"/>
      <c r="D993" s="172"/>
      <c r="F993" s="172"/>
      <c r="G993" s="172"/>
      <c r="H993" s="172"/>
      <c r="I993" s="172"/>
      <c r="J993" s="172"/>
      <c r="K993" s="172"/>
      <c r="L993" s="172"/>
      <c r="M993" s="172"/>
      <c r="N993" s="172"/>
      <c r="O993" s="172"/>
      <c r="P993" s="172"/>
      <c r="Q993" s="172"/>
      <c r="R993" s="172"/>
      <c r="S993" s="172"/>
    </row>
    <row r="994">
      <c r="A994" s="525"/>
      <c r="B994" s="528"/>
      <c r="C994" s="172"/>
      <c r="D994" s="172"/>
      <c r="F994" s="172"/>
      <c r="G994" s="172"/>
      <c r="H994" s="172"/>
      <c r="I994" s="172"/>
      <c r="J994" s="172"/>
      <c r="K994" s="172"/>
      <c r="L994" s="172"/>
      <c r="M994" s="172"/>
      <c r="N994" s="172"/>
      <c r="O994" s="172"/>
      <c r="P994" s="172"/>
      <c r="Q994" s="172"/>
      <c r="R994" s="172"/>
      <c r="S994" s="172"/>
    </row>
    <row r="995">
      <c r="A995" s="525"/>
      <c r="B995" s="528"/>
      <c r="C995" s="172"/>
      <c r="D995" s="172"/>
      <c r="F995" s="172"/>
      <c r="G995" s="172"/>
      <c r="H995" s="172"/>
      <c r="I995" s="172"/>
      <c r="J995" s="172"/>
      <c r="K995" s="172"/>
      <c r="L995" s="172"/>
      <c r="M995" s="172"/>
      <c r="N995" s="172"/>
      <c r="O995" s="172"/>
      <c r="P995" s="172"/>
      <c r="Q995" s="172"/>
      <c r="R995" s="172"/>
      <c r="S995" s="172"/>
    </row>
    <row r="996">
      <c r="A996" s="525"/>
      <c r="B996" s="528"/>
      <c r="C996" s="172"/>
      <c r="D996" s="172"/>
      <c r="F996" s="172"/>
      <c r="G996" s="172"/>
      <c r="H996" s="172"/>
      <c r="I996" s="172"/>
      <c r="J996" s="172"/>
      <c r="K996" s="172"/>
      <c r="L996" s="172"/>
      <c r="M996" s="172"/>
      <c r="N996" s="172"/>
      <c r="O996" s="172"/>
      <c r="P996" s="172"/>
      <c r="Q996" s="172"/>
      <c r="R996" s="172"/>
      <c r="S996" s="172"/>
    </row>
    <row r="997">
      <c r="A997" s="525"/>
      <c r="B997" s="528"/>
      <c r="C997" s="172"/>
      <c r="D997" s="172"/>
      <c r="F997" s="172"/>
      <c r="G997" s="172"/>
      <c r="H997" s="172"/>
      <c r="I997" s="172"/>
      <c r="J997" s="172"/>
      <c r="K997" s="172"/>
      <c r="L997" s="172"/>
      <c r="M997" s="172"/>
      <c r="N997" s="172"/>
      <c r="O997" s="172"/>
      <c r="P997" s="172"/>
      <c r="Q997" s="172"/>
      <c r="R997" s="172"/>
      <c r="S997" s="172"/>
    </row>
    <row r="998">
      <c r="A998" s="525"/>
      <c r="B998" s="528"/>
      <c r="C998" s="172"/>
      <c r="D998" s="172"/>
      <c r="F998" s="172"/>
      <c r="G998" s="172"/>
      <c r="H998" s="172"/>
      <c r="I998" s="172"/>
      <c r="J998" s="172"/>
      <c r="K998" s="172"/>
      <c r="L998" s="172"/>
      <c r="M998" s="172"/>
      <c r="N998" s="172"/>
      <c r="O998" s="172"/>
      <c r="P998" s="172"/>
      <c r="Q998" s="172"/>
      <c r="R998" s="172"/>
      <c r="S998" s="172"/>
    </row>
    <row r="999">
      <c r="A999" s="525"/>
      <c r="B999" s="528"/>
      <c r="C999" s="172"/>
      <c r="D999" s="172"/>
      <c r="F999" s="172"/>
      <c r="G999" s="172"/>
      <c r="H999" s="172"/>
      <c r="I999" s="172"/>
      <c r="J999" s="172"/>
      <c r="K999" s="172"/>
      <c r="L999" s="172"/>
      <c r="M999" s="172"/>
      <c r="N999" s="172"/>
      <c r="O999" s="172"/>
      <c r="P999" s="172"/>
      <c r="Q999" s="172"/>
      <c r="R999" s="172"/>
      <c r="S999" s="172"/>
    </row>
    <row r="1000">
      <c r="A1000" s="525"/>
      <c r="B1000" s="528"/>
      <c r="C1000" s="172"/>
      <c r="D1000" s="172"/>
      <c r="F1000" s="172"/>
      <c r="G1000" s="172"/>
      <c r="H1000" s="172"/>
      <c r="I1000" s="172"/>
      <c r="J1000" s="172"/>
      <c r="K1000" s="172"/>
      <c r="L1000" s="172"/>
      <c r="M1000" s="172"/>
      <c r="N1000" s="172"/>
      <c r="O1000" s="172"/>
      <c r="P1000" s="172"/>
      <c r="Q1000" s="172"/>
      <c r="R1000" s="172"/>
      <c r="S1000" s="172"/>
    </row>
    <row r="1001">
      <c r="A1001" s="525"/>
      <c r="B1001" s="528"/>
      <c r="C1001" s="172"/>
      <c r="D1001" s="172"/>
      <c r="F1001" s="172"/>
      <c r="G1001" s="172"/>
      <c r="H1001" s="172"/>
      <c r="I1001" s="172"/>
      <c r="J1001" s="172"/>
      <c r="K1001" s="172"/>
      <c r="L1001" s="172"/>
      <c r="M1001" s="172"/>
      <c r="N1001" s="172"/>
      <c r="O1001" s="172"/>
      <c r="P1001" s="172"/>
      <c r="Q1001" s="172"/>
      <c r="R1001" s="172"/>
      <c r="S1001" s="172"/>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2"/>
      <c r="C1" s="172"/>
    </row>
    <row r="2">
      <c r="B2" s="6" t="s">
        <v>2670</v>
      </c>
      <c r="C2" s="6" t="s">
        <v>2671</v>
      </c>
      <c r="D2" s="82" t="s">
        <v>1431</v>
      </c>
      <c r="E2" s="82" t="s">
        <v>2672</v>
      </c>
    </row>
    <row r="3">
      <c r="B3" s="534">
        <v>44564.0</v>
      </c>
      <c r="C3" s="4">
        <v>0.0</v>
      </c>
    </row>
    <row r="4">
      <c r="B4" s="535">
        <f t="shared" ref="B4:B106" si="1">B3+7</f>
        <v>44571</v>
      </c>
      <c r="C4" s="4">
        <v>0.0</v>
      </c>
    </row>
    <row r="5">
      <c r="B5" s="535">
        <f t="shared" si="1"/>
        <v>44578</v>
      </c>
      <c r="C5" s="4">
        <v>0.0</v>
      </c>
    </row>
    <row r="6">
      <c r="B6" s="534">
        <f t="shared" si="1"/>
        <v>44585</v>
      </c>
      <c r="C6" s="4">
        <v>0.0</v>
      </c>
    </row>
    <row r="7">
      <c r="B7" s="535">
        <f t="shared" si="1"/>
        <v>44592</v>
      </c>
      <c r="C7" s="4">
        <v>0.0</v>
      </c>
    </row>
    <row r="8">
      <c r="B8" s="535">
        <f t="shared" si="1"/>
        <v>44599</v>
      </c>
      <c r="C8" s="4">
        <v>0.0</v>
      </c>
    </row>
    <row r="9">
      <c r="B9" s="535">
        <f t="shared" si="1"/>
        <v>44606</v>
      </c>
      <c r="C9" s="4">
        <v>0.0</v>
      </c>
    </row>
    <row r="10">
      <c r="B10" s="534">
        <f t="shared" si="1"/>
        <v>44613</v>
      </c>
      <c r="C10" s="4">
        <v>0.0</v>
      </c>
    </row>
    <row r="11">
      <c r="B11" s="535">
        <f t="shared" si="1"/>
        <v>44620</v>
      </c>
      <c r="C11" s="4">
        <v>0.0</v>
      </c>
    </row>
    <row r="12">
      <c r="B12" s="535">
        <f t="shared" si="1"/>
        <v>44627</v>
      </c>
      <c r="C12" s="4">
        <v>0.0</v>
      </c>
    </row>
    <row r="13">
      <c r="B13" s="534">
        <f t="shared" si="1"/>
        <v>44634</v>
      </c>
      <c r="C13" s="4">
        <v>0.0</v>
      </c>
    </row>
    <row r="14">
      <c r="B14" s="535">
        <f t="shared" si="1"/>
        <v>44641</v>
      </c>
      <c r="C14" s="4">
        <v>0.0</v>
      </c>
    </row>
    <row r="15">
      <c r="B15" s="535">
        <f t="shared" si="1"/>
        <v>44648</v>
      </c>
      <c r="C15" s="4">
        <v>0.0</v>
      </c>
    </row>
    <row r="16">
      <c r="B16" s="535">
        <f t="shared" si="1"/>
        <v>44655</v>
      </c>
      <c r="C16" s="4">
        <v>0.0</v>
      </c>
    </row>
    <row r="17">
      <c r="B17" s="535">
        <f t="shared" si="1"/>
        <v>44662</v>
      </c>
      <c r="C17" s="4">
        <v>0.0</v>
      </c>
    </row>
    <row r="18">
      <c r="B18" s="534">
        <f t="shared" si="1"/>
        <v>44669</v>
      </c>
      <c r="C18" s="121">
        <v>0.0</v>
      </c>
    </row>
    <row r="19">
      <c r="B19" s="535">
        <f t="shared" si="1"/>
        <v>44676</v>
      </c>
      <c r="C19" s="121">
        <f>9448/1000</f>
        <v>9.448</v>
      </c>
    </row>
    <row r="20">
      <c r="B20" s="535">
        <f t="shared" si="1"/>
        <v>44683</v>
      </c>
      <c r="C20" s="121">
        <v>0.0</v>
      </c>
    </row>
    <row r="21">
      <c r="B21" s="535">
        <f t="shared" si="1"/>
        <v>44690</v>
      </c>
      <c r="C21" s="121">
        <f>9879/1000</f>
        <v>9.879</v>
      </c>
    </row>
    <row r="22">
      <c r="B22" s="534">
        <f t="shared" si="1"/>
        <v>44697</v>
      </c>
      <c r="C22" s="121">
        <f>10019/1000</f>
        <v>10.019</v>
      </c>
    </row>
    <row r="23">
      <c r="B23" s="535">
        <f t="shared" si="1"/>
        <v>44704</v>
      </c>
      <c r="C23" s="428">
        <f>19047/1000</f>
        <v>19.047</v>
      </c>
    </row>
    <row r="24">
      <c r="B24" s="535">
        <f t="shared" si="1"/>
        <v>44711</v>
      </c>
      <c r="C24" s="121">
        <v>0.0</v>
      </c>
    </row>
    <row r="25">
      <c r="B25" s="534">
        <f t="shared" si="1"/>
        <v>44718</v>
      </c>
      <c r="C25" s="121">
        <v>0.0</v>
      </c>
    </row>
    <row r="26">
      <c r="B26" s="535">
        <f t="shared" si="1"/>
        <v>44725</v>
      </c>
      <c r="C26" s="121">
        <v>0.0</v>
      </c>
    </row>
    <row r="27">
      <c r="B27" s="535">
        <f t="shared" si="1"/>
        <v>44732</v>
      </c>
      <c r="C27" s="4">
        <v>0.0</v>
      </c>
    </row>
    <row r="28">
      <c r="B28" s="535">
        <f t="shared" si="1"/>
        <v>44739</v>
      </c>
      <c r="C28" s="4">
        <v>0.0</v>
      </c>
    </row>
    <row r="29">
      <c r="B29" s="535">
        <f t="shared" si="1"/>
        <v>44746</v>
      </c>
      <c r="C29" s="4">
        <v>0.0</v>
      </c>
    </row>
    <row r="30">
      <c r="B30" s="535">
        <f t="shared" si="1"/>
        <v>44753</v>
      </c>
      <c r="C30" s="4">
        <v>0.0</v>
      </c>
    </row>
    <row r="31">
      <c r="B31" s="534">
        <f t="shared" si="1"/>
        <v>44760</v>
      </c>
      <c r="C31" s="4">
        <v>0.0</v>
      </c>
    </row>
    <row r="32">
      <c r="B32" s="535">
        <f t="shared" si="1"/>
        <v>44767</v>
      </c>
      <c r="C32" s="4">
        <v>0.0</v>
      </c>
    </row>
    <row r="33">
      <c r="B33" s="535">
        <f t="shared" si="1"/>
        <v>44774</v>
      </c>
      <c r="C33" s="4">
        <v>0.0</v>
      </c>
    </row>
    <row r="34">
      <c r="B34" s="535">
        <f t="shared" si="1"/>
        <v>44781</v>
      </c>
      <c r="C34" s="4">
        <v>0.0</v>
      </c>
    </row>
    <row r="35">
      <c r="B35" s="535">
        <f t="shared" si="1"/>
        <v>44788</v>
      </c>
      <c r="C35" s="4">
        <v>0.0</v>
      </c>
    </row>
    <row r="36">
      <c r="B36" s="535">
        <f t="shared" si="1"/>
        <v>44795</v>
      </c>
      <c r="C36" s="4">
        <v>0.0</v>
      </c>
    </row>
    <row r="37">
      <c r="B37" s="534">
        <f t="shared" si="1"/>
        <v>44802</v>
      </c>
      <c r="C37" s="121">
        <v>0.0</v>
      </c>
    </row>
    <row r="38">
      <c r="B38" s="535">
        <f t="shared" si="1"/>
        <v>44809</v>
      </c>
      <c r="C38" s="121">
        <v>0.0</v>
      </c>
    </row>
    <row r="39">
      <c r="B39" s="535">
        <f t="shared" si="1"/>
        <v>44816</v>
      </c>
      <c r="C39" s="121">
        <v>0.0</v>
      </c>
    </row>
    <row r="40">
      <c r="B40" s="535">
        <f t="shared" si="1"/>
        <v>44823</v>
      </c>
      <c r="C40" s="121">
        <v>0.0</v>
      </c>
    </row>
    <row r="41">
      <c r="B41" s="534">
        <f t="shared" si="1"/>
        <v>44830</v>
      </c>
      <c r="C41" s="121">
        <v>0.0</v>
      </c>
    </row>
    <row r="42">
      <c r="B42" s="535">
        <f t="shared" si="1"/>
        <v>44837</v>
      </c>
      <c r="C42" s="121">
        <f>7423/1000</f>
        <v>7.423</v>
      </c>
      <c r="I42" s="536"/>
    </row>
    <row r="43">
      <c r="B43" s="535">
        <f t="shared" si="1"/>
        <v>44844</v>
      </c>
      <c r="C43" s="121">
        <v>0.0</v>
      </c>
    </row>
    <row r="44">
      <c r="B44" s="535">
        <f t="shared" si="1"/>
        <v>44851</v>
      </c>
      <c r="C44" s="428">
        <f>10687/1000</f>
        <v>10.687</v>
      </c>
      <c r="G44" s="537"/>
      <c r="H44" s="537"/>
    </row>
    <row r="45">
      <c r="B45" s="535">
        <f t="shared" si="1"/>
        <v>44858</v>
      </c>
      <c r="C45" s="121">
        <v>0.0</v>
      </c>
      <c r="G45" s="537"/>
      <c r="I45" s="536"/>
    </row>
    <row r="46">
      <c r="B46" s="534">
        <f t="shared" si="1"/>
        <v>44865</v>
      </c>
      <c r="C46" s="4">
        <v>0.0</v>
      </c>
      <c r="G46" s="537"/>
    </row>
    <row r="47">
      <c r="B47" s="535">
        <f t="shared" si="1"/>
        <v>44872</v>
      </c>
      <c r="C47" s="4">
        <v>0.0</v>
      </c>
    </row>
    <row r="48">
      <c r="B48" s="535">
        <f t="shared" si="1"/>
        <v>44879</v>
      </c>
      <c r="C48" s="121">
        <v>0.0</v>
      </c>
    </row>
    <row r="49">
      <c r="B49" s="535">
        <f t="shared" si="1"/>
        <v>44886</v>
      </c>
      <c r="C49" s="121">
        <f>2025/1000</f>
        <v>2.025</v>
      </c>
    </row>
    <row r="50">
      <c r="B50" s="534">
        <f t="shared" si="1"/>
        <v>44893</v>
      </c>
      <c r="C50" s="121">
        <f>1581/1000</f>
        <v>1.581</v>
      </c>
    </row>
    <row r="51">
      <c r="B51" s="535">
        <f t="shared" si="1"/>
        <v>44900</v>
      </c>
      <c r="C51" s="121">
        <f>906/1000</f>
        <v>0.906</v>
      </c>
    </row>
    <row r="52">
      <c r="B52" s="535">
        <f t="shared" si="1"/>
        <v>44907</v>
      </c>
      <c r="C52" s="428">
        <f>19470/1000</f>
        <v>19.47</v>
      </c>
    </row>
    <row r="53">
      <c r="B53" s="534">
        <f t="shared" si="1"/>
        <v>44914</v>
      </c>
      <c r="C53" s="121">
        <v>0.0</v>
      </c>
      <c r="G53" s="196"/>
      <c r="H53" s="196"/>
    </row>
    <row r="54">
      <c r="B54" s="535">
        <f t="shared" si="1"/>
        <v>44921</v>
      </c>
      <c r="C54" s="121">
        <v>0.0</v>
      </c>
    </row>
    <row r="55">
      <c r="B55" s="535">
        <f t="shared" si="1"/>
        <v>44928</v>
      </c>
      <c r="C55" s="121">
        <v>0.0</v>
      </c>
    </row>
    <row r="56">
      <c r="B56" s="535">
        <f t="shared" si="1"/>
        <v>44935</v>
      </c>
      <c r="C56" s="121">
        <f>1619/1000</f>
        <v>1.619</v>
      </c>
    </row>
    <row r="57">
      <c r="B57" s="534">
        <f t="shared" si="1"/>
        <v>44942</v>
      </c>
      <c r="C57" s="428">
        <f>13774/1000</f>
        <v>13.774</v>
      </c>
    </row>
    <row r="58">
      <c r="B58" s="535">
        <f t="shared" si="1"/>
        <v>44949</v>
      </c>
      <c r="C58" s="428">
        <f>25350/1000</f>
        <v>25.35</v>
      </c>
      <c r="G58" s="537"/>
    </row>
    <row r="59">
      <c r="B59" s="535">
        <f t="shared" si="1"/>
        <v>44956</v>
      </c>
      <c r="C59" s="121">
        <v>0.0</v>
      </c>
    </row>
    <row r="60">
      <c r="B60" s="535">
        <f t="shared" si="1"/>
        <v>44963</v>
      </c>
      <c r="C60" s="121">
        <v>0.0</v>
      </c>
    </row>
    <row r="61">
      <c r="B61" s="534">
        <f t="shared" si="1"/>
        <v>44970</v>
      </c>
      <c r="C61" s="121">
        <f>25997/1000</f>
        <v>25.997</v>
      </c>
    </row>
    <row r="62">
      <c r="B62" s="535">
        <f t="shared" si="1"/>
        <v>44977</v>
      </c>
      <c r="C62" s="121">
        <v>0.0</v>
      </c>
    </row>
    <row r="63">
      <c r="B63" s="535">
        <f t="shared" si="1"/>
        <v>44984</v>
      </c>
      <c r="C63" s="121">
        <v>0.0</v>
      </c>
    </row>
    <row r="64">
      <c r="B64" s="534">
        <f t="shared" si="1"/>
        <v>44991</v>
      </c>
      <c r="C64" s="121">
        <v>0.0</v>
      </c>
    </row>
    <row r="65">
      <c r="B65" s="535">
        <f t="shared" si="1"/>
        <v>44998</v>
      </c>
      <c r="C65" s="121">
        <v>0.0</v>
      </c>
    </row>
    <row r="66">
      <c r="B66" s="535">
        <f t="shared" si="1"/>
        <v>45005</v>
      </c>
      <c r="C66" s="428">
        <f>51814/1000</f>
        <v>51.814</v>
      </c>
    </row>
    <row r="67">
      <c r="B67" s="534">
        <f t="shared" si="1"/>
        <v>45012</v>
      </c>
      <c r="C67" s="121">
        <v>0.0</v>
      </c>
    </row>
    <row r="68">
      <c r="B68" s="535">
        <f t="shared" si="1"/>
        <v>45019</v>
      </c>
      <c r="C68" s="4"/>
      <c r="D68" s="428">
        <v>25.148718430233036</v>
      </c>
    </row>
    <row r="69">
      <c r="B69" s="535">
        <f t="shared" si="1"/>
        <v>45026</v>
      </c>
      <c r="C69" s="4"/>
      <c r="D69" s="428">
        <v>24.687038744619375</v>
      </c>
    </row>
    <row r="70">
      <c r="B70" s="535">
        <f t="shared" si="1"/>
        <v>45033</v>
      </c>
      <c r="C70" s="4"/>
      <c r="D70" s="428">
        <v>47.681251975322</v>
      </c>
    </row>
    <row r="71">
      <c r="B71" s="535">
        <f t="shared" si="1"/>
        <v>45040</v>
      </c>
      <c r="C71" s="4"/>
      <c r="D71" s="428">
        <v>24.36642785183211</v>
      </c>
      <c r="E71" s="428"/>
    </row>
    <row r="72">
      <c r="B72" s="534">
        <f t="shared" si="1"/>
        <v>45047</v>
      </c>
      <c r="C72" s="4"/>
      <c r="E72" s="428">
        <v>24.36642785183211</v>
      </c>
    </row>
    <row r="73">
      <c r="B73" s="535">
        <f t="shared" si="1"/>
        <v>45054</v>
      </c>
      <c r="C73" s="4"/>
      <c r="E73" s="428">
        <v>48.73285570366422</v>
      </c>
    </row>
    <row r="74">
      <c r="B74" s="535">
        <f t="shared" si="1"/>
        <v>45061</v>
      </c>
      <c r="C74" s="4"/>
      <c r="E74" s="428">
        <v>24.36642785183211</v>
      </c>
    </row>
    <row r="75">
      <c r="B75" s="535">
        <f t="shared" si="1"/>
        <v>45068</v>
      </c>
      <c r="C75" s="4"/>
      <c r="E75" s="428">
        <v>24.36642785183211</v>
      </c>
    </row>
    <row r="76">
      <c r="B76" s="535">
        <f t="shared" si="1"/>
        <v>45075</v>
      </c>
      <c r="C76" s="4"/>
      <c r="E76" s="428">
        <v>48.73285570366422</v>
      </c>
    </row>
    <row r="77">
      <c r="B77" s="534">
        <f t="shared" si="1"/>
        <v>45082</v>
      </c>
      <c r="C77" s="4"/>
      <c r="E77" s="428">
        <v>24.36642785183211</v>
      </c>
    </row>
    <row r="78">
      <c r="B78" s="535">
        <f t="shared" si="1"/>
        <v>45089</v>
      </c>
      <c r="C78" s="4"/>
      <c r="E78" s="428">
        <v>24.36642785183211</v>
      </c>
    </row>
    <row r="79">
      <c r="B79" s="535">
        <f t="shared" si="1"/>
        <v>45096</v>
      </c>
      <c r="C79" s="4"/>
      <c r="E79" s="428">
        <v>48.73285570366422</v>
      </c>
    </row>
    <row r="80">
      <c r="B80" s="535">
        <f t="shared" si="1"/>
        <v>45103</v>
      </c>
      <c r="C80" s="4"/>
      <c r="E80" s="428">
        <v>24.36642785183211</v>
      </c>
    </row>
    <row r="81">
      <c r="B81" s="535">
        <f t="shared" si="1"/>
        <v>45110</v>
      </c>
      <c r="C81" s="4"/>
      <c r="E81" s="428">
        <v>48.73285570366422</v>
      </c>
    </row>
    <row r="82">
      <c r="B82" s="534">
        <f t="shared" si="1"/>
        <v>45117</v>
      </c>
      <c r="C82" s="4"/>
      <c r="E82" s="428">
        <v>48.73285570366422</v>
      </c>
    </row>
    <row r="83">
      <c r="B83" s="535">
        <f t="shared" si="1"/>
        <v>45124</v>
      </c>
      <c r="C83" s="4"/>
      <c r="E83" s="428">
        <v>24.36642785183211</v>
      </c>
    </row>
    <row r="84">
      <c r="B84" s="535">
        <f t="shared" si="1"/>
        <v>45131</v>
      </c>
      <c r="C84" s="4"/>
      <c r="E84" s="428">
        <v>24.36642785183211</v>
      </c>
    </row>
    <row r="85">
      <c r="B85" s="535">
        <f t="shared" si="1"/>
        <v>45138</v>
      </c>
      <c r="C85" s="4"/>
      <c r="E85" s="428">
        <v>48.73285570366422</v>
      </c>
    </row>
    <row r="86">
      <c r="B86" s="535">
        <f t="shared" si="1"/>
        <v>45145</v>
      </c>
      <c r="C86" s="4"/>
      <c r="E86" s="428">
        <v>24.36642785183211</v>
      </c>
    </row>
    <row r="87">
      <c r="B87" s="534">
        <f t="shared" si="1"/>
        <v>45152</v>
      </c>
      <c r="C87" s="4"/>
      <c r="E87" s="428">
        <v>24.36642785183211</v>
      </c>
    </row>
    <row r="88">
      <c r="B88" s="535">
        <f t="shared" si="1"/>
        <v>45159</v>
      </c>
      <c r="C88" s="4"/>
      <c r="E88" s="428">
        <v>48.73285570366422</v>
      </c>
    </row>
    <row r="89">
      <c r="B89" s="535">
        <f t="shared" si="1"/>
        <v>45166</v>
      </c>
      <c r="C89" s="4"/>
      <c r="E89" s="428">
        <v>24.36642785183211</v>
      </c>
    </row>
    <row r="90">
      <c r="B90" s="535">
        <f t="shared" si="1"/>
        <v>45173</v>
      </c>
      <c r="C90" s="4"/>
      <c r="E90" s="428">
        <v>24.36642785183211</v>
      </c>
    </row>
    <row r="91">
      <c r="B91" s="535">
        <f t="shared" si="1"/>
        <v>45180</v>
      </c>
      <c r="C91" s="4"/>
      <c r="E91" s="428">
        <v>0.0</v>
      </c>
    </row>
    <row r="92">
      <c r="B92" s="534">
        <f t="shared" si="1"/>
        <v>45187</v>
      </c>
      <c r="C92" s="4"/>
      <c r="E92" s="428">
        <v>126.9619135437568</v>
      </c>
    </row>
    <row r="93">
      <c r="B93" s="535">
        <f t="shared" si="1"/>
        <v>45194</v>
      </c>
      <c r="C93" s="4"/>
      <c r="E93" s="428">
        <v>126.9619135437568</v>
      </c>
    </row>
    <row r="94">
      <c r="B94" s="535">
        <f t="shared" si="1"/>
        <v>45201</v>
      </c>
      <c r="C94" s="4"/>
      <c r="E94" s="428">
        <v>24.36642785183211</v>
      </c>
    </row>
    <row r="95">
      <c r="B95" s="535">
        <f t="shared" si="1"/>
        <v>45208</v>
      </c>
      <c r="C95" s="4"/>
      <c r="E95" s="428">
        <v>24.36642785183211</v>
      </c>
    </row>
    <row r="96">
      <c r="B96" s="534">
        <f t="shared" si="1"/>
        <v>45215</v>
      </c>
      <c r="C96" s="4"/>
      <c r="E96" s="428">
        <v>24.36642785183211</v>
      </c>
    </row>
    <row r="97">
      <c r="B97" s="535">
        <f t="shared" si="1"/>
        <v>45222</v>
      </c>
      <c r="C97" s="4"/>
      <c r="E97" s="428">
        <v>205.19097138384936</v>
      </c>
    </row>
    <row r="98">
      <c r="B98" s="535">
        <f t="shared" si="1"/>
        <v>45229</v>
      </c>
      <c r="C98" s="4"/>
      <c r="E98" s="428">
        <v>126.9619135437568</v>
      </c>
    </row>
    <row r="99">
      <c r="B99" s="535">
        <f t="shared" si="1"/>
        <v>45236</v>
      </c>
      <c r="C99" s="4"/>
      <c r="E99" s="428">
        <v>126.9619135437568</v>
      </c>
    </row>
    <row r="100">
      <c r="B100" s="534">
        <f t="shared" si="1"/>
        <v>45243</v>
      </c>
      <c r="C100" s="4"/>
      <c r="E100" s="428">
        <v>0.0</v>
      </c>
    </row>
    <row r="101">
      <c r="B101" s="535">
        <f t="shared" si="1"/>
        <v>45250</v>
      </c>
      <c r="C101" s="4"/>
      <c r="E101" s="428">
        <v>24.36642785183211</v>
      </c>
    </row>
    <row r="102">
      <c r="B102" s="535">
        <f t="shared" si="1"/>
        <v>45257</v>
      </c>
      <c r="C102" s="4"/>
      <c r="E102" s="428">
        <v>229.55739923568146</v>
      </c>
    </row>
    <row r="103">
      <c r="B103" s="535">
        <f t="shared" si="1"/>
        <v>45264</v>
      </c>
      <c r="C103" s="4"/>
      <c r="E103" s="428">
        <v>102.59548569192468</v>
      </c>
    </row>
    <row r="104">
      <c r="B104" s="535">
        <f t="shared" si="1"/>
        <v>45271</v>
      </c>
      <c r="C104" s="4"/>
      <c r="E104" s="428">
        <v>126.9619135437568</v>
      </c>
    </row>
    <row r="105">
      <c r="B105" s="534">
        <f t="shared" si="1"/>
        <v>45278</v>
      </c>
      <c r="C105" s="4"/>
      <c r="E105" s="428">
        <v>24.36642785183211</v>
      </c>
    </row>
    <row r="106">
      <c r="B106" s="535">
        <f t="shared" si="1"/>
        <v>45285</v>
      </c>
      <c r="C106" s="4"/>
      <c r="E106" s="428">
        <v>102.59548569192468</v>
      </c>
    </row>
    <row r="107">
      <c r="B107" s="172"/>
      <c r="C107" s="172"/>
    </row>
    <row r="108">
      <c r="B108" s="172"/>
      <c r="C108" s="172"/>
    </row>
    <row r="109">
      <c r="B109" s="172"/>
      <c r="C109" s="172"/>
    </row>
    <row r="110">
      <c r="B110" s="172"/>
      <c r="C110" s="172"/>
    </row>
    <row r="111">
      <c r="B111" s="172"/>
      <c r="C111" s="172"/>
    </row>
    <row r="112">
      <c r="B112" s="172"/>
      <c r="C112" s="172"/>
    </row>
    <row r="113">
      <c r="B113" s="172"/>
      <c r="C113" s="172"/>
    </row>
    <row r="114">
      <c r="B114" s="172"/>
      <c r="C114" s="172"/>
    </row>
    <row r="115">
      <c r="B115" s="172"/>
      <c r="C115" s="172"/>
    </row>
    <row r="116">
      <c r="B116" s="172"/>
      <c r="C116" s="172"/>
    </row>
    <row r="117">
      <c r="B117" s="172"/>
      <c r="C117" s="172"/>
    </row>
    <row r="118">
      <c r="B118" s="172"/>
      <c r="C118" s="172"/>
    </row>
    <row r="119">
      <c r="B119" s="172"/>
      <c r="C119" s="172"/>
    </row>
    <row r="120">
      <c r="B120" s="172"/>
      <c r="C120" s="172"/>
    </row>
    <row r="121">
      <c r="B121" s="172"/>
      <c r="C121" s="172"/>
    </row>
    <row r="122">
      <c r="B122" s="172"/>
      <c r="C122" s="172"/>
    </row>
    <row r="123">
      <c r="B123" s="172"/>
      <c r="C123" s="172"/>
    </row>
    <row r="124">
      <c r="B124" s="172"/>
      <c r="C124" s="172"/>
    </row>
    <row r="125">
      <c r="B125" s="172"/>
      <c r="C125" s="172"/>
    </row>
    <row r="126">
      <c r="B126" s="172"/>
      <c r="C126" s="172"/>
    </row>
    <row r="127">
      <c r="B127" s="172"/>
      <c r="C127" s="172"/>
    </row>
    <row r="128">
      <c r="B128" s="172"/>
      <c r="C128" s="172"/>
    </row>
    <row r="129">
      <c r="B129" s="172"/>
      <c r="C129" s="172"/>
    </row>
    <row r="130">
      <c r="B130" s="172"/>
      <c r="C130" s="172"/>
    </row>
    <row r="131">
      <c r="B131" s="172"/>
      <c r="C131" s="172"/>
    </row>
    <row r="132">
      <c r="B132" s="172"/>
      <c r="C132" s="172"/>
    </row>
    <row r="133">
      <c r="B133" s="172"/>
      <c r="C133" s="172"/>
    </row>
    <row r="134">
      <c r="B134" s="172"/>
      <c r="C134" s="172"/>
    </row>
    <row r="135">
      <c r="B135" s="172"/>
      <c r="C135" s="172"/>
    </row>
    <row r="136">
      <c r="B136" s="172"/>
      <c r="C136" s="172"/>
    </row>
    <row r="137">
      <c r="B137" s="172"/>
      <c r="C137" s="172"/>
    </row>
    <row r="138">
      <c r="B138" s="172"/>
      <c r="C138" s="172"/>
    </row>
    <row r="139">
      <c r="B139" s="172"/>
      <c r="C139" s="172"/>
    </row>
    <row r="140">
      <c r="B140" s="172"/>
      <c r="C140" s="172"/>
    </row>
    <row r="141">
      <c r="B141" s="172"/>
      <c r="C141" s="172"/>
    </row>
    <row r="142">
      <c r="B142" s="172"/>
      <c r="C142" s="172"/>
    </row>
    <row r="143">
      <c r="B143" s="172"/>
      <c r="C143" s="172"/>
    </row>
    <row r="144">
      <c r="B144" s="172"/>
      <c r="C144" s="172"/>
    </row>
    <row r="145">
      <c r="B145" s="172"/>
      <c r="C145" s="172"/>
    </row>
    <row r="146">
      <c r="B146" s="172"/>
      <c r="C146" s="172"/>
    </row>
    <row r="147">
      <c r="B147" s="172"/>
      <c r="C147" s="172"/>
    </row>
    <row r="148">
      <c r="B148" s="172"/>
      <c r="C148" s="172"/>
    </row>
    <row r="149">
      <c r="B149" s="172"/>
      <c r="C149" s="172"/>
    </row>
    <row r="150">
      <c r="B150" s="172"/>
      <c r="C150" s="172"/>
    </row>
    <row r="151">
      <c r="B151" s="172"/>
      <c r="C151" s="172"/>
    </row>
    <row r="152">
      <c r="B152" s="172"/>
      <c r="C152" s="172"/>
    </row>
    <row r="153">
      <c r="B153" s="172"/>
      <c r="C153" s="172"/>
    </row>
    <row r="154">
      <c r="B154" s="172"/>
      <c r="C154" s="172"/>
    </row>
    <row r="155">
      <c r="B155" s="172"/>
      <c r="C155" s="172"/>
    </row>
    <row r="156">
      <c r="B156" s="172"/>
      <c r="C156" s="172"/>
    </row>
    <row r="157">
      <c r="B157" s="172"/>
      <c r="C157" s="172"/>
    </row>
    <row r="158">
      <c r="B158" s="172"/>
      <c r="C158" s="172"/>
    </row>
    <row r="159">
      <c r="B159" s="172"/>
      <c r="C159" s="172"/>
    </row>
    <row r="160">
      <c r="B160" s="172"/>
      <c r="C160" s="172"/>
    </row>
    <row r="161">
      <c r="B161" s="172"/>
      <c r="C161" s="172"/>
    </row>
    <row r="162">
      <c r="B162" s="172"/>
      <c r="C162" s="172"/>
    </row>
    <row r="163">
      <c r="B163" s="172"/>
      <c r="C163" s="172"/>
    </row>
    <row r="164">
      <c r="B164" s="172"/>
      <c r="C164" s="172"/>
    </row>
    <row r="165">
      <c r="B165" s="172"/>
      <c r="C165" s="172"/>
    </row>
    <row r="166">
      <c r="B166" s="172"/>
      <c r="C166" s="172"/>
    </row>
    <row r="167">
      <c r="B167" s="172"/>
      <c r="C167" s="172"/>
    </row>
    <row r="168">
      <c r="B168" s="172"/>
      <c r="C168" s="172"/>
    </row>
    <row r="169">
      <c r="B169" s="172"/>
      <c r="C169" s="172"/>
    </row>
    <row r="170">
      <c r="B170" s="172"/>
      <c r="C170" s="172"/>
    </row>
    <row r="171">
      <c r="B171" s="172"/>
      <c r="C171" s="172"/>
    </row>
    <row r="172">
      <c r="B172" s="172"/>
      <c r="C172" s="172"/>
    </row>
    <row r="173">
      <c r="B173" s="172"/>
      <c r="C173" s="172"/>
    </row>
    <row r="174">
      <c r="B174" s="172"/>
      <c r="C174" s="172"/>
    </row>
    <row r="175">
      <c r="B175" s="172"/>
      <c r="C175" s="172"/>
    </row>
    <row r="176">
      <c r="B176" s="172"/>
      <c r="C176" s="172"/>
    </row>
    <row r="177">
      <c r="B177" s="172"/>
      <c r="C177" s="172"/>
    </row>
    <row r="178">
      <c r="B178" s="172"/>
      <c r="C178" s="172"/>
    </row>
    <row r="179">
      <c r="B179" s="172"/>
      <c r="C179" s="172"/>
    </row>
    <row r="180">
      <c r="B180" s="172"/>
      <c r="C180" s="172"/>
    </row>
    <row r="181">
      <c r="B181" s="172"/>
      <c r="C181" s="172"/>
    </row>
    <row r="182">
      <c r="B182" s="172"/>
      <c r="C182" s="172"/>
    </row>
    <row r="183">
      <c r="B183" s="172"/>
      <c r="C183" s="172"/>
    </row>
    <row r="184">
      <c r="B184" s="172"/>
      <c r="C184" s="172"/>
    </row>
    <row r="185">
      <c r="B185" s="172"/>
      <c r="C185" s="172"/>
    </row>
    <row r="186">
      <c r="B186" s="172"/>
      <c r="C186" s="172"/>
    </row>
    <row r="187">
      <c r="B187" s="172"/>
      <c r="C187" s="172"/>
    </row>
    <row r="188">
      <c r="B188" s="172"/>
      <c r="C188" s="172"/>
    </row>
    <row r="189">
      <c r="B189" s="172"/>
      <c r="C189" s="172"/>
    </row>
    <row r="190">
      <c r="B190" s="172"/>
      <c r="C190" s="172"/>
    </row>
    <row r="191">
      <c r="B191" s="172"/>
      <c r="C191" s="172"/>
    </row>
    <row r="192">
      <c r="B192" s="172"/>
      <c r="C192" s="172"/>
    </row>
    <row r="193">
      <c r="B193" s="172"/>
      <c r="C193" s="172"/>
    </row>
    <row r="194">
      <c r="B194" s="172"/>
      <c r="C194" s="172"/>
    </row>
    <row r="195">
      <c r="B195" s="172"/>
      <c r="C195" s="172"/>
    </row>
    <row r="196">
      <c r="B196" s="172"/>
      <c r="C196" s="172"/>
    </row>
    <row r="197">
      <c r="B197" s="172"/>
      <c r="C197" s="172"/>
    </row>
    <row r="198">
      <c r="B198" s="172"/>
      <c r="C198" s="172"/>
    </row>
    <row r="199">
      <c r="B199" s="172"/>
      <c r="C199" s="172"/>
    </row>
    <row r="200">
      <c r="B200" s="172"/>
      <c r="C200" s="172"/>
    </row>
    <row r="201">
      <c r="B201" s="172"/>
      <c r="C201" s="172"/>
    </row>
    <row r="202">
      <c r="B202" s="172"/>
      <c r="C202" s="172"/>
    </row>
    <row r="203">
      <c r="B203" s="172"/>
      <c r="C203" s="172"/>
    </row>
    <row r="204">
      <c r="B204" s="172"/>
      <c r="C204" s="172"/>
    </row>
    <row r="205">
      <c r="B205" s="172"/>
      <c r="C205" s="172"/>
    </row>
    <row r="206">
      <c r="B206" s="172"/>
      <c r="C206" s="172"/>
    </row>
    <row r="207">
      <c r="B207" s="172"/>
      <c r="C207" s="172"/>
    </row>
    <row r="208">
      <c r="B208" s="172"/>
      <c r="C208" s="172"/>
    </row>
    <row r="209">
      <c r="B209" s="172"/>
      <c r="C209" s="172"/>
    </row>
    <row r="210">
      <c r="B210" s="172"/>
      <c r="C210" s="172"/>
    </row>
    <row r="211">
      <c r="B211" s="172"/>
      <c r="C211" s="172"/>
    </row>
    <row r="212">
      <c r="B212" s="172"/>
      <c r="C212" s="172"/>
    </row>
    <row r="213">
      <c r="B213" s="172"/>
      <c r="C213" s="172"/>
    </row>
    <row r="214">
      <c r="B214" s="172"/>
      <c r="C214" s="172"/>
    </row>
    <row r="215">
      <c r="B215" s="172"/>
      <c r="C215" s="172"/>
    </row>
    <row r="216">
      <c r="B216" s="172"/>
      <c r="C216" s="172"/>
    </row>
    <row r="217">
      <c r="B217" s="172"/>
      <c r="C217" s="172"/>
    </row>
    <row r="218">
      <c r="B218" s="172"/>
      <c r="C218" s="172"/>
    </row>
    <row r="219">
      <c r="B219" s="172"/>
      <c r="C219" s="172"/>
    </row>
    <row r="220">
      <c r="B220" s="172"/>
      <c r="C220" s="172"/>
    </row>
    <row r="221">
      <c r="B221" s="172"/>
      <c r="C221" s="172"/>
    </row>
    <row r="222">
      <c r="B222" s="172"/>
      <c r="C222" s="172"/>
    </row>
    <row r="223">
      <c r="B223" s="172"/>
      <c r="C223" s="172"/>
    </row>
    <row r="224">
      <c r="B224" s="172"/>
      <c r="C224" s="172"/>
    </row>
    <row r="225">
      <c r="B225" s="172"/>
      <c r="C225" s="172"/>
    </row>
    <row r="226">
      <c r="B226" s="172"/>
      <c r="C226" s="172"/>
    </row>
    <row r="227">
      <c r="B227" s="172"/>
      <c r="C227" s="172"/>
    </row>
    <row r="228">
      <c r="B228" s="172"/>
      <c r="C228" s="172"/>
    </row>
    <row r="229">
      <c r="B229" s="172"/>
      <c r="C229" s="172"/>
    </row>
    <row r="230">
      <c r="B230" s="172"/>
      <c r="C230" s="172"/>
    </row>
    <row r="231">
      <c r="B231" s="172"/>
      <c r="C231" s="172"/>
    </row>
    <row r="232">
      <c r="B232" s="172"/>
      <c r="C232" s="172"/>
    </row>
    <row r="233">
      <c r="B233" s="172"/>
      <c r="C233" s="172"/>
    </row>
    <row r="234">
      <c r="B234" s="172"/>
      <c r="C234" s="172"/>
    </row>
    <row r="235">
      <c r="B235" s="172"/>
      <c r="C235" s="172"/>
    </row>
    <row r="236">
      <c r="B236" s="172"/>
      <c r="C236" s="172"/>
    </row>
    <row r="237">
      <c r="B237" s="172"/>
      <c r="C237" s="172"/>
    </row>
    <row r="238">
      <c r="B238" s="172"/>
      <c r="C238" s="172"/>
    </row>
    <row r="239">
      <c r="B239" s="172"/>
      <c r="C239" s="172"/>
    </row>
    <row r="240">
      <c r="B240" s="172"/>
      <c r="C240" s="172"/>
    </row>
    <row r="241">
      <c r="B241" s="172"/>
      <c r="C241" s="172"/>
    </row>
    <row r="242">
      <c r="B242" s="172"/>
      <c r="C242" s="172"/>
    </row>
    <row r="243">
      <c r="B243" s="172"/>
      <c r="C243" s="172"/>
    </row>
    <row r="244">
      <c r="B244" s="172"/>
      <c r="C244" s="172"/>
    </row>
    <row r="245">
      <c r="B245" s="172"/>
      <c r="C245" s="172"/>
    </row>
    <row r="246">
      <c r="B246" s="172"/>
      <c r="C246" s="172"/>
    </row>
    <row r="247">
      <c r="B247" s="172"/>
      <c r="C247" s="172"/>
    </row>
    <row r="248">
      <c r="B248" s="172"/>
      <c r="C248" s="172"/>
    </row>
    <row r="249">
      <c r="B249" s="172"/>
      <c r="C249" s="172"/>
    </row>
    <row r="250">
      <c r="B250" s="172"/>
      <c r="C250" s="172"/>
    </row>
    <row r="251">
      <c r="B251" s="172"/>
      <c r="C251" s="172"/>
    </row>
    <row r="252">
      <c r="B252" s="172"/>
      <c r="C252" s="172"/>
    </row>
    <row r="253">
      <c r="B253" s="172"/>
      <c r="C253" s="172"/>
    </row>
    <row r="254">
      <c r="B254" s="172"/>
      <c r="C254" s="172"/>
    </row>
    <row r="255">
      <c r="B255" s="172"/>
      <c r="C255" s="172"/>
    </row>
    <row r="256">
      <c r="B256" s="172"/>
      <c r="C256" s="172"/>
    </row>
    <row r="257">
      <c r="B257" s="172"/>
      <c r="C257" s="172"/>
    </row>
    <row r="258">
      <c r="B258" s="172"/>
      <c r="C258" s="172"/>
    </row>
    <row r="259">
      <c r="B259" s="172"/>
      <c r="C259" s="172"/>
    </row>
    <row r="260">
      <c r="B260" s="172"/>
      <c r="C260" s="172"/>
    </row>
    <row r="261">
      <c r="B261" s="172"/>
      <c r="C261" s="172"/>
    </row>
    <row r="262">
      <c r="B262" s="172"/>
      <c r="C262" s="172"/>
    </row>
    <row r="263">
      <c r="B263" s="172"/>
      <c r="C263" s="172"/>
    </row>
    <row r="264">
      <c r="B264" s="172"/>
      <c r="C264" s="172"/>
    </row>
    <row r="265">
      <c r="B265" s="172"/>
      <c r="C265" s="172"/>
    </row>
    <row r="266">
      <c r="B266" s="172"/>
      <c r="C266" s="172"/>
    </row>
    <row r="267">
      <c r="B267" s="172"/>
      <c r="C267" s="172"/>
    </row>
    <row r="268">
      <c r="B268" s="172"/>
      <c r="C268" s="172"/>
    </row>
    <row r="269">
      <c r="B269" s="172"/>
      <c r="C269" s="172"/>
    </row>
    <row r="270">
      <c r="B270" s="172"/>
      <c r="C270" s="172"/>
    </row>
    <row r="271">
      <c r="B271" s="172"/>
      <c r="C271" s="172"/>
    </row>
    <row r="272">
      <c r="B272" s="172"/>
      <c r="C272" s="172"/>
    </row>
    <row r="273">
      <c r="B273" s="172"/>
      <c r="C273" s="172"/>
    </row>
    <row r="274">
      <c r="B274" s="172"/>
      <c r="C274" s="172"/>
    </row>
    <row r="275">
      <c r="B275" s="172"/>
      <c r="C275" s="172"/>
    </row>
    <row r="276">
      <c r="B276" s="172"/>
      <c r="C276" s="172"/>
    </row>
    <row r="277">
      <c r="B277" s="172"/>
      <c r="C277" s="172"/>
    </row>
    <row r="278">
      <c r="B278" s="172"/>
      <c r="C278" s="172"/>
    </row>
    <row r="279">
      <c r="B279" s="172"/>
      <c r="C279" s="172"/>
    </row>
    <row r="280">
      <c r="B280" s="172"/>
      <c r="C280" s="172"/>
    </row>
    <row r="281">
      <c r="B281" s="172"/>
      <c r="C281" s="172"/>
    </row>
    <row r="282">
      <c r="B282" s="172"/>
      <c r="C282" s="172"/>
    </row>
    <row r="283">
      <c r="B283" s="172"/>
      <c r="C283" s="172"/>
    </row>
    <row r="284">
      <c r="B284" s="172"/>
      <c r="C284" s="172"/>
    </row>
    <row r="285">
      <c r="B285" s="172"/>
      <c r="C285" s="172"/>
    </row>
    <row r="286">
      <c r="B286" s="172"/>
      <c r="C286" s="172"/>
    </row>
    <row r="287">
      <c r="B287" s="172"/>
      <c r="C287" s="172"/>
    </row>
    <row r="288">
      <c r="B288" s="172"/>
      <c r="C288" s="172"/>
    </row>
    <row r="289">
      <c r="B289" s="172"/>
      <c r="C289" s="172"/>
    </row>
    <row r="290">
      <c r="B290" s="172"/>
      <c r="C290" s="172"/>
    </row>
    <row r="291">
      <c r="B291" s="172"/>
      <c r="C291" s="172"/>
    </row>
    <row r="292">
      <c r="B292" s="172"/>
      <c r="C292" s="172"/>
    </row>
    <row r="293">
      <c r="B293" s="172"/>
      <c r="C293" s="172"/>
    </row>
    <row r="294">
      <c r="B294" s="172"/>
      <c r="C294" s="172"/>
    </row>
    <row r="295">
      <c r="B295" s="172"/>
      <c r="C295" s="172"/>
    </row>
    <row r="296">
      <c r="B296" s="172"/>
      <c r="C296" s="172"/>
    </row>
    <row r="297">
      <c r="B297" s="172"/>
      <c r="C297" s="172"/>
    </row>
    <row r="298">
      <c r="B298" s="172"/>
      <c r="C298" s="172"/>
    </row>
    <row r="299">
      <c r="B299" s="172"/>
      <c r="C299" s="172"/>
    </row>
    <row r="300">
      <c r="B300" s="172"/>
      <c r="C300" s="172"/>
    </row>
    <row r="301">
      <c r="B301" s="172"/>
      <c r="C301" s="172"/>
    </row>
    <row r="302">
      <c r="B302" s="172"/>
      <c r="C302" s="172"/>
    </row>
    <row r="303">
      <c r="B303" s="172"/>
      <c r="C303" s="172"/>
    </row>
    <row r="304">
      <c r="B304" s="172"/>
      <c r="C304" s="172"/>
    </row>
    <row r="305">
      <c r="B305" s="172"/>
      <c r="C305" s="172"/>
    </row>
    <row r="306">
      <c r="B306" s="172"/>
      <c r="C306" s="172"/>
    </row>
    <row r="307">
      <c r="B307" s="172"/>
      <c r="C307" s="172"/>
    </row>
    <row r="308">
      <c r="B308" s="172"/>
      <c r="C308" s="172"/>
    </row>
    <row r="309">
      <c r="B309" s="172"/>
      <c r="C309" s="172"/>
    </row>
    <row r="310">
      <c r="B310" s="172"/>
      <c r="C310" s="172"/>
    </row>
    <row r="311">
      <c r="B311" s="172"/>
      <c r="C311" s="172"/>
    </row>
    <row r="312">
      <c r="B312" s="172"/>
      <c r="C312" s="172"/>
    </row>
    <row r="313">
      <c r="B313" s="172"/>
      <c r="C313" s="172"/>
    </row>
    <row r="314">
      <c r="B314" s="172"/>
      <c r="C314" s="172"/>
    </row>
    <row r="315">
      <c r="B315" s="172"/>
      <c r="C315" s="172"/>
    </row>
    <row r="316">
      <c r="B316" s="172"/>
      <c r="C316" s="172"/>
    </row>
    <row r="317">
      <c r="B317" s="172"/>
      <c r="C317" s="172"/>
    </row>
    <row r="318">
      <c r="B318" s="172"/>
      <c r="C318" s="172"/>
    </row>
    <row r="319">
      <c r="B319" s="172"/>
      <c r="C319" s="172"/>
    </row>
    <row r="320">
      <c r="B320" s="172"/>
      <c r="C320" s="172"/>
    </row>
    <row r="321">
      <c r="B321" s="172"/>
      <c r="C321" s="172"/>
    </row>
    <row r="322">
      <c r="B322" s="172"/>
      <c r="C322" s="172"/>
    </row>
    <row r="323">
      <c r="B323" s="172"/>
      <c r="C323" s="172"/>
    </row>
    <row r="324">
      <c r="B324" s="172"/>
      <c r="C324" s="172"/>
    </row>
    <row r="325">
      <c r="B325" s="172"/>
      <c r="C325" s="172"/>
    </row>
    <row r="326">
      <c r="B326" s="172"/>
      <c r="C326" s="172"/>
    </row>
    <row r="327">
      <c r="B327" s="172"/>
      <c r="C327" s="172"/>
    </row>
    <row r="328">
      <c r="B328" s="172"/>
      <c r="C328" s="172"/>
    </row>
    <row r="329">
      <c r="B329" s="172"/>
      <c r="C329" s="172"/>
    </row>
    <row r="330">
      <c r="B330" s="172"/>
      <c r="C330" s="172"/>
    </row>
    <row r="331">
      <c r="B331" s="172"/>
      <c r="C331" s="172"/>
    </row>
    <row r="332">
      <c r="B332" s="172"/>
      <c r="C332" s="172"/>
    </row>
    <row r="333">
      <c r="B333" s="172"/>
      <c r="C333" s="172"/>
    </row>
    <row r="334">
      <c r="B334" s="172"/>
      <c r="C334" s="172"/>
    </row>
    <row r="335">
      <c r="B335" s="172"/>
      <c r="C335" s="172"/>
    </row>
    <row r="336">
      <c r="B336" s="172"/>
      <c r="C336" s="172"/>
    </row>
    <row r="337">
      <c r="B337" s="172"/>
      <c r="C337" s="172"/>
    </row>
    <row r="338">
      <c r="B338" s="172"/>
      <c r="C338" s="172"/>
    </row>
    <row r="339">
      <c r="B339" s="172"/>
      <c r="C339" s="172"/>
    </row>
    <row r="340">
      <c r="B340" s="172"/>
      <c r="C340" s="172"/>
    </row>
    <row r="341">
      <c r="B341" s="172"/>
      <c r="C341" s="172"/>
    </row>
    <row r="342">
      <c r="B342" s="172"/>
      <c r="C342" s="172"/>
    </row>
    <row r="343">
      <c r="B343" s="172"/>
      <c r="C343" s="172"/>
    </row>
    <row r="344">
      <c r="B344" s="172"/>
      <c r="C344" s="172"/>
    </row>
    <row r="345">
      <c r="B345" s="172"/>
      <c r="C345" s="172"/>
    </row>
    <row r="346">
      <c r="B346" s="172"/>
      <c r="C346" s="172"/>
    </row>
    <row r="347">
      <c r="B347" s="172"/>
      <c r="C347" s="172"/>
    </row>
    <row r="348">
      <c r="B348" s="172"/>
      <c r="C348" s="172"/>
    </row>
    <row r="349">
      <c r="B349" s="172"/>
      <c r="C349" s="172"/>
    </row>
    <row r="350">
      <c r="B350" s="172"/>
      <c r="C350" s="172"/>
    </row>
    <row r="351">
      <c r="B351" s="172"/>
      <c r="C351" s="172"/>
    </row>
    <row r="352">
      <c r="B352" s="172"/>
      <c r="C352" s="172"/>
    </row>
    <row r="353">
      <c r="B353" s="172"/>
      <c r="C353" s="172"/>
    </row>
    <row r="354">
      <c r="B354" s="172"/>
      <c r="C354" s="172"/>
    </row>
    <row r="355">
      <c r="B355" s="172"/>
      <c r="C355" s="172"/>
    </row>
    <row r="356">
      <c r="B356" s="172"/>
      <c r="C356" s="172"/>
    </row>
    <row r="357">
      <c r="B357" s="172"/>
      <c r="C357" s="172"/>
    </row>
    <row r="358">
      <c r="B358" s="172"/>
      <c r="C358" s="172"/>
    </row>
    <row r="359">
      <c r="B359" s="172"/>
      <c r="C359" s="172"/>
    </row>
    <row r="360">
      <c r="B360" s="172"/>
      <c r="C360" s="172"/>
    </row>
    <row r="361">
      <c r="B361" s="172"/>
      <c r="C361" s="172"/>
    </row>
    <row r="362">
      <c r="B362" s="172"/>
      <c r="C362" s="172"/>
    </row>
    <row r="363">
      <c r="B363" s="172"/>
      <c r="C363" s="172"/>
    </row>
    <row r="364">
      <c r="B364" s="172"/>
      <c r="C364" s="172"/>
    </row>
    <row r="365">
      <c r="B365" s="172"/>
      <c r="C365" s="172"/>
    </row>
    <row r="366">
      <c r="B366" s="172"/>
      <c r="C366" s="172"/>
    </row>
    <row r="367">
      <c r="B367" s="172"/>
      <c r="C367" s="172"/>
    </row>
    <row r="368">
      <c r="B368" s="172"/>
      <c r="C368" s="172"/>
    </row>
    <row r="369">
      <c r="B369" s="172"/>
      <c r="C369" s="172"/>
    </row>
    <row r="370">
      <c r="B370" s="172"/>
      <c r="C370" s="172"/>
    </row>
    <row r="371">
      <c r="B371" s="172"/>
      <c r="C371" s="172"/>
    </row>
    <row r="372">
      <c r="B372" s="172"/>
      <c r="C372" s="172"/>
    </row>
    <row r="373">
      <c r="B373" s="172"/>
      <c r="C373" s="172"/>
    </row>
    <row r="374">
      <c r="B374" s="172"/>
      <c r="C374" s="172"/>
    </row>
    <row r="375">
      <c r="B375" s="172"/>
      <c r="C375" s="172"/>
    </row>
    <row r="376">
      <c r="B376" s="172"/>
      <c r="C376" s="172"/>
    </row>
    <row r="377">
      <c r="B377" s="172"/>
      <c r="C377" s="172"/>
    </row>
    <row r="378">
      <c r="B378" s="172"/>
      <c r="C378" s="172"/>
    </row>
    <row r="379">
      <c r="B379" s="172"/>
      <c r="C379" s="172"/>
    </row>
    <row r="380">
      <c r="B380" s="172"/>
      <c r="C380" s="172"/>
    </row>
    <row r="381">
      <c r="B381" s="172"/>
      <c r="C381" s="172"/>
    </row>
    <row r="382">
      <c r="B382" s="172"/>
      <c r="C382" s="172"/>
    </row>
    <row r="383">
      <c r="B383" s="172"/>
      <c r="C383" s="172"/>
    </row>
    <row r="384">
      <c r="B384" s="172"/>
      <c r="C384" s="172"/>
    </row>
    <row r="385">
      <c r="B385" s="172"/>
      <c r="C385" s="172"/>
    </row>
    <row r="386">
      <c r="B386" s="172"/>
      <c r="C386" s="172"/>
    </row>
    <row r="387">
      <c r="B387" s="172"/>
      <c r="C387" s="172"/>
    </row>
    <row r="388">
      <c r="B388" s="172"/>
      <c r="C388" s="172"/>
    </row>
    <row r="389">
      <c r="B389" s="172"/>
      <c r="C389" s="172"/>
    </row>
    <row r="390">
      <c r="B390" s="172"/>
      <c r="C390" s="172"/>
    </row>
    <row r="391">
      <c r="B391" s="172"/>
      <c r="C391" s="172"/>
    </row>
    <row r="392">
      <c r="B392" s="172"/>
      <c r="C392" s="172"/>
    </row>
    <row r="393">
      <c r="B393" s="172"/>
      <c r="C393" s="172"/>
    </row>
    <row r="394">
      <c r="B394" s="172"/>
      <c r="C394" s="172"/>
    </row>
    <row r="395">
      <c r="B395" s="172"/>
      <c r="C395" s="172"/>
    </row>
    <row r="396">
      <c r="B396" s="172"/>
      <c r="C396" s="172"/>
    </row>
    <row r="397">
      <c r="B397" s="172"/>
      <c r="C397" s="172"/>
    </row>
    <row r="398">
      <c r="B398" s="172"/>
      <c r="C398" s="172"/>
    </row>
    <row r="399">
      <c r="B399" s="172"/>
      <c r="C399" s="172"/>
    </row>
    <row r="400">
      <c r="B400" s="172"/>
      <c r="C400" s="172"/>
    </row>
    <row r="401">
      <c r="B401" s="172"/>
      <c r="C401" s="172"/>
    </row>
    <row r="402">
      <c r="B402" s="172"/>
      <c r="C402" s="172"/>
    </row>
    <row r="403">
      <c r="B403" s="172"/>
      <c r="C403" s="172"/>
    </row>
    <row r="404">
      <c r="B404" s="172"/>
      <c r="C404" s="172"/>
    </row>
    <row r="405">
      <c r="B405" s="172"/>
      <c r="C405" s="172"/>
    </row>
    <row r="406">
      <c r="B406" s="172"/>
      <c r="C406" s="172"/>
    </row>
    <row r="407">
      <c r="B407" s="172"/>
      <c r="C407" s="172"/>
    </row>
    <row r="408">
      <c r="B408" s="172"/>
      <c r="C408" s="172"/>
    </row>
    <row r="409">
      <c r="B409" s="172"/>
      <c r="C409" s="172"/>
    </row>
    <row r="410">
      <c r="B410" s="172"/>
      <c r="C410" s="172"/>
    </row>
    <row r="411">
      <c r="B411" s="172"/>
      <c r="C411" s="172"/>
    </row>
    <row r="412">
      <c r="B412" s="172"/>
      <c r="C412" s="172"/>
    </row>
    <row r="413">
      <c r="B413" s="172"/>
      <c r="C413" s="172"/>
    </row>
    <row r="414">
      <c r="B414" s="172"/>
      <c r="C414" s="172"/>
    </row>
    <row r="415">
      <c r="B415" s="172"/>
      <c r="C415" s="172"/>
    </row>
    <row r="416">
      <c r="B416" s="172"/>
      <c r="C416" s="172"/>
    </row>
    <row r="417">
      <c r="B417" s="172"/>
      <c r="C417" s="172"/>
    </row>
    <row r="418">
      <c r="B418" s="172"/>
      <c r="C418" s="172"/>
    </row>
    <row r="419">
      <c r="B419" s="172"/>
      <c r="C419" s="172"/>
    </row>
    <row r="420">
      <c r="B420" s="172"/>
      <c r="C420" s="172"/>
    </row>
    <row r="421">
      <c r="B421" s="172"/>
      <c r="C421" s="172"/>
    </row>
    <row r="422">
      <c r="B422" s="172"/>
      <c r="C422" s="172"/>
    </row>
    <row r="423">
      <c r="B423" s="172"/>
      <c r="C423" s="172"/>
    </row>
    <row r="424">
      <c r="B424" s="172"/>
      <c r="C424" s="172"/>
    </row>
    <row r="425">
      <c r="B425" s="172"/>
      <c r="C425" s="172"/>
    </row>
    <row r="426">
      <c r="B426" s="172"/>
      <c r="C426" s="172"/>
    </row>
    <row r="427">
      <c r="B427" s="172"/>
      <c r="C427" s="172"/>
    </row>
    <row r="428">
      <c r="B428" s="172"/>
      <c r="C428" s="172"/>
    </row>
    <row r="429">
      <c r="B429" s="172"/>
      <c r="C429" s="172"/>
    </row>
    <row r="430">
      <c r="B430" s="172"/>
      <c r="C430" s="172"/>
    </row>
    <row r="431">
      <c r="B431" s="172"/>
      <c r="C431" s="172"/>
    </row>
    <row r="432">
      <c r="B432" s="172"/>
      <c r="C432" s="172"/>
    </row>
    <row r="433">
      <c r="B433" s="172"/>
      <c r="C433" s="172"/>
    </row>
    <row r="434">
      <c r="B434" s="172"/>
      <c r="C434" s="172"/>
    </row>
    <row r="435">
      <c r="B435" s="172"/>
      <c r="C435" s="172"/>
    </row>
    <row r="436">
      <c r="B436" s="172"/>
      <c r="C436" s="172"/>
    </row>
    <row r="437">
      <c r="B437" s="172"/>
      <c r="C437" s="172"/>
    </row>
    <row r="438">
      <c r="B438" s="172"/>
      <c r="C438" s="172"/>
    </row>
    <row r="439">
      <c r="B439" s="172"/>
      <c r="C439" s="172"/>
    </row>
    <row r="440">
      <c r="B440" s="172"/>
      <c r="C440" s="172"/>
    </row>
    <row r="441">
      <c r="B441" s="172"/>
      <c r="C441" s="172"/>
    </row>
    <row r="442">
      <c r="B442" s="172"/>
      <c r="C442" s="172"/>
    </row>
    <row r="443">
      <c r="B443" s="172"/>
      <c r="C443" s="172"/>
    </row>
    <row r="444">
      <c r="B444" s="172"/>
      <c r="C444" s="172"/>
    </row>
    <row r="445">
      <c r="B445" s="172"/>
      <c r="C445" s="172"/>
    </row>
    <row r="446">
      <c r="B446" s="172"/>
      <c r="C446" s="172"/>
    </row>
    <row r="447">
      <c r="B447" s="172"/>
      <c r="C447" s="172"/>
    </row>
    <row r="448">
      <c r="B448" s="172"/>
      <c r="C448" s="172"/>
    </row>
    <row r="449">
      <c r="B449" s="172"/>
      <c r="C449" s="172"/>
    </row>
    <row r="450">
      <c r="B450" s="172"/>
      <c r="C450" s="172"/>
    </row>
    <row r="451">
      <c r="B451" s="172"/>
      <c r="C451" s="172"/>
    </row>
    <row r="452">
      <c r="B452" s="172"/>
      <c r="C452" s="172"/>
    </row>
    <row r="453">
      <c r="B453" s="172"/>
      <c r="C453" s="172"/>
    </row>
    <row r="454">
      <c r="B454" s="172"/>
      <c r="C454" s="172"/>
    </row>
    <row r="455">
      <c r="B455" s="172"/>
      <c r="C455" s="172"/>
    </row>
    <row r="456">
      <c r="B456" s="172"/>
      <c r="C456" s="172"/>
    </row>
    <row r="457">
      <c r="B457" s="172"/>
      <c r="C457" s="172"/>
    </row>
    <row r="458">
      <c r="B458" s="172"/>
      <c r="C458" s="172"/>
    </row>
    <row r="459">
      <c r="B459" s="172"/>
      <c r="C459" s="172"/>
    </row>
    <row r="460">
      <c r="B460" s="172"/>
      <c r="C460" s="172"/>
    </row>
    <row r="461">
      <c r="B461" s="172"/>
      <c r="C461" s="172"/>
    </row>
    <row r="462">
      <c r="B462" s="172"/>
      <c r="C462" s="172"/>
    </row>
    <row r="463">
      <c r="B463" s="172"/>
      <c r="C463" s="172"/>
    </row>
    <row r="464">
      <c r="B464" s="172"/>
      <c r="C464" s="172"/>
    </row>
    <row r="465">
      <c r="B465" s="172"/>
      <c r="C465" s="172"/>
    </row>
    <row r="466">
      <c r="B466" s="172"/>
      <c r="C466" s="172"/>
    </row>
    <row r="467">
      <c r="B467" s="172"/>
      <c r="C467" s="172"/>
    </row>
    <row r="468">
      <c r="B468" s="172"/>
      <c r="C468" s="172"/>
    </row>
    <row r="469">
      <c r="B469" s="172"/>
      <c r="C469" s="172"/>
    </row>
    <row r="470">
      <c r="B470" s="172"/>
      <c r="C470" s="172"/>
    </row>
    <row r="471">
      <c r="B471" s="172"/>
      <c r="C471" s="172"/>
    </row>
    <row r="472">
      <c r="B472" s="172"/>
      <c r="C472" s="172"/>
    </row>
    <row r="473">
      <c r="B473" s="172"/>
      <c r="C473" s="172"/>
    </row>
    <row r="474">
      <c r="B474" s="172"/>
      <c r="C474" s="172"/>
    </row>
    <row r="475">
      <c r="B475" s="172"/>
      <c r="C475" s="172"/>
    </row>
    <row r="476">
      <c r="B476" s="172"/>
      <c r="C476" s="172"/>
    </row>
    <row r="477">
      <c r="B477" s="172"/>
      <c r="C477" s="172"/>
    </row>
    <row r="478">
      <c r="B478" s="172"/>
      <c r="C478" s="172"/>
    </row>
    <row r="479">
      <c r="B479" s="172"/>
      <c r="C479" s="172"/>
    </row>
    <row r="480">
      <c r="B480" s="172"/>
      <c r="C480" s="172"/>
    </row>
    <row r="481">
      <c r="B481" s="172"/>
      <c r="C481" s="172"/>
    </row>
    <row r="482">
      <c r="B482" s="172"/>
      <c r="C482" s="172"/>
    </row>
    <row r="483">
      <c r="B483" s="172"/>
      <c r="C483" s="172"/>
    </row>
    <row r="484">
      <c r="B484" s="172"/>
      <c r="C484" s="172"/>
    </row>
    <row r="485">
      <c r="B485" s="172"/>
      <c r="C485" s="172"/>
    </row>
    <row r="486">
      <c r="B486" s="172"/>
      <c r="C486" s="172"/>
    </row>
    <row r="487">
      <c r="B487" s="172"/>
      <c r="C487" s="172"/>
    </row>
    <row r="488">
      <c r="B488" s="172"/>
      <c r="C488" s="172"/>
    </row>
    <row r="489">
      <c r="B489" s="172"/>
      <c r="C489" s="172"/>
    </row>
    <row r="490">
      <c r="B490" s="172"/>
      <c r="C490" s="172"/>
    </row>
    <row r="491">
      <c r="B491" s="172"/>
      <c r="C491" s="172"/>
    </row>
    <row r="492">
      <c r="B492" s="172"/>
      <c r="C492" s="172"/>
    </row>
    <row r="493">
      <c r="B493" s="172"/>
      <c r="C493" s="172"/>
    </row>
    <row r="494">
      <c r="B494" s="172"/>
      <c r="C494" s="172"/>
    </row>
    <row r="495">
      <c r="B495" s="172"/>
      <c r="C495" s="172"/>
    </row>
    <row r="496">
      <c r="B496" s="172"/>
      <c r="C496" s="172"/>
    </row>
    <row r="497">
      <c r="B497" s="172"/>
      <c r="C497" s="172"/>
    </row>
    <row r="498">
      <c r="B498" s="172"/>
      <c r="C498" s="172"/>
    </row>
    <row r="499">
      <c r="B499" s="172"/>
      <c r="C499" s="172"/>
    </row>
    <row r="500">
      <c r="B500" s="172"/>
      <c r="C500" s="172"/>
    </row>
    <row r="501">
      <c r="B501" s="172"/>
      <c r="C501" s="172"/>
    </row>
    <row r="502">
      <c r="B502" s="172"/>
      <c r="C502" s="172"/>
    </row>
    <row r="503">
      <c r="B503" s="172"/>
      <c r="C503" s="172"/>
    </row>
    <row r="504">
      <c r="B504" s="172"/>
      <c r="C504" s="172"/>
    </row>
    <row r="505">
      <c r="B505" s="172"/>
      <c r="C505" s="172"/>
    </row>
    <row r="506">
      <c r="B506" s="172"/>
      <c r="C506" s="172"/>
    </row>
    <row r="507">
      <c r="B507" s="172"/>
      <c r="C507" s="172"/>
    </row>
    <row r="508">
      <c r="B508" s="172"/>
      <c r="C508" s="172"/>
    </row>
    <row r="509">
      <c r="B509" s="172"/>
      <c r="C509" s="172"/>
    </row>
    <row r="510">
      <c r="B510" s="172"/>
      <c r="C510" s="172"/>
    </row>
    <row r="511">
      <c r="B511" s="172"/>
      <c r="C511" s="172"/>
    </row>
    <row r="512">
      <c r="B512" s="172"/>
      <c r="C512" s="172"/>
    </row>
    <row r="513">
      <c r="B513" s="172"/>
      <c r="C513" s="172"/>
    </row>
    <row r="514">
      <c r="B514" s="172"/>
      <c r="C514" s="172"/>
    </row>
    <row r="515">
      <c r="B515" s="172"/>
      <c r="C515" s="172"/>
    </row>
    <row r="516">
      <c r="B516" s="172"/>
      <c r="C516" s="172"/>
    </row>
    <row r="517">
      <c r="B517" s="172"/>
      <c r="C517" s="172"/>
    </row>
    <row r="518">
      <c r="B518" s="172"/>
      <c r="C518" s="172"/>
    </row>
    <row r="519">
      <c r="B519" s="172"/>
      <c r="C519" s="172"/>
    </row>
    <row r="520">
      <c r="B520" s="172"/>
      <c r="C520" s="172"/>
    </row>
    <row r="521">
      <c r="B521" s="172"/>
      <c r="C521" s="172"/>
    </row>
    <row r="522">
      <c r="B522" s="172"/>
      <c r="C522" s="172"/>
    </row>
    <row r="523">
      <c r="B523" s="172"/>
      <c r="C523" s="172"/>
    </row>
    <row r="524">
      <c r="B524" s="172"/>
      <c r="C524" s="172"/>
    </row>
    <row r="525">
      <c r="B525" s="172"/>
      <c r="C525" s="172"/>
    </row>
    <row r="526">
      <c r="B526" s="172"/>
      <c r="C526" s="172"/>
    </row>
    <row r="527">
      <c r="B527" s="172"/>
      <c r="C527" s="172"/>
    </row>
    <row r="528">
      <c r="B528" s="172"/>
      <c r="C528" s="172"/>
    </row>
    <row r="529">
      <c r="B529" s="172"/>
      <c r="C529" s="172"/>
    </row>
    <row r="530">
      <c r="B530" s="172"/>
      <c r="C530" s="172"/>
    </row>
    <row r="531">
      <c r="B531" s="172"/>
      <c r="C531" s="172"/>
    </row>
    <row r="532">
      <c r="B532" s="172"/>
      <c r="C532" s="172"/>
    </row>
    <row r="533">
      <c r="B533" s="172"/>
      <c r="C533" s="172"/>
    </row>
    <row r="534">
      <c r="B534" s="172"/>
      <c r="C534" s="172"/>
    </row>
    <row r="535">
      <c r="B535" s="172"/>
      <c r="C535" s="172"/>
    </row>
    <row r="536">
      <c r="B536" s="172"/>
      <c r="C536" s="172"/>
    </row>
    <row r="537">
      <c r="B537" s="172"/>
      <c r="C537" s="172"/>
    </row>
    <row r="538">
      <c r="B538" s="172"/>
      <c r="C538" s="172"/>
    </row>
    <row r="539">
      <c r="B539" s="172"/>
      <c r="C539" s="172"/>
    </row>
    <row r="540">
      <c r="B540" s="172"/>
      <c r="C540" s="172"/>
    </row>
    <row r="541">
      <c r="B541" s="172"/>
      <c r="C541" s="172"/>
    </row>
    <row r="542">
      <c r="B542" s="172"/>
      <c r="C542" s="172"/>
    </row>
    <row r="543">
      <c r="B543" s="172"/>
      <c r="C543" s="172"/>
    </row>
    <row r="544">
      <c r="B544" s="172"/>
      <c r="C544" s="172"/>
    </row>
    <row r="545">
      <c r="B545" s="172"/>
      <c r="C545" s="172"/>
    </row>
    <row r="546">
      <c r="B546" s="172"/>
      <c r="C546" s="172"/>
    </row>
    <row r="547">
      <c r="B547" s="172"/>
      <c r="C547" s="172"/>
    </row>
    <row r="548">
      <c r="B548" s="172"/>
      <c r="C548" s="172"/>
    </row>
    <row r="549">
      <c r="B549" s="172"/>
      <c r="C549" s="172"/>
    </row>
    <row r="550">
      <c r="B550" s="172"/>
      <c r="C550" s="172"/>
    </row>
    <row r="551">
      <c r="B551" s="172"/>
      <c r="C551" s="172"/>
    </row>
    <row r="552">
      <c r="B552" s="172"/>
      <c r="C552" s="172"/>
    </row>
    <row r="553">
      <c r="B553" s="172"/>
      <c r="C553" s="172"/>
    </row>
    <row r="554">
      <c r="B554" s="172"/>
      <c r="C554" s="172"/>
    </row>
    <row r="555">
      <c r="B555" s="172"/>
      <c r="C555" s="172"/>
    </row>
    <row r="556">
      <c r="B556" s="172"/>
      <c r="C556" s="172"/>
    </row>
    <row r="557">
      <c r="B557" s="172"/>
      <c r="C557" s="172"/>
    </row>
    <row r="558">
      <c r="B558" s="172"/>
      <c r="C558" s="172"/>
    </row>
    <row r="559">
      <c r="B559" s="172"/>
      <c r="C559" s="172"/>
    </row>
    <row r="560">
      <c r="B560" s="172"/>
      <c r="C560" s="172"/>
    </row>
    <row r="561">
      <c r="B561" s="172"/>
      <c r="C561" s="172"/>
    </row>
    <row r="562">
      <c r="B562" s="172"/>
      <c r="C562" s="172"/>
    </row>
    <row r="563">
      <c r="B563" s="172"/>
      <c r="C563" s="172"/>
    </row>
    <row r="564">
      <c r="B564" s="172"/>
      <c r="C564" s="172"/>
    </row>
    <row r="565">
      <c r="B565" s="172"/>
      <c r="C565" s="172"/>
    </row>
    <row r="566">
      <c r="B566" s="172"/>
      <c r="C566" s="172"/>
    </row>
    <row r="567">
      <c r="B567" s="172"/>
      <c r="C567" s="172"/>
    </row>
    <row r="568">
      <c r="B568" s="172"/>
      <c r="C568" s="172"/>
    </row>
    <row r="569">
      <c r="B569" s="172"/>
      <c r="C569" s="172"/>
    </row>
    <row r="570">
      <c r="B570" s="172"/>
      <c r="C570" s="172"/>
    </row>
    <row r="571">
      <c r="B571" s="172"/>
      <c r="C571" s="172"/>
    </row>
    <row r="572">
      <c r="B572" s="172"/>
      <c r="C572" s="172"/>
    </row>
    <row r="573">
      <c r="B573" s="172"/>
      <c r="C573" s="172"/>
    </row>
    <row r="574">
      <c r="B574" s="172"/>
      <c r="C574" s="172"/>
    </row>
    <row r="575">
      <c r="B575" s="172"/>
      <c r="C575" s="172"/>
    </row>
    <row r="576">
      <c r="B576" s="172"/>
      <c r="C576" s="172"/>
    </row>
    <row r="577">
      <c r="B577" s="172"/>
      <c r="C577" s="172"/>
    </row>
    <row r="578">
      <c r="B578" s="172"/>
      <c r="C578" s="172"/>
    </row>
    <row r="579">
      <c r="B579" s="172"/>
      <c r="C579" s="172"/>
    </row>
    <row r="580">
      <c r="B580" s="172"/>
      <c r="C580" s="172"/>
    </row>
    <row r="581">
      <c r="B581" s="172"/>
      <c r="C581" s="172"/>
    </row>
    <row r="582">
      <c r="B582" s="172"/>
      <c r="C582" s="172"/>
    </row>
    <row r="583">
      <c r="B583" s="172"/>
      <c r="C583" s="172"/>
    </row>
    <row r="584">
      <c r="B584" s="172"/>
      <c r="C584" s="172"/>
    </row>
    <row r="585">
      <c r="B585" s="172"/>
      <c r="C585" s="172"/>
    </row>
    <row r="586">
      <c r="B586" s="172"/>
      <c r="C586" s="172"/>
    </row>
    <row r="587">
      <c r="B587" s="172"/>
      <c r="C587" s="172"/>
    </row>
    <row r="588">
      <c r="B588" s="172"/>
      <c r="C588" s="172"/>
    </row>
    <row r="589">
      <c r="B589" s="172"/>
      <c r="C589" s="172"/>
    </row>
    <row r="590">
      <c r="B590" s="172"/>
      <c r="C590" s="172"/>
    </row>
    <row r="591">
      <c r="B591" s="172"/>
      <c r="C591" s="172"/>
    </row>
    <row r="592">
      <c r="B592" s="172"/>
      <c r="C592" s="172"/>
    </row>
    <row r="593">
      <c r="B593" s="172"/>
      <c r="C593" s="172"/>
    </row>
    <row r="594">
      <c r="B594" s="172"/>
      <c r="C594" s="172"/>
    </row>
    <row r="595">
      <c r="B595" s="172"/>
      <c r="C595" s="172"/>
    </row>
    <row r="596">
      <c r="B596" s="172"/>
      <c r="C596" s="172"/>
    </row>
    <row r="597">
      <c r="B597" s="172"/>
      <c r="C597" s="172"/>
    </row>
    <row r="598">
      <c r="B598" s="172"/>
      <c r="C598" s="172"/>
    </row>
    <row r="599">
      <c r="B599" s="172"/>
      <c r="C599" s="172"/>
    </row>
    <row r="600">
      <c r="B600" s="172"/>
      <c r="C600" s="172"/>
    </row>
    <row r="601">
      <c r="B601" s="172"/>
      <c r="C601" s="172"/>
    </row>
    <row r="602">
      <c r="B602" s="172"/>
      <c r="C602" s="172"/>
    </row>
    <row r="603">
      <c r="B603" s="172"/>
      <c r="C603" s="172"/>
    </row>
    <row r="604">
      <c r="B604" s="172"/>
      <c r="C604" s="172"/>
    </row>
    <row r="605">
      <c r="B605" s="172"/>
      <c r="C605" s="172"/>
    </row>
    <row r="606">
      <c r="B606" s="172"/>
      <c r="C606" s="172"/>
    </row>
    <row r="607">
      <c r="B607" s="172"/>
      <c r="C607" s="172"/>
    </row>
    <row r="608">
      <c r="B608" s="172"/>
      <c r="C608" s="172"/>
    </row>
    <row r="609">
      <c r="B609" s="172"/>
      <c r="C609" s="172"/>
    </row>
    <row r="610">
      <c r="B610" s="172"/>
      <c r="C610" s="172"/>
    </row>
    <row r="611">
      <c r="B611" s="172"/>
      <c r="C611" s="172"/>
    </row>
    <row r="612">
      <c r="B612" s="172"/>
      <c r="C612" s="172"/>
    </row>
    <row r="613">
      <c r="B613" s="172"/>
      <c r="C613" s="172"/>
    </row>
    <row r="614">
      <c r="B614" s="172"/>
      <c r="C614" s="172"/>
    </row>
    <row r="615">
      <c r="B615" s="172"/>
      <c r="C615" s="172"/>
    </row>
    <row r="616">
      <c r="B616" s="172"/>
      <c r="C616" s="172"/>
    </row>
    <row r="617">
      <c r="B617" s="172"/>
      <c r="C617" s="172"/>
    </row>
    <row r="618">
      <c r="B618" s="172"/>
      <c r="C618" s="172"/>
    </row>
    <row r="619">
      <c r="B619" s="172"/>
      <c r="C619" s="172"/>
    </row>
    <row r="620">
      <c r="B620" s="172"/>
      <c r="C620" s="172"/>
    </row>
    <row r="621">
      <c r="B621" s="172"/>
      <c r="C621" s="172"/>
    </row>
    <row r="622">
      <c r="B622" s="172"/>
      <c r="C622" s="172"/>
    </row>
    <row r="623">
      <c r="B623" s="172"/>
      <c r="C623" s="172"/>
    </row>
    <row r="624">
      <c r="B624" s="172"/>
      <c r="C624" s="172"/>
    </row>
    <row r="625">
      <c r="B625" s="172"/>
      <c r="C625" s="172"/>
    </row>
    <row r="626">
      <c r="B626" s="172"/>
      <c r="C626" s="172"/>
    </row>
    <row r="627">
      <c r="B627" s="172"/>
      <c r="C627" s="172"/>
    </row>
    <row r="628">
      <c r="B628" s="172"/>
      <c r="C628" s="172"/>
    </row>
    <row r="629">
      <c r="B629" s="172"/>
      <c r="C629" s="172"/>
    </row>
    <row r="630">
      <c r="B630" s="172"/>
      <c r="C630" s="172"/>
    </row>
    <row r="631">
      <c r="B631" s="172"/>
      <c r="C631" s="172"/>
    </row>
    <row r="632">
      <c r="B632" s="172"/>
      <c r="C632" s="172"/>
    </row>
    <row r="633">
      <c r="B633" s="172"/>
      <c r="C633" s="172"/>
    </row>
    <row r="634">
      <c r="B634" s="172"/>
      <c r="C634" s="172"/>
    </row>
    <row r="635">
      <c r="B635" s="172"/>
      <c r="C635" s="172"/>
    </row>
    <row r="636">
      <c r="B636" s="172"/>
      <c r="C636" s="172"/>
    </row>
    <row r="637">
      <c r="B637" s="172"/>
      <c r="C637" s="172"/>
    </row>
    <row r="638">
      <c r="B638" s="172"/>
      <c r="C638" s="172"/>
    </row>
    <row r="639">
      <c r="B639" s="172"/>
      <c r="C639" s="172"/>
    </row>
    <row r="640">
      <c r="B640" s="172"/>
      <c r="C640" s="172"/>
    </row>
    <row r="641">
      <c r="B641" s="172"/>
      <c r="C641" s="172"/>
    </row>
    <row r="642">
      <c r="B642" s="172"/>
      <c r="C642" s="172"/>
    </row>
    <row r="643">
      <c r="B643" s="172"/>
      <c r="C643" s="172"/>
    </row>
    <row r="644">
      <c r="B644" s="172"/>
      <c r="C644" s="172"/>
    </row>
    <row r="645">
      <c r="B645" s="172"/>
      <c r="C645" s="172"/>
    </row>
    <row r="646">
      <c r="B646" s="172"/>
      <c r="C646" s="172"/>
    </row>
    <row r="647">
      <c r="B647" s="172"/>
      <c r="C647" s="172"/>
    </row>
    <row r="648">
      <c r="B648" s="172"/>
      <c r="C648" s="172"/>
    </row>
    <row r="649">
      <c r="B649" s="172"/>
      <c r="C649" s="172"/>
    </row>
    <row r="650">
      <c r="B650" s="172"/>
      <c r="C650" s="172"/>
    </row>
    <row r="651">
      <c r="B651" s="172"/>
      <c r="C651" s="172"/>
    </row>
    <row r="652">
      <c r="B652" s="172"/>
      <c r="C652" s="172"/>
    </row>
    <row r="653">
      <c r="B653" s="172"/>
      <c r="C653" s="172"/>
    </row>
    <row r="654">
      <c r="B654" s="172"/>
      <c r="C654" s="172"/>
    </row>
    <row r="655">
      <c r="B655" s="172"/>
      <c r="C655" s="172"/>
    </row>
    <row r="656">
      <c r="B656" s="172"/>
      <c r="C656" s="172"/>
    </row>
    <row r="657">
      <c r="B657" s="172"/>
      <c r="C657" s="172"/>
    </row>
    <row r="658">
      <c r="B658" s="172"/>
      <c r="C658" s="172"/>
    </row>
    <row r="659">
      <c r="B659" s="172"/>
      <c r="C659" s="172"/>
    </row>
    <row r="660">
      <c r="B660" s="172"/>
      <c r="C660" s="172"/>
    </row>
    <row r="661">
      <c r="B661" s="172"/>
      <c r="C661" s="172"/>
    </row>
    <row r="662">
      <c r="B662" s="172"/>
      <c r="C662" s="172"/>
    </row>
    <row r="663">
      <c r="B663" s="172"/>
      <c r="C663" s="172"/>
    </row>
    <row r="664">
      <c r="B664" s="172"/>
      <c r="C664" s="172"/>
    </row>
    <row r="665">
      <c r="B665" s="172"/>
      <c r="C665" s="172"/>
    </row>
    <row r="666">
      <c r="B666" s="172"/>
      <c r="C666" s="172"/>
    </row>
    <row r="667">
      <c r="B667" s="172"/>
      <c r="C667" s="172"/>
    </row>
    <row r="668">
      <c r="B668" s="172"/>
      <c r="C668" s="172"/>
    </row>
    <row r="669">
      <c r="B669" s="172"/>
      <c r="C669" s="172"/>
    </row>
    <row r="670">
      <c r="B670" s="172"/>
      <c r="C670" s="172"/>
    </row>
    <row r="671">
      <c r="B671" s="172"/>
      <c r="C671" s="172"/>
    </row>
    <row r="672">
      <c r="B672" s="172"/>
      <c r="C672" s="172"/>
    </row>
    <row r="673">
      <c r="B673" s="172"/>
      <c r="C673" s="172"/>
    </row>
    <row r="674">
      <c r="B674" s="172"/>
      <c r="C674" s="172"/>
    </row>
    <row r="675">
      <c r="B675" s="172"/>
      <c r="C675" s="172"/>
    </row>
    <row r="676">
      <c r="B676" s="172"/>
      <c r="C676" s="172"/>
    </row>
    <row r="677">
      <c r="B677" s="172"/>
      <c r="C677" s="172"/>
    </row>
    <row r="678">
      <c r="B678" s="172"/>
      <c r="C678" s="172"/>
    </row>
    <row r="679">
      <c r="B679" s="172"/>
      <c r="C679" s="172"/>
    </row>
    <row r="680">
      <c r="B680" s="172"/>
      <c r="C680" s="172"/>
    </row>
    <row r="681">
      <c r="B681" s="172"/>
      <c r="C681" s="172"/>
    </row>
    <row r="682">
      <c r="B682" s="172"/>
      <c r="C682" s="172"/>
    </row>
    <row r="683">
      <c r="B683" s="172"/>
      <c r="C683" s="172"/>
    </row>
    <row r="684">
      <c r="B684" s="172"/>
      <c r="C684" s="172"/>
    </row>
    <row r="685">
      <c r="B685" s="172"/>
      <c r="C685" s="172"/>
    </row>
    <row r="686">
      <c r="B686" s="172"/>
      <c r="C686" s="172"/>
    </row>
    <row r="687">
      <c r="B687" s="172"/>
      <c r="C687" s="172"/>
    </row>
    <row r="688">
      <c r="B688" s="172"/>
      <c r="C688" s="172"/>
    </row>
    <row r="689">
      <c r="B689" s="172"/>
      <c r="C689" s="172"/>
    </row>
    <row r="690">
      <c r="B690" s="172"/>
      <c r="C690" s="172"/>
    </row>
    <row r="691">
      <c r="B691" s="172"/>
      <c r="C691" s="172"/>
    </row>
    <row r="692">
      <c r="B692" s="172"/>
      <c r="C692" s="172"/>
    </row>
    <row r="693">
      <c r="B693" s="172"/>
      <c r="C693" s="172"/>
    </row>
    <row r="694">
      <c r="B694" s="172"/>
      <c r="C694" s="172"/>
    </row>
    <row r="695">
      <c r="B695" s="172"/>
      <c r="C695" s="172"/>
    </row>
    <row r="696">
      <c r="B696" s="172"/>
      <c r="C696" s="172"/>
    </row>
    <row r="697">
      <c r="B697" s="172"/>
      <c r="C697" s="172"/>
    </row>
    <row r="698">
      <c r="B698" s="172"/>
      <c r="C698" s="172"/>
    </row>
    <row r="699">
      <c r="B699" s="172"/>
      <c r="C699" s="172"/>
    </row>
    <row r="700">
      <c r="B700" s="172"/>
      <c r="C700" s="172"/>
    </row>
    <row r="701">
      <c r="B701" s="172"/>
      <c r="C701" s="172"/>
    </row>
    <row r="702">
      <c r="B702" s="172"/>
      <c r="C702" s="172"/>
    </row>
    <row r="703">
      <c r="B703" s="172"/>
      <c r="C703" s="172"/>
    </row>
    <row r="704">
      <c r="B704" s="172"/>
      <c r="C704" s="172"/>
    </row>
    <row r="705">
      <c r="B705" s="172"/>
      <c r="C705" s="172"/>
    </row>
    <row r="706">
      <c r="B706" s="172"/>
      <c r="C706" s="172"/>
    </row>
    <row r="707">
      <c r="B707" s="172"/>
      <c r="C707" s="172"/>
    </row>
    <row r="708">
      <c r="B708" s="172"/>
      <c r="C708" s="172"/>
    </row>
    <row r="709">
      <c r="B709" s="172"/>
      <c r="C709" s="172"/>
    </row>
    <row r="710">
      <c r="B710" s="172"/>
      <c r="C710" s="172"/>
    </row>
    <row r="711">
      <c r="B711" s="172"/>
      <c r="C711" s="172"/>
    </row>
    <row r="712">
      <c r="B712" s="172"/>
      <c r="C712" s="172"/>
    </row>
    <row r="713">
      <c r="B713" s="172"/>
      <c r="C713" s="172"/>
    </row>
    <row r="714">
      <c r="B714" s="172"/>
      <c r="C714" s="172"/>
    </row>
    <row r="715">
      <c r="B715" s="172"/>
      <c r="C715" s="172"/>
    </row>
    <row r="716">
      <c r="B716" s="172"/>
      <c r="C716" s="172"/>
    </row>
    <row r="717">
      <c r="B717" s="172"/>
      <c r="C717" s="172"/>
    </row>
    <row r="718">
      <c r="B718" s="172"/>
      <c r="C718" s="172"/>
    </row>
    <row r="719">
      <c r="B719" s="172"/>
      <c r="C719" s="172"/>
    </row>
    <row r="720">
      <c r="B720" s="172"/>
      <c r="C720" s="172"/>
    </row>
    <row r="721">
      <c r="B721" s="172"/>
      <c r="C721" s="172"/>
    </row>
    <row r="722">
      <c r="B722" s="172"/>
      <c r="C722" s="172"/>
    </row>
    <row r="723">
      <c r="B723" s="172"/>
      <c r="C723" s="172"/>
    </row>
    <row r="724">
      <c r="B724" s="172"/>
      <c r="C724" s="172"/>
    </row>
    <row r="725">
      <c r="B725" s="172"/>
      <c r="C725" s="172"/>
    </row>
    <row r="726">
      <c r="B726" s="172"/>
      <c r="C726" s="172"/>
    </row>
    <row r="727">
      <c r="B727" s="172"/>
      <c r="C727" s="172"/>
    </row>
    <row r="728">
      <c r="B728" s="172"/>
      <c r="C728" s="172"/>
    </row>
    <row r="729">
      <c r="B729" s="172"/>
      <c r="C729" s="172"/>
    </row>
    <row r="730">
      <c r="B730" s="172"/>
      <c r="C730" s="172"/>
    </row>
    <row r="731">
      <c r="B731" s="172"/>
      <c r="C731" s="172"/>
    </row>
    <row r="732">
      <c r="B732" s="172"/>
      <c r="C732" s="172"/>
    </row>
    <row r="733">
      <c r="B733" s="172"/>
      <c r="C733" s="172"/>
    </row>
    <row r="734">
      <c r="B734" s="172"/>
      <c r="C734" s="172"/>
    </row>
    <row r="735">
      <c r="B735" s="172"/>
      <c r="C735" s="172"/>
    </row>
    <row r="736">
      <c r="B736" s="172"/>
      <c r="C736" s="172"/>
    </row>
    <row r="737">
      <c r="B737" s="172"/>
      <c r="C737" s="172"/>
    </row>
    <row r="738">
      <c r="B738" s="172"/>
      <c r="C738" s="172"/>
    </row>
    <row r="739">
      <c r="B739" s="172"/>
      <c r="C739" s="172"/>
    </row>
    <row r="740">
      <c r="B740" s="172"/>
      <c r="C740" s="172"/>
    </row>
    <row r="741">
      <c r="B741" s="172"/>
      <c r="C741" s="172"/>
    </row>
    <row r="742">
      <c r="B742" s="172"/>
      <c r="C742" s="172"/>
    </row>
    <row r="743">
      <c r="B743" s="172"/>
      <c r="C743" s="172"/>
    </row>
    <row r="744">
      <c r="B744" s="172"/>
      <c r="C744" s="172"/>
    </row>
    <row r="745">
      <c r="B745" s="172"/>
      <c r="C745" s="172"/>
    </row>
    <row r="746">
      <c r="B746" s="172"/>
      <c r="C746" s="172"/>
    </row>
    <row r="747">
      <c r="B747" s="172"/>
      <c r="C747" s="172"/>
    </row>
    <row r="748">
      <c r="B748" s="172"/>
      <c r="C748" s="172"/>
    </row>
    <row r="749">
      <c r="B749" s="172"/>
      <c r="C749" s="172"/>
    </row>
    <row r="750">
      <c r="B750" s="172"/>
      <c r="C750" s="172"/>
    </row>
    <row r="751">
      <c r="B751" s="172"/>
      <c r="C751" s="172"/>
    </row>
    <row r="752">
      <c r="B752" s="172"/>
      <c r="C752" s="172"/>
    </row>
    <row r="753">
      <c r="B753" s="172"/>
      <c r="C753" s="172"/>
    </row>
    <row r="754">
      <c r="B754" s="172"/>
      <c r="C754" s="172"/>
    </row>
    <row r="755">
      <c r="B755" s="172"/>
      <c r="C755" s="172"/>
    </row>
    <row r="756">
      <c r="B756" s="172"/>
      <c r="C756" s="172"/>
    </row>
    <row r="757">
      <c r="B757" s="172"/>
      <c r="C757" s="172"/>
    </row>
    <row r="758">
      <c r="B758" s="172"/>
      <c r="C758" s="172"/>
    </row>
    <row r="759">
      <c r="B759" s="172"/>
      <c r="C759" s="172"/>
    </row>
    <row r="760">
      <c r="B760" s="172"/>
      <c r="C760" s="172"/>
    </row>
    <row r="761">
      <c r="B761" s="172"/>
      <c r="C761" s="172"/>
    </row>
    <row r="762">
      <c r="B762" s="172"/>
      <c r="C762" s="172"/>
    </row>
    <row r="763">
      <c r="B763" s="172"/>
      <c r="C763" s="172"/>
    </row>
    <row r="764">
      <c r="B764" s="172"/>
      <c r="C764" s="172"/>
    </row>
    <row r="765">
      <c r="B765" s="172"/>
      <c r="C765" s="172"/>
    </row>
    <row r="766">
      <c r="B766" s="172"/>
      <c r="C766" s="172"/>
    </row>
    <row r="767">
      <c r="B767" s="172"/>
      <c r="C767" s="172"/>
    </row>
    <row r="768">
      <c r="B768" s="172"/>
      <c r="C768" s="172"/>
    </row>
    <row r="769">
      <c r="B769" s="172"/>
      <c r="C769" s="172"/>
    </row>
    <row r="770">
      <c r="B770" s="172"/>
      <c r="C770" s="172"/>
    </row>
    <row r="771">
      <c r="B771" s="172"/>
      <c r="C771" s="172"/>
    </row>
    <row r="772">
      <c r="B772" s="172"/>
      <c r="C772" s="172"/>
    </row>
    <row r="773">
      <c r="B773" s="172"/>
      <c r="C773" s="172"/>
    </row>
    <row r="774">
      <c r="B774" s="172"/>
      <c r="C774" s="172"/>
    </row>
    <row r="775">
      <c r="B775" s="172"/>
      <c r="C775" s="172"/>
    </row>
    <row r="776">
      <c r="B776" s="172"/>
      <c r="C776" s="172"/>
    </row>
    <row r="777">
      <c r="B777" s="172"/>
      <c r="C777" s="172"/>
    </row>
    <row r="778">
      <c r="B778" s="172"/>
      <c r="C778" s="172"/>
    </row>
    <row r="779">
      <c r="B779" s="172"/>
      <c r="C779" s="172"/>
    </row>
    <row r="780">
      <c r="B780" s="172"/>
      <c r="C780" s="172"/>
    </row>
    <row r="781">
      <c r="B781" s="172"/>
      <c r="C781" s="172"/>
    </row>
    <row r="782">
      <c r="B782" s="172"/>
      <c r="C782" s="172"/>
    </row>
    <row r="783">
      <c r="B783" s="172"/>
      <c r="C783" s="172"/>
    </row>
    <row r="784">
      <c r="B784" s="172"/>
      <c r="C784" s="172"/>
    </row>
    <row r="785">
      <c r="B785" s="172"/>
      <c r="C785" s="172"/>
    </row>
    <row r="786">
      <c r="B786" s="172"/>
      <c r="C786" s="172"/>
    </row>
    <row r="787">
      <c r="B787" s="172"/>
      <c r="C787" s="172"/>
    </row>
    <row r="788">
      <c r="B788" s="172"/>
      <c r="C788" s="172"/>
    </row>
    <row r="789">
      <c r="B789" s="172"/>
      <c r="C789" s="172"/>
    </row>
    <row r="790">
      <c r="B790" s="172"/>
      <c r="C790" s="172"/>
    </row>
    <row r="791">
      <c r="B791" s="172"/>
      <c r="C791" s="172"/>
    </row>
    <row r="792">
      <c r="B792" s="172"/>
      <c r="C792" s="172"/>
    </row>
    <row r="793">
      <c r="B793" s="172"/>
      <c r="C793" s="172"/>
    </row>
    <row r="794">
      <c r="B794" s="172"/>
      <c r="C794" s="172"/>
    </row>
    <row r="795">
      <c r="B795" s="172"/>
      <c r="C795" s="172"/>
    </row>
    <row r="796">
      <c r="B796" s="172"/>
      <c r="C796" s="172"/>
    </row>
    <row r="797">
      <c r="B797" s="172"/>
      <c r="C797" s="172"/>
    </row>
    <row r="798">
      <c r="B798" s="172"/>
      <c r="C798" s="172"/>
    </row>
    <row r="799">
      <c r="B799" s="172"/>
      <c r="C799" s="172"/>
    </row>
    <row r="800">
      <c r="B800" s="172"/>
      <c r="C800" s="172"/>
    </row>
    <row r="801">
      <c r="B801" s="172"/>
      <c r="C801" s="172"/>
    </row>
    <row r="802">
      <c r="B802" s="172"/>
      <c r="C802" s="172"/>
    </row>
    <row r="803">
      <c r="B803" s="172"/>
      <c r="C803" s="172"/>
    </row>
    <row r="804">
      <c r="B804" s="172"/>
      <c r="C804" s="172"/>
    </row>
    <row r="805">
      <c r="B805" s="172"/>
      <c r="C805" s="172"/>
    </row>
    <row r="806">
      <c r="B806" s="172"/>
      <c r="C806" s="172"/>
    </row>
    <row r="807">
      <c r="B807" s="172"/>
      <c r="C807" s="172"/>
    </row>
    <row r="808">
      <c r="B808" s="172"/>
      <c r="C808" s="172"/>
    </row>
    <row r="809">
      <c r="B809" s="172"/>
      <c r="C809" s="172"/>
    </row>
    <row r="810">
      <c r="B810" s="172"/>
      <c r="C810" s="172"/>
    </row>
    <row r="811">
      <c r="B811" s="172"/>
      <c r="C811" s="172"/>
    </row>
    <row r="812">
      <c r="B812" s="172"/>
      <c r="C812" s="172"/>
    </row>
    <row r="813">
      <c r="B813" s="172"/>
      <c r="C813" s="172"/>
    </row>
    <row r="814">
      <c r="B814" s="172"/>
      <c r="C814" s="172"/>
    </row>
    <row r="815">
      <c r="B815" s="172"/>
      <c r="C815" s="172"/>
    </row>
    <row r="816">
      <c r="B816" s="172"/>
      <c r="C816" s="172"/>
    </row>
    <row r="817">
      <c r="B817" s="172"/>
      <c r="C817" s="172"/>
    </row>
    <row r="818">
      <c r="B818" s="172"/>
      <c r="C818" s="172"/>
    </row>
    <row r="819">
      <c r="B819" s="172"/>
      <c r="C819" s="172"/>
    </row>
    <row r="820">
      <c r="B820" s="172"/>
      <c r="C820" s="172"/>
    </row>
    <row r="821">
      <c r="B821" s="172"/>
      <c r="C821" s="172"/>
    </row>
    <row r="822">
      <c r="B822" s="172"/>
      <c r="C822" s="172"/>
    </row>
    <row r="823">
      <c r="B823" s="172"/>
      <c r="C823" s="172"/>
    </row>
    <row r="824">
      <c r="B824" s="172"/>
      <c r="C824" s="172"/>
    </row>
    <row r="825">
      <c r="B825" s="172"/>
      <c r="C825" s="172"/>
    </row>
    <row r="826">
      <c r="B826" s="172"/>
      <c r="C826" s="172"/>
    </row>
    <row r="827">
      <c r="B827" s="172"/>
      <c r="C827" s="172"/>
    </row>
    <row r="828">
      <c r="B828" s="172"/>
      <c r="C828" s="172"/>
    </row>
    <row r="829">
      <c r="B829" s="172"/>
      <c r="C829" s="172"/>
    </row>
    <row r="830">
      <c r="B830" s="172"/>
      <c r="C830" s="172"/>
    </row>
    <row r="831">
      <c r="B831" s="172"/>
      <c r="C831" s="172"/>
    </row>
    <row r="832">
      <c r="B832" s="172"/>
      <c r="C832" s="172"/>
    </row>
    <row r="833">
      <c r="B833" s="172"/>
      <c r="C833" s="172"/>
    </row>
    <row r="834">
      <c r="B834" s="172"/>
      <c r="C834" s="172"/>
    </row>
    <row r="835">
      <c r="B835" s="172"/>
      <c r="C835" s="172"/>
    </row>
    <row r="836">
      <c r="B836" s="172"/>
      <c r="C836" s="172"/>
    </row>
    <row r="837">
      <c r="B837" s="172"/>
      <c r="C837" s="172"/>
    </row>
    <row r="838">
      <c r="B838" s="172"/>
      <c r="C838" s="172"/>
    </row>
    <row r="839">
      <c r="B839" s="172"/>
      <c r="C839" s="172"/>
    </row>
    <row r="840">
      <c r="B840" s="172"/>
      <c r="C840" s="172"/>
    </row>
    <row r="841">
      <c r="B841" s="172"/>
      <c r="C841" s="172"/>
    </row>
    <row r="842">
      <c r="B842" s="172"/>
      <c r="C842" s="172"/>
    </row>
    <row r="843">
      <c r="B843" s="172"/>
      <c r="C843" s="172"/>
    </row>
    <row r="844">
      <c r="B844" s="172"/>
      <c r="C844" s="172"/>
    </row>
    <row r="845">
      <c r="B845" s="172"/>
      <c r="C845" s="172"/>
    </row>
    <row r="846">
      <c r="B846" s="172"/>
      <c r="C846" s="172"/>
    </row>
    <row r="847">
      <c r="B847" s="172"/>
      <c r="C847" s="172"/>
    </row>
    <row r="848">
      <c r="B848" s="172"/>
      <c r="C848" s="172"/>
    </row>
    <row r="849">
      <c r="B849" s="172"/>
      <c r="C849" s="172"/>
    </row>
    <row r="850">
      <c r="B850" s="172"/>
      <c r="C850" s="172"/>
    </row>
    <row r="851">
      <c r="B851" s="172"/>
      <c r="C851" s="172"/>
    </row>
    <row r="852">
      <c r="B852" s="172"/>
      <c r="C852" s="172"/>
    </row>
    <row r="853">
      <c r="B853" s="172"/>
      <c r="C853" s="172"/>
    </row>
    <row r="854">
      <c r="B854" s="172"/>
      <c r="C854" s="172"/>
    </row>
    <row r="855">
      <c r="B855" s="172"/>
      <c r="C855" s="172"/>
    </row>
    <row r="856">
      <c r="B856" s="172"/>
      <c r="C856" s="172"/>
    </row>
    <row r="857">
      <c r="B857" s="172"/>
      <c r="C857" s="172"/>
    </row>
    <row r="858">
      <c r="B858" s="172"/>
      <c r="C858" s="172"/>
    </row>
    <row r="859">
      <c r="B859" s="172"/>
      <c r="C859" s="172"/>
    </row>
    <row r="860">
      <c r="B860" s="172"/>
      <c r="C860" s="172"/>
    </row>
    <row r="861">
      <c r="B861" s="172"/>
      <c r="C861" s="172"/>
    </row>
    <row r="862">
      <c r="B862" s="172"/>
      <c r="C862" s="172"/>
    </row>
    <row r="863">
      <c r="B863" s="172"/>
      <c r="C863" s="172"/>
    </row>
    <row r="864">
      <c r="B864" s="172"/>
      <c r="C864" s="172"/>
    </row>
    <row r="865">
      <c r="B865" s="172"/>
      <c r="C865" s="172"/>
    </row>
    <row r="866">
      <c r="B866" s="172"/>
      <c r="C866" s="172"/>
    </row>
    <row r="867">
      <c r="B867" s="172"/>
      <c r="C867" s="172"/>
    </row>
    <row r="868">
      <c r="B868" s="172"/>
      <c r="C868" s="172"/>
    </row>
    <row r="869">
      <c r="B869" s="172"/>
      <c r="C869" s="172"/>
    </row>
    <row r="870">
      <c r="B870" s="172"/>
      <c r="C870" s="172"/>
    </row>
    <row r="871">
      <c r="B871" s="172"/>
      <c r="C871" s="172"/>
    </row>
    <row r="872">
      <c r="B872" s="172"/>
      <c r="C872" s="172"/>
    </row>
    <row r="873">
      <c r="B873" s="172"/>
      <c r="C873" s="172"/>
    </row>
    <row r="874">
      <c r="B874" s="172"/>
      <c r="C874" s="172"/>
    </row>
    <row r="875">
      <c r="B875" s="172"/>
      <c r="C875" s="172"/>
    </row>
    <row r="876">
      <c r="B876" s="172"/>
      <c r="C876" s="172"/>
    </row>
    <row r="877">
      <c r="B877" s="172"/>
      <c r="C877" s="172"/>
    </row>
    <row r="878">
      <c r="B878" s="172"/>
      <c r="C878" s="172"/>
    </row>
    <row r="879">
      <c r="B879" s="172"/>
      <c r="C879" s="172"/>
    </row>
    <row r="880">
      <c r="B880" s="172"/>
      <c r="C880" s="172"/>
    </row>
    <row r="881">
      <c r="B881" s="172"/>
      <c r="C881" s="172"/>
    </row>
    <row r="882">
      <c r="B882" s="172"/>
      <c r="C882" s="172"/>
    </row>
    <row r="883">
      <c r="B883" s="172"/>
      <c r="C883" s="172"/>
    </row>
    <row r="884">
      <c r="B884" s="172"/>
      <c r="C884" s="172"/>
    </row>
    <row r="885">
      <c r="B885" s="172"/>
      <c r="C885" s="172"/>
    </row>
    <row r="886">
      <c r="B886" s="172"/>
      <c r="C886" s="172"/>
    </row>
    <row r="887">
      <c r="B887" s="172"/>
      <c r="C887" s="172"/>
    </row>
    <row r="888">
      <c r="B888" s="172"/>
      <c r="C888" s="172"/>
    </row>
    <row r="889">
      <c r="B889" s="172"/>
      <c r="C889" s="172"/>
    </row>
    <row r="890">
      <c r="B890" s="172"/>
      <c r="C890" s="172"/>
    </row>
    <row r="891">
      <c r="B891" s="172"/>
      <c r="C891" s="172"/>
    </row>
    <row r="892">
      <c r="B892" s="172"/>
      <c r="C892" s="172"/>
    </row>
    <row r="893">
      <c r="B893" s="172"/>
      <c r="C893" s="172"/>
    </row>
    <row r="894">
      <c r="B894" s="172"/>
      <c r="C894" s="172"/>
    </row>
    <row r="895">
      <c r="B895" s="172"/>
      <c r="C895" s="172"/>
    </row>
    <row r="896">
      <c r="B896" s="172"/>
      <c r="C896" s="172"/>
    </row>
    <row r="897">
      <c r="B897" s="172"/>
      <c r="C897" s="172"/>
    </row>
    <row r="898">
      <c r="B898" s="172"/>
      <c r="C898" s="172"/>
    </row>
    <row r="899">
      <c r="B899" s="172"/>
      <c r="C899" s="172"/>
    </row>
    <row r="900">
      <c r="B900" s="172"/>
      <c r="C900" s="172"/>
    </row>
    <row r="901">
      <c r="B901" s="172"/>
      <c r="C901" s="172"/>
    </row>
    <row r="902">
      <c r="B902" s="172"/>
      <c r="C902" s="172"/>
    </row>
    <row r="903">
      <c r="B903" s="172"/>
      <c r="C903" s="172"/>
    </row>
    <row r="904">
      <c r="B904" s="172"/>
      <c r="C904" s="172"/>
    </row>
    <row r="905">
      <c r="B905" s="172"/>
      <c r="C905" s="172"/>
    </row>
    <row r="906">
      <c r="B906" s="172"/>
      <c r="C906" s="172"/>
    </row>
    <row r="907">
      <c r="B907" s="172"/>
      <c r="C907" s="172"/>
    </row>
    <row r="908">
      <c r="B908" s="172"/>
      <c r="C908" s="172"/>
    </row>
    <row r="909">
      <c r="B909" s="172"/>
      <c r="C909" s="172"/>
    </row>
    <row r="910">
      <c r="B910" s="172"/>
      <c r="C910" s="172"/>
    </row>
    <row r="911">
      <c r="B911" s="172"/>
      <c r="C911" s="172"/>
    </row>
    <row r="912">
      <c r="B912" s="172"/>
      <c r="C912" s="172"/>
    </row>
    <row r="913">
      <c r="B913" s="172"/>
      <c r="C913" s="172"/>
    </row>
    <row r="914">
      <c r="B914" s="172"/>
      <c r="C914" s="172"/>
    </row>
    <row r="915">
      <c r="B915" s="172"/>
      <c r="C915" s="172"/>
    </row>
    <row r="916">
      <c r="B916" s="172"/>
      <c r="C916" s="172"/>
    </row>
    <row r="917">
      <c r="B917" s="172"/>
      <c r="C917" s="172"/>
    </row>
    <row r="918">
      <c r="B918" s="172"/>
      <c r="C918" s="172"/>
    </row>
    <row r="919">
      <c r="B919" s="172"/>
      <c r="C919" s="172"/>
    </row>
    <row r="920">
      <c r="B920" s="172"/>
      <c r="C920" s="172"/>
    </row>
    <row r="921">
      <c r="B921" s="172"/>
      <c r="C921" s="172"/>
    </row>
    <row r="922">
      <c r="B922" s="172"/>
      <c r="C922" s="172"/>
    </row>
    <row r="923">
      <c r="B923" s="172"/>
      <c r="C923" s="172"/>
    </row>
    <row r="924">
      <c r="B924" s="172"/>
      <c r="C924" s="172"/>
    </row>
    <row r="925">
      <c r="B925" s="172"/>
      <c r="C925" s="172"/>
    </row>
    <row r="926">
      <c r="B926" s="172"/>
      <c r="C926" s="172"/>
    </row>
    <row r="927">
      <c r="B927" s="172"/>
      <c r="C927" s="172"/>
    </row>
    <row r="928">
      <c r="B928" s="172"/>
      <c r="C928" s="172"/>
    </row>
    <row r="929">
      <c r="B929" s="172"/>
      <c r="C929" s="172"/>
    </row>
    <row r="930">
      <c r="B930" s="172"/>
      <c r="C930" s="172"/>
    </row>
    <row r="931">
      <c r="B931" s="172"/>
      <c r="C931" s="172"/>
    </row>
    <row r="932">
      <c r="B932" s="172"/>
      <c r="C932" s="172"/>
    </row>
    <row r="933">
      <c r="B933" s="172"/>
      <c r="C933" s="172"/>
    </row>
    <row r="934">
      <c r="B934" s="172"/>
      <c r="C934" s="172"/>
    </row>
    <row r="935">
      <c r="B935" s="172"/>
      <c r="C935" s="172"/>
    </row>
    <row r="936">
      <c r="B936" s="172"/>
      <c r="C936" s="172"/>
    </row>
    <row r="937">
      <c r="B937" s="172"/>
      <c r="C937" s="172"/>
    </row>
    <row r="938">
      <c r="B938" s="172"/>
      <c r="C938" s="172"/>
    </row>
    <row r="939">
      <c r="B939" s="172"/>
      <c r="C939" s="172"/>
    </row>
    <row r="940">
      <c r="B940" s="172"/>
      <c r="C940" s="172"/>
    </row>
    <row r="941">
      <c r="B941" s="172"/>
      <c r="C941" s="172"/>
    </row>
    <row r="942">
      <c r="B942" s="172"/>
      <c r="C942" s="172"/>
    </row>
    <row r="943">
      <c r="B943" s="172"/>
      <c r="C943" s="172"/>
    </row>
    <row r="944">
      <c r="B944" s="172"/>
      <c r="C944" s="172"/>
    </row>
    <row r="945">
      <c r="B945" s="172"/>
      <c r="C945" s="172"/>
    </row>
    <row r="946">
      <c r="B946" s="172"/>
      <c r="C946" s="172"/>
    </row>
    <row r="947">
      <c r="B947" s="172"/>
      <c r="C947" s="172"/>
    </row>
    <row r="948">
      <c r="B948" s="172"/>
      <c r="C948" s="172"/>
    </row>
    <row r="949">
      <c r="B949" s="172"/>
      <c r="C949" s="172"/>
    </row>
    <row r="950">
      <c r="B950" s="172"/>
      <c r="C950" s="172"/>
    </row>
    <row r="951">
      <c r="B951" s="172"/>
      <c r="C951" s="172"/>
    </row>
    <row r="952">
      <c r="B952" s="172"/>
      <c r="C952" s="172"/>
    </row>
    <row r="953">
      <c r="B953" s="172"/>
      <c r="C953" s="172"/>
    </row>
    <row r="954">
      <c r="B954" s="172"/>
      <c r="C954" s="172"/>
    </row>
    <row r="955">
      <c r="B955" s="172"/>
      <c r="C955" s="172"/>
    </row>
    <row r="956">
      <c r="B956" s="172"/>
      <c r="C956" s="172"/>
    </row>
    <row r="957">
      <c r="B957" s="172"/>
      <c r="C957" s="172"/>
    </row>
    <row r="958">
      <c r="B958" s="172"/>
      <c r="C958" s="172"/>
    </row>
    <row r="959">
      <c r="B959" s="172"/>
      <c r="C959" s="172"/>
    </row>
    <row r="960">
      <c r="B960" s="172"/>
      <c r="C960" s="172"/>
    </row>
    <row r="961">
      <c r="B961" s="172"/>
      <c r="C961" s="172"/>
    </row>
    <row r="962">
      <c r="B962" s="172"/>
      <c r="C962" s="172"/>
    </row>
    <row r="963">
      <c r="B963" s="172"/>
      <c r="C963" s="172"/>
    </row>
    <row r="964">
      <c r="B964" s="172"/>
      <c r="C964" s="172"/>
    </row>
    <row r="965">
      <c r="B965" s="172"/>
      <c r="C965" s="172"/>
    </row>
    <row r="966">
      <c r="B966" s="172"/>
      <c r="C966" s="172"/>
    </row>
    <row r="967">
      <c r="B967" s="172"/>
      <c r="C967" s="172"/>
    </row>
    <row r="968">
      <c r="B968" s="172"/>
      <c r="C968" s="172"/>
    </row>
    <row r="969">
      <c r="B969" s="172"/>
      <c r="C969" s="172"/>
    </row>
    <row r="970">
      <c r="B970" s="172"/>
      <c r="C970" s="172"/>
    </row>
    <row r="971">
      <c r="B971" s="172"/>
      <c r="C971" s="172"/>
    </row>
    <row r="972">
      <c r="B972" s="172"/>
      <c r="C972" s="172"/>
    </row>
    <row r="973">
      <c r="B973" s="172"/>
      <c r="C973" s="172"/>
    </row>
    <row r="974">
      <c r="B974" s="172"/>
      <c r="C974" s="172"/>
    </row>
    <row r="975">
      <c r="B975" s="172"/>
      <c r="C975" s="172"/>
    </row>
    <row r="976">
      <c r="B976" s="172"/>
      <c r="C976" s="172"/>
    </row>
    <row r="977">
      <c r="B977" s="172"/>
      <c r="C977" s="172"/>
    </row>
    <row r="978">
      <c r="B978" s="172"/>
      <c r="C978" s="172"/>
    </row>
    <row r="979">
      <c r="B979" s="172"/>
      <c r="C979" s="172"/>
    </row>
    <row r="980">
      <c r="B980" s="172"/>
      <c r="C980" s="172"/>
    </row>
    <row r="981">
      <c r="B981" s="172"/>
      <c r="C981" s="172"/>
    </row>
    <row r="982">
      <c r="B982" s="172"/>
      <c r="C982" s="172"/>
    </row>
    <row r="983">
      <c r="B983" s="172"/>
      <c r="C983" s="172"/>
    </row>
    <row r="984">
      <c r="B984" s="172"/>
      <c r="C984" s="172"/>
    </row>
    <row r="985">
      <c r="B985" s="172"/>
      <c r="C985" s="172"/>
    </row>
    <row r="986">
      <c r="B986" s="172"/>
      <c r="C986" s="172"/>
    </row>
    <row r="987">
      <c r="B987" s="172"/>
      <c r="C987" s="172"/>
    </row>
    <row r="988">
      <c r="B988" s="172"/>
      <c r="C988" s="172"/>
    </row>
    <row r="989">
      <c r="B989" s="172"/>
      <c r="C989" s="172"/>
    </row>
    <row r="990">
      <c r="B990" s="172"/>
      <c r="C990" s="172"/>
    </row>
    <row r="991">
      <c r="B991" s="172"/>
      <c r="C991" s="172"/>
    </row>
    <row r="992">
      <c r="B992" s="172"/>
      <c r="C992" s="172"/>
    </row>
    <row r="993">
      <c r="B993" s="172"/>
      <c r="C993" s="172"/>
    </row>
    <row r="994">
      <c r="B994" s="172"/>
      <c r="C994" s="172"/>
    </row>
    <row r="995">
      <c r="B995" s="172"/>
      <c r="C995" s="172"/>
    </row>
    <row r="996">
      <c r="B996" s="172"/>
      <c r="C996" s="172"/>
    </row>
    <row r="997">
      <c r="B997" s="172"/>
      <c r="C997" s="172"/>
    </row>
    <row r="998">
      <c r="B998" s="172"/>
      <c r="C998" s="172"/>
    </row>
    <row r="999">
      <c r="B999" s="172"/>
      <c r="C999" s="172"/>
    </row>
    <row r="1000">
      <c r="B1000" s="172"/>
      <c r="C1000" s="17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82" t="s">
        <v>2673</v>
      </c>
      <c r="B1" s="82" t="s">
        <v>2674</v>
      </c>
      <c r="C1" s="82" t="s">
        <v>2675</v>
      </c>
      <c r="D1" s="82" t="s">
        <v>2676</v>
      </c>
      <c r="E1" s="82" t="s">
        <v>2677</v>
      </c>
      <c r="F1" s="82" t="s">
        <v>2678</v>
      </c>
      <c r="G1" s="82" t="s">
        <v>2679</v>
      </c>
      <c r="H1" s="82" t="s">
        <v>2680</v>
      </c>
      <c r="I1" s="82" t="s">
        <v>2681</v>
      </c>
      <c r="J1" s="82"/>
      <c r="K1" s="82" t="s">
        <v>2682</v>
      </c>
      <c r="L1" s="87">
        <f>SUM('PROD SSoT MRV Sheet'!BT29:BT51)</f>
        <v>40796.01441</v>
      </c>
    </row>
    <row r="2">
      <c r="A2" s="538">
        <f>'PROD SSoT MRV Sheet'!A29</f>
        <v>300007</v>
      </c>
      <c r="B2" s="539">
        <f>'PROD SSoT MRV Sheet'!BS29</f>
        <v>35546.31637</v>
      </c>
      <c r="C2" s="87">
        <f>'PROD SSoT MRV Sheet'!AB29</f>
        <v>4310.7</v>
      </c>
      <c r="D2" s="311">
        <f>C2/'PROD SSoT MRV Sheet'!AP29</f>
        <v>0.1173900676</v>
      </c>
      <c r="E2" s="87">
        <f t="shared" ref="E2:E24" si="1">B2*(1-D2)</f>
        <v>31373.53189</v>
      </c>
      <c r="F2" s="87">
        <f t="shared" ref="F2:F24" si="2">E2*$L$5</f>
        <v>1903.059492</v>
      </c>
      <c r="G2" s="87">
        <f t="shared" ref="G2:G24" si="3">SUM(F2,E2)</f>
        <v>33276.59138</v>
      </c>
      <c r="H2" s="87">
        <f t="shared" ref="H2:H24" si="4">G2/1000</f>
        <v>33.27659138</v>
      </c>
      <c r="I2" s="87">
        <f t="shared" ref="I2:I24" si="5">SUMIF($D$30:$D$93,A2,$E$30:$E$93)</f>
        <v>33.27659138</v>
      </c>
      <c r="J2" s="82"/>
      <c r="K2" s="82" t="s">
        <v>2683</v>
      </c>
      <c r="L2" s="87">
        <f>SUM('PROD SSoT MRV Sheet'!AP29:AP51)</f>
        <v>840695.6434</v>
      </c>
    </row>
    <row r="3">
      <c r="A3" s="538">
        <f>'PROD SSoT MRV Sheet'!A30</f>
        <v>200075</v>
      </c>
      <c r="B3" s="539">
        <f>'PROD SSoT MRV Sheet'!BS30</f>
        <v>36162.96686</v>
      </c>
      <c r="C3" s="1">
        <v>0.0</v>
      </c>
      <c r="D3" s="311">
        <f>C3/'PROD SSoT MRV Sheet'!AP30</f>
        <v>0</v>
      </c>
      <c r="E3" s="87">
        <f t="shared" si="1"/>
        <v>36162.96686</v>
      </c>
      <c r="F3" s="87">
        <f t="shared" si="2"/>
        <v>2193.577617</v>
      </c>
      <c r="G3" s="87">
        <f t="shared" si="3"/>
        <v>38356.54448</v>
      </c>
      <c r="H3" s="87">
        <f t="shared" si="4"/>
        <v>38.35654448</v>
      </c>
      <c r="I3" s="87">
        <f t="shared" si="5"/>
        <v>38.37654448</v>
      </c>
      <c r="J3" s="82"/>
      <c r="K3" s="82" t="s">
        <v>2684</v>
      </c>
      <c r="L3" s="174">
        <f>L1/L2</f>
        <v>0.04852649675</v>
      </c>
    </row>
    <row r="4">
      <c r="A4" s="538">
        <f>'PROD SSoT MRV Sheet'!A31</f>
        <v>300008</v>
      </c>
      <c r="B4" s="539">
        <f>'PROD SSoT MRV Sheet'!BS31</f>
        <v>34506.98987</v>
      </c>
      <c r="C4" s="284">
        <f>'PROD SSoT MRV Sheet'!AH31</f>
        <v>3531.649</v>
      </c>
      <c r="D4" s="311">
        <f>C4/'PROD SSoT MRV Sheet'!AP31</f>
        <v>0.09843972765</v>
      </c>
      <c r="E4" s="87">
        <f t="shared" si="1"/>
        <v>31110.13118</v>
      </c>
      <c r="F4" s="87">
        <f t="shared" si="2"/>
        <v>1887.0821</v>
      </c>
      <c r="G4" s="87">
        <f t="shared" si="3"/>
        <v>32997.21328</v>
      </c>
      <c r="H4" s="87">
        <f t="shared" si="4"/>
        <v>32.99721328</v>
      </c>
      <c r="I4" s="87">
        <f t="shared" si="5"/>
        <v>32.99721328</v>
      </c>
      <c r="J4" s="82"/>
      <c r="K4" s="82" t="s">
        <v>2685</v>
      </c>
      <c r="L4" s="311">
        <v>0.25</v>
      </c>
    </row>
    <row r="5">
      <c r="A5" s="538">
        <f>'PROD SSoT MRV Sheet'!A32</f>
        <v>200076</v>
      </c>
      <c r="B5" s="539">
        <f>'PROD SSoT MRV Sheet'!BS32</f>
        <v>34104.34451</v>
      </c>
      <c r="C5" s="1">
        <v>0.0</v>
      </c>
      <c r="D5" s="311">
        <f>C5/'PROD SSoT MRV Sheet'!AP32</f>
        <v>0</v>
      </c>
      <c r="E5" s="87">
        <f t="shared" si="1"/>
        <v>34104.34451</v>
      </c>
      <c r="F5" s="87">
        <f t="shared" si="2"/>
        <v>2068.705454</v>
      </c>
      <c r="G5" s="87">
        <f t="shared" si="3"/>
        <v>36173.04997</v>
      </c>
      <c r="H5" s="87">
        <f t="shared" si="4"/>
        <v>36.17304997</v>
      </c>
      <c r="I5" s="87">
        <f t="shared" si="5"/>
        <v>36.17304997</v>
      </c>
      <c r="J5" s="82"/>
      <c r="K5" s="82" t="s">
        <v>2686</v>
      </c>
      <c r="L5" s="174">
        <f>L3*(1+L4)</f>
        <v>0.06065812094</v>
      </c>
    </row>
    <row r="6">
      <c r="A6" s="538">
        <f>'PROD SSoT MRV Sheet'!A33</f>
        <v>300009</v>
      </c>
      <c r="B6" s="539">
        <f>'PROD SSoT MRV Sheet'!BS33</f>
        <v>33834.72889</v>
      </c>
      <c r="C6" s="87">
        <f>'PROD SSoT MRV Sheet'!AB33</f>
        <v>3804.748565</v>
      </c>
      <c r="D6" s="311">
        <f>C6/'PROD SSoT MRV Sheet'!AP33</f>
        <v>0.1052475231</v>
      </c>
      <c r="E6" s="87">
        <f t="shared" si="1"/>
        <v>30273.70748</v>
      </c>
      <c r="F6" s="87">
        <f t="shared" si="2"/>
        <v>1836.34621</v>
      </c>
      <c r="G6" s="87">
        <f t="shared" si="3"/>
        <v>32110.05369</v>
      </c>
      <c r="H6" s="87">
        <f t="shared" si="4"/>
        <v>32.11005369</v>
      </c>
      <c r="I6" s="87">
        <f t="shared" si="5"/>
        <v>32.11005369</v>
      </c>
      <c r="J6" s="540"/>
    </row>
    <row r="7">
      <c r="A7" s="538">
        <f>'PROD SSoT MRV Sheet'!A34</f>
        <v>200077</v>
      </c>
      <c r="B7" s="539">
        <f>'PROD SSoT MRV Sheet'!BS34</f>
        <v>34344.93019</v>
      </c>
      <c r="C7" s="1">
        <v>0.0</v>
      </c>
      <c r="D7" s="311">
        <f>C7/'PROD SSoT MRV Sheet'!AP34</f>
        <v>0</v>
      </c>
      <c r="E7" s="87">
        <f t="shared" si="1"/>
        <v>34344.93019</v>
      </c>
      <c r="F7" s="87">
        <f t="shared" si="2"/>
        <v>2083.298929</v>
      </c>
      <c r="G7" s="87">
        <f t="shared" si="3"/>
        <v>36428.22912</v>
      </c>
      <c r="H7" s="87">
        <f t="shared" si="4"/>
        <v>36.42822912</v>
      </c>
      <c r="I7" s="87">
        <f t="shared" si="5"/>
        <v>36.42822912</v>
      </c>
      <c r="J7" s="82"/>
    </row>
    <row r="8">
      <c r="A8" s="538">
        <f>'PROD SSoT MRV Sheet'!A35</f>
        <v>300010</v>
      </c>
      <c r="B8" s="539">
        <f>'PROD SSoT MRV Sheet'!BS35</f>
        <v>33207.17403</v>
      </c>
      <c r="C8" s="87">
        <f>'PROD SSoT MRV Sheet'!AB35</f>
        <v>4656.9</v>
      </c>
      <c r="D8" s="311">
        <f>C8/'PROD SSoT MRV Sheet'!AP35</f>
        <v>0.1349061639</v>
      </c>
      <c r="E8" s="87">
        <f t="shared" si="1"/>
        <v>28727.32156</v>
      </c>
      <c r="F8" s="87">
        <f t="shared" si="2"/>
        <v>1742.545346</v>
      </c>
      <c r="G8" s="87">
        <f t="shared" si="3"/>
        <v>30469.86691</v>
      </c>
      <c r="H8" s="87">
        <f t="shared" si="4"/>
        <v>30.46986691</v>
      </c>
      <c r="I8" s="87">
        <f t="shared" si="5"/>
        <v>30.46986691</v>
      </c>
      <c r="J8" s="82"/>
    </row>
    <row r="9">
      <c r="A9" s="538">
        <f>'PROD SSoT MRV Sheet'!A36</f>
        <v>200078</v>
      </c>
      <c r="B9" s="539">
        <f>'PROD SSoT MRV Sheet'!BS36</f>
        <v>34833.21389</v>
      </c>
      <c r="C9" s="1">
        <v>0.0</v>
      </c>
      <c r="D9" s="311">
        <f>C9/'PROD SSoT MRV Sheet'!AP36</f>
        <v>0</v>
      </c>
      <c r="E9" s="87">
        <f t="shared" si="1"/>
        <v>34833.21389</v>
      </c>
      <c r="F9" s="87">
        <f t="shared" si="2"/>
        <v>2112.917301</v>
      </c>
      <c r="G9" s="87">
        <f t="shared" si="3"/>
        <v>36946.13119</v>
      </c>
      <c r="H9" s="87">
        <f t="shared" si="4"/>
        <v>36.94613119</v>
      </c>
      <c r="I9" s="87">
        <f t="shared" si="5"/>
        <v>36.94613119</v>
      </c>
      <c r="J9" s="82"/>
    </row>
    <row r="10">
      <c r="A10" s="538">
        <f>'PROD SSoT MRV Sheet'!A37</f>
        <v>300011</v>
      </c>
      <c r="B10" s="539">
        <f>'PROD SSoT MRV Sheet'!BS37</f>
        <v>34514.79166</v>
      </c>
      <c r="C10" s="284">
        <f>'PROD SSoT MRV Sheet'!AH37</f>
        <v>4783.8</v>
      </c>
      <c r="D10" s="311">
        <f>C10/'PROD SSoT MRV Sheet'!AP37</f>
        <v>0.1303895724</v>
      </c>
      <c r="E10" s="87">
        <f t="shared" si="1"/>
        <v>30014.42274</v>
      </c>
      <c r="F10" s="87">
        <f t="shared" si="2"/>
        <v>1820.618484</v>
      </c>
      <c r="G10" s="87">
        <f t="shared" si="3"/>
        <v>31835.04122</v>
      </c>
      <c r="H10" s="87">
        <f t="shared" si="4"/>
        <v>31.83504122</v>
      </c>
      <c r="I10" s="87">
        <f t="shared" si="5"/>
        <v>31.83504122</v>
      </c>
      <c r="J10" s="82"/>
    </row>
    <row r="11">
      <c r="A11" s="538">
        <f>'PROD SSoT MRV Sheet'!A38</f>
        <v>200079</v>
      </c>
      <c r="B11" s="539">
        <f>'PROD SSoT MRV Sheet'!BS38</f>
        <v>33055.43813</v>
      </c>
      <c r="C11" s="1">
        <v>0.0</v>
      </c>
      <c r="D11" s="311">
        <f>C11/'PROD SSoT MRV Sheet'!AP38</f>
        <v>0</v>
      </c>
      <c r="E11" s="87">
        <f t="shared" si="1"/>
        <v>33055.43813</v>
      </c>
      <c r="F11" s="87">
        <f t="shared" si="2"/>
        <v>2005.080764</v>
      </c>
      <c r="G11" s="87">
        <f t="shared" si="3"/>
        <v>35060.51889</v>
      </c>
      <c r="H11" s="87">
        <f t="shared" si="4"/>
        <v>35.06051889</v>
      </c>
      <c r="I11" s="87">
        <f t="shared" si="5"/>
        <v>35.06051889</v>
      </c>
      <c r="J11" s="82"/>
    </row>
    <row r="12">
      <c r="A12" s="538">
        <f>'PROD SSoT MRV Sheet'!A39</f>
        <v>300012</v>
      </c>
      <c r="B12" s="539">
        <f>'PROD SSoT MRV Sheet'!BS39</f>
        <v>35505.76517</v>
      </c>
      <c r="C12" s="87">
        <f>'PROD SSoT MRV Sheet'!AB39</f>
        <v>4905.757</v>
      </c>
      <c r="D12" s="311">
        <f>C12/'PROD SSoT MRV Sheet'!AP39</f>
        <v>0.1335637686</v>
      </c>
      <c r="E12" s="87">
        <f t="shared" si="1"/>
        <v>30763.48136</v>
      </c>
      <c r="F12" s="87">
        <f t="shared" si="2"/>
        <v>1866.054973</v>
      </c>
      <c r="G12" s="87">
        <f t="shared" si="3"/>
        <v>32629.53634</v>
      </c>
      <c r="H12" s="87">
        <f t="shared" si="4"/>
        <v>32.62953634</v>
      </c>
      <c r="I12" s="87">
        <f t="shared" si="5"/>
        <v>32.62953634</v>
      </c>
      <c r="J12" s="82"/>
    </row>
    <row r="13">
      <c r="A13" s="538">
        <f>'PROD SSoT MRV Sheet'!A40</f>
        <v>200080</v>
      </c>
      <c r="B13" s="539">
        <f>'PROD SSoT MRV Sheet'!BS40</f>
        <v>34975.40619</v>
      </c>
      <c r="C13" s="1">
        <v>0.0</v>
      </c>
      <c r="D13" s="311">
        <f>C13/'PROD SSoT MRV Sheet'!AP40</f>
        <v>0</v>
      </c>
      <c r="E13" s="87">
        <f t="shared" si="1"/>
        <v>34975.40619</v>
      </c>
      <c r="F13" s="87">
        <f t="shared" si="2"/>
        <v>2121.542419</v>
      </c>
      <c r="G13" s="87">
        <f t="shared" si="3"/>
        <v>37096.94861</v>
      </c>
      <c r="H13" s="87">
        <f t="shared" si="4"/>
        <v>37.09694861</v>
      </c>
      <c r="I13" s="87">
        <f t="shared" si="5"/>
        <v>37.09694861</v>
      </c>
      <c r="J13" s="82"/>
    </row>
    <row r="14">
      <c r="A14" s="538">
        <f>'PROD SSoT MRV Sheet'!A41</f>
        <v>300013</v>
      </c>
      <c r="B14" s="539">
        <f>'PROD SSoT MRV Sheet'!BS41</f>
        <v>35240.66733</v>
      </c>
      <c r="C14" s="284">
        <f>'PROD SSoT MRV Sheet'!AH41</f>
        <v>4873.407</v>
      </c>
      <c r="D14" s="311">
        <f>C14/'PROD SSoT MRV Sheet'!AP41</f>
        <v>0.1326001256</v>
      </c>
      <c r="E14" s="87">
        <f t="shared" si="1"/>
        <v>30567.75041</v>
      </c>
      <c r="F14" s="87">
        <f t="shared" si="2"/>
        <v>1854.182301</v>
      </c>
      <c r="G14" s="87">
        <f t="shared" si="3"/>
        <v>32421.93271</v>
      </c>
      <c r="H14" s="87">
        <f t="shared" si="4"/>
        <v>32.42193271</v>
      </c>
      <c r="I14" s="87">
        <f t="shared" si="5"/>
        <v>32.42193271</v>
      </c>
      <c r="J14" s="82"/>
    </row>
    <row r="15">
      <c r="A15" s="538">
        <f>'PROD SSoT MRV Sheet'!A42</f>
        <v>200081</v>
      </c>
      <c r="B15" s="539">
        <f>'PROD SSoT MRV Sheet'!BS42</f>
        <v>33150.47491</v>
      </c>
      <c r="C15" s="1">
        <v>0.0</v>
      </c>
      <c r="D15" s="311">
        <f>C15/'PROD SSoT MRV Sheet'!AP42</f>
        <v>0</v>
      </c>
      <c r="E15" s="87">
        <f t="shared" si="1"/>
        <v>33150.47491</v>
      </c>
      <c r="F15" s="87">
        <f t="shared" si="2"/>
        <v>2010.845517</v>
      </c>
      <c r="G15" s="87">
        <f t="shared" si="3"/>
        <v>35161.32043</v>
      </c>
      <c r="H15" s="87">
        <f t="shared" si="4"/>
        <v>35.16132043</v>
      </c>
      <c r="I15" s="87">
        <f t="shared" si="5"/>
        <v>35.16132043</v>
      </c>
      <c r="J15" s="82"/>
    </row>
    <row r="16">
      <c r="A16" s="538">
        <f>'PROD SSoT MRV Sheet'!A43</f>
        <v>300014</v>
      </c>
      <c r="B16" s="539">
        <f>'PROD SSoT MRV Sheet'!BS43</f>
        <v>35854.52368</v>
      </c>
      <c r="C16" s="284">
        <f>'PROD SSoT MRV Sheet'!AH43</f>
        <v>5258.12</v>
      </c>
      <c r="D16" s="311">
        <f>C16/'PROD SSoT MRV Sheet'!AP43</f>
        <v>0.1406767253</v>
      </c>
      <c r="E16" s="87">
        <f t="shared" si="1"/>
        <v>30810.6267</v>
      </c>
      <c r="F16" s="87">
        <f t="shared" si="2"/>
        <v>1868.914721</v>
      </c>
      <c r="G16" s="87">
        <f t="shared" si="3"/>
        <v>32679.54142</v>
      </c>
      <c r="H16" s="87">
        <f t="shared" si="4"/>
        <v>32.67954142</v>
      </c>
      <c r="I16" s="87">
        <f t="shared" si="5"/>
        <v>32.67954142</v>
      </c>
      <c r="J16" s="82"/>
    </row>
    <row r="17">
      <c r="A17" s="538">
        <f>'PROD SSoT MRV Sheet'!A44</f>
        <v>200082</v>
      </c>
      <c r="B17" s="539">
        <f>'PROD SSoT MRV Sheet'!BS44</f>
        <v>35011.49404</v>
      </c>
      <c r="C17" s="1">
        <v>0.0</v>
      </c>
      <c r="D17" s="311">
        <f>C17/'PROD SSoT MRV Sheet'!AP44</f>
        <v>0</v>
      </c>
      <c r="E17" s="87">
        <f t="shared" si="1"/>
        <v>35011.49404</v>
      </c>
      <c r="F17" s="87">
        <f t="shared" si="2"/>
        <v>2123.73144</v>
      </c>
      <c r="G17" s="87">
        <f t="shared" si="3"/>
        <v>37135.22548</v>
      </c>
      <c r="H17" s="87">
        <f t="shared" si="4"/>
        <v>37.13522548</v>
      </c>
      <c r="I17" s="87">
        <f t="shared" si="5"/>
        <v>37.13522548</v>
      </c>
      <c r="J17" s="82"/>
    </row>
    <row r="18">
      <c r="A18" s="538">
        <f>'PROD SSoT MRV Sheet'!A45</f>
        <v>300015</v>
      </c>
      <c r="B18" s="539">
        <f>'PROD SSoT MRV Sheet'!BS45</f>
        <v>33311.68183</v>
      </c>
      <c r="C18" s="87">
        <f>'PROD SSoT MRV Sheet'!AB45</f>
        <v>4108.765</v>
      </c>
      <c r="D18" s="311">
        <f>C18/'PROD SSoT MRV Sheet'!AP45</f>
        <v>0.1156145817</v>
      </c>
      <c r="E18" s="87">
        <f t="shared" si="1"/>
        <v>29460.36567</v>
      </c>
      <c r="F18" s="87">
        <f t="shared" si="2"/>
        <v>1787.010424</v>
      </c>
      <c r="G18" s="87">
        <f t="shared" si="3"/>
        <v>31247.37609</v>
      </c>
      <c r="H18" s="87">
        <f t="shared" si="4"/>
        <v>31.24737609</v>
      </c>
      <c r="I18" s="87">
        <f t="shared" si="5"/>
        <v>31.24737609</v>
      </c>
      <c r="J18" s="82"/>
    </row>
    <row r="19">
      <c r="A19" s="538">
        <f>'PROD SSoT MRV Sheet'!A46</f>
        <v>200083</v>
      </c>
      <c r="B19" s="539">
        <f>'PROD SSoT MRV Sheet'!BS46</f>
        <v>35628.28968</v>
      </c>
      <c r="C19" s="1">
        <v>0.0</v>
      </c>
      <c r="D19" s="311">
        <f>C19/'PROD SSoT MRV Sheet'!AP46</f>
        <v>0</v>
      </c>
      <c r="E19" s="87">
        <f t="shared" si="1"/>
        <v>35628.28968</v>
      </c>
      <c r="F19" s="87">
        <f t="shared" si="2"/>
        <v>2161.145105</v>
      </c>
      <c r="G19" s="87">
        <f t="shared" si="3"/>
        <v>37789.43479</v>
      </c>
      <c r="H19" s="87">
        <f t="shared" si="4"/>
        <v>37.78943479</v>
      </c>
      <c r="I19" s="87">
        <f t="shared" si="5"/>
        <v>37.80943479</v>
      </c>
      <c r="J19" s="82"/>
    </row>
    <row r="20">
      <c r="A20" s="538">
        <f>'PROD SSoT MRV Sheet'!A47</f>
        <v>300016</v>
      </c>
      <c r="B20" s="539">
        <f>'PROD SSoT MRV Sheet'!BS47</f>
        <v>35465.54055</v>
      </c>
      <c r="C20" s="284">
        <f>'PROD SSoT MRV Sheet'!AH47</f>
        <v>4344.009</v>
      </c>
      <c r="D20" s="311">
        <f>C20/'PROD SSoT MRV Sheet'!AP47</f>
        <v>0.1181865065</v>
      </c>
      <c r="E20" s="87">
        <f t="shared" si="1"/>
        <v>31273.99221</v>
      </c>
      <c r="F20" s="87">
        <f t="shared" si="2"/>
        <v>1897.021602</v>
      </c>
      <c r="G20" s="87">
        <f t="shared" si="3"/>
        <v>33171.01381</v>
      </c>
      <c r="H20" s="87">
        <f t="shared" si="4"/>
        <v>33.17101381</v>
      </c>
      <c r="I20" s="87">
        <f t="shared" si="5"/>
        <v>33.17101381</v>
      </c>
      <c r="J20" s="82"/>
    </row>
    <row r="21">
      <c r="A21" s="538">
        <f>'PROD SSoT MRV Sheet'!A48</f>
        <v>200084</v>
      </c>
      <c r="B21" s="539">
        <f>'PROD SSoT MRV Sheet'!BS48</f>
        <v>35043.89872</v>
      </c>
      <c r="C21" s="1">
        <v>0.0</v>
      </c>
      <c r="D21" s="311">
        <f>C21/'PROD SSoT MRV Sheet'!AP48</f>
        <v>0</v>
      </c>
      <c r="E21" s="87">
        <f t="shared" si="1"/>
        <v>35043.89872</v>
      </c>
      <c r="F21" s="87">
        <f t="shared" si="2"/>
        <v>2125.697047</v>
      </c>
      <c r="G21" s="87">
        <f t="shared" si="3"/>
        <v>37169.59577</v>
      </c>
      <c r="H21" s="87">
        <f t="shared" si="4"/>
        <v>37.16959577</v>
      </c>
      <c r="I21" s="87">
        <f t="shared" si="5"/>
        <v>37.16959577</v>
      </c>
      <c r="J21" s="82"/>
    </row>
    <row r="22">
      <c r="A22" s="538">
        <f>'PROD SSoT MRV Sheet'!A49</f>
        <v>300017</v>
      </c>
      <c r="B22" s="539">
        <f>'PROD SSoT MRV Sheet'!BS49</f>
        <v>34983.82488</v>
      </c>
      <c r="C22" s="87">
        <f>'PROD SSoT MRV Sheet'!AB49</f>
        <v>1994.517</v>
      </c>
      <c r="D22" s="311">
        <f>C22/'PROD SSoT MRV Sheet'!AP49</f>
        <v>0.05319763034</v>
      </c>
      <c r="E22" s="87">
        <f t="shared" si="1"/>
        <v>33122.76829</v>
      </c>
      <c r="F22" s="87">
        <f t="shared" si="2"/>
        <v>2009.164885</v>
      </c>
      <c r="G22" s="87">
        <f t="shared" si="3"/>
        <v>35131.93318</v>
      </c>
      <c r="H22" s="87">
        <f t="shared" si="4"/>
        <v>35.13193318</v>
      </c>
      <c r="I22" s="87">
        <f t="shared" si="5"/>
        <v>35.14193318</v>
      </c>
      <c r="J22" s="82"/>
    </row>
    <row r="23" hidden="1">
      <c r="A23" s="538">
        <f>'PROD SSoT MRV Sheet'!A50</f>
        <v>200085</v>
      </c>
      <c r="B23" s="539">
        <f>'PROD SSoT MRV Sheet'!BS50</f>
        <v>35534.5411</v>
      </c>
      <c r="C23" s="1">
        <v>0.0</v>
      </c>
      <c r="D23" s="311">
        <f>C23/'PROD SSoT MRV Sheet'!AP50</f>
        <v>0</v>
      </c>
      <c r="E23" s="87">
        <f t="shared" si="1"/>
        <v>35534.5411</v>
      </c>
      <c r="F23" s="87">
        <f t="shared" si="2"/>
        <v>2155.458492</v>
      </c>
      <c r="G23" s="87">
        <f t="shared" si="3"/>
        <v>37689.99959</v>
      </c>
      <c r="H23" s="87">
        <f t="shared" si="4"/>
        <v>37.68999959</v>
      </c>
      <c r="I23" s="87">
        <f t="shared" si="5"/>
        <v>37.68999959</v>
      </c>
      <c r="J23" s="82"/>
    </row>
    <row r="24">
      <c r="A24" s="538">
        <f>'PROD SSoT MRV Sheet'!A51</f>
        <v>300018</v>
      </c>
      <c r="B24" s="539">
        <f>'PROD SSoT MRV Sheet'!BS51</f>
        <v>36082.62648</v>
      </c>
      <c r="C24" s="87">
        <f>'PROD SSoT MRV Sheet'!AB51</f>
        <v>4974.41</v>
      </c>
      <c r="D24" s="311">
        <f>C24/'PROD SSoT MRV Sheet'!AP51</f>
        <v>0.1341825076</v>
      </c>
      <c r="E24" s="87">
        <f t="shared" si="1"/>
        <v>31240.96918</v>
      </c>
      <c r="F24" s="87">
        <f t="shared" si="2"/>
        <v>1895.018487</v>
      </c>
      <c r="G24" s="87">
        <f t="shared" si="3"/>
        <v>33135.98767</v>
      </c>
      <c r="H24" s="87">
        <f t="shared" si="4"/>
        <v>33.13598767</v>
      </c>
      <c r="I24" s="87">
        <f t="shared" si="5"/>
        <v>33.13598767</v>
      </c>
      <c r="J24" s="82"/>
    </row>
    <row r="26">
      <c r="F26" s="82" t="s">
        <v>1453</v>
      </c>
      <c r="G26" s="87">
        <f t="shared" ref="G26:I26" si="6">SUM(G2:G24)</f>
        <v>796113.086</v>
      </c>
      <c r="H26" s="87">
        <f t="shared" si="6"/>
        <v>796.113086</v>
      </c>
      <c r="I26" s="87">
        <f t="shared" si="6"/>
        <v>796.163086</v>
      </c>
    </row>
    <row r="29">
      <c r="A29" s="541" t="s">
        <v>36</v>
      </c>
      <c r="B29" s="541" t="s">
        <v>48</v>
      </c>
      <c r="C29" s="541" t="s">
        <v>2687</v>
      </c>
      <c r="D29" s="82" t="s">
        <v>2688</v>
      </c>
      <c r="E29" s="82" t="s">
        <v>2689</v>
      </c>
    </row>
    <row r="30">
      <c r="A30" s="427">
        <v>1902.0</v>
      </c>
      <c r="B30" s="542">
        <v>45677.0</v>
      </c>
      <c r="C30" s="40">
        <v>3.83</v>
      </c>
      <c r="D30" s="1">
        <v>300007.0</v>
      </c>
      <c r="E30" s="90">
        <f t="shared" ref="E30:E32" si="7">C30</f>
        <v>3.83</v>
      </c>
    </row>
    <row r="31">
      <c r="A31" s="1">
        <v>1910.0</v>
      </c>
      <c r="B31" s="543">
        <v>45679.0</v>
      </c>
      <c r="C31" s="40">
        <v>3.76</v>
      </c>
      <c r="D31" s="1">
        <v>300007.0</v>
      </c>
      <c r="E31" s="90">
        <f t="shared" si="7"/>
        <v>3.76</v>
      </c>
    </row>
    <row r="32">
      <c r="A32" s="427">
        <v>1915.0</v>
      </c>
      <c r="B32" s="542">
        <v>45680.0</v>
      </c>
      <c r="C32" s="40">
        <v>9.43</v>
      </c>
      <c r="D32" s="1">
        <v>300007.0</v>
      </c>
      <c r="E32" s="90">
        <f t="shared" si="7"/>
        <v>9.43</v>
      </c>
    </row>
    <row r="33">
      <c r="A33" s="427">
        <v>1917.0</v>
      </c>
      <c r="B33" s="21">
        <v>45681.0</v>
      </c>
      <c r="C33" s="40">
        <v>20.09</v>
      </c>
      <c r="D33" s="1">
        <v>300007.0</v>
      </c>
      <c r="E33" s="87">
        <f>H2-SUM(E30:E32)</f>
        <v>16.25659138</v>
      </c>
    </row>
    <row r="34">
      <c r="A34" s="334"/>
      <c r="B34" s="544"/>
      <c r="C34" s="545"/>
      <c r="D34" s="1">
        <v>200075.0</v>
      </c>
      <c r="E34" s="87">
        <f>C33-E33</f>
        <v>3.833408617</v>
      </c>
      <c r="H34" s="1" t="s">
        <v>1810</v>
      </c>
    </row>
    <row r="35">
      <c r="A35" s="427">
        <v>1928.0</v>
      </c>
      <c r="B35" s="21">
        <v>45685.0</v>
      </c>
      <c r="C35" s="40">
        <v>19.84</v>
      </c>
      <c r="D35" s="1">
        <v>200075.0</v>
      </c>
      <c r="E35" s="90">
        <f>C35</f>
        <v>19.84</v>
      </c>
    </row>
    <row r="36">
      <c r="A36" s="427">
        <v>1929.0</v>
      </c>
      <c r="B36" s="546">
        <v>45686.0</v>
      </c>
      <c r="C36" s="40">
        <v>19.83</v>
      </c>
      <c r="D36" s="1">
        <v>200075.0</v>
      </c>
      <c r="E36" s="87">
        <f>H3-SUM(E34:E35)+0.02</f>
        <v>14.70313586</v>
      </c>
    </row>
    <row r="37">
      <c r="A37" s="334"/>
      <c r="B37" s="547"/>
      <c r="C37" s="545"/>
      <c r="D37" s="1">
        <v>300008.0</v>
      </c>
      <c r="E37" s="87">
        <f>C36-E36</f>
        <v>5.126864139</v>
      </c>
    </row>
    <row r="38">
      <c r="A38" s="427">
        <v>1930.0</v>
      </c>
      <c r="B38" s="21">
        <v>45686.0</v>
      </c>
      <c r="C38" s="40">
        <v>20.33</v>
      </c>
      <c r="D38" s="1">
        <v>300008.0</v>
      </c>
      <c r="E38" s="90">
        <f>C38</f>
        <v>20.33</v>
      </c>
    </row>
    <row r="39">
      <c r="A39" s="427">
        <v>1934.0</v>
      </c>
      <c r="B39" s="21">
        <v>45687.0</v>
      </c>
      <c r="C39" s="40">
        <v>19.97</v>
      </c>
      <c r="D39" s="1">
        <v>300008.0</v>
      </c>
      <c r="E39" s="87">
        <f>H4-SUM(E37:E38)</f>
        <v>7.540349143</v>
      </c>
    </row>
    <row r="40">
      <c r="A40" s="334"/>
      <c r="B40" s="544"/>
      <c r="C40" s="545"/>
      <c r="D40" s="1">
        <v>200076.0</v>
      </c>
      <c r="E40" s="87">
        <f>C39-E39</f>
        <v>12.42965086</v>
      </c>
      <c r="H40" s="1" t="s">
        <v>1810</v>
      </c>
    </row>
    <row r="41">
      <c r="A41" s="427">
        <v>1937.0</v>
      </c>
      <c r="B41" s="21">
        <v>45688.0</v>
      </c>
      <c r="C41" s="40">
        <v>19.36</v>
      </c>
      <c r="D41" s="1">
        <v>200076.0</v>
      </c>
      <c r="E41" s="90">
        <f>C41</f>
        <v>19.36</v>
      </c>
    </row>
    <row r="42">
      <c r="A42" s="345" t="s">
        <v>330</v>
      </c>
      <c r="B42" s="21">
        <v>45693.0</v>
      </c>
      <c r="C42" s="40">
        <v>19.95</v>
      </c>
      <c r="D42" s="1">
        <v>200076.0</v>
      </c>
      <c r="E42" s="87">
        <f>H5-SUM(E40:E41)</f>
        <v>4.38339911</v>
      </c>
      <c r="G42" s="1" t="s">
        <v>1810</v>
      </c>
    </row>
    <row r="43">
      <c r="A43" s="347"/>
      <c r="B43" s="544"/>
      <c r="C43" s="545"/>
      <c r="D43" s="1">
        <v>300009.0</v>
      </c>
      <c r="E43" s="87">
        <f>C42-E42</f>
        <v>15.56660089</v>
      </c>
    </row>
    <row r="44">
      <c r="A44" s="345" t="s">
        <v>327</v>
      </c>
      <c r="B44" s="21">
        <v>45694.0</v>
      </c>
      <c r="C44" s="40">
        <v>18.86</v>
      </c>
      <c r="D44" s="1">
        <v>300009.0</v>
      </c>
      <c r="E44" s="87">
        <f>H6-E43</f>
        <v>16.5434528</v>
      </c>
    </row>
    <row r="45">
      <c r="A45" s="347"/>
      <c r="B45" s="544"/>
      <c r="C45" s="545"/>
      <c r="D45" s="1">
        <v>200077.0</v>
      </c>
      <c r="E45" s="87">
        <f>C44-E44</f>
        <v>2.316547204</v>
      </c>
    </row>
    <row r="46">
      <c r="A46" s="345" t="s">
        <v>332</v>
      </c>
      <c r="B46" s="21">
        <v>45695.0</v>
      </c>
      <c r="C46" s="40">
        <v>19.69</v>
      </c>
      <c r="D46" s="1">
        <v>200077.0</v>
      </c>
      <c r="E46" s="90">
        <f>C46</f>
        <v>19.69</v>
      </c>
    </row>
    <row r="47">
      <c r="A47" s="345" t="s">
        <v>334</v>
      </c>
      <c r="B47" s="21">
        <v>45696.0</v>
      </c>
      <c r="C47" s="40">
        <v>19.87</v>
      </c>
      <c r="D47" s="1">
        <v>200077.0</v>
      </c>
      <c r="E47" s="87">
        <f>H7-SUM(E45:E46)</f>
        <v>14.42168192</v>
      </c>
    </row>
    <row r="48">
      <c r="A48" s="347"/>
      <c r="B48" s="544"/>
      <c r="C48" s="545"/>
      <c r="D48" s="1">
        <v>300010.0</v>
      </c>
      <c r="E48" s="87">
        <f>C47-E47</f>
        <v>5.448318083</v>
      </c>
      <c r="G48" s="1" t="s">
        <v>1810</v>
      </c>
    </row>
    <row r="49">
      <c r="A49" s="345" t="s">
        <v>338</v>
      </c>
      <c r="B49" s="21">
        <v>45699.0</v>
      </c>
      <c r="C49" s="40">
        <v>19.86</v>
      </c>
      <c r="D49" s="1">
        <v>300010.0</v>
      </c>
      <c r="E49" s="90">
        <f>C49</f>
        <v>19.86</v>
      </c>
      <c r="H49" s="1" t="s">
        <v>1810</v>
      </c>
    </row>
    <row r="50">
      <c r="A50" s="345" t="s">
        <v>336</v>
      </c>
      <c r="B50" s="21">
        <v>45700.0</v>
      </c>
      <c r="C50" s="40">
        <v>20.31</v>
      </c>
      <c r="D50" s="1">
        <v>300010.0</v>
      </c>
      <c r="E50" s="87">
        <f>H8-SUM(E48:E49)</f>
        <v>5.161548827</v>
      </c>
    </row>
    <row r="51">
      <c r="A51" s="347"/>
      <c r="B51" s="544"/>
      <c r="C51" s="545"/>
      <c r="D51" s="1">
        <v>200078.0</v>
      </c>
      <c r="E51" s="87">
        <f>C50-E50</f>
        <v>15.14845117</v>
      </c>
    </row>
    <row r="52">
      <c r="A52" s="345" t="s">
        <v>340</v>
      </c>
      <c r="B52" s="21">
        <v>45700.0</v>
      </c>
      <c r="C52" s="40">
        <v>19.82</v>
      </c>
      <c r="D52" s="1">
        <v>200078.0</v>
      </c>
      <c r="E52" s="90">
        <f>C52</f>
        <v>19.82</v>
      </c>
    </row>
    <row r="53">
      <c r="A53" s="345" t="s">
        <v>342</v>
      </c>
      <c r="B53" s="548">
        <v>45702.0</v>
      </c>
      <c r="C53" s="427">
        <v>20.49</v>
      </c>
      <c r="D53" s="1">
        <v>200078.0</v>
      </c>
      <c r="E53" s="87">
        <f>H9-SUM(E51:E52)</f>
        <v>1.977680015</v>
      </c>
    </row>
    <row r="54">
      <c r="A54" s="347"/>
      <c r="B54" s="549"/>
      <c r="C54" s="334"/>
      <c r="D54" s="1">
        <v>300011.0</v>
      </c>
      <c r="E54" s="87">
        <f>C53-E53</f>
        <v>18.51231999</v>
      </c>
    </row>
    <row r="55">
      <c r="A55" s="345" t="s">
        <v>344</v>
      </c>
      <c r="B55" s="21">
        <v>45705.0</v>
      </c>
      <c r="C55" s="40">
        <v>20.28</v>
      </c>
      <c r="D55" s="1">
        <v>300011.0</v>
      </c>
      <c r="E55" s="87">
        <f>H10-E54</f>
        <v>13.32272124</v>
      </c>
      <c r="G55" s="1" t="s">
        <v>1810</v>
      </c>
    </row>
    <row r="56">
      <c r="A56" s="347"/>
      <c r="B56" s="544"/>
      <c r="C56" s="545"/>
      <c r="D56" s="1">
        <v>200079.0</v>
      </c>
      <c r="E56" s="87">
        <f>C55-E55</f>
        <v>6.957278764</v>
      </c>
    </row>
    <row r="57">
      <c r="A57" s="345" t="s">
        <v>345</v>
      </c>
      <c r="B57" s="21">
        <v>45711.0</v>
      </c>
      <c r="C57" s="40">
        <v>20.46</v>
      </c>
      <c r="D57" s="1">
        <v>200079.0</v>
      </c>
      <c r="E57" s="90">
        <f>C57</f>
        <v>20.46</v>
      </c>
    </row>
    <row r="58">
      <c r="A58" s="345" t="s">
        <v>347</v>
      </c>
      <c r="B58" s="548">
        <v>45714.0</v>
      </c>
      <c r="C58" s="427">
        <v>20.21</v>
      </c>
      <c r="D58" s="1">
        <v>200079.0</v>
      </c>
      <c r="E58" s="87">
        <f>H11-SUM(E56:E57)</f>
        <v>7.643240125</v>
      </c>
    </row>
    <row r="59">
      <c r="A59" s="347"/>
      <c r="B59" s="549"/>
      <c r="C59" s="334"/>
      <c r="D59" s="1">
        <v>300012.0</v>
      </c>
      <c r="E59" s="87">
        <f>C58-E58</f>
        <v>12.56675988</v>
      </c>
    </row>
    <row r="60">
      <c r="A60" s="345" t="s">
        <v>350</v>
      </c>
      <c r="B60" s="548">
        <v>45717.0</v>
      </c>
      <c r="C60" s="427">
        <v>19.91</v>
      </c>
      <c r="D60" s="1">
        <v>300012.0</v>
      </c>
      <c r="E60" s="90">
        <f>C60</f>
        <v>19.91</v>
      </c>
    </row>
    <row r="61">
      <c r="A61" s="345" t="s">
        <v>353</v>
      </c>
      <c r="B61" s="21">
        <v>45720.0</v>
      </c>
      <c r="C61" s="40">
        <v>19.73</v>
      </c>
      <c r="D61" s="1">
        <v>300012.0</v>
      </c>
      <c r="E61" s="87">
        <f>H12-SUM(E59:E60)</f>
        <v>0.1527764619</v>
      </c>
    </row>
    <row r="62">
      <c r="A62" s="345"/>
      <c r="B62" s="21"/>
      <c r="C62" s="40"/>
      <c r="D62" s="1">
        <v>200080.0</v>
      </c>
      <c r="E62" s="87">
        <f>C61-E61</f>
        <v>19.57722354</v>
      </c>
    </row>
    <row r="63">
      <c r="A63" s="345" t="s">
        <v>356</v>
      </c>
      <c r="B63" s="21">
        <v>45721.0</v>
      </c>
      <c r="C63" s="40">
        <v>20.05</v>
      </c>
      <c r="D63" s="1">
        <v>200080.0</v>
      </c>
      <c r="E63" s="87">
        <f>H13-E62</f>
        <v>17.51972507</v>
      </c>
    </row>
    <row r="64">
      <c r="A64" s="345"/>
      <c r="B64" s="21"/>
      <c r="C64" s="40"/>
      <c r="D64" s="1">
        <v>300013.0</v>
      </c>
      <c r="E64" s="87">
        <f>C63-E63</f>
        <v>2.530274927</v>
      </c>
    </row>
    <row r="65">
      <c r="A65" s="345" t="s">
        <v>359</v>
      </c>
      <c r="B65" s="21">
        <v>45721.0</v>
      </c>
      <c r="C65" s="40">
        <v>19.8</v>
      </c>
      <c r="D65" s="1">
        <v>300013.0</v>
      </c>
      <c r="E65" s="90">
        <f>C65</f>
        <v>19.8</v>
      </c>
    </row>
    <row r="66">
      <c r="A66" s="345" t="s">
        <v>361</v>
      </c>
      <c r="B66" s="49">
        <v>45721.0</v>
      </c>
      <c r="C66" s="40">
        <v>20.41</v>
      </c>
      <c r="D66" s="1">
        <v>300013.0</v>
      </c>
      <c r="E66" s="87">
        <f>H14-SUM(E64:E65)</f>
        <v>10.09165779</v>
      </c>
    </row>
    <row r="67">
      <c r="A67" s="347"/>
      <c r="B67" s="550"/>
      <c r="C67" s="545"/>
      <c r="D67" s="1">
        <v>200081.0</v>
      </c>
      <c r="E67" s="87">
        <f>C66-E66</f>
        <v>10.31834221</v>
      </c>
    </row>
    <row r="68">
      <c r="A68" s="345" t="s">
        <v>366</v>
      </c>
      <c r="B68" s="548">
        <v>45724.0</v>
      </c>
      <c r="C68" s="427">
        <v>20.2</v>
      </c>
      <c r="D68" s="1">
        <v>200081.0</v>
      </c>
      <c r="E68" s="87">
        <f>C68</f>
        <v>20.2</v>
      </c>
    </row>
    <row r="69">
      <c r="A69" s="345" t="s">
        <v>364</v>
      </c>
      <c r="B69" s="49">
        <v>45724.0</v>
      </c>
      <c r="C69" s="40">
        <v>20.03</v>
      </c>
      <c r="D69" s="1">
        <v>200081.0</v>
      </c>
      <c r="E69" s="87">
        <f>H15-SUM(E67:E68)</f>
        <v>4.642978215</v>
      </c>
    </row>
    <row r="70">
      <c r="A70" s="347"/>
      <c r="B70" s="550"/>
      <c r="C70" s="545"/>
      <c r="D70" s="1">
        <v>300014.0</v>
      </c>
      <c r="E70" s="87">
        <f>C69-E69</f>
        <v>15.38702178</v>
      </c>
    </row>
    <row r="71">
      <c r="A71" s="345" t="s">
        <v>362</v>
      </c>
      <c r="B71" s="548">
        <v>45724.0</v>
      </c>
      <c r="C71" s="427">
        <v>20.09</v>
      </c>
      <c r="D71" s="1">
        <v>300014.0</v>
      </c>
      <c r="E71" s="87">
        <f>H16-E70</f>
        <v>17.29251964</v>
      </c>
    </row>
    <row r="72">
      <c r="A72" s="347"/>
      <c r="B72" s="549"/>
      <c r="C72" s="334"/>
      <c r="D72" s="1">
        <v>200082.0</v>
      </c>
      <c r="E72" s="87">
        <f>C71-E71</f>
        <v>2.797480362</v>
      </c>
    </row>
    <row r="73">
      <c r="A73" s="345" t="s">
        <v>369</v>
      </c>
      <c r="B73" s="548">
        <v>45726.0</v>
      </c>
      <c r="C73" s="427">
        <v>20.09</v>
      </c>
      <c r="D73" s="1">
        <v>200082.0</v>
      </c>
      <c r="E73" s="90">
        <f>C73</f>
        <v>20.09</v>
      </c>
    </row>
    <row r="74">
      <c r="A74" s="345" t="s">
        <v>373</v>
      </c>
      <c r="B74" s="548">
        <v>45727.0</v>
      </c>
      <c r="C74" s="427">
        <v>20.54</v>
      </c>
      <c r="D74" s="1">
        <v>200082.0</v>
      </c>
      <c r="E74" s="87">
        <f>H17-SUM(E72:E73)</f>
        <v>14.24774512</v>
      </c>
    </row>
    <row r="75">
      <c r="A75" s="347"/>
      <c r="B75" s="549"/>
      <c r="C75" s="334"/>
      <c r="D75" s="1">
        <v>300015.0</v>
      </c>
      <c r="E75" s="87">
        <f>C74-E74</f>
        <v>6.292254877</v>
      </c>
    </row>
    <row r="76">
      <c r="A76" s="345" t="s">
        <v>375</v>
      </c>
      <c r="B76" s="49">
        <v>45731.0</v>
      </c>
      <c r="C76" s="40">
        <v>19.29</v>
      </c>
      <c r="D76" s="1">
        <v>300015.0</v>
      </c>
      <c r="E76" s="90">
        <f>C76</f>
        <v>19.29</v>
      </c>
    </row>
    <row r="77">
      <c r="A77" s="345" t="s">
        <v>377</v>
      </c>
      <c r="B77" s="49">
        <v>45734.0</v>
      </c>
      <c r="C77" s="40">
        <v>20.65</v>
      </c>
      <c r="D77" s="1">
        <v>300015.0</v>
      </c>
      <c r="E77" s="87">
        <f>H18-SUM(E75:E76)</f>
        <v>5.665121216</v>
      </c>
    </row>
    <row r="78">
      <c r="A78" s="347"/>
      <c r="B78" s="550"/>
      <c r="C78" s="545"/>
      <c r="D78" s="1">
        <v>200083.0</v>
      </c>
      <c r="E78" s="87">
        <f>C77-E77</f>
        <v>14.98487878</v>
      </c>
    </row>
    <row r="79">
      <c r="A79" s="345" t="s">
        <v>379</v>
      </c>
      <c r="B79" s="49">
        <v>45736.0</v>
      </c>
      <c r="C79" s="40">
        <v>20.71</v>
      </c>
      <c r="D79" s="1">
        <v>200083.0</v>
      </c>
      <c r="E79" s="87">
        <f>C79</f>
        <v>20.71</v>
      </c>
    </row>
    <row r="80">
      <c r="A80" s="345" t="s">
        <v>380</v>
      </c>
      <c r="B80" s="49">
        <v>45737.0</v>
      </c>
      <c r="C80" s="40">
        <v>20.26</v>
      </c>
      <c r="D80" s="1">
        <v>200083.0</v>
      </c>
      <c r="E80" s="87">
        <f>H19-SUM(E78:E79)+0.02</f>
        <v>2.114556004</v>
      </c>
    </row>
    <row r="81">
      <c r="A81" s="347"/>
      <c r="B81" s="550"/>
      <c r="C81" s="545"/>
      <c r="D81" s="1">
        <v>300016.0</v>
      </c>
      <c r="E81" s="87">
        <f>C80-E80</f>
        <v>18.145444</v>
      </c>
    </row>
    <row r="82">
      <c r="A82" s="345" t="s">
        <v>382</v>
      </c>
      <c r="B82" s="49">
        <v>45738.0</v>
      </c>
      <c r="C82" s="40">
        <v>19.73</v>
      </c>
      <c r="D82" s="1">
        <v>300016.0</v>
      </c>
      <c r="E82" s="87">
        <f>H20-E81</f>
        <v>15.02556982</v>
      </c>
    </row>
    <row r="83">
      <c r="A83" s="347"/>
      <c r="B83" s="550"/>
      <c r="C83" s="545"/>
      <c r="D83" s="1">
        <v>200084.0</v>
      </c>
      <c r="E83" s="87">
        <f>C82-E82</f>
        <v>4.704430185</v>
      </c>
    </row>
    <row r="84">
      <c r="A84" s="345" t="s">
        <v>384</v>
      </c>
      <c r="B84" s="21">
        <v>45738.0</v>
      </c>
      <c r="C84" s="40">
        <v>20.02</v>
      </c>
      <c r="D84" s="1">
        <v>200084.0</v>
      </c>
      <c r="E84" s="90">
        <f>C84</f>
        <v>20.02</v>
      </c>
    </row>
    <row r="85">
      <c r="A85" s="345" t="s">
        <v>386</v>
      </c>
      <c r="B85" s="21">
        <v>45740.0</v>
      </c>
      <c r="C85" s="40">
        <v>19.63</v>
      </c>
      <c r="D85" s="1">
        <v>200084.0</v>
      </c>
      <c r="E85" s="87">
        <f>H21-SUM(E83:E84)</f>
        <v>12.44516558</v>
      </c>
    </row>
    <row r="86">
      <c r="A86" s="347"/>
      <c r="B86" s="544"/>
      <c r="C86" s="545"/>
      <c r="D86" s="1">
        <v>300017.0</v>
      </c>
      <c r="E86" s="87">
        <f>C85-E85</f>
        <v>7.184834416</v>
      </c>
    </row>
    <row r="87">
      <c r="A87" s="345" t="s">
        <v>388</v>
      </c>
      <c r="B87" s="21">
        <v>45741.0</v>
      </c>
      <c r="C87" s="40">
        <v>19.98</v>
      </c>
      <c r="D87" s="1">
        <v>300017.0</v>
      </c>
      <c r="E87" s="90">
        <f>C87</f>
        <v>19.98</v>
      </c>
    </row>
    <row r="88">
      <c r="A88" s="345" t="s">
        <v>390</v>
      </c>
      <c r="B88" s="21">
        <v>45741.0</v>
      </c>
      <c r="C88" s="40">
        <v>20.04</v>
      </c>
      <c r="D88" s="1">
        <v>300017.0</v>
      </c>
      <c r="E88" s="87">
        <f>H22-SUM(E86:E87)+0.01</f>
        <v>7.977098762</v>
      </c>
    </row>
    <row r="89">
      <c r="A89" s="347"/>
      <c r="B89" s="544"/>
      <c r="C89" s="545"/>
      <c r="D89" s="1">
        <v>200085.0</v>
      </c>
      <c r="E89" s="87">
        <f>C88-E88</f>
        <v>12.06290124</v>
      </c>
    </row>
    <row r="90">
      <c r="A90" s="345" t="s">
        <v>392</v>
      </c>
      <c r="B90" s="21">
        <v>45742.0</v>
      </c>
      <c r="C90" s="40">
        <v>19.79</v>
      </c>
      <c r="D90" s="1">
        <v>200085.0</v>
      </c>
      <c r="E90" s="90">
        <f>C90</f>
        <v>19.79</v>
      </c>
    </row>
    <row r="91">
      <c r="A91" s="345" t="s">
        <v>394</v>
      </c>
      <c r="B91" s="21">
        <v>45742.0</v>
      </c>
      <c r="C91" s="40">
        <v>19.46</v>
      </c>
      <c r="D91" s="1">
        <v>200085.0</v>
      </c>
      <c r="E91" s="87">
        <f>H23-SUM(E89:E90)</f>
        <v>5.837098354</v>
      </c>
    </row>
    <row r="92">
      <c r="A92" s="347"/>
      <c r="B92" s="544"/>
      <c r="C92" s="545"/>
      <c r="D92" s="1">
        <v>300018.0</v>
      </c>
      <c r="E92" s="87">
        <f>C91-E91</f>
        <v>13.62290165</v>
      </c>
    </row>
    <row r="93">
      <c r="A93" s="345" t="s">
        <v>393</v>
      </c>
      <c r="B93" s="21">
        <v>45743.0</v>
      </c>
      <c r="C93" s="40">
        <v>20.74</v>
      </c>
      <c r="D93" s="1">
        <v>300018.0</v>
      </c>
      <c r="E93" s="87">
        <f>H24-E92</f>
        <v>19.51308602</v>
      </c>
    </row>
    <row r="104">
      <c r="G104" s="1" t="s">
        <v>1810</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1" t="s">
        <v>2690</v>
      </c>
      <c r="B1" s="551" t="s">
        <v>2691</v>
      </c>
      <c r="C1" s="541" t="s">
        <v>2692</v>
      </c>
      <c r="D1" s="551" t="s">
        <v>2693</v>
      </c>
      <c r="E1" s="541" t="s">
        <v>2694</v>
      </c>
      <c r="F1" s="541" t="s">
        <v>2695</v>
      </c>
      <c r="G1" s="541" t="s">
        <v>2696</v>
      </c>
      <c r="H1" s="541" t="s">
        <v>2697</v>
      </c>
      <c r="I1" s="541" t="s">
        <v>2698</v>
      </c>
      <c r="J1" s="552" t="s">
        <v>2699</v>
      </c>
      <c r="K1" s="541" t="s">
        <v>2700</v>
      </c>
      <c r="L1" s="541" t="s">
        <v>2701</v>
      </c>
      <c r="M1" s="541" t="s">
        <v>2702</v>
      </c>
      <c r="N1" s="541" t="s">
        <v>2703</v>
      </c>
      <c r="O1" s="553" t="s">
        <v>2704</v>
      </c>
      <c r="P1" s="553" t="s">
        <v>2705</v>
      </c>
      <c r="Q1" s="541" t="s">
        <v>2706</v>
      </c>
      <c r="R1" s="541" t="s">
        <v>2707</v>
      </c>
      <c r="S1" s="554" t="s">
        <v>2708</v>
      </c>
      <c r="T1" s="541" t="s">
        <v>2709</v>
      </c>
      <c r="U1" s="553" t="s">
        <v>2710</v>
      </c>
      <c r="V1" s="553" t="s">
        <v>2711</v>
      </c>
      <c r="W1" s="541" t="s">
        <v>2712</v>
      </c>
      <c r="X1" s="541" t="s">
        <v>2713</v>
      </c>
      <c r="Y1" s="541" t="s">
        <v>2714</v>
      </c>
      <c r="Z1" s="541" t="s">
        <v>2715</v>
      </c>
      <c r="AA1" s="553" t="s">
        <v>2716</v>
      </c>
      <c r="AB1" s="555" t="s">
        <v>2717</v>
      </c>
      <c r="AC1" s="541" t="s">
        <v>2718</v>
      </c>
      <c r="AD1" s="541" t="s">
        <v>2719</v>
      </c>
      <c r="AE1" s="541" t="s">
        <v>2720</v>
      </c>
      <c r="AF1" s="541" t="s">
        <v>2721</v>
      </c>
      <c r="AG1" s="553" t="s">
        <v>2722</v>
      </c>
      <c r="AH1" s="553" t="s">
        <v>2723</v>
      </c>
      <c r="AI1" s="541" t="s">
        <v>2724</v>
      </c>
      <c r="AJ1" s="541" t="s">
        <v>2725</v>
      </c>
      <c r="AK1" s="541" t="s">
        <v>2726</v>
      </c>
      <c r="AL1" s="541" t="s">
        <v>2727</v>
      </c>
      <c r="AM1" s="553" t="s">
        <v>2728</v>
      </c>
      <c r="AN1" s="553" t="s">
        <v>2729</v>
      </c>
      <c r="AO1" s="541" t="s">
        <v>2730</v>
      </c>
      <c r="AP1" s="556" t="s">
        <v>2731</v>
      </c>
      <c r="AQ1" s="557" t="s">
        <v>2732</v>
      </c>
      <c r="AR1" s="557" t="s">
        <v>2733</v>
      </c>
      <c r="AS1" s="557" t="s">
        <v>2734</v>
      </c>
      <c r="AT1" s="557" t="s">
        <v>2735</v>
      </c>
      <c r="AU1" s="557" t="s">
        <v>2736</v>
      </c>
      <c r="AV1" s="558" t="s">
        <v>2737</v>
      </c>
      <c r="AW1" s="557" t="s">
        <v>2738</v>
      </c>
      <c r="AX1" s="555" t="s">
        <v>2739</v>
      </c>
      <c r="AY1" s="555" t="s">
        <v>2740</v>
      </c>
      <c r="AZ1" s="555" t="s">
        <v>2741</v>
      </c>
      <c r="BA1" s="557" t="s">
        <v>2742</v>
      </c>
      <c r="BB1" s="557" t="s">
        <v>2743</v>
      </c>
      <c r="BC1" s="558" t="s">
        <v>2744</v>
      </c>
      <c r="BD1" s="559" t="s">
        <v>2190</v>
      </c>
      <c r="BE1" s="559" t="s">
        <v>2745</v>
      </c>
      <c r="BF1" s="541" t="s">
        <v>2746</v>
      </c>
      <c r="BG1" s="560" t="s">
        <v>2747</v>
      </c>
      <c r="BH1" s="560" t="s">
        <v>2748</v>
      </c>
      <c r="BI1" s="541" t="s">
        <v>2749</v>
      </c>
      <c r="BJ1" s="556" t="s">
        <v>2750</v>
      </c>
      <c r="BK1" s="556" t="s">
        <v>2751</v>
      </c>
      <c r="BL1" s="541" t="s">
        <v>2752</v>
      </c>
      <c r="BM1" s="541" t="s">
        <v>2753</v>
      </c>
      <c r="BN1" s="541" t="s">
        <v>2754</v>
      </c>
      <c r="BO1" s="561" t="s">
        <v>2755</v>
      </c>
      <c r="BP1" s="561" t="s">
        <v>2756</v>
      </c>
      <c r="BQ1" s="541" t="s">
        <v>2757</v>
      </c>
      <c r="BR1" s="556" t="s">
        <v>2758</v>
      </c>
      <c r="BS1" s="562" t="s">
        <v>2674</v>
      </c>
      <c r="BT1" s="561" t="s">
        <v>2759</v>
      </c>
      <c r="BU1" s="563" t="s">
        <v>2760</v>
      </c>
      <c r="BV1" s="556" t="s">
        <v>2761</v>
      </c>
      <c r="BW1" s="564"/>
      <c r="BX1" s="565" t="s">
        <v>2762</v>
      </c>
      <c r="BY1" s="565" t="s">
        <v>2763</v>
      </c>
      <c r="BZ1" s="566"/>
      <c r="CA1" s="567" t="s">
        <v>2764</v>
      </c>
      <c r="CB1" s="568" t="s">
        <v>2765</v>
      </c>
      <c r="CC1" s="568" t="s">
        <v>2766</v>
      </c>
      <c r="CD1" s="569" t="s">
        <v>2767</v>
      </c>
      <c r="CE1" s="567" t="s">
        <v>2768</v>
      </c>
      <c r="CF1" s="570" t="s">
        <v>2769</v>
      </c>
      <c r="CG1" s="567" t="s">
        <v>2770</v>
      </c>
      <c r="CH1" s="571" t="s">
        <v>2771</v>
      </c>
      <c r="CI1" s="569" t="s">
        <v>2772</v>
      </c>
      <c r="CJ1" s="566"/>
      <c r="CK1" s="541" t="s">
        <v>2773</v>
      </c>
      <c r="CL1" s="541" t="s">
        <v>2774</v>
      </c>
      <c r="CM1" s="541" t="s">
        <v>2775</v>
      </c>
      <c r="CN1" s="541" t="s">
        <v>2776</v>
      </c>
      <c r="CO1" s="572" t="s">
        <v>2777</v>
      </c>
      <c r="CP1" s="541" t="s">
        <v>2778</v>
      </c>
    </row>
    <row r="2">
      <c r="A2" s="573">
        <f>Blends!D58</f>
        <v>200053</v>
      </c>
      <c r="B2" s="574" t="str">
        <f t="shared" ref="B2:B300" si="1">"Batch " &amp; A2</f>
        <v>Batch 200053</v>
      </c>
      <c r="C2" s="345" t="s">
        <v>1930</v>
      </c>
      <c r="D2" s="575"/>
      <c r="E2" s="345" t="s">
        <v>2779</v>
      </c>
      <c r="F2" s="576">
        <v>45594.0</v>
      </c>
      <c r="G2" s="576">
        <v>45601.0</v>
      </c>
      <c r="H2" s="347"/>
      <c r="I2" s="347"/>
      <c r="J2" s="577"/>
      <c r="K2" s="578" t="s">
        <v>2780</v>
      </c>
      <c r="L2" s="345">
        <v>3970.0</v>
      </c>
      <c r="M2" s="345">
        <v>1.2203</v>
      </c>
      <c r="N2" s="345">
        <v>23.4</v>
      </c>
      <c r="O2" s="579">
        <f t="shared" ref="O2:O300" si="2">L2*$CP$3</f>
        <v>15028.0777</v>
      </c>
      <c r="P2" s="579">
        <f t="shared" ref="P2:P7" si="3">O2*M2</f>
        <v>18338.76322</v>
      </c>
      <c r="Q2" s="575"/>
      <c r="R2" s="345"/>
      <c r="S2" s="580"/>
      <c r="T2" s="345"/>
      <c r="U2" s="579">
        <f t="shared" ref="U2:U19" si="4">R2*$CP$3</f>
        <v>0</v>
      </c>
      <c r="V2" s="579">
        <f t="shared" ref="V2:V19" si="5">R2*$CP$3*S2</f>
        <v>0</v>
      </c>
      <c r="W2" s="575"/>
      <c r="X2" s="345"/>
      <c r="Y2" s="345"/>
      <c r="Z2" s="345"/>
      <c r="AA2" s="579">
        <f t="shared" ref="AA2:AA300" si="6">X2*$CP$3</f>
        <v>0</v>
      </c>
      <c r="AB2" s="581">
        <f t="shared" ref="AB2:AB7" si="7">W2*$CP$3*X2</f>
        <v>0</v>
      </c>
      <c r="AC2" s="347"/>
      <c r="AD2" s="347"/>
      <c r="AE2" s="347"/>
      <c r="AF2" s="347"/>
      <c r="AG2" s="579">
        <f t="shared" ref="AG2:AG24" si="8">AD2*$CP$3</f>
        <v>0</v>
      </c>
      <c r="AH2" s="579">
        <f t="shared" ref="AH2:AH7" si="9">AC2*$CP$3*AD2</f>
        <v>0</v>
      </c>
      <c r="AI2" s="582"/>
      <c r="AJ2" s="582"/>
      <c r="AK2" s="582"/>
      <c r="AL2" s="582"/>
      <c r="AM2" s="579"/>
      <c r="AN2" s="579"/>
      <c r="AO2" s="347"/>
      <c r="AP2" s="581">
        <f t="shared" ref="AP2:AP77" si="10">SUM(AB2,V2,P2, AH2)</f>
        <v>18338.76322</v>
      </c>
      <c r="AQ2" s="345" t="s">
        <v>2781</v>
      </c>
      <c r="AR2" s="583"/>
      <c r="AS2" s="346">
        <v>3670.0</v>
      </c>
      <c r="AT2" s="346"/>
      <c r="AU2" s="346">
        <v>190.0</v>
      </c>
      <c r="AV2" s="346">
        <v>0.0</v>
      </c>
      <c r="AW2" s="346">
        <v>50.0</v>
      </c>
      <c r="AX2" s="584">
        <f t="shared" ref="AX2:AX72" si="11">(AS2-AU2+AV2-AW2)</f>
        <v>3430</v>
      </c>
      <c r="AY2" s="581">
        <f t="shared" ref="AY2:AY300" si="12">AS2+AV2</f>
        <v>3670</v>
      </c>
      <c r="AZ2" s="581">
        <f t="shared" ref="AZ2:AZ10" si="13">AY2/$CP$4</f>
        <v>1664.685978</v>
      </c>
      <c r="BA2" s="583"/>
      <c r="BB2" s="583"/>
      <c r="BC2" s="346">
        <v>91.0</v>
      </c>
      <c r="BD2" s="581">
        <f>BC2*$CP$5</f>
        <v>1161.16</v>
      </c>
      <c r="BE2" s="581">
        <f>BD2/$CP$4</f>
        <v>526.6939427</v>
      </c>
      <c r="BF2" s="345">
        <v>4.27</v>
      </c>
      <c r="BG2" s="345">
        <v>76960.0</v>
      </c>
      <c r="BH2" s="345">
        <v>32020.0</v>
      </c>
      <c r="BI2" s="585">
        <v>383814.0</v>
      </c>
      <c r="BJ2" s="586">
        <f t="shared" ref="BJ2:BJ62" si="14">BG2-BH2</f>
        <v>44940</v>
      </c>
      <c r="BK2" s="581">
        <f t="shared" ref="BK2:BK300" si="15">BJ2/$CP$4</f>
        <v>20384.46535</v>
      </c>
      <c r="BL2" s="1">
        <v>0.0</v>
      </c>
      <c r="BM2" s="1">
        <v>0.0</v>
      </c>
      <c r="BN2" s="1"/>
      <c r="BO2" s="586">
        <f t="shared" ref="BO2:BO62" si="16">BL2-BM2</f>
        <v>0</v>
      </c>
      <c r="BP2" s="587">
        <f t="shared" ref="BP2:BP300" si="17">BO2/$CP$4</f>
        <v>0</v>
      </c>
      <c r="BQ2" s="345"/>
      <c r="BR2" s="581">
        <f t="shared" ref="BR2:BR6" si="18">SUM(BK2,BP2)</f>
        <v>20384.46535</v>
      </c>
      <c r="BS2" s="588">
        <f t="shared" ref="BS2:BS74" si="19">BR2-(BE2+AZ2)</f>
        <v>18193.08543</v>
      </c>
      <c r="BT2" s="581">
        <f t="shared" ref="BT2:BT300" si="20">AP2-BS2</f>
        <v>145.6777876</v>
      </c>
      <c r="BU2" s="589">
        <f>AVERAGE(0.433,0.433,0.428)</f>
        <v>0.4313333333</v>
      </c>
      <c r="BV2" s="581">
        <f t="shared" ref="BV2:BV10" si="21">BS2*BU2*(44/12)</f>
        <v>28773.37533</v>
      </c>
      <c r="BW2" s="590"/>
      <c r="BX2" s="347"/>
      <c r="BY2" s="347"/>
      <c r="BZ2" s="347"/>
      <c r="CA2" s="591">
        <f t="shared" ref="CA2:CA75" si="22">sum(L2,R2,X2, AD2)</f>
        <v>3970</v>
      </c>
      <c r="CB2" s="592">
        <f t="shared" ref="CB2:CB19" si="23">if(BC2, BC2, 0.026*CA2)</f>
        <v>91</v>
      </c>
      <c r="CC2" s="593">
        <f t="shared" ref="CC2:CC36" si="24">(X2+R2+L2+AD2)*0.024</f>
        <v>95.28</v>
      </c>
      <c r="CD2" s="592">
        <f t="shared" ref="CD2:CD75" si="25">(O2*(N2/100)*M2)+(U2*(T2/100)*S2)+(AA2*(Z2/100)*Y2)+(AG2*(AF2/100)*AE2)+(1.1165*3.78541*CB2)</f>
        <v>4675.873927</v>
      </c>
      <c r="CE2" s="592">
        <f t="shared" ref="CE2:CE75" si="26">convert(CD2*190000/1000/0.6066,"g","lbm")</f>
        <v>3228.852807</v>
      </c>
      <c r="CF2" s="592">
        <f t="shared" ref="CF2:CF75" si="27">convert(CD2*200000/1000/0.6066,"g","lbm")</f>
        <v>3398.792429</v>
      </c>
      <c r="CG2" s="592">
        <f t="shared" ref="CG2:CG75" si="28">AX2-CE2</f>
        <v>201.1471927</v>
      </c>
      <c r="CH2" s="589">
        <f t="shared" ref="CH2:CH75" si="29">CG2/CE2</f>
        <v>0.0622967985</v>
      </c>
      <c r="CI2" s="594">
        <f t="shared" ref="CI2:CI75" si="30">(convert(AX2,"lbm", "g"))*0.606/CD2*1000</f>
        <v>201636.7514</v>
      </c>
      <c r="CJ2" s="347"/>
      <c r="CK2" s="347">
        <f t="shared" ref="CK2:CK16" si="31">IF(ISNUMBER(SEARCH("CH", K2)), P2, 0) +
 IF(ISNUMBER(SEARCH("CH", Q2)), V2, 0) +
 IF(ISNUMBER(SEARCH("CH", W2)), AB2, 0) +
 IF(ISNUMBER(SEARCH("CH", AC2)), AH2, 0)
</f>
        <v>0</v>
      </c>
      <c r="CL2" s="539">
        <f t="shared" ref="CL2:CL74" si="32">BS2-CK2</f>
        <v>18193.08543</v>
      </c>
      <c r="CM2" s="347">
        <f t="shared" ref="CM2:CM75" si="33">iferror(CK2/BS2*BV2, 0)</f>
        <v>0</v>
      </c>
      <c r="CN2" s="347">
        <f t="shared" ref="CN2:CN75" si="34">iferror(CL2/BS2*BV2,0)</f>
        <v>28773.37533</v>
      </c>
      <c r="CO2" s="347" t="str">
        <f t="shared" ref="CO2:CO75" si="35">TEXT($J2,"YYYY-MM-DD")</f>
        <v>1899-12-30</v>
      </c>
      <c r="CP2" s="595" t="s">
        <v>2782</v>
      </c>
    </row>
    <row r="3">
      <c r="A3" s="573">
        <f>Blends!D59</f>
        <v>200054</v>
      </c>
      <c r="B3" s="574" t="str">
        <f t="shared" si="1"/>
        <v>Batch 200054</v>
      </c>
      <c r="C3" s="345" t="s">
        <v>1930</v>
      </c>
      <c r="D3" s="575"/>
      <c r="E3" s="345" t="s">
        <v>2779</v>
      </c>
      <c r="F3" s="576">
        <v>45607.0</v>
      </c>
      <c r="G3" s="576">
        <v>45610.0</v>
      </c>
      <c r="H3" s="347"/>
      <c r="I3" s="347"/>
      <c r="J3" s="596"/>
      <c r="K3" s="575" t="s">
        <v>2783</v>
      </c>
      <c r="L3" s="345">
        <v>3876.0</v>
      </c>
      <c r="M3" s="345">
        <v>1.2229</v>
      </c>
      <c r="N3" s="345">
        <v>23.4</v>
      </c>
      <c r="O3" s="579">
        <f t="shared" si="2"/>
        <v>14672.24916</v>
      </c>
      <c r="P3" s="579">
        <f t="shared" si="3"/>
        <v>17942.6935</v>
      </c>
      <c r="Q3" s="574"/>
      <c r="R3" s="347"/>
      <c r="S3" s="597"/>
      <c r="T3" s="347"/>
      <c r="U3" s="579">
        <f t="shared" si="4"/>
        <v>0</v>
      </c>
      <c r="V3" s="579">
        <f t="shared" si="5"/>
        <v>0</v>
      </c>
      <c r="W3" s="574"/>
      <c r="X3" s="347"/>
      <c r="Y3" s="347"/>
      <c r="Z3" s="347"/>
      <c r="AA3" s="579">
        <f t="shared" si="6"/>
        <v>0</v>
      </c>
      <c r="AB3" s="581">
        <f t="shared" si="7"/>
        <v>0</v>
      </c>
      <c r="AC3" s="347"/>
      <c r="AD3" s="347"/>
      <c r="AE3" s="347"/>
      <c r="AF3" s="347"/>
      <c r="AG3" s="579">
        <f t="shared" si="8"/>
        <v>0</v>
      </c>
      <c r="AH3" s="579">
        <f t="shared" si="9"/>
        <v>0</v>
      </c>
      <c r="AI3" s="582"/>
      <c r="AJ3" s="582"/>
      <c r="AK3" s="582"/>
      <c r="AL3" s="582"/>
      <c r="AM3" s="579"/>
      <c r="AN3" s="579"/>
      <c r="AO3" s="347"/>
      <c r="AP3" s="581">
        <f t="shared" si="10"/>
        <v>17942.6935</v>
      </c>
      <c r="AQ3" s="345" t="s">
        <v>2784</v>
      </c>
      <c r="AR3" s="596"/>
      <c r="AS3" s="346">
        <v>3604.0</v>
      </c>
      <c r="AT3" s="348"/>
      <c r="AU3" s="346">
        <v>276.36</v>
      </c>
      <c r="AV3" s="346">
        <v>100.0</v>
      </c>
      <c r="AW3" s="346">
        <v>50.0</v>
      </c>
      <c r="AX3" s="584">
        <f t="shared" si="11"/>
        <v>3377.64</v>
      </c>
      <c r="AY3" s="581">
        <f t="shared" si="12"/>
        <v>3704</v>
      </c>
      <c r="AZ3" s="581">
        <f t="shared" si="13"/>
        <v>1680.108137</v>
      </c>
      <c r="BA3" s="345" t="s">
        <v>2785</v>
      </c>
      <c r="BB3" s="596"/>
      <c r="BC3" s="598">
        <v>95.0</v>
      </c>
      <c r="BD3" s="581">
        <f>BC3*CP5</f>
        <v>1212.2</v>
      </c>
      <c r="BE3" s="581">
        <f>BD3/CP4</f>
        <v>549.8453248</v>
      </c>
      <c r="BF3" s="345">
        <v>4.55</v>
      </c>
      <c r="BG3" s="334">
        <v>76040.0</v>
      </c>
      <c r="BH3" s="334">
        <v>32360.0</v>
      </c>
      <c r="BI3" s="585">
        <v>383927.0</v>
      </c>
      <c r="BJ3" s="586">
        <f t="shared" si="14"/>
        <v>43680</v>
      </c>
      <c r="BK3" s="581">
        <f t="shared" si="15"/>
        <v>19812.93828</v>
      </c>
      <c r="BL3" s="1">
        <v>0.0</v>
      </c>
      <c r="BM3" s="1">
        <v>0.0</v>
      </c>
      <c r="BN3" s="347"/>
      <c r="BO3" s="586">
        <f t="shared" si="16"/>
        <v>0</v>
      </c>
      <c r="BP3" s="587">
        <f t="shared" si="17"/>
        <v>0</v>
      </c>
      <c r="BQ3" s="347"/>
      <c r="BR3" s="581">
        <f t="shared" si="18"/>
        <v>19812.93828</v>
      </c>
      <c r="BS3" s="588">
        <f t="shared" si="19"/>
        <v>17582.98482</v>
      </c>
      <c r="BT3" s="581">
        <f t="shared" si="20"/>
        <v>359.708675</v>
      </c>
      <c r="BU3" s="589">
        <f>AVERAGE(0.428,0.428,0.426)</f>
        <v>0.4273333333</v>
      </c>
      <c r="BV3" s="581">
        <f t="shared" si="21"/>
        <v>27550.58355</v>
      </c>
      <c r="BW3" s="590"/>
      <c r="BX3" s="347"/>
      <c r="BY3" s="347"/>
      <c r="BZ3" s="347"/>
      <c r="CA3" s="599">
        <f t="shared" si="22"/>
        <v>3876</v>
      </c>
      <c r="CB3" s="593">
        <f t="shared" si="23"/>
        <v>95</v>
      </c>
      <c r="CC3" s="593">
        <f t="shared" si="24"/>
        <v>93.024</v>
      </c>
      <c r="CD3" s="593">
        <f t="shared" si="25"/>
        <v>4600.099254</v>
      </c>
      <c r="CE3" s="593">
        <f t="shared" si="26"/>
        <v>3176.527772</v>
      </c>
      <c r="CF3" s="593">
        <f t="shared" si="27"/>
        <v>3343.713445</v>
      </c>
      <c r="CG3" s="593">
        <f t="shared" si="28"/>
        <v>201.1122277</v>
      </c>
      <c r="CH3" s="600">
        <f t="shared" si="29"/>
        <v>0.06331196894</v>
      </c>
      <c r="CI3" s="601">
        <f t="shared" si="30"/>
        <v>201829.443</v>
      </c>
      <c r="CJ3" s="347"/>
      <c r="CK3" s="347">
        <f t="shared" si="31"/>
        <v>0</v>
      </c>
      <c r="CL3" s="539">
        <f t="shared" si="32"/>
        <v>17582.98482</v>
      </c>
      <c r="CM3" s="347">
        <f t="shared" si="33"/>
        <v>0</v>
      </c>
      <c r="CN3" s="347">
        <f t="shared" si="34"/>
        <v>27550.58355</v>
      </c>
      <c r="CO3" s="347" t="str">
        <f t="shared" si="35"/>
        <v>1899-12-30</v>
      </c>
      <c r="CP3" s="334">
        <v>3.78541</v>
      </c>
    </row>
    <row r="4">
      <c r="A4" s="573">
        <f>Blends!D60</f>
        <v>200055</v>
      </c>
      <c r="B4" s="574" t="str">
        <f t="shared" si="1"/>
        <v>Batch 200055</v>
      </c>
      <c r="C4" s="345" t="s">
        <v>1930</v>
      </c>
      <c r="D4" s="575"/>
      <c r="E4" s="345" t="s">
        <v>2779</v>
      </c>
      <c r="F4" s="576">
        <v>45613.0</v>
      </c>
      <c r="G4" s="576">
        <v>45614.0</v>
      </c>
      <c r="H4" s="347"/>
      <c r="I4" s="347"/>
      <c r="J4" s="596"/>
      <c r="K4" s="575" t="s">
        <v>2786</v>
      </c>
      <c r="L4" s="427">
        <v>4397.47</v>
      </c>
      <c r="M4" s="345">
        <v>1.2225</v>
      </c>
      <c r="N4" s="345">
        <v>23.8</v>
      </c>
      <c r="O4" s="579">
        <f t="shared" si="2"/>
        <v>16646.22691</v>
      </c>
      <c r="P4" s="579">
        <f t="shared" si="3"/>
        <v>20350.0124</v>
      </c>
      <c r="Q4" s="575" t="s">
        <v>2787</v>
      </c>
      <c r="R4" s="427">
        <v>2102.53</v>
      </c>
      <c r="S4" s="580">
        <v>1.2225</v>
      </c>
      <c r="T4" s="602">
        <v>23.8</v>
      </c>
      <c r="U4" s="579">
        <f t="shared" si="4"/>
        <v>7958.938087</v>
      </c>
      <c r="V4" s="579">
        <f t="shared" si="5"/>
        <v>9729.801812</v>
      </c>
      <c r="W4" s="574"/>
      <c r="X4" s="347"/>
      <c r="Y4" s="347"/>
      <c r="Z4" s="347"/>
      <c r="AA4" s="579">
        <f t="shared" si="6"/>
        <v>0</v>
      </c>
      <c r="AB4" s="581">
        <f t="shared" si="7"/>
        <v>0</v>
      </c>
      <c r="AC4" s="347"/>
      <c r="AD4" s="347"/>
      <c r="AE4" s="347"/>
      <c r="AF4" s="347"/>
      <c r="AG4" s="579">
        <f t="shared" si="8"/>
        <v>0</v>
      </c>
      <c r="AH4" s="579">
        <f t="shared" si="9"/>
        <v>0</v>
      </c>
      <c r="AI4" s="582"/>
      <c r="AJ4" s="582"/>
      <c r="AK4" s="582"/>
      <c r="AL4" s="582"/>
      <c r="AM4" s="579"/>
      <c r="AN4" s="579"/>
      <c r="AO4" s="347"/>
      <c r="AP4" s="581">
        <f t="shared" si="10"/>
        <v>30079.81421</v>
      </c>
      <c r="AQ4" s="345" t="s">
        <v>2788</v>
      </c>
      <c r="AR4" s="596"/>
      <c r="AS4" s="346">
        <v>6045.0</v>
      </c>
      <c r="AT4" s="348"/>
      <c r="AU4" s="346">
        <v>109.0</v>
      </c>
      <c r="AV4" s="346">
        <v>100.0</v>
      </c>
      <c r="AW4" s="346">
        <v>50.0</v>
      </c>
      <c r="AX4" s="584">
        <f t="shared" si="11"/>
        <v>5986</v>
      </c>
      <c r="AY4" s="581">
        <f t="shared" si="12"/>
        <v>6145</v>
      </c>
      <c r="AZ4" s="581">
        <f t="shared" si="13"/>
        <v>2787.328428</v>
      </c>
      <c r="BA4" s="345" t="s">
        <v>2788</v>
      </c>
      <c r="BB4" s="596"/>
      <c r="BC4" s="346">
        <v>156.0</v>
      </c>
      <c r="BD4" s="603">
        <f t="shared" ref="BD4:BD62" si="36">BC4*$CP$5</f>
        <v>1990.56</v>
      </c>
      <c r="BE4" s="581">
        <f t="shared" ref="BE4:BE300" si="37">BD4/$CP$4</f>
        <v>902.9039018</v>
      </c>
      <c r="BF4" s="345">
        <v>4.15</v>
      </c>
      <c r="BG4" s="334">
        <v>66200.0</v>
      </c>
      <c r="BH4" s="334">
        <v>30160.0</v>
      </c>
      <c r="BI4" s="585">
        <v>383939.0</v>
      </c>
      <c r="BJ4" s="586">
        <f t="shared" si="14"/>
        <v>36040</v>
      </c>
      <c r="BK4" s="581">
        <f t="shared" si="15"/>
        <v>16347.48846</v>
      </c>
      <c r="BL4" s="334">
        <v>70800.0</v>
      </c>
      <c r="BM4" s="334">
        <v>33520.0</v>
      </c>
      <c r="BN4" s="585">
        <v>383940.0</v>
      </c>
      <c r="BO4" s="586">
        <f t="shared" si="16"/>
        <v>37280</v>
      </c>
      <c r="BP4" s="584">
        <f t="shared" si="17"/>
        <v>16909.94366</v>
      </c>
      <c r="BQ4" s="347"/>
      <c r="BR4" s="581">
        <f t="shared" si="18"/>
        <v>33257.43212</v>
      </c>
      <c r="BS4" s="588">
        <f t="shared" si="19"/>
        <v>29567.19979</v>
      </c>
      <c r="BT4" s="581">
        <f t="shared" si="20"/>
        <v>512.614423</v>
      </c>
      <c r="BU4" s="589">
        <f>average(0.378,0.409,0.487)</f>
        <v>0.4246666667</v>
      </c>
      <c r="BV4" s="581">
        <f t="shared" si="21"/>
        <v>46039.41532</v>
      </c>
      <c r="BW4" s="590"/>
      <c r="BX4" s="604">
        <f>AVERAGE(BU$2:BU$10,$BU$13,$BU$16:$BU$19,$BU$21,$BU$24,$BU$26,$BU$28,$BU$30,$BU$32,$BU$34,$BU$36,$BU$38,$BU$40,$BU$42,$BU$44,$BU$46,$BU$48,$BU$50,$BU$52,$BU$54,$BU$56,$BU$58,$BU$60,$BU$62,$BU$64,$BU$66,$BU$68,$BU$70,$BU$72,$BU$74,$BU$77)</f>
        <v>0.4233650794</v>
      </c>
      <c r="BY4" s="347"/>
      <c r="BZ4" s="347"/>
      <c r="CA4" s="599">
        <f t="shared" si="22"/>
        <v>6500</v>
      </c>
      <c r="CB4" s="593">
        <f t="shared" si="23"/>
        <v>156</v>
      </c>
      <c r="CC4" s="593">
        <f t="shared" si="24"/>
        <v>156</v>
      </c>
      <c r="CD4" s="593">
        <f t="shared" si="25"/>
        <v>7818.315784</v>
      </c>
      <c r="CE4" s="593">
        <f t="shared" si="26"/>
        <v>5398.817689</v>
      </c>
      <c r="CF4" s="593">
        <f t="shared" si="27"/>
        <v>5682.965988</v>
      </c>
      <c r="CG4" s="593">
        <f t="shared" si="28"/>
        <v>587.1823113</v>
      </c>
      <c r="CH4" s="600">
        <f t="shared" si="29"/>
        <v>0.108761278</v>
      </c>
      <c r="CI4" s="601">
        <f t="shared" si="30"/>
        <v>210456.2703</v>
      </c>
      <c r="CJ4" s="347"/>
      <c r="CK4" s="347">
        <f t="shared" si="31"/>
        <v>0</v>
      </c>
      <c r="CL4" s="539">
        <f t="shared" si="32"/>
        <v>29567.19979</v>
      </c>
      <c r="CM4" s="347">
        <f t="shared" si="33"/>
        <v>0</v>
      </c>
      <c r="CN4" s="347">
        <f t="shared" si="34"/>
        <v>46039.41532</v>
      </c>
      <c r="CO4" s="347" t="str">
        <f t="shared" si="35"/>
        <v>1899-12-30</v>
      </c>
      <c r="CP4" s="334">
        <v>2.20462</v>
      </c>
    </row>
    <row r="5">
      <c r="A5" s="573">
        <f>Blends!D61</f>
        <v>200056</v>
      </c>
      <c r="B5" s="574" t="str">
        <f t="shared" si="1"/>
        <v>Batch 200056</v>
      </c>
      <c r="C5" s="345" t="s">
        <v>1930</v>
      </c>
      <c r="D5" s="575"/>
      <c r="E5" s="345" t="s">
        <v>2779</v>
      </c>
      <c r="F5" s="576">
        <v>45614.0</v>
      </c>
      <c r="G5" s="576">
        <v>45615.0</v>
      </c>
      <c r="H5" s="347"/>
      <c r="I5" s="347"/>
      <c r="J5" s="596"/>
      <c r="K5" s="575" t="s">
        <v>2787</v>
      </c>
      <c r="L5" s="427">
        <v>2234.44</v>
      </c>
      <c r="M5" s="345">
        <v>1.2225</v>
      </c>
      <c r="N5" s="345">
        <v>23.8</v>
      </c>
      <c r="O5" s="579">
        <f t="shared" si="2"/>
        <v>8458.27152</v>
      </c>
      <c r="P5" s="579">
        <f t="shared" si="3"/>
        <v>10340.23693</v>
      </c>
      <c r="Q5" s="575" t="s">
        <v>2789</v>
      </c>
      <c r="R5" s="427">
        <v>1745.56</v>
      </c>
      <c r="S5" s="580">
        <v>1.2225</v>
      </c>
      <c r="T5" s="602">
        <v>23.8</v>
      </c>
      <c r="U5" s="579">
        <f t="shared" si="4"/>
        <v>6607.66028</v>
      </c>
      <c r="V5" s="579">
        <f t="shared" si="5"/>
        <v>8077.864692</v>
      </c>
      <c r="W5" s="574"/>
      <c r="X5" s="347"/>
      <c r="Y5" s="347"/>
      <c r="Z5" s="347"/>
      <c r="AA5" s="579">
        <f t="shared" si="6"/>
        <v>0</v>
      </c>
      <c r="AB5" s="581">
        <f t="shared" si="7"/>
        <v>0</v>
      </c>
      <c r="AC5" s="347"/>
      <c r="AD5" s="347"/>
      <c r="AE5" s="347"/>
      <c r="AF5" s="347"/>
      <c r="AG5" s="579">
        <f t="shared" si="8"/>
        <v>0</v>
      </c>
      <c r="AH5" s="579">
        <f t="shared" si="9"/>
        <v>0</v>
      </c>
      <c r="AI5" s="582"/>
      <c r="AJ5" s="582"/>
      <c r="AK5" s="582"/>
      <c r="AL5" s="582"/>
      <c r="AM5" s="579"/>
      <c r="AN5" s="579"/>
      <c r="AO5" s="347"/>
      <c r="AP5" s="581">
        <f t="shared" si="10"/>
        <v>18418.10163</v>
      </c>
      <c r="AQ5" s="345" t="s">
        <v>2790</v>
      </c>
      <c r="AR5" s="596"/>
      <c r="AS5" s="346">
        <v>3866.0</v>
      </c>
      <c r="AT5" s="348"/>
      <c r="AU5" s="346">
        <v>276.36</v>
      </c>
      <c r="AV5" s="346">
        <v>100.0</v>
      </c>
      <c r="AW5" s="346">
        <v>50.0</v>
      </c>
      <c r="AX5" s="584">
        <f t="shared" si="11"/>
        <v>3639.64</v>
      </c>
      <c r="AY5" s="581">
        <f t="shared" si="12"/>
        <v>3966</v>
      </c>
      <c r="AZ5" s="581">
        <f t="shared" si="13"/>
        <v>1798.949479</v>
      </c>
      <c r="BA5" s="345" t="s">
        <v>2791</v>
      </c>
      <c r="BB5" s="596"/>
      <c r="BC5" s="598">
        <v>95.0</v>
      </c>
      <c r="BD5" s="581">
        <f t="shared" si="36"/>
        <v>1212.2</v>
      </c>
      <c r="BE5" s="581">
        <f t="shared" si="37"/>
        <v>549.8453248</v>
      </c>
      <c r="BF5" s="345">
        <v>4.49</v>
      </c>
      <c r="BG5" s="345">
        <v>77960.0</v>
      </c>
      <c r="BH5" s="345">
        <v>33800.0</v>
      </c>
      <c r="BI5" s="585">
        <v>383951.0</v>
      </c>
      <c r="BJ5" s="586">
        <f t="shared" si="14"/>
        <v>44160</v>
      </c>
      <c r="BK5" s="581">
        <f t="shared" si="15"/>
        <v>20030.66288</v>
      </c>
      <c r="BL5" s="347"/>
      <c r="BM5" s="347"/>
      <c r="BN5" s="347"/>
      <c r="BO5" s="586">
        <f t="shared" si="16"/>
        <v>0</v>
      </c>
      <c r="BP5" s="587">
        <f t="shared" si="17"/>
        <v>0</v>
      </c>
      <c r="BQ5" s="347"/>
      <c r="BR5" s="581">
        <f t="shared" si="18"/>
        <v>20030.66288</v>
      </c>
      <c r="BS5" s="588">
        <f t="shared" si="19"/>
        <v>17681.86808</v>
      </c>
      <c r="BT5" s="581">
        <f t="shared" si="20"/>
        <v>736.2335485</v>
      </c>
      <c r="BU5" s="589">
        <f>average(0.412,0.414,0.412)</f>
        <v>0.4126666667</v>
      </c>
      <c r="BV5" s="581">
        <f t="shared" si="21"/>
        <v>26754.63105</v>
      </c>
      <c r="BW5" s="590"/>
      <c r="BX5" s="539">
        <f>AVERAGE($BS$2:$BS$10,$BS$13:$BS$74,$BS$77,$BS$79)</f>
        <v>27317.05306</v>
      </c>
      <c r="BY5" s="347"/>
      <c r="BZ5" s="347"/>
      <c r="CA5" s="599">
        <f t="shared" si="22"/>
        <v>3980</v>
      </c>
      <c r="CB5" s="593">
        <f t="shared" si="23"/>
        <v>95</v>
      </c>
      <c r="CC5" s="593">
        <f t="shared" si="24"/>
        <v>95.52</v>
      </c>
      <c r="CD5" s="593">
        <f t="shared" si="25"/>
        <v>4785.017162</v>
      </c>
      <c r="CE5" s="593">
        <f t="shared" si="26"/>
        <v>3304.219989</v>
      </c>
      <c r="CF5" s="593">
        <f t="shared" si="27"/>
        <v>3478.126304</v>
      </c>
      <c r="CG5" s="593">
        <f t="shared" si="28"/>
        <v>335.4200108</v>
      </c>
      <c r="CH5" s="600">
        <f t="shared" si="29"/>
        <v>0.1015126147</v>
      </c>
      <c r="CI5" s="601">
        <f t="shared" si="30"/>
        <v>209080.3865</v>
      </c>
      <c r="CJ5" s="347"/>
      <c r="CK5" s="347">
        <f t="shared" si="31"/>
        <v>0</v>
      </c>
      <c r="CL5" s="539">
        <f t="shared" si="32"/>
        <v>17681.86808</v>
      </c>
      <c r="CM5" s="347">
        <f t="shared" si="33"/>
        <v>0</v>
      </c>
      <c r="CN5" s="347">
        <f t="shared" si="34"/>
        <v>26754.63105</v>
      </c>
      <c r="CO5" s="347" t="str">
        <f t="shared" si="35"/>
        <v>1899-12-30</v>
      </c>
      <c r="CP5" s="334">
        <v>12.76</v>
      </c>
    </row>
    <row r="6">
      <c r="A6" s="573">
        <f>Blends!D62</f>
        <v>200057</v>
      </c>
      <c r="B6" s="574" t="str">
        <f t="shared" si="1"/>
        <v>Batch 200057</v>
      </c>
      <c r="C6" s="345" t="s">
        <v>1930</v>
      </c>
      <c r="D6" s="575"/>
      <c r="E6" s="345" t="s">
        <v>2779</v>
      </c>
      <c r="F6" s="576">
        <v>45615.0</v>
      </c>
      <c r="G6" s="576">
        <v>45616.0</v>
      </c>
      <c r="H6" s="347"/>
      <c r="I6" s="347"/>
      <c r="J6" s="596"/>
      <c r="K6" s="575" t="s">
        <v>2789</v>
      </c>
      <c r="L6" s="427">
        <v>2729.7</v>
      </c>
      <c r="M6" s="345">
        <v>1.2225</v>
      </c>
      <c r="N6" s="345">
        <v>23.8</v>
      </c>
      <c r="O6" s="579">
        <f t="shared" si="2"/>
        <v>10333.03368</v>
      </c>
      <c r="P6" s="579">
        <f t="shared" si="3"/>
        <v>12632.13367</v>
      </c>
      <c r="Q6" s="575" t="s">
        <v>2792</v>
      </c>
      <c r="R6" s="427">
        <v>4110.3</v>
      </c>
      <c r="S6" s="580">
        <v>1.2225</v>
      </c>
      <c r="T6" s="602">
        <v>23.8</v>
      </c>
      <c r="U6" s="579">
        <f t="shared" si="4"/>
        <v>15559.17072</v>
      </c>
      <c r="V6" s="579">
        <f t="shared" si="5"/>
        <v>19021.08621</v>
      </c>
      <c r="W6" s="574"/>
      <c r="X6" s="347"/>
      <c r="Y6" s="347"/>
      <c r="Z6" s="347"/>
      <c r="AA6" s="579">
        <f t="shared" si="6"/>
        <v>0</v>
      </c>
      <c r="AB6" s="581">
        <f t="shared" si="7"/>
        <v>0</v>
      </c>
      <c r="AC6" s="347"/>
      <c r="AD6" s="347"/>
      <c r="AE6" s="347"/>
      <c r="AF6" s="347"/>
      <c r="AG6" s="579">
        <f t="shared" si="8"/>
        <v>0</v>
      </c>
      <c r="AH6" s="579">
        <f t="shared" si="9"/>
        <v>0</v>
      </c>
      <c r="AI6" s="582"/>
      <c r="AJ6" s="582"/>
      <c r="AK6" s="582"/>
      <c r="AL6" s="582"/>
      <c r="AM6" s="579"/>
      <c r="AN6" s="579"/>
      <c r="AO6" s="347"/>
      <c r="AP6" s="581">
        <f t="shared" si="10"/>
        <v>31653.21988</v>
      </c>
      <c r="AQ6" s="345" t="s">
        <v>2793</v>
      </c>
      <c r="AR6" s="596"/>
      <c r="AS6" s="346">
        <v>5563.0</v>
      </c>
      <c r="AT6" s="348"/>
      <c r="AU6" s="346">
        <v>22.0</v>
      </c>
      <c r="AV6" s="346">
        <v>0.0</v>
      </c>
      <c r="AW6" s="346">
        <v>50.0</v>
      </c>
      <c r="AX6" s="584">
        <f t="shared" si="11"/>
        <v>5491</v>
      </c>
      <c r="AY6" s="581">
        <f t="shared" si="12"/>
        <v>5563</v>
      </c>
      <c r="AZ6" s="581">
        <f t="shared" si="13"/>
        <v>2523.337355</v>
      </c>
      <c r="BA6" s="345" t="s">
        <v>2790</v>
      </c>
      <c r="BB6" s="596"/>
      <c r="BC6" s="598">
        <v>95.0</v>
      </c>
      <c r="BD6" s="581">
        <f t="shared" si="36"/>
        <v>1212.2</v>
      </c>
      <c r="BE6" s="581">
        <f t="shared" si="37"/>
        <v>549.8453248</v>
      </c>
      <c r="BF6" s="345">
        <v>4.15</v>
      </c>
      <c r="BG6" s="334">
        <v>71860.0</v>
      </c>
      <c r="BH6" s="334">
        <v>33920.0</v>
      </c>
      <c r="BI6" s="585">
        <v>383952.0</v>
      </c>
      <c r="BJ6" s="586">
        <f t="shared" si="14"/>
        <v>37940</v>
      </c>
      <c r="BK6" s="581">
        <f t="shared" si="15"/>
        <v>17209.31498</v>
      </c>
      <c r="BL6" s="334">
        <v>67940.0</v>
      </c>
      <c r="BM6" s="334">
        <v>33000.0</v>
      </c>
      <c r="BN6" s="585">
        <v>383953.0</v>
      </c>
      <c r="BO6" s="586">
        <f t="shared" si="16"/>
        <v>34940</v>
      </c>
      <c r="BP6" s="587">
        <f t="shared" si="17"/>
        <v>15848.53626</v>
      </c>
      <c r="BQ6" s="347"/>
      <c r="BR6" s="581">
        <f t="shared" si="18"/>
        <v>33057.85124</v>
      </c>
      <c r="BS6" s="588">
        <f t="shared" si="19"/>
        <v>29984.66856</v>
      </c>
      <c r="BT6" s="581">
        <f t="shared" si="20"/>
        <v>1668.551319</v>
      </c>
      <c r="BU6" s="605">
        <f>AVERAGE(0.419,0.423,0.416)</f>
        <v>0.4193333333</v>
      </c>
      <c r="BV6" s="581">
        <f t="shared" si="21"/>
        <v>46103.09373</v>
      </c>
      <c r="BW6" s="590"/>
      <c r="BX6" s="347">
        <f>STDEV(BU$2:BU$10,$BU$13,$BU$16:$BU$19,$BU$21,$BU$24,$BU$26,$BU$28,$BU$30,$BU$32,$BU$34,$BU$36,$BU$38,$BU$40,$BU$42,$BU$44,$BU$46,$BU$48,$BU$50,$BU$52,$BU$54,$BU$56,$BU$58,$BU$60,$BU$62,$BU$64,$BU$66,$BU$68,$BU$70,$BU$72,$BU$74,$BU$77)</f>
        <v>0.0192687187</v>
      </c>
      <c r="BY6" s="347"/>
      <c r="BZ6" s="347"/>
      <c r="CA6" s="599">
        <f t="shared" si="22"/>
        <v>6840</v>
      </c>
      <c r="CB6" s="593">
        <f t="shared" si="23"/>
        <v>95</v>
      </c>
      <c r="CC6" s="593">
        <f t="shared" si="24"/>
        <v>164.16</v>
      </c>
      <c r="CD6" s="593">
        <f t="shared" si="25"/>
        <v>7934.975306</v>
      </c>
      <c r="CE6" s="593">
        <f t="shared" si="26"/>
        <v>5479.375127</v>
      </c>
      <c r="CF6" s="593">
        <f t="shared" si="27"/>
        <v>5767.763292</v>
      </c>
      <c r="CG6" s="593">
        <f t="shared" si="28"/>
        <v>11.62487272</v>
      </c>
      <c r="CH6" s="600">
        <f t="shared" si="29"/>
        <v>0.002121569057</v>
      </c>
      <c r="CI6" s="601">
        <f t="shared" si="30"/>
        <v>190214.7667</v>
      </c>
      <c r="CJ6" s="347"/>
      <c r="CK6" s="347">
        <f t="shared" si="31"/>
        <v>0</v>
      </c>
      <c r="CL6" s="539">
        <f t="shared" si="32"/>
        <v>29984.66856</v>
      </c>
      <c r="CM6" s="347">
        <f t="shared" si="33"/>
        <v>0</v>
      </c>
      <c r="CN6" s="347">
        <f t="shared" si="34"/>
        <v>46103.09373</v>
      </c>
      <c r="CO6" s="347" t="str">
        <f t="shared" si="35"/>
        <v>1899-12-30</v>
      </c>
      <c r="CP6" s="347"/>
    </row>
    <row r="7">
      <c r="A7" s="574">
        <f>Blends!D63</f>
        <v>200058</v>
      </c>
      <c r="B7" s="574" t="str">
        <f t="shared" si="1"/>
        <v>Batch 200058</v>
      </c>
      <c r="C7" s="345" t="s">
        <v>1930</v>
      </c>
      <c r="D7" s="575"/>
      <c r="E7" s="345" t="s">
        <v>2779</v>
      </c>
      <c r="F7" s="345" t="s">
        <v>2794</v>
      </c>
      <c r="G7" s="583">
        <v>45621.583333333336</v>
      </c>
      <c r="H7" s="345"/>
      <c r="I7" s="345" t="s">
        <v>2795</v>
      </c>
      <c r="J7" s="583">
        <v>45622.739583333336</v>
      </c>
      <c r="K7" s="575" t="s">
        <v>2796</v>
      </c>
      <c r="L7" s="345">
        <v>4455.85</v>
      </c>
      <c r="M7" s="345">
        <v>1.2225</v>
      </c>
      <c r="N7" s="345">
        <v>23.8</v>
      </c>
      <c r="O7" s="579">
        <f t="shared" si="2"/>
        <v>16867.21915</v>
      </c>
      <c r="P7" s="579">
        <f t="shared" si="3"/>
        <v>20620.17541</v>
      </c>
      <c r="Q7" s="575" t="s">
        <v>2797</v>
      </c>
      <c r="R7" s="1">
        <v>3494.15</v>
      </c>
      <c r="S7" s="580">
        <v>1.2191</v>
      </c>
      <c r="T7" s="345">
        <v>24.2</v>
      </c>
      <c r="U7" s="579">
        <f t="shared" si="4"/>
        <v>13226.79035</v>
      </c>
      <c r="V7" s="579">
        <f t="shared" si="5"/>
        <v>16124.78012</v>
      </c>
      <c r="W7" s="574"/>
      <c r="X7" s="347"/>
      <c r="Y7" s="347"/>
      <c r="Z7" s="347"/>
      <c r="AA7" s="579">
        <f t="shared" si="6"/>
        <v>0</v>
      </c>
      <c r="AB7" s="581">
        <f t="shared" si="7"/>
        <v>0</v>
      </c>
      <c r="AC7" s="347"/>
      <c r="AD7" s="347"/>
      <c r="AE7" s="347"/>
      <c r="AF7" s="347"/>
      <c r="AG7" s="579">
        <f t="shared" si="8"/>
        <v>0</v>
      </c>
      <c r="AH7" s="579">
        <f t="shared" si="9"/>
        <v>0</v>
      </c>
      <c r="AI7" s="582"/>
      <c r="AJ7" s="582"/>
      <c r="AK7" s="582"/>
      <c r="AL7" s="582"/>
      <c r="AM7" s="579"/>
      <c r="AN7" s="579"/>
      <c r="AO7" s="347"/>
      <c r="AP7" s="581">
        <f t="shared" si="10"/>
        <v>36744.95553</v>
      </c>
      <c r="AQ7" s="345" t="s">
        <v>2798</v>
      </c>
      <c r="AR7" s="345" t="s">
        <v>2799</v>
      </c>
      <c r="AS7" s="346">
        <v>7040.0</v>
      </c>
      <c r="AT7" s="346" t="s">
        <v>2800</v>
      </c>
      <c r="AU7" s="346">
        <v>0.0</v>
      </c>
      <c r="AV7" s="346">
        <v>58.0</v>
      </c>
      <c r="AW7" s="606">
        <v>100.0</v>
      </c>
      <c r="AX7" s="584">
        <f t="shared" si="11"/>
        <v>6998</v>
      </c>
      <c r="AY7" s="581">
        <f t="shared" si="12"/>
        <v>7098</v>
      </c>
      <c r="AZ7" s="581">
        <f t="shared" si="13"/>
        <v>3219.602471</v>
      </c>
      <c r="BA7" s="583">
        <v>45621.75</v>
      </c>
      <c r="BB7" s="345" t="s">
        <v>2801</v>
      </c>
      <c r="BC7" s="598">
        <v>192.0</v>
      </c>
      <c r="BD7" s="581">
        <f t="shared" si="36"/>
        <v>2449.92</v>
      </c>
      <c r="BE7" s="581">
        <f t="shared" si="37"/>
        <v>1111.266341</v>
      </c>
      <c r="BF7" s="345">
        <v>4.33</v>
      </c>
      <c r="BG7" s="345">
        <v>75640.0</v>
      </c>
      <c r="BH7" s="345">
        <v>33160.0</v>
      </c>
      <c r="BI7" s="607" t="s">
        <v>2802</v>
      </c>
      <c r="BJ7" s="586">
        <f t="shared" si="14"/>
        <v>42480</v>
      </c>
      <c r="BK7" s="581">
        <f t="shared" si="15"/>
        <v>19268.62679</v>
      </c>
      <c r="BL7" s="345">
        <v>75780.0</v>
      </c>
      <c r="BM7" s="345">
        <v>33740.0</v>
      </c>
      <c r="BN7" s="86" t="s">
        <v>2803</v>
      </c>
      <c r="BO7" s="586">
        <f t="shared" si="16"/>
        <v>42040</v>
      </c>
      <c r="BP7" s="584">
        <f t="shared" si="17"/>
        <v>19069.04591</v>
      </c>
      <c r="BQ7" s="345" t="s">
        <v>2804</v>
      </c>
      <c r="BR7" s="581">
        <f t="shared" ref="BR7:BR82" si="38">BP7+BK7</f>
        <v>38337.67271</v>
      </c>
      <c r="BS7" s="588">
        <f t="shared" si="19"/>
        <v>34006.80389</v>
      </c>
      <c r="BT7" s="581">
        <f t="shared" si="20"/>
        <v>2738.151633</v>
      </c>
      <c r="BU7" s="605">
        <v>0.428</v>
      </c>
      <c r="BV7" s="581">
        <f t="shared" si="21"/>
        <v>53368.01091</v>
      </c>
      <c r="BW7" s="590"/>
      <c r="BX7" s="347"/>
      <c r="BY7" s="347"/>
      <c r="BZ7" s="347"/>
      <c r="CA7" s="586">
        <f t="shared" si="22"/>
        <v>7950</v>
      </c>
      <c r="CB7" s="581">
        <f t="shared" si="23"/>
        <v>192</v>
      </c>
      <c r="CC7" s="581">
        <f t="shared" si="24"/>
        <v>190.8</v>
      </c>
      <c r="CD7" s="581">
        <f t="shared" si="25"/>
        <v>9621.269307</v>
      </c>
      <c r="CE7" s="581">
        <f t="shared" si="26"/>
        <v>6643.819507</v>
      </c>
      <c r="CF7" s="581">
        <f t="shared" si="27"/>
        <v>6993.494218</v>
      </c>
      <c r="CG7" s="581">
        <f t="shared" si="28"/>
        <v>354.1804925</v>
      </c>
      <c r="CH7" s="608">
        <f t="shared" si="29"/>
        <v>0.0533097704</v>
      </c>
      <c r="CI7" s="603">
        <f t="shared" si="30"/>
        <v>199930.905</v>
      </c>
      <c r="CJ7" s="347"/>
      <c r="CK7" s="347">
        <f t="shared" si="31"/>
        <v>0</v>
      </c>
      <c r="CL7" s="539">
        <f t="shared" si="32"/>
        <v>34006.80389</v>
      </c>
      <c r="CM7" s="347">
        <f t="shared" si="33"/>
        <v>0</v>
      </c>
      <c r="CN7" s="347">
        <f t="shared" si="34"/>
        <v>53368.01091</v>
      </c>
      <c r="CO7" s="347" t="str">
        <f t="shared" si="35"/>
        <v>2024-11-26</v>
      </c>
      <c r="CP7" s="347"/>
    </row>
    <row r="8">
      <c r="A8" s="574">
        <f>Blends!D64</f>
        <v>200059</v>
      </c>
      <c r="B8" s="574" t="str">
        <f t="shared" si="1"/>
        <v>Batch 200059</v>
      </c>
      <c r="C8" s="1" t="s">
        <v>1930</v>
      </c>
      <c r="D8" s="609"/>
      <c r="E8" s="1" t="s">
        <v>2779</v>
      </c>
      <c r="F8" s="217">
        <v>45621.770833333336</v>
      </c>
      <c r="G8" s="217">
        <v>45624.03125</v>
      </c>
      <c r="I8" s="463">
        <v>45630.4375</v>
      </c>
      <c r="J8" s="583">
        <v>45630.688888888886</v>
      </c>
      <c r="K8" s="609" t="s">
        <v>2797</v>
      </c>
      <c r="L8" s="1">
        <v>1119.27</v>
      </c>
      <c r="M8" s="610">
        <v>1.2191</v>
      </c>
      <c r="N8" s="1">
        <v>24.2</v>
      </c>
      <c r="O8" s="579">
        <f t="shared" si="2"/>
        <v>4236.895851</v>
      </c>
      <c r="P8" s="579">
        <f t="shared" ref="P8:P16" si="39">L8*$CP$3*M8</f>
        <v>5165.199732</v>
      </c>
      <c r="Q8" s="609" t="s">
        <v>2805</v>
      </c>
      <c r="R8" s="1">
        <v>4453.07</v>
      </c>
      <c r="S8" s="611">
        <v>1.2191</v>
      </c>
      <c r="T8" s="1">
        <v>24.2</v>
      </c>
      <c r="U8" s="579">
        <f t="shared" si="4"/>
        <v>16856.69571</v>
      </c>
      <c r="V8" s="579">
        <f t="shared" si="5"/>
        <v>20549.99774</v>
      </c>
      <c r="W8" s="609" t="s">
        <v>2806</v>
      </c>
      <c r="X8" s="1">
        <v>2433.65</v>
      </c>
      <c r="Y8" s="610">
        <v>1.2191</v>
      </c>
      <c r="Z8" s="1">
        <v>24.2</v>
      </c>
      <c r="AA8" s="579">
        <f t="shared" si="6"/>
        <v>9212.363047</v>
      </c>
      <c r="AB8" s="581">
        <f t="shared" ref="AB8:AB21" si="40">X8*$CP$3*Y8</f>
        <v>11230.79179</v>
      </c>
      <c r="AG8" s="579">
        <f t="shared" si="8"/>
        <v>0</v>
      </c>
      <c r="AH8" s="579">
        <f t="shared" ref="AH8:AH24" si="41">AD8*$CP$3*AE8</f>
        <v>0</v>
      </c>
      <c r="AI8" s="582"/>
      <c r="AJ8" s="582"/>
      <c r="AK8" s="582"/>
      <c r="AL8" s="582"/>
      <c r="AM8" s="579"/>
      <c r="AN8" s="579"/>
      <c r="AP8" s="581">
        <f t="shared" si="10"/>
        <v>36945.98926</v>
      </c>
      <c r="AQ8" s="583">
        <v>45628.916666666664</v>
      </c>
      <c r="AR8" s="583">
        <v>45629.395833333336</v>
      </c>
      <c r="AS8" s="346">
        <v>7100.0</v>
      </c>
      <c r="AT8" s="346" t="s">
        <v>2800</v>
      </c>
      <c r="AU8" s="346">
        <v>138.18</v>
      </c>
      <c r="AV8" s="346">
        <v>150.0</v>
      </c>
      <c r="AW8" s="606">
        <v>70.0</v>
      </c>
      <c r="AX8" s="584">
        <f t="shared" si="11"/>
        <v>7041.82</v>
      </c>
      <c r="AY8" s="581">
        <f t="shared" si="12"/>
        <v>7250</v>
      </c>
      <c r="AZ8" s="581">
        <f t="shared" si="13"/>
        <v>3288.548593</v>
      </c>
      <c r="BA8" s="583">
        <v>45629.34375</v>
      </c>
      <c r="BB8" s="583">
        <v>45629.791666666664</v>
      </c>
      <c r="BC8" s="598">
        <v>192.0</v>
      </c>
      <c r="BD8" s="581">
        <f t="shared" si="36"/>
        <v>2449.92</v>
      </c>
      <c r="BE8" s="581">
        <f t="shared" si="37"/>
        <v>1111.266341</v>
      </c>
      <c r="BF8" s="345">
        <v>4.33</v>
      </c>
      <c r="BG8" s="345">
        <v>75400.0</v>
      </c>
      <c r="BH8" s="345">
        <v>33240.0</v>
      </c>
      <c r="BI8" s="607" t="s">
        <v>2807</v>
      </c>
      <c r="BJ8" s="586">
        <f t="shared" si="14"/>
        <v>42160</v>
      </c>
      <c r="BK8" s="581">
        <f t="shared" si="15"/>
        <v>19123.47706</v>
      </c>
      <c r="BL8" s="345">
        <v>82740.0</v>
      </c>
      <c r="BM8" s="345">
        <v>35140.0</v>
      </c>
      <c r="BN8" s="607" t="s">
        <v>2807</v>
      </c>
      <c r="BO8" s="586">
        <f t="shared" si="16"/>
        <v>47600</v>
      </c>
      <c r="BP8" s="584">
        <f t="shared" si="17"/>
        <v>21591.02249</v>
      </c>
      <c r="BQ8" s="345" t="s">
        <v>2808</v>
      </c>
      <c r="BR8" s="581">
        <f t="shared" si="38"/>
        <v>40714.49955</v>
      </c>
      <c r="BS8" s="588">
        <f t="shared" si="19"/>
        <v>36314.68462</v>
      </c>
      <c r="BT8" s="581">
        <f t="shared" si="20"/>
        <v>631.3046432</v>
      </c>
      <c r="BU8" s="605">
        <v>0.39</v>
      </c>
      <c r="BV8" s="581">
        <f t="shared" si="21"/>
        <v>51929.999</v>
      </c>
      <c r="BW8" s="590"/>
      <c r="BX8" s="345"/>
      <c r="BY8" s="347"/>
      <c r="BZ8" s="347"/>
      <c r="CA8" s="586">
        <f t="shared" si="22"/>
        <v>8005.99</v>
      </c>
      <c r="CB8" s="581">
        <f t="shared" si="23"/>
        <v>192</v>
      </c>
      <c r="CC8" s="581">
        <f t="shared" si="24"/>
        <v>192.14376</v>
      </c>
      <c r="CD8" s="581">
        <f t="shared" si="25"/>
        <v>9752.400172</v>
      </c>
      <c r="CE8" s="581">
        <f t="shared" si="26"/>
        <v>6734.369909</v>
      </c>
      <c r="CF8" s="581">
        <f t="shared" si="27"/>
        <v>7088.810431</v>
      </c>
      <c r="CG8" s="581">
        <f t="shared" si="28"/>
        <v>307.4500909</v>
      </c>
      <c r="CH8" s="608">
        <f t="shared" si="29"/>
        <v>0.04565387632</v>
      </c>
      <c r="CI8" s="603">
        <f t="shared" si="30"/>
        <v>198477.7239</v>
      </c>
      <c r="CJ8" s="347"/>
      <c r="CK8" s="347">
        <f t="shared" si="31"/>
        <v>0</v>
      </c>
      <c r="CL8" s="539">
        <f t="shared" si="32"/>
        <v>36314.68462</v>
      </c>
      <c r="CM8" s="347">
        <f t="shared" si="33"/>
        <v>0</v>
      </c>
      <c r="CN8" s="347">
        <f t="shared" si="34"/>
        <v>51929.999</v>
      </c>
      <c r="CO8" s="347" t="str">
        <f t="shared" si="35"/>
        <v>2024-12-04</v>
      </c>
      <c r="CP8" s="347"/>
    </row>
    <row r="9">
      <c r="A9" s="574">
        <f>Blends!D65</f>
        <v>200060</v>
      </c>
      <c r="B9" s="574" t="str">
        <f t="shared" si="1"/>
        <v>Batch 200060</v>
      </c>
      <c r="C9" s="345" t="s">
        <v>1930</v>
      </c>
      <c r="D9" s="575"/>
      <c r="E9" s="345" t="s">
        <v>2779</v>
      </c>
      <c r="F9" s="583">
        <v>45624.75</v>
      </c>
      <c r="G9" s="583">
        <v>45626.99791666667</v>
      </c>
      <c r="H9" s="347"/>
      <c r="I9" s="612">
        <v>45631.46875</v>
      </c>
      <c r="J9" s="583">
        <v>45631.625</v>
      </c>
      <c r="K9" s="609" t="s">
        <v>2806</v>
      </c>
      <c r="L9" s="1">
        <v>2182.0</v>
      </c>
      <c r="M9" s="613">
        <v>1.2191</v>
      </c>
      <c r="N9" s="345">
        <v>24.2</v>
      </c>
      <c r="O9" s="579">
        <f t="shared" si="2"/>
        <v>8259.76462</v>
      </c>
      <c r="P9" s="579">
        <f t="shared" si="39"/>
        <v>10069.47905</v>
      </c>
      <c r="Q9" s="575" t="s">
        <v>2809</v>
      </c>
      <c r="R9" s="1">
        <v>4444.38</v>
      </c>
      <c r="S9" s="580">
        <v>1.2197</v>
      </c>
      <c r="T9" s="345">
        <v>24.8</v>
      </c>
      <c r="U9" s="579">
        <f t="shared" si="4"/>
        <v>16823.8005</v>
      </c>
      <c r="V9" s="579">
        <f t="shared" si="5"/>
        <v>20519.98946</v>
      </c>
      <c r="W9" s="575" t="s">
        <v>2810</v>
      </c>
      <c r="X9" s="1">
        <v>1406.62</v>
      </c>
      <c r="Y9" s="345">
        <v>1.2197</v>
      </c>
      <c r="Z9" s="345">
        <v>24.8</v>
      </c>
      <c r="AA9" s="579">
        <f t="shared" si="6"/>
        <v>5324.633414</v>
      </c>
      <c r="AB9" s="581">
        <f t="shared" si="40"/>
        <v>6494.455375</v>
      </c>
      <c r="AC9" s="347"/>
      <c r="AD9" s="347"/>
      <c r="AE9" s="347"/>
      <c r="AF9" s="347"/>
      <c r="AG9" s="579">
        <f t="shared" si="8"/>
        <v>0</v>
      </c>
      <c r="AH9" s="579">
        <f t="shared" si="41"/>
        <v>0</v>
      </c>
      <c r="AI9" s="582"/>
      <c r="AJ9" s="582"/>
      <c r="AK9" s="582"/>
      <c r="AL9" s="582"/>
      <c r="AM9" s="579"/>
      <c r="AN9" s="579"/>
      <c r="AO9" s="347"/>
      <c r="AP9" s="581">
        <f t="shared" si="10"/>
        <v>37083.92389</v>
      </c>
      <c r="AQ9" s="345" t="s">
        <v>2811</v>
      </c>
      <c r="AR9" s="345" t="s">
        <v>2812</v>
      </c>
      <c r="AS9" s="346">
        <v>7200.0</v>
      </c>
      <c r="AT9" s="346" t="s">
        <v>2800</v>
      </c>
      <c r="AU9" s="346">
        <v>15.0</v>
      </c>
      <c r="AV9" s="346">
        <v>330.0</v>
      </c>
      <c r="AW9" s="606">
        <v>0.0</v>
      </c>
      <c r="AX9" s="584">
        <f t="shared" si="11"/>
        <v>7515</v>
      </c>
      <c r="AY9" s="581">
        <f t="shared" si="12"/>
        <v>7530</v>
      </c>
      <c r="AZ9" s="581">
        <f t="shared" si="13"/>
        <v>3415.554608</v>
      </c>
      <c r="BA9" s="583">
        <v>45630.75</v>
      </c>
      <c r="BB9" s="583">
        <v>45631.875</v>
      </c>
      <c r="BC9" s="598">
        <v>192.0</v>
      </c>
      <c r="BD9" s="581">
        <f t="shared" si="36"/>
        <v>2449.92</v>
      </c>
      <c r="BE9" s="581">
        <f t="shared" si="37"/>
        <v>1111.266341</v>
      </c>
      <c r="BF9" s="345">
        <v>4.34</v>
      </c>
      <c r="BG9" s="345">
        <v>75040.0</v>
      </c>
      <c r="BH9" s="345">
        <v>33600.0</v>
      </c>
      <c r="BI9" s="607" t="s">
        <v>2813</v>
      </c>
      <c r="BJ9" s="586">
        <f t="shared" si="14"/>
        <v>41440</v>
      </c>
      <c r="BK9" s="581">
        <f t="shared" si="15"/>
        <v>18796.89017</v>
      </c>
      <c r="BL9" s="345">
        <v>80400.0</v>
      </c>
      <c r="BM9" s="345">
        <v>34400.0</v>
      </c>
      <c r="BN9" s="607" t="s">
        <v>2813</v>
      </c>
      <c r="BO9" s="586">
        <f t="shared" si="16"/>
        <v>46000</v>
      </c>
      <c r="BP9" s="584">
        <f t="shared" si="17"/>
        <v>20865.27383</v>
      </c>
      <c r="BQ9" s="345" t="s">
        <v>2814</v>
      </c>
      <c r="BR9" s="581">
        <f t="shared" si="38"/>
        <v>39662.164</v>
      </c>
      <c r="BS9" s="588">
        <f t="shared" si="19"/>
        <v>35135.34305</v>
      </c>
      <c r="BT9" s="581">
        <f t="shared" si="20"/>
        <v>1948.580836</v>
      </c>
      <c r="BU9" s="605">
        <v>0.416</v>
      </c>
      <c r="BV9" s="581">
        <f t="shared" si="21"/>
        <v>53593.10994</v>
      </c>
      <c r="BW9" s="590"/>
      <c r="BX9" s="345"/>
      <c r="BY9" s="347"/>
      <c r="BZ9" s="347"/>
      <c r="CA9" s="586">
        <f t="shared" si="22"/>
        <v>8033</v>
      </c>
      <c r="CB9" s="581">
        <f t="shared" si="23"/>
        <v>192</v>
      </c>
      <c r="CC9" s="581">
        <f t="shared" si="24"/>
        <v>192.792</v>
      </c>
      <c r="CD9" s="581">
        <f t="shared" si="25"/>
        <v>9947.867021</v>
      </c>
      <c r="CE9" s="581">
        <f t="shared" si="26"/>
        <v>6869.346535</v>
      </c>
      <c r="CF9" s="581">
        <f t="shared" si="27"/>
        <v>7230.891089</v>
      </c>
      <c r="CG9" s="581">
        <f t="shared" si="28"/>
        <v>645.6534653</v>
      </c>
      <c r="CH9" s="608">
        <f t="shared" si="29"/>
        <v>0.09399052181</v>
      </c>
      <c r="CI9" s="603">
        <f t="shared" si="30"/>
        <v>207652.6025</v>
      </c>
      <c r="CJ9" s="347"/>
      <c r="CK9" s="347">
        <f t="shared" si="31"/>
        <v>0</v>
      </c>
      <c r="CL9" s="539">
        <f t="shared" si="32"/>
        <v>35135.34305</v>
      </c>
      <c r="CM9" s="347">
        <f t="shared" si="33"/>
        <v>0</v>
      </c>
      <c r="CN9" s="347">
        <f t="shared" si="34"/>
        <v>53593.10994</v>
      </c>
      <c r="CO9" s="347" t="str">
        <f t="shared" si="35"/>
        <v>2024-12-05</v>
      </c>
      <c r="CP9" s="347"/>
    </row>
    <row r="10">
      <c r="A10" s="574">
        <f>Blends!D66</f>
        <v>200061</v>
      </c>
      <c r="B10" s="574" t="str">
        <f t="shared" si="1"/>
        <v>Batch 200061</v>
      </c>
      <c r="C10" s="345" t="s">
        <v>1930</v>
      </c>
      <c r="D10" s="575"/>
      <c r="E10" s="345" t="s">
        <v>2779</v>
      </c>
      <c r="F10" s="583">
        <v>45624.791666666664</v>
      </c>
      <c r="G10" s="583">
        <v>45629.177083333336</v>
      </c>
      <c r="H10" s="347"/>
      <c r="I10" s="612">
        <v>45632.416666666664</v>
      </c>
      <c r="J10" s="583">
        <v>45632.614583333336</v>
      </c>
      <c r="K10" s="609" t="s">
        <v>2810</v>
      </c>
      <c r="L10" s="1">
        <v>2834.15</v>
      </c>
      <c r="M10" s="1">
        <v>1.2197</v>
      </c>
      <c r="N10" s="345">
        <v>24.8</v>
      </c>
      <c r="O10" s="579">
        <f t="shared" si="2"/>
        <v>10728.41975</v>
      </c>
      <c r="P10" s="579">
        <f t="shared" si="39"/>
        <v>13085.45357</v>
      </c>
      <c r="Q10" s="575" t="s">
        <v>2815</v>
      </c>
      <c r="R10" s="1">
        <v>4223.46</v>
      </c>
      <c r="S10" s="580">
        <v>1.2197</v>
      </c>
      <c r="T10" s="345">
        <v>24.8</v>
      </c>
      <c r="U10" s="579">
        <f t="shared" si="4"/>
        <v>15987.52772</v>
      </c>
      <c r="V10" s="579">
        <f t="shared" si="5"/>
        <v>19499.98756</v>
      </c>
      <c r="W10" s="575" t="s">
        <v>2816</v>
      </c>
      <c r="X10" s="345">
        <v>918.27</v>
      </c>
      <c r="Y10" s="345">
        <v>1.2197</v>
      </c>
      <c r="Z10" s="345">
        <v>24.8</v>
      </c>
      <c r="AA10" s="579">
        <f t="shared" si="6"/>
        <v>3476.028441</v>
      </c>
      <c r="AB10" s="581">
        <f t="shared" si="40"/>
        <v>4239.711889</v>
      </c>
      <c r="AC10" s="347"/>
      <c r="AD10" s="347"/>
      <c r="AE10" s="347"/>
      <c r="AF10" s="347"/>
      <c r="AG10" s="579">
        <f t="shared" si="8"/>
        <v>0</v>
      </c>
      <c r="AH10" s="579">
        <f t="shared" si="41"/>
        <v>0</v>
      </c>
      <c r="AI10" s="582"/>
      <c r="AJ10" s="582"/>
      <c r="AK10" s="582"/>
      <c r="AL10" s="582"/>
      <c r="AM10" s="579"/>
      <c r="AN10" s="579"/>
      <c r="AO10" s="347"/>
      <c r="AP10" s="581">
        <f t="shared" si="10"/>
        <v>36825.15302</v>
      </c>
      <c r="AQ10" s="583">
        <v>45631.979166666664</v>
      </c>
      <c r="AR10" s="583">
        <v>45632.25</v>
      </c>
      <c r="AS10" s="346">
        <v>7250.0</v>
      </c>
      <c r="AT10" s="346" t="s">
        <v>2800</v>
      </c>
      <c r="AU10" s="346">
        <v>50.91</v>
      </c>
      <c r="AV10" s="346">
        <v>180.0</v>
      </c>
      <c r="AW10" s="346">
        <v>0.0</v>
      </c>
      <c r="AX10" s="584">
        <f t="shared" si="11"/>
        <v>7379.09</v>
      </c>
      <c r="AY10" s="581">
        <f t="shared" si="12"/>
        <v>7430</v>
      </c>
      <c r="AZ10" s="581">
        <f t="shared" si="13"/>
        <v>3370.195317</v>
      </c>
      <c r="BA10" s="583">
        <v>45631.708333333336</v>
      </c>
      <c r="BB10" s="583">
        <v>45631.864583333336</v>
      </c>
      <c r="BC10" s="598">
        <v>192.0</v>
      </c>
      <c r="BD10" s="581">
        <f t="shared" si="36"/>
        <v>2449.92</v>
      </c>
      <c r="BE10" s="581">
        <f t="shared" si="37"/>
        <v>1111.266341</v>
      </c>
      <c r="BF10" s="345">
        <v>4.38</v>
      </c>
      <c r="BG10" s="1">
        <v>83040.0</v>
      </c>
      <c r="BH10" s="345">
        <v>35160.0</v>
      </c>
      <c r="BI10" s="607" t="s">
        <v>2817</v>
      </c>
      <c r="BJ10" s="586">
        <f t="shared" si="14"/>
        <v>47880</v>
      </c>
      <c r="BK10" s="581">
        <f t="shared" si="15"/>
        <v>21718.0285</v>
      </c>
      <c r="BL10" s="345">
        <v>77180.0</v>
      </c>
      <c r="BM10" s="345">
        <v>36240.0</v>
      </c>
      <c r="BN10" s="585" t="s">
        <v>2817</v>
      </c>
      <c r="BO10" s="586">
        <f t="shared" si="16"/>
        <v>40940</v>
      </c>
      <c r="BP10" s="584">
        <f t="shared" si="17"/>
        <v>18570.09371</v>
      </c>
      <c r="BQ10" s="345" t="s">
        <v>1810</v>
      </c>
      <c r="BR10" s="581">
        <f t="shared" si="38"/>
        <v>40288.12222</v>
      </c>
      <c r="BS10" s="588">
        <f t="shared" si="19"/>
        <v>35806.66056</v>
      </c>
      <c r="BT10" s="581">
        <f t="shared" si="20"/>
        <v>1018.49246</v>
      </c>
      <c r="BU10" s="605">
        <v>0.416</v>
      </c>
      <c r="BV10" s="581">
        <f t="shared" si="21"/>
        <v>54617.0929</v>
      </c>
      <c r="BW10" s="590"/>
      <c r="BX10" s="345"/>
      <c r="BY10" s="347"/>
      <c r="BZ10" s="347"/>
      <c r="CA10" s="586">
        <f t="shared" si="22"/>
        <v>7975.88</v>
      </c>
      <c r="CB10" s="581">
        <f t="shared" si="23"/>
        <v>192</v>
      </c>
      <c r="CC10" s="581">
        <f t="shared" si="24"/>
        <v>191.42112</v>
      </c>
      <c r="CD10" s="581">
        <f t="shared" si="25"/>
        <v>9944.108719</v>
      </c>
      <c r="CE10" s="581">
        <f t="shared" si="26"/>
        <v>6866.751297</v>
      </c>
      <c r="CF10" s="581">
        <f t="shared" si="27"/>
        <v>7228.15926</v>
      </c>
      <c r="CG10" s="581">
        <f t="shared" si="28"/>
        <v>512.3387026</v>
      </c>
      <c r="CH10" s="608">
        <f t="shared" si="29"/>
        <v>0.07461151283</v>
      </c>
      <c r="CI10" s="603">
        <f t="shared" si="30"/>
        <v>203974.2328</v>
      </c>
      <c r="CJ10" s="347"/>
      <c r="CK10" s="347">
        <f t="shared" si="31"/>
        <v>0</v>
      </c>
      <c r="CL10" s="539">
        <f t="shared" si="32"/>
        <v>35806.66056</v>
      </c>
      <c r="CM10" s="347">
        <f t="shared" si="33"/>
        <v>0</v>
      </c>
      <c r="CN10" s="347">
        <f t="shared" si="34"/>
        <v>54617.0929</v>
      </c>
      <c r="CO10" s="347" t="str">
        <f t="shared" si="35"/>
        <v>2024-12-06</v>
      </c>
      <c r="CP10" s="347"/>
    </row>
    <row r="11">
      <c r="A11" s="614">
        <f>Blends!D67</f>
        <v>200062</v>
      </c>
      <c r="B11" s="614" t="str">
        <f t="shared" si="1"/>
        <v>Batch 200062</v>
      </c>
      <c r="C11" s="615" t="s">
        <v>1930</v>
      </c>
      <c r="D11" s="614"/>
      <c r="E11" s="616"/>
      <c r="F11" s="617">
        <v>45630.416666666664</v>
      </c>
      <c r="G11" s="617">
        <v>45635.0</v>
      </c>
      <c r="H11" s="615" t="s">
        <v>2818</v>
      </c>
      <c r="I11" s="616"/>
      <c r="J11" s="618"/>
      <c r="K11" s="619" t="s">
        <v>2816</v>
      </c>
      <c r="L11" s="310">
        <v>3711.71</v>
      </c>
      <c r="M11" s="615">
        <v>1.2197</v>
      </c>
      <c r="N11" s="615">
        <v>24.8</v>
      </c>
      <c r="O11" s="620">
        <f t="shared" si="2"/>
        <v>14050.34415</v>
      </c>
      <c r="P11" s="620">
        <f t="shared" si="39"/>
        <v>17137.20476</v>
      </c>
      <c r="Q11" s="621" t="s">
        <v>2819</v>
      </c>
      <c r="R11" s="615">
        <v>4286.0</v>
      </c>
      <c r="S11" s="622">
        <v>1.2197</v>
      </c>
      <c r="T11" s="615">
        <v>24.8</v>
      </c>
      <c r="U11" s="620">
        <f t="shared" si="4"/>
        <v>16224.26726</v>
      </c>
      <c r="V11" s="620">
        <f t="shared" si="5"/>
        <v>19788.73878</v>
      </c>
      <c r="W11" s="614"/>
      <c r="X11" s="616"/>
      <c r="Y11" s="616"/>
      <c r="Z11" s="616"/>
      <c r="AA11" s="620">
        <f t="shared" si="6"/>
        <v>0</v>
      </c>
      <c r="AB11" s="623">
        <f t="shared" si="40"/>
        <v>0</v>
      </c>
      <c r="AC11" s="616"/>
      <c r="AD11" s="616"/>
      <c r="AE11" s="616"/>
      <c r="AF11" s="616"/>
      <c r="AG11" s="620">
        <f t="shared" si="8"/>
        <v>0</v>
      </c>
      <c r="AH11" s="620">
        <f t="shared" si="41"/>
        <v>0</v>
      </c>
      <c r="AI11" s="582"/>
      <c r="AJ11" s="582"/>
      <c r="AK11" s="582"/>
      <c r="AL11" s="582"/>
      <c r="AM11" s="620"/>
      <c r="AN11" s="620"/>
      <c r="AO11" s="616"/>
      <c r="AP11" s="623">
        <f t="shared" si="10"/>
        <v>36925.94354</v>
      </c>
      <c r="AQ11" s="618"/>
      <c r="AR11" s="618"/>
      <c r="AS11" s="623"/>
      <c r="AT11" s="623"/>
      <c r="AU11" s="623"/>
      <c r="AV11" s="623"/>
      <c r="AW11" s="623"/>
      <c r="AX11" s="624">
        <f t="shared" si="11"/>
        <v>0</v>
      </c>
      <c r="AY11" s="623">
        <f t="shared" si="12"/>
        <v>0</v>
      </c>
      <c r="AZ11" s="623">
        <f t="shared" ref="AZ11:AZ12" si="42">AX11/$CP$4</f>
        <v>0</v>
      </c>
      <c r="BA11" s="618"/>
      <c r="BB11" s="618"/>
      <c r="BC11" s="623"/>
      <c r="BD11" s="623">
        <f t="shared" si="36"/>
        <v>0</v>
      </c>
      <c r="BE11" s="623">
        <f t="shared" si="37"/>
        <v>0</v>
      </c>
      <c r="BF11" s="616"/>
      <c r="BG11" s="616"/>
      <c r="BH11" s="616"/>
      <c r="BI11" s="616"/>
      <c r="BJ11" s="616">
        <f t="shared" si="14"/>
        <v>0</v>
      </c>
      <c r="BK11" s="623">
        <f t="shared" si="15"/>
        <v>0</v>
      </c>
      <c r="BL11" s="616"/>
      <c r="BM11" s="616"/>
      <c r="BN11" s="616"/>
      <c r="BO11" s="616">
        <f t="shared" si="16"/>
        <v>0</v>
      </c>
      <c r="BP11" s="624">
        <f t="shared" si="17"/>
        <v>0</v>
      </c>
      <c r="BQ11" s="616"/>
      <c r="BR11" s="623">
        <f t="shared" si="38"/>
        <v>0</v>
      </c>
      <c r="BS11" s="625">
        <f t="shared" si="19"/>
        <v>0</v>
      </c>
      <c r="BT11" s="623">
        <f t="shared" si="20"/>
        <v>36925.94354</v>
      </c>
      <c r="BU11" s="626"/>
      <c r="BV11" s="623"/>
      <c r="BW11" s="616"/>
      <c r="BX11" s="616"/>
      <c r="BY11" s="616"/>
      <c r="BZ11" s="616"/>
      <c r="CA11" s="616">
        <f t="shared" si="22"/>
        <v>7997.71</v>
      </c>
      <c r="CB11" s="623">
        <f t="shared" si="23"/>
        <v>207.94046</v>
      </c>
      <c r="CC11" s="623">
        <f t="shared" si="24"/>
        <v>191.94504</v>
      </c>
      <c r="CD11" s="623">
        <f t="shared" si="25"/>
        <v>10036.47569</v>
      </c>
      <c r="CE11" s="623">
        <f t="shared" si="26"/>
        <v>6930.533889</v>
      </c>
      <c r="CF11" s="623">
        <f t="shared" si="27"/>
        <v>7295.298831</v>
      </c>
      <c r="CG11" s="623">
        <f t="shared" si="28"/>
        <v>-6930.533889</v>
      </c>
      <c r="CH11" s="626">
        <f t="shared" si="29"/>
        <v>-1</v>
      </c>
      <c r="CI11" s="627">
        <f t="shared" si="30"/>
        <v>0</v>
      </c>
      <c r="CJ11" s="616"/>
      <c r="CK11" s="616">
        <f t="shared" si="31"/>
        <v>0</v>
      </c>
      <c r="CL11" s="625">
        <f t="shared" si="32"/>
        <v>0</v>
      </c>
      <c r="CM11" s="616">
        <f t="shared" si="33"/>
        <v>0</v>
      </c>
      <c r="CN11" s="616">
        <f t="shared" si="34"/>
        <v>0</v>
      </c>
      <c r="CO11" s="616" t="str">
        <f t="shared" si="35"/>
        <v>1899-12-30</v>
      </c>
      <c r="CP11" s="616"/>
    </row>
    <row r="12">
      <c r="A12" s="614">
        <f>Blends!D68</f>
        <v>200063</v>
      </c>
      <c r="B12" s="614" t="str">
        <f t="shared" si="1"/>
        <v>Batch 200063</v>
      </c>
      <c r="C12" s="616"/>
      <c r="D12" s="614"/>
      <c r="E12" s="616"/>
      <c r="F12" s="618"/>
      <c r="G12" s="618"/>
      <c r="H12" s="616"/>
      <c r="I12" s="616"/>
      <c r="J12" s="618"/>
      <c r="K12" s="619"/>
      <c r="L12" s="310"/>
      <c r="M12" s="616"/>
      <c r="N12" s="616"/>
      <c r="O12" s="620">
        <f t="shared" si="2"/>
        <v>0</v>
      </c>
      <c r="P12" s="620">
        <f t="shared" si="39"/>
        <v>0</v>
      </c>
      <c r="Q12" s="614"/>
      <c r="R12" s="616"/>
      <c r="S12" s="628"/>
      <c r="T12" s="616"/>
      <c r="U12" s="620">
        <f t="shared" si="4"/>
        <v>0</v>
      </c>
      <c r="V12" s="620">
        <f t="shared" si="5"/>
        <v>0</v>
      </c>
      <c r="W12" s="614"/>
      <c r="X12" s="616"/>
      <c r="Y12" s="616"/>
      <c r="Z12" s="616"/>
      <c r="AA12" s="620">
        <f t="shared" si="6"/>
        <v>0</v>
      </c>
      <c r="AB12" s="623">
        <f t="shared" si="40"/>
        <v>0</v>
      </c>
      <c r="AC12" s="616"/>
      <c r="AD12" s="616"/>
      <c r="AE12" s="616"/>
      <c r="AF12" s="616"/>
      <c r="AG12" s="620">
        <f t="shared" si="8"/>
        <v>0</v>
      </c>
      <c r="AH12" s="620">
        <f t="shared" si="41"/>
        <v>0</v>
      </c>
      <c r="AI12" s="582"/>
      <c r="AJ12" s="582"/>
      <c r="AK12" s="582"/>
      <c r="AL12" s="582"/>
      <c r="AM12" s="620"/>
      <c r="AN12" s="620"/>
      <c r="AO12" s="616"/>
      <c r="AP12" s="623">
        <f t="shared" si="10"/>
        <v>0</v>
      </c>
      <c r="AQ12" s="618"/>
      <c r="AR12" s="618"/>
      <c r="AS12" s="623"/>
      <c r="AT12" s="623"/>
      <c r="AU12" s="623"/>
      <c r="AV12" s="623"/>
      <c r="AW12" s="623"/>
      <c r="AX12" s="624">
        <f t="shared" si="11"/>
        <v>0</v>
      </c>
      <c r="AY12" s="623">
        <f t="shared" si="12"/>
        <v>0</v>
      </c>
      <c r="AZ12" s="623">
        <f t="shared" si="42"/>
        <v>0</v>
      </c>
      <c r="BA12" s="618"/>
      <c r="BB12" s="618"/>
      <c r="BC12" s="623"/>
      <c r="BD12" s="623">
        <f t="shared" si="36"/>
        <v>0</v>
      </c>
      <c r="BE12" s="623">
        <f t="shared" si="37"/>
        <v>0</v>
      </c>
      <c r="BF12" s="616"/>
      <c r="BG12" s="616"/>
      <c r="BH12" s="616"/>
      <c r="BI12" s="616"/>
      <c r="BJ12" s="616">
        <f t="shared" si="14"/>
        <v>0</v>
      </c>
      <c r="BK12" s="623">
        <f t="shared" si="15"/>
        <v>0</v>
      </c>
      <c r="BL12" s="616"/>
      <c r="BM12" s="615"/>
      <c r="BN12" s="616"/>
      <c r="BO12" s="616">
        <f t="shared" si="16"/>
        <v>0</v>
      </c>
      <c r="BP12" s="624">
        <f t="shared" si="17"/>
        <v>0</v>
      </c>
      <c r="BQ12" s="616"/>
      <c r="BR12" s="623">
        <f t="shared" si="38"/>
        <v>0</v>
      </c>
      <c r="BS12" s="625">
        <f t="shared" si="19"/>
        <v>0</v>
      </c>
      <c r="BT12" s="623">
        <f t="shared" si="20"/>
        <v>0</v>
      </c>
      <c r="BU12" s="626"/>
      <c r="BV12" s="623"/>
      <c r="BW12" s="616"/>
      <c r="BX12" s="616"/>
      <c r="BY12" s="616"/>
      <c r="BZ12" s="616"/>
      <c r="CA12" s="616">
        <f t="shared" si="22"/>
        <v>0</v>
      </c>
      <c r="CB12" s="623">
        <f t="shared" si="23"/>
        <v>0</v>
      </c>
      <c r="CC12" s="623">
        <f t="shared" si="24"/>
        <v>0</v>
      </c>
      <c r="CD12" s="623">
        <f t="shared" si="25"/>
        <v>0</v>
      </c>
      <c r="CE12" s="623">
        <f t="shared" si="26"/>
        <v>0</v>
      </c>
      <c r="CF12" s="623">
        <f t="shared" si="27"/>
        <v>0</v>
      </c>
      <c r="CG12" s="623">
        <f t="shared" si="28"/>
        <v>0</v>
      </c>
      <c r="CH12" s="626" t="str">
        <f t="shared" si="29"/>
        <v>#DIV/0!</v>
      </c>
      <c r="CI12" s="627" t="str">
        <f t="shared" si="30"/>
        <v>#DIV/0!</v>
      </c>
      <c r="CJ12" s="616"/>
      <c r="CK12" s="616">
        <f t="shared" si="31"/>
        <v>0</v>
      </c>
      <c r="CL12" s="625">
        <f t="shared" si="32"/>
        <v>0</v>
      </c>
      <c r="CM12" s="616">
        <f t="shared" si="33"/>
        <v>0</v>
      </c>
      <c r="CN12" s="616">
        <f t="shared" si="34"/>
        <v>0</v>
      </c>
      <c r="CO12" s="616" t="str">
        <f t="shared" si="35"/>
        <v>1899-12-30</v>
      </c>
      <c r="CP12" s="616"/>
    </row>
    <row r="13">
      <c r="A13" s="574">
        <f>Blends!D69</f>
        <v>200064</v>
      </c>
      <c r="B13" s="574" t="str">
        <f t="shared" si="1"/>
        <v>Batch 200064</v>
      </c>
      <c r="C13" s="345" t="s">
        <v>1930</v>
      </c>
      <c r="D13" s="575"/>
      <c r="E13" s="345" t="s">
        <v>2779</v>
      </c>
      <c r="F13" s="583">
        <v>45638.21875</v>
      </c>
      <c r="G13" s="583">
        <v>45641.40625</v>
      </c>
      <c r="H13" s="347"/>
      <c r="I13" s="612">
        <v>45644.458333333336</v>
      </c>
      <c r="J13" s="583">
        <v>45644.697916666664</v>
      </c>
      <c r="K13" s="609" t="s">
        <v>2820</v>
      </c>
      <c r="L13" s="1">
        <v>664.0</v>
      </c>
      <c r="M13" s="345">
        <v>1.2205</v>
      </c>
      <c r="N13" s="345">
        <v>23.7</v>
      </c>
      <c r="O13" s="579">
        <f t="shared" si="2"/>
        <v>2513.51224</v>
      </c>
      <c r="P13" s="579">
        <f t="shared" si="39"/>
        <v>3067.741689</v>
      </c>
      <c r="Q13" s="574" t="s">
        <v>2821</v>
      </c>
      <c r="R13" s="427">
        <v>4367.0</v>
      </c>
      <c r="S13" s="580">
        <v>1.2205</v>
      </c>
      <c r="T13" s="345">
        <v>23.7</v>
      </c>
      <c r="U13" s="579">
        <f t="shared" si="4"/>
        <v>16530.88547</v>
      </c>
      <c r="V13" s="579">
        <f t="shared" si="5"/>
        <v>20175.94572</v>
      </c>
      <c r="W13" s="575" t="s">
        <v>2822</v>
      </c>
      <c r="X13" s="345">
        <v>2398.0</v>
      </c>
      <c r="Y13" s="345">
        <v>1.2197</v>
      </c>
      <c r="Z13" s="345">
        <v>24.8</v>
      </c>
      <c r="AA13" s="579">
        <f t="shared" si="6"/>
        <v>9077.41318</v>
      </c>
      <c r="AB13" s="581">
        <f t="shared" si="40"/>
        <v>11071.72086</v>
      </c>
      <c r="AC13" s="347"/>
      <c r="AD13" s="347"/>
      <c r="AE13" s="347"/>
      <c r="AF13" s="347"/>
      <c r="AG13" s="579">
        <f t="shared" si="8"/>
        <v>0</v>
      </c>
      <c r="AH13" s="579">
        <f t="shared" si="41"/>
        <v>0</v>
      </c>
      <c r="AI13" s="582"/>
      <c r="AJ13" s="582"/>
      <c r="AK13" s="582"/>
      <c r="AL13" s="582"/>
      <c r="AM13" s="579"/>
      <c r="AN13" s="579"/>
      <c r="AO13" s="347"/>
      <c r="AP13" s="581">
        <f t="shared" si="10"/>
        <v>34315.40826</v>
      </c>
      <c r="AQ13" s="583">
        <v>45643.833333333336</v>
      </c>
      <c r="AR13" s="583">
        <v>45644.291666666664</v>
      </c>
      <c r="AS13" s="346">
        <v>6000.0</v>
      </c>
      <c r="AT13" s="346" t="s">
        <v>2800</v>
      </c>
      <c r="AU13" s="346">
        <v>45.45</v>
      </c>
      <c r="AV13" s="346">
        <v>700.0</v>
      </c>
      <c r="AW13" s="346">
        <v>70.0</v>
      </c>
      <c r="AX13" s="584">
        <f t="shared" si="11"/>
        <v>6584.55</v>
      </c>
      <c r="AY13" s="581">
        <f t="shared" si="12"/>
        <v>6700</v>
      </c>
      <c r="AZ13" s="581">
        <f t="shared" ref="AZ13:AZ83" si="43">AY13/$CP$4</f>
        <v>3039.072493</v>
      </c>
      <c r="BA13" s="583">
        <v>45643.614583333336</v>
      </c>
      <c r="BB13" s="583">
        <v>45644.489583333336</v>
      </c>
      <c r="BC13" s="346">
        <v>193.0</v>
      </c>
      <c r="BD13" s="581">
        <f t="shared" si="36"/>
        <v>2462.68</v>
      </c>
      <c r="BE13" s="581">
        <f t="shared" si="37"/>
        <v>1117.054186</v>
      </c>
      <c r="BF13" s="345">
        <v>4.26</v>
      </c>
      <c r="BG13" s="345">
        <v>72840.0</v>
      </c>
      <c r="BH13" s="345">
        <v>31500.0</v>
      </c>
      <c r="BI13" s="607" t="s">
        <v>2823</v>
      </c>
      <c r="BJ13" s="586">
        <f t="shared" si="14"/>
        <v>41340</v>
      </c>
      <c r="BK13" s="581">
        <f t="shared" si="15"/>
        <v>18751.53088</v>
      </c>
      <c r="BL13" s="345">
        <v>74640.0</v>
      </c>
      <c r="BM13" s="345">
        <v>32320.0</v>
      </c>
      <c r="BN13" s="607" t="s">
        <v>2823</v>
      </c>
      <c r="BO13" s="586">
        <f t="shared" si="16"/>
        <v>42320</v>
      </c>
      <c r="BP13" s="584">
        <f t="shared" si="17"/>
        <v>19196.05193</v>
      </c>
      <c r="BQ13" s="345" t="s">
        <v>2824</v>
      </c>
      <c r="BR13" s="581">
        <f t="shared" si="38"/>
        <v>37947.5828</v>
      </c>
      <c r="BS13" s="588">
        <f t="shared" si="19"/>
        <v>33791.45612</v>
      </c>
      <c r="BT13" s="581">
        <f t="shared" si="20"/>
        <v>523.9521367</v>
      </c>
      <c r="BU13" s="605">
        <v>0.395</v>
      </c>
      <c r="BV13" s="581">
        <f t="shared" ref="BV13:BV1005" si="44">BS13*BU13*(44/12)</f>
        <v>48941.29229</v>
      </c>
      <c r="BW13" s="590"/>
      <c r="BX13" s="348">
        <f>SUM(BV13:BV16)</f>
        <v>137513.588</v>
      </c>
      <c r="BY13" s="347"/>
      <c r="BZ13" s="347"/>
      <c r="CA13" s="586">
        <f t="shared" si="22"/>
        <v>7429</v>
      </c>
      <c r="CB13" s="581">
        <f t="shared" si="23"/>
        <v>193</v>
      </c>
      <c r="CC13" s="581">
        <f t="shared" si="24"/>
        <v>178.296</v>
      </c>
      <c r="CD13" s="581">
        <f t="shared" si="25"/>
        <v>9070.237868</v>
      </c>
      <c r="CE13" s="581">
        <f t="shared" si="26"/>
        <v>6263.313225</v>
      </c>
      <c r="CF13" s="581">
        <f t="shared" si="27"/>
        <v>6592.961289</v>
      </c>
      <c r="CG13" s="581">
        <f t="shared" si="28"/>
        <v>321.2367753</v>
      </c>
      <c r="CH13" s="608">
        <f t="shared" si="29"/>
        <v>0.05128863331</v>
      </c>
      <c r="CI13" s="603">
        <f t="shared" si="30"/>
        <v>199547.2688</v>
      </c>
      <c r="CJ13" s="347"/>
      <c r="CK13" s="347">
        <f t="shared" si="31"/>
        <v>0</v>
      </c>
      <c r="CL13" s="539">
        <f t="shared" si="32"/>
        <v>33791.45612</v>
      </c>
      <c r="CM13" s="347">
        <f t="shared" si="33"/>
        <v>0</v>
      </c>
      <c r="CN13" s="347">
        <f t="shared" si="34"/>
        <v>48941.29229</v>
      </c>
      <c r="CO13" s="347" t="str">
        <f t="shared" si="35"/>
        <v>2024-12-18</v>
      </c>
      <c r="CP13" s="347"/>
    </row>
    <row r="14">
      <c r="A14" s="575" t="s">
        <v>2825</v>
      </c>
      <c r="B14" s="574" t="str">
        <f t="shared" si="1"/>
        <v>Batch 200065</v>
      </c>
      <c r="C14" s="345" t="s">
        <v>1930</v>
      </c>
      <c r="D14" s="575"/>
      <c r="E14" s="345" t="s">
        <v>2779</v>
      </c>
      <c r="F14" s="583">
        <v>45642.75</v>
      </c>
      <c r="G14" s="583">
        <v>45644.625</v>
      </c>
      <c r="H14" s="347"/>
      <c r="I14" s="612">
        <v>45646.46875</v>
      </c>
      <c r="J14" s="583">
        <v>45646.6875</v>
      </c>
      <c r="K14" s="609" t="s">
        <v>2822</v>
      </c>
      <c r="L14" s="1">
        <v>1977.0</v>
      </c>
      <c r="M14" s="345">
        <v>1.2197</v>
      </c>
      <c r="N14" s="345">
        <v>24.8</v>
      </c>
      <c r="O14" s="579">
        <f t="shared" si="2"/>
        <v>7483.75557</v>
      </c>
      <c r="P14" s="579">
        <f t="shared" si="39"/>
        <v>9127.936669</v>
      </c>
      <c r="Q14" s="575" t="s">
        <v>2826</v>
      </c>
      <c r="R14" s="345">
        <v>4471.0</v>
      </c>
      <c r="S14" s="580">
        <v>1.2205</v>
      </c>
      <c r="T14" s="345">
        <v>23.7</v>
      </c>
      <c r="U14" s="579">
        <f t="shared" si="4"/>
        <v>16924.56811</v>
      </c>
      <c r="V14" s="579">
        <f t="shared" si="5"/>
        <v>20656.43538</v>
      </c>
      <c r="W14" s="574" t="s">
        <v>2827</v>
      </c>
      <c r="X14" s="427">
        <v>1606.0</v>
      </c>
      <c r="Y14" s="345">
        <v>1.2275</v>
      </c>
      <c r="Z14" s="345">
        <v>22.6</v>
      </c>
      <c r="AA14" s="579">
        <f t="shared" si="6"/>
        <v>6079.36846</v>
      </c>
      <c r="AB14" s="581">
        <f t="shared" si="40"/>
        <v>7462.424785</v>
      </c>
      <c r="AC14" s="345"/>
      <c r="AD14" s="345"/>
      <c r="AE14" s="345"/>
      <c r="AF14" s="345"/>
      <c r="AG14" s="579">
        <f t="shared" si="8"/>
        <v>0</v>
      </c>
      <c r="AH14" s="579">
        <f t="shared" si="41"/>
        <v>0</v>
      </c>
      <c r="AI14" s="582"/>
      <c r="AJ14" s="582"/>
      <c r="AK14" s="582"/>
      <c r="AL14" s="582"/>
      <c r="AM14" s="579"/>
      <c r="AN14" s="579"/>
      <c r="AO14" s="345"/>
      <c r="AP14" s="581">
        <f t="shared" si="10"/>
        <v>37246.79683</v>
      </c>
      <c r="AQ14" s="345" t="s">
        <v>2828</v>
      </c>
      <c r="AR14" s="345" t="s">
        <v>2829</v>
      </c>
      <c r="AS14" s="346">
        <v>7626.0</v>
      </c>
      <c r="AT14" s="346" t="s">
        <v>2800</v>
      </c>
      <c r="AU14" s="346">
        <v>94.55</v>
      </c>
      <c r="AV14" s="346">
        <v>50.0</v>
      </c>
      <c r="AW14" s="346">
        <v>110.0</v>
      </c>
      <c r="AX14" s="584">
        <f t="shared" si="11"/>
        <v>7471.45</v>
      </c>
      <c r="AY14" s="581">
        <f t="shared" si="12"/>
        <v>7676</v>
      </c>
      <c r="AZ14" s="581">
        <f t="shared" si="43"/>
        <v>3481.779173</v>
      </c>
      <c r="BA14" s="345" t="s">
        <v>2830</v>
      </c>
      <c r="BB14" s="345" t="s">
        <v>2831</v>
      </c>
      <c r="BC14" s="346">
        <v>234.25</v>
      </c>
      <c r="BD14" s="581">
        <f t="shared" si="36"/>
        <v>2989.03</v>
      </c>
      <c r="BE14" s="581">
        <f t="shared" si="37"/>
        <v>1355.802814</v>
      </c>
      <c r="BF14" s="345">
        <v>4.41</v>
      </c>
      <c r="BG14" s="345">
        <v>73640.0</v>
      </c>
      <c r="BH14" s="345">
        <v>32260.0</v>
      </c>
      <c r="BI14" s="607" t="s">
        <v>2832</v>
      </c>
      <c r="BJ14" s="586">
        <f t="shared" si="14"/>
        <v>41380</v>
      </c>
      <c r="BK14" s="581">
        <f t="shared" si="15"/>
        <v>18769.67459</v>
      </c>
      <c r="BL14" s="345">
        <v>80360.0</v>
      </c>
      <c r="BM14" s="345">
        <v>32740.0</v>
      </c>
      <c r="BN14" s="607" t="s">
        <v>2832</v>
      </c>
      <c r="BO14" s="586">
        <f t="shared" si="16"/>
        <v>47620</v>
      </c>
      <c r="BP14" s="584">
        <f t="shared" si="17"/>
        <v>21600.09435</v>
      </c>
      <c r="BQ14" s="345" t="s">
        <v>1810</v>
      </c>
      <c r="BR14" s="581">
        <f t="shared" si="38"/>
        <v>40369.76894</v>
      </c>
      <c r="BS14" s="588">
        <f t="shared" si="19"/>
        <v>35532.18695</v>
      </c>
      <c r="BT14" s="581">
        <f t="shared" si="20"/>
        <v>1714.609879</v>
      </c>
      <c r="BU14" s="605"/>
      <c r="BV14" s="581">
        <f t="shared" si="44"/>
        <v>0</v>
      </c>
      <c r="BW14" s="590"/>
      <c r="BX14" s="347">
        <f>BX13*0.65</f>
        <v>89383.83218</v>
      </c>
      <c r="BY14" s="347"/>
      <c r="BZ14" s="347"/>
      <c r="CA14" s="586">
        <f t="shared" si="22"/>
        <v>8054</v>
      </c>
      <c r="CB14" s="581">
        <f t="shared" si="23"/>
        <v>234.25</v>
      </c>
      <c r="CC14" s="581">
        <f t="shared" si="24"/>
        <v>193.296</v>
      </c>
      <c r="CD14" s="581">
        <f t="shared" si="25"/>
        <v>9835.848084</v>
      </c>
      <c r="CE14" s="581">
        <f t="shared" si="26"/>
        <v>6791.993581</v>
      </c>
      <c r="CF14" s="581">
        <f t="shared" si="27"/>
        <v>7149.466928</v>
      </c>
      <c r="CG14" s="581">
        <f t="shared" si="28"/>
        <v>679.4564186</v>
      </c>
      <c r="CH14" s="608">
        <f t="shared" si="29"/>
        <v>0.1000378476</v>
      </c>
      <c r="CI14" s="603">
        <f t="shared" si="30"/>
        <v>208800.4579</v>
      </c>
      <c r="CJ14" s="347"/>
      <c r="CK14" s="347">
        <f t="shared" si="31"/>
        <v>0</v>
      </c>
      <c r="CL14" s="539">
        <f t="shared" si="32"/>
        <v>35532.18695</v>
      </c>
      <c r="CM14" s="347">
        <f t="shared" si="33"/>
        <v>0</v>
      </c>
      <c r="CN14" s="347">
        <f t="shared" si="34"/>
        <v>0</v>
      </c>
      <c r="CO14" s="347" t="str">
        <f t="shared" si="35"/>
        <v>2024-12-20</v>
      </c>
      <c r="CP14" s="347"/>
    </row>
    <row r="15">
      <c r="A15" s="574">
        <f t="shared" ref="A15:A19" si="45">A14+1</f>
        <v>200066</v>
      </c>
      <c r="B15" s="574" t="str">
        <f t="shared" si="1"/>
        <v>Batch 200066</v>
      </c>
      <c r="C15" s="345" t="s">
        <v>1930</v>
      </c>
      <c r="D15" s="575"/>
      <c r="E15" s="345" t="s">
        <v>2779</v>
      </c>
      <c r="F15" s="345" t="s">
        <v>2833</v>
      </c>
      <c r="G15" s="345" t="s">
        <v>2829</v>
      </c>
      <c r="H15" s="347"/>
      <c r="I15" s="612">
        <v>45649.46875</v>
      </c>
      <c r="J15" s="583">
        <v>45649.645833333336</v>
      </c>
      <c r="K15" s="609" t="s">
        <v>2827</v>
      </c>
      <c r="L15" s="1">
        <v>2820.5</v>
      </c>
      <c r="M15" s="345">
        <v>1.2275</v>
      </c>
      <c r="N15" s="345">
        <v>22.6</v>
      </c>
      <c r="O15" s="579">
        <f t="shared" si="2"/>
        <v>10676.74891</v>
      </c>
      <c r="P15" s="579">
        <f t="shared" si="39"/>
        <v>13105.70928</v>
      </c>
      <c r="Q15" s="575" t="s">
        <v>2834</v>
      </c>
      <c r="R15" s="345">
        <v>4302.0</v>
      </c>
      <c r="S15" s="580">
        <v>1.2275</v>
      </c>
      <c r="T15" s="345">
        <v>22.6</v>
      </c>
      <c r="U15" s="579">
        <f t="shared" si="4"/>
        <v>16284.83382</v>
      </c>
      <c r="V15" s="579">
        <f t="shared" si="5"/>
        <v>19989.63351</v>
      </c>
      <c r="W15" s="575" t="s">
        <v>2835</v>
      </c>
      <c r="X15" s="345">
        <v>527.5</v>
      </c>
      <c r="Y15" s="345">
        <v>1.2275</v>
      </c>
      <c r="Z15" s="345">
        <v>22.6</v>
      </c>
      <c r="AA15" s="579">
        <f t="shared" si="6"/>
        <v>1996.803775</v>
      </c>
      <c r="AB15" s="581">
        <f t="shared" si="40"/>
        <v>2451.076634</v>
      </c>
      <c r="AC15" s="347"/>
      <c r="AD15" s="347"/>
      <c r="AE15" s="347"/>
      <c r="AF15" s="347"/>
      <c r="AG15" s="579">
        <f t="shared" si="8"/>
        <v>0</v>
      </c>
      <c r="AH15" s="579">
        <f t="shared" si="41"/>
        <v>0</v>
      </c>
      <c r="AI15" s="582"/>
      <c r="AJ15" s="582"/>
      <c r="AK15" s="582"/>
      <c r="AL15" s="582"/>
      <c r="AM15" s="579"/>
      <c r="AN15" s="579"/>
      <c r="AO15" s="347"/>
      <c r="AP15" s="581">
        <f t="shared" si="10"/>
        <v>35546.41943</v>
      </c>
      <c r="AQ15" s="583">
        <v>45648.604166666664</v>
      </c>
      <c r="AR15" s="583">
        <v>45648.75</v>
      </c>
      <c r="AS15" s="346">
        <v>7004.0</v>
      </c>
      <c r="AT15" s="346" t="s">
        <v>2800</v>
      </c>
      <c r="AU15" s="346">
        <v>138.18</v>
      </c>
      <c r="AV15" s="346">
        <v>450.0</v>
      </c>
      <c r="AW15" s="346">
        <v>140.0</v>
      </c>
      <c r="AX15" s="584">
        <f t="shared" si="11"/>
        <v>7175.82</v>
      </c>
      <c r="AY15" s="581">
        <f t="shared" si="12"/>
        <v>7454</v>
      </c>
      <c r="AZ15" s="581">
        <f t="shared" si="43"/>
        <v>3381.081547</v>
      </c>
      <c r="BA15" s="345" t="s">
        <v>2836</v>
      </c>
      <c r="BB15" s="345" t="s">
        <v>2837</v>
      </c>
      <c r="BC15" s="346">
        <v>200.0</v>
      </c>
      <c r="BD15" s="581">
        <f t="shared" si="36"/>
        <v>2552</v>
      </c>
      <c r="BE15" s="581">
        <f t="shared" si="37"/>
        <v>1157.569105</v>
      </c>
      <c r="BF15" s="345">
        <v>4.6</v>
      </c>
      <c r="BG15" s="345">
        <v>76280.0</v>
      </c>
      <c r="BH15" s="345">
        <v>32600.0</v>
      </c>
      <c r="BI15" s="607" t="s">
        <v>2838</v>
      </c>
      <c r="BJ15" s="586">
        <f t="shared" si="14"/>
        <v>43680</v>
      </c>
      <c r="BK15" s="581">
        <f t="shared" si="15"/>
        <v>19812.93828</v>
      </c>
      <c r="BL15" s="345">
        <v>76240.0</v>
      </c>
      <c r="BM15" s="345">
        <v>33840.0</v>
      </c>
      <c r="BN15" s="607" t="s">
        <v>2838</v>
      </c>
      <c r="BO15" s="586">
        <f t="shared" si="16"/>
        <v>42400</v>
      </c>
      <c r="BP15" s="584">
        <f t="shared" si="17"/>
        <v>19232.33936</v>
      </c>
      <c r="BQ15" s="345" t="s">
        <v>2824</v>
      </c>
      <c r="BR15" s="581">
        <f t="shared" si="38"/>
        <v>39045.27764</v>
      </c>
      <c r="BS15" s="588">
        <f t="shared" si="19"/>
        <v>34506.62699</v>
      </c>
      <c r="BT15" s="581">
        <f t="shared" si="20"/>
        <v>1039.792436</v>
      </c>
      <c r="BU15" s="629">
        <v>0.267</v>
      </c>
      <c r="BV15" s="581">
        <f t="shared" si="44"/>
        <v>33781.98783</v>
      </c>
      <c r="BW15" s="590"/>
      <c r="BX15" s="347">
        <f>AVERAGE(BG2:BG10,BG13:BG74)</f>
        <v>78798.60563</v>
      </c>
      <c r="BY15" s="347"/>
      <c r="BZ15" s="347"/>
      <c r="CA15" s="586">
        <f t="shared" si="22"/>
        <v>7650</v>
      </c>
      <c r="CB15" s="581">
        <f t="shared" si="23"/>
        <v>200</v>
      </c>
      <c r="CC15" s="581">
        <f t="shared" si="24"/>
        <v>183.6</v>
      </c>
      <c r="CD15" s="581">
        <f t="shared" si="25"/>
        <v>8878.772844</v>
      </c>
      <c r="CE15" s="581">
        <f t="shared" si="26"/>
        <v>6131.099998</v>
      </c>
      <c r="CF15" s="581">
        <f t="shared" si="27"/>
        <v>6453.789471</v>
      </c>
      <c r="CG15" s="581">
        <f t="shared" si="28"/>
        <v>1044.720002</v>
      </c>
      <c r="CH15" s="608">
        <f t="shared" si="29"/>
        <v>0.1703968297</v>
      </c>
      <c r="CI15" s="603">
        <f t="shared" si="30"/>
        <v>222155.4418</v>
      </c>
      <c r="CJ15" s="347"/>
      <c r="CK15" s="347">
        <f t="shared" si="31"/>
        <v>0</v>
      </c>
      <c r="CL15" s="539">
        <f t="shared" si="32"/>
        <v>34506.62699</v>
      </c>
      <c r="CM15" s="347">
        <f t="shared" si="33"/>
        <v>0</v>
      </c>
      <c r="CN15" s="347">
        <f t="shared" si="34"/>
        <v>33781.98783</v>
      </c>
      <c r="CO15" s="347" t="str">
        <f t="shared" si="35"/>
        <v>2024-12-23</v>
      </c>
      <c r="CP15" s="347"/>
    </row>
    <row r="16">
      <c r="A16" s="574">
        <f t="shared" si="45"/>
        <v>200067</v>
      </c>
      <c r="B16" s="574" t="str">
        <f t="shared" si="1"/>
        <v>Batch 200067</v>
      </c>
      <c r="C16" s="345" t="s">
        <v>1930</v>
      </c>
      <c r="D16" s="575"/>
      <c r="E16" s="345" t="s">
        <v>2779</v>
      </c>
      <c r="F16" s="583">
        <v>45647.0</v>
      </c>
      <c r="G16" s="583">
        <v>45648.416666666664</v>
      </c>
      <c r="H16" s="347"/>
      <c r="I16" s="612">
        <v>45653.4375</v>
      </c>
      <c r="J16" s="583">
        <v>45653.583333333336</v>
      </c>
      <c r="K16" s="609" t="s">
        <v>2835</v>
      </c>
      <c r="L16" s="1">
        <v>3793.0</v>
      </c>
      <c r="M16" s="345">
        <v>1.2275</v>
      </c>
      <c r="N16" s="345">
        <v>22.6</v>
      </c>
      <c r="O16" s="579">
        <f t="shared" si="2"/>
        <v>14358.06013</v>
      </c>
      <c r="P16" s="579">
        <f t="shared" si="39"/>
        <v>17624.51881</v>
      </c>
      <c r="Q16" s="575" t="s">
        <v>2839</v>
      </c>
      <c r="R16" s="1">
        <v>4062.0</v>
      </c>
      <c r="S16" s="580">
        <v>1.2275</v>
      </c>
      <c r="T16" s="345">
        <v>22.6</v>
      </c>
      <c r="U16" s="579">
        <f t="shared" si="4"/>
        <v>15376.33542</v>
      </c>
      <c r="V16" s="579">
        <f t="shared" si="5"/>
        <v>18874.45173</v>
      </c>
      <c r="W16" s="574"/>
      <c r="X16" s="347"/>
      <c r="Y16" s="347"/>
      <c r="Z16" s="347"/>
      <c r="AA16" s="579">
        <f t="shared" si="6"/>
        <v>0</v>
      </c>
      <c r="AB16" s="581">
        <f t="shared" si="40"/>
        <v>0</v>
      </c>
      <c r="AC16" s="347"/>
      <c r="AD16" s="347"/>
      <c r="AE16" s="347"/>
      <c r="AF16" s="347"/>
      <c r="AG16" s="579">
        <f t="shared" si="8"/>
        <v>0</v>
      </c>
      <c r="AH16" s="579">
        <f t="shared" si="41"/>
        <v>0</v>
      </c>
      <c r="AI16" s="582"/>
      <c r="AJ16" s="582"/>
      <c r="AK16" s="582"/>
      <c r="AL16" s="582"/>
      <c r="AM16" s="579"/>
      <c r="AN16" s="579"/>
      <c r="AO16" s="347"/>
      <c r="AP16" s="581">
        <f t="shared" si="10"/>
        <v>36498.97054</v>
      </c>
      <c r="AQ16" s="345" t="s">
        <v>2840</v>
      </c>
      <c r="AR16" s="345" t="s">
        <v>2841</v>
      </c>
      <c r="AS16" s="346">
        <v>7204.0</v>
      </c>
      <c r="AT16" s="346" t="s">
        <v>2800</v>
      </c>
      <c r="AU16" s="346">
        <v>175.0</v>
      </c>
      <c r="AV16" s="346">
        <v>600.0</v>
      </c>
      <c r="AW16" s="346">
        <v>40.0</v>
      </c>
      <c r="AX16" s="584">
        <f t="shared" si="11"/>
        <v>7589</v>
      </c>
      <c r="AY16" s="581">
        <f t="shared" si="12"/>
        <v>7804</v>
      </c>
      <c r="AZ16" s="581">
        <f t="shared" si="43"/>
        <v>3539.839065</v>
      </c>
      <c r="BA16" s="583">
        <v>45652.583333333336</v>
      </c>
      <c r="BB16" s="583">
        <v>45653.395833333336</v>
      </c>
      <c r="BC16" s="346">
        <v>216.5</v>
      </c>
      <c r="BD16" s="581">
        <f t="shared" si="36"/>
        <v>2762.54</v>
      </c>
      <c r="BE16" s="581">
        <f t="shared" si="37"/>
        <v>1253.068556</v>
      </c>
      <c r="BF16" s="345">
        <v>4.5</v>
      </c>
      <c r="BG16" s="345">
        <v>73660.0</v>
      </c>
      <c r="BH16" s="345">
        <v>32900.0</v>
      </c>
      <c r="BI16" s="607" t="s">
        <v>2842</v>
      </c>
      <c r="BJ16" s="586">
        <f t="shared" si="14"/>
        <v>40760</v>
      </c>
      <c r="BK16" s="581">
        <f t="shared" si="15"/>
        <v>18488.44699</v>
      </c>
      <c r="BL16" s="345">
        <v>81020.0</v>
      </c>
      <c r="BM16" s="345">
        <v>33700.0</v>
      </c>
      <c r="BN16" s="607" t="s">
        <v>2842</v>
      </c>
      <c r="BO16" s="586">
        <f t="shared" si="16"/>
        <v>47320</v>
      </c>
      <c r="BP16" s="584">
        <f t="shared" si="17"/>
        <v>21464.01647</v>
      </c>
      <c r="BQ16" s="345" t="s">
        <v>2824</v>
      </c>
      <c r="BR16" s="581">
        <f t="shared" si="38"/>
        <v>39952.46346</v>
      </c>
      <c r="BS16" s="588">
        <f t="shared" si="19"/>
        <v>35159.55584</v>
      </c>
      <c r="BT16" s="581">
        <f t="shared" si="20"/>
        <v>1339.414696</v>
      </c>
      <c r="BU16" s="605">
        <v>0.425</v>
      </c>
      <c r="BV16" s="581">
        <f t="shared" si="44"/>
        <v>54790.30785</v>
      </c>
      <c r="BW16" s="590"/>
      <c r="BX16" s="347">
        <f>AVERAGE(BH2:BH10,BH13:BH74)</f>
        <v>34824.71831</v>
      </c>
      <c r="BY16" s="347"/>
      <c r="BZ16" s="347"/>
      <c r="CA16" s="586">
        <f t="shared" si="22"/>
        <v>7855</v>
      </c>
      <c r="CB16" s="581">
        <f t="shared" si="23"/>
        <v>216.5</v>
      </c>
      <c r="CC16" s="581">
        <f t="shared" si="24"/>
        <v>188.52</v>
      </c>
      <c r="CD16" s="581">
        <f t="shared" si="25"/>
        <v>9163.785164</v>
      </c>
      <c r="CE16" s="581">
        <f t="shared" si="26"/>
        <v>6327.910871</v>
      </c>
      <c r="CF16" s="581">
        <f t="shared" si="27"/>
        <v>6660.958811</v>
      </c>
      <c r="CG16" s="581">
        <f t="shared" si="28"/>
        <v>1261.089129</v>
      </c>
      <c r="CH16" s="608">
        <f t="shared" si="29"/>
        <v>0.199289964</v>
      </c>
      <c r="CI16" s="603">
        <f t="shared" si="30"/>
        <v>227639.7073</v>
      </c>
      <c r="CJ16" s="347"/>
      <c r="CK16" s="347">
        <f t="shared" si="31"/>
        <v>0</v>
      </c>
      <c r="CL16" s="539">
        <f t="shared" si="32"/>
        <v>35159.55584</v>
      </c>
      <c r="CM16" s="347">
        <f t="shared" si="33"/>
        <v>0</v>
      </c>
      <c r="CN16" s="347">
        <f t="shared" si="34"/>
        <v>54790.30785</v>
      </c>
      <c r="CO16" s="347" t="str">
        <f t="shared" si="35"/>
        <v>2024-12-27</v>
      </c>
      <c r="CP16" s="347"/>
    </row>
    <row r="17">
      <c r="A17" s="574">
        <f t="shared" si="45"/>
        <v>200068</v>
      </c>
      <c r="B17" s="574" t="str">
        <f t="shared" si="1"/>
        <v>Batch 200068</v>
      </c>
      <c r="C17" s="345" t="s">
        <v>1930</v>
      </c>
      <c r="D17" s="575"/>
      <c r="E17" s="345" t="s">
        <v>2779</v>
      </c>
      <c r="F17" s="583">
        <v>45653.395833333336</v>
      </c>
      <c r="G17" s="583">
        <v>45654.666666666664</v>
      </c>
      <c r="H17" s="345" t="s">
        <v>2843</v>
      </c>
      <c r="I17" s="612">
        <v>45657.395833333336</v>
      </c>
      <c r="J17" s="583">
        <v>45657.552083333336</v>
      </c>
      <c r="K17" s="609" t="s">
        <v>278</v>
      </c>
      <c r="L17" s="1">
        <v>550.0</v>
      </c>
      <c r="M17" s="345">
        <v>1.222</v>
      </c>
      <c r="N17" s="345">
        <v>35.0</v>
      </c>
      <c r="O17" s="579">
        <f t="shared" si="2"/>
        <v>2081.9755</v>
      </c>
      <c r="P17" s="630">
        <v>2670.24</v>
      </c>
      <c r="Q17" s="575" t="s">
        <v>2844</v>
      </c>
      <c r="R17" s="345">
        <v>3498.0</v>
      </c>
      <c r="S17" s="580">
        <v>1.2275</v>
      </c>
      <c r="T17" s="345">
        <v>22.6</v>
      </c>
      <c r="U17" s="579">
        <f t="shared" si="4"/>
        <v>13241.36418</v>
      </c>
      <c r="V17" s="579">
        <f t="shared" si="5"/>
        <v>16253.77453</v>
      </c>
      <c r="W17" s="575"/>
      <c r="X17" s="345"/>
      <c r="Y17" s="345"/>
      <c r="Z17" s="345"/>
      <c r="AA17" s="579">
        <f t="shared" si="6"/>
        <v>0</v>
      </c>
      <c r="AB17" s="581">
        <f t="shared" si="40"/>
        <v>0</v>
      </c>
      <c r="AC17" s="345"/>
      <c r="AD17" s="345"/>
      <c r="AE17" s="345"/>
      <c r="AF17" s="345"/>
      <c r="AG17" s="579">
        <f t="shared" si="8"/>
        <v>0</v>
      </c>
      <c r="AH17" s="579">
        <f t="shared" si="41"/>
        <v>0</v>
      </c>
      <c r="AI17" s="582"/>
      <c r="AJ17" s="582"/>
      <c r="AK17" s="582"/>
      <c r="AL17" s="582"/>
      <c r="AM17" s="579"/>
      <c r="AN17" s="579"/>
      <c r="AO17" s="345" t="s">
        <v>2845</v>
      </c>
      <c r="AP17" s="581">
        <f t="shared" si="10"/>
        <v>18924.01453</v>
      </c>
      <c r="AQ17" s="583">
        <v>45656.020833333336</v>
      </c>
      <c r="AR17" s="583">
        <v>45656.166666666664</v>
      </c>
      <c r="AS17" s="346">
        <v>4066.0</v>
      </c>
      <c r="AT17" s="346" t="s">
        <v>2800</v>
      </c>
      <c r="AU17" s="346">
        <v>0.0</v>
      </c>
      <c r="AV17" s="346">
        <v>294.0</v>
      </c>
      <c r="AW17" s="346">
        <v>70.0</v>
      </c>
      <c r="AX17" s="584">
        <f t="shared" si="11"/>
        <v>4290</v>
      </c>
      <c r="AY17" s="581">
        <f t="shared" si="12"/>
        <v>4360</v>
      </c>
      <c r="AZ17" s="581">
        <f t="shared" si="43"/>
        <v>1977.665085</v>
      </c>
      <c r="BA17" s="583">
        <v>45655.583333333336</v>
      </c>
      <c r="BB17" s="583">
        <v>45655.6875</v>
      </c>
      <c r="BC17" s="346">
        <v>160.0</v>
      </c>
      <c r="BD17" s="581">
        <f t="shared" si="36"/>
        <v>2041.6</v>
      </c>
      <c r="BE17" s="581">
        <f t="shared" si="37"/>
        <v>926.0552839</v>
      </c>
      <c r="BF17" s="345">
        <v>4.6</v>
      </c>
      <c r="BG17" s="345">
        <v>80040.0</v>
      </c>
      <c r="BH17" s="345">
        <v>33600.0</v>
      </c>
      <c r="BI17" s="607" t="s">
        <v>2846</v>
      </c>
      <c r="BJ17" s="586">
        <f t="shared" si="14"/>
        <v>46440</v>
      </c>
      <c r="BK17" s="581">
        <f t="shared" si="15"/>
        <v>21064.85471</v>
      </c>
      <c r="BL17" s="347"/>
      <c r="BM17" s="347"/>
      <c r="BN17" s="347"/>
      <c r="BO17" s="586">
        <f t="shared" si="16"/>
        <v>0</v>
      </c>
      <c r="BP17" s="584">
        <f t="shared" si="17"/>
        <v>0</v>
      </c>
      <c r="BQ17" s="541"/>
      <c r="BR17" s="581">
        <f t="shared" si="38"/>
        <v>21064.85471</v>
      </c>
      <c r="BS17" s="588">
        <f t="shared" si="19"/>
        <v>18161.13435</v>
      </c>
      <c r="BT17" s="581">
        <f t="shared" si="20"/>
        <v>762.8801858</v>
      </c>
      <c r="BU17" s="605">
        <v>0.416</v>
      </c>
      <c r="BV17" s="581">
        <f t="shared" si="44"/>
        <v>27701.78359</v>
      </c>
      <c r="BW17" s="590"/>
      <c r="BX17" s="347"/>
      <c r="BY17" s="347"/>
      <c r="BZ17" s="347"/>
      <c r="CA17" s="586">
        <f t="shared" si="22"/>
        <v>4048</v>
      </c>
      <c r="CB17" s="581">
        <f t="shared" si="23"/>
        <v>160</v>
      </c>
      <c r="CC17" s="581">
        <f t="shared" si="24"/>
        <v>97.152</v>
      </c>
      <c r="CD17" s="581">
        <f t="shared" si="25"/>
        <v>5240.039608</v>
      </c>
      <c r="CE17" s="581">
        <f t="shared" si="26"/>
        <v>3618.428739</v>
      </c>
      <c r="CF17" s="581">
        <f t="shared" si="27"/>
        <v>3808.872357</v>
      </c>
      <c r="CG17" s="581">
        <f t="shared" si="28"/>
        <v>671.5712609</v>
      </c>
      <c r="CH17" s="608">
        <f t="shared" si="29"/>
        <v>0.1855974815</v>
      </c>
      <c r="CI17" s="603">
        <f t="shared" si="30"/>
        <v>225040.7089</v>
      </c>
      <c r="CJ17" s="347"/>
      <c r="CK17" s="347">
        <f>(IF(ISNUMBER(SEARCH("CH", K17)), P17, 0) +
 IF(ISNUMBER(SEARCH("CH", Q17)), V17, 0) +
 IF(ISNUMBER(SEARCH("CH", W17)), AB17, 0) +
 IF(ISNUMBER(SEARCH("CH", AC17)), AH17, 0))*BU17
</f>
        <v>1110.81984</v>
      </c>
      <c r="CL17" s="539">
        <f t="shared" si="32"/>
        <v>17050.31451</v>
      </c>
      <c r="CM17" s="347">
        <f t="shared" si="33"/>
        <v>1694.370529</v>
      </c>
      <c r="CN17" s="347">
        <f t="shared" si="34"/>
        <v>26007.41306</v>
      </c>
      <c r="CO17" s="347" t="str">
        <f t="shared" si="35"/>
        <v>2024-12-31</v>
      </c>
      <c r="CP17" s="347"/>
    </row>
    <row r="18">
      <c r="A18" s="574">
        <f t="shared" si="45"/>
        <v>200069</v>
      </c>
      <c r="B18" s="574" t="str">
        <f t="shared" si="1"/>
        <v>Batch 200069</v>
      </c>
      <c r="C18" s="345" t="s">
        <v>1930</v>
      </c>
      <c r="D18" s="575"/>
      <c r="E18" s="345" t="s">
        <v>2779</v>
      </c>
      <c r="F18" s="345" t="s">
        <v>2847</v>
      </c>
      <c r="G18" s="345" t="s">
        <v>2848</v>
      </c>
      <c r="H18" s="347"/>
      <c r="I18" s="612">
        <v>45659.395833333336</v>
      </c>
      <c r="J18" s="583">
        <v>45659.604166666664</v>
      </c>
      <c r="K18" s="609" t="s">
        <v>2849</v>
      </c>
      <c r="L18" s="1">
        <v>4516.0</v>
      </c>
      <c r="M18" s="345">
        <v>1.2272</v>
      </c>
      <c r="N18" s="345">
        <v>24.2</v>
      </c>
      <c r="O18" s="579">
        <f t="shared" si="2"/>
        <v>17094.91156</v>
      </c>
      <c r="P18" s="579">
        <f t="shared" ref="P18:P74" si="46">L18*$CP$3*M18</f>
        <v>20978.87547</v>
      </c>
      <c r="Q18" s="575" t="s">
        <v>2844</v>
      </c>
      <c r="R18" s="345">
        <v>853.0</v>
      </c>
      <c r="S18" s="580">
        <v>1.2275</v>
      </c>
      <c r="T18" s="345">
        <v>22.6</v>
      </c>
      <c r="U18" s="579">
        <f t="shared" si="4"/>
        <v>3228.95473</v>
      </c>
      <c r="V18" s="579">
        <f t="shared" si="5"/>
        <v>3963.541931</v>
      </c>
      <c r="W18" s="575" t="s">
        <v>2850</v>
      </c>
      <c r="X18" s="345">
        <v>2621.0</v>
      </c>
      <c r="Y18" s="345">
        <v>1.2174</v>
      </c>
      <c r="Z18" s="345">
        <v>23.7</v>
      </c>
      <c r="AA18" s="579">
        <f t="shared" si="6"/>
        <v>9921.55961</v>
      </c>
      <c r="AB18" s="581">
        <f t="shared" si="40"/>
        <v>12078.50667</v>
      </c>
      <c r="AC18" s="347"/>
      <c r="AD18" s="347"/>
      <c r="AE18" s="347"/>
      <c r="AF18" s="347"/>
      <c r="AG18" s="579">
        <f t="shared" si="8"/>
        <v>0</v>
      </c>
      <c r="AH18" s="579">
        <f t="shared" si="41"/>
        <v>0</v>
      </c>
      <c r="AI18" s="582"/>
      <c r="AJ18" s="582"/>
      <c r="AK18" s="582"/>
      <c r="AL18" s="582"/>
      <c r="AM18" s="579"/>
      <c r="AN18" s="579"/>
      <c r="AO18" s="347"/>
      <c r="AP18" s="581">
        <f t="shared" si="10"/>
        <v>37020.92407</v>
      </c>
      <c r="AQ18" s="345" t="s">
        <v>2851</v>
      </c>
      <c r="AR18" s="345" t="s">
        <v>2852</v>
      </c>
      <c r="AS18" s="346">
        <v>7220.0</v>
      </c>
      <c r="AT18" s="346" t="s">
        <v>2800</v>
      </c>
      <c r="AU18" s="346">
        <v>72.73</v>
      </c>
      <c r="AV18" s="346">
        <v>100.0</v>
      </c>
      <c r="AW18" s="346">
        <v>40.0</v>
      </c>
      <c r="AX18" s="584">
        <f t="shared" si="11"/>
        <v>7207.27</v>
      </c>
      <c r="AY18" s="581">
        <f t="shared" si="12"/>
        <v>7320</v>
      </c>
      <c r="AZ18" s="581">
        <f t="shared" si="43"/>
        <v>3320.300097</v>
      </c>
      <c r="BA18" s="583">
        <v>45658.5625</v>
      </c>
      <c r="BB18" s="583">
        <v>45659.333333333336</v>
      </c>
      <c r="BC18" s="346">
        <v>248.0</v>
      </c>
      <c r="BD18" s="581">
        <f t="shared" si="36"/>
        <v>3164.48</v>
      </c>
      <c r="BE18" s="581">
        <f t="shared" si="37"/>
        <v>1435.38569</v>
      </c>
      <c r="BF18" s="345">
        <v>4.42</v>
      </c>
      <c r="BG18" s="345">
        <v>84100.0</v>
      </c>
      <c r="BH18" s="345">
        <v>34200.0</v>
      </c>
      <c r="BI18" s="607" t="s">
        <v>2853</v>
      </c>
      <c r="BJ18" s="586">
        <f t="shared" si="14"/>
        <v>49900</v>
      </c>
      <c r="BK18" s="581">
        <f t="shared" si="15"/>
        <v>22634.28618</v>
      </c>
      <c r="BL18" s="345">
        <v>71660.0</v>
      </c>
      <c r="BM18" s="345">
        <v>32220.0</v>
      </c>
      <c r="BN18" s="607" t="s">
        <v>2853</v>
      </c>
      <c r="BO18" s="586">
        <f t="shared" si="16"/>
        <v>39440</v>
      </c>
      <c r="BP18" s="584">
        <f t="shared" si="17"/>
        <v>17889.70435</v>
      </c>
      <c r="BQ18" s="345"/>
      <c r="BR18" s="581">
        <f t="shared" si="38"/>
        <v>40523.99053</v>
      </c>
      <c r="BS18" s="588">
        <f t="shared" si="19"/>
        <v>35768.30474</v>
      </c>
      <c r="BT18" s="581">
        <f t="shared" si="20"/>
        <v>1252.619325</v>
      </c>
      <c r="BU18" s="605">
        <v>0.424</v>
      </c>
      <c r="BV18" s="581">
        <f t="shared" si="44"/>
        <v>55607.79111</v>
      </c>
      <c r="BW18" s="590"/>
      <c r="BX18" s="347"/>
      <c r="BY18" s="347"/>
      <c r="BZ18" s="347"/>
      <c r="CA18" s="586">
        <f t="shared" si="22"/>
        <v>7990</v>
      </c>
      <c r="CB18" s="581">
        <f t="shared" si="23"/>
        <v>248</v>
      </c>
      <c r="CC18" s="581">
        <f t="shared" si="24"/>
        <v>191.76</v>
      </c>
      <c r="CD18" s="581">
        <f t="shared" si="25"/>
        <v>9883.404166</v>
      </c>
      <c r="CE18" s="581">
        <f t="shared" si="26"/>
        <v>6824.832702</v>
      </c>
      <c r="CF18" s="581">
        <f t="shared" si="27"/>
        <v>7184.034423</v>
      </c>
      <c r="CG18" s="581">
        <f t="shared" si="28"/>
        <v>382.4372983</v>
      </c>
      <c r="CH18" s="608">
        <f t="shared" si="29"/>
        <v>0.05603614258</v>
      </c>
      <c r="CI18" s="603">
        <f t="shared" si="30"/>
        <v>200448.4033</v>
      </c>
      <c r="CJ18" s="347"/>
      <c r="CK18" s="347">
        <f t="shared" ref="CK18:CK24" si="47">IF(ISNUMBER(SEARCH("CH", K18)), P18, 0) +
 IF(ISNUMBER(SEARCH("CH", Q18)), V18, 0) +
 IF(ISNUMBER(SEARCH("CH", W18)), AB18, 0) +
 IF(ISNUMBER(SEARCH("CH", AC18)), AH18, 0)
</f>
        <v>0</v>
      </c>
      <c r="CL18" s="539">
        <f t="shared" si="32"/>
        <v>35768.30474</v>
      </c>
      <c r="CM18" s="347">
        <f t="shared" si="33"/>
        <v>0</v>
      </c>
      <c r="CN18" s="347">
        <f t="shared" si="34"/>
        <v>55607.79111</v>
      </c>
      <c r="CO18" s="347" t="str">
        <f t="shared" si="35"/>
        <v>2025-01-02</v>
      </c>
      <c r="CP18" s="347"/>
    </row>
    <row r="19">
      <c r="A19" s="574">
        <f t="shared" si="45"/>
        <v>200070</v>
      </c>
      <c r="B19" s="574" t="str">
        <f t="shared" si="1"/>
        <v>Batch 200070</v>
      </c>
      <c r="C19" s="345" t="s">
        <v>1930</v>
      </c>
      <c r="D19" s="575"/>
      <c r="E19" s="345" t="s">
        <v>2779</v>
      </c>
      <c r="F19" s="583">
        <v>45657.572916666664</v>
      </c>
      <c r="G19" s="583">
        <v>45659.5</v>
      </c>
      <c r="H19" s="347"/>
      <c r="I19" s="612">
        <v>45660.4375</v>
      </c>
      <c r="J19" s="583">
        <v>45660.6875</v>
      </c>
      <c r="K19" s="609" t="s">
        <v>2854</v>
      </c>
      <c r="L19" s="1">
        <v>4510.0</v>
      </c>
      <c r="M19" s="345">
        <v>1.2174</v>
      </c>
      <c r="N19" s="345">
        <v>23.7</v>
      </c>
      <c r="O19" s="579">
        <f t="shared" si="2"/>
        <v>17072.1991</v>
      </c>
      <c r="P19" s="579">
        <f t="shared" si="46"/>
        <v>20783.69518</v>
      </c>
      <c r="Q19" s="575" t="s">
        <v>2855</v>
      </c>
      <c r="R19" s="345">
        <v>1631.0</v>
      </c>
      <c r="S19" s="580">
        <v>1.2174</v>
      </c>
      <c r="T19" s="345">
        <v>23.7</v>
      </c>
      <c r="U19" s="579">
        <f t="shared" si="4"/>
        <v>6174.00371</v>
      </c>
      <c r="V19" s="579">
        <f t="shared" si="5"/>
        <v>7516.232117</v>
      </c>
      <c r="W19" s="575" t="s">
        <v>2850</v>
      </c>
      <c r="X19" s="345">
        <v>1838.0</v>
      </c>
      <c r="Y19" s="345">
        <v>1.2174</v>
      </c>
      <c r="Z19" s="345">
        <v>23.7</v>
      </c>
      <c r="AA19" s="579">
        <f t="shared" si="6"/>
        <v>6957.58358</v>
      </c>
      <c r="AB19" s="581">
        <f t="shared" si="40"/>
        <v>8470.16225</v>
      </c>
      <c r="AC19" s="347"/>
      <c r="AD19" s="347"/>
      <c r="AE19" s="347"/>
      <c r="AF19" s="347"/>
      <c r="AG19" s="579">
        <f t="shared" si="8"/>
        <v>0</v>
      </c>
      <c r="AH19" s="579">
        <f t="shared" si="41"/>
        <v>0</v>
      </c>
      <c r="AI19" s="582"/>
      <c r="AJ19" s="582"/>
      <c r="AK19" s="582"/>
      <c r="AL19" s="582"/>
      <c r="AM19" s="579"/>
      <c r="AN19" s="579"/>
      <c r="AO19" s="347"/>
      <c r="AP19" s="581">
        <f t="shared" si="10"/>
        <v>36770.08955</v>
      </c>
      <c r="AQ19" s="345" t="s">
        <v>2856</v>
      </c>
      <c r="AR19" s="345" t="s">
        <v>2857</v>
      </c>
      <c r="AS19" s="346">
        <v>7032.0</v>
      </c>
      <c r="AT19" s="346" t="s">
        <v>2800</v>
      </c>
      <c r="AU19" s="346">
        <v>240.0</v>
      </c>
      <c r="AV19" s="346">
        <v>170.0</v>
      </c>
      <c r="AW19" s="346">
        <v>0.0</v>
      </c>
      <c r="AX19" s="584">
        <f t="shared" si="11"/>
        <v>6962</v>
      </c>
      <c r="AY19" s="581">
        <f t="shared" si="12"/>
        <v>7202</v>
      </c>
      <c r="AZ19" s="581">
        <f t="shared" si="43"/>
        <v>3266.776134</v>
      </c>
      <c r="BA19" s="345" t="s">
        <v>2858</v>
      </c>
      <c r="BB19" s="612">
        <v>45660.4375</v>
      </c>
      <c r="BC19" s="346">
        <v>255.0</v>
      </c>
      <c r="BD19" s="581">
        <f t="shared" si="36"/>
        <v>3253.8</v>
      </c>
      <c r="BE19" s="581">
        <f t="shared" si="37"/>
        <v>1475.900609</v>
      </c>
      <c r="BF19" s="345">
        <v>4.56</v>
      </c>
      <c r="BG19" s="345">
        <v>76940.0</v>
      </c>
      <c r="BH19" s="345">
        <v>34320.0</v>
      </c>
      <c r="BI19" s="607" t="s">
        <v>2859</v>
      </c>
      <c r="BJ19" s="586">
        <f t="shared" si="14"/>
        <v>42620</v>
      </c>
      <c r="BK19" s="581">
        <f t="shared" si="15"/>
        <v>19332.1298</v>
      </c>
      <c r="BL19" s="345">
        <v>80720.0</v>
      </c>
      <c r="BM19" s="345">
        <v>34140.0</v>
      </c>
      <c r="BN19" s="607" t="s">
        <v>2859</v>
      </c>
      <c r="BO19" s="586">
        <f t="shared" si="16"/>
        <v>46580</v>
      </c>
      <c r="BP19" s="584">
        <f t="shared" si="17"/>
        <v>21128.35772</v>
      </c>
      <c r="BQ19" s="541"/>
      <c r="BR19" s="581">
        <f t="shared" si="38"/>
        <v>40460.48752</v>
      </c>
      <c r="BS19" s="588">
        <f t="shared" si="19"/>
        <v>35717.81078</v>
      </c>
      <c r="BT19" s="581">
        <f t="shared" si="20"/>
        <v>1052.278772</v>
      </c>
      <c r="BU19" s="605">
        <v>0.427</v>
      </c>
      <c r="BV19" s="581">
        <f t="shared" si="44"/>
        <v>55922.18574</v>
      </c>
      <c r="BW19" s="590"/>
      <c r="BX19" s="347"/>
      <c r="BY19" s="347"/>
      <c r="BZ19" s="347"/>
      <c r="CA19" s="586">
        <f t="shared" si="22"/>
        <v>7979</v>
      </c>
      <c r="CB19" s="581">
        <f t="shared" si="23"/>
        <v>255</v>
      </c>
      <c r="CC19" s="581">
        <f t="shared" si="24"/>
        <v>191.496</v>
      </c>
      <c r="CD19" s="581">
        <f t="shared" si="25"/>
        <v>9792.245841</v>
      </c>
      <c r="CE19" s="581">
        <f t="shared" si="26"/>
        <v>6761.884723</v>
      </c>
      <c r="CF19" s="581">
        <f t="shared" si="27"/>
        <v>7117.773393</v>
      </c>
      <c r="CG19" s="581">
        <f t="shared" si="28"/>
        <v>200.1152769</v>
      </c>
      <c r="CH19" s="608">
        <f t="shared" si="29"/>
        <v>0.02959460048</v>
      </c>
      <c r="CI19" s="603">
        <f t="shared" si="30"/>
        <v>195429.4796</v>
      </c>
      <c r="CJ19" s="347"/>
      <c r="CK19" s="347">
        <f t="shared" si="47"/>
        <v>0</v>
      </c>
      <c r="CL19" s="539">
        <f t="shared" si="32"/>
        <v>35717.81078</v>
      </c>
      <c r="CM19" s="347">
        <f t="shared" si="33"/>
        <v>0</v>
      </c>
      <c r="CN19" s="347">
        <f t="shared" si="34"/>
        <v>55922.18574</v>
      </c>
      <c r="CO19" s="347" t="str">
        <f t="shared" si="35"/>
        <v>2025-01-03</v>
      </c>
      <c r="CP19" s="347"/>
    </row>
    <row r="20">
      <c r="A20" s="575" t="s">
        <v>2860</v>
      </c>
      <c r="B20" s="574" t="str">
        <f t="shared" si="1"/>
        <v>Batch 300002</v>
      </c>
      <c r="C20" s="345" t="s">
        <v>1930</v>
      </c>
      <c r="D20" s="575"/>
      <c r="E20" s="345" t="s">
        <v>2779</v>
      </c>
      <c r="F20" s="583">
        <v>45659.729166666664</v>
      </c>
      <c r="G20" s="583">
        <v>45660.760416666664</v>
      </c>
      <c r="H20" s="347"/>
      <c r="I20" s="612">
        <v>45665.4375</v>
      </c>
      <c r="J20" s="583">
        <v>45665.645833333336</v>
      </c>
      <c r="K20" s="609" t="s">
        <v>2861</v>
      </c>
      <c r="L20" s="1">
        <v>1308.0</v>
      </c>
      <c r="M20" s="345">
        <v>1.222</v>
      </c>
      <c r="N20" s="345">
        <v>23.3</v>
      </c>
      <c r="O20" s="579">
        <f t="shared" si="2"/>
        <v>4951.31628</v>
      </c>
      <c r="P20" s="579">
        <f t="shared" si="46"/>
        <v>6050.508494</v>
      </c>
      <c r="Q20" s="575" t="s">
        <v>301</v>
      </c>
      <c r="R20" s="345">
        <v>550.0</v>
      </c>
      <c r="S20" s="580">
        <v>1.219</v>
      </c>
      <c r="T20" s="345">
        <v>35.0</v>
      </c>
      <c r="U20" s="630">
        <v>2208.0</v>
      </c>
      <c r="V20" s="630">
        <v>2208.26</v>
      </c>
      <c r="W20" s="575" t="s">
        <v>2855</v>
      </c>
      <c r="X20" s="345">
        <v>2189.0</v>
      </c>
      <c r="Y20" s="345">
        <v>1.2174</v>
      </c>
      <c r="Z20" s="345">
        <v>23.7</v>
      </c>
      <c r="AA20" s="579">
        <f t="shared" si="6"/>
        <v>8286.26249</v>
      </c>
      <c r="AB20" s="581">
        <f t="shared" si="40"/>
        <v>10087.69596</v>
      </c>
      <c r="AC20" s="347"/>
      <c r="AD20" s="347"/>
      <c r="AE20" s="347"/>
      <c r="AF20" s="347"/>
      <c r="AG20" s="579">
        <f t="shared" si="8"/>
        <v>0</v>
      </c>
      <c r="AH20" s="579">
        <f t="shared" si="41"/>
        <v>0</v>
      </c>
      <c r="AI20" s="582"/>
      <c r="AJ20" s="582"/>
      <c r="AK20" s="582"/>
      <c r="AL20" s="582"/>
      <c r="AM20" s="579"/>
      <c r="AN20" s="579"/>
      <c r="AO20" s="347"/>
      <c r="AP20" s="581">
        <f t="shared" si="10"/>
        <v>18346.46445</v>
      </c>
      <c r="AQ20" s="583">
        <v>45664.875</v>
      </c>
      <c r="AR20" s="583">
        <v>45665.125</v>
      </c>
      <c r="AS20" s="346">
        <v>4304.0</v>
      </c>
      <c r="AT20" s="346" t="s">
        <v>2800</v>
      </c>
      <c r="AU20" s="346">
        <v>167.0</v>
      </c>
      <c r="AV20" s="346">
        <v>220.0</v>
      </c>
      <c r="AW20" s="346">
        <v>0.0</v>
      </c>
      <c r="AX20" s="584">
        <f t="shared" si="11"/>
        <v>4357</v>
      </c>
      <c r="AY20" s="581">
        <f t="shared" si="12"/>
        <v>4524</v>
      </c>
      <c r="AZ20" s="581">
        <f t="shared" si="43"/>
        <v>2052.054322</v>
      </c>
      <c r="BA20" s="345" t="s">
        <v>2862</v>
      </c>
      <c r="BB20" s="345" t="s">
        <v>2863</v>
      </c>
      <c r="BC20" s="346">
        <v>165.0</v>
      </c>
      <c r="BD20" s="581">
        <f t="shared" si="36"/>
        <v>2105.4</v>
      </c>
      <c r="BE20" s="581">
        <f t="shared" si="37"/>
        <v>954.9945115</v>
      </c>
      <c r="BF20" s="345">
        <v>4.7</v>
      </c>
      <c r="BG20" s="345">
        <v>78140.0</v>
      </c>
      <c r="BH20" s="345">
        <v>32660.0</v>
      </c>
      <c r="BI20" s="607" t="s">
        <v>2864</v>
      </c>
      <c r="BJ20" s="586">
        <f t="shared" si="14"/>
        <v>45480</v>
      </c>
      <c r="BK20" s="581">
        <f t="shared" si="15"/>
        <v>20629.40552</v>
      </c>
      <c r="BL20" s="347"/>
      <c r="BM20" s="347"/>
      <c r="BN20" s="347"/>
      <c r="BO20" s="586">
        <f t="shared" si="16"/>
        <v>0</v>
      </c>
      <c r="BP20" s="584">
        <f t="shared" si="17"/>
        <v>0</v>
      </c>
      <c r="BQ20" s="345"/>
      <c r="BR20" s="581">
        <f t="shared" si="38"/>
        <v>20629.40552</v>
      </c>
      <c r="BS20" s="588">
        <f t="shared" si="19"/>
        <v>17622.35669</v>
      </c>
      <c r="BT20" s="581">
        <f t="shared" si="20"/>
        <v>724.1077622</v>
      </c>
      <c r="BU20" s="605">
        <v>0.263</v>
      </c>
      <c r="BV20" s="581">
        <f t="shared" si="44"/>
        <v>16993.82597</v>
      </c>
      <c r="BW20" s="590"/>
      <c r="BX20" s="347"/>
      <c r="BY20" s="347"/>
      <c r="BZ20" s="347"/>
      <c r="CA20" s="586">
        <f t="shared" si="22"/>
        <v>4047</v>
      </c>
      <c r="CB20" s="581">
        <f>if(BC20, BC20, IF(LEFT(A20,1)="3", 0.04*CA20, 0.026*CA20))</f>
        <v>165</v>
      </c>
      <c r="CC20" s="581">
        <f t="shared" si="24"/>
        <v>97.128</v>
      </c>
      <c r="CD20" s="581">
        <f t="shared" si="25"/>
        <v>5439.953314</v>
      </c>
      <c r="CE20" s="581">
        <f t="shared" si="26"/>
        <v>3756.476074</v>
      </c>
      <c r="CF20" s="581">
        <f t="shared" si="27"/>
        <v>3954.185341</v>
      </c>
      <c r="CG20" s="581">
        <f t="shared" si="28"/>
        <v>600.5239263</v>
      </c>
      <c r="CH20" s="608">
        <f t="shared" si="29"/>
        <v>0.1598636367</v>
      </c>
      <c r="CI20" s="603">
        <f t="shared" si="30"/>
        <v>220156.1146</v>
      </c>
      <c r="CJ20" s="347"/>
      <c r="CK20" s="582">
        <f t="shared" si="47"/>
        <v>2208.26</v>
      </c>
      <c r="CL20" s="539">
        <f t="shared" si="32"/>
        <v>15414.09669</v>
      </c>
      <c r="CM20" s="347">
        <f t="shared" si="33"/>
        <v>2129.498727</v>
      </c>
      <c r="CN20" s="347">
        <f t="shared" si="34"/>
        <v>14864.32724</v>
      </c>
      <c r="CO20" s="347" t="str">
        <f t="shared" si="35"/>
        <v>2025-01-08</v>
      </c>
      <c r="CP20" s="347"/>
    </row>
    <row r="21">
      <c r="A21" s="575" t="s">
        <v>2865</v>
      </c>
      <c r="B21" s="574" t="str">
        <f t="shared" si="1"/>
        <v>Batch 200071</v>
      </c>
      <c r="C21" s="345" t="s">
        <v>1930</v>
      </c>
      <c r="D21" s="575"/>
      <c r="E21" s="345" t="s">
        <v>2779</v>
      </c>
      <c r="F21" s="583">
        <v>45663.520833333336</v>
      </c>
      <c r="G21" s="583">
        <v>45665.708333333336</v>
      </c>
      <c r="H21" s="347"/>
      <c r="I21" s="612">
        <v>45670.4375</v>
      </c>
      <c r="J21" s="583">
        <v>45670.645833333336</v>
      </c>
      <c r="K21" s="609" t="s">
        <v>2861</v>
      </c>
      <c r="L21" s="1">
        <v>3101.2</v>
      </c>
      <c r="M21" s="345">
        <v>1.222</v>
      </c>
      <c r="N21" s="345">
        <v>23.3</v>
      </c>
      <c r="O21" s="579">
        <f t="shared" si="2"/>
        <v>11739.31349</v>
      </c>
      <c r="P21" s="579">
        <f t="shared" si="46"/>
        <v>14345.44109</v>
      </c>
      <c r="Q21" s="575" t="s">
        <v>2866</v>
      </c>
      <c r="R21" s="1">
        <v>4347.39</v>
      </c>
      <c r="S21" s="580">
        <v>1.222</v>
      </c>
      <c r="T21" s="345">
        <v>23.3</v>
      </c>
      <c r="U21" s="579">
        <f t="shared" ref="U21:U300" si="48">R21*$CP$3</f>
        <v>16456.65358</v>
      </c>
      <c r="V21" s="579">
        <f t="shared" ref="V21:V300" si="49">R21*$CP$3*S21</f>
        <v>20110.03067</v>
      </c>
      <c r="W21" s="575" t="s">
        <v>2867</v>
      </c>
      <c r="X21" s="345">
        <v>810.0</v>
      </c>
      <c r="Y21" s="345">
        <v>1.222</v>
      </c>
      <c r="Z21" s="345">
        <v>23.3</v>
      </c>
      <c r="AA21" s="579">
        <f t="shared" si="6"/>
        <v>3066.1821</v>
      </c>
      <c r="AB21" s="581">
        <f t="shared" si="40"/>
        <v>3746.874526</v>
      </c>
      <c r="AC21" s="347"/>
      <c r="AD21" s="347"/>
      <c r="AE21" s="347"/>
      <c r="AF21" s="347"/>
      <c r="AG21" s="579">
        <f t="shared" si="8"/>
        <v>0</v>
      </c>
      <c r="AH21" s="579">
        <f t="shared" si="41"/>
        <v>0</v>
      </c>
      <c r="AI21" s="582"/>
      <c r="AJ21" s="582"/>
      <c r="AK21" s="582"/>
      <c r="AL21" s="582"/>
      <c r="AM21" s="579"/>
      <c r="AN21" s="579"/>
      <c r="AO21" s="347"/>
      <c r="AP21" s="581">
        <f t="shared" si="10"/>
        <v>38202.34629</v>
      </c>
      <c r="AQ21" s="583">
        <v>45666.28125</v>
      </c>
      <c r="AR21" s="583">
        <v>45667.291666666664</v>
      </c>
      <c r="AS21" s="346">
        <v>7652.0</v>
      </c>
      <c r="AT21" s="346" t="s">
        <v>2800</v>
      </c>
      <c r="AU21" s="346">
        <v>422.0</v>
      </c>
      <c r="AV21" s="346">
        <v>25.0</v>
      </c>
      <c r="AW21" s="346">
        <v>30.0</v>
      </c>
      <c r="AX21" s="584">
        <f t="shared" si="11"/>
        <v>7225</v>
      </c>
      <c r="AY21" s="581">
        <f t="shared" si="12"/>
        <v>7677</v>
      </c>
      <c r="AZ21" s="581">
        <f t="shared" si="43"/>
        <v>3482.232766</v>
      </c>
      <c r="BA21" s="345" t="s">
        <v>2868</v>
      </c>
      <c r="BB21" s="345" t="s">
        <v>2869</v>
      </c>
      <c r="BC21" s="346">
        <v>262.0</v>
      </c>
      <c r="BD21" s="581">
        <f t="shared" si="36"/>
        <v>3343.12</v>
      </c>
      <c r="BE21" s="581">
        <f t="shared" si="37"/>
        <v>1516.415527</v>
      </c>
      <c r="BF21" s="345">
        <v>4.37</v>
      </c>
      <c r="BG21" s="345">
        <v>81000.0</v>
      </c>
      <c r="BH21" s="345">
        <v>34820.0</v>
      </c>
      <c r="BI21" s="607" t="s">
        <v>2870</v>
      </c>
      <c r="BJ21" s="586">
        <f t="shared" si="14"/>
        <v>46180</v>
      </c>
      <c r="BK21" s="581">
        <f t="shared" si="15"/>
        <v>20946.92056</v>
      </c>
      <c r="BL21" s="345">
        <v>78940.0</v>
      </c>
      <c r="BM21" s="345">
        <v>35300.0</v>
      </c>
      <c r="BN21" s="607" t="s">
        <v>2870</v>
      </c>
      <c r="BO21" s="586">
        <f t="shared" si="16"/>
        <v>43640</v>
      </c>
      <c r="BP21" s="584">
        <f t="shared" si="17"/>
        <v>19794.79457</v>
      </c>
      <c r="BQ21" s="345"/>
      <c r="BR21" s="581">
        <f t="shared" si="38"/>
        <v>40741.71513</v>
      </c>
      <c r="BS21" s="588">
        <f t="shared" si="19"/>
        <v>35743.06683</v>
      </c>
      <c r="BT21" s="581">
        <f t="shared" si="20"/>
        <v>2459.279456</v>
      </c>
      <c r="BU21" s="605">
        <v>0.432</v>
      </c>
      <c r="BV21" s="581">
        <f t="shared" si="44"/>
        <v>56617.01786</v>
      </c>
      <c r="BW21" s="590"/>
      <c r="BX21" s="347"/>
      <c r="BY21" s="347"/>
      <c r="BZ21" s="347"/>
      <c r="CA21" s="586">
        <f t="shared" si="22"/>
        <v>8258.59</v>
      </c>
      <c r="CB21" s="581">
        <f t="shared" ref="CB21:CB36" si="50">if(BC21, BC21, 0.026*CA21)</f>
        <v>262</v>
      </c>
      <c r="CC21" s="581">
        <f t="shared" si="24"/>
        <v>198.20616</v>
      </c>
      <c r="CD21" s="581">
        <f t="shared" si="25"/>
        <v>10008.46617</v>
      </c>
      <c r="CE21" s="581">
        <f t="shared" si="26"/>
        <v>6911.192348</v>
      </c>
      <c r="CF21" s="581">
        <f t="shared" si="27"/>
        <v>7274.939314</v>
      </c>
      <c r="CG21" s="581">
        <f t="shared" si="28"/>
        <v>313.807652</v>
      </c>
      <c r="CH21" s="608">
        <f t="shared" si="29"/>
        <v>0.04540571817</v>
      </c>
      <c r="CI21" s="603">
        <f t="shared" si="30"/>
        <v>198430.6205</v>
      </c>
      <c r="CJ21" s="347"/>
      <c r="CK21" s="347">
        <f t="shared" si="47"/>
        <v>0</v>
      </c>
      <c r="CL21" s="539">
        <f t="shared" si="32"/>
        <v>35743.06683</v>
      </c>
      <c r="CM21" s="347">
        <f t="shared" si="33"/>
        <v>0</v>
      </c>
      <c r="CN21" s="347">
        <f t="shared" si="34"/>
        <v>56617.01786</v>
      </c>
      <c r="CO21" s="347" t="str">
        <f t="shared" si="35"/>
        <v>2025-01-13</v>
      </c>
      <c r="CP21" s="347"/>
    </row>
    <row r="22">
      <c r="A22" s="575" t="s">
        <v>2871</v>
      </c>
      <c r="B22" s="574" t="str">
        <f t="shared" si="1"/>
        <v>Batch 300003</v>
      </c>
      <c r="C22" s="345" t="s">
        <v>1930</v>
      </c>
      <c r="D22" s="575"/>
      <c r="E22" s="345" t="s">
        <v>2779</v>
      </c>
      <c r="F22" s="583">
        <v>45668.395833333336</v>
      </c>
      <c r="G22" s="583">
        <v>45670.5</v>
      </c>
      <c r="H22" s="347"/>
      <c r="I22" s="612">
        <v>45672.4375</v>
      </c>
      <c r="J22" s="583">
        <v>45672.708333333336</v>
      </c>
      <c r="K22" s="609" t="s">
        <v>2867</v>
      </c>
      <c r="L22" s="1">
        <v>3485.6</v>
      </c>
      <c r="M22" s="345">
        <v>1.2218</v>
      </c>
      <c r="N22" s="345">
        <v>23.3</v>
      </c>
      <c r="O22" s="579">
        <f t="shared" si="2"/>
        <v>13194.4251</v>
      </c>
      <c r="P22" s="579">
        <f t="shared" si="46"/>
        <v>16120.94858</v>
      </c>
      <c r="Q22" s="575" t="s">
        <v>2872</v>
      </c>
      <c r="R22" s="1">
        <v>2170.0</v>
      </c>
      <c r="S22" s="580">
        <v>1.2185</v>
      </c>
      <c r="T22" s="345">
        <v>23.7</v>
      </c>
      <c r="U22" s="579">
        <f t="shared" si="48"/>
        <v>8214.3397</v>
      </c>
      <c r="V22" s="579">
        <f t="shared" si="49"/>
        <v>10009.17292</v>
      </c>
      <c r="W22" s="575" t="s">
        <v>301</v>
      </c>
      <c r="X22" s="345">
        <v>825.0</v>
      </c>
      <c r="Y22" s="345">
        <v>1.219</v>
      </c>
      <c r="Z22" s="345">
        <v>35.0</v>
      </c>
      <c r="AA22" s="579">
        <f t="shared" si="6"/>
        <v>3122.96325</v>
      </c>
      <c r="AB22" s="584">
        <v>3223.13</v>
      </c>
      <c r="AC22" s="345"/>
      <c r="AD22" s="345"/>
      <c r="AE22" s="345"/>
      <c r="AF22" s="345"/>
      <c r="AG22" s="579">
        <f t="shared" si="8"/>
        <v>0</v>
      </c>
      <c r="AH22" s="579">
        <f t="shared" si="41"/>
        <v>0</v>
      </c>
      <c r="AI22" s="582"/>
      <c r="AJ22" s="582"/>
      <c r="AK22" s="582"/>
      <c r="AL22" s="582"/>
      <c r="AM22" s="579"/>
      <c r="AN22" s="579"/>
      <c r="AO22" s="347"/>
      <c r="AP22" s="581">
        <f t="shared" si="10"/>
        <v>29353.25151</v>
      </c>
      <c r="AQ22" s="583">
        <v>45671.875</v>
      </c>
      <c r="AR22" s="583">
        <v>45672.333333333336</v>
      </c>
      <c r="AS22" s="346">
        <v>6782.0</v>
      </c>
      <c r="AT22" s="346" t="s">
        <v>2800</v>
      </c>
      <c r="AU22" s="346">
        <v>977.74</v>
      </c>
      <c r="AV22" s="346">
        <v>1000.0</v>
      </c>
      <c r="AW22" s="346">
        <v>260.0</v>
      </c>
      <c r="AX22" s="584">
        <f t="shared" si="11"/>
        <v>6544.26</v>
      </c>
      <c r="AY22" s="581">
        <f t="shared" si="12"/>
        <v>7782</v>
      </c>
      <c r="AZ22" s="581">
        <f t="shared" si="43"/>
        <v>3529.860021</v>
      </c>
      <c r="BA22" s="583">
        <v>45671.666666666664</v>
      </c>
      <c r="BB22" s="583">
        <v>45671.875</v>
      </c>
      <c r="BC22" s="346">
        <v>185.0</v>
      </c>
      <c r="BD22" s="581">
        <f t="shared" si="36"/>
        <v>2360.6</v>
      </c>
      <c r="BE22" s="581">
        <f t="shared" si="37"/>
        <v>1070.751422</v>
      </c>
      <c r="BF22" s="345">
        <v>4.33</v>
      </c>
      <c r="BG22" s="345">
        <v>66840.0</v>
      </c>
      <c r="BH22" s="345">
        <v>33980.0</v>
      </c>
      <c r="BI22" s="607" t="s">
        <v>2873</v>
      </c>
      <c r="BJ22" s="586">
        <f t="shared" si="14"/>
        <v>32860</v>
      </c>
      <c r="BK22" s="581">
        <f t="shared" si="15"/>
        <v>14905.063</v>
      </c>
      <c r="BL22" s="345">
        <v>74720.0</v>
      </c>
      <c r="BM22" s="345">
        <v>35920.0</v>
      </c>
      <c r="BN22" s="607" t="s">
        <v>2873</v>
      </c>
      <c r="BO22" s="586">
        <f t="shared" si="16"/>
        <v>38800</v>
      </c>
      <c r="BP22" s="584">
        <f t="shared" si="17"/>
        <v>17599.40489</v>
      </c>
      <c r="BQ22" s="347"/>
      <c r="BR22" s="581">
        <f t="shared" si="38"/>
        <v>32504.46789</v>
      </c>
      <c r="BS22" s="588">
        <f t="shared" si="19"/>
        <v>27903.85645</v>
      </c>
      <c r="BT22" s="581">
        <f t="shared" si="20"/>
        <v>1449.39506</v>
      </c>
      <c r="BU22" s="605">
        <v>0.437</v>
      </c>
      <c r="BV22" s="581">
        <f t="shared" si="44"/>
        <v>44711.27931</v>
      </c>
      <c r="BW22" s="590"/>
      <c r="BX22" s="347"/>
      <c r="BY22" s="347"/>
      <c r="BZ22" s="347"/>
      <c r="CA22" s="586">
        <f t="shared" si="22"/>
        <v>6480.6</v>
      </c>
      <c r="CB22" s="581">
        <f t="shared" si="50"/>
        <v>185</v>
      </c>
      <c r="CC22" s="581">
        <f t="shared" si="24"/>
        <v>155.5344</v>
      </c>
      <c r="CD22" s="581">
        <f t="shared" si="25"/>
        <v>8242.653172</v>
      </c>
      <c r="CE22" s="581">
        <f t="shared" si="26"/>
        <v>5691.837344</v>
      </c>
      <c r="CF22" s="581">
        <f t="shared" si="27"/>
        <v>5991.407731</v>
      </c>
      <c r="CG22" s="581">
        <f t="shared" si="28"/>
        <v>852.4226556</v>
      </c>
      <c r="CH22" s="608">
        <f t="shared" si="29"/>
        <v>0.1497623006</v>
      </c>
      <c r="CI22" s="603">
        <f t="shared" si="30"/>
        <v>218238.7591</v>
      </c>
      <c r="CJ22" s="347"/>
      <c r="CK22" s="348">
        <f t="shared" si="47"/>
        <v>3223.13</v>
      </c>
      <c r="CL22" s="539">
        <f t="shared" si="32"/>
        <v>24680.72645</v>
      </c>
      <c r="CM22" s="347">
        <f t="shared" si="33"/>
        <v>5164.528637</v>
      </c>
      <c r="CN22" s="347">
        <f t="shared" si="34"/>
        <v>39546.75068</v>
      </c>
      <c r="CO22" s="347" t="str">
        <f t="shared" si="35"/>
        <v>2025-01-15</v>
      </c>
      <c r="CP22" s="347"/>
    </row>
    <row r="23">
      <c r="A23" s="574">
        <f>A22+1</f>
        <v>300004</v>
      </c>
      <c r="B23" s="574" t="str">
        <f t="shared" si="1"/>
        <v>Batch 300004</v>
      </c>
      <c r="C23" s="345" t="s">
        <v>1930</v>
      </c>
      <c r="D23" s="575" t="str">
        <f t="shared" ref="D23:D80" si="51">CONCATENATE(MID(B23,FIND(" ",B23) + 1,FIND(" ",B23) + 1 - (FIND(" ",B23))),"-",RIGHT(B23,LEN(B23) - 10))</f>
        <v>3-04</v>
      </c>
      <c r="E23" s="345" t="s">
        <v>2779</v>
      </c>
      <c r="F23" s="583">
        <v>45671.041666666664</v>
      </c>
      <c r="G23" s="583">
        <v>45672.5</v>
      </c>
      <c r="H23" s="347"/>
      <c r="I23" s="612">
        <v>45674.395833333336</v>
      </c>
      <c r="J23" s="583">
        <v>45674.645833333336</v>
      </c>
      <c r="K23" s="609" t="s">
        <v>2874</v>
      </c>
      <c r="L23" s="1">
        <v>4065.3</v>
      </c>
      <c r="M23" s="345">
        <v>1.2218</v>
      </c>
      <c r="N23" s="345">
        <v>23.3</v>
      </c>
      <c r="O23" s="579">
        <f t="shared" si="2"/>
        <v>15388.82727</v>
      </c>
      <c r="P23" s="579">
        <f t="shared" si="46"/>
        <v>18802.06916</v>
      </c>
      <c r="Q23" s="575" t="s">
        <v>2875</v>
      </c>
      <c r="R23" s="345">
        <v>800.2</v>
      </c>
      <c r="S23" s="580">
        <v>1.2185</v>
      </c>
      <c r="T23" s="345">
        <v>23.7</v>
      </c>
      <c r="U23" s="579">
        <f t="shared" si="48"/>
        <v>3029.085082</v>
      </c>
      <c r="V23" s="579">
        <f t="shared" si="49"/>
        <v>3690.940172</v>
      </c>
      <c r="W23" s="575" t="s">
        <v>301</v>
      </c>
      <c r="X23" s="345">
        <v>1150.0</v>
      </c>
      <c r="Y23" s="345">
        <v>1.222</v>
      </c>
      <c r="Z23" s="345">
        <v>35.0</v>
      </c>
      <c r="AA23" s="579">
        <f t="shared" si="6"/>
        <v>4353.2215</v>
      </c>
      <c r="AB23" s="584">
        <v>4763.76</v>
      </c>
      <c r="AC23" s="345">
        <v>1850.0</v>
      </c>
      <c r="AD23" s="345">
        <v>2022.0</v>
      </c>
      <c r="AE23" s="345">
        <v>1.2185</v>
      </c>
      <c r="AF23" s="345">
        <v>23.7</v>
      </c>
      <c r="AG23" s="579">
        <f t="shared" si="8"/>
        <v>7654.09902</v>
      </c>
      <c r="AH23" s="579">
        <f t="shared" si="41"/>
        <v>9326.519656</v>
      </c>
      <c r="AI23" s="582"/>
      <c r="AJ23" s="582"/>
      <c r="AK23" s="582"/>
      <c r="AL23" s="582"/>
      <c r="AM23" s="579"/>
      <c r="AN23" s="579"/>
      <c r="AO23" s="347"/>
      <c r="AP23" s="581">
        <f t="shared" si="10"/>
        <v>36583.28899</v>
      </c>
      <c r="AQ23" s="345" t="s">
        <v>2876</v>
      </c>
      <c r="AR23" s="345" t="s">
        <v>2877</v>
      </c>
      <c r="AS23" s="346">
        <v>7852.0</v>
      </c>
      <c r="AT23" s="346" t="s">
        <v>2800</v>
      </c>
      <c r="AU23" s="346">
        <v>0.0</v>
      </c>
      <c r="AV23" s="346">
        <v>0.0</v>
      </c>
      <c r="AW23" s="346">
        <v>0.0</v>
      </c>
      <c r="AX23" s="584">
        <f t="shared" si="11"/>
        <v>7852</v>
      </c>
      <c r="AY23" s="581">
        <f t="shared" si="12"/>
        <v>7852</v>
      </c>
      <c r="AZ23" s="581">
        <f t="shared" si="43"/>
        <v>3561.611525</v>
      </c>
      <c r="BA23" s="583">
        <v>45673.666666666664</v>
      </c>
      <c r="BB23" s="583">
        <v>45674.375</v>
      </c>
      <c r="BC23" s="346">
        <v>224.25</v>
      </c>
      <c r="BD23" s="581">
        <f t="shared" si="36"/>
        <v>2861.43</v>
      </c>
      <c r="BE23" s="581">
        <f t="shared" si="37"/>
        <v>1297.924359</v>
      </c>
      <c r="BF23" s="345">
        <v>4.46</v>
      </c>
      <c r="BG23" s="345">
        <v>81440.0</v>
      </c>
      <c r="BH23" s="345">
        <v>37040.0</v>
      </c>
      <c r="BI23" s="607" t="s">
        <v>2878</v>
      </c>
      <c r="BJ23" s="586">
        <f t="shared" si="14"/>
        <v>44400</v>
      </c>
      <c r="BK23" s="581">
        <f t="shared" si="15"/>
        <v>20139.52518</v>
      </c>
      <c r="BL23" s="345">
        <v>74080.0</v>
      </c>
      <c r="BM23" s="345">
        <v>32500.0</v>
      </c>
      <c r="BN23" s="607" t="s">
        <v>2878</v>
      </c>
      <c r="BO23" s="586">
        <f t="shared" si="16"/>
        <v>41580</v>
      </c>
      <c r="BP23" s="584">
        <f t="shared" si="17"/>
        <v>18860.39317</v>
      </c>
      <c r="BQ23" s="345" t="s">
        <v>1810</v>
      </c>
      <c r="BR23" s="581">
        <f t="shared" si="38"/>
        <v>38999.91835</v>
      </c>
      <c r="BS23" s="588">
        <f t="shared" si="19"/>
        <v>34140.38247</v>
      </c>
      <c r="BT23" s="581">
        <f t="shared" si="20"/>
        <v>2442.906521</v>
      </c>
      <c r="BU23" s="605">
        <v>0.429</v>
      </c>
      <c r="BV23" s="581">
        <f t="shared" si="44"/>
        <v>53702.82162</v>
      </c>
      <c r="BW23" s="590"/>
      <c r="BX23" s="347"/>
      <c r="BY23" s="347"/>
      <c r="BZ23" s="347"/>
      <c r="CA23" s="586">
        <f t="shared" si="22"/>
        <v>8037.5</v>
      </c>
      <c r="CB23" s="581">
        <f t="shared" si="50"/>
        <v>224.25</v>
      </c>
      <c r="CC23" s="581">
        <f t="shared" si="24"/>
        <v>192.9</v>
      </c>
      <c r="CD23" s="581">
        <f t="shared" si="25"/>
        <v>10275.66543</v>
      </c>
      <c r="CE23" s="581">
        <f t="shared" si="26"/>
        <v>7095.702684</v>
      </c>
      <c r="CF23" s="581">
        <f t="shared" si="27"/>
        <v>7469.16072</v>
      </c>
      <c r="CG23" s="581">
        <f t="shared" si="28"/>
        <v>756.2973156</v>
      </c>
      <c r="CH23" s="608">
        <f t="shared" si="29"/>
        <v>0.10658526</v>
      </c>
      <c r="CI23" s="603">
        <f t="shared" si="30"/>
        <v>210043.2358</v>
      </c>
      <c r="CJ23" s="347"/>
      <c r="CK23" s="348">
        <f t="shared" si="47"/>
        <v>4763.76</v>
      </c>
      <c r="CL23" s="539">
        <f t="shared" si="32"/>
        <v>29376.62247</v>
      </c>
      <c r="CM23" s="347">
        <f t="shared" si="33"/>
        <v>7493.39448</v>
      </c>
      <c r="CN23" s="347">
        <f t="shared" si="34"/>
        <v>46209.42714</v>
      </c>
      <c r="CO23" s="347" t="str">
        <f t="shared" si="35"/>
        <v>2025-01-17</v>
      </c>
      <c r="CP23" s="347"/>
    </row>
    <row r="24">
      <c r="A24" s="574">
        <f>200072</f>
        <v>200072</v>
      </c>
      <c r="B24" s="574" t="str">
        <f t="shared" si="1"/>
        <v>Batch 200072</v>
      </c>
      <c r="C24" s="345" t="s">
        <v>1930</v>
      </c>
      <c r="D24" s="575" t="str">
        <f t="shared" si="51"/>
        <v>2-72</v>
      </c>
      <c r="E24" s="345" t="s">
        <v>2779</v>
      </c>
      <c r="F24" s="583">
        <v>45675.0</v>
      </c>
      <c r="G24" s="583">
        <v>45678.416666666664</v>
      </c>
      <c r="H24" s="347"/>
      <c r="I24" s="612">
        <v>45679.645833333336</v>
      </c>
      <c r="J24" s="583">
        <v>45679.770833333336</v>
      </c>
      <c r="K24" s="609" t="s">
        <v>2875</v>
      </c>
      <c r="L24" s="1">
        <v>3392.0</v>
      </c>
      <c r="M24" s="345">
        <v>1.2185</v>
      </c>
      <c r="N24" s="345">
        <v>23.7</v>
      </c>
      <c r="O24" s="579">
        <f t="shared" si="2"/>
        <v>12840.11072</v>
      </c>
      <c r="P24" s="579">
        <f t="shared" si="46"/>
        <v>15645.67491</v>
      </c>
      <c r="Q24" s="575" t="s">
        <v>2879</v>
      </c>
      <c r="R24" s="345">
        <v>4336.7</v>
      </c>
      <c r="S24" s="580">
        <v>1.2225</v>
      </c>
      <c r="T24" s="345">
        <v>22.7</v>
      </c>
      <c r="U24" s="579">
        <f t="shared" si="48"/>
        <v>16416.18755</v>
      </c>
      <c r="V24" s="579">
        <f t="shared" si="49"/>
        <v>20068.78928</v>
      </c>
      <c r="W24" s="575" t="s">
        <v>2880</v>
      </c>
      <c r="X24" s="345">
        <v>282.0</v>
      </c>
      <c r="Y24" s="345">
        <v>1.2186</v>
      </c>
      <c r="Z24" s="345">
        <v>22.7</v>
      </c>
      <c r="AA24" s="579">
        <f t="shared" si="6"/>
        <v>1067.48562</v>
      </c>
      <c r="AB24" s="581">
        <f>X24*$CP$3*Y24</f>
        <v>1300.837977</v>
      </c>
      <c r="AC24" s="347"/>
      <c r="AD24" s="347"/>
      <c r="AE24" s="347"/>
      <c r="AF24" s="347"/>
      <c r="AG24" s="579">
        <f t="shared" si="8"/>
        <v>0</v>
      </c>
      <c r="AH24" s="579">
        <f t="shared" si="41"/>
        <v>0</v>
      </c>
      <c r="AI24" s="582"/>
      <c r="AJ24" s="582"/>
      <c r="AK24" s="582"/>
      <c r="AL24" s="582"/>
      <c r="AM24" s="579"/>
      <c r="AN24" s="579"/>
      <c r="AO24" s="347"/>
      <c r="AP24" s="581">
        <f t="shared" si="10"/>
        <v>37015.30217</v>
      </c>
      <c r="AQ24" s="345" t="s">
        <v>2881</v>
      </c>
      <c r="AR24" s="345" t="s">
        <v>2882</v>
      </c>
      <c r="AS24" s="346">
        <v>7448.0</v>
      </c>
      <c r="AT24" s="346" t="s">
        <v>2800</v>
      </c>
      <c r="AU24" s="346">
        <v>0.0</v>
      </c>
      <c r="AV24" s="346">
        <v>0.0</v>
      </c>
      <c r="AW24" s="346">
        <v>351.0</v>
      </c>
      <c r="AX24" s="584">
        <f t="shared" si="11"/>
        <v>7097</v>
      </c>
      <c r="AY24" s="581">
        <f t="shared" si="12"/>
        <v>7448</v>
      </c>
      <c r="AZ24" s="581">
        <f t="shared" si="43"/>
        <v>3378.359989</v>
      </c>
      <c r="BA24" s="583">
        <v>45678.583333333336</v>
      </c>
      <c r="BB24" s="583">
        <v>45679.333333333336</v>
      </c>
      <c r="BC24" s="346">
        <v>171.0</v>
      </c>
      <c r="BD24" s="581">
        <f t="shared" si="36"/>
        <v>2181.96</v>
      </c>
      <c r="BE24" s="581">
        <f t="shared" si="37"/>
        <v>989.7215847</v>
      </c>
      <c r="BF24" s="345">
        <v>4.6</v>
      </c>
      <c r="BG24" s="345">
        <v>75900.0</v>
      </c>
      <c r="BH24" s="345">
        <v>33560.0</v>
      </c>
      <c r="BI24" s="607" t="s">
        <v>2883</v>
      </c>
      <c r="BJ24" s="586">
        <f t="shared" si="14"/>
        <v>42340</v>
      </c>
      <c r="BK24" s="581">
        <f t="shared" si="15"/>
        <v>19205.12379</v>
      </c>
      <c r="BL24" s="345">
        <v>82760.0</v>
      </c>
      <c r="BM24" s="345">
        <v>35880.0</v>
      </c>
      <c r="BN24" s="607" t="s">
        <v>2883</v>
      </c>
      <c r="BO24" s="586">
        <f t="shared" si="16"/>
        <v>46880</v>
      </c>
      <c r="BP24" s="584">
        <f t="shared" si="17"/>
        <v>21264.43559</v>
      </c>
      <c r="BQ24" s="345" t="s">
        <v>1810</v>
      </c>
      <c r="BR24" s="581">
        <f t="shared" si="38"/>
        <v>40469.55938</v>
      </c>
      <c r="BS24" s="588">
        <f t="shared" si="19"/>
        <v>36101.47781</v>
      </c>
      <c r="BT24" s="581">
        <f t="shared" si="20"/>
        <v>913.8243594</v>
      </c>
      <c r="BU24" s="605">
        <v>0.436</v>
      </c>
      <c r="BV24" s="581">
        <f t="shared" si="44"/>
        <v>57714.22919</v>
      </c>
      <c r="BW24" s="590"/>
      <c r="BX24" s="347"/>
      <c r="BY24" s="347"/>
      <c r="BZ24" s="347"/>
      <c r="CA24" s="586">
        <f t="shared" si="22"/>
        <v>8010.7</v>
      </c>
      <c r="CB24" s="581">
        <f t="shared" si="50"/>
        <v>171</v>
      </c>
      <c r="CC24" s="581">
        <f t="shared" si="24"/>
        <v>192.2568</v>
      </c>
      <c r="CD24" s="581">
        <f t="shared" si="25"/>
        <v>9281.646496</v>
      </c>
      <c r="CE24" s="581">
        <f t="shared" si="26"/>
        <v>6409.2982</v>
      </c>
      <c r="CF24" s="581">
        <f t="shared" si="27"/>
        <v>6746.629684</v>
      </c>
      <c r="CG24" s="581">
        <f t="shared" si="28"/>
        <v>687.7017998</v>
      </c>
      <c r="CH24" s="608">
        <f t="shared" si="29"/>
        <v>0.1072975197</v>
      </c>
      <c r="CI24" s="603">
        <f t="shared" si="30"/>
        <v>210178.4313</v>
      </c>
      <c r="CJ24" s="347"/>
      <c r="CK24" s="347">
        <f t="shared" si="47"/>
        <v>0</v>
      </c>
      <c r="CL24" s="539">
        <f t="shared" si="32"/>
        <v>36101.47781</v>
      </c>
      <c r="CM24" s="347">
        <f t="shared" si="33"/>
        <v>0</v>
      </c>
      <c r="CN24" s="347">
        <f t="shared" si="34"/>
        <v>57714.22919</v>
      </c>
      <c r="CO24" s="347" t="str">
        <f t="shared" si="35"/>
        <v>2025-01-22</v>
      </c>
      <c r="CP24" s="347"/>
    </row>
    <row r="25">
      <c r="A25" s="575" t="s">
        <v>2884</v>
      </c>
      <c r="B25" s="574" t="str">
        <f t="shared" si="1"/>
        <v>Batch 300005</v>
      </c>
      <c r="C25" s="345" t="s">
        <v>1930</v>
      </c>
      <c r="D25" s="575" t="str">
        <f t="shared" si="51"/>
        <v>3-05</v>
      </c>
      <c r="E25" s="345" t="s">
        <v>2779</v>
      </c>
      <c r="F25" s="583">
        <v>45676.729166666664</v>
      </c>
      <c r="G25" s="583">
        <v>45679.541666666664</v>
      </c>
      <c r="H25" s="347"/>
      <c r="I25" s="612">
        <v>45680.395833333336</v>
      </c>
      <c r="J25" s="583">
        <v>45680.666666666664</v>
      </c>
      <c r="K25" s="609" t="s">
        <v>2880</v>
      </c>
      <c r="L25" s="1">
        <v>3275.0</v>
      </c>
      <c r="M25" s="345">
        <v>1.219</v>
      </c>
      <c r="N25" s="345">
        <v>22.9</v>
      </c>
      <c r="O25" s="579">
        <f t="shared" si="2"/>
        <v>12397.21775</v>
      </c>
      <c r="P25" s="579">
        <f t="shared" si="46"/>
        <v>15112.20844</v>
      </c>
      <c r="Q25" s="575" t="s">
        <v>2885</v>
      </c>
      <c r="R25" s="1">
        <v>4274.0</v>
      </c>
      <c r="S25" s="580">
        <v>1.223</v>
      </c>
      <c r="T25" s="345">
        <v>22.7</v>
      </c>
      <c r="U25" s="579">
        <f t="shared" si="48"/>
        <v>16178.84234</v>
      </c>
      <c r="V25" s="579">
        <f t="shared" si="49"/>
        <v>19786.72418</v>
      </c>
      <c r="W25" s="575" t="s">
        <v>301</v>
      </c>
      <c r="X25" s="345">
        <v>660.0</v>
      </c>
      <c r="Y25" s="345">
        <v>1.222</v>
      </c>
      <c r="Z25" s="345">
        <v>35.0</v>
      </c>
      <c r="AA25" s="579">
        <f t="shared" si="6"/>
        <v>2498.3706</v>
      </c>
      <c r="AB25" s="584">
        <v>2669.71</v>
      </c>
      <c r="AG25" s="631"/>
      <c r="AH25" s="631"/>
      <c r="AM25" s="631"/>
      <c r="AN25" s="631"/>
      <c r="AO25" s="347"/>
      <c r="AP25" s="581">
        <f t="shared" si="10"/>
        <v>37568.64262</v>
      </c>
      <c r="AQ25" s="583">
        <v>45679.875</v>
      </c>
      <c r="AR25" s="583">
        <v>45680.333333333336</v>
      </c>
      <c r="AS25" s="346">
        <v>7740.0</v>
      </c>
      <c r="AT25" s="346" t="s">
        <v>2800</v>
      </c>
      <c r="AU25" s="346">
        <v>270.0</v>
      </c>
      <c r="AV25" s="346">
        <v>300.0</v>
      </c>
      <c r="AW25" s="346">
        <v>0.0</v>
      </c>
      <c r="AX25" s="584">
        <f t="shared" si="11"/>
        <v>7770</v>
      </c>
      <c r="AY25" s="581">
        <f t="shared" si="12"/>
        <v>8040</v>
      </c>
      <c r="AZ25" s="581">
        <f t="shared" si="43"/>
        <v>3646.886992</v>
      </c>
      <c r="BA25" s="583">
        <v>45679.708333333336</v>
      </c>
      <c r="BB25" s="583">
        <v>45679.916666666664</v>
      </c>
      <c r="BC25" s="346">
        <v>233.75</v>
      </c>
      <c r="BD25" s="581">
        <f t="shared" si="36"/>
        <v>2982.65</v>
      </c>
      <c r="BE25" s="581">
        <f t="shared" si="37"/>
        <v>1352.908891</v>
      </c>
      <c r="BF25" s="345">
        <v>4.38</v>
      </c>
      <c r="BG25" s="345">
        <v>81300.0</v>
      </c>
      <c r="BH25" s="345">
        <v>35880.0</v>
      </c>
      <c r="BI25" s="607" t="s">
        <v>2886</v>
      </c>
      <c r="BJ25" s="586">
        <f t="shared" si="14"/>
        <v>45420</v>
      </c>
      <c r="BK25" s="581">
        <f t="shared" si="15"/>
        <v>20602.18995</v>
      </c>
      <c r="BL25" s="345">
        <v>77980.0</v>
      </c>
      <c r="BM25" s="345">
        <v>34520.0</v>
      </c>
      <c r="BN25" s="607" t="s">
        <v>2886</v>
      </c>
      <c r="BO25" s="586">
        <f t="shared" si="16"/>
        <v>43460</v>
      </c>
      <c r="BP25" s="584">
        <f t="shared" si="17"/>
        <v>19713.14784</v>
      </c>
      <c r="BQ25" s="345" t="s">
        <v>1810</v>
      </c>
      <c r="BR25" s="581">
        <f t="shared" si="38"/>
        <v>40315.33779</v>
      </c>
      <c r="BS25" s="588">
        <f t="shared" si="19"/>
        <v>35315.54191</v>
      </c>
      <c r="BT25" s="581">
        <f t="shared" si="20"/>
        <v>2253.100712</v>
      </c>
      <c r="BU25" s="605">
        <v>0.435</v>
      </c>
      <c r="BV25" s="581">
        <f t="shared" si="44"/>
        <v>56328.28934</v>
      </c>
      <c r="BW25" s="590"/>
      <c r="BX25" s="347"/>
      <c r="BY25" s="347"/>
      <c r="BZ25" s="347"/>
      <c r="CA25" s="586">
        <f t="shared" si="22"/>
        <v>8209</v>
      </c>
      <c r="CB25" s="581">
        <f t="shared" si="50"/>
        <v>233.75</v>
      </c>
      <c r="CC25" s="581">
        <f t="shared" si="24"/>
        <v>197.016</v>
      </c>
      <c r="CD25" s="581">
        <f t="shared" si="25"/>
        <v>10008.75863</v>
      </c>
      <c r="CE25" s="581">
        <f t="shared" si="26"/>
        <v>6911.394296</v>
      </c>
      <c r="CF25" s="581">
        <f t="shared" si="27"/>
        <v>7275.151891</v>
      </c>
      <c r="CG25" s="581">
        <f t="shared" si="28"/>
        <v>858.6057038</v>
      </c>
      <c r="CH25" s="608">
        <f t="shared" si="29"/>
        <v>0.1242304616</v>
      </c>
      <c r="CI25" s="603">
        <f t="shared" si="30"/>
        <v>213392.508</v>
      </c>
      <c r="CJ25" s="347"/>
      <c r="CK25" s="348">
        <f>IF(ISNUMBER(SEARCH("CH", K25)), P25, 0) +
 IF(ISNUMBER(SEARCH("CH", Q25)), V25, 0) +
 IF(ISNUMBER(SEARCH("CH", #REF!)), #REF!, 0) +
 IF(ISNUMBER(SEARCH("CH", W25)), AB25, 0)
</f>
        <v>2669.71</v>
      </c>
      <c r="CL25" s="539">
        <f t="shared" si="32"/>
        <v>32645.83191</v>
      </c>
      <c r="CM25" s="347">
        <f t="shared" si="33"/>
        <v>4258.18745</v>
      </c>
      <c r="CN25" s="347">
        <f t="shared" si="34"/>
        <v>52070.10189</v>
      </c>
      <c r="CO25" s="347" t="str">
        <f t="shared" si="35"/>
        <v>2025-01-23</v>
      </c>
      <c r="CP25" s="347"/>
    </row>
    <row r="26">
      <c r="A26" s="574">
        <f t="shared" ref="A26:A74" si="52">A24+1</f>
        <v>200073</v>
      </c>
      <c r="B26" s="574" t="str">
        <f t="shared" si="1"/>
        <v>Batch 200073</v>
      </c>
      <c r="C26" s="345" t="s">
        <v>1930</v>
      </c>
      <c r="D26" s="575" t="str">
        <f t="shared" si="51"/>
        <v>2-73</v>
      </c>
      <c r="E26" s="345" t="s">
        <v>2779</v>
      </c>
      <c r="F26" s="583">
        <v>45679.583333333336</v>
      </c>
      <c r="G26" s="583">
        <v>45680.729166666664</v>
      </c>
      <c r="H26" s="347"/>
      <c r="I26" s="612">
        <v>45681.395833333336</v>
      </c>
      <c r="J26" s="583">
        <v>45681.645833333336</v>
      </c>
      <c r="K26" s="609" t="s">
        <v>2887</v>
      </c>
      <c r="L26" s="1">
        <v>4320.2</v>
      </c>
      <c r="M26" s="345">
        <v>1.2194</v>
      </c>
      <c r="N26" s="345">
        <v>23.3</v>
      </c>
      <c r="O26" s="579">
        <f t="shared" si="2"/>
        <v>16353.72828</v>
      </c>
      <c r="P26" s="579">
        <f t="shared" si="46"/>
        <v>19941.73627</v>
      </c>
      <c r="Q26" s="575" t="s">
        <v>2888</v>
      </c>
      <c r="R26" s="345">
        <v>2810.0</v>
      </c>
      <c r="S26" s="580">
        <v>1.2225</v>
      </c>
      <c r="T26" s="345">
        <v>22.7</v>
      </c>
      <c r="U26" s="579">
        <f t="shared" si="48"/>
        <v>10637.0021</v>
      </c>
      <c r="V26" s="579">
        <f t="shared" si="49"/>
        <v>13003.73507</v>
      </c>
      <c r="W26" s="575" t="s">
        <v>2880</v>
      </c>
      <c r="X26" s="345">
        <v>565.0</v>
      </c>
      <c r="Y26" s="345">
        <v>1.219</v>
      </c>
      <c r="Z26" s="345">
        <v>22.9</v>
      </c>
      <c r="AA26" s="579">
        <f t="shared" si="6"/>
        <v>2138.75665</v>
      </c>
      <c r="AB26" s="581">
        <f t="shared" ref="AB26:AB28" si="53">X26*$CP$3*Y26</f>
        <v>2607.144356</v>
      </c>
      <c r="AC26" s="345"/>
      <c r="AD26" s="345"/>
      <c r="AE26" s="345"/>
      <c r="AF26" s="345"/>
      <c r="AG26" s="579">
        <f t="shared" ref="AG26:AG300" si="54">AD26*$CP$3</f>
        <v>0</v>
      </c>
      <c r="AH26" s="579">
        <f>AD26*$CP$3*AE26</f>
        <v>0</v>
      </c>
      <c r="AI26" s="582"/>
      <c r="AJ26" s="582"/>
      <c r="AK26" s="582"/>
      <c r="AL26" s="582"/>
      <c r="AM26" s="579"/>
      <c r="AN26" s="579"/>
      <c r="AO26" s="347"/>
      <c r="AP26" s="581">
        <f t="shared" si="10"/>
        <v>35552.61569</v>
      </c>
      <c r="AQ26" s="583">
        <v>45680.833333333336</v>
      </c>
      <c r="AR26" s="583">
        <v>45681.291666666664</v>
      </c>
      <c r="AS26" s="346">
        <v>7032.0</v>
      </c>
      <c r="AT26" s="346" t="s">
        <v>2800</v>
      </c>
      <c r="AU26" s="346">
        <v>718.0</v>
      </c>
      <c r="AV26" s="346">
        <v>700.0</v>
      </c>
      <c r="AW26" s="346">
        <v>0.0</v>
      </c>
      <c r="AX26" s="584">
        <f t="shared" si="11"/>
        <v>7014</v>
      </c>
      <c r="AY26" s="581">
        <f t="shared" si="12"/>
        <v>7732</v>
      </c>
      <c r="AZ26" s="581">
        <f t="shared" si="43"/>
        <v>3507.180376</v>
      </c>
      <c r="BA26" s="345" t="s">
        <v>2889</v>
      </c>
      <c r="BB26" s="632">
        <v>45681.0</v>
      </c>
      <c r="BC26" s="346">
        <v>178.5</v>
      </c>
      <c r="BD26" s="581">
        <f t="shared" si="36"/>
        <v>2277.66</v>
      </c>
      <c r="BE26" s="581">
        <f t="shared" si="37"/>
        <v>1033.130426</v>
      </c>
      <c r="BF26" s="345">
        <v>4.6</v>
      </c>
      <c r="BG26" s="345">
        <v>79980.0</v>
      </c>
      <c r="BH26" s="345">
        <v>35560.0</v>
      </c>
      <c r="BI26" s="607" t="s">
        <v>2890</v>
      </c>
      <c r="BJ26" s="586">
        <f t="shared" si="14"/>
        <v>44420</v>
      </c>
      <c r="BK26" s="581">
        <f t="shared" si="15"/>
        <v>20148.59704</v>
      </c>
      <c r="BL26" s="345">
        <v>80760.0</v>
      </c>
      <c r="BM26" s="345">
        <v>38120.0</v>
      </c>
      <c r="BN26" s="607" t="s">
        <v>2890</v>
      </c>
      <c r="BO26" s="586">
        <f t="shared" si="16"/>
        <v>42640</v>
      </c>
      <c r="BP26" s="584">
        <f t="shared" si="17"/>
        <v>19341.20166</v>
      </c>
      <c r="BQ26" s="345" t="s">
        <v>1810</v>
      </c>
      <c r="BR26" s="581">
        <f t="shared" si="38"/>
        <v>39489.7987</v>
      </c>
      <c r="BS26" s="588">
        <f t="shared" si="19"/>
        <v>34949.48789</v>
      </c>
      <c r="BT26" s="581">
        <f t="shared" si="20"/>
        <v>603.1277971</v>
      </c>
      <c r="BU26" s="605">
        <v>0.431</v>
      </c>
      <c r="BV26" s="581">
        <f t="shared" si="44"/>
        <v>55231.8407</v>
      </c>
      <c r="BW26" s="590"/>
      <c r="BX26" s="347"/>
      <c r="BY26" s="347"/>
      <c r="BZ26" s="347"/>
      <c r="CA26" s="586">
        <f t="shared" si="22"/>
        <v>7695.2</v>
      </c>
      <c r="CB26" s="581">
        <f t="shared" si="50"/>
        <v>178.5</v>
      </c>
      <c r="CC26" s="581">
        <f t="shared" si="24"/>
        <v>184.6848</v>
      </c>
      <c r="CD26" s="581">
        <f t="shared" si="25"/>
        <v>8949.7227</v>
      </c>
      <c r="CE26" s="581">
        <f t="shared" si="26"/>
        <v>6180.093329</v>
      </c>
      <c r="CF26" s="581">
        <f t="shared" si="27"/>
        <v>6505.361399</v>
      </c>
      <c r="CG26" s="581">
        <f t="shared" si="28"/>
        <v>833.9066705</v>
      </c>
      <c r="CH26" s="608">
        <f t="shared" si="29"/>
        <v>0.1349343167</v>
      </c>
      <c r="CI26" s="603">
        <f t="shared" si="30"/>
        <v>215424.2289</v>
      </c>
      <c r="CJ26" s="347"/>
      <c r="CK26" s="347">
        <f t="shared" ref="CK26:CK66" si="55">IF(ISNUMBER(SEARCH("CH", K26)), P26, 0) +
 IF(ISNUMBER(SEARCH("CH", Q26)), V26, 0) +
 IF(ISNUMBER(SEARCH("CH", W26)), AB26, 0) +
 IF(ISNUMBER(SEARCH("CH", AC26)), AH26, 0)
</f>
        <v>0</v>
      </c>
      <c r="CL26" s="539">
        <f t="shared" si="32"/>
        <v>34949.48789</v>
      </c>
      <c r="CM26" s="347">
        <f t="shared" si="33"/>
        <v>0</v>
      </c>
      <c r="CN26" s="347">
        <f t="shared" si="34"/>
        <v>55231.8407</v>
      </c>
      <c r="CO26" s="347" t="str">
        <f t="shared" si="35"/>
        <v>2025-01-24</v>
      </c>
      <c r="CP26" s="347"/>
    </row>
    <row r="27">
      <c r="A27" s="574">
        <f t="shared" si="52"/>
        <v>300006</v>
      </c>
      <c r="B27" s="574" t="str">
        <f t="shared" si="1"/>
        <v>Batch 300006</v>
      </c>
      <c r="C27" s="345" t="s">
        <v>1930</v>
      </c>
      <c r="D27" s="575" t="str">
        <f t="shared" si="51"/>
        <v>3-06</v>
      </c>
      <c r="E27" s="345" t="s">
        <v>2779</v>
      </c>
      <c r="F27" s="583">
        <v>45682.8125</v>
      </c>
      <c r="G27" s="583">
        <v>45683.145833333336</v>
      </c>
      <c r="H27" s="347"/>
      <c r="I27" s="612">
        <v>45688.416666666664</v>
      </c>
      <c r="J27" s="583">
        <v>45688.645833333336</v>
      </c>
      <c r="K27" s="609" t="s">
        <v>2888</v>
      </c>
      <c r="L27" s="1">
        <v>1626.0</v>
      </c>
      <c r="M27" s="345">
        <v>1.2225</v>
      </c>
      <c r="N27" s="345">
        <v>22.7</v>
      </c>
      <c r="O27" s="579">
        <f t="shared" si="2"/>
        <v>6155.07666</v>
      </c>
      <c r="P27" s="579">
        <f t="shared" si="46"/>
        <v>7524.581217</v>
      </c>
      <c r="Q27" s="575" t="s">
        <v>2891</v>
      </c>
      <c r="R27" s="345">
        <v>4302.3</v>
      </c>
      <c r="S27" s="580">
        <v>1.2194</v>
      </c>
      <c r="T27" s="345">
        <v>23.3</v>
      </c>
      <c r="U27" s="579">
        <f t="shared" si="48"/>
        <v>16285.96944</v>
      </c>
      <c r="V27" s="579">
        <f t="shared" si="49"/>
        <v>19859.11114</v>
      </c>
      <c r="W27" s="575" t="s">
        <v>2892</v>
      </c>
      <c r="X27" s="345">
        <v>1200.7</v>
      </c>
      <c r="Y27" s="345">
        <v>1.2194</v>
      </c>
      <c r="Z27" s="345">
        <v>23.3</v>
      </c>
      <c r="AA27" s="579">
        <f t="shared" si="6"/>
        <v>4545.141787</v>
      </c>
      <c r="AB27" s="581">
        <f t="shared" si="53"/>
        <v>5542.345895</v>
      </c>
      <c r="AC27" s="345" t="s">
        <v>301</v>
      </c>
      <c r="AD27" s="345">
        <v>1000.0</v>
      </c>
      <c r="AE27" s="345">
        <v>1.222</v>
      </c>
      <c r="AF27" s="345">
        <v>30.0</v>
      </c>
      <c r="AG27" s="579">
        <f t="shared" si="54"/>
        <v>3785.41</v>
      </c>
      <c r="AH27" s="630">
        <v>4383.96</v>
      </c>
      <c r="AI27" s="633"/>
      <c r="AJ27" s="633"/>
      <c r="AK27" s="633"/>
      <c r="AL27" s="633"/>
      <c r="AM27" s="630"/>
      <c r="AN27" s="630"/>
      <c r="AO27" s="347"/>
      <c r="AP27" s="581">
        <f t="shared" si="10"/>
        <v>37309.99825</v>
      </c>
      <c r="AQ27" s="345" t="s">
        <v>2893</v>
      </c>
      <c r="AR27" s="345" t="s">
        <v>2894</v>
      </c>
      <c r="AS27" s="346">
        <v>7638.0</v>
      </c>
      <c r="AT27" s="346" t="s">
        <v>2800</v>
      </c>
      <c r="AU27" s="346">
        <v>0.0</v>
      </c>
      <c r="AV27" s="346">
        <v>0.0</v>
      </c>
      <c r="AW27" s="346">
        <v>0.0</v>
      </c>
      <c r="AX27" s="584">
        <f t="shared" si="11"/>
        <v>7638</v>
      </c>
      <c r="AY27" s="581">
        <f t="shared" si="12"/>
        <v>7638</v>
      </c>
      <c r="AZ27" s="581">
        <f t="shared" si="43"/>
        <v>3464.542642</v>
      </c>
      <c r="BA27" s="345" t="s">
        <v>2895</v>
      </c>
      <c r="BB27" s="345" t="s">
        <v>2893</v>
      </c>
      <c r="BC27" s="634">
        <v>221.5</v>
      </c>
      <c r="BD27" s="581">
        <f t="shared" si="36"/>
        <v>2826.34</v>
      </c>
      <c r="BE27" s="581">
        <f t="shared" si="37"/>
        <v>1282.007784</v>
      </c>
      <c r="BF27" s="345">
        <v>4.6</v>
      </c>
      <c r="BG27" s="345">
        <v>85820.0</v>
      </c>
      <c r="BH27" s="345">
        <v>39320.0</v>
      </c>
      <c r="BI27" s="607" t="s">
        <v>2896</v>
      </c>
      <c r="BJ27" s="586">
        <f t="shared" si="14"/>
        <v>46500</v>
      </c>
      <c r="BK27" s="581">
        <f t="shared" si="15"/>
        <v>21092.07029</v>
      </c>
      <c r="BL27" s="345">
        <v>79580.0</v>
      </c>
      <c r="BM27" s="345">
        <v>36200.0</v>
      </c>
      <c r="BN27" s="607" t="s">
        <v>2896</v>
      </c>
      <c r="BO27" s="586">
        <f t="shared" si="16"/>
        <v>43380</v>
      </c>
      <c r="BP27" s="584">
        <f t="shared" si="17"/>
        <v>19676.86041</v>
      </c>
      <c r="BQ27" s="345" t="s">
        <v>2897</v>
      </c>
      <c r="BR27" s="581">
        <f t="shared" si="38"/>
        <v>40768.9307</v>
      </c>
      <c r="BS27" s="588">
        <f t="shared" si="19"/>
        <v>36022.38027</v>
      </c>
      <c r="BT27" s="581">
        <f t="shared" si="20"/>
        <v>1287.617977</v>
      </c>
      <c r="BU27" s="605">
        <v>0.432</v>
      </c>
      <c r="BV27" s="581">
        <f t="shared" si="44"/>
        <v>57059.45035</v>
      </c>
      <c r="BW27" s="347"/>
      <c r="BX27" s="347"/>
      <c r="BY27" s="347"/>
      <c r="BZ27" s="347"/>
      <c r="CA27" s="586">
        <f t="shared" si="22"/>
        <v>8129</v>
      </c>
      <c r="CB27" s="581">
        <f t="shared" si="50"/>
        <v>221.5</v>
      </c>
      <c r="CC27" s="581">
        <f t="shared" si="24"/>
        <v>195.096</v>
      </c>
      <c r="CD27" s="581">
        <f t="shared" si="25"/>
        <v>9950.500605</v>
      </c>
      <c r="CE27" s="581">
        <f t="shared" si="26"/>
        <v>6871.165116</v>
      </c>
      <c r="CF27" s="581">
        <f t="shared" si="27"/>
        <v>7232.805385</v>
      </c>
      <c r="CG27" s="581">
        <f t="shared" si="28"/>
        <v>766.8348844</v>
      </c>
      <c r="CH27" s="608">
        <f t="shared" si="29"/>
        <v>0.1116018712</v>
      </c>
      <c r="CI27" s="603">
        <f t="shared" si="30"/>
        <v>210995.4491</v>
      </c>
      <c r="CJ27" s="347"/>
      <c r="CK27" s="582">
        <f t="shared" si="55"/>
        <v>4383.96</v>
      </c>
      <c r="CL27" s="539">
        <f t="shared" si="32"/>
        <v>31638.42027</v>
      </c>
      <c r="CM27" s="347">
        <f t="shared" si="33"/>
        <v>6944.19264</v>
      </c>
      <c r="CN27" s="347">
        <f t="shared" si="34"/>
        <v>50115.25771</v>
      </c>
      <c r="CO27" s="347" t="str">
        <f t="shared" si="35"/>
        <v>2025-01-31</v>
      </c>
      <c r="CP27" s="347"/>
    </row>
    <row r="28">
      <c r="A28" s="574">
        <f t="shared" si="52"/>
        <v>200074</v>
      </c>
      <c r="B28" s="574" t="str">
        <f t="shared" si="1"/>
        <v>Batch 200074</v>
      </c>
      <c r="C28" s="345" t="s">
        <v>1930</v>
      </c>
      <c r="D28" s="575" t="str">
        <f t="shared" si="51"/>
        <v>2-74</v>
      </c>
      <c r="E28" s="345" t="s">
        <v>2779</v>
      </c>
      <c r="F28" s="583">
        <v>45681.604166666664</v>
      </c>
      <c r="G28" s="345" t="s">
        <v>2898</v>
      </c>
      <c r="H28" s="347"/>
      <c r="I28" s="632">
        <v>45686.0</v>
      </c>
      <c r="J28" s="583">
        <v>45686.645833333336</v>
      </c>
      <c r="K28" s="609" t="s">
        <v>2899</v>
      </c>
      <c r="L28" s="1">
        <v>3451.4</v>
      </c>
      <c r="M28" s="345">
        <v>1.279</v>
      </c>
      <c r="N28" s="345">
        <v>23.5</v>
      </c>
      <c r="O28" s="579">
        <f t="shared" si="2"/>
        <v>13064.96407</v>
      </c>
      <c r="P28" s="579">
        <f t="shared" si="46"/>
        <v>16710.08905</v>
      </c>
      <c r="Q28" s="575" t="s">
        <v>2900</v>
      </c>
      <c r="R28" s="345">
        <v>3545.65</v>
      </c>
      <c r="S28" s="580">
        <v>1.2194</v>
      </c>
      <c r="T28" s="345">
        <v>23.3</v>
      </c>
      <c r="U28" s="579">
        <f t="shared" si="48"/>
        <v>13421.73897</v>
      </c>
      <c r="V28" s="579">
        <f t="shared" si="49"/>
        <v>16366.4685</v>
      </c>
      <c r="W28" s="575" t="s">
        <v>2892</v>
      </c>
      <c r="X28" s="345">
        <v>1105.0</v>
      </c>
      <c r="Y28" s="345">
        <v>1.2194</v>
      </c>
      <c r="Z28" s="345">
        <v>23.3</v>
      </c>
      <c r="AA28" s="579">
        <f t="shared" si="6"/>
        <v>4182.87805</v>
      </c>
      <c r="AB28" s="581">
        <f t="shared" si="53"/>
        <v>5100.601494</v>
      </c>
      <c r="AC28" s="347"/>
      <c r="AD28" s="347"/>
      <c r="AE28" s="347"/>
      <c r="AF28" s="347"/>
      <c r="AG28" s="579">
        <f t="shared" si="54"/>
        <v>0</v>
      </c>
      <c r="AH28" s="579">
        <f t="shared" ref="AH28:AH30" si="56">AD28*$CP$3*AE28</f>
        <v>0</v>
      </c>
      <c r="AI28" s="582"/>
      <c r="AJ28" s="582"/>
      <c r="AK28" s="582"/>
      <c r="AL28" s="582"/>
      <c r="AM28" s="579"/>
      <c r="AN28" s="579"/>
      <c r="AO28" s="347"/>
      <c r="AP28" s="581">
        <f t="shared" si="10"/>
        <v>38177.15904</v>
      </c>
      <c r="AQ28" s="345" t="s">
        <v>2901</v>
      </c>
      <c r="AR28" s="345" t="s">
        <v>2902</v>
      </c>
      <c r="AS28" s="346">
        <v>7600.0</v>
      </c>
      <c r="AT28" s="346" t="s">
        <v>2800</v>
      </c>
      <c r="AU28" s="346">
        <v>0.0</v>
      </c>
      <c r="AV28" s="346">
        <v>0.0</v>
      </c>
      <c r="AW28" s="346">
        <v>0.0</v>
      </c>
      <c r="AX28" s="584">
        <f t="shared" si="11"/>
        <v>7600</v>
      </c>
      <c r="AY28" s="581">
        <f t="shared" si="12"/>
        <v>7600</v>
      </c>
      <c r="AZ28" s="581">
        <f t="shared" si="43"/>
        <v>3447.306112</v>
      </c>
      <c r="BA28" s="345" t="s">
        <v>2903</v>
      </c>
      <c r="BB28" s="612">
        <v>45686.291666666664</v>
      </c>
      <c r="BC28" s="346">
        <v>353.0</v>
      </c>
      <c r="BD28" s="581">
        <f t="shared" si="36"/>
        <v>4504.28</v>
      </c>
      <c r="BE28" s="581">
        <f t="shared" si="37"/>
        <v>2043.10947</v>
      </c>
      <c r="BF28" s="345">
        <v>4.4</v>
      </c>
      <c r="BG28" s="345">
        <v>83320.0</v>
      </c>
      <c r="BH28" s="345">
        <v>35580.0</v>
      </c>
      <c r="BI28" s="607" t="s">
        <v>2904</v>
      </c>
      <c r="BJ28" s="586">
        <f t="shared" si="14"/>
        <v>47740</v>
      </c>
      <c r="BK28" s="581">
        <f t="shared" si="15"/>
        <v>21654.5255</v>
      </c>
      <c r="BL28" s="345">
        <v>79780.0</v>
      </c>
      <c r="BM28" s="345">
        <v>37720.0</v>
      </c>
      <c r="BN28" s="607" t="s">
        <v>2904</v>
      </c>
      <c r="BO28" s="586">
        <f t="shared" si="16"/>
        <v>42060</v>
      </c>
      <c r="BP28" s="584">
        <f t="shared" si="17"/>
        <v>19078.11777</v>
      </c>
      <c r="BQ28" s="345" t="s">
        <v>2905</v>
      </c>
      <c r="BR28" s="581">
        <f t="shared" si="38"/>
        <v>40732.64327</v>
      </c>
      <c r="BS28" s="588">
        <f t="shared" si="19"/>
        <v>35242.22769</v>
      </c>
      <c r="BT28" s="581">
        <f t="shared" si="20"/>
        <v>2934.931355</v>
      </c>
      <c r="BU28" s="605">
        <v>0.44</v>
      </c>
      <c r="BV28" s="581">
        <f t="shared" si="44"/>
        <v>56857.46067</v>
      </c>
      <c r="BW28" s="347"/>
      <c r="BX28" s="347"/>
      <c r="BY28" s="347"/>
      <c r="BZ28" s="347"/>
      <c r="CA28" s="586">
        <f t="shared" si="22"/>
        <v>8102.05</v>
      </c>
      <c r="CB28" s="581">
        <f t="shared" si="50"/>
        <v>353</v>
      </c>
      <c r="CC28" s="581">
        <f t="shared" si="24"/>
        <v>194.4492</v>
      </c>
      <c r="CD28" s="581">
        <f t="shared" si="25"/>
        <v>10420.62106</v>
      </c>
      <c r="CE28" s="581">
        <f t="shared" si="26"/>
        <v>7195.799562</v>
      </c>
      <c r="CF28" s="581">
        <f t="shared" si="27"/>
        <v>7574.525855</v>
      </c>
      <c r="CG28" s="581">
        <f t="shared" si="28"/>
        <v>404.2004377</v>
      </c>
      <c r="CH28" s="608">
        <f t="shared" si="29"/>
        <v>0.05617171993</v>
      </c>
      <c r="CI28" s="603">
        <f t="shared" si="30"/>
        <v>200474.1375</v>
      </c>
      <c r="CJ28" s="347"/>
      <c r="CK28" s="347">
        <f t="shared" si="55"/>
        <v>0</v>
      </c>
      <c r="CL28" s="539">
        <f t="shared" si="32"/>
        <v>35242.22769</v>
      </c>
      <c r="CM28" s="347">
        <f t="shared" si="33"/>
        <v>0</v>
      </c>
      <c r="CN28" s="347">
        <f t="shared" si="34"/>
        <v>56857.46067</v>
      </c>
      <c r="CO28" s="347" t="str">
        <f t="shared" si="35"/>
        <v>2025-01-29</v>
      </c>
      <c r="CP28" s="347"/>
    </row>
    <row r="29">
      <c r="A29" s="574">
        <f t="shared" si="52"/>
        <v>300007</v>
      </c>
      <c r="B29" s="574" t="str">
        <f t="shared" si="1"/>
        <v>Batch 300007</v>
      </c>
      <c r="C29" s="345" t="s">
        <v>1930</v>
      </c>
      <c r="D29" s="575" t="str">
        <f t="shared" si="51"/>
        <v>3-07</v>
      </c>
      <c r="E29" s="345" t="s">
        <v>2779</v>
      </c>
      <c r="F29" s="583">
        <v>45690.833333333336</v>
      </c>
      <c r="G29" s="583">
        <v>45691.916666666664</v>
      </c>
      <c r="H29" s="347"/>
      <c r="I29" s="612">
        <v>45693.479166666664</v>
      </c>
      <c r="J29" s="583">
        <v>45693.645833333336</v>
      </c>
      <c r="K29" s="609" t="s">
        <v>2906</v>
      </c>
      <c r="L29" s="1">
        <v>2731.5</v>
      </c>
      <c r="M29" s="345">
        <v>1.222</v>
      </c>
      <c r="N29" s="345">
        <v>23.4</v>
      </c>
      <c r="O29" s="579">
        <f t="shared" si="2"/>
        <v>10339.84742</v>
      </c>
      <c r="P29" s="579">
        <f t="shared" si="46"/>
        <v>12635.29354</v>
      </c>
      <c r="Q29" s="575" t="s">
        <v>2907</v>
      </c>
      <c r="R29" s="345">
        <v>4275.0</v>
      </c>
      <c r="S29" s="580">
        <v>1.222</v>
      </c>
      <c r="T29" s="345">
        <v>23.4</v>
      </c>
      <c r="U29" s="579">
        <f t="shared" si="48"/>
        <v>16182.62775</v>
      </c>
      <c r="V29" s="579">
        <f t="shared" si="49"/>
        <v>19775.17111</v>
      </c>
      <c r="W29" s="575" t="s">
        <v>301</v>
      </c>
      <c r="X29" s="345">
        <v>1000.0</v>
      </c>
      <c r="Y29" s="345">
        <v>1.223</v>
      </c>
      <c r="Z29" s="345">
        <v>30.0</v>
      </c>
      <c r="AA29" s="579">
        <f t="shared" si="6"/>
        <v>3785.41</v>
      </c>
      <c r="AB29" s="584">
        <v>4310.7</v>
      </c>
      <c r="AC29" s="347"/>
      <c r="AD29" s="347"/>
      <c r="AE29" s="347"/>
      <c r="AF29" s="347"/>
      <c r="AG29" s="579">
        <f t="shared" si="54"/>
        <v>0</v>
      </c>
      <c r="AH29" s="579">
        <f t="shared" si="56"/>
        <v>0</v>
      </c>
      <c r="AI29" s="582"/>
      <c r="AJ29" s="582"/>
      <c r="AK29" s="582"/>
      <c r="AL29" s="582"/>
      <c r="AM29" s="579"/>
      <c r="AN29" s="579"/>
      <c r="AO29" s="347"/>
      <c r="AP29" s="581">
        <f t="shared" si="10"/>
        <v>36721.16465</v>
      </c>
      <c r="AQ29" s="583">
        <v>45692.875</v>
      </c>
      <c r="AR29" s="583">
        <v>45693.354166666664</v>
      </c>
      <c r="AS29" s="346">
        <v>7343.0</v>
      </c>
      <c r="AT29" s="346" t="s">
        <v>2800</v>
      </c>
      <c r="AU29" s="346">
        <v>354.55</v>
      </c>
      <c r="AV29" s="346">
        <v>354.0</v>
      </c>
      <c r="AW29" s="348"/>
      <c r="AX29" s="584">
        <f t="shared" si="11"/>
        <v>7342.45</v>
      </c>
      <c r="AY29" s="581">
        <f t="shared" si="12"/>
        <v>7697</v>
      </c>
      <c r="AZ29" s="581">
        <f t="shared" si="43"/>
        <v>3491.304624</v>
      </c>
      <c r="BA29" s="583">
        <v>45692.604166666664</v>
      </c>
      <c r="BB29" s="583">
        <v>45693.416666666664</v>
      </c>
      <c r="BC29" s="346">
        <v>238.0</v>
      </c>
      <c r="BD29" s="581">
        <f t="shared" si="36"/>
        <v>3036.88</v>
      </c>
      <c r="BE29" s="581">
        <f t="shared" si="37"/>
        <v>1377.507235</v>
      </c>
      <c r="BF29" s="345">
        <v>4.38</v>
      </c>
      <c r="BG29" s="345">
        <v>81900.0</v>
      </c>
      <c r="BH29" s="345">
        <v>38540.0</v>
      </c>
      <c r="BI29" s="607" t="s">
        <v>2908</v>
      </c>
      <c r="BJ29" s="586">
        <f t="shared" si="14"/>
        <v>43360</v>
      </c>
      <c r="BK29" s="581">
        <f t="shared" si="15"/>
        <v>19667.78855</v>
      </c>
      <c r="BL29" s="345">
        <v>84520.0</v>
      </c>
      <c r="BM29" s="345">
        <v>38780.0</v>
      </c>
      <c r="BN29" s="607" t="s">
        <v>2908</v>
      </c>
      <c r="BO29" s="586">
        <f t="shared" si="16"/>
        <v>45740</v>
      </c>
      <c r="BP29" s="584">
        <f t="shared" si="17"/>
        <v>20747.33968</v>
      </c>
      <c r="BQ29" s="345" t="s">
        <v>2909</v>
      </c>
      <c r="BR29" s="581">
        <f t="shared" si="38"/>
        <v>40415.12823</v>
      </c>
      <c r="BS29" s="588">
        <f t="shared" si="19"/>
        <v>35546.31637</v>
      </c>
      <c r="BT29" s="581">
        <f t="shared" si="20"/>
        <v>1174.84828</v>
      </c>
      <c r="BU29" s="605">
        <v>0.4408</v>
      </c>
      <c r="BV29" s="581">
        <f t="shared" si="44"/>
        <v>57452.32627</v>
      </c>
      <c r="BW29" s="347"/>
      <c r="BX29" s="347"/>
      <c r="BY29" s="347"/>
      <c r="BZ29" s="347"/>
      <c r="CA29" s="586">
        <f t="shared" si="22"/>
        <v>8006.5</v>
      </c>
      <c r="CB29" s="581">
        <f t="shared" si="50"/>
        <v>238</v>
      </c>
      <c r="CC29" s="581">
        <f t="shared" si="24"/>
        <v>192.156</v>
      </c>
      <c r="CD29" s="581">
        <f t="shared" si="25"/>
        <v>9978.801301</v>
      </c>
      <c r="CE29" s="581">
        <f t="shared" si="26"/>
        <v>6890.707726</v>
      </c>
      <c r="CF29" s="581">
        <f t="shared" si="27"/>
        <v>7253.376553</v>
      </c>
      <c r="CG29" s="581">
        <f t="shared" si="28"/>
        <v>451.7422744</v>
      </c>
      <c r="CH29" s="608">
        <f t="shared" si="29"/>
        <v>0.06555818246</v>
      </c>
      <c r="CI29" s="603">
        <f t="shared" si="30"/>
        <v>202255.8014</v>
      </c>
      <c r="CJ29" s="347"/>
      <c r="CK29" s="348">
        <f t="shared" si="55"/>
        <v>4310.7</v>
      </c>
      <c r="CL29" s="539">
        <f t="shared" si="32"/>
        <v>31235.61637</v>
      </c>
      <c r="CM29" s="347">
        <f t="shared" si="33"/>
        <v>6967.24072</v>
      </c>
      <c r="CN29" s="347">
        <f t="shared" si="34"/>
        <v>50485.08555</v>
      </c>
      <c r="CO29" s="347" t="str">
        <f t="shared" si="35"/>
        <v>2025-02-05</v>
      </c>
      <c r="CP29" s="347"/>
    </row>
    <row r="30">
      <c r="A30" s="574">
        <f t="shared" si="52"/>
        <v>200075</v>
      </c>
      <c r="B30" s="574" t="str">
        <f t="shared" si="1"/>
        <v>Batch 200075</v>
      </c>
      <c r="C30" s="345" t="s">
        <v>1930</v>
      </c>
      <c r="D30" s="575" t="str">
        <f t="shared" si="51"/>
        <v>2-75</v>
      </c>
      <c r="E30" s="345" t="s">
        <v>2779</v>
      </c>
      <c r="F30" s="583">
        <v>45689.0</v>
      </c>
      <c r="G30" s="583">
        <v>45690.583333333336</v>
      </c>
      <c r="H30" s="347"/>
      <c r="I30" s="632">
        <v>45691.0</v>
      </c>
      <c r="J30" s="583">
        <v>45691.71875</v>
      </c>
      <c r="K30" s="609" t="s">
        <v>2892</v>
      </c>
      <c r="L30" s="1">
        <v>2526.61</v>
      </c>
      <c r="M30" s="345">
        <v>1.2194</v>
      </c>
      <c r="N30" s="345">
        <v>23.3</v>
      </c>
      <c r="O30" s="579">
        <f t="shared" si="2"/>
        <v>9564.25476</v>
      </c>
      <c r="P30" s="579">
        <f t="shared" si="46"/>
        <v>11662.65225</v>
      </c>
      <c r="Q30" s="575" t="s">
        <v>2910</v>
      </c>
      <c r="R30" s="345">
        <v>4418.0</v>
      </c>
      <c r="S30" s="580">
        <v>1.222</v>
      </c>
      <c r="T30" s="345">
        <v>23.2</v>
      </c>
      <c r="U30" s="579">
        <f t="shared" si="48"/>
        <v>16723.94138</v>
      </c>
      <c r="V30" s="579">
        <f t="shared" si="49"/>
        <v>20436.65637</v>
      </c>
      <c r="W30" s="575" t="s">
        <v>2906</v>
      </c>
      <c r="X30" s="345">
        <v>1075.0</v>
      </c>
      <c r="Y30" s="345">
        <v>1.222</v>
      </c>
      <c r="Z30" s="345">
        <v>23.2</v>
      </c>
      <c r="AA30" s="579">
        <f t="shared" si="6"/>
        <v>4069.31575</v>
      </c>
      <c r="AB30" s="581">
        <f t="shared" ref="AB30:AB32" si="57">X30*$CP$3*Y30</f>
        <v>4972.703847</v>
      </c>
      <c r="AC30" s="347"/>
      <c r="AD30" s="347"/>
      <c r="AE30" s="347"/>
      <c r="AF30" s="347"/>
      <c r="AG30" s="579">
        <f t="shared" si="54"/>
        <v>0</v>
      </c>
      <c r="AH30" s="579">
        <f t="shared" si="56"/>
        <v>0</v>
      </c>
      <c r="AI30" s="582"/>
      <c r="AJ30" s="582"/>
      <c r="AK30" s="582"/>
      <c r="AL30" s="582"/>
      <c r="AM30" s="579"/>
      <c r="AN30" s="579"/>
      <c r="AO30" s="347"/>
      <c r="AP30" s="581">
        <f t="shared" si="10"/>
        <v>37072.01247</v>
      </c>
      <c r="AQ30" s="583">
        <v>45690.791666666664</v>
      </c>
      <c r="AR30" s="583">
        <v>45691.291666666664</v>
      </c>
      <c r="AS30" s="346">
        <v>7302.0</v>
      </c>
      <c r="AT30" s="346" t="s">
        <v>2800</v>
      </c>
      <c r="AU30" s="346">
        <v>149.29</v>
      </c>
      <c r="AV30" s="346">
        <v>150.0</v>
      </c>
      <c r="AW30" s="346">
        <v>220.0</v>
      </c>
      <c r="AX30" s="584">
        <f t="shared" si="11"/>
        <v>7082.71</v>
      </c>
      <c r="AY30" s="581">
        <f t="shared" si="12"/>
        <v>7452</v>
      </c>
      <c r="AZ30" s="581">
        <f t="shared" si="43"/>
        <v>3380.174361</v>
      </c>
      <c r="BA30" s="345" t="s">
        <v>2911</v>
      </c>
      <c r="BB30" s="345" t="s">
        <v>2912</v>
      </c>
      <c r="BC30" s="346">
        <v>240.0</v>
      </c>
      <c r="BD30" s="581">
        <f t="shared" si="36"/>
        <v>3062.4</v>
      </c>
      <c r="BE30" s="581">
        <f t="shared" si="37"/>
        <v>1389.082926</v>
      </c>
      <c r="BF30" s="345">
        <v>4.5</v>
      </c>
      <c r="BG30" s="345">
        <v>85360.0</v>
      </c>
      <c r="BH30" s="345">
        <v>39120.0</v>
      </c>
      <c r="BI30" s="607" t="s">
        <v>2913</v>
      </c>
      <c r="BJ30" s="586">
        <f t="shared" si="14"/>
        <v>46240</v>
      </c>
      <c r="BK30" s="581">
        <f t="shared" si="15"/>
        <v>20974.13613</v>
      </c>
      <c r="BL30" s="345">
        <v>81440.0</v>
      </c>
      <c r="BM30" s="345">
        <v>37440.0</v>
      </c>
      <c r="BN30" s="607" t="s">
        <v>2913</v>
      </c>
      <c r="BO30" s="586">
        <f t="shared" si="16"/>
        <v>44000</v>
      </c>
      <c r="BP30" s="584">
        <f t="shared" si="17"/>
        <v>19958.08802</v>
      </c>
      <c r="BQ30" s="345" t="s">
        <v>2824</v>
      </c>
      <c r="BR30" s="581">
        <f t="shared" si="38"/>
        <v>40932.22415</v>
      </c>
      <c r="BS30" s="588">
        <f t="shared" si="19"/>
        <v>36162.96686</v>
      </c>
      <c r="BT30" s="581">
        <f t="shared" si="20"/>
        <v>909.0456068</v>
      </c>
      <c r="BU30" s="605">
        <v>0.44</v>
      </c>
      <c r="BV30" s="581">
        <f t="shared" si="44"/>
        <v>58342.91987</v>
      </c>
      <c r="BW30" s="347"/>
      <c r="BX30" s="347"/>
      <c r="BY30" s="347"/>
      <c r="BZ30" s="347"/>
      <c r="CA30" s="586">
        <f t="shared" si="22"/>
        <v>8019.61</v>
      </c>
      <c r="CB30" s="581">
        <f t="shared" si="50"/>
        <v>240</v>
      </c>
      <c r="CC30" s="581">
        <f t="shared" si="24"/>
        <v>192.47064</v>
      </c>
      <c r="CD30" s="581">
        <f t="shared" si="25"/>
        <v>9626.708008</v>
      </c>
      <c r="CE30" s="581">
        <f t="shared" si="26"/>
        <v>6647.575119</v>
      </c>
      <c r="CF30" s="581">
        <f t="shared" si="27"/>
        <v>6997.447494</v>
      </c>
      <c r="CG30" s="581">
        <f t="shared" si="28"/>
        <v>435.1348808</v>
      </c>
      <c r="CH30" s="608">
        <f t="shared" si="29"/>
        <v>0.0654576854</v>
      </c>
      <c r="CI30" s="603">
        <f t="shared" si="30"/>
        <v>202236.7258</v>
      </c>
      <c r="CJ30" s="347"/>
      <c r="CK30" s="347">
        <f t="shared" si="55"/>
        <v>0</v>
      </c>
      <c r="CL30" s="539">
        <f t="shared" si="32"/>
        <v>36162.96686</v>
      </c>
      <c r="CM30" s="347">
        <f t="shared" si="33"/>
        <v>0</v>
      </c>
      <c r="CN30" s="347">
        <f t="shared" si="34"/>
        <v>58342.91987</v>
      </c>
      <c r="CO30" s="347" t="str">
        <f t="shared" si="35"/>
        <v>2025-02-03</v>
      </c>
      <c r="CP30" s="347"/>
    </row>
    <row r="31">
      <c r="A31" s="574">
        <f t="shared" si="52"/>
        <v>300008</v>
      </c>
      <c r="B31" s="574" t="str">
        <f t="shared" si="1"/>
        <v>Batch 300008</v>
      </c>
      <c r="C31" s="345" t="s">
        <v>1930</v>
      </c>
      <c r="D31" s="575" t="str">
        <f t="shared" si="51"/>
        <v>3-08</v>
      </c>
      <c r="E31" s="345" t="s">
        <v>2779</v>
      </c>
      <c r="F31" s="583">
        <v>45697.135416666664</v>
      </c>
      <c r="G31" s="583">
        <v>45698.416666666664</v>
      </c>
      <c r="H31" s="347"/>
      <c r="I31" s="612">
        <v>45705.416666666664</v>
      </c>
      <c r="J31" s="583">
        <v>45705.75</v>
      </c>
      <c r="K31" s="609" t="s">
        <v>330</v>
      </c>
      <c r="L31" s="1">
        <v>2055.209</v>
      </c>
      <c r="M31" s="345">
        <v>1.21</v>
      </c>
      <c r="N31" s="345">
        <v>24.4</v>
      </c>
      <c r="O31" s="579">
        <f t="shared" si="2"/>
        <v>7779.808701</v>
      </c>
      <c r="P31" s="579">
        <f t="shared" si="46"/>
        <v>9413.568528</v>
      </c>
      <c r="Q31" s="575" t="s">
        <v>327</v>
      </c>
      <c r="R31" s="345">
        <v>4140.0</v>
      </c>
      <c r="S31" s="580">
        <v>1.216</v>
      </c>
      <c r="T31" s="345">
        <v>24.4</v>
      </c>
      <c r="U31" s="579">
        <f t="shared" si="48"/>
        <v>15671.5974</v>
      </c>
      <c r="V31" s="579">
        <f t="shared" si="49"/>
        <v>19056.66244</v>
      </c>
      <c r="W31" s="575" t="s">
        <v>332</v>
      </c>
      <c r="X31" s="345">
        <v>845.87</v>
      </c>
      <c r="Y31" s="345">
        <v>1.21</v>
      </c>
      <c r="Z31" s="345">
        <v>24.4</v>
      </c>
      <c r="AA31" s="579">
        <f t="shared" si="6"/>
        <v>3201.964757</v>
      </c>
      <c r="AB31" s="581">
        <f t="shared" si="57"/>
        <v>3874.377356</v>
      </c>
      <c r="AC31" s="345" t="s">
        <v>301</v>
      </c>
      <c r="AD31" s="345">
        <v>940.0</v>
      </c>
      <c r="AE31" s="345">
        <v>1.222</v>
      </c>
      <c r="AF31" s="345">
        <v>30.0</v>
      </c>
      <c r="AG31" s="579">
        <f t="shared" si="54"/>
        <v>3558.2854</v>
      </c>
      <c r="AH31" s="630">
        <v>3531.649</v>
      </c>
      <c r="AI31" s="633"/>
      <c r="AJ31" s="633"/>
      <c r="AK31" s="633"/>
      <c r="AL31" s="633"/>
      <c r="AM31" s="630"/>
      <c r="AN31" s="630"/>
      <c r="AO31" s="347"/>
      <c r="AP31" s="581">
        <f t="shared" si="10"/>
        <v>35876.25732</v>
      </c>
      <c r="AQ31" s="583">
        <v>45704.59375</v>
      </c>
      <c r="AR31" s="583">
        <v>45704.875</v>
      </c>
      <c r="AS31" s="346">
        <v>7900.0</v>
      </c>
      <c r="AT31" s="346" t="s">
        <v>2800</v>
      </c>
      <c r="AU31" s="346">
        <v>1204.0</v>
      </c>
      <c r="AV31" s="346">
        <v>1200.0</v>
      </c>
      <c r="AW31" s="346">
        <v>290.0</v>
      </c>
      <c r="AX31" s="584">
        <f t="shared" si="11"/>
        <v>7606</v>
      </c>
      <c r="AY31" s="581">
        <f t="shared" si="12"/>
        <v>9100</v>
      </c>
      <c r="AZ31" s="581">
        <f t="shared" si="43"/>
        <v>4127.695476</v>
      </c>
      <c r="BA31" s="583">
        <v>45704.375</v>
      </c>
      <c r="BB31" s="583">
        <v>45704.520833333336</v>
      </c>
      <c r="BC31" s="346">
        <v>270.0</v>
      </c>
      <c r="BD31" s="581">
        <f t="shared" si="36"/>
        <v>3445.2</v>
      </c>
      <c r="BE31" s="581">
        <f t="shared" si="37"/>
        <v>1562.718292</v>
      </c>
      <c r="BF31" s="345">
        <v>4.38</v>
      </c>
      <c r="BG31" s="345">
        <v>77900.0</v>
      </c>
      <c r="BH31" s="345">
        <v>33780.0</v>
      </c>
      <c r="BI31" s="607" t="s">
        <v>2914</v>
      </c>
      <c r="BJ31" s="586">
        <f t="shared" si="14"/>
        <v>44120</v>
      </c>
      <c r="BK31" s="581">
        <f t="shared" si="15"/>
        <v>20012.51916</v>
      </c>
      <c r="BL31" s="345">
        <v>78020.0</v>
      </c>
      <c r="BM31" s="345">
        <v>33520.0</v>
      </c>
      <c r="BN31" s="607" t="s">
        <v>2914</v>
      </c>
      <c r="BO31" s="586">
        <f t="shared" si="16"/>
        <v>44500</v>
      </c>
      <c r="BP31" s="584">
        <f t="shared" si="17"/>
        <v>20184.88447</v>
      </c>
      <c r="BQ31" s="345" t="s">
        <v>1810</v>
      </c>
      <c r="BR31" s="581">
        <f t="shared" si="38"/>
        <v>40197.40363</v>
      </c>
      <c r="BS31" s="588">
        <f t="shared" si="19"/>
        <v>34506.98987</v>
      </c>
      <c r="BT31" s="581">
        <f t="shared" si="20"/>
        <v>1369.267455</v>
      </c>
      <c r="BU31" s="605">
        <v>0.4412</v>
      </c>
      <c r="BV31" s="581">
        <f t="shared" si="44"/>
        <v>55823.10774</v>
      </c>
      <c r="BW31" s="590"/>
      <c r="BX31" s="347"/>
      <c r="BY31" s="347"/>
      <c r="BZ31" s="347"/>
      <c r="CA31" s="586">
        <f t="shared" si="22"/>
        <v>7981.079</v>
      </c>
      <c r="CB31" s="581">
        <f t="shared" si="50"/>
        <v>270</v>
      </c>
      <c r="CC31" s="581">
        <f t="shared" si="24"/>
        <v>191.545896</v>
      </c>
      <c r="CD31" s="581">
        <f t="shared" si="25"/>
        <v>10337.68263</v>
      </c>
      <c r="CE31" s="581">
        <f t="shared" si="26"/>
        <v>7138.527707</v>
      </c>
      <c r="CF31" s="581">
        <f t="shared" si="27"/>
        <v>7514.239691</v>
      </c>
      <c r="CG31" s="581">
        <f t="shared" si="28"/>
        <v>467.4722935</v>
      </c>
      <c r="CH31" s="608">
        <f t="shared" si="29"/>
        <v>0.06548581342</v>
      </c>
      <c r="CI31" s="603">
        <f t="shared" si="30"/>
        <v>202242.0649</v>
      </c>
      <c r="CJ31" s="347"/>
      <c r="CK31" s="582">
        <f t="shared" si="55"/>
        <v>3531.649</v>
      </c>
      <c r="CL31" s="539">
        <f t="shared" si="32"/>
        <v>30975.34087</v>
      </c>
      <c r="CM31" s="347">
        <f t="shared" si="33"/>
        <v>5713.266309</v>
      </c>
      <c r="CN31" s="347">
        <f t="shared" si="34"/>
        <v>50109.84143</v>
      </c>
      <c r="CO31" s="347" t="str">
        <f t="shared" si="35"/>
        <v>2025-02-17</v>
      </c>
      <c r="CP31" s="347"/>
    </row>
    <row r="32">
      <c r="A32" s="574">
        <f t="shared" si="52"/>
        <v>200076</v>
      </c>
      <c r="B32" s="574" t="str">
        <f t="shared" si="1"/>
        <v>Batch 200076</v>
      </c>
      <c r="C32" s="345" t="s">
        <v>1930</v>
      </c>
      <c r="D32" s="575" t="str">
        <f t="shared" si="51"/>
        <v>2-76</v>
      </c>
      <c r="E32" s="345" t="s">
        <v>2779</v>
      </c>
      <c r="F32" s="583">
        <v>45693.083333333336</v>
      </c>
      <c r="G32" s="583">
        <v>45694.177083333336</v>
      </c>
      <c r="H32" s="347"/>
      <c r="I32" s="612">
        <v>45695.416666666664</v>
      </c>
      <c r="J32" s="583">
        <v>45695.666666666664</v>
      </c>
      <c r="K32" s="609" t="s">
        <v>2906</v>
      </c>
      <c r="L32" s="1">
        <v>508.41</v>
      </c>
      <c r="M32" s="345">
        <v>1.214</v>
      </c>
      <c r="N32" s="345">
        <v>23.4</v>
      </c>
      <c r="O32" s="579">
        <f t="shared" si="2"/>
        <v>1924.540298</v>
      </c>
      <c r="P32" s="579">
        <f t="shared" si="46"/>
        <v>2336.391922</v>
      </c>
      <c r="Q32" s="575" t="s">
        <v>2915</v>
      </c>
      <c r="R32" s="345">
        <v>4398.0</v>
      </c>
      <c r="S32" s="580">
        <v>1.214</v>
      </c>
      <c r="T32" s="345">
        <v>23.4</v>
      </c>
      <c r="U32" s="579">
        <f t="shared" si="48"/>
        <v>16648.23318</v>
      </c>
      <c r="V32" s="579">
        <f t="shared" si="49"/>
        <v>20210.95508</v>
      </c>
      <c r="W32" s="575" t="s">
        <v>2916</v>
      </c>
      <c r="X32" s="345">
        <v>3150.0</v>
      </c>
      <c r="Y32" s="345">
        <v>1.214</v>
      </c>
      <c r="Z32" s="345">
        <v>23.4</v>
      </c>
      <c r="AA32" s="579">
        <f t="shared" si="6"/>
        <v>11924.0415</v>
      </c>
      <c r="AB32" s="581">
        <f t="shared" si="57"/>
        <v>14475.78638</v>
      </c>
      <c r="AC32" s="347"/>
      <c r="AD32" s="347"/>
      <c r="AE32" s="347"/>
      <c r="AF32" s="347"/>
      <c r="AG32" s="579">
        <f t="shared" si="54"/>
        <v>0</v>
      </c>
      <c r="AH32" s="579">
        <f t="shared" ref="AH32:AH36" si="58">AD32*$CP$3*AE32</f>
        <v>0</v>
      </c>
      <c r="AI32" s="582"/>
      <c r="AJ32" s="582"/>
      <c r="AK32" s="582"/>
      <c r="AL32" s="582"/>
      <c r="AM32" s="579"/>
      <c r="AN32" s="579"/>
      <c r="AO32" s="347"/>
      <c r="AP32" s="581">
        <f t="shared" si="10"/>
        <v>37023.13338</v>
      </c>
      <c r="AQ32" s="583">
        <v>45694.833333333336</v>
      </c>
      <c r="AR32" s="583">
        <v>45695.375</v>
      </c>
      <c r="AS32" s="346">
        <v>7446.0</v>
      </c>
      <c r="AT32" s="346" t="s">
        <v>2800</v>
      </c>
      <c r="AU32" s="346">
        <v>438.53</v>
      </c>
      <c r="AV32" s="346">
        <v>450.0</v>
      </c>
      <c r="AW32" s="346">
        <v>170.0</v>
      </c>
      <c r="AX32" s="584">
        <f t="shared" si="11"/>
        <v>7287.47</v>
      </c>
      <c r="AY32" s="581">
        <f t="shared" si="12"/>
        <v>7896</v>
      </c>
      <c r="AZ32" s="581">
        <f t="shared" si="43"/>
        <v>3581.569613</v>
      </c>
      <c r="BA32" s="583">
        <v>45694.583333333336</v>
      </c>
      <c r="BB32" s="583">
        <v>45695.395833333336</v>
      </c>
      <c r="BC32" s="346">
        <v>238.0</v>
      </c>
      <c r="BD32" s="581">
        <f t="shared" si="36"/>
        <v>3036.88</v>
      </c>
      <c r="BE32" s="581">
        <f t="shared" si="37"/>
        <v>1377.507235</v>
      </c>
      <c r="BF32" s="345">
        <v>4.46</v>
      </c>
      <c r="BG32" s="345">
        <v>84160.0</v>
      </c>
      <c r="BH32" s="345">
        <v>39120.0</v>
      </c>
      <c r="BI32" s="607" t="s">
        <v>2917</v>
      </c>
      <c r="BJ32" s="586">
        <f t="shared" si="14"/>
        <v>45040</v>
      </c>
      <c r="BK32" s="581">
        <f t="shared" si="15"/>
        <v>20429.82464</v>
      </c>
      <c r="BL32" s="345">
        <v>81280.0</v>
      </c>
      <c r="BM32" s="345">
        <v>40200.0</v>
      </c>
      <c r="BN32" s="607" t="s">
        <v>2917</v>
      </c>
      <c r="BO32" s="586">
        <f t="shared" si="16"/>
        <v>41080</v>
      </c>
      <c r="BP32" s="584">
        <f t="shared" si="17"/>
        <v>18633.59672</v>
      </c>
      <c r="BQ32" s="345" t="s">
        <v>1810</v>
      </c>
      <c r="BR32" s="581">
        <f t="shared" si="38"/>
        <v>39063.42136</v>
      </c>
      <c r="BS32" s="588">
        <f t="shared" si="19"/>
        <v>34104.34451</v>
      </c>
      <c r="BT32" s="581">
        <f t="shared" si="20"/>
        <v>2918.788871</v>
      </c>
      <c r="BU32" s="605">
        <v>0.441</v>
      </c>
      <c r="BV32" s="581">
        <f t="shared" si="44"/>
        <v>55146.72508</v>
      </c>
      <c r="BW32" s="590"/>
      <c r="BX32" s="347"/>
      <c r="BY32" s="347"/>
      <c r="BZ32" s="347"/>
      <c r="CA32" s="586">
        <f t="shared" si="22"/>
        <v>8056.41</v>
      </c>
      <c r="CB32" s="581">
        <f t="shared" si="50"/>
        <v>238</v>
      </c>
      <c r="CC32" s="581">
        <f t="shared" si="24"/>
        <v>193.35384</v>
      </c>
      <c r="CD32" s="581">
        <f t="shared" si="25"/>
        <v>9669.298855</v>
      </c>
      <c r="CE32" s="581">
        <f t="shared" si="26"/>
        <v>6676.985573</v>
      </c>
      <c r="CF32" s="581">
        <f t="shared" si="27"/>
        <v>7028.405866</v>
      </c>
      <c r="CG32" s="581">
        <f t="shared" si="28"/>
        <v>610.484427</v>
      </c>
      <c r="CH32" s="608">
        <f t="shared" si="29"/>
        <v>0.09143114363</v>
      </c>
      <c r="CI32" s="603">
        <f t="shared" si="30"/>
        <v>207166.8016</v>
      </c>
      <c r="CJ32" s="347"/>
      <c r="CK32" s="347">
        <f t="shared" si="55"/>
        <v>0</v>
      </c>
      <c r="CL32" s="539">
        <f t="shared" si="32"/>
        <v>34104.34451</v>
      </c>
      <c r="CM32" s="347">
        <f t="shared" si="33"/>
        <v>0</v>
      </c>
      <c r="CN32" s="347">
        <f t="shared" si="34"/>
        <v>55146.72508</v>
      </c>
      <c r="CO32" s="347" t="str">
        <f t="shared" si="35"/>
        <v>2025-02-07</v>
      </c>
      <c r="CP32" s="347"/>
    </row>
    <row r="33">
      <c r="A33" s="574">
        <f t="shared" si="52"/>
        <v>300009</v>
      </c>
      <c r="B33" s="574" t="str">
        <f t="shared" si="1"/>
        <v>Batch 300009</v>
      </c>
      <c r="C33" s="345" t="s">
        <v>1930</v>
      </c>
      <c r="D33" s="575" t="str">
        <f t="shared" si="51"/>
        <v>3-09</v>
      </c>
      <c r="E33" s="345" t="s">
        <v>2779</v>
      </c>
      <c r="F33" s="583">
        <v>45709.520833333336</v>
      </c>
      <c r="G33" s="583">
        <v>45710.760416666664</v>
      </c>
      <c r="H33" s="347"/>
      <c r="I33" s="612">
        <v>45719.4375</v>
      </c>
      <c r="J33" s="583">
        <v>45719.666666666664</v>
      </c>
      <c r="K33" s="609" t="s">
        <v>338</v>
      </c>
      <c r="L33" s="1">
        <v>4349.0</v>
      </c>
      <c r="M33" s="345">
        <v>1.212</v>
      </c>
      <c r="N33" s="345">
        <v>24.1</v>
      </c>
      <c r="O33" s="579">
        <f t="shared" si="2"/>
        <v>16462.74809</v>
      </c>
      <c r="P33" s="579">
        <f t="shared" si="46"/>
        <v>19952.85069</v>
      </c>
      <c r="Q33" s="575" t="s">
        <v>344</v>
      </c>
      <c r="R33" s="345">
        <v>2696.75</v>
      </c>
      <c r="S33" s="580">
        <v>1.214</v>
      </c>
      <c r="T33" s="345">
        <v>23.2</v>
      </c>
      <c r="U33" s="579">
        <f t="shared" si="48"/>
        <v>10208.30442</v>
      </c>
      <c r="V33" s="579">
        <f t="shared" si="49"/>
        <v>12392.88156</v>
      </c>
      <c r="W33" s="575" t="s">
        <v>278</v>
      </c>
      <c r="X33" s="345">
        <v>898.74</v>
      </c>
      <c r="Y33" s="345">
        <v>1.23</v>
      </c>
      <c r="Z33" s="345">
        <v>30.0</v>
      </c>
      <c r="AA33" s="579">
        <f t="shared" si="6"/>
        <v>3402.099383</v>
      </c>
      <c r="AB33" s="584">
        <v>3804.748565</v>
      </c>
      <c r="AC33" s="347"/>
      <c r="AD33" s="347"/>
      <c r="AE33" s="347"/>
      <c r="AF33" s="347"/>
      <c r="AG33" s="579">
        <f t="shared" si="54"/>
        <v>0</v>
      </c>
      <c r="AH33" s="579">
        <f t="shared" si="58"/>
        <v>0</v>
      </c>
      <c r="AI33" s="582"/>
      <c r="AJ33" s="582"/>
      <c r="AK33" s="582"/>
      <c r="AL33" s="582"/>
      <c r="AM33" s="579"/>
      <c r="AN33" s="579"/>
      <c r="AO33" s="347"/>
      <c r="AP33" s="581">
        <f t="shared" si="10"/>
        <v>36150.48081</v>
      </c>
      <c r="AQ33" s="583">
        <v>45718.5</v>
      </c>
      <c r="AR33" s="583">
        <v>45718.8125</v>
      </c>
      <c r="AS33" s="346">
        <v>7500.0</v>
      </c>
      <c r="AT33" s="346" t="s">
        <v>2800</v>
      </c>
      <c r="AU33" s="346">
        <v>681.0</v>
      </c>
      <c r="AV33" s="346">
        <v>700.0</v>
      </c>
      <c r="AW33" s="348"/>
      <c r="AX33" s="584">
        <f t="shared" si="11"/>
        <v>7519</v>
      </c>
      <c r="AY33" s="581">
        <f t="shared" si="12"/>
        <v>8200</v>
      </c>
      <c r="AZ33" s="581">
        <f t="shared" si="43"/>
        <v>3719.461857</v>
      </c>
      <c r="BA33" s="612">
        <v>45718.375</v>
      </c>
      <c r="BB33" s="612">
        <v>45719.875</v>
      </c>
      <c r="BC33" s="346">
        <v>278.0</v>
      </c>
      <c r="BD33" s="581">
        <f t="shared" si="36"/>
        <v>3547.28</v>
      </c>
      <c r="BE33" s="581">
        <f t="shared" si="37"/>
        <v>1609.021056</v>
      </c>
      <c r="BF33" s="345">
        <v>4.4</v>
      </c>
      <c r="BG33" s="345">
        <v>74900.0</v>
      </c>
      <c r="BH33" s="345">
        <v>31540.0</v>
      </c>
      <c r="BI33" s="607" t="s">
        <v>2918</v>
      </c>
      <c r="BJ33" s="586">
        <f t="shared" si="14"/>
        <v>43360</v>
      </c>
      <c r="BK33" s="581">
        <f t="shared" si="15"/>
        <v>19667.78855</v>
      </c>
      <c r="BL33" s="345">
        <v>77920.0</v>
      </c>
      <c r="BM33" s="345">
        <v>34940.0</v>
      </c>
      <c r="BN33" s="607" t="s">
        <v>2918</v>
      </c>
      <c r="BO33" s="586">
        <f t="shared" si="16"/>
        <v>42980</v>
      </c>
      <c r="BP33" s="584">
        <f t="shared" si="17"/>
        <v>19495.42325</v>
      </c>
      <c r="BQ33" s="345" t="s">
        <v>1810</v>
      </c>
      <c r="BR33" s="581">
        <f t="shared" si="38"/>
        <v>39163.2118</v>
      </c>
      <c r="BS33" s="588">
        <f t="shared" si="19"/>
        <v>33834.72889</v>
      </c>
      <c r="BT33" s="581">
        <f t="shared" si="20"/>
        <v>2315.751925</v>
      </c>
      <c r="BU33" s="605">
        <v>0.4415</v>
      </c>
      <c r="BV33" s="581">
        <f t="shared" si="44"/>
        <v>54772.78695</v>
      </c>
      <c r="BW33" s="590"/>
      <c r="BX33" s="347"/>
      <c r="BY33" s="347"/>
      <c r="BZ33" s="347"/>
      <c r="CA33" s="586">
        <f t="shared" si="22"/>
        <v>7944.49</v>
      </c>
      <c r="CB33" s="581">
        <f t="shared" si="50"/>
        <v>278</v>
      </c>
      <c r="CC33" s="581">
        <f t="shared" si="24"/>
        <v>190.66776</v>
      </c>
      <c r="CD33" s="581">
        <f t="shared" si="25"/>
        <v>10114.10226</v>
      </c>
      <c r="CE33" s="581">
        <f t="shared" si="26"/>
        <v>6984.137724</v>
      </c>
      <c r="CF33" s="581">
        <f t="shared" si="27"/>
        <v>7351.72392</v>
      </c>
      <c r="CG33" s="581">
        <f t="shared" si="28"/>
        <v>534.8622756</v>
      </c>
      <c r="CH33" s="608">
        <f t="shared" si="29"/>
        <v>0.07658243533</v>
      </c>
      <c r="CI33" s="603">
        <f t="shared" si="30"/>
        <v>204348.3376</v>
      </c>
      <c r="CJ33" s="347"/>
      <c r="CK33" s="348">
        <f t="shared" si="55"/>
        <v>3804.748565</v>
      </c>
      <c r="CL33" s="539">
        <f t="shared" si="32"/>
        <v>30029.98032</v>
      </c>
      <c r="CM33" s="347">
        <f t="shared" si="33"/>
        <v>6159.253802</v>
      </c>
      <c r="CN33" s="347">
        <f t="shared" si="34"/>
        <v>48613.53315</v>
      </c>
      <c r="CO33" s="347" t="str">
        <f t="shared" si="35"/>
        <v>2025-03-03</v>
      </c>
      <c r="CP33" s="347"/>
    </row>
    <row r="34">
      <c r="A34" s="574">
        <f t="shared" si="52"/>
        <v>200077</v>
      </c>
      <c r="B34" s="574" t="str">
        <f t="shared" si="1"/>
        <v>Batch 200077</v>
      </c>
      <c r="C34" s="345" t="s">
        <v>1930</v>
      </c>
      <c r="D34" s="575" t="str">
        <f t="shared" si="51"/>
        <v>2-77</v>
      </c>
      <c r="E34" s="345" t="s">
        <v>2779</v>
      </c>
      <c r="F34" s="583">
        <v>45696.677083333336</v>
      </c>
      <c r="G34" s="583">
        <v>45697.760416666664</v>
      </c>
      <c r="H34" s="347"/>
      <c r="I34" s="612">
        <v>45698.395833333336</v>
      </c>
      <c r="J34" s="583">
        <v>45698.6875</v>
      </c>
      <c r="K34" s="609" t="s">
        <v>2916</v>
      </c>
      <c r="L34" s="1">
        <v>1356.92</v>
      </c>
      <c r="M34" s="345">
        <v>1.222</v>
      </c>
      <c r="N34" s="345">
        <v>23.4</v>
      </c>
      <c r="O34" s="579">
        <f t="shared" si="2"/>
        <v>5136.498537</v>
      </c>
      <c r="P34" s="579">
        <f t="shared" si="46"/>
        <v>6276.801212</v>
      </c>
      <c r="Q34" s="575" t="s">
        <v>2919</v>
      </c>
      <c r="R34" s="345">
        <v>4369.0</v>
      </c>
      <c r="S34" s="580">
        <v>1.222</v>
      </c>
      <c r="T34" s="345">
        <v>23.4</v>
      </c>
      <c r="U34" s="579">
        <f t="shared" si="48"/>
        <v>16538.45629</v>
      </c>
      <c r="V34" s="579">
        <f t="shared" si="49"/>
        <v>20209.99359</v>
      </c>
      <c r="W34" s="575" t="s">
        <v>330</v>
      </c>
      <c r="X34" s="345">
        <v>2306.32</v>
      </c>
      <c r="Y34" s="345">
        <v>1.222</v>
      </c>
      <c r="Z34" s="345">
        <v>24.4</v>
      </c>
      <c r="AA34" s="579">
        <f t="shared" si="6"/>
        <v>8730.366791</v>
      </c>
      <c r="AB34" s="581">
        <f>X34*$CP$3*Y34</f>
        <v>10668.50822</v>
      </c>
      <c r="AC34" s="347"/>
      <c r="AD34" s="347"/>
      <c r="AE34" s="347"/>
      <c r="AF34" s="347"/>
      <c r="AG34" s="579">
        <f t="shared" si="54"/>
        <v>0</v>
      </c>
      <c r="AH34" s="579">
        <f t="shared" si="58"/>
        <v>0</v>
      </c>
      <c r="AI34" s="582"/>
      <c r="AJ34" s="582"/>
      <c r="AK34" s="582"/>
      <c r="AL34" s="582"/>
      <c r="AM34" s="579"/>
      <c r="AN34" s="579"/>
      <c r="AO34" s="345" t="s">
        <v>2920</v>
      </c>
      <c r="AP34" s="581">
        <f t="shared" si="10"/>
        <v>37155.30302</v>
      </c>
      <c r="AQ34" s="583">
        <v>45697.875</v>
      </c>
      <c r="AR34" s="583">
        <v>45698.291666666664</v>
      </c>
      <c r="AS34" s="346">
        <v>7400.0</v>
      </c>
      <c r="AT34" s="346" t="s">
        <v>2800</v>
      </c>
      <c r="AU34" s="346">
        <v>158.0</v>
      </c>
      <c r="AV34" s="346">
        <v>200.0</v>
      </c>
      <c r="AW34" s="346">
        <v>160.0</v>
      </c>
      <c r="AX34" s="584">
        <f t="shared" si="11"/>
        <v>7282</v>
      </c>
      <c r="AY34" s="581">
        <f t="shared" si="12"/>
        <v>7600</v>
      </c>
      <c r="AZ34" s="581">
        <f t="shared" si="43"/>
        <v>3447.306112</v>
      </c>
      <c r="BA34" s="583">
        <v>45697.791666666664</v>
      </c>
      <c r="BB34" s="583">
        <v>45698.333333333336</v>
      </c>
      <c r="BC34" s="346">
        <v>298.0</v>
      </c>
      <c r="BD34" s="581">
        <f t="shared" si="36"/>
        <v>3802.48</v>
      </c>
      <c r="BE34" s="581">
        <f t="shared" si="37"/>
        <v>1724.777966</v>
      </c>
      <c r="BF34" s="345">
        <v>4.35</v>
      </c>
      <c r="BG34" s="345">
        <v>84840.0</v>
      </c>
      <c r="BH34" s="345">
        <v>40040.0</v>
      </c>
      <c r="BI34" s="607" t="s">
        <v>2921</v>
      </c>
      <c r="BJ34" s="586">
        <f t="shared" si="14"/>
        <v>44800</v>
      </c>
      <c r="BK34" s="581">
        <f t="shared" si="15"/>
        <v>20320.96234</v>
      </c>
      <c r="BL34" s="345">
        <v>84660.0</v>
      </c>
      <c r="BM34" s="345">
        <v>42340.0</v>
      </c>
      <c r="BN34" s="607" t="s">
        <v>2921</v>
      </c>
      <c r="BO34" s="586">
        <f t="shared" si="16"/>
        <v>42320</v>
      </c>
      <c r="BP34" s="584">
        <f t="shared" si="17"/>
        <v>19196.05193</v>
      </c>
      <c r="BQ34" s="345" t="s">
        <v>2909</v>
      </c>
      <c r="BR34" s="581">
        <f t="shared" si="38"/>
        <v>39517.01427</v>
      </c>
      <c r="BS34" s="588">
        <f t="shared" si="19"/>
        <v>34344.93019</v>
      </c>
      <c r="BT34" s="581">
        <f t="shared" si="20"/>
        <v>2810.372826</v>
      </c>
      <c r="BU34" s="605">
        <v>0.438</v>
      </c>
      <c r="BV34" s="581">
        <f t="shared" si="44"/>
        <v>55157.95789</v>
      </c>
      <c r="BW34" s="590"/>
      <c r="BX34" s="347"/>
      <c r="BY34" s="347"/>
      <c r="BZ34" s="347"/>
      <c r="CA34" s="586">
        <f t="shared" si="22"/>
        <v>8032.24</v>
      </c>
      <c r="CB34" s="581">
        <f t="shared" si="50"/>
        <v>298</v>
      </c>
      <c r="CC34" s="581">
        <f t="shared" si="24"/>
        <v>192.77376</v>
      </c>
      <c r="CD34" s="581">
        <f t="shared" si="25"/>
        <v>10060.49625</v>
      </c>
      <c r="CE34" s="559">
        <f t="shared" si="26"/>
        <v>6947.120914</v>
      </c>
      <c r="CF34" s="559">
        <f t="shared" si="27"/>
        <v>7312.758857</v>
      </c>
      <c r="CG34" s="559">
        <f t="shared" si="28"/>
        <v>334.8790857</v>
      </c>
      <c r="CH34" s="608">
        <f t="shared" si="29"/>
        <v>0.04820400995</v>
      </c>
      <c r="CI34" s="603">
        <f t="shared" si="30"/>
        <v>198961.77</v>
      </c>
      <c r="CJ34" s="347"/>
      <c r="CK34" s="347">
        <f t="shared" si="55"/>
        <v>0</v>
      </c>
      <c r="CL34" s="539">
        <f t="shared" si="32"/>
        <v>34344.93019</v>
      </c>
      <c r="CM34" s="347">
        <f t="shared" si="33"/>
        <v>0</v>
      </c>
      <c r="CN34" s="347">
        <f t="shared" si="34"/>
        <v>55157.95789</v>
      </c>
      <c r="CO34" s="347" t="str">
        <f t="shared" si="35"/>
        <v>2025-02-10</v>
      </c>
      <c r="CP34" s="347"/>
    </row>
    <row r="35">
      <c r="A35" s="574">
        <f t="shared" si="52"/>
        <v>300010</v>
      </c>
      <c r="B35" s="574" t="str">
        <f t="shared" si="1"/>
        <v>Batch 300010</v>
      </c>
      <c r="C35" s="541" t="s">
        <v>1930</v>
      </c>
      <c r="D35" s="575" t="str">
        <f t="shared" si="51"/>
        <v>3-10</v>
      </c>
      <c r="E35" s="541" t="s">
        <v>2779</v>
      </c>
      <c r="F35" s="552">
        <v>45719.666666666664</v>
      </c>
      <c r="G35" s="552">
        <v>45720.75</v>
      </c>
      <c r="H35" s="560"/>
      <c r="I35" s="635">
        <v>45723.4375</v>
      </c>
      <c r="J35" s="583">
        <v>45723.666666666664</v>
      </c>
      <c r="K35" s="609" t="s">
        <v>336</v>
      </c>
      <c r="L35" s="1">
        <v>3079.51</v>
      </c>
      <c r="M35" s="345">
        <v>1.212</v>
      </c>
      <c r="N35" s="345">
        <v>24.1</v>
      </c>
      <c r="O35" s="579">
        <f t="shared" si="2"/>
        <v>11657.20795</v>
      </c>
      <c r="P35" s="579">
        <f t="shared" si="46"/>
        <v>14128.53603</v>
      </c>
      <c r="Q35" s="575" t="s">
        <v>345</v>
      </c>
      <c r="R35" s="345">
        <v>3421.0</v>
      </c>
      <c r="S35" s="580">
        <v>1.215</v>
      </c>
      <c r="T35" s="345">
        <v>23.3</v>
      </c>
      <c r="U35" s="579">
        <f t="shared" si="48"/>
        <v>12949.88761</v>
      </c>
      <c r="V35" s="579">
        <f t="shared" si="49"/>
        <v>15734.11345</v>
      </c>
      <c r="W35" s="575" t="s">
        <v>301</v>
      </c>
      <c r="X35" s="345">
        <v>1002.0</v>
      </c>
      <c r="Y35" s="345">
        <v>1.222</v>
      </c>
      <c r="Z35" s="345">
        <v>30.0</v>
      </c>
      <c r="AA35" s="579">
        <f t="shared" si="6"/>
        <v>3792.98082</v>
      </c>
      <c r="AB35" s="584">
        <v>4656.9</v>
      </c>
      <c r="AC35" s="347"/>
      <c r="AD35" s="347"/>
      <c r="AE35" s="347"/>
      <c r="AF35" s="347"/>
      <c r="AG35" s="579">
        <f t="shared" si="54"/>
        <v>0</v>
      </c>
      <c r="AH35" s="579">
        <f t="shared" si="58"/>
        <v>0</v>
      </c>
      <c r="AI35" s="582"/>
      <c r="AJ35" s="582"/>
      <c r="AK35" s="582"/>
      <c r="AL35" s="582"/>
      <c r="AM35" s="579"/>
      <c r="AN35" s="579"/>
      <c r="AO35" s="347"/>
      <c r="AP35" s="581">
        <f t="shared" si="10"/>
        <v>34519.54948</v>
      </c>
      <c r="AQ35" s="583">
        <v>45722.791666666664</v>
      </c>
      <c r="AR35" s="583">
        <v>45723.291666666664</v>
      </c>
      <c r="AS35" s="346">
        <v>7710.0</v>
      </c>
      <c r="AT35" s="346" t="s">
        <v>2800</v>
      </c>
      <c r="AU35" s="346">
        <v>345.22</v>
      </c>
      <c r="AV35" s="346">
        <v>350.0</v>
      </c>
      <c r="AW35" s="348"/>
      <c r="AX35" s="584">
        <f t="shared" si="11"/>
        <v>7714.78</v>
      </c>
      <c r="AY35" s="581">
        <f t="shared" si="12"/>
        <v>8060</v>
      </c>
      <c r="AZ35" s="581">
        <f t="shared" si="43"/>
        <v>3655.95885</v>
      </c>
      <c r="BA35" s="583">
        <v>45722.583333333336</v>
      </c>
      <c r="BB35" s="583">
        <v>45723.395833333336</v>
      </c>
      <c r="BC35" s="346">
        <v>330.0</v>
      </c>
      <c r="BD35" s="581">
        <f t="shared" si="36"/>
        <v>4210.8</v>
      </c>
      <c r="BE35" s="581">
        <f t="shared" si="37"/>
        <v>1909.989023</v>
      </c>
      <c r="BF35" s="345">
        <v>4.58</v>
      </c>
      <c r="BG35" s="345">
        <v>79280.0</v>
      </c>
      <c r="BH35" s="345">
        <v>34760.0</v>
      </c>
      <c r="BI35" s="607" t="s">
        <v>2922</v>
      </c>
      <c r="BJ35" s="586">
        <f t="shared" si="14"/>
        <v>44520</v>
      </c>
      <c r="BK35" s="581">
        <f t="shared" si="15"/>
        <v>20193.95633</v>
      </c>
      <c r="BL35" s="345">
        <v>76440.0</v>
      </c>
      <c r="BM35" s="345">
        <v>35480.0</v>
      </c>
      <c r="BN35" s="607" t="s">
        <v>2922</v>
      </c>
      <c r="BO35" s="586">
        <f t="shared" si="16"/>
        <v>40960</v>
      </c>
      <c r="BP35" s="584">
        <f t="shared" si="17"/>
        <v>18579.16557</v>
      </c>
      <c r="BQ35" s="345" t="s">
        <v>1810</v>
      </c>
      <c r="BR35" s="581">
        <f t="shared" si="38"/>
        <v>38773.1219</v>
      </c>
      <c r="BS35" s="588">
        <f t="shared" si="19"/>
        <v>33207.17403</v>
      </c>
      <c r="BT35" s="581">
        <f t="shared" si="20"/>
        <v>1312.375455</v>
      </c>
      <c r="BU35" s="605">
        <v>0.4379</v>
      </c>
      <c r="BV35" s="581">
        <f t="shared" si="44"/>
        <v>53318.54552</v>
      </c>
      <c r="BW35" s="590"/>
      <c r="BX35" s="347"/>
      <c r="BY35" s="347"/>
      <c r="BZ35" s="347"/>
      <c r="CA35" s="586">
        <f t="shared" si="22"/>
        <v>7502.51</v>
      </c>
      <c r="CB35" s="581">
        <f t="shared" si="50"/>
        <v>330</v>
      </c>
      <c r="CC35" s="581">
        <f t="shared" si="24"/>
        <v>180.06024</v>
      </c>
      <c r="CD35" s="581">
        <f t="shared" si="25"/>
        <v>9856.247773</v>
      </c>
      <c r="CE35" s="581">
        <f t="shared" si="26"/>
        <v>6806.080273</v>
      </c>
      <c r="CF35" s="581">
        <f t="shared" si="27"/>
        <v>7164.295024</v>
      </c>
      <c r="CG35" s="581">
        <f t="shared" si="28"/>
        <v>908.6997273</v>
      </c>
      <c r="CH35" s="608">
        <f t="shared" si="29"/>
        <v>0.1335129312</v>
      </c>
      <c r="CI35" s="603">
        <f t="shared" si="30"/>
        <v>215154.4327</v>
      </c>
      <c r="CJ35" s="347"/>
      <c r="CK35" s="348">
        <f t="shared" si="55"/>
        <v>4656.9</v>
      </c>
      <c r="CL35" s="539">
        <f t="shared" si="32"/>
        <v>28550.27403</v>
      </c>
      <c r="CM35" s="347">
        <f t="shared" si="33"/>
        <v>7477.27387</v>
      </c>
      <c r="CN35" s="347">
        <f t="shared" si="34"/>
        <v>45841.27165</v>
      </c>
      <c r="CO35" s="347" t="str">
        <f t="shared" si="35"/>
        <v>2025-03-07</v>
      </c>
      <c r="CP35" s="347"/>
    </row>
    <row r="36">
      <c r="A36" s="574">
        <f t="shared" si="52"/>
        <v>200078</v>
      </c>
      <c r="B36" s="574" t="str">
        <f t="shared" si="1"/>
        <v>Batch 200078</v>
      </c>
      <c r="C36" s="345" t="s">
        <v>1930</v>
      </c>
      <c r="D36" s="575" t="str">
        <f t="shared" si="51"/>
        <v>2-78</v>
      </c>
      <c r="E36" s="345" t="s">
        <v>2779</v>
      </c>
      <c r="F36" s="583">
        <v>45701.53125</v>
      </c>
      <c r="G36" s="583">
        <v>45703.5</v>
      </c>
      <c r="H36" s="347"/>
      <c r="I36" s="612">
        <v>45712.916666666664</v>
      </c>
      <c r="J36" s="636">
        <v>45712.604166666664</v>
      </c>
      <c r="K36" s="609" t="s">
        <v>332</v>
      </c>
      <c r="L36" s="1">
        <v>3445.2</v>
      </c>
      <c r="M36" s="345">
        <v>1.21</v>
      </c>
      <c r="N36" s="345">
        <v>22.2</v>
      </c>
      <c r="O36" s="579">
        <f t="shared" si="2"/>
        <v>13041.49453</v>
      </c>
      <c r="P36" s="579">
        <f t="shared" si="46"/>
        <v>15780.20838</v>
      </c>
      <c r="Q36" s="575" t="s">
        <v>334</v>
      </c>
      <c r="R36" s="345">
        <v>4406.0</v>
      </c>
      <c r="S36" s="580">
        <v>1.21</v>
      </c>
      <c r="T36" s="345">
        <v>22.2</v>
      </c>
      <c r="U36" s="579">
        <f t="shared" si="48"/>
        <v>16678.51646</v>
      </c>
      <c r="V36" s="579">
        <f t="shared" si="49"/>
        <v>20181.00492</v>
      </c>
      <c r="W36" s="574"/>
      <c r="X36" s="347"/>
      <c r="Y36" s="347"/>
      <c r="Z36" s="347"/>
      <c r="AA36" s="579">
        <f t="shared" si="6"/>
        <v>0</v>
      </c>
      <c r="AB36" s="581">
        <f t="shared" ref="AB36:AB38" si="59">X36*$CP$3*Y36</f>
        <v>0</v>
      </c>
      <c r="AC36" s="347"/>
      <c r="AD36" s="347"/>
      <c r="AE36" s="347"/>
      <c r="AF36" s="347"/>
      <c r="AG36" s="579">
        <f t="shared" si="54"/>
        <v>0</v>
      </c>
      <c r="AH36" s="579">
        <f t="shared" si="58"/>
        <v>0</v>
      </c>
      <c r="AI36" s="582"/>
      <c r="AJ36" s="582"/>
      <c r="AK36" s="582"/>
      <c r="AL36" s="582"/>
      <c r="AM36" s="579"/>
      <c r="AN36" s="579"/>
      <c r="AO36" s="347"/>
      <c r="AP36" s="581">
        <f t="shared" si="10"/>
        <v>35961.2133</v>
      </c>
      <c r="AQ36" s="637" t="s">
        <v>2923</v>
      </c>
      <c r="AR36" s="637" t="s">
        <v>2924</v>
      </c>
      <c r="AS36" s="346">
        <v>7036.0</v>
      </c>
      <c r="AT36" s="346" t="s">
        <v>2800</v>
      </c>
      <c r="AU36" s="346">
        <v>783.0</v>
      </c>
      <c r="AV36" s="346">
        <v>800.0</v>
      </c>
      <c r="AW36" s="346">
        <v>140.0</v>
      </c>
      <c r="AX36" s="584">
        <f t="shared" si="11"/>
        <v>6913</v>
      </c>
      <c r="AY36" s="581">
        <f t="shared" si="12"/>
        <v>7836</v>
      </c>
      <c r="AZ36" s="581">
        <f t="shared" si="43"/>
        <v>3554.354038</v>
      </c>
      <c r="BA36" s="345" t="s">
        <v>2925</v>
      </c>
      <c r="BB36" s="345" t="s">
        <v>2926</v>
      </c>
      <c r="BC36" s="346">
        <v>250.0</v>
      </c>
      <c r="BD36" s="581">
        <f t="shared" si="36"/>
        <v>3190</v>
      </c>
      <c r="BE36" s="581">
        <f t="shared" si="37"/>
        <v>1446.961381</v>
      </c>
      <c r="BF36" s="345">
        <v>4.38</v>
      </c>
      <c r="BG36" s="345">
        <v>76120.0</v>
      </c>
      <c r="BH36" s="345">
        <v>31340.0</v>
      </c>
      <c r="BI36" s="607" t="s">
        <v>2927</v>
      </c>
      <c r="BJ36" s="586">
        <f t="shared" si="14"/>
        <v>44780</v>
      </c>
      <c r="BK36" s="581">
        <f t="shared" si="15"/>
        <v>20311.89048</v>
      </c>
      <c r="BL36" s="345">
        <v>77200.0</v>
      </c>
      <c r="BM36" s="345">
        <v>34160.0</v>
      </c>
      <c r="BN36" s="607" t="s">
        <v>2927</v>
      </c>
      <c r="BO36" s="586">
        <f t="shared" si="16"/>
        <v>43040</v>
      </c>
      <c r="BP36" s="584">
        <f t="shared" si="17"/>
        <v>19522.63882</v>
      </c>
      <c r="BQ36" s="345" t="s">
        <v>1810</v>
      </c>
      <c r="BR36" s="581">
        <f t="shared" si="38"/>
        <v>39834.52931</v>
      </c>
      <c r="BS36" s="588">
        <f t="shared" si="19"/>
        <v>34833.21389</v>
      </c>
      <c r="BT36" s="581">
        <f t="shared" si="20"/>
        <v>1127.999413</v>
      </c>
      <c r="BU36" s="605">
        <v>0.438</v>
      </c>
      <c r="BV36" s="581">
        <f t="shared" si="44"/>
        <v>55942.1415</v>
      </c>
      <c r="BW36" s="590"/>
      <c r="BX36" s="347"/>
      <c r="BY36" s="347"/>
      <c r="BZ36" s="347"/>
      <c r="CA36" s="586">
        <f t="shared" si="22"/>
        <v>7851.2</v>
      </c>
      <c r="CB36" s="581">
        <f t="shared" si="50"/>
        <v>250</v>
      </c>
      <c r="CC36" s="581">
        <f t="shared" si="24"/>
        <v>188.4288</v>
      </c>
      <c r="CD36" s="581">
        <f t="shared" si="25"/>
        <v>9039.991919</v>
      </c>
      <c r="CE36" s="581">
        <f t="shared" si="26"/>
        <v>6242.42735</v>
      </c>
      <c r="CF36" s="581">
        <f t="shared" si="27"/>
        <v>6570.976158</v>
      </c>
      <c r="CG36" s="581">
        <f t="shared" si="28"/>
        <v>670.5726503</v>
      </c>
      <c r="CH36" s="608">
        <f t="shared" si="29"/>
        <v>0.1074217789</v>
      </c>
      <c r="CI36" s="603">
        <f t="shared" si="30"/>
        <v>210202.0172</v>
      </c>
      <c r="CJ36" s="347"/>
      <c r="CK36" s="347">
        <f t="shared" si="55"/>
        <v>0</v>
      </c>
      <c r="CL36" s="539">
        <f t="shared" si="32"/>
        <v>34833.21389</v>
      </c>
      <c r="CM36" s="347">
        <f t="shared" si="33"/>
        <v>0</v>
      </c>
      <c r="CN36" s="347">
        <f t="shared" si="34"/>
        <v>55942.1415</v>
      </c>
      <c r="CO36" s="347" t="str">
        <f t="shared" si="35"/>
        <v>2025-02-24</v>
      </c>
      <c r="CP36" s="347"/>
    </row>
    <row r="37">
      <c r="A37" s="574">
        <f t="shared" si="52"/>
        <v>300011</v>
      </c>
      <c r="B37" s="574" t="str">
        <f t="shared" si="1"/>
        <v>Batch 300011</v>
      </c>
      <c r="C37" s="345" t="s">
        <v>1930</v>
      </c>
      <c r="D37" s="575" t="str">
        <f t="shared" si="51"/>
        <v>3-11</v>
      </c>
      <c r="E37" s="345" t="s">
        <v>2779</v>
      </c>
      <c r="F37" s="583">
        <v>45724.3125</v>
      </c>
      <c r="G37" s="583">
        <v>45725.395833333336</v>
      </c>
      <c r="H37" s="347"/>
      <c r="I37" s="612">
        <v>45727.458333333336</v>
      </c>
      <c r="J37" s="636">
        <v>45727.6875</v>
      </c>
      <c r="K37" s="609" t="s">
        <v>340</v>
      </c>
      <c r="L37" s="1">
        <v>1301.85</v>
      </c>
      <c r="M37" s="345">
        <v>1.213</v>
      </c>
      <c r="N37" s="345">
        <v>22.3</v>
      </c>
      <c r="O37" s="579">
        <f t="shared" si="2"/>
        <v>4928.036009</v>
      </c>
      <c r="P37" s="579">
        <f t="shared" si="46"/>
        <v>5977.707678</v>
      </c>
      <c r="Q37" s="575" t="s">
        <v>347</v>
      </c>
      <c r="R37" s="345">
        <v>4466.0</v>
      </c>
      <c r="S37" s="580">
        <v>1.1999</v>
      </c>
      <c r="T37" s="345">
        <v>27.1</v>
      </c>
      <c r="U37" s="579">
        <f t="shared" si="48"/>
        <v>16905.64106</v>
      </c>
      <c r="V37" s="579">
        <f t="shared" si="49"/>
        <v>20285.07871</v>
      </c>
      <c r="W37" s="575" t="s">
        <v>350</v>
      </c>
      <c r="X37" s="345">
        <v>1241.0</v>
      </c>
      <c r="Y37" s="345">
        <v>1.201</v>
      </c>
      <c r="Z37" s="345">
        <v>26.5</v>
      </c>
      <c r="AA37" s="579">
        <f t="shared" si="6"/>
        <v>4697.69381</v>
      </c>
      <c r="AB37" s="581">
        <f t="shared" si="59"/>
        <v>5641.930266</v>
      </c>
      <c r="AC37" s="345" t="s">
        <v>301</v>
      </c>
      <c r="AD37" s="345">
        <v>1100.0</v>
      </c>
      <c r="AE37" s="345">
        <v>1.222</v>
      </c>
      <c r="AF37" s="345">
        <v>30.0</v>
      </c>
      <c r="AG37" s="579">
        <f t="shared" si="54"/>
        <v>4163.951</v>
      </c>
      <c r="AH37" s="630">
        <v>4783.8</v>
      </c>
      <c r="AI37" s="633"/>
      <c r="AJ37" s="633"/>
      <c r="AK37" s="633"/>
      <c r="AL37" s="633"/>
      <c r="AM37" s="630"/>
      <c r="AN37" s="630"/>
      <c r="AO37" s="347"/>
      <c r="AP37" s="581">
        <f t="shared" si="10"/>
        <v>36688.51665</v>
      </c>
      <c r="AQ37" s="583">
        <v>45727.833333333336</v>
      </c>
      <c r="AR37" s="583">
        <v>45727.354166666664</v>
      </c>
      <c r="AS37" s="346">
        <v>10360.0</v>
      </c>
      <c r="AT37" s="346" t="s">
        <v>2800</v>
      </c>
      <c r="AU37" s="346">
        <v>1306.0</v>
      </c>
      <c r="AV37" s="346">
        <v>1300.0</v>
      </c>
      <c r="AW37" s="346">
        <v>430.0</v>
      </c>
      <c r="AX37" s="584">
        <f t="shared" si="11"/>
        <v>9924</v>
      </c>
      <c r="AY37" s="581">
        <f t="shared" si="12"/>
        <v>11660</v>
      </c>
      <c r="AZ37" s="581">
        <f t="shared" si="43"/>
        <v>5288.893324</v>
      </c>
      <c r="BA37" s="583">
        <v>45726.75</v>
      </c>
      <c r="BB37" s="583">
        <v>45727.375</v>
      </c>
      <c r="BC37" s="346">
        <v>300.0</v>
      </c>
      <c r="BD37" s="581">
        <f t="shared" si="36"/>
        <v>3828</v>
      </c>
      <c r="BE37" s="581">
        <f t="shared" si="37"/>
        <v>1736.353657</v>
      </c>
      <c r="BF37" s="345">
        <v>4.6</v>
      </c>
      <c r="BG37" s="345">
        <v>79740.0</v>
      </c>
      <c r="BH37" s="345">
        <v>36340.0</v>
      </c>
      <c r="BI37" s="607" t="s">
        <v>2928</v>
      </c>
      <c r="BJ37" s="586">
        <f t="shared" si="14"/>
        <v>43400</v>
      </c>
      <c r="BK37" s="581">
        <f t="shared" si="15"/>
        <v>19685.93227</v>
      </c>
      <c r="BL37" s="345">
        <v>84540.0</v>
      </c>
      <c r="BM37" s="345">
        <v>36360.0</v>
      </c>
      <c r="BN37" s="607" t="s">
        <v>2928</v>
      </c>
      <c r="BO37" s="586">
        <f t="shared" si="16"/>
        <v>48180</v>
      </c>
      <c r="BP37" s="584">
        <f t="shared" si="17"/>
        <v>21854.10638</v>
      </c>
      <c r="BQ37" s="345"/>
      <c r="BR37" s="581">
        <f t="shared" si="38"/>
        <v>41540.03865</v>
      </c>
      <c r="BS37" s="588">
        <f t="shared" si="19"/>
        <v>34514.79166</v>
      </c>
      <c r="BT37" s="581">
        <f t="shared" si="20"/>
        <v>2173.724987</v>
      </c>
      <c r="BU37" s="605">
        <v>0.466</v>
      </c>
      <c r="BV37" s="581">
        <f t="shared" si="44"/>
        <v>58974.27402</v>
      </c>
      <c r="BW37" s="590"/>
      <c r="BX37" s="347"/>
      <c r="BY37" s="347"/>
      <c r="BZ37" s="347"/>
      <c r="CA37" s="586">
        <f t="shared" si="22"/>
        <v>8108.85</v>
      </c>
      <c r="CB37" s="581">
        <f>if(BC37, BC37, 0.0375*CA37)</f>
        <v>300</v>
      </c>
      <c r="CC37" s="581">
        <f>(X37+R37+L37+AD37)*0.0375</f>
        <v>304.081875</v>
      </c>
      <c r="CD37" s="581">
        <f t="shared" si="25"/>
        <v>11119.82418</v>
      </c>
      <c r="CE37" s="581">
        <f t="shared" si="26"/>
        <v>7678.623521</v>
      </c>
      <c r="CF37" s="581">
        <f t="shared" si="27"/>
        <v>8082.761601</v>
      </c>
      <c r="CG37" s="581">
        <f t="shared" si="28"/>
        <v>2245.376479</v>
      </c>
      <c r="CH37" s="608">
        <f t="shared" si="29"/>
        <v>0.2924191391</v>
      </c>
      <c r="CI37" s="603">
        <f t="shared" si="30"/>
        <v>245316.7486</v>
      </c>
      <c r="CJ37" s="347"/>
      <c r="CK37" s="582">
        <f t="shared" si="55"/>
        <v>4783.8</v>
      </c>
      <c r="CL37" s="539">
        <f t="shared" si="32"/>
        <v>29730.99166</v>
      </c>
      <c r="CM37" s="347">
        <f t="shared" si="33"/>
        <v>8173.9196</v>
      </c>
      <c r="CN37" s="347">
        <f t="shared" si="34"/>
        <v>50800.35442</v>
      </c>
      <c r="CO37" s="347" t="str">
        <f t="shared" si="35"/>
        <v>2025-03-11</v>
      </c>
      <c r="CP37" s="347"/>
    </row>
    <row r="38">
      <c r="A38" s="574">
        <f t="shared" si="52"/>
        <v>200079</v>
      </c>
      <c r="B38" s="574" t="str">
        <f t="shared" si="1"/>
        <v>Batch 200079</v>
      </c>
      <c r="C38" s="345" t="s">
        <v>1930</v>
      </c>
      <c r="D38" s="575" t="str">
        <f t="shared" si="51"/>
        <v>2-79</v>
      </c>
      <c r="E38" s="345" t="s">
        <v>2779</v>
      </c>
      <c r="F38" s="583">
        <v>45716.791666666664</v>
      </c>
      <c r="G38" s="583">
        <v>45717.875</v>
      </c>
      <c r="H38" s="347"/>
      <c r="I38" s="612">
        <v>45721.4375</v>
      </c>
      <c r="J38" s="636">
        <v>45721.666666666664</v>
      </c>
      <c r="K38" s="609" t="s">
        <v>344</v>
      </c>
      <c r="L38" s="1">
        <v>1700.6</v>
      </c>
      <c r="M38" s="345">
        <v>1.214</v>
      </c>
      <c r="N38" s="345">
        <v>23.2</v>
      </c>
      <c r="O38" s="579">
        <f t="shared" si="2"/>
        <v>6437.468246</v>
      </c>
      <c r="P38" s="579">
        <f t="shared" si="46"/>
        <v>7815.086451</v>
      </c>
      <c r="Q38" s="575" t="s">
        <v>342</v>
      </c>
      <c r="R38" s="345">
        <v>4506.0</v>
      </c>
      <c r="S38" s="580">
        <v>1.214</v>
      </c>
      <c r="T38" s="345">
        <v>23.2</v>
      </c>
      <c r="U38" s="579">
        <f t="shared" si="48"/>
        <v>17057.05746</v>
      </c>
      <c r="V38" s="579">
        <f t="shared" si="49"/>
        <v>20707.26776</v>
      </c>
      <c r="W38" s="575" t="s">
        <v>336</v>
      </c>
      <c r="X38" s="345">
        <v>1315.1</v>
      </c>
      <c r="Y38" s="345">
        <v>1.212</v>
      </c>
      <c r="Z38" s="345">
        <v>23.2</v>
      </c>
      <c r="AA38" s="579">
        <f t="shared" si="6"/>
        <v>4978.192691</v>
      </c>
      <c r="AB38" s="581">
        <f t="shared" si="59"/>
        <v>6033.569541</v>
      </c>
      <c r="AC38" s="347"/>
      <c r="AD38" s="347"/>
      <c r="AE38" s="347"/>
      <c r="AF38" s="347"/>
      <c r="AG38" s="579">
        <f t="shared" si="54"/>
        <v>0</v>
      </c>
      <c r="AH38" s="579">
        <f t="shared" ref="AH38:AH40" si="60">AD38*$CP$3*AE38</f>
        <v>0</v>
      </c>
      <c r="AI38" s="582"/>
      <c r="AJ38" s="582"/>
      <c r="AK38" s="582"/>
      <c r="AL38" s="582"/>
      <c r="AM38" s="579"/>
      <c r="AN38" s="579"/>
      <c r="AO38" s="345" t="s">
        <v>2929</v>
      </c>
      <c r="AP38" s="581">
        <f t="shared" si="10"/>
        <v>34555.92375</v>
      </c>
      <c r="AQ38" s="583">
        <v>45720.791666666664</v>
      </c>
      <c r="AR38" s="583">
        <v>45721.291666666664</v>
      </c>
      <c r="AS38" s="346">
        <v>7128.0</v>
      </c>
      <c r="AT38" s="346" t="s">
        <v>2800</v>
      </c>
      <c r="AU38" s="346">
        <v>383.0</v>
      </c>
      <c r="AV38" s="346">
        <v>400.0</v>
      </c>
      <c r="AW38" s="348"/>
      <c r="AX38" s="584">
        <f t="shared" si="11"/>
        <v>7145</v>
      </c>
      <c r="AY38" s="581">
        <f t="shared" si="12"/>
        <v>7528</v>
      </c>
      <c r="AZ38" s="581">
        <f t="shared" si="43"/>
        <v>3414.647422</v>
      </c>
      <c r="BA38" s="583">
        <v>45720.583333333336</v>
      </c>
      <c r="BB38" s="583">
        <v>45721.395833333336</v>
      </c>
      <c r="BC38" s="346">
        <v>307.0</v>
      </c>
      <c r="BD38" s="581">
        <f t="shared" si="36"/>
        <v>3917.32</v>
      </c>
      <c r="BE38" s="581">
        <f t="shared" si="37"/>
        <v>1776.868576</v>
      </c>
      <c r="BF38" s="345">
        <v>4.65</v>
      </c>
      <c r="BG38" s="345">
        <v>75720.0</v>
      </c>
      <c r="BH38" s="345">
        <v>33940.0</v>
      </c>
      <c r="BI38" s="607" t="s">
        <v>2930</v>
      </c>
      <c r="BJ38" s="586">
        <f t="shared" si="14"/>
        <v>41780</v>
      </c>
      <c r="BK38" s="581">
        <f t="shared" si="15"/>
        <v>18951.11176</v>
      </c>
      <c r="BL38" s="345">
        <v>76400.0</v>
      </c>
      <c r="BM38" s="345">
        <v>33860.0</v>
      </c>
      <c r="BN38" s="607" t="s">
        <v>2930</v>
      </c>
      <c r="BO38" s="586">
        <f t="shared" si="16"/>
        <v>42540</v>
      </c>
      <c r="BP38" s="584">
        <f t="shared" si="17"/>
        <v>19295.84237</v>
      </c>
      <c r="BQ38" s="345" t="s">
        <v>1810</v>
      </c>
      <c r="BR38" s="581">
        <f t="shared" si="38"/>
        <v>38246.95412</v>
      </c>
      <c r="BS38" s="588">
        <f t="shared" si="19"/>
        <v>33055.43813</v>
      </c>
      <c r="BT38" s="581">
        <f t="shared" si="20"/>
        <v>1500.485623</v>
      </c>
      <c r="BU38" s="605">
        <v>0.436</v>
      </c>
      <c r="BV38" s="581">
        <f t="shared" si="44"/>
        <v>52844.62708</v>
      </c>
      <c r="BW38" s="590"/>
      <c r="BX38" s="347"/>
      <c r="BY38" s="347"/>
      <c r="BZ38" s="347"/>
      <c r="CA38" s="586">
        <f t="shared" si="22"/>
        <v>7521.7</v>
      </c>
      <c r="CB38" s="581">
        <f>if(BC38, BC38, 0.026*CA38)</f>
        <v>307</v>
      </c>
      <c r="CC38" s="581">
        <f>(X38+R38+L38+AD38)*0.024</f>
        <v>180.5208</v>
      </c>
      <c r="CD38" s="581">
        <f t="shared" si="25"/>
        <v>9314.482261</v>
      </c>
      <c r="CE38" s="581">
        <f t="shared" si="26"/>
        <v>6431.972433</v>
      </c>
      <c r="CF38" s="581">
        <f t="shared" si="27"/>
        <v>6770.497298</v>
      </c>
      <c r="CG38" s="581">
        <f t="shared" si="28"/>
        <v>713.0275673</v>
      </c>
      <c r="CH38" s="608">
        <f t="shared" si="29"/>
        <v>0.1108567511</v>
      </c>
      <c r="CI38" s="603">
        <f t="shared" si="30"/>
        <v>210854.0164</v>
      </c>
      <c r="CJ38" s="347"/>
      <c r="CK38" s="347">
        <f t="shared" si="55"/>
        <v>0</v>
      </c>
      <c r="CL38" s="539">
        <f t="shared" si="32"/>
        <v>33055.43813</v>
      </c>
      <c r="CM38" s="347">
        <f t="shared" si="33"/>
        <v>0</v>
      </c>
      <c r="CN38" s="347">
        <f t="shared" si="34"/>
        <v>52844.62708</v>
      </c>
      <c r="CO38" s="347" t="str">
        <f t="shared" si="35"/>
        <v>2025-03-05</v>
      </c>
      <c r="CP38" s="347"/>
    </row>
    <row r="39">
      <c r="A39" s="574">
        <f t="shared" si="52"/>
        <v>300012</v>
      </c>
      <c r="B39" s="574" t="str">
        <f t="shared" si="1"/>
        <v>Batch 300012</v>
      </c>
      <c r="C39" s="345" t="s">
        <v>1930</v>
      </c>
      <c r="D39" s="575" t="str">
        <f t="shared" si="51"/>
        <v>3-12</v>
      </c>
      <c r="E39" s="345" t="s">
        <v>2779</v>
      </c>
      <c r="F39" s="583">
        <v>45726.625</v>
      </c>
      <c r="G39" s="583">
        <v>45727.708333333336</v>
      </c>
      <c r="H39" s="347"/>
      <c r="I39" s="612">
        <v>45729.416666666664</v>
      </c>
      <c r="J39" s="636">
        <v>45729.666666666664</v>
      </c>
      <c r="K39" s="609" t="s">
        <v>350</v>
      </c>
      <c r="L39" s="1">
        <v>4376.0</v>
      </c>
      <c r="M39" s="345">
        <v>1.201</v>
      </c>
      <c r="N39" s="345">
        <v>26.5</v>
      </c>
      <c r="O39" s="579">
        <f t="shared" si="2"/>
        <v>16564.95416</v>
      </c>
      <c r="P39" s="579">
        <f t="shared" si="46"/>
        <v>19894.50995</v>
      </c>
      <c r="Q39" s="575" t="s">
        <v>353</v>
      </c>
      <c r="R39" s="345">
        <v>2624.0</v>
      </c>
      <c r="S39" s="580">
        <v>1.201</v>
      </c>
      <c r="T39" s="345">
        <v>26.5</v>
      </c>
      <c r="U39" s="579">
        <f t="shared" si="48"/>
        <v>9932.91584</v>
      </c>
      <c r="V39" s="579">
        <f t="shared" si="49"/>
        <v>11929.43192</v>
      </c>
      <c r="W39" s="575" t="s">
        <v>278</v>
      </c>
      <c r="X39" s="345">
        <v>1052.336</v>
      </c>
      <c r="Y39" s="345">
        <v>1.22</v>
      </c>
      <c r="Z39" s="345">
        <v>25.65</v>
      </c>
      <c r="AA39" s="579">
        <f t="shared" si="6"/>
        <v>3983.523218</v>
      </c>
      <c r="AB39" s="584">
        <v>4905.757</v>
      </c>
      <c r="AC39" s="347"/>
      <c r="AD39" s="347"/>
      <c r="AE39" s="347"/>
      <c r="AF39" s="347"/>
      <c r="AG39" s="579">
        <f t="shared" si="54"/>
        <v>0</v>
      </c>
      <c r="AH39" s="579">
        <f t="shared" si="60"/>
        <v>0</v>
      </c>
      <c r="AI39" s="582"/>
      <c r="AJ39" s="582"/>
      <c r="AK39" s="582"/>
      <c r="AL39" s="582"/>
      <c r="AM39" s="579"/>
      <c r="AN39" s="579"/>
      <c r="AO39" s="347"/>
      <c r="AP39" s="581">
        <f t="shared" si="10"/>
        <v>36729.69887</v>
      </c>
      <c r="AQ39" s="345" t="s">
        <v>2931</v>
      </c>
      <c r="AR39" s="345" t="s">
        <v>2932</v>
      </c>
      <c r="AS39" s="346">
        <v>8578.0</v>
      </c>
      <c r="AT39" s="346" t="s">
        <v>2800</v>
      </c>
      <c r="AU39" s="346">
        <v>391.0</v>
      </c>
      <c r="AV39" s="346">
        <v>400.0</v>
      </c>
      <c r="AW39" s="348"/>
      <c r="AX39" s="584">
        <f t="shared" si="11"/>
        <v>8587</v>
      </c>
      <c r="AY39" s="581">
        <f t="shared" si="12"/>
        <v>8978</v>
      </c>
      <c r="AZ39" s="581">
        <f t="shared" si="43"/>
        <v>4072.357141</v>
      </c>
      <c r="BA39" s="583">
        <v>45728.583333333336</v>
      </c>
      <c r="BB39" s="583">
        <v>45728.6875</v>
      </c>
      <c r="BC39" s="346">
        <v>328.0</v>
      </c>
      <c r="BD39" s="581">
        <f t="shared" si="36"/>
        <v>4185.28</v>
      </c>
      <c r="BE39" s="581">
        <f t="shared" si="37"/>
        <v>1898.413332</v>
      </c>
      <c r="BF39" s="345">
        <v>4.25</v>
      </c>
      <c r="BG39" s="345">
        <v>81040.0</v>
      </c>
      <c r="BH39" s="345">
        <v>35040.0</v>
      </c>
      <c r="BI39" s="607" t="s">
        <v>2933</v>
      </c>
      <c r="BJ39" s="586">
        <f t="shared" si="14"/>
        <v>46000</v>
      </c>
      <c r="BK39" s="581">
        <f t="shared" si="15"/>
        <v>20865.27383</v>
      </c>
      <c r="BL39" s="345">
        <v>78220.0</v>
      </c>
      <c r="BM39" s="345">
        <v>32780.0</v>
      </c>
      <c r="BN39" s="607" t="s">
        <v>2933</v>
      </c>
      <c r="BO39" s="586">
        <f t="shared" si="16"/>
        <v>45440</v>
      </c>
      <c r="BP39" s="584">
        <f t="shared" si="17"/>
        <v>20611.2618</v>
      </c>
      <c r="BQ39" s="345" t="s">
        <v>1810</v>
      </c>
      <c r="BR39" s="581">
        <f t="shared" si="38"/>
        <v>41476.53564</v>
      </c>
      <c r="BS39" s="588">
        <f t="shared" si="19"/>
        <v>35505.76517</v>
      </c>
      <c r="BT39" s="581">
        <f t="shared" si="20"/>
        <v>1223.933704</v>
      </c>
      <c r="BU39" s="605">
        <v>0.4</v>
      </c>
      <c r="BV39" s="581">
        <f t="shared" si="44"/>
        <v>52075.12224</v>
      </c>
      <c r="BW39" s="590"/>
      <c r="BX39" s="347"/>
      <c r="BY39" s="347"/>
      <c r="BZ39" s="347"/>
      <c r="CA39" s="586">
        <f t="shared" si="22"/>
        <v>8052.336</v>
      </c>
      <c r="CB39" s="581">
        <f t="shared" ref="CB39:CB75" si="61">if(BC39, BC39, 0.0375*CA39)</f>
        <v>328</v>
      </c>
      <c r="CC39" s="581">
        <f t="shared" ref="CC39:CC75" si="62">(X39+R39+L39+AD39)*0.0375</f>
        <v>301.9626</v>
      </c>
      <c r="CD39" s="581">
        <f t="shared" si="25"/>
        <v>11066.17108</v>
      </c>
      <c r="CE39" s="581">
        <f t="shared" si="26"/>
        <v>7641.574201</v>
      </c>
      <c r="CF39" s="581">
        <f t="shared" si="27"/>
        <v>8043.762317</v>
      </c>
      <c r="CG39" s="581">
        <f t="shared" si="28"/>
        <v>945.425799</v>
      </c>
      <c r="CH39" s="608">
        <f t="shared" si="29"/>
        <v>0.1237213399</v>
      </c>
      <c r="CI39" s="603">
        <f t="shared" si="30"/>
        <v>213295.8705</v>
      </c>
      <c r="CJ39" s="347"/>
      <c r="CK39" s="348">
        <f t="shared" si="55"/>
        <v>4905.757</v>
      </c>
      <c r="CL39" s="539">
        <f t="shared" si="32"/>
        <v>30600.00817</v>
      </c>
      <c r="CM39" s="347">
        <f t="shared" si="33"/>
        <v>7195.110267</v>
      </c>
      <c r="CN39" s="347">
        <f t="shared" si="34"/>
        <v>44880.01198</v>
      </c>
      <c r="CO39" s="347" t="str">
        <f t="shared" si="35"/>
        <v>2025-03-13</v>
      </c>
      <c r="CP39" s="347"/>
    </row>
    <row r="40">
      <c r="A40" s="574">
        <f t="shared" si="52"/>
        <v>200080</v>
      </c>
      <c r="B40" s="574" t="str">
        <f t="shared" si="1"/>
        <v>Batch 200080</v>
      </c>
      <c r="C40" s="345" t="s">
        <v>1930</v>
      </c>
      <c r="D40" s="575" t="str">
        <f t="shared" si="51"/>
        <v>2-80</v>
      </c>
      <c r="E40" s="345" t="s">
        <v>2779</v>
      </c>
      <c r="F40" s="583">
        <v>45721.708333333336</v>
      </c>
      <c r="G40" s="583">
        <v>45722.791666666664</v>
      </c>
      <c r="H40" s="347"/>
      <c r="I40" s="612">
        <v>45726.4375</v>
      </c>
      <c r="J40" s="583">
        <v>45726.666666666664</v>
      </c>
      <c r="K40" s="609" t="s">
        <v>345</v>
      </c>
      <c r="L40" s="1">
        <v>577.13</v>
      </c>
      <c r="M40" s="345">
        <v>1.215</v>
      </c>
      <c r="N40" s="345">
        <v>23.3</v>
      </c>
      <c r="O40" s="579">
        <f t="shared" si="2"/>
        <v>2184.673673</v>
      </c>
      <c r="P40" s="579">
        <f t="shared" si="46"/>
        <v>2654.378513</v>
      </c>
      <c r="Q40" s="575" t="s">
        <v>356</v>
      </c>
      <c r="R40" s="345">
        <v>4462.0</v>
      </c>
      <c r="S40" s="580">
        <v>1.212</v>
      </c>
      <c r="T40" s="345">
        <v>25.1</v>
      </c>
      <c r="U40" s="579">
        <f t="shared" si="48"/>
        <v>16890.49942</v>
      </c>
      <c r="V40" s="579">
        <f t="shared" si="49"/>
        <v>20471.2853</v>
      </c>
      <c r="W40" s="575" t="s">
        <v>340</v>
      </c>
      <c r="X40" s="345">
        <v>3006.82</v>
      </c>
      <c r="Y40" s="345">
        <v>1.213</v>
      </c>
      <c r="Z40" s="345">
        <v>22.3</v>
      </c>
      <c r="AA40" s="579">
        <f t="shared" si="6"/>
        <v>11382.0465</v>
      </c>
      <c r="AB40" s="581">
        <f t="shared" ref="AB40:AB44" si="63">X40*$CP$3*Y40</f>
        <v>13806.4224</v>
      </c>
      <c r="AC40" s="347"/>
      <c r="AD40" s="347"/>
      <c r="AE40" s="347"/>
      <c r="AF40" s="347"/>
      <c r="AG40" s="579">
        <f t="shared" si="54"/>
        <v>0</v>
      </c>
      <c r="AH40" s="579">
        <f t="shared" si="60"/>
        <v>0</v>
      </c>
      <c r="AI40" s="582"/>
      <c r="AJ40" s="582"/>
      <c r="AK40" s="582"/>
      <c r="AL40" s="582"/>
      <c r="AM40" s="579"/>
      <c r="AN40" s="579"/>
      <c r="AO40" s="347"/>
      <c r="AP40" s="581">
        <f t="shared" si="10"/>
        <v>36932.08621</v>
      </c>
      <c r="AQ40" s="345" t="s">
        <v>2934</v>
      </c>
      <c r="AR40" s="345" t="s">
        <v>2935</v>
      </c>
      <c r="AS40" s="346">
        <v>7749.0</v>
      </c>
      <c r="AT40" s="346" t="s">
        <v>2800</v>
      </c>
      <c r="AU40" s="346">
        <v>326.0</v>
      </c>
      <c r="AV40" s="346">
        <v>350.0</v>
      </c>
      <c r="AW40" s="348"/>
      <c r="AX40" s="584">
        <f t="shared" si="11"/>
        <v>7773</v>
      </c>
      <c r="AY40" s="581">
        <f t="shared" si="12"/>
        <v>8099</v>
      </c>
      <c r="AZ40" s="581">
        <f t="shared" si="43"/>
        <v>3673.648974</v>
      </c>
      <c r="BA40" s="583">
        <v>45725.5625</v>
      </c>
      <c r="BB40" s="345" t="s">
        <v>2936</v>
      </c>
      <c r="BC40" s="346">
        <v>302.0</v>
      </c>
      <c r="BD40" s="581">
        <f t="shared" si="36"/>
        <v>3853.52</v>
      </c>
      <c r="BE40" s="581">
        <f t="shared" si="37"/>
        <v>1747.929348</v>
      </c>
      <c r="BF40" s="345">
        <v>4.48</v>
      </c>
      <c r="BG40" s="345">
        <v>78180.0</v>
      </c>
      <c r="BH40" s="345">
        <v>34760.0</v>
      </c>
      <c r="BI40" s="607" t="s">
        <v>2937</v>
      </c>
      <c r="BJ40" s="586">
        <f t="shared" si="14"/>
        <v>43420</v>
      </c>
      <c r="BK40" s="581">
        <f t="shared" si="15"/>
        <v>19695.00413</v>
      </c>
      <c r="BL40" s="345">
        <v>80820.0</v>
      </c>
      <c r="BM40" s="345">
        <v>35180.0</v>
      </c>
      <c r="BN40" s="607" t="s">
        <v>2937</v>
      </c>
      <c r="BO40" s="586">
        <f t="shared" si="16"/>
        <v>45640</v>
      </c>
      <c r="BP40" s="584">
        <f t="shared" si="17"/>
        <v>20701.98039</v>
      </c>
      <c r="BQ40" s="345" t="s">
        <v>1810</v>
      </c>
      <c r="BR40" s="581">
        <f t="shared" si="38"/>
        <v>40396.98451</v>
      </c>
      <c r="BS40" s="588">
        <f t="shared" si="19"/>
        <v>34975.40619</v>
      </c>
      <c r="BT40" s="581">
        <f t="shared" si="20"/>
        <v>1956.680018</v>
      </c>
      <c r="BU40" s="605">
        <v>0.424</v>
      </c>
      <c r="BV40" s="581">
        <f t="shared" si="44"/>
        <v>54375.09816</v>
      </c>
      <c r="BW40" s="590"/>
      <c r="BX40" s="347"/>
      <c r="BY40" s="347"/>
      <c r="BZ40" s="347"/>
      <c r="CA40" s="586">
        <f t="shared" si="22"/>
        <v>8045.95</v>
      </c>
      <c r="CB40" s="581">
        <f t="shared" si="61"/>
        <v>302</v>
      </c>
      <c r="CC40" s="581">
        <f t="shared" si="62"/>
        <v>301.723125</v>
      </c>
      <c r="CD40" s="581">
        <f t="shared" si="25"/>
        <v>10111.9709</v>
      </c>
      <c r="CE40" s="581">
        <f t="shared" si="26"/>
        <v>6982.665943</v>
      </c>
      <c r="CF40" s="581">
        <f t="shared" si="27"/>
        <v>7350.174677</v>
      </c>
      <c r="CG40" s="581">
        <f t="shared" si="28"/>
        <v>790.3340573</v>
      </c>
      <c r="CH40" s="608">
        <f t="shared" si="29"/>
        <v>0.113185145</v>
      </c>
      <c r="CI40" s="603">
        <f t="shared" si="30"/>
        <v>211295.9736</v>
      </c>
      <c r="CJ40" s="347"/>
      <c r="CK40" s="347">
        <f t="shared" si="55"/>
        <v>0</v>
      </c>
      <c r="CL40" s="539">
        <f t="shared" si="32"/>
        <v>34975.40619</v>
      </c>
      <c r="CM40" s="347">
        <f t="shared" si="33"/>
        <v>0</v>
      </c>
      <c r="CN40" s="347">
        <f t="shared" si="34"/>
        <v>54375.09816</v>
      </c>
      <c r="CO40" s="347" t="str">
        <f t="shared" si="35"/>
        <v>2025-03-10</v>
      </c>
      <c r="CP40" s="347"/>
    </row>
    <row r="41">
      <c r="A41" s="574">
        <f t="shared" si="52"/>
        <v>300013</v>
      </c>
      <c r="B41" s="574" t="str">
        <f t="shared" si="1"/>
        <v>Batch 300013</v>
      </c>
      <c r="C41" s="345" t="s">
        <v>1930</v>
      </c>
      <c r="D41" s="575" t="str">
        <f t="shared" si="51"/>
        <v>3-13</v>
      </c>
      <c r="E41" s="345" t="s">
        <v>2779</v>
      </c>
      <c r="F41" s="583">
        <v>45731.65625</v>
      </c>
      <c r="G41" s="583">
        <v>45732.75</v>
      </c>
      <c r="H41" s="347"/>
      <c r="I41" s="612">
        <v>45734.4375</v>
      </c>
      <c r="J41" s="583">
        <v>45734.666666666664</v>
      </c>
      <c r="K41" s="609" t="s">
        <v>353</v>
      </c>
      <c r="L41" s="1">
        <v>771.0</v>
      </c>
      <c r="M41" s="345">
        <v>1.201</v>
      </c>
      <c r="N41" s="345">
        <v>26.5</v>
      </c>
      <c r="O41" s="579">
        <f t="shared" si="2"/>
        <v>2918.55111</v>
      </c>
      <c r="P41" s="579">
        <f t="shared" si="46"/>
        <v>3505.179883</v>
      </c>
      <c r="Q41" s="575" t="s">
        <v>366</v>
      </c>
      <c r="R41" s="345">
        <v>4465.0</v>
      </c>
      <c r="S41" s="580">
        <v>1.208</v>
      </c>
      <c r="T41" s="345">
        <v>24.7</v>
      </c>
      <c r="U41" s="579">
        <f t="shared" si="48"/>
        <v>16901.85565</v>
      </c>
      <c r="V41" s="579">
        <f t="shared" si="49"/>
        <v>20417.44163</v>
      </c>
      <c r="W41" s="575" t="s">
        <v>364</v>
      </c>
      <c r="X41" s="345">
        <v>1740.0</v>
      </c>
      <c r="Y41" s="345">
        <v>1.208</v>
      </c>
      <c r="Z41" s="345">
        <v>24.7</v>
      </c>
      <c r="AA41" s="579">
        <f t="shared" si="6"/>
        <v>6586.6134</v>
      </c>
      <c r="AB41" s="581">
        <f t="shared" si="63"/>
        <v>7956.628987</v>
      </c>
      <c r="AC41" s="345" t="s">
        <v>301</v>
      </c>
      <c r="AD41" s="345">
        <v>1067.22</v>
      </c>
      <c r="AE41" s="345">
        <v>1.22</v>
      </c>
      <c r="AF41" s="345">
        <v>15.3</v>
      </c>
      <c r="AG41" s="579">
        <f t="shared" si="54"/>
        <v>4039.86526</v>
      </c>
      <c r="AH41" s="630">
        <v>4873.407</v>
      </c>
      <c r="AI41" s="633"/>
      <c r="AJ41" s="633"/>
      <c r="AK41" s="633"/>
      <c r="AL41" s="633"/>
      <c r="AM41" s="630"/>
      <c r="AN41" s="630"/>
      <c r="AO41" s="347"/>
      <c r="AP41" s="581">
        <f t="shared" si="10"/>
        <v>36752.6575</v>
      </c>
      <c r="AQ41" s="345" t="s">
        <v>2938</v>
      </c>
      <c r="AR41" s="345" t="s">
        <v>2939</v>
      </c>
      <c r="AS41" s="346">
        <v>7678.0</v>
      </c>
      <c r="AT41" s="346" t="s">
        <v>2800</v>
      </c>
      <c r="AU41" s="346">
        <v>74.0</v>
      </c>
      <c r="AV41" s="346">
        <v>100.0</v>
      </c>
      <c r="AW41" s="348"/>
      <c r="AX41" s="584">
        <f t="shared" si="11"/>
        <v>7704</v>
      </c>
      <c r="AY41" s="581">
        <f t="shared" si="12"/>
        <v>7778</v>
      </c>
      <c r="AZ41" s="581">
        <f t="shared" si="43"/>
        <v>3528.04565</v>
      </c>
      <c r="BA41" s="583">
        <v>45733.708333333336</v>
      </c>
      <c r="BB41" s="583">
        <v>45733.875</v>
      </c>
      <c r="BC41" s="346">
        <v>297.0</v>
      </c>
      <c r="BD41" s="581">
        <f t="shared" si="36"/>
        <v>3789.72</v>
      </c>
      <c r="BE41" s="581">
        <f t="shared" si="37"/>
        <v>1718.990121</v>
      </c>
      <c r="BF41" s="345">
        <v>4.32</v>
      </c>
      <c r="BG41" s="345">
        <v>81720.0</v>
      </c>
      <c r="BH41" s="345">
        <v>35980.0</v>
      </c>
      <c r="BI41" s="607" t="s">
        <v>2940</v>
      </c>
      <c r="BJ41" s="586">
        <f t="shared" si="14"/>
        <v>45740</v>
      </c>
      <c r="BK41" s="581">
        <f t="shared" si="15"/>
        <v>20747.33968</v>
      </c>
      <c r="BL41" s="345">
        <v>78340.0</v>
      </c>
      <c r="BM41" s="345">
        <v>34820.0</v>
      </c>
      <c r="BN41" s="607" t="s">
        <v>2940</v>
      </c>
      <c r="BO41" s="586">
        <f t="shared" si="16"/>
        <v>43520</v>
      </c>
      <c r="BP41" s="584">
        <f t="shared" si="17"/>
        <v>19740.36342</v>
      </c>
      <c r="BQ41" s="345" t="s">
        <v>1810</v>
      </c>
      <c r="BR41" s="581">
        <f t="shared" si="38"/>
        <v>40487.7031</v>
      </c>
      <c r="BS41" s="588">
        <f t="shared" si="19"/>
        <v>35240.66733</v>
      </c>
      <c r="BT41" s="581">
        <f t="shared" si="20"/>
        <v>1511.99017</v>
      </c>
      <c r="BU41" s="605">
        <v>0.521</v>
      </c>
      <c r="BV41" s="581">
        <f t="shared" si="44"/>
        <v>67321.42148</v>
      </c>
      <c r="BW41" s="590"/>
      <c r="BX41" s="347"/>
      <c r="BY41" s="347"/>
      <c r="BZ41" s="347"/>
      <c r="CA41" s="586">
        <f t="shared" si="22"/>
        <v>8043.22</v>
      </c>
      <c r="CB41" s="581">
        <f t="shared" si="61"/>
        <v>297</v>
      </c>
      <c r="CC41" s="581">
        <f t="shared" si="62"/>
        <v>301.62075</v>
      </c>
      <c r="CD41" s="581">
        <f t="shared" si="25"/>
        <v>9946.593208</v>
      </c>
      <c r="CE41" s="581">
        <f t="shared" si="26"/>
        <v>6868.466923</v>
      </c>
      <c r="CF41" s="581">
        <f t="shared" si="27"/>
        <v>7229.965182</v>
      </c>
      <c r="CG41" s="581">
        <f t="shared" si="28"/>
        <v>835.5330769</v>
      </c>
      <c r="CH41" s="608">
        <f t="shared" si="29"/>
        <v>0.1216476815</v>
      </c>
      <c r="CI41" s="603">
        <f t="shared" si="30"/>
        <v>212902.2652</v>
      </c>
      <c r="CJ41" s="347"/>
      <c r="CK41" s="582">
        <f t="shared" si="55"/>
        <v>4873.407</v>
      </c>
      <c r="CL41" s="539">
        <f t="shared" si="32"/>
        <v>30367.26033</v>
      </c>
      <c r="CM41" s="347">
        <f t="shared" si="33"/>
        <v>9309.831839</v>
      </c>
      <c r="CN41" s="347">
        <f t="shared" si="34"/>
        <v>58011.58964</v>
      </c>
      <c r="CO41" s="347" t="str">
        <f t="shared" si="35"/>
        <v>2025-03-18</v>
      </c>
      <c r="CP41" s="347"/>
    </row>
    <row r="42">
      <c r="A42" s="574">
        <f t="shared" si="52"/>
        <v>200081</v>
      </c>
      <c r="B42" s="574" t="str">
        <f t="shared" si="1"/>
        <v>Batch 200081</v>
      </c>
      <c r="C42" s="345" t="s">
        <v>1930</v>
      </c>
      <c r="D42" s="575" t="str">
        <f t="shared" si="51"/>
        <v>2-81</v>
      </c>
      <c r="E42" s="345" t="s">
        <v>2779</v>
      </c>
      <c r="F42" s="583">
        <v>45728.385416666664</v>
      </c>
      <c r="G42" s="583">
        <v>45729.46875</v>
      </c>
      <c r="H42" s="347"/>
      <c r="I42" s="347"/>
      <c r="J42" s="583">
        <v>45730.666666666664</v>
      </c>
      <c r="K42" s="609" t="s">
        <v>353</v>
      </c>
      <c r="L42" s="1"/>
      <c r="M42" s="345"/>
      <c r="N42" s="345"/>
      <c r="O42" s="579">
        <f t="shared" si="2"/>
        <v>0</v>
      </c>
      <c r="P42" s="579">
        <f t="shared" si="46"/>
        <v>0</v>
      </c>
      <c r="Q42" s="575" t="s">
        <v>359</v>
      </c>
      <c r="R42" s="345">
        <v>4374.0</v>
      </c>
      <c r="S42" s="580">
        <v>1.212</v>
      </c>
      <c r="T42" s="345">
        <v>25.1</v>
      </c>
      <c r="U42" s="579">
        <f t="shared" si="48"/>
        <v>16557.38334</v>
      </c>
      <c r="V42" s="579">
        <f t="shared" si="49"/>
        <v>20067.54861</v>
      </c>
      <c r="W42" s="575" t="s">
        <v>361</v>
      </c>
      <c r="X42" s="345">
        <v>3626.0</v>
      </c>
      <c r="Y42" s="345">
        <v>1.212</v>
      </c>
      <c r="Z42" s="345">
        <v>25.1</v>
      </c>
      <c r="AA42" s="579">
        <f t="shared" si="6"/>
        <v>13725.89666</v>
      </c>
      <c r="AB42" s="581">
        <f t="shared" si="63"/>
        <v>16635.78675</v>
      </c>
      <c r="AC42" s="347"/>
      <c r="AD42" s="347"/>
      <c r="AE42" s="347"/>
      <c r="AF42" s="347"/>
      <c r="AG42" s="579">
        <f t="shared" si="54"/>
        <v>0</v>
      </c>
      <c r="AH42" s="579">
        <f>AD42*$CP$3*AE42</f>
        <v>0</v>
      </c>
      <c r="AI42" s="582"/>
      <c r="AJ42" s="582"/>
      <c r="AK42" s="582"/>
      <c r="AL42" s="582"/>
      <c r="AM42" s="579"/>
      <c r="AN42" s="579"/>
      <c r="AO42" s="347"/>
      <c r="AP42" s="581">
        <f t="shared" si="10"/>
        <v>36703.33536</v>
      </c>
      <c r="AQ42" s="583">
        <v>45729.791666666664</v>
      </c>
      <c r="AR42" s="583">
        <v>45730.375</v>
      </c>
      <c r="AS42" s="346">
        <v>8256.0</v>
      </c>
      <c r="AT42" s="346" t="s">
        <v>2800</v>
      </c>
      <c r="AU42" s="346">
        <v>1035.67</v>
      </c>
      <c r="AV42" s="346">
        <v>1000.0</v>
      </c>
      <c r="AW42" s="348"/>
      <c r="AX42" s="584">
        <f t="shared" si="11"/>
        <v>8220.33</v>
      </c>
      <c r="AY42" s="581">
        <f t="shared" si="12"/>
        <v>9256</v>
      </c>
      <c r="AZ42" s="581">
        <f t="shared" si="43"/>
        <v>4198.45597</v>
      </c>
      <c r="BA42" s="345" t="s">
        <v>2941</v>
      </c>
      <c r="BB42" s="345" t="s">
        <v>2942</v>
      </c>
      <c r="BC42" s="346">
        <v>330.0</v>
      </c>
      <c r="BD42" s="581">
        <f t="shared" si="36"/>
        <v>4210.8</v>
      </c>
      <c r="BE42" s="581">
        <f t="shared" si="37"/>
        <v>1909.989023</v>
      </c>
      <c r="BF42" s="345">
        <v>4.4</v>
      </c>
      <c r="BG42" s="345">
        <v>76321.0</v>
      </c>
      <c r="BH42" s="345">
        <v>34090.0</v>
      </c>
      <c r="BI42" s="607" t="s">
        <v>2943</v>
      </c>
      <c r="BJ42" s="586">
        <f t="shared" si="14"/>
        <v>42231</v>
      </c>
      <c r="BK42" s="581">
        <f t="shared" si="15"/>
        <v>19155.68216</v>
      </c>
      <c r="BL42" s="345">
        <v>80720.0</v>
      </c>
      <c r="BM42" s="345">
        <v>36400.0</v>
      </c>
      <c r="BN42" s="607" t="s">
        <v>2943</v>
      </c>
      <c r="BO42" s="586">
        <f t="shared" si="16"/>
        <v>44320</v>
      </c>
      <c r="BP42" s="584">
        <f t="shared" si="17"/>
        <v>20103.23775</v>
      </c>
      <c r="BQ42" s="345" t="s">
        <v>1810</v>
      </c>
      <c r="BR42" s="581">
        <f t="shared" si="38"/>
        <v>39258.9199</v>
      </c>
      <c r="BS42" s="588">
        <f t="shared" si="19"/>
        <v>33150.47491</v>
      </c>
      <c r="BT42" s="581">
        <f t="shared" si="20"/>
        <v>3552.860448</v>
      </c>
      <c r="BU42" s="605">
        <v>0.422</v>
      </c>
      <c r="BV42" s="581">
        <f t="shared" si="44"/>
        <v>51294.83485</v>
      </c>
      <c r="BW42" s="590"/>
      <c r="BX42" s="347"/>
      <c r="BY42" s="347"/>
      <c r="BZ42" s="347"/>
      <c r="CA42" s="586">
        <f t="shared" si="22"/>
        <v>8000</v>
      </c>
      <c r="CB42" s="581">
        <f t="shared" si="61"/>
        <v>330</v>
      </c>
      <c r="CC42" s="581">
        <f t="shared" si="62"/>
        <v>300</v>
      </c>
      <c r="CD42" s="581">
        <f t="shared" si="25"/>
        <v>10607.25256</v>
      </c>
      <c r="CE42" s="581">
        <f t="shared" si="26"/>
        <v>7324.675077</v>
      </c>
      <c r="CF42" s="581">
        <f t="shared" si="27"/>
        <v>7710.184291</v>
      </c>
      <c r="CG42" s="581">
        <f t="shared" si="28"/>
        <v>895.6549232</v>
      </c>
      <c r="CH42" s="608">
        <f t="shared" si="29"/>
        <v>0.1222791337</v>
      </c>
      <c r="CI42" s="603">
        <f t="shared" si="30"/>
        <v>213022.1224</v>
      </c>
      <c r="CJ42" s="347"/>
      <c r="CK42" s="347">
        <f t="shared" si="55"/>
        <v>0</v>
      </c>
      <c r="CL42" s="539">
        <f t="shared" si="32"/>
        <v>33150.47491</v>
      </c>
      <c r="CM42" s="347">
        <f t="shared" si="33"/>
        <v>0</v>
      </c>
      <c r="CN42" s="347">
        <f t="shared" si="34"/>
        <v>51294.83485</v>
      </c>
      <c r="CO42" s="347" t="str">
        <f t="shared" si="35"/>
        <v>2025-03-14</v>
      </c>
      <c r="CP42" s="347"/>
    </row>
    <row r="43">
      <c r="A43" s="574">
        <f t="shared" si="52"/>
        <v>300014</v>
      </c>
      <c r="B43" s="574" t="str">
        <f t="shared" si="1"/>
        <v>Batch 300014</v>
      </c>
      <c r="C43" s="345" t="s">
        <v>1930</v>
      </c>
      <c r="D43" s="575" t="str">
        <f t="shared" si="51"/>
        <v>3-14</v>
      </c>
      <c r="E43" s="345" t="s">
        <v>2779</v>
      </c>
      <c r="F43" s="583">
        <v>45733.708333333336</v>
      </c>
      <c r="G43" s="583">
        <v>45734.791666666664</v>
      </c>
      <c r="H43" s="347"/>
      <c r="I43" s="612">
        <v>45736.354166666664</v>
      </c>
      <c r="J43" s="583">
        <v>45736.645833333336</v>
      </c>
      <c r="K43" s="609" t="s">
        <v>373</v>
      </c>
      <c r="L43" s="1">
        <v>1621.0</v>
      </c>
      <c r="M43" s="345">
        <v>1.214</v>
      </c>
      <c r="N43" s="345">
        <v>24.4</v>
      </c>
      <c r="O43" s="579">
        <f t="shared" si="2"/>
        <v>6136.14961</v>
      </c>
      <c r="P43" s="579">
        <f t="shared" si="46"/>
        <v>7449.285627</v>
      </c>
      <c r="Q43" s="575" t="s">
        <v>362</v>
      </c>
      <c r="R43" s="345">
        <v>4433.0</v>
      </c>
      <c r="S43" s="580">
        <v>1.2133</v>
      </c>
      <c r="T43" s="345">
        <v>25.4</v>
      </c>
      <c r="U43" s="579">
        <f t="shared" si="48"/>
        <v>16780.72253</v>
      </c>
      <c r="V43" s="579">
        <f t="shared" si="49"/>
        <v>20360.05065</v>
      </c>
      <c r="W43" s="575" t="s">
        <v>353</v>
      </c>
      <c r="X43" s="345">
        <v>948.0</v>
      </c>
      <c r="Y43" s="345">
        <v>1.201</v>
      </c>
      <c r="Z43" s="345">
        <v>25.4</v>
      </c>
      <c r="AA43" s="579">
        <f t="shared" si="6"/>
        <v>3588.56868</v>
      </c>
      <c r="AB43" s="581">
        <f t="shared" si="63"/>
        <v>4309.870985</v>
      </c>
      <c r="AC43" s="345" t="s">
        <v>301</v>
      </c>
      <c r="AD43" s="345">
        <v>1391.0</v>
      </c>
      <c r="AE43" s="345">
        <v>1.22</v>
      </c>
      <c r="AF43" s="345">
        <v>24.32</v>
      </c>
      <c r="AG43" s="579">
        <f t="shared" si="54"/>
        <v>5265.50531</v>
      </c>
      <c r="AH43" s="630">
        <v>5258.12</v>
      </c>
      <c r="AI43" s="633"/>
      <c r="AJ43" s="633"/>
      <c r="AK43" s="633"/>
      <c r="AL43" s="633"/>
      <c r="AM43" s="630"/>
      <c r="AN43" s="630"/>
      <c r="AO43" s="345" t="s">
        <v>2944</v>
      </c>
      <c r="AP43" s="581">
        <f t="shared" si="10"/>
        <v>37377.32726</v>
      </c>
      <c r="AQ43" s="583">
        <v>45735.8125</v>
      </c>
      <c r="AR43" s="583">
        <v>45736.291666666664</v>
      </c>
      <c r="AS43" s="346">
        <v>8176.0</v>
      </c>
      <c r="AT43" s="346" t="s">
        <v>2800</v>
      </c>
      <c r="AU43" s="346">
        <v>0.0</v>
      </c>
      <c r="AV43" s="346">
        <v>0.0</v>
      </c>
      <c r="AW43" s="346">
        <v>50.0</v>
      </c>
      <c r="AX43" s="584">
        <f t="shared" si="11"/>
        <v>8126</v>
      </c>
      <c r="AY43" s="581">
        <f t="shared" si="12"/>
        <v>8176</v>
      </c>
      <c r="AZ43" s="581">
        <f t="shared" si="43"/>
        <v>3708.575628</v>
      </c>
      <c r="BA43" s="583">
        <v>45735.583333333336</v>
      </c>
      <c r="BB43" s="583">
        <v>45736.791666666664</v>
      </c>
      <c r="BC43" s="346">
        <v>340.0</v>
      </c>
      <c r="BD43" s="581">
        <f t="shared" si="36"/>
        <v>4338.4</v>
      </c>
      <c r="BE43" s="581">
        <f t="shared" si="37"/>
        <v>1967.867478</v>
      </c>
      <c r="BF43" s="345">
        <v>4.32</v>
      </c>
      <c r="BG43" s="345">
        <v>80500.0</v>
      </c>
      <c r="BH43" s="345">
        <v>35660.0</v>
      </c>
      <c r="BI43" s="607" t="s">
        <v>2945</v>
      </c>
      <c r="BJ43" s="586">
        <f t="shared" si="14"/>
        <v>44840</v>
      </c>
      <c r="BK43" s="581">
        <f t="shared" si="15"/>
        <v>20339.10606</v>
      </c>
      <c r="BL43" s="345">
        <v>80460.0</v>
      </c>
      <c r="BM43" s="345">
        <v>33740.0</v>
      </c>
      <c r="BN43" s="607" t="s">
        <v>2945</v>
      </c>
      <c r="BO43" s="586">
        <f t="shared" si="16"/>
        <v>46720</v>
      </c>
      <c r="BP43" s="584">
        <f t="shared" si="17"/>
        <v>21191.86073</v>
      </c>
      <c r="BQ43" s="345" t="s">
        <v>1810</v>
      </c>
      <c r="BR43" s="581">
        <f t="shared" si="38"/>
        <v>41530.96679</v>
      </c>
      <c r="BS43" s="588">
        <f t="shared" si="19"/>
        <v>35854.52368</v>
      </c>
      <c r="BT43" s="581">
        <f t="shared" si="20"/>
        <v>1522.803575</v>
      </c>
      <c r="BU43" s="605">
        <v>0.424</v>
      </c>
      <c r="BV43" s="581">
        <f t="shared" si="44"/>
        <v>55741.83282</v>
      </c>
      <c r="BW43" s="590"/>
      <c r="BX43" s="347"/>
      <c r="BY43" s="347"/>
      <c r="BZ43" s="347"/>
      <c r="CA43" s="586">
        <f t="shared" si="22"/>
        <v>8393</v>
      </c>
      <c r="CB43" s="581">
        <f t="shared" si="61"/>
        <v>340</v>
      </c>
      <c r="CC43" s="581">
        <f t="shared" si="62"/>
        <v>314.7375</v>
      </c>
      <c r="CD43" s="581">
        <f t="shared" si="25"/>
        <v>11083.06176</v>
      </c>
      <c r="CE43" s="581">
        <f t="shared" si="26"/>
        <v>7653.237801</v>
      </c>
      <c r="CF43" s="581">
        <f t="shared" si="27"/>
        <v>8056.039791</v>
      </c>
      <c r="CG43" s="581">
        <f t="shared" si="28"/>
        <v>472.7621987</v>
      </c>
      <c r="CH43" s="608">
        <f t="shared" si="29"/>
        <v>0.06177283537</v>
      </c>
      <c r="CI43" s="603">
        <f t="shared" si="30"/>
        <v>201537.2968</v>
      </c>
      <c r="CJ43" s="347"/>
      <c r="CK43" s="582">
        <f t="shared" si="55"/>
        <v>5258.12</v>
      </c>
      <c r="CL43" s="539">
        <f t="shared" si="32"/>
        <v>30596.40368</v>
      </c>
      <c r="CM43" s="347">
        <f t="shared" si="33"/>
        <v>8174.623893</v>
      </c>
      <c r="CN43" s="347">
        <f t="shared" si="34"/>
        <v>47567.20892</v>
      </c>
      <c r="CO43" s="347" t="str">
        <f t="shared" si="35"/>
        <v>2025-03-20</v>
      </c>
      <c r="CP43" s="347"/>
    </row>
    <row r="44">
      <c r="A44" s="574">
        <f t="shared" si="52"/>
        <v>200082</v>
      </c>
      <c r="B44" s="574" t="str">
        <f t="shared" si="1"/>
        <v>Batch 200082</v>
      </c>
      <c r="C44" s="345" t="s">
        <v>1930</v>
      </c>
      <c r="D44" s="575" t="str">
        <f t="shared" si="51"/>
        <v>2-82</v>
      </c>
      <c r="E44" s="345" t="s">
        <v>2779</v>
      </c>
      <c r="F44" s="583">
        <v>45729.666666666664</v>
      </c>
      <c r="G44" s="583">
        <v>45730.75</v>
      </c>
      <c r="H44" s="347"/>
      <c r="I44" s="612">
        <v>45733.416666666664</v>
      </c>
      <c r="J44" s="583">
        <v>45733.6875</v>
      </c>
      <c r="K44" s="609" t="s">
        <v>361</v>
      </c>
      <c r="L44" s="1">
        <v>898.0</v>
      </c>
      <c r="M44" s="345">
        <v>1.211</v>
      </c>
      <c r="N44" s="345">
        <v>25.1</v>
      </c>
      <c r="O44" s="579">
        <f t="shared" si="2"/>
        <v>3399.29818</v>
      </c>
      <c r="P44" s="579">
        <f t="shared" si="46"/>
        <v>4116.550096</v>
      </c>
      <c r="Q44" s="575" t="s">
        <v>369</v>
      </c>
      <c r="R44" s="345">
        <v>4421.0</v>
      </c>
      <c r="S44" s="580">
        <v>1.21</v>
      </c>
      <c r="T44" s="345">
        <v>24.4</v>
      </c>
      <c r="U44" s="579">
        <f t="shared" si="48"/>
        <v>16735.29761</v>
      </c>
      <c r="V44" s="579">
        <f t="shared" si="49"/>
        <v>20249.71011</v>
      </c>
      <c r="W44" s="575" t="s">
        <v>364</v>
      </c>
      <c r="X44" s="345">
        <v>2681.0</v>
      </c>
      <c r="Y44" s="345">
        <v>1.208</v>
      </c>
      <c r="Z44" s="345">
        <v>24.7</v>
      </c>
      <c r="AA44" s="579">
        <f t="shared" si="6"/>
        <v>10148.68421</v>
      </c>
      <c r="AB44" s="581">
        <f t="shared" si="63"/>
        <v>12259.61053</v>
      </c>
      <c r="AC44" s="347"/>
      <c r="AD44" s="347"/>
      <c r="AE44" s="347"/>
      <c r="AF44" s="347"/>
      <c r="AG44" s="579">
        <f t="shared" si="54"/>
        <v>0</v>
      </c>
      <c r="AH44" s="579">
        <f t="shared" ref="AH44:AH46" si="64">AD44*$CP$3*AE44</f>
        <v>0</v>
      </c>
      <c r="AI44" s="582"/>
      <c r="AJ44" s="582"/>
      <c r="AK44" s="582"/>
      <c r="AL44" s="582"/>
      <c r="AM44" s="579"/>
      <c r="AN44" s="579"/>
      <c r="AO44" s="345" t="s">
        <v>2946</v>
      </c>
      <c r="AP44" s="581">
        <f t="shared" si="10"/>
        <v>36625.87073</v>
      </c>
      <c r="AQ44" s="345" t="s">
        <v>2947</v>
      </c>
      <c r="AR44" s="345" t="s">
        <v>2948</v>
      </c>
      <c r="AS44" s="346">
        <v>7836.0</v>
      </c>
      <c r="AT44" s="346" t="s">
        <v>2800</v>
      </c>
      <c r="AU44" s="346">
        <v>308.0</v>
      </c>
      <c r="AV44" s="346">
        <v>300.0</v>
      </c>
      <c r="AW44" s="346">
        <v>50.0</v>
      </c>
      <c r="AX44" s="584">
        <f t="shared" si="11"/>
        <v>7778</v>
      </c>
      <c r="AY44" s="581">
        <f t="shared" si="12"/>
        <v>8136</v>
      </c>
      <c r="AZ44" s="581">
        <f t="shared" si="43"/>
        <v>3690.431911</v>
      </c>
      <c r="BA44" s="583">
        <v>45732.375</v>
      </c>
      <c r="BB44" s="583">
        <v>45732.583333333336</v>
      </c>
      <c r="BC44" s="346">
        <v>296.0</v>
      </c>
      <c r="BD44" s="581">
        <f t="shared" si="36"/>
        <v>3776.96</v>
      </c>
      <c r="BE44" s="581">
        <f t="shared" si="37"/>
        <v>1713.202275</v>
      </c>
      <c r="BF44" s="345">
        <v>4.35</v>
      </c>
      <c r="BG44" s="345">
        <v>78680.0</v>
      </c>
      <c r="BH44" s="345">
        <v>34120.0</v>
      </c>
      <c r="BI44" s="607" t="s">
        <v>2949</v>
      </c>
      <c r="BJ44" s="586">
        <f t="shared" si="14"/>
        <v>44560</v>
      </c>
      <c r="BK44" s="581">
        <f t="shared" si="15"/>
        <v>20212.10004</v>
      </c>
      <c r="BL44" s="345">
        <v>82220.0</v>
      </c>
      <c r="BM44" s="345">
        <v>37680.0</v>
      </c>
      <c r="BN44" s="607" t="s">
        <v>2949</v>
      </c>
      <c r="BO44" s="586">
        <f t="shared" si="16"/>
        <v>44540</v>
      </c>
      <c r="BP44" s="584">
        <f t="shared" si="17"/>
        <v>20203.02819</v>
      </c>
      <c r="BQ44" s="345" t="s">
        <v>1810</v>
      </c>
      <c r="BR44" s="581">
        <f t="shared" si="38"/>
        <v>40415.12823</v>
      </c>
      <c r="BS44" s="588">
        <f t="shared" si="19"/>
        <v>35011.49404</v>
      </c>
      <c r="BT44" s="581">
        <f t="shared" si="20"/>
        <v>1614.376685</v>
      </c>
      <c r="BU44" s="605">
        <v>0.426</v>
      </c>
      <c r="BV44" s="581">
        <f t="shared" si="44"/>
        <v>54687.9537</v>
      </c>
      <c r="BW44" s="590"/>
      <c r="BX44" s="347"/>
      <c r="BY44" s="347"/>
      <c r="BZ44" s="347"/>
      <c r="CA44" s="586">
        <f t="shared" si="22"/>
        <v>8000</v>
      </c>
      <c r="CB44" s="581">
        <f t="shared" si="61"/>
        <v>296</v>
      </c>
      <c r="CC44" s="581">
        <f t="shared" si="62"/>
        <v>300</v>
      </c>
      <c r="CD44" s="581">
        <f t="shared" si="25"/>
        <v>10253.32458</v>
      </c>
      <c r="CE44" s="581">
        <f t="shared" si="26"/>
        <v>7080.275552</v>
      </c>
      <c r="CF44" s="581">
        <f t="shared" si="27"/>
        <v>7452.921634</v>
      </c>
      <c r="CG44" s="581">
        <f t="shared" si="28"/>
        <v>697.7244478</v>
      </c>
      <c r="CH44" s="608">
        <f t="shared" si="29"/>
        <v>0.09854481548</v>
      </c>
      <c r="CI44" s="603">
        <f t="shared" si="30"/>
        <v>208517.0624</v>
      </c>
      <c r="CJ44" s="347"/>
      <c r="CK44" s="347">
        <f t="shared" si="55"/>
        <v>0</v>
      </c>
      <c r="CL44" s="539">
        <f t="shared" si="32"/>
        <v>35011.49404</v>
      </c>
      <c r="CM44" s="347">
        <f t="shared" si="33"/>
        <v>0</v>
      </c>
      <c r="CN44" s="347">
        <f t="shared" si="34"/>
        <v>54687.9537</v>
      </c>
      <c r="CO44" s="347" t="str">
        <f t="shared" si="35"/>
        <v>2025-03-17</v>
      </c>
      <c r="CP44" s="347"/>
    </row>
    <row r="45">
      <c r="A45" s="574">
        <f t="shared" si="52"/>
        <v>300015</v>
      </c>
      <c r="B45" s="574" t="str">
        <f t="shared" si="1"/>
        <v>Batch 300015</v>
      </c>
      <c r="C45" s="345" t="s">
        <v>1930</v>
      </c>
      <c r="D45" s="575" t="str">
        <f t="shared" si="51"/>
        <v>3-15</v>
      </c>
      <c r="E45" s="345" t="s">
        <v>2779</v>
      </c>
      <c r="F45" s="583">
        <v>45736.645833333336</v>
      </c>
      <c r="G45" s="583">
        <v>45737.791666666664</v>
      </c>
      <c r="H45" s="347"/>
      <c r="I45" s="632">
        <v>45740.0</v>
      </c>
      <c r="J45" s="583">
        <v>45740.666666666664</v>
      </c>
      <c r="K45" s="609" t="s">
        <v>379</v>
      </c>
      <c r="L45" s="1">
        <v>4595.0</v>
      </c>
      <c r="M45" s="345">
        <v>1.2144</v>
      </c>
      <c r="N45" s="345">
        <v>24.9</v>
      </c>
      <c r="O45" s="579">
        <f t="shared" si="2"/>
        <v>17393.95895</v>
      </c>
      <c r="P45" s="579">
        <f t="shared" si="46"/>
        <v>21123.22375</v>
      </c>
      <c r="Q45" s="575" t="s">
        <v>377</v>
      </c>
      <c r="R45" s="345">
        <v>2242.0</v>
      </c>
      <c r="S45" s="580">
        <v>1.2144</v>
      </c>
      <c r="T45" s="345">
        <v>24.9</v>
      </c>
      <c r="U45" s="579">
        <f t="shared" si="48"/>
        <v>8486.88922</v>
      </c>
      <c r="V45" s="579">
        <f t="shared" si="49"/>
        <v>10306.47827</v>
      </c>
      <c r="W45" s="575" t="s">
        <v>278</v>
      </c>
      <c r="X45" s="345">
        <v>898.0</v>
      </c>
      <c r="Y45" s="345">
        <v>1.22</v>
      </c>
      <c r="Z45" s="345">
        <v>16.065</v>
      </c>
      <c r="AA45" s="579">
        <f t="shared" si="6"/>
        <v>3399.29818</v>
      </c>
      <c r="AB45" s="584">
        <v>4108.765</v>
      </c>
      <c r="AC45" s="347"/>
      <c r="AD45" s="347"/>
      <c r="AE45" s="347"/>
      <c r="AF45" s="347"/>
      <c r="AG45" s="579">
        <f t="shared" si="54"/>
        <v>0</v>
      </c>
      <c r="AH45" s="579">
        <f t="shared" si="64"/>
        <v>0</v>
      </c>
      <c r="AI45" s="582"/>
      <c r="AJ45" s="582"/>
      <c r="AK45" s="582"/>
      <c r="AL45" s="582"/>
      <c r="AM45" s="579"/>
      <c r="AN45" s="579"/>
      <c r="AO45" s="345" t="s">
        <v>2950</v>
      </c>
      <c r="AP45" s="581">
        <f t="shared" si="10"/>
        <v>35538.46702</v>
      </c>
      <c r="AQ45" s="583">
        <v>45739.541666666664</v>
      </c>
      <c r="AR45" s="583">
        <v>45739.875</v>
      </c>
      <c r="AS45" s="346">
        <v>7100.0</v>
      </c>
      <c r="AT45" s="346" t="s">
        <v>2800</v>
      </c>
      <c r="AU45" s="346">
        <v>690.0</v>
      </c>
      <c r="AV45" s="346">
        <v>1100.0</v>
      </c>
      <c r="AW45" s="346">
        <v>270.0</v>
      </c>
      <c r="AX45" s="584">
        <f t="shared" si="11"/>
        <v>7240</v>
      </c>
      <c r="AY45" s="581">
        <f t="shared" si="12"/>
        <v>8200</v>
      </c>
      <c r="AZ45" s="581">
        <f t="shared" si="43"/>
        <v>3719.461857</v>
      </c>
      <c r="BA45" s="583">
        <v>45739.333333333336</v>
      </c>
      <c r="BB45" s="583">
        <v>45739.416666666664</v>
      </c>
      <c r="BC45" s="346">
        <v>290.0</v>
      </c>
      <c r="BD45" s="581">
        <f t="shared" si="36"/>
        <v>3700.4</v>
      </c>
      <c r="BE45" s="581">
        <f t="shared" si="37"/>
        <v>1678.475202</v>
      </c>
      <c r="BF45" s="345">
        <v>4.2</v>
      </c>
      <c r="BG45" s="345">
        <v>80340.0</v>
      </c>
      <c r="BH45" s="345">
        <v>37820.0</v>
      </c>
      <c r="BI45" s="607" t="s">
        <v>2951</v>
      </c>
      <c r="BJ45" s="586">
        <f t="shared" si="14"/>
        <v>42520</v>
      </c>
      <c r="BK45" s="581">
        <f t="shared" si="15"/>
        <v>19286.77051</v>
      </c>
      <c r="BL45" s="345">
        <v>80220.0</v>
      </c>
      <c r="BM45" s="345">
        <v>37400.0</v>
      </c>
      <c r="BN45" s="607" t="s">
        <v>2952</v>
      </c>
      <c r="BO45" s="586">
        <f t="shared" si="16"/>
        <v>42820</v>
      </c>
      <c r="BP45" s="584">
        <f t="shared" si="17"/>
        <v>19422.84838</v>
      </c>
      <c r="BQ45" s="345" t="s">
        <v>2824</v>
      </c>
      <c r="BR45" s="581">
        <f t="shared" si="38"/>
        <v>38709.61889</v>
      </c>
      <c r="BS45" s="588">
        <f t="shared" si="19"/>
        <v>33311.68183</v>
      </c>
      <c r="BT45" s="581">
        <f t="shared" si="20"/>
        <v>2226.785186</v>
      </c>
      <c r="BU45" s="605">
        <v>0.466</v>
      </c>
      <c r="BV45" s="581">
        <f t="shared" si="44"/>
        <v>56918.56036</v>
      </c>
      <c r="BW45" s="590"/>
      <c r="BX45" s="347"/>
      <c r="BY45" s="347"/>
      <c r="BZ45" s="347"/>
      <c r="CA45" s="586">
        <f t="shared" si="22"/>
        <v>7735</v>
      </c>
      <c r="CB45" s="581">
        <f t="shared" si="61"/>
        <v>290</v>
      </c>
      <c r="CC45" s="581">
        <f t="shared" si="62"/>
        <v>290.0625</v>
      </c>
      <c r="CD45" s="581">
        <f t="shared" si="25"/>
        <v>9717.893427</v>
      </c>
      <c r="CE45" s="581">
        <f t="shared" si="26"/>
        <v>6710.541808</v>
      </c>
      <c r="CF45" s="581">
        <f t="shared" si="27"/>
        <v>7063.728219</v>
      </c>
      <c r="CG45" s="581">
        <f t="shared" si="28"/>
        <v>529.4581924</v>
      </c>
      <c r="CH45" s="608">
        <f t="shared" si="29"/>
        <v>0.07889947005</v>
      </c>
      <c r="CI45" s="603">
        <f t="shared" si="30"/>
        <v>204788.1388</v>
      </c>
      <c r="CJ45" s="347"/>
      <c r="CK45" s="348">
        <f t="shared" si="55"/>
        <v>4108.765</v>
      </c>
      <c r="CL45" s="539">
        <f t="shared" si="32"/>
        <v>29202.91683</v>
      </c>
      <c r="CM45" s="347">
        <f t="shared" si="33"/>
        <v>7020.509797</v>
      </c>
      <c r="CN45" s="347">
        <f t="shared" si="34"/>
        <v>49898.05056</v>
      </c>
      <c r="CO45" s="347" t="str">
        <f t="shared" si="35"/>
        <v>2025-03-24</v>
      </c>
      <c r="CP45" s="347"/>
    </row>
    <row r="46">
      <c r="A46" s="574">
        <f t="shared" si="52"/>
        <v>200083</v>
      </c>
      <c r="B46" s="574" t="str">
        <f t="shared" si="1"/>
        <v>Batch 200083</v>
      </c>
      <c r="C46" s="345" t="s">
        <v>1930</v>
      </c>
      <c r="D46" s="575" t="str">
        <f t="shared" si="51"/>
        <v>2-83</v>
      </c>
      <c r="E46" s="345" t="s">
        <v>2779</v>
      </c>
      <c r="F46" s="583">
        <v>45734.854166666664</v>
      </c>
      <c r="G46" s="583">
        <v>45736.114583333336</v>
      </c>
      <c r="H46" s="347"/>
      <c r="I46" s="612">
        <v>45737.354166666664</v>
      </c>
      <c r="J46" s="583">
        <v>45737.645833333336</v>
      </c>
      <c r="K46" s="609" t="s">
        <v>375</v>
      </c>
      <c r="L46" s="1">
        <v>4246.0</v>
      </c>
      <c r="M46" s="345">
        <v>1.218</v>
      </c>
      <c r="N46" s="345">
        <v>21.8</v>
      </c>
      <c r="O46" s="579">
        <f t="shared" si="2"/>
        <v>16072.85086</v>
      </c>
      <c r="P46" s="579">
        <f t="shared" si="46"/>
        <v>19576.73235</v>
      </c>
      <c r="Q46" s="575" t="s">
        <v>373</v>
      </c>
      <c r="R46" s="345">
        <v>2919.0</v>
      </c>
      <c r="S46" s="580">
        <v>1.214</v>
      </c>
      <c r="T46" s="345">
        <v>24.4</v>
      </c>
      <c r="U46" s="579">
        <f t="shared" si="48"/>
        <v>11049.61179</v>
      </c>
      <c r="V46" s="579">
        <f t="shared" si="49"/>
        <v>13414.22871</v>
      </c>
      <c r="W46" s="575" t="s">
        <v>377</v>
      </c>
      <c r="X46" s="345">
        <v>849.0</v>
      </c>
      <c r="Y46" s="345">
        <v>1.2144</v>
      </c>
      <c r="Z46" s="345">
        <v>24.9</v>
      </c>
      <c r="AA46" s="579">
        <f t="shared" si="6"/>
        <v>3213.81309</v>
      </c>
      <c r="AB46" s="581">
        <f t="shared" ref="AB46:AB48" si="65">X46*$CP$3*Y46</f>
        <v>3902.854616</v>
      </c>
      <c r="AC46" s="347"/>
      <c r="AD46" s="347"/>
      <c r="AE46" s="347"/>
      <c r="AF46" s="347"/>
      <c r="AG46" s="579">
        <f t="shared" si="54"/>
        <v>0</v>
      </c>
      <c r="AH46" s="579">
        <f t="shared" si="64"/>
        <v>0</v>
      </c>
      <c r="AI46" s="582"/>
      <c r="AJ46" s="582"/>
      <c r="AK46" s="582"/>
      <c r="AL46" s="582"/>
      <c r="AM46" s="579"/>
      <c r="AN46" s="579"/>
      <c r="AO46" s="347"/>
      <c r="AP46" s="581">
        <f t="shared" si="10"/>
        <v>36893.81568</v>
      </c>
      <c r="AQ46" s="612">
        <v>45736.791666666664</v>
      </c>
      <c r="AR46" s="583">
        <v>45737.270833333336</v>
      </c>
      <c r="AS46" s="346">
        <v>7500.0</v>
      </c>
      <c r="AT46" s="346" t="s">
        <v>2800</v>
      </c>
      <c r="AU46" s="346">
        <v>0.0</v>
      </c>
      <c r="AV46" s="346">
        <v>0.0</v>
      </c>
      <c r="AW46" s="348"/>
      <c r="AX46" s="584">
        <f t="shared" si="11"/>
        <v>7500</v>
      </c>
      <c r="AY46" s="581">
        <f t="shared" si="12"/>
        <v>7500</v>
      </c>
      <c r="AZ46" s="581">
        <f t="shared" si="43"/>
        <v>3401.946821</v>
      </c>
      <c r="BA46" s="583">
        <v>45736.697916666664</v>
      </c>
      <c r="BB46" s="583">
        <v>45736.833333333336</v>
      </c>
      <c r="BC46" s="346">
        <v>291.0</v>
      </c>
      <c r="BD46" s="581">
        <f t="shared" si="36"/>
        <v>3713.16</v>
      </c>
      <c r="BE46" s="581">
        <f t="shared" si="37"/>
        <v>1684.263048</v>
      </c>
      <c r="BF46" s="345">
        <v>4.25</v>
      </c>
      <c r="BG46" s="345">
        <v>79800.0</v>
      </c>
      <c r="BH46" s="345">
        <v>34840.0</v>
      </c>
      <c r="BI46" s="607" t="s">
        <v>2953</v>
      </c>
      <c r="BJ46" s="586">
        <f t="shared" si="14"/>
        <v>44960</v>
      </c>
      <c r="BK46" s="581">
        <f t="shared" si="15"/>
        <v>20393.53721</v>
      </c>
      <c r="BL46" s="345">
        <v>81920.0</v>
      </c>
      <c r="BM46" s="345">
        <v>37120.0</v>
      </c>
      <c r="BN46" s="607" t="s">
        <v>2953</v>
      </c>
      <c r="BO46" s="586">
        <f t="shared" si="16"/>
        <v>44800</v>
      </c>
      <c r="BP46" s="584">
        <f t="shared" si="17"/>
        <v>20320.96234</v>
      </c>
      <c r="BQ46" s="345" t="s">
        <v>1810</v>
      </c>
      <c r="BR46" s="581">
        <f t="shared" si="38"/>
        <v>40714.49955</v>
      </c>
      <c r="BS46" s="588">
        <f t="shared" si="19"/>
        <v>35628.28968</v>
      </c>
      <c r="BT46" s="581">
        <f t="shared" si="20"/>
        <v>1265.525994</v>
      </c>
      <c r="BU46" s="605">
        <v>0.431</v>
      </c>
      <c r="BV46" s="581">
        <f t="shared" si="44"/>
        <v>56304.5738</v>
      </c>
      <c r="BW46" s="590"/>
      <c r="BX46" s="347"/>
      <c r="BY46" s="347"/>
      <c r="BZ46" s="347"/>
      <c r="CA46" s="586">
        <f t="shared" si="22"/>
        <v>8014</v>
      </c>
      <c r="CB46" s="581">
        <f t="shared" si="61"/>
        <v>291</v>
      </c>
      <c r="CC46" s="581">
        <f t="shared" si="62"/>
        <v>300.525</v>
      </c>
      <c r="CD46" s="581">
        <f t="shared" si="25"/>
        <v>9742.495644</v>
      </c>
      <c r="CE46" s="581">
        <f t="shared" si="26"/>
        <v>6727.53049</v>
      </c>
      <c r="CF46" s="581">
        <f t="shared" si="27"/>
        <v>7081.611042</v>
      </c>
      <c r="CG46" s="581">
        <f t="shared" si="28"/>
        <v>772.46951</v>
      </c>
      <c r="CH46" s="608">
        <f t="shared" si="29"/>
        <v>0.1148221492</v>
      </c>
      <c r="CI46" s="603">
        <f t="shared" si="30"/>
        <v>211606.6968</v>
      </c>
      <c r="CJ46" s="347"/>
      <c r="CK46" s="347">
        <f t="shared" si="55"/>
        <v>0</v>
      </c>
      <c r="CL46" s="539">
        <f t="shared" si="32"/>
        <v>35628.28968</v>
      </c>
      <c r="CM46" s="347">
        <f t="shared" si="33"/>
        <v>0</v>
      </c>
      <c r="CN46" s="347">
        <f t="shared" si="34"/>
        <v>56304.5738</v>
      </c>
      <c r="CO46" s="347" t="str">
        <f t="shared" si="35"/>
        <v>2025-03-21</v>
      </c>
      <c r="CP46" s="347"/>
    </row>
    <row r="47">
      <c r="A47" s="574">
        <f t="shared" si="52"/>
        <v>300016</v>
      </c>
      <c r="B47" s="574" t="str">
        <f t="shared" si="1"/>
        <v>Batch 300016</v>
      </c>
      <c r="C47" s="345" t="s">
        <v>1930</v>
      </c>
      <c r="D47" s="575" t="str">
        <f t="shared" si="51"/>
        <v>3-16</v>
      </c>
      <c r="E47" s="345" t="s">
        <v>2779</v>
      </c>
      <c r="F47" s="583">
        <v>45740.552083333336</v>
      </c>
      <c r="G47" s="583">
        <v>45741.6875</v>
      </c>
      <c r="H47" s="347"/>
      <c r="I47" s="612">
        <v>45743.4375</v>
      </c>
      <c r="J47" s="583">
        <v>45743.645833333336</v>
      </c>
      <c r="K47" s="609" t="s">
        <v>386</v>
      </c>
      <c r="L47" s="1">
        <v>1013.0</v>
      </c>
      <c r="M47" s="345">
        <v>1.2145</v>
      </c>
      <c r="N47" s="345">
        <v>24.5</v>
      </c>
      <c r="O47" s="579">
        <f t="shared" si="2"/>
        <v>3834.62033</v>
      </c>
      <c r="P47" s="579">
        <f t="shared" si="46"/>
        <v>4657.146391</v>
      </c>
      <c r="Q47" s="575" t="s">
        <v>382</v>
      </c>
      <c r="R47" s="345">
        <v>1561.0</v>
      </c>
      <c r="S47" s="580">
        <v>1.2145</v>
      </c>
      <c r="T47" s="345">
        <v>24.5</v>
      </c>
      <c r="U47" s="579">
        <f t="shared" si="48"/>
        <v>5909.02501</v>
      </c>
      <c r="V47" s="579">
        <f t="shared" si="49"/>
        <v>7176.510875</v>
      </c>
      <c r="W47" s="575" t="s">
        <v>384</v>
      </c>
      <c r="X47" s="345">
        <v>4476.0</v>
      </c>
      <c r="Y47" s="345">
        <v>1.2145</v>
      </c>
      <c r="Z47" s="345">
        <v>24.5</v>
      </c>
      <c r="AA47" s="579">
        <f t="shared" si="6"/>
        <v>16943.49516</v>
      </c>
      <c r="AB47" s="581">
        <f t="shared" si="65"/>
        <v>20577.87487</v>
      </c>
      <c r="AC47" s="345" t="s">
        <v>301</v>
      </c>
      <c r="AD47" s="345">
        <v>950.82</v>
      </c>
      <c r="AE47" s="345">
        <v>1.22</v>
      </c>
      <c r="AF47" s="345">
        <v>22.8</v>
      </c>
      <c r="AG47" s="579">
        <f t="shared" si="54"/>
        <v>3599.243536</v>
      </c>
      <c r="AH47" s="630">
        <v>4344.009</v>
      </c>
      <c r="AI47" s="633"/>
      <c r="AJ47" s="633"/>
      <c r="AK47" s="633"/>
      <c r="AL47" s="633"/>
      <c r="AM47" s="630"/>
      <c r="AN47" s="630"/>
      <c r="AO47" s="347"/>
      <c r="AP47" s="581">
        <f t="shared" si="10"/>
        <v>36755.54114</v>
      </c>
      <c r="AQ47" s="583">
        <v>45742.875</v>
      </c>
      <c r="AR47" s="583">
        <v>45743.291666666664</v>
      </c>
      <c r="AS47" s="346">
        <v>7790.0</v>
      </c>
      <c r="AT47" s="346" t="s">
        <v>2800</v>
      </c>
      <c r="AU47" s="346">
        <v>0.0</v>
      </c>
      <c r="AV47" s="346">
        <v>0.0</v>
      </c>
      <c r="AW47" s="348"/>
      <c r="AX47" s="584">
        <f t="shared" si="11"/>
        <v>7790</v>
      </c>
      <c r="AY47" s="581">
        <f t="shared" si="12"/>
        <v>7790</v>
      </c>
      <c r="AZ47" s="581">
        <f t="shared" si="43"/>
        <v>3533.488765</v>
      </c>
      <c r="BA47" s="583">
        <v>45742.583333333336</v>
      </c>
      <c r="BB47" s="583">
        <v>45742.791666666664</v>
      </c>
      <c r="BC47" s="346">
        <v>296.0</v>
      </c>
      <c r="BD47" s="581">
        <f t="shared" si="36"/>
        <v>3776.96</v>
      </c>
      <c r="BE47" s="581">
        <f t="shared" si="37"/>
        <v>1713.202275</v>
      </c>
      <c r="BF47" s="345">
        <v>4.62</v>
      </c>
      <c r="BG47" s="345">
        <v>82680.0</v>
      </c>
      <c r="BH47" s="345">
        <v>38705.0</v>
      </c>
      <c r="BI47" s="607" t="s">
        <v>2954</v>
      </c>
      <c r="BJ47" s="586">
        <f t="shared" si="14"/>
        <v>43975</v>
      </c>
      <c r="BK47" s="581">
        <f t="shared" si="15"/>
        <v>19946.74819</v>
      </c>
      <c r="BL47" s="345">
        <v>77700.0</v>
      </c>
      <c r="BM47" s="345">
        <v>31920.0</v>
      </c>
      <c r="BN47" s="607" t="s">
        <v>2954</v>
      </c>
      <c r="BO47" s="586">
        <f t="shared" si="16"/>
        <v>45780</v>
      </c>
      <c r="BP47" s="584">
        <f t="shared" si="17"/>
        <v>20765.48339</v>
      </c>
      <c r="BQ47" s="345" t="s">
        <v>1810</v>
      </c>
      <c r="BR47" s="581">
        <f t="shared" si="38"/>
        <v>40712.23159</v>
      </c>
      <c r="BS47" s="588">
        <f t="shared" si="19"/>
        <v>35465.54055</v>
      </c>
      <c r="BT47" s="581">
        <f t="shared" si="20"/>
        <v>1290.000591</v>
      </c>
      <c r="BU47" s="605">
        <v>0.416</v>
      </c>
      <c r="BV47" s="581">
        <f t="shared" si="44"/>
        <v>54096.77118</v>
      </c>
      <c r="BW47" s="590"/>
      <c r="BX47" s="347"/>
      <c r="BY47" s="347"/>
      <c r="BZ47" s="347"/>
      <c r="CA47" s="586">
        <f t="shared" si="22"/>
        <v>8000.82</v>
      </c>
      <c r="CB47" s="581">
        <f t="shared" si="61"/>
        <v>296</v>
      </c>
      <c r="CC47" s="581">
        <f t="shared" si="62"/>
        <v>300.03075</v>
      </c>
      <c r="CD47" s="581">
        <f t="shared" si="25"/>
        <v>10193.00839</v>
      </c>
      <c r="CE47" s="581">
        <f t="shared" si="26"/>
        <v>7038.625139</v>
      </c>
      <c r="CF47" s="581">
        <f t="shared" si="27"/>
        <v>7409.079093</v>
      </c>
      <c r="CG47" s="581">
        <f t="shared" si="28"/>
        <v>751.3748613</v>
      </c>
      <c r="CH47" s="608">
        <f t="shared" si="29"/>
        <v>0.1067502313</v>
      </c>
      <c r="CI47" s="603">
        <f t="shared" si="30"/>
        <v>210074.5493</v>
      </c>
      <c r="CJ47" s="347"/>
      <c r="CK47" s="582">
        <f t="shared" si="55"/>
        <v>4344.009</v>
      </c>
      <c r="CL47" s="539">
        <f t="shared" si="32"/>
        <v>31121.53155</v>
      </c>
      <c r="CM47" s="347">
        <f t="shared" si="33"/>
        <v>6626.061728</v>
      </c>
      <c r="CN47" s="347">
        <f t="shared" si="34"/>
        <v>47470.70945</v>
      </c>
      <c r="CO47" s="347" t="str">
        <f t="shared" si="35"/>
        <v>2025-03-27</v>
      </c>
      <c r="CP47" s="347"/>
    </row>
    <row r="48">
      <c r="A48" s="574">
        <f t="shared" si="52"/>
        <v>200084</v>
      </c>
      <c r="B48" s="574" t="str">
        <f t="shared" si="1"/>
        <v>Batch 200084</v>
      </c>
      <c r="C48" s="345" t="s">
        <v>1930</v>
      </c>
      <c r="D48" s="575" t="str">
        <f t="shared" si="51"/>
        <v>2-84</v>
      </c>
      <c r="E48" s="345" t="s">
        <v>2779</v>
      </c>
      <c r="F48" s="583">
        <v>45738.770833333336</v>
      </c>
      <c r="G48" s="583">
        <v>45740.4375</v>
      </c>
      <c r="H48" s="347"/>
      <c r="I48" s="612">
        <v>45741.416666666664</v>
      </c>
      <c r="J48" s="583">
        <v>45741.666666666664</v>
      </c>
      <c r="K48" s="609" t="s">
        <v>382</v>
      </c>
      <c r="L48" s="1">
        <v>2758.0</v>
      </c>
      <c r="M48" s="345">
        <v>1.215</v>
      </c>
      <c r="N48" s="345">
        <v>24.5</v>
      </c>
      <c r="O48" s="579">
        <f t="shared" si="2"/>
        <v>10440.16078</v>
      </c>
      <c r="P48" s="579">
        <f t="shared" si="46"/>
        <v>12684.79535</v>
      </c>
      <c r="Q48" s="575" t="s">
        <v>380</v>
      </c>
      <c r="R48" s="345">
        <v>4462.0</v>
      </c>
      <c r="S48" s="580">
        <v>1.216</v>
      </c>
      <c r="T48" s="345">
        <v>23.3</v>
      </c>
      <c r="U48" s="579">
        <f t="shared" si="48"/>
        <v>16890.49942</v>
      </c>
      <c r="V48" s="579">
        <f t="shared" si="49"/>
        <v>20538.84729</v>
      </c>
      <c r="W48" s="575" t="s">
        <v>377</v>
      </c>
      <c r="X48" s="345">
        <v>840.0</v>
      </c>
      <c r="Y48" s="345">
        <v>1.214</v>
      </c>
      <c r="Z48" s="345">
        <v>24.9</v>
      </c>
      <c r="AA48" s="579">
        <f t="shared" si="6"/>
        <v>3179.7444</v>
      </c>
      <c r="AB48" s="581">
        <f t="shared" si="65"/>
        <v>3860.209702</v>
      </c>
      <c r="AC48" s="347"/>
      <c r="AD48" s="347"/>
      <c r="AE48" s="347"/>
      <c r="AF48" s="347"/>
      <c r="AG48" s="579">
        <f t="shared" si="54"/>
        <v>0</v>
      </c>
      <c r="AH48" s="579">
        <f t="shared" ref="AH48:AH56" si="66">AD48*$CP$3*AE48</f>
        <v>0</v>
      </c>
      <c r="AI48" s="582"/>
      <c r="AJ48" s="582"/>
      <c r="AK48" s="582"/>
      <c r="AL48" s="582"/>
      <c r="AM48" s="579"/>
      <c r="AN48" s="579"/>
      <c r="AO48" s="347"/>
      <c r="AP48" s="581">
        <f t="shared" si="10"/>
        <v>37083.85234</v>
      </c>
      <c r="AQ48" s="345" t="s">
        <v>2955</v>
      </c>
      <c r="AR48" s="345" t="s">
        <v>2956</v>
      </c>
      <c r="AS48" s="346">
        <v>7628.0</v>
      </c>
      <c r="AT48" s="346" t="s">
        <v>2800</v>
      </c>
      <c r="AU48" s="346">
        <v>0.0</v>
      </c>
      <c r="AV48" s="346">
        <v>400.0</v>
      </c>
      <c r="AW48" s="346">
        <v>320.0</v>
      </c>
      <c r="AX48" s="584">
        <f t="shared" si="11"/>
        <v>7708</v>
      </c>
      <c r="AY48" s="581">
        <f t="shared" si="12"/>
        <v>8028</v>
      </c>
      <c r="AZ48" s="581">
        <f t="shared" si="43"/>
        <v>3641.443877</v>
      </c>
      <c r="BA48" s="583">
        <v>45740.541666666664</v>
      </c>
      <c r="BB48" s="583">
        <v>45740.708333333336</v>
      </c>
      <c r="BC48" s="346">
        <v>302.0</v>
      </c>
      <c r="BD48" s="581">
        <f t="shared" si="36"/>
        <v>3853.52</v>
      </c>
      <c r="BE48" s="581">
        <f t="shared" si="37"/>
        <v>1747.929348</v>
      </c>
      <c r="BF48" s="345">
        <v>4.47</v>
      </c>
      <c r="BG48" s="345">
        <v>82580.0</v>
      </c>
      <c r="BH48" s="345">
        <v>38120.0</v>
      </c>
      <c r="BI48" s="607" t="s">
        <v>2957</v>
      </c>
      <c r="BJ48" s="586">
        <f t="shared" si="14"/>
        <v>44460</v>
      </c>
      <c r="BK48" s="581">
        <f t="shared" si="15"/>
        <v>20166.74075</v>
      </c>
      <c r="BL48" s="345">
        <v>83060.0</v>
      </c>
      <c r="BM48" s="345">
        <v>38380.0</v>
      </c>
      <c r="BN48" s="607" t="s">
        <v>2958</v>
      </c>
      <c r="BO48" s="586">
        <f t="shared" si="16"/>
        <v>44680</v>
      </c>
      <c r="BP48" s="584">
        <f t="shared" si="17"/>
        <v>20266.53119</v>
      </c>
      <c r="BQ48" s="345" t="s">
        <v>1810</v>
      </c>
      <c r="BR48" s="581">
        <f t="shared" si="38"/>
        <v>40433.27195</v>
      </c>
      <c r="BS48" s="588">
        <f t="shared" si="19"/>
        <v>35043.89872</v>
      </c>
      <c r="BT48" s="581">
        <f t="shared" si="20"/>
        <v>2039.953622</v>
      </c>
      <c r="BU48" s="605">
        <v>0.43</v>
      </c>
      <c r="BV48" s="581">
        <f t="shared" si="44"/>
        <v>55252.54698</v>
      </c>
      <c r="BW48" s="590"/>
      <c r="BX48" s="539">
        <f>AVERAGE(BS13:BS62)</f>
        <v>33762.97693</v>
      </c>
      <c r="BY48" s="347"/>
      <c r="BZ48" s="347"/>
      <c r="CA48" s="586">
        <f t="shared" si="22"/>
        <v>8060</v>
      </c>
      <c r="CB48" s="581">
        <f t="shared" si="61"/>
        <v>302</v>
      </c>
      <c r="CC48" s="581">
        <f t="shared" si="62"/>
        <v>302.25</v>
      </c>
      <c r="CD48" s="581">
        <f t="shared" si="25"/>
        <v>10130.8944</v>
      </c>
      <c r="CE48" s="581">
        <f t="shared" si="26"/>
        <v>6995.733273</v>
      </c>
      <c r="CF48" s="581">
        <f t="shared" si="27"/>
        <v>7363.929761</v>
      </c>
      <c r="CG48" s="581">
        <f t="shared" si="28"/>
        <v>712.2667274</v>
      </c>
      <c r="CH48" s="608">
        <f t="shared" si="29"/>
        <v>0.1018144488</v>
      </c>
      <c r="CI48" s="603">
        <f t="shared" si="30"/>
        <v>209137.6783</v>
      </c>
      <c r="CJ48" s="347"/>
      <c r="CK48" s="347">
        <f t="shared" si="55"/>
        <v>0</v>
      </c>
      <c r="CL48" s="539">
        <f t="shared" si="32"/>
        <v>35043.89872</v>
      </c>
      <c r="CM48" s="347">
        <f t="shared" si="33"/>
        <v>0</v>
      </c>
      <c r="CN48" s="347">
        <f t="shared" si="34"/>
        <v>55252.54698</v>
      </c>
      <c r="CO48" s="347" t="str">
        <f t="shared" si="35"/>
        <v>2025-03-25</v>
      </c>
      <c r="CP48" s="347"/>
    </row>
    <row r="49">
      <c r="A49" s="574">
        <f t="shared" si="52"/>
        <v>300017</v>
      </c>
      <c r="B49" s="574" t="str">
        <f t="shared" si="1"/>
        <v>Batch 300017</v>
      </c>
      <c r="C49" s="345" t="s">
        <v>1930</v>
      </c>
      <c r="D49" s="575" t="str">
        <f t="shared" si="51"/>
        <v>3-17</v>
      </c>
      <c r="E49" s="345" t="s">
        <v>2779</v>
      </c>
      <c r="F49" s="612">
        <f t="shared" ref="F49:F50" si="67">I49-1</f>
        <v>45743.4375</v>
      </c>
      <c r="G49" s="583">
        <v>45742.989583333336</v>
      </c>
      <c r="H49" s="347"/>
      <c r="I49" s="612">
        <v>45744.4375</v>
      </c>
      <c r="J49" s="583">
        <v>45744.666666666664</v>
      </c>
      <c r="K49" s="609" t="s">
        <v>390</v>
      </c>
      <c r="L49" s="1">
        <v>4418.0</v>
      </c>
      <c r="M49" s="345">
        <v>1.219</v>
      </c>
      <c r="N49" s="345">
        <v>24.0</v>
      </c>
      <c r="O49" s="579">
        <f t="shared" si="2"/>
        <v>16723.94138</v>
      </c>
      <c r="P49" s="579">
        <f t="shared" si="46"/>
        <v>20386.48454</v>
      </c>
      <c r="Q49" s="575" t="s">
        <v>386</v>
      </c>
      <c r="R49" s="345">
        <v>3287.0</v>
      </c>
      <c r="S49" s="580">
        <v>1.2145</v>
      </c>
      <c r="T49" s="345">
        <v>24.5</v>
      </c>
      <c r="U49" s="579">
        <f t="shared" si="48"/>
        <v>12442.64267</v>
      </c>
      <c r="V49" s="579">
        <f t="shared" si="49"/>
        <v>15111.58952</v>
      </c>
      <c r="W49" s="575" t="s">
        <v>278</v>
      </c>
      <c r="X49" s="345">
        <v>526.76</v>
      </c>
      <c r="Y49" s="345">
        <v>1.22</v>
      </c>
      <c r="Z49" s="345">
        <v>23.62</v>
      </c>
      <c r="AA49" s="579">
        <f t="shared" si="6"/>
        <v>1994.002572</v>
      </c>
      <c r="AB49" s="584">
        <v>1994.517</v>
      </c>
      <c r="AC49" s="347"/>
      <c r="AD49" s="347"/>
      <c r="AE49" s="347"/>
      <c r="AF49" s="347"/>
      <c r="AG49" s="579">
        <f t="shared" si="54"/>
        <v>0</v>
      </c>
      <c r="AH49" s="579">
        <f t="shared" si="66"/>
        <v>0</v>
      </c>
      <c r="AI49" s="582"/>
      <c r="AJ49" s="582"/>
      <c r="AK49" s="582"/>
      <c r="AL49" s="582"/>
      <c r="AM49" s="579"/>
      <c r="AN49" s="579"/>
      <c r="AO49" s="347"/>
      <c r="AP49" s="581">
        <f t="shared" si="10"/>
        <v>37492.59106</v>
      </c>
      <c r="AQ49" s="345" t="s">
        <v>2959</v>
      </c>
      <c r="AR49" s="583">
        <v>45744.291666666664</v>
      </c>
      <c r="AS49" s="346">
        <v>8348.0</v>
      </c>
      <c r="AT49" s="346" t="s">
        <v>2800</v>
      </c>
      <c r="AU49" s="346">
        <v>102.0</v>
      </c>
      <c r="AV49" s="346">
        <v>350.0</v>
      </c>
      <c r="AW49" s="348"/>
      <c r="AX49" s="584">
        <f t="shared" si="11"/>
        <v>8596</v>
      </c>
      <c r="AY49" s="581">
        <f t="shared" si="12"/>
        <v>8698</v>
      </c>
      <c r="AZ49" s="581">
        <f t="shared" si="43"/>
        <v>3945.351126</v>
      </c>
      <c r="BA49" s="583">
        <v>45743.6875</v>
      </c>
      <c r="BB49" s="583">
        <v>45743.8125</v>
      </c>
      <c r="BC49" s="346">
        <v>321.0</v>
      </c>
      <c r="BD49" s="581">
        <f t="shared" si="36"/>
        <v>4095.96</v>
      </c>
      <c r="BE49" s="581">
        <f t="shared" si="37"/>
        <v>1857.898413</v>
      </c>
      <c r="BF49" s="345">
        <v>4.34</v>
      </c>
      <c r="BG49" s="345">
        <v>78220.0</v>
      </c>
      <c r="BH49" s="345">
        <v>34560.0</v>
      </c>
      <c r="BI49" s="607" t="s">
        <v>2960</v>
      </c>
      <c r="BJ49" s="586">
        <f t="shared" si="14"/>
        <v>43660</v>
      </c>
      <c r="BK49" s="581">
        <f t="shared" si="15"/>
        <v>19803.86643</v>
      </c>
      <c r="BL49" s="345">
        <v>85340.0</v>
      </c>
      <c r="BM49" s="345">
        <v>39080.0</v>
      </c>
      <c r="BN49" s="607" t="s">
        <v>2960</v>
      </c>
      <c r="BO49" s="586">
        <f t="shared" si="16"/>
        <v>46260</v>
      </c>
      <c r="BP49" s="584">
        <f t="shared" si="17"/>
        <v>20983.20799</v>
      </c>
      <c r="BQ49" s="345" t="s">
        <v>2824</v>
      </c>
      <c r="BR49" s="581">
        <f t="shared" si="38"/>
        <v>40787.07442</v>
      </c>
      <c r="BS49" s="588">
        <f t="shared" si="19"/>
        <v>34983.82488</v>
      </c>
      <c r="BT49" s="581">
        <f t="shared" si="20"/>
        <v>2508.766188</v>
      </c>
      <c r="BU49" s="605">
        <v>0.416</v>
      </c>
      <c r="BV49" s="581">
        <f t="shared" si="44"/>
        <v>53361.99421</v>
      </c>
      <c r="BW49" s="590"/>
      <c r="BX49" s="347"/>
      <c r="BY49" s="347"/>
      <c r="BZ49" s="347"/>
      <c r="CA49" s="586">
        <f t="shared" si="22"/>
        <v>8231.76</v>
      </c>
      <c r="CB49" s="581">
        <f t="shared" si="61"/>
        <v>321</v>
      </c>
      <c r="CC49" s="581">
        <f t="shared" si="62"/>
        <v>308.691</v>
      </c>
      <c r="CD49" s="581">
        <f t="shared" si="25"/>
        <v>10526.37318</v>
      </c>
      <c r="CE49" s="581">
        <f t="shared" si="26"/>
        <v>7268.82506</v>
      </c>
      <c r="CF49" s="581">
        <f t="shared" si="27"/>
        <v>7651.3948</v>
      </c>
      <c r="CG49" s="581">
        <f t="shared" si="28"/>
        <v>1327.17494</v>
      </c>
      <c r="CH49" s="608">
        <f t="shared" si="29"/>
        <v>0.1825845208</v>
      </c>
      <c r="CI49" s="603">
        <f t="shared" si="30"/>
        <v>224468.8126</v>
      </c>
      <c r="CJ49" s="347"/>
      <c r="CK49" s="348">
        <f t="shared" si="55"/>
        <v>1994.517</v>
      </c>
      <c r="CL49" s="539">
        <f t="shared" si="32"/>
        <v>32989.30788</v>
      </c>
      <c r="CM49" s="347">
        <f t="shared" si="33"/>
        <v>3042.303264</v>
      </c>
      <c r="CN49" s="347">
        <f t="shared" si="34"/>
        <v>50319.69095</v>
      </c>
      <c r="CO49" s="347" t="str">
        <f t="shared" si="35"/>
        <v>2025-03-28</v>
      </c>
      <c r="CP49" s="347"/>
    </row>
    <row r="50">
      <c r="A50" s="574">
        <f t="shared" si="52"/>
        <v>200085</v>
      </c>
      <c r="B50" s="574" t="str">
        <f t="shared" si="1"/>
        <v>Batch 200085</v>
      </c>
      <c r="C50" s="345" t="s">
        <v>1930</v>
      </c>
      <c r="D50" s="575" t="str">
        <f t="shared" si="51"/>
        <v>2-85</v>
      </c>
      <c r="E50" s="345" t="s">
        <v>2779</v>
      </c>
      <c r="F50" s="612">
        <f t="shared" si="67"/>
        <v>45747.35417</v>
      </c>
      <c r="G50" s="583">
        <v>45746.75</v>
      </c>
      <c r="H50" s="347"/>
      <c r="I50" s="612">
        <v>45748.354166666664</v>
      </c>
      <c r="J50" s="583">
        <v>45748.6875</v>
      </c>
      <c r="K50" s="609" t="s">
        <v>393</v>
      </c>
      <c r="L50" s="1">
        <v>1970.0</v>
      </c>
      <c r="M50" s="345">
        <v>1.22</v>
      </c>
      <c r="N50" s="345">
        <v>24.0</v>
      </c>
      <c r="O50" s="579">
        <f t="shared" si="2"/>
        <v>7457.2577</v>
      </c>
      <c r="P50" s="579">
        <f t="shared" si="46"/>
        <v>9097.854394</v>
      </c>
      <c r="Q50" s="575" t="s">
        <v>394</v>
      </c>
      <c r="R50" s="345">
        <v>1694.0</v>
      </c>
      <c r="S50" s="580">
        <v>1.22</v>
      </c>
      <c r="T50" s="345">
        <v>24.0</v>
      </c>
      <c r="U50" s="579">
        <f t="shared" si="48"/>
        <v>6412.48454</v>
      </c>
      <c r="V50" s="579">
        <f t="shared" si="49"/>
        <v>7823.231139</v>
      </c>
      <c r="W50" s="575" t="s">
        <v>396</v>
      </c>
      <c r="X50" s="345">
        <v>4351.0</v>
      </c>
      <c r="Y50" s="345">
        <v>1.22</v>
      </c>
      <c r="Z50" s="345">
        <v>22.1</v>
      </c>
      <c r="AA50" s="579">
        <f t="shared" si="6"/>
        <v>16470.31891</v>
      </c>
      <c r="AB50" s="581">
        <f>X50*$CP$3*Y50</f>
        <v>20093.78907</v>
      </c>
      <c r="AC50" s="347"/>
      <c r="AD50" s="347"/>
      <c r="AE50" s="347"/>
      <c r="AF50" s="347"/>
      <c r="AG50" s="579">
        <f t="shared" si="54"/>
        <v>0</v>
      </c>
      <c r="AH50" s="579">
        <f t="shared" si="66"/>
        <v>0</v>
      </c>
      <c r="AI50" s="582"/>
      <c r="AJ50" s="582"/>
      <c r="AK50" s="582"/>
      <c r="AL50" s="582"/>
      <c r="AM50" s="579"/>
      <c r="AN50" s="579"/>
      <c r="AO50" s="347"/>
      <c r="AP50" s="581">
        <f t="shared" si="10"/>
        <v>37014.8746</v>
      </c>
      <c r="AQ50" s="345" t="s">
        <v>2961</v>
      </c>
      <c r="AR50" s="345" t="s">
        <v>2962</v>
      </c>
      <c r="AS50" s="346">
        <v>7537.0</v>
      </c>
      <c r="AT50" s="346" t="s">
        <v>2800</v>
      </c>
      <c r="AU50" s="346">
        <v>0.0</v>
      </c>
      <c r="AV50" s="346">
        <v>0.0</v>
      </c>
      <c r="AW50" s="346">
        <v>280.0</v>
      </c>
      <c r="AX50" s="584">
        <f t="shared" si="11"/>
        <v>7257</v>
      </c>
      <c r="AY50" s="581">
        <f t="shared" si="12"/>
        <v>7537</v>
      </c>
      <c r="AZ50" s="581">
        <f t="shared" si="43"/>
        <v>3418.729758</v>
      </c>
      <c r="BA50" s="345" t="s">
        <v>2963</v>
      </c>
      <c r="BB50" s="583">
        <v>45747.75</v>
      </c>
      <c r="BC50" s="346">
        <v>309.0</v>
      </c>
      <c r="BD50" s="581">
        <f t="shared" si="36"/>
        <v>3942.84</v>
      </c>
      <c r="BE50" s="581">
        <f t="shared" si="37"/>
        <v>1788.444267</v>
      </c>
      <c r="BF50" s="345">
        <v>4.48</v>
      </c>
      <c r="BG50" s="345">
        <v>78920.0</v>
      </c>
      <c r="BH50" s="345">
        <v>36680.0</v>
      </c>
      <c r="BI50" s="607" t="s">
        <v>2964</v>
      </c>
      <c r="BJ50" s="586">
        <f t="shared" si="14"/>
        <v>42240</v>
      </c>
      <c r="BK50" s="581">
        <f t="shared" si="15"/>
        <v>19159.76449</v>
      </c>
      <c r="BL50" s="345">
        <v>86540.0</v>
      </c>
      <c r="BM50" s="345">
        <v>38960.0</v>
      </c>
      <c r="BN50" s="607" t="s">
        <v>2964</v>
      </c>
      <c r="BO50" s="586">
        <f t="shared" si="16"/>
        <v>47580</v>
      </c>
      <c r="BP50" s="584">
        <f t="shared" si="17"/>
        <v>21581.95063</v>
      </c>
      <c r="BQ50" s="345" t="s">
        <v>2897</v>
      </c>
      <c r="BR50" s="581">
        <f t="shared" si="38"/>
        <v>40741.71513</v>
      </c>
      <c r="BS50" s="588">
        <f t="shared" si="19"/>
        <v>35534.5411</v>
      </c>
      <c r="BT50" s="581">
        <f t="shared" si="20"/>
        <v>1480.333503</v>
      </c>
      <c r="BU50" s="605">
        <v>0.429</v>
      </c>
      <c r="BV50" s="581">
        <f t="shared" si="44"/>
        <v>55895.83315</v>
      </c>
      <c r="BW50" s="590"/>
      <c r="BX50" s="347"/>
      <c r="BY50" s="347"/>
      <c r="BZ50" s="347"/>
      <c r="CA50" s="586">
        <f t="shared" si="22"/>
        <v>8015</v>
      </c>
      <c r="CB50" s="581">
        <f t="shared" si="61"/>
        <v>309</v>
      </c>
      <c r="CC50" s="581">
        <f t="shared" si="62"/>
        <v>300.5625</v>
      </c>
      <c r="CD50" s="581">
        <f t="shared" si="25"/>
        <v>9807.748684</v>
      </c>
      <c r="CE50" s="581">
        <f t="shared" si="26"/>
        <v>6772.589973</v>
      </c>
      <c r="CF50" s="581">
        <f t="shared" si="27"/>
        <v>7129.042077</v>
      </c>
      <c r="CG50" s="581">
        <f t="shared" si="28"/>
        <v>484.4100271</v>
      </c>
      <c r="CH50" s="608">
        <f t="shared" si="29"/>
        <v>0.07152507815</v>
      </c>
      <c r="CI50" s="603">
        <f t="shared" si="30"/>
        <v>203388.3902</v>
      </c>
      <c r="CJ50" s="347"/>
      <c r="CK50" s="347">
        <f t="shared" si="55"/>
        <v>0</v>
      </c>
      <c r="CL50" s="539">
        <f t="shared" si="32"/>
        <v>35534.5411</v>
      </c>
      <c r="CM50" s="347">
        <f t="shared" si="33"/>
        <v>0</v>
      </c>
      <c r="CN50" s="347">
        <f t="shared" si="34"/>
        <v>55895.83315</v>
      </c>
      <c r="CO50" s="347" t="str">
        <f t="shared" si="35"/>
        <v>2025-04-01</v>
      </c>
      <c r="CP50" s="347"/>
    </row>
    <row r="51">
      <c r="A51" s="574">
        <f t="shared" si="52"/>
        <v>300018</v>
      </c>
      <c r="B51" s="574" t="str">
        <f t="shared" si="1"/>
        <v>Batch 300018</v>
      </c>
      <c r="C51" s="345" t="s">
        <v>1930</v>
      </c>
      <c r="D51" s="575" t="str">
        <f t="shared" si="51"/>
        <v>3-18</v>
      </c>
      <c r="E51" s="345" t="s">
        <v>2779</v>
      </c>
      <c r="F51" s="583">
        <v>45743.791666666664</v>
      </c>
      <c r="G51" s="583">
        <v>45744.9375</v>
      </c>
      <c r="H51" s="347"/>
      <c r="I51" s="612">
        <v>45747.354166666664</v>
      </c>
      <c r="J51" s="583">
        <v>45747.666666666664</v>
      </c>
      <c r="K51" s="609" t="s">
        <v>394</v>
      </c>
      <c r="L51" s="1">
        <v>2585.0</v>
      </c>
      <c r="M51" s="345">
        <v>1.22</v>
      </c>
      <c r="N51" s="345">
        <v>22.1</v>
      </c>
      <c r="O51" s="579">
        <f t="shared" si="2"/>
        <v>9785.28485</v>
      </c>
      <c r="P51" s="579">
        <f t="shared" si="46"/>
        <v>11938.04752</v>
      </c>
      <c r="Q51" s="575" t="s">
        <v>388</v>
      </c>
      <c r="R51" s="345">
        <v>4385.0</v>
      </c>
      <c r="S51" s="580">
        <v>1.2145</v>
      </c>
      <c r="T51" s="345">
        <v>24.5</v>
      </c>
      <c r="U51" s="579">
        <f t="shared" si="48"/>
        <v>16599.02285</v>
      </c>
      <c r="V51" s="579">
        <f t="shared" si="49"/>
        <v>20159.51325</v>
      </c>
      <c r="W51" s="575" t="s">
        <v>278</v>
      </c>
      <c r="X51" s="345">
        <v>1080.0</v>
      </c>
      <c r="Y51" s="345">
        <v>1.22</v>
      </c>
      <c r="Z51" s="345">
        <v>24.18</v>
      </c>
      <c r="AA51" s="579">
        <f t="shared" si="6"/>
        <v>4088.2428</v>
      </c>
      <c r="AB51" s="584">
        <v>4974.41</v>
      </c>
      <c r="AC51" s="347"/>
      <c r="AD51" s="347"/>
      <c r="AE51" s="347"/>
      <c r="AF51" s="347"/>
      <c r="AG51" s="579">
        <f t="shared" si="54"/>
        <v>0</v>
      </c>
      <c r="AH51" s="579">
        <f t="shared" si="66"/>
        <v>0</v>
      </c>
      <c r="AI51" s="582"/>
      <c r="AJ51" s="582"/>
      <c r="AK51" s="582"/>
      <c r="AL51" s="582"/>
      <c r="AM51" s="579"/>
      <c r="AN51" s="579"/>
      <c r="AO51" s="347"/>
      <c r="AP51" s="581">
        <f t="shared" si="10"/>
        <v>37071.97077</v>
      </c>
      <c r="AQ51" s="583">
        <v>45746.729166666664</v>
      </c>
      <c r="AR51" s="583">
        <v>45746.291666666664</v>
      </c>
      <c r="AS51" s="346">
        <v>7718.0</v>
      </c>
      <c r="AT51" s="346" t="s">
        <v>2800</v>
      </c>
      <c r="AU51" s="346">
        <v>0.0</v>
      </c>
      <c r="AV51" s="346">
        <v>0.0</v>
      </c>
      <c r="AW51" s="346">
        <v>690.0</v>
      </c>
      <c r="AX51" s="584">
        <f t="shared" si="11"/>
        <v>7028</v>
      </c>
      <c r="AY51" s="581">
        <f t="shared" si="12"/>
        <v>7718</v>
      </c>
      <c r="AZ51" s="581">
        <f t="shared" si="43"/>
        <v>3500.830075</v>
      </c>
      <c r="BA51" s="583">
        <v>45746.375</v>
      </c>
      <c r="BB51" s="583">
        <v>45746.604166666664</v>
      </c>
      <c r="BC51" s="346">
        <v>302.0</v>
      </c>
      <c r="BD51" s="581">
        <f t="shared" si="36"/>
        <v>3853.52</v>
      </c>
      <c r="BE51" s="581">
        <f t="shared" si="37"/>
        <v>1747.929348</v>
      </c>
      <c r="BF51" s="345">
        <v>4.78</v>
      </c>
      <c r="BG51" s="345">
        <v>80300.0</v>
      </c>
      <c r="BH51" s="345">
        <v>36240.0</v>
      </c>
      <c r="BI51" s="607" t="s">
        <v>2965</v>
      </c>
      <c r="BJ51" s="586">
        <f t="shared" si="14"/>
        <v>44060</v>
      </c>
      <c r="BK51" s="581">
        <f t="shared" si="15"/>
        <v>19985.30359</v>
      </c>
      <c r="BL51" s="345">
        <v>85840.0</v>
      </c>
      <c r="BM51" s="345">
        <v>38780.0</v>
      </c>
      <c r="BN51" s="607" t="s">
        <v>2965</v>
      </c>
      <c r="BO51" s="586">
        <f t="shared" si="16"/>
        <v>47060</v>
      </c>
      <c r="BP51" s="584">
        <f t="shared" si="17"/>
        <v>21346.08232</v>
      </c>
      <c r="BQ51" s="345" t="s">
        <v>1810</v>
      </c>
      <c r="BR51" s="581">
        <f t="shared" si="38"/>
        <v>41331.38591</v>
      </c>
      <c r="BS51" s="588">
        <f t="shared" si="19"/>
        <v>36082.62648</v>
      </c>
      <c r="BT51" s="581">
        <f t="shared" si="20"/>
        <v>989.3442839</v>
      </c>
      <c r="BU51" s="605">
        <v>0.422</v>
      </c>
      <c r="BV51" s="581">
        <f t="shared" si="44"/>
        <v>55831.85071</v>
      </c>
      <c r="BW51" s="590"/>
      <c r="BX51" s="348">
        <f>SUM(BV50,BV52:BV72,BV74,BV77)</f>
        <v>700697.9095</v>
      </c>
      <c r="BY51" s="347"/>
      <c r="BZ51" s="347"/>
      <c r="CA51" s="586">
        <f t="shared" si="22"/>
        <v>8050</v>
      </c>
      <c r="CB51" s="581">
        <f t="shared" si="61"/>
        <v>302</v>
      </c>
      <c r="CC51" s="581">
        <f t="shared" si="62"/>
        <v>301.875</v>
      </c>
      <c r="CD51" s="581">
        <f t="shared" si="25"/>
        <v>10059.78042</v>
      </c>
      <c r="CE51" s="581">
        <f t="shared" si="26"/>
        <v>6946.626611</v>
      </c>
      <c r="CF51" s="581">
        <f t="shared" si="27"/>
        <v>7312.238538</v>
      </c>
      <c r="CG51" s="581">
        <f t="shared" si="28"/>
        <v>81.3733886</v>
      </c>
      <c r="CH51" s="608">
        <f t="shared" si="29"/>
        <v>0.01171408702</v>
      </c>
      <c r="CI51" s="603">
        <f t="shared" si="30"/>
        <v>192035.5423</v>
      </c>
      <c r="CJ51" s="347"/>
      <c r="CK51" s="348">
        <f t="shared" si="55"/>
        <v>4974.41</v>
      </c>
      <c r="CL51" s="539">
        <f t="shared" si="32"/>
        <v>31108.21648</v>
      </c>
      <c r="CM51" s="347">
        <f t="shared" si="33"/>
        <v>7697.070407</v>
      </c>
      <c r="CN51" s="347">
        <f t="shared" si="34"/>
        <v>48134.78031</v>
      </c>
      <c r="CO51" s="347" t="str">
        <f t="shared" si="35"/>
        <v>2025-03-31</v>
      </c>
      <c r="CP51" s="347"/>
    </row>
    <row r="52">
      <c r="A52" s="574">
        <f t="shared" si="52"/>
        <v>200086</v>
      </c>
      <c r="B52" s="574" t="str">
        <f t="shared" si="1"/>
        <v>Batch 200086</v>
      </c>
      <c r="C52" s="345" t="s">
        <v>1930</v>
      </c>
      <c r="D52" s="575" t="str">
        <f t="shared" si="51"/>
        <v>2-86</v>
      </c>
      <c r="E52" s="345" t="s">
        <v>2779</v>
      </c>
      <c r="F52" s="583">
        <v>45759.239583333336</v>
      </c>
      <c r="G52" s="583">
        <v>45760.072916666664</v>
      </c>
      <c r="H52" s="347"/>
      <c r="I52" s="612">
        <v>45761.385416666664</v>
      </c>
      <c r="J52" s="583">
        <v>45761.5625</v>
      </c>
      <c r="K52" s="609" t="s">
        <v>397</v>
      </c>
      <c r="L52" s="1">
        <v>3798.0</v>
      </c>
      <c r="M52" s="345">
        <v>1.21</v>
      </c>
      <c r="N52" s="345">
        <v>23.4</v>
      </c>
      <c r="O52" s="579">
        <f t="shared" si="2"/>
        <v>14376.98718</v>
      </c>
      <c r="P52" s="579">
        <f t="shared" si="46"/>
        <v>17396.15449</v>
      </c>
      <c r="Q52" s="574"/>
      <c r="R52" s="347"/>
      <c r="S52" s="597"/>
      <c r="T52" s="347"/>
      <c r="U52" s="579">
        <f t="shared" si="48"/>
        <v>0</v>
      </c>
      <c r="V52" s="579">
        <f t="shared" si="49"/>
        <v>0</v>
      </c>
      <c r="W52" s="574"/>
      <c r="X52" s="347"/>
      <c r="Y52" s="347"/>
      <c r="Z52" s="347"/>
      <c r="AA52" s="579">
        <f t="shared" si="6"/>
        <v>0</v>
      </c>
      <c r="AB52" s="581">
        <f>X52*$CP$3*Y52</f>
        <v>0</v>
      </c>
      <c r="AC52" s="347"/>
      <c r="AD52" s="347"/>
      <c r="AE52" s="347"/>
      <c r="AF52" s="347"/>
      <c r="AG52" s="579">
        <f t="shared" si="54"/>
        <v>0</v>
      </c>
      <c r="AH52" s="579">
        <f t="shared" si="66"/>
        <v>0</v>
      </c>
      <c r="AI52" s="582"/>
      <c r="AJ52" s="582"/>
      <c r="AK52" s="582"/>
      <c r="AL52" s="582"/>
      <c r="AM52" s="579"/>
      <c r="AN52" s="579"/>
      <c r="AO52" s="347"/>
      <c r="AP52" s="581">
        <f t="shared" si="10"/>
        <v>17396.15449</v>
      </c>
      <c r="AQ52" s="345" t="s">
        <v>2966</v>
      </c>
      <c r="AR52" s="345" t="s">
        <v>2967</v>
      </c>
      <c r="AS52" s="346">
        <v>4000.0</v>
      </c>
      <c r="AT52" s="346" t="s">
        <v>2800</v>
      </c>
      <c r="AU52" s="346">
        <v>662.0</v>
      </c>
      <c r="AV52" s="346">
        <v>700.0</v>
      </c>
      <c r="AW52" s="346">
        <v>70.0</v>
      </c>
      <c r="AX52" s="584">
        <f t="shared" si="11"/>
        <v>3968</v>
      </c>
      <c r="AY52" s="581">
        <f t="shared" si="12"/>
        <v>4700</v>
      </c>
      <c r="AZ52" s="581">
        <f t="shared" si="43"/>
        <v>2131.886674</v>
      </c>
      <c r="BA52" s="583">
        <v>45760.583333333336</v>
      </c>
      <c r="BB52" s="583">
        <v>45761.333333333336</v>
      </c>
      <c r="BC52" s="346">
        <v>148.0</v>
      </c>
      <c r="BD52" s="581">
        <f t="shared" si="36"/>
        <v>1888.48</v>
      </c>
      <c r="BE52" s="581">
        <f t="shared" si="37"/>
        <v>856.6011376</v>
      </c>
      <c r="BF52" s="345">
        <v>4.53</v>
      </c>
      <c r="BG52" s="345">
        <v>75960.0</v>
      </c>
      <c r="BH52" s="345">
        <v>33240.0</v>
      </c>
      <c r="BI52" s="607" t="s">
        <v>2968</v>
      </c>
      <c r="BJ52" s="586">
        <f t="shared" si="14"/>
        <v>42720</v>
      </c>
      <c r="BK52" s="581">
        <f t="shared" si="15"/>
        <v>19377.48909</v>
      </c>
      <c r="BL52" s="347"/>
      <c r="BM52" s="347"/>
      <c r="BN52" s="347"/>
      <c r="BO52" s="586">
        <f t="shared" si="16"/>
        <v>0</v>
      </c>
      <c r="BP52" s="584">
        <f t="shared" si="17"/>
        <v>0</v>
      </c>
      <c r="BQ52" s="345" t="s">
        <v>1810</v>
      </c>
      <c r="BR52" s="581">
        <f t="shared" si="38"/>
        <v>19377.48909</v>
      </c>
      <c r="BS52" s="588">
        <f t="shared" si="19"/>
        <v>16389.00128</v>
      </c>
      <c r="BT52" s="581">
        <f t="shared" si="20"/>
        <v>1007.153209</v>
      </c>
      <c r="BU52" s="605">
        <v>0.432</v>
      </c>
      <c r="BV52" s="581">
        <f t="shared" si="44"/>
        <v>25960.17803</v>
      </c>
      <c r="BW52" s="590"/>
      <c r="BX52" s="347">
        <f>BX51*(1-0.2)</f>
        <v>560558.3276</v>
      </c>
      <c r="BY52" s="347"/>
      <c r="BZ52" s="347"/>
      <c r="CA52" s="586">
        <f t="shared" si="22"/>
        <v>3798</v>
      </c>
      <c r="CB52" s="581">
        <f t="shared" si="61"/>
        <v>148</v>
      </c>
      <c r="CC52" s="581">
        <f t="shared" si="62"/>
        <v>142.425</v>
      </c>
      <c r="CD52" s="581">
        <f t="shared" si="25"/>
        <v>4696.208869</v>
      </c>
      <c r="CE52" s="581">
        <f t="shared" si="26"/>
        <v>3242.894789</v>
      </c>
      <c r="CF52" s="581">
        <f t="shared" si="27"/>
        <v>3413.573462</v>
      </c>
      <c r="CG52" s="581">
        <f t="shared" si="28"/>
        <v>725.1052111</v>
      </c>
      <c r="CH52" s="608">
        <f t="shared" si="29"/>
        <v>0.2235981301</v>
      </c>
      <c r="CI52" s="603">
        <f t="shared" si="30"/>
        <v>232253.6906</v>
      </c>
      <c r="CJ52" s="347"/>
      <c r="CK52" s="347">
        <f t="shared" si="55"/>
        <v>0</v>
      </c>
      <c r="CL52" s="539">
        <f t="shared" si="32"/>
        <v>16389.00128</v>
      </c>
      <c r="CM52" s="347">
        <f t="shared" si="33"/>
        <v>0</v>
      </c>
      <c r="CN52" s="347">
        <f t="shared" si="34"/>
        <v>25960.17803</v>
      </c>
      <c r="CO52" s="347" t="str">
        <f t="shared" si="35"/>
        <v>2025-04-14</v>
      </c>
      <c r="CP52" s="347"/>
    </row>
    <row r="53">
      <c r="A53" s="574">
        <f t="shared" si="52"/>
        <v>300019</v>
      </c>
      <c r="B53" s="574" t="str">
        <f t="shared" si="1"/>
        <v>Batch 300019</v>
      </c>
      <c r="C53" s="345" t="s">
        <v>1930</v>
      </c>
      <c r="D53" s="575" t="str">
        <f t="shared" si="51"/>
        <v>3-19</v>
      </c>
      <c r="E53" s="345" t="s">
        <v>2779</v>
      </c>
      <c r="F53" s="583">
        <v>45747.625</v>
      </c>
      <c r="G53" s="583">
        <v>45748.708333333336</v>
      </c>
      <c r="H53" s="347"/>
      <c r="I53" s="612">
        <v>45750.4375</v>
      </c>
      <c r="J53" s="583">
        <v>45750.6875</v>
      </c>
      <c r="K53" s="609" t="s">
        <v>392</v>
      </c>
      <c r="L53" s="1">
        <v>4375.0</v>
      </c>
      <c r="M53" s="345">
        <v>1.22</v>
      </c>
      <c r="N53" s="345">
        <v>24.0</v>
      </c>
      <c r="O53" s="579">
        <f t="shared" si="2"/>
        <v>16561.16875</v>
      </c>
      <c r="P53" s="579">
        <f t="shared" si="46"/>
        <v>20204.62588</v>
      </c>
      <c r="Q53" s="575" t="s">
        <v>2969</v>
      </c>
      <c r="R53" s="345">
        <v>2741.0</v>
      </c>
      <c r="S53" s="580">
        <v>1.22</v>
      </c>
      <c r="T53" s="345">
        <v>24.0</v>
      </c>
      <c r="U53" s="579">
        <f t="shared" si="48"/>
        <v>10375.80881</v>
      </c>
      <c r="V53" s="579">
        <f t="shared" si="49"/>
        <v>12658.48675</v>
      </c>
      <c r="W53" s="575" t="s">
        <v>278</v>
      </c>
      <c r="X53" s="345">
        <v>1168.0</v>
      </c>
      <c r="Y53" s="345">
        <v>1.22</v>
      </c>
      <c r="Z53" s="345">
        <v>19.94</v>
      </c>
      <c r="AA53" s="579">
        <f t="shared" si="6"/>
        <v>4421.35888</v>
      </c>
      <c r="AB53" s="584">
        <v>5377.05</v>
      </c>
      <c r="AC53" s="347"/>
      <c r="AD53" s="347"/>
      <c r="AE53" s="347"/>
      <c r="AF53" s="347"/>
      <c r="AG53" s="579">
        <f t="shared" si="54"/>
        <v>0</v>
      </c>
      <c r="AH53" s="579">
        <f t="shared" si="66"/>
        <v>0</v>
      </c>
      <c r="AI53" s="582"/>
      <c r="AJ53" s="582"/>
      <c r="AK53" s="582"/>
      <c r="AL53" s="582"/>
      <c r="AM53" s="579"/>
      <c r="AN53" s="579"/>
      <c r="AO53" s="347"/>
      <c r="AP53" s="581">
        <f t="shared" si="10"/>
        <v>38240.16262</v>
      </c>
      <c r="AQ53" s="583">
        <v>45749.791666666664</v>
      </c>
      <c r="AR53" s="583">
        <v>45750.291666666664</v>
      </c>
      <c r="AS53" s="346">
        <v>8100.0</v>
      </c>
      <c r="AT53" s="346" t="s">
        <v>2800</v>
      </c>
      <c r="AU53" s="346">
        <v>578.0</v>
      </c>
      <c r="AV53" s="346">
        <v>600.0</v>
      </c>
      <c r="AW53" s="348"/>
      <c r="AX53" s="584">
        <f t="shared" si="11"/>
        <v>8122</v>
      </c>
      <c r="AY53" s="581">
        <f t="shared" si="12"/>
        <v>8700</v>
      </c>
      <c r="AZ53" s="581">
        <f t="shared" si="43"/>
        <v>3946.258312</v>
      </c>
      <c r="BA53" s="583">
        <v>45749.583333333336</v>
      </c>
      <c r="BB53" s="583">
        <v>45749.791666666664</v>
      </c>
      <c r="BC53" s="346">
        <v>311.0</v>
      </c>
      <c r="BD53" s="581">
        <f t="shared" si="36"/>
        <v>3968.36</v>
      </c>
      <c r="BE53" s="581">
        <f t="shared" si="37"/>
        <v>1800.019958</v>
      </c>
      <c r="BF53" s="345">
        <v>4.42</v>
      </c>
      <c r="BG53" s="345">
        <v>81860.0</v>
      </c>
      <c r="BH53" s="345">
        <v>38560.0</v>
      </c>
      <c r="BI53" s="607" t="s">
        <v>2970</v>
      </c>
      <c r="BJ53" s="586">
        <f t="shared" si="14"/>
        <v>43300</v>
      </c>
      <c r="BK53" s="581">
        <f t="shared" si="15"/>
        <v>19640.57298</v>
      </c>
      <c r="BL53" s="345">
        <v>87080.0</v>
      </c>
      <c r="BM53" s="345">
        <v>40080.0</v>
      </c>
      <c r="BN53" s="607" t="s">
        <v>2970</v>
      </c>
      <c r="BO53" s="586">
        <f t="shared" si="16"/>
        <v>47000</v>
      </c>
      <c r="BP53" s="584">
        <f t="shared" si="17"/>
        <v>21318.86674</v>
      </c>
      <c r="BQ53" s="345" t="s">
        <v>1810</v>
      </c>
      <c r="BR53" s="581">
        <f t="shared" si="38"/>
        <v>40959.43972</v>
      </c>
      <c r="BS53" s="588">
        <f t="shared" si="19"/>
        <v>35213.16145</v>
      </c>
      <c r="BT53" s="581">
        <f t="shared" si="20"/>
        <v>3027.001171</v>
      </c>
      <c r="BU53" s="605">
        <v>0.395</v>
      </c>
      <c r="BV53" s="581">
        <f t="shared" si="44"/>
        <v>51000.3955</v>
      </c>
      <c r="BW53" s="590"/>
      <c r="BX53" s="347">
        <f>BX52/1000</f>
        <v>560.5583276</v>
      </c>
      <c r="BY53" s="347"/>
      <c r="BZ53" s="347"/>
      <c r="CA53" s="586">
        <f t="shared" si="22"/>
        <v>8284</v>
      </c>
      <c r="CB53" s="581">
        <f t="shared" si="61"/>
        <v>311</v>
      </c>
      <c r="CC53" s="581">
        <f t="shared" si="62"/>
        <v>310.65</v>
      </c>
      <c r="CD53" s="581">
        <f t="shared" si="25"/>
        <v>10277.13575</v>
      </c>
      <c r="CE53" s="581">
        <f t="shared" si="26"/>
        <v>7096.717993</v>
      </c>
      <c r="CF53" s="581">
        <f t="shared" si="27"/>
        <v>7470.229466</v>
      </c>
      <c r="CG53" s="581">
        <f t="shared" si="28"/>
        <v>1025.282007</v>
      </c>
      <c r="CH53" s="608">
        <f t="shared" si="29"/>
        <v>0.1444726996</v>
      </c>
      <c r="CI53" s="603">
        <f t="shared" si="30"/>
        <v>217234.729</v>
      </c>
      <c r="CJ53" s="347"/>
      <c r="CK53" s="348">
        <f t="shared" si="55"/>
        <v>5377.05</v>
      </c>
      <c r="CL53" s="539">
        <f t="shared" si="32"/>
        <v>29836.11145</v>
      </c>
      <c r="CM53" s="347">
        <f t="shared" si="33"/>
        <v>7787.76075</v>
      </c>
      <c r="CN53" s="347">
        <f t="shared" si="34"/>
        <v>43212.63475</v>
      </c>
      <c r="CO53" s="347" t="str">
        <f t="shared" si="35"/>
        <v>2025-04-03</v>
      </c>
      <c r="CP53" s="347"/>
    </row>
    <row r="54">
      <c r="A54" s="574">
        <f t="shared" si="52"/>
        <v>200087</v>
      </c>
      <c r="B54" s="574" t="str">
        <f t="shared" si="1"/>
        <v>Batch 200087</v>
      </c>
      <c r="C54" s="345" t="s">
        <v>1930</v>
      </c>
      <c r="D54" s="575" t="str">
        <f t="shared" si="51"/>
        <v>2-87</v>
      </c>
      <c r="E54" s="345" t="s">
        <v>2779</v>
      </c>
      <c r="F54" s="583">
        <v>45760.385416666664</v>
      </c>
      <c r="G54" s="583">
        <v>45761.479166666664</v>
      </c>
      <c r="H54" s="347"/>
      <c r="I54" s="612">
        <v>45751.4375</v>
      </c>
      <c r="J54" s="583">
        <v>45762.645833333336</v>
      </c>
      <c r="K54" s="609" t="s">
        <v>400</v>
      </c>
      <c r="L54" s="1">
        <v>4411.0</v>
      </c>
      <c r="M54" s="345">
        <v>1.21</v>
      </c>
      <c r="N54" s="345">
        <v>23.4</v>
      </c>
      <c r="O54" s="579">
        <f t="shared" si="2"/>
        <v>16697.44351</v>
      </c>
      <c r="P54" s="579">
        <f t="shared" si="46"/>
        <v>20203.90665</v>
      </c>
      <c r="Q54" s="575" t="s">
        <v>401</v>
      </c>
      <c r="R54" s="345">
        <v>3689.0</v>
      </c>
      <c r="S54" s="580">
        <v>1.21</v>
      </c>
      <c r="T54" s="345">
        <v>24.1</v>
      </c>
      <c r="U54" s="579">
        <f t="shared" si="48"/>
        <v>13964.37749</v>
      </c>
      <c r="V54" s="579">
        <f t="shared" si="49"/>
        <v>16896.89676</v>
      </c>
      <c r="W54" s="574"/>
      <c r="X54" s="347"/>
      <c r="Y54" s="347"/>
      <c r="Z54" s="347"/>
      <c r="AA54" s="579">
        <f t="shared" si="6"/>
        <v>0</v>
      </c>
      <c r="AB54" s="581">
        <f>X54*$CP$3*Y54</f>
        <v>0</v>
      </c>
      <c r="AC54" s="347"/>
      <c r="AD54" s="347"/>
      <c r="AE54" s="347"/>
      <c r="AF54" s="347"/>
      <c r="AG54" s="579">
        <f t="shared" si="54"/>
        <v>0</v>
      </c>
      <c r="AH54" s="579">
        <f t="shared" si="66"/>
        <v>0</v>
      </c>
      <c r="AI54" s="582"/>
      <c r="AJ54" s="582"/>
      <c r="AK54" s="582"/>
      <c r="AL54" s="582"/>
      <c r="AM54" s="579"/>
      <c r="AN54" s="579"/>
      <c r="AO54" s="347"/>
      <c r="AP54" s="581">
        <f t="shared" si="10"/>
        <v>37100.80341</v>
      </c>
      <c r="AQ54" s="583">
        <v>45761.875</v>
      </c>
      <c r="AR54" s="583">
        <v>45762.239583333336</v>
      </c>
      <c r="AS54" s="346">
        <v>7800.0</v>
      </c>
      <c r="AT54" s="346" t="s">
        <v>2800</v>
      </c>
      <c r="AU54" s="346">
        <v>224.0</v>
      </c>
      <c r="AV54" s="346">
        <v>250.0</v>
      </c>
      <c r="AW54" s="346">
        <v>300.0</v>
      </c>
      <c r="AX54" s="584">
        <f t="shared" si="11"/>
        <v>7526</v>
      </c>
      <c r="AY54" s="581">
        <f t="shared" si="12"/>
        <v>8050</v>
      </c>
      <c r="AZ54" s="581">
        <f t="shared" si="43"/>
        <v>3651.422921</v>
      </c>
      <c r="BA54" s="583">
        <v>45761.635416666664</v>
      </c>
      <c r="BB54" s="583">
        <v>45761.854166666664</v>
      </c>
      <c r="BC54" s="346">
        <v>304.0</v>
      </c>
      <c r="BD54" s="581">
        <f t="shared" si="36"/>
        <v>3879.04</v>
      </c>
      <c r="BE54" s="581">
        <f t="shared" si="37"/>
        <v>1759.505039</v>
      </c>
      <c r="BF54" s="345">
        <v>4.76</v>
      </c>
      <c r="BG54" s="345">
        <v>76120.0</v>
      </c>
      <c r="BH54" s="345">
        <v>32100.0</v>
      </c>
      <c r="BI54" s="607" t="s">
        <v>2971</v>
      </c>
      <c r="BJ54" s="586">
        <f t="shared" si="14"/>
        <v>44020</v>
      </c>
      <c r="BK54" s="581">
        <f t="shared" si="15"/>
        <v>19967.15987</v>
      </c>
      <c r="BL54" s="345">
        <v>79420.0</v>
      </c>
      <c r="BM54" s="345">
        <v>32640.0</v>
      </c>
      <c r="BN54" s="607" t="s">
        <v>2971</v>
      </c>
      <c r="BO54" s="586">
        <f t="shared" si="16"/>
        <v>46780</v>
      </c>
      <c r="BP54" s="584">
        <f t="shared" si="17"/>
        <v>21219.0763</v>
      </c>
      <c r="BQ54" s="345" t="s">
        <v>1810</v>
      </c>
      <c r="BR54" s="581">
        <f t="shared" si="38"/>
        <v>41186.23618</v>
      </c>
      <c r="BS54" s="588">
        <f t="shared" si="19"/>
        <v>35775.30822</v>
      </c>
      <c r="BT54" s="581">
        <f t="shared" si="20"/>
        <v>1325.495194</v>
      </c>
      <c r="BU54" s="605">
        <v>0.461</v>
      </c>
      <c r="BV54" s="581">
        <f t="shared" si="44"/>
        <v>60472.19599</v>
      </c>
      <c r="BW54" s="590"/>
      <c r="BX54" s="347"/>
      <c r="BY54" s="347"/>
      <c r="BZ54" s="347"/>
      <c r="CA54" s="586">
        <f t="shared" si="22"/>
        <v>8100</v>
      </c>
      <c r="CB54" s="581">
        <f t="shared" si="61"/>
        <v>304</v>
      </c>
      <c r="CC54" s="581">
        <f t="shared" si="62"/>
        <v>303.75</v>
      </c>
      <c r="CD54" s="581">
        <f t="shared" si="25"/>
        <v>10084.695</v>
      </c>
      <c r="CE54" s="581">
        <f t="shared" si="26"/>
        <v>6963.830988</v>
      </c>
      <c r="CF54" s="581">
        <f t="shared" si="27"/>
        <v>7330.348408</v>
      </c>
      <c r="CG54" s="581">
        <f t="shared" si="28"/>
        <v>562.1690121</v>
      </c>
      <c r="CH54" s="608">
        <f t="shared" si="29"/>
        <v>0.0807269753</v>
      </c>
      <c r="CI54" s="603">
        <f t="shared" si="30"/>
        <v>205135.0213</v>
      </c>
      <c r="CJ54" s="347"/>
      <c r="CK54" s="347">
        <f t="shared" si="55"/>
        <v>0</v>
      </c>
      <c r="CL54" s="539">
        <f t="shared" si="32"/>
        <v>35775.30822</v>
      </c>
      <c r="CM54" s="347">
        <f t="shared" si="33"/>
        <v>0</v>
      </c>
      <c r="CN54" s="347">
        <f t="shared" si="34"/>
        <v>60472.19599</v>
      </c>
      <c r="CO54" s="347" t="str">
        <f t="shared" si="35"/>
        <v>2025-04-15</v>
      </c>
      <c r="CP54" s="347"/>
    </row>
    <row r="55">
      <c r="A55" s="574">
        <f t="shared" si="52"/>
        <v>300020</v>
      </c>
      <c r="B55" s="574" t="str">
        <f t="shared" si="1"/>
        <v>Batch 300020</v>
      </c>
      <c r="C55" s="345" t="s">
        <v>1930</v>
      </c>
      <c r="D55" s="575" t="str">
        <f t="shared" si="51"/>
        <v>3-20</v>
      </c>
      <c r="E55" s="345" t="s">
        <v>2779</v>
      </c>
      <c r="F55" s="596">
        <f>I55-1</f>
        <v>45767.35417</v>
      </c>
      <c r="G55" s="596">
        <f>F55</f>
        <v>45767.35417</v>
      </c>
      <c r="H55" s="347"/>
      <c r="I55" s="612">
        <v>45768.354166666664</v>
      </c>
      <c r="J55" s="583">
        <v>45768.645833333336</v>
      </c>
      <c r="K55" s="609" t="s">
        <v>413</v>
      </c>
      <c r="L55" s="1">
        <v>3269.0</v>
      </c>
      <c r="M55" s="345">
        <v>1.21</v>
      </c>
      <c r="N55" s="345">
        <v>24.7</v>
      </c>
      <c r="O55" s="579">
        <f t="shared" si="2"/>
        <v>12374.50529</v>
      </c>
      <c r="P55" s="579">
        <f t="shared" si="46"/>
        <v>14973.1514</v>
      </c>
      <c r="Q55" s="575" t="s">
        <v>410</v>
      </c>
      <c r="R55" s="345">
        <v>3727.0</v>
      </c>
      <c r="S55" s="580">
        <v>1.21</v>
      </c>
      <c r="T55" s="345">
        <v>21.6</v>
      </c>
      <c r="U55" s="579">
        <f t="shared" si="48"/>
        <v>14108.22307</v>
      </c>
      <c r="V55" s="579">
        <f t="shared" si="49"/>
        <v>17070.94991</v>
      </c>
      <c r="W55" s="575" t="s">
        <v>301</v>
      </c>
      <c r="X55" s="345">
        <v>924.0</v>
      </c>
      <c r="Y55" s="345">
        <v>1.21</v>
      </c>
      <c r="Z55" s="345">
        <v>17.6</v>
      </c>
      <c r="AA55" s="579">
        <f t="shared" si="6"/>
        <v>3497.71884</v>
      </c>
      <c r="AB55" s="584">
        <v>4296.75</v>
      </c>
      <c r="AC55" s="347"/>
      <c r="AD55" s="347"/>
      <c r="AE55" s="347"/>
      <c r="AF55" s="347"/>
      <c r="AG55" s="579">
        <f t="shared" si="54"/>
        <v>0</v>
      </c>
      <c r="AH55" s="579">
        <f t="shared" si="66"/>
        <v>0</v>
      </c>
      <c r="AI55" s="582"/>
      <c r="AJ55" s="582"/>
      <c r="AK55" s="582"/>
      <c r="AL55" s="582"/>
      <c r="AM55" s="579"/>
      <c r="AN55" s="579"/>
      <c r="AO55" s="347"/>
      <c r="AP55" s="581">
        <f t="shared" si="10"/>
        <v>36340.85132</v>
      </c>
      <c r="AQ55" s="583">
        <v>45767.4375</v>
      </c>
      <c r="AR55" s="583">
        <v>45767.572916666664</v>
      </c>
      <c r="AS55" s="346">
        <v>7050.0</v>
      </c>
      <c r="AT55" s="346" t="s">
        <v>2800</v>
      </c>
      <c r="AU55" s="346">
        <v>46.0</v>
      </c>
      <c r="AV55" s="346">
        <v>50.0</v>
      </c>
      <c r="AW55" s="348"/>
      <c r="AX55" s="584">
        <f t="shared" si="11"/>
        <v>7054</v>
      </c>
      <c r="AY55" s="581">
        <f t="shared" si="12"/>
        <v>7100</v>
      </c>
      <c r="AZ55" s="581">
        <f t="shared" si="43"/>
        <v>3220.509657</v>
      </c>
      <c r="BA55" s="583">
        <v>45767.3125</v>
      </c>
      <c r="BB55" s="583">
        <v>45767.4375</v>
      </c>
      <c r="BC55" s="346">
        <v>297.0</v>
      </c>
      <c r="BD55" s="581">
        <f t="shared" si="36"/>
        <v>3789.72</v>
      </c>
      <c r="BE55" s="581">
        <f t="shared" si="37"/>
        <v>1718.990121</v>
      </c>
      <c r="BF55" s="345">
        <v>4.35</v>
      </c>
      <c r="BG55" s="345">
        <v>80960.0</v>
      </c>
      <c r="BH55" s="345">
        <v>35000.0</v>
      </c>
      <c r="BI55" s="607" t="s">
        <v>2972</v>
      </c>
      <c r="BJ55" s="586">
        <f t="shared" si="14"/>
        <v>45960</v>
      </c>
      <c r="BK55" s="581">
        <f t="shared" si="15"/>
        <v>20847.13012</v>
      </c>
      <c r="BL55" s="345">
        <v>79340.0</v>
      </c>
      <c r="BM55" s="345">
        <v>34880.0</v>
      </c>
      <c r="BN55" s="607" t="s">
        <v>2972</v>
      </c>
      <c r="BO55" s="586">
        <f t="shared" si="16"/>
        <v>44460</v>
      </c>
      <c r="BP55" s="584">
        <f t="shared" si="17"/>
        <v>20166.74075</v>
      </c>
      <c r="BQ55" s="345" t="s">
        <v>1810</v>
      </c>
      <c r="BR55" s="581">
        <f t="shared" si="38"/>
        <v>41013.87087</v>
      </c>
      <c r="BS55" s="588">
        <f t="shared" si="19"/>
        <v>36074.37109</v>
      </c>
      <c r="BT55" s="581">
        <f t="shared" si="20"/>
        <v>266.4802222</v>
      </c>
      <c r="BU55" s="605">
        <v>0.414</v>
      </c>
      <c r="BV55" s="581">
        <f t="shared" si="44"/>
        <v>54760.89532</v>
      </c>
      <c r="BW55" s="590"/>
      <c r="BX55" s="347"/>
      <c r="BY55" s="347"/>
      <c r="BZ55" s="347"/>
      <c r="CA55" s="586">
        <f t="shared" si="22"/>
        <v>7920</v>
      </c>
      <c r="CB55" s="581">
        <f t="shared" si="61"/>
        <v>297</v>
      </c>
      <c r="CC55" s="581">
        <f t="shared" si="62"/>
        <v>297</v>
      </c>
      <c r="CD55" s="581">
        <f t="shared" si="25"/>
        <v>9385.81163</v>
      </c>
      <c r="CE55" s="581">
        <f t="shared" si="26"/>
        <v>6481.227831</v>
      </c>
      <c r="CF55" s="581">
        <f t="shared" si="27"/>
        <v>6822.345086</v>
      </c>
      <c r="CG55" s="581">
        <f t="shared" si="28"/>
        <v>572.7721686</v>
      </c>
      <c r="CH55" s="608">
        <f t="shared" si="29"/>
        <v>0.08837402163</v>
      </c>
      <c r="CI55" s="603">
        <f t="shared" si="30"/>
        <v>206586.523</v>
      </c>
      <c r="CJ55" s="347"/>
      <c r="CK55" s="348">
        <f t="shared" si="55"/>
        <v>4296.75</v>
      </c>
      <c r="CL55" s="539">
        <f t="shared" si="32"/>
        <v>31777.62109</v>
      </c>
      <c r="CM55" s="347">
        <f t="shared" si="33"/>
        <v>6522.4665</v>
      </c>
      <c r="CN55" s="347">
        <f t="shared" si="34"/>
        <v>48238.42882</v>
      </c>
      <c r="CO55" s="347" t="str">
        <f t="shared" si="35"/>
        <v>2025-04-21</v>
      </c>
      <c r="CP55" s="347"/>
    </row>
    <row r="56">
      <c r="A56" s="574">
        <f t="shared" si="52"/>
        <v>200088</v>
      </c>
      <c r="B56" s="574" t="str">
        <f t="shared" si="1"/>
        <v>Batch 200088</v>
      </c>
      <c r="C56" s="345" t="s">
        <v>1930</v>
      </c>
      <c r="D56" s="575" t="str">
        <f t="shared" si="51"/>
        <v>2-88</v>
      </c>
      <c r="E56" s="345" t="s">
        <v>2779</v>
      </c>
      <c r="F56" s="583">
        <v>45761.614583333336</v>
      </c>
      <c r="G56" s="583">
        <v>45762.760416666664</v>
      </c>
      <c r="H56" s="347"/>
      <c r="I56" s="612">
        <v>45764.375</v>
      </c>
      <c r="J56" s="583">
        <v>45764.645833333336</v>
      </c>
      <c r="K56" s="609" t="s">
        <v>1473</v>
      </c>
      <c r="L56" s="1">
        <v>611.0</v>
      </c>
      <c r="M56" s="345">
        <v>1.21</v>
      </c>
      <c r="N56" s="345">
        <v>23.4</v>
      </c>
      <c r="O56" s="579">
        <f t="shared" si="2"/>
        <v>2312.88551</v>
      </c>
      <c r="P56" s="579">
        <f t="shared" si="46"/>
        <v>2798.591467</v>
      </c>
      <c r="Q56" s="575" t="s">
        <v>401</v>
      </c>
      <c r="R56" s="345">
        <v>796.0</v>
      </c>
      <c r="S56" s="580">
        <v>1.21</v>
      </c>
      <c r="T56" s="345">
        <v>24.1</v>
      </c>
      <c r="U56" s="579">
        <f t="shared" si="48"/>
        <v>3013.18636</v>
      </c>
      <c r="V56" s="579">
        <f t="shared" si="49"/>
        <v>3645.955496</v>
      </c>
      <c r="W56" s="575" t="s">
        <v>403</v>
      </c>
      <c r="X56" s="345">
        <v>4488.0</v>
      </c>
      <c r="Y56" s="345">
        <v>1.21</v>
      </c>
      <c r="Z56" s="345">
        <v>24.1</v>
      </c>
      <c r="AA56" s="579">
        <f t="shared" si="6"/>
        <v>16988.92008</v>
      </c>
      <c r="AB56" s="581">
        <f t="shared" ref="AB56:AB58" si="68">X56*$CP$3*Y56</f>
        <v>20556.5933</v>
      </c>
      <c r="AC56" s="345" t="s">
        <v>405</v>
      </c>
      <c r="AD56" s="345">
        <v>2083.0</v>
      </c>
      <c r="AE56" s="345">
        <v>1.21</v>
      </c>
      <c r="AF56" s="345">
        <v>21.6</v>
      </c>
      <c r="AG56" s="579">
        <f t="shared" si="54"/>
        <v>7885.00903</v>
      </c>
      <c r="AH56" s="579">
        <f t="shared" si="66"/>
        <v>9540.860926</v>
      </c>
      <c r="AI56" s="582"/>
      <c r="AJ56" s="582"/>
      <c r="AK56" s="582"/>
      <c r="AL56" s="582"/>
      <c r="AM56" s="579"/>
      <c r="AN56" s="579"/>
      <c r="AO56" s="347"/>
      <c r="AP56" s="581">
        <f t="shared" si="10"/>
        <v>36542.00119</v>
      </c>
      <c r="AQ56" s="345" t="s">
        <v>2973</v>
      </c>
      <c r="AR56" s="345" t="s">
        <v>2974</v>
      </c>
      <c r="AS56" s="346">
        <v>7600.0</v>
      </c>
      <c r="AT56" s="346" t="s">
        <v>2800</v>
      </c>
      <c r="AU56" s="346">
        <v>233.0</v>
      </c>
      <c r="AV56" s="346">
        <v>250.0</v>
      </c>
      <c r="AW56" s="348"/>
      <c r="AX56" s="584">
        <f t="shared" si="11"/>
        <v>7617</v>
      </c>
      <c r="AY56" s="581">
        <f t="shared" si="12"/>
        <v>7850</v>
      </c>
      <c r="AZ56" s="581">
        <f t="shared" si="43"/>
        <v>3560.704339</v>
      </c>
      <c r="BA56" s="345" t="s">
        <v>2975</v>
      </c>
      <c r="BB56" s="345" t="s">
        <v>2976</v>
      </c>
      <c r="BC56" s="346">
        <v>302.0</v>
      </c>
      <c r="BD56" s="581">
        <f t="shared" si="36"/>
        <v>3853.52</v>
      </c>
      <c r="BE56" s="581">
        <f t="shared" si="37"/>
        <v>1747.929348</v>
      </c>
      <c r="BF56" s="345">
        <v>4.44</v>
      </c>
      <c r="BG56" s="345">
        <v>79340.0</v>
      </c>
      <c r="BH56" s="345">
        <v>33040.0</v>
      </c>
      <c r="BI56" s="607" t="s">
        <v>2977</v>
      </c>
      <c r="BJ56" s="586">
        <f t="shared" si="14"/>
        <v>46300</v>
      </c>
      <c r="BK56" s="581">
        <f t="shared" si="15"/>
        <v>21001.35171</v>
      </c>
      <c r="BL56" s="345">
        <v>76160.0</v>
      </c>
      <c r="BM56" s="345">
        <v>34000.0</v>
      </c>
      <c r="BN56" s="607" t="s">
        <v>2977</v>
      </c>
      <c r="BO56" s="586">
        <f t="shared" si="16"/>
        <v>42160</v>
      </c>
      <c r="BP56" s="584">
        <f t="shared" si="17"/>
        <v>19123.47706</v>
      </c>
      <c r="BQ56" s="345" t="s">
        <v>1810</v>
      </c>
      <c r="BR56" s="581">
        <f t="shared" si="38"/>
        <v>40124.82877</v>
      </c>
      <c r="BS56" s="588">
        <f t="shared" si="19"/>
        <v>34816.19508</v>
      </c>
      <c r="BT56" s="581">
        <f t="shared" si="20"/>
        <v>1725.806105</v>
      </c>
      <c r="BU56" s="605">
        <v>0.389</v>
      </c>
      <c r="BV56" s="581">
        <f t="shared" si="44"/>
        <v>49659.49958</v>
      </c>
      <c r="BW56" s="590"/>
      <c r="BX56" s="347"/>
      <c r="BY56" s="347"/>
      <c r="BZ56" s="347"/>
      <c r="CA56" s="586">
        <f t="shared" si="22"/>
        <v>7978</v>
      </c>
      <c r="CB56" s="581">
        <f t="shared" si="61"/>
        <v>302</v>
      </c>
      <c r="CC56" s="581">
        <f t="shared" si="62"/>
        <v>299.175</v>
      </c>
      <c r="CD56" s="581">
        <f t="shared" si="25"/>
        <v>9824.886522</v>
      </c>
      <c r="CE56" s="581">
        <f t="shared" si="26"/>
        <v>6784.424243</v>
      </c>
      <c r="CF56" s="581">
        <f t="shared" si="27"/>
        <v>7141.499204</v>
      </c>
      <c r="CG56" s="581">
        <f t="shared" si="28"/>
        <v>832.5757566</v>
      </c>
      <c r="CH56" s="608">
        <f t="shared" si="29"/>
        <v>0.1227187049</v>
      </c>
      <c r="CI56" s="603">
        <f t="shared" si="30"/>
        <v>213105.5583</v>
      </c>
      <c r="CJ56" s="347"/>
      <c r="CK56" s="347">
        <f t="shared" si="55"/>
        <v>0</v>
      </c>
      <c r="CL56" s="539">
        <f t="shared" si="32"/>
        <v>34816.19508</v>
      </c>
      <c r="CM56" s="347">
        <f t="shared" si="33"/>
        <v>0</v>
      </c>
      <c r="CN56" s="347">
        <f t="shared" si="34"/>
        <v>49659.49958</v>
      </c>
      <c r="CO56" s="347" t="str">
        <f t="shared" si="35"/>
        <v>2025-04-17</v>
      </c>
      <c r="CP56" s="347"/>
    </row>
    <row r="57">
      <c r="A57" s="574">
        <f t="shared" si="52"/>
        <v>300021</v>
      </c>
      <c r="B57" s="574" t="str">
        <f t="shared" si="1"/>
        <v>Batch 300021</v>
      </c>
      <c r="C57" s="345" t="s">
        <v>1930</v>
      </c>
      <c r="D57" s="575" t="str">
        <f t="shared" si="51"/>
        <v>3-21</v>
      </c>
      <c r="E57" s="345" t="s">
        <v>2779</v>
      </c>
      <c r="F57" s="583">
        <v>45769.833333333336</v>
      </c>
      <c r="G57" s="583">
        <v>45770.916666666664</v>
      </c>
      <c r="H57" s="347"/>
      <c r="I57" s="612">
        <v>45772.354166666664</v>
      </c>
      <c r="J57" s="583">
        <v>45772.645833333336</v>
      </c>
      <c r="K57" s="609" t="s">
        <v>411</v>
      </c>
      <c r="L57" s="1">
        <v>1707.0</v>
      </c>
      <c r="M57" s="345">
        <v>1.21</v>
      </c>
      <c r="N57" s="345">
        <v>24.7</v>
      </c>
      <c r="O57" s="579">
        <f t="shared" si="2"/>
        <v>6461.69487</v>
      </c>
      <c r="P57" s="579">
        <f t="shared" si="46"/>
        <v>7818.650793</v>
      </c>
      <c r="Q57" s="575" t="s">
        <v>417</v>
      </c>
      <c r="R57" s="345">
        <v>740.0</v>
      </c>
      <c r="S57" s="580">
        <v>1.21</v>
      </c>
      <c r="T57" s="345">
        <v>23.7</v>
      </c>
      <c r="U57" s="579">
        <f t="shared" si="48"/>
        <v>2801.2034</v>
      </c>
      <c r="V57" s="579">
        <f t="shared" si="49"/>
        <v>3389.456114</v>
      </c>
      <c r="W57" s="575" t="s">
        <v>415</v>
      </c>
      <c r="X57" s="345">
        <v>4575.0</v>
      </c>
      <c r="Y57" s="345">
        <v>1.21</v>
      </c>
      <c r="Z57" s="345">
        <v>19.65</v>
      </c>
      <c r="AA57" s="579">
        <f t="shared" si="6"/>
        <v>17318.25075</v>
      </c>
      <c r="AB57" s="581">
        <f t="shared" si="68"/>
        <v>20955.08341</v>
      </c>
      <c r="AC57" s="345" t="s">
        <v>301</v>
      </c>
      <c r="AD57" s="345">
        <v>675.0</v>
      </c>
      <c r="AE57" s="345">
        <v>1.22</v>
      </c>
      <c r="AF57" s="345">
        <v>22.85</v>
      </c>
      <c r="AG57" s="579">
        <f t="shared" si="54"/>
        <v>2555.15175</v>
      </c>
      <c r="AH57" s="630">
        <v>3072.77</v>
      </c>
      <c r="AI57" s="633"/>
      <c r="AJ57" s="633"/>
      <c r="AK57" s="633"/>
      <c r="AL57" s="633"/>
      <c r="AM57" s="630"/>
      <c r="AN57" s="630"/>
      <c r="AO57" s="347"/>
      <c r="AP57" s="581">
        <f t="shared" si="10"/>
        <v>35235.96031</v>
      </c>
      <c r="AQ57" s="583">
        <v>45771.875</v>
      </c>
      <c r="AR57" s="583">
        <v>45772.1875</v>
      </c>
      <c r="AS57" s="346">
        <v>7554.0</v>
      </c>
      <c r="AT57" s="346" t="s">
        <v>2800</v>
      </c>
      <c r="AU57" s="346">
        <v>65.0</v>
      </c>
      <c r="AV57" s="346">
        <v>100.0</v>
      </c>
      <c r="AW57" s="348"/>
      <c r="AX57" s="584">
        <f t="shared" si="11"/>
        <v>7589</v>
      </c>
      <c r="AY57" s="581">
        <f t="shared" si="12"/>
        <v>7654</v>
      </c>
      <c r="AZ57" s="581">
        <f t="shared" si="43"/>
        <v>3471.800129</v>
      </c>
      <c r="BA57" s="583">
        <v>45771.635416666664</v>
      </c>
      <c r="BB57" s="583">
        <v>45771.875</v>
      </c>
      <c r="BC57" s="346">
        <v>288.0</v>
      </c>
      <c r="BD57" s="581">
        <f t="shared" si="36"/>
        <v>3674.88</v>
      </c>
      <c r="BE57" s="581">
        <f t="shared" si="37"/>
        <v>1666.899511</v>
      </c>
      <c r="BF57" s="345">
        <v>4.61</v>
      </c>
      <c r="BG57" s="345">
        <v>77780.0</v>
      </c>
      <c r="BH57" s="345">
        <v>35820.0</v>
      </c>
      <c r="BI57" s="607" t="s">
        <v>2978</v>
      </c>
      <c r="BJ57" s="586">
        <f t="shared" si="14"/>
        <v>41960</v>
      </c>
      <c r="BK57" s="581">
        <f t="shared" si="15"/>
        <v>19032.75848</v>
      </c>
      <c r="BL57" s="345">
        <v>77380.0</v>
      </c>
      <c r="BM57" s="345">
        <v>33320.0</v>
      </c>
      <c r="BN57" s="607" t="s">
        <v>2978</v>
      </c>
      <c r="BO57" s="586">
        <f t="shared" si="16"/>
        <v>44060</v>
      </c>
      <c r="BP57" s="584">
        <f t="shared" si="17"/>
        <v>19985.30359</v>
      </c>
      <c r="BQ57" s="345" t="s">
        <v>1810</v>
      </c>
      <c r="BR57" s="581">
        <f t="shared" si="38"/>
        <v>39018.06207</v>
      </c>
      <c r="BS57" s="588">
        <f t="shared" si="19"/>
        <v>33879.36243</v>
      </c>
      <c r="BT57" s="581">
        <f t="shared" si="20"/>
        <v>1356.597884</v>
      </c>
      <c r="BU57" s="605">
        <v>0.404</v>
      </c>
      <c r="BV57" s="581">
        <f t="shared" si="44"/>
        <v>50186.62888</v>
      </c>
      <c r="BW57" s="590"/>
      <c r="BX57" s="347"/>
      <c r="BY57" s="347"/>
      <c r="BZ57" s="347"/>
      <c r="CA57" s="586">
        <f t="shared" si="22"/>
        <v>7697</v>
      </c>
      <c r="CB57" s="581">
        <f t="shared" si="61"/>
        <v>288</v>
      </c>
      <c r="CC57" s="581">
        <f t="shared" si="62"/>
        <v>288.6375</v>
      </c>
      <c r="CD57" s="581">
        <f t="shared" si="25"/>
        <v>8781.687544</v>
      </c>
      <c r="CE57" s="581">
        <f t="shared" si="26"/>
        <v>6064.059237</v>
      </c>
      <c r="CF57" s="581">
        <f t="shared" si="27"/>
        <v>6383.22025</v>
      </c>
      <c r="CG57" s="581">
        <f t="shared" si="28"/>
        <v>1524.940763</v>
      </c>
      <c r="CH57" s="608">
        <f t="shared" si="29"/>
        <v>0.2514719436</v>
      </c>
      <c r="CI57" s="603">
        <f t="shared" si="30"/>
        <v>237544.4767</v>
      </c>
      <c r="CJ57" s="347"/>
      <c r="CK57" s="582">
        <f t="shared" si="55"/>
        <v>3072.77</v>
      </c>
      <c r="CL57" s="539">
        <f t="shared" si="32"/>
        <v>30806.59243</v>
      </c>
      <c r="CM57" s="347">
        <f t="shared" si="33"/>
        <v>4551.796627</v>
      </c>
      <c r="CN57" s="347">
        <f t="shared" si="34"/>
        <v>45634.83225</v>
      </c>
      <c r="CO57" s="347" t="str">
        <f t="shared" si="35"/>
        <v>2025-04-25</v>
      </c>
      <c r="CP57" s="347"/>
    </row>
    <row r="58">
      <c r="A58" s="574">
        <f t="shared" si="52"/>
        <v>200089</v>
      </c>
      <c r="B58" s="574" t="str">
        <f t="shared" si="1"/>
        <v>Batch 200089</v>
      </c>
      <c r="C58" s="345" t="s">
        <v>1930</v>
      </c>
      <c r="D58" s="575" t="str">
        <f t="shared" si="51"/>
        <v>2-89</v>
      </c>
      <c r="E58" s="345" t="s">
        <v>2779</v>
      </c>
      <c r="F58" s="583">
        <v>45762.854166666664</v>
      </c>
      <c r="G58" s="583">
        <v>45763.9375</v>
      </c>
      <c r="H58" s="347"/>
      <c r="I58" s="612">
        <v>45765.354166666664</v>
      </c>
      <c r="J58" s="583">
        <v>45765.604166666664</v>
      </c>
      <c r="K58" s="609" t="s">
        <v>404</v>
      </c>
      <c r="L58" s="1">
        <v>4366.0</v>
      </c>
      <c r="M58" s="345">
        <v>1.21</v>
      </c>
      <c r="N58" s="345">
        <v>24.1</v>
      </c>
      <c r="O58" s="579">
        <f t="shared" si="2"/>
        <v>16527.10006</v>
      </c>
      <c r="P58" s="579">
        <f t="shared" si="46"/>
        <v>19997.79107</v>
      </c>
      <c r="Q58" s="575" t="s">
        <v>410</v>
      </c>
      <c r="R58" s="345">
        <v>800.0</v>
      </c>
      <c r="S58" s="580">
        <v>1.217</v>
      </c>
      <c r="T58" s="345">
        <v>21.6</v>
      </c>
      <c r="U58" s="579">
        <f t="shared" si="48"/>
        <v>3028.328</v>
      </c>
      <c r="V58" s="579">
        <f t="shared" si="49"/>
        <v>3685.475176</v>
      </c>
      <c r="W58" s="575" t="s">
        <v>405</v>
      </c>
      <c r="X58" s="345">
        <v>2649.0</v>
      </c>
      <c r="Y58" s="345">
        <v>1.217</v>
      </c>
      <c r="Z58" s="345">
        <v>21.6</v>
      </c>
      <c r="AA58" s="579">
        <f t="shared" si="6"/>
        <v>10027.55109</v>
      </c>
      <c r="AB58" s="581">
        <f t="shared" si="68"/>
        <v>12203.52968</v>
      </c>
      <c r="AC58" s="347"/>
      <c r="AD58" s="347"/>
      <c r="AE58" s="347"/>
      <c r="AF58" s="347"/>
      <c r="AG58" s="579">
        <f t="shared" si="54"/>
        <v>0</v>
      </c>
      <c r="AH58" s="579">
        <f t="shared" ref="AH58:AH60" si="69">AD58*$CP$3*AE58</f>
        <v>0</v>
      </c>
      <c r="AI58" s="582"/>
      <c r="AJ58" s="582"/>
      <c r="AK58" s="582"/>
      <c r="AL58" s="582"/>
      <c r="AM58" s="579"/>
      <c r="AN58" s="579"/>
      <c r="AO58" s="347"/>
      <c r="AP58" s="581">
        <f t="shared" si="10"/>
        <v>35886.79593</v>
      </c>
      <c r="AQ58" s="583">
        <v>45764.75</v>
      </c>
      <c r="AR58" s="583">
        <v>45765.15625</v>
      </c>
      <c r="AS58" s="346">
        <v>7218.0</v>
      </c>
      <c r="AT58" s="346" t="s">
        <v>2800</v>
      </c>
      <c r="AU58" s="346">
        <v>0.0</v>
      </c>
      <c r="AV58" s="346">
        <v>0.0</v>
      </c>
      <c r="AW58" s="346">
        <v>90.0</v>
      </c>
      <c r="AX58" s="584">
        <f t="shared" si="11"/>
        <v>7128</v>
      </c>
      <c r="AY58" s="581">
        <f t="shared" si="12"/>
        <v>7218</v>
      </c>
      <c r="AZ58" s="581">
        <f t="shared" si="43"/>
        <v>3274.03362</v>
      </c>
      <c r="BA58" s="345" t="s">
        <v>2979</v>
      </c>
      <c r="BB58" s="583">
        <v>45764.833333333336</v>
      </c>
      <c r="BC58" s="346">
        <v>293.0</v>
      </c>
      <c r="BD58" s="581">
        <f t="shared" si="36"/>
        <v>3738.68</v>
      </c>
      <c r="BE58" s="581">
        <f t="shared" si="37"/>
        <v>1695.838739</v>
      </c>
      <c r="BF58" s="345">
        <v>4.44</v>
      </c>
      <c r="BG58" s="345">
        <v>79140.0</v>
      </c>
      <c r="BH58" s="345">
        <v>34060.0</v>
      </c>
      <c r="BI58" s="607" t="s">
        <v>2980</v>
      </c>
      <c r="BJ58" s="586">
        <f t="shared" si="14"/>
        <v>45080</v>
      </c>
      <c r="BK58" s="581">
        <f t="shared" si="15"/>
        <v>20447.96836</v>
      </c>
      <c r="BL58" s="345">
        <v>78080.0</v>
      </c>
      <c r="BM58" s="345">
        <v>34820.0</v>
      </c>
      <c r="BN58" s="607" t="s">
        <v>2980</v>
      </c>
      <c r="BO58" s="586">
        <f t="shared" si="16"/>
        <v>43260</v>
      </c>
      <c r="BP58" s="584">
        <f t="shared" si="17"/>
        <v>19622.42926</v>
      </c>
      <c r="BQ58" s="345" t="s">
        <v>1810</v>
      </c>
      <c r="BR58" s="581">
        <f t="shared" si="38"/>
        <v>40070.39762</v>
      </c>
      <c r="BS58" s="588">
        <f t="shared" si="19"/>
        <v>35100.52526</v>
      </c>
      <c r="BT58" s="581">
        <f t="shared" si="20"/>
        <v>786.2706645</v>
      </c>
      <c r="BU58" s="605">
        <v>0.439</v>
      </c>
      <c r="BV58" s="581">
        <f t="shared" si="44"/>
        <v>56500.14549</v>
      </c>
      <c r="BW58" s="590"/>
      <c r="BX58" s="347"/>
      <c r="BY58" s="347"/>
      <c r="BZ58" s="347"/>
      <c r="CA58" s="586">
        <f t="shared" si="22"/>
        <v>7815</v>
      </c>
      <c r="CB58" s="581">
        <f t="shared" si="61"/>
        <v>293</v>
      </c>
      <c r="CC58" s="581">
        <f t="shared" si="62"/>
        <v>293.0625</v>
      </c>
      <c r="CD58" s="581">
        <f t="shared" si="25"/>
        <v>9489.830904</v>
      </c>
      <c r="CE58" s="581">
        <f t="shared" si="26"/>
        <v>6553.056741</v>
      </c>
      <c r="CF58" s="581">
        <f t="shared" si="27"/>
        <v>6897.954464</v>
      </c>
      <c r="CG58" s="581">
        <f t="shared" si="28"/>
        <v>574.9432593</v>
      </c>
      <c r="CH58" s="608">
        <f t="shared" si="29"/>
        <v>0.08773665207</v>
      </c>
      <c r="CI58" s="603">
        <f t="shared" si="30"/>
        <v>206465.5426</v>
      </c>
      <c r="CJ58" s="347"/>
      <c r="CK58" s="347">
        <f t="shared" si="55"/>
        <v>0</v>
      </c>
      <c r="CL58" s="539">
        <f t="shared" si="32"/>
        <v>35100.52526</v>
      </c>
      <c r="CM58" s="347">
        <f t="shared" si="33"/>
        <v>0</v>
      </c>
      <c r="CN58" s="347">
        <f t="shared" si="34"/>
        <v>56500.14549</v>
      </c>
      <c r="CO58" s="347" t="str">
        <f t="shared" si="35"/>
        <v>2025-04-18</v>
      </c>
      <c r="CP58" s="347"/>
    </row>
    <row r="59">
      <c r="A59" s="574">
        <f t="shared" si="52"/>
        <v>300022</v>
      </c>
      <c r="B59" s="574" t="str">
        <f t="shared" si="1"/>
        <v>Batch 300022</v>
      </c>
      <c r="C59" s="345" t="s">
        <v>1930</v>
      </c>
      <c r="D59" s="575" t="str">
        <f t="shared" si="51"/>
        <v>3-22</v>
      </c>
      <c r="E59" s="345" t="s">
        <v>2779</v>
      </c>
      <c r="F59" s="583">
        <v>45771.84375</v>
      </c>
      <c r="G59" s="583">
        <v>45772.927083333336</v>
      </c>
      <c r="H59" s="347"/>
      <c r="I59" s="612">
        <v>45775.354166666664</v>
      </c>
      <c r="J59" s="583">
        <v>45775.6875</v>
      </c>
      <c r="K59" s="609" t="s">
        <v>419</v>
      </c>
      <c r="L59" s="1">
        <v>3288.0</v>
      </c>
      <c r="M59" s="345">
        <v>1.21</v>
      </c>
      <c r="N59" s="345">
        <v>23.7</v>
      </c>
      <c r="O59" s="579">
        <f t="shared" si="2"/>
        <v>12446.42808</v>
      </c>
      <c r="P59" s="579">
        <f t="shared" si="46"/>
        <v>15060.17798</v>
      </c>
      <c r="Q59" s="575" t="s">
        <v>417</v>
      </c>
      <c r="R59" s="345">
        <v>3712.0</v>
      </c>
      <c r="S59" s="580">
        <v>1.21</v>
      </c>
      <c r="T59" s="345">
        <v>23.7</v>
      </c>
      <c r="U59" s="579">
        <f t="shared" si="48"/>
        <v>14051.44192</v>
      </c>
      <c r="V59" s="579">
        <f t="shared" si="49"/>
        <v>17002.24472</v>
      </c>
      <c r="W59" s="575" t="s">
        <v>278</v>
      </c>
      <c r="X59" s="345">
        <v>970.0</v>
      </c>
      <c r="Y59" s="345">
        <v>1.21</v>
      </c>
      <c r="Z59" s="345">
        <v>19.3</v>
      </c>
      <c r="AA59" s="579">
        <f t="shared" si="6"/>
        <v>3671.8477</v>
      </c>
      <c r="AB59" s="584">
        <v>4431.14</v>
      </c>
      <c r="AC59" s="347"/>
      <c r="AD59" s="347"/>
      <c r="AE59" s="347"/>
      <c r="AF59" s="347"/>
      <c r="AG59" s="579">
        <f t="shared" si="54"/>
        <v>0</v>
      </c>
      <c r="AH59" s="579">
        <f t="shared" si="69"/>
        <v>0</v>
      </c>
      <c r="AI59" s="582"/>
      <c r="AJ59" s="582"/>
      <c r="AK59" s="582"/>
      <c r="AL59" s="582"/>
      <c r="AM59" s="579"/>
      <c r="AN59" s="579"/>
      <c r="AO59" s="347"/>
      <c r="AP59" s="581">
        <f t="shared" si="10"/>
        <v>36493.5627</v>
      </c>
      <c r="AQ59" s="583">
        <v>45774.75</v>
      </c>
      <c r="AR59" s="583">
        <v>45775.239583333336</v>
      </c>
      <c r="AS59" s="346">
        <v>7550.0</v>
      </c>
      <c r="AT59" s="348"/>
      <c r="AU59" s="346">
        <v>0.0</v>
      </c>
      <c r="AV59" s="346">
        <v>0.0</v>
      </c>
      <c r="AW59" s="346">
        <v>110.0</v>
      </c>
      <c r="AX59" s="584">
        <f t="shared" si="11"/>
        <v>7440</v>
      </c>
      <c r="AY59" s="581">
        <f t="shared" si="12"/>
        <v>7550</v>
      </c>
      <c r="AZ59" s="581">
        <f t="shared" si="43"/>
        <v>3424.626466</v>
      </c>
      <c r="BA59" s="583">
        <v>45774.458333333336</v>
      </c>
      <c r="BB59" s="583">
        <v>45774.916666666664</v>
      </c>
      <c r="BC59" s="346">
        <v>298.0</v>
      </c>
      <c r="BD59" s="581">
        <f t="shared" si="36"/>
        <v>3802.48</v>
      </c>
      <c r="BE59" s="581">
        <f t="shared" si="37"/>
        <v>1724.777966</v>
      </c>
      <c r="BF59" s="345">
        <v>4.23</v>
      </c>
      <c r="BG59" s="345">
        <v>80640.0</v>
      </c>
      <c r="BH59" s="345">
        <v>35420.0</v>
      </c>
      <c r="BI59" s="607" t="s">
        <v>2981</v>
      </c>
      <c r="BJ59" s="586">
        <f t="shared" si="14"/>
        <v>45220</v>
      </c>
      <c r="BK59" s="581">
        <f t="shared" si="15"/>
        <v>20511.47136</v>
      </c>
      <c r="BL59" s="345">
        <v>80260.0</v>
      </c>
      <c r="BM59" s="345">
        <v>37100.0</v>
      </c>
      <c r="BN59" s="607" t="s">
        <v>2981</v>
      </c>
      <c r="BO59" s="586">
        <f t="shared" si="16"/>
        <v>43160</v>
      </c>
      <c r="BP59" s="584">
        <f t="shared" si="17"/>
        <v>19577.06997</v>
      </c>
      <c r="BQ59" s="345" t="s">
        <v>1810</v>
      </c>
      <c r="BR59" s="581">
        <f t="shared" si="38"/>
        <v>40088.54134</v>
      </c>
      <c r="BS59" s="588">
        <f t="shared" si="19"/>
        <v>34939.1369</v>
      </c>
      <c r="BT59" s="581">
        <f t="shared" si="20"/>
        <v>1554.425797</v>
      </c>
      <c r="BU59" s="605">
        <v>0.43</v>
      </c>
      <c r="BV59" s="581">
        <f t="shared" si="44"/>
        <v>55087.37252</v>
      </c>
      <c r="BW59" s="590"/>
      <c r="BX59" s="347"/>
      <c r="BY59" s="347"/>
      <c r="BZ59" s="347"/>
      <c r="CA59" s="586">
        <f t="shared" si="22"/>
        <v>7970</v>
      </c>
      <c r="CB59" s="581">
        <f t="shared" si="61"/>
        <v>298</v>
      </c>
      <c r="CC59" s="581">
        <f t="shared" si="62"/>
        <v>298.875</v>
      </c>
      <c r="CD59" s="581">
        <f t="shared" si="25"/>
        <v>9715.751032</v>
      </c>
      <c r="CE59" s="581">
        <f t="shared" si="26"/>
        <v>6709.06241</v>
      </c>
      <c r="CF59" s="581">
        <f t="shared" si="27"/>
        <v>7062.170957</v>
      </c>
      <c r="CG59" s="581">
        <f t="shared" si="28"/>
        <v>730.9375904</v>
      </c>
      <c r="CH59" s="608">
        <f t="shared" si="29"/>
        <v>0.1089478001</v>
      </c>
      <c r="CI59" s="603">
        <f t="shared" si="30"/>
        <v>210491.6744</v>
      </c>
      <c r="CJ59" s="347"/>
      <c r="CK59" s="348">
        <f t="shared" si="55"/>
        <v>4431.14</v>
      </c>
      <c r="CL59" s="539">
        <f t="shared" si="32"/>
        <v>30507.9969</v>
      </c>
      <c r="CM59" s="347">
        <f t="shared" si="33"/>
        <v>6986.430733</v>
      </c>
      <c r="CN59" s="347">
        <f t="shared" si="34"/>
        <v>48100.94178</v>
      </c>
      <c r="CO59" s="347" t="str">
        <f t="shared" si="35"/>
        <v>2025-04-28</v>
      </c>
      <c r="CP59" s="347"/>
    </row>
    <row r="60">
      <c r="A60" s="574">
        <f t="shared" si="52"/>
        <v>200090</v>
      </c>
      <c r="B60" s="574" t="str">
        <f t="shared" si="1"/>
        <v>Batch 200090</v>
      </c>
      <c r="C60" s="345" t="s">
        <v>1930</v>
      </c>
      <c r="D60" s="575" t="str">
        <f t="shared" si="51"/>
        <v>2-90</v>
      </c>
      <c r="E60" s="345" t="s">
        <v>2779</v>
      </c>
      <c r="F60" s="583">
        <v>45767.333333333336</v>
      </c>
      <c r="G60" s="583">
        <v>45768.416666666664</v>
      </c>
      <c r="H60" s="347"/>
      <c r="I60" s="583" t="str">
        <f t="array" ref="I60">IFERROR(INDEX('Master Batch Data'!$C:$C, MATCH(D60, 'Master Batch Data'!$A:$A, 0)), "")</f>
        <v/>
      </c>
      <c r="J60" s="583">
        <v>45771.645833333336</v>
      </c>
      <c r="K60" s="609" t="s">
        <v>411</v>
      </c>
      <c r="L60" s="1">
        <v>2379.0</v>
      </c>
      <c r="M60" s="345">
        <v>1.21</v>
      </c>
      <c r="N60" s="345">
        <v>24.7</v>
      </c>
      <c r="O60" s="579">
        <f t="shared" si="2"/>
        <v>9005.49039</v>
      </c>
      <c r="P60" s="579">
        <f t="shared" si="46"/>
        <v>10896.64337</v>
      </c>
      <c r="Q60" s="575" t="s">
        <v>408</v>
      </c>
      <c r="R60" s="638" t="str">
        <f t="shared" ref="R60:R65" si="70">IFERROR(INDEX('Consumed Oil by Batch'!$F:$F, SMALL(IF(('Consumed Oil by Batch'!$A:$A=$D60)*('Consumed Oil by Batch'!$C:$C="bio_oil"), ROW('Consumed Oil by Batch'!$A:$A)), ROW($A$2))), "")</f>
        <v/>
      </c>
      <c r="S60" s="580">
        <v>1.21</v>
      </c>
      <c r="T60" s="345">
        <v>21.6</v>
      </c>
      <c r="U60" s="579">
        <f t="shared" si="48"/>
        <v>0</v>
      </c>
      <c r="V60" s="579">
        <f t="shared" si="49"/>
        <v>0</v>
      </c>
      <c r="W60" s="575" t="s">
        <v>413</v>
      </c>
      <c r="X60" s="345">
        <v>1178.0</v>
      </c>
      <c r="Y60" s="345">
        <v>1.21</v>
      </c>
      <c r="Z60" s="345">
        <v>24.7</v>
      </c>
      <c r="AA60" s="579">
        <f t="shared" si="6"/>
        <v>4459.21298</v>
      </c>
      <c r="AB60" s="581">
        <f t="shared" ref="AB60:AB62" si="71">X60*$CP$3*Y60</f>
        <v>5395.647706</v>
      </c>
      <c r="AC60" s="347"/>
      <c r="AD60" s="347"/>
      <c r="AE60" s="347"/>
      <c r="AF60" s="347"/>
      <c r="AG60" s="579">
        <f t="shared" si="54"/>
        <v>0</v>
      </c>
      <c r="AH60" s="579">
        <f t="shared" si="69"/>
        <v>0</v>
      </c>
      <c r="AI60" s="582"/>
      <c r="AJ60" s="582"/>
      <c r="AK60" s="582"/>
      <c r="AL60" s="582"/>
      <c r="AM60" s="579"/>
      <c r="AN60" s="579"/>
      <c r="AO60" s="347"/>
      <c r="AP60" s="581">
        <f t="shared" si="10"/>
        <v>16292.29108</v>
      </c>
      <c r="AQ60" s="345" t="s">
        <v>2982</v>
      </c>
      <c r="AR60" s="583">
        <v>45771.302083333336</v>
      </c>
      <c r="AS60" s="346">
        <v>7564.0</v>
      </c>
      <c r="AT60" s="346" t="s">
        <v>2800</v>
      </c>
      <c r="AU60" s="346">
        <v>560.0</v>
      </c>
      <c r="AV60" s="346">
        <v>550.0</v>
      </c>
      <c r="AW60" s="348"/>
      <c r="AX60" s="584">
        <f t="shared" si="11"/>
        <v>7554</v>
      </c>
      <c r="AY60" s="581">
        <f t="shared" si="12"/>
        <v>8114</v>
      </c>
      <c r="AZ60" s="581">
        <f t="shared" si="43"/>
        <v>3680.452867</v>
      </c>
      <c r="BA60" s="583">
        <v>45770.59375</v>
      </c>
      <c r="BB60" s="583">
        <v>45770.75</v>
      </c>
      <c r="BC60" s="346">
        <v>300.0</v>
      </c>
      <c r="BD60" s="581">
        <f t="shared" si="36"/>
        <v>3828</v>
      </c>
      <c r="BE60" s="581">
        <f t="shared" si="37"/>
        <v>1736.353657</v>
      </c>
      <c r="BF60" s="345">
        <v>4.46</v>
      </c>
      <c r="BG60" s="345">
        <v>84040.0</v>
      </c>
      <c r="BH60" s="345">
        <v>35380.0</v>
      </c>
      <c r="BI60" s="607" t="s">
        <v>2983</v>
      </c>
      <c r="BJ60" s="586">
        <f t="shared" si="14"/>
        <v>48660</v>
      </c>
      <c r="BK60" s="581">
        <f t="shared" si="15"/>
        <v>22071.83097</v>
      </c>
      <c r="BL60" s="345">
        <v>76620.0</v>
      </c>
      <c r="BM60" s="345">
        <v>35280.0</v>
      </c>
      <c r="BN60" s="607" t="s">
        <v>2983</v>
      </c>
      <c r="BO60" s="586">
        <f t="shared" si="16"/>
        <v>41340</v>
      </c>
      <c r="BP60" s="584">
        <f t="shared" si="17"/>
        <v>18751.53088</v>
      </c>
      <c r="BQ60" s="345" t="s">
        <v>2824</v>
      </c>
      <c r="BR60" s="581">
        <f t="shared" si="38"/>
        <v>40823.36185</v>
      </c>
      <c r="BS60" s="588">
        <f t="shared" si="19"/>
        <v>35406.55532</v>
      </c>
      <c r="BT60" s="581">
        <f t="shared" si="20"/>
        <v>-19114.26425</v>
      </c>
      <c r="BU60" s="605">
        <v>0.425</v>
      </c>
      <c r="BV60" s="581">
        <f t="shared" si="44"/>
        <v>55175.21538</v>
      </c>
      <c r="BW60" s="590"/>
      <c r="BX60" s="347"/>
      <c r="BY60" s="347"/>
      <c r="BZ60" s="347"/>
      <c r="CA60" s="586">
        <f t="shared" si="22"/>
        <v>3557</v>
      </c>
      <c r="CB60" s="581">
        <f t="shared" si="61"/>
        <v>300</v>
      </c>
      <c r="CC60" s="581">
        <f t="shared" si="62"/>
        <v>133.3875</v>
      </c>
      <c r="CD60" s="581">
        <f t="shared" si="25"/>
        <v>5292.118976</v>
      </c>
      <c r="CE60" s="581">
        <f t="shared" si="26"/>
        <v>3654.391345</v>
      </c>
      <c r="CF60" s="581">
        <f t="shared" si="27"/>
        <v>3846.727732</v>
      </c>
      <c r="CG60" s="581">
        <f t="shared" si="28"/>
        <v>3899.608655</v>
      </c>
      <c r="CH60" s="608">
        <f t="shared" si="29"/>
        <v>1.067102093</v>
      </c>
      <c r="CI60" s="603">
        <f t="shared" si="30"/>
        <v>392360.9216</v>
      </c>
      <c r="CJ60" s="347"/>
      <c r="CK60" s="347">
        <f t="shared" si="55"/>
        <v>0</v>
      </c>
      <c r="CL60" s="539">
        <f t="shared" si="32"/>
        <v>35406.55532</v>
      </c>
      <c r="CM60" s="347">
        <f t="shared" si="33"/>
        <v>0</v>
      </c>
      <c r="CN60" s="347">
        <f t="shared" si="34"/>
        <v>55175.21538</v>
      </c>
      <c r="CO60" s="347" t="str">
        <f t="shared" si="35"/>
        <v>2025-04-24</v>
      </c>
      <c r="CP60" s="347"/>
    </row>
    <row r="61">
      <c r="A61" s="574">
        <f t="shared" si="52"/>
        <v>300023</v>
      </c>
      <c r="B61" s="574" t="str">
        <f t="shared" si="1"/>
        <v>Batch 300023</v>
      </c>
      <c r="C61" s="345" t="s">
        <v>1930</v>
      </c>
      <c r="D61" s="575" t="str">
        <f t="shared" si="51"/>
        <v>3-23</v>
      </c>
      <c r="E61" s="345" t="s">
        <v>2779</v>
      </c>
      <c r="F61" s="583">
        <v>45778.65625</v>
      </c>
      <c r="G61" s="583">
        <v>45779.739583333336</v>
      </c>
      <c r="H61" s="347"/>
      <c r="I61" s="612">
        <v>45782.354166666664</v>
      </c>
      <c r="J61" s="583">
        <v>45782.6875</v>
      </c>
      <c r="K61" s="609" t="s">
        <v>434</v>
      </c>
      <c r="L61" s="1">
        <v>1765.0</v>
      </c>
      <c r="M61" s="345">
        <v>1.22</v>
      </c>
      <c r="N61" s="345">
        <v>25.1</v>
      </c>
      <c r="O61" s="579">
        <f t="shared" si="2"/>
        <v>6681.24865</v>
      </c>
      <c r="P61" s="579">
        <f t="shared" si="46"/>
        <v>8151.123353</v>
      </c>
      <c r="Q61" s="575" t="s">
        <v>439</v>
      </c>
      <c r="R61" s="638" t="str">
        <f t="shared" si="70"/>
        <v/>
      </c>
      <c r="S61" s="580">
        <v>1.22</v>
      </c>
      <c r="T61" s="345">
        <v>25.1</v>
      </c>
      <c r="U61" s="579">
        <f t="shared" si="48"/>
        <v>0</v>
      </c>
      <c r="V61" s="579">
        <f t="shared" si="49"/>
        <v>0</v>
      </c>
      <c r="W61" s="575" t="s">
        <v>423</v>
      </c>
      <c r="X61" s="345">
        <v>860.0</v>
      </c>
      <c r="Y61" s="345">
        <v>1.22</v>
      </c>
      <c r="Z61" s="345">
        <v>25.1</v>
      </c>
      <c r="AA61" s="579">
        <f t="shared" si="6"/>
        <v>3255.4526</v>
      </c>
      <c r="AB61" s="581">
        <f t="shared" si="71"/>
        <v>3971.652172</v>
      </c>
      <c r="AC61" s="345" t="s">
        <v>301</v>
      </c>
      <c r="AD61" s="345">
        <v>712.0</v>
      </c>
      <c r="AE61" s="345">
        <v>1.22</v>
      </c>
      <c r="AF61" s="345">
        <v>29.743</v>
      </c>
      <c r="AG61" s="579">
        <f t="shared" si="54"/>
        <v>2695.21192</v>
      </c>
      <c r="AH61" s="579" t="str">
        <f>IFERROR(SUMIFS(#REF!, 'Consumed Oil by Batch'!A:A, D61, 'Consumed Oil by Batch'!E:E, "&lt;&gt;"), "")</f>
        <v/>
      </c>
      <c r="AI61" s="582"/>
      <c r="AJ61" s="582"/>
      <c r="AK61" s="582"/>
      <c r="AL61" s="582"/>
      <c r="AM61" s="579"/>
      <c r="AN61" s="579"/>
      <c r="AO61" s="347"/>
      <c r="AP61" s="581">
        <f t="shared" si="10"/>
        <v>12122.77553</v>
      </c>
      <c r="AQ61" s="583">
        <v>45781.4375</v>
      </c>
      <c r="AR61" s="583">
        <v>45782.729166666664</v>
      </c>
      <c r="AS61" s="346">
        <v>7925.0</v>
      </c>
      <c r="AT61" s="346" t="s">
        <v>2800</v>
      </c>
      <c r="AU61" s="346">
        <v>102.0</v>
      </c>
      <c r="AV61" s="346">
        <v>100.0</v>
      </c>
      <c r="AW61" s="348"/>
      <c r="AX61" s="584">
        <f t="shared" si="11"/>
        <v>7923</v>
      </c>
      <c r="AY61" s="581">
        <f t="shared" si="12"/>
        <v>8025</v>
      </c>
      <c r="AZ61" s="581">
        <f t="shared" si="43"/>
        <v>3640.083098</v>
      </c>
      <c r="BA61" s="583">
        <v>45781.375</v>
      </c>
      <c r="BB61" s="583">
        <v>45781.520833333336</v>
      </c>
      <c r="BC61" s="346">
        <v>293.0</v>
      </c>
      <c r="BD61" s="581">
        <f t="shared" si="36"/>
        <v>3738.68</v>
      </c>
      <c r="BE61" s="581">
        <f t="shared" si="37"/>
        <v>1695.838739</v>
      </c>
      <c r="BF61" s="345">
        <v>4.24</v>
      </c>
      <c r="BG61" s="345">
        <v>81640.0</v>
      </c>
      <c r="BH61" s="345">
        <v>37900.0</v>
      </c>
      <c r="BI61" s="607" t="s">
        <v>2984</v>
      </c>
      <c r="BJ61" s="586">
        <f t="shared" si="14"/>
        <v>43740</v>
      </c>
      <c r="BK61" s="581">
        <f t="shared" si="15"/>
        <v>19840.15386</v>
      </c>
      <c r="BL61" s="345">
        <v>81980.0</v>
      </c>
      <c r="BM61" s="345">
        <v>37860.0</v>
      </c>
      <c r="BN61" s="607" t="s">
        <v>2984</v>
      </c>
      <c r="BO61" s="586">
        <f t="shared" si="16"/>
        <v>44120</v>
      </c>
      <c r="BP61" s="584">
        <f t="shared" si="17"/>
        <v>20012.51916</v>
      </c>
      <c r="BQ61" s="345" t="s">
        <v>1810</v>
      </c>
      <c r="BR61" s="581">
        <f t="shared" si="38"/>
        <v>39852.67302</v>
      </c>
      <c r="BS61" s="588">
        <f t="shared" si="19"/>
        <v>34516.75119</v>
      </c>
      <c r="BT61" s="581">
        <f t="shared" si="20"/>
        <v>-22393.97566</v>
      </c>
      <c r="BU61" s="605">
        <v>0.398</v>
      </c>
      <c r="BV61" s="581">
        <f t="shared" si="44"/>
        <v>50371.44556</v>
      </c>
      <c r="BW61" s="590"/>
      <c r="BX61" s="347"/>
      <c r="BY61" s="347"/>
      <c r="BZ61" s="347"/>
      <c r="CA61" s="586">
        <f t="shared" si="22"/>
        <v>3337</v>
      </c>
      <c r="CB61" s="581">
        <f t="shared" si="61"/>
        <v>293</v>
      </c>
      <c r="CC61" s="581">
        <f t="shared" si="62"/>
        <v>125.1375</v>
      </c>
      <c r="CD61" s="581">
        <f t="shared" si="25"/>
        <v>5259.15186</v>
      </c>
      <c r="CE61" s="581">
        <f t="shared" si="26"/>
        <v>3631.626411</v>
      </c>
      <c r="CF61" s="581">
        <f t="shared" si="27"/>
        <v>3822.764643</v>
      </c>
      <c r="CG61" s="581">
        <f t="shared" si="28"/>
        <v>4291.373589</v>
      </c>
      <c r="CH61" s="608">
        <f t="shared" si="29"/>
        <v>1.181667139</v>
      </c>
      <c r="CI61" s="603">
        <f t="shared" si="30"/>
        <v>414106.7497</v>
      </c>
      <c r="CJ61" s="347"/>
      <c r="CK61" s="582">
        <f t="shared" si="55"/>
        <v>0</v>
      </c>
      <c r="CL61" s="539">
        <f t="shared" si="32"/>
        <v>34516.75119</v>
      </c>
      <c r="CM61" s="347">
        <f t="shared" si="33"/>
        <v>0</v>
      </c>
      <c r="CN61" s="347">
        <f t="shared" si="34"/>
        <v>50371.44556</v>
      </c>
      <c r="CO61" s="347" t="str">
        <f t="shared" si="35"/>
        <v>2025-05-05</v>
      </c>
      <c r="CP61" s="347"/>
    </row>
    <row r="62">
      <c r="A62" s="574">
        <f t="shared" si="52"/>
        <v>200091</v>
      </c>
      <c r="B62" s="574" t="str">
        <f t="shared" si="1"/>
        <v>Batch 200091</v>
      </c>
      <c r="C62" s="345" t="s">
        <v>1930</v>
      </c>
      <c r="D62" s="575" t="str">
        <f t="shared" si="51"/>
        <v>2-91</v>
      </c>
      <c r="E62" s="345" t="s">
        <v>2779</v>
      </c>
      <c r="F62" s="583">
        <v>45772.666666666664</v>
      </c>
      <c r="G62" s="583">
        <v>45773.75</v>
      </c>
      <c r="H62" s="347"/>
      <c r="I62" s="612">
        <v>45776.354166666664</v>
      </c>
      <c r="J62" s="583">
        <v>45776.6875</v>
      </c>
      <c r="K62" s="609" t="s">
        <v>427</v>
      </c>
      <c r="L62" s="1">
        <v>3158.0</v>
      </c>
      <c r="M62" s="345">
        <v>1.21</v>
      </c>
      <c r="N62" s="345">
        <v>21.8</v>
      </c>
      <c r="O62" s="579">
        <f t="shared" si="2"/>
        <v>11954.32478</v>
      </c>
      <c r="P62" s="579">
        <f t="shared" si="46"/>
        <v>14464.73298</v>
      </c>
      <c r="Q62" s="575" t="s">
        <v>425</v>
      </c>
      <c r="R62" s="638" t="str">
        <f t="shared" si="70"/>
        <v/>
      </c>
      <c r="S62" s="580">
        <v>1.21</v>
      </c>
      <c r="T62" s="345">
        <v>23.7</v>
      </c>
      <c r="U62" s="579">
        <f t="shared" si="48"/>
        <v>0</v>
      </c>
      <c r="V62" s="579">
        <f t="shared" si="49"/>
        <v>0</v>
      </c>
      <c r="W62" s="574"/>
      <c r="X62" s="347"/>
      <c r="Y62" s="347"/>
      <c r="Z62" s="347"/>
      <c r="AA62" s="579">
        <f t="shared" si="6"/>
        <v>0</v>
      </c>
      <c r="AB62" s="581">
        <f t="shared" si="71"/>
        <v>0</v>
      </c>
      <c r="AC62" s="347"/>
      <c r="AD62" s="347"/>
      <c r="AE62" s="347"/>
      <c r="AF62" s="347"/>
      <c r="AG62" s="579">
        <f t="shared" si="54"/>
        <v>0</v>
      </c>
      <c r="AH62" s="579">
        <f>AD62*$CP$3*AE62</f>
        <v>0</v>
      </c>
      <c r="AI62" s="582"/>
      <c r="AJ62" s="582"/>
      <c r="AK62" s="582"/>
      <c r="AL62" s="582"/>
      <c r="AM62" s="579"/>
      <c r="AN62" s="579"/>
      <c r="AO62" s="347"/>
      <c r="AP62" s="581">
        <f t="shared" si="10"/>
        <v>14464.73298</v>
      </c>
      <c r="AQ62" s="583">
        <v>45775.875</v>
      </c>
      <c r="AR62" s="583">
        <v>45776.208333333336</v>
      </c>
      <c r="AS62" s="346">
        <v>7150.0</v>
      </c>
      <c r="AT62" s="348"/>
      <c r="AU62" s="346">
        <v>65.0</v>
      </c>
      <c r="AV62" s="346">
        <v>100.0</v>
      </c>
      <c r="AW62" s="346">
        <v>320.0</v>
      </c>
      <c r="AX62" s="584">
        <f t="shared" si="11"/>
        <v>6865</v>
      </c>
      <c r="AY62" s="581">
        <f t="shared" si="12"/>
        <v>7250</v>
      </c>
      <c r="AZ62" s="581">
        <f t="shared" si="43"/>
        <v>3288.548593</v>
      </c>
      <c r="BA62" s="583">
        <v>45775.645833333336</v>
      </c>
      <c r="BB62" s="583">
        <v>45775.791666666664</v>
      </c>
      <c r="BC62" s="346">
        <v>285.0</v>
      </c>
      <c r="BD62" s="581">
        <f t="shared" si="36"/>
        <v>3636.6</v>
      </c>
      <c r="BE62" s="581">
        <f t="shared" si="37"/>
        <v>1649.535974</v>
      </c>
      <c r="BF62" s="345">
        <v>4.59</v>
      </c>
      <c r="BG62" s="345">
        <v>80280.0</v>
      </c>
      <c r="BH62" s="345">
        <v>37640.0</v>
      </c>
      <c r="BI62" s="607" t="s">
        <v>2985</v>
      </c>
      <c r="BJ62" s="586">
        <f t="shared" si="14"/>
        <v>42640</v>
      </c>
      <c r="BK62" s="581">
        <f t="shared" si="15"/>
        <v>19341.20166</v>
      </c>
      <c r="BL62" s="345">
        <v>78180.0</v>
      </c>
      <c r="BM62" s="345">
        <v>33960.0</v>
      </c>
      <c r="BN62" s="607" t="s">
        <v>2985</v>
      </c>
      <c r="BO62" s="586">
        <f t="shared" si="16"/>
        <v>44220</v>
      </c>
      <c r="BP62" s="584">
        <f t="shared" si="17"/>
        <v>20057.87846</v>
      </c>
      <c r="BQ62" s="345" t="s">
        <v>2824</v>
      </c>
      <c r="BR62" s="581">
        <f t="shared" si="38"/>
        <v>39399.08011</v>
      </c>
      <c r="BS62" s="588">
        <f t="shared" si="19"/>
        <v>34460.99555</v>
      </c>
      <c r="BT62" s="581">
        <f t="shared" si="20"/>
        <v>-19996.26256</v>
      </c>
      <c r="BU62" s="605">
        <v>0.406</v>
      </c>
      <c r="BV62" s="581">
        <f t="shared" si="44"/>
        <v>51300.93537</v>
      </c>
      <c r="BW62" s="590"/>
      <c r="BX62" s="347"/>
      <c r="BY62" s="347"/>
      <c r="BZ62" s="347"/>
      <c r="CA62" s="586">
        <f t="shared" si="22"/>
        <v>3158</v>
      </c>
      <c r="CB62" s="581">
        <f t="shared" si="61"/>
        <v>285</v>
      </c>
      <c r="CC62" s="581">
        <f t="shared" si="62"/>
        <v>118.425</v>
      </c>
      <c r="CD62" s="581">
        <f t="shared" si="25"/>
        <v>4357.838716</v>
      </c>
      <c r="CE62" s="581">
        <f t="shared" si="26"/>
        <v>3009.238485</v>
      </c>
      <c r="CF62" s="581">
        <f t="shared" si="27"/>
        <v>3167.619458</v>
      </c>
      <c r="CG62" s="581">
        <f t="shared" si="28"/>
        <v>3855.761515</v>
      </c>
      <c r="CH62" s="608">
        <f t="shared" si="29"/>
        <v>1.281308057</v>
      </c>
      <c r="CI62" s="603">
        <f t="shared" si="30"/>
        <v>433019.7983</v>
      </c>
      <c r="CJ62" s="347"/>
      <c r="CK62" s="347">
        <f t="shared" si="55"/>
        <v>0</v>
      </c>
      <c r="CL62" s="539">
        <f t="shared" si="32"/>
        <v>34460.99555</v>
      </c>
      <c r="CM62" s="347">
        <f t="shared" si="33"/>
        <v>0</v>
      </c>
      <c r="CN62" s="347">
        <f t="shared" si="34"/>
        <v>51300.93537</v>
      </c>
      <c r="CO62" s="347" t="str">
        <f t="shared" si="35"/>
        <v>2025-04-29</v>
      </c>
      <c r="CP62" s="347"/>
    </row>
    <row r="63">
      <c r="A63" s="574">
        <f t="shared" si="52"/>
        <v>300024</v>
      </c>
      <c r="B63" s="574" t="str">
        <f t="shared" si="1"/>
        <v>Batch 300024</v>
      </c>
      <c r="C63" s="345" t="s">
        <v>1930</v>
      </c>
      <c r="D63" s="639" t="str">
        <f t="shared" si="51"/>
        <v>3-24</v>
      </c>
      <c r="E63" s="345" t="s">
        <v>2779</v>
      </c>
      <c r="F63" s="640">
        <f>I63-1</f>
        <v>-1</v>
      </c>
      <c r="G63" s="640">
        <f>F63</f>
        <v>-1</v>
      </c>
      <c r="H63" s="641"/>
      <c r="I63" s="583" t="str">
        <f t="array" ref="I63">IFERROR(INDEX('Master Batch Data'!$C:$C, MATCH(D63, 'Master Batch Data'!$A:$A, 0)), "")</f>
        <v/>
      </c>
      <c r="J63" s="583" t="str">
        <f t="array" ref="J63">IFERROR(INDEX('Master Batch Data'!$C:$C, MATCH(D63, 'Master Batch Data'!$A:$A, 0)), "")</f>
        <v/>
      </c>
      <c r="K63" s="345" t="str">
        <f t="array" ref="K63">IFERROR(INDEX('Consumed Oil by Batch'!D:D, SMALL(IF('Consumed Oil by Batch'!A:A=D63, ROW('Consumed Oil by Batch'!A:A)), ROW($A$1))), "")</f>
        <v/>
      </c>
      <c r="L63" s="345" t="str">
        <f t="array" ref="L63">IFERROR(INDEX('Consumed Oil by Batch'!F:F, SMALL(IF('Consumed Oil by Batch'!A:A=D63, ROW('Consumed Oil by Batch'!A:A)), ROW($A$1))), "")</f>
        <v/>
      </c>
      <c r="M63" s="345" t="str">
        <f t="array" ref="M63">IFERROR(INDEX('Consumed Oil by Batch'!H:H, SMALL(IF('Consumed Oil by Batch'!A:A=D63, ROW('Consumed Oil by Batch'!A:A)), ROW($A$1))), "")</f>
        <v/>
      </c>
      <c r="N63" s="345" t="str">
        <f t="array" ref="N63">IFERROR(INDEX('Consumed Oil by Batch'!I:I, SMALL(IF('Consumed Oil by Batch'!A:A=D63, ROW('Consumed Oil by Batch'!A:A)), ROW($A$1))), "")</f>
        <v/>
      </c>
      <c r="O63" s="579">
        <f t="shared" si="2"/>
        <v>0</v>
      </c>
      <c r="P63" s="579">
        <f t="shared" si="46"/>
        <v>0</v>
      </c>
      <c r="Q63" s="638" t="str">
        <f t="shared" ref="Q63:Q65" si="72">IFERROR(INDEX('Consumed Oil by Batch'!$D:$D, SMALL(IF(('Consumed Oil by Batch'!$A:$A=$D63)*('Consumed Oil by Batch'!$C:$C="bio_oil"), ROW('Consumed Oil by Batch'!$A:$A)), ROW($A$2))), "")</f>
        <v/>
      </c>
      <c r="R63" s="638" t="str">
        <f t="shared" si="70"/>
        <v/>
      </c>
      <c r="S63" s="345" t="str">
        <f t="shared" ref="S63:S65" si="73">IFERROR(INDEX('Consumed Oil by Batch'!$H:$H, SMALL(IF(('Consumed Oil by Batch'!$A:$A=$D63)*('Consumed Oil by Batch'!$C:$C="bio_oil"), ROW('Consumed Oil by Batch'!G:G)), ROW($A$2)), ""),"")</f>
        <v/>
      </c>
      <c r="T63" s="347" t="str">
        <f t="array" ref="T63">IFERROR(INDEX('Consumed Oil by Batch'!I:I, SMALL(IF('Consumed Oil by Batch'!A:A=D63, ROW('Consumed Oil by Batch'!A:A)), ROW($A$2))), "")</f>
        <v/>
      </c>
      <c r="U63" s="579">
        <f t="shared" si="48"/>
        <v>0</v>
      </c>
      <c r="V63" s="579">
        <f t="shared" si="49"/>
        <v>0</v>
      </c>
      <c r="W63" s="574" t="str">
        <f t="array" ref="W63">IFERROR(INDEX('Consumed Oil by Batch'!D:D, SMALL(IF('Consumed Oil by Batch'!A:A=D63, ROW('Consumed Oil by Batch'!A:A)), ROW($A$3))), "")</f>
        <v/>
      </c>
      <c r="X63" s="347" t="str">
        <f t="array" ref="X63">IFERROR(INDEX('Consumed Oil by Batch'!F:F, SMALL(IF('Consumed Oil by Batch'!A:A=D63, ROW('Consumed Oil by Batch'!A:A)), ROW($A$3))), "")</f>
        <v/>
      </c>
      <c r="Y63" s="347" t="str">
        <f t="array" ref="Y63">IFERROR(INDEX('Consumed Oil by Batch'!H:H, SMALL(IF('Consumed Oil by Batch'!A:A=D63, ROW('Consumed Oil by Batch'!A:A)), ROW($A$3))), "")</f>
        <v/>
      </c>
      <c r="Z63" s="347" t="str">
        <f t="array" ref="Z63">IFERROR(INDEX('Consumed Oil by Batch'!I:I, SMALL(IF('Consumed Oil by Batch'!A:A=D63, ROW('Consumed Oil by Batch'!A:A)), ROW($A$3))), "")</f>
        <v/>
      </c>
      <c r="AA63" s="579">
        <f t="shared" si="6"/>
        <v>0</v>
      </c>
      <c r="AB63" s="581"/>
      <c r="AC63" s="345" t="s">
        <v>301</v>
      </c>
      <c r="AD63" s="347"/>
      <c r="AE63" s="347" t="str">
        <f t="array" ref="AE63">IFERROR(INDEX('Consumed Oil by Batch'!H:H, SMALL(IF('Consumed Oil by Batch'!A:A=D67, ROW('Consumed Oil by Batch'!A:A)), ROW($A$3))), "")</f>
        <v/>
      </c>
      <c r="AF63" s="345">
        <v>19.51</v>
      </c>
      <c r="AG63" s="579">
        <f t="shared" si="54"/>
        <v>0</v>
      </c>
      <c r="AH63" s="579" t="str">
        <f>IFERROR(SUMIFS(#REF!, 'Consumed Oil by Batch'!A:A, D63, 'Consumed Oil by Batch'!E:E, "&lt;&gt;"), "")</f>
        <v/>
      </c>
      <c r="AI63" s="582"/>
      <c r="AJ63" s="582"/>
      <c r="AK63" s="582"/>
      <c r="AL63" s="582"/>
      <c r="AM63" s="579"/>
      <c r="AN63" s="579"/>
      <c r="AO63" s="347"/>
      <c r="AP63" s="581">
        <f t="shared" si="10"/>
        <v>0</v>
      </c>
      <c r="AQ63" s="640">
        <f>BA63</f>
        <v>-1</v>
      </c>
      <c r="AR63" s="640">
        <f>AQ63</f>
        <v>-1</v>
      </c>
      <c r="AS63" s="348" t="str">
        <f t="array" ref="AS63">IFERROR(INDEX('Master Batch Data'!$J:$J, MATCH(D63, 'Master Batch Data'!$A:$A, 0)) , "")</f>
        <v/>
      </c>
      <c r="AT63" s="348"/>
      <c r="AU63" s="642" t="str">
        <f t="shared" ref="AU63:AU72" si="74">MAX(0, IFERROR(INDEX('Master Batch Data'!$AD:$AD, MATCH(D63, 'Master Batch Data'!$A:$A, 0)), ""))</f>
        <v>#VALUE!</v>
      </c>
      <c r="AV63" s="643" t="str">
        <f t="shared" ref="AV63:AV96" si="75">IFERROR(INDEX('Master Batch Data'!$K:$K, MATCH(D63, 'Master Batch Data'!$A:$A, 0)), "")</f>
        <v/>
      </c>
      <c r="AW63" s="642" t="str">
        <f t="shared" ref="AW63:AW65" si="76">MAX(0, IFERROR(INDEX('Master Batch Data'!$AC:$AC, MATCH(D63, 'Master Batch Data'!$A:$A, 0)), ""))</f>
        <v>#VALUE!</v>
      </c>
      <c r="AX63" s="584" t="str">
        <f t="shared" si="11"/>
        <v>#VALUE!</v>
      </c>
      <c r="AY63" s="581">
        <f t="shared" si="12"/>
        <v>0</v>
      </c>
      <c r="AZ63" s="581">
        <f t="shared" si="43"/>
        <v>0</v>
      </c>
      <c r="BA63" s="640">
        <f>G63</f>
        <v>-1</v>
      </c>
      <c r="BB63" s="640">
        <f>BA63</f>
        <v>-1</v>
      </c>
      <c r="BC63" s="644" t="str">
        <f t="array" ref="BC63">IFERROR(INDEX('Master Batch Data'!$H:$H, MATCH(D63, 'Master Batch Data'!$A:$A, 0)), "")</f>
        <v/>
      </c>
      <c r="BD63" s="581" t="str">
        <f t="array" ref="BD63">IFERROR(INDEX('Master Batch Data'!$AG:$AG, MATCH(D63, 'Master Batch Data'!$A:$A, 0)), "")</f>
        <v/>
      </c>
      <c r="BE63" s="581">
        <f t="shared" si="37"/>
        <v>0</v>
      </c>
      <c r="BF63" s="645">
        <v>4.31</v>
      </c>
      <c r="BG63" s="645">
        <v>75560.0</v>
      </c>
      <c r="BH63" s="645">
        <v>28920.0</v>
      </c>
      <c r="BI63" s="347" t="str">
        <f t="array" ref="BI63">IFERROR(INDEX('Master Batch Data'!$X:$X, MATCH(D63, 'Master Batch Data'!$A:$A, 0)), "")</f>
        <v/>
      </c>
      <c r="BJ63" s="586" t="str">
        <f t="array" ref="BJ63">IFERROR(INDEX('Master Batch Data'!$N:$N, MATCH(D63, 'Master Batch Data'!$A:$A, 0)), "")</f>
        <v/>
      </c>
      <c r="BK63" s="581">
        <f t="shared" si="15"/>
        <v>0</v>
      </c>
      <c r="BL63" s="645">
        <v>75240.0</v>
      </c>
      <c r="BM63" s="645">
        <v>31620.0</v>
      </c>
      <c r="BN63" s="347" t="str">
        <f t="array" ref="BN63">IFERROR(INDEX('Master Batch Data'!$X:$X, MATCH(D63, 'Master Batch Data'!$A:$A, 0)), "")</f>
        <v/>
      </c>
      <c r="BO63" s="586" t="str">
        <f t="array" ref="BO63">IFERROR(INDEX('Master Batch Data'!$S:$S, MATCH(D63, 'Master Batch Data'!$A:$A, 0)), "")</f>
        <v/>
      </c>
      <c r="BP63" s="584">
        <f t="shared" si="17"/>
        <v>0</v>
      </c>
      <c r="BQ63" s="347"/>
      <c r="BR63" s="581">
        <f t="shared" si="38"/>
        <v>0</v>
      </c>
      <c r="BS63" s="588">
        <f t="shared" si="19"/>
        <v>0</v>
      </c>
      <c r="BT63" s="581">
        <f t="shared" si="20"/>
        <v>0</v>
      </c>
      <c r="BU63" s="605">
        <v>0.404</v>
      </c>
      <c r="BV63" s="581">
        <f t="shared" si="44"/>
        <v>0</v>
      </c>
      <c r="BW63" s="590"/>
      <c r="BX63" s="347"/>
      <c r="BY63" s="347"/>
      <c r="BZ63" s="347"/>
      <c r="CA63" s="586">
        <f t="shared" si="22"/>
        <v>0</v>
      </c>
      <c r="CB63" s="581">
        <f t="shared" si="61"/>
        <v>0</v>
      </c>
      <c r="CC63" s="581">
        <f t="shared" si="62"/>
        <v>0</v>
      </c>
      <c r="CD63" s="581">
        <f t="shared" si="25"/>
        <v>0</v>
      </c>
      <c r="CE63" s="581">
        <f t="shared" si="26"/>
        <v>0</v>
      </c>
      <c r="CF63" s="581">
        <f t="shared" si="27"/>
        <v>0</v>
      </c>
      <c r="CG63" s="586" t="str">
        <f t="shared" si="28"/>
        <v>#VALUE!</v>
      </c>
      <c r="CH63" s="608" t="str">
        <f t="shared" si="29"/>
        <v>#VALUE!</v>
      </c>
      <c r="CI63" s="603" t="str">
        <f t="shared" si="30"/>
        <v>#VALUE!</v>
      </c>
      <c r="CJ63" s="347"/>
      <c r="CK63" s="582">
        <f t="shared" si="55"/>
        <v>0</v>
      </c>
      <c r="CL63" s="539">
        <f t="shared" si="32"/>
        <v>0</v>
      </c>
      <c r="CM63" s="347">
        <f t="shared" si="33"/>
        <v>0</v>
      </c>
      <c r="CN63" s="347">
        <f t="shared" si="34"/>
        <v>0</v>
      </c>
      <c r="CO63" s="347" t="str">
        <f t="shared" si="35"/>
        <v/>
      </c>
      <c r="CP63" s="347"/>
    </row>
    <row r="64">
      <c r="A64" s="574">
        <f t="shared" si="52"/>
        <v>200092</v>
      </c>
      <c r="B64" s="574" t="str">
        <f t="shared" si="1"/>
        <v>Batch 200092</v>
      </c>
      <c r="C64" s="345" t="s">
        <v>1930</v>
      </c>
      <c r="D64" s="575" t="str">
        <f t="shared" si="51"/>
        <v>2-92</v>
      </c>
      <c r="E64" s="345" t="s">
        <v>2779</v>
      </c>
      <c r="F64" s="583">
        <v>45775.729166666664</v>
      </c>
      <c r="G64" s="583">
        <v>45776.8125</v>
      </c>
      <c r="H64" s="347"/>
      <c r="I64" s="612">
        <v>45778.354166666664</v>
      </c>
      <c r="J64" s="583">
        <v>45778.666666666664</v>
      </c>
      <c r="K64" s="609" t="s">
        <v>429</v>
      </c>
      <c r="L64" s="1">
        <v>4541.0</v>
      </c>
      <c r="M64" s="345">
        <v>1.21</v>
      </c>
      <c r="N64" s="345">
        <v>22.4</v>
      </c>
      <c r="O64" s="579">
        <f t="shared" si="2"/>
        <v>17189.54681</v>
      </c>
      <c r="P64" s="579">
        <f t="shared" si="46"/>
        <v>20799.35164</v>
      </c>
      <c r="Q64" s="638" t="str">
        <f t="shared" si="72"/>
        <v/>
      </c>
      <c r="R64" s="638" t="str">
        <f t="shared" si="70"/>
        <v/>
      </c>
      <c r="S64" s="345" t="str">
        <f t="shared" si="73"/>
        <v/>
      </c>
      <c r="T64" s="345">
        <v>21.8</v>
      </c>
      <c r="U64" s="579">
        <f t="shared" si="48"/>
        <v>0</v>
      </c>
      <c r="V64" s="579">
        <f t="shared" si="49"/>
        <v>0</v>
      </c>
      <c r="W64" s="575" t="s">
        <v>419</v>
      </c>
      <c r="X64" s="345">
        <v>1234.0</v>
      </c>
      <c r="Y64" s="345">
        <v>1.21</v>
      </c>
      <c r="Z64" s="345">
        <v>21.8</v>
      </c>
      <c r="AA64" s="579">
        <f t="shared" si="6"/>
        <v>4671.19594</v>
      </c>
      <c r="AB64" s="581">
        <f>X64*$CP$3*Y64</f>
        <v>5652.147087</v>
      </c>
      <c r="AC64" s="345" t="s">
        <v>2986</v>
      </c>
      <c r="AD64" s="345">
        <v>949.0</v>
      </c>
      <c r="AE64" s="345">
        <v>1.21</v>
      </c>
      <c r="AF64" s="345">
        <v>22.4</v>
      </c>
      <c r="AG64" s="579">
        <f t="shared" si="54"/>
        <v>3592.35409</v>
      </c>
      <c r="AH64" s="579">
        <f>AD64*$CP$3*AE64</f>
        <v>4346.748449</v>
      </c>
      <c r="AI64" s="582"/>
      <c r="AJ64" s="582"/>
      <c r="AK64" s="582"/>
      <c r="AL64" s="582"/>
      <c r="AM64" s="579"/>
      <c r="AN64" s="579"/>
      <c r="AO64" s="347"/>
      <c r="AP64" s="581">
        <f t="shared" si="10"/>
        <v>30798.24718</v>
      </c>
      <c r="AQ64" s="583">
        <v>45777.875</v>
      </c>
      <c r="AR64" s="583">
        <v>45778.291666666664</v>
      </c>
      <c r="AS64" s="346">
        <v>7392.0</v>
      </c>
      <c r="AT64" s="346" t="s">
        <v>2800</v>
      </c>
      <c r="AU64" s="642" t="str">
        <f t="shared" si="74"/>
        <v>#VALUE!</v>
      </c>
      <c r="AV64" s="643" t="str">
        <f t="shared" si="75"/>
        <v/>
      </c>
      <c r="AW64" s="642" t="str">
        <f t="shared" si="76"/>
        <v>#VALUE!</v>
      </c>
      <c r="AX64" s="584" t="str">
        <f t="shared" si="11"/>
        <v>#VALUE!</v>
      </c>
      <c r="AY64" s="581">
        <f t="shared" si="12"/>
        <v>7392</v>
      </c>
      <c r="AZ64" s="581">
        <f t="shared" si="43"/>
        <v>3352.958787</v>
      </c>
      <c r="BA64" s="583">
        <v>45777.65625</v>
      </c>
      <c r="BB64" s="583">
        <v>45777.833333333336</v>
      </c>
      <c r="BC64" s="346">
        <v>300.0</v>
      </c>
      <c r="BD64" s="581">
        <f>BC64*$CP$5</f>
        <v>3828</v>
      </c>
      <c r="BE64" s="581">
        <f t="shared" si="37"/>
        <v>1736.353657</v>
      </c>
      <c r="BF64" s="345">
        <v>4.37</v>
      </c>
      <c r="BG64" s="345">
        <v>81520.0</v>
      </c>
      <c r="BH64" s="345">
        <v>37760.0</v>
      </c>
      <c r="BI64" s="607" t="s">
        <v>2987</v>
      </c>
      <c r="BJ64" s="586">
        <f>BG64-BH64</f>
        <v>43760</v>
      </c>
      <c r="BK64" s="581">
        <f t="shared" si="15"/>
        <v>19849.22572</v>
      </c>
      <c r="BL64" s="345">
        <v>85100.0</v>
      </c>
      <c r="BM64" s="345">
        <v>37160.0</v>
      </c>
      <c r="BN64" s="607" t="s">
        <v>2987</v>
      </c>
      <c r="BO64" s="586">
        <f>BL64-BM64</f>
        <v>47940</v>
      </c>
      <c r="BP64" s="584">
        <f t="shared" si="17"/>
        <v>21745.24408</v>
      </c>
      <c r="BQ64" s="345" t="s">
        <v>1810</v>
      </c>
      <c r="BR64" s="581">
        <f t="shared" si="38"/>
        <v>41594.4698</v>
      </c>
      <c r="BS64" s="588">
        <f t="shared" si="19"/>
        <v>36505.15735</v>
      </c>
      <c r="BT64" s="581">
        <f t="shared" si="20"/>
        <v>-5706.910175</v>
      </c>
      <c r="BU64" s="605">
        <v>0.447</v>
      </c>
      <c r="BV64" s="581">
        <f t="shared" si="44"/>
        <v>59831.9529</v>
      </c>
      <c r="BW64" s="590"/>
      <c r="BX64" s="347"/>
      <c r="BY64" s="347"/>
      <c r="BZ64" s="347"/>
      <c r="CA64" s="586">
        <f t="shared" si="22"/>
        <v>6724</v>
      </c>
      <c r="CB64" s="581">
        <f t="shared" si="61"/>
        <v>300</v>
      </c>
      <c r="CC64" s="581">
        <f t="shared" si="62"/>
        <v>252.15</v>
      </c>
      <c r="CD64" s="581">
        <f t="shared" si="25"/>
        <v>8132.817564</v>
      </c>
      <c r="CE64" s="581">
        <f t="shared" si="26"/>
        <v>5615.992055</v>
      </c>
      <c r="CF64" s="581">
        <f t="shared" si="27"/>
        <v>5911.570584</v>
      </c>
      <c r="CG64" s="586" t="str">
        <f t="shared" si="28"/>
        <v>#VALUE!</v>
      </c>
      <c r="CH64" s="608" t="str">
        <f t="shared" si="29"/>
        <v>#VALUE!</v>
      </c>
      <c r="CI64" s="603" t="str">
        <f t="shared" si="30"/>
        <v>#VALUE!</v>
      </c>
      <c r="CJ64" s="347"/>
      <c r="CK64" s="347">
        <f t="shared" si="55"/>
        <v>0</v>
      </c>
      <c r="CL64" s="539">
        <f t="shared" si="32"/>
        <v>36505.15735</v>
      </c>
      <c r="CM64" s="347">
        <f t="shared" si="33"/>
        <v>0</v>
      </c>
      <c r="CN64" s="347">
        <f t="shared" si="34"/>
        <v>59831.9529</v>
      </c>
      <c r="CO64" s="347" t="str">
        <f t="shared" si="35"/>
        <v>2025-05-01</v>
      </c>
      <c r="CP64" s="347"/>
    </row>
    <row r="65">
      <c r="A65" s="574">
        <f t="shared" si="52"/>
        <v>300025</v>
      </c>
      <c r="B65" s="574" t="str">
        <f t="shared" si="1"/>
        <v>Batch 300025</v>
      </c>
      <c r="C65" s="347"/>
      <c r="D65" s="639" t="str">
        <f t="shared" si="51"/>
        <v>3-25</v>
      </c>
      <c r="E65" s="345" t="s">
        <v>2779</v>
      </c>
      <c r="F65" s="640">
        <f>I65-1</f>
        <v>-1</v>
      </c>
      <c r="G65" s="640">
        <f>F65</f>
        <v>-1</v>
      </c>
      <c r="H65" s="641"/>
      <c r="I65" s="583" t="str">
        <f t="shared" ref="I65:I85" si="77">IFERROR(INDEX('Master Batch Data'!$C:$C, MATCH(D65, 'Master Batch Data'!$A:$A, 0)), "")</f>
        <v/>
      </c>
      <c r="J65" s="583" t="str">
        <f t="array" ref="J65">IFERROR(INDEX('Master Batch Data'!$C:$C, MATCH(D65, 'Master Batch Data'!$A:$A, 0)), "")</f>
        <v/>
      </c>
      <c r="K65" s="345" t="s">
        <v>2988</v>
      </c>
      <c r="L65" s="345">
        <v>4430.0</v>
      </c>
      <c r="M65" s="345" t="str">
        <f t="array" ref="M65">IFERROR(INDEX('Consumed Oil by Batch'!H:H, SMALL(IF('Consumed Oil by Batch'!A:A=D65, ROW('Consumed Oil by Batch'!A:A)), ROW($A$1))), "")</f>
        <v/>
      </c>
      <c r="N65" s="345" t="str">
        <f t="array" ref="N65">IFERROR(INDEX('Consumed Oil by Batch'!I:I, SMALL(IF('Consumed Oil by Batch'!A:A=D65, ROW('Consumed Oil by Batch'!A:A)), ROW($A$1))), "")</f>
        <v/>
      </c>
      <c r="O65" s="579">
        <f t="shared" si="2"/>
        <v>16769.3663</v>
      </c>
      <c r="P65" s="579">
        <f t="shared" si="46"/>
        <v>0</v>
      </c>
      <c r="Q65" s="638" t="str">
        <f t="shared" si="72"/>
        <v/>
      </c>
      <c r="R65" s="638" t="str">
        <f t="shared" si="70"/>
        <v/>
      </c>
      <c r="S65" s="345" t="str">
        <f t="shared" si="73"/>
        <v/>
      </c>
      <c r="T65" s="347" t="str">
        <f t="array" ref="T65">IFERROR(INDEX('Consumed Oil by Batch'!I:I, SMALL(IF('Consumed Oil by Batch'!A:A=D65, ROW('Consumed Oil by Batch'!A:A)), ROW($A$2))), "")</f>
        <v/>
      </c>
      <c r="U65" s="579">
        <f t="shared" si="48"/>
        <v>0</v>
      </c>
      <c r="V65" s="579">
        <f t="shared" si="49"/>
        <v>0</v>
      </c>
      <c r="W65" s="574"/>
      <c r="X65" s="638" t="str">
        <f t="shared" ref="X65:X91" si="78">IFERROR(INDEX('Consumed Oil by Batch'!$F:$F, SMALL(IF(('Consumed Oil by Batch'!$A:$A=$D65)*('Consumed Oil by Batch'!$C:$C="bio_oil"), ROW('Consumed Oil by Batch'!$A:$A)), ROW($A$3))), "")</f>
        <v/>
      </c>
      <c r="Y65" s="347"/>
      <c r="Z65" s="347"/>
      <c r="AA65" s="579">
        <f t="shared" si="6"/>
        <v>0</v>
      </c>
      <c r="AB65" s="581"/>
      <c r="AC65" s="345" t="s">
        <v>301</v>
      </c>
      <c r="AD65" s="347"/>
      <c r="AE65" s="347" t="str">
        <f t="array" ref="AE65">IFERROR(INDEX('Consumed Oil by Batch'!H:H, SMALL(IF('Consumed Oil by Batch'!A:A=D67, ROW('Consumed Oil by Batch'!A:A)), ROW($A$3))), "")</f>
        <v/>
      </c>
      <c r="AF65" s="345">
        <v>20.92</v>
      </c>
      <c r="AG65" s="579">
        <f t="shared" si="54"/>
        <v>0</v>
      </c>
      <c r="AH65" s="630">
        <v>4239.62</v>
      </c>
      <c r="AI65" s="633"/>
      <c r="AJ65" s="633"/>
      <c r="AK65" s="633"/>
      <c r="AL65" s="633"/>
      <c r="AM65" s="630"/>
      <c r="AN65" s="630"/>
      <c r="AO65" s="347"/>
      <c r="AP65" s="581">
        <f t="shared" si="10"/>
        <v>4239.62</v>
      </c>
      <c r="AQ65" s="640">
        <f>BA65</f>
        <v>-1</v>
      </c>
      <c r="AR65" s="640">
        <f>AQ65</f>
        <v>-1</v>
      </c>
      <c r="AS65" s="348" t="str">
        <f t="array" ref="AS65">IFERROR(INDEX('Master Batch Data'!$J:$J, MATCH(D65, 'Master Batch Data'!$A:$A, 0)) , "")</f>
        <v/>
      </c>
      <c r="AT65" s="348"/>
      <c r="AU65" s="642" t="str">
        <f t="shared" si="74"/>
        <v>#VALUE!</v>
      </c>
      <c r="AV65" s="643" t="str">
        <f t="shared" si="75"/>
        <v/>
      </c>
      <c r="AW65" s="642" t="str">
        <f t="shared" si="76"/>
        <v>#VALUE!</v>
      </c>
      <c r="AX65" s="584" t="str">
        <f t="shared" si="11"/>
        <v>#VALUE!</v>
      </c>
      <c r="AY65" s="581">
        <f t="shared" si="12"/>
        <v>0</v>
      </c>
      <c r="AZ65" s="581">
        <f t="shared" si="43"/>
        <v>0</v>
      </c>
      <c r="BA65" s="640">
        <f>G65</f>
        <v>-1</v>
      </c>
      <c r="BB65" s="640">
        <f>BA65</f>
        <v>-1</v>
      </c>
      <c r="BC65" s="644" t="str">
        <f t="array" ref="BC65">IFERROR(INDEX('Master Batch Data'!$H:$H, MATCH(D65, 'Master Batch Data'!$A:$A, 0)), "")</f>
        <v/>
      </c>
      <c r="BD65" s="581" t="str">
        <f t="array" ref="BD65">IFERROR(INDEX('Master Batch Data'!$AG:$AG, MATCH(D65, 'Master Batch Data'!$A:$A, 0)), "")</f>
        <v/>
      </c>
      <c r="BE65" s="581">
        <f t="shared" si="37"/>
        <v>0</v>
      </c>
      <c r="BF65" s="645">
        <v>4.42</v>
      </c>
      <c r="BG65" s="645">
        <v>78380.0</v>
      </c>
      <c r="BH65" s="645">
        <v>33780.0</v>
      </c>
      <c r="BI65" s="347" t="str">
        <f t="array" ref="BI65">IFERROR(INDEX('Master Batch Data'!$X:$X, MATCH(D65, 'Master Batch Data'!$A:$A, 0)), "")</f>
        <v/>
      </c>
      <c r="BJ65" s="586" t="str">
        <f t="array" ref="BJ65">IFERROR(INDEX('Master Batch Data'!$N:$N, MATCH(D65, 'Master Batch Data'!$A:$A, 0)), "")</f>
        <v/>
      </c>
      <c r="BK65" s="581">
        <f t="shared" si="15"/>
        <v>0</v>
      </c>
      <c r="BL65" s="645">
        <v>83100.0</v>
      </c>
      <c r="BM65" s="645">
        <v>39140.0</v>
      </c>
      <c r="BN65" s="347" t="str">
        <f t="array" ref="BN65">IFERROR(INDEX('Master Batch Data'!$X:$X, MATCH(D65, 'Master Batch Data'!$A:$A, 0)), "")</f>
        <v/>
      </c>
      <c r="BO65" s="586" t="str">
        <f t="shared" ref="BO65:BO120" si="79">IFERROR(INDEX('Master Batch Data'!$S:$S, MATCH(D65, 'Master Batch Data'!$A:$A, 0)), "")</f>
        <v/>
      </c>
      <c r="BP65" s="584">
        <f t="shared" si="17"/>
        <v>0</v>
      </c>
      <c r="BQ65" s="347"/>
      <c r="BR65" s="581">
        <f t="shared" si="38"/>
        <v>0</v>
      </c>
      <c r="BS65" s="588">
        <f t="shared" si="19"/>
        <v>0</v>
      </c>
      <c r="BT65" s="581">
        <f t="shared" si="20"/>
        <v>4239.62</v>
      </c>
      <c r="BU65" s="605">
        <v>0.382</v>
      </c>
      <c r="BV65" s="581">
        <f t="shared" si="44"/>
        <v>0</v>
      </c>
      <c r="BW65" s="590"/>
      <c r="BX65" s="347"/>
      <c r="BY65" s="347"/>
      <c r="BZ65" s="347"/>
      <c r="CA65" s="586">
        <f t="shared" si="22"/>
        <v>4430</v>
      </c>
      <c r="CB65" s="581">
        <f t="shared" si="61"/>
        <v>166.125</v>
      </c>
      <c r="CC65" s="581">
        <f t="shared" si="62"/>
        <v>166.125</v>
      </c>
      <c r="CD65" s="581">
        <f t="shared" si="25"/>
        <v>702.1124053</v>
      </c>
      <c r="CE65" s="581">
        <f t="shared" si="26"/>
        <v>484.8329203</v>
      </c>
      <c r="CF65" s="581">
        <f t="shared" si="27"/>
        <v>510.3504424</v>
      </c>
      <c r="CG65" s="586" t="str">
        <f t="shared" si="28"/>
        <v>#VALUE!</v>
      </c>
      <c r="CH65" s="608" t="str">
        <f t="shared" si="29"/>
        <v>#VALUE!</v>
      </c>
      <c r="CI65" s="603" t="str">
        <f t="shared" si="30"/>
        <v>#VALUE!</v>
      </c>
      <c r="CJ65" s="347"/>
      <c r="CK65" s="582">
        <f t="shared" si="55"/>
        <v>4239.62</v>
      </c>
      <c r="CL65" s="539">
        <f t="shared" si="32"/>
        <v>-4239.62</v>
      </c>
      <c r="CM65" s="347">
        <f t="shared" si="33"/>
        <v>0</v>
      </c>
      <c r="CN65" s="347">
        <f t="shared" si="34"/>
        <v>0</v>
      </c>
      <c r="CO65" s="347" t="str">
        <f t="shared" si="35"/>
        <v/>
      </c>
      <c r="CP65" s="347"/>
    </row>
    <row r="66">
      <c r="A66" s="574">
        <f t="shared" si="52"/>
        <v>200093</v>
      </c>
      <c r="B66" s="574" t="str">
        <f t="shared" si="1"/>
        <v>Batch 200093</v>
      </c>
      <c r="C66" s="345" t="s">
        <v>1930</v>
      </c>
      <c r="D66" s="575" t="str">
        <f t="shared" si="51"/>
        <v>2-93</v>
      </c>
      <c r="E66" s="345" t="s">
        <v>2779</v>
      </c>
      <c r="F66" s="583">
        <v>45777.0</v>
      </c>
      <c r="G66" s="583">
        <v>45778.083333333336</v>
      </c>
      <c r="H66" s="347"/>
      <c r="I66" s="583" t="str">
        <f t="shared" si="77"/>
        <v/>
      </c>
      <c r="J66" s="583">
        <v>45779.645833333336</v>
      </c>
      <c r="K66" s="609" t="s">
        <v>423</v>
      </c>
      <c r="L66" s="1">
        <v>3556.0</v>
      </c>
      <c r="M66" s="345">
        <v>1.21</v>
      </c>
      <c r="N66" s="345">
        <v>23.7</v>
      </c>
      <c r="O66" s="579">
        <f t="shared" si="2"/>
        <v>13460.91796</v>
      </c>
      <c r="P66" s="579">
        <f t="shared" si="46"/>
        <v>16287.71073</v>
      </c>
      <c r="Q66" s="638" t="str">
        <f t="array" ref="Q66">IFERROR(INDEX('Consumed Oil by Batch'!$D:$D, SMALL(IF(('Consumed Oil by Batch'!$A:$A=$D66)*('Consumed Oil by Batch'!$C:$C="bio_oil"), ROW('Consumed Oil by Batch'!$A:$A)), ROW($A$1))), "")</f>
        <v/>
      </c>
      <c r="R66" s="638" t="str">
        <f t="array" ref="R66">IFERROR(INDEX('Consumed Oil by Batch'!$F:$F, SMALL(IF(('Consumed Oil by Batch'!$A:$A=$D66)*('Consumed Oil by Batch'!$C:$C="bio_oil"), ROW('Consumed Oil by Batch'!$A:$A)), ROW($A$1))), "")</f>
        <v/>
      </c>
      <c r="S66" s="345" t="str">
        <f t="array" ref="S66">IFERROR(INDEX('Consumed Oil by Batch'!$H:$H, SMALL(IF(('Consumed Oil by Batch'!$A:$A=$D66)*('Consumed Oil by Batch'!$C:$C="bio_oil"), ROW('Consumed Oil by Batch'!G:G)), ROW($A$1)), ""),"")</f>
        <v/>
      </c>
      <c r="T66" s="345">
        <v>23.7</v>
      </c>
      <c r="U66" s="579">
        <f t="shared" si="48"/>
        <v>0</v>
      </c>
      <c r="V66" s="579">
        <f t="shared" si="49"/>
        <v>0</v>
      </c>
      <c r="W66" s="574"/>
      <c r="X66" s="638" t="str">
        <f t="shared" si="78"/>
        <v/>
      </c>
      <c r="Y66" s="347"/>
      <c r="Z66" s="347"/>
      <c r="AA66" s="579">
        <f t="shared" si="6"/>
        <v>0</v>
      </c>
      <c r="AB66" s="581">
        <f>X66*$CP$3*Y66</f>
        <v>0</v>
      </c>
      <c r="AC66" s="347"/>
      <c r="AD66" s="347"/>
      <c r="AE66" s="347"/>
      <c r="AF66" s="347"/>
      <c r="AG66" s="579">
        <f t="shared" si="54"/>
        <v>0</v>
      </c>
      <c r="AH66" s="579" t="str">
        <f>IFERROR(SUMIFS(#REF!, 'Consumed Oil by Batch'!A:A, D66, 'Consumed Oil by Batch'!E:E, "&lt;&gt;"), "")</f>
        <v/>
      </c>
      <c r="AI66" s="582"/>
      <c r="AJ66" s="582"/>
      <c r="AK66" s="582"/>
      <c r="AL66" s="582"/>
      <c r="AM66" s="579"/>
      <c r="AN66" s="579"/>
      <c r="AO66" s="347"/>
      <c r="AP66" s="581">
        <f t="shared" si="10"/>
        <v>16287.71073</v>
      </c>
      <c r="AQ66" s="583">
        <v>45779.833333333336</v>
      </c>
      <c r="AR66" s="583">
        <v>45779.177083333336</v>
      </c>
      <c r="AS66" s="346">
        <v>7852.0</v>
      </c>
      <c r="AT66" s="346" t="s">
        <v>2800</v>
      </c>
      <c r="AU66" s="642" t="str">
        <f t="shared" si="74"/>
        <v>#VALUE!</v>
      </c>
      <c r="AV66" s="643" t="str">
        <f t="shared" si="75"/>
        <v/>
      </c>
      <c r="AW66" s="642">
        <v>60.0</v>
      </c>
      <c r="AX66" s="584" t="str">
        <f t="shared" si="11"/>
        <v>#VALUE!</v>
      </c>
      <c r="AY66" s="581">
        <f t="shared" si="12"/>
        <v>7852</v>
      </c>
      <c r="AZ66" s="581">
        <f t="shared" si="43"/>
        <v>3561.611525</v>
      </c>
      <c r="BA66" s="583">
        <v>45778.604166666664</v>
      </c>
      <c r="BB66" s="583">
        <v>45778.833333333336</v>
      </c>
      <c r="BC66" s="346">
        <v>304.0</v>
      </c>
      <c r="BD66" s="581">
        <f>BC66*$CP$5</f>
        <v>3879.04</v>
      </c>
      <c r="BE66" s="581">
        <f t="shared" si="37"/>
        <v>1759.505039</v>
      </c>
      <c r="BF66" s="345">
        <v>4.23</v>
      </c>
      <c r="BG66" s="345">
        <v>81040.0</v>
      </c>
      <c r="BH66" s="345">
        <v>35760.0</v>
      </c>
      <c r="BI66" s="607" t="s">
        <v>2989</v>
      </c>
      <c r="BJ66" s="586">
        <f>BG66-BH66</f>
        <v>45280</v>
      </c>
      <c r="BK66" s="581">
        <f t="shared" si="15"/>
        <v>20538.68694</v>
      </c>
      <c r="BL66" s="345">
        <v>74840.0</v>
      </c>
      <c r="BM66" s="345">
        <v>29480.0</v>
      </c>
      <c r="BN66" s="607" t="s">
        <v>2989</v>
      </c>
      <c r="BO66" s="586" t="str">
        <f t="shared" si="79"/>
        <v/>
      </c>
      <c r="BP66" s="584">
        <f t="shared" si="17"/>
        <v>0</v>
      </c>
      <c r="BQ66" s="345" t="s">
        <v>1810</v>
      </c>
      <c r="BR66" s="581">
        <f t="shared" si="38"/>
        <v>20538.68694</v>
      </c>
      <c r="BS66" s="588">
        <f t="shared" si="19"/>
        <v>15217.57037</v>
      </c>
      <c r="BT66" s="581">
        <f t="shared" si="20"/>
        <v>1070.140357</v>
      </c>
      <c r="BU66" s="605">
        <v>0.439</v>
      </c>
      <c r="BV66" s="581">
        <f t="shared" si="44"/>
        <v>24495.21578</v>
      </c>
      <c r="BW66" s="590"/>
      <c r="BX66" s="347"/>
      <c r="BY66" s="347"/>
      <c r="BZ66" s="347"/>
      <c r="CA66" s="586">
        <f t="shared" si="22"/>
        <v>3556</v>
      </c>
      <c r="CB66" s="581">
        <f t="shared" si="61"/>
        <v>304</v>
      </c>
      <c r="CC66" s="581">
        <f t="shared" si="62"/>
        <v>133.35</v>
      </c>
      <c r="CD66" s="581">
        <f t="shared" si="25"/>
        <v>5145.016164</v>
      </c>
      <c r="CE66" s="581">
        <f t="shared" si="26"/>
        <v>3552.811762</v>
      </c>
      <c r="CF66" s="581">
        <f t="shared" si="27"/>
        <v>3739.801855</v>
      </c>
      <c r="CG66" s="586" t="str">
        <f t="shared" si="28"/>
        <v>#VALUE!</v>
      </c>
      <c r="CH66" s="608" t="str">
        <f t="shared" si="29"/>
        <v>#VALUE!</v>
      </c>
      <c r="CI66" s="603" t="str">
        <f t="shared" si="30"/>
        <v>#VALUE!</v>
      </c>
      <c r="CJ66" s="347"/>
      <c r="CK66" s="347">
        <f t="shared" si="55"/>
        <v>0</v>
      </c>
      <c r="CL66" s="539">
        <f t="shared" si="32"/>
        <v>15217.57037</v>
      </c>
      <c r="CM66" s="347">
        <f t="shared" si="33"/>
        <v>0</v>
      </c>
      <c r="CN66" s="347">
        <f t="shared" si="34"/>
        <v>24495.21578</v>
      </c>
      <c r="CO66" s="347" t="str">
        <f t="shared" si="35"/>
        <v>2025-05-02</v>
      </c>
      <c r="CP66" s="347"/>
    </row>
    <row r="67">
      <c r="A67" s="574">
        <f t="shared" si="52"/>
        <v>300026</v>
      </c>
      <c r="B67" s="639" t="str">
        <f t="shared" si="1"/>
        <v>Batch 300026</v>
      </c>
      <c r="C67" s="641"/>
      <c r="D67" s="639" t="str">
        <f t="shared" si="51"/>
        <v>3-26</v>
      </c>
      <c r="E67" s="345" t="s">
        <v>2779</v>
      </c>
      <c r="F67" s="640">
        <f t="shared" ref="F67:F74" si="80">I67-1</f>
        <v>-1</v>
      </c>
      <c r="G67" s="640">
        <f t="shared" ref="G67:G74" si="81">F67</f>
        <v>-1</v>
      </c>
      <c r="H67" s="641"/>
      <c r="I67" s="583" t="str">
        <f t="shared" si="77"/>
        <v/>
      </c>
      <c r="J67" s="583" t="str">
        <f t="shared" ref="J67:J163" si="82">IFERROR(INDEX('Master Batch Data'!$C:$C, MATCH(D67, 'Master Batch Data'!$A:$A, 0)), "")</f>
        <v/>
      </c>
      <c r="K67" s="345" t="str">
        <f t="shared" ref="K67:K68" si="83">IFERROR(INDEX('Consumed Oil by Batch'!D:D, SMALL(IF('Consumed Oil by Batch'!A:A=D67, ROW('Consumed Oil by Batch'!A:A)), ROW($A$1))), "")</f>
        <v/>
      </c>
      <c r="L67" s="345" t="str">
        <f t="shared" ref="L67:L68" si="84">IFERROR(INDEX('Consumed Oil by Batch'!F:F, SMALL(IF('Consumed Oil by Batch'!A:A=D67, ROW('Consumed Oil by Batch'!A:A)), ROW($A$1))), "")</f>
        <v/>
      </c>
      <c r="M67" s="345" t="str">
        <f t="shared" ref="M67:M74" si="85">IFERROR(INDEX('Consumed Oil by Batch'!H:H, SMALL(IF('Consumed Oil by Batch'!A:A=D67, ROW('Consumed Oil by Batch'!A:A)), ROW($A$1))), "")</f>
        <v/>
      </c>
      <c r="N67" s="345" t="str">
        <f t="shared" ref="N67:N72" si="86">IFERROR(INDEX('Consumed Oil by Batch'!I:I, SMALL(IF('Consumed Oil by Batch'!A:A=D67, ROW('Consumed Oil by Batch'!A:A)), ROW($A$1))), "")</f>
        <v/>
      </c>
      <c r="O67" s="579">
        <f t="shared" si="2"/>
        <v>0</v>
      </c>
      <c r="P67" s="579">
        <f t="shared" si="46"/>
        <v>0</v>
      </c>
      <c r="Q67" s="638" t="str">
        <f t="shared" ref="Q67:Q101" si="87">IFERROR(INDEX('Consumed Oil by Batch'!$D:$D, SMALL(IF(('Consumed Oil by Batch'!$A:$A=$D67)*('Consumed Oil by Batch'!$C:$C="bio_oil"), ROW('Consumed Oil by Batch'!$A:$A)), ROW($A$2))), "")</f>
        <v/>
      </c>
      <c r="R67" s="638" t="str">
        <f t="shared" ref="R67:R86" si="88">IFERROR(INDEX('Consumed Oil by Batch'!$F:$F, SMALL(IF(('Consumed Oil by Batch'!$A:$A=$D67)*('Consumed Oil by Batch'!$C:$C="bio_oil"), ROW('Consumed Oil by Batch'!$A:$A)), ROW($A$2))), "")</f>
        <v/>
      </c>
      <c r="S67" s="345" t="str">
        <f t="shared" ref="S67:S130" si="89">IFERROR(INDEX('Consumed Oil by Batch'!$H:$H, SMALL(IF(('Consumed Oil by Batch'!$A:$A=$D67)*('Consumed Oil by Batch'!$C:$C="bio_oil"), ROW('Consumed Oil by Batch'!G:G)), ROW($A$2)), ""),"")</f>
        <v/>
      </c>
      <c r="T67" s="345" t="str">
        <f t="shared" ref="T67:T111" si="90">IFERROR(INDEX('Consumed Oil by Batch'!$I:$I, SMALL(IF(('Consumed Oil by Batch'!$A:$A=$D67)*('Consumed Oil by Batch'!$C:$C="bio_oil"), ROW('Consumed Oil by Batch'!H:H)), ROW($A$2)), ""),"")</f>
        <v/>
      </c>
      <c r="U67" s="579">
        <f t="shared" si="48"/>
        <v>0</v>
      </c>
      <c r="V67" s="579">
        <f t="shared" si="49"/>
        <v>0</v>
      </c>
      <c r="W67" s="574" t="str">
        <f t="shared" ref="W67:W68" si="91">IFERROR(INDEX('Consumed Oil by Batch'!D:D, SMALL(IF('Consumed Oil by Batch'!A:A=D67, ROW('Consumed Oil by Batch'!A:A)), ROW($A$3))), "")</f>
        <v/>
      </c>
      <c r="X67" s="638" t="str">
        <f t="shared" si="78"/>
        <v/>
      </c>
      <c r="Y67" s="347" t="str">
        <f t="array" ref="Y67">IFERROR(INDEX('Consumed Oil by Batch'!H:H, SMALL(IF('Consumed Oil by Batch'!A:A=D67, ROW('Consumed Oil by Batch'!A:A)), ROW($A$3))), "")</f>
        <v/>
      </c>
      <c r="Z67" s="345">
        <v>19.34</v>
      </c>
      <c r="AA67" s="579">
        <f t="shared" si="6"/>
        <v>0</v>
      </c>
      <c r="AB67" s="584">
        <v>2009.9</v>
      </c>
      <c r="AC67" s="347"/>
      <c r="AD67" s="347"/>
      <c r="AE67" s="347"/>
      <c r="AF67" s="347"/>
      <c r="AG67" s="579">
        <f t="shared" si="54"/>
        <v>0</v>
      </c>
      <c r="AH67" s="579"/>
      <c r="AI67" s="582"/>
      <c r="AJ67" s="582"/>
      <c r="AK67" s="582"/>
      <c r="AL67" s="582"/>
      <c r="AM67" s="579"/>
      <c r="AN67" s="579"/>
      <c r="AO67" s="347"/>
      <c r="AP67" s="581">
        <f t="shared" si="10"/>
        <v>2009.9</v>
      </c>
      <c r="AQ67" s="640">
        <f t="shared" ref="AQ67:AQ85" si="92">BA67</f>
        <v>-1</v>
      </c>
      <c r="AR67" s="640">
        <f t="shared" ref="AR67:AR85" si="93">AQ67</f>
        <v>-1</v>
      </c>
      <c r="AS67" s="348" t="str">
        <f t="shared" ref="AS67:AS72" si="94">IFERROR(INDEX('Master Batch Data'!$J:$J, MATCH(D67, 'Master Batch Data'!$A:$A, 0)) , "")</f>
        <v/>
      </c>
      <c r="AT67" s="348"/>
      <c r="AU67" s="642" t="str">
        <f t="shared" si="74"/>
        <v>#VALUE!</v>
      </c>
      <c r="AV67" s="643" t="str">
        <f t="shared" si="75"/>
        <v/>
      </c>
      <c r="AW67" s="642" t="str">
        <f t="shared" ref="AW67:AW72" si="95">MAX(0, IFERROR(INDEX('Master Batch Data'!$AC:$AC, MATCH(D67, 'Master Batch Data'!$A:$A, 0)), ""))</f>
        <v>#VALUE!</v>
      </c>
      <c r="AX67" s="584" t="str">
        <f t="shared" si="11"/>
        <v>#VALUE!</v>
      </c>
      <c r="AY67" s="581">
        <f t="shared" si="12"/>
        <v>0</v>
      </c>
      <c r="AZ67" s="581">
        <f t="shared" si="43"/>
        <v>0</v>
      </c>
      <c r="BA67" s="640">
        <f t="shared" ref="BA67:BA84" si="96">G67</f>
        <v>-1</v>
      </c>
      <c r="BB67" s="640">
        <f t="shared" ref="BB67:BB84" si="97">BA67</f>
        <v>-1</v>
      </c>
      <c r="BC67" s="644" t="str">
        <f t="shared" ref="BC67:BC104" si="98">IFERROR(INDEX('Master Batch Data'!$H:$H, MATCH(D67, 'Master Batch Data'!$A:$A, 0)), "")</f>
        <v/>
      </c>
      <c r="BD67" s="581" t="str">
        <f t="shared" ref="BD67:BD230" si="99">IFERROR(INDEX('Master Batch Data'!$AG:$AG, MATCH(D67, 'Master Batch Data'!$A:$A, 0)), "")</f>
        <v/>
      </c>
      <c r="BE67" s="581">
        <f t="shared" si="37"/>
        <v>0</v>
      </c>
      <c r="BF67" s="645">
        <v>4.68</v>
      </c>
      <c r="BG67" s="645">
        <v>75500.0</v>
      </c>
      <c r="BH67" s="645">
        <v>30780.0</v>
      </c>
      <c r="BI67" s="347" t="str">
        <f t="shared" ref="BI67:BI104" si="100">IFERROR(INDEX('Master Batch Data'!$X:$X, MATCH(D67, 'Master Batch Data'!$A:$A, 0)), "")</f>
        <v/>
      </c>
      <c r="BJ67" s="586" t="str">
        <f t="shared" ref="BJ67:BJ103" si="101">IFERROR(INDEX('Master Batch Data'!$N:$N, MATCH(D67, 'Master Batch Data'!$A:$A, 0)), "")</f>
        <v/>
      </c>
      <c r="BK67" s="581">
        <f t="shared" si="15"/>
        <v>0</v>
      </c>
      <c r="BL67" s="645">
        <v>76080.0</v>
      </c>
      <c r="BM67" s="645">
        <v>32180.0</v>
      </c>
      <c r="BN67" s="347" t="str">
        <f t="shared" ref="BN67:BN102" si="102">IFERROR(INDEX('Master Batch Data'!$X:$X, MATCH(D67, 'Master Batch Data'!$A:$A, 0)), "")</f>
        <v/>
      </c>
      <c r="BO67" s="586" t="str">
        <f t="shared" si="79"/>
        <v/>
      </c>
      <c r="BP67" s="584">
        <f t="shared" si="17"/>
        <v>0</v>
      </c>
      <c r="BQ67" s="347"/>
      <c r="BR67" s="581">
        <f t="shared" si="38"/>
        <v>0</v>
      </c>
      <c r="BS67" s="588">
        <f t="shared" si="19"/>
        <v>0</v>
      </c>
      <c r="BT67" s="581">
        <f t="shared" si="20"/>
        <v>2009.9</v>
      </c>
      <c r="BU67" s="605">
        <v>0.374</v>
      </c>
      <c r="BV67" s="581">
        <f t="shared" si="44"/>
        <v>0</v>
      </c>
      <c r="BW67" s="590"/>
      <c r="BX67" s="347"/>
      <c r="BY67" s="347"/>
      <c r="BZ67" s="347"/>
      <c r="CA67" s="586">
        <f t="shared" si="22"/>
        <v>0</v>
      </c>
      <c r="CB67" s="581">
        <f t="shared" si="61"/>
        <v>0</v>
      </c>
      <c r="CC67" s="581">
        <f t="shared" si="62"/>
        <v>0</v>
      </c>
      <c r="CD67" s="581">
        <f t="shared" si="25"/>
        <v>0</v>
      </c>
      <c r="CE67" s="581">
        <f t="shared" si="26"/>
        <v>0</v>
      </c>
      <c r="CF67" s="581">
        <f t="shared" si="27"/>
        <v>0</v>
      </c>
      <c r="CG67" s="586" t="str">
        <f t="shared" si="28"/>
        <v>#VALUE!</v>
      </c>
      <c r="CH67" s="608" t="str">
        <f t="shared" si="29"/>
        <v>#VALUE!</v>
      </c>
      <c r="CI67" s="603" t="str">
        <f t="shared" si="30"/>
        <v>#VALUE!</v>
      </c>
      <c r="CJ67" s="347"/>
      <c r="CK67" s="348">
        <f>AB67</f>
        <v>2009.9</v>
      </c>
      <c r="CL67" s="539">
        <f t="shared" si="32"/>
        <v>-2009.9</v>
      </c>
      <c r="CM67" s="347">
        <f t="shared" si="33"/>
        <v>0</v>
      </c>
      <c r="CN67" s="347">
        <f t="shared" si="34"/>
        <v>0</v>
      </c>
      <c r="CO67" s="347" t="str">
        <f t="shared" si="35"/>
        <v/>
      </c>
      <c r="CP67" s="347"/>
    </row>
    <row r="68">
      <c r="A68" s="574">
        <f t="shared" si="52"/>
        <v>200094</v>
      </c>
      <c r="B68" s="574" t="str">
        <f t="shared" si="1"/>
        <v>Batch 200094</v>
      </c>
      <c r="C68" s="345" t="s">
        <v>1930</v>
      </c>
      <c r="D68" s="639" t="str">
        <f t="shared" si="51"/>
        <v>2-94</v>
      </c>
      <c r="E68" s="345" t="s">
        <v>2779</v>
      </c>
      <c r="F68" s="640">
        <f t="shared" si="80"/>
        <v>-1</v>
      </c>
      <c r="G68" s="640">
        <f t="shared" si="81"/>
        <v>-1</v>
      </c>
      <c r="H68" s="641"/>
      <c r="I68" s="583" t="str">
        <f t="shared" si="77"/>
        <v/>
      </c>
      <c r="J68" s="583" t="str">
        <f t="shared" si="82"/>
        <v/>
      </c>
      <c r="K68" s="345" t="str">
        <f t="shared" si="83"/>
        <v/>
      </c>
      <c r="L68" s="345" t="str">
        <f t="shared" si="84"/>
        <v/>
      </c>
      <c r="M68" s="345" t="str">
        <f t="shared" si="85"/>
        <v/>
      </c>
      <c r="N68" s="345" t="str">
        <f t="shared" si="86"/>
        <v/>
      </c>
      <c r="O68" s="579">
        <f t="shared" si="2"/>
        <v>0</v>
      </c>
      <c r="P68" s="579">
        <f t="shared" si="46"/>
        <v>0</v>
      </c>
      <c r="Q68" s="638" t="str">
        <f t="shared" si="87"/>
        <v/>
      </c>
      <c r="R68" s="638" t="str">
        <f t="shared" si="88"/>
        <v/>
      </c>
      <c r="S68" s="345" t="str">
        <f t="shared" si="89"/>
        <v/>
      </c>
      <c r="T68" s="345" t="str">
        <f t="shared" si="90"/>
        <v/>
      </c>
      <c r="U68" s="579">
        <f t="shared" si="48"/>
        <v>0</v>
      </c>
      <c r="V68" s="579">
        <f t="shared" si="49"/>
        <v>0</v>
      </c>
      <c r="W68" s="574" t="str">
        <f t="shared" si="91"/>
        <v/>
      </c>
      <c r="X68" s="638" t="str">
        <f t="shared" si="78"/>
        <v/>
      </c>
      <c r="Y68" s="345" t="str">
        <f t="shared" ref="Y68:Y105" si="103">IFERROR(INDEX('Consumed Oil by Batch'!$H:$H, SMALL(IF(('Consumed Oil by Batch'!$A:$A=$D68)*('Consumed Oil by Batch'!$C:$C="bio_oil"), ROW('Consumed Oil by Batch'!M:M)), ROW($A$3)), ""),"")</f>
        <v/>
      </c>
      <c r="Z68" s="347" t="str">
        <f t="shared" ref="Z68:Z71" si="104">IFERROR(INDEX('Consumed Oil by Batch'!I:I, SMALL(IF('Consumed Oil by Batch'!A:A=D68, ROW('Consumed Oil by Batch'!A:A)), ROW($A$3))), "")</f>
        <v/>
      </c>
      <c r="AA68" s="579">
        <f t="shared" si="6"/>
        <v>0</v>
      </c>
      <c r="AB68" s="581">
        <f t="shared" ref="AB68:AB300" si="105">X68*$CP$3*Y68</f>
        <v>0</v>
      </c>
      <c r="AC68" s="347"/>
      <c r="AD68" s="347"/>
      <c r="AE68" s="347"/>
      <c r="AF68" s="347"/>
      <c r="AG68" s="579">
        <f t="shared" si="54"/>
        <v>0</v>
      </c>
      <c r="AH68" s="579" t="str">
        <f>IFERROR(SUMIFS(#REF!, 'Consumed Oil by Batch'!A:A, D68, 'Consumed Oil by Batch'!E:E, "&lt;&gt;"), "")</f>
        <v/>
      </c>
      <c r="AI68" s="582"/>
      <c r="AJ68" s="582"/>
      <c r="AK68" s="582"/>
      <c r="AL68" s="582"/>
      <c r="AM68" s="579"/>
      <c r="AN68" s="579"/>
      <c r="AO68" s="347"/>
      <c r="AP68" s="581">
        <f t="shared" si="10"/>
        <v>0</v>
      </c>
      <c r="AQ68" s="640">
        <f t="shared" si="92"/>
        <v>-1</v>
      </c>
      <c r="AR68" s="640">
        <f t="shared" si="93"/>
        <v>-1</v>
      </c>
      <c r="AS68" s="348" t="str">
        <f t="shared" si="94"/>
        <v/>
      </c>
      <c r="AT68" s="348"/>
      <c r="AU68" s="642" t="str">
        <f t="shared" si="74"/>
        <v>#VALUE!</v>
      </c>
      <c r="AV68" s="643" t="str">
        <f t="shared" si="75"/>
        <v/>
      </c>
      <c r="AW68" s="642" t="str">
        <f t="shared" si="95"/>
        <v>#VALUE!</v>
      </c>
      <c r="AX68" s="584" t="str">
        <f t="shared" si="11"/>
        <v>#VALUE!</v>
      </c>
      <c r="AY68" s="581">
        <f t="shared" si="12"/>
        <v>0</v>
      </c>
      <c r="AZ68" s="581">
        <f t="shared" si="43"/>
        <v>0</v>
      </c>
      <c r="BA68" s="640">
        <f t="shared" si="96"/>
        <v>-1</v>
      </c>
      <c r="BB68" s="640">
        <f t="shared" si="97"/>
        <v>-1</v>
      </c>
      <c r="BC68" s="644" t="str">
        <f t="shared" si="98"/>
        <v/>
      </c>
      <c r="BD68" s="581" t="str">
        <f t="shared" si="99"/>
        <v/>
      </c>
      <c r="BE68" s="581">
        <f t="shared" si="37"/>
        <v>0</v>
      </c>
      <c r="BF68" s="645">
        <v>4.08</v>
      </c>
      <c r="BG68" s="645">
        <v>83280.0</v>
      </c>
      <c r="BH68" s="645">
        <v>37500.0</v>
      </c>
      <c r="BI68" s="347" t="str">
        <f t="shared" si="100"/>
        <v/>
      </c>
      <c r="BJ68" s="586" t="str">
        <f t="shared" si="101"/>
        <v/>
      </c>
      <c r="BK68" s="581">
        <f t="shared" si="15"/>
        <v>0</v>
      </c>
      <c r="BL68" s="645">
        <v>74540.0</v>
      </c>
      <c r="BM68" s="645">
        <v>33540.0</v>
      </c>
      <c r="BN68" s="347" t="str">
        <f t="shared" si="102"/>
        <v/>
      </c>
      <c r="BO68" s="586" t="str">
        <f t="shared" si="79"/>
        <v/>
      </c>
      <c r="BP68" s="584">
        <f t="shared" si="17"/>
        <v>0</v>
      </c>
      <c r="BQ68" s="347"/>
      <c r="BR68" s="581">
        <f t="shared" si="38"/>
        <v>0</v>
      </c>
      <c r="BS68" s="588">
        <f t="shared" si="19"/>
        <v>0</v>
      </c>
      <c r="BT68" s="581">
        <f t="shared" si="20"/>
        <v>0</v>
      </c>
      <c r="BU68" s="605">
        <v>0.364</v>
      </c>
      <c r="BV68" s="581">
        <f t="shared" si="44"/>
        <v>0</v>
      </c>
      <c r="BW68" s="590"/>
      <c r="BX68" s="347"/>
      <c r="BY68" s="347"/>
      <c r="BZ68" s="347"/>
      <c r="CA68" s="586">
        <f t="shared" si="22"/>
        <v>0</v>
      </c>
      <c r="CB68" s="581">
        <f t="shared" si="61"/>
        <v>0</v>
      </c>
      <c r="CC68" s="581">
        <f t="shared" si="62"/>
        <v>0</v>
      </c>
      <c r="CD68" s="581">
        <f t="shared" si="25"/>
        <v>0</v>
      </c>
      <c r="CE68" s="581">
        <f t="shared" si="26"/>
        <v>0</v>
      </c>
      <c r="CF68" s="581">
        <f t="shared" si="27"/>
        <v>0</v>
      </c>
      <c r="CG68" s="586" t="str">
        <f t="shared" si="28"/>
        <v>#VALUE!</v>
      </c>
      <c r="CH68" s="608" t="str">
        <f t="shared" si="29"/>
        <v>#VALUE!</v>
      </c>
      <c r="CI68" s="603" t="str">
        <f t="shared" si="30"/>
        <v>#VALUE!</v>
      </c>
      <c r="CJ68" s="347"/>
      <c r="CK68" s="347">
        <f t="shared" ref="CK68:CK75" si="106">IF(ISNUMBER(SEARCH("CH", K68)), P68, 0) +
 IF(ISNUMBER(SEARCH("CH", Q68)), V68, 0) +
 IF(ISNUMBER(SEARCH("CH", W68)), AB68, 0) +
 IF(ISNUMBER(SEARCH("CH", AC68)), AH68, 0)
</f>
        <v>0</v>
      </c>
      <c r="CL68" s="539">
        <f t="shared" si="32"/>
        <v>0</v>
      </c>
      <c r="CM68" s="347">
        <f t="shared" si="33"/>
        <v>0</v>
      </c>
      <c r="CN68" s="347">
        <f t="shared" si="34"/>
        <v>0</v>
      </c>
      <c r="CO68" s="347" t="str">
        <f t="shared" si="35"/>
        <v/>
      </c>
      <c r="CP68" s="347"/>
    </row>
    <row r="69">
      <c r="A69" s="574">
        <f t="shared" si="52"/>
        <v>300027</v>
      </c>
      <c r="B69" s="574" t="str">
        <f t="shared" si="1"/>
        <v>Batch 300027</v>
      </c>
      <c r="C69" s="347"/>
      <c r="D69" s="639" t="str">
        <f t="shared" si="51"/>
        <v>3-27</v>
      </c>
      <c r="E69" s="345" t="s">
        <v>2779</v>
      </c>
      <c r="F69" s="640">
        <f t="shared" si="80"/>
        <v>-1</v>
      </c>
      <c r="G69" s="640">
        <f t="shared" si="81"/>
        <v>-1</v>
      </c>
      <c r="H69" s="641"/>
      <c r="I69" s="583" t="str">
        <f t="shared" si="77"/>
        <v/>
      </c>
      <c r="J69" s="583" t="str">
        <f t="shared" si="82"/>
        <v/>
      </c>
      <c r="K69" s="345" t="s">
        <v>2990</v>
      </c>
      <c r="L69" s="345">
        <v>776.0</v>
      </c>
      <c r="M69" s="345" t="str">
        <f t="shared" si="85"/>
        <v/>
      </c>
      <c r="N69" s="345" t="str">
        <f t="shared" si="86"/>
        <v/>
      </c>
      <c r="O69" s="579">
        <f t="shared" si="2"/>
        <v>2937.47816</v>
      </c>
      <c r="P69" s="579">
        <f t="shared" si="46"/>
        <v>0</v>
      </c>
      <c r="Q69" s="638" t="str">
        <f t="shared" si="87"/>
        <v/>
      </c>
      <c r="R69" s="638" t="str">
        <f t="shared" si="88"/>
        <v/>
      </c>
      <c r="S69" s="345" t="str">
        <f t="shared" si="89"/>
        <v/>
      </c>
      <c r="T69" s="345" t="str">
        <f t="shared" si="90"/>
        <v/>
      </c>
      <c r="U69" s="579">
        <f t="shared" si="48"/>
        <v>0</v>
      </c>
      <c r="V69" s="579">
        <f t="shared" si="49"/>
        <v>0</v>
      </c>
      <c r="W69" s="575" t="s">
        <v>2991</v>
      </c>
      <c r="X69" s="638" t="str">
        <f t="shared" si="78"/>
        <v/>
      </c>
      <c r="Y69" s="345" t="str">
        <f t="shared" si="103"/>
        <v/>
      </c>
      <c r="Z69" s="347" t="str">
        <f t="shared" si="104"/>
        <v/>
      </c>
      <c r="AA69" s="579">
        <f t="shared" si="6"/>
        <v>0</v>
      </c>
      <c r="AB69" s="581">
        <f t="shared" si="105"/>
        <v>0</v>
      </c>
      <c r="AC69" s="345" t="s">
        <v>301</v>
      </c>
      <c r="AD69" s="345">
        <v>907.77</v>
      </c>
      <c r="AE69" s="347" t="str">
        <f t="array" ref="AE69">IFERROR(INDEX('Consumed Oil by Batch'!H:H, SMALL(IF('Consumed Oil by Batch'!A:A=D67, ROW('Consumed Oil by Batch'!A:A)), ROW($A$3))), "")</f>
        <v/>
      </c>
      <c r="AF69" s="345">
        <v>19.7</v>
      </c>
      <c r="AG69" s="579">
        <f t="shared" si="54"/>
        <v>3436.281636</v>
      </c>
      <c r="AH69" s="579">
        <f>AD69*$CP$3*AE69</f>
        <v>0</v>
      </c>
      <c r="AI69" s="582"/>
      <c r="AJ69" s="582"/>
      <c r="AK69" s="582"/>
      <c r="AL69" s="582"/>
      <c r="AM69" s="579"/>
      <c r="AN69" s="579"/>
      <c r="AO69" s="347"/>
      <c r="AP69" s="581">
        <f t="shared" si="10"/>
        <v>0</v>
      </c>
      <c r="AQ69" s="640">
        <f t="shared" si="92"/>
        <v>-1</v>
      </c>
      <c r="AR69" s="640">
        <f t="shared" si="93"/>
        <v>-1</v>
      </c>
      <c r="AS69" s="348" t="str">
        <f t="shared" si="94"/>
        <v/>
      </c>
      <c r="AT69" s="348"/>
      <c r="AU69" s="642" t="str">
        <f t="shared" si="74"/>
        <v>#VALUE!</v>
      </c>
      <c r="AV69" s="643" t="str">
        <f t="shared" si="75"/>
        <v/>
      </c>
      <c r="AW69" s="642" t="str">
        <f t="shared" si="95"/>
        <v>#VALUE!</v>
      </c>
      <c r="AX69" s="584" t="str">
        <f t="shared" si="11"/>
        <v>#VALUE!</v>
      </c>
      <c r="AY69" s="581">
        <f t="shared" si="12"/>
        <v>0</v>
      </c>
      <c r="AZ69" s="581">
        <f t="shared" si="43"/>
        <v>0</v>
      </c>
      <c r="BA69" s="640">
        <f t="shared" si="96"/>
        <v>-1</v>
      </c>
      <c r="BB69" s="640">
        <f t="shared" si="97"/>
        <v>-1</v>
      </c>
      <c r="BC69" s="644" t="str">
        <f t="shared" si="98"/>
        <v/>
      </c>
      <c r="BD69" s="581" t="str">
        <f t="shared" si="99"/>
        <v/>
      </c>
      <c r="BE69" s="581">
        <f t="shared" si="37"/>
        <v>0</v>
      </c>
      <c r="BF69" s="645">
        <v>4.39</v>
      </c>
      <c r="BG69" s="645">
        <v>76540.0</v>
      </c>
      <c r="BH69" s="645">
        <v>32020.0</v>
      </c>
      <c r="BI69" s="347" t="str">
        <f t="shared" si="100"/>
        <v/>
      </c>
      <c r="BJ69" s="586" t="str">
        <f t="shared" si="101"/>
        <v/>
      </c>
      <c r="BK69" s="581">
        <f t="shared" si="15"/>
        <v>0</v>
      </c>
      <c r="BL69" s="645">
        <v>78180.0</v>
      </c>
      <c r="BM69" s="645">
        <v>31940.0</v>
      </c>
      <c r="BN69" s="347" t="str">
        <f t="shared" si="102"/>
        <v/>
      </c>
      <c r="BO69" s="586" t="str">
        <f t="shared" si="79"/>
        <v/>
      </c>
      <c r="BP69" s="584">
        <f t="shared" si="17"/>
        <v>0</v>
      </c>
      <c r="BQ69" s="347"/>
      <c r="BR69" s="581">
        <f t="shared" si="38"/>
        <v>0</v>
      </c>
      <c r="BS69" s="588">
        <f t="shared" si="19"/>
        <v>0</v>
      </c>
      <c r="BT69" s="581">
        <f t="shared" si="20"/>
        <v>0</v>
      </c>
      <c r="BU69" s="605">
        <v>0.404</v>
      </c>
      <c r="BV69" s="581">
        <f t="shared" si="44"/>
        <v>0</v>
      </c>
      <c r="BW69" s="590"/>
      <c r="BX69" s="347"/>
      <c r="BY69" s="347"/>
      <c r="BZ69" s="347"/>
      <c r="CA69" s="586">
        <f t="shared" si="22"/>
        <v>1683.77</v>
      </c>
      <c r="CB69" s="581">
        <f t="shared" si="61"/>
        <v>63.141375</v>
      </c>
      <c r="CC69" s="581">
        <f t="shared" si="62"/>
        <v>63.141375</v>
      </c>
      <c r="CD69" s="581">
        <f t="shared" si="25"/>
        <v>266.8613554</v>
      </c>
      <c r="CE69" s="581">
        <f t="shared" si="26"/>
        <v>184.2770036</v>
      </c>
      <c r="CF69" s="581">
        <f t="shared" si="27"/>
        <v>193.9757933</v>
      </c>
      <c r="CG69" s="586" t="str">
        <f t="shared" si="28"/>
        <v>#VALUE!</v>
      </c>
      <c r="CH69" s="608" t="str">
        <f t="shared" si="29"/>
        <v>#VALUE!</v>
      </c>
      <c r="CI69" s="603" t="str">
        <f t="shared" si="30"/>
        <v>#VALUE!</v>
      </c>
      <c r="CJ69" s="347"/>
      <c r="CK69" s="582">
        <f t="shared" si="106"/>
        <v>0</v>
      </c>
      <c r="CL69" s="539">
        <f t="shared" si="32"/>
        <v>0</v>
      </c>
      <c r="CM69" s="347">
        <f t="shared" si="33"/>
        <v>0</v>
      </c>
      <c r="CN69" s="347">
        <f t="shared" si="34"/>
        <v>0</v>
      </c>
      <c r="CO69" s="347" t="str">
        <f t="shared" si="35"/>
        <v/>
      </c>
      <c r="CP69" s="347"/>
    </row>
    <row r="70">
      <c r="A70" s="574">
        <f t="shared" si="52"/>
        <v>200095</v>
      </c>
      <c r="B70" s="574" t="str">
        <f t="shared" si="1"/>
        <v>Batch 200095</v>
      </c>
      <c r="C70" s="347"/>
      <c r="D70" s="639" t="str">
        <f t="shared" si="51"/>
        <v>2-95</v>
      </c>
      <c r="E70" s="345" t="s">
        <v>2779</v>
      </c>
      <c r="F70" s="640">
        <f t="shared" si="80"/>
        <v>-1</v>
      </c>
      <c r="G70" s="640">
        <f t="shared" si="81"/>
        <v>-1</v>
      </c>
      <c r="H70" s="641"/>
      <c r="I70" s="583" t="str">
        <f t="shared" si="77"/>
        <v/>
      </c>
      <c r="J70" s="583" t="str">
        <f t="shared" si="82"/>
        <v/>
      </c>
      <c r="K70" s="345" t="str">
        <f t="array" ref="K70">IFERROR(INDEX('Consumed Oil by Batch'!D:D, SMALL(IF('Consumed Oil by Batch'!A:A=D70, ROW('Consumed Oil by Batch'!A:A)), ROW($A$1))), "")</f>
        <v/>
      </c>
      <c r="L70" s="345" t="str">
        <f t="array" ref="L70">IFERROR(INDEX('Consumed Oil by Batch'!F:F, SMALL(IF('Consumed Oil by Batch'!A:A=D70, ROW('Consumed Oil by Batch'!A:A)), ROW($A$1))), "")</f>
        <v/>
      </c>
      <c r="M70" s="345" t="str">
        <f t="shared" si="85"/>
        <v/>
      </c>
      <c r="N70" s="345" t="str">
        <f t="shared" si="86"/>
        <v/>
      </c>
      <c r="O70" s="579">
        <f t="shared" si="2"/>
        <v>0</v>
      </c>
      <c r="P70" s="579">
        <f t="shared" si="46"/>
        <v>0</v>
      </c>
      <c r="Q70" s="638" t="str">
        <f t="shared" si="87"/>
        <v/>
      </c>
      <c r="R70" s="638" t="str">
        <f t="shared" si="88"/>
        <v/>
      </c>
      <c r="S70" s="345" t="str">
        <f t="shared" si="89"/>
        <v/>
      </c>
      <c r="T70" s="345" t="str">
        <f t="shared" si="90"/>
        <v/>
      </c>
      <c r="U70" s="579">
        <f t="shared" si="48"/>
        <v>0</v>
      </c>
      <c r="V70" s="579">
        <f t="shared" si="49"/>
        <v>0</v>
      </c>
      <c r="W70" s="638" t="str">
        <f t="shared" ref="W70:W94" si="107">IFERROR(INDEX('Consumed Oil by Batch'!$D:$D, SMALL(IF(('Consumed Oil by Batch'!$A:$A=$D70)*('Consumed Oil by Batch'!$C:$C="bio_oil"), ROW('Consumed Oil by Batch'!$A:$A)), ROW($A$3))), "")</f>
        <v/>
      </c>
      <c r="X70" s="638" t="str">
        <f t="shared" si="78"/>
        <v/>
      </c>
      <c r="Y70" s="345" t="str">
        <f t="shared" si="103"/>
        <v/>
      </c>
      <c r="Z70" s="347" t="str">
        <f t="shared" si="104"/>
        <v/>
      </c>
      <c r="AA70" s="579">
        <f t="shared" si="6"/>
        <v>0</v>
      </c>
      <c r="AB70" s="581">
        <f t="shared" si="105"/>
        <v>0</v>
      </c>
      <c r="AC70" s="347"/>
      <c r="AD70" s="347"/>
      <c r="AE70" s="347"/>
      <c r="AF70" s="347"/>
      <c r="AG70" s="579">
        <f t="shared" si="54"/>
        <v>0</v>
      </c>
      <c r="AH70" s="579" t="str">
        <f>IFERROR(SUMIFS(#REF!, 'Consumed Oil by Batch'!A:A, D70, 'Consumed Oil by Batch'!E:E, "&lt;&gt;"), "")</f>
        <v/>
      </c>
      <c r="AI70" s="582"/>
      <c r="AJ70" s="582"/>
      <c r="AK70" s="582"/>
      <c r="AL70" s="582"/>
      <c r="AM70" s="579"/>
      <c r="AN70" s="579"/>
      <c r="AO70" s="347"/>
      <c r="AP70" s="581">
        <f t="shared" si="10"/>
        <v>0</v>
      </c>
      <c r="AQ70" s="640">
        <f t="shared" si="92"/>
        <v>-1</v>
      </c>
      <c r="AR70" s="640">
        <f t="shared" si="93"/>
        <v>-1</v>
      </c>
      <c r="AS70" s="348" t="str">
        <f t="shared" si="94"/>
        <v/>
      </c>
      <c r="AT70" s="348"/>
      <c r="AU70" s="642" t="str">
        <f t="shared" si="74"/>
        <v>#VALUE!</v>
      </c>
      <c r="AV70" s="643" t="str">
        <f t="shared" si="75"/>
        <v/>
      </c>
      <c r="AW70" s="642" t="str">
        <f t="shared" si="95"/>
        <v>#VALUE!</v>
      </c>
      <c r="AX70" s="584" t="str">
        <f t="shared" si="11"/>
        <v>#VALUE!</v>
      </c>
      <c r="AY70" s="581">
        <f t="shared" si="12"/>
        <v>0</v>
      </c>
      <c r="AZ70" s="581">
        <f t="shared" si="43"/>
        <v>0</v>
      </c>
      <c r="BA70" s="640">
        <f t="shared" si="96"/>
        <v>-1</v>
      </c>
      <c r="BB70" s="640">
        <f t="shared" si="97"/>
        <v>-1</v>
      </c>
      <c r="BC70" s="644" t="str">
        <f t="shared" si="98"/>
        <v/>
      </c>
      <c r="BD70" s="581" t="str">
        <f t="shared" si="99"/>
        <v/>
      </c>
      <c r="BE70" s="581">
        <f t="shared" si="37"/>
        <v>0</v>
      </c>
      <c r="BF70" s="645">
        <v>4.43</v>
      </c>
      <c r="BG70" s="645">
        <v>83280.0</v>
      </c>
      <c r="BH70" s="645">
        <v>39800.0</v>
      </c>
      <c r="BI70" s="347" t="str">
        <f t="shared" si="100"/>
        <v/>
      </c>
      <c r="BJ70" s="586" t="str">
        <f t="shared" si="101"/>
        <v/>
      </c>
      <c r="BK70" s="581">
        <f t="shared" si="15"/>
        <v>0</v>
      </c>
      <c r="BL70" s="645">
        <v>80160.0</v>
      </c>
      <c r="BM70" s="645">
        <v>33920.0</v>
      </c>
      <c r="BN70" s="347" t="str">
        <f t="shared" si="102"/>
        <v/>
      </c>
      <c r="BO70" s="586" t="str">
        <f t="shared" si="79"/>
        <v/>
      </c>
      <c r="BP70" s="584">
        <f t="shared" si="17"/>
        <v>0</v>
      </c>
      <c r="BQ70" s="347"/>
      <c r="BR70" s="581">
        <f t="shared" si="38"/>
        <v>0</v>
      </c>
      <c r="BS70" s="588">
        <f t="shared" si="19"/>
        <v>0</v>
      </c>
      <c r="BT70" s="581">
        <f t="shared" si="20"/>
        <v>0</v>
      </c>
      <c r="BU70" s="605">
        <v>0.366</v>
      </c>
      <c r="BV70" s="581">
        <f t="shared" si="44"/>
        <v>0</v>
      </c>
      <c r="BW70" s="590"/>
      <c r="BX70" s="347"/>
      <c r="BY70" s="347"/>
      <c r="BZ70" s="347"/>
      <c r="CA70" s="586">
        <f t="shared" si="22"/>
        <v>0</v>
      </c>
      <c r="CB70" s="581">
        <f t="shared" si="61"/>
        <v>0</v>
      </c>
      <c r="CC70" s="581">
        <f t="shared" si="62"/>
        <v>0</v>
      </c>
      <c r="CD70" s="581">
        <f t="shared" si="25"/>
        <v>0</v>
      </c>
      <c r="CE70" s="581">
        <f t="shared" si="26"/>
        <v>0</v>
      </c>
      <c r="CF70" s="581">
        <f t="shared" si="27"/>
        <v>0</v>
      </c>
      <c r="CG70" s="586" t="str">
        <f t="shared" si="28"/>
        <v>#VALUE!</v>
      </c>
      <c r="CH70" s="608" t="str">
        <f t="shared" si="29"/>
        <v>#VALUE!</v>
      </c>
      <c r="CI70" s="603" t="str">
        <f t="shared" si="30"/>
        <v>#VALUE!</v>
      </c>
      <c r="CJ70" s="347"/>
      <c r="CK70" s="347">
        <f t="shared" si="106"/>
        <v>0</v>
      </c>
      <c r="CL70" s="539">
        <f t="shared" si="32"/>
        <v>0</v>
      </c>
      <c r="CM70" s="347">
        <f t="shared" si="33"/>
        <v>0</v>
      </c>
      <c r="CN70" s="347">
        <f t="shared" si="34"/>
        <v>0</v>
      </c>
      <c r="CO70" s="347" t="str">
        <f t="shared" si="35"/>
        <v/>
      </c>
      <c r="CP70" s="347"/>
    </row>
    <row r="71">
      <c r="A71" s="574">
        <f t="shared" si="52"/>
        <v>300028</v>
      </c>
      <c r="B71" s="574" t="str">
        <f t="shared" si="1"/>
        <v>Batch 300028</v>
      </c>
      <c r="C71" s="347"/>
      <c r="D71" s="639" t="str">
        <f t="shared" si="51"/>
        <v>3-28</v>
      </c>
      <c r="E71" s="345" t="s">
        <v>2779</v>
      </c>
      <c r="F71" s="640">
        <f t="shared" si="80"/>
        <v>-1</v>
      </c>
      <c r="G71" s="640">
        <f t="shared" si="81"/>
        <v>-1</v>
      </c>
      <c r="H71" s="641"/>
      <c r="I71" s="583" t="str">
        <f t="shared" si="77"/>
        <v/>
      </c>
      <c r="J71" s="583" t="str">
        <f t="shared" si="82"/>
        <v/>
      </c>
      <c r="K71" s="345" t="s">
        <v>1477</v>
      </c>
      <c r="L71" s="345">
        <v>4400.0</v>
      </c>
      <c r="M71" s="345" t="str">
        <f t="shared" si="85"/>
        <v/>
      </c>
      <c r="N71" s="345" t="str">
        <f t="shared" si="86"/>
        <v/>
      </c>
      <c r="O71" s="579">
        <f t="shared" si="2"/>
        <v>16655.804</v>
      </c>
      <c r="P71" s="579">
        <f t="shared" si="46"/>
        <v>0</v>
      </c>
      <c r="Q71" s="638" t="str">
        <f t="shared" si="87"/>
        <v/>
      </c>
      <c r="R71" s="638" t="str">
        <f t="shared" si="88"/>
        <v/>
      </c>
      <c r="S71" s="345" t="str">
        <f t="shared" si="89"/>
        <v/>
      </c>
      <c r="T71" s="345" t="str">
        <f t="shared" si="90"/>
        <v/>
      </c>
      <c r="U71" s="579">
        <f t="shared" si="48"/>
        <v>0</v>
      </c>
      <c r="V71" s="579">
        <f t="shared" si="49"/>
        <v>0</v>
      </c>
      <c r="W71" s="638" t="str">
        <f t="shared" si="107"/>
        <v/>
      </c>
      <c r="X71" s="638" t="str">
        <f t="shared" si="78"/>
        <v/>
      </c>
      <c r="Y71" s="345" t="str">
        <f t="shared" si="103"/>
        <v/>
      </c>
      <c r="Z71" s="347" t="str">
        <f t="shared" si="104"/>
        <v/>
      </c>
      <c r="AA71" s="579">
        <f t="shared" si="6"/>
        <v>0</v>
      </c>
      <c r="AB71" s="581">
        <f t="shared" si="105"/>
        <v>0</v>
      </c>
      <c r="AC71" s="345" t="s">
        <v>301</v>
      </c>
      <c r="AD71" s="345">
        <v>429.21</v>
      </c>
      <c r="AE71" s="347" t="str">
        <f t="shared" ref="AE71:AE73" si="108">IFERROR(INDEX('Consumed Oil by Batch'!H:H, SMALL(IF('Consumed Oil by Batch'!A:A=D67, ROW('Consumed Oil by Batch'!A:A)), ROW($A$3))), "")</f>
        <v/>
      </c>
      <c r="AF71" s="345">
        <v>9.54</v>
      </c>
      <c r="AG71" s="579">
        <f t="shared" si="54"/>
        <v>1624.735826</v>
      </c>
      <c r="AH71" s="579">
        <f>AD71*$CP$3*AE71</f>
        <v>0</v>
      </c>
      <c r="AI71" s="582"/>
      <c r="AJ71" s="582"/>
      <c r="AK71" s="582"/>
      <c r="AL71" s="582"/>
      <c r="AM71" s="579"/>
      <c r="AN71" s="579"/>
      <c r="AO71" s="347"/>
      <c r="AP71" s="581">
        <f t="shared" si="10"/>
        <v>0</v>
      </c>
      <c r="AQ71" s="640">
        <f t="shared" si="92"/>
        <v>-1</v>
      </c>
      <c r="AR71" s="640">
        <f t="shared" si="93"/>
        <v>-1</v>
      </c>
      <c r="AS71" s="348" t="str">
        <f t="shared" si="94"/>
        <v/>
      </c>
      <c r="AT71" s="348"/>
      <c r="AU71" s="642" t="str">
        <f t="shared" si="74"/>
        <v>#VALUE!</v>
      </c>
      <c r="AV71" s="643" t="str">
        <f t="shared" si="75"/>
        <v/>
      </c>
      <c r="AW71" s="642" t="str">
        <f t="shared" si="95"/>
        <v>#VALUE!</v>
      </c>
      <c r="AX71" s="584" t="str">
        <f t="shared" si="11"/>
        <v>#VALUE!</v>
      </c>
      <c r="AY71" s="581">
        <f t="shared" si="12"/>
        <v>0</v>
      </c>
      <c r="AZ71" s="581">
        <f t="shared" si="43"/>
        <v>0</v>
      </c>
      <c r="BA71" s="640">
        <f t="shared" si="96"/>
        <v>-1</v>
      </c>
      <c r="BB71" s="640">
        <f t="shared" si="97"/>
        <v>-1</v>
      </c>
      <c r="BC71" s="644" t="str">
        <f t="shared" si="98"/>
        <v/>
      </c>
      <c r="BD71" s="581" t="str">
        <f t="shared" si="99"/>
        <v/>
      </c>
      <c r="BE71" s="581">
        <f t="shared" si="37"/>
        <v>0</v>
      </c>
      <c r="BF71" s="645">
        <v>4.3</v>
      </c>
      <c r="BG71" s="645">
        <v>76780.0</v>
      </c>
      <c r="BH71" s="645">
        <v>32820.0</v>
      </c>
      <c r="BI71" s="347" t="str">
        <f t="shared" si="100"/>
        <v/>
      </c>
      <c r="BJ71" s="586" t="str">
        <f t="shared" si="101"/>
        <v/>
      </c>
      <c r="BK71" s="581">
        <f t="shared" si="15"/>
        <v>0</v>
      </c>
      <c r="BL71" s="645">
        <v>76640.0</v>
      </c>
      <c r="BM71" s="645">
        <v>32660.0</v>
      </c>
      <c r="BN71" s="347" t="str">
        <f t="shared" si="102"/>
        <v/>
      </c>
      <c r="BO71" s="586" t="str">
        <f t="shared" si="79"/>
        <v/>
      </c>
      <c r="BP71" s="584">
        <f t="shared" si="17"/>
        <v>0</v>
      </c>
      <c r="BQ71" s="347"/>
      <c r="BR71" s="581">
        <f t="shared" si="38"/>
        <v>0</v>
      </c>
      <c r="BS71" s="588">
        <f t="shared" si="19"/>
        <v>0</v>
      </c>
      <c r="BT71" s="581">
        <f t="shared" si="20"/>
        <v>0</v>
      </c>
      <c r="BU71" s="605">
        <v>0.396</v>
      </c>
      <c r="BV71" s="581">
        <f t="shared" si="44"/>
        <v>0</v>
      </c>
      <c r="BW71" s="590"/>
      <c r="BX71" s="347"/>
      <c r="BY71" s="347"/>
      <c r="BZ71" s="347"/>
      <c r="CA71" s="586">
        <f t="shared" si="22"/>
        <v>4829.21</v>
      </c>
      <c r="CB71" s="581">
        <f t="shared" si="61"/>
        <v>181.095375</v>
      </c>
      <c r="CC71" s="581">
        <f t="shared" si="62"/>
        <v>181.095375</v>
      </c>
      <c r="CD71" s="581">
        <f t="shared" si="25"/>
        <v>765.3833518</v>
      </c>
      <c r="CE71" s="581">
        <f t="shared" si="26"/>
        <v>528.5236991</v>
      </c>
      <c r="CF71" s="581">
        <f t="shared" si="27"/>
        <v>556.3407359</v>
      </c>
      <c r="CG71" s="586" t="str">
        <f t="shared" si="28"/>
        <v>#VALUE!</v>
      </c>
      <c r="CH71" s="608" t="str">
        <f t="shared" si="29"/>
        <v>#VALUE!</v>
      </c>
      <c r="CI71" s="603" t="str">
        <f t="shared" si="30"/>
        <v>#VALUE!</v>
      </c>
      <c r="CJ71" s="347"/>
      <c r="CK71" s="582">
        <f t="shared" si="106"/>
        <v>0</v>
      </c>
      <c r="CL71" s="539">
        <f t="shared" si="32"/>
        <v>0</v>
      </c>
      <c r="CM71" s="347">
        <f t="shared" si="33"/>
        <v>0</v>
      </c>
      <c r="CN71" s="347">
        <f t="shared" si="34"/>
        <v>0</v>
      </c>
      <c r="CO71" s="347" t="str">
        <f t="shared" si="35"/>
        <v/>
      </c>
      <c r="CP71" s="347"/>
    </row>
    <row r="72">
      <c r="A72" s="574">
        <f t="shared" si="52"/>
        <v>200096</v>
      </c>
      <c r="B72" s="574" t="str">
        <f t="shared" si="1"/>
        <v>Batch 200096</v>
      </c>
      <c r="C72" s="347"/>
      <c r="D72" s="639" t="str">
        <f t="shared" si="51"/>
        <v>2-96</v>
      </c>
      <c r="E72" s="345" t="s">
        <v>2779</v>
      </c>
      <c r="F72" s="640">
        <f t="shared" si="80"/>
        <v>-1</v>
      </c>
      <c r="G72" s="640">
        <f t="shared" si="81"/>
        <v>-1</v>
      </c>
      <c r="H72" s="641"/>
      <c r="I72" s="583" t="str">
        <f t="shared" si="77"/>
        <v/>
      </c>
      <c r="J72" s="583" t="str">
        <f t="shared" si="82"/>
        <v/>
      </c>
      <c r="K72" s="345" t="str">
        <f t="array" ref="K72">IFERROR(INDEX('Consumed Oil by Batch'!D:D, SMALL(IF('Consumed Oil by Batch'!A:A=D72, ROW('Consumed Oil by Batch'!A:A)), ROW($A$1))), "")</f>
        <v/>
      </c>
      <c r="L72" s="345" t="str">
        <f t="array" ref="L72">IFERROR(INDEX('Consumed Oil by Batch'!F:F, SMALL(IF('Consumed Oil by Batch'!A:A=D72, ROW('Consumed Oil by Batch'!A:A)), ROW($A$1))), "")</f>
        <v/>
      </c>
      <c r="M72" s="345" t="str">
        <f t="shared" si="85"/>
        <v/>
      </c>
      <c r="N72" s="345" t="str">
        <f t="shared" si="86"/>
        <v/>
      </c>
      <c r="O72" s="579">
        <f t="shared" si="2"/>
        <v>0</v>
      </c>
      <c r="P72" s="579">
        <f t="shared" si="46"/>
        <v>0</v>
      </c>
      <c r="Q72" s="638" t="str">
        <f t="shared" si="87"/>
        <v/>
      </c>
      <c r="R72" s="638" t="str">
        <f t="shared" si="88"/>
        <v/>
      </c>
      <c r="S72" s="345" t="str">
        <f t="shared" si="89"/>
        <v/>
      </c>
      <c r="T72" s="345" t="str">
        <f t="shared" si="90"/>
        <v/>
      </c>
      <c r="U72" s="579">
        <f t="shared" si="48"/>
        <v>0</v>
      </c>
      <c r="V72" s="579">
        <f t="shared" si="49"/>
        <v>0</v>
      </c>
      <c r="W72" s="638" t="str">
        <f t="shared" si="107"/>
        <v/>
      </c>
      <c r="X72" s="638" t="str">
        <f t="shared" si="78"/>
        <v/>
      </c>
      <c r="Y72" s="345" t="str">
        <f t="shared" si="103"/>
        <v/>
      </c>
      <c r="Z72" s="345" t="str">
        <f t="shared" ref="Z72:Z86" si="109">IFERROR(INDEX('Consumed Oil by Batch'!$I:$I, SMALL(IF(('Consumed Oil by Batch'!$A:$A=$D72)*('Consumed Oil by Batch'!$C:$C="bio_oil"), ROW('Consumed Oil by Batch'!N:N)), ROW($A$3)), ""),"")</f>
        <v/>
      </c>
      <c r="AA72" s="579">
        <f t="shared" si="6"/>
        <v>0</v>
      </c>
      <c r="AB72" s="581">
        <f t="shared" si="105"/>
        <v>0</v>
      </c>
      <c r="AC72" s="347"/>
      <c r="AD72" s="347"/>
      <c r="AE72" s="347" t="str">
        <f t="shared" si="108"/>
        <v/>
      </c>
      <c r="AF72" s="347"/>
      <c r="AG72" s="579">
        <f t="shared" si="54"/>
        <v>0</v>
      </c>
      <c r="AH72" s="579" t="str">
        <f>IFERROR(SUMIFS(#REF!, 'Consumed Oil by Batch'!A:A, D72, 'Consumed Oil by Batch'!E:E, "&lt;&gt;"), "")</f>
        <v/>
      </c>
      <c r="AI72" s="582"/>
      <c r="AJ72" s="582"/>
      <c r="AK72" s="582"/>
      <c r="AL72" s="582"/>
      <c r="AM72" s="579"/>
      <c r="AN72" s="579"/>
      <c r="AO72" s="347"/>
      <c r="AP72" s="581">
        <f t="shared" si="10"/>
        <v>0</v>
      </c>
      <c r="AQ72" s="640">
        <f t="shared" si="92"/>
        <v>-1</v>
      </c>
      <c r="AR72" s="640">
        <f t="shared" si="93"/>
        <v>-1</v>
      </c>
      <c r="AS72" s="348" t="str">
        <f t="shared" si="94"/>
        <v/>
      </c>
      <c r="AT72" s="348"/>
      <c r="AU72" s="642" t="str">
        <f t="shared" si="74"/>
        <v>#VALUE!</v>
      </c>
      <c r="AV72" s="643" t="str">
        <f t="shared" si="75"/>
        <v/>
      </c>
      <c r="AW72" s="642" t="str">
        <f t="shared" si="95"/>
        <v>#VALUE!</v>
      </c>
      <c r="AX72" s="584" t="str">
        <f t="shared" si="11"/>
        <v>#VALUE!</v>
      </c>
      <c r="AY72" s="581">
        <f t="shared" si="12"/>
        <v>0</v>
      </c>
      <c r="AZ72" s="581">
        <f t="shared" si="43"/>
        <v>0</v>
      </c>
      <c r="BA72" s="640">
        <f t="shared" si="96"/>
        <v>-1</v>
      </c>
      <c r="BB72" s="640">
        <f t="shared" si="97"/>
        <v>-1</v>
      </c>
      <c r="BC72" s="644" t="str">
        <f t="shared" si="98"/>
        <v/>
      </c>
      <c r="BD72" s="581" t="str">
        <f t="shared" si="99"/>
        <v/>
      </c>
      <c r="BE72" s="581">
        <f t="shared" si="37"/>
        <v>0</v>
      </c>
      <c r="BF72" s="645">
        <v>4.5</v>
      </c>
      <c r="BG72" s="645">
        <v>77060.0</v>
      </c>
      <c r="BH72" s="645">
        <v>31400.0</v>
      </c>
      <c r="BI72" s="347" t="str">
        <f t="shared" si="100"/>
        <v/>
      </c>
      <c r="BJ72" s="586" t="str">
        <f t="shared" si="101"/>
        <v/>
      </c>
      <c r="BK72" s="581">
        <f t="shared" si="15"/>
        <v>0</v>
      </c>
      <c r="BL72" s="645">
        <v>74740.0</v>
      </c>
      <c r="BM72" s="645">
        <v>30820.0</v>
      </c>
      <c r="BN72" s="347" t="str">
        <f t="shared" si="102"/>
        <v/>
      </c>
      <c r="BO72" s="586" t="str">
        <f t="shared" si="79"/>
        <v/>
      </c>
      <c r="BP72" s="584">
        <f t="shared" si="17"/>
        <v>0</v>
      </c>
      <c r="BQ72" s="347"/>
      <c r="BR72" s="581">
        <f t="shared" si="38"/>
        <v>0</v>
      </c>
      <c r="BS72" s="588">
        <f t="shared" si="19"/>
        <v>0</v>
      </c>
      <c r="BT72" s="581">
        <f t="shared" si="20"/>
        <v>0</v>
      </c>
      <c r="BU72" s="605">
        <v>0.423</v>
      </c>
      <c r="BV72" s="581">
        <f t="shared" si="44"/>
        <v>0</v>
      </c>
      <c r="BW72" s="590"/>
      <c r="BX72" s="347"/>
      <c r="BY72" s="347"/>
      <c r="BZ72" s="347"/>
      <c r="CA72" s="586">
        <f t="shared" si="22"/>
        <v>0</v>
      </c>
      <c r="CB72" s="581">
        <f t="shared" si="61"/>
        <v>0</v>
      </c>
      <c r="CC72" s="581">
        <f t="shared" si="62"/>
        <v>0</v>
      </c>
      <c r="CD72" s="581">
        <f t="shared" si="25"/>
        <v>0</v>
      </c>
      <c r="CE72" s="581">
        <f t="shared" si="26"/>
        <v>0</v>
      </c>
      <c r="CF72" s="581">
        <f t="shared" si="27"/>
        <v>0</v>
      </c>
      <c r="CG72" s="586" t="str">
        <f t="shared" si="28"/>
        <v>#VALUE!</v>
      </c>
      <c r="CH72" s="608" t="str">
        <f t="shared" si="29"/>
        <v>#VALUE!</v>
      </c>
      <c r="CI72" s="603" t="str">
        <f t="shared" si="30"/>
        <v>#VALUE!</v>
      </c>
      <c r="CJ72" s="347"/>
      <c r="CK72" s="347">
        <f t="shared" si="106"/>
        <v>0</v>
      </c>
      <c r="CL72" s="539">
        <f t="shared" si="32"/>
        <v>0</v>
      </c>
      <c r="CM72" s="347">
        <f t="shared" si="33"/>
        <v>0</v>
      </c>
      <c r="CN72" s="347">
        <f t="shared" si="34"/>
        <v>0</v>
      </c>
      <c r="CO72" s="347" t="str">
        <f t="shared" si="35"/>
        <v/>
      </c>
      <c r="CP72" s="347"/>
    </row>
    <row r="73">
      <c r="A73" s="574">
        <f t="shared" si="52"/>
        <v>300029</v>
      </c>
      <c r="B73" s="574" t="str">
        <f t="shared" si="1"/>
        <v>Batch 300029</v>
      </c>
      <c r="C73" s="347"/>
      <c r="D73" s="639" t="str">
        <f t="shared" si="51"/>
        <v>3-29</v>
      </c>
      <c r="E73" s="345" t="s">
        <v>2779</v>
      </c>
      <c r="F73" s="640">
        <f t="shared" si="80"/>
        <v>-1</v>
      </c>
      <c r="G73" s="640">
        <f t="shared" si="81"/>
        <v>-1</v>
      </c>
      <c r="H73" s="641"/>
      <c r="I73" s="583" t="str">
        <f t="shared" si="77"/>
        <v/>
      </c>
      <c r="J73" s="583" t="str">
        <f t="shared" si="82"/>
        <v/>
      </c>
      <c r="K73" s="638" t="str">
        <f t="array" ref="K73">IFERROR(INDEX('Consumed Oil by Batch'!$D:$D, SMALL(IF(('Consumed Oil by Batch'!$A:$A=$D73)*('Consumed Oil by Batch'!$C:$C="bio_oil"), ROW('Consumed Oil by Batch'!$A:$A)), ROW($A$1))), "")</f>
        <v/>
      </c>
      <c r="L73" s="638" t="str">
        <f t="shared" ref="L73:L74" si="111">IFERROR(INDEX('Consumed Oil by Batch'!F:F, SMALL(IF(('Consumed Oil by Batch'!$A:$A=$D73)*('Consumed Oil by Batch'!$C:$C="bio_oil"), ROW('Consumed Oil by Batch'!$A:$A)), ROW($A$1))), "")</f>
        <v/>
      </c>
      <c r="M73" s="345" t="str">
        <f t="shared" si="85"/>
        <v/>
      </c>
      <c r="N73" s="345" t="str">
        <f t="array" ref="N73">IFERROR(INDEX('Consumed Oil by Batch'!$I:$I, SMALL(IF(('Consumed Oil by Batch'!$A:$A=$D73)*('Consumed Oil by Batch'!$C:$C="bio_oil"), ROW('Consumed Oil by Batch'!B:B)), ROW($A$1)), ""),"")</f>
        <v/>
      </c>
      <c r="O73" s="579">
        <f t="shared" si="2"/>
        <v>0</v>
      </c>
      <c r="P73" s="579">
        <f t="shared" si="46"/>
        <v>0</v>
      </c>
      <c r="Q73" s="638" t="str">
        <f t="shared" si="87"/>
        <v/>
      </c>
      <c r="R73" s="638" t="str">
        <f t="shared" si="88"/>
        <v/>
      </c>
      <c r="S73" s="345" t="str">
        <f t="shared" si="89"/>
        <v/>
      </c>
      <c r="T73" s="345" t="str">
        <f t="shared" si="90"/>
        <v/>
      </c>
      <c r="U73" s="579">
        <f t="shared" si="48"/>
        <v>0</v>
      </c>
      <c r="V73" s="579">
        <f t="shared" si="49"/>
        <v>0</v>
      </c>
      <c r="W73" s="638" t="str">
        <f t="shared" si="107"/>
        <v/>
      </c>
      <c r="X73" s="638" t="str">
        <f t="shared" si="78"/>
        <v/>
      </c>
      <c r="Y73" s="345" t="str">
        <f t="shared" si="103"/>
        <v/>
      </c>
      <c r="Z73" s="345" t="str">
        <f t="shared" si="109"/>
        <v/>
      </c>
      <c r="AA73" s="579">
        <f t="shared" si="6"/>
        <v>0</v>
      </c>
      <c r="AB73" s="581">
        <f t="shared" si="105"/>
        <v>0</v>
      </c>
      <c r="AC73" s="345" t="s">
        <v>301</v>
      </c>
      <c r="AD73" s="345"/>
      <c r="AE73" s="347" t="str">
        <f t="shared" si="108"/>
        <v/>
      </c>
      <c r="AF73" s="345">
        <v>22.71</v>
      </c>
      <c r="AG73" s="579">
        <f t="shared" si="54"/>
        <v>0</v>
      </c>
      <c r="AH73" s="630">
        <v>4134.4</v>
      </c>
      <c r="AI73" s="633"/>
      <c r="AJ73" s="633"/>
      <c r="AK73" s="633"/>
      <c r="AL73" s="633"/>
      <c r="AM73" s="630"/>
      <c r="AN73" s="630"/>
      <c r="AO73" s="347"/>
      <c r="AP73" s="581">
        <f t="shared" si="10"/>
        <v>4134.4</v>
      </c>
      <c r="AQ73" s="640">
        <f t="shared" si="92"/>
        <v>-1</v>
      </c>
      <c r="AR73" s="640">
        <f t="shared" si="93"/>
        <v>-1</v>
      </c>
      <c r="AS73" s="348" t="str">
        <f t="shared" ref="AS73:AU73" si="110">IFERROR(INDEX('Master Batch Data'!$L:$L, MATCH(D73, 'Master Batch Data'!$A:$A, 0)) , "")</f>
        <v/>
      </c>
      <c r="AT73" s="348" t="str">
        <f t="shared" si="110"/>
        <v/>
      </c>
      <c r="AU73" s="348" t="str">
        <f t="shared" si="110"/>
        <v/>
      </c>
      <c r="AV73" s="643" t="str">
        <f t="shared" si="75"/>
        <v/>
      </c>
      <c r="AW73" s="642" t="str">
        <f t="array" ref="AW73">IFERROR(INDEX('Master Batch Data'!$AC:$AC, MATCH(D73, 'Master Batch Data'!$A:$A, 0)), "")</f>
        <v/>
      </c>
      <c r="AX73" s="584">
        <f t="shared" ref="AX73:AX86" si="112">(AS73-AU73-AW73)</f>
        <v>0</v>
      </c>
      <c r="AY73" s="581">
        <f t="shared" si="12"/>
        <v>0</v>
      </c>
      <c r="AZ73" s="581">
        <f t="shared" si="43"/>
        <v>0</v>
      </c>
      <c r="BA73" s="640">
        <f t="shared" si="96"/>
        <v>-1</v>
      </c>
      <c r="BB73" s="640">
        <f t="shared" si="97"/>
        <v>-1</v>
      </c>
      <c r="BC73" s="644" t="str">
        <f t="shared" si="98"/>
        <v/>
      </c>
      <c r="BD73" s="581" t="str">
        <f t="shared" si="99"/>
        <v/>
      </c>
      <c r="BE73" s="581">
        <f t="shared" si="37"/>
        <v>0</v>
      </c>
      <c r="BF73" s="644" t="str">
        <f t="shared" ref="BF73:BF102" si="113">IFERROR(INDEX('Master Batch Data'!$W:$W, MATCH(D73, 'Master Batch Data'!$A:$A, 0)), "")</f>
        <v/>
      </c>
      <c r="BG73" s="645">
        <v>76620.0</v>
      </c>
      <c r="BH73" s="645">
        <v>33040.0</v>
      </c>
      <c r="BI73" s="347" t="str">
        <f t="shared" si="100"/>
        <v/>
      </c>
      <c r="BJ73" s="586" t="str">
        <f t="shared" si="101"/>
        <v/>
      </c>
      <c r="BK73" s="581">
        <f t="shared" si="15"/>
        <v>0</v>
      </c>
      <c r="BL73" s="645">
        <v>77200.0</v>
      </c>
      <c r="BM73" s="645">
        <v>32340.0</v>
      </c>
      <c r="BN73" s="347" t="str">
        <f t="shared" si="102"/>
        <v/>
      </c>
      <c r="BO73" s="586" t="str">
        <f t="shared" si="79"/>
        <v/>
      </c>
      <c r="BP73" s="584">
        <f t="shared" si="17"/>
        <v>0</v>
      </c>
      <c r="BQ73" s="347"/>
      <c r="BR73" s="581">
        <f t="shared" si="38"/>
        <v>0</v>
      </c>
      <c r="BS73" s="588">
        <f t="shared" si="19"/>
        <v>0</v>
      </c>
      <c r="BT73" s="581">
        <f t="shared" si="20"/>
        <v>4134.4</v>
      </c>
      <c r="BU73" s="605">
        <v>0.32</v>
      </c>
      <c r="BV73" s="581">
        <f t="shared" si="44"/>
        <v>0</v>
      </c>
      <c r="BW73" s="590"/>
      <c r="BX73" s="347"/>
      <c r="BY73" s="347"/>
      <c r="BZ73" s="347"/>
      <c r="CA73" s="586">
        <f t="shared" si="22"/>
        <v>0</v>
      </c>
      <c r="CB73" s="581">
        <f t="shared" si="61"/>
        <v>0</v>
      </c>
      <c r="CC73" s="581">
        <f t="shared" si="62"/>
        <v>0</v>
      </c>
      <c r="CD73" s="581">
        <f t="shared" si="25"/>
        <v>0</v>
      </c>
      <c r="CE73" s="581">
        <f t="shared" si="26"/>
        <v>0</v>
      </c>
      <c r="CF73" s="581">
        <f t="shared" si="27"/>
        <v>0</v>
      </c>
      <c r="CG73" s="581">
        <f t="shared" si="28"/>
        <v>0</v>
      </c>
      <c r="CH73" s="608" t="str">
        <f t="shared" si="29"/>
        <v>#DIV/0!</v>
      </c>
      <c r="CI73" s="603" t="str">
        <f t="shared" si="30"/>
        <v>#DIV/0!</v>
      </c>
      <c r="CJ73" s="347"/>
      <c r="CK73" s="582">
        <f t="shared" si="106"/>
        <v>4134.4</v>
      </c>
      <c r="CL73" s="539">
        <f t="shared" si="32"/>
        <v>-4134.4</v>
      </c>
      <c r="CM73" s="347">
        <f t="shared" si="33"/>
        <v>0</v>
      </c>
      <c r="CN73" s="347">
        <f t="shared" si="34"/>
        <v>0</v>
      </c>
      <c r="CO73" s="347" t="str">
        <f t="shared" si="35"/>
        <v/>
      </c>
      <c r="CP73" s="347"/>
    </row>
    <row r="74">
      <c r="A74" s="574">
        <f t="shared" si="52"/>
        <v>200097</v>
      </c>
      <c r="B74" s="574" t="str">
        <f t="shared" si="1"/>
        <v>Batch 200097</v>
      </c>
      <c r="C74" s="347"/>
      <c r="D74" s="639" t="str">
        <f t="shared" si="51"/>
        <v>2-97</v>
      </c>
      <c r="E74" s="345" t="s">
        <v>2779</v>
      </c>
      <c r="F74" s="640">
        <f t="shared" si="80"/>
        <v>-1</v>
      </c>
      <c r="G74" s="640">
        <f t="shared" si="81"/>
        <v>-1</v>
      </c>
      <c r="H74" s="641"/>
      <c r="I74" s="583" t="str">
        <f t="shared" si="77"/>
        <v/>
      </c>
      <c r="J74" s="583" t="str">
        <f t="shared" si="82"/>
        <v/>
      </c>
      <c r="K74" s="345" t="str">
        <f t="shared" ref="K74:K75" si="114">IFERROR(INDEX('Consumed Oil by Batch'!D:D, SMALL(IF('Consumed Oil by Batch'!A:A=D74, ROW('Consumed Oil by Batch'!A:A)), ROW($A$1))), "")</f>
        <v/>
      </c>
      <c r="L74" s="638" t="str">
        <f t="shared" si="111"/>
        <v/>
      </c>
      <c r="M74" s="345" t="str">
        <f t="shared" si="85"/>
        <v/>
      </c>
      <c r="N74" s="345" t="str">
        <f t="shared" ref="N74:N75" si="115">IFERROR(INDEX('Consumed Oil by Batch'!I:I, SMALL(IF('Consumed Oil by Batch'!A:A=D74, ROW('Consumed Oil by Batch'!A:A)), ROW($A$1))), "")</f>
        <v/>
      </c>
      <c r="O74" s="579">
        <f t="shared" si="2"/>
        <v>0</v>
      </c>
      <c r="P74" s="579">
        <f t="shared" si="46"/>
        <v>0</v>
      </c>
      <c r="Q74" s="638" t="str">
        <f t="shared" si="87"/>
        <v/>
      </c>
      <c r="R74" s="638" t="str">
        <f t="shared" si="88"/>
        <v/>
      </c>
      <c r="S74" s="345" t="str">
        <f t="shared" si="89"/>
        <v/>
      </c>
      <c r="T74" s="345" t="str">
        <f t="shared" si="90"/>
        <v/>
      </c>
      <c r="U74" s="579">
        <f t="shared" si="48"/>
        <v>0</v>
      </c>
      <c r="V74" s="579">
        <f t="shared" si="49"/>
        <v>0</v>
      </c>
      <c r="W74" s="638" t="str">
        <f t="shared" si="107"/>
        <v/>
      </c>
      <c r="X74" s="638" t="str">
        <f t="shared" si="78"/>
        <v/>
      </c>
      <c r="Y74" s="345" t="str">
        <f t="shared" si="103"/>
        <v/>
      </c>
      <c r="Z74" s="345" t="str">
        <f t="shared" si="109"/>
        <v/>
      </c>
      <c r="AA74" s="579">
        <f t="shared" si="6"/>
        <v>0</v>
      </c>
      <c r="AB74" s="581">
        <f t="shared" si="105"/>
        <v>0</v>
      </c>
      <c r="AC74" s="638" t="str">
        <f t="shared" ref="AC74:AC83" si="116">IFERROR(INDEX('Consumed Oil by Batch'!$D:$D, SMALL(IF(('Consumed Oil by Batch'!$A:$A=$D74)*('Consumed Oil by Batch'!$C:$C="bio_oil"), ROW('Consumed Oil by Batch'!$A:$A)), ROW($A$4))), "")</f>
        <v/>
      </c>
      <c r="AD74" s="347"/>
      <c r="AE74" s="347"/>
      <c r="AF74" s="347"/>
      <c r="AG74" s="579">
        <f t="shared" si="54"/>
        <v>0</v>
      </c>
      <c r="AH74" s="579" t="str">
        <f t="shared" ref="AH74:AH77" si="117">IFERROR(SUMIFS(#REF!, 'Consumed Oil by Batch'!A:A, D74, 'Consumed Oil by Batch'!E:E, "&lt;&gt;"), "")</f>
        <v/>
      </c>
      <c r="AI74" s="582"/>
      <c r="AJ74" s="582"/>
      <c r="AK74" s="582"/>
      <c r="AL74" s="582"/>
      <c r="AM74" s="579"/>
      <c r="AN74" s="579"/>
      <c r="AO74" s="347"/>
      <c r="AP74" s="581">
        <f t="shared" si="10"/>
        <v>0</v>
      </c>
      <c r="AQ74" s="640">
        <f t="shared" si="92"/>
        <v>-1</v>
      </c>
      <c r="AR74" s="640">
        <f t="shared" si="93"/>
        <v>-1</v>
      </c>
      <c r="AS74" s="348" t="str">
        <f t="shared" ref="AS74:AS119" si="118">IFERROR(INDEX('Master Batch Data'!$L:$L, MATCH(D74, 'Master Batch Data'!$A:$A, 0)) , "")</f>
        <v/>
      </c>
      <c r="AT74" s="348"/>
      <c r="AU74" s="642" t="str">
        <f t="array" ref="AU74">MAX(0, IFERROR(INDEX('Master Batch Data'!$AD:$AD, MATCH(D74, 'Master Batch Data'!$A:$A, 0)), ""))</f>
        <v>#VALUE!</v>
      </c>
      <c r="AV74" s="643" t="str">
        <f t="shared" si="75"/>
        <v/>
      </c>
      <c r="AW74" s="642" t="str">
        <f t="array" ref="AW74">MAX(0, IFERROR(INDEX('Master Batch Data'!$AC:$AC, MATCH(D74, 'Master Batch Data'!$A:$A, 0)), ""))</f>
        <v>#VALUE!</v>
      </c>
      <c r="AX74" s="584" t="str">
        <f t="shared" si="112"/>
        <v>#VALUE!</v>
      </c>
      <c r="AY74" s="581">
        <f t="shared" si="12"/>
        <v>0</v>
      </c>
      <c r="AZ74" s="581">
        <f t="shared" si="43"/>
        <v>0</v>
      </c>
      <c r="BA74" s="640">
        <f t="shared" si="96"/>
        <v>-1</v>
      </c>
      <c r="BB74" s="640">
        <f t="shared" si="97"/>
        <v>-1</v>
      </c>
      <c r="BC74" s="644" t="str">
        <f t="shared" si="98"/>
        <v/>
      </c>
      <c r="BD74" s="581" t="str">
        <f t="shared" si="99"/>
        <v/>
      </c>
      <c r="BE74" s="581">
        <f t="shared" si="37"/>
        <v>0</v>
      </c>
      <c r="BF74" s="644" t="str">
        <f t="shared" si="113"/>
        <v/>
      </c>
      <c r="BG74" s="645">
        <v>82800.0</v>
      </c>
      <c r="BH74" s="645">
        <v>38480.0</v>
      </c>
      <c r="BI74" s="347" t="str">
        <f t="shared" si="100"/>
        <v/>
      </c>
      <c r="BJ74" s="586" t="str">
        <f t="shared" si="101"/>
        <v/>
      </c>
      <c r="BK74" s="581">
        <f t="shared" si="15"/>
        <v>0</v>
      </c>
      <c r="BL74" s="645">
        <v>83180.0</v>
      </c>
      <c r="BM74" s="645">
        <v>36040.0</v>
      </c>
      <c r="BN74" s="347" t="str">
        <f t="shared" si="102"/>
        <v/>
      </c>
      <c r="BO74" s="586" t="str">
        <f t="shared" si="79"/>
        <v/>
      </c>
      <c r="BP74" s="584">
        <f t="shared" si="17"/>
        <v>0</v>
      </c>
      <c r="BQ74" s="347"/>
      <c r="BR74" s="581">
        <f t="shared" si="38"/>
        <v>0</v>
      </c>
      <c r="BS74" s="588">
        <f t="shared" si="19"/>
        <v>0</v>
      </c>
      <c r="BT74" s="581">
        <f t="shared" si="20"/>
        <v>0</v>
      </c>
      <c r="BU74" s="605">
        <v>0.431</v>
      </c>
      <c r="BV74" s="581">
        <f t="shared" si="44"/>
        <v>0</v>
      </c>
      <c r="BW74" s="590"/>
      <c r="BX74" s="347"/>
      <c r="BY74" s="347"/>
      <c r="BZ74" s="347"/>
      <c r="CA74" s="586">
        <f t="shared" si="22"/>
        <v>0</v>
      </c>
      <c r="CB74" s="581">
        <f t="shared" si="61"/>
        <v>0</v>
      </c>
      <c r="CC74" s="581">
        <f t="shared" si="62"/>
        <v>0</v>
      </c>
      <c r="CD74" s="581">
        <f t="shared" si="25"/>
        <v>0</v>
      </c>
      <c r="CE74" s="581">
        <f t="shared" si="26"/>
        <v>0</v>
      </c>
      <c r="CF74" s="581">
        <f t="shared" si="27"/>
        <v>0</v>
      </c>
      <c r="CG74" s="586" t="str">
        <f t="shared" si="28"/>
        <v>#VALUE!</v>
      </c>
      <c r="CH74" s="608" t="str">
        <f t="shared" si="29"/>
        <v>#VALUE!</v>
      </c>
      <c r="CI74" s="603" t="str">
        <f t="shared" si="30"/>
        <v>#VALUE!</v>
      </c>
      <c r="CJ74" s="347"/>
      <c r="CK74" s="347">
        <f t="shared" si="106"/>
        <v>0</v>
      </c>
      <c r="CL74" s="539">
        <f t="shared" si="32"/>
        <v>0</v>
      </c>
      <c r="CM74" s="347">
        <f t="shared" si="33"/>
        <v>0</v>
      </c>
      <c r="CN74" s="347">
        <f t="shared" si="34"/>
        <v>0</v>
      </c>
      <c r="CO74" s="347" t="str">
        <f t="shared" si="35"/>
        <v/>
      </c>
      <c r="CP74" s="347"/>
    </row>
    <row r="75">
      <c r="A75" s="646">
        <f>A372+1</f>
        <v>400002</v>
      </c>
      <c r="B75" s="647" t="str">
        <f t="shared" si="1"/>
        <v>Batch 400002</v>
      </c>
      <c r="C75" s="648"/>
      <c r="D75" s="647" t="str">
        <f t="shared" si="51"/>
        <v>4-02</v>
      </c>
      <c r="E75" s="648"/>
      <c r="F75" s="649"/>
      <c r="G75" s="649"/>
      <c r="H75" s="648"/>
      <c r="I75" s="650" t="str">
        <f t="shared" si="77"/>
        <v/>
      </c>
      <c r="J75" s="650" t="str">
        <f t="shared" si="82"/>
        <v/>
      </c>
      <c r="K75" s="651" t="str">
        <f t="shared" si="114"/>
        <v/>
      </c>
      <c r="L75" s="651"/>
      <c r="M75" s="651">
        <v>1.29</v>
      </c>
      <c r="N75" s="651" t="str">
        <f t="shared" si="115"/>
        <v/>
      </c>
      <c r="O75" s="652">
        <f t="shared" si="2"/>
        <v>0</v>
      </c>
      <c r="P75" s="653">
        <v>13798.67</v>
      </c>
      <c r="Q75" s="654" t="str">
        <f t="shared" si="87"/>
        <v/>
      </c>
      <c r="R75" s="654" t="str">
        <f t="shared" si="88"/>
        <v/>
      </c>
      <c r="S75" s="651" t="str">
        <f t="shared" si="89"/>
        <v/>
      </c>
      <c r="T75" s="651" t="str">
        <f t="shared" si="90"/>
        <v/>
      </c>
      <c r="U75" s="652">
        <f t="shared" si="48"/>
        <v>0</v>
      </c>
      <c r="V75" s="652">
        <f t="shared" si="49"/>
        <v>0</v>
      </c>
      <c r="W75" s="654" t="str">
        <f t="shared" si="107"/>
        <v/>
      </c>
      <c r="X75" s="654" t="str">
        <f t="shared" si="78"/>
        <v/>
      </c>
      <c r="Y75" s="651" t="str">
        <f t="shared" si="103"/>
        <v/>
      </c>
      <c r="Z75" s="651" t="str">
        <f t="shared" si="109"/>
        <v/>
      </c>
      <c r="AA75" s="652">
        <f t="shared" si="6"/>
        <v>0</v>
      </c>
      <c r="AB75" s="655">
        <f t="shared" si="105"/>
        <v>0</v>
      </c>
      <c r="AC75" s="654" t="str">
        <f t="shared" si="116"/>
        <v/>
      </c>
      <c r="AD75" s="648"/>
      <c r="AE75" s="648"/>
      <c r="AF75" s="648"/>
      <c r="AG75" s="652">
        <f t="shared" si="54"/>
        <v>0</v>
      </c>
      <c r="AH75" s="652" t="str">
        <f t="shared" si="117"/>
        <v/>
      </c>
      <c r="AI75" s="652"/>
      <c r="AJ75" s="652"/>
      <c r="AK75" s="652"/>
      <c r="AL75" s="652"/>
      <c r="AM75" s="652"/>
      <c r="AN75" s="652"/>
      <c r="AO75" s="648"/>
      <c r="AP75" s="655">
        <f t="shared" si="10"/>
        <v>13798.67</v>
      </c>
      <c r="AQ75" s="649" t="str">
        <f t="shared" si="92"/>
        <v/>
      </c>
      <c r="AR75" s="649" t="str">
        <f t="shared" si="93"/>
        <v/>
      </c>
      <c r="AS75" s="655" t="str">
        <f t="shared" si="118"/>
        <v/>
      </c>
      <c r="AT75" s="655"/>
      <c r="AU75" s="656" t="str">
        <f t="shared" ref="AU75:AU76" si="119">IFERROR(INDEX('Master Batch Data'!$AD:$AD, MATCH(D75, 'Master Batch Data'!$A:$A, 0)), "")</f>
        <v/>
      </c>
      <c r="AV75" s="655" t="str">
        <f t="shared" si="75"/>
        <v/>
      </c>
      <c r="AW75" s="656" t="str">
        <f t="shared" ref="AW75:AW96" si="120">IFERROR(INDEX('Master Batch Data'!$AC:$AC, MATCH(D75, 'Master Batch Data'!$A:$A, 0)), "")</f>
        <v/>
      </c>
      <c r="AX75" s="656">
        <f t="shared" si="112"/>
        <v>0</v>
      </c>
      <c r="AY75" s="655">
        <f t="shared" si="12"/>
        <v>0</v>
      </c>
      <c r="AZ75" s="655">
        <f t="shared" si="43"/>
        <v>0</v>
      </c>
      <c r="BA75" s="649" t="str">
        <f t="shared" si="96"/>
        <v/>
      </c>
      <c r="BB75" s="649" t="str">
        <f t="shared" si="97"/>
        <v/>
      </c>
      <c r="BC75" s="657" t="str">
        <f t="shared" si="98"/>
        <v/>
      </c>
      <c r="BD75" s="655" t="str">
        <f t="shared" si="99"/>
        <v/>
      </c>
      <c r="BE75" s="655">
        <f t="shared" si="37"/>
        <v>0</v>
      </c>
      <c r="BF75" s="644" t="str">
        <f t="shared" si="113"/>
        <v/>
      </c>
      <c r="BG75" s="651">
        <v>72960.0</v>
      </c>
      <c r="BH75" s="651">
        <v>37060.0</v>
      </c>
      <c r="BI75" s="648" t="str">
        <f t="shared" si="100"/>
        <v/>
      </c>
      <c r="BJ75" s="648" t="str">
        <f t="shared" si="101"/>
        <v/>
      </c>
      <c r="BK75" s="655">
        <f t="shared" si="15"/>
        <v>0</v>
      </c>
      <c r="BL75" s="648"/>
      <c r="BM75" s="648"/>
      <c r="BN75" s="648" t="str">
        <f t="shared" si="102"/>
        <v/>
      </c>
      <c r="BO75" s="586" t="str">
        <f t="shared" si="79"/>
        <v/>
      </c>
      <c r="BP75" s="584">
        <f t="shared" si="17"/>
        <v>0</v>
      </c>
      <c r="BQ75" s="648"/>
      <c r="BR75" s="655">
        <f t="shared" si="38"/>
        <v>0</v>
      </c>
      <c r="BS75" s="658">
        <v>13920.01</v>
      </c>
      <c r="BT75" s="655">
        <f t="shared" si="20"/>
        <v>-121.34</v>
      </c>
      <c r="BU75" s="659">
        <v>0.068</v>
      </c>
      <c r="BV75" s="581">
        <f t="shared" si="44"/>
        <v>3470.722493</v>
      </c>
      <c r="BW75" s="648"/>
      <c r="BX75" s="648"/>
      <c r="BY75" s="648"/>
      <c r="BZ75" s="648"/>
      <c r="CA75" s="648">
        <f t="shared" si="22"/>
        <v>0</v>
      </c>
      <c r="CB75" s="655">
        <f t="shared" si="61"/>
        <v>0</v>
      </c>
      <c r="CC75" s="655">
        <f t="shared" si="62"/>
        <v>0</v>
      </c>
      <c r="CD75" s="655">
        <f t="shared" si="25"/>
        <v>0</v>
      </c>
      <c r="CE75" s="655">
        <f t="shared" si="26"/>
        <v>0</v>
      </c>
      <c r="CF75" s="655">
        <f t="shared" si="27"/>
        <v>0</v>
      </c>
      <c r="CG75" s="655">
        <f t="shared" si="28"/>
        <v>0</v>
      </c>
      <c r="CH75" s="660" t="str">
        <f t="shared" si="29"/>
        <v>#DIV/0!</v>
      </c>
      <c r="CI75" s="661" t="str">
        <f t="shared" si="30"/>
        <v>#DIV/0!</v>
      </c>
      <c r="CJ75" s="648"/>
      <c r="CK75" s="648">
        <f t="shared" si="106"/>
        <v>0</v>
      </c>
      <c r="CL75" s="648"/>
      <c r="CM75" s="648">
        <f t="shared" si="33"/>
        <v>0</v>
      </c>
      <c r="CN75" s="648">
        <f t="shared" si="34"/>
        <v>0</v>
      </c>
      <c r="CO75" s="648" t="str">
        <f t="shared" si="35"/>
        <v/>
      </c>
      <c r="CP75" s="648"/>
    </row>
    <row r="76">
      <c r="A76" s="646">
        <f>A75+1</f>
        <v>400003</v>
      </c>
      <c r="B76" s="647" t="str">
        <f t="shared" si="1"/>
        <v>Batch 400003</v>
      </c>
      <c r="C76" s="648"/>
      <c r="D76" s="647" t="str">
        <f t="shared" si="51"/>
        <v>4-03</v>
      </c>
      <c r="E76" s="648"/>
      <c r="F76" s="649"/>
      <c r="G76" s="649"/>
      <c r="H76" s="648"/>
      <c r="I76" s="650" t="str">
        <f t="shared" si="77"/>
        <v/>
      </c>
      <c r="J76" s="650" t="str">
        <f t="shared" si="82"/>
        <v/>
      </c>
      <c r="K76" s="651" t="s">
        <v>2992</v>
      </c>
      <c r="L76" s="651"/>
      <c r="M76" s="651">
        <v>1.21</v>
      </c>
      <c r="N76" s="651">
        <v>78.76</v>
      </c>
      <c r="O76" s="652">
        <f t="shared" si="2"/>
        <v>0</v>
      </c>
      <c r="P76" s="653">
        <v>28440.0</v>
      </c>
      <c r="Q76" s="654" t="str">
        <f t="shared" si="87"/>
        <v/>
      </c>
      <c r="R76" s="654" t="str">
        <f t="shared" si="88"/>
        <v/>
      </c>
      <c r="S76" s="651" t="str">
        <f t="shared" si="89"/>
        <v/>
      </c>
      <c r="T76" s="651" t="str">
        <f t="shared" si="90"/>
        <v/>
      </c>
      <c r="U76" s="652">
        <f t="shared" si="48"/>
        <v>0</v>
      </c>
      <c r="V76" s="652">
        <f t="shared" si="49"/>
        <v>0</v>
      </c>
      <c r="W76" s="654" t="str">
        <f t="shared" si="107"/>
        <v/>
      </c>
      <c r="X76" s="654" t="str">
        <f t="shared" si="78"/>
        <v/>
      </c>
      <c r="Y76" s="651" t="str">
        <f t="shared" si="103"/>
        <v/>
      </c>
      <c r="Z76" s="651" t="str">
        <f t="shared" si="109"/>
        <v/>
      </c>
      <c r="AA76" s="652">
        <f t="shared" si="6"/>
        <v>0</v>
      </c>
      <c r="AB76" s="655">
        <f t="shared" si="105"/>
        <v>0</v>
      </c>
      <c r="AC76" s="654" t="str">
        <f t="shared" si="116"/>
        <v/>
      </c>
      <c r="AD76" s="648"/>
      <c r="AE76" s="648"/>
      <c r="AF76" s="648"/>
      <c r="AG76" s="652">
        <f t="shared" si="54"/>
        <v>0</v>
      </c>
      <c r="AH76" s="652" t="str">
        <f t="shared" si="117"/>
        <v/>
      </c>
      <c r="AI76" s="652"/>
      <c r="AJ76" s="652"/>
      <c r="AK76" s="652"/>
      <c r="AL76" s="652"/>
      <c r="AM76" s="652"/>
      <c r="AN76" s="652"/>
      <c r="AO76" s="648"/>
      <c r="AP76" s="655">
        <f t="shared" si="10"/>
        <v>28440</v>
      </c>
      <c r="AQ76" s="649" t="str">
        <f t="shared" si="92"/>
        <v/>
      </c>
      <c r="AR76" s="649" t="str">
        <f t="shared" si="93"/>
        <v/>
      </c>
      <c r="AS76" s="655" t="str">
        <f t="shared" si="118"/>
        <v/>
      </c>
      <c r="AT76" s="655"/>
      <c r="AU76" s="656" t="str">
        <f t="shared" si="119"/>
        <v/>
      </c>
      <c r="AV76" s="655" t="str">
        <f t="shared" si="75"/>
        <v/>
      </c>
      <c r="AW76" s="656" t="str">
        <f t="shared" si="120"/>
        <v/>
      </c>
      <c r="AX76" s="656">
        <f t="shared" si="112"/>
        <v>0</v>
      </c>
      <c r="AY76" s="655">
        <f t="shared" si="12"/>
        <v>0</v>
      </c>
      <c r="AZ76" s="655">
        <f t="shared" si="43"/>
        <v>0</v>
      </c>
      <c r="BA76" s="649" t="str">
        <f t="shared" si="96"/>
        <v/>
      </c>
      <c r="BB76" s="649" t="str">
        <f t="shared" si="97"/>
        <v/>
      </c>
      <c r="BC76" s="657" t="str">
        <f t="shared" si="98"/>
        <v/>
      </c>
      <c r="BD76" s="655" t="str">
        <f t="shared" si="99"/>
        <v/>
      </c>
      <c r="BE76" s="655">
        <f t="shared" si="37"/>
        <v>0</v>
      </c>
      <c r="BF76" s="644" t="str">
        <f t="shared" si="113"/>
        <v/>
      </c>
      <c r="BG76" s="651">
        <v>78260.0</v>
      </c>
      <c r="BH76" s="651">
        <v>37900.0</v>
      </c>
      <c r="BI76" s="648" t="str">
        <f t="shared" si="100"/>
        <v/>
      </c>
      <c r="BJ76" s="648" t="str">
        <f t="shared" si="101"/>
        <v/>
      </c>
      <c r="BK76" s="655">
        <f t="shared" si="15"/>
        <v>0</v>
      </c>
      <c r="BL76" s="651">
        <v>77560.0</v>
      </c>
      <c r="BM76" s="651">
        <v>37020.0</v>
      </c>
      <c r="BN76" s="662" t="str">
        <f t="shared" si="102"/>
        <v/>
      </c>
      <c r="BO76" s="586" t="str">
        <f t="shared" si="79"/>
        <v/>
      </c>
      <c r="BP76" s="584">
        <f t="shared" si="17"/>
        <v>0</v>
      </c>
      <c r="BQ76" s="648"/>
      <c r="BR76" s="655">
        <f t="shared" si="38"/>
        <v>0</v>
      </c>
      <c r="BS76" s="658">
        <v>28183.04</v>
      </c>
      <c r="BT76" s="655">
        <f t="shared" si="20"/>
        <v>256.96</v>
      </c>
      <c r="BU76" s="659">
        <v>0.084</v>
      </c>
      <c r="BV76" s="581">
        <f t="shared" si="44"/>
        <v>8680.37632</v>
      </c>
      <c r="BW76" s="648"/>
      <c r="BX76" s="648"/>
      <c r="BY76" s="648"/>
      <c r="BZ76" s="648"/>
      <c r="CA76" s="648"/>
      <c r="CB76" s="655"/>
      <c r="CC76" s="655"/>
      <c r="CD76" s="655"/>
      <c r="CE76" s="655"/>
      <c r="CF76" s="655"/>
      <c r="CG76" s="648"/>
      <c r="CH76" s="660"/>
      <c r="CI76" s="661"/>
      <c r="CJ76" s="648"/>
      <c r="CK76" s="648"/>
      <c r="CL76" s="648"/>
      <c r="CM76" s="648"/>
      <c r="CN76" s="648"/>
      <c r="CO76" s="648"/>
      <c r="CP76" s="648"/>
    </row>
    <row r="77">
      <c r="A77" s="574">
        <f>A74+1</f>
        <v>200098</v>
      </c>
      <c r="B77" s="574" t="str">
        <f t="shared" si="1"/>
        <v>Batch 200098</v>
      </c>
      <c r="C77" s="347"/>
      <c r="D77" s="639" t="str">
        <f t="shared" si="51"/>
        <v>2-98</v>
      </c>
      <c r="E77" s="345" t="s">
        <v>2779</v>
      </c>
      <c r="F77" s="640">
        <f t="shared" ref="F77:F78" si="121">I77-1</f>
        <v>-1</v>
      </c>
      <c r="G77" s="640">
        <f t="shared" ref="G77:G78" si="122">F77</f>
        <v>-1</v>
      </c>
      <c r="H77" s="641"/>
      <c r="I77" s="583" t="str">
        <f t="shared" si="77"/>
        <v/>
      </c>
      <c r="J77" s="583" t="str">
        <f t="shared" si="82"/>
        <v/>
      </c>
      <c r="K77" s="638" t="str">
        <f t="shared" ref="K77:K88" si="123">IFERROR(INDEX('Consumed Oil by Batch'!$D:$D, SMALL(IF(('Consumed Oil by Batch'!$A:$A=$D77)*('Consumed Oil by Batch'!$C:$C="bio_oil"), ROW('Consumed Oil by Batch'!$A:$A)), ROW($A$1))), "")</f>
        <v/>
      </c>
      <c r="L77" s="345" t="str">
        <f t="array" ref="L77">IFERROR(INDEX('Consumed Oil by Batch'!F:F, SMALL(IF('Consumed Oil by Batch'!A:A=D77, ROW('Consumed Oil by Batch'!A:A)), ROW($A$1))), "")</f>
        <v/>
      </c>
      <c r="M77" s="345" t="str">
        <f t="shared" ref="M77:M83" si="124">IFERROR(INDEX('Consumed Oil by Batch'!H:H, SMALL(IF('Consumed Oil by Batch'!A:A=D77, ROW('Consumed Oil by Batch'!A:A)), ROW($A$1))), "")</f>
        <v/>
      </c>
      <c r="N77" s="345" t="str">
        <f t="shared" ref="N77:N78" si="125">IFERROR(INDEX('Consumed Oil by Batch'!$I:$I, SMALL(IF(('Consumed Oil by Batch'!$A:$A=$D77)*('Consumed Oil by Batch'!$C:$C="bio_oil"), ROW('Consumed Oil by Batch'!B:B)), ROW($A$1)), ""),"")</f>
        <v/>
      </c>
      <c r="O77" s="579">
        <f t="shared" si="2"/>
        <v>0</v>
      </c>
      <c r="P77" s="579">
        <f t="shared" ref="P77:P300" si="126">L77*$CP$3*M77</f>
        <v>0</v>
      </c>
      <c r="Q77" s="638" t="str">
        <f t="shared" si="87"/>
        <v/>
      </c>
      <c r="R77" s="638" t="str">
        <f t="shared" si="88"/>
        <v/>
      </c>
      <c r="S77" s="345" t="str">
        <f t="shared" si="89"/>
        <v/>
      </c>
      <c r="T77" s="345" t="str">
        <f t="shared" si="90"/>
        <v/>
      </c>
      <c r="U77" s="579">
        <f t="shared" si="48"/>
        <v>0</v>
      </c>
      <c r="V77" s="579">
        <f t="shared" si="49"/>
        <v>0</v>
      </c>
      <c r="W77" s="638" t="str">
        <f t="shared" si="107"/>
        <v/>
      </c>
      <c r="X77" s="638" t="str">
        <f t="shared" si="78"/>
        <v/>
      </c>
      <c r="Y77" s="345" t="str">
        <f t="shared" si="103"/>
        <v/>
      </c>
      <c r="Z77" s="345" t="str">
        <f t="shared" si="109"/>
        <v/>
      </c>
      <c r="AA77" s="579">
        <f t="shared" si="6"/>
        <v>0</v>
      </c>
      <c r="AB77" s="581">
        <f t="shared" si="105"/>
        <v>0</v>
      </c>
      <c r="AC77" s="638" t="str">
        <f t="shared" si="116"/>
        <v/>
      </c>
      <c r="AD77" s="347"/>
      <c r="AE77" s="347"/>
      <c r="AF77" s="347"/>
      <c r="AG77" s="579">
        <f t="shared" si="54"/>
        <v>0</v>
      </c>
      <c r="AH77" s="579" t="str">
        <f t="shared" si="117"/>
        <v/>
      </c>
      <c r="AI77" s="582"/>
      <c r="AJ77" s="582"/>
      <c r="AK77" s="582"/>
      <c r="AL77" s="582"/>
      <c r="AM77" s="579"/>
      <c r="AN77" s="579"/>
      <c r="AO77" s="347"/>
      <c r="AP77" s="581">
        <f t="shared" si="10"/>
        <v>0</v>
      </c>
      <c r="AQ77" s="640">
        <f t="shared" si="92"/>
        <v>-1</v>
      </c>
      <c r="AR77" s="640">
        <f t="shared" si="93"/>
        <v>-1</v>
      </c>
      <c r="AS77" s="348" t="str">
        <f t="shared" si="118"/>
        <v/>
      </c>
      <c r="AT77" s="348"/>
      <c r="AU77" s="642" t="str">
        <f t="shared" ref="AU77:AU86" si="127">MAX(0, IFERROR(INDEX('Master Batch Data'!$AD:$AD, MATCH(D77, 'Master Batch Data'!$A:$A, 0)), ""))</f>
        <v>#VALUE!</v>
      </c>
      <c r="AV77" s="643" t="str">
        <f t="shared" si="75"/>
        <v/>
      </c>
      <c r="AW77" s="642" t="str">
        <f t="shared" si="120"/>
        <v/>
      </c>
      <c r="AX77" s="584" t="str">
        <f t="shared" si="112"/>
        <v>#VALUE!</v>
      </c>
      <c r="AY77" s="581">
        <f t="shared" si="12"/>
        <v>0</v>
      </c>
      <c r="AZ77" s="581">
        <f t="shared" si="43"/>
        <v>0</v>
      </c>
      <c r="BA77" s="640">
        <f t="shared" si="96"/>
        <v>-1</v>
      </c>
      <c r="BB77" s="640">
        <f t="shared" si="97"/>
        <v>-1</v>
      </c>
      <c r="BC77" s="644" t="str">
        <f t="shared" si="98"/>
        <v/>
      </c>
      <c r="BD77" s="581" t="str">
        <f t="shared" si="99"/>
        <v/>
      </c>
      <c r="BE77" s="581">
        <f t="shared" si="37"/>
        <v>0</v>
      </c>
      <c r="BF77" s="644" t="str">
        <f t="shared" si="113"/>
        <v/>
      </c>
      <c r="BG77" s="645">
        <v>76480.0</v>
      </c>
      <c r="BH77" s="645">
        <v>31360.0</v>
      </c>
      <c r="BI77" s="347" t="str">
        <f t="shared" si="100"/>
        <v/>
      </c>
      <c r="BJ77" s="586" t="str">
        <f t="shared" si="101"/>
        <v/>
      </c>
      <c r="BK77" s="581">
        <f t="shared" si="15"/>
        <v>0</v>
      </c>
      <c r="BL77" s="645">
        <v>80240.0</v>
      </c>
      <c r="BM77" s="645">
        <v>32320.0</v>
      </c>
      <c r="BN77" s="347" t="str">
        <f t="shared" si="102"/>
        <v/>
      </c>
      <c r="BO77" s="586" t="str">
        <f t="shared" si="79"/>
        <v/>
      </c>
      <c r="BP77" s="584">
        <f t="shared" si="17"/>
        <v>0</v>
      </c>
      <c r="BQ77" s="347"/>
      <c r="BR77" s="581">
        <f t="shared" si="38"/>
        <v>0</v>
      </c>
      <c r="BS77" s="588">
        <f t="shared" ref="BS77:BS85" si="128">BR77-(BE77+AZ77)</f>
        <v>0</v>
      </c>
      <c r="BT77" s="581">
        <f t="shared" si="20"/>
        <v>0</v>
      </c>
      <c r="BU77" s="605">
        <v>0.413</v>
      </c>
      <c r="BV77" s="581">
        <f t="shared" si="44"/>
        <v>0</v>
      </c>
      <c r="BW77" s="590"/>
      <c r="BX77" s="347"/>
      <c r="BY77" s="347"/>
      <c r="BZ77" s="347"/>
      <c r="CA77" s="586">
        <f t="shared" ref="CA77:CA300" si="129">sum(L77,R77,X77, AD77)</f>
        <v>0</v>
      </c>
      <c r="CB77" s="581">
        <f t="shared" ref="CB77:CB84" si="130">if(BC77, BC77, 0.0375*CA77)</f>
        <v>0</v>
      </c>
      <c r="CC77" s="581">
        <f t="shared" ref="CC77:CC300" si="131">(X77+R77+L77+AD77)*0.0375</f>
        <v>0</v>
      </c>
      <c r="CD77" s="581">
        <f t="shared" ref="CD77:CD300" si="132">(O77*(N77/100)*M77)+(U77*(T77/100)*S77)+(AA77*(Z77/100)*Y77)+(AG77*(AF77/100)*AE77)+(1.1165*3.78541*CB77)</f>
        <v>0</v>
      </c>
      <c r="CE77" s="581">
        <f t="shared" ref="CE77:CE300" si="133">convert(CD77*190000/1000/0.6066,"g","lbm")</f>
        <v>0</v>
      </c>
      <c r="CF77" s="581">
        <f t="shared" ref="CF77:CF300" si="134">convert(CD77*200000/1000/0.6066,"g","lbm")</f>
        <v>0</v>
      </c>
      <c r="CG77" s="586" t="str">
        <f t="shared" ref="CG77:CG300" si="135">AX77-CE77</f>
        <v>#VALUE!</v>
      </c>
      <c r="CH77" s="608" t="str">
        <f t="shared" ref="CH77:CH300" si="136">CG77/CE77</f>
        <v>#VALUE!</v>
      </c>
      <c r="CI77" s="603" t="str">
        <f t="shared" ref="CI77:CI300" si="137">(convert(AX77,"lbm", "g"))*0.606/CD77*1000</f>
        <v>#VALUE!</v>
      </c>
      <c r="CJ77" s="347"/>
      <c r="CK77" s="347">
        <f t="shared" ref="CK77:CK300" si="138">IF(ISNUMBER(SEARCH("CH", K77)), P77, 0) +
 IF(ISNUMBER(SEARCH("CH", Q77)), V77, 0) +
 IF(ISNUMBER(SEARCH("CH", W77)), AB77, 0) +
 IF(ISNUMBER(SEARCH("CH", AC77)), AH77, 0)
</f>
        <v>0</v>
      </c>
      <c r="CL77" s="539">
        <f t="shared" ref="CL77:CL300" si="139">BS77-CK77</f>
        <v>0</v>
      </c>
      <c r="CM77" s="347">
        <f t="shared" ref="CM77:CM300" si="140">iferror(CK77/BS77*BV77, 0)</f>
        <v>0</v>
      </c>
      <c r="CN77" s="347">
        <f t="shared" ref="CN77:CN300" si="141">iferror(CL77/BS77*BV77,0)</f>
        <v>0</v>
      </c>
      <c r="CO77" s="347" t="str">
        <f t="shared" ref="CO77:CO300" si="142">TEXT($J77,"YYYY-MM-DD")</f>
        <v/>
      </c>
      <c r="CP77" s="347"/>
    </row>
    <row r="78">
      <c r="A78" s="575">
        <f>A73+2</f>
        <v>300031</v>
      </c>
      <c r="B78" s="574" t="str">
        <f t="shared" si="1"/>
        <v>Batch 300031</v>
      </c>
      <c r="C78" s="347"/>
      <c r="D78" s="574" t="str">
        <f t="shared" si="51"/>
        <v>3-31</v>
      </c>
      <c r="E78" s="345" t="s">
        <v>2779</v>
      </c>
      <c r="F78" s="640">
        <f t="shared" si="121"/>
        <v>-1</v>
      </c>
      <c r="G78" s="640">
        <f t="shared" si="122"/>
        <v>-1</v>
      </c>
      <c r="H78" s="347"/>
      <c r="I78" s="583" t="str">
        <f t="shared" si="77"/>
        <v/>
      </c>
      <c r="J78" s="583" t="str">
        <f t="shared" si="82"/>
        <v/>
      </c>
      <c r="K78" s="638" t="str">
        <f t="shared" si="123"/>
        <v/>
      </c>
      <c r="L78" s="638" t="str">
        <f t="array" ref="L78">IFERROR(INDEX('Consumed Oil by Batch'!F:F, SMALL(IF(('Consumed Oil by Batch'!$A:$A=$D78)*('Consumed Oil by Batch'!$C:$C="bio_oil"), ROW('Consumed Oil by Batch'!$A:$A)), ROW($A$1))), "")</f>
        <v/>
      </c>
      <c r="M78" s="345" t="str">
        <f t="shared" si="124"/>
        <v/>
      </c>
      <c r="N78" s="345" t="str">
        <f t="shared" si="125"/>
        <v/>
      </c>
      <c r="O78" s="579">
        <f t="shared" si="2"/>
        <v>0</v>
      </c>
      <c r="P78" s="579">
        <f t="shared" si="126"/>
        <v>0</v>
      </c>
      <c r="Q78" s="638" t="str">
        <f t="shared" si="87"/>
        <v/>
      </c>
      <c r="R78" s="638" t="str">
        <f t="shared" si="88"/>
        <v/>
      </c>
      <c r="S78" s="345" t="str">
        <f t="shared" si="89"/>
        <v/>
      </c>
      <c r="T78" s="345" t="str">
        <f t="shared" si="90"/>
        <v/>
      </c>
      <c r="U78" s="579">
        <f t="shared" si="48"/>
        <v>0</v>
      </c>
      <c r="V78" s="579">
        <f t="shared" si="49"/>
        <v>0</v>
      </c>
      <c r="W78" s="638" t="str">
        <f t="shared" si="107"/>
        <v/>
      </c>
      <c r="X78" s="638" t="str">
        <f t="shared" si="78"/>
        <v/>
      </c>
      <c r="Y78" s="345" t="str">
        <f t="shared" si="103"/>
        <v/>
      </c>
      <c r="Z78" s="345" t="str">
        <f t="shared" si="109"/>
        <v/>
      </c>
      <c r="AA78" s="579">
        <f t="shared" si="6"/>
        <v>0</v>
      </c>
      <c r="AB78" s="581">
        <f t="shared" si="105"/>
        <v>0</v>
      </c>
      <c r="AC78" s="638" t="str">
        <f t="shared" si="116"/>
        <v/>
      </c>
      <c r="AD78" s="638" t="str">
        <f t="shared" ref="AD78:AD83" si="143">IFERROR(INDEX('Consumed Oil by Batch'!$F:$F, SMALL(IF(('Consumed Oil by Batch'!$A:$A=$D78)*('Consumed Oil by Batch'!$C:$C="bio_oil"), ROW('Consumed Oil by Batch'!$A:$A)), ROW($A$4))), "")</f>
        <v/>
      </c>
      <c r="AE78" s="345" t="str">
        <f t="shared" ref="AE78:AE83" si="144">IFERROR(INDEX('Consumed Oil by Batch'!$H:$H, SMALL(IF(('Consumed Oil by Batch'!$A:$A=$D78)*('Consumed Oil by Batch'!$C:$C="bio_oil"), ROW('Consumed Oil by Batch'!S:S)), ROW($A$4)), ""),"")</f>
        <v/>
      </c>
      <c r="AF78" s="345" t="str">
        <f t="shared" ref="AF78:AF83" si="145">IFERROR(INDEX('Consumed Oil by Batch'!$I:$I, SMALL(IF(('Consumed Oil by Batch'!$A:$A=$D78)*('Consumed Oil by Batch'!$C:$C="bio_oil"), ROW('Consumed Oil by Batch'!T:T)), ROW($A$4)), ""),"")</f>
        <v/>
      </c>
      <c r="AG78" s="579">
        <f t="shared" si="54"/>
        <v>0</v>
      </c>
      <c r="AH78" s="581">
        <f t="shared" ref="AH78:AH88" si="146">AD78*$CP$3*AE78</f>
        <v>0</v>
      </c>
      <c r="AI78" s="633" t="s">
        <v>278</v>
      </c>
      <c r="AJ78" s="633">
        <v>1145.96</v>
      </c>
      <c r="AK78" s="633">
        <v>1.22</v>
      </c>
      <c r="AL78" s="633">
        <v>23.12</v>
      </c>
      <c r="AM78" s="579">
        <f>AJ78*$CP$3</f>
        <v>4337.928444</v>
      </c>
      <c r="AN78" s="584">
        <v>5292.35</v>
      </c>
      <c r="AO78" s="347"/>
      <c r="AP78" s="581">
        <f>SUM(AB78,V78,P78, AH78,AN78)</f>
        <v>5292.35</v>
      </c>
      <c r="AQ78" s="640">
        <f t="shared" si="92"/>
        <v>-1</v>
      </c>
      <c r="AR78" s="640">
        <f t="shared" si="93"/>
        <v>-1</v>
      </c>
      <c r="AS78" s="348" t="str">
        <f t="shared" si="118"/>
        <v/>
      </c>
      <c r="AT78" s="348"/>
      <c r="AU78" s="642" t="str">
        <f t="shared" si="127"/>
        <v>#VALUE!</v>
      </c>
      <c r="AV78" s="643" t="str">
        <f t="shared" si="75"/>
        <v/>
      </c>
      <c r="AW78" s="642" t="str">
        <f t="shared" si="120"/>
        <v/>
      </c>
      <c r="AX78" s="584" t="str">
        <f t="shared" si="112"/>
        <v>#VALUE!</v>
      </c>
      <c r="AY78" s="581">
        <f t="shared" si="12"/>
        <v>0</v>
      </c>
      <c r="AZ78" s="581">
        <f t="shared" si="43"/>
        <v>0</v>
      </c>
      <c r="BA78" s="640">
        <f t="shared" si="96"/>
        <v>-1</v>
      </c>
      <c r="BB78" s="640">
        <f t="shared" si="97"/>
        <v>-1</v>
      </c>
      <c r="BC78" s="644" t="str">
        <f t="shared" si="98"/>
        <v/>
      </c>
      <c r="BD78" s="581" t="str">
        <f t="shared" si="99"/>
        <v/>
      </c>
      <c r="BE78" s="581">
        <f t="shared" si="37"/>
        <v>0</v>
      </c>
      <c r="BF78" s="644" t="str">
        <f t="shared" si="113"/>
        <v/>
      </c>
      <c r="BG78" s="345">
        <v>80480.0</v>
      </c>
      <c r="BH78" s="345">
        <v>36640.0</v>
      </c>
      <c r="BI78" s="347" t="str">
        <f t="shared" si="100"/>
        <v/>
      </c>
      <c r="BJ78" s="586" t="str">
        <f t="shared" si="101"/>
        <v/>
      </c>
      <c r="BK78" s="581">
        <f t="shared" si="15"/>
        <v>0</v>
      </c>
      <c r="BL78" s="345">
        <v>82120.0</v>
      </c>
      <c r="BM78" s="345">
        <v>35920.0</v>
      </c>
      <c r="BN78" s="347" t="str">
        <f t="shared" si="102"/>
        <v/>
      </c>
      <c r="BO78" s="586" t="str">
        <f t="shared" si="79"/>
        <v/>
      </c>
      <c r="BP78" s="584">
        <f t="shared" si="17"/>
        <v>0</v>
      </c>
      <c r="BQ78" s="347"/>
      <c r="BR78" s="581">
        <f t="shared" si="38"/>
        <v>0</v>
      </c>
      <c r="BS78" s="588">
        <f t="shared" si="128"/>
        <v>0</v>
      </c>
      <c r="BT78" s="581">
        <f t="shared" si="20"/>
        <v>5292.35</v>
      </c>
      <c r="BU78" s="605">
        <v>0.411</v>
      </c>
      <c r="BV78" s="581">
        <f t="shared" si="44"/>
        <v>0</v>
      </c>
      <c r="BW78" s="590"/>
      <c r="BX78" s="347"/>
      <c r="BY78" s="347"/>
      <c r="BZ78" s="347"/>
      <c r="CA78" s="586">
        <f t="shared" si="129"/>
        <v>0</v>
      </c>
      <c r="CB78" s="581">
        <f t="shared" si="130"/>
        <v>0</v>
      </c>
      <c r="CC78" s="581">
        <f t="shared" si="131"/>
        <v>0</v>
      </c>
      <c r="CD78" s="581">
        <f t="shared" si="132"/>
        <v>0</v>
      </c>
      <c r="CE78" s="581">
        <f t="shared" si="133"/>
        <v>0</v>
      </c>
      <c r="CF78" s="581">
        <f t="shared" si="134"/>
        <v>0</v>
      </c>
      <c r="CG78" s="586" t="str">
        <f t="shared" si="135"/>
        <v>#VALUE!</v>
      </c>
      <c r="CH78" s="608" t="str">
        <f t="shared" si="136"/>
        <v>#VALUE!</v>
      </c>
      <c r="CI78" s="603" t="str">
        <f t="shared" si="137"/>
        <v>#VALUE!</v>
      </c>
      <c r="CJ78" s="347"/>
      <c r="CK78" s="347">
        <f t="shared" si="138"/>
        <v>0</v>
      </c>
      <c r="CL78" s="539">
        <f t="shared" si="139"/>
        <v>0</v>
      </c>
      <c r="CM78" s="347">
        <f t="shared" si="140"/>
        <v>0</v>
      </c>
      <c r="CN78" s="347">
        <f t="shared" si="141"/>
        <v>0</v>
      </c>
      <c r="CO78" s="347" t="str">
        <f t="shared" si="142"/>
        <v/>
      </c>
      <c r="CP78" s="347"/>
    </row>
    <row r="79">
      <c r="A79" s="574">
        <f t="shared" ref="A79:A300" si="147">A77+1</f>
        <v>200099</v>
      </c>
      <c r="B79" s="574" t="str">
        <f t="shared" si="1"/>
        <v>Batch 200099</v>
      </c>
      <c r="C79" s="347"/>
      <c r="D79" s="574" t="str">
        <f t="shared" si="51"/>
        <v>2-99</v>
      </c>
      <c r="E79" s="347"/>
      <c r="F79" s="596"/>
      <c r="G79" s="596"/>
      <c r="H79" s="347"/>
      <c r="I79" s="583" t="str">
        <f t="shared" si="77"/>
        <v/>
      </c>
      <c r="J79" s="583" t="str">
        <f t="shared" si="82"/>
        <v/>
      </c>
      <c r="K79" s="638" t="str">
        <f t="shared" si="123"/>
        <v/>
      </c>
      <c r="L79" s="638" t="str">
        <f t="shared" ref="L79:L86" si="148">IFERROR(INDEX('Consumed Oil by Batch'!F:F, SMALL(IF(('Consumed Oil by Batch'!A:A=D79)*('Consumed Oil by Batch'!C:C="bio_oil"), ROW('Consumed Oil by Batch'!A:A)), ROW($A$1))), "")</f>
        <v/>
      </c>
      <c r="M79" s="345" t="str">
        <f t="shared" si="124"/>
        <v/>
      </c>
      <c r="N79" s="345" t="str">
        <f t="shared" ref="N79:N85" si="149">IFERROR(INDEX('Consumed Oil by Batch'!I:I, SMALL(IF(('Consumed Oil by Batch'!$A:$A=$D79)*('Consumed Oil by Batch'!$C:$C="bio_oil"), ROW('Consumed Oil by Batch'!B:B)), ROW($A$1)), ""),"")</f>
        <v/>
      </c>
      <c r="O79" s="579">
        <f t="shared" si="2"/>
        <v>0</v>
      </c>
      <c r="P79" s="579">
        <f t="shared" si="126"/>
        <v>0</v>
      </c>
      <c r="Q79" s="638" t="str">
        <f t="shared" si="87"/>
        <v/>
      </c>
      <c r="R79" s="638" t="str">
        <f t="shared" si="88"/>
        <v/>
      </c>
      <c r="S79" s="345" t="str">
        <f t="shared" si="89"/>
        <v/>
      </c>
      <c r="T79" s="345" t="str">
        <f t="shared" si="90"/>
        <v/>
      </c>
      <c r="U79" s="579">
        <f t="shared" si="48"/>
        <v>0</v>
      </c>
      <c r="V79" s="579">
        <f t="shared" si="49"/>
        <v>0</v>
      </c>
      <c r="W79" s="638" t="str">
        <f t="shared" si="107"/>
        <v/>
      </c>
      <c r="X79" s="638" t="str">
        <f t="shared" si="78"/>
        <v/>
      </c>
      <c r="Y79" s="345" t="str">
        <f t="shared" si="103"/>
        <v/>
      </c>
      <c r="Z79" s="345" t="str">
        <f t="shared" si="109"/>
        <v/>
      </c>
      <c r="AA79" s="579">
        <f t="shared" si="6"/>
        <v>0</v>
      </c>
      <c r="AB79" s="581">
        <f t="shared" si="105"/>
        <v>0</v>
      </c>
      <c r="AC79" s="638" t="str">
        <f t="shared" si="116"/>
        <v/>
      </c>
      <c r="AD79" s="638" t="str">
        <f t="shared" si="143"/>
        <v/>
      </c>
      <c r="AE79" s="345" t="str">
        <f t="shared" si="144"/>
        <v/>
      </c>
      <c r="AF79" s="345" t="str">
        <f t="shared" si="145"/>
        <v/>
      </c>
      <c r="AG79" s="579">
        <f t="shared" si="54"/>
        <v>0</v>
      </c>
      <c r="AH79" s="581">
        <f t="shared" si="146"/>
        <v>0</v>
      </c>
      <c r="AI79" s="582"/>
      <c r="AJ79" s="582"/>
      <c r="AK79" s="582"/>
      <c r="AL79" s="582"/>
      <c r="AM79" s="579"/>
      <c r="AN79" s="579"/>
      <c r="AO79" s="347"/>
      <c r="AP79" s="581">
        <f t="shared" ref="AP79:AP81" si="150">SUM(AB79,V79,P79, AH79)</f>
        <v>0</v>
      </c>
      <c r="AQ79" s="640" t="str">
        <f t="shared" si="92"/>
        <v/>
      </c>
      <c r="AR79" s="640" t="str">
        <f t="shared" si="93"/>
        <v/>
      </c>
      <c r="AS79" s="348" t="str">
        <f t="shared" si="118"/>
        <v/>
      </c>
      <c r="AT79" s="348"/>
      <c r="AU79" s="642" t="str">
        <f t="shared" si="127"/>
        <v>#VALUE!</v>
      </c>
      <c r="AV79" s="643" t="str">
        <f t="shared" si="75"/>
        <v/>
      </c>
      <c r="AW79" s="642" t="str">
        <f t="shared" si="120"/>
        <v/>
      </c>
      <c r="AX79" s="584" t="str">
        <f t="shared" si="112"/>
        <v>#VALUE!</v>
      </c>
      <c r="AY79" s="581">
        <f t="shared" si="12"/>
        <v>0</v>
      </c>
      <c r="AZ79" s="581">
        <f t="shared" si="43"/>
        <v>0</v>
      </c>
      <c r="BA79" s="640" t="str">
        <f t="shared" si="96"/>
        <v/>
      </c>
      <c r="BB79" s="640" t="str">
        <f t="shared" si="97"/>
        <v/>
      </c>
      <c r="BC79" s="644" t="str">
        <f t="shared" si="98"/>
        <v/>
      </c>
      <c r="BD79" s="581" t="str">
        <f t="shared" si="99"/>
        <v/>
      </c>
      <c r="BE79" s="581">
        <f t="shared" si="37"/>
        <v>0</v>
      </c>
      <c r="BF79" s="644" t="str">
        <f t="shared" si="113"/>
        <v/>
      </c>
      <c r="BG79" s="345">
        <v>79920.0</v>
      </c>
      <c r="BH79" s="345">
        <v>33540.0</v>
      </c>
      <c r="BI79" s="347" t="str">
        <f t="shared" si="100"/>
        <v/>
      </c>
      <c r="BJ79" s="586" t="str">
        <f t="shared" si="101"/>
        <v/>
      </c>
      <c r="BK79" s="581">
        <f t="shared" si="15"/>
        <v>0</v>
      </c>
      <c r="BL79" s="345">
        <v>79960.0</v>
      </c>
      <c r="BM79" s="345">
        <v>34760.0</v>
      </c>
      <c r="BN79" s="347" t="str">
        <f t="shared" si="102"/>
        <v/>
      </c>
      <c r="BO79" s="586" t="str">
        <f t="shared" si="79"/>
        <v/>
      </c>
      <c r="BP79" s="584">
        <f t="shared" si="17"/>
        <v>0</v>
      </c>
      <c r="BQ79" s="347"/>
      <c r="BR79" s="581">
        <f t="shared" si="38"/>
        <v>0</v>
      </c>
      <c r="BS79" s="588">
        <f t="shared" si="128"/>
        <v>0</v>
      </c>
      <c r="BT79" s="581">
        <f t="shared" si="20"/>
        <v>0</v>
      </c>
      <c r="BU79" s="605">
        <v>0.391</v>
      </c>
      <c r="BV79" s="581">
        <f t="shared" si="44"/>
        <v>0</v>
      </c>
      <c r="BW79" s="590"/>
      <c r="BX79" s="347"/>
      <c r="BY79" s="347"/>
      <c r="BZ79" s="347"/>
      <c r="CA79" s="586">
        <f t="shared" si="129"/>
        <v>0</v>
      </c>
      <c r="CB79" s="581">
        <f t="shared" si="130"/>
        <v>0</v>
      </c>
      <c r="CC79" s="581">
        <f t="shared" si="131"/>
        <v>0</v>
      </c>
      <c r="CD79" s="581">
        <f t="shared" si="132"/>
        <v>0</v>
      </c>
      <c r="CE79" s="581">
        <f t="shared" si="133"/>
        <v>0</v>
      </c>
      <c r="CF79" s="581">
        <f t="shared" si="134"/>
        <v>0</v>
      </c>
      <c r="CG79" s="586" t="str">
        <f t="shared" si="135"/>
        <v>#VALUE!</v>
      </c>
      <c r="CH79" s="608" t="str">
        <f t="shared" si="136"/>
        <v>#VALUE!</v>
      </c>
      <c r="CI79" s="603" t="str">
        <f t="shared" si="137"/>
        <v>#VALUE!</v>
      </c>
      <c r="CJ79" s="347"/>
      <c r="CK79" s="347">
        <f t="shared" si="138"/>
        <v>0</v>
      </c>
      <c r="CL79" s="539">
        <f t="shared" si="139"/>
        <v>0</v>
      </c>
      <c r="CM79" s="347">
        <f t="shared" si="140"/>
        <v>0</v>
      </c>
      <c r="CN79" s="347">
        <f t="shared" si="141"/>
        <v>0</v>
      </c>
      <c r="CO79" s="347" t="str">
        <f t="shared" si="142"/>
        <v/>
      </c>
      <c r="CP79" s="347"/>
    </row>
    <row r="80">
      <c r="A80" s="574">
        <f t="shared" si="147"/>
        <v>300032</v>
      </c>
      <c r="B80" s="574" t="str">
        <f t="shared" si="1"/>
        <v>Batch 300032</v>
      </c>
      <c r="C80" s="347"/>
      <c r="D80" s="574" t="str">
        <f t="shared" si="51"/>
        <v>3-32</v>
      </c>
      <c r="E80" s="347"/>
      <c r="F80" s="596"/>
      <c r="G80" s="596"/>
      <c r="H80" s="347"/>
      <c r="I80" s="583" t="str">
        <f t="shared" si="77"/>
        <v/>
      </c>
      <c r="J80" s="583" t="str">
        <f t="shared" si="82"/>
        <v/>
      </c>
      <c r="K80" s="638" t="str">
        <f t="shared" si="123"/>
        <v/>
      </c>
      <c r="L80" s="638" t="str">
        <f t="shared" si="148"/>
        <v/>
      </c>
      <c r="M80" s="345" t="str">
        <f t="shared" si="124"/>
        <v/>
      </c>
      <c r="N80" s="345" t="str">
        <f t="shared" si="149"/>
        <v/>
      </c>
      <c r="O80" s="579">
        <f t="shared" si="2"/>
        <v>0</v>
      </c>
      <c r="P80" s="579">
        <f t="shared" si="126"/>
        <v>0</v>
      </c>
      <c r="Q80" s="638" t="str">
        <f t="shared" si="87"/>
        <v/>
      </c>
      <c r="R80" s="638" t="str">
        <f t="shared" si="88"/>
        <v/>
      </c>
      <c r="S80" s="345" t="str">
        <f t="shared" si="89"/>
        <v/>
      </c>
      <c r="T80" s="345" t="str">
        <f t="shared" si="90"/>
        <v/>
      </c>
      <c r="U80" s="579">
        <f t="shared" si="48"/>
        <v>0</v>
      </c>
      <c r="V80" s="579">
        <f t="shared" si="49"/>
        <v>0</v>
      </c>
      <c r="W80" s="638" t="str">
        <f t="shared" si="107"/>
        <v/>
      </c>
      <c r="X80" s="638" t="str">
        <f t="shared" si="78"/>
        <v/>
      </c>
      <c r="Y80" s="345" t="str">
        <f t="shared" si="103"/>
        <v/>
      </c>
      <c r="Z80" s="345" t="str">
        <f t="shared" si="109"/>
        <v/>
      </c>
      <c r="AA80" s="579">
        <f t="shared" si="6"/>
        <v>0</v>
      </c>
      <c r="AB80" s="581">
        <f t="shared" si="105"/>
        <v>0</v>
      </c>
      <c r="AC80" s="638" t="str">
        <f t="shared" si="116"/>
        <v/>
      </c>
      <c r="AD80" s="638" t="str">
        <f t="shared" si="143"/>
        <v/>
      </c>
      <c r="AE80" s="345" t="str">
        <f t="shared" si="144"/>
        <v/>
      </c>
      <c r="AF80" s="345" t="str">
        <f t="shared" si="145"/>
        <v/>
      </c>
      <c r="AG80" s="579">
        <f t="shared" si="54"/>
        <v>0</v>
      </c>
      <c r="AH80" s="581">
        <f t="shared" si="146"/>
        <v>0</v>
      </c>
      <c r="AI80" s="633" t="s">
        <v>278</v>
      </c>
      <c r="AJ80" s="633">
        <v>1153.77</v>
      </c>
      <c r="AK80" s="633">
        <v>1.22</v>
      </c>
      <c r="AL80" s="633">
        <v>17.75</v>
      </c>
      <c r="AM80" s="579">
        <f>AJ80*$CP$3</f>
        <v>4367.492496</v>
      </c>
      <c r="AN80" s="581">
        <f>AJ80*$CP$3*AK80</f>
        <v>5328.340845</v>
      </c>
      <c r="AO80" s="347"/>
      <c r="AP80" s="581">
        <f t="shared" si="150"/>
        <v>0</v>
      </c>
      <c r="AQ80" s="640" t="str">
        <f t="shared" si="92"/>
        <v/>
      </c>
      <c r="AR80" s="640" t="str">
        <f t="shared" si="93"/>
        <v/>
      </c>
      <c r="AS80" s="348" t="str">
        <f t="shared" si="118"/>
        <v/>
      </c>
      <c r="AT80" s="348"/>
      <c r="AU80" s="642" t="str">
        <f t="shared" si="127"/>
        <v>#VALUE!</v>
      </c>
      <c r="AV80" s="643" t="str">
        <f t="shared" si="75"/>
        <v/>
      </c>
      <c r="AW80" s="642" t="str">
        <f t="shared" si="120"/>
        <v/>
      </c>
      <c r="AX80" s="584" t="str">
        <f t="shared" si="112"/>
        <v>#VALUE!</v>
      </c>
      <c r="AY80" s="581">
        <f t="shared" si="12"/>
        <v>0</v>
      </c>
      <c r="AZ80" s="581">
        <f t="shared" si="43"/>
        <v>0</v>
      </c>
      <c r="BA80" s="640" t="str">
        <f t="shared" si="96"/>
        <v/>
      </c>
      <c r="BB80" s="640" t="str">
        <f t="shared" si="97"/>
        <v/>
      </c>
      <c r="BC80" s="644" t="str">
        <f t="shared" si="98"/>
        <v/>
      </c>
      <c r="BD80" s="581" t="str">
        <f t="shared" si="99"/>
        <v/>
      </c>
      <c r="BE80" s="581">
        <f t="shared" si="37"/>
        <v>0</v>
      </c>
      <c r="BF80" s="644" t="str">
        <f t="shared" si="113"/>
        <v/>
      </c>
      <c r="BG80" s="345">
        <v>82220.0</v>
      </c>
      <c r="BH80" s="345">
        <v>37540.0</v>
      </c>
      <c r="BI80" s="347" t="str">
        <f t="shared" si="100"/>
        <v/>
      </c>
      <c r="BJ80" s="586" t="str">
        <f t="shared" si="101"/>
        <v/>
      </c>
      <c r="BK80" s="581">
        <f t="shared" si="15"/>
        <v>0</v>
      </c>
      <c r="BL80" s="345">
        <v>80740.0</v>
      </c>
      <c r="BM80" s="345">
        <v>34620.0</v>
      </c>
      <c r="BN80" s="347" t="str">
        <f t="shared" si="102"/>
        <v/>
      </c>
      <c r="BO80" s="586" t="str">
        <f t="shared" si="79"/>
        <v/>
      </c>
      <c r="BP80" s="584">
        <f t="shared" si="17"/>
        <v>0</v>
      </c>
      <c r="BQ80" s="347"/>
      <c r="BR80" s="581">
        <f t="shared" si="38"/>
        <v>0</v>
      </c>
      <c r="BS80" s="588">
        <f t="shared" si="128"/>
        <v>0</v>
      </c>
      <c r="BT80" s="581">
        <f t="shared" si="20"/>
        <v>0</v>
      </c>
      <c r="BU80" s="605">
        <v>0.43</v>
      </c>
      <c r="BV80" s="581">
        <f t="shared" si="44"/>
        <v>0</v>
      </c>
      <c r="BW80" s="590"/>
      <c r="BX80" s="345"/>
      <c r="BY80" s="347"/>
      <c r="BZ80" s="347"/>
      <c r="CA80" s="586">
        <f t="shared" si="129"/>
        <v>0</v>
      </c>
      <c r="CB80" s="581">
        <f t="shared" si="130"/>
        <v>0</v>
      </c>
      <c r="CC80" s="581">
        <f t="shared" si="131"/>
        <v>0</v>
      </c>
      <c r="CD80" s="581">
        <f t="shared" si="132"/>
        <v>0</v>
      </c>
      <c r="CE80" s="581">
        <f t="shared" si="133"/>
        <v>0</v>
      </c>
      <c r="CF80" s="581">
        <f t="shared" si="134"/>
        <v>0</v>
      </c>
      <c r="CG80" s="586" t="str">
        <f t="shared" si="135"/>
        <v>#VALUE!</v>
      </c>
      <c r="CH80" s="608" t="str">
        <f t="shared" si="136"/>
        <v>#VALUE!</v>
      </c>
      <c r="CI80" s="603" t="str">
        <f t="shared" si="137"/>
        <v>#VALUE!</v>
      </c>
      <c r="CJ80" s="347"/>
      <c r="CK80" s="347">
        <f t="shared" si="138"/>
        <v>0</v>
      </c>
      <c r="CL80" s="539">
        <f t="shared" si="139"/>
        <v>0</v>
      </c>
      <c r="CM80" s="347">
        <f t="shared" si="140"/>
        <v>0</v>
      </c>
      <c r="CN80" s="347">
        <f t="shared" si="141"/>
        <v>0</v>
      </c>
      <c r="CO80" s="347" t="str">
        <f t="shared" si="142"/>
        <v/>
      </c>
      <c r="CP80" s="347"/>
    </row>
    <row r="81">
      <c r="A81" s="574">
        <f t="shared" si="147"/>
        <v>200100</v>
      </c>
      <c r="B81" s="574" t="str">
        <f t="shared" si="1"/>
        <v>Batch 200100</v>
      </c>
      <c r="C81" s="347"/>
      <c r="D81" s="574" t="str">
        <f>CONCATENATE(LEFT(MID(B81,FIND(" ",B81) + 1,10),1),"-",RIGHT(B81,3))</f>
        <v>2-100</v>
      </c>
      <c r="E81" s="347"/>
      <c r="F81" s="596"/>
      <c r="G81" s="596"/>
      <c r="H81" s="347"/>
      <c r="I81" s="583" t="str">
        <f t="shared" si="77"/>
        <v/>
      </c>
      <c r="J81" s="583" t="str">
        <f t="shared" si="82"/>
        <v/>
      </c>
      <c r="K81" s="638" t="str">
        <f t="shared" si="123"/>
        <v/>
      </c>
      <c r="L81" s="638" t="str">
        <f t="shared" si="148"/>
        <v/>
      </c>
      <c r="M81" s="345" t="str">
        <f t="shared" si="124"/>
        <v/>
      </c>
      <c r="N81" s="345" t="str">
        <f t="shared" si="149"/>
        <v/>
      </c>
      <c r="O81" s="579">
        <f t="shared" si="2"/>
        <v>0</v>
      </c>
      <c r="P81" s="579">
        <f t="shared" si="126"/>
        <v>0</v>
      </c>
      <c r="Q81" s="638" t="str">
        <f t="shared" si="87"/>
        <v/>
      </c>
      <c r="R81" s="638" t="str">
        <f t="shared" si="88"/>
        <v/>
      </c>
      <c r="S81" s="345" t="str">
        <f t="shared" si="89"/>
        <v/>
      </c>
      <c r="T81" s="345" t="str">
        <f t="shared" si="90"/>
        <v/>
      </c>
      <c r="U81" s="579">
        <f t="shared" si="48"/>
        <v>0</v>
      </c>
      <c r="V81" s="579">
        <f t="shared" si="49"/>
        <v>0</v>
      </c>
      <c r="W81" s="638" t="str">
        <f t="shared" si="107"/>
        <v/>
      </c>
      <c r="X81" s="638" t="str">
        <f t="shared" si="78"/>
        <v/>
      </c>
      <c r="Y81" s="345" t="str">
        <f t="shared" si="103"/>
        <v/>
      </c>
      <c r="Z81" s="345" t="str">
        <f t="shared" si="109"/>
        <v/>
      </c>
      <c r="AA81" s="579">
        <f t="shared" si="6"/>
        <v>0</v>
      </c>
      <c r="AB81" s="581">
        <f t="shared" si="105"/>
        <v>0</v>
      </c>
      <c r="AC81" s="638" t="str">
        <f t="shared" si="116"/>
        <v/>
      </c>
      <c r="AD81" s="638" t="str">
        <f t="shared" si="143"/>
        <v/>
      </c>
      <c r="AE81" s="345" t="str">
        <f t="shared" si="144"/>
        <v/>
      </c>
      <c r="AF81" s="345" t="str">
        <f t="shared" si="145"/>
        <v/>
      </c>
      <c r="AG81" s="579">
        <f t="shared" si="54"/>
        <v>0</v>
      </c>
      <c r="AH81" s="581">
        <f t="shared" si="146"/>
        <v>0</v>
      </c>
      <c r="AI81" s="582"/>
      <c r="AJ81" s="582"/>
      <c r="AK81" s="582"/>
      <c r="AL81" s="582"/>
      <c r="AM81" s="579"/>
      <c r="AN81" s="579"/>
      <c r="AO81" s="347"/>
      <c r="AP81" s="581">
        <f t="shared" si="150"/>
        <v>0</v>
      </c>
      <c r="AQ81" s="640" t="str">
        <f t="shared" si="92"/>
        <v/>
      </c>
      <c r="AR81" s="640" t="str">
        <f t="shared" si="93"/>
        <v/>
      </c>
      <c r="AS81" s="348" t="str">
        <f t="shared" si="118"/>
        <v/>
      </c>
      <c r="AT81" s="348"/>
      <c r="AU81" s="642" t="str">
        <f t="shared" si="127"/>
        <v>#VALUE!</v>
      </c>
      <c r="AV81" s="643" t="str">
        <f t="shared" si="75"/>
        <v/>
      </c>
      <c r="AW81" s="642" t="str">
        <f t="shared" si="120"/>
        <v/>
      </c>
      <c r="AX81" s="584" t="str">
        <f t="shared" si="112"/>
        <v>#VALUE!</v>
      </c>
      <c r="AY81" s="581">
        <f t="shared" si="12"/>
        <v>0</v>
      </c>
      <c r="AZ81" s="581">
        <f t="shared" si="43"/>
        <v>0</v>
      </c>
      <c r="BA81" s="640" t="str">
        <f t="shared" si="96"/>
        <v/>
      </c>
      <c r="BB81" s="640" t="str">
        <f t="shared" si="97"/>
        <v/>
      </c>
      <c r="BC81" s="644" t="str">
        <f t="shared" si="98"/>
        <v/>
      </c>
      <c r="BD81" s="581" t="str">
        <f t="shared" si="99"/>
        <v/>
      </c>
      <c r="BE81" s="581">
        <f t="shared" si="37"/>
        <v>0</v>
      </c>
      <c r="BF81" s="644" t="str">
        <f t="shared" si="113"/>
        <v/>
      </c>
      <c r="BG81" s="345">
        <v>80820.0</v>
      </c>
      <c r="BH81" s="345">
        <v>34480.0</v>
      </c>
      <c r="BI81" s="347" t="str">
        <f t="shared" si="100"/>
        <v/>
      </c>
      <c r="BJ81" s="586" t="str">
        <f t="shared" si="101"/>
        <v/>
      </c>
      <c r="BK81" s="581">
        <f t="shared" si="15"/>
        <v>0</v>
      </c>
      <c r="BL81" s="345">
        <v>80500.0</v>
      </c>
      <c r="BM81" s="345">
        <v>35600.0</v>
      </c>
      <c r="BN81" s="347" t="str">
        <f t="shared" si="102"/>
        <v/>
      </c>
      <c r="BO81" s="586" t="str">
        <f t="shared" si="79"/>
        <v/>
      </c>
      <c r="BP81" s="584">
        <f t="shared" si="17"/>
        <v>0</v>
      </c>
      <c r="BQ81" s="347"/>
      <c r="BR81" s="581">
        <f t="shared" si="38"/>
        <v>0</v>
      </c>
      <c r="BS81" s="588">
        <f t="shared" si="128"/>
        <v>0</v>
      </c>
      <c r="BT81" s="581">
        <f t="shared" si="20"/>
        <v>0</v>
      </c>
      <c r="BU81" s="605">
        <v>0.429</v>
      </c>
      <c r="BV81" s="581">
        <f t="shared" si="44"/>
        <v>0</v>
      </c>
      <c r="BW81" s="590"/>
      <c r="BX81" s="345"/>
      <c r="BY81" s="347"/>
      <c r="BZ81" s="347"/>
      <c r="CA81" s="586">
        <f t="shared" si="129"/>
        <v>0</v>
      </c>
      <c r="CB81" s="581">
        <f t="shared" si="130"/>
        <v>0</v>
      </c>
      <c r="CC81" s="581">
        <f t="shared" si="131"/>
        <v>0</v>
      </c>
      <c r="CD81" s="581">
        <f t="shared" si="132"/>
        <v>0</v>
      </c>
      <c r="CE81" s="581">
        <f t="shared" si="133"/>
        <v>0</v>
      </c>
      <c r="CF81" s="581">
        <f t="shared" si="134"/>
        <v>0</v>
      </c>
      <c r="CG81" s="586" t="str">
        <f t="shared" si="135"/>
        <v>#VALUE!</v>
      </c>
      <c r="CH81" s="608" t="str">
        <f t="shared" si="136"/>
        <v>#VALUE!</v>
      </c>
      <c r="CI81" s="603" t="str">
        <f t="shared" si="137"/>
        <v>#VALUE!</v>
      </c>
      <c r="CJ81" s="347"/>
      <c r="CK81" s="347">
        <f t="shared" si="138"/>
        <v>0</v>
      </c>
      <c r="CL81" s="539">
        <f t="shared" si="139"/>
        <v>0</v>
      </c>
      <c r="CM81" s="347">
        <f t="shared" si="140"/>
        <v>0</v>
      </c>
      <c r="CN81" s="347">
        <f t="shared" si="141"/>
        <v>0</v>
      </c>
      <c r="CO81" s="347" t="str">
        <f t="shared" si="142"/>
        <v/>
      </c>
      <c r="CP81" s="347"/>
    </row>
    <row r="82">
      <c r="A82" s="574">
        <f t="shared" si="147"/>
        <v>300033</v>
      </c>
      <c r="B82" s="574" t="str">
        <f t="shared" si="1"/>
        <v>Batch 300033</v>
      </c>
      <c r="C82" s="347"/>
      <c r="D82" s="574" t="str">
        <f>CONCATENATE(MID(B82,FIND(" ",B82) + 1,FIND(" ",B82) + 1 - (FIND(" ",B82))),"-",RIGHT(B82,LEN(B82) - 10))</f>
        <v>3-33</v>
      </c>
      <c r="E82" s="347"/>
      <c r="F82" s="596"/>
      <c r="G82" s="596"/>
      <c r="H82" s="347"/>
      <c r="I82" s="583" t="str">
        <f t="shared" si="77"/>
        <v/>
      </c>
      <c r="J82" s="583" t="str">
        <f t="shared" si="82"/>
        <v/>
      </c>
      <c r="K82" s="638" t="str">
        <f t="shared" si="123"/>
        <v/>
      </c>
      <c r="L82" s="638" t="str">
        <f t="shared" si="148"/>
        <v/>
      </c>
      <c r="M82" s="345" t="str">
        <f t="shared" si="124"/>
        <v/>
      </c>
      <c r="N82" s="345" t="str">
        <f t="shared" si="149"/>
        <v/>
      </c>
      <c r="O82" s="579">
        <f t="shared" si="2"/>
        <v>0</v>
      </c>
      <c r="P82" s="579">
        <f t="shared" si="126"/>
        <v>0</v>
      </c>
      <c r="Q82" s="638" t="str">
        <f t="shared" si="87"/>
        <v/>
      </c>
      <c r="R82" s="638" t="str">
        <f t="shared" si="88"/>
        <v/>
      </c>
      <c r="S82" s="345" t="str">
        <f t="shared" si="89"/>
        <v/>
      </c>
      <c r="T82" s="345" t="str">
        <f t="shared" si="90"/>
        <v/>
      </c>
      <c r="U82" s="579">
        <f t="shared" si="48"/>
        <v>0</v>
      </c>
      <c r="V82" s="579">
        <f t="shared" si="49"/>
        <v>0</v>
      </c>
      <c r="W82" s="638" t="str">
        <f t="shared" si="107"/>
        <v/>
      </c>
      <c r="X82" s="638" t="str">
        <f t="shared" si="78"/>
        <v/>
      </c>
      <c r="Y82" s="345" t="str">
        <f t="shared" si="103"/>
        <v/>
      </c>
      <c r="Z82" s="345" t="str">
        <f t="shared" si="109"/>
        <v/>
      </c>
      <c r="AA82" s="579">
        <f t="shared" si="6"/>
        <v>0</v>
      </c>
      <c r="AB82" s="581">
        <f t="shared" si="105"/>
        <v>0</v>
      </c>
      <c r="AC82" s="638" t="str">
        <f t="shared" si="116"/>
        <v/>
      </c>
      <c r="AD82" s="638" t="str">
        <f t="shared" si="143"/>
        <v/>
      </c>
      <c r="AE82" s="345" t="str">
        <f t="shared" si="144"/>
        <v/>
      </c>
      <c r="AF82" s="345" t="str">
        <f t="shared" si="145"/>
        <v/>
      </c>
      <c r="AG82" s="579">
        <f t="shared" si="54"/>
        <v>0</v>
      </c>
      <c r="AH82" s="581">
        <f t="shared" si="146"/>
        <v>0</v>
      </c>
      <c r="AI82" s="633" t="s">
        <v>278</v>
      </c>
      <c r="AJ82" s="633">
        <v>1136.66</v>
      </c>
      <c r="AK82" s="633">
        <v>1.22</v>
      </c>
      <c r="AL82" s="633">
        <v>18.44</v>
      </c>
      <c r="AM82" s="579">
        <f t="shared" ref="AM82:AM83" si="151">AJ82*$CP$3</f>
        <v>4302.724131</v>
      </c>
      <c r="AN82" s="581">
        <f t="shared" ref="AN82:AN83" si="152">AJ82*$CP$3*AK82</f>
        <v>5249.323439</v>
      </c>
      <c r="AO82" s="347"/>
      <c r="AP82" s="581">
        <f>SUM(AB82,V82,P82, AH82,AN82)</f>
        <v>5249.323439</v>
      </c>
      <c r="AQ82" s="640" t="str">
        <f t="shared" si="92"/>
        <v/>
      </c>
      <c r="AR82" s="640" t="str">
        <f t="shared" si="93"/>
        <v/>
      </c>
      <c r="AS82" s="348" t="str">
        <f t="shared" si="118"/>
        <v/>
      </c>
      <c r="AT82" s="348"/>
      <c r="AU82" s="642" t="str">
        <f t="shared" si="127"/>
        <v>#VALUE!</v>
      </c>
      <c r="AV82" s="643" t="str">
        <f t="shared" si="75"/>
        <v/>
      </c>
      <c r="AW82" s="642" t="str">
        <f t="shared" si="120"/>
        <v/>
      </c>
      <c r="AX82" s="584" t="str">
        <f t="shared" si="112"/>
        <v>#VALUE!</v>
      </c>
      <c r="AY82" s="581">
        <f t="shared" si="12"/>
        <v>0</v>
      </c>
      <c r="AZ82" s="581">
        <f t="shared" si="43"/>
        <v>0</v>
      </c>
      <c r="BA82" s="640" t="str">
        <f t="shared" si="96"/>
        <v/>
      </c>
      <c r="BB82" s="640" t="str">
        <f t="shared" si="97"/>
        <v/>
      </c>
      <c r="BC82" s="644" t="str">
        <f t="shared" si="98"/>
        <v/>
      </c>
      <c r="BD82" s="581" t="str">
        <f t="shared" si="99"/>
        <v/>
      </c>
      <c r="BE82" s="581">
        <f t="shared" si="37"/>
        <v>0</v>
      </c>
      <c r="BF82" s="644" t="str">
        <f t="shared" si="113"/>
        <v/>
      </c>
      <c r="BG82" s="345">
        <v>82440.0</v>
      </c>
      <c r="BH82" s="345">
        <v>37940.0</v>
      </c>
      <c r="BI82" s="347" t="str">
        <f t="shared" si="100"/>
        <v/>
      </c>
      <c r="BJ82" s="586" t="str">
        <f t="shared" si="101"/>
        <v/>
      </c>
      <c r="BK82" s="581">
        <f t="shared" si="15"/>
        <v>0</v>
      </c>
      <c r="BL82" s="345">
        <v>81580.0</v>
      </c>
      <c r="BM82" s="345">
        <v>36340.0</v>
      </c>
      <c r="BN82" s="347" t="str">
        <f t="shared" si="102"/>
        <v/>
      </c>
      <c r="BO82" s="586" t="str">
        <f t="shared" si="79"/>
        <v/>
      </c>
      <c r="BP82" s="584">
        <f t="shared" si="17"/>
        <v>0</v>
      </c>
      <c r="BQ82" s="347"/>
      <c r="BR82" s="581">
        <f t="shared" si="38"/>
        <v>0</v>
      </c>
      <c r="BS82" s="588">
        <f t="shared" si="128"/>
        <v>0</v>
      </c>
      <c r="BT82" s="581">
        <f t="shared" si="20"/>
        <v>5249.323439</v>
      </c>
      <c r="BU82" s="605">
        <v>0.423</v>
      </c>
      <c r="BV82" s="581">
        <f t="shared" si="44"/>
        <v>0</v>
      </c>
      <c r="BW82" s="590"/>
      <c r="BX82" s="347"/>
      <c r="BY82" s="347"/>
      <c r="BZ82" s="347"/>
      <c r="CA82" s="586">
        <f t="shared" si="129"/>
        <v>0</v>
      </c>
      <c r="CB82" s="581">
        <f t="shared" si="130"/>
        <v>0</v>
      </c>
      <c r="CC82" s="581">
        <f t="shared" si="131"/>
        <v>0</v>
      </c>
      <c r="CD82" s="581">
        <f t="shared" si="132"/>
        <v>0</v>
      </c>
      <c r="CE82" s="581">
        <f t="shared" si="133"/>
        <v>0</v>
      </c>
      <c r="CF82" s="581">
        <f t="shared" si="134"/>
        <v>0</v>
      </c>
      <c r="CG82" s="586" t="str">
        <f t="shared" si="135"/>
        <v>#VALUE!</v>
      </c>
      <c r="CH82" s="608" t="str">
        <f t="shared" si="136"/>
        <v>#VALUE!</v>
      </c>
      <c r="CI82" s="603" t="str">
        <f t="shared" si="137"/>
        <v>#VALUE!</v>
      </c>
      <c r="CJ82" s="347"/>
      <c r="CK82" s="347">
        <f t="shared" si="138"/>
        <v>0</v>
      </c>
      <c r="CL82" s="539">
        <f t="shared" si="139"/>
        <v>0</v>
      </c>
      <c r="CM82" s="347">
        <f t="shared" si="140"/>
        <v>0</v>
      </c>
      <c r="CN82" s="347">
        <f t="shared" si="141"/>
        <v>0</v>
      </c>
      <c r="CO82" s="347" t="str">
        <f t="shared" si="142"/>
        <v/>
      </c>
      <c r="CP82" s="347"/>
    </row>
    <row r="83" ht="17.25" customHeight="1">
      <c r="A83" s="574">
        <f t="shared" si="147"/>
        <v>200101</v>
      </c>
      <c r="B83" s="574" t="str">
        <f t="shared" si="1"/>
        <v>Batch 200101</v>
      </c>
      <c r="C83" s="347"/>
      <c r="D83" s="574" t="str">
        <f>CONCATENATE(LEFT(MID(B83,FIND(" ",B83) + 1,10),1),"-",RIGHT(B83,3))</f>
        <v>2-101</v>
      </c>
      <c r="E83" s="347"/>
      <c r="F83" s="596"/>
      <c r="G83" s="596"/>
      <c r="H83" s="347"/>
      <c r="I83" s="583" t="str">
        <f t="shared" si="77"/>
        <v/>
      </c>
      <c r="J83" s="583" t="str">
        <f t="shared" si="82"/>
        <v/>
      </c>
      <c r="K83" s="638" t="str">
        <f t="shared" si="123"/>
        <v/>
      </c>
      <c r="L83" s="638" t="str">
        <f t="shared" si="148"/>
        <v/>
      </c>
      <c r="M83" s="345" t="str">
        <f t="shared" si="124"/>
        <v/>
      </c>
      <c r="N83" s="345" t="str">
        <f t="shared" si="149"/>
        <v/>
      </c>
      <c r="O83" s="579">
        <f t="shared" si="2"/>
        <v>0</v>
      </c>
      <c r="P83" s="579">
        <f t="shared" si="126"/>
        <v>0</v>
      </c>
      <c r="Q83" s="638" t="str">
        <f t="shared" si="87"/>
        <v/>
      </c>
      <c r="R83" s="638" t="str">
        <f t="shared" si="88"/>
        <v/>
      </c>
      <c r="S83" s="345" t="str">
        <f t="shared" si="89"/>
        <v/>
      </c>
      <c r="T83" s="345" t="str">
        <f t="shared" si="90"/>
        <v/>
      </c>
      <c r="U83" s="579">
        <f t="shared" si="48"/>
        <v>0</v>
      </c>
      <c r="V83" s="579">
        <f t="shared" si="49"/>
        <v>0</v>
      </c>
      <c r="W83" s="638" t="str">
        <f t="shared" si="107"/>
        <v/>
      </c>
      <c r="X83" s="638" t="str">
        <f t="shared" si="78"/>
        <v/>
      </c>
      <c r="Y83" s="345" t="str">
        <f t="shared" si="103"/>
        <v/>
      </c>
      <c r="Z83" s="345" t="str">
        <f t="shared" si="109"/>
        <v/>
      </c>
      <c r="AA83" s="579">
        <f t="shared" si="6"/>
        <v>0</v>
      </c>
      <c r="AB83" s="581">
        <f t="shared" si="105"/>
        <v>0</v>
      </c>
      <c r="AC83" s="638" t="str">
        <f t="shared" si="116"/>
        <v/>
      </c>
      <c r="AD83" s="638" t="str">
        <f t="shared" si="143"/>
        <v/>
      </c>
      <c r="AE83" s="345" t="str">
        <f t="shared" si="144"/>
        <v/>
      </c>
      <c r="AF83" s="345" t="str">
        <f t="shared" si="145"/>
        <v/>
      </c>
      <c r="AG83" s="579">
        <f t="shared" si="54"/>
        <v>0</v>
      </c>
      <c r="AH83" s="581">
        <f t="shared" si="146"/>
        <v>0</v>
      </c>
      <c r="AI83" s="638" t="str">
        <f t="array" ref="AI83">IFERROR(INDEX('Consumed Oil by Batch'!$D:$D, SMALL(IF(('Consumed Oil by Batch'!$A:$A=$D83)*('Consumed Oil by Batch'!$C:$C="bio_oil"), ROW('Consumed Oil by Batch'!$A:$A)), ROW($A$5))), "")</f>
        <v/>
      </c>
      <c r="AJ83" s="638">
        <f>3200+1127</f>
        <v>4327</v>
      </c>
      <c r="AK83" s="345" t="str">
        <f t="array" ref="AK83">IFERROR(INDEX('Consumed Oil by Batch'!$H:$H, SMALL(IF(('Consumed Oil by Batch'!$A:$A=$D83)*('Consumed Oil by Batch'!$C:$C="bio_oil"), ROW('Consumed Oil by Batch'!Y:Y)), ROW($A$5)), ""),"")</f>
        <v/>
      </c>
      <c r="AL83" s="345" t="str">
        <f t="array" ref="AL83">IFERROR(INDEX('Consumed Oil by Batch'!$I:$I, SMALL(IF(('Consumed Oil by Batch'!$A:$A=$D83)*('Consumed Oil by Batch'!$C:$C="bio_oil"), ROW('Consumed Oil by Batch'!Z:Z)), ROW($A$5)), ""),"")</f>
        <v/>
      </c>
      <c r="AM83" s="579">
        <f t="shared" si="151"/>
        <v>16379.46907</v>
      </c>
      <c r="AN83" s="581">
        <f t="shared" si="152"/>
        <v>0</v>
      </c>
      <c r="AO83" s="347"/>
      <c r="AP83" s="581">
        <f>SUM(AB83,V83,P83, AH83, AN83)</f>
        <v>0</v>
      </c>
      <c r="AQ83" s="640" t="str">
        <f t="shared" si="92"/>
        <v/>
      </c>
      <c r="AR83" s="640" t="str">
        <f t="shared" si="93"/>
        <v/>
      </c>
      <c r="AS83" s="348" t="str">
        <f t="shared" si="118"/>
        <v/>
      </c>
      <c r="AT83" s="348"/>
      <c r="AU83" s="642" t="str">
        <f t="shared" si="127"/>
        <v>#VALUE!</v>
      </c>
      <c r="AV83" s="643" t="str">
        <f t="shared" si="75"/>
        <v/>
      </c>
      <c r="AW83" s="642" t="str">
        <f t="shared" si="120"/>
        <v/>
      </c>
      <c r="AX83" s="584" t="str">
        <f t="shared" si="112"/>
        <v>#VALUE!</v>
      </c>
      <c r="AY83" s="581">
        <f t="shared" si="12"/>
        <v>0</v>
      </c>
      <c r="AZ83" s="581">
        <f t="shared" si="43"/>
        <v>0</v>
      </c>
      <c r="BA83" s="640" t="str">
        <f t="shared" si="96"/>
        <v/>
      </c>
      <c r="BB83" s="640" t="str">
        <f t="shared" si="97"/>
        <v/>
      </c>
      <c r="BC83" s="644" t="str">
        <f t="shared" si="98"/>
        <v/>
      </c>
      <c r="BD83" s="581" t="str">
        <f t="shared" si="99"/>
        <v/>
      </c>
      <c r="BE83" s="581">
        <f t="shared" si="37"/>
        <v>0</v>
      </c>
      <c r="BF83" s="644" t="str">
        <f t="shared" si="113"/>
        <v/>
      </c>
      <c r="BG83" s="345">
        <v>78340.0</v>
      </c>
      <c r="BH83" s="345">
        <v>37960.0</v>
      </c>
      <c r="BI83" s="347" t="str">
        <f t="shared" si="100"/>
        <v/>
      </c>
      <c r="BJ83" s="586" t="str">
        <f t="shared" si="101"/>
        <v/>
      </c>
      <c r="BK83" s="581">
        <f t="shared" si="15"/>
        <v>0</v>
      </c>
      <c r="BL83" s="345">
        <v>76700.0</v>
      </c>
      <c r="BM83" s="345">
        <v>35420.0</v>
      </c>
      <c r="BN83" s="347" t="str">
        <f t="shared" si="102"/>
        <v/>
      </c>
      <c r="BO83" s="586" t="str">
        <f t="shared" si="79"/>
        <v/>
      </c>
      <c r="BP83" s="584">
        <f t="shared" si="17"/>
        <v>0</v>
      </c>
      <c r="BQ83" s="347"/>
      <c r="BR83" s="581">
        <f>BP83+BK83+(50220*0.453592)</f>
        <v>22779.39024</v>
      </c>
      <c r="BS83" s="588">
        <f t="shared" si="128"/>
        <v>22779.39024</v>
      </c>
      <c r="BT83" s="581">
        <f t="shared" si="20"/>
        <v>-22779.39024</v>
      </c>
      <c r="BU83" s="605">
        <v>0.405</v>
      </c>
      <c r="BV83" s="581">
        <f t="shared" si="44"/>
        <v>33827.39451</v>
      </c>
      <c r="BW83" s="590"/>
      <c r="BX83" s="604"/>
      <c r="BY83" s="347"/>
      <c r="BZ83" s="347"/>
      <c r="CA83" s="586">
        <f t="shared" si="129"/>
        <v>0</v>
      </c>
      <c r="CB83" s="581">
        <f t="shared" si="130"/>
        <v>0</v>
      </c>
      <c r="CC83" s="581">
        <f t="shared" si="131"/>
        <v>0</v>
      </c>
      <c r="CD83" s="581">
        <f t="shared" si="132"/>
        <v>0</v>
      </c>
      <c r="CE83" s="581">
        <f t="shared" si="133"/>
        <v>0</v>
      </c>
      <c r="CF83" s="581">
        <f t="shared" si="134"/>
        <v>0</v>
      </c>
      <c r="CG83" s="586" t="str">
        <f t="shared" si="135"/>
        <v>#VALUE!</v>
      </c>
      <c r="CH83" s="608" t="str">
        <f t="shared" si="136"/>
        <v>#VALUE!</v>
      </c>
      <c r="CI83" s="603" t="str">
        <f t="shared" si="137"/>
        <v>#VALUE!</v>
      </c>
      <c r="CJ83" s="347"/>
      <c r="CK83" s="347">
        <f t="shared" si="138"/>
        <v>0</v>
      </c>
      <c r="CL83" s="539">
        <f t="shared" si="139"/>
        <v>22779.39024</v>
      </c>
      <c r="CM83" s="347">
        <f t="shared" si="140"/>
        <v>0</v>
      </c>
      <c r="CN83" s="347">
        <f t="shared" si="141"/>
        <v>33827.39451</v>
      </c>
      <c r="CO83" s="347" t="str">
        <f t="shared" si="142"/>
        <v/>
      </c>
      <c r="CP83" s="347"/>
    </row>
    <row r="84">
      <c r="A84" s="574">
        <f t="shared" si="147"/>
        <v>300034</v>
      </c>
      <c r="B84" s="574" t="str">
        <f t="shared" si="1"/>
        <v>Batch 300034</v>
      </c>
      <c r="C84" s="347"/>
      <c r="D84" s="574" t="str">
        <f>CONCATENATE(MID(B84,FIND(" ",B84) + 1,FIND(" ",B84) + 1 - (FIND(" ",B84))),"-",RIGHT(B84,LEN(B84) - 10))</f>
        <v>3-34</v>
      </c>
      <c r="E84" s="347"/>
      <c r="F84" s="596"/>
      <c r="G84" s="596"/>
      <c r="H84" s="347"/>
      <c r="I84" s="583" t="str">
        <f t="shared" si="77"/>
        <v/>
      </c>
      <c r="J84" s="583" t="str">
        <f t="shared" si="82"/>
        <v/>
      </c>
      <c r="K84" s="638" t="str">
        <f t="shared" si="123"/>
        <v/>
      </c>
      <c r="L84" s="638" t="str">
        <f t="shared" si="148"/>
        <v/>
      </c>
      <c r="M84" s="345">
        <v>1.23</v>
      </c>
      <c r="N84" s="345" t="str">
        <f t="shared" si="149"/>
        <v/>
      </c>
      <c r="O84" s="579">
        <f t="shared" si="2"/>
        <v>0</v>
      </c>
      <c r="P84" s="579">
        <f t="shared" si="126"/>
        <v>0</v>
      </c>
      <c r="Q84" s="638" t="str">
        <f t="shared" si="87"/>
        <v/>
      </c>
      <c r="R84" s="638" t="str">
        <f t="shared" si="88"/>
        <v/>
      </c>
      <c r="S84" s="345" t="str">
        <f t="shared" si="89"/>
        <v/>
      </c>
      <c r="T84" s="345" t="str">
        <f t="shared" si="90"/>
        <v/>
      </c>
      <c r="U84" s="579">
        <f t="shared" si="48"/>
        <v>0</v>
      </c>
      <c r="V84" s="579">
        <f t="shared" si="49"/>
        <v>0</v>
      </c>
      <c r="W84" s="638" t="str">
        <f t="shared" si="107"/>
        <v/>
      </c>
      <c r="X84" s="638" t="str">
        <f t="shared" si="78"/>
        <v/>
      </c>
      <c r="Y84" s="345" t="str">
        <f t="shared" si="103"/>
        <v/>
      </c>
      <c r="Z84" s="345" t="str">
        <f t="shared" si="109"/>
        <v/>
      </c>
      <c r="AA84" s="579">
        <f t="shared" si="6"/>
        <v>0</v>
      </c>
      <c r="AB84" s="581">
        <f t="shared" si="105"/>
        <v>0</v>
      </c>
      <c r="AC84" s="1" t="s">
        <v>301</v>
      </c>
      <c r="AD84" s="1">
        <v>1098.56</v>
      </c>
      <c r="AE84" s="345">
        <v>1.22</v>
      </c>
      <c r="AF84" s="345">
        <v>22.45</v>
      </c>
      <c r="AG84" s="579">
        <f t="shared" si="54"/>
        <v>4158.50001</v>
      </c>
      <c r="AH84" s="581">
        <f t="shared" si="146"/>
        <v>5073.370012</v>
      </c>
      <c r="AI84" s="582"/>
      <c r="AJ84" s="582"/>
      <c r="AK84" s="582"/>
      <c r="AL84" s="582"/>
      <c r="AM84" s="579"/>
      <c r="AN84" s="579"/>
      <c r="AO84" s="347"/>
      <c r="AP84" s="587">
        <v>37665.73</v>
      </c>
      <c r="AQ84" s="640" t="str">
        <f t="shared" si="92"/>
        <v/>
      </c>
      <c r="AR84" s="640" t="str">
        <f t="shared" si="93"/>
        <v/>
      </c>
      <c r="AS84" s="348" t="str">
        <f t="shared" si="118"/>
        <v/>
      </c>
      <c r="AT84" s="348"/>
      <c r="AU84" s="642" t="str">
        <f t="shared" si="127"/>
        <v>#VALUE!</v>
      </c>
      <c r="AV84" s="643" t="str">
        <f t="shared" si="75"/>
        <v/>
      </c>
      <c r="AW84" s="642" t="str">
        <f t="shared" si="120"/>
        <v/>
      </c>
      <c r="AX84" s="584" t="str">
        <f t="shared" si="112"/>
        <v>#VALUE!</v>
      </c>
      <c r="AY84" s="581">
        <f t="shared" si="12"/>
        <v>0</v>
      </c>
      <c r="AZ84" s="584">
        <v>3048.14</v>
      </c>
      <c r="BA84" s="640" t="str">
        <f t="shared" si="96"/>
        <v/>
      </c>
      <c r="BB84" s="640" t="str">
        <f t="shared" si="97"/>
        <v/>
      </c>
      <c r="BC84" s="644" t="str">
        <f t="shared" si="98"/>
        <v/>
      </c>
      <c r="BD84" s="581" t="str">
        <f t="shared" si="99"/>
        <v/>
      </c>
      <c r="BE84" s="581">
        <f t="shared" si="37"/>
        <v>0</v>
      </c>
      <c r="BF84" s="644" t="str">
        <f t="shared" si="113"/>
        <v/>
      </c>
      <c r="BG84" s="345">
        <v>80180.0</v>
      </c>
      <c r="BH84" s="345">
        <v>36220.0</v>
      </c>
      <c r="BI84" s="347" t="str">
        <f t="shared" si="100"/>
        <v/>
      </c>
      <c r="BJ84" s="586" t="str">
        <f t="shared" si="101"/>
        <v/>
      </c>
      <c r="BK84" s="581">
        <f t="shared" si="15"/>
        <v>0</v>
      </c>
      <c r="BL84" s="345">
        <v>84500.0</v>
      </c>
      <c r="BM84" s="345">
        <v>38440.0</v>
      </c>
      <c r="BN84" s="347" t="str">
        <f t="shared" si="102"/>
        <v/>
      </c>
      <c r="BO84" s="586" t="str">
        <f t="shared" si="79"/>
        <v/>
      </c>
      <c r="BP84" s="584">
        <f t="shared" si="17"/>
        <v>0</v>
      </c>
      <c r="BQ84" s="347"/>
      <c r="BR84" s="581">
        <f t="shared" ref="BR84:BR300" si="153">BP84+BK84</f>
        <v>0</v>
      </c>
      <c r="BS84" s="588">
        <f t="shared" si="128"/>
        <v>-3048.14</v>
      </c>
      <c r="BT84" s="588">
        <f t="shared" si="20"/>
        <v>40713.87</v>
      </c>
      <c r="BU84" s="605">
        <v>0.52</v>
      </c>
      <c r="BV84" s="581">
        <f t="shared" si="44"/>
        <v>-5811.786933</v>
      </c>
      <c r="BW84" s="590"/>
      <c r="BX84" s="347"/>
      <c r="BY84" s="347"/>
      <c r="BZ84" s="347"/>
      <c r="CA84" s="586">
        <f t="shared" si="129"/>
        <v>1098.56</v>
      </c>
      <c r="CB84" s="581">
        <f t="shared" si="130"/>
        <v>41.196</v>
      </c>
      <c r="CC84" s="581">
        <f t="shared" si="131"/>
        <v>41.196</v>
      </c>
      <c r="CD84" s="581">
        <f t="shared" si="132"/>
        <v>1313.082765</v>
      </c>
      <c r="CE84" s="581">
        <f t="shared" si="133"/>
        <v>906.729103</v>
      </c>
      <c r="CF84" s="581">
        <f t="shared" si="134"/>
        <v>954.4516874</v>
      </c>
      <c r="CG84" s="586" t="str">
        <f t="shared" si="135"/>
        <v>#VALUE!</v>
      </c>
      <c r="CH84" s="608" t="str">
        <f t="shared" si="136"/>
        <v>#VALUE!</v>
      </c>
      <c r="CI84" s="603" t="str">
        <f t="shared" si="137"/>
        <v>#VALUE!</v>
      </c>
      <c r="CJ84" s="347"/>
      <c r="CK84" s="348">
        <f t="shared" si="138"/>
        <v>5073.370012</v>
      </c>
      <c r="CL84" s="539">
        <f t="shared" si="139"/>
        <v>-8121.510012</v>
      </c>
      <c r="CM84" s="347">
        <f t="shared" si="140"/>
        <v>9673.225489</v>
      </c>
      <c r="CN84" s="347">
        <f t="shared" si="141"/>
        <v>-15485.01242</v>
      </c>
      <c r="CO84" s="347" t="str">
        <f t="shared" si="142"/>
        <v/>
      </c>
      <c r="CP84" s="347"/>
    </row>
    <row r="85">
      <c r="A85" s="574">
        <f t="shared" si="147"/>
        <v>200102</v>
      </c>
      <c r="B85" s="574" t="str">
        <f t="shared" si="1"/>
        <v>Batch 200102</v>
      </c>
      <c r="C85" s="347"/>
      <c r="D85" s="574" t="str">
        <f>CONCATENATE(LEFT(MID(B85,FIND(" ",B85) + 1,10),1),"-",RIGHT(B85,3))</f>
        <v>2-102</v>
      </c>
      <c r="E85" s="347"/>
      <c r="F85" s="596"/>
      <c r="G85" s="596"/>
      <c r="H85" s="347"/>
      <c r="I85" s="583" t="str">
        <f t="shared" si="77"/>
        <v/>
      </c>
      <c r="J85" s="583" t="str">
        <f t="shared" si="82"/>
        <v/>
      </c>
      <c r="K85" s="638" t="str">
        <f t="shared" si="123"/>
        <v/>
      </c>
      <c r="L85" s="638" t="str">
        <f t="shared" si="148"/>
        <v/>
      </c>
      <c r="M85" s="345" t="str">
        <f t="array" ref="M85">IFERROR(INDEX('Consumed Oil by Batch'!H:H, SMALL(IF('Consumed Oil by Batch'!A:A=D85, ROW('Consumed Oil by Batch'!A:A)), ROW($A$1))), "")</f>
        <v/>
      </c>
      <c r="N85" s="345" t="str">
        <f t="shared" si="149"/>
        <v/>
      </c>
      <c r="O85" s="579">
        <f t="shared" si="2"/>
        <v>0</v>
      </c>
      <c r="P85" s="579">
        <f t="shared" si="126"/>
        <v>0</v>
      </c>
      <c r="Q85" s="638" t="str">
        <f t="shared" si="87"/>
        <v/>
      </c>
      <c r="R85" s="638" t="str">
        <f t="shared" si="88"/>
        <v/>
      </c>
      <c r="S85" s="345" t="str">
        <f t="shared" si="89"/>
        <v/>
      </c>
      <c r="T85" s="345" t="str">
        <f t="shared" si="90"/>
        <v/>
      </c>
      <c r="U85" s="579">
        <f t="shared" si="48"/>
        <v>0</v>
      </c>
      <c r="V85" s="579">
        <f t="shared" si="49"/>
        <v>0</v>
      </c>
      <c r="W85" s="638" t="str">
        <f t="shared" si="107"/>
        <v/>
      </c>
      <c r="X85" s="638" t="str">
        <f t="shared" si="78"/>
        <v/>
      </c>
      <c r="Y85" s="345" t="str">
        <f t="shared" si="103"/>
        <v/>
      </c>
      <c r="Z85" s="345" t="str">
        <f t="shared" si="109"/>
        <v/>
      </c>
      <c r="AA85" s="579">
        <f t="shared" si="6"/>
        <v>0</v>
      </c>
      <c r="AB85" s="581">
        <f t="shared" si="105"/>
        <v>0</v>
      </c>
      <c r="AC85" s="638" t="str">
        <f t="shared" ref="AC85:AC89" si="155">IFERROR(INDEX('Consumed Oil by Batch'!$D:$D, SMALL(IF(('Consumed Oil by Batch'!$A:$A=$D85)*('Consumed Oil by Batch'!$C:$C="bio_oil"), ROW('Consumed Oil by Batch'!$A:$A)), ROW($A$4))), "")</f>
        <v/>
      </c>
      <c r="AD85" s="638" t="str">
        <f t="shared" ref="AD85:AD91" si="156">IFERROR(INDEX('Consumed Oil by Batch'!$F:$F, SMALL(IF(('Consumed Oil by Batch'!$A:$A=$D85)*('Consumed Oil by Batch'!$C:$C="bio_oil"), ROW('Consumed Oil by Batch'!$A:$A)), ROW($A$4))), "")</f>
        <v/>
      </c>
      <c r="AE85" s="345" t="str">
        <f t="shared" ref="AE85:AE91" si="157">IFERROR(INDEX('Consumed Oil by Batch'!$H:$H, SMALL(IF(('Consumed Oil by Batch'!$A:$A=$D85)*('Consumed Oil by Batch'!$C:$C="bio_oil"), ROW('Consumed Oil by Batch'!S:S)), ROW($A$4)), ""),"")</f>
        <v/>
      </c>
      <c r="AF85" s="345" t="str">
        <f t="shared" ref="AF85:AF87" si="158">IFERROR(INDEX('Consumed Oil by Batch'!$I:$I, SMALL(IF(('Consumed Oil by Batch'!$A:$A=$D85)*('Consumed Oil by Batch'!$C:$C="bio_oil"), ROW('Consumed Oil by Batch'!T:T)), ROW($A$4)), ""),"")</f>
        <v/>
      </c>
      <c r="AG85" s="579">
        <f t="shared" si="54"/>
        <v>0</v>
      </c>
      <c r="AH85" s="581">
        <f t="shared" si="146"/>
        <v>0</v>
      </c>
      <c r="AI85" s="582"/>
      <c r="AJ85" s="582"/>
      <c r="AK85" s="582"/>
      <c r="AL85" s="582"/>
      <c r="AM85" s="579"/>
      <c r="AN85" s="579"/>
      <c r="AO85" s="347"/>
      <c r="AP85" s="581">
        <f>SUM(AB85,V85,P85, AH85)</f>
        <v>0</v>
      </c>
      <c r="AQ85" s="640" t="str">
        <f t="shared" si="92"/>
        <v/>
      </c>
      <c r="AR85" s="640" t="str">
        <f t="shared" si="93"/>
        <v/>
      </c>
      <c r="AS85" s="348" t="str">
        <f t="shared" si="118"/>
        <v/>
      </c>
      <c r="AT85" s="348"/>
      <c r="AU85" s="642" t="str">
        <f t="shared" si="127"/>
        <v>#VALUE!</v>
      </c>
      <c r="AV85" s="643" t="str">
        <f t="shared" si="75"/>
        <v/>
      </c>
      <c r="AW85" s="642" t="str">
        <f t="shared" si="120"/>
        <v/>
      </c>
      <c r="AX85" s="584" t="str">
        <f t="shared" si="112"/>
        <v>#VALUE!</v>
      </c>
      <c r="AY85" s="581">
        <f t="shared" si="12"/>
        <v>0</v>
      </c>
      <c r="AZ85" s="581">
        <f t="shared" ref="AZ85:AZ300" si="159">AY85/$CP$4</f>
        <v>0</v>
      </c>
      <c r="BA85" s="596"/>
      <c r="BB85" s="596"/>
      <c r="BC85" s="644" t="str">
        <f t="shared" si="98"/>
        <v/>
      </c>
      <c r="BD85" s="581" t="str">
        <f t="shared" si="99"/>
        <v/>
      </c>
      <c r="BE85" s="581">
        <f t="shared" si="37"/>
        <v>0</v>
      </c>
      <c r="BF85" s="644" t="str">
        <f t="shared" si="113"/>
        <v/>
      </c>
      <c r="BG85" s="1">
        <v>80600.0</v>
      </c>
      <c r="BH85" s="345">
        <v>35540.0</v>
      </c>
      <c r="BI85" s="347" t="str">
        <f t="shared" si="100"/>
        <v/>
      </c>
      <c r="BJ85" s="586" t="str">
        <f t="shared" si="101"/>
        <v/>
      </c>
      <c r="BK85" s="581">
        <f t="shared" si="15"/>
        <v>0</v>
      </c>
      <c r="BL85" s="345">
        <v>81940.0</v>
      </c>
      <c r="BM85" s="345">
        <v>37040.0</v>
      </c>
      <c r="BN85" s="347" t="str">
        <f t="shared" si="102"/>
        <v/>
      </c>
      <c r="BO85" s="586" t="str">
        <f t="shared" si="79"/>
        <v/>
      </c>
      <c r="BP85" s="584">
        <f t="shared" si="17"/>
        <v>0</v>
      </c>
      <c r="BQ85" s="347"/>
      <c r="BR85" s="581">
        <f t="shared" si="153"/>
        <v>0</v>
      </c>
      <c r="BS85" s="588">
        <f t="shared" si="128"/>
        <v>0</v>
      </c>
      <c r="BT85" s="581">
        <f t="shared" si="20"/>
        <v>0</v>
      </c>
      <c r="BU85" s="605">
        <v>0.422</v>
      </c>
      <c r="BV85" s="581">
        <f t="shared" si="44"/>
        <v>0</v>
      </c>
      <c r="BW85" s="590"/>
      <c r="BX85" s="347"/>
      <c r="BY85" s="347"/>
      <c r="BZ85" s="347"/>
      <c r="CA85" s="586">
        <f t="shared" si="129"/>
        <v>0</v>
      </c>
      <c r="CB85" s="581" t="str">
        <f>if(#REF!, #REF!, 0.0375*CA85)</f>
        <v>#REF!</v>
      </c>
      <c r="CC85" s="581">
        <f t="shared" si="131"/>
        <v>0</v>
      </c>
      <c r="CD85" s="581" t="str">
        <f t="shared" si="132"/>
        <v>#REF!</v>
      </c>
      <c r="CE85" s="581" t="str">
        <f t="shared" si="133"/>
        <v>#REF!</v>
      </c>
      <c r="CF85" s="581" t="str">
        <f t="shared" si="134"/>
        <v>#REF!</v>
      </c>
      <c r="CG85" s="586" t="str">
        <f t="shared" si="135"/>
        <v>#VALUE!</v>
      </c>
      <c r="CH85" s="608" t="str">
        <f t="shared" si="136"/>
        <v>#VALUE!</v>
      </c>
      <c r="CI85" s="603" t="str">
        <f t="shared" si="137"/>
        <v>#VALUE!</v>
      </c>
      <c r="CJ85" s="347"/>
      <c r="CK85" s="347">
        <f t="shared" si="138"/>
        <v>0</v>
      </c>
      <c r="CL85" s="539">
        <f t="shared" si="139"/>
        <v>0</v>
      </c>
      <c r="CM85" s="347">
        <f t="shared" si="140"/>
        <v>0</v>
      </c>
      <c r="CN85" s="347">
        <f t="shared" si="141"/>
        <v>0</v>
      </c>
      <c r="CO85" s="347" t="str">
        <f t="shared" si="142"/>
        <v/>
      </c>
      <c r="CP85" s="347"/>
    </row>
    <row r="86">
      <c r="A86" s="574">
        <f t="shared" si="147"/>
        <v>300035</v>
      </c>
      <c r="B86" s="574" t="str">
        <f t="shared" si="1"/>
        <v>Batch 300035</v>
      </c>
      <c r="C86" s="347"/>
      <c r="D86" s="574" t="str">
        <f>CONCATENATE(MID(B86,FIND(" ",B86) + 1,FIND(" ",B86) + 1 - (FIND(" ",B86))),"-",RIGHT(B86,LEN(B86) - 10))</f>
        <v>3-35</v>
      </c>
      <c r="E86" s="347"/>
      <c r="F86" s="596"/>
      <c r="G86" s="596"/>
      <c r="H86" s="347"/>
      <c r="I86" s="347"/>
      <c r="J86" s="583" t="str">
        <f t="shared" si="82"/>
        <v/>
      </c>
      <c r="K86" s="638" t="str">
        <f t="shared" si="123"/>
        <v/>
      </c>
      <c r="L86" s="638" t="str">
        <f t="shared" si="148"/>
        <v/>
      </c>
      <c r="M86" s="345" t="str">
        <f t="shared" ref="M86:N86" si="154">IFERROR(INDEX('Consumed Oil by Batch'!H:H, SMALL(IF(('Consumed Oil by Batch'!$A:$A=$D86)*('Consumed Oil by Batch'!$C:$C="bio_oil"), ROW('Consumed Oil by Batch'!A:A)), ROW($A$1)), ""),"")</f>
        <v/>
      </c>
      <c r="N86" s="345" t="str">
        <f t="shared" si="154"/>
        <v/>
      </c>
      <c r="O86" s="579">
        <f t="shared" si="2"/>
        <v>0</v>
      </c>
      <c r="P86" s="579">
        <f t="shared" si="126"/>
        <v>0</v>
      </c>
      <c r="Q86" s="638" t="str">
        <f t="shared" si="87"/>
        <v/>
      </c>
      <c r="R86" s="638" t="str">
        <f t="shared" si="88"/>
        <v/>
      </c>
      <c r="S86" s="345" t="str">
        <f t="shared" si="89"/>
        <v/>
      </c>
      <c r="T86" s="345" t="str">
        <f t="shared" si="90"/>
        <v/>
      </c>
      <c r="U86" s="579">
        <f t="shared" si="48"/>
        <v>0</v>
      </c>
      <c r="V86" s="579">
        <f t="shared" si="49"/>
        <v>0</v>
      </c>
      <c r="W86" s="638" t="str">
        <f t="shared" si="107"/>
        <v/>
      </c>
      <c r="X86" s="638" t="str">
        <f t="shared" si="78"/>
        <v/>
      </c>
      <c r="Y86" s="345" t="str">
        <f t="shared" si="103"/>
        <v/>
      </c>
      <c r="Z86" s="345" t="str">
        <f t="shared" si="109"/>
        <v/>
      </c>
      <c r="AA86" s="579">
        <f t="shared" si="6"/>
        <v>0</v>
      </c>
      <c r="AB86" s="581">
        <f t="shared" si="105"/>
        <v>0</v>
      </c>
      <c r="AC86" s="638" t="str">
        <f t="shared" si="155"/>
        <v/>
      </c>
      <c r="AD86" s="638" t="str">
        <f t="shared" si="156"/>
        <v/>
      </c>
      <c r="AE86" s="345" t="str">
        <f t="shared" si="157"/>
        <v/>
      </c>
      <c r="AF86" s="345" t="str">
        <f t="shared" si="158"/>
        <v/>
      </c>
      <c r="AG86" s="579">
        <f t="shared" si="54"/>
        <v>0</v>
      </c>
      <c r="AH86" s="581">
        <f t="shared" si="146"/>
        <v>0</v>
      </c>
      <c r="AI86" s="633" t="s">
        <v>278</v>
      </c>
      <c r="AJ86" s="582"/>
      <c r="AK86" s="633">
        <v>1.23</v>
      </c>
      <c r="AL86" s="633">
        <v>18.3</v>
      </c>
      <c r="AM86" s="579"/>
      <c r="AN86" s="630">
        <v>5204.35</v>
      </c>
      <c r="AO86" s="347"/>
      <c r="AP86" s="581">
        <f>SUM(AB86,V86,P86,AH86,AN86)</f>
        <v>5204.35</v>
      </c>
      <c r="AQ86" s="596"/>
      <c r="AR86" s="596"/>
      <c r="AS86" s="348" t="str">
        <f t="shared" si="118"/>
        <v/>
      </c>
      <c r="AT86" s="348"/>
      <c r="AU86" s="642" t="str">
        <f t="shared" si="127"/>
        <v>#VALUE!</v>
      </c>
      <c r="AV86" s="643" t="str">
        <f t="shared" si="75"/>
        <v/>
      </c>
      <c r="AW86" s="642" t="str">
        <f t="shared" si="120"/>
        <v/>
      </c>
      <c r="AX86" s="584" t="str">
        <f t="shared" si="112"/>
        <v>#VALUE!</v>
      </c>
      <c r="AY86" s="581">
        <f t="shared" si="12"/>
        <v>0</v>
      </c>
      <c r="AZ86" s="581">
        <f t="shared" si="159"/>
        <v>0</v>
      </c>
      <c r="BA86" s="596"/>
      <c r="BB86" s="596"/>
      <c r="BC86" s="644" t="str">
        <f t="shared" si="98"/>
        <v/>
      </c>
      <c r="BD86" s="581" t="str">
        <f t="shared" si="99"/>
        <v/>
      </c>
      <c r="BE86" s="581">
        <f t="shared" si="37"/>
        <v>0</v>
      </c>
      <c r="BF86" s="644" t="str">
        <f t="shared" si="113"/>
        <v/>
      </c>
      <c r="BG86" s="345">
        <v>82020.0</v>
      </c>
      <c r="BH86" s="345">
        <v>37000.0</v>
      </c>
      <c r="BI86" s="347" t="str">
        <f t="shared" si="100"/>
        <v/>
      </c>
      <c r="BJ86" s="586" t="str">
        <f t="shared" si="101"/>
        <v/>
      </c>
      <c r="BK86" s="581">
        <f t="shared" si="15"/>
        <v>0</v>
      </c>
      <c r="BL86" s="345">
        <v>84280.0</v>
      </c>
      <c r="BM86" s="345">
        <v>38500.0</v>
      </c>
      <c r="BN86" s="347" t="str">
        <f t="shared" si="102"/>
        <v/>
      </c>
      <c r="BO86" s="586" t="str">
        <f t="shared" si="79"/>
        <v/>
      </c>
      <c r="BP86" s="584">
        <f t="shared" si="17"/>
        <v>0</v>
      </c>
      <c r="BQ86" s="347"/>
      <c r="BR86" s="581">
        <f t="shared" si="153"/>
        <v>0</v>
      </c>
      <c r="BS86" s="663">
        <v>36784.19</v>
      </c>
      <c r="BT86" s="581">
        <f t="shared" si="20"/>
        <v>-31579.84</v>
      </c>
      <c r="BU86" s="605">
        <v>0.429</v>
      </c>
      <c r="BV86" s="581">
        <f t="shared" si="44"/>
        <v>57861.53087</v>
      </c>
      <c r="BW86" s="590"/>
      <c r="BX86" s="347"/>
      <c r="BY86" s="347"/>
      <c r="BZ86" s="347"/>
      <c r="CA86" s="586">
        <f t="shared" si="129"/>
        <v>0</v>
      </c>
      <c r="CB86" s="581">
        <f t="shared" ref="CB86:CB300" si="160">if(BC86, BC86, 0.0375*CA86)</f>
        <v>0</v>
      </c>
      <c r="CC86" s="581">
        <f t="shared" si="131"/>
        <v>0</v>
      </c>
      <c r="CD86" s="581">
        <f t="shared" si="132"/>
        <v>0</v>
      </c>
      <c r="CE86" s="581">
        <f t="shared" si="133"/>
        <v>0</v>
      </c>
      <c r="CF86" s="581">
        <f t="shared" si="134"/>
        <v>0</v>
      </c>
      <c r="CG86" s="586" t="str">
        <f t="shared" si="135"/>
        <v>#VALUE!</v>
      </c>
      <c r="CH86" s="608" t="str">
        <f t="shared" si="136"/>
        <v>#VALUE!</v>
      </c>
      <c r="CI86" s="603" t="str">
        <f t="shared" si="137"/>
        <v>#VALUE!</v>
      </c>
      <c r="CJ86" s="347"/>
      <c r="CK86" s="347">
        <f t="shared" si="138"/>
        <v>0</v>
      </c>
      <c r="CL86" s="539">
        <f t="shared" si="139"/>
        <v>36784.19</v>
      </c>
      <c r="CM86" s="347">
        <f t="shared" si="140"/>
        <v>0</v>
      </c>
      <c r="CN86" s="347">
        <f t="shared" si="141"/>
        <v>57861.53087</v>
      </c>
      <c r="CO86" s="347" t="str">
        <f t="shared" si="142"/>
        <v/>
      </c>
      <c r="CP86" s="347"/>
    </row>
    <row r="87">
      <c r="A87" s="574">
        <f t="shared" si="147"/>
        <v>200103</v>
      </c>
      <c r="B87" s="574" t="str">
        <f t="shared" si="1"/>
        <v>Batch 200103</v>
      </c>
      <c r="C87" s="347"/>
      <c r="D87" s="574" t="str">
        <f>CONCATENATE(LEFT(MID(B87,FIND(" ",B87) + 1,10),1),"-",RIGHT(B87,3))</f>
        <v>2-103</v>
      </c>
      <c r="E87" s="347"/>
      <c r="F87" s="596"/>
      <c r="G87" s="596"/>
      <c r="H87" s="347"/>
      <c r="I87" s="347"/>
      <c r="J87" s="583" t="str">
        <f t="shared" si="82"/>
        <v/>
      </c>
      <c r="K87" s="638" t="str">
        <f t="shared" si="123"/>
        <v/>
      </c>
      <c r="L87" s="345" t="str">
        <f t="array" ref="L87">IFERROR(INDEX('Consumed Oil by Batch'!F:F, SMALL(IF('Consumed Oil by Batch'!A:A=D87, ROW('Consumed Oil by Batch'!A:A)), ROW($A$1))), "")</f>
        <v/>
      </c>
      <c r="M87" s="345" t="str">
        <f t="array" ref="M87">IFERROR(INDEX('Consumed Oil by Batch'!H:H, SMALL(IF('Consumed Oil by Batch'!A:A=D87, ROW('Consumed Oil by Batch'!A:A)), ROW($A$1))), "")</f>
        <v/>
      </c>
      <c r="N87" s="345" t="str">
        <f t="array" ref="N87">IFERROR(INDEX('Consumed Oil by Batch'!I:I, SMALL(IF('Consumed Oil by Batch'!A:A=D87, ROW('Consumed Oil by Batch'!A:A)), ROW($A$1))), "")</f>
        <v/>
      </c>
      <c r="O87" s="579">
        <f t="shared" si="2"/>
        <v>0</v>
      </c>
      <c r="P87" s="579">
        <f t="shared" si="126"/>
        <v>0</v>
      </c>
      <c r="Q87" s="638" t="str">
        <f t="shared" si="87"/>
        <v/>
      </c>
      <c r="R87" s="90" t="str">
        <f t="shared" ref="R87:R90" si="162">IFERROR(INDEX('Consumed Oil by Batch'!F:F, SMALL(IF(('Consumed Oil by Batch'!A:A=D87)*('Consumed Oil by Batch'!C:C="bio_oil"), ROW('Consumed Oil by Batch'!A:A)), ROW($A$2))), "")</f>
        <v/>
      </c>
      <c r="S87" s="345" t="str">
        <f t="shared" si="89"/>
        <v/>
      </c>
      <c r="T87" s="345" t="str">
        <f t="shared" si="90"/>
        <v/>
      </c>
      <c r="U87" s="579">
        <f t="shared" si="48"/>
        <v>0</v>
      </c>
      <c r="V87" s="579">
        <f t="shared" si="49"/>
        <v>0</v>
      </c>
      <c r="W87" s="638" t="str">
        <f t="shared" si="107"/>
        <v/>
      </c>
      <c r="X87" s="638" t="str">
        <f t="shared" si="78"/>
        <v/>
      </c>
      <c r="Y87" s="345" t="str">
        <f t="shared" si="103"/>
        <v/>
      </c>
      <c r="Z87" s="347" t="str">
        <f t="shared" ref="Z87:Z91" si="163">IFERROR(INDEX('Consumed Oil by Batch'!I:I, SMALL(IF('Consumed Oil by Batch'!A:A=D87, ROW('Consumed Oil by Batch'!A:A)), ROW($A$3))), "")</f>
        <v/>
      </c>
      <c r="AA87" s="579">
        <f t="shared" si="6"/>
        <v>0</v>
      </c>
      <c r="AB87" s="581">
        <f t="shared" si="105"/>
        <v>0</v>
      </c>
      <c r="AC87" s="638" t="str">
        <f t="shared" si="155"/>
        <v/>
      </c>
      <c r="AD87" s="638" t="str">
        <f t="shared" si="156"/>
        <v/>
      </c>
      <c r="AE87" s="345" t="str">
        <f t="shared" si="157"/>
        <v/>
      </c>
      <c r="AF87" s="345" t="str">
        <f t="shared" si="158"/>
        <v/>
      </c>
      <c r="AG87" s="579">
        <f t="shared" si="54"/>
        <v>0</v>
      </c>
      <c r="AH87" s="581">
        <f t="shared" si="146"/>
        <v>0</v>
      </c>
      <c r="AI87" s="582"/>
      <c r="AJ87" s="582"/>
      <c r="AK87" s="582"/>
      <c r="AL87" s="582"/>
      <c r="AM87" s="579"/>
      <c r="AN87" s="579"/>
      <c r="AO87" s="347"/>
      <c r="AP87" s="581">
        <f t="shared" ref="AP87:AP300" si="164">SUM(AB87,V87,P87, AH87)</f>
        <v>0</v>
      </c>
      <c r="AQ87" s="596"/>
      <c r="AR87" s="596"/>
      <c r="AS87" s="348" t="str">
        <f t="shared" si="118"/>
        <v/>
      </c>
      <c r="AT87" s="348"/>
      <c r="AU87" s="642"/>
      <c r="AV87" s="643" t="str">
        <f t="shared" si="75"/>
        <v/>
      </c>
      <c r="AW87" s="642" t="str">
        <f t="shared" si="120"/>
        <v/>
      </c>
      <c r="AX87" s="584">
        <f t="shared" ref="AX87:AX300" si="165">(AS87-AU87+AV87-AW87)</f>
        <v>0</v>
      </c>
      <c r="AY87" s="581">
        <f t="shared" si="12"/>
        <v>0</v>
      </c>
      <c r="AZ87" s="581">
        <f t="shared" si="159"/>
        <v>0</v>
      </c>
      <c r="BA87" s="596"/>
      <c r="BB87" s="596"/>
      <c r="BC87" s="644" t="str">
        <f t="shared" si="98"/>
        <v/>
      </c>
      <c r="BD87" s="581" t="str">
        <f t="shared" si="99"/>
        <v/>
      </c>
      <c r="BE87" s="581">
        <f t="shared" si="37"/>
        <v>0</v>
      </c>
      <c r="BF87" s="644" t="str">
        <f t="shared" si="113"/>
        <v/>
      </c>
      <c r="BG87" s="347"/>
      <c r="BH87" s="347"/>
      <c r="BI87" s="347" t="str">
        <f t="shared" si="100"/>
        <v/>
      </c>
      <c r="BJ87" s="586" t="str">
        <f t="shared" si="101"/>
        <v/>
      </c>
      <c r="BK87" s="581">
        <f t="shared" si="15"/>
        <v>0</v>
      </c>
      <c r="BL87" s="347"/>
      <c r="BM87" s="347"/>
      <c r="BN87" s="347" t="str">
        <f t="shared" si="102"/>
        <v/>
      </c>
      <c r="BO87" s="586" t="str">
        <f t="shared" si="79"/>
        <v/>
      </c>
      <c r="BP87" s="584">
        <f t="shared" si="17"/>
        <v>0</v>
      </c>
      <c r="BQ87" s="347"/>
      <c r="BR87" s="581">
        <f t="shared" si="153"/>
        <v>0</v>
      </c>
      <c r="BS87" s="588">
        <f>BR87-(BE87+AZ87)</f>
        <v>0</v>
      </c>
      <c r="BT87" s="581">
        <f t="shared" si="20"/>
        <v>0</v>
      </c>
      <c r="BU87" s="589"/>
      <c r="BV87" s="581">
        <f t="shared" si="44"/>
        <v>0</v>
      </c>
      <c r="BW87" s="590"/>
      <c r="BX87" s="347"/>
      <c r="BY87" s="347"/>
      <c r="BZ87" s="347"/>
      <c r="CA87" s="586">
        <f t="shared" si="129"/>
        <v>0</v>
      </c>
      <c r="CB87" s="581">
        <f t="shared" si="160"/>
        <v>0</v>
      </c>
      <c r="CC87" s="581">
        <f t="shared" si="131"/>
        <v>0</v>
      </c>
      <c r="CD87" s="581">
        <f t="shared" si="132"/>
        <v>0</v>
      </c>
      <c r="CE87" s="581">
        <f t="shared" si="133"/>
        <v>0</v>
      </c>
      <c r="CF87" s="581">
        <f t="shared" si="134"/>
        <v>0</v>
      </c>
      <c r="CG87" s="581">
        <f t="shared" si="135"/>
        <v>0</v>
      </c>
      <c r="CH87" s="608" t="str">
        <f t="shared" si="136"/>
        <v>#DIV/0!</v>
      </c>
      <c r="CI87" s="603" t="str">
        <f t="shared" si="137"/>
        <v>#DIV/0!</v>
      </c>
      <c r="CJ87" s="347"/>
      <c r="CK87" s="347">
        <f t="shared" si="138"/>
        <v>0</v>
      </c>
      <c r="CL87" s="539">
        <f t="shared" si="139"/>
        <v>0</v>
      </c>
      <c r="CM87" s="347">
        <f t="shared" si="140"/>
        <v>0</v>
      </c>
      <c r="CN87" s="347">
        <f t="shared" si="141"/>
        <v>0</v>
      </c>
      <c r="CO87" s="347" t="str">
        <f t="shared" si="142"/>
        <v/>
      </c>
      <c r="CP87" s="347"/>
    </row>
    <row r="88">
      <c r="A88" s="574">
        <f t="shared" si="147"/>
        <v>300036</v>
      </c>
      <c r="B88" s="574" t="str">
        <f t="shared" si="1"/>
        <v>Batch 300036</v>
      </c>
      <c r="C88" s="347"/>
      <c r="D88" s="574" t="str">
        <f>CONCATENATE(MID(B88,FIND(" ",B88) + 1,FIND(" ",B88) + 1 - (FIND(" ",B88))),"-",RIGHT(B88,LEN(B88) - 10))</f>
        <v>3-36</v>
      </c>
      <c r="E88" s="347"/>
      <c r="F88" s="596"/>
      <c r="G88" s="596"/>
      <c r="H88" s="347"/>
      <c r="I88" s="347"/>
      <c r="J88" s="583" t="str">
        <f t="shared" si="82"/>
        <v/>
      </c>
      <c r="K88" s="638" t="str">
        <f t="shared" si="123"/>
        <v/>
      </c>
      <c r="L88" s="638" t="str">
        <f t="array" ref="L88">IFERROR(INDEX('Consumed Oil by Batch'!F:F, SMALL(IF(('Consumed Oil by Batch'!A:A=D88)*('Consumed Oil by Batch'!C:C="bio_oil"), ROW('Consumed Oil by Batch'!A:A)), ROW($A$1))), "")</f>
        <v/>
      </c>
      <c r="M88" s="345" t="str">
        <f t="shared" ref="M88:N88" si="161">IFERROR(INDEX('Consumed Oil by Batch'!H:H, SMALL(IF(('Consumed Oil by Batch'!$A:$A=$D88)*('Consumed Oil by Batch'!$C:$C="bio_oil"), ROW('Consumed Oil by Batch'!A:A)), ROW($A$1)), ""),"")</f>
        <v/>
      </c>
      <c r="N88" s="345" t="str">
        <f t="shared" si="161"/>
        <v/>
      </c>
      <c r="O88" s="579">
        <f t="shared" si="2"/>
        <v>0</v>
      </c>
      <c r="P88" s="579">
        <f t="shared" si="126"/>
        <v>0</v>
      </c>
      <c r="Q88" s="638" t="str">
        <f t="shared" si="87"/>
        <v/>
      </c>
      <c r="R88" s="90" t="str">
        <f t="shared" si="162"/>
        <v/>
      </c>
      <c r="S88" s="345" t="str">
        <f t="shared" si="89"/>
        <v/>
      </c>
      <c r="T88" s="345" t="str">
        <f t="shared" si="90"/>
        <v/>
      </c>
      <c r="U88" s="579">
        <f t="shared" si="48"/>
        <v>0</v>
      </c>
      <c r="V88" s="579">
        <f t="shared" si="49"/>
        <v>0</v>
      </c>
      <c r="W88" s="638" t="str">
        <f t="shared" si="107"/>
        <v/>
      </c>
      <c r="X88" s="638" t="str">
        <f t="shared" si="78"/>
        <v/>
      </c>
      <c r="Y88" s="345" t="str">
        <f t="shared" si="103"/>
        <v/>
      </c>
      <c r="Z88" s="347" t="str">
        <f t="shared" si="163"/>
        <v/>
      </c>
      <c r="AA88" s="579">
        <f t="shared" si="6"/>
        <v>0</v>
      </c>
      <c r="AB88" s="581">
        <f t="shared" si="105"/>
        <v>0</v>
      </c>
      <c r="AC88" s="638" t="str">
        <f t="shared" si="155"/>
        <v/>
      </c>
      <c r="AD88" s="638" t="str">
        <f t="shared" si="156"/>
        <v/>
      </c>
      <c r="AE88" s="345" t="str">
        <f t="shared" si="157"/>
        <v/>
      </c>
      <c r="AF88" s="347"/>
      <c r="AG88" s="579">
        <f t="shared" si="54"/>
        <v>0</v>
      </c>
      <c r="AH88" s="581">
        <f t="shared" si="146"/>
        <v>0</v>
      </c>
      <c r="AI88" s="633" t="s">
        <v>278</v>
      </c>
      <c r="AJ88" s="582"/>
      <c r="AK88" s="633">
        <v>1.22</v>
      </c>
      <c r="AL88" s="633">
        <v>15.62</v>
      </c>
      <c r="AM88" s="579"/>
      <c r="AN88" s="630">
        <v>2064.14</v>
      </c>
      <c r="AO88" s="345" t="s">
        <v>1810</v>
      </c>
      <c r="AP88" s="581">
        <f t="shared" si="164"/>
        <v>0</v>
      </c>
      <c r="AQ88" s="596"/>
      <c r="AR88" s="596"/>
      <c r="AS88" s="348" t="str">
        <f t="shared" si="118"/>
        <v/>
      </c>
      <c r="AT88" s="348"/>
      <c r="AU88" s="642" t="str">
        <f t="array" ref="AU88">MAX(0, IFERROR(INDEX('Master Batch Data'!$AD:$AD, MATCH(D88, 'Master Batch Data'!$A:$A, 0)), ""))</f>
        <v>#VALUE!</v>
      </c>
      <c r="AV88" s="643" t="str">
        <f t="shared" si="75"/>
        <v/>
      </c>
      <c r="AW88" s="642" t="str">
        <f t="shared" si="120"/>
        <v/>
      </c>
      <c r="AX88" s="584" t="str">
        <f t="shared" si="165"/>
        <v>#VALUE!</v>
      </c>
      <c r="AY88" s="581">
        <f t="shared" si="12"/>
        <v>0</v>
      </c>
      <c r="AZ88" s="581">
        <f t="shared" si="159"/>
        <v>0</v>
      </c>
      <c r="BA88" s="596"/>
      <c r="BB88" s="596"/>
      <c r="BC88" s="644" t="str">
        <f t="shared" si="98"/>
        <v/>
      </c>
      <c r="BD88" s="581" t="str">
        <f t="shared" si="99"/>
        <v/>
      </c>
      <c r="BE88" s="581">
        <f t="shared" si="37"/>
        <v>0</v>
      </c>
      <c r="BF88" s="644" t="str">
        <f t="shared" si="113"/>
        <v/>
      </c>
      <c r="BG88" s="345">
        <v>79640.0</v>
      </c>
      <c r="BH88" s="345">
        <v>37100.0</v>
      </c>
      <c r="BI88" s="347" t="str">
        <f t="shared" si="100"/>
        <v/>
      </c>
      <c r="BJ88" s="586" t="str">
        <f t="shared" si="101"/>
        <v/>
      </c>
      <c r="BK88" s="581">
        <f t="shared" si="15"/>
        <v>0</v>
      </c>
      <c r="BL88" s="345">
        <v>82140.0</v>
      </c>
      <c r="BM88" s="345">
        <v>37240.0</v>
      </c>
      <c r="BN88" s="347" t="str">
        <f t="shared" si="102"/>
        <v/>
      </c>
      <c r="BO88" s="586" t="str">
        <f t="shared" si="79"/>
        <v/>
      </c>
      <c r="BP88" s="584">
        <f t="shared" si="17"/>
        <v>0</v>
      </c>
      <c r="BQ88" s="347"/>
      <c r="BR88" s="581">
        <f t="shared" si="153"/>
        <v>0</v>
      </c>
      <c r="BS88" s="663">
        <v>35175.5</v>
      </c>
      <c r="BT88" s="581">
        <f t="shared" si="20"/>
        <v>-35175.5</v>
      </c>
      <c r="BU88" s="605">
        <v>0.429</v>
      </c>
      <c r="BV88" s="581">
        <f t="shared" si="44"/>
        <v>55331.0615</v>
      </c>
      <c r="BW88" s="590"/>
      <c r="BX88" s="347"/>
      <c r="BY88" s="347"/>
      <c r="BZ88" s="347"/>
      <c r="CA88" s="586">
        <f t="shared" si="129"/>
        <v>0</v>
      </c>
      <c r="CB88" s="581">
        <f t="shared" si="160"/>
        <v>0</v>
      </c>
      <c r="CC88" s="581">
        <f t="shared" si="131"/>
        <v>0</v>
      </c>
      <c r="CD88" s="581">
        <f t="shared" si="132"/>
        <v>0</v>
      </c>
      <c r="CE88" s="581">
        <f t="shared" si="133"/>
        <v>0</v>
      </c>
      <c r="CF88" s="581">
        <f t="shared" si="134"/>
        <v>0</v>
      </c>
      <c r="CG88" s="586" t="str">
        <f t="shared" si="135"/>
        <v>#VALUE!</v>
      </c>
      <c r="CH88" s="608" t="str">
        <f t="shared" si="136"/>
        <v>#VALUE!</v>
      </c>
      <c r="CI88" s="603" t="str">
        <f t="shared" si="137"/>
        <v>#VALUE!</v>
      </c>
      <c r="CJ88" s="347"/>
      <c r="CK88" s="347">
        <f t="shared" si="138"/>
        <v>0</v>
      </c>
      <c r="CL88" s="539">
        <f t="shared" si="139"/>
        <v>35175.5</v>
      </c>
      <c r="CM88" s="347">
        <f t="shared" si="140"/>
        <v>0</v>
      </c>
      <c r="CN88" s="347">
        <f t="shared" si="141"/>
        <v>55331.0615</v>
      </c>
      <c r="CO88" s="347" t="str">
        <f t="shared" si="142"/>
        <v/>
      </c>
      <c r="CP88" s="347"/>
    </row>
    <row r="89">
      <c r="A89" s="574">
        <f t="shared" si="147"/>
        <v>200104</v>
      </c>
      <c r="B89" s="574" t="str">
        <f t="shared" si="1"/>
        <v>Batch 200104</v>
      </c>
      <c r="C89" s="347"/>
      <c r="D89" s="574" t="str">
        <f>CONCATENATE(LEFT(MID(B89,FIND(" ",B89) + 1,10),1),"-",RIGHT(B89,3))</f>
        <v>2-104</v>
      </c>
      <c r="E89" s="347"/>
      <c r="F89" s="596"/>
      <c r="G89" s="596"/>
      <c r="H89" s="347"/>
      <c r="I89" s="347"/>
      <c r="J89" s="583" t="str">
        <f t="shared" si="82"/>
        <v/>
      </c>
      <c r="K89" s="345" t="str">
        <f t="array" ref="K89">IFERROR(INDEX('Consumed Oil by Batch'!D:D, SMALL(IF('Consumed Oil by Batch'!A:A=D89, ROW('Consumed Oil by Batch'!A:A)), ROW($A$1))), "")</f>
        <v/>
      </c>
      <c r="L89" s="345" t="str">
        <f t="array" ref="L89">IFERROR(INDEX('Consumed Oil by Batch'!F:F, SMALL(IF('Consumed Oil by Batch'!A:A=D89, ROW('Consumed Oil by Batch'!A:A)), ROW($A$1))), "")</f>
        <v/>
      </c>
      <c r="M89" s="345" t="str">
        <f t="array" ref="M89">IFERROR(INDEX('Consumed Oil by Batch'!H:H, SMALL(IF('Consumed Oil by Batch'!A:A=D89, ROW('Consumed Oil by Batch'!A:A)), ROW($A$1))), "")</f>
        <v/>
      </c>
      <c r="N89" s="345" t="str">
        <f t="array" ref="N89">IFERROR(INDEX('Consumed Oil by Batch'!I:I, SMALL(IF('Consumed Oil by Batch'!A:A=D89, ROW('Consumed Oil by Batch'!A:A)), ROW($A$1))), "")</f>
        <v/>
      </c>
      <c r="O89" s="579">
        <f t="shared" si="2"/>
        <v>0</v>
      </c>
      <c r="P89" s="579">
        <f t="shared" si="126"/>
        <v>0</v>
      </c>
      <c r="Q89" s="638" t="str">
        <f t="shared" si="87"/>
        <v/>
      </c>
      <c r="R89" s="90" t="str">
        <f t="shared" si="162"/>
        <v/>
      </c>
      <c r="S89" s="345" t="str">
        <f t="shared" si="89"/>
        <v/>
      </c>
      <c r="T89" s="345" t="str">
        <f t="shared" si="90"/>
        <v/>
      </c>
      <c r="U89" s="579">
        <f t="shared" si="48"/>
        <v>0</v>
      </c>
      <c r="V89" s="579">
        <f t="shared" si="49"/>
        <v>0</v>
      </c>
      <c r="W89" s="638" t="str">
        <f t="shared" si="107"/>
        <v/>
      </c>
      <c r="X89" s="638" t="str">
        <f t="shared" si="78"/>
        <v/>
      </c>
      <c r="Y89" s="345" t="str">
        <f t="shared" si="103"/>
        <v/>
      </c>
      <c r="Z89" s="347" t="str">
        <f t="shared" si="163"/>
        <v/>
      </c>
      <c r="AA89" s="579">
        <f t="shared" si="6"/>
        <v>0</v>
      </c>
      <c r="AB89" s="581">
        <f t="shared" si="105"/>
        <v>0</v>
      </c>
      <c r="AC89" s="638" t="str">
        <f t="shared" si="155"/>
        <v/>
      </c>
      <c r="AD89" s="638" t="str">
        <f t="shared" si="156"/>
        <v/>
      </c>
      <c r="AE89" s="345" t="str">
        <f t="shared" si="157"/>
        <v/>
      </c>
      <c r="AF89" s="347" t="str">
        <f t="shared" ref="AF89:AF91" si="167">IFERROR(INDEX('Consumed Oil by Batch'!I:I, SMALL(IF('Consumed Oil by Batch'!A:A=D89, ROW('Consumed Oil by Batch'!A:A)), ROW($A$4))), "")</f>
        <v/>
      </c>
      <c r="AG89" s="579">
        <f t="shared" si="54"/>
        <v>0</v>
      </c>
      <c r="AH89" s="579" t="str">
        <f>IFERROR(SUMIFS(#REF!, 'Consumed Oil by Batch'!A:A, D89, 'Consumed Oil by Batch'!E:E, "&lt;&gt;"), "")</f>
        <v/>
      </c>
      <c r="AI89" s="582"/>
      <c r="AJ89" s="582"/>
      <c r="AK89" s="582"/>
      <c r="AL89" s="582"/>
      <c r="AM89" s="579"/>
      <c r="AN89" s="579"/>
      <c r="AO89" s="347"/>
      <c r="AP89" s="581">
        <f t="shared" si="164"/>
        <v>0</v>
      </c>
      <c r="AQ89" s="596"/>
      <c r="AR89" s="596"/>
      <c r="AS89" s="348" t="str">
        <f t="shared" si="118"/>
        <v/>
      </c>
      <c r="AT89" s="348"/>
      <c r="AU89" s="642"/>
      <c r="AV89" s="643" t="str">
        <f t="shared" si="75"/>
        <v/>
      </c>
      <c r="AW89" s="642" t="str">
        <f t="shared" si="120"/>
        <v/>
      </c>
      <c r="AX89" s="584">
        <f t="shared" si="165"/>
        <v>0</v>
      </c>
      <c r="AY89" s="581">
        <f t="shared" si="12"/>
        <v>0</v>
      </c>
      <c r="AZ89" s="581">
        <f t="shared" si="159"/>
        <v>0</v>
      </c>
      <c r="BA89" s="596"/>
      <c r="BB89" s="596"/>
      <c r="BC89" s="644" t="str">
        <f t="shared" si="98"/>
        <v/>
      </c>
      <c r="BD89" s="581" t="str">
        <f t="shared" si="99"/>
        <v/>
      </c>
      <c r="BE89" s="581">
        <f t="shared" si="37"/>
        <v>0</v>
      </c>
      <c r="BF89" s="644" t="str">
        <f t="shared" si="113"/>
        <v/>
      </c>
      <c r="BG89" s="347"/>
      <c r="BH89" s="347"/>
      <c r="BI89" s="347" t="str">
        <f t="shared" si="100"/>
        <v/>
      </c>
      <c r="BJ89" s="586" t="str">
        <f t="shared" si="101"/>
        <v/>
      </c>
      <c r="BK89" s="581">
        <f t="shared" si="15"/>
        <v>0</v>
      </c>
      <c r="BL89" s="347"/>
      <c r="BM89" s="347"/>
      <c r="BN89" s="347" t="str">
        <f t="shared" si="102"/>
        <v/>
      </c>
      <c r="BO89" s="586" t="str">
        <f t="shared" si="79"/>
        <v/>
      </c>
      <c r="BP89" s="584">
        <f t="shared" si="17"/>
        <v>0</v>
      </c>
      <c r="BQ89" s="347"/>
      <c r="BR89" s="581">
        <f t="shared" si="153"/>
        <v>0</v>
      </c>
      <c r="BS89" s="588">
        <f>BR89-(BE89+AZ89)</f>
        <v>0</v>
      </c>
      <c r="BT89" s="581">
        <f t="shared" si="20"/>
        <v>0</v>
      </c>
      <c r="BU89" s="589"/>
      <c r="BV89" s="581">
        <f t="shared" si="44"/>
        <v>0</v>
      </c>
      <c r="BW89" s="590"/>
      <c r="BX89" s="347"/>
      <c r="BY89" s="347"/>
      <c r="BZ89" s="347"/>
      <c r="CA89" s="586">
        <f t="shared" si="129"/>
        <v>0</v>
      </c>
      <c r="CB89" s="581">
        <f t="shared" si="160"/>
        <v>0</v>
      </c>
      <c r="CC89" s="581">
        <f t="shared" si="131"/>
        <v>0</v>
      </c>
      <c r="CD89" s="581">
        <f t="shared" si="132"/>
        <v>0</v>
      </c>
      <c r="CE89" s="581">
        <f t="shared" si="133"/>
        <v>0</v>
      </c>
      <c r="CF89" s="581">
        <f t="shared" si="134"/>
        <v>0</v>
      </c>
      <c r="CG89" s="581">
        <f t="shared" si="135"/>
        <v>0</v>
      </c>
      <c r="CH89" s="608" t="str">
        <f t="shared" si="136"/>
        <v>#DIV/0!</v>
      </c>
      <c r="CI89" s="603" t="str">
        <f t="shared" si="137"/>
        <v>#DIV/0!</v>
      </c>
      <c r="CJ89" s="347"/>
      <c r="CK89" s="347">
        <f t="shared" si="138"/>
        <v>0</v>
      </c>
      <c r="CL89" s="539">
        <f t="shared" si="139"/>
        <v>0</v>
      </c>
      <c r="CM89" s="347">
        <f t="shared" si="140"/>
        <v>0</v>
      </c>
      <c r="CN89" s="347">
        <f t="shared" si="141"/>
        <v>0</v>
      </c>
      <c r="CO89" s="347" t="str">
        <f t="shared" si="142"/>
        <v/>
      </c>
      <c r="CP89" s="347"/>
    </row>
    <row r="90" ht="15.0" customHeight="1">
      <c r="A90" s="574">
        <f t="shared" si="147"/>
        <v>300037</v>
      </c>
      <c r="B90" s="574" t="str">
        <f t="shared" si="1"/>
        <v>Batch 300037</v>
      </c>
      <c r="C90" s="347"/>
      <c r="D90" s="574" t="str">
        <f>CONCATENATE(MID(B90,FIND(" ",B90) + 1,FIND(" ",B90) + 1 - (FIND(" ",B90))),"-",RIGHT(B90,LEN(B90) - 10))</f>
        <v>3-37</v>
      </c>
      <c r="E90" s="347"/>
      <c r="F90" s="596"/>
      <c r="G90" s="596"/>
      <c r="H90" s="347"/>
      <c r="I90" s="347"/>
      <c r="J90" s="583" t="str">
        <f t="shared" si="82"/>
        <v/>
      </c>
      <c r="K90" s="638" t="str">
        <f t="array" ref="K90">IFERROR(INDEX('Consumed Oil by Batch'!$D:$D, SMALL(IF(('Consumed Oil by Batch'!$A:$A=$D90)*('Consumed Oil by Batch'!$C:$C="bio_oil"), ROW('Consumed Oil by Batch'!$A:$A)), ROW($A$1))), "")</f>
        <v/>
      </c>
      <c r="L90" s="638" t="str">
        <f t="array" ref="L90">IFERROR(INDEX('Consumed Oil by Batch'!F:F, SMALL(IF(('Consumed Oil by Batch'!A:A=D90)*('Consumed Oil by Batch'!C:C="bio_oil"), ROW('Consumed Oil by Batch'!A:A)), ROW($A$1))), "")</f>
        <v/>
      </c>
      <c r="M90" s="345" t="str">
        <f t="shared" ref="M90:N90" si="166">IFERROR(INDEX('Consumed Oil by Batch'!H:H, SMALL(IF(('Consumed Oil by Batch'!$A:$A=$D90)*('Consumed Oil by Batch'!$C:$C="bio_oil"), ROW('Consumed Oil by Batch'!A:A)), ROW($A$1)), ""),"")</f>
        <v/>
      </c>
      <c r="N90" s="345" t="str">
        <f t="shared" si="166"/>
        <v/>
      </c>
      <c r="O90" s="579">
        <f t="shared" si="2"/>
        <v>0</v>
      </c>
      <c r="P90" s="579">
        <f t="shared" si="126"/>
        <v>0</v>
      </c>
      <c r="Q90" s="638" t="str">
        <f t="shared" si="87"/>
        <v/>
      </c>
      <c r="R90" s="90" t="str">
        <f t="shared" si="162"/>
        <v/>
      </c>
      <c r="S90" s="345" t="str">
        <f t="shared" si="89"/>
        <v/>
      </c>
      <c r="T90" s="345" t="str">
        <f t="shared" si="90"/>
        <v/>
      </c>
      <c r="U90" s="579">
        <f t="shared" si="48"/>
        <v>0</v>
      </c>
      <c r="V90" s="579">
        <f t="shared" si="49"/>
        <v>0</v>
      </c>
      <c r="W90" s="638" t="str">
        <f t="shared" si="107"/>
        <v/>
      </c>
      <c r="X90" s="638" t="str">
        <f t="shared" si="78"/>
        <v/>
      </c>
      <c r="Y90" s="345" t="str">
        <f t="shared" si="103"/>
        <v/>
      </c>
      <c r="Z90" s="347" t="str">
        <f t="shared" si="163"/>
        <v/>
      </c>
      <c r="AA90" s="579">
        <f t="shared" si="6"/>
        <v>0</v>
      </c>
      <c r="AB90" s="581">
        <f t="shared" si="105"/>
        <v>0</v>
      </c>
      <c r="AC90" s="1" t="s">
        <v>278</v>
      </c>
      <c r="AD90" s="638" t="str">
        <f t="shared" si="156"/>
        <v/>
      </c>
      <c r="AE90" s="345" t="str">
        <f t="shared" si="157"/>
        <v/>
      </c>
      <c r="AF90" s="347" t="str">
        <f t="shared" si="167"/>
        <v/>
      </c>
      <c r="AG90" s="579">
        <f t="shared" si="54"/>
        <v>0</v>
      </c>
      <c r="AH90" s="630">
        <v>1021.07</v>
      </c>
      <c r="AI90" s="582"/>
      <c r="AJ90" s="582"/>
      <c r="AK90" s="582"/>
      <c r="AL90" s="582"/>
      <c r="AM90" s="579"/>
      <c r="AN90" s="579"/>
      <c r="AO90" s="347"/>
      <c r="AP90" s="581">
        <f t="shared" si="164"/>
        <v>1021.07</v>
      </c>
      <c r="AQ90" s="596"/>
      <c r="AR90" s="596"/>
      <c r="AS90" s="348" t="str">
        <f t="shared" si="118"/>
        <v/>
      </c>
      <c r="AT90" s="348"/>
      <c r="AU90" s="642" t="str">
        <f t="array" ref="AU90">MAX(0, IFERROR(INDEX('Master Batch Data'!$AD:$AD, MATCH(D90, 'Master Batch Data'!$A:$A, 0)), ""))</f>
        <v>#VALUE!</v>
      </c>
      <c r="AV90" s="643" t="str">
        <f t="shared" si="75"/>
        <v/>
      </c>
      <c r="AW90" s="642" t="str">
        <f t="shared" si="120"/>
        <v/>
      </c>
      <c r="AX90" s="584" t="str">
        <f t="shared" si="165"/>
        <v>#VALUE!</v>
      </c>
      <c r="AY90" s="581">
        <f t="shared" si="12"/>
        <v>0</v>
      </c>
      <c r="AZ90" s="581">
        <f t="shared" si="159"/>
        <v>0</v>
      </c>
      <c r="BA90" s="596"/>
      <c r="BB90" s="596"/>
      <c r="BC90" s="644" t="str">
        <f t="shared" si="98"/>
        <v/>
      </c>
      <c r="BD90" s="581" t="str">
        <f t="shared" si="99"/>
        <v/>
      </c>
      <c r="BE90" s="581">
        <f t="shared" si="37"/>
        <v>0</v>
      </c>
      <c r="BF90" s="644" t="str">
        <f t="shared" si="113"/>
        <v/>
      </c>
      <c r="BG90" s="345">
        <v>75380.0</v>
      </c>
      <c r="BH90" s="345">
        <v>38100.0</v>
      </c>
      <c r="BI90" s="347" t="str">
        <f t="shared" si="100"/>
        <v/>
      </c>
      <c r="BJ90" s="586" t="str">
        <f t="shared" si="101"/>
        <v/>
      </c>
      <c r="BK90" s="581">
        <f t="shared" si="15"/>
        <v>0</v>
      </c>
      <c r="BL90" s="345">
        <v>84360.0</v>
      </c>
      <c r="BM90" s="345">
        <v>38440.0</v>
      </c>
      <c r="BN90" s="347" t="str">
        <f t="shared" si="102"/>
        <v/>
      </c>
      <c r="BO90" s="586" t="str">
        <f t="shared" si="79"/>
        <v/>
      </c>
      <c r="BP90" s="584">
        <f t="shared" si="17"/>
        <v>0</v>
      </c>
      <c r="BQ90" s="347"/>
      <c r="BR90" s="581">
        <f t="shared" si="153"/>
        <v>0</v>
      </c>
      <c r="BS90" s="663">
        <v>32970.42</v>
      </c>
      <c r="BT90" s="581">
        <f t="shared" si="20"/>
        <v>-31949.35</v>
      </c>
      <c r="BU90" s="605">
        <v>0.428</v>
      </c>
      <c r="BV90" s="581">
        <f t="shared" si="44"/>
        <v>51741.57912</v>
      </c>
      <c r="BW90" s="590"/>
      <c r="BX90" s="347"/>
      <c r="BY90" s="347"/>
      <c r="BZ90" s="347"/>
      <c r="CA90" s="586">
        <f t="shared" si="129"/>
        <v>0</v>
      </c>
      <c r="CB90" s="581">
        <f t="shared" si="160"/>
        <v>0</v>
      </c>
      <c r="CC90" s="581">
        <f t="shared" si="131"/>
        <v>0</v>
      </c>
      <c r="CD90" s="581">
        <f t="shared" si="132"/>
        <v>0</v>
      </c>
      <c r="CE90" s="581">
        <f t="shared" si="133"/>
        <v>0</v>
      </c>
      <c r="CF90" s="581">
        <f t="shared" si="134"/>
        <v>0</v>
      </c>
      <c r="CG90" s="586" t="str">
        <f t="shared" si="135"/>
        <v>#VALUE!</v>
      </c>
      <c r="CH90" s="608" t="str">
        <f t="shared" si="136"/>
        <v>#VALUE!</v>
      </c>
      <c r="CI90" s="603" t="str">
        <f t="shared" si="137"/>
        <v>#VALUE!</v>
      </c>
      <c r="CJ90" s="347"/>
      <c r="CK90" s="582">
        <f t="shared" si="138"/>
        <v>1021.07</v>
      </c>
      <c r="CL90" s="539">
        <f t="shared" si="139"/>
        <v>31949.35</v>
      </c>
      <c r="CM90" s="347">
        <f t="shared" si="140"/>
        <v>1602.399187</v>
      </c>
      <c r="CN90" s="347">
        <f t="shared" si="141"/>
        <v>50139.17993</v>
      </c>
      <c r="CO90" s="347" t="str">
        <f t="shared" si="142"/>
        <v/>
      </c>
      <c r="CP90" s="347"/>
    </row>
    <row r="91">
      <c r="A91" s="574">
        <f t="shared" si="147"/>
        <v>200105</v>
      </c>
      <c r="B91" s="574" t="str">
        <f t="shared" si="1"/>
        <v>Batch 200105</v>
      </c>
      <c r="C91" s="347"/>
      <c r="D91" s="574" t="str">
        <f>CONCATENATE(LEFT(MID(B91,FIND(" ",B91) + 1,10),1),"-",RIGHT(B91,3))</f>
        <v>2-105</v>
      </c>
      <c r="E91" s="347"/>
      <c r="F91" s="596"/>
      <c r="G91" s="596"/>
      <c r="H91" s="347"/>
      <c r="I91" s="347"/>
      <c r="J91" s="583" t="str">
        <f t="shared" si="82"/>
        <v/>
      </c>
      <c r="K91" s="345" t="str">
        <f t="array" ref="K91">IFERROR(INDEX('Consumed Oil by Batch'!D:D, SMALL(IF('Consumed Oil by Batch'!A:A=D91, ROW('Consumed Oil by Batch'!A:A)), ROW($A$1))), "")</f>
        <v/>
      </c>
      <c r="L91" s="345" t="str">
        <f t="array" ref="L91">IFERROR(INDEX('Consumed Oil by Batch'!F:F, SMALL(IF('Consumed Oil by Batch'!A:A=D91, ROW('Consumed Oil by Batch'!A:A)), ROW($A$1))), "")</f>
        <v/>
      </c>
      <c r="M91" s="345" t="str">
        <f t="array" ref="M91">IFERROR(INDEX('Consumed Oil by Batch'!H:H, SMALL(IF('Consumed Oil by Batch'!A:A=D91, ROW('Consumed Oil by Batch'!A:A)), ROW($A$1))), "")</f>
        <v/>
      </c>
      <c r="N91" s="345" t="str">
        <f t="array" ref="N91">IFERROR(INDEX('Consumed Oil by Batch'!I:I, SMALL(IF('Consumed Oil by Batch'!A:A=D91, ROW('Consumed Oil by Batch'!A:A)), ROW($A$1))), "")</f>
        <v/>
      </c>
      <c r="O91" s="579">
        <f t="shared" si="2"/>
        <v>0</v>
      </c>
      <c r="P91" s="579">
        <f t="shared" si="126"/>
        <v>0</v>
      </c>
      <c r="Q91" s="638" t="str">
        <f t="shared" si="87"/>
        <v/>
      </c>
      <c r="R91" s="347" t="str">
        <f t="array" ref="R91">IFERROR(INDEX('Consumed Oil by Batch'!F:F, SMALL(IF('Consumed Oil by Batch'!A:A=D91, ROW('Consumed Oil by Batch'!A:A)), ROW($A$2))), "")</f>
        <v/>
      </c>
      <c r="S91" s="345" t="str">
        <f t="shared" si="89"/>
        <v/>
      </c>
      <c r="T91" s="345" t="str">
        <f t="shared" si="90"/>
        <v/>
      </c>
      <c r="U91" s="579">
        <f t="shared" si="48"/>
        <v>0</v>
      </c>
      <c r="V91" s="579">
        <f t="shared" si="49"/>
        <v>0</v>
      </c>
      <c r="W91" s="638" t="str">
        <f t="shared" si="107"/>
        <v/>
      </c>
      <c r="X91" s="638" t="str">
        <f t="shared" si="78"/>
        <v/>
      </c>
      <c r="Y91" s="345" t="str">
        <f t="shared" si="103"/>
        <v/>
      </c>
      <c r="Z91" s="347" t="str">
        <f t="shared" si="163"/>
        <v/>
      </c>
      <c r="AA91" s="579">
        <f t="shared" si="6"/>
        <v>0</v>
      </c>
      <c r="AB91" s="581">
        <f t="shared" si="105"/>
        <v>0</v>
      </c>
      <c r="AC91" s="638" t="str">
        <f t="array" ref="AC91">IFERROR(INDEX('Consumed Oil by Batch'!$D:$D, SMALL(IF(('Consumed Oil by Batch'!$A:$A=$D91)*('Consumed Oil by Batch'!$C:$C="bio_oil"), ROW('Consumed Oil by Batch'!$A:$A)), ROW($A$4))), "")</f>
        <v/>
      </c>
      <c r="AD91" s="638" t="str">
        <f t="shared" si="156"/>
        <v/>
      </c>
      <c r="AE91" s="345" t="str">
        <f t="shared" si="157"/>
        <v/>
      </c>
      <c r="AF91" s="347" t="str">
        <f t="shared" si="167"/>
        <v/>
      </c>
      <c r="AG91" s="579">
        <f t="shared" si="54"/>
        <v>0</v>
      </c>
      <c r="AH91" s="579" t="str">
        <f>IFERROR(SUMIFS(#REF!, 'Consumed Oil by Batch'!A:A, D91, 'Consumed Oil by Batch'!E:E, "&lt;&gt;"), "")</f>
        <v/>
      </c>
      <c r="AI91" s="582"/>
      <c r="AJ91" s="582"/>
      <c r="AK91" s="582"/>
      <c r="AL91" s="582"/>
      <c r="AM91" s="579"/>
      <c r="AN91" s="579"/>
      <c r="AO91" s="347"/>
      <c r="AP91" s="581">
        <f t="shared" si="164"/>
        <v>0</v>
      </c>
      <c r="AQ91" s="596"/>
      <c r="AR91" s="596"/>
      <c r="AS91" s="348" t="str">
        <f t="shared" si="118"/>
        <v/>
      </c>
      <c r="AT91" s="348"/>
      <c r="AU91" s="642"/>
      <c r="AV91" s="643" t="str">
        <f t="shared" si="75"/>
        <v/>
      </c>
      <c r="AW91" s="642" t="str">
        <f t="shared" si="120"/>
        <v/>
      </c>
      <c r="AX91" s="584">
        <f t="shared" si="165"/>
        <v>0</v>
      </c>
      <c r="AY91" s="581">
        <f t="shared" si="12"/>
        <v>0</v>
      </c>
      <c r="AZ91" s="581">
        <f t="shared" si="159"/>
        <v>0</v>
      </c>
      <c r="BA91" s="596"/>
      <c r="BB91" s="596"/>
      <c r="BC91" s="644" t="str">
        <f t="shared" si="98"/>
        <v/>
      </c>
      <c r="BD91" s="581" t="str">
        <f t="shared" si="99"/>
        <v/>
      </c>
      <c r="BE91" s="581">
        <f t="shared" si="37"/>
        <v>0</v>
      </c>
      <c r="BF91" s="644" t="str">
        <f t="shared" si="113"/>
        <v/>
      </c>
      <c r="BG91" s="347"/>
      <c r="BH91" s="347"/>
      <c r="BI91" s="347" t="str">
        <f t="shared" si="100"/>
        <v/>
      </c>
      <c r="BJ91" s="586" t="str">
        <f t="shared" si="101"/>
        <v/>
      </c>
      <c r="BK91" s="581">
        <f t="shared" si="15"/>
        <v>0</v>
      </c>
      <c r="BL91" s="347"/>
      <c r="BM91" s="347"/>
      <c r="BN91" s="347" t="str">
        <f t="shared" si="102"/>
        <v/>
      </c>
      <c r="BO91" s="586" t="str">
        <f t="shared" si="79"/>
        <v/>
      </c>
      <c r="BP91" s="584">
        <f t="shared" si="17"/>
        <v>0</v>
      </c>
      <c r="BQ91" s="347"/>
      <c r="BR91" s="581">
        <f t="shared" si="153"/>
        <v>0</v>
      </c>
      <c r="BS91" s="588">
        <f>BR91-(BE91+AZ91)</f>
        <v>0</v>
      </c>
      <c r="BT91" s="581">
        <f t="shared" si="20"/>
        <v>0</v>
      </c>
      <c r="BU91" s="589"/>
      <c r="BV91" s="581">
        <f t="shared" si="44"/>
        <v>0</v>
      </c>
      <c r="BW91" s="590"/>
      <c r="BX91" s="347"/>
      <c r="BY91" s="347"/>
      <c r="BZ91" s="347"/>
      <c r="CA91" s="586">
        <f t="shared" si="129"/>
        <v>0</v>
      </c>
      <c r="CB91" s="581">
        <f t="shared" si="160"/>
        <v>0</v>
      </c>
      <c r="CC91" s="581">
        <f t="shared" si="131"/>
        <v>0</v>
      </c>
      <c r="CD91" s="581">
        <f t="shared" si="132"/>
        <v>0</v>
      </c>
      <c r="CE91" s="581">
        <f t="shared" si="133"/>
        <v>0</v>
      </c>
      <c r="CF91" s="581">
        <f t="shared" si="134"/>
        <v>0</v>
      </c>
      <c r="CG91" s="581">
        <f t="shared" si="135"/>
        <v>0</v>
      </c>
      <c r="CH91" s="608" t="str">
        <f t="shared" si="136"/>
        <v>#DIV/0!</v>
      </c>
      <c r="CI91" s="603" t="str">
        <f t="shared" si="137"/>
        <v>#DIV/0!</v>
      </c>
      <c r="CJ91" s="347"/>
      <c r="CK91" s="347">
        <f t="shared" si="138"/>
        <v>0</v>
      </c>
      <c r="CL91" s="539">
        <f t="shared" si="139"/>
        <v>0</v>
      </c>
      <c r="CM91" s="347">
        <f t="shared" si="140"/>
        <v>0</v>
      </c>
      <c r="CN91" s="347">
        <f t="shared" si="141"/>
        <v>0</v>
      </c>
      <c r="CO91" s="347" t="str">
        <f t="shared" si="142"/>
        <v/>
      </c>
      <c r="CP91" s="347"/>
    </row>
    <row r="92">
      <c r="A92" s="574">
        <f t="shared" si="147"/>
        <v>300038</v>
      </c>
      <c r="B92" s="574" t="str">
        <f t="shared" si="1"/>
        <v>Batch 300038</v>
      </c>
      <c r="C92" s="347"/>
      <c r="D92" s="574" t="str">
        <f>CONCATENATE(MID(B92,FIND(" ",B92) + 1,FIND(" ",B92) + 1 - (FIND(" ",B92))),"-",RIGHT(B92,LEN(B92) - 10))</f>
        <v>3-38</v>
      </c>
      <c r="E92" s="347"/>
      <c r="F92" s="596"/>
      <c r="G92" s="596"/>
      <c r="H92" s="347"/>
      <c r="I92" s="347"/>
      <c r="J92" s="583" t="str">
        <f t="shared" si="82"/>
        <v/>
      </c>
      <c r="K92" s="638" t="str">
        <f t="array" ref="K92">IFERROR(INDEX('Consumed Oil by Batch'!$D:$D, SMALL(IF(('Consumed Oil by Batch'!$A:$A=$D92)*('Consumed Oil by Batch'!$C:$C="bio_oil"), ROW('Consumed Oil by Batch'!$A:$A)), ROW($A$1))), "")</f>
        <v/>
      </c>
      <c r="L92" s="638" t="str">
        <f t="array" ref="L92">IFERROR(INDEX('Consumed Oil by Batch'!F:F, SMALL(IF(('Consumed Oil by Batch'!A:A=D92)*('Consumed Oil by Batch'!C:C="bio_oil"), ROW('Consumed Oil by Batch'!A:A)), ROW($A$1))), "")</f>
        <v/>
      </c>
      <c r="M92" s="345" t="str">
        <f t="shared" ref="M92:N92" si="168">IFERROR(INDEX('Consumed Oil by Batch'!H:H, SMALL(IF(('Consumed Oil by Batch'!$A:$A=$D92)*('Consumed Oil by Batch'!$C:$C="bio_oil"), ROW('Consumed Oil by Batch'!A:A)), ROW($A$1)), ""),"")</f>
        <v/>
      </c>
      <c r="N92" s="345" t="str">
        <f t="shared" si="168"/>
        <v/>
      </c>
      <c r="O92" s="579">
        <f t="shared" si="2"/>
        <v>0</v>
      </c>
      <c r="P92" s="579">
        <f t="shared" si="126"/>
        <v>0</v>
      </c>
      <c r="Q92" s="638" t="str">
        <f t="shared" si="87"/>
        <v/>
      </c>
      <c r="R92" s="90" t="str">
        <f t="array" ref="R92">IFERROR(INDEX('Consumed Oil by Batch'!F:F, SMALL(IF(('Consumed Oil by Batch'!A:A=D92)*('Consumed Oil by Batch'!C:C="bio_oil"), ROW('Consumed Oil by Batch'!A:A)), ROW($A$2))), "")</f>
        <v/>
      </c>
      <c r="S92" s="345" t="str">
        <f t="shared" si="89"/>
        <v/>
      </c>
      <c r="T92" s="345" t="str">
        <f t="shared" si="90"/>
        <v/>
      </c>
      <c r="U92" s="579">
        <f t="shared" si="48"/>
        <v>0</v>
      </c>
      <c r="V92" s="579">
        <f t="shared" si="49"/>
        <v>0</v>
      </c>
      <c r="W92" s="638" t="str">
        <f t="shared" si="107"/>
        <v/>
      </c>
      <c r="X92" s="347"/>
      <c r="Y92" s="345" t="str">
        <f t="shared" si="103"/>
        <v/>
      </c>
      <c r="Z92" s="347"/>
      <c r="AA92" s="579">
        <f t="shared" si="6"/>
        <v>0</v>
      </c>
      <c r="AB92" s="581">
        <f t="shared" si="105"/>
        <v>0</v>
      </c>
      <c r="AC92" s="1" t="s">
        <v>301</v>
      </c>
      <c r="AE92" s="347"/>
      <c r="AF92" s="347"/>
      <c r="AG92" s="579">
        <f t="shared" si="54"/>
        <v>0</v>
      </c>
      <c r="AH92" s="630">
        <v>5026.35</v>
      </c>
      <c r="AI92" s="582"/>
      <c r="AJ92" s="582"/>
      <c r="AK92" s="582"/>
      <c r="AL92" s="582"/>
      <c r="AM92" s="579"/>
      <c r="AN92" s="579"/>
      <c r="AO92" s="347"/>
      <c r="AP92" s="581">
        <f t="shared" si="164"/>
        <v>5026.35</v>
      </c>
      <c r="AQ92" s="596"/>
      <c r="AR92" s="596"/>
      <c r="AS92" s="348" t="str">
        <f t="shared" si="118"/>
        <v/>
      </c>
      <c r="AT92" s="348"/>
      <c r="AU92" s="642" t="str">
        <f t="array" ref="AU92">MAX(0, IFERROR(INDEX('Master Batch Data'!$AD:$AD, MATCH(D92, 'Master Batch Data'!$A:$A, 0)), ""))</f>
        <v>#VALUE!</v>
      </c>
      <c r="AV92" s="643" t="str">
        <f t="shared" si="75"/>
        <v/>
      </c>
      <c r="AW92" s="642" t="str">
        <f t="shared" si="120"/>
        <v/>
      </c>
      <c r="AX92" s="584" t="str">
        <f t="shared" si="165"/>
        <v>#VALUE!</v>
      </c>
      <c r="AY92" s="581">
        <f t="shared" si="12"/>
        <v>0</v>
      </c>
      <c r="AZ92" s="581">
        <f t="shared" si="159"/>
        <v>0</v>
      </c>
      <c r="BA92" s="596"/>
      <c r="BB92" s="596"/>
      <c r="BC92" s="644" t="str">
        <f t="shared" si="98"/>
        <v/>
      </c>
      <c r="BD92" s="581" t="str">
        <f t="shared" si="99"/>
        <v/>
      </c>
      <c r="BE92" s="581">
        <f t="shared" si="37"/>
        <v>0</v>
      </c>
      <c r="BF92" s="644" t="str">
        <f t="shared" si="113"/>
        <v/>
      </c>
      <c r="BG92" s="345">
        <v>84360.0</v>
      </c>
      <c r="BH92" s="345">
        <v>38140.0</v>
      </c>
      <c r="BI92" s="347" t="str">
        <f t="shared" si="100"/>
        <v/>
      </c>
      <c r="BJ92" s="586" t="str">
        <f t="shared" si="101"/>
        <v/>
      </c>
      <c r="BK92" s="581">
        <f t="shared" si="15"/>
        <v>0</v>
      </c>
      <c r="BL92" s="345">
        <v>83260.0</v>
      </c>
      <c r="BM92" s="345">
        <v>38320.0</v>
      </c>
      <c r="BN92" s="347" t="str">
        <f t="shared" si="102"/>
        <v/>
      </c>
      <c r="BO92" s="586" t="str">
        <f t="shared" si="79"/>
        <v/>
      </c>
      <c r="BP92" s="584">
        <f t="shared" si="17"/>
        <v>0</v>
      </c>
      <c r="BQ92" s="347"/>
      <c r="BR92" s="581">
        <f t="shared" si="153"/>
        <v>0</v>
      </c>
      <c r="BS92" s="663">
        <v>36279.58</v>
      </c>
      <c r="BT92" s="581">
        <f t="shared" si="20"/>
        <v>-31253.23</v>
      </c>
      <c r="BU92" s="605">
        <v>0.433</v>
      </c>
      <c r="BV92" s="581">
        <f t="shared" si="44"/>
        <v>57599.87985</v>
      </c>
      <c r="BW92" s="590"/>
      <c r="BX92" s="347"/>
      <c r="BY92" s="347"/>
      <c r="BZ92" s="347"/>
      <c r="CA92" s="586">
        <f t="shared" si="129"/>
        <v>0</v>
      </c>
      <c r="CB92" s="581">
        <f t="shared" si="160"/>
        <v>0</v>
      </c>
      <c r="CC92" s="581">
        <f t="shared" si="131"/>
        <v>0</v>
      </c>
      <c r="CD92" s="581">
        <f t="shared" si="132"/>
        <v>0</v>
      </c>
      <c r="CE92" s="581">
        <f t="shared" si="133"/>
        <v>0</v>
      </c>
      <c r="CF92" s="581">
        <f t="shared" si="134"/>
        <v>0</v>
      </c>
      <c r="CG92" s="586" t="str">
        <f t="shared" si="135"/>
        <v>#VALUE!</v>
      </c>
      <c r="CH92" s="608" t="str">
        <f t="shared" si="136"/>
        <v>#VALUE!</v>
      </c>
      <c r="CI92" s="603" t="str">
        <f t="shared" si="137"/>
        <v>#VALUE!</v>
      </c>
      <c r="CJ92" s="347"/>
      <c r="CK92" s="582">
        <f t="shared" si="138"/>
        <v>5026.35</v>
      </c>
      <c r="CL92" s="539">
        <f t="shared" si="139"/>
        <v>31253.23</v>
      </c>
      <c r="CM92" s="347">
        <f t="shared" si="140"/>
        <v>7980.16835</v>
      </c>
      <c r="CN92" s="347">
        <f t="shared" si="141"/>
        <v>49619.7115</v>
      </c>
      <c r="CO92" s="347" t="str">
        <f t="shared" si="142"/>
        <v/>
      </c>
      <c r="CP92" s="347"/>
    </row>
    <row r="93">
      <c r="A93" s="574">
        <f t="shared" si="147"/>
        <v>200106</v>
      </c>
      <c r="B93" s="574" t="str">
        <f t="shared" si="1"/>
        <v>Batch 200106</v>
      </c>
      <c r="C93" s="347"/>
      <c r="D93" s="574" t="str">
        <f>CONCATENATE(LEFT(MID(B93,FIND(" ",B93) + 1,10),1),"-",RIGHT(B93,3))</f>
        <v>2-106</v>
      </c>
      <c r="E93" s="347"/>
      <c r="F93" s="596"/>
      <c r="G93" s="596"/>
      <c r="H93" s="347"/>
      <c r="I93" s="347"/>
      <c r="J93" s="583" t="str">
        <f t="shared" si="82"/>
        <v/>
      </c>
      <c r="K93" s="345" t="str">
        <f t="array" ref="K93">IFERROR(INDEX('Consumed Oil by Batch'!D:D, SMALL(IF('Consumed Oil by Batch'!A:A=D93, ROW('Consumed Oil by Batch'!A:A)), ROW($A$1))), "")</f>
        <v/>
      </c>
      <c r="L93" s="345" t="str">
        <f t="array" ref="L93">IFERROR(INDEX('Consumed Oil by Batch'!F:F, SMALL(IF('Consumed Oil by Batch'!A:A=D93, ROW('Consumed Oil by Batch'!A:A)), ROW($A$1))), "")</f>
        <v/>
      </c>
      <c r="M93" s="345" t="str">
        <f t="array" ref="M93">IFERROR(INDEX('Consumed Oil by Batch'!H:H, SMALL(IF('Consumed Oil by Batch'!A:A=D93, ROW('Consumed Oil by Batch'!A:A)), ROW($A$1))), "")</f>
        <v/>
      </c>
      <c r="N93" s="345" t="str">
        <f t="array" ref="N93">IFERROR(INDEX('Consumed Oil by Batch'!I:I, SMALL(IF('Consumed Oil by Batch'!A:A=D93, ROW('Consumed Oil by Batch'!A:A)), ROW($A$1))), "")</f>
        <v/>
      </c>
      <c r="O93" s="579">
        <f t="shared" si="2"/>
        <v>0</v>
      </c>
      <c r="P93" s="579">
        <f t="shared" si="126"/>
        <v>0</v>
      </c>
      <c r="Q93" s="638" t="str">
        <f t="shared" si="87"/>
        <v/>
      </c>
      <c r="R93" s="347"/>
      <c r="S93" s="345" t="str">
        <f t="shared" si="89"/>
        <v/>
      </c>
      <c r="T93" s="345" t="str">
        <f t="shared" si="90"/>
        <v/>
      </c>
      <c r="U93" s="579">
        <f t="shared" si="48"/>
        <v>0</v>
      </c>
      <c r="V93" s="579">
        <f t="shared" si="49"/>
        <v>0</v>
      </c>
      <c r="W93" s="638" t="str">
        <f t="shared" si="107"/>
        <v/>
      </c>
      <c r="X93" s="347" t="str">
        <f t="shared" ref="X93:X241" si="170">IFERROR(INDEX('Consumed Oil by Batch'!F:F, SMALL(IF('Consumed Oil by Batch'!A:A=D93, ROW('Consumed Oil by Batch'!A:A)), ROW($A$3))), "")</f>
        <v/>
      </c>
      <c r="Y93" s="345" t="str">
        <f t="shared" si="103"/>
        <v/>
      </c>
      <c r="Z93" s="347" t="str">
        <f t="shared" ref="Z93:Z241" si="171">IFERROR(INDEX('Consumed Oil by Batch'!I:I, SMALL(IF('Consumed Oil by Batch'!A:A=D93, ROW('Consumed Oil by Batch'!A:A)), ROW($A$3))), "")</f>
        <v/>
      </c>
      <c r="AA93" s="579">
        <f t="shared" si="6"/>
        <v>0</v>
      </c>
      <c r="AB93" s="581">
        <f t="shared" si="105"/>
        <v>0</v>
      </c>
      <c r="AC93" s="638" t="str">
        <f t="shared" ref="AC93:AC99" si="172">IFERROR(INDEX('Consumed Oil by Batch'!$D:$D, SMALL(IF(('Consumed Oil by Batch'!$A:$A=$D93)*('Consumed Oil by Batch'!$C:$C="bio_oil"), ROW('Consumed Oil by Batch'!$A:$A)), ROW($A$4))), "")</f>
        <v/>
      </c>
      <c r="AD93" s="638" t="str">
        <f t="array" ref="AD93">IFERROR(INDEX('Consumed Oil by Batch'!$F:$F, SMALL(IF(('Consumed Oil by Batch'!$A:$A=$D93)*('Consumed Oil by Batch'!$C:$C="bio_oil"), ROW('Consumed Oil by Batch'!$A:$A)), ROW($A$4))), "")</f>
        <v/>
      </c>
      <c r="AE93" s="347" t="str">
        <f t="shared" ref="AE93:AE168" si="173">IFERROR(INDEX('Consumed Oil by Batch'!H:H, SMALL(IF('Consumed Oil by Batch'!A:A=D93, ROW('Consumed Oil by Batch'!A:A)), ROW($A$4))), "")</f>
        <v/>
      </c>
      <c r="AF93" s="347" t="str">
        <f t="shared" ref="AF93:AF168" si="174">IFERROR(INDEX('Consumed Oil by Batch'!I:I, SMALL(IF('Consumed Oil by Batch'!A:A=D93, ROW('Consumed Oil by Batch'!A:A)), ROW($A$4))), "")</f>
        <v/>
      </c>
      <c r="AG93" s="579">
        <f t="shared" si="54"/>
        <v>0</v>
      </c>
      <c r="AH93" s="579">
        <f t="shared" ref="AH93:AH300" si="175">AD93*$CP$3*AE93</f>
        <v>0</v>
      </c>
      <c r="AI93" s="582"/>
      <c r="AJ93" s="582"/>
      <c r="AK93" s="582"/>
      <c r="AL93" s="582"/>
      <c r="AM93" s="579"/>
      <c r="AN93" s="579"/>
      <c r="AO93" s="347"/>
      <c r="AP93" s="581">
        <f t="shared" si="164"/>
        <v>0</v>
      </c>
      <c r="AQ93" s="596"/>
      <c r="AR93" s="596"/>
      <c r="AS93" s="348" t="str">
        <f t="shared" si="118"/>
        <v/>
      </c>
      <c r="AT93" s="348"/>
      <c r="AU93" s="642"/>
      <c r="AV93" s="643" t="str">
        <f t="shared" si="75"/>
        <v/>
      </c>
      <c r="AW93" s="642" t="str">
        <f t="shared" si="120"/>
        <v/>
      </c>
      <c r="AX93" s="584">
        <f t="shared" si="165"/>
        <v>0</v>
      </c>
      <c r="AY93" s="581">
        <f t="shared" si="12"/>
        <v>0</v>
      </c>
      <c r="AZ93" s="581">
        <f t="shared" si="159"/>
        <v>0</v>
      </c>
      <c r="BA93" s="596"/>
      <c r="BB93" s="596"/>
      <c r="BC93" s="644" t="str">
        <f t="shared" si="98"/>
        <v/>
      </c>
      <c r="BD93" s="581" t="str">
        <f t="shared" si="99"/>
        <v/>
      </c>
      <c r="BE93" s="581">
        <f t="shared" si="37"/>
        <v>0</v>
      </c>
      <c r="BF93" s="644" t="str">
        <f t="shared" si="113"/>
        <v/>
      </c>
      <c r="BG93" s="347"/>
      <c r="BH93" s="347"/>
      <c r="BI93" s="347" t="str">
        <f t="shared" si="100"/>
        <v/>
      </c>
      <c r="BJ93" s="586" t="str">
        <f t="shared" si="101"/>
        <v/>
      </c>
      <c r="BK93" s="581">
        <f t="shared" si="15"/>
        <v>0</v>
      </c>
      <c r="BL93" s="347"/>
      <c r="BM93" s="347"/>
      <c r="BN93" s="347" t="str">
        <f t="shared" si="102"/>
        <v/>
      </c>
      <c r="BO93" s="586" t="str">
        <f t="shared" si="79"/>
        <v/>
      </c>
      <c r="BP93" s="584">
        <f t="shared" si="17"/>
        <v>0</v>
      </c>
      <c r="BQ93" s="347"/>
      <c r="BR93" s="581">
        <f t="shared" si="153"/>
        <v>0</v>
      </c>
      <c r="BS93" s="588">
        <f>BR93-(BE93+AZ93)</f>
        <v>0</v>
      </c>
      <c r="BT93" s="581">
        <f t="shared" si="20"/>
        <v>0</v>
      </c>
      <c r="BU93" s="589"/>
      <c r="BV93" s="581">
        <f t="shared" si="44"/>
        <v>0</v>
      </c>
      <c r="BW93" s="590"/>
      <c r="BX93" s="347"/>
      <c r="BY93" s="347"/>
      <c r="BZ93" s="347"/>
      <c r="CA93" s="586">
        <f t="shared" si="129"/>
        <v>0</v>
      </c>
      <c r="CB93" s="581">
        <f t="shared" si="160"/>
        <v>0</v>
      </c>
      <c r="CC93" s="581">
        <f t="shared" si="131"/>
        <v>0</v>
      </c>
      <c r="CD93" s="581">
        <f t="shared" si="132"/>
        <v>0</v>
      </c>
      <c r="CE93" s="581">
        <f t="shared" si="133"/>
        <v>0</v>
      </c>
      <c r="CF93" s="581">
        <f t="shared" si="134"/>
        <v>0</v>
      </c>
      <c r="CG93" s="581">
        <f t="shared" si="135"/>
        <v>0</v>
      </c>
      <c r="CH93" s="608" t="str">
        <f t="shared" si="136"/>
        <v>#DIV/0!</v>
      </c>
      <c r="CI93" s="603" t="str">
        <f t="shared" si="137"/>
        <v>#DIV/0!</v>
      </c>
      <c r="CJ93" s="347"/>
      <c r="CK93" s="347">
        <f t="shared" si="138"/>
        <v>0</v>
      </c>
      <c r="CL93" s="539">
        <f t="shared" si="139"/>
        <v>0</v>
      </c>
      <c r="CM93" s="347">
        <f t="shared" si="140"/>
        <v>0</v>
      </c>
      <c r="CN93" s="347">
        <f t="shared" si="141"/>
        <v>0</v>
      </c>
      <c r="CO93" s="347" t="str">
        <f t="shared" si="142"/>
        <v/>
      </c>
      <c r="CP93" s="347"/>
    </row>
    <row r="94">
      <c r="A94" s="574">
        <f t="shared" si="147"/>
        <v>300039</v>
      </c>
      <c r="B94" s="574" t="str">
        <f t="shared" si="1"/>
        <v>Batch 300039</v>
      </c>
      <c r="C94" s="347"/>
      <c r="D94" s="574" t="str">
        <f>CONCATENATE(MID(B94,FIND(" ",B94) + 1,FIND(" ",B94) + 1 - (FIND(" ",B94))),"-",RIGHT(B94,LEN(B94) - 10))</f>
        <v>3-39</v>
      </c>
      <c r="E94" s="347"/>
      <c r="F94" s="596"/>
      <c r="G94" s="596"/>
      <c r="H94" s="347"/>
      <c r="I94" s="347"/>
      <c r="J94" s="583" t="str">
        <f t="shared" si="82"/>
        <v/>
      </c>
      <c r="K94" s="638" t="str">
        <f t="array" ref="K94">IFERROR(INDEX('Consumed Oil by Batch'!$D:$D, SMALL(IF(('Consumed Oil by Batch'!$A:$A=$D94)*('Consumed Oil by Batch'!$C:$C="bio_oil"), ROW('Consumed Oil by Batch'!$A:$A)), ROW($A$1))), "")</f>
        <v/>
      </c>
      <c r="L94" s="638" t="str">
        <f t="array" ref="L94">IFERROR(INDEX('Consumed Oil by Batch'!F:F, SMALL(IF(('Consumed Oil by Batch'!A:A=D94)*('Consumed Oil by Batch'!C:C="bio_oil"), ROW('Consumed Oil by Batch'!A:A)), ROW($A$1))), "")</f>
        <v/>
      </c>
      <c r="M94" s="345" t="str">
        <f t="shared" ref="M94:N94" si="169">IFERROR(INDEX('Consumed Oil by Batch'!H:H, SMALL(IF(('Consumed Oil by Batch'!$A:$A=$D94)*('Consumed Oil by Batch'!$C:$C="bio_oil"), ROW('Consumed Oil by Batch'!A:A)), ROW($A$1)), ""),"")</f>
        <v/>
      </c>
      <c r="N94" s="345" t="str">
        <f t="shared" si="169"/>
        <v/>
      </c>
      <c r="O94" s="579">
        <f t="shared" si="2"/>
        <v>0</v>
      </c>
      <c r="P94" s="579">
        <f t="shared" si="126"/>
        <v>0</v>
      </c>
      <c r="Q94" s="638" t="str">
        <f t="shared" si="87"/>
        <v/>
      </c>
      <c r="R94" s="90" t="str">
        <f t="array" ref="R94">IFERROR(INDEX('Consumed Oil by Batch'!F:F, SMALL(IF(('Consumed Oil by Batch'!A:A=D94)*('Consumed Oil by Batch'!C:C="bio_oil"), ROW('Consumed Oil by Batch'!A:A)), ROW($A$2))), "")</f>
        <v/>
      </c>
      <c r="S94" s="345" t="str">
        <f t="shared" si="89"/>
        <v/>
      </c>
      <c r="T94" s="345" t="str">
        <f t="shared" si="90"/>
        <v/>
      </c>
      <c r="U94" s="579">
        <f t="shared" si="48"/>
        <v>0</v>
      </c>
      <c r="V94" s="579">
        <f t="shared" si="49"/>
        <v>0</v>
      </c>
      <c r="W94" s="638" t="str">
        <f t="shared" si="107"/>
        <v/>
      </c>
      <c r="X94" s="347" t="str">
        <f t="shared" si="170"/>
        <v/>
      </c>
      <c r="Y94" s="345" t="str">
        <f t="shared" si="103"/>
        <v/>
      </c>
      <c r="Z94" s="347" t="str">
        <f t="shared" si="171"/>
        <v/>
      </c>
      <c r="AA94" s="579">
        <f t="shared" si="6"/>
        <v>0</v>
      </c>
      <c r="AB94" s="581">
        <f t="shared" si="105"/>
        <v>0</v>
      </c>
      <c r="AC94" s="638" t="str">
        <f t="shared" si="172"/>
        <v/>
      </c>
      <c r="AD94" s="347" t="str">
        <f t="shared" ref="AD94:AD168" si="176">IFERROR(INDEX('Consumed Oil by Batch'!F:F, SMALL(IF('Consumed Oil by Batch'!A:A=D94, ROW('Consumed Oil by Batch'!A:A)), ROW($A$4))), "")</f>
        <v/>
      </c>
      <c r="AE94" s="347" t="str">
        <f t="shared" si="173"/>
        <v/>
      </c>
      <c r="AF94" s="347" t="str">
        <f t="shared" si="174"/>
        <v/>
      </c>
      <c r="AG94" s="579">
        <f t="shared" si="54"/>
        <v>0</v>
      </c>
      <c r="AH94" s="579">
        <f t="shared" si="175"/>
        <v>0</v>
      </c>
      <c r="AI94" s="633" t="s">
        <v>278</v>
      </c>
      <c r="AJ94" s="582"/>
      <c r="AK94" s="582"/>
      <c r="AL94" s="633">
        <v>21.83</v>
      </c>
      <c r="AM94" s="579"/>
      <c r="AN94" s="630">
        <v>3091.21</v>
      </c>
      <c r="AO94" s="347"/>
      <c r="AP94" s="581">
        <f t="shared" si="164"/>
        <v>0</v>
      </c>
      <c r="AQ94" s="596"/>
      <c r="AR94" s="596"/>
      <c r="AS94" s="348" t="str">
        <f t="shared" si="118"/>
        <v/>
      </c>
      <c r="AT94" s="348"/>
      <c r="AU94" s="642" t="str">
        <f t="array" ref="AU94">MAX(0, IFERROR(INDEX('Master Batch Data'!$AD:$AD, MATCH(D94, 'Master Batch Data'!$A:$A, 0)), ""))</f>
        <v>#VALUE!</v>
      </c>
      <c r="AV94" s="643" t="str">
        <f t="shared" si="75"/>
        <v/>
      </c>
      <c r="AW94" s="642" t="str">
        <f t="shared" si="120"/>
        <v/>
      </c>
      <c r="AX94" s="584" t="str">
        <f t="shared" si="165"/>
        <v>#VALUE!</v>
      </c>
      <c r="AY94" s="581">
        <f t="shared" si="12"/>
        <v>0</v>
      </c>
      <c r="AZ94" s="581">
        <f t="shared" si="159"/>
        <v>0</v>
      </c>
      <c r="BA94" s="596"/>
      <c r="BB94" s="596"/>
      <c r="BC94" s="644" t="str">
        <f t="shared" si="98"/>
        <v/>
      </c>
      <c r="BD94" s="581" t="str">
        <f t="shared" si="99"/>
        <v/>
      </c>
      <c r="BE94" s="581">
        <f t="shared" si="37"/>
        <v>0</v>
      </c>
      <c r="BF94" s="644" t="str">
        <f t="shared" si="113"/>
        <v/>
      </c>
      <c r="BG94" s="345">
        <v>80500.0</v>
      </c>
      <c r="BH94" s="345">
        <v>36940.0</v>
      </c>
      <c r="BI94" s="347" t="str">
        <f t="shared" si="100"/>
        <v/>
      </c>
      <c r="BJ94" s="586" t="str">
        <f t="shared" si="101"/>
        <v/>
      </c>
      <c r="BK94" s="581">
        <f t="shared" si="15"/>
        <v>0</v>
      </c>
      <c r="BL94" s="345">
        <v>82820.0</v>
      </c>
      <c r="BM94" s="345">
        <v>38260.0</v>
      </c>
      <c r="BN94" s="347" t="str">
        <f t="shared" si="102"/>
        <v/>
      </c>
      <c r="BO94" s="586" t="str">
        <f t="shared" si="79"/>
        <v/>
      </c>
      <c r="BP94" s="584">
        <f t="shared" si="17"/>
        <v>0</v>
      </c>
      <c r="BQ94" s="347"/>
      <c r="BR94" s="581">
        <f t="shared" si="153"/>
        <v>0</v>
      </c>
      <c r="BS94" s="663">
        <v>34924.13</v>
      </c>
      <c r="BT94" s="581">
        <f t="shared" si="20"/>
        <v>-34924.13</v>
      </c>
      <c r="BU94" s="605">
        <v>0.432</v>
      </c>
      <c r="BV94" s="581">
        <f t="shared" si="44"/>
        <v>55319.82192</v>
      </c>
      <c r="BW94" s="590"/>
      <c r="BX94" s="347"/>
      <c r="BY94" s="347"/>
      <c r="BZ94" s="347"/>
      <c r="CA94" s="586">
        <f t="shared" si="129"/>
        <v>0</v>
      </c>
      <c r="CB94" s="581">
        <f t="shared" si="160"/>
        <v>0</v>
      </c>
      <c r="CC94" s="581">
        <f t="shared" si="131"/>
        <v>0</v>
      </c>
      <c r="CD94" s="581">
        <f t="shared" si="132"/>
        <v>0</v>
      </c>
      <c r="CE94" s="581">
        <f t="shared" si="133"/>
        <v>0</v>
      </c>
      <c r="CF94" s="581">
        <f t="shared" si="134"/>
        <v>0</v>
      </c>
      <c r="CG94" s="586" t="str">
        <f t="shared" si="135"/>
        <v>#VALUE!</v>
      </c>
      <c r="CH94" s="608" t="str">
        <f t="shared" si="136"/>
        <v>#VALUE!</v>
      </c>
      <c r="CI94" s="603" t="str">
        <f t="shared" si="137"/>
        <v>#VALUE!</v>
      </c>
      <c r="CJ94" s="347"/>
      <c r="CK94" s="347">
        <f t="shared" si="138"/>
        <v>0</v>
      </c>
      <c r="CL94" s="539">
        <f t="shared" si="139"/>
        <v>34924.13</v>
      </c>
      <c r="CM94" s="347">
        <f t="shared" si="140"/>
        <v>0</v>
      </c>
      <c r="CN94" s="347">
        <f t="shared" si="141"/>
        <v>55319.82192</v>
      </c>
      <c r="CO94" s="347" t="str">
        <f t="shared" si="142"/>
        <v/>
      </c>
      <c r="CP94" s="347"/>
    </row>
    <row r="95">
      <c r="A95" s="574">
        <f t="shared" si="147"/>
        <v>200107</v>
      </c>
      <c r="B95" s="574" t="str">
        <f t="shared" si="1"/>
        <v>Batch 200107</v>
      </c>
      <c r="C95" s="347"/>
      <c r="D95" s="574" t="str">
        <f>CONCATENATE(LEFT(MID(B95,FIND(" ",B95) + 1,10),1),"-",RIGHT(B95,3))</f>
        <v>2-107</v>
      </c>
      <c r="E95" s="347"/>
      <c r="F95" s="596"/>
      <c r="G95" s="596"/>
      <c r="H95" s="347"/>
      <c r="I95" s="347"/>
      <c r="J95" s="583" t="str">
        <f t="shared" si="82"/>
        <v/>
      </c>
      <c r="K95" s="345" t="str">
        <f t="shared" ref="K95:K144" si="177">IFERROR(INDEX('Consumed Oil by Batch'!D:D, SMALL(IF('Consumed Oil by Batch'!A:A=D95, ROW('Consumed Oil by Batch'!A:A)), ROW($A$1))), "")</f>
        <v/>
      </c>
      <c r="L95" s="345" t="str">
        <f t="array" ref="L95">IFERROR(INDEX('Consumed Oil by Batch'!F:F, SMALL(IF('Consumed Oil by Batch'!A:A=D95, ROW('Consumed Oil by Batch'!A:A)), ROW($A$1))), "")</f>
        <v/>
      </c>
      <c r="M95" s="345" t="str">
        <f t="array" ref="M95">IFERROR(INDEX('Consumed Oil by Batch'!H:H, SMALL(IF('Consumed Oil by Batch'!A:A=D95, ROW('Consumed Oil by Batch'!A:A)), ROW($A$1))), "")</f>
        <v/>
      </c>
      <c r="N95" s="345" t="str">
        <f t="array" ref="N95">IFERROR(INDEX('Consumed Oil by Batch'!I:I, SMALL(IF('Consumed Oil by Batch'!A:A=D95, ROW('Consumed Oil by Batch'!A:A)), ROW($A$1))), "")</f>
        <v/>
      </c>
      <c r="O95" s="579">
        <f t="shared" si="2"/>
        <v>0</v>
      </c>
      <c r="P95" s="579">
        <f t="shared" si="126"/>
        <v>0</v>
      </c>
      <c r="Q95" s="638" t="str">
        <f t="shared" si="87"/>
        <v/>
      </c>
      <c r="R95" s="347"/>
      <c r="S95" s="345" t="str">
        <f t="shared" si="89"/>
        <v/>
      </c>
      <c r="T95" s="345" t="str">
        <f t="shared" si="90"/>
        <v/>
      </c>
      <c r="U95" s="579">
        <f t="shared" si="48"/>
        <v>0</v>
      </c>
      <c r="V95" s="579">
        <f t="shared" si="49"/>
        <v>0</v>
      </c>
      <c r="W95" s="574" t="str">
        <f t="shared" ref="W95:W241" si="179">IFERROR(INDEX('Consumed Oil by Batch'!D:D, SMALL(IF('Consumed Oil by Batch'!A:A=D95, ROW('Consumed Oil by Batch'!A:A)), ROW($A$3))), "")</f>
        <v/>
      </c>
      <c r="X95" s="347" t="str">
        <f t="shared" si="170"/>
        <v/>
      </c>
      <c r="Y95" s="345" t="str">
        <f t="shared" si="103"/>
        <v/>
      </c>
      <c r="Z95" s="347" t="str">
        <f t="shared" si="171"/>
        <v/>
      </c>
      <c r="AA95" s="579">
        <f t="shared" si="6"/>
        <v>0</v>
      </c>
      <c r="AB95" s="581">
        <f t="shared" si="105"/>
        <v>0</v>
      </c>
      <c r="AC95" s="638" t="str">
        <f t="shared" si="172"/>
        <v/>
      </c>
      <c r="AD95" s="347" t="str">
        <f t="shared" si="176"/>
        <v/>
      </c>
      <c r="AE95" s="347" t="str">
        <f t="shared" si="173"/>
        <v/>
      </c>
      <c r="AF95" s="347" t="str">
        <f t="shared" si="174"/>
        <v/>
      </c>
      <c r="AG95" s="579">
        <f t="shared" si="54"/>
        <v>0</v>
      </c>
      <c r="AH95" s="579">
        <f t="shared" si="175"/>
        <v>0</v>
      </c>
      <c r="AI95" s="582"/>
      <c r="AJ95" s="582"/>
      <c r="AK95" s="582"/>
      <c r="AL95" s="582"/>
      <c r="AM95" s="579"/>
      <c r="AN95" s="579"/>
      <c r="AO95" s="347"/>
      <c r="AP95" s="581">
        <f t="shared" si="164"/>
        <v>0</v>
      </c>
      <c r="AQ95" s="596"/>
      <c r="AR95" s="596"/>
      <c r="AS95" s="348" t="str">
        <f t="shared" si="118"/>
        <v/>
      </c>
      <c r="AT95" s="348"/>
      <c r="AU95" s="642"/>
      <c r="AV95" s="643" t="str">
        <f t="shared" si="75"/>
        <v/>
      </c>
      <c r="AW95" s="642" t="str">
        <f t="shared" si="120"/>
        <v/>
      </c>
      <c r="AX95" s="584">
        <f t="shared" si="165"/>
        <v>0</v>
      </c>
      <c r="AY95" s="581">
        <f t="shared" si="12"/>
        <v>0</v>
      </c>
      <c r="AZ95" s="581">
        <f t="shared" si="159"/>
        <v>0</v>
      </c>
      <c r="BA95" s="596"/>
      <c r="BB95" s="596"/>
      <c r="BC95" s="644" t="str">
        <f t="shared" si="98"/>
        <v/>
      </c>
      <c r="BD95" s="581" t="str">
        <f t="shared" si="99"/>
        <v/>
      </c>
      <c r="BE95" s="581">
        <f t="shared" si="37"/>
        <v>0</v>
      </c>
      <c r="BF95" s="644" t="str">
        <f t="shared" si="113"/>
        <v/>
      </c>
      <c r="BG95" s="347"/>
      <c r="BH95" s="347"/>
      <c r="BI95" s="347" t="str">
        <f t="shared" si="100"/>
        <v/>
      </c>
      <c r="BJ95" s="586" t="str">
        <f t="shared" si="101"/>
        <v/>
      </c>
      <c r="BK95" s="581">
        <f t="shared" si="15"/>
        <v>0</v>
      </c>
      <c r="BL95" s="347"/>
      <c r="BM95" s="347"/>
      <c r="BN95" s="347" t="str">
        <f t="shared" si="102"/>
        <v/>
      </c>
      <c r="BO95" s="586" t="str">
        <f t="shared" si="79"/>
        <v/>
      </c>
      <c r="BP95" s="584">
        <f t="shared" si="17"/>
        <v>0</v>
      </c>
      <c r="BQ95" s="347"/>
      <c r="BR95" s="581">
        <f t="shared" si="153"/>
        <v>0</v>
      </c>
      <c r="BS95" s="588">
        <f t="shared" ref="BS95:BS300" si="180">BR95-(BE95+AZ95)</f>
        <v>0</v>
      </c>
      <c r="BT95" s="581">
        <f t="shared" si="20"/>
        <v>0</v>
      </c>
      <c r="BU95" s="589"/>
      <c r="BV95" s="581">
        <f t="shared" si="44"/>
        <v>0</v>
      </c>
      <c r="BW95" s="590"/>
      <c r="BX95" s="347"/>
      <c r="BY95" s="347"/>
      <c r="BZ95" s="347"/>
      <c r="CA95" s="586">
        <f t="shared" si="129"/>
        <v>0</v>
      </c>
      <c r="CB95" s="581">
        <f t="shared" si="160"/>
        <v>0</v>
      </c>
      <c r="CC95" s="581">
        <f t="shared" si="131"/>
        <v>0</v>
      </c>
      <c r="CD95" s="581">
        <f t="shared" si="132"/>
        <v>0</v>
      </c>
      <c r="CE95" s="581">
        <f t="shared" si="133"/>
        <v>0</v>
      </c>
      <c r="CF95" s="581">
        <f t="shared" si="134"/>
        <v>0</v>
      </c>
      <c r="CG95" s="581">
        <f t="shared" si="135"/>
        <v>0</v>
      </c>
      <c r="CH95" s="608" t="str">
        <f t="shared" si="136"/>
        <v>#DIV/0!</v>
      </c>
      <c r="CI95" s="603" t="str">
        <f t="shared" si="137"/>
        <v>#DIV/0!</v>
      </c>
      <c r="CJ95" s="347"/>
      <c r="CK95" s="347">
        <f t="shared" si="138"/>
        <v>0</v>
      </c>
      <c r="CL95" s="539">
        <f t="shared" si="139"/>
        <v>0</v>
      </c>
      <c r="CM95" s="347">
        <f t="shared" si="140"/>
        <v>0</v>
      </c>
      <c r="CN95" s="347">
        <f t="shared" si="141"/>
        <v>0</v>
      </c>
      <c r="CO95" s="347" t="str">
        <f t="shared" si="142"/>
        <v/>
      </c>
      <c r="CP95" s="347"/>
    </row>
    <row r="96">
      <c r="A96" s="574">
        <f t="shared" si="147"/>
        <v>300040</v>
      </c>
      <c r="B96" s="574" t="str">
        <f t="shared" si="1"/>
        <v>Batch 300040</v>
      </c>
      <c r="C96" s="347"/>
      <c r="D96" s="574" t="str">
        <f>CONCATENATE(MID(B96,FIND(" ",B96) + 1,FIND(" ",B96) + 1 - (FIND(" ",B96))),"-",RIGHT(B96,LEN(B96) - 10))</f>
        <v>3-40</v>
      </c>
      <c r="E96" s="347"/>
      <c r="F96" s="596"/>
      <c r="G96" s="596"/>
      <c r="H96" s="347"/>
      <c r="I96" s="347"/>
      <c r="J96" s="583" t="str">
        <f t="shared" si="82"/>
        <v/>
      </c>
      <c r="K96" s="345" t="str">
        <f t="shared" si="177"/>
        <v/>
      </c>
      <c r="L96" s="638" t="str">
        <f t="array" ref="L96">IFERROR(INDEX('Consumed Oil by Batch'!F:F, SMALL(IF(('Consumed Oil by Batch'!A:A=D96)*('Consumed Oil by Batch'!C:C="bio_oil"), ROW('Consumed Oil by Batch'!A:A)), ROW($A$1))), "")</f>
        <v/>
      </c>
      <c r="M96" s="345" t="str">
        <f t="shared" ref="M96:N96" si="178">IFERROR(INDEX('Consumed Oil by Batch'!H:H, SMALL(IF(('Consumed Oil by Batch'!$A:$A=$D96)*('Consumed Oil by Batch'!$C:$C="bio_oil"), ROW('Consumed Oil by Batch'!A:A)), ROW($A$1)), ""),"")</f>
        <v/>
      </c>
      <c r="N96" s="345" t="str">
        <f t="shared" si="178"/>
        <v/>
      </c>
      <c r="O96" s="579">
        <f t="shared" si="2"/>
        <v>0</v>
      </c>
      <c r="P96" s="579">
        <f t="shared" si="126"/>
        <v>0</v>
      </c>
      <c r="Q96" s="638" t="str">
        <f t="shared" si="87"/>
        <v/>
      </c>
      <c r="R96" s="347"/>
      <c r="S96" s="345" t="str">
        <f t="shared" si="89"/>
        <v/>
      </c>
      <c r="T96" s="345" t="str">
        <f t="shared" si="90"/>
        <v/>
      </c>
      <c r="U96" s="579">
        <f t="shared" si="48"/>
        <v>0</v>
      </c>
      <c r="V96" s="579">
        <f t="shared" si="49"/>
        <v>0</v>
      </c>
      <c r="W96" s="574" t="str">
        <f t="shared" si="179"/>
        <v/>
      </c>
      <c r="X96" s="347" t="str">
        <f t="shared" si="170"/>
        <v/>
      </c>
      <c r="Y96" s="345" t="str">
        <f t="shared" si="103"/>
        <v/>
      </c>
      <c r="Z96" s="347" t="str">
        <f t="shared" si="171"/>
        <v/>
      </c>
      <c r="AA96" s="579">
        <f t="shared" si="6"/>
        <v>0</v>
      </c>
      <c r="AB96" s="581">
        <f t="shared" si="105"/>
        <v>0</v>
      </c>
      <c r="AC96" s="638" t="str">
        <f t="shared" si="172"/>
        <v/>
      </c>
      <c r="AD96" s="347" t="str">
        <f t="shared" si="176"/>
        <v/>
      </c>
      <c r="AE96" s="347" t="str">
        <f t="shared" si="173"/>
        <v/>
      </c>
      <c r="AF96" s="347" t="str">
        <f t="shared" si="174"/>
        <v/>
      </c>
      <c r="AG96" s="579">
        <f t="shared" si="54"/>
        <v>0</v>
      </c>
      <c r="AH96" s="579">
        <f t="shared" si="175"/>
        <v>0</v>
      </c>
      <c r="AI96" s="582"/>
      <c r="AJ96" s="582"/>
      <c r="AK96" s="582"/>
      <c r="AL96" s="582"/>
      <c r="AM96" s="579"/>
      <c r="AN96" s="579"/>
      <c r="AO96" s="347"/>
      <c r="AP96" s="581">
        <f t="shared" si="164"/>
        <v>0</v>
      </c>
      <c r="AQ96" s="596"/>
      <c r="AR96" s="596"/>
      <c r="AS96" s="348" t="str">
        <f t="shared" si="118"/>
        <v/>
      </c>
      <c r="AT96" s="348"/>
      <c r="AU96" s="642"/>
      <c r="AV96" s="643" t="str">
        <f t="shared" si="75"/>
        <v/>
      </c>
      <c r="AW96" s="642" t="str">
        <f t="shared" si="120"/>
        <v/>
      </c>
      <c r="AX96" s="584">
        <f t="shared" si="165"/>
        <v>0</v>
      </c>
      <c r="AY96" s="581">
        <f t="shared" si="12"/>
        <v>0</v>
      </c>
      <c r="AZ96" s="581">
        <f t="shared" si="159"/>
        <v>0</v>
      </c>
      <c r="BA96" s="596"/>
      <c r="BB96" s="596"/>
      <c r="BC96" s="644" t="str">
        <f t="shared" si="98"/>
        <v/>
      </c>
      <c r="BD96" s="581" t="str">
        <f t="shared" si="99"/>
        <v/>
      </c>
      <c r="BE96" s="581">
        <f t="shared" si="37"/>
        <v>0</v>
      </c>
      <c r="BF96" s="644" t="str">
        <f t="shared" si="113"/>
        <v/>
      </c>
      <c r="BG96" s="347"/>
      <c r="BH96" s="347"/>
      <c r="BI96" s="347" t="str">
        <f t="shared" si="100"/>
        <v/>
      </c>
      <c r="BJ96" s="586" t="str">
        <f t="shared" si="101"/>
        <v/>
      </c>
      <c r="BK96" s="581">
        <f t="shared" si="15"/>
        <v>0</v>
      </c>
      <c r="BL96" s="347"/>
      <c r="BM96" s="347"/>
      <c r="BN96" s="347" t="str">
        <f t="shared" si="102"/>
        <v/>
      </c>
      <c r="BO96" s="586" t="str">
        <f t="shared" si="79"/>
        <v/>
      </c>
      <c r="BP96" s="584">
        <f t="shared" si="17"/>
        <v>0</v>
      </c>
      <c r="BQ96" s="347"/>
      <c r="BR96" s="581">
        <f t="shared" si="153"/>
        <v>0</v>
      </c>
      <c r="BS96" s="588">
        <f t="shared" si="180"/>
        <v>0</v>
      </c>
      <c r="BT96" s="581">
        <f t="shared" si="20"/>
        <v>0</v>
      </c>
      <c r="BU96" s="589"/>
      <c r="BV96" s="581">
        <f t="shared" si="44"/>
        <v>0</v>
      </c>
      <c r="BW96" s="590"/>
      <c r="BX96" s="347"/>
      <c r="BY96" s="347"/>
      <c r="BZ96" s="347"/>
      <c r="CA96" s="586">
        <f t="shared" si="129"/>
        <v>0</v>
      </c>
      <c r="CB96" s="581">
        <f t="shared" si="160"/>
        <v>0</v>
      </c>
      <c r="CC96" s="581">
        <f t="shared" si="131"/>
        <v>0</v>
      </c>
      <c r="CD96" s="581">
        <f t="shared" si="132"/>
        <v>0</v>
      </c>
      <c r="CE96" s="581">
        <f t="shared" si="133"/>
        <v>0</v>
      </c>
      <c r="CF96" s="581">
        <f t="shared" si="134"/>
        <v>0</v>
      </c>
      <c r="CG96" s="581">
        <f t="shared" si="135"/>
        <v>0</v>
      </c>
      <c r="CH96" s="608" t="str">
        <f t="shared" si="136"/>
        <v>#DIV/0!</v>
      </c>
      <c r="CI96" s="603" t="str">
        <f t="shared" si="137"/>
        <v>#DIV/0!</v>
      </c>
      <c r="CJ96" s="347"/>
      <c r="CK96" s="347">
        <f t="shared" si="138"/>
        <v>0</v>
      </c>
      <c r="CL96" s="539">
        <f t="shared" si="139"/>
        <v>0</v>
      </c>
      <c r="CM96" s="347">
        <f t="shared" si="140"/>
        <v>0</v>
      </c>
      <c r="CN96" s="347">
        <f t="shared" si="141"/>
        <v>0</v>
      </c>
      <c r="CO96" s="347" t="str">
        <f t="shared" si="142"/>
        <v/>
      </c>
      <c r="CP96" s="347"/>
    </row>
    <row r="97">
      <c r="A97" s="574">
        <f t="shared" si="147"/>
        <v>200108</v>
      </c>
      <c r="B97" s="574" t="str">
        <f t="shared" si="1"/>
        <v>Batch 200108</v>
      </c>
      <c r="C97" s="347"/>
      <c r="D97" s="574" t="str">
        <f>CONCATENATE(LEFT(MID(B97,FIND(" ",B97) + 1,10),1),"-",RIGHT(B97,3))</f>
        <v>2-108</v>
      </c>
      <c r="E97" s="347"/>
      <c r="F97" s="596"/>
      <c r="G97" s="596"/>
      <c r="H97" s="347"/>
      <c r="I97" s="347"/>
      <c r="J97" s="583" t="str">
        <f t="shared" si="82"/>
        <v/>
      </c>
      <c r="K97" s="345" t="str">
        <f t="shared" si="177"/>
        <v/>
      </c>
      <c r="L97" s="345" t="str">
        <f t="array" ref="L97">IFERROR(INDEX('Consumed Oil by Batch'!F:F, SMALL(IF('Consumed Oil by Batch'!A:A=D97, ROW('Consumed Oil by Batch'!A:A)), ROW($A$1))), "")</f>
        <v/>
      </c>
      <c r="M97" s="345" t="str">
        <f t="array" ref="M97">IFERROR(INDEX('Consumed Oil by Batch'!H:H, SMALL(IF('Consumed Oil by Batch'!A:A=D97, ROW('Consumed Oil by Batch'!A:A)), ROW($A$1))), "")</f>
        <v/>
      </c>
      <c r="N97" s="345" t="str">
        <f t="array" ref="N97">IFERROR(INDEX('Consumed Oil by Batch'!I:I, SMALL(IF('Consumed Oil by Batch'!A:A=D97, ROW('Consumed Oil by Batch'!A:A)), ROW($A$1))), "")</f>
        <v/>
      </c>
      <c r="O97" s="579">
        <f t="shared" si="2"/>
        <v>0</v>
      </c>
      <c r="P97" s="579">
        <f t="shared" si="126"/>
        <v>0</v>
      </c>
      <c r="Q97" s="638" t="str">
        <f t="shared" si="87"/>
        <v/>
      </c>
      <c r="R97" s="347"/>
      <c r="S97" s="345" t="str">
        <f t="shared" si="89"/>
        <v/>
      </c>
      <c r="T97" s="345" t="str">
        <f t="shared" si="90"/>
        <v/>
      </c>
      <c r="U97" s="579">
        <f t="shared" si="48"/>
        <v>0</v>
      </c>
      <c r="V97" s="579">
        <f t="shared" si="49"/>
        <v>0</v>
      </c>
      <c r="W97" s="574" t="str">
        <f t="shared" si="179"/>
        <v/>
      </c>
      <c r="X97" s="347" t="str">
        <f t="shared" si="170"/>
        <v/>
      </c>
      <c r="Y97" s="345" t="str">
        <f t="shared" si="103"/>
        <v/>
      </c>
      <c r="Z97" s="347" t="str">
        <f t="shared" si="171"/>
        <v/>
      </c>
      <c r="AA97" s="579">
        <f t="shared" si="6"/>
        <v>0</v>
      </c>
      <c r="AB97" s="581">
        <f t="shared" si="105"/>
        <v>0</v>
      </c>
      <c r="AC97" s="638" t="str">
        <f t="shared" si="172"/>
        <v/>
      </c>
      <c r="AD97" s="347" t="str">
        <f t="shared" si="176"/>
        <v/>
      </c>
      <c r="AE97" s="347" t="str">
        <f t="shared" si="173"/>
        <v/>
      </c>
      <c r="AF97" s="347" t="str">
        <f t="shared" si="174"/>
        <v/>
      </c>
      <c r="AG97" s="579">
        <f t="shared" si="54"/>
        <v>0</v>
      </c>
      <c r="AH97" s="579">
        <f t="shared" si="175"/>
        <v>0</v>
      </c>
      <c r="AI97" s="582"/>
      <c r="AJ97" s="582"/>
      <c r="AK97" s="582"/>
      <c r="AL97" s="582"/>
      <c r="AM97" s="579"/>
      <c r="AN97" s="579"/>
      <c r="AO97" s="347"/>
      <c r="AP97" s="581">
        <f t="shared" si="164"/>
        <v>0</v>
      </c>
      <c r="AQ97" s="596"/>
      <c r="AR97" s="596"/>
      <c r="AS97" s="348" t="str">
        <f t="shared" si="118"/>
        <v/>
      </c>
      <c r="AT97" s="348"/>
      <c r="AU97" s="348"/>
      <c r="AV97" s="348"/>
      <c r="AW97" s="348"/>
      <c r="AX97" s="584">
        <f t="shared" si="165"/>
        <v>0</v>
      </c>
      <c r="AY97" s="581">
        <f t="shared" si="12"/>
        <v>0</v>
      </c>
      <c r="AZ97" s="581">
        <f t="shared" si="159"/>
        <v>0</v>
      </c>
      <c r="BA97" s="596"/>
      <c r="BB97" s="596"/>
      <c r="BC97" s="644" t="str">
        <f t="shared" si="98"/>
        <v/>
      </c>
      <c r="BD97" s="581" t="str">
        <f t="shared" si="99"/>
        <v/>
      </c>
      <c r="BE97" s="581">
        <f t="shared" si="37"/>
        <v>0</v>
      </c>
      <c r="BF97" s="644" t="str">
        <f t="shared" si="113"/>
        <v/>
      </c>
      <c r="BG97" s="347"/>
      <c r="BH97" s="347"/>
      <c r="BI97" s="347" t="str">
        <f t="shared" si="100"/>
        <v/>
      </c>
      <c r="BJ97" s="586" t="str">
        <f t="shared" si="101"/>
        <v/>
      </c>
      <c r="BK97" s="581">
        <f t="shared" si="15"/>
        <v>0</v>
      </c>
      <c r="BL97" s="347"/>
      <c r="BM97" s="347"/>
      <c r="BN97" s="347" t="str">
        <f t="shared" si="102"/>
        <v/>
      </c>
      <c r="BO97" s="586" t="str">
        <f t="shared" si="79"/>
        <v/>
      </c>
      <c r="BP97" s="584">
        <f t="shared" si="17"/>
        <v>0</v>
      </c>
      <c r="BQ97" s="347"/>
      <c r="BR97" s="581">
        <f t="shared" si="153"/>
        <v>0</v>
      </c>
      <c r="BS97" s="588">
        <f t="shared" si="180"/>
        <v>0</v>
      </c>
      <c r="BT97" s="581">
        <f t="shared" si="20"/>
        <v>0</v>
      </c>
      <c r="BU97" s="589"/>
      <c r="BV97" s="581">
        <f t="shared" si="44"/>
        <v>0</v>
      </c>
      <c r="BW97" s="590"/>
      <c r="BX97" s="347"/>
      <c r="BY97" s="347"/>
      <c r="BZ97" s="347"/>
      <c r="CA97" s="586">
        <f t="shared" si="129"/>
        <v>0</v>
      </c>
      <c r="CB97" s="581">
        <f t="shared" si="160"/>
        <v>0</v>
      </c>
      <c r="CC97" s="581">
        <f t="shared" si="131"/>
        <v>0</v>
      </c>
      <c r="CD97" s="581">
        <f t="shared" si="132"/>
        <v>0</v>
      </c>
      <c r="CE97" s="581">
        <f t="shared" si="133"/>
        <v>0</v>
      </c>
      <c r="CF97" s="581">
        <f t="shared" si="134"/>
        <v>0</v>
      </c>
      <c r="CG97" s="581">
        <f t="shared" si="135"/>
        <v>0</v>
      </c>
      <c r="CH97" s="608" t="str">
        <f t="shared" si="136"/>
        <v>#DIV/0!</v>
      </c>
      <c r="CI97" s="603" t="str">
        <f t="shared" si="137"/>
        <v>#DIV/0!</v>
      </c>
      <c r="CJ97" s="347"/>
      <c r="CK97" s="347">
        <f t="shared" si="138"/>
        <v>0</v>
      </c>
      <c r="CL97" s="539">
        <f t="shared" si="139"/>
        <v>0</v>
      </c>
      <c r="CM97" s="347">
        <f t="shared" si="140"/>
        <v>0</v>
      </c>
      <c r="CN97" s="347">
        <f t="shared" si="141"/>
        <v>0</v>
      </c>
      <c r="CO97" s="347" t="str">
        <f t="shared" si="142"/>
        <v/>
      </c>
      <c r="CP97" s="347"/>
    </row>
    <row r="98">
      <c r="A98" s="574">
        <f t="shared" si="147"/>
        <v>300041</v>
      </c>
      <c r="B98" s="574" t="str">
        <f t="shared" si="1"/>
        <v>Batch 300041</v>
      </c>
      <c r="C98" s="347"/>
      <c r="D98" s="574" t="str">
        <f>CONCATENATE(MID(B98,FIND(" ",B98) + 1,FIND(" ",B98) + 1 - (FIND(" ",B98))),"-",RIGHT(B98,LEN(B98) - 10))</f>
        <v>3-41</v>
      </c>
      <c r="E98" s="347"/>
      <c r="F98" s="596"/>
      <c r="G98" s="596"/>
      <c r="H98" s="347"/>
      <c r="I98" s="347"/>
      <c r="J98" s="583" t="str">
        <f t="shared" si="82"/>
        <v/>
      </c>
      <c r="K98" s="345" t="str">
        <f t="shared" si="177"/>
        <v/>
      </c>
      <c r="L98" s="638" t="str">
        <f t="array" ref="L98">IFERROR(INDEX('Consumed Oil by Batch'!F:F, SMALL(IF(('Consumed Oil by Batch'!A:A=D98)*('Consumed Oil by Batch'!C:C="bio_oil"), ROW('Consumed Oil by Batch'!A:A)), ROW($A$1))), "")</f>
        <v/>
      </c>
      <c r="M98" s="345" t="str">
        <f t="shared" ref="M98:N98" si="181">IFERROR(INDEX('Consumed Oil by Batch'!H:H, SMALL(IF(('Consumed Oil by Batch'!$A:$A=$D98)*('Consumed Oil by Batch'!$C:$C="bio_oil"), ROW('Consumed Oil by Batch'!A:A)), ROW($A$1)), ""),"")</f>
        <v/>
      </c>
      <c r="N98" s="345" t="str">
        <f t="shared" si="181"/>
        <v/>
      </c>
      <c r="O98" s="579">
        <f t="shared" si="2"/>
        <v>0</v>
      </c>
      <c r="P98" s="579">
        <f t="shared" si="126"/>
        <v>0</v>
      </c>
      <c r="Q98" s="638" t="str">
        <f t="shared" si="87"/>
        <v/>
      </c>
      <c r="R98" s="347"/>
      <c r="S98" s="345" t="str">
        <f t="shared" si="89"/>
        <v/>
      </c>
      <c r="T98" s="345" t="str">
        <f t="shared" si="90"/>
        <v/>
      </c>
      <c r="U98" s="579">
        <f t="shared" si="48"/>
        <v>0</v>
      </c>
      <c r="V98" s="579">
        <f t="shared" si="49"/>
        <v>0</v>
      </c>
      <c r="W98" s="574" t="str">
        <f t="shared" si="179"/>
        <v/>
      </c>
      <c r="X98" s="347" t="str">
        <f t="shared" si="170"/>
        <v/>
      </c>
      <c r="Y98" s="345" t="str">
        <f t="shared" si="103"/>
        <v/>
      </c>
      <c r="Z98" s="347" t="str">
        <f t="shared" si="171"/>
        <v/>
      </c>
      <c r="AA98" s="579">
        <f t="shared" si="6"/>
        <v>0</v>
      </c>
      <c r="AB98" s="581">
        <f t="shared" si="105"/>
        <v>0</v>
      </c>
      <c r="AC98" s="638" t="str">
        <f t="shared" si="172"/>
        <v/>
      </c>
      <c r="AD98" s="347" t="str">
        <f t="shared" si="176"/>
        <v/>
      </c>
      <c r="AE98" s="347" t="str">
        <f t="shared" si="173"/>
        <v/>
      </c>
      <c r="AF98" s="347" t="str">
        <f t="shared" si="174"/>
        <v/>
      </c>
      <c r="AG98" s="579">
        <f t="shared" si="54"/>
        <v>0</v>
      </c>
      <c r="AH98" s="579">
        <f t="shared" si="175"/>
        <v>0</v>
      </c>
      <c r="AI98" s="582"/>
      <c r="AJ98" s="582"/>
      <c r="AK98" s="582"/>
      <c r="AL98" s="582"/>
      <c r="AM98" s="579"/>
      <c r="AN98" s="579"/>
      <c r="AO98" s="347"/>
      <c r="AP98" s="581">
        <f t="shared" si="164"/>
        <v>0</v>
      </c>
      <c r="AQ98" s="596"/>
      <c r="AR98" s="596"/>
      <c r="AS98" s="348" t="str">
        <f t="shared" si="118"/>
        <v/>
      </c>
      <c r="AT98" s="348"/>
      <c r="AU98" s="348"/>
      <c r="AV98" s="348"/>
      <c r="AW98" s="348"/>
      <c r="AX98" s="584">
        <f t="shared" si="165"/>
        <v>0</v>
      </c>
      <c r="AY98" s="581">
        <f t="shared" si="12"/>
        <v>0</v>
      </c>
      <c r="AZ98" s="581">
        <f t="shared" si="159"/>
        <v>0</v>
      </c>
      <c r="BA98" s="596"/>
      <c r="BB98" s="596"/>
      <c r="BC98" s="644" t="str">
        <f t="shared" si="98"/>
        <v/>
      </c>
      <c r="BD98" s="581" t="str">
        <f t="shared" si="99"/>
        <v/>
      </c>
      <c r="BE98" s="581">
        <f t="shared" si="37"/>
        <v>0</v>
      </c>
      <c r="BF98" s="644" t="str">
        <f t="shared" si="113"/>
        <v/>
      </c>
      <c r="BG98" s="347"/>
      <c r="BH98" s="347"/>
      <c r="BI98" s="347" t="str">
        <f t="shared" si="100"/>
        <v/>
      </c>
      <c r="BJ98" s="586" t="str">
        <f t="shared" si="101"/>
        <v/>
      </c>
      <c r="BK98" s="581">
        <f t="shared" si="15"/>
        <v>0</v>
      </c>
      <c r="BL98" s="347"/>
      <c r="BM98" s="347"/>
      <c r="BN98" s="347" t="str">
        <f t="shared" si="102"/>
        <v/>
      </c>
      <c r="BO98" s="586" t="str">
        <f t="shared" si="79"/>
        <v/>
      </c>
      <c r="BP98" s="584">
        <f t="shared" si="17"/>
        <v>0</v>
      </c>
      <c r="BQ98" s="347"/>
      <c r="BR98" s="581">
        <f t="shared" si="153"/>
        <v>0</v>
      </c>
      <c r="BS98" s="588">
        <f t="shared" si="180"/>
        <v>0</v>
      </c>
      <c r="BT98" s="581">
        <f t="shared" si="20"/>
        <v>0</v>
      </c>
      <c r="BU98" s="589"/>
      <c r="BV98" s="581">
        <f t="shared" si="44"/>
        <v>0</v>
      </c>
      <c r="BW98" s="590"/>
      <c r="BX98" s="347"/>
      <c r="BY98" s="347"/>
      <c r="BZ98" s="347"/>
      <c r="CA98" s="586">
        <f t="shared" si="129"/>
        <v>0</v>
      </c>
      <c r="CB98" s="581">
        <f t="shared" si="160"/>
        <v>0</v>
      </c>
      <c r="CC98" s="581">
        <f t="shared" si="131"/>
        <v>0</v>
      </c>
      <c r="CD98" s="581">
        <f t="shared" si="132"/>
        <v>0</v>
      </c>
      <c r="CE98" s="581">
        <f t="shared" si="133"/>
        <v>0</v>
      </c>
      <c r="CF98" s="581">
        <f t="shared" si="134"/>
        <v>0</v>
      </c>
      <c r="CG98" s="581">
        <f t="shared" si="135"/>
        <v>0</v>
      </c>
      <c r="CH98" s="608" t="str">
        <f t="shared" si="136"/>
        <v>#DIV/0!</v>
      </c>
      <c r="CI98" s="603" t="str">
        <f t="shared" si="137"/>
        <v>#DIV/0!</v>
      </c>
      <c r="CJ98" s="347"/>
      <c r="CK98" s="347">
        <f t="shared" si="138"/>
        <v>0</v>
      </c>
      <c r="CL98" s="539">
        <f t="shared" si="139"/>
        <v>0</v>
      </c>
      <c r="CM98" s="347">
        <f t="shared" si="140"/>
        <v>0</v>
      </c>
      <c r="CN98" s="347">
        <f t="shared" si="141"/>
        <v>0</v>
      </c>
      <c r="CO98" s="347" t="str">
        <f t="shared" si="142"/>
        <v/>
      </c>
      <c r="CP98" s="347"/>
    </row>
    <row r="99">
      <c r="A99" s="574">
        <f t="shared" si="147"/>
        <v>200109</v>
      </c>
      <c r="B99" s="574" t="str">
        <f t="shared" si="1"/>
        <v>Batch 200109</v>
      </c>
      <c r="C99" s="347"/>
      <c r="D99" s="574" t="str">
        <f>CONCATENATE(LEFT(MID(B99,FIND(" ",B99) + 1,10),1),"-",RIGHT(B99,3))</f>
        <v>2-109</v>
      </c>
      <c r="E99" s="347"/>
      <c r="F99" s="596"/>
      <c r="G99" s="596"/>
      <c r="H99" s="347"/>
      <c r="I99" s="347"/>
      <c r="J99" s="583" t="str">
        <f t="shared" si="82"/>
        <v/>
      </c>
      <c r="K99" s="345" t="str">
        <f t="shared" si="177"/>
        <v/>
      </c>
      <c r="L99" s="345" t="str">
        <f t="array" ref="L99">IFERROR(INDEX('Consumed Oil by Batch'!F:F, SMALL(IF('Consumed Oil by Batch'!A:A=D99, ROW('Consumed Oil by Batch'!A:A)), ROW($A$1))), "")</f>
        <v/>
      </c>
      <c r="M99" s="345" t="str">
        <f t="array" ref="M99">IFERROR(INDEX('Consumed Oil by Batch'!H:H, SMALL(IF('Consumed Oil by Batch'!A:A=D99, ROW('Consumed Oil by Batch'!A:A)), ROW($A$1))), "")</f>
        <v/>
      </c>
      <c r="N99" s="345" t="str">
        <f t="array" ref="N99">IFERROR(INDEX('Consumed Oil by Batch'!I:I, SMALL(IF('Consumed Oil by Batch'!A:A=D99, ROW('Consumed Oil by Batch'!A:A)), ROW($A$1))), "")</f>
        <v/>
      </c>
      <c r="O99" s="579">
        <f t="shared" si="2"/>
        <v>0</v>
      </c>
      <c r="P99" s="579">
        <f t="shared" si="126"/>
        <v>0</v>
      </c>
      <c r="Q99" s="638" t="str">
        <f t="shared" si="87"/>
        <v/>
      </c>
      <c r="R99" s="347"/>
      <c r="S99" s="345" t="str">
        <f t="shared" si="89"/>
        <v/>
      </c>
      <c r="T99" s="345" t="str">
        <f t="shared" si="90"/>
        <v/>
      </c>
      <c r="U99" s="579">
        <f t="shared" si="48"/>
        <v>0</v>
      </c>
      <c r="V99" s="579">
        <f t="shared" si="49"/>
        <v>0</v>
      </c>
      <c r="W99" s="574" t="str">
        <f t="shared" si="179"/>
        <v/>
      </c>
      <c r="X99" s="347" t="str">
        <f t="shared" si="170"/>
        <v/>
      </c>
      <c r="Y99" s="345" t="str">
        <f t="shared" si="103"/>
        <v/>
      </c>
      <c r="Z99" s="347" t="str">
        <f t="shared" si="171"/>
        <v/>
      </c>
      <c r="AA99" s="579">
        <f t="shared" si="6"/>
        <v>0</v>
      </c>
      <c r="AB99" s="581">
        <f t="shared" si="105"/>
        <v>0</v>
      </c>
      <c r="AC99" s="638" t="str">
        <f t="shared" si="172"/>
        <v/>
      </c>
      <c r="AD99" s="347" t="str">
        <f t="shared" si="176"/>
        <v/>
      </c>
      <c r="AE99" s="347" t="str">
        <f t="shared" si="173"/>
        <v/>
      </c>
      <c r="AF99" s="347" t="str">
        <f t="shared" si="174"/>
        <v/>
      </c>
      <c r="AG99" s="579">
        <f t="shared" si="54"/>
        <v>0</v>
      </c>
      <c r="AH99" s="579">
        <f t="shared" si="175"/>
        <v>0</v>
      </c>
      <c r="AI99" s="582"/>
      <c r="AJ99" s="582"/>
      <c r="AK99" s="582"/>
      <c r="AL99" s="582"/>
      <c r="AM99" s="579"/>
      <c r="AN99" s="579"/>
      <c r="AO99" s="347"/>
      <c r="AP99" s="581">
        <f t="shared" si="164"/>
        <v>0</v>
      </c>
      <c r="AQ99" s="596"/>
      <c r="AR99" s="596"/>
      <c r="AS99" s="348" t="str">
        <f t="shared" si="118"/>
        <v/>
      </c>
      <c r="AT99" s="348"/>
      <c r="AU99" s="348"/>
      <c r="AV99" s="348"/>
      <c r="AW99" s="348"/>
      <c r="AX99" s="584">
        <f t="shared" si="165"/>
        <v>0</v>
      </c>
      <c r="AY99" s="581">
        <f t="shared" si="12"/>
        <v>0</v>
      </c>
      <c r="AZ99" s="581">
        <f t="shared" si="159"/>
        <v>0</v>
      </c>
      <c r="BA99" s="596"/>
      <c r="BB99" s="596"/>
      <c r="BC99" s="644" t="str">
        <f t="shared" si="98"/>
        <v/>
      </c>
      <c r="BD99" s="581" t="str">
        <f t="shared" si="99"/>
        <v/>
      </c>
      <c r="BE99" s="581">
        <f t="shared" si="37"/>
        <v>0</v>
      </c>
      <c r="BF99" s="644" t="str">
        <f t="shared" si="113"/>
        <v/>
      </c>
      <c r="BG99" s="347"/>
      <c r="BH99" s="347"/>
      <c r="BI99" s="347" t="str">
        <f t="shared" si="100"/>
        <v/>
      </c>
      <c r="BJ99" s="586" t="str">
        <f t="shared" si="101"/>
        <v/>
      </c>
      <c r="BK99" s="581">
        <f t="shared" si="15"/>
        <v>0</v>
      </c>
      <c r="BL99" s="347"/>
      <c r="BM99" s="347"/>
      <c r="BN99" s="347" t="str">
        <f t="shared" si="102"/>
        <v/>
      </c>
      <c r="BO99" s="586" t="str">
        <f t="shared" si="79"/>
        <v/>
      </c>
      <c r="BP99" s="584">
        <f t="shared" si="17"/>
        <v>0</v>
      </c>
      <c r="BQ99" s="347"/>
      <c r="BR99" s="581">
        <f t="shared" si="153"/>
        <v>0</v>
      </c>
      <c r="BS99" s="588">
        <f t="shared" si="180"/>
        <v>0</v>
      </c>
      <c r="BT99" s="581">
        <f t="shared" si="20"/>
        <v>0</v>
      </c>
      <c r="BU99" s="589"/>
      <c r="BV99" s="581">
        <f t="shared" si="44"/>
        <v>0</v>
      </c>
      <c r="BW99" s="590"/>
      <c r="BX99" s="347"/>
      <c r="BY99" s="347"/>
      <c r="BZ99" s="347"/>
      <c r="CA99" s="586">
        <f t="shared" si="129"/>
        <v>0</v>
      </c>
      <c r="CB99" s="581">
        <f t="shared" si="160"/>
        <v>0</v>
      </c>
      <c r="CC99" s="581">
        <f t="shared" si="131"/>
        <v>0</v>
      </c>
      <c r="CD99" s="581">
        <f t="shared" si="132"/>
        <v>0</v>
      </c>
      <c r="CE99" s="581">
        <f t="shared" si="133"/>
        <v>0</v>
      </c>
      <c r="CF99" s="581">
        <f t="shared" si="134"/>
        <v>0</v>
      </c>
      <c r="CG99" s="581">
        <f t="shared" si="135"/>
        <v>0</v>
      </c>
      <c r="CH99" s="608" t="str">
        <f t="shared" si="136"/>
        <v>#DIV/0!</v>
      </c>
      <c r="CI99" s="603" t="str">
        <f t="shared" si="137"/>
        <v>#DIV/0!</v>
      </c>
      <c r="CJ99" s="347"/>
      <c r="CK99" s="347">
        <f t="shared" si="138"/>
        <v>0</v>
      </c>
      <c r="CL99" s="539">
        <f t="shared" si="139"/>
        <v>0</v>
      </c>
      <c r="CM99" s="347">
        <f t="shared" si="140"/>
        <v>0</v>
      </c>
      <c r="CN99" s="347">
        <f t="shared" si="141"/>
        <v>0</v>
      </c>
      <c r="CO99" s="347" t="str">
        <f t="shared" si="142"/>
        <v/>
      </c>
      <c r="CP99" s="347"/>
    </row>
    <row r="100">
      <c r="A100" s="574">
        <f t="shared" si="147"/>
        <v>300042</v>
      </c>
      <c r="B100" s="574" t="str">
        <f t="shared" si="1"/>
        <v>Batch 300042</v>
      </c>
      <c r="C100" s="347"/>
      <c r="D100" s="574" t="str">
        <f>CONCATENATE(MID(B100,FIND(" ",B100) + 1,FIND(" ",B100) + 1 - (FIND(" ",B100))),"-",RIGHT(B100,LEN(B100) - 10))</f>
        <v>3-42</v>
      </c>
      <c r="E100" s="347"/>
      <c r="F100" s="596"/>
      <c r="G100" s="596"/>
      <c r="H100" s="347"/>
      <c r="I100" s="347"/>
      <c r="J100" s="583" t="str">
        <f t="shared" si="82"/>
        <v/>
      </c>
      <c r="K100" s="345" t="str">
        <f t="shared" si="177"/>
        <v/>
      </c>
      <c r="L100" s="638" t="str">
        <f t="array" ref="L100">IFERROR(INDEX('Consumed Oil by Batch'!F:F, SMALL(IF(('Consumed Oil by Batch'!A:A=D100)*('Consumed Oil by Batch'!C:C="bio_oil"), ROW('Consumed Oil by Batch'!A:A)), ROW($A$1))), "")</f>
        <v/>
      </c>
      <c r="M100" s="345" t="str">
        <f t="shared" ref="M100:N100" si="182">IFERROR(INDEX('Consumed Oil by Batch'!H:H, SMALL(IF(('Consumed Oil by Batch'!$A:$A=$D100)*('Consumed Oil by Batch'!$C:$C="bio_oil"), ROW('Consumed Oil by Batch'!A:A)), ROW($A$1)), ""),"")</f>
        <v/>
      </c>
      <c r="N100" s="345" t="str">
        <f t="shared" si="182"/>
        <v/>
      </c>
      <c r="O100" s="579">
        <f t="shared" si="2"/>
        <v>0</v>
      </c>
      <c r="P100" s="579">
        <f t="shared" si="126"/>
        <v>0</v>
      </c>
      <c r="Q100" s="638" t="str">
        <f t="shared" si="87"/>
        <v/>
      </c>
      <c r="R100" s="347"/>
      <c r="S100" s="345" t="str">
        <f t="shared" si="89"/>
        <v/>
      </c>
      <c r="T100" s="345" t="str">
        <f t="shared" si="90"/>
        <v/>
      </c>
      <c r="U100" s="579">
        <f t="shared" si="48"/>
        <v>0</v>
      </c>
      <c r="V100" s="579">
        <f t="shared" si="49"/>
        <v>0</v>
      </c>
      <c r="W100" s="574" t="str">
        <f t="shared" si="179"/>
        <v/>
      </c>
      <c r="X100" s="347" t="str">
        <f t="shared" si="170"/>
        <v/>
      </c>
      <c r="Y100" s="345" t="str">
        <f t="shared" si="103"/>
        <v/>
      </c>
      <c r="Z100" s="347" t="str">
        <f t="shared" si="171"/>
        <v/>
      </c>
      <c r="AA100" s="579">
        <f t="shared" si="6"/>
        <v>0</v>
      </c>
      <c r="AB100" s="581">
        <f t="shared" si="105"/>
        <v>0</v>
      </c>
      <c r="AC100" s="347" t="str">
        <f t="shared" ref="AC100:AC168" si="183">IFERROR(INDEX('Consumed Oil by Batch'!D:D, SMALL(IF('Consumed Oil by Batch'!A:A=D100, ROW('Consumed Oil by Batch'!A:A)), ROW($A$4))), "")</f>
        <v/>
      </c>
      <c r="AD100" s="347" t="str">
        <f t="shared" si="176"/>
        <v/>
      </c>
      <c r="AE100" s="347" t="str">
        <f t="shared" si="173"/>
        <v/>
      </c>
      <c r="AF100" s="347" t="str">
        <f t="shared" si="174"/>
        <v/>
      </c>
      <c r="AG100" s="579">
        <f t="shared" si="54"/>
        <v>0</v>
      </c>
      <c r="AH100" s="579">
        <f t="shared" si="175"/>
        <v>0</v>
      </c>
      <c r="AI100" s="582"/>
      <c r="AJ100" s="582"/>
      <c r="AK100" s="582"/>
      <c r="AL100" s="582"/>
      <c r="AM100" s="579"/>
      <c r="AN100" s="579"/>
      <c r="AO100" s="347"/>
      <c r="AP100" s="581">
        <f t="shared" si="164"/>
        <v>0</v>
      </c>
      <c r="AQ100" s="596"/>
      <c r="AR100" s="596"/>
      <c r="AS100" s="348" t="str">
        <f t="shared" si="118"/>
        <v/>
      </c>
      <c r="AT100" s="348"/>
      <c r="AU100" s="348"/>
      <c r="AV100" s="348"/>
      <c r="AW100" s="348"/>
      <c r="AX100" s="584">
        <f t="shared" si="165"/>
        <v>0</v>
      </c>
      <c r="AY100" s="581">
        <f t="shared" si="12"/>
        <v>0</v>
      </c>
      <c r="AZ100" s="581">
        <f t="shared" si="159"/>
        <v>0</v>
      </c>
      <c r="BA100" s="596"/>
      <c r="BB100" s="596"/>
      <c r="BC100" s="644" t="str">
        <f t="shared" si="98"/>
        <v/>
      </c>
      <c r="BD100" s="581" t="str">
        <f t="shared" si="99"/>
        <v/>
      </c>
      <c r="BE100" s="581">
        <f t="shared" si="37"/>
        <v>0</v>
      </c>
      <c r="BF100" s="644" t="str">
        <f t="shared" si="113"/>
        <v/>
      </c>
      <c r="BG100" s="347"/>
      <c r="BH100" s="347"/>
      <c r="BI100" s="347" t="str">
        <f t="shared" si="100"/>
        <v/>
      </c>
      <c r="BJ100" s="586" t="str">
        <f t="shared" si="101"/>
        <v/>
      </c>
      <c r="BK100" s="581">
        <f t="shared" si="15"/>
        <v>0</v>
      </c>
      <c r="BL100" s="347"/>
      <c r="BM100" s="347"/>
      <c r="BN100" s="347" t="str">
        <f t="shared" si="102"/>
        <v/>
      </c>
      <c r="BO100" s="586" t="str">
        <f t="shared" si="79"/>
        <v/>
      </c>
      <c r="BP100" s="584">
        <f t="shared" si="17"/>
        <v>0</v>
      </c>
      <c r="BQ100" s="347"/>
      <c r="BR100" s="581">
        <f t="shared" si="153"/>
        <v>0</v>
      </c>
      <c r="BS100" s="588">
        <f t="shared" si="180"/>
        <v>0</v>
      </c>
      <c r="BT100" s="581">
        <f t="shared" si="20"/>
        <v>0</v>
      </c>
      <c r="BU100" s="589"/>
      <c r="BV100" s="581">
        <f t="shared" si="44"/>
        <v>0</v>
      </c>
      <c r="BW100" s="590"/>
      <c r="BX100" s="347"/>
      <c r="BY100" s="347"/>
      <c r="BZ100" s="347"/>
      <c r="CA100" s="586">
        <f t="shared" si="129"/>
        <v>0</v>
      </c>
      <c r="CB100" s="581">
        <f t="shared" si="160"/>
        <v>0</v>
      </c>
      <c r="CC100" s="581">
        <f t="shared" si="131"/>
        <v>0</v>
      </c>
      <c r="CD100" s="581">
        <f t="shared" si="132"/>
        <v>0</v>
      </c>
      <c r="CE100" s="581">
        <f t="shared" si="133"/>
        <v>0</v>
      </c>
      <c r="CF100" s="581">
        <f t="shared" si="134"/>
        <v>0</v>
      </c>
      <c r="CG100" s="581">
        <f t="shared" si="135"/>
        <v>0</v>
      </c>
      <c r="CH100" s="608" t="str">
        <f t="shared" si="136"/>
        <v>#DIV/0!</v>
      </c>
      <c r="CI100" s="603" t="str">
        <f t="shared" si="137"/>
        <v>#DIV/0!</v>
      </c>
      <c r="CJ100" s="347"/>
      <c r="CK100" s="347">
        <f t="shared" si="138"/>
        <v>0</v>
      </c>
      <c r="CL100" s="539">
        <f t="shared" si="139"/>
        <v>0</v>
      </c>
      <c r="CM100" s="347">
        <f t="shared" si="140"/>
        <v>0</v>
      </c>
      <c r="CN100" s="347">
        <f t="shared" si="141"/>
        <v>0</v>
      </c>
      <c r="CO100" s="347" t="str">
        <f t="shared" si="142"/>
        <v/>
      </c>
      <c r="CP100" s="347"/>
    </row>
    <row r="101">
      <c r="A101" s="574">
        <f t="shared" si="147"/>
        <v>200110</v>
      </c>
      <c r="B101" s="574" t="str">
        <f t="shared" si="1"/>
        <v>Batch 200110</v>
      </c>
      <c r="C101" s="347"/>
      <c r="D101" s="574" t="str">
        <f>CONCATENATE(LEFT(MID(B101,FIND(" ",B101) + 1,10),1),"-",RIGHT(B101,3))</f>
        <v>2-110</v>
      </c>
      <c r="E101" s="347"/>
      <c r="F101" s="596"/>
      <c r="G101" s="596"/>
      <c r="H101" s="347"/>
      <c r="I101" s="347"/>
      <c r="J101" s="583" t="str">
        <f t="shared" si="82"/>
        <v/>
      </c>
      <c r="K101" s="345" t="str">
        <f t="shared" si="177"/>
        <v/>
      </c>
      <c r="L101" s="345" t="str">
        <f t="shared" ref="L101:L144" si="184">IFERROR(INDEX('Consumed Oil by Batch'!F:F, SMALL(IF('Consumed Oil by Batch'!A:A=D101, ROW('Consumed Oil by Batch'!A:A)), ROW($A$1))), "")</f>
        <v/>
      </c>
      <c r="M101" s="345" t="str">
        <f t="shared" ref="M101:M144" si="185">IFERROR(INDEX('Consumed Oil by Batch'!H:H, SMALL(IF('Consumed Oil by Batch'!A:A=D101, ROW('Consumed Oil by Batch'!A:A)), ROW($A$1))), "")</f>
        <v/>
      </c>
      <c r="N101" s="345" t="str">
        <f t="shared" ref="N101:N144" si="186">IFERROR(INDEX('Consumed Oil by Batch'!I:I, SMALL(IF('Consumed Oil by Batch'!A:A=D101, ROW('Consumed Oil by Batch'!A:A)), ROW($A$1))), "")</f>
        <v/>
      </c>
      <c r="O101" s="579">
        <f t="shared" si="2"/>
        <v>0</v>
      </c>
      <c r="P101" s="579">
        <f t="shared" si="126"/>
        <v>0</v>
      </c>
      <c r="Q101" s="638" t="str">
        <f t="shared" si="87"/>
        <v/>
      </c>
      <c r="R101" s="347"/>
      <c r="S101" s="345" t="str">
        <f t="shared" si="89"/>
        <v/>
      </c>
      <c r="T101" s="345" t="str">
        <f t="shared" si="90"/>
        <v/>
      </c>
      <c r="U101" s="579">
        <f t="shared" si="48"/>
        <v>0</v>
      </c>
      <c r="V101" s="579">
        <f t="shared" si="49"/>
        <v>0</v>
      </c>
      <c r="W101" s="574" t="str">
        <f t="shared" si="179"/>
        <v/>
      </c>
      <c r="X101" s="347" t="str">
        <f t="shared" si="170"/>
        <v/>
      </c>
      <c r="Y101" s="345" t="str">
        <f t="shared" si="103"/>
        <v/>
      </c>
      <c r="Z101" s="347" t="str">
        <f t="shared" si="171"/>
        <v/>
      </c>
      <c r="AA101" s="579">
        <f t="shared" si="6"/>
        <v>0</v>
      </c>
      <c r="AB101" s="581">
        <f t="shared" si="105"/>
        <v>0</v>
      </c>
      <c r="AC101" s="347" t="str">
        <f t="shared" si="183"/>
        <v/>
      </c>
      <c r="AD101" s="347" t="str">
        <f t="shared" si="176"/>
        <v/>
      </c>
      <c r="AE101" s="347" t="str">
        <f t="shared" si="173"/>
        <v/>
      </c>
      <c r="AF101" s="347" t="str">
        <f t="shared" si="174"/>
        <v/>
      </c>
      <c r="AG101" s="579">
        <f t="shared" si="54"/>
        <v>0</v>
      </c>
      <c r="AH101" s="579">
        <f t="shared" si="175"/>
        <v>0</v>
      </c>
      <c r="AI101" s="582"/>
      <c r="AJ101" s="582"/>
      <c r="AK101" s="582"/>
      <c r="AL101" s="582"/>
      <c r="AM101" s="579"/>
      <c r="AN101" s="579"/>
      <c r="AO101" s="347"/>
      <c r="AP101" s="581">
        <f t="shared" si="164"/>
        <v>0</v>
      </c>
      <c r="AQ101" s="596"/>
      <c r="AR101" s="596"/>
      <c r="AS101" s="348" t="str">
        <f t="shared" si="118"/>
        <v/>
      </c>
      <c r="AT101" s="348"/>
      <c r="AU101" s="348"/>
      <c r="AV101" s="348"/>
      <c r="AW101" s="348"/>
      <c r="AX101" s="584">
        <f t="shared" si="165"/>
        <v>0</v>
      </c>
      <c r="AY101" s="581">
        <f t="shared" si="12"/>
        <v>0</v>
      </c>
      <c r="AZ101" s="581">
        <f t="shared" si="159"/>
        <v>0</v>
      </c>
      <c r="BA101" s="596"/>
      <c r="BB101" s="596"/>
      <c r="BC101" s="644" t="str">
        <f t="shared" si="98"/>
        <v/>
      </c>
      <c r="BD101" s="581" t="str">
        <f t="shared" si="99"/>
        <v/>
      </c>
      <c r="BE101" s="581">
        <f t="shared" si="37"/>
        <v>0</v>
      </c>
      <c r="BF101" s="644" t="str">
        <f t="shared" si="113"/>
        <v/>
      </c>
      <c r="BG101" s="347"/>
      <c r="BH101" s="347"/>
      <c r="BI101" s="347" t="str">
        <f t="shared" si="100"/>
        <v/>
      </c>
      <c r="BJ101" s="586" t="str">
        <f t="shared" si="101"/>
        <v/>
      </c>
      <c r="BK101" s="581">
        <f t="shared" si="15"/>
        <v>0</v>
      </c>
      <c r="BL101" s="347"/>
      <c r="BM101" s="347"/>
      <c r="BN101" s="347" t="str">
        <f t="shared" si="102"/>
        <v/>
      </c>
      <c r="BO101" s="586" t="str">
        <f t="shared" si="79"/>
        <v/>
      </c>
      <c r="BP101" s="584">
        <f t="shared" si="17"/>
        <v>0</v>
      </c>
      <c r="BQ101" s="347"/>
      <c r="BR101" s="581">
        <f t="shared" si="153"/>
        <v>0</v>
      </c>
      <c r="BS101" s="588">
        <f t="shared" si="180"/>
        <v>0</v>
      </c>
      <c r="BT101" s="581">
        <f t="shared" si="20"/>
        <v>0</v>
      </c>
      <c r="BU101" s="589"/>
      <c r="BV101" s="581">
        <f t="shared" si="44"/>
        <v>0</v>
      </c>
      <c r="BW101" s="590"/>
      <c r="BX101" s="347"/>
      <c r="BY101" s="347"/>
      <c r="BZ101" s="347"/>
      <c r="CA101" s="586">
        <f t="shared" si="129"/>
        <v>0</v>
      </c>
      <c r="CB101" s="581">
        <f t="shared" si="160"/>
        <v>0</v>
      </c>
      <c r="CC101" s="581">
        <f t="shared" si="131"/>
        <v>0</v>
      </c>
      <c r="CD101" s="581">
        <f t="shared" si="132"/>
        <v>0</v>
      </c>
      <c r="CE101" s="581">
        <f t="shared" si="133"/>
        <v>0</v>
      </c>
      <c r="CF101" s="581">
        <f t="shared" si="134"/>
        <v>0</v>
      </c>
      <c r="CG101" s="581">
        <f t="shared" si="135"/>
        <v>0</v>
      </c>
      <c r="CH101" s="608" t="str">
        <f t="shared" si="136"/>
        <v>#DIV/0!</v>
      </c>
      <c r="CI101" s="603" t="str">
        <f t="shared" si="137"/>
        <v>#DIV/0!</v>
      </c>
      <c r="CJ101" s="347"/>
      <c r="CK101" s="347">
        <f t="shared" si="138"/>
        <v>0</v>
      </c>
      <c r="CL101" s="539">
        <f t="shared" si="139"/>
        <v>0</v>
      </c>
      <c r="CM101" s="347">
        <f t="shared" si="140"/>
        <v>0</v>
      </c>
      <c r="CN101" s="347">
        <f t="shared" si="141"/>
        <v>0</v>
      </c>
      <c r="CO101" s="347" t="str">
        <f t="shared" si="142"/>
        <v/>
      </c>
      <c r="CP101" s="347"/>
    </row>
    <row r="102">
      <c r="A102" s="574">
        <f t="shared" si="147"/>
        <v>300043</v>
      </c>
      <c r="B102" s="574" t="str">
        <f t="shared" si="1"/>
        <v>Batch 300043</v>
      </c>
      <c r="C102" s="347"/>
      <c r="D102" s="574" t="str">
        <f>CONCATENATE(MID(B102,FIND(" ",B102) + 1,FIND(" ",B102) + 1 - (FIND(" ",B102))),"-",RIGHT(B102,LEN(B102) - 10))</f>
        <v>3-43</v>
      </c>
      <c r="E102" s="347"/>
      <c r="F102" s="596"/>
      <c r="G102" s="596"/>
      <c r="H102" s="347"/>
      <c r="I102" s="347"/>
      <c r="J102" s="583" t="str">
        <f t="shared" si="82"/>
        <v/>
      </c>
      <c r="K102" s="345" t="str">
        <f t="shared" si="177"/>
        <v/>
      </c>
      <c r="L102" s="345" t="str">
        <f t="shared" si="184"/>
        <v/>
      </c>
      <c r="M102" s="345" t="str">
        <f t="shared" si="185"/>
        <v/>
      </c>
      <c r="N102" s="345" t="str">
        <f t="shared" si="186"/>
        <v/>
      </c>
      <c r="O102" s="579">
        <f t="shared" si="2"/>
        <v>0</v>
      </c>
      <c r="P102" s="579">
        <f t="shared" si="126"/>
        <v>0</v>
      </c>
      <c r="Q102" s="574"/>
      <c r="R102" s="347"/>
      <c r="S102" s="345" t="str">
        <f t="shared" si="89"/>
        <v/>
      </c>
      <c r="T102" s="345" t="str">
        <f t="shared" si="90"/>
        <v/>
      </c>
      <c r="U102" s="579">
        <f t="shared" si="48"/>
        <v>0</v>
      </c>
      <c r="V102" s="579">
        <f t="shared" si="49"/>
        <v>0</v>
      </c>
      <c r="W102" s="574" t="str">
        <f t="shared" si="179"/>
        <v/>
      </c>
      <c r="X102" s="347" t="str">
        <f t="shared" si="170"/>
        <v/>
      </c>
      <c r="Y102" s="345" t="str">
        <f t="shared" si="103"/>
        <v/>
      </c>
      <c r="Z102" s="347" t="str">
        <f t="shared" si="171"/>
        <v/>
      </c>
      <c r="AA102" s="579">
        <f t="shared" si="6"/>
        <v>0</v>
      </c>
      <c r="AB102" s="581">
        <f t="shared" si="105"/>
        <v>0</v>
      </c>
      <c r="AC102" s="347" t="str">
        <f t="shared" si="183"/>
        <v/>
      </c>
      <c r="AD102" s="347" t="str">
        <f t="shared" si="176"/>
        <v/>
      </c>
      <c r="AE102" s="347" t="str">
        <f t="shared" si="173"/>
        <v/>
      </c>
      <c r="AF102" s="347" t="str">
        <f t="shared" si="174"/>
        <v/>
      </c>
      <c r="AG102" s="579">
        <f t="shared" si="54"/>
        <v>0</v>
      </c>
      <c r="AH102" s="579">
        <f t="shared" si="175"/>
        <v>0</v>
      </c>
      <c r="AI102" s="582"/>
      <c r="AJ102" s="582"/>
      <c r="AK102" s="582"/>
      <c r="AL102" s="582"/>
      <c r="AM102" s="579"/>
      <c r="AN102" s="579"/>
      <c r="AO102" s="347"/>
      <c r="AP102" s="581">
        <f t="shared" si="164"/>
        <v>0</v>
      </c>
      <c r="AQ102" s="596"/>
      <c r="AR102" s="596"/>
      <c r="AS102" s="348" t="str">
        <f t="shared" si="118"/>
        <v/>
      </c>
      <c r="AT102" s="348"/>
      <c r="AU102" s="348"/>
      <c r="AV102" s="348"/>
      <c r="AW102" s="348"/>
      <c r="AX102" s="584">
        <f t="shared" si="165"/>
        <v>0</v>
      </c>
      <c r="AY102" s="581">
        <f t="shared" si="12"/>
        <v>0</v>
      </c>
      <c r="AZ102" s="581">
        <f t="shared" si="159"/>
        <v>0</v>
      </c>
      <c r="BA102" s="596"/>
      <c r="BB102" s="596"/>
      <c r="BC102" s="644" t="str">
        <f t="shared" si="98"/>
        <v/>
      </c>
      <c r="BD102" s="581" t="str">
        <f t="shared" si="99"/>
        <v/>
      </c>
      <c r="BE102" s="581">
        <f t="shared" si="37"/>
        <v>0</v>
      </c>
      <c r="BF102" s="644" t="str">
        <f t="shared" si="113"/>
        <v/>
      </c>
      <c r="BG102" s="347"/>
      <c r="BH102" s="347"/>
      <c r="BI102" s="347" t="str">
        <f t="shared" si="100"/>
        <v/>
      </c>
      <c r="BJ102" s="586" t="str">
        <f t="shared" si="101"/>
        <v/>
      </c>
      <c r="BK102" s="581">
        <f t="shared" si="15"/>
        <v>0</v>
      </c>
      <c r="BL102" s="347"/>
      <c r="BM102" s="347"/>
      <c r="BN102" s="347" t="str">
        <f t="shared" si="102"/>
        <v/>
      </c>
      <c r="BO102" s="586" t="str">
        <f t="shared" si="79"/>
        <v/>
      </c>
      <c r="BP102" s="584">
        <f t="shared" si="17"/>
        <v>0</v>
      </c>
      <c r="BQ102" s="347"/>
      <c r="BR102" s="581">
        <f t="shared" si="153"/>
        <v>0</v>
      </c>
      <c r="BS102" s="588">
        <f t="shared" si="180"/>
        <v>0</v>
      </c>
      <c r="BT102" s="581">
        <f t="shared" si="20"/>
        <v>0</v>
      </c>
      <c r="BU102" s="589"/>
      <c r="BV102" s="581">
        <f t="shared" si="44"/>
        <v>0</v>
      </c>
      <c r="BW102" s="590"/>
      <c r="BX102" s="347"/>
      <c r="BY102" s="347"/>
      <c r="BZ102" s="347"/>
      <c r="CA102" s="586">
        <f t="shared" si="129"/>
        <v>0</v>
      </c>
      <c r="CB102" s="581">
        <f t="shared" si="160"/>
        <v>0</v>
      </c>
      <c r="CC102" s="581">
        <f t="shared" si="131"/>
        <v>0</v>
      </c>
      <c r="CD102" s="581">
        <f t="shared" si="132"/>
        <v>0</v>
      </c>
      <c r="CE102" s="581">
        <f t="shared" si="133"/>
        <v>0</v>
      </c>
      <c r="CF102" s="581">
        <f t="shared" si="134"/>
        <v>0</v>
      </c>
      <c r="CG102" s="581">
        <f t="shared" si="135"/>
        <v>0</v>
      </c>
      <c r="CH102" s="608" t="str">
        <f t="shared" si="136"/>
        <v>#DIV/0!</v>
      </c>
      <c r="CI102" s="603" t="str">
        <f t="shared" si="137"/>
        <v>#DIV/0!</v>
      </c>
      <c r="CJ102" s="347"/>
      <c r="CK102" s="347">
        <f t="shared" si="138"/>
        <v>0</v>
      </c>
      <c r="CL102" s="539">
        <f t="shared" si="139"/>
        <v>0</v>
      </c>
      <c r="CM102" s="347">
        <f t="shared" si="140"/>
        <v>0</v>
      </c>
      <c r="CN102" s="347">
        <f t="shared" si="141"/>
        <v>0</v>
      </c>
      <c r="CO102" s="347" t="str">
        <f t="shared" si="142"/>
        <v/>
      </c>
      <c r="CP102" s="347"/>
    </row>
    <row r="103">
      <c r="A103" s="574">
        <f t="shared" si="147"/>
        <v>200111</v>
      </c>
      <c r="B103" s="574" t="str">
        <f t="shared" si="1"/>
        <v>Batch 200111</v>
      </c>
      <c r="C103" s="347"/>
      <c r="D103" s="574" t="str">
        <f>CONCATENATE(LEFT(MID(B103,FIND(" ",B103) + 1,10),1),"-",RIGHT(B103,3))</f>
        <v>2-111</v>
      </c>
      <c r="E103" s="347"/>
      <c r="F103" s="596"/>
      <c r="G103" s="596"/>
      <c r="H103" s="347"/>
      <c r="I103" s="347"/>
      <c r="J103" s="583" t="str">
        <f t="shared" si="82"/>
        <v/>
      </c>
      <c r="K103" s="345" t="str">
        <f t="shared" si="177"/>
        <v/>
      </c>
      <c r="L103" s="345" t="str">
        <f t="shared" si="184"/>
        <v/>
      </c>
      <c r="M103" s="345" t="str">
        <f t="shared" si="185"/>
        <v/>
      </c>
      <c r="N103" s="345" t="str">
        <f t="shared" si="186"/>
        <v/>
      </c>
      <c r="O103" s="579">
        <f t="shared" si="2"/>
        <v>0</v>
      </c>
      <c r="P103" s="579">
        <f t="shared" si="126"/>
        <v>0</v>
      </c>
      <c r="Q103" s="574"/>
      <c r="R103" s="347"/>
      <c r="S103" s="345" t="str">
        <f t="shared" si="89"/>
        <v/>
      </c>
      <c r="T103" s="345" t="str">
        <f t="shared" si="90"/>
        <v/>
      </c>
      <c r="U103" s="579">
        <f t="shared" si="48"/>
        <v>0</v>
      </c>
      <c r="V103" s="579">
        <f t="shared" si="49"/>
        <v>0</v>
      </c>
      <c r="W103" s="574" t="str">
        <f t="shared" si="179"/>
        <v/>
      </c>
      <c r="X103" s="347" t="str">
        <f t="shared" si="170"/>
        <v/>
      </c>
      <c r="Y103" s="345" t="str">
        <f t="shared" si="103"/>
        <v/>
      </c>
      <c r="Z103" s="347" t="str">
        <f t="shared" si="171"/>
        <v/>
      </c>
      <c r="AA103" s="579">
        <f t="shared" si="6"/>
        <v>0</v>
      </c>
      <c r="AB103" s="581">
        <f t="shared" si="105"/>
        <v>0</v>
      </c>
      <c r="AC103" s="347" t="str">
        <f t="shared" si="183"/>
        <v/>
      </c>
      <c r="AD103" s="347" t="str">
        <f t="shared" si="176"/>
        <v/>
      </c>
      <c r="AE103" s="347" t="str">
        <f t="shared" si="173"/>
        <v/>
      </c>
      <c r="AF103" s="347" t="str">
        <f t="shared" si="174"/>
        <v/>
      </c>
      <c r="AG103" s="579">
        <f t="shared" si="54"/>
        <v>0</v>
      </c>
      <c r="AH103" s="579">
        <f t="shared" si="175"/>
        <v>0</v>
      </c>
      <c r="AI103" s="582"/>
      <c r="AJ103" s="582"/>
      <c r="AK103" s="582"/>
      <c r="AL103" s="582"/>
      <c r="AM103" s="579"/>
      <c r="AN103" s="579"/>
      <c r="AO103" s="347"/>
      <c r="AP103" s="581">
        <f t="shared" si="164"/>
        <v>0</v>
      </c>
      <c r="AQ103" s="596"/>
      <c r="AR103" s="596"/>
      <c r="AS103" s="348" t="str">
        <f t="shared" si="118"/>
        <v/>
      </c>
      <c r="AT103" s="348"/>
      <c r="AU103" s="348"/>
      <c r="AV103" s="348"/>
      <c r="AW103" s="348"/>
      <c r="AX103" s="584">
        <f t="shared" si="165"/>
        <v>0</v>
      </c>
      <c r="AY103" s="581">
        <f t="shared" si="12"/>
        <v>0</v>
      </c>
      <c r="AZ103" s="581">
        <f t="shared" si="159"/>
        <v>0</v>
      </c>
      <c r="BA103" s="596"/>
      <c r="BB103" s="596"/>
      <c r="BC103" s="644" t="str">
        <f t="shared" si="98"/>
        <v/>
      </c>
      <c r="BD103" s="581" t="str">
        <f t="shared" si="99"/>
        <v/>
      </c>
      <c r="BE103" s="581">
        <f t="shared" si="37"/>
        <v>0</v>
      </c>
      <c r="BF103" s="347"/>
      <c r="BG103" s="347"/>
      <c r="BH103" s="347"/>
      <c r="BI103" s="347" t="str">
        <f t="shared" si="100"/>
        <v/>
      </c>
      <c r="BJ103" s="586" t="str">
        <f t="shared" si="101"/>
        <v/>
      </c>
      <c r="BK103" s="581">
        <f t="shared" si="15"/>
        <v>0</v>
      </c>
      <c r="BL103" s="347"/>
      <c r="BM103" s="347"/>
      <c r="BN103" s="347"/>
      <c r="BO103" s="586" t="str">
        <f t="shared" si="79"/>
        <v/>
      </c>
      <c r="BP103" s="584">
        <f t="shared" si="17"/>
        <v>0</v>
      </c>
      <c r="BQ103" s="347"/>
      <c r="BR103" s="581">
        <f t="shared" si="153"/>
        <v>0</v>
      </c>
      <c r="BS103" s="588">
        <f t="shared" si="180"/>
        <v>0</v>
      </c>
      <c r="BT103" s="581">
        <f t="shared" si="20"/>
        <v>0</v>
      </c>
      <c r="BU103" s="589"/>
      <c r="BV103" s="581">
        <f t="shared" si="44"/>
        <v>0</v>
      </c>
      <c r="BW103" s="590"/>
      <c r="BX103" s="347"/>
      <c r="BY103" s="347"/>
      <c r="BZ103" s="347"/>
      <c r="CA103" s="586">
        <f t="shared" si="129"/>
        <v>0</v>
      </c>
      <c r="CB103" s="581">
        <f t="shared" si="160"/>
        <v>0</v>
      </c>
      <c r="CC103" s="581">
        <f t="shared" si="131"/>
        <v>0</v>
      </c>
      <c r="CD103" s="581">
        <f t="shared" si="132"/>
        <v>0</v>
      </c>
      <c r="CE103" s="581">
        <f t="shared" si="133"/>
        <v>0</v>
      </c>
      <c r="CF103" s="581">
        <f t="shared" si="134"/>
        <v>0</v>
      </c>
      <c r="CG103" s="581">
        <f t="shared" si="135"/>
        <v>0</v>
      </c>
      <c r="CH103" s="608" t="str">
        <f t="shared" si="136"/>
        <v>#DIV/0!</v>
      </c>
      <c r="CI103" s="603" t="str">
        <f t="shared" si="137"/>
        <v>#DIV/0!</v>
      </c>
      <c r="CJ103" s="347"/>
      <c r="CK103" s="347">
        <f t="shared" si="138"/>
        <v>0</v>
      </c>
      <c r="CL103" s="539">
        <f t="shared" si="139"/>
        <v>0</v>
      </c>
      <c r="CM103" s="347">
        <f t="shared" si="140"/>
        <v>0</v>
      </c>
      <c r="CN103" s="347">
        <f t="shared" si="141"/>
        <v>0</v>
      </c>
      <c r="CO103" s="347" t="str">
        <f t="shared" si="142"/>
        <v/>
      </c>
      <c r="CP103" s="347"/>
    </row>
    <row r="104">
      <c r="A104" s="574">
        <f t="shared" si="147"/>
        <v>300044</v>
      </c>
      <c r="B104" s="574" t="str">
        <f t="shared" si="1"/>
        <v>Batch 300044</v>
      </c>
      <c r="C104" s="347"/>
      <c r="D104" s="574" t="str">
        <f>CONCATENATE(MID(B104,FIND(" ",B104) + 1,FIND(" ",B104) + 1 - (FIND(" ",B104))),"-",RIGHT(B104,LEN(B104) - 10))</f>
        <v>3-44</v>
      </c>
      <c r="E104" s="347"/>
      <c r="F104" s="596"/>
      <c r="G104" s="596"/>
      <c r="H104" s="347"/>
      <c r="I104" s="347"/>
      <c r="J104" s="583" t="str">
        <f t="shared" si="82"/>
        <v/>
      </c>
      <c r="K104" s="345" t="str">
        <f t="shared" si="177"/>
        <v/>
      </c>
      <c r="L104" s="345" t="str">
        <f t="shared" si="184"/>
        <v/>
      </c>
      <c r="M104" s="345" t="str">
        <f t="shared" si="185"/>
        <v/>
      </c>
      <c r="N104" s="345" t="str">
        <f t="shared" si="186"/>
        <v/>
      </c>
      <c r="O104" s="579">
        <f t="shared" si="2"/>
        <v>0</v>
      </c>
      <c r="P104" s="579">
        <f t="shared" si="126"/>
        <v>0</v>
      </c>
      <c r="Q104" s="574"/>
      <c r="R104" s="347"/>
      <c r="S104" s="345" t="str">
        <f t="shared" si="89"/>
        <v/>
      </c>
      <c r="T104" s="345" t="str">
        <f t="shared" si="90"/>
        <v/>
      </c>
      <c r="U104" s="579">
        <f t="shared" si="48"/>
        <v>0</v>
      </c>
      <c r="V104" s="579">
        <f t="shared" si="49"/>
        <v>0</v>
      </c>
      <c r="W104" s="574" t="str">
        <f t="shared" si="179"/>
        <v/>
      </c>
      <c r="X104" s="347" t="str">
        <f t="shared" si="170"/>
        <v/>
      </c>
      <c r="Y104" s="345" t="str">
        <f t="shared" si="103"/>
        <v/>
      </c>
      <c r="Z104" s="347" t="str">
        <f t="shared" si="171"/>
        <v/>
      </c>
      <c r="AA104" s="579">
        <f t="shared" si="6"/>
        <v>0</v>
      </c>
      <c r="AB104" s="581">
        <f t="shared" si="105"/>
        <v>0</v>
      </c>
      <c r="AC104" s="347" t="str">
        <f t="shared" si="183"/>
        <v/>
      </c>
      <c r="AD104" s="347" t="str">
        <f t="shared" si="176"/>
        <v/>
      </c>
      <c r="AE104" s="347" t="str">
        <f t="shared" si="173"/>
        <v/>
      </c>
      <c r="AF104" s="347" t="str">
        <f t="shared" si="174"/>
        <v/>
      </c>
      <c r="AG104" s="579">
        <f t="shared" si="54"/>
        <v>0</v>
      </c>
      <c r="AH104" s="579">
        <f t="shared" si="175"/>
        <v>0</v>
      </c>
      <c r="AI104" s="582"/>
      <c r="AJ104" s="582"/>
      <c r="AK104" s="582"/>
      <c r="AL104" s="582"/>
      <c r="AM104" s="579"/>
      <c r="AN104" s="579"/>
      <c r="AO104" s="347"/>
      <c r="AP104" s="581">
        <f t="shared" si="164"/>
        <v>0</v>
      </c>
      <c r="AQ104" s="596"/>
      <c r="AR104" s="596"/>
      <c r="AS104" s="348" t="str">
        <f t="shared" si="118"/>
        <v/>
      </c>
      <c r="AT104" s="348"/>
      <c r="AU104" s="348"/>
      <c r="AV104" s="348"/>
      <c r="AW104" s="348"/>
      <c r="AX104" s="584">
        <f t="shared" si="165"/>
        <v>0</v>
      </c>
      <c r="AY104" s="581">
        <f t="shared" si="12"/>
        <v>0</v>
      </c>
      <c r="AZ104" s="581">
        <f t="shared" si="159"/>
        <v>0</v>
      </c>
      <c r="BA104" s="596"/>
      <c r="BB104" s="596"/>
      <c r="BC104" s="644" t="str">
        <f t="shared" si="98"/>
        <v/>
      </c>
      <c r="BD104" s="581" t="str">
        <f t="shared" si="99"/>
        <v/>
      </c>
      <c r="BE104" s="581">
        <f t="shared" si="37"/>
        <v>0</v>
      </c>
      <c r="BF104" s="347"/>
      <c r="BG104" s="347"/>
      <c r="BH104" s="347"/>
      <c r="BI104" s="347" t="str">
        <f t="shared" si="100"/>
        <v/>
      </c>
      <c r="BJ104" s="586">
        <f t="shared" ref="BJ104:BJ300" si="187">BG104-BH104</f>
        <v>0</v>
      </c>
      <c r="BK104" s="581">
        <f t="shared" si="15"/>
        <v>0</v>
      </c>
      <c r="BL104" s="347"/>
      <c r="BM104" s="347"/>
      <c r="BN104" s="347"/>
      <c r="BO104" s="586" t="str">
        <f t="shared" si="79"/>
        <v/>
      </c>
      <c r="BP104" s="584">
        <f t="shared" si="17"/>
        <v>0</v>
      </c>
      <c r="BQ104" s="347"/>
      <c r="BR104" s="581">
        <f t="shared" si="153"/>
        <v>0</v>
      </c>
      <c r="BS104" s="588">
        <f t="shared" si="180"/>
        <v>0</v>
      </c>
      <c r="BT104" s="581">
        <f t="shared" si="20"/>
        <v>0</v>
      </c>
      <c r="BU104" s="589"/>
      <c r="BV104" s="581">
        <f t="shared" si="44"/>
        <v>0</v>
      </c>
      <c r="BW104" s="590"/>
      <c r="BX104" s="347"/>
      <c r="BY104" s="347"/>
      <c r="BZ104" s="347"/>
      <c r="CA104" s="586">
        <f t="shared" si="129"/>
        <v>0</v>
      </c>
      <c r="CB104" s="581">
        <f t="shared" si="160"/>
        <v>0</v>
      </c>
      <c r="CC104" s="581">
        <f t="shared" si="131"/>
        <v>0</v>
      </c>
      <c r="CD104" s="581">
        <f t="shared" si="132"/>
        <v>0</v>
      </c>
      <c r="CE104" s="581">
        <f t="shared" si="133"/>
        <v>0</v>
      </c>
      <c r="CF104" s="581">
        <f t="shared" si="134"/>
        <v>0</v>
      </c>
      <c r="CG104" s="581">
        <f t="shared" si="135"/>
        <v>0</v>
      </c>
      <c r="CH104" s="608" t="str">
        <f t="shared" si="136"/>
        <v>#DIV/0!</v>
      </c>
      <c r="CI104" s="603" t="str">
        <f t="shared" si="137"/>
        <v>#DIV/0!</v>
      </c>
      <c r="CJ104" s="347"/>
      <c r="CK104" s="347">
        <f t="shared" si="138"/>
        <v>0</v>
      </c>
      <c r="CL104" s="539">
        <f t="shared" si="139"/>
        <v>0</v>
      </c>
      <c r="CM104" s="347">
        <f t="shared" si="140"/>
        <v>0</v>
      </c>
      <c r="CN104" s="347">
        <f t="shared" si="141"/>
        <v>0</v>
      </c>
      <c r="CO104" s="347" t="str">
        <f t="shared" si="142"/>
        <v/>
      </c>
      <c r="CP104" s="347"/>
    </row>
    <row r="105">
      <c r="A105" s="574">
        <f t="shared" si="147"/>
        <v>200112</v>
      </c>
      <c r="B105" s="574" t="str">
        <f t="shared" si="1"/>
        <v>Batch 200112</v>
      </c>
      <c r="C105" s="347"/>
      <c r="D105" s="574" t="str">
        <f>CONCATENATE(LEFT(MID(B105,FIND(" ",B105) + 1,10),1),"-",RIGHT(B105,3))</f>
        <v>2-112</v>
      </c>
      <c r="E105" s="347"/>
      <c r="F105" s="596"/>
      <c r="G105" s="596"/>
      <c r="H105" s="347"/>
      <c r="I105" s="347"/>
      <c r="J105" s="583" t="str">
        <f t="shared" si="82"/>
        <v/>
      </c>
      <c r="K105" s="345" t="str">
        <f t="shared" si="177"/>
        <v/>
      </c>
      <c r="L105" s="345" t="str">
        <f t="shared" si="184"/>
        <v/>
      </c>
      <c r="M105" s="345" t="str">
        <f t="shared" si="185"/>
        <v/>
      </c>
      <c r="N105" s="345" t="str">
        <f t="shared" si="186"/>
        <v/>
      </c>
      <c r="O105" s="579">
        <f t="shared" si="2"/>
        <v>0</v>
      </c>
      <c r="P105" s="579">
        <f t="shared" si="126"/>
        <v>0</v>
      </c>
      <c r="Q105" s="574"/>
      <c r="R105" s="347"/>
      <c r="S105" s="345" t="str">
        <f t="shared" si="89"/>
        <v/>
      </c>
      <c r="T105" s="345" t="str">
        <f t="shared" si="90"/>
        <v/>
      </c>
      <c r="U105" s="579">
        <f t="shared" si="48"/>
        <v>0</v>
      </c>
      <c r="V105" s="579">
        <f t="shared" si="49"/>
        <v>0</v>
      </c>
      <c r="W105" s="574" t="str">
        <f t="shared" si="179"/>
        <v/>
      </c>
      <c r="X105" s="347" t="str">
        <f t="shared" si="170"/>
        <v/>
      </c>
      <c r="Y105" s="345" t="str">
        <f t="shared" si="103"/>
        <v/>
      </c>
      <c r="Z105" s="347" t="str">
        <f t="shared" si="171"/>
        <v/>
      </c>
      <c r="AA105" s="579">
        <f t="shared" si="6"/>
        <v>0</v>
      </c>
      <c r="AB105" s="581">
        <f t="shared" si="105"/>
        <v>0</v>
      </c>
      <c r="AC105" s="347" t="str">
        <f t="shared" si="183"/>
        <v/>
      </c>
      <c r="AD105" s="347" t="str">
        <f t="shared" si="176"/>
        <v/>
      </c>
      <c r="AE105" s="347" t="str">
        <f t="shared" si="173"/>
        <v/>
      </c>
      <c r="AF105" s="347" t="str">
        <f t="shared" si="174"/>
        <v/>
      </c>
      <c r="AG105" s="579">
        <f t="shared" si="54"/>
        <v>0</v>
      </c>
      <c r="AH105" s="579">
        <f t="shared" si="175"/>
        <v>0</v>
      </c>
      <c r="AI105" s="582"/>
      <c r="AJ105" s="582"/>
      <c r="AK105" s="582"/>
      <c r="AL105" s="582"/>
      <c r="AM105" s="579"/>
      <c r="AN105" s="579"/>
      <c r="AO105" s="347"/>
      <c r="AP105" s="581">
        <f t="shared" si="164"/>
        <v>0</v>
      </c>
      <c r="AQ105" s="596"/>
      <c r="AR105" s="596"/>
      <c r="AS105" s="348" t="str">
        <f t="shared" si="118"/>
        <v/>
      </c>
      <c r="AT105" s="348"/>
      <c r="AU105" s="348"/>
      <c r="AV105" s="348"/>
      <c r="AW105" s="348"/>
      <c r="AX105" s="584">
        <f t="shared" si="165"/>
        <v>0</v>
      </c>
      <c r="AY105" s="581">
        <f t="shared" si="12"/>
        <v>0</v>
      </c>
      <c r="AZ105" s="581">
        <f t="shared" si="159"/>
        <v>0</v>
      </c>
      <c r="BA105" s="596"/>
      <c r="BB105" s="596"/>
      <c r="BC105" s="348"/>
      <c r="BD105" s="581" t="str">
        <f t="shared" si="99"/>
        <v/>
      </c>
      <c r="BE105" s="581">
        <f t="shared" si="37"/>
        <v>0</v>
      </c>
      <c r="BF105" s="347"/>
      <c r="BG105" s="347"/>
      <c r="BH105" s="347"/>
      <c r="BI105" s="347"/>
      <c r="BJ105" s="586">
        <f t="shared" si="187"/>
        <v>0</v>
      </c>
      <c r="BK105" s="581">
        <f t="shared" si="15"/>
        <v>0</v>
      </c>
      <c r="BL105" s="347"/>
      <c r="BM105" s="347"/>
      <c r="BN105" s="347"/>
      <c r="BO105" s="586" t="str">
        <f t="shared" si="79"/>
        <v/>
      </c>
      <c r="BP105" s="584">
        <f t="shared" si="17"/>
        <v>0</v>
      </c>
      <c r="BQ105" s="347"/>
      <c r="BR105" s="581">
        <f t="shared" si="153"/>
        <v>0</v>
      </c>
      <c r="BS105" s="588">
        <f t="shared" si="180"/>
        <v>0</v>
      </c>
      <c r="BT105" s="581">
        <f t="shared" si="20"/>
        <v>0</v>
      </c>
      <c r="BU105" s="589"/>
      <c r="BV105" s="581">
        <f t="shared" si="44"/>
        <v>0</v>
      </c>
      <c r="BW105" s="590"/>
      <c r="BX105" s="347"/>
      <c r="BY105" s="347"/>
      <c r="BZ105" s="347"/>
      <c r="CA105" s="586">
        <f t="shared" si="129"/>
        <v>0</v>
      </c>
      <c r="CB105" s="581">
        <f t="shared" si="160"/>
        <v>0</v>
      </c>
      <c r="CC105" s="581">
        <f t="shared" si="131"/>
        <v>0</v>
      </c>
      <c r="CD105" s="581">
        <f t="shared" si="132"/>
        <v>0</v>
      </c>
      <c r="CE105" s="581">
        <f t="shared" si="133"/>
        <v>0</v>
      </c>
      <c r="CF105" s="581">
        <f t="shared" si="134"/>
        <v>0</v>
      </c>
      <c r="CG105" s="581">
        <f t="shared" si="135"/>
        <v>0</v>
      </c>
      <c r="CH105" s="608" t="str">
        <f t="shared" si="136"/>
        <v>#DIV/0!</v>
      </c>
      <c r="CI105" s="603" t="str">
        <f t="shared" si="137"/>
        <v>#DIV/0!</v>
      </c>
      <c r="CJ105" s="347"/>
      <c r="CK105" s="347">
        <f t="shared" si="138"/>
        <v>0</v>
      </c>
      <c r="CL105" s="539">
        <f t="shared" si="139"/>
        <v>0</v>
      </c>
      <c r="CM105" s="347">
        <f t="shared" si="140"/>
        <v>0</v>
      </c>
      <c r="CN105" s="347">
        <f t="shared" si="141"/>
        <v>0</v>
      </c>
      <c r="CO105" s="347" t="str">
        <f t="shared" si="142"/>
        <v/>
      </c>
      <c r="CP105" s="347"/>
    </row>
    <row r="106">
      <c r="A106" s="574">
        <f t="shared" si="147"/>
        <v>300045</v>
      </c>
      <c r="B106" s="574" t="str">
        <f t="shared" si="1"/>
        <v>Batch 300045</v>
      </c>
      <c r="C106" s="347"/>
      <c r="D106" s="574" t="str">
        <f>CONCATENATE(MID(B106,FIND(" ",B106) + 1,FIND(" ",B106) + 1 - (FIND(" ",B106))),"-",RIGHT(B106,LEN(B106) - 10))</f>
        <v>3-45</v>
      </c>
      <c r="E106" s="347"/>
      <c r="F106" s="596"/>
      <c r="G106" s="596"/>
      <c r="H106" s="347"/>
      <c r="I106" s="347"/>
      <c r="J106" s="583" t="str">
        <f t="shared" si="82"/>
        <v/>
      </c>
      <c r="K106" s="345" t="str">
        <f t="shared" si="177"/>
        <v/>
      </c>
      <c r="L106" s="345" t="str">
        <f t="shared" si="184"/>
        <v/>
      </c>
      <c r="M106" s="345" t="str">
        <f t="shared" si="185"/>
        <v/>
      </c>
      <c r="N106" s="345" t="str">
        <f t="shared" si="186"/>
        <v/>
      </c>
      <c r="O106" s="579">
        <f t="shared" si="2"/>
        <v>0</v>
      </c>
      <c r="P106" s="579">
        <f t="shared" si="126"/>
        <v>0</v>
      </c>
      <c r="Q106" s="574"/>
      <c r="R106" s="347"/>
      <c r="S106" s="345" t="str">
        <f t="shared" si="89"/>
        <v/>
      </c>
      <c r="T106" s="345" t="str">
        <f t="shared" si="90"/>
        <v/>
      </c>
      <c r="U106" s="579">
        <f t="shared" si="48"/>
        <v>0</v>
      </c>
      <c r="V106" s="579">
        <f t="shared" si="49"/>
        <v>0</v>
      </c>
      <c r="W106" s="574" t="str">
        <f t="shared" si="179"/>
        <v/>
      </c>
      <c r="X106" s="347" t="str">
        <f t="shared" si="170"/>
        <v/>
      </c>
      <c r="Y106" s="347" t="str">
        <f t="shared" ref="Y106:Y241" si="188">IFERROR(INDEX('Consumed Oil by Batch'!H:H, SMALL(IF('Consumed Oil by Batch'!A:A=D106, ROW('Consumed Oil by Batch'!A:A)), ROW($A$3))), "")</f>
        <v/>
      </c>
      <c r="Z106" s="347" t="str">
        <f t="shared" si="171"/>
        <v/>
      </c>
      <c r="AA106" s="579">
        <f t="shared" si="6"/>
        <v>0</v>
      </c>
      <c r="AB106" s="581">
        <f t="shared" si="105"/>
        <v>0</v>
      </c>
      <c r="AC106" s="347" t="str">
        <f t="shared" si="183"/>
        <v/>
      </c>
      <c r="AD106" s="347" t="str">
        <f t="shared" si="176"/>
        <v/>
      </c>
      <c r="AE106" s="347" t="str">
        <f t="shared" si="173"/>
        <v/>
      </c>
      <c r="AF106" s="347" t="str">
        <f t="shared" si="174"/>
        <v/>
      </c>
      <c r="AG106" s="579">
        <f t="shared" si="54"/>
        <v>0</v>
      </c>
      <c r="AH106" s="579">
        <f t="shared" si="175"/>
        <v>0</v>
      </c>
      <c r="AI106" s="582"/>
      <c r="AJ106" s="582"/>
      <c r="AK106" s="582"/>
      <c r="AL106" s="582"/>
      <c r="AM106" s="579"/>
      <c r="AN106" s="579"/>
      <c r="AO106" s="347"/>
      <c r="AP106" s="581">
        <f t="shared" si="164"/>
        <v>0</v>
      </c>
      <c r="AQ106" s="596"/>
      <c r="AR106" s="596"/>
      <c r="AS106" s="348" t="str">
        <f t="shared" si="118"/>
        <v/>
      </c>
      <c r="AT106" s="348"/>
      <c r="AU106" s="348"/>
      <c r="AV106" s="348"/>
      <c r="AW106" s="348"/>
      <c r="AX106" s="584">
        <f t="shared" si="165"/>
        <v>0</v>
      </c>
      <c r="AY106" s="581">
        <f t="shared" si="12"/>
        <v>0</v>
      </c>
      <c r="AZ106" s="581">
        <f t="shared" si="159"/>
        <v>0</v>
      </c>
      <c r="BA106" s="596"/>
      <c r="BB106" s="596"/>
      <c r="BC106" s="348"/>
      <c r="BD106" s="581" t="str">
        <f t="shared" si="99"/>
        <v/>
      </c>
      <c r="BE106" s="581">
        <f t="shared" si="37"/>
        <v>0</v>
      </c>
      <c r="BF106" s="347"/>
      <c r="BG106" s="347"/>
      <c r="BH106" s="347"/>
      <c r="BI106" s="347"/>
      <c r="BJ106" s="586">
        <f t="shared" si="187"/>
        <v>0</v>
      </c>
      <c r="BK106" s="581">
        <f t="shared" si="15"/>
        <v>0</v>
      </c>
      <c r="BL106" s="347"/>
      <c r="BM106" s="347"/>
      <c r="BN106" s="347"/>
      <c r="BO106" s="586" t="str">
        <f t="shared" si="79"/>
        <v/>
      </c>
      <c r="BP106" s="584">
        <f t="shared" si="17"/>
        <v>0</v>
      </c>
      <c r="BQ106" s="347"/>
      <c r="BR106" s="581">
        <f t="shared" si="153"/>
        <v>0</v>
      </c>
      <c r="BS106" s="588">
        <f t="shared" si="180"/>
        <v>0</v>
      </c>
      <c r="BT106" s="581">
        <f t="shared" si="20"/>
        <v>0</v>
      </c>
      <c r="BU106" s="589"/>
      <c r="BV106" s="581">
        <f t="shared" si="44"/>
        <v>0</v>
      </c>
      <c r="BW106" s="590"/>
      <c r="BX106" s="347"/>
      <c r="BY106" s="347"/>
      <c r="BZ106" s="347"/>
      <c r="CA106" s="586">
        <f t="shared" si="129"/>
        <v>0</v>
      </c>
      <c r="CB106" s="581">
        <f t="shared" si="160"/>
        <v>0</v>
      </c>
      <c r="CC106" s="581">
        <f t="shared" si="131"/>
        <v>0</v>
      </c>
      <c r="CD106" s="581">
        <f t="shared" si="132"/>
        <v>0</v>
      </c>
      <c r="CE106" s="581">
        <f t="shared" si="133"/>
        <v>0</v>
      </c>
      <c r="CF106" s="581">
        <f t="shared" si="134"/>
        <v>0</v>
      </c>
      <c r="CG106" s="581">
        <f t="shared" si="135"/>
        <v>0</v>
      </c>
      <c r="CH106" s="608" t="str">
        <f t="shared" si="136"/>
        <v>#DIV/0!</v>
      </c>
      <c r="CI106" s="603" t="str">
        <f t="shared" si="137"/>
        <v>#DIV/0!</v>
      </c>
      <c r="CJ106" s="347"/>
      <c r="CK106" s="347">
        <f t="shared" si="138"/>
        <v>0</v>
      </c>
      <c r="CL106" s="539">
        <f t="shared" si="139"/>
        <v>0</v>
      </c>
      <c r="CM106" s="347">
        <f t="shared" si="140"/>
        <v>0</v>
      </c>
      <c r="CN106" s="347">
        <f t="shared" si="141"/>
        <v>0</v>
      </c>
      <c r="CO106" s="347" t="str">
        <f t="shared" si="142"/>
        <v/>
      </c>
      <c r="CP106" s="347"/>
    </row>
    <row r="107">
      <c r="A107" s="574">
        <f t="shared" si="147"/>
        <v>200113</v>
      </c>
      <c r="B107" s="574" t="str">
        <f t="shared" si="1"/>
        <v>Batch 200113</v>
      </c>
      <c r="C107" s="347"/>
      <c r="D107" s="574" t="str">
        <f>CONCATENATE(LEFT(MID(B107,FIND(" ",B107) + 1,10),1),"-",RIGHT(B107,3))</f>
        <v>2-113</v>
      </c>
      <c r="E107" s="347"/>
      <c r="F107" s="596"/>
      <c r="G107" s="596"/>
      <c r="H107" s="347"/>
      <c r="I107" s="347"/>
      <c r="J107" s="583" t="str">
        <f t="shared" si="82"/>
        <v/>
      </c>
      <c r="K107" s="345" t="str">
        <f t="shared" si="177"/>
        <v/>
      </c>
      <c r="L107" s="345" t="str">
        <f t="shared" si="184"/>
        <v/>
      </c>
      <c r="M107" s="345" t="str">
        <f t="shared" si="185"/>
        <v/>
      </c>
      <c r="N107" s="345" t="str">
        <f t="shared" si="186"/>
        <v/>
      </c>
      <c r="O107" s="579">
        <f t="shared" si="2"/>
        <v>0</v>
      </c>
      <c r="P107" s="579">
        <f t="shared" si="126"/>
        <v>0</v>
      </c>
      <c r="Q107" s="574"/>
      <c r="R107" s="347"/>
      <c r="S107" s="345" t="str">
        <f t="shared" si="89"/>
        <v/>
      </c>
      <c r="T107" s="345" t="str">
        <f t="shared" si="90"/>
        <v/>
      </c>
      <c r="U107" s="579">
        <f t="shared" si="48"/>
        <v>0</v>
      </c>
      <c r="V107" s="579">
        <f t="shared" si="49"/>
        <v>0</v>
      </c>
      <c r="W107" s="574" t="str">
        <f t="shared" si="179"/>
        <v/>
      </c>
      <c r="X107" s="347" t="str">
        <f t="shared" si="170"/>
        <v/>
      </c>
      <c r="Y107" s="347" t="str">
        <f t="shared" si="188"/>
        <v/>
      </c>
      <c r="Z107" s="347" t="str">
        <f t="shared" si="171"/>
        <v/>
      </c>
      <c r="AA107" s="579">
        <f t="shared" si="6"/>
        <v>0</v>
      </c>
      <c r="AB107" s="581">
        <f t="shared" si="105"/>
        <v>0</v>
      </c>
      <c r="AC107" s="347" t="str">
        <f t="shared" si="183"/>
        <v/>
      </c>
      <c r="AD107" s="347" t="str">
        <f t="shared" si="176"/>
        <v/>
      </c>
      <c r="AE107" s="347" t="str">
        <f t="shared" si="173"/>
        <v/>
      </c>
      <c r="AF107" s="347" t="str">
        <f t="shared" si="174"/>
        <v/>
      </c>
      <c r="AG107" s="579">
        <f t="shared" si="54"/>
        <v>0</v>
      </c>
      <c r="AH107" s="579">
        <f t="shared" si="175"/>
        <v>0</v>
      </c>
      <c r="AI107" s="582"/>
      <c r="AJ107" s="582"/>
      <c r="AK107" s="582"/>
      <c r="AL107" s="582"/>
      <c r="AM107" s="579"/>
      <c r="AN107" s="579"/>
      <c r="AO107" s="347"/>
      <c r="AP107" s="581">
        <f t="shared" si="164"/>
        <v>0</v>
      </c>
      <c r="AQ107" s="596"/>
      <c r="AR107" s="596"/>
      <c r="AS107" s="348" t="str">
        <f t="shared" si="118"/>
        <v/>
      </c>
      <c r="AT107" s="348"/>
      <c r="AU107" s="348"/>
      <c r="AV107" s="348"/>
      <c r="AW107" s="348"/>
      <c r="AX107" s="584">
        <f t="shared" si="165"/>
        <v>0</v>
      </c>
      <c r="AY107" s="581">
        <f t="shared" si="12"/>
        <v>0</v>
      </c>
      <c r="AZ107" s="581">
        <f t="shared" si="159"/>
        <v>0</v>
      </c>
      <c r="BA107" s="596"/>
      <c r="BB107" s="596"/>
      <c r="BC107" s="348"/>
      <c r="BD107" s="581" t="str">
        <f t="shared" si="99"/>
        <v/>
      </c>
      <c r="BE107" s="581">
        <f t="shared" si="37"/>
        <v>0</v>
      </c>
      <c r="BF107" s="347"/>
      <c r="BG107" s="347"/>
      <c r="BH107" s="347"/>
      <c r="BI107" s="347"/>
      <c r="BJ107" s="586">
        <f t="shared" si="187"/>
        <v>0</v>
      </c>
      <c r="BK107" s="581">
        <f t="shared" si="15"/>
        <v>0</v>
      </c>
      <c r="BL107" s="347"/>
      <c r="BM107" s="347"/>
      <c r="BN107" s="347"/>
      <c r="BO107" s="586" t="str">
        <f t="shared" si="79"/>
        <v/>
      </c>
      <c r="BP107" s="584">
        <f t="shared" si="17"/>
        <v>0</v>
      </c>
      <c r="BQ107" s="347"/>
      <c r="BR107" s="581">
        <f t="shared" si="153"/>
        <v>0</v>
      </c>
      <c r="BS107" s="588">
        <f t="shared" si="180"/>
        <v>0</v>
      </c>
      <c r="BT107" s="581">
        <f t="shared" si="20"/>
        <v>0</v>
      </c>
      <c r="BU107" s="589"/>
      <c r="BV107" s="581">
        <f t="shared" si="44"/>
        <v>0</v>
      </c>
      <c r="BW107" s="590"/>
      <c r="BX107" s="347"/>
      <c r="BY107" s="347"/>
      <c r="BZ107" s="347"/>
      <c r="CA107" s="586">
        <f t="shared" si="129"/>
        <v>0</v>
      </c>
      <c r="CB107" s="581">
        <f t="shared" si="160"/>
        <v>0</v>
      </c>
      <c r="CC107" s="581">
        <f t="shared" si="131"/>
        <v>0</v>
      </c>
      <c r="CD107" s="581">
        <f t="shared" si="132"/>
        <v>0</v>
      </c>
      <c r="CE107" s="581">
        <f t="shared" si="133"/>
        <v>0</v>
      </c>
      <c r="CF107" s="581">
        <f t="shared" si="134"/>
        <v>0</v>
      </c>
      <c r="CG107" s="581">
        <f t="shared" si="135"/>
        <v>0</v>
      </c>
      <c r="CH107" s="608" t="str">
        <f t="shared" si="136"/>
        <v>#DIV/0!</v>
      </c>
      <c r="CI107" s="603" t="str">
        <f t="shared" si="137"/>
        <v>#DIV/0!</v>
      </c>
      <c r="CJ107" s="347"/>
      <c r="CK107" s="347">
        <f t="shared" si="138"/>
        <v>0</v>
      </c>
      <c r="CL107" s="539">
        <f t="shared" si="139"/>
        <v>0</v>
      </c>
      <c r="CM107" s="347">
        <f t="shared" si="140"/>
        <v>0</v>
      </c>
      <c r="CN107" s="347">
        <f t="shared" si="141"/>
        <v>0</v>
      </c>
      <c r="CO107" s="347" t="str">
        <f t="shared" si="142"/>
        <v/>
      </c>
      <c r="CP107" s="347"/>
    </row>
    <row r="108">
      <c r="A108" s="574">
        <f t="shared" si="147"/>
        <v>300046</v>
      </c>
      <c r="B108" s="574" t="str">
        <f t="shared" si="1"/>
        <v>Batch 300046</v>
      </c>
      <c r="C108" s="347"/>
      <c r="D108" s="574" t="str">
        <f>CONCATENATE(MID(B108,FIND(" ",B108) + 1,FIND(" ",B108) + 1 - (FIND(" ",B108))),"-",RIGHT(B108,LEN(B108) - 10))</f>
        <v>3-46</v>
      </c>
      <c r="E108" s="347"/>
      <c r="F108" s="596"/>
      <c r="G108" s="596"/>
      <c r="H108" s="347"/>
      <c r="I108" s="347"/>
      <c r="J108" s="583" t="str">
        <f t="shared" si="82"/>
        <v/>
      </c>
      <c r="K108" s="345" t="str">
        <f t="shared" si="177"/>
        <v/>
      </c>
      <c r="L108" s="345" t="str">
        <f t="shared" si="184"/>
        <v/>
      </c>
      <c r="M108" s="345" t="str">
        <f t="shared" si="185"/>
        <v/>
      </c>
      <c r="N108" s="345" t="str">
        <f t="shared" si="186"/>
        <v/>
      </c>
      <c r="O108" s="579">
        <f t="shared" si="2"/>
        <v>0</v>
      </c>
      <c r="P108" s="579">
        <f t="shared" si="126"/>
        <v>0</v>
      </c>
      <c r="Q108" s="574"/>
      <c r="R108" s="347"/>
      <c r="S108" s="345" t="str">
        <f t="shared" si="89"/>
        <v/>
      </c>
      <c r="T108" s="345" t="str">
        <f t="shared" si="90"/>
        <v/>
      </c>
      <c r="U108" s="579">
        <f t="shared" si="48"/>
        <v>0</v>
      </c>
      <c r="V108" s="579">
        <f t="shared" si="49"/>
        <v>0</v>
      </c>
      <c r="W108" s="574" t="str">
        <f t="shared" si="179"/>
        <v/>
      </c>
      <c r="X108" s="347" t="str">
        <f t="shared" si="170"/>
        <v/>
      </c>
      <c r="Y108" s="347" t="str">
        <f t="shared" si="188"/>
        <v/>
      </c>
      <c r="Z108" s="347" t="str">
        <f t="shared" si="171"/>
        <v/>
      </c>
      <c r="AA108" s="579">
        <f t="shared" si="6"/>
        <v>0</v>
      </c>
      <c r="AB108" s="581">
        <f t="shared" si="105"/>
        <v>0</v>
      </c>
      <c r="AC108" s="347" t="str">
        <f t="shared" si="183"/>
        <v/>
      </c>
      <c r="AD108" s="347" t="str">
        <f t="shared" si="176"/>
        <v/>
      </c>
      <c r="AE108" s="347" t="str">
        <f t="shared" si="173"/>
        <v/>
      </c>
      <c r="AF108" s="347" t="str">
        <f t="shared" si="174"/>
        <v/>
      </c>
      <c r="AG108" s="579">
        <f t="shared" si="54"/>
        <v>0</v>
      </c>
      <c r="AH108" s="579">
        <f t="shared" si="175"/>
        <v>0</v>
      </c>
      <c r="AI108" s="582"/>
      <c r="AJ108" s="582"/>
      <c r="AK108" s="582"/>
      <c r="AL108" s="582"/>
      <c r="AM108" s="579"/>
      <c r="AN108" s="579"/>
      <c r="AO108" s="347"/>
      <c r="AP108" s="581">
        <f t="shared" si="164"/>
        <v>0</v>
      </c>
      <c r="AQ108" s="596"/>
      <c r="AR108" s="596"/>
      <c r="AS108" s="348" t="str">
        <f t="shared" si="118"/>
        <v/>
      </c>
      <c r="AT108" s="348"/>
      <c r="AU108" s="348"/>
      <c r="AV108" s="348"/>
      <c r="AW108" s="348"/>
      <c r="AX108" s="584">
        <f t="shared" si="165"/>
        <v>0</v>
      </c>
      <c r="AY108" s="581">
        <f t="shared" si="12"/>
        <v>0</v>
      </c>
      <c r="AZ108" s="581">
        <f t="shared" si="159"/>
        <v>0</v>
      </c>
      <c r="BA108" s="596"/>
      <c r="BB108" s="596"/>
      <c r="BC108" s="348"/>
      <c r="BD108" s="581" t="str">
        <f t="shared" si="99"/>
        <v/>
      </c>
      <c r="BE108" s="581">
        <f t="shared" si="37"/>
        <v>0</v>
      </c>
      <c r="BF108" s="347"/>
      <c r="BG108" s="347"/>
      <c r="BH108" s="347"/>
      <c r="BI108" s="347"/>
      <c r="BJ108" s="586">
        <f t="shared" si="187"/>
        <v>0</v>
      </c>
      <c r="BK108" s="581">
        <f t="shared" si="15"/>
        <v>0</v>
      </c>
      <c r="BL108" s="347"/>
      <c r="BM108" s="347"/>
      <c r="BN108" s="347"/>
      <c r="BO108" s="586" t="str">
        <f t="shared" si="79"/>
        <v/>
      </c>
      <c r="BP108" s="584">
        <f t="shared" si="17"/>
        <v>0</v>
      </c>
      <c r="BQ108" s="347"/>
      <c r="BR108" s="581">
        <f t="shared" si="153"/>
        <v>0</v>
      </c>
      <c r="BS108" s="588">
        <f t="shared" si="180"/>
        <v>0</v>
      </c>
      <c r="BT108" s="581">
        <f t="shared" si="20"/>
        <v>0</v>
      </c>
      <c r="BU108" s="589"/>
      <c r="BV108" s="581">
        <f t="shared" si="44"/>
        <v>0</v>
      </c>
      <c r="BW108" s="590"/>
      <c r="BX108" s="347"/>
      <c r="BY108" s="347"/>
      <c r="BZ108" s="347"/>
      <c r="CA108" s="586">
        <f t="shared" si="129"/>
        <v>0</v>
      </c>
      <c r="CB108" s="581">
        <f t="shared" si="160"/>
        <v>0</v>
      </c>
      <c r="CC108" s="581">
        <f t="shared" si="131"/>
        <v>0</v>
      </c>
      <c r="CD108" s="581">
        <f t="shared" si="132"/>
        <v>0</v>
      </c>
      <c r="CE108" s="581">
        <f t="shared" si="133"/>
        <v>0</v>
      </c>
      <c r="CF108" s="581">
        <f t="shared" si="134"/>
        <v>0</v>
      </c>
      <c r="CG108" s="581">
        <f t="shared" si="135"/>
        <v>0</v>
      </c>
      <c r="CH108" s="608" t="str">
        <f t="shared" si="136"/>
        <v>#DIV/0!</v>
      </c>
      <c r="CI108" s="603" t="str">
        <f t="shared" si="137"/>
        <v>#DIV/0!</v>
      </c>
      <c r="CJ108" s="347"/>
      <c r="CK108" s="347">
        <f t="shared" si="138"/>
        <v>0</v>
      </c>
      <c r="CL108" s="539">
        <f t="shared" si="139"/>
        <v>0</v>
      </c>
      <c r="CM108" s="347">
        <f t="shared" si="140"/>
        <v>0</v>
      </c>
      <c r="CN108" s="347">
        <f t="shared" si="141"/>
        <v>0</v>
      </c>
      <c r="CO108" s="347" t="str">
        <f t="shared" si="142"/>
        <v/>
      </c>
      <c r="CP108" s="347"/>
    </row>
    <row r="109">
      <c r="A109" s="574">
        <f t="shared" si="147"/>
        <v>200114</v>
      </c>
      <c r="B109" s="574" t="str">
        <f t="shared" si="1"/>
        <v>Batch 200114</v>
      </c>
      <c r="C109" s="347"/>
      <c r="D109" s="574" t="str">
        <f>CONCATENATE(LEFT(MID(B109,FIND(" ",B109) + 1,10),1),"-",RIGHT(B109,3))</f>
        <v>2-114</v>
      </c>
      <c r="E109" s="347"/>
      <c r="F109" s="596"/>
      <c r="G109" s="596"/>
      <c r="H109" s="347"/>
      <c r="I109" s="347"/>
      <c r="J109" s="583" t="str">
        <f t="shared" si="82"/>
        <v/>
      </c>
      <c r="K109" s="345" t="str">
        <f t="shared" si="177"/>
        <v/>
      </c>
      <c r="L109" s="345" t="str">
        <f t="shared" si="184"/>
        <v/>
      </c>
      <c r="M109" s="345" t="str">
        <f t="shared" si="185"/>
        <v/>
      </c>
      <c r="N109" s="345" t="str">
        <f t="shared" si="186"/>
        <v/>
      </c>
      <c r="O109" s="579">
        <f t="shared" si="2"/>
        <v>0</v>
      </c>
      <c r="P109" s="579">
        <f t="shared" si="126"/>
        <v>0</v>
      </c>
      <c r="Q109" s="574"/>
      <c r="R109" s="347"/>
      <c r="S109" s="345" t="str">
        <f t="shared" si="89"/>
        <v/>
      </c>
      <c r="T109" s="345" t="str">
        <f t="shared" si="90"/>
        <v/>
      </c>
      <c r="U109" s="579">
        <f t="shared" si="48"/>
        <v>0</v>
      </c>
      <c r="V109" s="579">
        <f t="shared" si="49"/>
        <v>0</v>
      </c>
      <c r="W109" s="574" t="str">
        <f t="shared" si="179"/>
        <v/>
      </c>
      <c r="X109" s="347" t="str">
        <f t="shared" si="170"/>
        <v/>
      </c>
      <c r="Y109" s="347" t="str">
        <f t="shared" si="188"/>
        <v/>
      </c>
      <c r="Z109" s="347" t="str">
        <f t="shared" si="171"/>
        <v/>
      </c>
      <c r="AA109" s="579">
        <f t="shared" si="6"/>
        <v>0</v>
      </c>
      <c r="AB109" s="581">
        <f t="shared" si="105"/>
        <v>0</v>
      </c>
      <c r="AC109" s="347" t="str">
        <f t="shared" si="183"/>
        <v/>
      </c>
      <c r="AD109" s="347" t="str">
        <f t="shared" si="176"/>
        <v/>
      </c>
      <c r="AE109" s="347" t="str">
        <f t="shared" si="173"/>
        <v/>
      </c>
      <c r="AF109" s="347" t="str">
        <f t="shared" si="174"/>
        <v/>
      </c>
      <c r="AG109" s="579">
        <f t="shared" si="54"/>
        <v>0</v>
      </c>
      <c r="AH109" s="579">
        <f t="shared" si="175"/>
        <v>0</v>
      </c>
      <c r="AI109" s="582"/>
      <c r="AJ109" s="582"/>
      <c r="AK109" s="582"/>
      <c r="AL109" s="582"/>
      <c r="AM109" s="579"/>
      <c r="AN109" s="579"/>
      <c r="AO109" s="347"/>
      <c r="AP109" s="581">
        <f t="shared" si="164"/>
        <v>0</v>
      </c>
      <c r="AQ109" s="596"/>
      <c r="AR109" s="596"/>
      <c r="AS109" s="348" t="str">
        <f t="shared" si="118"/>
        <v/>
      </c>
      <c r="AT109" s="348"/>
      <c r="AU109" s="348"/>
      <c r="AV109" s="348"/>
      <c r="AW109" s="348"/>
      <c r="AX109" s="584">
        <f t="shared" si="165"/>
        <v>0</v>
      </c>
      <c r="AY109" s="581">
        <f t="shared" si="12"/>
        <v>0</v>
      </c>
      <c r="AZ109" s="581">
        <f t="shared" si="159"/>
        <v>0</v>
      </c>
      <c r="BA109" s="596"/>
      <c r="BB109" s="596"/>
      <c r="BC109" s="348"/>
      <c r="BD109" s="581" t="str">
        <f t="shared" si="99"/>
        <v/>
      </c>
      <c r="BE109" s="581">
        <f t="shared" si="37"/>
        <v>0</v>
      </c>
      <c r="BF109" s="347"/>
      <c r="BG109" s="347"/>
      <c r="BH109" s="347"/>
      <c r="BI109" s="347"/>
      <c r="BJ109" s="586">
        <f t="shared" si="187"/>
        <v>0</v>
      </c>
      <c r="BK109" s="581">
        <f t="shared" si="15"/>
        <v>0</v>
      </c>
      <c r="BL109" s="347"/>
      <c r="BM109" s="347"/>
      <c r="BN109" s="347"/>
      <c r="BO109" s="586" t="str">
        <f t="shared" si="79"/>
        <v/>
      </c>
      <c r="BP109" s="584">
        <f t="shared" si="17"/>
        <v>0</v>
      </c>
      <c r="BQ109" s="347"/>
      <c r="BR109" s="581">
        <f t="shared" si="153"/>
        <v>0</v>
      </c>
      <c r="BS109" s="588">
        <f t="shared" si="180"/>
        <v>0</v>
      </c>
      <c r="BT109" s="581">
        <f t="shared" si="20"/>
        <v>0</v>
      </c>
      <c r="BU109" s="589"/>
      <c r="BV109" s="581">
        <f t="shared" si="44"/>
        <v>0</v>
      </c>
      <c r="BW109" s="590"/>
      <c r="BX109" s="347"/>
      <c r="BY109" s="347"/>
      <c r="BZ109" s="347"/>
      <c r="CA109" s="586">
        <f t="shared" si="129"/>
        <v>0</v>
      </c>
      <c r="CB109" s="581">
        <f t="shared" si="160"/>
        <v>0</v>
      </c>
      <c r="CC109" s="581">
        <f t="shared" si="131"/>
        <v>0</v>
      </c>
      <c r="CD109" s="581">
        <f t="shared" si="132"/>
        <v>0</v>
      </c>
      <c r="CE109" s="581">
        <f t="shared" si="133"/>
        <v>0</v>
      </c>
      <c r="CF109" s="581">
        <f t="shared" si="134"/>
        <v>0</v>
      </c>
      <c r="CG109" s="581">
        <f t="shared" si="135"/>
        <v>0</v>
      </c>
      <c r="CH109" s="608" t="str">
        <f t="shared" si="136"/>
        <v>#DIV/0!</v>
      </c>
      <c r="CI109" s="603" t="str">
        <f t="shared" si="137"/>
        <v>#DIV/0!</v>
      </c>
      <c r="CJ109" s="347"/>
      <c r="CK109" s="347">
        <f t="shared" si="138"/>
        <v>0</v>
      </c>
      <c r="CL109" s="539">
        <f t="shared" si="139"/>
        <v>0</v>
      </c>
      <c r="CM109" s="347">
        <f t="shared" si="140"/>
        <v>0</v>
      </c>
      <c r="CN109" s="347">
        <f t="shared" si="141"/>
        <v>0</v>
      </c>
      <c r="CO109" s="347" t="str">
        <f t="shared" si="142"/>
        <v/>
      </c>
      <c r="CP109" s="347"/>
    </row>
    <row r="110">
      <c r="A110" s="574">
        <f t="shared" si="147"/>
        <v>300047</v>
      </c>
      <c r="B110" s="574" t="str">
        <f t="shared" si="1"/>
        <v>Batch 300047</v>
      </c>
      <c r="C110" s="347"/>
      <c r="D110" s="574" t="str">
        <f>CONCATENATE(MID(B110,FIND(" ",B110) + 1,FIND(" ",B110) + 1 - (FIND(" ",B110))),"-",RIGHT(B110,LEN(B110) - 10))</f>
        <v>3-47</v>
      </c>
      <c r="E110" s="347"/>
      <c r="F110" s="596"/>
      <c r="G110" s="596"/>
      <c r="H110" s="347"/>
      <c r="I110" s="347"/>
      <c r="J110" s="583" t="str">
        <f t="shared" si="82"/>
        <v/>
      </c>
      <c r="K110" s="345" t="str">
        <f t="shared" si="177"/>
        <v/>
      </c>
      <c r="L110" s="345" t="str">
        <f t="shared" si="184"/>
        <v/>
      </c>
      <c r="M110" s="345" t="str">
        <f t="shared" si="185"/>
        <v/>
      </c>
      <c r="N110" s="345" t="str">
        <f t="shared" si="186"/>
        <v/>
      </c>
      <c r="O110" s="579">
        <f t="shared" si="2"/>
        <v>0</v>
      </c>
      <c r="P110" s="579">
        <f t="shared" si="126"/>
        <v>0</v>
      </c>
      <c r="Q110" s="574"/>
      <c r="R110" s="347"/>
      <c r="S110" s="345" t="str">
        <f t="shared" si="89"/>
        <v/>
      </c>
      <c r="T110" s="345" t="str">
        <f t="shared" si="90"/>
        <v/>
      </c>
      <c r="U110" s="579">
        <f t="shared" si="48"/>
        <v>0</v>
      </c>
      <c r="V110" s="579">
        <f t="shared" si="49"/>
        <v>0</v>
      </c>
      <c r="W110" s="574" t="str">
        <f t="shared" si="179"/>
        <v/>
      </c>
      <c r="X110" s="347" t="str">
        <f t="shared" si="170"/>
        <v/>
      </c>
      <c r="Y110" s="347" t="str">
        <f t="shared" si="188"/>
        <v/>
      </c>
      <c r="Z110" s="347" t="str">
        <f t="shared" si="171"/>
        <v/>
      </c>
      <c r="AA110" s="579">
        <f t="shared" si="6"/>
        <v>0</v>
      </c>
      <c r="AB110" s="581">
        <f t="shared" si="105"/>
        <v>0</v>
      </c>
      <c r="AC110" s="347" t="str">
        <f t="shared" si="183"/>
        <v/>
      </c>
      <c r="AD110" s="347" t="str">
        <f t="shared" si="176"/>
        <v/>
      </c>
      <c r="AE110" s="347" t="str">
        <f t="shared" si="173"/>
        <v/>
      </c>
      <c r="AF110" s="347" t="str">
        <f t="shared" si="174"/>
        <v/>
      </c>
      <c r="AG110" s="579">
        <f t="shared" si="54"/>
        <v>0</v>
      </c>
      <c r="AH110" s="579">
        <f t="shared" si="175"/>
        <v>0</v>
      </c>
      <c r="AI110" s="582"/>
      <c r="AJ110" s="582"/>
      <c r="AK110" s="582"/>
      <c r="AL110" s="582"/>
      <c r="AM110" s="579"/>
      <c r="AN110" s="579"/>
      <c r="AO110" s="347"/>
      <c r="AP110" s="581">
        <f t="shared" si="164"/>
        <v>0</v>
      </c>
      <c r="AQ110" s="596"/>
      <c r="AR110" s="596"/>
      <c r="AS110" s="348" t="str">
        <f t="shared" si="118"/>
        <v/>
      </c>
      <c r="AT110" s="348"/>
      <c r="AU110" s="348"/>
      <c r="AV110" s="348"/>
      <c r="AW110" s="348"/>
      <c r="AX110" s="584">
        <f t="shared" si="165"/>
        <v>0</v>
      </c>
      <c r="AY110" s="581">
        <f t="shared" si="12"/>
        <v>0</v>
      </c>
      <c r="AZ110" s="581">
        <f t="shared" si="159"/>
        <v>0</v>
      </c>
      <c r="BA110" s="596"/>
      <c r="BB110" s="596"/>
      <c r="BC110" s="348"/>
      <c r="BD110" s="581" t="str">
        <f t="shared" si="99"/>
        <v/>
      </c>
      <c r="BE110" s="581">
        <f t="shared" si="37"/>
        <v>0</v>
      </c>
      <c r="BF110" s="347"/>
      <c r="BG110" s="347"/>
      <c r="BH110" s="347"/>
      <c r="BI110" s="347"/>
      <c r="BJ110" s="586">
        <f t="shared" si="187"/>
        <v>0</v>
      </c>
      <c r="BK110" s="581">
        <f t="shared" si="15"/>
        <v>0</v>
      </c>
      <c r="BL110" s="347"/>
      <c r="BM110" s="347"/>
      <c r="BN110" s="347"/>
      <c r="BO110" s="586" t="str">
        <f t="shared" si="79"/>
        <v/>
      </c>
      <c r="BP110" s="584">
        <f t="shared" si="17"/>
        <v>0</v>
      </c>
      <c r="BQ110" s="347"/>
      <c r="BR110" s="581">
        <f t="shared" si="153"/>
        <v>0</v>
      </c>
      <c r="BS110" s="588">
        <f t="shared" si="180"/>
        <v>0</v>
      </c>
      <c r="BT110" s="581">
        <f t="shared" si="20"/>
        <v>0</v>
      </c>
      <c r="BU110" s="589"/>
      <c r="BV110" s="581">
        <f t="shared" si="44"/>
        <v>0</v>
      </c>
      <c r="BW110" s="590"/>
      <c r="BX110" s="347"/>
      <c r="BY110" s="347"/>
      <c r="BZ110" s="347"/>
      <c r="CA110" s="586">
        <f t="shared" si="129"/>
        <v>0</v>
      </c>
      <c r="CB110" s="581">
        <f t="shared" si="160"/>
        <v>0</v>
      </c>
      <c r="CC110" s="581">
        <f t="shared" si="131"/>
        <v>0</v>
      </c>
      <c r="CD110" s="581">
        <f t="shared" si="132"/>
        <v>0</v>
      </c>
      <c r="CE110" s="581">
        <f t="shared" si="133"/>
        <v>0</v>
      </c>
      <c r="CF110" s="581">
        <f t="shared" si="134"/>
        <v>0</v>
      </c>
      <c r="CG110" s="581">
        <f t="shared" si="135"/>
        <v>0</v>
      </c>
      <c r="CH110" s="608" t="str">
        <f t="shared" si="136"/>
        <v>#DIV/0!</v>
      </c>
      <c r="CI110" s="603" t="str">
        <f t="shared" si="137"/>
        <v>#DIV/0!</v>
      </c>
      <c r="CJ110" s="347"/>
      <c r="CK110" s="347">
        <f t="shared" si="138"/>
        <v>0</v>
      </c>
      <c r="CL110" s="539">
        <f t="shared" si="139"/>
        <v>0</v>
      </c>
      <c r="CM110" s="347">
        <f t="shared" si="140"/>
        <v>0</v>
      </c>
      <c r="CN110" s="347">
        <f t="shared" si="141"/>
        <v>0</v>
      </c>
      <c r="CO110" s="347" t="str">
        <f t="shared" si="142"/>
        <v/>
      </c>
      <c r="CP110" s="347"/>
    </row>
    <row r="111">
      <c r="A111" s="574">
        <f t="shared" si="147"/>
        <v>200115</v>
      </c>
      <c r="B111" s="574" t="str">
        <f t="shared" si="1"/>
        <v>Batch 200115</v>
      </c>
      <c r="C111" s="347"/>
      <c r="D111" s="574" t="str">
        <f>CONCATENATE(LEFT(MID(B111,FIND(" ",B111) + 1,10),1),"-",RIGHT(B111,3))</f>
        <v>2-115</v>
      </c>
      <c r="E111" s="347"/>
      <c r="F111" s="596"/>
      <c r="G111" s="596"/>
      <c r="H111" s="347"/>
      <c r="I111" s="347"/>
      <c r="J111" s="583" t="str">
        <f t="shared" si="82"/>
        <v/>
      </c>
      <c r="K111" s="345" t="str">
        <f t="shared" si="177"/>
        <v/>
      </c>
      <c r="L111" s="345" t="str">
        <f t="shared" si="184"/>
        <v/>
      </c>
      <c r="M111" s="345" t="str">
        <f t="shared" si="185"/>
        <v/>
      </c>
      <c r="N111" s="345" t="str">
        <f t="shared" si="186"/>
        <v/>
      </c>
      <c r="O111" s="579">
        <f t="shared" si="2"/>
        <v>0</v>
      </c>
      <c r="P111" s="579">
        <f t="shared" si="126"/>
        <v>0</v>
      </c>
      <c r="Q111" s="574"/>
      <c r="R111" s="347"/>
      <c r="S111" s="345" t="str">
        <f t="shared" si="89"/>
        <v/>
      </c>
      <c r="T111" s="345" t="str">
        <f t="shared" si="90"/>
        <v/>
      </c>
      <c r="U111" s="579">
        <f t="shared" si="48"/>
        <v>0</v>
      </c>
      <c r="V111" s="579">
        <f t="shared" si="49"/>
        <v>0</v>
      </c>
      <c r="W111" s="574" t="str">
        <f t="shared" si="179"/>
        <v/>
      </c>
      <c r="X111" s="347" t="str">
        <f t="shared" si="170"/>
        <v/>
      </c>
      <c r="Y111" s="347" t="str">
        <f t="shared" si="188"/>
        <v/>
      </c>
      <c r="Z111" s="347" t="str">
        <f t="shared" si="171"/>
        <v/>
      </c>
      <c r="AA111" s="579">
        <f t="shared" si="6"/>
        <v>0</v>
      </c>
      <c r="AB111" s="581">
        <f t="shared" si="105"/>
        <v>0</v>
      </c>
      <c r="AC111" s="347" t="str">
        <f t="shared" si="183"/>
        <v/>
      </c>
      <c r="AD111" s="347" t="str">
        <f t="shared" si="176"/>
        <v/>
      </c>
      <c r="AE111" s="347" t="str">
        <f t="shared" si="173"/>
        <v/>
      </c>
      <c r="AF111" s="347" t="str">
        <f t="shared" si="174"/>
        <v/>
      </c>
      <c r="AG111" s="579">
        <f t="shared" si="54"/>
        <v>0</v>
      </c>
      <c r="AH111" s="579">
        <f t="shared" si="175"/>
        <v>0</v>
      </c>
      <c r="AI111" s="582"/>
      <c r="AJ111" s="582"/>
      <c r="AK111" s="582"/>
      <c r="AL111" s="582"/>
      <c r="AM111" s="579"/>
      <c r="AN111" s="579"/>
      <c r="AO111" s="347"/>
      <c r="AP111" s="581">
        <f t="shared" si="164"/>
        <v>0</v>
      </c>
      <c r="AQ111" s="596"/>
      <c r="AR111" s="596"/>
      <c r="AS111" s="348" t="str">
        <f t="shared" si="118"/>
        <v/>
      </c>
      <c r="AT111" s="348"/>
      <c r="AU111" s="348"/>
      <c r="AV111" s="348"/>
      <c r="AW111" s="348"/>
      <c r="AX111" s="584">
        <f t="shared" si="165"/>
        <v>0</v>
      </c>
      <c r="AY111" s="581">
        <f t="shared" si="12"/>
        <v>0</v>
      </c>
      <c r="AZ111" s="581">
        <f t="shared" si="159"/>
        <v>0</v>
      </c>
      <c r="BA111" s="596"/>
      <c r="BB111" s="596"/>
      <c r="BC111" s="348"/>
      <c r="BD111" s="581" t="str">
        <f t="shared" si="99"/>
        <v/>
      </c>
      <c r="BE111" s="581">
        <f t="shared" si="37"/>
        <v>0</v>
      </c>
      <c r="BF111" s="347"/>
      <c r="BG111" s="347"/>
      <c r="BH111" s="347"/>
      <c r="BI111" s="347"/>
      <c r="BJ111" s="586">
        <f t="shared" si="187"/>
        <v>0</v>
      </c>
      <c r="BK111" s="581">
        <f t="shared" si="15"/>
        <v>0</v>
      </c>
      <c r="BL111" s="347"/>
      <c r="BM111" s="347"/>
      <c r="BN111" s="347"/>
      <c r="BO111" s="586" t="str">
        <f t="shared" si="79"/>
        <v/>
      </c>
      <c r="BP111" s="584">
        <f t="shared" si="17"/>
        <v>0</v>
      </c>
      <c r="BQ111" s="347"/>
      <c r="BR111" s="581">
        <f t="shared" si="153"/>
        <v>0</v>
      </c>
      <c r="BS111" s="588">
        <f t="shared" si="180"/>
        <v>0</v>
      </c>
      <c r="BT111" s="581">
        <f t="shared" si="20"/>
        <v>0</v>
      </c>
      <c r="BU111" s="589"/>
      <c r="BV111" s="581">
        <f t="shared" si="44"/>
        <v>0</v>
      </c>
      <c r="BW111" s="590"/>
      <c r="BX111" s="347"/>
      <c r="BY111" s="347"/>
      <c r="BZ111" s="347"/>
      <c r="CA111" s="586">
        <f t="shared" si="129"/>
        <v>0</v>
      </c>
      <c r="CB111" s="581">
        <f t="shared" si="160"/>
        <v>0</v>
      </c>
      <c r="CC111" s="581">
        <f t="shared" si="131"/>
        <v>0</v>
      </c>
      <c r="CD111" s="581">
        <f t="shared" si="132"/>
        <v>0</v>
      </c>
      <c r="CE111" s="581">
        <f t="shared" si="133"/>
        <v>0</v>
      </c>
      <c r="CF111" s="581">
        <f t="shared" si="134"/>
        <v>0</v>
      </c>
      <c r="CG111" s="581">
        <f t="shared" si="135"/>
        <v>0</v>
      </c>
      <c r="CH111" s="608" t="str">
        <f t="shared" si="136"/>
        <v>#DIV/0!</v>
      </c>
      <c r="CI111" s="603" t="str">
        <f t="shared" si="137"/>
        <v>#DIV/0!</v>
      </c>
      <c r="CJ111" s="347"/>
      <c r="CK111" s="347">
        <f t="shared" si="138"/>
        <v>0</v>
      </c>
      <c r="CL111" s="539">
        <f t="shared" si="139"/>
        <v>0</v>
      </c>
      <c r="CM111" s="347">
        <f t="shared" si="140"/>
        <v>0</v>
      </c>
      <c r="CN111" s="347">
        <f t="shared" si="141"/>
        <v>0</v>
      </c>
      <c r="CO111" s="347" t="str">
        <f t="shared" si="142"/>
        <v/>
      </c>
      <c r="CP111" s="347"/>
    </row>
    <row r="112">
      <c r="A112" s="574">
        <f t="shared" si="147"/>
        <v>300048</v>
      </c>
      <c r="B112" s="574" t="str">
        <f t="shared" si="1"/>
        <v>Batch 300048</v>
      </c>
      <c r="C112" s="347"/>
      <c r="D112" s="574" t="str">
        <f>CONCATENATE(MID(B112,FIND(" ",B112) + 1,FIND(" ",B112) + 1 - (FIND(" ",B112))),"-",RIGHT(B112,LEN(B112) - 10))</f>
        <v>3-48</v>
      </c>
      <c r="E112" s="347"/>
      <c r="F112" s="596"/>
      <c r="G112" s="596"/>
      <c r="H112" s="347"/>
      <c r="I112" s="347"/>
      <c r="J112" s="583" t="str">
        <f t="shared" si="82"/>
        <v/>
      </c>
      <c r="K112" s="345" t="str">
        <f t="shared" si="177"/>
        <v/>
      </c>
      <c r="L112" s="345" t="str">
        <f t="shared" si="184"/>
        <v/>
      </c>
      <c r="M112" s="345" t="str">
        <f t="shared" si="185"/>
        <v/>
      </c>
      <c r="N112" s="345" t="str">
        <f t="shared" si="186"/>
        <v/>
      </c>
      <c r="O112" s="579">
        <f t="shared" si="2"/>
        <v>0</v>
      </c>
      <c r="P112" s="579">
        <f t="shared" si="126"/>
        <v>0</v>
      </c>
      <c r="Q112" s="574"/>
      <c r="R112" s="347"/>
      <c r="S112" s="345" t="str">
        <f t="shared" si="89"/>
        <v/>
      </c>
      <c r="T112" s="347"/>
      <c r="U112" s="579">
        <f t="shared" si="48"/>
        <v>0</v>
      </c>
      <c r="V112" s="579">
        <f t="shared" si="49"/>
        <v>0</v>
      </c>
      <c r="W112" s="574" t="str">
        <f t="shared" si="179"/>
        <v/>
      </c>
      <c r="X112" s="347" t="str">
        <f t="shared" si="170"/>
        <v/>
      </c>
      <c r="Y112" s="347" t="str">
        <f t="shared" si="188"/>
        <v/>
      </c>
      <c r="Z112" s="347" t="str">
        <f t="shared" si="171"/>
        <v/>
      </c>
      <c r="AA112" s="579">
        <f t="shared" si="6"/>
        <v>0</v>
      </c>
      <c r="AB112" s="581">
        <f t="shared" si="105"/>
        <v>0</v>
      </c>
      <c r="AC112" s="347" t="str">
        <f t="shared" si="183"/>
        <v/>
      </c>
      <c r="AD112" s="347" t="str">
        <f t="shared" si="176"/>
        <v/>
      </c>
      <c r="AE112" s="347" t="str">
        <f t="shared" si="173"/>
        <v/>
      </c>
      <c r="AF112" s="347" t="str">
        <f t="shared" si="174"/>
        <v/>
      </c>
      <c r="AG112" s="579">
        <f t="shared" si="54"/>
        <v>0</v>
      </c>
      <c r="AH112" s="579">
        <f t="shared" si="175"/>
        <v>0</v>
      </c>
      <c r="AI112" s="582"/>
      <c r="AJ112" s="582"/>
      <c r="AK112" s="582"/>
      <c r="AL112" s="582"/>
      <c r="AM112" s="579"/>
      <c r="AN112" s="579"/>
      <c r="AO112" s="347"/>
      <c r="AP112" s="581">
        <f t="shared" si="164"/>
        <v>0</v>
      </c>
      <c r="AQ112" s="596"/>
      <c r="AR112" s="596"/>
      <c r="AS112" s="348" t="str">
        <f t="shared" si="118"/>
        <v/>
      </c>
      <c r="AT112" s="348"/>
      <c r="AU112" s="348"/>
      <c r="AV112" s="348"/>
      <c r="AW112" s="348"/>
      <c r="AX112" s="584">
        <f t="shared" si="165"/>
        <v>0</v>
      </c>
      <c r="AY112" s="581">
        <f t="shared" si="12"/>
        <v>0</v>
      </c>
      <c r="AZ112" s="581">
        <f t="shared" si="159"/>
        <v>0</v>
      </c>
      <c r="BA112" s="596"/>
      <c r="BB112" s="596"/>
      <c r="BC112" s="348"/>
      <c r="BD112" s="581" t="str">
        <f t="shared" si="99"/>
        <v/>
      </c>
      <c r="BE112" s="581">
        <f t="shared" si="37"/>
        <v>0</v>
      </c>
      <c r="BF112" s="347"/>
      <c r="BG112" s="347"/>
      <c r="BH112" s="347"/>
      <c r="BI112" s="347"/>
      <c r="BJ112" s="586">
        <f t="shared" si="187"/>
        <v>0</v>
      </c>
      <c r="BK112" s="581">
        <f t="shared" si="15"/>
        <v>0</v>
      </c>
      <c r="BL112" s="347"/>
      <c r="BM112" s="347"/>
      <c r="BN112" s="347"/>
      <c r="BO112" s="586" t="str">
        <f t="shared" si="79"/>
        <v/>
      </c>
      <c r="BP112" s="584">
        <f t="shared" si="17"/>
        <v>0</v>
      </c>
      <c r="BQ112" s="347"/>
      <c r="BR112" s="581">
        <f t="shared" si="153"/>
        <v>0</v>
      </c>
      <c r="BS112" s="588">
        <f t="shared" si="180"/>
        <v>0</v>
      </c>
      <c r="BT112" s="581">
        <f t="shared" si="20"/>
        <v>0</v>
      </c>
      <c r="BU112" s="589"/>
      <c r="BV112" s="581">
        <f t="shared" si="44"/>
        <v>0</v>
      </c>
      <c r="BW112" s="590"/>
      <c r="BX112" s="347"/>
      <c r="BY112" s="347"/>
      <c r="BZ112" s="347"/>
      <c r="CA112" s="586">
        <f t="shared" si="129"/>
        <v>0</v>
      </c>
      <c r="CB112" s="581">
        <f t="shared" si="160"/>
        <v>0</v>
      </c>
      <c r="CC112" s="581">
        <f t="shared" si="131"/>
        <v>0</v>
      </c>
      <c r="CD112" s="581">
        <f t="shared" si="132"/>
        <v>0</v>
      </c>
      <c r="CE112" s="581">
        <f t="shared" si="133"/>
        <v>0</v>
      </c>
      <c r="CF112" s="581">
        <f t="shared" si="134"/>
        <v>0</v>
      </c>
      <c r="CG112" s="581">
        <f t="shared" si="135"/>
        <v>0</v>
      </c>
      <c r="CH112" s="608" t="str">
        <f t="shared" si="136"/>
        <v>#DIV/0!</v>
      </c>
      <c r="CI112" s="603" t="str">
        <f t="shared" si="137"/>
        <v>#DIV/0!</v>
      </c>
      <c r="CJ112" s="347"/>
      <c r="CK112" s="347">
        <f t="shared" si="138"/>
        <v>0</v>
      </c>
      <c r="CL112" s="539">
        <f t="shared" si="139"/>
        <v>0</v>
      </c>
      <c r="CM112" s="347">
        <f t="shared" si="140"/>
        <v>0</v>
      </c>
      <c r="CN112" s="347">
        <f t="shared" si="141"/>
        <v>0</v>
      </c>
      <c r="CO112" s="347" t="str">
        <f t="shared" si="142"/>
        <v/>
      </c>
      <c r="CP112" s="347"/>
    </row>
    <row r="113">
      <c r="A113" s="574">
        <f t="shared" si="147"/>
        <v>200116</v>
      </c>
      <c r="B113" s="574" t="str">
        <f t="shared" si="1"/>
        <v>Batch 200116</v>
      </c>
      <c r="C113" s="347"/>
      <c r="D113" s="574" t="str">
        <f>CONCATENATE(LEFT(MID(B113,FIND(" ",B113) + 1,10),1),"-",RIGHT(B113,3))</f>
        <v>2-116</v>
      </c>
      <c r="E113" s="347"/>
      <c r="F113" s="596"/>
      <c r="G113" s="596"/>
      <c r="H113" s="347"/>
      <c r="I113" s="347"/>
      <c r="J113" s="583" t="str">
        <f t="shared" si="82"/>
        <v/>
      </c>
      <c r="K113" s="345" t="str">
        <f t="shared" si="177"/>
        <v/>
      </c>
      <c r="L113" s="345" t="str">
        <f t="shared" si="184"/>
        <v/>
      </c>
      <c r="M113" s="345" t="str">
        <f t="shared" si="185"/>
        <v/>
      </c>
      <c r="N113" s="345" t="str">
        <f t="shared" si="186"/>
        <v/>
      </c>
      <c r="O113" s="579">
        <f t="shared" si="2"/>
        <v>0</v>
      </c>
      <c r="P113" s="579">
        <f t="shared" si="126"/>
        <v>0</v>
      </c>
      <c r="Q113" s="574"/>
      <c r="R113" s="347"/>
      <c r="S113" s="345" t="str">
        <f t="shared" si="89"/>
        <v/>
      </c>
      <c r="T113" s="347"/>
      <c r="U113" s="579">
        <f t="shared" si="48"/>
        <v>0</v>
      </c>
      <c r="V113" s="579">
        <f t="shared" si="49"/>
        <v>0</v>
      </c>
      <c r="W113" s="574" t="str">
        <f t="shared" si="179"/>
        <v/>
      </c>
      <c r="X113" s="347" t="str">
        <f t="shared" si="170"/>
        <v/>
      </c>
      <c r="Y113" s="347" t="str">
        <f t="shared" si="188"/>
        <v/>
      </c>
      <c r="Z113" s="347" t="str">
        <f t="shared" si="171"/>
        <v/>
      </c>
      <c r="AA113" s="579">
        <f t="shared" si="6"/>
        <v>0</v>
      </c>
      <c r="AB113" s="581">
        <f t="shared" si="105"/>
        <v>0</v>
      </c>
      <c r="AC113" s="347" t="str">
        <f t="shared" si="183"/>
        <v/>
      </c>
      <c r="AD113" s="347" t="str">
        <f t="shared" si="176"/>
        <v/>
      </c>
      <c r="AE113" s="347" t="str">
        <f t="shared" si="173"/>
        <v/>
      </c>
      <c r="AF113" s="347" t="str">
        <f t="shared" si="174"/>
        <v/>
      </c>
      <c r="AG113" s="579">
        <f t="shared" si="54"/>
        <v>0</v>
      </c>
      <c r="AH113" s="579">
        <f t="shared" si="175"/>
        <v>0</v>
      </c>
      <c r="AI113" s="582"/>
      <c r="AJ113" s="582"/>
      <c r="AK113" s="582"/>
      <c r="AL113" s="582"/>
      <c r="AM113" s="579"/>
      <c r="AN113" s="579"/>
      <c r="AO113" s="347"/>
      <c r="AP113" s="581">
        <f t="shared" si="164"/>
        <v>0</v>
      </c>
      <c r="AQ113" s="596"/>
      <c r="AR113" s="596"/>
      <c r="AS113" s="348" t="str">
        <f t="shared" si="118"/>
        <v/>
      </c>
      <c r="AT113" s="348"/>
      <c r="AU113" s="348"/>
      <c r="AV113" s="348"/>
      <c r="AW113" s="348"/>
      <c r="AX113" s="584">
        <f t="shared" si="165"/>
        <v>0</v>
      </c>
      <c r="AY113" s="581">
        <f t="shared" si="12"/>
        <v>0</v>
      </c>
      <c r="AZ113" s="581">
        <f t="shared" si="159"/>
        <v>0</v>
      </c>
      <c r="BA113" s="596"/>
      <c r="BB113" s="596"/>
      <c r="BC113" s="348"/>
      <c r="BD113" s="581" t="str">
        <f t="shared" si="99"/>
        <v/>
      </c>
      <c r="BE113" s="581">
        <f t="shared" si="37"/>
        <v>0</v>
      </c>
      <c r="BF113" s="347"/>
      <c r="BG113" s="347"/>
      <c r="BH113" s="347"/>
      <c r="BI113" s="347"/>
      <c r="BJ113" s="586">
        <f t="shared" si="187"/>
        <v>0</v>
      </c>
      <c r="BK113" s="581">
        <f t="shared" si="15"/>
        <v>0</v>
      </c>
      <c r="BL113" s="347"/>
      <c r="BM113" s="347"/>
      <c r="BN113" s="347"/>
      <c r="BO113" s="586" t="str">
        <f t="shared" si="79"/>
        <v/>
      </c>
      <c r="BP113" s="584">
        <f t="shared" si="17"/>
        <v>0</v>
      </c>
      <c r="BQ113" s="347"/>
      <c r="BR113" s="581">
        <f t="shared" si="153"/>
        <v>0</v>
      </c>
      <c r="BS113" s="588">
        <f t="shared" si="180"/>
        <v>0</v>
      </c>
      <c r="BT113" s="581">
        <f t="shared" si="20"/>
        <v>0</v>
      </c>
      <c r="BU113" s="589"/>
      <c r="BV113" s="581">
        <f t="shared" si="44"/>
        <v>0</v>
      </c>
      <c r="BW113" s="590"/>
      <c r="BX113" s="347"/>
      <c r="BY113" s="347"/>
      <c r="BZ113" s="347"/>
      <c r="CA113" s="586">
        <f t="shared" si="129"/>
        <v>0</v>
      </c>
      <c r="CB113" s="581">
        <f t="shared" si="160"/>
        <v>0</v>
      </c>
      <c r="CC113" s="581">
        <f t="shared" si="131"/>
        <v>0</v>
      </c>
      <c r="CD113" s="581">
        <f t="shared" si="132"/>
        <v>0</v>
      </c>
      <c r="CE113" s="581">
        <f t="shared" si="133"/>
        <v>0</v>
      </c>
      <c r="CF113" s="581">
        <f t="shared" si="134"/>
        <v>0</v>
      </c>
      <c r="CG113" s="581">
        <f t="shared" si="135"/>
        <v>0</v>
      </c>
      <c r="CH113" s="608" t="str">
        <f t="shared" si="136"/>
        <v>#DIV/0!</v>
      </c>
      <c r="CI113" s="603" t="str">
        <f t="shared" si="137"/>
        <v>#DIV/0!</v>
      </c>
      <c r="CJ113" s="347"/>
      <c r="CK113" s="347">
        <f t="shared" si="138"/>
        <v>0</v>
      </c>
      <c r="CL113" s="539">
        <f t="shared" si="139"/>
        <v>0</v>
      </c>
      <c r="CM113" s="347">
        <f t="shared" si="140"/>
        <v>0</v>
      </c>
      <c r="CN113" s="347">
        <f t="shared" si="141"/>
        <v>0</v>
      </c>
      <c r="CO113" s="347" t="str">
        <f t="shared" si="142"/>
        <v/>
      </c>
      <c r="CP113" s="347"/>
    </row>
    <row r="114">
      <c r="A114" s="574">
        <f t="shared" si="147"/>
        <v>300049</v>
      </c>
      <c r="B114" s="574" t="str">
        <f t="shared" si="1"/>
        <v>Batch 300049</v>
      </c>
      <c r="C114" s="347"/>
      <c r="D114" s="574" t="str">
        <f>CONCATENATE(MID(B114,FIND(" ",B114) + 1,FIND(" ",B114) + 1 - (FIND(" ",B114))),"-",RIGHT(B114,LEN(B114) - 10))</f>
        <v>3-49</v>
      </c>
      <c r="E114" s="347"/>
      <c r="F114" s="596"/>
      <c r="G114" s="596"/>
      <c r="H114" s="347"/>
      <c r="I114" s="347"/>
      <c r="J114" s="583" t="str">
        <f t="shared" si="82"/>
        <v/>
      </c>
      <c r="K114" s="345" t="str">
        <f t="shared" si="177"/>
        <v/>
      </c>
      <c r="L114" s="345" t="str">
        <f t="shared" si="184"/>
        <v/>
      </c>
      <c r="M114" s="345" t="str">
        <f t="shared" si="185"/>
        <v/>
      </c>
      <c r="N114" s="345" t="str">
        <f t="shared" si="186"/>
        <v/>
      </c>
      <c r="O114" s="579">
        <f t="shared" si="2"/>
        <v>0</v>
      </c>
      <c r="P114" s="579">
        <f t="shared" si="126"/>
        <v>0</v>
      </c>
      <c r="Q114" s="574"/>
      <c r="R114" s="347"/>
      <c r="S114" s="345" t="str">
        <f t="shared" si="89"/>
        <v/>
      </c>
      <c r="T114" s="347"/>
      <c r="U114" s="579">
        <f t="shared" si="48"/>
        <v>0</v>
      </c>
      <c r="V114" s="579">
        <f t="shared" si="49"/>
        <v>0</v>
      </c>
      <c r="W114" s="574" t="str">
        <f t="shared" si="179"/>
        <v/>
      </c>
      <c r="X114" s="347" t="str">
        <f t="shared" si="170"/>
        <v/>
      </c>
      <c r="Y114" s="347" t="str">
        <f t="shared" si="188"/>
        <v/>
      </c>
      <c r="Z114" s="347" t="str">
        <f t="shared" si="171"/>
        <v/>
      </c>
      <c r="AA114" s="579">
        <f t="shared" si="6"/>
        <v>0</v>
      </c>
      <c r="AB114" s="581">
        <f t="shared" si="105"/>
        <v>0</v>
      </c>
      <c r="AC114" s="347" t="str">
        <f t="shared" si="183"/>
        <v/>
      </c>
      <c r="AD114" s="347" t="str">
        <f t="shared" si="176"/>
        <v/>
      </c>
      <c r="AE114" s="347" t="str">
        <f t="shared" si="173"/>
        <v/>
      </c>
      <c r="AF114" s="347" t="str">
        <f t="shared" si="174"/>
        <v/>
      </c>
      <c r="AG114" s="579">
        <f t="shared" si="54"/>
        <v>0</v>
      </c>
      <c r="AH114" s="579">
        <f t="shared" si="175"/>
        <v>0</v>
      </c>
      <c r="AI114" s="582"/>
      <c r="AJ114" s="582"/>
      <c r="AK114" s="582"/>
      <c r="AL114" s="582"/>
      <c r="AM114" s="579"/>
      <c r="AN114" s="579"/>
      <c r="AO114" s="347"/>
      <c r="AP114" s="581">
        <f t="shared" si="164"/>
        <v>0</v>
      </c>
      <c r="AQ114" s="596"/>
      <c r="AR114" s="596"/>
      <c r="AS114" s="348" t="str">
        <f t="shared" si="118"/>
        <v/>
      </c>
      <c r="AT114" s="348"/>
      <c r="AU114" s="348"/>
      <c r="AV114" s="348"/>
      <c r="AW114" s="348"/>
      <c r="AX114" s="584">
        <f t="shared" si="165"/>
        <v>0</v>
      </c>
      <c r="AY114" s="581">
        <f t="shared" si="12"/>
        <v>0</v>
      </c>
      <c r="AZ114" s="581">
        <f t="shared" si="159"/>
        <v>0</v>
      </c>
      <c r="BA114" s="596"/>
      <c r="BB114" s="596"/>
      <c r="BC114" s="348"/>
      <c r="BD114" s="581" t="str">
        <f t="shared" si="99"/>
        <v/>
      </c>
      <c r="BE114" s="581">
        <f t="shared" si="37"/>
        <v>0</v>
      </c>
      <c r="BF114" s="347"/>
      <c r="BG114" s="347"/>
      <c r="BH114" s="347"/>
      <c r="BI114" s="347"/>
      <c r="BJ114" s="586">
        <f t="shared" si="187"/>
        <v>0</v>
      </c>
      <c r="BK114" s="581">
        <f t="shared" si="15"/>
        <v>0</v>
      </c>
      <c r="BL114" s="347"/>
      <c r="BM114" s="347"/>
      <c r="BN114" s="347"/>
      <c r="BO114" s="586" t="str">
        <f t="shared" si="79"/>
        <v/>
      </c>
      <c r="BP114" s="584">
        <f t="shared" si="17"/>
        <v>0</v>
      </c>
      <c r="BQ114" s="347"/>
      <c r="BR114" s="581">
        <f t="shared" si="153"/>
        <v>0</v>
      </c>
      <c r="BS114" s="588">
        <f t="shared" si="180"/>
        <v>0</v>
      </c>
      <c r="BT114" s="581">
        <f t="shared" si="20"/>
        <v>0</v>
      </c>
      <c r="BU114" s="589"/>
      <c r="BV114" s="581">
        <f t="shared" si="44"/>
        <v>0</v>
      </c>
      <c r="BW114" s="590"/>
      <c r="BX114" s="347"/>
      <c r="BY114" s="347"/>
      <c r="BZ114" s="347"/>
      <c r="CA114" s="586">
        <f t="shared" si="129"/>
        <v>0</v>
      </c>
      <c r="CB114" s="581">
        <f t="shared" si="160"/>
        <v>0</v>
      </c>
      <c r="CC114" s="581">
        <f t="shared" si="131"/>
        <v>0</v>
      </c>
      <c r="CD114" s="581">
        <f t="shared" si="132"/>
        <v>0</v>
      </c>
      <c r="CE114" s="581">
        <f t="shared" si="133"/>
        <v>0</v>
      </c>
      <c r="CF114" s="581">
        <f t="shared" si="134"/>
        <v>0</v>
      </c>
      <c r="CG114" s="581">
        <f t="shared" si="135"/>
        <v>0</v>
      </c>
      <c r="CH114" s="608" t="str">
        <f t="shared" si="136"/>
        <v>#DIV/0!</v>
      </c>
      <c r="CI114" s="603" t="str">
        <f t="shared" si="137"/>
        <v>#DIV/0!</v>
      </c>
      <c r="CJ114" s="347"/>
      <c r="CK114" s="347">
        <f t="shared" si="138"/>
        <v>0</v>
      </c>
      <c r="CL114" s="539">
        <f t="shared" si="139"/>
        <v>0</v>
      </c>
      <c r="CM114" s="347">
        <f t="shared" si="140"/>
        <v>0</v>
      </c>
      <c r="CN114" s="347">
        <f t="shared" si="141"/>
        <v>0</v>
      </c>
      <c r="CO114" s="347" t="str">
        <f t="shared" si="142"/>
        <v/>
      </c>
      <c r="CP114" s="347"/>
    </row>
    <row r="115">
      <c r="A115" s="574">
        <f t="shared" si="147"/>
        <v>200117</v>
      </c>
      <c r="B115" s="574" t="str">
        <f t="shared" si="1"/>
        <v>Batch 200117</v>
      </c>
      <c r="C115" s="347"/>
      <c r="D115" s="574" t="str">
        <f>CONCATENATE(LEFT(MID(B115,FIND(" ",B115) + 1,10),1),"-",RIGHT(B115,3))</f>
        <v>2-117</v>
      </c>
      <c r="E115" s="347"/>
      <c r="F115" s="596"/>
      <c r="G115" s="596"/>
      <c r="H115" s="347"/>
      <c r="I115" s="347"/>
      <c r="J115" s="583" t="str">
        <f t="shared" si="82"/>
        <v/>
      </c>
      <c r="K115" s="345" t="str">
        <f t="shared" si="177"/>
        <v/>
      </c>
      <c r="L115" s="345" t="str">
        <f t="shared" si="184"/>
        <v/>
      </c>
      <c r="M115" s="345" t="str">
        <f t="shared" si="185"/>
        <v/>
      </c>
      <c r="N115" s="345" t="str">
        <f t="shared" si="186"/>
        <v/>
      </c>
      <c r="O115" s="579">
        <f t="shared" si="2"/>
        <v>0</v>
      </c>
      <c r="P115" s="579">
        <f t="shared" si="126"/>
        <v>0</v>
      </c>
      <c r="Q115" s="574"/>
      <c r="R115" s="347"/>
      <c r="S115" s="345" t="str">
        <f t="shared" si="89"/>
        <v/>
      </c>
      <c r="T115" s="347"/>
      <c r="U115" s="579">
        <f t="shared" si="48"/>
        <v>0</v>
      </c>
      <c r="V115" s="579">
        <f t="shared" si="49"/>
        <v>0</v>
      </c>
      <c r="W115" s="574" t="str">
        <f t="shared" si="179"/>
        <v/>
      </c>
      <c r="X115" s="347" t="str">
        <f t="shared" si="170"/>
        <v/>
      </c>
      <c r="Y115" s="347" t="str">
        <f t="shared" si="188"/>
        <v/>
      </c>
      <c r="Z115" s="347" t="str">
        <f t="shared" si="171"/>
        <v/>
      </c>
      <c r="AA115" s="579">
        <f t="shared" si="6"/>
        <v>0</v>
      </c>
      <c r="AB115" s="581">
        <f t="shared" si="105"/>
        <v>0</v>
      </c>
      <c r="AC115" s="347" t="str">
        <f t="shared" si="183"/>
        <v/>
      </c>
      <c r="AD115" s="347" t="str">
        <f t="shared" si="176"/>
        <v/>
      </c>
      <c r="AE115" s="347" t="str">
        <f t="shared" si="173"/>
        <v/>
      </c>
      <c r="AF115" s="347" t="str">
        <f t="shared" si="174"/>
        <v/>
      </c>
      <c r="AG115" s="579">
        <f t="shared" si="54"/>
        <v>0</v>
      </c>
      <c r="AH115" s="579">
        <f t="shared" si="175"/>
        <v>0</v>
      </c>
      <c r="AI115" s="582"/>
      <c r="AJ115" s="582"/>
      <c r="AK115" s="582"/>
      <c r="AL115" s="582"/>
      <c r="AM115" s="579"/>
      <c r="AN115" s="579"/>
      <c r="AO115" s="347"/>
      <c r="AP115" s="581">
        <f t="shared" si="164"/>
        <v>0</v>
      </c>
      <c r="AQ115" s="596"/>
      <c r="AR115" s="596"/>
      <c r="AS115" s="348" t="str">
        <f t="shared" si="118"/>
        <v/>
      </c>
      <c r="AT115" s="348"/>
      <c r="AU115" s="348"/>
      <c r="AV115" s="348"/>
      <c r="AW115" s="348"/>
      <c r="AX115" s="584">
        <f t="shared" si="165"/>
        <v>0</v>
      </c>
      <c r="AY115" s="581">
        <f t="shared" si="12"/>
        <v>0</v>
      </c>
      <c r="AZ115" s="581">
        <f t="shared" si="159"/>
        <v>0</v>
      </c>
      <c r="BA115" s="596"/>
      <c r="BB115" s="596"/>
      <c r="BC115" s="348"/>
      <c r="BD115" s="581" t="str">
        <f t="shared" si="99"/>
        <v/>
      </c>
      <c r="BE115" s="581">
        <f t="shared" si="37"/>
        <v>0</v>
      </c>
      <c r="BF115" s="347"/>
      <c r="BG115" s="347"/>
      <c r="BH115" s="347"/>
      <c r="BI115" s="347"/>
      <c r="BJ115" s="586">
        <f t="shared" si="187"/>
        <v>0</v>
      </c>
      <c r="BK115" s="581">
        <f t="shared" si="15"/>
        <v>0</v>
      </c>
      <c r="BL115" s="347"/>
      <c r="BM115" s="347"/>
      <c r="BN115" s="347"/>
      <c r="BO115" s="586" t="str">
        <f t="shared" si="79"/>
        <v/>
      </c>
      <c r="BP115" s="584">
        <f t="shared" si="17"/>
        <v>0</v>
      </c>
      <c r="BQ115" s="347"/>
      <c r="BR115" s="581">
        <f t="shared" si="153"/>
        <v>0</v>
      </c>
      <c r="BS115" s="588">
        <f t="shared" si="180"/>
        <v>0</v>
      </c>
      <c r="BT115" s="581">
        <f t="shared" si="20"/>
        <v>0</v>
      </c>
      <c r="BU115" s="589"/>
      <c r="BV115" s="581">
        <f t="shared" si="44"/>
        <v>0</v>
      </c>
      <c r="BW115" s="590"/>
      <c r="BX115" s="347"/>
      <c r="BY115" s="347"/>
      <c r="BZ115" s="347"/>
      <c r="CA115" s="586">
        <f t="shared" si="129"/>
        <v>0</v>
      </c>
      <c r="CB115" s="581">
        <f t="shared" si="160"/>
        <v>0</v>
      </c>
      <c r="CC115" s="581">
        <f t="shared" si="131"/>
        <v>0</v>
      </c>
      <c r="CD115" s="581">
        <f t="shared" si="132"/>
        <v>0</v>
      </c>
      <c r="CE115" s="581">
        <f t="shared" si="133"/>
        <v>0</v>
      </c>
      <c r="CF115" s="581">
        <f t="shared" si="134"/>
        <v>0</v>
      </c>
      <c r="CG115" s="581">
        <f t="shared" si="135"/>
        <v>0</v>
      </c>
      <c r="CH115" s="608" t="str">
        <f t="shared" si="136"/>
        <v>#DIV/0!</v>
      </c>
      <c r="CI115" s="603" t="str">
        <f t="shared" si="137"/>
        <v>#DIV/0!</v>
      </c>
      <c r="CJ115" s="347"/>
      <c r="CK115" s="347">
        <f t="shared" si="138"/>
        <v>0</v>
      </c>
      <c r="CL115" s="539">
        <f t="shared" si="139"/>
        <v>0</v>
      </c>
      <c r="CM115" s="347">
        <f t="shared" si="140"/>
        <v>0</v>
      </c>
      <c r="CN115" s="347">
        <f t="shared" si="141"/>
        <v>0</v>
      </c>
      <c r="CO115" s="347" t="str">
        <f t="shared" si="142"/>
        <v/>
      </c>
      <c r="CP115" s="347"/>
    </row>
    <row r="116">
      <c r="A116" s="574">
        <f t="shared" si="147"/>
        <v>300050</v>
      </c>
      <c r="B116" s="574" t="str">
        <f t="shared" si="1"/>
        <v>Batch 300050</v>
      </c>
      <c r="C116" s="347"/>
      <c r="D116" s="574" t="str">
        <f>CONCATENATE(MID(B116,FIND(" ",B116) + 1,FIND(" ",B116) + 1 - (FIND(" ",B116))),"-",RIGHT(B116,LEN(B116) - 10))</f>
        <v>3-50</v>
      </c>
      <c r="E116" s="347"/>
      <c r="F116" s="596"/>
      <c r="G116" s="596"/>
      <c r="H116" s="347"/>
      <c r="I116" s="347"/>
      <c r="J116" s="583" t="str">
        <f t="shared" si="82"/>
        <v/>
      </c>
      <c r="K116" s="345" t="str">
        <f t="shared" si="177"/>
        <v/>
      </c>
      <c r="L116" s="345" t="str">
        <f t="shared" si="184"/>
        <v/>
      </c>
      <c r="M116" s="345" t="str">
        <f t="shared" si="185"/>
        <v/>
      </c>
      <c r="N116" s="345" t="str">
        <f t="shared" si="186"/>
        <v/>
      </c>
      <c r="O116" s="579">
        <f t="shared" si="2"/>
        <v>0</v>
      </c>
      <c r="P116" s="579">
        <f t="shared" si="126"/>
        <v>0</v>
      </c>
      <c r="Q116" s="574"/>
      <c r="R116" s="347"/>
      <c r="S116" s="345" t="str">
        <f t="shared" si="89"/>
        <v/>
      </c>
      <c r="T116" s="347"/>
      <c r="U116" s="579">
        <f t="shared" si="48"/>
        <v>0</v>
      </c>
      <c r="V116" s="579">
        <f t="shared" si="49"/>
        <v>0</v>
      </c>
      <c r="W116" s="574" t="str">
        <f t="shared" si="179"/>
        <v/>
      </c>
      <c r="X116" s="347" t="str">
        <f t="shared" si="170"/>
        <v/>
      </c>
      <c r="Y116" s="347" t="str">
        <f t="shared" si="188"/>
        <v/>
      </c>
      <c r="Z116" s="347" t="str">
        <f t="shared" si="171"/>
        <v/>
      </c>
      <c r="AA116" s="579">
        <f t="shared" si="6"/>
        <v>0</v>
      </c>
      <c r="AB116" s="581">
        <f t="shared" si="105"/>
        <v>0</v>
      </c>
      <c r="AC116" s="347" t="str">
        <f t="shared" si="183"/>
        <v/>
      </c>
      <c r="AD116" s="347" t="str">
        <f t="shared" si="176"/>
        <v/>
      </c>
      <c r="AE116" s="347" t="str">
        <f t="shared" si="173"/>
        <v/>
      </c>
      <c r="AF116" s="347" t="str">
        <f t="shared" si="174"/>
        <v/>
      </c>
      <c r="AG116" s="579">
        <f t="shared" si="54"/>
        <v>0</v>
      </c>
      <c r="AH116" s="579">
        <f t="shared" si="175"/>
        <v>0</v>
      </c>
      <c r="AI116" s="582"/>
      <c r="AJ116" s="582"/>
      <c r="AK116" s="582"/>
      <c r="AL116" s="582"/>
      <c r="AM116" s="579"/>
      <c r="AN116" s="579"/>
      <c r="AO116" s="347"/>
      <c r="AP116" s="581">
        <f t="shared" si="164"/>
        <v>0</v>
      </c>
      <c r="AQ116" s="596"/>
      <c r="AR116" s="596"/>
      <c r="AS116" s="348" t="str">
        <f t="shared" si="118"/>
        <v/>
      </c>
      <c r="AT116" s="348"/>
      <c r="AU116" s="348"/>
      <c r="AV116" s="348"/>
      <c r="AW116" s="348"/>
      <c r="AX116" s="584">
        <f t="shared" si="165"/>
        <v>0</v>
      </c>
      <c r="AY116" s="581">
        <f t="shared" si="12"/>
        <v>0</v>
      </c>
      <c r="AZ116" s="581">
        <f t="shared" si="159"/>
        <v>0</v>
      </c>
      <c r="BA116" s="596"/>
      <c r="BB116" s="596"/>
      <c r="BC116" s="348"/>
      <c r="BD116" s="581" t="str">
        <f t="shared" si="99"/>
        <v/>
      </c>
      <c r="BE116" s="581">
        <f t="shared" si="37"/>
        <v>0</v>
      </c>
      <c r="BF116" s="347"/>
      <c r="BG116" s="347"/>
      <c r="BH116" s="347"/>
      <c r="BI116" s="347"/>
      <c r="BJ116" s="586">
        <f t="shared" si="187"/>
        <v>0</v>
      </c>
      <c r="BK116" s="581">
        <f t="shared" si="15"/>
        <v>0</v>
      </c>
      <c r="BL116" s="347"/>
      <c r="BM116" s="347"/>
      <c r="BN116" s="347"/>
      <c r="BO116" s="586" t="str">
        <f t="shared" si="79"/>
        <v/>
      </c>
      <c r="BP116" s="584">
        <f t="shared" si="17"/>
        <v>0</v>
      </c>
      <c r="BQ116" s="347"/>
      <c r="BR116" s="581">
        <f t="shared" si="153"/>
        <v>0</v>
      </c>
      <c r="BS116" s="588">
        <f t="shared" si="180"/>
        <v>0</v>
      </c>
      <c r="BT116" s="581">
        <f t="shared" si="20"/>
        <v>0</v>
      </c>
      <c r="BU116" s="589"/>
      <c r="BV116" s="581">
        <f t="shared" si="44"/>
        <v>0</v>
      </c>
      <c r="BW116" s="590"/>
      <c r="BX116" s="347"/>
      <c r="BY116" s="347"/>
      <c r="BZ116" s="347"/>
      <c r="CA116" s="586">
        <f t="shared" si="129"/>
        <v>0</v>
      </c>
      <c r="CB116" s="581">
        <f t="shared" si="160"/>
        <v>0</v>
      </c>
      <c r="CC116" s="581">
        <f t="shared" si="131"/>
        <v>0</v>
      </c>
      <c r="CD116" s="581">
        <f t="shared" si="132"/>
        <v>0</v>
      </c>
      <c r="CE116" s="581">
        <f t="shared" si="133"/>
        <v>0</v>
      </c>
      <c r="CF116" s="581">
        <f t="shared" si="134"/>
        <v>0</v>
      </c>
      <c r="CG116" s="581">
        <f t="shared" si="135"/>
        <v>0</v>
      </c>
      <c r="CH116" s="608" t="str">
        <f t="shared" si="136"/>
        <v>#DIV/0!</v>
      </c>
      <c r="CI116" s="603" t="str">
        <f t="shared" si="137"/>
        <v>#DIV/0!</v>
      </c>
      <c r="CJ116" s="347"/>
      <c r="CK116" s="347">
        <f t="shared" si="138"/>
        <v>0</v>
      </c>
      <c r="CL116" s="539">
        <f t="shared" si="139"/>
        <v>0</v>
      </c>
      <c r="CM116" s="347">
        <f t="shared" si="140"/>
        <v>0</v>
      </c>
      <c r="CN116" s="347">
        <f t="shared" si="141"/>
        <v>0</v>
      </c>
      <c r="CO116" s="347" t="str">
        <f t="shared" si="142"/>
        <v/>
      </c>
      <c r="CP116" s="347"/>
    </row>
    <row r="117">
      <c r="A117" s="574">
        <f t="shared" si="147"/>
        <v>200118</v>
      </c>
      <c r="B117" s="574" t="str">
        <f t="shared" si="1"/>
        <v>Batch 200118</v>
      </c>
      <c r="C117" s="347"/>
      <c r="D117" s="574" t="str">
        <f>CONCATENATE(LEFT(MID(B117,FIND(" ",B117) + 1,10),1),"-",RIGHT(B117,3))</f>
        <v>2-118</v>
      </c>
      <c r="E117" s="347"/>
      <c r="F117" s="596"/>
      <c r="G117" s="596"/>
      <c r="H117" s="347"/>
      <c r="I117" s="347"/>
      <c r="J117" s="583" t="str">
        <f t="shared" si="82"/>
        <v/>
      </c>
      <c r="K117" s="345" t="str">
        <f t="shared" si="177"/>
        <v/>
      </c>
      <c r="L117" s="345" t="str">
        <f t="shared" si="184"/>
        <v/>
      </c>
      <c r="M117" s="345" t="str">
        <f t="shared" si="185"/>
        <v/>
      </c>
      <c r="N117" s="345" t="str">
        <f t="shared" si="186"/>
        <v/>
      </c>
      <c r="O117" s="579">
        <f t="shared" si="2"/>
        <v>0</v>
      </c>
      <c r="P117" s="579">
        <f t="shared" si="126"/>
        <v>0</v>
      </c>
      <c r="Q117" s="574"/>
      <c r="R117" s="347"/>
      <c r="S117" s="345" t="str">
        <f t="shared" si="89"/>
        <v/>
      </c>
      <c r="T117" s="347"/>
      <c r="U117" s="579">
        <f t="shared" si="48"/>
        <v>0</v>
      </c>
      <c r="V117" s="579">
        <f t="shared" si="49"/>
        <v>0</v>
      </c>
      <c r="W117" s="574" t="str">
        <f t="shared" si="179"/>
        <v/>
      </c>
      <c r="X117" s="347" t="str">
        <f t="shared" si="170"/>
        <v/>
      </c>
      <c r="Y117" s="347" t="str">
        <f t="shared" si="188"/>
        <v/>
      </c>
      <c r="Z117" s="347" t="str">
        <f t="shared" si="171"/>
        <v/>
      </c>
      <c r="AA117" s="579">
        <f t="shared" si="6"/>
        <v>0</v>
      </c>
      <c r="AB117" s="581">
        <f t="shared" si="105"/>
        <v>0</v>
      </c>
      <c r="AC117" s="347" t="str">
        <f t="shared" si="183"/>
        <v/>
      </c>
      <c r="AD117" s="347" t="str">
        <f t="shared" si="176"/>
        <v/>
      </c>
      <c r="AE117" s="347" t="str">
        <f t="shared" si="173"/>
        <v/>
      </c>
      <c r="AF117" s="347" t="str">
        <f t="shared" si="174"/>
        <v/>
      </c>
      <c r="AG117" s="579">
        <f t="shared" si="54"/>
        <v>0</v>
      </c>
      <c r="AH117" s="579">
        <f t="shared" si="175"/>
        <v>0</v>
      </c>
      <c r="AI117" s="582"/>
      <c r="AJ117" s="582"/>
      <c r="AK117" s="582"/>
      <c r="AL117" s="582"/>
      <c r="AM117" s="579"/>
      <c r="AN117" s="579"/>
      <c r="AO117" s="347"/>
      <c r="AP117" s="581">
        <f t="shared" si="164"/>
        <v>0</v>
      </c>
      <c r="AQ117" s="596"/>
      <c r="AR117" s="596"/>
      <c r="AS117" s="348" t="str">
        <f t="shared" si="118"/>
        <v/>
      </c>
      <c r="AT117" s="348"/>
      <c r="AU117" s="348"/>
      <c r="AV117" s="348"/>
      <c r="AW117" s="348"/>
      <c r="AX117" s="584">
        <f t="shared" si="165"/>
        <v>0</v>
      </c>
      <c r="AY117" s="581">
        <f t="shared" si="12"/>
        <v>0</v>
      </c>
      <c r="AZ117" s="581">
        <f t="shared" si="159"/>
        <v>0</v>
      </c>
      <c r="BA117" s="596"/>
      <c r="BB117" s="596"/>
      <c r="BC117" s="348"/>
      <c r="BD117" s="581" t="str">
        <f t="shared" si="99"/>
        <v/>
      </c>
      <c r="BE117" s="581">
        <f t="shared" si="37"/>
        <v>0</v>
      </c>
      <c r="BF117" s="347"/>
      <c r="BG117" s="347"/>
      <c r="BH117" s="347"/>
      <c r="BI117" s="347"/>
      <c r="BJ117" s="586">
        <f t="shared" si="187"/>
        <v>0</v>
      </c>
      <c r="BK117" s="581">
        <f t="shared" si="15"/>
        <v>0</v>
      </c>
      <c r="BL117" s="347"/>
      <c r="BM117" s="347"/>
      <c r="BN117" s="347"/>
      <c r="BO117" s="586" t="str">
        <f t="shared" si="79"/>
        <v/>
      </c>
      <c r="BP117" s="584">
        <f t="shared" si="17"/>
        <v>0</v>
      </c>
      <c r="BQ117" s="347"/>
      <c r="BR117" s="581">
        <f t="shared" si="153"/>
        <v>0</v>
      </c>
      <c r="BS117" s="588">
        <f t="shared" si="180"/>
        <v>0</v>
      </c>
      <c r="BT117" s="581">
        <f t="shared" si="20"/>
        <v>0</v>
      </c>
      <c r="BU117" s="589"/>
      <c r="BV117" s="581">
        <f t="shared" si="44"/>
        <v>0</v>
      </c>
      <c r="BW117" s="590"/>
      <c r="BX117" s="347"/>
      <c r="BY117" s="347"/>
      <c r="BZ117" s="347"/>
      <c r="CA117" s="586">
        <f t="shared" si="129"/>
        <v>0</v>
      </c>
      <c r="CB117" s="581">
        <f t="shared" si="160"/>
        <v>0</v>
      </c>
      <c r="CC117" s="581">
        <f t="shared" si="131"/>
        <v>0</v>
      </c>
      <c r="CD117" s="581">
        <f t="shared" si="132"/>
        <v>0</v>
      </c>
      <c r="CE117" s="581">
        <f t="shared" si="133"/>
        <v>0</v>
      </c>
      <c r="CF117" s="581">
        <f t="shared" si="134"/>
        <v>0</v>
      </c>
      <c r="CG117" s="581">
        <f t="shared" si="135"/>
        <v>0</v>
      </c>
      <c r="CH117" s="608" t="str">
        <f t="shared" si="136"/>
        <v>#DIV/0!</v>
      </c>
      <c r="CI117" s="603" t="str">
        <f t="shared" si="137"/>
        <v>#DIV/0!</v>
      </c>
      <c r="CJ117" s="347"/>
      <c r="CK117" s="347">
        <f t="shared" si="138"/>
        <v>0</v>
      </c>
      <c r="CL117" s="539">
        <f t="shared" si="139"/>
        <v>0</v>
      </c>
      <c r="CM117" s="347">
        <f t="shared" si="140"/>
        <v>0</v>
      </c>
      <c r="CN117" s="347">
        <f t="shared" si="141"/>
        <v>0</v>
      </c>
      <c r="CO117" s="347" t="str">
        <f t="shared" si="142"/>
        <v/>
      </c>
      <c r="CP117" s="347"/>
    </row>
    <row r="118">
      <c r="A118" s="574">
        <f t="shared" si="147"/>
        <v>300051</v>
      </c>
      <c r="B118" s="574" t="str">
        <f t="shared" si="1"/>
        <v>Batch 300051</v>
      </c>
      <c r="C118" s="347"/>
      <c r="D118" s="574" t="str">
        <f>CONCATENATE(MID(B118,FIND(" ",B118) + 1,FIND(" ",B118) + 1 - (FIND(" ",B118))),"-",RIGHT(B118,LEN(B118) - 10))</f>
        <v>3-51</v>
      </c>
      <c r="E118" s="347"/>
      <c r="F118" s="596"/>
      <c r="G118" s="596"/>
      <c r="H118" s="347"/>
      <c r="I118" s="347"/>
      <c r="J118" s="583" t="str">
        <f t="shared" si="82"/>
        <v/>
      </c>
      <c r="K118" s="345" t="str">
        <f t="shared" si="177"/>
        <v/>
      </c>
      <c r="L118" s="345" t="str">
        <f t="shared" si="184"/>
        <v/>
      </c>
      <c r="M118" s="345" t="str">
        <f t="shared" si="185"/>
        <v/>
      </c>
      <c r="N118" s="345" t="str">
        <f t="shared" si="186"/>
        <v/>
      </c>
      <c r="O118" s="579">
        <f t="shared" si="2"/>
        <v>0</v>
      </c>
      <c r="P118" s="579">
        <f t="shared" si="126"/>
        <v>0</v>
      </c>
      <c r="Q118" s="574"/>
      <c r="R118" s="347"/>
      <c r="S118" s="345" t="str">
        <f t="shared" si="89"/>
        <v/>
      </c>
      <c r="T118" s="347"/>
      <c r="U118" s="579">
        <f t="shared" si="48"/>
        <v>0</v>
      </c>
      <c r="V118" s="579">
        <f t="shared" si="49"/>
        <v>0</v>
      </c>
      <c r="W118" s="574" t="str">
        <f t="shared" si="179"/>
        <v/>
      </c>
      <c r="X118" s="347" t="str">
        <f t="shared" si="170"/>
        <v/>
      </c>
      <c r="Y118" s="347" t="str">
        <f t="shared" si="188"/>
        <v/>
      </c>
      <c r="Z118" s="347" t="str">
        <f t="shared" si="171"/>
        <v/>
      </c>
      <c r="AA118" s="579">
        <f t="shared" si="6"/>
        <v>0</v>
      </c>
      <c r="AB118" s="581">
        <f t="shared" si="105"/>
        <v>0</v>
      </c>
      <c r="AC118" s="347" t="str">
        <f t="shared" si="183"/>
        <v/>
      </c>
      <c r="AD118" s="347" t="str">
        <f t="shared" si="176"/>
        <v/>
      </c>
      <c r="AE118" s="347" t="str">
        <f t="shared" si="173"/>
        <v/>
      </c>
      <c r="AF118" s="347" t="str">
        <f t="shared" si="174"/>
        <v/>
      </c>
      <c r="AG118" s="579">
        <f t="shared" si="54"/>
        <v>0</v>
      </c>
      <c r="AH118" s="579">
        <f t="shared" si="175"/>
        <v>0</v>
      </c>
      <c r="AI118" s="582"/>
      <c r="AJ118" s="582"/>
      <c r="AK118" s="582"/>
      <c r="AL118" s="582"/>
      <c r="AM118" s="579"/>
      <c r="AN118" s="579"/>
      <c r="AO118" s="347"/>
      <c r="AP118" s="581">
        <f t="shared" si="164"/>
        <v>0</v>
      </c>
      <c r="AQ118" s="596"/>
      <c r="AR118" s="596"/>
      <c r="AS118" s="348" t="str">
        <f t="shared" si="118"/>
        <v/>
      </c>
      <c r="AT118" s="348"/>
      <c r="AU118" s="348"/>
      <c r="AV118" s="348"/>
      <c r="AW118" s="348"/>
      <c r="AX118" s="584">
        <f t="shared" si="165"/>
        <v>0</v>
      </c>
      <c r="AY118" s="581">
        <f t="shared" si="12"/>
        <v>0</v>
      </c>
      <c r="AZ118" s="581">
        <f t="shared" si="159"/>
        <v>0</v>
      </c>
      <c r="BA118" s="596"/>
      <c r="BB118" s="596"/>
      <c r="BC118" s="348"/>
      <c r="BD118" s="581" t="str">
        <f t="shared" si="99"/>
        <v/>
      </c>
      <c r="BE118" s="581">
        <f t="shared" si="37"/>
        <v>0</v>
      </c>
      <c r="BF118" s="347"/>
      <c r="BG118" s="347"/>
      <c r="BH118" s="347"/>
      <c r="BI118" s="347"/>
      <c r="BJ118" s="586">
        <f t="shared" si="187"/>
        <v>0</v>
      </c>
      <c r="BK118" s="581">
        <f t="shared" si="15"/>
        <v>0</v>
      </c>
      <c r="BL118" s="347"/>
      <c r="BM118" s="347"/>
      <c r="BN118" s="347"/>
      <c r="BO118" s="586" t="str">
        <f t="shared" si="79"/>
        <v/>
      </c>
      <c r="BP118" s="584">
        <f t="shared" si="17"/>
        <v>0</v>
      </c>
      <c r="BQ118" s="347"/>
      <c r="BR118" s="581">
        <f t="shared" si="153"/>
        <v>0</v>
      </c>
      <c r="BS118" s="588">
        <f t="shared" si="180"/>
        <v>0</v>
      </c>
      <c r="BT118" s="581">
        <f t="shared" si="20"/>
        <v>0</v>
      </c>
      <c r="BU118" s="589"/>
      <c r="BV118" s="581">
        <f t="shared" si="44"/>
        <v>0</v>
      </c>
      <c r="BW118" s="590"/>
      <c r="BX118" s="347"/>
      <c r="BY118" s="347"/>
      <c r="BZ118" s="347"/>
      <c r="CA118" s="586">
        <f t="shared" si="129"/>
        <v>0</v>
      </c>
      <c r="CB118" s="581">
        <f t="shared" si="160"/>
        <v>0</v>
      </c>
      <c r="CC118" s="581">
        <f t="shared" si="131"/>
        <v>0</v>
      </c>
      <c r="CD118" s="581">
        <f t="shared" si="132"/>
        <v>0</v>
      </c>
      <c r="CE118" s="581">
        <f t="shared" si="133"/>
        <v>0</v>
      </c>
      <c r="CF118" s="581">
        <f t="shared" si="134"/>
        <v>0</v>
      </c>
      <c r="CG118" s="581">
        <f t="shared" si="135"/>
        <v>0</v>
      </c>
      <c r="CH118" s="608" t="str">
        <f t="shared" si="136"/>
        <v>#DIV/0!</v>
      </c>
      <c r="CI118" s="603" t="str">
        <f t="shared" si="137"/>
        <v>#DIV/0!</v>
      </c>
      <c r="CJ118" s="347"/>
      <c r="CK118" s="347">
        <f t="shared" si="138"/>
        <v>0</v>
      </c>
      <c r="CL118" s="539">
        <f t="shared" si="139"/>
        <v>0</v>
      </c>
      <c r="CM118" s="347">
        <f t="shared" si="140"/>
        <v>0</v>
      </c>
      <c r="CN118" s="347">
        <f t="shared" si="141"/>
        <v>0</v>
      </c>
      <c r="CO118" s="347" t="str">
        <f t="shared" si="142"/>
        <v/>
      </c>
      <c r="CP118" s="347"/>
    </row>
    <row r="119">
      <c r="A119" s="574">
        <f t="shared" si="147"/>
        <v>200119</v>
      </c>
      <c r="B119" s="574" t="str">
        <f t="shared" si="1"/>
        <v>Batch 200119</v>
      </c>
      <c r="C119" s="347"/>
      <c r="D119" s="574" t="str">
        <f>CONCATENATE(LEFT(MID(B119,FIND(" ",B119) + 1,10),1),"-",RIGHT(B119,3))</f>
        <v>2-119</v>
      </c>
      <c r="E119" s="347"/>
      <c r="F119" s="596"/>
      <c r="G119" s="596"/>
      <c r="H119" s="347"/>
      <c r="I119" s="347"/>
      <c r="J119" s="583" t="str">
        <f t="shared" si="82"/>
        <v/>
      </c>
      <c r="K119" s="345" t="str">
        <f t="shared" si="177"/>
        <v/>
      </c>
      <c r="L119" s="345" t="str">
        <f t="shared" si="184"/>
        <v/>
      </c>
      <c r="M119" s="345" t="str">
        <f t="shared" si="185"/>
        <v/>
      </c>
      <c r="N119" s="345" t="str">
        <f t="shared" si="186"/>
        <v/>
      </c>
      <c r="O119" s="579">
        <f t="shared" si="2"/>
        <v>0</v>
      </c>
      <c r="P119" s="579">
        <f t="shared" si="126"/>
        <v>0</v>
      </c>
      <c r="Q119" s="574"/>
      <c r="R119" s="347"/>
      <c r="S119" s="345" t="str">
        <f t="shared" si="89"/>
        <v/>
      </c>
      <c r="T119" s="347"/>
      <c r="U119" s="579">
        <f t="shared" si="48"/>
        <v>0</v>
      </c>
      <c r="V119" s="579">
        <f t="shared" si="49"/>
        <v>0</v>
      </c>
      <c r="W119" s="574" t="str">
        <f t="shared" si="179"/>
        <v/>
      </c>
      <c r="X119" s="347" t="str">
        <f t="shared" si="170"/>
        <v/>
      </c>
      <c r="Y119" s="347" t="str">
        <f t="shared" si="188"/>
        <v/>
      </c>
      <c r="Z119" s="347" t="str">
        <f t="shared" si="171"/>
        <v/>
      </c>
      <c r="AA119" s="579">
        <f t="shared" si="6"/>
        <v>0</v>
      </c>
      <c r="AB119" s="581">
        <f t="shared" si="105"/>
        <v>0</v>
      </c>
      <c r="AC119" s="347" t="str">
        <f t="shared" si="183"/>
        <v/>
      </c>
      <c r="AD119" s="347" t="str">
        <f t="shared" si="176"/>
        <v/>
      </c>
      <c r="AE119" s="347" t="str">
        <f t="shared" si="173"/>
        <v/>
      </c>
      <c r="AF119" s="347" t="str">
        <f t="shared" si="174"/>
        <v/>
      </c>
      <c r="AG119" s="579">
        <f t="shared" si="54"/>
        <v>0</v>
      </c>
      <c r="AH119" s="579">
        <f t="shared" si="175"/>
        <v>0</v>
      </c>
      <c r="AI119" s="582"/>
      <c r="AJ119" s="582"/>
      <c r="AK119" s="582"/>
      <c r="AL119" s="582"/>
      <c r="AM119" s="579"/>
      <c r="AN119" s="579"/>
      <c r="AO119" s="347"/>
      <c r="AP119" s="581">
        <f t="shared" si="164"/>
        <v>0</v>
      </c>
      <c r="AQ119" s="596"/>
      <c r="AR119" s="596"/>
      <c r="AS119" s="348" t="str">
        <f t="shared" si="118"/>
        <v/>
      </c>
      <c r="AT119" s="348"/>
      <c r="AU119" s="348"/>
      <c r="AV119" s="348"/>
      <c r="AW119" s="348"/>
      <c r="AX119" s="584">
        <f t="shared" si="165"/>
        <v>0</v>
      </c>
      <c r="AY119" s="581">
        <f t="shared" si="12"/>
        <v>0</v>
      </c>
      <c r="AZ119" s="581">
        <f t="shared" si="159"/>
        <v>0</v>
      </c>
      <c r="BA119" s="596"/>
      <c r="BB119" s="596"/>
      <c r="BC119" s="348"/>
      <c r="BD119" s="581" t="str">
        <f t="shared" si="99"/>
        <v/>
      </c>
      <c r="BE119" s="581">
        <f t="shared" si="37"/>
        <v>0</v>
      </c>
      <c r="BF119" s="347"/>
      <c r="BG119" s="347"/>
      <c r="BH119" s="347"/>
      <c r="BI119" s="347"/>
      <c r="BJ119" s="586">
        <f t="shared" si="187"/>
        <v>0</v>
      </c>
      <c r="BK119" s="581">
        <f t="shared" si="15"/>
        <v>0</v>
      </c>
      <c r="BL119" s="347"/>
      <c r="BM119" s="347"/>
      <c r="BN119" s="347"/>
      <c r="BO119" s="586" t="str">
        <f t="shared" si="79"/>
        <v/>
      </c>
      <c r="BP119" s="584">
        <f t="shared" si="17"/>
        <v>0</v>
      </c>
      <c r="BQ119" s="347"/>
      <c r="BR119" s="581">
        <f t="shared" si="153"/>
        <v>0</v>
      </c>
      <c r="BS119" s="588">
        <f t="shared" si="180"/>
        <v>0</v>
      </c>
      <c r="BT119" s="581">
        <f t="shared" si="20"/>
        <v>0</v>
      </c>
      <c r="BU119" s="589"/>
      <c r="BV119" s="581">
        <f t="shared" si="44"/>
        <v>0</v>
      </c>
      <c r="BW119" s="590"/>
      <c r="BX119" s="347"/>
      <c r="BY119" s="347"/>
      <c r="BZ119" s="347"/>
      <c r="CA119" s="586">
        <f t="shared" si="129"/>
        <v>0</v>
      </c>
      <c r="CB119" s="581">
        <f t="shared" si="160"/>
        <v>0</v>
      </c>
      <c r="CC119" s="581">
        <f t="shared" si="131"/>
        <v>0</v>
      </c>
      <c r="CD119" s="581">
        <f t="shared" si="132"/>
        <v>0</v>
      </c>
      <c r="CE119" s="581">
        <f t="shared" si="133"/>
        <v>0</v>
      </c>
      <c r="CF119" s="581">
        <f t="shared" si="134"/>
        <v>0</v>
      </c>
      <c r="CG119" s="581">
        <f t="shared" si="135"/>
        <v>0</v>
      </c>
      <c r="CH119" s="608" t="str">
        <f t="shared" si="136"/>
        <v>#DIV/0!</v>
      </c>
      <c r="CI119" s="603" t="str">
        <f t="shared" si="137"/>
        <v>#DIV/0!</v>
      </c>
      <c r="CJ119" s="347"/>
      <c r="CK119" s="347">
        <f t="shared" si="138"/>
        <v>0</v>
      </c>
      <c r="CL119" s="539">
        <f t="shared" si="139"/>
        <v>0</v>
      </c>
      <c r="CM119" s="347">
        <f t="shared" si="140"/>
        <v>0</v>
      </c>
      <c r="CN119" s="347">
        <f t="shared" si="141"/>
        <v>0</v>
      </c>
      <c r="CO119" s="347" t="str">
        <f t="shared" si="142"/>
        <v/>
      </c>
      <c r="CP119" s="347"/>
    </row>
    <row r="120">
      <c r="A120" s="574">
        <f t="shared" si="147"/>
        <v>300052</v>
      </c>
      <c r="B120" s="574" t="str">
        <f t="shared" si="1"/>
        <v>Batch 300052</v>
      </c>
      <c r="C120" s="347"/>
      <c r="D120" s="574" t="str">
        <f>CONCATENATE(MID(B120,FIND(" ",B120) + 1,FIND(" ",B120) + 1 - (FIND(" ",B120))),"-",RIGHT(B120,LEN(B120) - 10))</f>
        <v>3-52</v>
      </c>
      <c r="E120" s="347"/>
      <c r="F120" s="596"/>
      <c r="G120" s="596"/>
      <c r="H120" s="347"/>
      <c r="I120" s="347"/>
      <c r="J120" s="583" t="str">
        <f t="shared" si="82"/>
        <v/>
      </c>
      <c r="K120" s="345" t="str">
        <f t="shared" si="177"/>
        <v/>
      </c>
      <c r="L120" s="345" t="str">
        <f t="shared" si="184"/>
        <v/>
      </c>
      <c r="M120" s="345" t="str">
        <f t="shared" si="185"/>
        <v/>
      </c>
      <c r="N120" s="345" t="str">
        <f t="shared" si="186"/>
        <v/>
      </c>
      <c r="O120" s="579">
        <f t="shared" si="2"/>
        <v>0</v>
      </c>
      <c r="P120" s="579">
        <f t="shared" si="126"/>
        <v>0</v>
      </c>
      <c r="Q120" s="574"/>
      <c r="R120" s="347"/>
      <c r="S120" s="345" t="str">
        <f t="shared" si="89"/>
        <v/>
      </c>
      <c r="T120" s="347"/>
      <c r="U120" s="579">
        <f t="shared" si="48"/>
        <v>0</v>
      </c>
      <c r="V120" s="579">
        <f t="shared" si="49"/>
        <v>0</v>
      </c>
      <c r="W120" s="574" t="str">
        <f t="shared" si="179"/>
        <v/>
      </c>
      <c r="X120" s="347" t="str">
        <f t="shared" si="170"/>
        <v/>
      </c>
      <c r="Y120" s="347" t="str">
        <f t="shared" si="188"/>
        <v/>
      </c>
      <c r="Z120" s="347" t="str">
        <f t="shared" si="171"/>
        <v/>
      </c>
      <c r="AA120" s="579">
        <f t="shared" si="6"/>
        <v>0</v>
      </c>
      <c r="AB120" s="581">
        <f t="shared" si="105"/>
        <v>0</v>
      </c>
      <c r="AC120" s="347" t="str">
        <f t="shared" si="183"/>
        <v/>
      </c>
      <c r="AD120" s="347" t="str">
        <f t="shared" si="176"/>
        <v/>
      </c>
      <c r="AE120" s="347" t="str">
        <f t="shared" si="173"/>
        <v/>
      </c>
      <c r="AF120" s="347" t="str">
        <f t="shared" si="174"/>
        <v/>
      </c>
      <c r="AG120" s="579">
        <f t="shared" si="54"/>
        <v>0</v>
      </c>
      <c r="AH120" s="579">
        <f t="shared" si="175"/>
        <v>0</v>
      </c>
      <c r="AI120" s="582"/>
      <c r="AJ120" s="582"/>
      <c r="AK120" s="582"/>
      <c r="AL120" s="582"/>
      <c r="AM120" s="579"/>
      <c r="AN120" s="579"/>
      <c r="AO120" s="347"/>
      <c r="AP120" s="581">
        <f t="shared" si="164"/>
        <v>0</v>
      </c>
      <c r="AQ120" s="596"/>
      <c r="AR120" s="596"/>
      <c r="AS120" s="348"/>
      <c r="AT120" s="348"/>
      <c r="AU120" s="348"/>
      <c r="AV120" s="348"/>
      <c r="AW120" s="348"/>
      <c r="AX120" s="584">
        <f t="shared" si="165"/>
        <v>0</v>
      </c>
      <c r="AY120" s="581">
        <f t="shared" si="12"/>
        <v>0</v>
      </c>
      <c r="AZ120" s="581">
        <f t="shared" si="159"/>
        <v>0</v>
      </c>
      <c r="BA120" s="596"/>
      <c r="BB120" s="596"/>
      <c r="BC120" s="348"/>
      <c r="BD120" s="581" t="str">
        <f t="shared" si="99"/>
        <v/>
      </c>
      <c r="BE120" s="581">
        <f t="shared" si="37"/>
        <v>0</v>
      </c>
      <c r="BF120" s="347"/>
      <c r="BG120" s="347"/>
      <c r="BH120" s="347"/>
      <c r="BI120" s="347"/>
      <c r="BJ120" s="586">
        <f t="shared" si="187"/>
        <v>0</v>
      </c>
      <c r="BK120" s="581">
        <f t="shared" si="15"/>
        <v>0</v>
      </c>
      <c r="BL120" s="347"/>
      <c r="BM120" s="347"/>
      <c r="BN120" s="347"/>
      <c r="BO120" s="586" t="str">
        <f t="shared" si="79"/>
        <v/>
      </c>
      <c r="BP120" s="584">
        <f t="shared" si="17"/>
        <v>0</v>
      </c>
      <c r="BQ120" s="347"/>
      <c r="BR120" s="581">
        <f t="shared" si="153"/>
        <v>0</v>
      </c>
      <c r="BS120" s="588">
        <f t="shared" si="180"/>
        <v>0</v>
      </c>
      <c r="BT120" s="581">
        <f t="shared" si="20"/>
        <v>0</v>
      </c>
      <c r="BU120" s="589"/>
      <c r="BV120" s="581">
        <f t="shared" si="44"/>
        <v>0</v>
      </c>
      <c r="BW120" s="590"/>
      <c r="BX120" s="347"/>
      <c r="BY120" s="347"/>
      <c r="BZ120" s="347"/>
      <c r="CA120" s="586">
        <f t="shared" si="129"/>
        <v>0</v>
      </c>
      <c r="CB120" s="581">
        <f t="shared" si="160"/>
        <v>0</v>
      </c>
      <c r="CC120" s="581">
        <f t="shared" si="131"/>
        <v>0</v>
      </c>
      <c r="CD120" s="581">
        <f t="shared" si="132"/>
        <v>0</v>
      </c>
      <c r="CE120" s="581">
        <f t="shared" si="133"/>
        <v>0</v>
      </c>
      <c r="CF120" s="581">
        <f t="shared" si="134"/>
        <v>0</v>
      </c>
      <c r="CG120" s="581">
        <f t="shared" si="135"/>
        <v>0</v>
      </c>
      <c r="CH120" s="608" t="str">
        <f t="shared" si="136"/>
        <v>#DIV/0!</v>
      </c>
      <c r="CI120" s="603" t="str">
        <f t="shared" si="137"/>
        <v>#DIV/0!</v>
      </c>
      <c r="CJ120" s="347"/>
      <c r="CK120" s="347">
        <f t="shared" si="138"/>
        <v>0</v>
      </c>
      <c r="CL120" s="539">
        <f t="shared" si="139"/>
        <v>0</v>
      </c>
      <c r="CM120" s="347">
        <f t="shared" si="140"/>
        <v>0</v>
      </c>
      <c r="CN120" s="347">
        <f t="shared" si="141"/>
        <v>0</v>
      </c>
      <c r="CO120" s="347" t="str">
        <f t="shared" si="142"/>
        <v/>
      </c>
      <c r="CP120" s="347"/>
    </row>
    <row r="121">
      <c r="A121" s="574">
        <f t="shared" si="147"/>
        <v>200120</v>
      </c>
      <c r="B121" s="574" t="str">
        <f t="shared" si="1"/>
        <v>Batch 200120</v>
      </c>
      <c r="C121" s="347"/>
      <c r="D121" s="574" t="str">
        <f>CONCATENATE(LEFT(MID(B121,FIND(" ",B121) + 1,10),1),"-",RIGHT(B121,3))</f>
        <v>2-120</v>
      </c>
      <c r="E121" s="347"/>
      <c r="F121" s="596"/>
      <c r="G121" s="596"/>
      <c r="H121" s="347"/>
      <c r="I121" s="347"/>
      <c r="J121" s="583" t="str">
        <f t="shared" si="82"/>
        <v/>
      </c>
      <c r="K121" s="345" t="str">
        <f t="shared" si="177"/>
        <v/>
      </c>
      <c r="L121" s="345" t="str">
        <f t="shared" si="184"/>
        <v/>
      </c>
      <c r="M121" s="345" t="str">
        <f t="shared" si="185"/>
        <v/>
      </c>
      <c r="N121" s="345" t="str">
        <f t="shared" si="186"/>
        <v/>
      </c>
      <c r="O121" s="579">
        <f t="shared" si="2"/>
        <v>0</v>
      </c>
      <c r="P121" s="579">
        <f t="shared" si="126"/>
        <v>0</v>
      </c>
      <c r="Q121" s="574"/>
      <c r="R121" s="347"/>
      <c r="S121" s="345" t="str">
        <f t="shared" si="89"/>
        <v/>
      </c>
      <c r="T121" s="347"/>
      <c r="U121" s="579">
        <f t="shared" si="48"/>
        <v>0</v>
      </c>
      <c r="V121" s="579">
        <f t="shared" si="49"/>
        <v>0</v>
      </c>
      <c r="W121" s="574" t="str">
        <f t="shared" si="179"/>
        <v/>
      </c>
      <c r="X121" s="347" t="str">
        <f t="shared" si="170"/>
        <v/>
      </c>
      <c r="Y121" s="347" t="str">
        <f t="shared" si="188"/>
        <v/>
      </c>
      <c r="Z121" s="347" t="str">
        <f t="shared" si="171"/>
        <v/>
      </c>
      <c r="AA121" s="579">
        <f t="shared" si="6"/>
        <v>0</v>
      </c>
      <c r="AB121" s="581">
        <f t="shared" si="105"/>
        <v>0</v>
      </c>
      <c r="AC121" s="347" t="str">
        <f t="shared" si="183"/>
        <v/>
      </c>
      <c r="AD121" s="347" t="str">
        <f t="shared" si="176"/>
        <v/>
      </c>
      <c r="AE121" s="347" t="str">
        <f t="shared" si="173"/>
        <v/>
      </c>
      <c r="AF121" s="347" t="str">
        <f t="shared" si="174"/>
        <v/>
      </c>
      <c r="AG121" s="579">
        <f t="shared" si="54"/>
        <v>0</v>
      </c>
      <c r="AH121" s="579">
        <f t="shared" si="175"/>
        <v>0</v>
      </c>
      <c r="AI121" s="582"/>
      <c r="AJ121" s="582"/>
      <c r="AK121" s="582"/>
      <c r="AL121" s="582"/>
      <c r="AM121" s="579"/>
      <c r="AN121" s="579"/>
      <c r="AO121" s="347"/>
      <c r="AP121" s="581">
        <f t="shared" si="164"/>
        <v>0</v>
      </c>
      <c r="AQ121" s="596"/>
      <c r="AR121" s="596"/>
      <c r="AS121" s="348"/>
      <c r="AT121" s="348"/>
      <c r="AU121" s="348"/>
      <c r="AV121" s="348"/>
      <c r="AW121" s="348"/>
      <c r="AX121" s="584">
        <f t="shared" si="165"/>
        <v>0</v>
      </c>
      <c r="AY121" s="581">
        <f t="shared" si="12"/>
        <v>0</v>
      </c>
      <c r="AZ121" s="581">
        <f t="shared" si="159"/>
        <v>0</v>
      </c>
      <c r="BA121" s="596"/>
      <c r="BB121" s="596"/>
      <c r="BC121" s="348"/>
      <c r="BD121" s="581" t="str">
        <f t="shared" si="99"/>
        <v/>
      </c>
      <c r="BE121" s="581">
        <f t="shared" si="37"/>
        <v>0</v>
      </c>
      <c r="BF121" s="347"/>
      <c r="BG121" s="347"/>
      <c r="BH121" s="347"/>
      <c r="BI121" s="347"/>
      <c r="BJ121" s="586">
        <f t="shared" si="187"/>
        <v>0</v>
      </c>
      <c r="BK121" s="581">
        <f t="shared" si="15"/>
        <v>0</v>
      </c>
      <c r="BL121" s="347"/>
      <c r="BM121" s="347"/>
      <c r="BN121" s="347"/>
      <c r="BO121" s="586">
        <f t="shared" ref="BO121:BO300" si="189">BL121-BM121</f>
        <v>0</v>
      </c>
      <c r="BP121" s="584">
        <f t="shared" si="17"/>
        <v>0</v>
      </c>
      <c r="BQ121" s="347"/>
      <c r="BR121" s="581">
        <f t="shared" si="153"/>
        <v>0</v>
      </c>
      <c r="BS121" s="588">
        <f t="shared" si="180"/>
        <v>0</v>
      </c>
      <c r="BT121" s="581">
        <f t="shared" si="20"/>
        <v>0</v>
      </c>
      <c r="BU121" s="589"/>
      <c r="BV121" s="581">
        <f t="shared" si="44"/>
        <v>0</v>
      </c>
      <c r="BW121" s="590"/>
      <c r="BX121" s="347"/>
      <c r="BY121" s="347"/>
      <c r="BZ121" s="347"/>
      <c r="CA121" s="586">
        <f t="shared" si="129"/>
        <v>0</v>
      </c>
      <c r="CB121" s="581">
        <f t="shared" si="160"/>
        <v>0</v>
      </c>
      <c r="CC121" s="581">
        <f t="shared" si="131"/>
        <v>0</v>
      </c>
      <c r="CD121" s="581">
        <f t="shared" si="132"/>
        <v>0</v>
      </c>
      <c r="CE121" s="581">
        <f t="shared" si="133"/>
        <v>0</v>
      </c>
      <c r="CF121" s="581">
        <f t="shared" si="134"/>
        <v>0</v>
      </c>
      <c r="CG121" s="581">
        <f t="shared" si="135"/>
        <v>0</v>
      </c>
      <c r="CH121" s="608" t="str">
        <f t="shared" si="136"/>
        <v>#DIV/0!</v>
      </c>
      <c r="CI121" s="603" t="str">
        <f t="shared" si="137"/>
        <v>#DIV/0!</v>
      </c>
      <c r="CJ121" s="347"/>
      <c r="CK121" s="347">
        <f t="shared" si="138"/>
        <v>0</v>
      </c>
      <c r="CL121" s="539">
        <f t="shared" si="139"/>
        <v>0</v>
      </c>
      <c r="CM121" s="347">
        <f t="shared" si="140"/>
        <v>0</v>
      </c>
      <c r="CN121" s="347">
        <f t="shared" si="141"/>
        <v>0</v>
      </c>
      <c r="CO121" s="347" t="str">
        <f t="shared" si="142"/>
        <v/>
      </c>
      <c r="CP121" s="347"/>
    </row>
    <row r="122">
      <c r="A122" s="574">
        <f t="shared" si="147"/>
        <v>300053</v>
      </c>
      <c r="B122" s="574" t="str">
        <f t="shared" si="1"/>
        <v>Batch 300053</v>
      </c>
      <c r="C122" s="347"/>
      <c r="D122" s="574" t="str">
        <f>CONCATENATE(MID(B122,FIND(" ",B122) + 1,FIND(" ",B122) + 1 - (FIND(" ",B122))),"-",RIGHT(B122,LEN(B122) - 10))</f>
        <v>3-53</v>
      </c>
      <c r="E122" s="347"/>
      <c r="F122" s="596"/>
      <c r="G122" s="596"/>
      <c r="H122" s="347"/>
      <c r="I122" s="347"/>
      <c r="J122" s="583" t="str">
        <f t="shared" si="82"/>
        <v/>
      </c>
      <c r="K122" s="345" t="str">
        <f t="shared" si="177"/>
        <v/>
      </c>
      <c r="L122" s="345" t="str">
        <f t="shared" si="184"/>
        <v/>
      </c>
      <c r="M122" s="345" t="str">
        <f t="shared" si="185"/>
        <v/>
      </c>
      <c r="N122" s="345" t="str">
        <f t="shared" si="186"/>
        <v/>
      </c>
      <c r="O122" s="579">
        <f t="shared" si="2"/>
        <v>0</v>
      </c>
      <c r="P122" s="579">
        <f t="shared" si="126"/>
        <v>0</v>
      </c>
      <c r="Q122" s="574"/>
      <c r="R122" s="347"/>
      <c r="S122" s="345" t="str">
        <f t="shared" si="89"/>
        <v/>
      </c>
      <c r="T122" s="347"/>
      <c r="U122" s="579">
        <f t="shared" si="48"/>
        <v>0</v>
      </c>
      <c r="V122" s="579">
        <f t="shared" si="49"/>
        <v>0</v>
      </c>
      <c r="W122" s="574" t="str">
        <f t="shared" si="179"/>
        <v/>
      </c>
      <c r="X122" s="347" t="str">
        <f t="shared" si="170"/>
        <v/>
      </c>
      <c r="Y122" s="347" t="str">
        <f t="shared" si="188"/>
        <v/>
      </c>
      <c r="Z122" s="347" t="str">
        <f t="shared" si="171"/>
        <v/>
      </c>
      <c r="AA122" s="579">
        <f t="shared" si="6"/>
        <v>0</v>
      </c>
      <c r="AB122" s="581">
        <f t="shared" si="105"/>
        <v>0</v>
      </c>
      <c r="AC122" s="347" t="str">
        <f t="shared" si="183"/>
        <v/>
      </c>
      <c r="AD122" s="347" t="str">
        <f t="shared" si="176"/>
        <v/>
      </c>
      <c r="AE122" s="347" t="str">
        <f t="shared" si="173"/>
        <v/>
      </c>
      <c r="AF122" s="347" t="str">
        <f t="shared" si="174"/>
        <v/>
      </c>
      <c r="AG122" s="579">
        <f t="shared" si="54"/>
        <v>0</v>
      </c>
      <c r="AH122" s="579">
        <f t="shared" si="175"/>
        <v>0</v>
      </c>
      <c r="AI122" s="582"/>
      <c r="AJ122" s="582"/>
      <c r="AK122" s="582"/>
      <c r="AL122" s="582"/>
      <c r="AM122" s="579"/>
      <c r="AN122" s="579"/>
      <c r="AO122" s="347"/>
      <c r="AP122" s="581">
        <f t="shared" si="164"/>
        <v>0</v>
      </c>
      <c r="AQ122" s="596"/>
      <c r="AR122" s="596"/>
      <c r="AS122" s="348"/>
      <c r="AT122" s="348"/>
      <c r="AU122" s="348"/>
      <c r="AV122" s="348"/>
      <c r="AW122" s="348"/>
      <c r="AX122" s="584">
        <f t="shared" si="165"/>
        <v>0</v>
      </c>
      <c r="AY122" s="581">
        <f t="shared" si="12"/>
        <v>0</v>
      </c>
      <c r="AZ122" s="581">
        <f t="shared" si="159"/>
        <v>0</v>
      </c>
      <c r="BA122" s="596"/>
      <c r="BB122" s="596"/>
      <c r="BC122" s="348"/>
      <c r="BD122" s="581" t="str">
        <f t="shared" si="99"/>
        <v/>
      </c>
      <c r="BE122" s="581">
        <f t="shared" si="37"/>
        <v>0</v>
      </c>
      <c r="BF122" s="347"/>
      <c r="BG122" s="347"/>
      <c r="BH122" s="347"/>
      <c r="BI122" s="347"/>
      <c r="BJ122" s="586">
        <f t="shared" si="187"/>
        <v>0</v>
      </c>
      <c r="BK122" s="581">
        <f t="shared" si="15"/>
        <v>0</v>
      </c>
      <c r="BL122" s="347"/>
      <c r="BM122" s="347"/>
      <c r="BN122" s="347"/>
      <c r="BO122" s="586">
        <f t="shared" si="189"/>
        <v>0</v>
      </c>
      <c r="BP122" s="584">
        <f t="shared" si="17"/>
        <v>0</v>
      </c>
      <c r="BQ122" s="347"/>
      <c r="BR122" s="581">
        <f t="shared" si="153"/>
        <v>0</v>
      </c>
      <c r="BS122" s="588">
        <f t="shared" si="180"/>
        <v>0</v>
      </c>
      <c r="BT122" s="581">
        <f t="shared" si="20"/>
        <v>0</v>
      </c>
      <c r="BU122" s="589"/>
      <c r="BV122" s="581">
        <f t="shared" si="44"/>
        <v>0</v>
      </c>
      <c r="BW122" s="590"/>
      <c r="BX122" s="347"/>
      <c r="BY122" s="347"/>
      <c r="BZ122" s="347"/>
      <c r="CA122" s="586">
        <f t="shared" si="129"/>
        <v>0</v>
      </c>
      <c r="CB122" s="581">
        <f t="shared" si="160"/>
        <v>0</v>
      </c>
      <c r="CC122" s="581">
        <f t="shared" si="131"/>
        <v>0</v>
      </c>
      <c r="CD122" s="581">
        <f t="shared" si="132"/>
        <v>0</v>
      </c>
      <c r="CE122" s="581">
        <f t="shared" si="133"/>
        <v>0</v>
      </c>
      <c r="CF122" s="581">
        <f t="shared" si="134"/>
        <v>0</v>
      </c>
      <c r="CG122" s="581">
        <f t="shared" si="135"/>
        <v>0</v>
      </c>
      <c r="CH122" s="608" t="str">
        <f t="shared" si="136"/>
        <v>#DIV/0!</v>
      </c>
      <c r="CI122" s="603" t="str">
        <f t="shared" si="137"/>
        <v>#DIV/0!</v>
      </c>
      <c r="CJ122" s="347"/>
      <c r="CK122" s="347">
        <f t="shared" si="138"/>
        <v>0</v>
      </c>
      <c r="CL122" s="539">
        <f t="shared" si="139"/>
        <v>0</v>
      </c>
      <c r="CM122" s="347">
        <f t="shared" si="140"/>
        <v>0</v>
      </c>
      <c r="CN122" s="347">
        <f t="shared" si="141"/>
        <v>0</v>
      </c>
      <c r="CO122" s="347" t="str">
        <f t="shared" si="142"/>
        <v/>
      </c>
      <c r="CP122" s="347"/>
    </row>
    <row r="123">
      <c r="A123" s="574">
        <f t="shared" si="147"/>
        <v>200121</v>
      </c>
      <c r="B123" s="574" t="str">
        <f t="shared" si="1"/>
        <v>Batch 200121</v>
      </c>
      <c r="C123" s="347"/>
      <c r="D123" s="574" t="str">
        <f>CONCATENATE(LEFT(MID(B123,FIND(" ",B123) + 1,10),1),"-",RIGHT(B123,3))</f>
        <v>2-121</v>
      </c>
      <c r="E123" s="347"/>
      <c r="F123" s="596"/>
      <c r="G123" s="596"/>
      <c r="H123" s="347"/>
      <c r="I123" s="347"/>
      <c r="J123" s="583" t="str">
        <f t="shared" si="82"/>
        <v/>
      </c>
      <c r="K123" s="345" t="str">
        <f t="shared" si="177"/>
        <v/>
      </c>
      <c r="L123" s="345" t="str">
        <f t="shared" si="184"/>
        <v/>
      </c>
      <c r="M123" s="345" t="str">
        <f t="shared" si="185"/>
        <v/>
      </c>
      <c r="N123" s="345" t="str">
        <f t="shared" si="186"/>
        <v/>
      </c>
      <c r="O123" s="579">
        <f t="shared" si="2"/>
        <v>0</v>
      </c>
      <c r="P123" s="579">
        <f t="shared" si="126"/>
        <v>0</v>
      </c>
      <c r="Q123" s="574"/>
      <c r="R123" s="347"/>
      <c r="S123" s="345" t="str">
        <f t="shared" si="89"/>
        <v/>
      </c>
      <c r="T123" s="347"/>
      <c r="U123" s="579">
        <f t="shared" si="48"/>
        <v>0</v>
      </c>
      <c r="V123" s="579">
        <f t="shared" si="49"/>
        <v>0</v>
      </c>
      <c r="W123" s="574" t="str">
        <f t="shared" si="179"/>
        <v/>
      </c>
      <c r="X123" s="347" t="str">
        <f t="shared" si="170"/>
        <v/>
      </c>
      <c r="Y123" s="347" t="str">
        <f t="shared" si="188"/>
        <v/>
      </c>
      <c r="Z123" s="347" t="str">
        <f t="shared" si="171"/>
        <v/>
      </c>
      <c r="AA123" s="579">
        <f t="shared" si="6"/>
        <v>0</v>
      </c>
      <c r="AB123" s="581">
        <f t="shared" si="105"/>
        <v>0</v>
      </c>
      <c r="AC123" s="347" t="str">
        <f t="shared" si="183"/>
        <v/>
      </c>
      <c r="AD123" s="347" t="str">
        <f t="shared" si="176"/>
        <v/>
      </c>
      <c r="AE123" s="347" t="str">
        <f t="shared" si="173"/>
        <v/>
      </c>
      <c r="AF123" s="347" t="str">
        <f t="shared" si="174"/>
        <v/>
      </c>
      <c r="AG123" s="579">
        <f t="shared" si="54"/>
        <v>0</v>
      </c>
      <c r="AH123" s="579">
        <f t="shared" si="175"/>
        <v>0</v>
      </c>
      <c r="AI123" s="582"/>
      <c r="AJ123" s="582"/>
      <c r="AK123" s="582"/>
      <c r="AL123" s="582"/>
      <c r="AM123" s="579"/>
      <c r="AN123" s="579"/>
      <c r="AO123" s="347"/>
      <c r="AP123" s="581">
        <f t="shared" si="164"/>
        <v>0</v>
      </c>
      <c r="AQ123" s="596"/>
      <c r="AR123" s="596"/>
      <c r="AS123" s="348"/>
      <c r="AT123" s="348"/>
      <c r="AU123" s="348"/>
      <c r="AV123" s="348"/>
      <c r="AW123" s="348"/>
      <c r="AX123" s="584">
        <f t="shared" si="165"/>
        <v>0</v>
      </c>
      <c r="AY123" s="581">
        <f t="shared" si="12"/>
        <v>0</v>
      </c>
      <c r="AZ123" s="581">
        <f t="shared" si="159"/>
        <v>0</v>
      </c>
      <c r="BA123" s="596"/>
      <c r="BB123" s="596"/>
      <c r="BC123" s="348"/>
      <c r="BD123" s="581" t="str">
        <f t="shared" si="99"/>
        <v/>
      </c>
      <c r="BE123" s="581">
        <f t="shared" si="37"/>
        <v>0</v>
      </c>
      <c r="BF123" s="347"/>
      <c r="BG123" s="347"/>
      <c r="BH123" s="347"/>
      <c r="BI123" s="347"/>
      <c r="BJ123" s="586">
        <f t="shared" si="187"/>
        <v>0</v>
      </c>
      <c r="BK123" s="581">
        <f t="shared" si="15"/>
        <v>0</v>
      </c>
      <c r="BL123" s="347"/>
      <c r="BM123" s="347"/>
      <c r="BN123" s="347"/>
      <c r="BO123" s="586">
        <f t="shared" si="189"/>
        <v>0</v>
      </c>
      <c r="BP123" s="584">
        <f t="shared" si="17"/>
        <v>0</v>
      </c>
      <c r="BQ123" s="347"/>
      <c r="BR123" s="581">
        <f t="shared" si="153"/>
        <v>0</v>
      </c>
      <c r="BS123" s="588">
        <f t="shared" si="180"/>
        <v>0</v>
      </c>
      <c r="BT123" s="581">
        <f t="shared" si="20"/>
        <v>0</v>
      </c>
      <c r="BU123" s="589"/>
      <c r="BV123" s="581">
        <f t="shared" si="44"/>
        <v>0</v>
      </c>
      <c r="BW123" s="590"/>
      <c r="BX123" s="347"/>
      <c r="BY123" s="347"/>
      <c r="BZ123" s="347"/>
      <c r="CA123" s="586">
        <f t="shared" si="129"/>
        <v>0</v>
      </c>
      <c r="CB123" s="581">
        <f t="shared" si="160"/>
        <v>0</v>
      </c>
      <c r="CC123" s="581">
        <f t="shared" si="131"/>
        <v>0</v>
      </c>
      <c r="CD123" s="581">
        <f t="shared" si="132"/>
        <v>0</v>
      </c>
      <c r="CE123" s="581">
        <f t="shared" si="133"/>
        <v>0</v>
      </c>
      <c r="CF123" s="581">
        <f t="shared" si="134"/>
        <v>0</v>
      </c>
      <c r="CG123" s="581">
        <f t="shared" si="135"/>
        <v>0</v>
      </c>
      <c r="CH123" s="608" t="str">
        <f t="shared" si="136"/>
        <v>#DIV/0!</v>
      </c>
      <c r="CI123" s="603" t="str">
        <f t="shared" si="137"/>
        <v>#DIV/0!</v>
      </c>
      <c r="CJ123" s="347"/>
      <c r="CK123" s="347">
        <f t="shared" si="138"/>
        <v>0</v>
      </c>
      <c r="CL123" s="539">
        <f t="shared" si="139"/>
        <v>0</v>
      </c>
      <c r="CM123" s="347">
        <f t="shared" si="140"/>
        <v>0</v>
      </c>
      <c r="CN123" s="347">
        <f t="shared" si="141"/>
        <v>0</v>
      </c>
      <c r="CO123" s="347" t="str">
        <f t="shared" si="142"/>
        <v/>
      </c>
      <c r="CP123" s="347"/>
    </row>
    <row r="124">
      <c r="A124" s="574">
        <f t="shared" si="147"/>
        <v>300054</v>
      </c>
      <c r="B124" s="574" t="str">
        <f t="shared" si="1"/>
        <v>Batch 300054</v>
      </c>
      <c r="C124" s="347"/>
      <c r="D124" s="574" t="str">
        <f t="shared" ref="D124:D251" si="190">CONCATENATE(MID(B124,FIND(" ",B124) + 1,FIND(" ",B124) + 1 - (FIND(" ",B124))),"-",RIGHT(B124,LEN(B124) - 10))</f>
        <v>3-54</v>
      </c>
      <c r="E124" s="347"/>
      <c r="F124" s="596"/>
      <c r="G124" s="596"/>
      <c r="H124" s="347"/>
      <c r="I124" s="347"/>
      <c r="J124" s="583" t="str">
        <f t="shared" si="82"/>
        <v/>
      </c>
      <c r="K124" s="345" t="str">
        <f t="shared" si="177"/>
        <v/>
      </c>
      <c r="L124" s="345" t="str">
        <f t="shared" si="184"/>
        <v/>
      </c>
      <c r="M124" s="345" t="str">
        <f t="shared" si="185"/>
        <v/>
      </c>
      <c r="N124" s="345" t="str">
        <f t="shared" si="186"/>
        <v/>
      </c>
      <c r="O124" s="579">
        <f t="shared" si="2"/>
        <v>0</v>
      </c>
      <c r="P124" s="579">
        <f t="shared" si="126"/>
        <v>0</v>
      </c>
      <c r="Q124" s="574"/>
      <c r="R124" s="347"/>
      <c r="S124" s="345" t="str">
        <f t="shared" si="89"/>
        <v/>
      </c>
      <c r="T124" s="347"/>
      <c r="U124" s="579">
        <f t="shared" si="48"/>
        <v>0</v>
      </c>
      <c r="V124" s="579">
        <f t="shared" si="49"/>
        <v>0</v>
      </c>
      <c r="W124" s="574" t="str">
        <f t="shared" si="179"/>
        <v/>
      </c>
      <c r="X124" s="347" t="str">
        <f t="shared" si="170"/>
        <v/>
      </c>
      <c r="Y124" s="347" t="str">
        <f t="shared" si="188"/>
        <v/>
      </c>
      <c r="Z124" s="347" t="str">
        <f t="shared" si="171"/>
        <v/>
      </c>
      <c r="AA124" s="579">
        <f t="shared" si="6"/>
        <v>0</v>
      </c>
      <c r="AB124" s="581">
        <f t="shared" si="105"/>
        <v>0</v>
      </c>
      <c r="AC124" s="347" t="str">
        <f t="shared" si="183"/>
        <v/>
      </c>
      <c r="AD124" s="347" t="str">
        <f t="shared" si="176"/>
        <v/>
      </c>
      <c r="AE124" s="347" t="str">
        <f t="shared" si="173"/>
        <v/>
      </c>
      <c r="AF124" s="347" t="str">
        <f t="shared" si="174"/>
        <v/>
      </c>
      <c r="AG124" s="579">
        <f t="shared" si="54"/>
        <v>0</v>
      </c>
      <c r="AH124" s="579">
        <f t="shared" si="175"/>
        <v>0</v>
      </c>
      <c r="AI124" s="582"/>
      <c r="AJ124" s="582"/>
      <c r="AK124" s="582"/>
      <c r="AL124" s="582"/>
      <c r="AM124" s="579"/>
      <c r="AN124" s="579"/>
      <c r="AO124" s="347"/>
      <c r="AP124" s="581">
        <f t="shared" si="164"/>
        <v>0</v>
      </c>
      <c r="AQ124" s="596"/>
      <c r="AR124" s="596"/>
      <c r="AS124" s="348"/>
      <c r="AT124" s="348"/>
      <c r="AU124" s="348"/>
      <c r="AV124" s="348"/>
      <c r="AW124" s="348"/>
      <c r="AX124" s="584">
        <f t="shared" si="165"/>
        <v>0</v>
      </c>
      <c r="AY124" s="581">
        <f t="shared" si="12"/>
        <v>0</v>
      </c>
      <c r="AZ124" s="581">
        <f t="shared" si="159"/>
        <v>0</v>
      </c>
      <c r="BA124" s="596"/>
      <c r="BB124" s="596"/>
      <c r="BC124" s="348"/>
      <c r="BD124" s="581" t="str">
        <f t="shared" si="99"/>
        <v/>
      </c>
      <c r="BE124" s="581">
        <f t="shared" si="37"/>
        <v>0</v>
      </c>
      <c r="BF124" s="347"/>
      <c r="BG124" s="347"/>
      <c r="BH124" s="347"/>
      <c r="BI124" s="347"/>
      <c r="BJ124" s="586">
        <f t="shared" si="187"/>
        <v>0</v>
      </c>
      <c r="BK124" s="581">
        <f t="shared" si="15"/>
        <v>0</v>
      </c>
      <c r="BL124" s="347"/>
      <c r="BM124" s="347"/>
      <c r="BN124" s="347"/>
      <c r="BO124" s="586">
        <f t="shared" si="189"/>
        <v>0</v>
      </c>
      <c r="BP124" s="584">
        <f t="shared" si="17"/>
        <v>0</v>
      </c>
      <c r="BQ124" s="347"/>
      <c r="BR124" s="581">
        <f t="shared" si="153"/>
        <v>0</v>
      </c>
      <c r="BS124" s="588">
        <f t="shared" si="180"/>
        <v>0</v>
      </c>
      <c r="BT124" s="581">
        <f t="shared" si="20"/>
        <v>0</v>
      </c>
      <c r="BU124" s="589"/>
      <c r="BV124" s="581">
        <f t="shared" si="44"/>
        <v>0</v>
      </c>
      <c r="BW124" s="590"/>
      <c r="BX124" s="347"/>
      <c r="BY124" s="347"/>
      <c r="BZ124" s="347"/>
      <c r="CA124" s="586">
        <f t="shared" si="129"/>
        <v>0</v>
      </c>
      <c r="CB124" s="581">
        <f t="shared" si="160"/>
        <v>0</v>
      </c>
      <c r="CC124" s="581">
        <f t="shared" si="131"/>
        <v>0</v>
      </c>
      <c r="CD124" s="581">
        <f t="shared" si="132"/>
        <v>0</v>
      </c>
      <c r="CE124" s="581">
        <f t="shared" si="133"/>
        <v>0</v>
      </c>
      <c r="CF124" s="581">
        <f t="shared" si="134"/>
        <v>0</v>
      </c>
      <c r="CG124" s="581">
        <f t="shared" si="135"/>
        <v>0</v>
      </c>
      <c r="CH124" s="608" t="str">
        <f t="shared" si="136"/>
        <v>#DIV/0!</v>
      </c>
      <c r="CI124" s="603" t="str">
        <f t="shared" si="137"/>
        <v>#DIV/0!</v>
      </c>
      <c r="CJ124" s="347"/>
      <c r="CK124" s="347">
        <f t="shared" si="138"/>
        <v>0</v>
      </c>
      <c r="CL124" s="539">
        <f t="shared" si="139"/>
        <v>0</v>
      </c>
      <c r="CM124" s="347">
        <f t="shared" si="140"/>
        <v>0</v>
      </c>
      <c r="CN124" s="347">
        <f t="shared" si="141"/>
        <v>0</v>
      </c>
      <c r="CO124" s="347" t="str">
        <f t="shared" si="142"/>
        <v/>
      </c>
      <c r="CP124" s="347"/>
    </row>
    <row r="125">
      <c r="A125" s="574">
        <f t="shared" si="147"/>
        <v>200122</v>
      </c>
      <c r="B125" s="574" t="str">
        <f t="shared" si="1"/>
        <v>Batch 200122</v>
      </c>
      <c r="C125" s="347"/>
      <c r="D125" s="574" t="str">
        <f t="shared" si="190"/>
        <v>2-22</v>
      </c>
      <c r="E125" s="347"/>
      <c r="F125" s="596"/>
      <c r="G125" s="596"/>
      <c r="H125" s="347"/>
      <c r="I125" s="347"/>
      <c r="J125" s="583" t="str">
        <f t="shared" si="82"/>
        <v/>
      </c>
      <c r="K125" s="345" t="str">
        <f t="shared" si="177"/>
        <v/>
      </c>
      <c r="L125" s="345" t="str">
        <f t="shared" si="184"/>
        <v/>
      </c>
      <c r="M125" s="345" t="str">
        <f t="shared" si="185"/>
        <v/>
      </c>
      <c r="N125" s="345" t="str">
        <f t="shared" si="186"/>
        <v/>
      </c>
      <c r="O125" s="579">
        <f t="shared" si="2"/>
        <v>0</v>
      </c>
      <c r="P125" s="579">
        <f t="shared" si="126"/>
        <v>0</v>
      </c>
      <c r="Q125" s="574"/>
      <c r="R125" s="347"/>
      <c r="S125" s="345" t="str">
        <f t="shared" si="89"/>
        <v/>
      </c>
      <c r="T125" s="347"/>
      <c r="U125" s="579">
        <f t="shared" si="48"/>
        <v>0</v>
      </c>
      <c r="V125" s="579">
        <f t="shared" si="49"/>
        <v>0</v>
      </c>
      <c r="W125" s="574" t="str">
        <f t="shared" si="179"/>
        <v/>
      </c>
      <c r="X125" s="347" t="str">
        <f t="shared" si="170"/>
        <v/>
      </c>
      <c r="Y125" s="347" t="str">
        <f t="shared" si="188"/>
        <v/>
      </c>
      <c r="Z125" s="347" t="str">
        <f t="shared" si="171"/>
        <v/>
      </c>
      <c r="AA125" s="579">
        <f t="shared" si="6"/>
        <v>0</v>
      </c>
      <c r="AB125" s="581">
        <f t="shared" si="105"/>
        <v>0</v>
      </c>
      <c r="AC125" s="347" t="str">
        <f t="shared" si="183"/>
        <v/>
      </c>
      <c r="AD125" s="347" t="str">
        <f t="shared" si="176"/>
        <v/>
      </c>
      <c r="AE125" s="347" t="str">
        <f t="shared" si="173"/>
        <v/>
      </c>
      <c r="AF125" s="347" t="str">
        <f t="shared" si="174"/>
        <v/>
      </c>
      <c r="AG125" s="579">
        <f t="shared" si="54"/>
        <v>0</v>
      </c>
      <c r="AH125" s="579">
        <f t="shared" si="175"/>
        <v>0</v>
      </c>
      <c r="AI125" s="582"/>
      <c r="AJ125" s="582"/>
      <c r="AK125" s="582"/>
      <c r="AL125" s="582"/>
      <c r="AM125" s="579"/>
      <c r="AN125" s="579"/>
      <c r="AO125" s="347"/>
      <c r="AP125" s="581">
        <f t="shared" si="164"/>
        <v>0</v>
      </c>
      <c r="AQ125" s="596"/>
      <c r="AR125" s="596"/>
      <c r="AS125" s="348"/>
      <c r="AT125" s="348"/>
      <c r="AU125" s="348"/>
      <c r="AV125" s="348"/>
      <c r="AW125" s="348"/>
      <c r="AX125" s="584">
        <f t="shared" si="165"/>
        <v>0</v>
      </c>
      <c r="AY125" s="581">
        <f t="shared" si="12"/>
        <v>0</v>
      </c>
      <c r="AZ125" s="581">
        <f t="shared" si="159"/>
        <v>0</v>
      </c>
      <c r="BA125" s="596"/>
      <c r="BB125" s="596"/>
      <c r="BC125" s="348"/>
      <c r="BD125" s="581" t="str">
        <f t="shared" si="99"/>
        <v/>
      </c>
      <c r="BE125" s="581">
        <f t="shared" si="37"/>
        <v>0</v>
      </c>
      <c r="BF125" s="347"/>
      <c r="BG125" s="347"/>
      <c r="BH125" s="347"/>
      <c r="BI125" s="347"/>
      <c r="BJ125" s="586">
        <f t="shared" si="187"/>
        <v>0</v>
      </c>
      <c r="BK125" s="581">
        <f t="shared" si="15"/>
        <v>0</v>
      </c>
      <c r="BL125" s="347"/>
      <c r="BM125" s="347"/>
      <c r="BN125" s="347"/>
      <c r="BO125" s="586">
        <f t="shared" si="189"/>
        <v>0</v>
      </c>
      <c r="BP125" s="584">
        <f t="shared" si="17"/>
        <v>0</v>
      </c>
      <c r="BQ125" s="347"/>
      <c r="BR125" s="581">
        <f t="shared" si="153"/>
        <v>0</v>
      </c>
      <c r="BS125" s="588">
        <f t="shared" si="180"/>
        <v>0</v>
      </c>
      <c r="BT125" s="581">
        <f t="shared" si="20"/>
        <v>0</v>
      </c>
      <c r="BU125" s="589"/>
      <c r="BV125" s="581">
        <f t="shared" si="44"/>
        <v>0</v>
      </c>
      <c r="BW125" s="590"/>
      <c r="BX125" s="347"/>
      <c r="BY125" s="347"/>
      <c r="BZ125" s="347"/>
      <c r="CA125" s="586">
        <f t="shared" si="129"/>
        <v>0</v>
      </c>
      <c r="CB125" s="581">
        <f t="shared" si="160"/>
        <v>0</v>
      </c>
      <c r="CC125" s="581">
        <f t="shared" si="131"/>
        <v>0</v>
      </c>
      <c r="CD125" s="581">
        <f t="shared" si="132"/>
        <v>0</v>
      </c>
      <c r="CE125" s="581">
        <f t="shared" si="133"/>
        <v>0</v>
      </c>
      <c r="CF125" s="581">
        <f t="shared" si="134"/>
        <v>0</v>
      </c>
      <c r="CG125" s="581">
        <f t="shared" si="135"/>
        <v>0</v>
      </c>
      <c r="CH125" s="608" t="str">
        <f t="shared" si="136"/>
        <v>#DIV/0!</v>
      </c>
      <c r="CI125" s="603" t="str">
        <f t="shared" si="137"/>
        <v>#DIV/0!</v>
      </c>
      <c r="CJ125" s="347"/>
      <c r="CK125" s="347">
        <f t="shared" si="138"/>
        <v>0</v>
      </c>
      <c r="CL125" s="539">
        <f t="shared" si="139"/>
        <v>0</v>
      </c>
      <c r="CM125" s="347">
        <f t="shared" si="140"/>
        <v>0</v>
      </c>
      <c r="CN125" s="347">
        <f t="shared" si="141"/>
        <v>0</v>
      </c>
      <c r="CO125" s="347" t="str">
        <f t="shared" si="142"/>
        <v/>
      </c>
      <c r="CP125" s="347"/>
    </row>
    <row r="126">
      <c r="A126" s="574">
        <f t="shared" si="147"/>
        <v>300055</v>
      </c>
      <c r="B126" s="574" t="str">
        <f t="shared" si="1"/>
        <v>Batch 300055</v>
      </c>
      <c r="C126" s="347"/>
      <c r="D126" s="574" t="str">
        <f t="shared" si="190"/>
        <v>3-55</v>
      </c>
      <c r="E126" s="347"/>
      <c r="F126" s="596"/>
      <c r="G126" s="596"/>
      <c r="H126" s="347"/>
      <c r="I126" s="347"/>
      <c r="J126" s="583" t="str">
        <f t="shared" si="82"/>
        <v/>
      </c>
      <c r="K126" s="345" t="str">
        <f t="shared" si="177"/>
        <v/>
      </c>
      <c r="L126" s="345" t="str">
        <f t="shared" si="184"/>
        <v/>
      </c>
      <c r="M126" s="345" t="str">
        <f t="shared" si="185"/>
        <v/>
      </c>
      <c r="N126" s="345" t="str">
        <f t="shared" si="186"/>
        <v/>
      </c>
      <c r="O126" s="579">
        <f t="shared" si="2"/>
        <v>0</v>
      </c>
      <c r="P126" s="579">
        <f t="shared" si="126"/>
        <v>0</v>
      </c>
      <c r="Q126" s="574"/>
      <c r="R126" s="347"/>
      <c r="S126" s="345" t="str">
        <f t="shared" si="89"/>
        <v/>
      </c>
      <c r="T126" s="347"/>
      <c r="U126" s="579">
        <f t="shared" si="48"/>
        <v>0</v>
      </c>
      <c r="V126" s="579">
        <f t="shared" si="49"/>
        <v>0</v>
      </c>
      <c r="W126" s="574" t="str">
        <f t="shared" si="179"/>
        <v/>
      </c>
      <c r="X126" s="347" t="str">
        <f t="shared" si="170"/>
        <v/>
      </c>
      <c r="Y126" s="347" t="str">
        <f t="shared" si="188"/>
        <v/>
      </c>
      <c r="Z126" s="347" t="str">
        <f t="shared" si="171"/>
        <v/>
      </c>
      <c r="AA126" s="579">
        <f t="shared" si="6"/>
        <v>0</v>
      </c>
      <c r="AB126" s="581">
        <f t="shared" si="105"/>
        <v>0</v>
      </c>
      <c r="AC126" s="347" t="str">
        <f t="shared" si="183"/>
        <v/>
      </c>
      <c r="AD126" s="347" t="str">
        <f t="shared" si="176"/>
        <v/>
      </c>
      <c r="AE126" s="347" t="str">
        <f t="shared" si="173"/>
        <v/>
      </c>
      <c r="AF126" s="347" t="str">
        <f t="shared" si="174"/>
        <v/>
      </c>
      <c r="AG126" s="579">
        <f t="shared" si="54"/>
        <v>0</v>
      </c>
      <c r="AH126" s="579">
        <f t="shared" si="175"/>
        <v>0</v>
      </c>
      <c r="AI126" s="582"/>
      <c r="AJ126" s="582"/>
      <c r="AK126" s="582"/>
      <c r="AL126" s="582"/>
      <c r="AM126" s="579"/>
      <c r="AN126" s="579"/>
      <c r="AO126" s="347"/>
      <c r="AP126" s="581">
        <f t="shared" si="164"/>
        <v>0</v>
      </c>
      <c r="AQ126" s="596"/>
      <c r="AR126" s="596"/>
      <c r="AS126" s="348"/>
      <c r="AT126" s="348"/>
      <c r="AU126" s="348"/>
      <c r="AV126" s="348"/>
      <c r="AW126" s="348"/>
      <c r="AX126" s="584">
        <f t="shared" si="165"/>
        <v>0</v>
      </c>
      <c r="AY126" s="581">
        <f t="shared" si="12"/>
        <v>0</v>
      </c>
      <c r="AZ126" s="581">
        <f t="shared" si="159"/>
        <v>0</v>
      </c>
      <c r="BA126" s="596"/>
      <c r="BB126" s="596"/>
      <c r="BC126" s="348"/>
      <c r="BD126" s="581" t="str">
        <f t="shared" si="99"/>
        <v/>
      </c>
      <c r="BE126" s="581">
        <f t="shared" si="37"/>
        <v>0</v>
      </c>
      <c r="BF126" s="347"/>
      <c r="BG126" s="347"/>
      <c r="BH126" s="347"/>
      <c r="BI126" s="347"/>
      <c r="BJ126" s="586">
        <f t="shared" si="187"/>
        <v>0</v>
      </c>
      <c r="BK126" s="581">
        <f t="shared" si="15"/>
        <v>0</v>
      </c>
      <c r="BL126" s="347"/>
      <c r="BM126" s="347"/>
      <c r="BN126" s="347"/>
      <c r="BO126" s="586">
        <f t="shared" si="189"/>
        <v>0</v>
      </c>
      <c r="BP126" s="584">
        <f t="shared" si="17"/>
        <v>0</v>
      </c>
      <c r="BQ126" s="347"/>
      <c r="BR126" s="581">
        <f t="shared" si="153"/>
        <v>0</v>
      </c>
      <c r="BS126" s="588">
        <f t="shared" si="180"/>
        <v>0</v>
      </c>
      <c r="BT126" s="581">
        <f t="shared" si="20"/>
        <v>0</v>
      </c>
      <c r="BU126" s="589"/>
      <c r="BV126" s="581">
        <f t="shared" si="44"/>
        <v>0</v>
      </c>
      <c r="BW126" s="590"/>
      <c r="BX126" s="347"/>
      <c r="BY126" s="347"/>
      <c r="BZ126" s="347"/>
      <c r="CA126" s="586">
        <f t="shared" si="129"/>
        <v>0</v>
      </c>
      <c r="CB126" s="581">
        <f t="shared" si="160"/>
        <v>0</v>
      </c>
      <c r="CC126" s="581">
        <f t="shared" si="131"/>
        <v>0</v>
      </c>
      <c r="CD126" s="581">
        <f t="shared" si="132"/>
        <v>0</v>
      </c>
      <c r="CE126" s="581">
        <f t="shared" si="133"/>
        <v>0</v>
      </c>
      <c r="CF126" s="581">
        <f t="shared" si="134"/>
        <v>0</v>
      </c>
      <c r="CG126" s="581">
        <f t="shared" si="135"/>
        <v>0</v>
      </c>
      <c r="CH126" s="608" t="str">
        <f t="shared" si="136"/>
        <v>#DIV/0!</v>
      </c>
      <c r="CI126" s="603" t="str">
        <f t="shared" si="137"/>
        <v>#DIV/0!</v>
      </c>
      <c r="CJ126" s="347"/>
      <c r="CK126" s="347">
        <f t="shared" si="138"/>
        <v>0</v>
      </c>
      <c r="CL126" s="539">
        <f t="shared" si="139"/>
        <v>0</v>
      </c>
      <c r="CM126" s="347">
        <f t="shared" si="140"/>
        <v>0</v>
      </c>
      <c r="CN126" s="347">
        <f t="shared" si="141"/>
        <v>0</v>
      </c>
      <c r="CO126" s="347" t="str">
        <f t="shared" si="142"/>
        <v/>
      </c>
      <c r="CP126" s="347"/>
    </row>
    <row r="127">
      <c r="A127" s="574">
        <f t="shared" si="147"/>
        <v>200123</v>
      </c>
      <c r="B127" s="574" t="str">
        <f t="shared" si="1"/>
        <v>Batch 200123</v>
      </c>
      <c r="C127" s="347"/>
      <c r="D127" s="574" t="str">
        <f t="shared" si="190"/>
        <v>2-23</v>
      </c>
      <c r="E127" s="347"/>
      <c r="F127" s="596"/>
      <c r="G127" s="596"/>
      <c r="H127" s="347"/>
      <c r="I127" s="347"/>
      <c r="J127" s="583" t="str">
        <f t="shared" si="82"/>
        <v/>
      </c>
      <c r="K127" s="345" t="str">
        <f t="shared" si="177"/>
        <v/>
      </c>
      <c r="L127" s="345" t="str">
        <f t="shared" si="184"/>
        <v/>
      </c>
      <c r="M127" s="345" t="str">
        <f t="shared" si="185"/>
        <v/>
      </c>
      <c r="N127" s="345" t="str">
        <f t="shared" si="186"/>
        <v/>
      </c>
      <c r="O127" s="579">
        <f t="shared" si="2"/>
        <v>0</v>
      </c>
      <c r="P127" s="579">
        <f t="shared" si="126"/>
        <v>0</v>
      </c>
      <c r="Q127" s="574"/>
      <c r="R127" s="347"/>
      <c r="S127" s="345" t="str">
        <f t="shared" si="89"/>
        <v/>
      </c>
      <c r="T127" s="347"/>
      <c r="U127" s="579">
        <f t="shared" si="48"/>
        <v>0</v>
      </c>
      <c r="V127" s="579">
        <f t="shared" si="49"/>
        <v>0</v>
      </c>
      <c r="W127" s="574" t="str">
        <f t="shared" si="179"/>
        <v/>
      </c>
      <c r="X127" s="347" t="str">
        <f t="shared" si="170"/>
        <v/>
      </c>
      <c r="Y127" s="347" t="str">
        <f t="shared" si="188"/>
        <v/>
      </c>
      <c r="Z127" s="347" t="str">
        <f t="shared" si="171"/>
        <v/>
      </c>
      <c r="AA127" s="579">
        <f t="shared" si="6"/>
        <v>0</v>
      </c>
      <c r="AB127" s="581">
        <f t="shared" si="105"/>
        <v>0</v>
      </c>
      <c r="AC127" s="347" t="str">
        <f t="shared" si="183"/>
        <v/>
      </c>
      <c r="AD127" s="347" t="str">
        <f t="shared" si="176"/>
        <v/>
      </c>
      <c r="AE127" s="347" t="str">
        <f t="shared" si="173"/>
        <v/>
      </c>
      <c r="AF127" s="347" t="str">
        <f t="shared" si="174"/>
        <v/>
      </c>
      <c r="AG127" s="579">
        <f t="shared" si="54"/>
        <v>0</v>
      </c>
      <c r="AH127" s="579">
        <f t="shared" si="175"/>
        <v>0</v>
      </c>
      <c r="AI127" s="582"/>
      <c r="AJ127" s="582"/>
      <c r="AK127" s="582"/>
      <c r="AL127" s="582"/>
      <c r="AM127" s="579"/>
      <c r="AN127" s="579"/>
      <c r="AO127" s="347"/>
      <c r="AP127" s="581">
        <f t="shared" si="164"/>
        <v>0</v>
      </c>
      <c r="AQ127" s="596"/>
      <c r="AR127" s="596"/>
      <c r="AS127" s="348"/>
      <c r="AT127" s="348"/>
      <c r="AU127" s="348"/>
      <c r="AV127" s="348"/>
      <c r="AW127" s="348"/>
      <c r="AX127" s="584">
        <f t="shared" si="165"/>
        <v>0</v>
      </c>
      <c r="AY127" s="581">
        <f t="shared" si="12"/>
        <v>0</v>
      </c>
      <c r="AZ127" s="581">
        <f t="shared" si="159"/>
        <v>0</v>
      </c>
      <c r="BA127" s="596"/>
      <c r="BB127" s="596"/>
      <c r="BC127" s="348"/>
      <c r="BD127" s="581" t="str">
        <f t="shared" si="99"/>
        <v/>
      </c>
      <c r="BE127" s="581">
        <f t="shared" si="37"/>
        <v>0</v>
      </c>
      <c r="BF127" s="347"/>
      <c r="BG127" s="347"/>
      <c r="BH127" s="347"/>
      <c r="BI127" s="347"/>
      <c r="BJ127" s="586">
        <f t="shared" si="187"/>
        <v>0</v>
      </c>
      <c r="BK127" s="581">
        <f t="shared" si="15"/>
        <v>0</v>
      </c>
      <c r="BL127" s="347"/>
      <c r="BM127" s="347"/>
      <c r="BN127" s="347"/>
      <c r="BO127" s="586">
        <f t="shared" si="189"/>
        <v>0</v>
      </c>
      <c r="BP127" s="584">
        <f t="shared" si="17"/>
        <v>0</v>
      </c>
      <c r="BQ127" s="347"/>
      <c r="BR127" s="581">
        <f t="shared" si="153"/>
        <v>0</v>
      </c>
      <c r="BS127" s="588">
        <f t="shared" si="180"/>
        <v>0</v>
      </c>
      <c r="BT127" s="581">
        <f t="shared" si="20"/>
        <v>0</v>
      </c>
      <c r="BU127" s="589"/>
      <c r="BV127" s="581">
        <f t="shared" si="44"/>
        <v>0</v>
      </c>
      <c r="BW127" s="590"/>
      <c r="BX127" s="347"/>
      <c r="BY127" s="347"/>
      <c r="BZ127" s="347"/>
      <c r="CA127" s="586">
        <f t="shared" si="129"/>
        <v>0</v>
      </c>
      <c r="CB127" s="581">
        <f t="shared" si="160"/>
        <v>0</v>
      </c>
      <c r="CC127" s="581">
        <f t="shared" si="131"/>
        <v>0</v>
      </c>
      <c r="CD127" s="581">
        <f t="shared" si="132"/>
        <v>0</v>
      </c>
      <c r="CE127" s="581">
        <f t="shared" si="133"/>
        <v>0</v>
      </c>
      <c r="CF127" s="581">
        <f t="shared" si="134"/>
        <v>0</v>
      </c>
      <c r="CG127" s="581">
        <f t="shared" si="135"/>
        <v>0</v>
      </c>
      <c r="CH127" s="608" t="str">
        <f t="shared" si="136"/>
        <v>#DIV/0!</v>
      </c>
      <c r="CI127" s="603" t="str">
        <f t="shared" si="137"/>
        <v>#DIV/0!</v>
      </c>
      <c r="CJ127" s="347"/>
      <c r="CK127" s="347">
        <f t="shared" si="138"/>
        <v>0</v>
      </c>
      <c r="CL127" s="539">
        <f t="shared" si="139"/>
        <v>0</v>
      </c>
      <c r="CM127" s="347">
        <f t="shared" si="140"/>
        <v>0</v>
      </c>
      <c r="CN127" s="347">
        <f t="shared" si="141"/>
        <v>0</v>
      </c>
      <c r="CO127" s="347" t="str">
        <f t="shared" si="142"/>
        <v/>
      </c>
      <c r="CP127" s="347"/>
    </row>
    <row r="128">
      <c r="A128" s="574">
        <f t="shared" si="147"/>
        <v>300056</v>
      </c>
      <c r="B128" s="574" t="str">
        <f t="shared" si="1"/>
        <v>Batch 300056</v>
      </c>
      <c r="C128" s="347"/>
      <c r="D128" s="574" t="str">
        <f t="shared" si="190"/>
        <v>3-56</v>
      </c>
      <c r="E128" s="347"/>
      <c r="F128" s="596"/>
      <c r="G128" s="596"/>
      <c r="H128" s="347"/>
      <c r="I128" s="347"/>
      <c r="J128" s="583" t="str">
        <f t="shared" si="82"/>
        <v/>
      </c>
      <c r="K128" s="345" t="str">
        <f t="shared" si="177"/>
        <v/>
      </c>
      <c r="L128" s="345" t="str">
        <f t="shared" si="184"/>
        <v/>
      </c>
      <c r="M128" s="345" t="str">
        <f t="shared" si="185"/>
        <v/>
      </c>
      <c r="N128" s="345" t="str">
        <f t="shared" si="186"/>
        <v/>
      </c>
      <c r="O128" s="579">
        <f t="shared" si="2"/>
        <v>0</v>
      </c>
      <c r="P128" s="579">
        <f t="shared" si="126"/>
        <v>0</v>
      </c>
      <c r="Q128" s="574"/>
      <c r="R128" s="347"/>
      <c r="S128" s="345" t="str">
        <f t="shared" si="89"/>
        <v/>
      </c>
      <c r="T128" s="347"/>
      <c r="U128" s="579">
        <f t="shared" si="48"/>
        <v>0</v>
      </c>
      <c r="V128" s="579">
        <f t="shared" si="49"/>
        <v>0</v>
      </c>
      <c r="W128" s="574" t="str">
        <f t="shared" si="179"/>
        <v/>
      </c>
      <c r="X128" s="347" t="str">
        <f t="shared" si="170"/>
        <v/>
      </c>
      <c r="Y128" s="347" t="str">
        <f t="shared" si="188"/>
        <v/>
      </c>
      <c r="Z128" s="347" t="str">
        <f t="shared" si="171"/>
        <v/>
      </c>
      <c r="AA128" s="579">
        <f t="shared" si="6"/>
        <v>0</v>
      </c>
      <c r="AB128" s="581">
        <f t="shared" si="105"/>
        <v>0</v>
      </c>
      <c r="AC128" s="347" t="str">
        <f t="shared" si="183"/>
        <v/>
      </c>
      <c r="AD128" s="347" t="str">
        <f t="shared" si="176"/>
        <v/>
      </c>
      <c r="AE128" s="347" t="str">
        <f t="shared" si="173"/>
        <v/>
      </c>
      <c r="AF128" s="347" t="str">
        <f t="shared" si="174"/>
        <v/>
      </c>
      <c r="AG128" s="579">
        <f t="shared" si="54"/>
        <v>0</v>
      </c>
      <c r="AH128" s="579">
        <f t="shared" si="175"/>
        <v>0</v>
      </c>
      <c r="AI128" s="582"/>
      <c r="AJ128" s="582"/>
      <c r="AK128" s="582"/>
      <c r="AL128" s="582"/>
      <c r="AM128" s="579"/>
      <c r="AN128" s="579"/>
      <c r="AO128" s="347"/>
      <c r="AP128" s="581">
        <f t="shared" si="164"/>
        <v>0</v>
      </c>
      <c r="AQ128" s="596"/>
      <c r="AR128" s="596"/>
      <c r="AS128" s="348"/>
      <c r="AT128" s="348"/>
      <c r="AU128" s="348"/>
      <c r="AV128" s="348"/>
      <c r="AW128" s="348"/>
      <c r="AX128" s="584">
        <f t="shared" si="165"/>
        <v>0</v>
      </c>
      <c r="AY128" s="581">
        <f t="shared" si="12"/>
        <v>0</v>
      </c>
      <c r="AZ128" s="581">
        <f t="shared" si="159"/>
        <v>0</v>
      </c>
      <c r="BA128" s="596"/>
      <c r="BB128" s="596"/>
      <c r="BC128" s="348"/>
      <c r="BD128" s="581" t="str">
        <f t="shared" si="99"/>
        <v/>
      </c>
      <c r="BE128" s="581">
        <f t="shared" si="37"/>
        <v>0</v>
      </c>
      <c r="BF128" s="347"/>
      <c r="BG128" s="347"/>
      <c r="BH128" s="347"/>
      <c r="BI128" s="347"/>
      <c r="BJ128" s="586">
        <f t="shared" si="187"/>
        <v>0</v>
      </c>
      <c r="BK128" s="581">
        <f t="shared" si="15"/>
        <v>0</v>
      </c>
      <c r="BL128" s="347"/>
      <c r="BM128" s="347"/>
      <c r="BN128" s="347"/>
      <c r="BO128" s="586">
        <f t="shared" si="189"/>
        <v>0</v>
      </c>
      <c r="BP128" s="584">
        <f t="shared" si="17"/>
        <v>0</v>
      </c>
      <c r="BQ128" s="347"/>
      <c r="BR128" s="581">
        <f t="shared" si="153"/>
        <v>0</v>
      </c>
      <c r="BS128" s="588">
        <f t="shared" si="180"/>
        <v>0</v>
      </c>
      <c r="BT128" s="581">
        <f t="shared" si="20"/>
        <v>0</v>
      </c>
      <c r="BU128" s="589"/>
      <c r="BV128" s="581">
        <f t="shared" si="44"/>
        <v>0</v>
      </c>
      <c r="BW128" s="590"/>
      <c r="BX128" s="347"/>
      <c r="BY128" s="347"/>
      <c r="BZ128" s="347"/>
      <c r="CA128" s="586">
        <f t="shared" si="129"/>
        <v>0</v>
      </c>
      <c r="CB128" s="581">
        <f t="shared" si="160"/>
        <v>0</v>
      </c>
      <c r="CC128" s="581">
        <f t="shared" si="131"/>
        <v>0</v>
      </c>
      <c r="CD128" s="581">
        <f t="shared" si="132"/>
        <v>0</v>
      </c>
      <c r="CE128" s="581">
        <f t="shared" si="133"/>
        <v>0</v>
      </c>
      <c r="CF128" s="581">
        <f t="shared" si="134"/>
        <v>0</v>
      </c>
      <c r="CG128" s="581">
        <f t="shared" si="135"/>
        <v>0</v>
      </c>
      <c r="CH128" s="608" t="str">
        <f t="shared" si="136"/>
        <v>#DIV/0!</v>
      </c>
      <c r="CI128" s="603" t="str">
        <f t="shared" si="137"/>
        <v>#DIV/0!</v>
      </c>
      <c r="CJ128" s="347"/>
      <c r="CK128" s="347">
        <f t="shared" si="138"/>
        <v>0</v>
      </c>
      <c r="CL128" s="539">
        <f t="shared" si="139"/>
        <v>0</v>
      </c>
      <c r="CM128" s="347">
        <f t="shared" si="140"/>
        <v>0</v>
      </c>
      <c r="CN128" s="347">
        <f t="shared" si="141"/>
        <v>0</v>
      </c>
      <c r="CO128" s="347" t="str">
        <f t="shared" si="142"/>
        <v/>
      </c>
      <c r="CP128" s="347"/>
    </row>
    <row r="129">
      <c r="A129" s="574">
        <f t="shared" si="147"/>
        <v>200124</v>
      </c>
      <c r="B129" s="574" t="str">
        <f t="shared" si="1"/>
        <v>Batch 200124</v>
      </c>
      <c r="C129" s="347"/>
      <c r="D129" s="574" t="str">
        <f t="shared" si="190"/>
        <v>2-24</v>
      </c>
      <c r="E129" s="347"/>
      <c r="F129" s="596"/>
      <c r="G129" s="596"/>
      <c r="H129" s="347"/>
      <c r="I129" s="347"/>
      <c r="J129" s="583" t="str">
        <f t="shared" si="82"/>
        <v/>
      </c>
      <c r="K129" s="345" t="str">
        <f t="shared" si="177"/>
        <v/>
      </c>
      <c r="L129" s="345" t="str">
        <f t="shared" si="184"/>
        <v/>
      </c>
      <c r="M129" s="345" t="str">
        <f t="shared" si="185"/>
        <v/>
      </c>
      <c r="N129" s="345" t="str">
        <f t="shared" si="186"/>
        <v/>
      </c>
      <c r="O129" s="579">
        <f t="shared" si="2"/>
        <v>0</v>
      </c>
      <c r="P129" s="579">
        <f t="shared" si="126"/>
        <v>0</v>
      </c>
      <c r="Q129" s="574"/>
      <c r="R129" s="347"/>
      <c r="S129" s="345" t="str">
        <f t="shared" si="89"/>
        <v/>
      </c>
      <c r="T129" s="347"/>
      <c r="U129" s="579">
        <f t="shared" si="48"/>
        <v>0</v>
      </c>
      <c r="V129" s="579">
        <f t="shared" si="49"/>
        <v>0</v>
      </c>
      <c r="W129" s="574" t="str">
        <f t="shared" si="179"/>
        <v/>
      </c>
      <c r="X129" s="347" t="str">
        <f t="shared" si="170"/>
        <v/>
      </c>
      <c r="Y129" s="347" t="str">
        <f t="shared" si="188"/>
        <v/>
      </c>
      <c r="Z129" s="347" t="str">
        <f t="shared" si="171"/>
        <v/>
      </c>
      <c r="AA129" s="579">
        <f t="shared" si="6"/>
        <v>0</v>
      </c>
      <c r="AB129" s="581">
        <f t="shared" si="105"/>
        <v>0</v>
      </c>
      <c r="AC129" s="347" t="str">
        <f t="shared" si="183"/>
        <v/>
      </c>
      <c r="AD129" s="347" t="str">
        <f t="shared" si="176"/>
        <v/>
      </c>
      <c r="AE129" s="347" t="str">
        <f t="shared" si="173"/>
        <v/>
      </c>
      <c r="AF129" s="347" t="str">
        <f t="shared" si="174"/>
        <v/>
      </c>
      <c r="AG129" s="579">
        <f t="shared" si="54"/>
        <v>0</v>
      </c>
      <c r="AH129" s="579">
        <f t="shared" si="175"/>
        <v>0</v>
      </c>
      <c r="AI129" s="582"/>
      <c r="AJ129" s="582"/>
      <c r="AK129" s="582"/>
      <c r="AL129" s="582"/>
      <c r="AM129" s="579"/>
      <c r="AN129" s="579"/>
      <c r="AO129" s="347"/>
      <c r="AP129" s="581">
        <f t="shared" si="164"/>
        <v>0</v>
      </c>
      <c r="AQ129" s="596"/>
      <c r="AR129" s="596"/>
      <c r="AS129" s="348"/>
      <c r="AT129" s="348"/>
      <c r="AU129" s="348"/>
      <c r="AV129" s="348"/>
      <c r="AW129" s="348"/>
      <c r="AX129" s="584">
        <f t="shared" si="165"/>
        <v>0</v>
      </c>
      <c r="AY129" s="581">
        <f t="shared" si="12"/>
        <v>0</v>
      </c>
      <c r="AZ129" s="581">
        <f t="shared" si="159"/>
        <v>0</v>
      </c>
      <c r="BA129" s="596"/>
      <c r="BB129" s="596"/>
      <c r="BC129" s="348"/>
      <c r="BD129" s="581" t="str">
        <f t="shared" si="99"/>
        <v/>
      </c>
      <c r="BE129" s="581">
        <f t="shared" si="37"/>
        <v>0</v>
      </c>
      <c r="BF129" s="347"/>
      <c r="BG129" s="347"/>
      <c r="BH129" s="347"/>
      <c r="BI129" s="347"/>
      <c r="BJ129" s="586">
        <f t="shared" si="187"/>
        <v>0</v>
      </c>
      <c r="BK129" s="581">
        <f t="shared" si="15"/>
        <v>0</v>
      </c>
      <c r="BL129" s="347"/>
      <c r="BM129" s="347"/>
      <c r="BN129" s="347"/>
      <c r="BO129" s="586">
        <f t="shared" si="189"/>
        <v>0</v>
      </c>
      <c r="BP129" s="584">
        <f t="shared" si="17"/>
        <v>0</v>
      </c>
      <c r="BQ129" s="347"/>
      <c r="BR129" s="581">
        <f t="shared" si="153"/>
        <v>0</v>
      </c>
      <c r="BS129" s="588">
        <f t="shared" si="180"/>
        <v>0</v>
      </c>
      <c r="BT129" s="581">
        <f t="shared" si="20"/>
        <v>0</v>
      </c>
      <c r="BU129" s="589"/>
      <c r="BV129" s="581">
        <f t="shared" si="44"/>
        <v>0</v>
      </c>
      <c r="BW129" s="590"/>
      <c r="BX129" s="347"/>
      <c r="BY129" s="347"/>
      <c r="BZ129" s="347"/>
      <c r="CA129" s="586">
        <f t="shared" si="129"/>
        <v>0</v>
      </c>
      <c r="CB129" s="581">
        <f t="shared" si="160"/>
        <v>0</v>
      </c>
      <c r="CC129" s="581">
        <f t="shared" si="131"/>
        <v>0</v>
      </c>
      <c r="CD129" s="581">
        <f t="shared" si="132"/>
        <v>0</v>
      </c>
      <c r="CE129" s="581">
        <f t="shared" si="133"/>
        <v>0</v>
      </c>
      <c r="CF129" s="581">
        <f t="shared" si="134"/>
        <v>0</v>
      </c>
      <c r="CG129" s="581">
        <f t="shared" si="135"/>
        <v>0</v>
      </c>
      <c r="CH129" s="608" t="str">
        <f t="shared" si="136"/>
        <v>#DIV/0!</v>
      </c>
      <c r="CI129" s="603" t="str">
        <f t="shared" si="137"/>
        <v>#DIV/0!</v>
      </c>
      <c r="CJ129" s="347"/>
      <c r="CK129" s="347">
        <f t="shared" si="138"/>
        <v>0</v>
      </c>
      <c r="CL129" s="539">
        <f t="shared" si="139"/>
        <v>0</v>
      </c>
      <c r="CM129" s="347">
        <f t="shared" si="140"/>
        <v>0</v>
      </c>
      <c r="CN129" s="347">
        <f t="shared" si="141"/>
        <v>0</v>
      </c>
      <c r="CO129" s="347" t="str">
        <f t="shared" si="142"/>
        <v/>
      </c>
      <c r="CP129" s="347"/>
    </row>
    <row r="130">
      <c r="A130" s="574">
        <f t="shared" si="147"/>
        <v>300057</v>
      </c>
      <c r="B130" s="574" t="str">
        <f t="shared" si="1"/>
        <v>Batch 300057</v>
      </c>
      <c r="C130" s="347"/>
      <c r="D130" s="574" t="str">
        <f t="shared" si="190"/>
        <v>3-57</v>
      </c>
      <c r="E130" s="347"/>
      <c r="F130" s="596"/>
      <c r="G130" s="596"/>
      <c r="H130" s="347"/>
      <c r="I130" s="347"/>
      <c r="J130" s="583" t="str">
        <f t="shared" si="82"/>
        <v/>
      </c>
      <c r="K130" s="345" t="str">
        <f t="shared" si="177"/>
        <v/>
      </c>
      <c r="L130" s="345" t="str">
        <f t="shared" si="184"/>
        <v/>
      </c>
      <c r="M130" s="345" t="str">
        <f t="shared" si="185"/>
        <v/>
      </c>
      <c r="N130" s="345" t="str">
        <f t="shared" si="186"/>
        <v/>
      </c>
      <c r="O130" s="579">
        <f t="shared" si="2"/>
        <v>0</v>
      </c>
      <c r="P130" s="579">
        <f t="shared" si="126"/>
        <v>0</v>
      </c>
      <c r="Q130" s="574"/>
      <c r="R130" s="347"/>
      <c r="S130" s="345" t="str">
        <f t="shared" si="89"/>
        <v/>
      </c>
      <c r="T130" s="347"/>
      <c r="U130" s="579">
        <f t="shared" si="48"/>
        <v>0</v>
      </c>
      <c r="V130" s="579">
        <f t="shared" si="49"/>
        <v>0</v>
      </c>
      <c r="W130" s="574" t="str">
        <f t="shared" si="179"/>
        <v/>
      </c>
      <c r="X130" s="347" t="str">
        <f t="shared" si="170"/>
        <v/>
      </c>
      <c r="Y130" s="347" t="str">
        <f t="shared" si="188"/>
        <v/>
      </c>
      <c r="Z130" s="347" t="str">
        <f t="shared" si="171"/>
        <v/>
      </c>
      <c r="AA130" s="579">
        <f t="shared" si="6"/>
        <v>0</v>
      </c>
      <c r="AB130" s="581">
        <f t="shared" si="105"/>
        <v>0</v>
      </c>
      <c r="AC130" s="347" t="str">
        <f t="shared" si="183"/>
        <v/>
      </c>
      <c r="AD130" s="347" t="str">
        <f t="shared" si="176"/>
        <v/>
      </c>
      <c r="AE130" s="347" t="str">
        <f t="shared" si="173"/>
        <v/>
      </c>
      <c r="AF130" s="347" t="str">
        <f t="shared" si="174"/>
        <v/>
      </c>
      <c r="AG130" s="579">
        <f t="shared" si="54"/>
        <v>0</v>
      </c>
      <c r="AH130" s="579">
        <f t="shared" si="175"/>
        <v>0</v>
      </c>
      <c r="AI130" s="582"/>
      <c r="AJ130" s="582"/>
      <c r="AK130" s="582"/>
      <c r="AL130" s="582"/>
      <c r="AM130" s="579"/>
      <c r="AN130" s="579"/>
      <c r="AO130" s="347"/>
      <c r="AP130" s="581">
        <f t="shared" si="164"/>
        <v>0</v>
      </c>
      <c r="AQ130" s="596"/>
      <c r="AR130" s="596"/>
      <c r="AS130" s="348"/>
      <c r="AT130" s="348"/>
      <c r="AU130" s="348"/>
      <c r="AV130" s="348"/>
      <c r="AW130" s="348"/>
      <c r="AX130" s="584">
        <f t="shared" si="165"/>
        <v>0</v>
      </c>
      <c r="AY130" s="581">
        <f t="shared" si="12"/>
        <v>0</v>
      </c>
      <c r="AZ130" s="581">
        <f t="shared" si="159"/>
        <v>0</v>
      </c>
      <c r="BA130" s="596"/>
      <c r="BB130" s="596"/>
      <c r="BC130" s="348"/>
      <c r="BD130" s="581" t="str">
        <f t="shared" si="99"/>
        <v/>
      </c>
      <c r="BE130" s="581">
        <f t="shared" si="37"/>
        <v>0</v>
      </c>
      <c r="BF130" s="347"/>
      <c r="BG130" s="347"/>
      <c r="BH130" s="347"/>
      <c r="BI130" s="347"/>
      <c r="BJ130" s="586">
        <f t="shared" si="187"/>
        <v>0</v>
      </c>
      <c r="BK130" s="581">
        <f t="shared" si="15"/>
        <v>0</v>
      </c>
      <c r="BL130" s="347"/>
      <c r="BM130" s="347"/>
      <c r="BN130" s="347"/>
      <c r="BO130" s="586">
        <f t="shared" si="189"/>
        <v>0</v>
      </c>
      <c r="BP130" s="584">
        <f t="shared" si="17"/>
        <v>0</v>
      </c>
      <c r="BQ130" s="347"/>
      <c r="BR130" s="581">
        <f t="shared" si="153"/>
        <v>0</v>
      </c>
      <c r="BS130" s="588">
        <f t="shared" si="180"/>
        <v>0</v>
      </c>
      <c r="BT130" s="581">
        <f t="shared" si="20"/>
        <v>0</v>
      </c>
      <c r="BU130" s="589"/>
      <c r="BV130" s="581">
        <f t="shared" si="44"/>
        <v>0</v>
      </c>
      <c r="BW130" s="590"/>
      <c r="BX130" s="347"/>
      <c r="BY130" s="347"/>
      <c r="BZ130" s="347"/>
      <c r="CA130" s="586">
        <f t="shared" si="129"/>
        <v>0</v>
      </c>
      <c r="CB130" s="581">
        <f t="shared" si="160"/>
        <v>0</v>
      </c>
      <c r="CC130" s="581">
        <f t="shared" si="131"/>
        <v>0</v>
      </c>
      <c r="CD130" s="581">
        <f t="shared" si="132"/>
        <v>0</v>
      </c>
      <c r="CE130" s="581">
        <f t="shared" si="133"/>
        <v>0</v>
      </c>
      <c r="CF130" s="581">
        <f t="shared" si="134"/>
        <v>0</v>
      </c>
      <c r="CG130" s="581">
        <f t="shared" si="135"/>
        <v>0</v>
      </c>
      <c r="CH130" s="608" t="str">
        <f t="shared" si="136"/>
        <v>#DIV/0!</v>
      </c>
      <c r="CI130" s="603" t="str">
        <f t="shared" si="137"/>
        <v>#DIV/0!</v>
      </c>
      <c r="CJ130" s="347"/>
      <c r="CK130" s="347">
        <f t="shared" si="138"/>
        <v>0</v>
      </c>
      <c r="CL130" s="539">
        <f t="shared" si="139"/>
        <v>0</v>
      </c>
      <c r="CM130" s="347">
        <f t="shared" si="140"/>
        <v>0</v>
      </c>
      <c r="CN130" s="347">
        <f t="shared" si="141"/>
        <v>0</v>
      </c>
      <c r="CO130" s="347" t="str">
        <f t="shared" si="142"/>
        <v/>
      </c>
      <c r="CP130" s="347"/>
    </row>
    <row r="131">
      <c r="A131" s="574">
        <f t="shared" si="147"/>
        <v>200125</v>
      </c>
      <c r="B131" s="574" t="str">
        <f t="shared" si="1"/>
        <v>Batch 200125</v>
      </c>
      <c r="C131" s="347"/>
      <c r="D131" s="574" t="str">
        <f t="shared" si="190"/>
        <v>2-25</v>
      </c>
      <c r="E131" s="347"/>
      <c r="F131" s="596"/>
      <c r="G131" s="596"/>
      <c r="H131" s="347"/>
      <c r="I131" s="347"/>
      <c r="J131" s="583" t="str">
        <f t="shared" si="82"/>
        <v/>
      </c>
      <c r="K131" s="345" t="str">
        <f t="shared" si="177"/>
        <v/>
      </c>
      <c r="L131" s="345" t="str">
        <f t="shared" si="184"/>
        <v/>
      </c>
      <c r="M131" s="345" t="str">
        <f t="shared" si="185"/>
        <v/>
      </c>
      <c r="N131" s="345" t="str">
        <f t="shared" si="186"/>
        <v/>
      </c>
      <c r="O131" s="579">
        <f t="shared" si="2"/>
        <v>0</v>
      </c>
      <c r="P131" s="579">
        <f t="shared" si="126"/>
        <v>0</v>
      </c>
      <c r="Q131" s="574"/>
      <c r="R131" s="347"/>
      <c r="S131" s="597"/>
      <c r="T131" s="347"/>
      <c r="U131" s="579">
        <f t="shared" si="48"/>
        <v>0</v>
      </c>
      <c r="V131" s="579">
        <f t="shared" si="49"/>
        <v>0</v>
      </c>
      <c r="W131" s="574" t="str">
        <f t="shared" si="179"/>
        <v/>
      </c>
      <c r="X131" s="347" t="str">
        <f t="shared" si="170"/>
        <v/>
      </c>
      <c r="Y131" s="347" t="str">
        <f t="shared" si="188"/>
        <v/>
      </c>
      <c r="Z131" s="347" t="str">
        <f t="shared" si="171"/>
        <v/>
      </c>
      <c r="AA131" s="579">
        <f t="shared" si="6"/>
        <v>0</v>
      </c>
      <c r="AB131" s="581">
        <f t="shared" si="105"/>
        <v>0</v>
      </c>
      <c r="AC131" s="347" t="str">
        <f t="shared" si="183"/>
        <v/>
      </c>
      <c r="AD131" s="347" t="str">
        <f t="shared" si="176"/>
        <v/>
      </c>
      <c r="AE131" s="347" t="str">
        <f t="shared" si="173"/>
        <v/>
      </c>
      <c r="AF131" s="347" t="str">
        <f t="shared" si="174"/>
        <v/>
      </c>
      <c r="AG131" s="579">
        <f t="shared" si="54"/>
        <v>0</v>
      </c>
      <c r="AH131" s="579">
        <f t="shared" si="175"/>
        <v>0</v>
      </c>
      <c r="AI131" s="582"/>
      <c r="AJ131" s="582"/>
      <c r="AK131" s="582"/>
      <c r="AL131" s="582"/>
      <c r="AM131" s="579"/>
      <c r="AN131" s="579"/>
      <c r="AO131" s="347"/>
      <c r="AP131" s="581">
        <f t="shared" si="164"/>
        <v>0</v>
      </c>
      <c r="AQ131" s="596"/>
      <c r="AR131" s="596"/>
      <c r="AS131" s="348"/>
      <c r="AT131" s="348"/>
      <c r="AU131" s="348"/>
      <c r="AV131" s="348"/>
      <c r="AW131" s="348"/>
      <c r="AX131" s="584">
        <f t="shared" si="165"/>
        <v>0</v>
      </c>
      <c r="AY131" s="581">
        <f t="shared" si="12"/>
        <v>0</v>
      </c>
      <c r="AZ131" s="581">
        <f t="shared" si="159"/>
        <v>0</v>
      </c>
      <c r="BA131" s="596"/>
      <c r="BB131" s="596"/>
      <c r="BC131" s="348"/>
      <c r="BD131" s="581" t="str">
        <f t="shared" si="99"/>
        <v/>
      </c>
      <c r="BE131" s="581">
        <f t="shared" si="37"/>
        <v>0</v>
      </c>
      <c r="BF131" s="347"/>
      <c r="BG131" s="347"/>
      <c r="BH131" s="347"/>
      <c r="BI131" s="347"/>
      <c r="BJ131" s="586">
        <f t="shared" si="187"/>
        <v>0</v>
      </c>
      <c r="BK131" s="581">
        <f t="shared" si="15"/>
        <v>0</v>
      </c>
      <c r="BL131" s="347"/>
      <c r="BM131" s="347"/>
      <c r="BN131" s="347"/>
      <c r="BO131" s="586">
        <f t="shared" si="189"/>
        <v>0</v>
      </c>
      <c r="BP131" s="584">
        <f t="shared" si="17"/>
        <v>0</v>
      </c>
      <c r="BQ131" s="347"/>
      <c r="BR131" s="581">
        <f t="shared" si="153"/>
        <v>0</v>
      </c>
      <c r="BS131" s="588">
        <f t="shared" si="180"/>
        <v>0</v>
      </c>
      <c r="BT131" s="581">
        <f t="shared" si="20"/>
        <v>0</v>
      </c>
      <c r="BU131" s="589"/>
      <c r="BV131" s="581">
        <f t="shared" si="44"/>
        <v>0</v>
      </c>
      <c r="BW131" s="590"/>
      <c r="BX131" s="347"/>
      <c r="BY131" s="347"/>
      <c r="BZ131" s="347"/>
      <c r="CA131" s="586">
        <f t="shared" si="129"/>
        <v>0</v>
      </c>
      <c r="CB131" s="581">
        <f t="shared" si="160"/>
        <v>0</v>
      </c>
      <c r="CC131" s="581">
        <f t="shared" si="131"/>
        <v>0</v>
      </c>
      <c r="CD131" s="581">
        <f t="shared" si="132"/>
        <v>0</v>
      </c>
      <c r="CE131" s="581">
        <f t="shared" si="133"/>
        <v>0</v>
      </c>
      <c r="CF131" s="581">
        <f t="shared" si="134"/>
        <v>0</v>
      </c>
      <c r="CG131" s="581">
        <f t="shared" si="135"/>
        <v>0</v>
      </c>
      <c r="CH131" s="608" t="str">
        <f t="shared" si="136"/>
        <v>#DIV/0!</v>
      </c>
      <c r="CI131" s="603" t="str">
        <f t="shared" si="137"/>
        <v>#DIV/0!</v>
      </c>
      <c r="CJ131" s="347"/>
      <c r="CK131" s="347">
        <f t="shared" si="138"/>
        <v>0</v>
      </c>
      <c r="CL131" s="539">
        <f t="shared" si="139"/>
        <v>0</v>
      </c>
      <c r="CM131" s="347">
        <f t="shared" si="140"/>
        <v>0</v>
      </c>
      <c r="CN131" s="347">
        <f t="shared" si="141"/>
        <v>0</v>
      </c>
      <c r="CO131" s="347" t="str">
        <f t="shared" si="142"/>
        <v/>
      </c>
      <c r="CP131" s="347"/>
    </row>
    <row r="132">
      <c r="A132" s="574">
        <f t="shared" si="147"/>
        <v>300058</v>
      </c>
      <c r="B132" s="574" t="str">
        <f t="shared" si="1"/>
        <v>Batch 300058</v>
      </c>
      <c r="C132" s="347"/>
      <c r="D132" s="574" t="str">
        <f t="shared" si="190"/>
        <v>3-58</v>
      </c>
      <c r="E132" s="347"/>
      <c r="F132" s="596"/>
      <c r="G132" s="596"/>
      <c r="H132" s="347"/>
      <c r="I132" s="347"/>
      <c r="J132" s="583" t="str">
        <f t="shared" si="82"/>
        <v/>
      </c>
      <c r="K132" s="345" t="str">
        <f t="shared" si="177"/>
        <v/>
      </c>
      <c r="L132" s="345" t="str">
        <f t="shared" si="184"/>
        <v/>
      </c>
      <c r="M132" s="345" t="str">
        <f t="shared" si="185"/>
        <v/>
      </c>
      <c r="N132" s="345" t="str">
        <f t="shared" si="186"/>
        <v/>
      </c>
      <c r="O132" s="579">
        <f t="shared" si="2"/>
        <v>0</v>
      </c>
      <c r="P132" s="579">
        <f t="shared" si="126"/>
        <v>0</v>
      </c>
      <c r="Q132" s="574"/>
      <c r="R132" s="347"/>
      <c r="S132" s="597"/>
      <c r="T132" s="347"/>
      <c r="U132" s="579">
        <f t="shared" si="48"/>
        <v>0</v>
      </c>
      <c r="V132" s="579">
        <f t="shared" si="49"/>
        <v>0</v>
      </c>
      <c r="W132" s="574" t="str">
        <f t="shared" si="179"/>
        <v/>
      </c>
      <c r="X132" s="347" t="str">
        <f t="shared" si="170"/>
        <v/>
      </c>
      <c r="Y132" s="347" t="str">
        <f t="shared" si="188"/>
        <v/>
      </c>
      <c r="Z132" s="347" t="str">
        <f t="shared" si="171"/>
        <v/>
      </c>
      <c r="AA132" s="579">
        <f t="shared" si="6"/>
        <v>0</v>
      </c>
      <c r="AB132" s="581">
        <f t="shared" si="105"/>
        <v>0</v>
      </c>
      <c r="AC132" s="347" t="str">
        <f t="shared" si="183"/>
        <v/>
      </c>
      <c r="AD132" s="347" t="str">
        <f t="shared" si="176"/>
        <v/>
      </c>
      <c r="AE132" s="347" t="str">
        <f t="shared" si="173"/>
        <v/>
      </c>
      <c r="AF132" s="347" t="str">
        <f t="shared" si="174"/>
        <v/>
      </c>
      <c r="AG132" s="579">
        <f t="shared" si="54"/>
        <v>0</v>
      </c>
      <c r="AH132" s="579">
        <f t="shared" si="175"/>
        <v>0</v>
      </c>
      <c r="AI132" s="582"/>
      <c r="AJ132" s="582"/>
      <c r="AK132" s="582"/>
      <c r="AL132" s="582"/>
      <c r="AM132" s="579"/>
      <c r="AN132" s="579"/>
      <c r="AO132" s="347"/>
      <c r="AP132" s="581">
        <f t="shared" si="164"/>
        <v>0</v>
      </c>
      <c r="AQ132" s="596"/>
      <c r="AR132" s="596"/>
      <c r="AS132" s="348"/>
      <c r="AT132" s="348"/>
      <c r="AU132" s="348"/>
      <c r="AV132" s="348"/>
      <c r="AW132" s="348"/>
      <c r="AX132" s="584">
        <f t="shared" si="165"/>
        <v>0</v>
      </c>
      <c r="AY132" s="581">
        <f t="shared" si="12"/>
        <v>0</v>
      </c>
      <c r="AZ132" s="581">
        <f t="shared" si="159"/>
        <v>0</v>
      </c>
      <c r="BA132" s="596"/>
      <c r="BB132" s="596"/>
      <c r="BC132" s="348"/>
      <c r="BD132" s="581" t="str">
        <f t="shared" si="99"/>
        <v/>
      </c>
      <c r="BE132" s="581">
        <f t="shared" si="37"/>
        <v>0</v>
      </c>
      <c r="BF132" s="347"/>
      <c r="BG132" s="347"/>
      <c r="BH132" s="347"/>
      <c r="BI132" s="347"/>
      <c r="BJ132" s="586">
        <f t="shared" si="187"/>
        <v>0</v>
      </c>
      <c r="BK132" s="581">
        <f t="shared" si="15"/>
        <v>0</v>
      </c>
      <c r="BL132" s="347"/>
      <c r="BM132" s="347"/>
      <c r="BN132" s="347"/>
      <c r="BO132" s="586">
        <f t="shared" si="189"/>
        <v>0</v>
      </c>
      <c r="BP132" s="584">
        <f t="shared" si="17"/>
        <v>0</v>
      </c>
      <c r="BQ132" s="347"/>
      <c r="BR132" s="581">
        <f t="shared" si="153"/>
        <v>0</v>
      </c>
      <c r="BS132" s="588">
        <f t="shared" si="180"/>
        <v>0</v>
      </c>
      <c r="BT132" s="581">
        <f t="shared" si="20"/>
        <v>0</v>
      </c>
      <c r="BU132" s="589"/>
      <c r="BV132" s="581">
        <f t="shared" si="44"/>
        <v>0</v>
      </c>
      <c r="BW132" s="590"/>
      <c r="BX132" s="347"/>
      <c r="BY132" s="347"/>
      <c r="BZ132" s="347"/>
      <c r="CA132" s="586">
        <f t="shared" si="129"/>
        <v>0</v>
      </c>
      <c r="CB132" s="581">
        <f t="shared" si="160"/>
        <v>0</v>
      </c>
      <c r="CC132" s="581">
        <f t="shared" si="131"/>
        <v>0</v>
      </c>
      <c r="CD132" s="581">
        <f t="shared" si="132"/>
        <v>0</v>
      </c>
      <c r="CE132" s="581">
        <f t="shared" si="133"/>
        <v>0</v>
      </c>
      <c r="CF132" s="581">
        <f t="shared" si="134"/>
        <v>0</v>
      </c>
      <c r="CG132" s="581">
        <f t="shared" si="135"/>
        <v>0</v>
      </c>
      <c r="CH132" s="608" t="str">
        <f t="shared" si="136"/>
        <v>#DIV/0!</v>
      </c>
      <c r="CI132" s="603" t="str">
        <f t="shared" si="137"/>
        <v>#DIV/0!</v>
      </c>
      <c r="CJ132" s="347"/>
      <c r="CK132" s="347">
        <f t="shared" si="138"/>
        <v>0</v>
      </c>
      <c r="CL132" s="539">
        <f t="shared" si="139"/>
        <v>0</v>
      </c>
      <c r="CM132" s="347">
        <f t="shared" si="140"/>
        <v>0</v>
      </c>
      <c r="CN132" s="347">
        <f t="shared" si="141"/>
        <v>0</v>
      </c>
      <c r="CO132" s="347" t="str">
        <f t="shared" si="142"/>
        <v/>
      </c>
      <c r="CP132" s="347"/>
    </row>
    <row r="133">
      <c r="A133" s="574">
        <f t="shared" si="147"/>
        <v>200126</v>
      </c>
      <c r="B133" s="574" t="str">
        <f t="shared" si="1"/>
        <v>Batch 200126</v>
      </c>
      <c r="C133" s="347"/>
      <c r="D133" s="574" t="str">
        <f t="shared" si="190"/>
        <v>2-26</v>
      </c>
      <c r="E133" s="347"/>
      <c r="F133" s="596"/>
      <c r="G133" s="596"/>
      <c r="H133" s="347"/>
      <c r="I133" s="347"/>
      <c r="J133" s="583" t="str">
        <f t="shared" si="82"/>
        <v/>
      </c>
      <c r="K133" s="345" t="str">
        <f t="shared" si="177"/>
        <v/>
      </c>
      <c r="L133" s="345" t="str">
        <f t="shared" si="184"/>
        <v/>
      </c>
      <c r="M133" s="345" t="str">
        <f t="shared" si="185"/>
        <v/>
      </c>
      <c r="N133" s="345" t="str">
        <f t="shared" si="186"/>
        <v/>
      </c>
      <c r="O133" s="579">
        <f t="shared" si="2"/>
        <v>0</v>
      </c>
      <c r="P133" s="579">
        <f t="shared" si="126"/>
        <v>0</v>
      </c>
      <c r="Q133" s="574"/>
      <c r="R133" s="347"/>
      <c r="S133" s="597"/>
      <c r="T133" s="347"/>
      <c r="U133" s="579">
        <f t="shared" si="48"/>
        <v>0</v>
      </c>
      <c r="V133" s="579">
        <f t="shared" si="49"/>
        <v>0</v>
      </c>
      <c r="W133" s="574" t="str">
        <f t="shared" si="179"/>
        <v/>
      </c>
      <c r="X133" s="347" t="str">
        <f t="shared" si="170"/>
        <v/>
      </c>
      <c r="Y133" s="347" t="str">
        <f t="shared" si="188"/>
        <v/>
      </c>
      <c r="Z133" s="347" t="str">
        <f t="shared" si="171"/>
        <v/>
      </c>
      <c r="AA133" s="579">
        <f t="shared" si="6"/>
        <v>0</v>
      </c>
      <c r="AB133" s="581">
        <f t="shared" si="105"/>
        <v>0</v>
      </c>
      <c r="AC133" s="347" t="str">
        <f t="shared" si="183"/>
        <v/>
      </c>
      <c r="AD133" s="347" t="str">
        <f t="shared" si="176"/>
        <v/>
      </c>
      <c r="AE133" s="347" t="str">
        <f t="shared" si="173"/>
        <v/>
      </c>
      <c r="AF133" s="347" t="str">
        <f t="shared" si="174"/>
        <v/>
      </c>
      <c r="AG133" s="579">
        <f t="shared" si="54"/>
        <v>0</v>
      </c>
      <c r="AH133" s="579">
        <f t="shared" si="175"/>
        <v>0</v>
      </c>
      <c r="AI133" s="582"/>
      <c r="AJ133" s="582"/>
      <c r="AK133" s="582"/>
      <c r="AL133" s="582"/>
      <c r="AM133" s="579"/>
      <c r="AN133" s="579"/>
      <c r="AO133" s="347"/>
      <c r="AP133" s="581">
        <f t="shared" si="164"/>
        <v>0</v>
      </c>
      <c r="AQ133" s="596"/>
      <c r="AR133" s="596"/>
      <c r="AS133" s="348"/>
      <c r="AT133" s="348"/>
      <c r="AU133" s="348"/>
      <c r="AV133" s="348"/>
      <c r="AW133" s="348"/>
      <c r="AX133" s="584">
        <f t="shared" si="165"/>
        <v>0</v>
      </c>
      <c r="AY133" s="581">
        <f t="shared" si="12"/>
        <v>0</v>
      </c>
      <c r="AZ133" s="581">
        <f t="shared" si="159"/>
        <v>0</v>
      </c>
      <c r="BA133" s="596"/>
      <c r="BB133" s="596"/>
      <c r="BC133" s="348"/>
      <c r="BD133" s="581" t="str">
        <f t="shared" si="99"/>
        <v/>
      </c>
      <c r="BE133" s="581">
        <f t="shared" si="37"/>
        <v>0</v>
      </c>
      <c r="BF133" s="347"/>
      <c r="BG133" s="347"/>
      <c r="BH133" s="347"/>
      <c r="BI133" s="347"/>
      <c r="BJ133" s="586">
        <f t="shared" si="187"/>
        <v>0</v>
      </c>
      <c r="BK133" s="581">
        <f t="shared" si="15"/>
        <v>0</v>
      </c>
      <c r="BL133" s="347"/>
      <c r="BM133" s="347"/>
      <c r="BN133" s="347"/>
      <c r="BO133" s="586">
        <f t="shared" si="189"/>
        <v>0</v>
      </c>
      <c r="BP133" s="584">
        <f t="shared" si="17"/>
        <v>0</v>
      </c>
      <c r="BQ133" s="347"/>
      <c r="BR133" s="581">
        <f t="shared" si="153"/>
        <v>0</v>
      </c>
      <c r="BS133" s="588">
        <f t="shared" si="180"/>
        <v>0</v>
      </c>
      <c r="BT133" s="581">
        <f t="shared" si="20"/>
        <v>0</v>
      </c>
      <c r="BU133" s="589"/>
      <c r="BV133" s="581">
        <f t="shared" si="44"/>
        <v>0</v>
      </c>
      <c r="BW133" s="590"/>
      <c r="BX133" s="347"/>
      <c r="BY133" s="347"/>
      <c r="BZ133" s="347"/>
      <c r="CA133" s="586">
        <f t="shared" si="129"/>
        <v>0</v>
      </c>
      <c r="CB133" s="581">
        <f t="shared" si="160"/>
        <v>0</v>
      </c>
      <c r="CC133" s="581">
        <f t="shared" si="131"/>
        <v>0</v>
      </c>
      <c r="CD133" s="581">
        <f t="shared" si="132"/>
        <v>0</v>
      </c>
      <c r="CE133" s="581">
        <f t="shared" si="133"/>
        <v>0</v>
      </c>
      <c r="CF133" s="581">
        <f t="shared" si="134"/>
        <v>0</v>
      </c>
      <c r="CG133" s="581">
        <f t="shared" si="135"/>
        <v>0</v>
      </c>
      <c r="CH133" s="608" t="str">
        <f t="shared" si="136"/>
        <v>#DIV/0!</v>
      </c>
      <c r="CI133" s="603" t="str">
        <f t="shared" si="137"/>
        <v>#DIV/0!</v>
      </c>
      <c r="CJ133" s="347"/>
      <c r="CK133" s="347">
        <f t="shared" si="138"/>
        <v>0</v>
      </c>
      <c r="CL133" s="539">
        <f t="shared" si="139"/>
        <v>0</v>
      </c>
      <c r="CM133" s="347">
        <f t="shared" si="140"/>
        <v>0</v>
      </c>
      <c r="CN133" s="347">
        <f t="shared" si="141"/>
        <v>0</v>
      </c>
      <c r="CO133" s="347" t="str">
        <f t="shared" si="142"/>
        <v/>
      </c>
      <c r="CP133" s="347"/>
    </row>
    <row r="134">
      <c r="A134" s="574">
        <f t="shared" si="147"/>
        <v>300059</v>
      </c>
      <c r="B134" s="574" t="str">
        <f t="shared" si="1"/>
        <v>Batch 300059</v>
      </c>
      <c r="C134" s="347"/>
      <c r="D134" s="574" t="str">
        <f t="shared" si="190"/>
        <v>3-59</v>
      </c>
      <c r="E134" s="347"/>
      <c r="F134" s="596"/>
      <c r="G134" s="596"/>
      <c r="H134" s="347"/>
      <c r="I134" s="347"/>
      <c r="J134" s="583" t="str">
        <f t="shared" si="82"/>
        <v/>
      </c>
      <c r="K134" s="345" t="str">
        <f t="shared" si="177"/>
        <v/>
      </c>
      <c r="L134" s="345" t="str">
        <f t="shared" si="184"/>
        <v/>
      </c>
      <c r="M134" s="345" t="str">
        <f t="shared" si="185"/>
        <v/>
      </c>
      <c r="N134" s="345" t="str">
        <f t="shared" si="186"/>
        <v/>
      </c>
      <c r="O134" s="579">
        <f t="shared" si="2"/>
        <v>0</v>
      </c>
      <c r="P134" s="579">
        <f t="shared" si="126"/>
        <v>0</v>
      </c>
      <c r="Q134" s="574"/>
      <c r="R134" s="347"/>
      <c r="S134" s="597"/>
      <c r="T134" s="347"/>
      <c r="U134" s="579">
        <f t="shared" si="48"/>
        <v>0</v>
      </c>
      <c r="V134" s="579">
        <f t="shared" si="49"/>
        <v>0</v>
      </c>
      <c r="W134" s="574" t="str">
        <f t="shared" si="179"/>
        <v/>
      </c>
      <c r="X134" s="347" t="str">
        <f t="shared" si="170"/>
        <v/>
      </c>
      <c r="Y134" s="347" t="str">
        <f t="shared" si="188"/>
        <v/>
      </c>
      <c r="Z134" s="347" t="str">
        <f t="shared" si="171"/>
        <v/>
      </c>
      <c r="AA134" s="579">
        <f t="shared" si="6"/>
        <v>0</v>
      </c>
      <c r="AB134" s="581">
        <f t="shared" si="105"/>
        <v>0</v>
      </c>
      <c r="AC134" s="347" t="str">
        <f t="shared" si="183"/>
        <v/>
      </c>
      <c r="AD134" s="347" t="str">
        <f t="shared" si="176"/>
        <v/>
      </c>
      <c r="AE134" s="347" t="str">
        <f t="shared" si="173"/>
        <v/>
      </c>
      <c r="AF134" s="347" t="str">
        <f t="shared" si="174"/>
        <v/>
      </c>
      <c r="AG134" s="579">
        <f t="shared" si="54"/>
        <v>0</v>
      </c>
      <c r="AH134" s="579">
        <f t="shared" si="175"/>
        <v>0</v>
      </c>
      <c r="AI134" s="582"/>
      <c r="AJ134" s="582"/>
      <c r="AK134" s="582"/>
      <c r="AL134" s="582"/>
      <c r="AM134" s="579"/>
      <c r="AN134" s="579"/>
      <c r="AO134" s="347"/>
      <c r="AP134" s="581">
        <f t="shared" si="164"/>
        <v>0</v>
      </c>
      <c r="AQ134" s="596"/>
      <c r="AR134" s="596"/>
      <c r="AS134" s="348"/>
      <c r="AT134" s="348"/>
      <c r="AU134" s="348"/>
      <c r="AV134" s="348"/>
      <c r="AW134" s="348"/>
      <c r="AX134" s="584">
        <f t="shared" si="165"/>
        <v>0</v>
      </c>
      <c r="AY134" s="581">
        <f t="shared" si="12"/>
        <v>0</v>
      </c>
      <c r="AZ134" s="581">
        <f t="shared" si="159"/>
        <v>0</v>
      </c>
      <c r="BA134" s="596"/>
      <c r="BB134" s="596"/>
      <c r="BC134" s="348"/>
      <c r="BD134" s="581" t="str">
        <f t="shared" si="99"/>
        <v/>
      </c>
      <c r="BE134" s="581">
        <f t="shared" si="37"/>
        <v>0</v>
      </c>
      <c r="BF134" s="347"/>
      <c r="BG134" s="347"/>
      <c r="BH134" s="347"/>
      <c r="BI134" s="347"/>
      <c r="BJ134" s="586">
        <f t="shared" si="187"/>
        <v>0</v>
      </c>
      <c r="BK134" s="581">
        <f t="shared" si="15"/>
        <v>0</v>
      </c>
      <c r="BL134" s="347"/>
      <c r="BM134" s="347"/>
      <c r="BN134" s="347"/>
      <c r="BO134" s="586">
        <f t="shared" si="189"/>
        <v>0</v>
      </c>
      <c r="BP134" s="584">
        <f t="shared" si="17"/>
        <v>0</v>
      </c>
      <c r="BQ134" s="347"/>
      <c r="BR134" s="581">
        <f t="shared" si="153"/>
        <v>0</v>
      </c>
      <c r="BS134" s="588">
        <f t="shared" si="180"/>
        <v>0</v>
      </c>
      <c r="BT134" s="581">
        <f t="shared" si="20"/>
        <v>0</v>
      </c>
      <c r="BU134" s="589"/>
      <c r="BV134" s="581">
        <f t="shared" si="44"/>
        <v>0</v>
      </c>
      <c r="BW134" s="590"/>
      <c r="BX134" s="347"/>
      <c r="BY134" s="347"/>
      <c r="BZ134" s="347"/>
      <c r="CA134" s="586">
        <f t="shared" si="129"/>
        <v>0</v>
      </c>
      <c r="CB134" s="581">
        <f t="shared" si="160"/>
        <v>0</v>
      </c>
      <c r="CC134" s="581">
        <f t="shared" si="131"/>
        <v>0</v>
      </c>
      <c r="CD134" s="581">
        <f t="shared" si="132"/>
        <v>0</v>
      </c>
      <c r="CE134" s="581">
        <f t="shared" si="133"/>
        <v>0</v>
      </c>
      <c r="CF134" s="581">
        <f t="shared" si="134"/>
        <v>0</v>
      </c>
      <c r="CG134" s="581">
        <f t="shared" si="135"/>
        <v>0</v>
      </c>
      <c r="CH134" s="608" t="str">
        <f t="shared" si="136"/>
        <v>#DIV/0!</v>
      </c>
      <c r="CI134" s="603" t="str">
        <f t="shared" si="137"/>
        <v>#DIV/0!</v>
      </c>
      <c r="CJ134" s="347"/>
      <c r="CK134" s="347">
        <f t="shared" si="138"/>
        <v>0</v>
      </c>
      <c r="CL134" s="539">
        <f t="shared" si="139"/>
        <v>0</v>
      </c>
      <c r="CM134" s="347">
        <f t="shared" si="140"/>
        <v>0</v>
      </c>
      <c r="CN134" s="347">
        <f t="shared" si="141"/>
        <v>0</v>
      </c>
      <c r="CO134" s="347" t="str">
        <f t="shared" si="142"/>
        <v/>
      </c>
      <c r="CP134" s="347"/>
    </row>
    <row r="135">
      <c r="A135" s="574">
        <f t="shared" si="147"/>
        <v>200127</v>
      </c>
      <c r="B135" s="574" t="str">
        <f t="shared" si="1"/>
        <v>Batch 200127</v>
      </c>
      <c r="C135" s="347"/>
      <c r="D135" s="574" t="str">
        <f t="shared" si="190"/>
        <v>2-27</v>
      </c>
      <c r="E135" s="347"/>
      <c r="F135" s="596"/>
      <c r="G135" s="596"/>
      <c r="H135" s="347"/>
      <c r="I135" s="347"/>
      <c r="J135" s="583" t="str">
        <f t="shared" si="82"/>
        <v/>
      </c>
      <c r="K135" s="345" t="str">
        <f t="shared" si="177"/>
        <v/>
      </c>
      <c r="L135" s="345" t="str">
        <f t="shared" si="184"/>
        <v/>
      </c>
      <c r="M135" s="345" t="str">
        <f t="shared" si="185"/>
        <v/>
      </c>
      <c r="N135" s="345" t="str">
        <f t="shared" si="186"/>
        <v/>
      </c>
      <c r="O135" s="579">
        <f t="shared" si="2"/>
        <v>0</v>
      </c>
      <c r="P135" s="579">
        <f t="shared" si="126"/>
        <v>0</v>
      </c>
      <c r="Q135" s="574"/>
      <c r="R135" s="347"/>
      <c r="S135" s="597"/>
      <c r="T135" s="347"/>
      <c r="U135" s="579">
        <f t="shared" si="48"/>
        <v>0</v>
      </c>
      <c r="V135" s="579">
        <f t="shared" si="49"/>
        <v>0</v>
      </c>
      <c r="W135" s="574" t="str">
        <f t="shared" si="179"/>
        <v/>
      </c>
      <c r="X135" s="347" t="str">
        <f t="shared" si="170"/>
        <v/>
      </c>
      <c r="Y135" s="347" t="str">
        <f t="shared" si="188"/>
        <v/>
      </c>
      <c r="Z135" s="347" t="str">
        <f t="shared" si="171"/>
        <v/>
      </c>
      <c r="AA135" s="579">
        <f t="shared" si="6"/>
        <v>0</v>
      </c>
      <c r="AB135" s="581">
        <f t="shared" si="105"/>
        <v>0</v>
      </c>
      <c r="AC135" s="347" t="str">
        <f t="shared" si="183"/>
        <v/>
      </c>
      <c r="AD135" s="347" t="str">
        <f t="shared" si="176"/>
        <v/>
      </c>
      <c r="AE135" s="347" t="str">
        <f t="shared" si="173"/>
        <v/>
      </c>
      <c r="AF135" s="347" t="str">
        <f t="shared" si="174"/>
        <v/>
      </c>
      <c r="AG135" s="579">
        <f t="shared" si="54"/>
        <v>0</v>
      </c>
      <c r="AH135" s="579">
        <f t="shared" si="175"/>
        <v>0</v>
      </c>
      <c r="AI135" s="582"/>
      <c r="AJ135" s="582"/>
      <c r="AK135" s="582"/>
      <c r="AL135" s="582"/>
      <c r="AM135" s="579"/>
      <c r="AN135" s="579"/>
      <c r="AO135" s="347"/>
      <c r="AP135" s="581">
        <f t="shared" si="164"/>
        <v>0</v>
      </c>
      <c r="AQ135" s="596"/>
      <c r="AR135" s="596"/>
      <c r="AS135" s="348"/>
      <c r="AT135" s="348"/>
      <c r="AU135" s="348"/>
      <c r="AV135" s="348"/>
      <c r="AW135" s="348"/>
      <c r="AX135" s="584">
        <f t="shared" si="165"/>
        <v>0</v>
      </c>
      <c r="AY135" s="581">
        <f t="shared" si="12"/>
        <v>0</v>
      </c>
      <c r="AZ135" s="581">
        <f t="shared" si="159"/>
        <v>0</v>
      </c>
      <c r="BA135" s="596"/>
      <c r="BB135" s="596"/>
      <c r="BC135" s="348"/>
      <c r="BD135" s="581" t="str">
        <f t="shared" si="99"/>
        <v/>
      </c>
      <c r="BE135" s="581">
        <f t="shared" si="37"/>
        <v>0</v>
      </c>
      <c r="BF135" s="347"/>
      <c r="BG135" s="347"/>
      <c r="BH135" s="347"/>
      <c r="BI135" s="347"/>
      <c r="BJ135" s="586">
        <f t="shared" si="187"/>
        <v>0</v>
      </c>
      <c r="BK135" s="581">
        <f t="shared" si="15"/>
        <v>0</v>
      </c>
      <c r="BL135" s="347"/>
      <c r="BM135" s="347"/>
      <c r="BN135" s="347"/>
      <c r="BO135" s="586">
        <f t="shared" si="189"/>
        <v>0</v>
      </c>
      <c r="BP135" s="584">
        <f t="shared" si="17"/>
        <v>0</v>
      </c>
      <c r="BQ135" s="347"/>
      <c r="BR135" s="581">
        <f t="shared" si="153"/>
        <v>0</v>
      </c>
      <c r="BS135" s="588">
        <f t="shared" si="180"/>
        <v>0</v>
      </c>
      <c r="BT135" s="581">
        <f t="shared" si="20"/>
        <v>0</v>
      </c>
      <c r="BU135" s="589"/>
      <c r="BV135" s="581">
        <f t="shared" si="44"/>
        <v>0</v>
      </c>
      <c r="BW135" s="590"/>
      <c r="BX135" s="347"/>
      <c r="BY135" s="347"/>
      <c r="BZ135" s="347"/>
      <c r="CA135" s="586">
        <f t="shared" si="129"/>
        <v>0</v>
      </c>
      <c r="CB135" s="581">
        <f t="shared" si="160"/>
        <v>0</v>
      </c>
      <c r="CC135" s="581">
        <f t="shared" si="131"/>
        <v>0</v>
      </c>
      <c r="CD135" s="581">
        <f t="shared" si="132"/>
        <v>0</v>
      </c>
      <c r="CE135" s="581">
        <f t="shared" si="133"/>
        <v>0</v>
      </c>
      <c r="CF135" s="581">
        <f t="shared" si="134"/>
        <v>0</v>
      </c>
      <c r="CG135" s="581">
        <f t="shared" si="135"/>
        <v>0</v>
      </c>
      <c r="CH135" s="608" t="str">
        <f t="shared" si="136"/>
        <v>#DIV/0!</v>
      </c>
      <c r="CI135" s="603" t="str">
        <f t="shared" si="137"/>
        <v>#DIV/0!</v>
      </c>
      <c r="CJ135" s="347"/>
      <c r="CK135" s="347">
        <f t="shared" si="138"/>
        <v>0</v>
      </c>
      <c r="CL135" s="539">
        <f t="shared" si="139"/>
        <v>0</v>
      </c>
      <c r="CM135" s="347">
        <f t="shared" si="140"/>
        <v>0</v>
      </c>
      <c r="CN135" s="347">
        <f t="shared" si="141"/>
        <v>0</v>
      </c>
      <c r="CO135" s="347" t="str">
        <f t="shared" si="142"/>
        <v/>
      </c>
      <c r="CP135" s="347"/>
    </row>
    <row r="136">
      <c r="A136" s="574">
        <f t="shared" si="147"/>
        <v>300060</v>
      </c>
      <c r="B136" s="574" t="str">
        <f t="shared" si="1"/>
        <v>Batch 300060</v>
      </c>
      <c r="C136" s="347"/>
      <c r="D136" s="574" t="str">
        <f t="shared" si="190"/>
        <v>3-60</v>
      </c>
      <c r="E136" s="347"/>
      <c r="F136" s="596"/>
      <c r="G136" s="596"/>
      <c r="H136" s="347"/>
      <c r="I136" s="347"/>
      <c r="J136" s="583" t="str">
        <f t="shared" si="82"/>
        <v/>
      </c>
      <c r="K136" s="345" t="str">
        <f t="shared" si="177"/>
        <v/>
      </c>
      <c r="L136" s="345" t="str">
        <f t="shared" si="184"/>
        <v/>
      </c>
      <c r="M136" s="345" t="str">
        <f t="shared" si="185"/>
        <v/>
      </c>
      <c r="N136" s="345" t="str">
        <f t="shared" si="186"/>
        <v/>
      </c>
      <c r="O136" s="579">
        <f t="shared" si="2"/>
        <v>0</v>
      </c>
      <c r="P136" s="579">
        <f t="shared" si="126"/>
        <v>0</v>
      </c>
      <c r="Q136" s="574"/>
      <c r="R136" s="347"/>
      <c r="S136" s="597"/>
      <c r="T136" s="347"/>
      <c r="U136" s="579">
        <f t="shared" si="48"/>
        <v>0</v>
      </c>
      <c r="V136" s="579">
        <f t="shared" si="49"/>
        <v>0</v>
      </c>
      <c r="W136" s="574" t="str">
        <f t="shared" si="179"/>
        <v/>
      </c>
      <c r="X136" s="347" t="str">
        <f t="shared" si="170"/>
        <v/>
      </c>
      <c r="Y136" s="347" t="str">
        <f t="shared" si="188"/>
        <v/>
      </c>
      <c r="Z136" s="347" t="str">
        <f t="shared" si="171"/>
        <v/>
      </c>
      <c r="AA136" s="579">
        <f t="shared" si="6"/>
        <v>0</v>
      </c>
      <c r="AB136" s="581">
        <f t="shared" si="105"/>
        <v>0</v>
      </c>
      <c r="AC136" s="347" t="str">
        <f t="shared" si="183"/>
        <v/>
      </c>
      <c r="AD136" s="347" t="str">
        <f t="shared" si="176"/>
        <v/>
      </c>
      <c r="AE136" s="347" t="str">
        <f t="shared" si="173"/>
        <v/>
      </c>
      <c r="AF136" s="347" t="str">
        <f t="shared" si="174"/>
        <v/>
      </c>
      <c r="AG136" s="579">
        <f t="shared" si="54"/>
        <v>0</v>
      </c>
      <c r="AH136" s="579">
        <f t="shared" si="175"/>
        <v>0</v>
      </c>
      <c r="AI136" s="582"/>
      <c r="AJ136" s="582"/>
      <c r="AK136" s="582"/>
      <c r="AL136" s="582"/>
      <c r="AM136" s="579"/>
      <c r="AN136" s="579"/>
      <c r="AO136" s="347"/>
      <c r="AP136" s="581">
        <f t="shared" si="164"/>
        <v>0</v>
      </c>
      <c r="AQ136" s="596"/>
      <c r="AR136" s="596"/>
      <c r="AS136" s="348"/>
      <c r="AT136" s="348"/>
      <c r="AU136" s="348"/>
      <c r="AV136" s="348"/>
      <c r="AW136" s="348"/>
      <c r="AX136" s="584">
        <f t="shared" si="165"/>
        <v>0</v>
      </c>
      <c r="AY136" s="581">
        <f t="shared" si="12"/>
        <v>0</v>
      </c>
      <c r="AZ136" s="581">
        <f t="shared" si="159"/>
        <v>0</v>
      </c>
      <c r="BA136" s="596"/>
      <c r="BB136" s="596"/>
      <c r="BC136" s="348"/>
      <c r="BD136" s="581" t="str">
        <f t="shared" si="99"/>
        <v/>
      </c>
      <c r="BE136" s="581">
        <f t="shared" si="37"/>
        <v>0</v>
      </c>
      <c r="BF136" s="347"/>
      <c r="BG136" s="347"/>
      <c r="BH136" s="347"/>
      <c r="BI136" s="347"/>
      <c r="BJ136" s="586">
        <f t="shared" si="187"/>
        <v>0</v>
      </c>
      <c r="BK136" s="581">
        <f t="shared" si="15"/>
        <v>0</v>
      </c>
      <c r="BL136" s="347"/>
      <c r="BM136" s="347"/>
      <c r="BN136" s="347"/>
      <c r="BO136" s="586">
        <f t="shared" si="189"/>
        <v>0</v>
      </c>
      <c r="BP136" s="584">
        <f t="shared" si="17"/>
        <v>0</v>
      </c>
      <c r="BQ136" s="347"/>
      <c r="BR136" s="581">
        <f t="shared" si="153"/>
        <v>0</v>
      </c>
      <c r="BS136" s="588">
        <f t="shared" si="180"/>
        <v>0</v>
      </c>
      <c r="BT136" s="581">
        <f t="shared" si="20"/>
        <v>0</v>
      </c>
      <c r="BU136" s="589"/>
      <c r="BV136" s="581">
        <f t="shared" si="44"/>
        <v>0</v>
      </c>
      <c r="BW136" s="590"/>
      <c r="BX136" s="347"/>
      <c r="BY136" s="347"/>
      <c r="BZ136" s="347"/>
      <c r="CA136" s="586">
        <f t="shared" si="129"/>
        <v>0</v>
      </c>
      <c r="CB136" s="581">
        <f t="shared" si="160"/>
        <v>0</v>
      </c>
      <c r="CC136" s="581">
        <f t="shared" si="131"/>
        <v>0</v>
      </c>
      <c r="CD136" s="581">
        <f t="shared" si="132"/>
        <v>0</v>
      </c>
      <c r="CE136" s="581">
        <f t="shared" si="133"/>
        <v>0</v>
      </c>
      <c r="CF136" s="581">
        <f t="shared" si="134"/>
        <v>0</v>
      </c>
      <c r="CG136" s="581">
        <f t="shared" si="135"/>
        <v>0</v>
      </c>
      <c r="CH136" s="608" t="str">
        <f t="shared" si="136"/>
        <v>#DIV/0!</v>
      </c>
      <c r="CI136" s="603" t="str">
        <f t="shared" si="137"/>
        <v>#DIV/0!</v>
      </c>
      <c r="CJ136" s="347"/>
      <c r="CK136" s="347">
        <f t="shared" si="138"/>
        <v>0</v>
      </c>
      <c r="CL136" s="539">
        <f t="shared" si="139"/>
        <v>0</v>
      </c>
      <c r="CM136" s="347">
        <f t="shared" si="140"/>
        <v>0</v>
      </c>
      <c r="CN136" s="347">
        <f t="shared" si="141"/>
        <v>0</v>
      </c>
      <c r="CO136" s="347" t="str">
        <f t="shared" si="142"/>
        <v/>
      </c>
      <c r="CP136" s="347"/>
    </row>
    <row r="137">
      <c r="A137" s="574">
        <f t="shared" si="147"/>
        <v>200128</v>
      </c>
      <c r="B137" s="574" t="str">
        <f t="shared" si="1"/>
        <v>Batch 200128</v>
      </c>
      <c r="C137" s="347"/>
      <c r="D137" s="574" t="str">
        <f t="shared" si="190"/>
        <v>2-28</v>
      </c>
      <c r="E137" s="347"/>
      <c r="F137" s="596"/>
      <c r="G137" s="596"/>
      <c r="H137" s="347"/>
      <c r="I137" s="347"/>
      <c r="J137" s="583" t="str">
        <f t="shared" si="82"/>
        <v/>
      </c>
      <c r="K137" s="345" t="str">
        <f t="shared" si="177"/>
        <v/>
      </c>
      <c r="L137" s="345" t="str">
        <f t="shared" si="184"/>
        <v/>
      </c>
      <c r="M137" s="345" t="str">
        <f t="shared" si="185"/>
        <v/>
      </c>
      <c r="N137" s="345" t="str">
        <f t="shared" si="186"/>
        <v/>
      </c>
      <c r="O137" s="579">
        <f t="shared" si="2"/>
        <v>0</v>
      </c>
      <c r="P137" s="579">
        <f t="shared" si="126"/>
        <v>0</v>
      </c>
      <c r="Q137" s="574"/>
      <c r="R137" s="347"/>
      <c r="S137" s="597"/>
      <c r="T137" s="347"/>
      <c r="U137" s="579">
        <f t="shared" si="48"/>
        <v>0</v>
      </c>
      <c r="V137" s="579">
        <f t="shared" si="49"/>
        <v>0</v>
      </c>
      <c r="W137" s="574" t="str">
        <f t="shared" si="179"/>
        <v/>
      </c>
      <c r="X137" s="347" t="str">
        <f t="shared" si="170"/>
        <v/>
      </c>
      <c r="Y137" s="347" t="str">
        <f t="shared" si="188"/>
        <v/>
      </c>
      <c r="Z137" s="347" t="str">
        <f t="shared" si="171"/>
        <v/>
      </c>
      <c r="AA137" s="579">
        <f t="shared" si="6"/>
        <v>0</v>
      </c>
      <c r="AB137" s="581">
        <f t="shared" si="105"/>
        <v>0</v>
      </c>
      <c r="AC137" s="347" t="str">
        <f t="shared" si="183"/>
        <v/>
      </c>
      <c r="AD137" s="347" t="str">
        <f t="shared" si="176"/>
        <v/>
      </c>
      <c r="AE137" s="347" t="str">
        <f t="shared" si="173"/>
        <v/>
      </c>
      <c r="AF137" s="347" t="str">
        <f t="shared" si="174"/>
        <v/>
      </c>
      <c r="AG137" s="579">
        <f t="shared" si="54"/>
        <v>0</v>
      </c>
      <c r="AH137" s="579">
        <f t="shared" si="175"/>
        <v>0</v>
      </c>
      <c r="AI137" s="582"/>
      <c r="AJ137" s="582"/>
      <c r="AK137" s="582"/>
      <c r="AL137" s="582"/>
      <c r="AM137" s="579"/>
      <c r="AN137" s="579"/>
      <c r="AO137" s="347"/>
      <c r="AP137" s="581">
        <f t="shared" si="164"/>
        <v>0</v>
      </c>
      <c r="AQ137" s="596"/>
      <c r="AR137" s="596"/>
      <c r="AS137" s="348"/>
      <c r="AT137" s="348"/>
      <c r="AU137" s="348"/>
      <c r="AV137" s="348"/>
      <c r="AW137" s="348"/>
      <c r="AX137" s="584">
        <f t="shared" si="165"/>
        <v>0</v>
      </c>
      <c r="AY137" s="581">
        <f t="shared" si="12"/>
        <v>0</v>
      </c>
      <c r="AZ137" s="581">
        <f t="shared" si="159"/>
        <v>0</v>
      </c>
      <c r="BA137" s="596"/>
      <c r="BB137" s="596"/>
      <c r="BC137" s="348"/>
      <c r="BD137" s="581" t="str">
        <f t="shared" si="99"/>
        <v/>
      </c>
      <c r="BE137" s="581">
        <f t="shared" si="37"/>
        <v>0</v>
      </c>
      <c r="BF137" s="347"/>
      <c r="BG137" s="347"/>
      <c r="BH137" s="347"/>
      <c r="BI137" s="347"/>
      <c r="BJ137" s="586">
        <f t="shared" si="187"/>
        <v>0</v>
      </c>
      <c r="BK137" s="581">
        <f t="shared" si="15"/>
        <v>0</v>
      </c>
      <c r="BL137" s="347"/>
      <c r="BM137" s="347"/>
      <c r="BN137" s="347"/>
      <c r="BO137" s="586">
        <f t="shared" si="189"/>
        <v>0</v>
      </c>
      <c r="BP137" s="584">
        <f t="shared" si="17"/>
        <v>0</v>
      </c>
      <c r="BQ137" s="347"/>
      <c r="BR137" s="581">
        <f t="shared" si="153"/>
        <v>0</v>
      </c>
      <c r="BS137" s="588">
        <f t="shared" si="180"/>
        <v>0</v>
      </c>
      <c r="BT137" s="581">
        <f t="shared" si="20"/>
        <v>0</v>
      </c>
      <c r="BU137" s="589"/>
      <c r="BV137" s="581">
        <f t="shared" si="44"/>
        <v>0</v>
      </c>
      <c r="BW137" s="590"/>
      <c r="BX137" s="347"/>
      <c r="BY137" s="347"/>
      <c r="BZ137" s="347"/>
      <c r="CA137" s="586">
        <f t="shared" si="129"/>
        <v>0</v>
      </c>
      <c r="CB137" s="581">
        <f t="shared" si="160"/>
        <v>0</v>
      </c>
      <c r="CC137" s="581">
        <f t="shared" si="131"/>
        <v>0</v>
      </c>
      <c r="CD137" s="581">
        <f t="shared" si="132"/>
        <v>0</v>
      </c>
      <c r="CE137" s="581">
        <f t="shared" si="133"/>
        <v>0</v>
      </c>
      <c r="CF137" s="581">
        <f t="shared" si="134"/>
        <v>0</v>
      </c>
      <c r="CG137" s="581">
        <f t="shared" si="135"/>
        <v>0</v>
      </c>
      <c r="CH137" s="608" t="str">
        <f t="shared" si="136"/>
        <v>#DIV/0!</v>
      </c>
      <c r="CI137" s="603" t="str">
        <f t="shared" si="137"/>
        <v>#DIV/0!</v>
      </c>
      <c r="CJ137" s="347"/>
      <c r="CK137" s="347">
        <f t="shared" si="138"/>
        <v>0</v>
      </c>
      <c r="CL137" s="539">
        <f t="shared" si="139"/>
        <v>0</v>
      </c>
      <c r="CM137" s="347">
        <f t="shared" si="140"/>
        <v>0</v>
      </c>
      <c r="CN137" s="347">
        <f t="shared" si="141"/>
        <v>0</v>
      </c>
      <c r="CO137" s="347" t="str">
        <f t="shared" si="142"/>
        <v/>
      </c>
      <c r="CP137" s="347"/>
    </row>
    <row r="138">
      <c r="A138" s="574">
        <f t="shared" si="147"/>
        <v>300061</v>
      </c>
      <c r="B138" s="574" t="str">
        <f t="shared" si="1"/>
        <v>Batch 300061</v>
      </c>
      <c r="C138" s="347"/>
      <c r="D138" s="574" t="str">
        <f t="shared" si="190"/>
        <v>3-61</v>
      </c>
      <c r="E138" s="347"/>
      <c r="F138" s="596"/>
      <c r="G138" s="596"/>
      <c r="H138" s="347"/>
      <c r="I138" s="347"/>
      <c r="J138" s="583" t="str">
        <f t="shared" si="82"/>
        <v/>
      </c>
      <c r="K138" s="345" t="str">
        <f t="shared" si="177"/>
        <v/>
      </c>
      <c r="L138" s="345" t="str">
        <f t="shared" si="184"/>
        <v/>
      </c>
      <c r="M138" s="345" t="str">
        <f t="shared" si="185"/>
        <v/>
      </c>
      <c r="N138" s="345" t="str">
        <f t="shared" si="186"/>
        <v/>
      </c>
      <c r="O138" s="579">
        <f t="shared" si="2"/>
        <v>0</v>
      </c>
      <c r="P138" s="579">
        <f t="shared" si="126"/>
        <v>0</v>
      </c>
      <c r="Q138" s="574"/>
      <c r="R138" s="347"/>
      <c r="S138" s="597"/>
      <c r="T138" s="347"/>
      <c r="U138" s="579">
        <f t="shared" si="48"/>
        <v>0</v>
      </c>
      <c r="V138" s="579">
        <f t="shared" si="49"/>
        <v>0</v>
      </c>
      <c r="W138" s="574" t="str">
        <f t="shared" si="179"/>
        <v/>
      </c>
      <c r="X138" s="347" t="str">
        <f t="shared" si="170"/>
        <v/>
      </c>
      <c r="Y138" s="347" t="str">
        <f t="shared" si="188"/>
        <v/>
      </c>
      <c r="Z138" s="347" t="str">
        <f t="shared" si="171"/>
        <v/>
      </c>
      <c r="AA138" s="579">
        <f t="shared" si="6"/>
        <v>0</v>
      </c>
      <c r="AB138" s="581">
        <f t="shared" si="105"/>
        <v>0</v>
      </c>
      <c r="AC138" s="347" t="str">
        <f t="shared" si="183"/>
        <v/>
      </c>
      <c r="AD138" s="347" t="str">
        <f t="shared" si="176"/>
        <v/>
      </c>
      <c r="AE138" s="347" t="str">
        <f t="shared" si="173"/>
        <v/>
      </c>
      <c r="AF138" s="347" t="str">
        <f t="shared" si="174"/>
        <v/>
      </c>
      <c r="AG138" s="579">
        <f t="shared" si="54"/>
        <v>0</v>
      </c>
      <c r="AH138" s="579">
        <f t="shared" si="175"/>
        <v>0</v>
      </c>
      <c r="AI138" s="582"/>
      <c r="AJ138" s="582"/>
      <c r="AK138" s="582"/>
      <c r="AL138" s="582"/>
      <c r="AM138" s="579"/>
      <c r="AN138" s="579"/>
      <c r="AO138" s="347"/>
      <c r="AP138" s="581">
        <f t="shared" si="164"/>
        <v>0</v>
      </c>
      <c r="AQ138" s="596"/>
      <c r="AR138" s="596"/>
      <c r="AS138" s="348"/>
      <c r="AT138" s="348"/>
      <c r="AU138" s="348"/>
      <c r="AV138" s="348"/>
      <c r="AW138" s="348"/>
      <c r="AX138" s="584">
        <f t="shared" si="165"/>
        <v>0</v>
      </c>
      <c r="AY138" s="581">
        <f t="shared" si="12"/>
        <v>0</v>
      </c>
      <c r="AZ138" s="581">
        <f t="shared" si="159"/>
        <v>0</v>
      </c>
      <c r="BA138" s="596"/>
      <c r="BB138" s="596"/>
      <c r="BC138" s="348"/>
      <c r="BD138" s="581" t="str">
        <f t="shared" si="99"/>
        <v/>
      </c>
      <c r="BE138" s="581">
        <f t="shared" si="37"/>
        <v>0</v>
      </c>
      <c r="BF138" s="347"/>
      <c r="BG138" s="347"/>
      <c r="BH138" s="347"/>
      <c r="BI138" s="347"/>
      <c r="BJ138" s="586">
        <f t="shared" si="187"/>
        <v>0</v>
      </c>
      <c r="BK138" s="581">
        <f t="shared" si="15"/>
        <v>0</v>
      </c>
      <c r="BL138" s="347"/>
      <c r="BM138" s="347"/>
      <c r="BN138" s="347"/>
      <c r="BO138" s="586">
        <f t="shared" si="189"/>
        <v>0</v>
      </c>
      <c r="BP138" s="584">
        <f t="shared" si="17"/>
        <v>0</v>
      </c>
      <c r="BQ138" s="347"/>
      <c r="BR138" s="581">
        <f t="shared" si="153"/>
        <v>0</v>
      </c>
      <c r="BS138" s="588">
        <f t="shared" si="180"/>
        <v>0</v>
      </c>
      <c r="BT138" s="581">
        <f t="shared" si="20"/>
        <v>0</v>
      </c>
      <c r="BU138" s="589"/>
      <c r="BV138" s="581">
        <f t="shared" si="44"/>
        <v>0</v>
      </c>
      <c r="BW138" s="590"/>
      <c r="BX138" s="347"/>
      <c r="BY138" s="347"/>
      <c r="BZ138" s="347"/>
      <c r="CA138" s="586">
        <f t="shared" si="129"/>
        <v>0</v>
      </c>
      <c r="CB138" s="581">
        <f t="shared" si="160"/>
        <v>0</v>
      </c>
      <c r="CC138" s="581">
        <f t="shared" si="131"/>
        <v>0</v>
      </c>
      <c r="CD138" s="581">
        <f t="shared" si="132"/>
        <v>0</v>
      </c>
      <c r="CE138" s="581">
        <f t="shared" si="133"/>
        <v>0</v>
      </c>
      <c r="CF138" s="581">
        <f t="shared" si="134"/>
        <v>0</v>
      </c>
      <c r="CG138" s="581">
        <f t="shared" si="135"/>
        <v>0</v>
      </c>
      <c r="CH138" s="608" t="str">
        <f t="shared" si="136"/>
        <v>#DIV/0!</v>
      </c>
      <c r="CI138" s="603" t="str">
        <f t="shared" si="137"/>
        <v>#DIV/0!</v>
      </c>
      <c r="CJ138" s="347"/>
      <c r="CK138" s="347">
        <f t="shared" si="138"/>
        <v>0</v>
      </c>
      <c r="CL138" s="539">
        <f t="shared" si="139"/>
        <v>0</v>
      </c>
      <c r="CM138" s="347">
        <f t="shared" si="140"/>
        <v>0</v>
      </c>
      <c r="CN138" s="347">
        <f t="shared" si="141"/>
        <v>0</v>
      </c>
      <c r="CO138" s="347" t="str">
        <f t="shared" si="142"/>
        <v/>
      </c>
      <c r="CP138" s="347"/>
    </row>
    <row r="139">
      <c r="A139" s="574">
        <f t="shared" si="147"/>
        <v>200129</v>
      </c>
      <c r="B139" s="574" t="str">
        <f t="shared" si="1"/>
        <v>Batch 200129</v>
      </c>
      <c r="C139" s="347"/>
      <c r="D139" s="574" t="str">
        <f t="shared" si="190"/>
        <v>2-29</v>
      </c>
      <c r="E139" s="347"/>
      <c r="F139" s="596"/>
      <c r="G139" s="596"/>
      <c r="H139" s="347"/>
      <c r="I139" s="347"/>
      <c r="J139" s="583" t="str">
        <f t="shared" si="82"/>
        <v/>
      </c>
      <c r="K139" s="345" t="str">
        <f t="shared" si="177"/>
        <v/>
      </c>
      <c r="L139" s="345" t="str">
        <f t="shared" si="184"/>
        <v/>
      </c>
      <c r="M139" s="345" t="str">
        <f t="shared" si="185"/>
        <v/>
      </c>
      <c r="N139" s="345" t="str">
        <f t="shared" si="186"/>
        <v/>
      </c>
      <c r="O139" s="579">
        <f t="shared" si="2"/>
        <v>0</v>
      </c>
      <c r="P139" s="579">
        <f t="shared" si="126"/>
        <v>0</v>
      </c>
      <c r="Q139" s="574"/>
      <c r="R139" s="347"/>
      <c r="S139" s="597"/>
      <c r="T139" s="347"/>
      <c r="U139" s="579">
        <f t="shared" si="48"/>
        <v>0</v>
      </c>
      <c r="V139" s="579">
        <f t="shared" si="49"/>
        <v>0</v>
      </c>
      <c r="W139" s="574" t="str">
        <f t="shared" si="179"/>
        <v/>
      </c>
      <c r="X139" s="347" t="str">
        <f t="shared" si="170"/>
        <v/>
      </c>
      <c r="Y139" s="347" t="str">
        <f t="shared" si="188"/>
        <v/>
      </c>
      <c r="Z139" s="347" t="str">
        <f t="shared" si="171"/>
        <v/>
      </c>
      <c r="AA139" s="579">
        <f t="shared" si="6"/>
        <v>0</v>
      </c>
      <c r="AB139" s="581">
        <f t="shared" si="105"/>
        <v>0</v>
      </c>
      <c r="AC139" s="347" t="str">
        <f t="shared" si="183"/>
        <v/>
      </c>
      <c r="AD139" s="347" t="str">
        <f t="shared" si="176"/>
        <v/>
      </c>
      <c r="AE139" s="347" t="str">
        <f t="shared" si="173"/>
        <v/>
      </c>
      <c r="AF139" s="347" t="str">
        <f t="shared" si="174"/>
        <v/>
      </c>
      <c r="AG139" s="579">
        <f t="shared" si="54"/>
        <v>0</v>
      </c>
      <c r="AH139" s="579">
        <f t="shared" si="175"/>
        <v>0</v>
      </c>
      <c r="AI139" s="582"/>
      <c r="AJ139" s="582"/>
      <c r="AK139" s="582"/>
      <c r="AL139" s="582"/>
      <c r="AM139" s="579"/>
      <c r="AN139" s="579"/>
      <c r="AO139" s="347"/>
      <c r="AP139" s="581">
        <f t="shared" si="164"/>
        <v>0</v>
      </c>
      <c r="AQ139" s="596"/>
      <c r="AR139" s="596"/>
      <c r="AS139" s="348"/>
      <c r="AT139" s="348"/>
      <c r="AU139" s="348"/>
      <c r="AV139" s="348"/>
      <c r="AW139" s="348"/>
      <c r="AX139" s="584">
        <f t="shared" si="165"/>
        <v>0</v>
      </c>
      <c r="AY139" s="581">
        <f t="shared" si="12"/>
        <v>0</v>
      </c>
      <c r="AZ139" s="581">
        <f t="shared" si="159"/>
        <v>0</v>
      </c>
      <c r="BA139" s="596"/>
      <c r="BB139" s="596"/>
      <c r="BC139" s="348"/>
      <c r="BD139" s="581" t="str">
        <f t="shared" si="99"/>
        <v/>
      </c>
      <c r="BE139" s="581">
        <f t="shared" si="37"/>
        <v>0</v>
      </c>
      <c r="BF139" s="347"/>
      <c r="BG139" s="347"/>
      <c r="BH139" s="347"/>
      <c r="BI139" s="347"/>
      <c r="BJ139" s="586">
        <f t="shared" si="187"/>
        <v>0</v>
      </c>
      <c r="BK139" s="581">
        <f t="shared" si="15"/>
        <v>0</v>
      </c>
      <c r="BL139" s="347"/>
      <c r="BM139" s="347"/>
      <c r="BN139" s="347"/>
      <c r="BO139" s="586">
        <f t="shared" si="189"/>
        <v>0</v>
      </c>
      <c r="BP139" s="584">
        <f t="shared" si="17"/>
        <v>0</v>
      </c>
      <c r="BQ139" s="347"/>
      <c r="BR139" s="581">
        <f t="shared" si="153"/>
        <v>0</v>
      </c>
      <c r="BS139" s="588">
        <f t="shared" si="180"/>
        <v>0</v>
      </c>
      <c r="BT139" s="581">
        <f t="shared" si="20"/>
        <v>0</v>
      </c>
      <c r="BU139" s="589"/>
      <c r="BV139" s="581">
        <f t="shared" si="44"/>
        <v>0</v>
      </c>
      <c r="BW139" s="590"/>
      <c r="BX139" s="347"/>
      <c r="BY139" s="347"/>
      <c r="BZ139" s="347"/>
      <c r="CA139" s="586">
        <f t="shared" si="129"/>
        <v>0</v>
      </c>
      <c r="CB139" s="581">
        <f t="shared" si="160"/>
        <v>0</v>
      </c>
      <c r="CC139" s="581">
        <f t="shared" si="131"/>
        <v>0</v>
      </c>
      <c r="CD139" s="581">
        <f t="shared" si="132"/>
        <v>0</v>
      </c>
      <c r="CE139" s="581">
        <f t="shared" si="133"/>
        <v>0</v>
      </c>
      <c r="CF139" s="581">
        <f t="shared" si="134"/>
        <v>0</v>
      </c>
      <c r="CG139" s="581">
        <f t="shared" si="135"/>
        <v>0</v>
      </c>
      <c r="CH139" s="608" t="str">
        <f t="shared" si="136"/>
        <v>#DIV/0!</v>
      </c>
      <c r="CI139" s="603" t="str">
        <f t="shared" si="137"/>
        <v>#DIV/0!</v>
      </c>
      <c r="CJ139" s="347"/>
      <c r="CK139" s="347">
        <f t="shared" si="138"/>
        <v>0</v>
      </c>
      <c r="CL139" s="539">
        <f t="shared" si="139"/>
        <v>0</v>
      </c>
      <c r="CM139" s="347">
        <f t="shared" si="140"/>
        <v>0</v>
      </c>
      <c r="CN139" s="347">
        <f t="shared" si="141"/>
        <v>0</v>
      </c>
      <c r="CO139" s="347" t="str">
        <f t="shared" si="142"/>
        <v/>
      </c>
      <c r="CP139" s="347"/>
    </row>
    <row r="140">
      <c r="A140" s="574">
        <f t="shared" si="147"/>
        <v>300062</v>
      </c>
      <c r="B140" s="574" t="str">
        <f t="shared" si="1"/>
        <v>Batch 300062</v>
      </c>
      <c r="C140" s="347"/>
      <c r="D140" s="574" t="str">
        <f t="shared" si="190"/>
        <v>3-62</v>
      </c>
      <c r="E140" s="347"/>
      <c r="F140" s="596"/>
      <c r="G140" s="596"/>
      <c r="H140" s="347"/>
      <c r="I140" s="347"/>
      <c r="J140" s="583" t="str">
        <f t="shared" si="82"/>
        <v/>
      </c>
      <c r="K140" s="345" t="str">
        <f t="shared" si="177"/>
        <v/>
      </c>
      <c r="L140" s="345" t="str">
        <f t="shared" si="184"/>
        <v/>
      </c>
      <c r="M140" s="345" t="str">
        <f t="shared" si="185"/>
        <v/>
      </c>
      <c r="N140" s="345" t="str">
        <f t="shared" si="186"/>
        <v/>
      </c>
      <c r="O140" s="579">
        <f t="shared" si="2"/>
        <v>0</v>
      </c>
      <c r="P140" s="579">
        <f t="shared" si="126"/>
        <v>0</v>
      </c>
      <c r="Q140" s="574"/>
      <c r="R140" s="347"/>
      <c r="S140" s="597"/>
      <c r="T140" s="347"/>
      <c r="U140" s="579">
        <f t="shared" si="48"/>
        <v>0</v>
      </c>
      <c r="V140" s="579">
        <f t="shared" si="49"/>
        <v>0</v>
      </c>
      <c r="W140" s="574" t="str">
        <f t="shared" si="179"/>
        <v/>
      </c>
      <c r="X140" s="347" t="str">
        <f t="shared" si="170"/>
        <v/>
      </c>
      <c r="Y140" s="347" t="str">
        <f t="shared" si="188"/>
        <v/>
      </c>
      <c r="Z140" s="347" t="str">
        <f t="shared" si="171"/>
        <v/>
      </c>
      <c r="AA140" s="579">
        <f t="shared" si="6"/>
        <v>0</v>
      </c>
      <c r="AB140" s="581">
        <f t="shared" si="105"/>
        <v>0</v>
      </c>
      <c r="AC140" s="347" t="str">
        <f t="shared" si="183"/>
        <v/>
      </c>
      <c r="AD140" s="347" t="str">
        <f t="shared" si="176"/>
        <v/>
      </c>
      <c r="AE140" s="347" t="str">
        <f t="shared" si="173"/>
        <v/>
      </c>
      <c r="AF140" s="347" t="str">
        <f t="shared" si="174"/>
        <v/>
      </c>
      <c r="AG140" s="579">
        <f t="shared" si="54"/>
        <v>0</v>
      </c>
      <c r="AH140" s="579">
        <f t="shared" si="175"/>
        <v>0</v>
      </c>
      <c r="AI140" s="582"/>
      <c r="AJ140" s="582"/>
      <c r="AK140" s="582"/>
      <c r="AL140" s="582"/>
      <c r="AM140" s="579"/>
      <c r="AN140" s="579"/>
      <c r="AO140" s="347"/>
      <c r="AP140" s="581">
        <f t="shared" si="164"/>
        <v>0</v>
      </c>
      <c r="AQ140" s="596"/>
      <c r="AR140" s="596"/>
      <c r="AS140" s="348"/>
      <c r="AT140" s="348"/>
      <c r="AU140" s="348"/>
      <c r="AV140" s="348"/>
      <c r="AW140" s="348"/>
      <c r="AX140" s="584">
        <f t="shared" si="165"/>
        <v>0</v>
      </c>
      <c r="AY140" s="581">
        <f t="shared" si="12"/>
        <v>0</v>
      </c>
      <c r="AZ140" s="581">
        <f t="shared" si="159"/>
        <v>0</v>
      </c>
      <c r="BA140" s="596"/>
      <c r="BB140" s="596"/>
      <c r="BC140" s="348"/>
      <c r="BD140" s="581" t="str">
        <f t="shared" si="99"/>
        <v/>
      </c>
      <c r="BE140" s="581">
        <f t="shared" si="37"/>
        <v>0</v>
      </c>
      <c r="BF140" s="347"/>
      <c r="BG140" s="347"/>
      <c r="BH140" s="347"/>
      <c r="BI140" s="347"/>
      <c r="BJ140" s="586">
        <f t="shared" si="187"/>
        <v>0</v>
      </c>
      <c r="BK140" s="581">
        <f t="shared" si="15"/>
        <v>0</v>
      </c>
      <c r="BL140" s="347"/>
      <c r="BM140" s="347"/>
      <c r="BN140" s="347"/>
      <c r="BO140" s="586">
        <f t="shared" si="189"/>
        <v>0</v>
      </c>
      <c r="BP140" s="584">
        <f t="shared" si="17"/>
        <v>0</v>
      </c>
      <c r="BQ140" s="347"/>
      <c r="BR140" s="581">
        <f t="shared" si="153"/>
        <v>0</v>
      </c>
      <c r="BS140" s="588">
        <f t="shared" si="180"/>
        <v>0</v>
      </c>
      <c r="BT140" s="581">
        <f t="shared" si="20"/>
        <v>0</v>
      </c>
      <c r="BU140" s="589"/>
      <c r="BV140" s="581">
        <f t="shared" si="44"/>
        <v>0</v>
      </c>
      <c r="BW140" s="590"/>
      <c r="BX140" s="347"/>
      <c r="BY140" s="347"/>
      <c r="BZ140" s="347"/>
      <c r="CA140" s="586">
        <f t="shared" si="129"/>
        <v>0</v>
      </c>
      <c r="CB140" s="581">
        <f t="shared" si="160"/>
        <v>0</v>
      </c>
      <c r="CC140" s="581">
        <f t="shared" si="131"/>
        <v>0</v>
      </c>
      <c r="CD140" s="581">
        <f t="shared" si="132"/>
        <v>0</v>
      </c>
      <c r="CE140" s="581">
        <f t="shared" si="133"/>
        <v>0</v>
      </c>
      <c r="CF140" s="581">
        <f t="shared" si="134"/>
        <v>0</v>
      </c>
      <c r="CG140" s="581">
        <f t="shared" si="135"/>
        <v>0</v>
      </c>
      <c r="CH140" s="608" t="str">
        <f t="shared" si="136"/>
        <v>#DIV/0!</v>
      </c>
      <c r="CI140" s="603" t="str">
        <f t="shared" si="137"/>
        <v>#DIV/0!</v>
      </c>
      <c r="CJ140" s="347"/>
      <c r="CK140" s="347">
        <f t="shared" si="138"/>
        <v>0</v>
      </c>
      <c r="CL140" s="539">
        <f t="shared" si="139"/>
        <v>0</v>
      </c>
      <c r="CM140" s="347">
        <f t="shared" si="140"/>
        <v>0</v>
      </c>
      <c r="CN140" s="347">
        <f t="shared" si="141"/>
        <v>0</v>
      </c>
      <c r="CO140" s="347" t="str">
        <f t="shared" si="142"/>
        <v/>
      </c>
      <c r="CP140" s="347"/>
    </row>
    <row r="141">
      <c r="A141" s="574">
        <f t="shared" si="147"/>
        <v>200130</v>
      </c>
      <c r="B141" s="574" t="str">
        <f t="shared" si="1"/>
        <v>Batch 200130</v>
      </c>
      <c r="C141" s="347"/>
      <c r="D141" s="574" t="str">
        <f t="shared" si="190"/>
        <v>2-30</v>
      </c>
      <c r="E141" s="347"/>
      <c r="F141" s="596"/>
      <c r="G141" s="596"/>
      <c r="H141" s="347"/>
      <c r="I141" s="347"/>
      <c r="J141" s="583" t="str">
        <f t="shared" si="82"/>
        <v/>
      </c>
      <c r="K141" s="345" t="str">
        <f t="shared" si="177"/>
        <v/>
      </c>
      <c r="L141" s="345" t="str">
        <f t="shared" si="184"/>
        <v/>
      </c>
      <c r="M141" s="345" t="str">
        <f t="shared" si="185"/>
        <v/>
      </c>
      <c r="N141" s="345" t="str">
        <f t="shared" si="186"/>
        <v/>
      </c>
      <c r="O141" s="579">
        <f t="shared" si="2"/>
        <v>0</v>
      </c>
      <c r="P141" s="579">
        <f t="shared" si="126"/>
        <v>0</v>
      </c>
      <c r="Q141" s="574"/>
      <c r="R141" s="347"/>
      <c r="S141" s="597"/>
      <c r="T141" s="347"/>
      <c r="U141" s="579">
        <f t="shared" si="48"/>
        <v>0</v>
      </c>
      <c r="V141" s="579">
        <f t="shared" si="49"/>
        <v>0</v>
      </c>
      <c r="W141" s="574" t="str">
        <f t="shared" si="179"/>
        <v/>
      </c>
      <c r="X141" s="347" t="str">
        <f t="shared" si="170"/>
        <v/>
      </c>
      <c r="Y141" s="347" t="str">
        <f t="shared" si="188"/>
        <v/>
      </c>
      <c r="Z141" s="347" t="str">
        <f t="shared" si="171"/>
        <v/>
      </c>
      <c r="AA141" s="579">
        <f t="shared" si="6"/>
        <v>0</v>
      </c>
      <c r="AB141" s="581">
        <f t="shared" si="105"/>
        <v>0</v>
      </c>
      <c r="AC141" s="347" t="str">
        <f t="shared" si="183"/>
        <v/>
      </c>
      <c r="AD141" s="347" t="str">
        <f t="shared" si="176"/>
        <v/>
      </c>
      <c r="AE141" s="347" t="str">
        <f t="shared" si="173"/>
        <v/>
      </c>
      <c r="AF141" s="347" t="str">
        <f t="shared" si="174"/>
        <v/>
      </c>
      <c r="AG141" s="579">
        <f t="shared" si="54"/>
        <v>0</v>
      </c>
      <c r="AH141" s="579">
        <f t="shared" si="175"/>
        <v>0</v>
      </c>
      <c r="AI141" s="582"/>
      <c r="AJ141" s="582"/>
      <c r="AK141" s="582"/>
      <c r="AL141" s="582"/>
      <c r="AM141" s="579"/>
      <c r="AN141" s="579"/>
      <c r="AO141" s="347"/>
      <c r="AP141" s="581">
        <f t="shared" si="164"/>
        <v>0</v>
      </c>
      <c r="AQ141" s="596"/>
      <c r="AR141" s="596"/>
      <c r="AS141" s="348"/>
      <c r="AT141" s="348"/>
      <c r="AU141" s="348"/>
      <c r="AV141" s="348"/>
      <c r="AW141" s="348"/>
      <c r="AX141" s="584">
        <f t="shared" si="165"/>
        <v>0</v>
      </c>
      <c r="AY141" s="581">
        <f t="shared" si="12"/>
        <v>0</v>
      </c>
      <c r="AZ141" s="581">
        <f t="shared" si="159"/>
        <v>0</v>
      </c>
      <c r="BA141" s="596"/>
      <c r="BB141" s="596"/>
      <c r="BC141" s="348"/>
      <c r="BD141" s="581" t="str">
        <f t="shared" si="99"/>
        <v/>
      </c>
      <c r="BE141" s="581">
        <f t="shared" si="37"/>
        <v>0</v>
      </c>
      <c r="BF141" s="347"/>
      <c r="BG141" s="347"/>
      <c r="BH141" s="347"/>
      <c r="BI141" s="347"/>
      <c r="BJ141" s="586">
        <f t="shared" si="187"/>
        <v>0</v>
      </c>
      <c r="BK141" s="581">
        <f t="shared" si="15"/>
        <v>0</v>
      </c>
      <c r="BL141" s="347"/>
      <c r="BM141" s="347"/>
      <c r="BN141" s="347"/>
      <c r="BO141" s="586">
        <f t="shared" si="189"/>
        <v>0</v>
      </c>
      <c r="BP141" s="584">
        <f t="shared" si="17"/>
        <v>0</v>
      </c>
      <c r="BQ141" s="347"/>
      <c r="BR141" s="581">
        <f t="shared" si="153"/>
        <v>0</v>
      </c>
      <c r="BS141" s="588">
        <f t="shared" si="180"/>
        <v>0</v>
      </c>
      <c r="BT141" s="581">
        <f t="shared" si="20"/>
        <v>0</v>
      </c>
      <c r="BU141" s="589"/>
      <c r="BV141" s="581">
        <f t="shared" si="44"/>
        <v>0</v>
      </c>
      <c r="BW141" s="590"/>
      <c r="BX141" s="347"/>
      <c r="BY141" s="347"/>
      <c r="BZ141" s="347"/>
      <c r="CA141" s="586">
        <f t="shared" si="129"/>
        <v>0</v>
      </c>
      <c r="CB141" s="581">
        <f t="shared" si="160"/>
        <v>0</v>
      </c>
      <c r="CC141" s="581">
        <f t="shared" si="131"/>
        <v>0</v>
      </c>
      <c r="CD141" s="581">
        <f t="shared" si="132"/>
        <v>0</v>
      </c>
      <c r="CE141" s="581">
        <f t="shared" si="133"/>
        <v>0</v>
      </c>
      <c r="CF141" s="581">
        <f t="shared" si="134"/>
        <v>0</v>
      </c>
      <c r="CG141" s="581">
        <f t="shared" si="135"/>
        <v>0</v>
      </c>
      <c r="CH141" s="608" t="str">
        <f t="shared" si="136"/>
        <v>#DIV/0!</v>
      </c>
      <c r="CI141" s="603" t="str">
        <f t="shared" si="137"/>
        <v>#DIV/0!</v>
      </c>
      <c r="CJ141" s="347"/>
      <c r="CK141" s="347">
        <f t="shared" si="138"/>
        <v>0</v>
      </c>
      <c r="CL141" s="539">
        <f t="shared" si="139"/>
        <v>0</v>
      </c>
      <c r="CM141" s="347">
        <f t="shared" si="140"/>
        <v>0</v>
      </c>
      <c r="CN141" s="347">
        <f t="shared" si="141"/>
        <v>0</v>
      </c>
      <c r="CO141" s="347" t="str">
        <f t="shared" si="142"/>
        <v/>
      </c>
      <c r="CP141" s="347"/>
    </row>
    <row r="142">
      <c r="A142" s="574">
        <f t="shared" si="147"/>
        <v>300063</v>
      </c>
      <c r="B142" s="574" t="str">
        <f t="shared" si="1"/>
        <v>Batch 300063</v>
      </c>
      <c r="C142" s="347"/>
      <c r="D142" s="574" t="str">
        <f t="shared" si="190"/>
        <v>3-63</v>
      </c>
      <c r="E142" s="347"/>
      <c r="F142" s="596"/>
      <c r="G142" s="596"/>
      <c r="H142" s="347"/>
      <c r="I142" s="347"/>
      <c r="J142" s="583" t="str">
        <f t="shared" si="82"/>
        <v/>
      </c>
      <c r="K142" s="345" t="str">
        <f t="shared" si="177"/>
        <v/>
      </c>
      <c r="L142" s="345" t="str">
        <f t="shared" si="184"/>
        <v/>
      </c>
      <c r="M142" s="345" t="str">
        <f t="shared" si="185"/>
        <v/>
      </c>
      <c r="N142" s="345" t="str">
        <f t="shared" si="186"/>
        <v/>
      </c>
      <c r="O142" s="579">
        <f t="shared" si="2"/>
        <v>0</v>
      </c>
      <c r="P142" s="579">
        <f t="shared" si="126"/>
        <v>0</v>
      </c>
      <c r="Q142" s="574"/>
      <c r="R142" s="347"/>
      <c r="S142" s="597"/>
      <c r="T142" s="347"/>
      <c r="U142" s="579">
        <f t="shared" si="48"/>
        <v>0</v>
      </c>
      <c r="V142" s="579">
        <f t="shared" si="49"/>
        <v>0</v>
      </c>
      <c r="W142" s="574" t="str">
        <f t="shared" si="179"/>
        <v/>
      </c>
      <c r="X142" s="347" t="str">
        <f t="shared" si="170"/>
        <v/>
      </c>
      <c r="Y142" s="347" t="str">
        <f t="shared" si="188"/>
        <v/>
      </c>
      <c r="Z142" s="347" t="str">
        <f t="shared" si="171"/>
        <v/>
      </c>
      <c r="AA142" s="579">
        <f t="shared" si="6"/>
        <v>0</v>
      </c>
      <c r="AB142" s="581">
        <f t="shared" si="105"/>
        <v>0</v>
      </c>
      <c r="AC142" s="347" t="str">
        <f t="shared" si="183"/>
        <v/>
      </c>
      <c r="AD142" s="347" t="str">
        <f t="shared" si="176"/>
        <v/>
      </c>
      <c r="AE142" s="347" t="str">
        <f t="shared" si="173"/>
        <v/>
      </c>
      <c r="AF142" s="347" t="str">
        <f t="shared" si="174"/>
        <v/>
      </c>
      <c r="AG142" s="579">
        <f t="shared" si="54"/>
        <v>0</v>
      </c>
      <c r="AH142" s="579">
        <f t="shared" si="175"/>
        <v>0</v>
      </c>
      <c r="AI142" s="582"/>
      <c r="AJ142" s="582"/>
      <c r="AK142" s="582"/>
      <c r="AL142" s="582"/>
      <c r="AM142" s="579"/>
      <c r="AN142" s="579"/>
      <c r="AO142" s="347"/>
      <c r="AP142" s="581">
        <f t="shared" si="164"/>
        <v>0</v>
      </c>
      <c r="AQ142" s="596"/>
      <c r="AR142" s="596"/>
      <c r="AS142" s="348"/>
      <c r="AT142" s="348"/>
      <c r="AU142" s="348"/>
      <c r="AV142" s="348"/>
      <c r="AW142" s="348"/>
      <c r="AX142" s="584">
        <f t="shared" si="165"/>
        <v>0</v>
      </c>
      <c r="AY142" s="581">
        <f t="shared" si="12"/>
        <v>0</v>
      </c>
      <c r="AZ142" s="581">
        <f t="shared" si="159"/>
        <v>0</v>
      </c>
      <c r="BA142" s="596"/>
      <c r="BB142" s="596"/>
      <c r="BC142" s="348"/>
      <c r="BD142" s="581" t="str">
        <f t="shared" si="99"/>
        <v/>
      </c>
      <c r="BE142" s="581">
        <f t="shared" si="37"/>
        <v>0</v>
      </c>
      <c r="BF142" s="347"/>
      <c r="BG142" s="347"/>
      <c r="BH142" s="347"/>
      <c r="BI142" s="347"/>
      <c r="BJ142" s="586">
        <f t="shared" si="187"/>
        <v>0</v>
      </c>
      <c r="BK142" s="581">
        <f t="shared" si="15"/>
        <v>0</v>
      </c>
      <c r="BL142" s="347"/>
      <c r="BM142" s="347"/>
      <c r="BN142" s="347"/>
      <c r="BO142" s="586">
        <f t="shared" si="189"/>
        <v>0</v>
      </c>
      <c r="BP142" s="584">
        <f t="shared" si="17"/>
        <v>0</v>
      </c>
      <c r="BQ142" s="347"/>
      <c r="BR142" s="581">
        <f t="shared" si="153"/>
        <v>0</v>
      </c>
      <c r="BS142" s="588">
        <f t="shared" si="180"/>
        <v>0</v>
      </c>
      <c r="BT142" s="581">
        <f t="shared" si="20"/>
        <v>0</v>
      </c>
      <c r="BU142" s="589"/>
      <c r="BV142" s="581">
        <f t="shared" si="44"/>
        <v>0</v>
      </c>
      <c r="BW142" s="590"/>
      <c r="BX142" s="347"/>
      <c r="BY142" s="347"/>
      <c r="BZ142" s="347"/>
      <c r="CA142" s="586">
        <f t="shared" si="129"/>
        <v>0</v>
      </c>
      <c r="CB142" s="581">
        <f t="shared" si="160"/>
        <v>0</v>
      </c>
      <c r="CC142" s="581">
        <f t="shared" si="131"/>
        <v>0</v>
      </c>
      <c r="CD142" s="581">
        <f t="shared" si="132"/>
        <v>0</v>
      </c>
      <c r="CE142" s="581">
        <f t="shared" si="133"/>
        <v>0</v>
      </c>
      <c r="CF142" s="581">
        <f t="shared" si="134"/>
        <v>0</v>
      </c>
      <c r="CG142" s="581">
        <f t="shared" si="135"/>
        <v>0</v>
      </c>
      <c r="CH142" s="608" t="str">
        <f t="shared" si="136"/>
        <v>#DIV/0!</v>
      </c>
      <c r="CI142" s="603" t="str">
        <f t="shared" si="137"/>
        <v>#DIV/0!</v>
      </c>
      <c r="CJ142" s="347"/>
      <c r="CK142" s="347">
        <f t="shared" si="138"/>
        <v>0</v>
      </c>
      <c r="CL142" s="539">
        <f t="shared" si="139"/>
        <v>0</v>
      </c>
      <c r="CM142" s="347">
        <f t="shared" si="140"/>
        <v>0</v>
      </c>
      <c r="CN142" s="347">
        <f t="shared" si="141"/>
        <v>0</v>
      </c>
      <c r="CO142" s="347" t="str">
        <f t="shared" si="142"/>
        <v/>
      </c>
      <c r="CP142" s="347"/>
    </row>
    <row r="143">
      <c r="A143" s="574">
        <f t="shared" si="147"/>
        <v>200131</v>
      </c>
      <c r="B143" s="574" t="str">
        <f t="shared" si="1"/>
        <v>Batch 200131</v>
      </c>
      <c r="C143" s="347"/>
      <c r="D143" s="574" t="str">
        <f t="shared" si="190"/>
        <v>2-31</v>
      </c>
      <c r="E143" s="347"/>
      <c r="F143" s="596"/>
      <c r="G143" s="596"/>
      <c r="H143" s="347"/>
      <c r="I143" s="347"/>
      <c r="J143" s="583" t="str">
        <f t="shared" si="82"/>
        <v/>
      </c>
      <c r="K143" s="345" t="str">
        <f t="shared" si="177"/>
        <v/>
      </c>
      <c r="L143" s="345" t="str">
        <f t="shared" si="184"/>
        <v/>
      </c>
      <c r="M143" s="345" t="str">
        <f t="shared" si="185"/>
        <v/>
      </c>
      <c r="N143" s="345" t="str">
        <f t="shared" si="186"/>
        <v/>
      </c>
      <c r="O143" s="579">
        <f t="shared" si="2"/>
        <v>0</v>
      </c>
      <c r="P143" s="579">
        <f t="shared" si="126"/>
        <v>0</v>
      </c>
      <c r="Q143" s="574"/>
      <c r="R143" s="347"/>
      <c r="S143" s="597"/>
      <c r="T143" s="347"/>
      <c r="U143" s="579">
        <f t="shared" si="48"/>
        <v>0</v>
      </c>
      <c r="V143" s="579">
        <f t="shared" si="49"/>
        <v>0</v>
      </c>
      <c r="W143" s="574" t="str">
        <f t="shared" si="179"/>
        <v/>
      </c>
      <c r="X143" s="347" t="str">
        <f t="shared" si="170"/>
        <v/>
      </c>
      <c r="Y143" s="347" t="str">
        <f t="shared" si="188"/>
        <v/>
      </c>
      <c r="Z143" s="347" t="str">
        <f t="shared" si="171"/>
        <v/>
      </c>
      <c r="AA143" s="579">
        <f t="shared" si="6"/>
        <v>0</v>
      </c>
      <c r="AB143" s="581">
        <f t="shared" si="105"/>
        <v>0</v>
      </c>
      <c r="AC143" s="347" t="str">
        <f t="shared" si="183"/>
        <v/>
      </c>
      <c r="AD143" s="347" t="str">
        <f t="shared" si="176"/>
        <v/>
      </c>
      <c r="AE143" s="347" t="str">
        <f t="shared" si="173"/>
        <v/>
      </c>
      <c r="AF143" s="347" t="str">
        <f t="shared" si="174"/>
        <v/>
      </c>
      <c r="AG143" s="579">
        <f t="shared" si="54"/>
        <v>0</v>
      </c>
      <c r="AH143" s="579">
        <f t="shared" si="175"/>
        <v>0</v>
      </c>
      <c r="AI143" s="582"/>
      <c r="AJ143" s="582"/>
      <c r="AK143" s="582"/>
      <c r="AL143" s="582"/>
      <c r="AM143" s="579"/>
      <c r="AN143" s="579"/>
      <c r="AO143" s="347"/>
      <c r="AP143" s="581">
        <f t="shared" si="164"/>
        <v>0</v>
      </c>
      <c r="AQ143" s="596"/>
      <c r="AR143" s="596"/>
      <c r="AS143" s="348"/>
      <c r="AT143" s="348"/>
      <c r="AU143" s="348"/>
      <c r="AV143" s="348"/>
      <c r="AW143" s="348"/>
      <c r="AX143" s="584">
        <f t="shared" si="165"/>
        <v>0</v>
      </c>
      <c r="AY143" s="581">
        <f t="shared" si="12"/>
        <v>0</v>
      </c>
      <c r="AZ143" s="581">
        <f t="shared" si="159"/>
        <v>0</v>
      </c>
      <c r="BA143" s="596"/>
      <c r="BB143" s="596"/>
      <c r="BC143" s="348"/>
      <c r="BD143" s="581" t="str">
        <f t="shared" si="99"/>
        <v/>
      </c>
      <c r="BE143" s="581">
        <f t="shared" si="37"/>
        <v>0</v>
      </c>
      <c r="BF143" s="347"/>
      <c r="BG143" s="347"/>
      <c r="BH143" s="347"/>
      <c r="BI143" s="347"/>
      <c r="BJ143" s="586">
        <f t="shared" si="187"/>
        <v>0</v>
      </c>
      <c r="BK143" s="581">
        <f t="shared" si="15"/>
        <v>0</v>
      </c>
      <c r="BL143" s="347"/>
      <c r="BM143" s="347"/>
      <c r="BN143" s="347"/>
      <c r="BO143" s="586">
        <f t="shared" si="189"/>
        <v>0</v>
      </c>
      <c r="BP143" s="584">
        <f t="shared" si="17"/>
        <v>0</v>
      </c>
      <c r="BQ143" s="347"/>
      <c r="BR143" s="581">
        <f t="shared" si="153"/>
        <v>0</v>
      </c>
      <c r="BS143" s="588">
        <f t="shared" si="180"/>
        <v>0</v>
      </c>
      <c r="BT143" s="581">
        <f t="shared" si="20"/>
        <v>0</v>
      </c>
      <c r="BU143" s="589"/>
      <c r="BV143" s="581">
        <f t="shared" si="44"/>
        <v>0</v>
      </c>
      <c r="BW143" s="590"/>
      <c r="BX143" s="347"/>
      <c r="BY143" s="347"/>
      <c r="BZ143" s="347"/>
      <c r="CA143" s="586">
        <f t="shared" si="129"/>
        <v>0</v>
      </c>
      <c r="CB143" s="581">
        <f t="shared" si="160"/>
        <v>0</v>
      </c>
      <c r="CC143" s="581">
        <f t="shared" si="131"/>
        <v>0</v>
      </c>
      <c r="CD143" s="581">
        <f t="shared" si="132"/>
        <v>0</v>
      </c>
      <c r="CE143" s="581">
        <f t="shared" si="133"/>
        <v>0</v>
      </c>
      <c r="CF143" s="581">
        <f t="shared" si="134"/>
        <v>0</v>
      </c>
      <c r="CG143" s="581">
        <f t="shared" si="135"/>
        <v>0</v>
      </c>
      <c r="CH143" s="608" t="str">
        <f t="shared" si="136"/>
        <v>#DIV/0!</v>
      </c>
      <c r="CI143" s="603" t="str">
        <f t="shared" si="137"/>
        <v>#DIV/0!</v>
      </c>
      <c r="CJ143" s="347"/>
      <c r="CK143" s="347">
        <f t="shared" si="138"/>
        <v>0</v>
      </c>
      <c r="CL143" s="539">
        <f t="shared" si="139"/>
        <v>0</v>
      </c>
      <c r="CM143" s="347">
        <f t="shared" si="140"/>
        <v>0</v>
      </c>
      <c r="CN143" s="347">
        <f t="shared" si="141"/>
        <v>0</v>
      </c>
      <c r="CO143" s="347" t="str">
        <f t="shared" si="142"/>
        <v/>
      </c>
      <c r="CP143" s="347"/>
    </row>
    <row r="144">
      <c r="A144" s="574">
        <f t="shared" si="147"/>
        <v>300064</v>
      </c>
      <c r="B144" s="574" t="str">
        <f t="shared" si="1"/>
        <v>Batch 300064</v>
      </c>
      <c r="C144" s="347"/>
      <c r="D144" s="574" t="str">
        <f t="shared" si="190"/>
        <v>3-64</v>
      </c>
      <c r="E144" s="347"/>
      <c r="F144" s="596"/>
      <c r="G144" s="596"/>
      <c r="H144" s="347"/>
      <c r="I144" s="347"/>
      <c r="J144" s="583" t="str">
        <f t="shared" si="82"/>
        <v/>
      </c>
      <c r="K144" s="345" t="str">
        <f t="shared" si="177"/>
        <v/>
      </c>
      <c r="L144" s="345" t="str">
        <f t="shared" si="184"/>
        <v/>
      </c>
      <c r="M144" s="345" t="str">
        <f t="shared" si="185"/>
        <v/>
      </c>
      <c r="N144" s="345" t="str">
        <f t="shared" si="186"/>
        <v/>
      </c>
      <c r="O144" s="579">
        <f t="shared" si="2"/>
        <v>0</v>
      </c>
      <c r="P144" s="579">
        <f t="shared" si="126"/>
        <v>0</v>
      </c>
      <c r="Q144" s="574"/>
      <c r="R144" s="347"/>
      <c r="S144" s="597"/>
      <c r="T144" s="347"/>
      <c r="U144" s="579">
        <f t="shared" si="48"/>
        <v>0</v>
      </c>
      <c r="V144" s="579">
        <f t="shared" si="49"/>
        <v>0</v>
      </c>
      <c r="W144" s="574" t="str">
        <f t="shared" si="179"/>
        <v/>
      </c>
      <c r="X144" s="347" t="str">
        <f t="shared" si="170"/>
        <v/>
      </c>
      <c r="Y144" s="347" t="str">
        <f t="shared" si="188"/>
        <v/>
      </c>
      <c r="Z144" s="347" t="str">
        <f t="shared" si="171"/>
        <v/>
      </c>
      <c r="AA144" s="579">
        <f t="shared" si="6"/>
        <v>0</v>
      </c>
      <c r="AB144" s="581">
        <f t="shared" si="105"/>
        <v>0</v>
      </c>
      <c r="AC144" s="347" t="str">
        <f t="shared" si="183"/>
        <v/>
      </c>
      <c r="AD144" s="347" t="str">
        <f t="shared" si="176"/>
        <v/>
      </c>
      <c r="AE144" s="347" t="str">
        <f t="shared" si="173"/>
        <v/>
      </c>
      <c r="AF144" s="347" t="str">
        <f t="shared" si="174"/>
        <v/>
      </c>
      <c r="AG144" s="579">
        <f t="shared" si="54"/>
        <v>0</v>
      </c>
      <c r="AH144" s="579">
        <f t="shared" si="175"/>
        <v>0</v>
      </c>
      <c r="AI144" s="582"/>
      <c r="AJ144" s="582"/>
      <c r="AK144" s="582"/>
      <c r="AL144" s="582"/>
      <c r="AM144" s="579"/>
      <c r="AN144" s="579"/>
      <c r="AO144" s="347"/>
      <c r="AP144" s="581">
        <f t="shared" si="164"/>
        <v>0</v>
      </c>
      <c r="AQ144" s="596"/>
      <c r="AR144" s="596"/>
      <c r="AS144" s="348"/>
      <c r="AT144" s="348"/>
      <c r="AU144" s="348"/>
      <c r="AV144" s="348"/>
      <c r="AW144" s="348"/>
      <c r="AX144" s="584">
        <f t="shared" si="165"/>
        <v>0</v>
      </c>
      <c r="AY144" s="581">
        <f t="shared" si="12"/>
        <v>0</v>
      </c>
      <c r="AZ144" s="581">
        <f t="shared" si="159"/>
        <v>0</v>
      </c>
      <c r="BA144" s="596"/>
      <c r="BB144" s="596"/>
      <c r="BC144" s="348"/>
      <c r="BD144" s="581" t="str">
        <f t="shared" si="99"/>
        <v/>
      </c>
      <c r="BE144" s="581">
        <f t="shared" si="37"/>
        <v>0</v>
      </c>
      <c r="BF144" s="347"/>
      <c r="BG144" s="347"/>
      <c r="BH144" s="347"/>
      <c r="BI144" s="347"/>
      <c r="BJ144" s="586">
        <f t="shared" si="187"/>
        <v>0</v>
      </c>
      <c r="BK144" s="581">
        <f t="shared" si="15"/>
        <v>0</v>
      </c>
      <c r="BL144" s="347"/>
      <c r="BM144" s="347"/>
      <c r="BN144" s="347"/>
      <c r="BO144" s="586">
        <f t="shared" si="189"/>
        <v>0</v>
      </c>
      <c r="BP144" s="584">
        <f t="shared" si="17"/>
        <v>0</v>
      </c>
      <c r="BQ144" s="347"/>
      <c r="BR144" s="581">
        <f t="shared" si="153"/>
        <v>0</v>
      </c>
      <c r="BS144" s="588">
        <f t="shared" si="180"/>
        <v>0</v>
      </c>
      <c r="BT144" s="581">
        <f t="shared" si="20"/>
        <v>0</v>
      </c>
      <c r="BU144" s="589"/>
      <c r="BV144" s="581">
        <f t="shared" si="44"/>
        <v>0</v>
      </c>
      <c r="BW144" s="590"/>
      <c r="BX144" s="347"/>
      <c r="BY144" s="347"/>
      <c r="BZ144" s="347"/>
      <c r="CA144" s="586">
        <f t="shared" si="129"/>
        <v>0</v>
      </c>
      <c r="CB144" s="581">
        <f t="shared" si="160"/>
        <v>0</v>
      </c>
      <c r="CC144" s="581">
        <f t="shared" si="131"/>
        <v>0</v>
      </c>
      <c r="CD144" s="581">
        <f t="shared" si="132"/>
        <v>0</v>
      </c>
      <c r="CE144" s="581">
        <f t="shared" si="133"/>
        <v>0</v>
      </c>
      <c r="CF144" s="581">
        <f t="shared" si="134"/>
        <v>0</v>
      </c>
      <c r="CG144" s="581">
        <f t="shared" si="135"/>
        <v>0</v>
      </c>
      <c r="CH144" s="608" t="str">
        <f t="shared" si="136"/>
        <v>#DIV/0!</v>
      </c>
      <c r="CI144" s="603" t="str">
        <f t="shared" si="137"/>
        <v>#DIV/0!</v>
      </c>
      <c r="CJ144" s="347"/>
      <c r="CK144" s="347">
        <f t="shared" si="138"/>
        <v>0</v>
      </c>
      <c r="CL144" s="539">
        <f t="shared" si="139"/>
        <v>0</v>
      </c>
      <c r="CM144" s="347">
        <f t="shared" si="140"/>
        <v>0</v>
      </c>
      <c r="CN144" s="347">
        <f t="shared" si="141"/>
        <v>0</v>
      </c>
      <c r="CO144" s="347" t="str">
        <f t="shared" si="142"/>
        <v/>
      </c>
      <c r="CP144" s="347"/>
    </row>
    <row r="145">
      <c r="A145" s="574">
        <f t="shared" si="147"/>
        <v>200132</v>
      </c>
      <c r="B145" s="574" t="str">
        <f t="shared" si="1"/>
        <v>Batch 200132</v>
      </c>
      <c r="C145" s="347"/>
      <c r="D145" s="574" t="str">
        <f t="shared" si="190"/>
        <v>2-32</v>
      </c>
      <c r="E145" s="347"/>
      <c r="F145" s="596"/>
      <c r="G145" s="596"/>
      <c r="H145" s="347"/>
      <c r="I145" s="347"/>
      <c r="J145" s="583" t="str">
        <f t="shared" si="82"/>
        <v/>
      </c>
      <c r="K145" s="609"/>
      <c r="L145" s="1"/>
      <c r="M145" s="347"/>
      <c r="N145" s="347"/>
      <c r="O145" s="579">
        <f t="shared" si="2"/>
        <v>0</v>
      </c>
      <c r="P145" s="579">
        <f t="shared" si="126"/>
        <v>0</v>
      </c>
      <c r="Q145" s="574"/>
      <c r="R145" s="347"/>
      <c r="S145" s="597"/>
      <c r="T145" s="347"/>
      <c r="U145" s="579">
        <f t="shared" si="48"/>
        <v>0</v>
      </c>
      <c r="V145" s="579">
        <f t="shared" si="49"/>
        <v>0</v>
      </c>
      <c r="W145" s="574" t="str">
        <f t="shared" si="179"/>
        <v/>
      </c>
      <c r="X145" s="347" t="str">
        <f t="shared" si="170"/>
        <v/>
      </c>
      <c r="Y145" s="347" t="str">
        <f t="shared" si="188"/>
        <v/>
      </c>
      <c r="Z145" s="347" t="str">
        <f t="shared" si="171"/>
        <v/>
      </c>
      <c r="AA145" s="579">
        <f t="shared" si="6"/>
        <v>0</v>
      </c>
      <c r="AB145" s="581">
        <f t="shared" si="105"/>
        <v>0</v>
      </c>
      <c r="AC145" s="347" t="str">
        <f t="shared" si="183"/>
        <v/>
      </c>
      <c r="AD145" s="347" t="str">
        <f t="shared" si="176"/>
        <v/>
      </c>
      <c r="AE145" s="347" t="str">
        <f t="shared" si="173"/>
        <v/>
      </c>
      <c r="AF145" s="347" t="str">
        <f t="shared" si="174"/>
        <v/>
      </c>
      <c r="AG145" s="579">
        <f t="shared" si="54"/>
        <v>0</v>
      </c>
      <c r="AH145" s="579">
        <f t="shared" si="175"/>
        <v>0</v>
      </c>
      <c r="AI145" s="582"/>
      <c r="AJ145" s="582"/>
      <c r="AK145" s="582"/>
      <c r="AL145" s="582"/>
      <c r="AM145" s="579"/>
      <c r="AN145" s="579"/>
      <c r="AO145" s="347"/>
      <c r="AP145" s="581">
        <f t="shared" si="164"/>
        <v>0</v>
      </c>
      <c r="AQ145" s="596"/>
      <c r="AR145" s="596"/>
      <c r="AS145" s="348"/>
      <c r="AT145" s="348"/>
      <c r="AU145" s="348"/>
      <c r="AV145" s="348"/>
      <c r="AW145" s="348"/>
      <c r="AX145" s="584">
        <f t="shared" si="165"/>
        <v>0</v>
      </c>
      <c r="AY145" s="581">
        <f t="shared" si="12"/>
        <v>0</v>
      </c>
      <c r="AZ145" s="581">
        <f t="shared" si="159"/>
        <v>0</v>
      </c>
      <c r="BA145" s="596"/>
      <c r="BB145" s="596"/>
      <c r="BC145" s="348"/>
      <c r="BD145" s="581" t="str">
        <f t="shared" si="99"/>
        <v/>
      </c>
      <c r="BE145" s="581">
        <f t="shared" si="37"/>
        <v>0</v>
      </c>
      <c r="BF145" s="347"/>
      <c r="BG145" s="347"/>
      <c r="BH145" s="347"/>
      <c r="BI145" s="347"/>
      <c r="BJ145" s="586">
        <f t="shared" si="187"/>
        <v>0</v>
      </c>
      <c r="BK145" s="581">
        <f t="shared" si="15"/>
        <v>0</v>
      </c>
      <c r="BL145" s="347"/>
      <c r="BM145" s="347"/>
      <c r="BN145" s="347"/>
      <c r="BO145" s="586">
        <f t="shared" si="189"/>
        <v>0</v>
      </c>
      <c r="BP145" s="584">
        <f t="shared" si="17"/>
        <v>0</v>
      </c>
      <c r="BQ145" s="347"/>
      <c r="BR145" s="581">
        <f t="shared" si="153"/>
        <v>0</v>
      </c>
      <c r="BS145" s="588">
        <f t="shared" si="180"/>
        <v>0</v>
      </c>
      <c r="BT145" s="581">
        <f t="shared" si="20"/>
        <v>0</v>
      </c>
      <c r="BU145" s="589"/>
      <c r="BV145" s="581">
        <f t="shared" si="44"/>
        <v>0</v>
      </c>
      <c r="BW145" s="590"/>
      <c r="BX145" s="347"/>
      <c r="BY145" s="347"/>
      <c r="BZ145" s="347"/>
      <c r="CA145" s="586">
        <f t="shared" si="129"/>
        <v>0</v>
      </c>
      <c r="CB145" s="581">
        <f t="shared" si="160"/>
        <v>0</v>
      </c>
      <c r="CC145" s="581">
        <f t="shared" si="131"/>
        <v>0</v>
      </c>
      <c r="CD145" s="581">
        <f t="shared" si="132"/>
        <v>0</v>
      </c>
      <c r="CE145" s="581">
        <f t="shared" si="133"/>
        <v>0</v>
      </c>
      <c r="CF145" s="581">
        <f t="shared" si="134"/>
        <v>0</v>
      </c>
      <c r="CG145" s="581">
        <f t="shared" si="135"/>
        <v>0</v>
      </c>
      <c r="CH145" s="608" t="str">
        <f t="shared" si="136"/>
        <v>#DIV/0!</v>
      </c>
      <c r="CI145" s="603" t="str">
        <f t="shared" si="137"/>
        <v>#DIV/0!</v>
      </c>
      <c r="CJ145" s="347"/>
      <c r="CK145" s="347">
        <f t="shared" si="138"/>
        <v>0</v>
      </c>
      <c r="CL145" s="539">
        <f t="shared" si="139"/>
        <v>0</v>
      </c>
      <c r="CM145" s="347">
        <f t="shared" si="140"/>
        <v>0</v>
      </c>
      <c r="CN145" s="347">
        <f t="shared" si="141"/>
        <v>0</v>
      </c>
      <c r="CO145" s="347" t="str">
        <f t="shared" si="142"/>
        <v/>
      </c>
      <c r="CP145" s="347"/>
    </row>
    <row r="146">
      <c r="A146" s="574">
        <f t="shared" si="147"/>
        <v>300065</v>
      </c>
      <c r="B146" s="574" t="str">
        <f t="shared" si="1"/>
        <v>Batch 300065</v>
      </c>
      <c r="C146" s="347"/>
      <c r="D146" s="574" t="str">
        <f t="shared" si="190"/>
        <v>3-65</v>
      </c>
      <c r="E146" s="347"/>
      <c r="F146" s="596"/>
      <c r="G146" s="596"/>
      <c r="H146" s="347"/>
      <c r="I146" s="347"/>
      <c r="J146" s="583" t="str">
        <f t="shared" si="82"/>
        <v/>
      </c>
      <c r="K146" s="609"/>
      <c r="L146" s="1"/>
      <c r="M146" s="347"/>
      <c r="N146" s="347"/>
      <c r="O146" s="579">
        <f t="shared" si="2"/>
        <v>0</v>
      </c>
      <c r="P146" s="579">
        <f t="shared" si="126"/>
        <v>0</v>
      </c>
      <c r="Q146" s="574"/>
      <c r="R146" s="347"/>
      <c r="S146" s="597"/>
      <c r="T146" s="347"/>
      <c r="U146" s="579">
        <f t="shared" si="48"/>
        <v>0</v>
      </c>
      <c r="V146" s="579">
        <f t="shared" si="49"/>
        <v>0</v>
      </c>
      <c r="W146" s="574" t="str">
        <f t="shared" si="179"/>
        <v/>
      </c>
      <c r="X146" s="347" t="str">
        <f t="shared" si="170"/>
        <v/>
      </c>
      <c r="Y146" s="347" t="str">
        <f t="shared" si="188"/>
        <v/>
      </c>
      <c r="Z146" s="347" t="str">
        <f t="shared" si="171"/>
        <v/>
      </c>
      <c r="AA146" s="579">
        <f t="shared" si="6"/>
        <v>0</v>
      </c>
      <c r="AB146" s="581">
        <f t="shared" si="105"/>
        <v>0</v>
      </c>
      <c r="AC146" s="347" t="str">
        <f t="shared" si="183"/>
        <v/>
      </c>
      <c r="AD146" s="347" t="str">
        <f t="shared" si="176"/>
        <v/>
      </c>
      <c r="AE146" s="347" t="str">
        <f t="shared" si="173"/>
        <v/>
      </c>
      <c r="AF146" s="347" t="str">
        <f t="shared" si="174"/>
        <v/>
      </c>
      <c r="AG146" s="579">
        <f t="shared" si="54"/>
        <v>0</v>
      </c>
      <c r="AH146" s="579">
        <f t="shared" si="175"/>
        <v>0</v>
      </c>
      <c r="AI146" s="582"/>
      <c r="AJ146" s="582"/>
      <c r="AK146" s="582"/>
      <c r="AL146" s="582"/>
      <c r="AM146" s="579"/>
      <c r="AN146" s="579"/>
      <c r="AO146" s="347"/>
      <c r="AP146" s="581">
        <f t="shared" si="164"/>
        <v>0</v>
      </c>
      <c r="AQ146" s="596"/>
      <c r="AR146" s="596"/>
      <c r="AS146" s="348"/>
      <c r="AT146" s="348"/>
      <c r="AU146" s="348"/>
      <c r="AV146" s="348"/>
      <c r="AW146" s="348"/>
      <c r="AX146" s="584">
        <f t="shared" si="165"/>
        <v>0</v>
      </c>
      <c r="AY146" s="581">
        <f t="shared" si="12"/>
        <v>0</v>
      </c>
      <c r="AZ146" s="581">
        <f t="shared" si="159"/>
        <v>0</v>
      </c>
      <c r="BA146" s="596"/>
      <c r="BB146" s="596"/>
      <c r="BC146" s="348"/>
      <c r="BD146" s="581" t="str">
        <f t="shared" si="99"/>
        <v/>
      </c>
      <c r="BE146" s="581">
        <f t="shared" si="37"/>
        <v>0</v>
      </c>
      <c r="BF146" s="347"/>
      <c r="BG146" s="347"/>
      <c r="BH146" s="347"/>
      <c r="BI146" s="347"/>
      <c r="BJ146" s="586">
        <f t="shared" si="187"/>
        <v>0</v>
      </c>
      <c r="BK146" s="581">
        <f t="shared" si="15"/>
        <v>0</v>
      </c>
      <c r="BL146" s="347"/>
      <c r="BM146" s="347"/>
      <c r="BN146" s="347"/>
      <c r="BO146" s="586">
        <f t="shared" si="189"/>
        <v>0</v>
      </c>
      <c r="BP146" s="584">
        <f t="shared" si="17"/>
        <v>0</v>
      </c>
      <c r="BQ146" s="347"/>
      <c r="BR146" s="581">
        <f t="shared" si="153"/>
        <v>0</v>
      </c>
      <c r="BS146" s="588">
        <f t="shared" si="180"/>
        <v>0</v>
      </c>
      <c r="BT146" s="581">
        <f t="shared" si="20"/>
        <v>0</v>
      </c>
      <c r="BU146" s="589"/>
      <c r="BV146" s="581">
        <f t="shared" si="44"/>
        <v>0</v>
      </c>
      <c r="BW146" s="590"/>
      <c r="BX146" s="347"/>
      <c r="BY146" s="347"/>
      <c r="BZ146" s="347"/>
      <c r="CA146" s="586">
        <f t="shared" si="129"/>
        <v>0</v>
      </c>
      <c r="CB146" s="581">
        <f t="shared" si="160"/>
        <v>0</v>
      </c>
      <c r="CC146" s="581">
        <f t="shared" si="131"/>
        <v>0</v>
      </c>
      <c r="CD146" s="581">
        <f t="shared" si="132"/>
        <v>0</v>
      </c>
      <c r="CE146" s="581">
        <f t="shared" si="133"/>
        <v>0</v>
      </c>
      <c r="CF146" s="581">
        <f t="shared" si="134"/>
        <v>0</v>
      </c>
      <c r="CG146" s="581">
        <f t="shared" si="135"/>
        <v>0</v>
      </c>
      <c r="CH146" s="608" t="str">
        <f t="shared" si="136"/>
        <v>#DIV/0!</v>
      </c>
      <c r="CI146" s="603" t="str">
        <f t="shared" si="137"/>
        <v>#DIV/0!</v>
      </c>
      <c r="CJ146" s="347"/>
      <c r="CK146" s="347">
        <f t="shared" si="138"/>
        <v>0</v>
      </c>
      <c r="CL146" s="539">
        <f t="shared" si="139"/>
        <v>0</v>
      </c>
      <c r="CM146" s="347">
        <f t="shared" si="140"/>
        <v>0</v>
      </c>
      <c r="CN146" s="347">
        <f t="shared" si="141"/>
        <v>0</v>
      </c>
      <c r="CO146" s="347" t="str">
        <f t="shared" si="142"/>
        <v/>
      </c>
      <c r="CP146" s="347"/>
    </row>
    <row r="147">
      <c r="A147" s="574">
        <f t="shared" si="147"/>
        <v>200133</v>
      </c>
      <c r="B147" s="574" t="str">
        <f t="shared" si="1"/>
        <v>Batch 200133</v>
      </c>
      <c r="C147" s="347"/>
      <c r="D147" s="574" t="str">
        <f t="shared" si="190"/>
        <v>2-33</v>
      </c>
      <c r="E147" s="347"/>
      <c r="F147" s="596"/>
      <c r="G147" s="596"/>
      <c r="H147" s="347"/>
      <c r="I147" s="347"/>
      <c r="J147" s="583" t="str">
        <f t="shared" si="82"/>
        <v/>
      </c>
      <c r="K147" s="609"/>
      <c r="L147" s="1"/>
      <c r="M147" s="347"/>
      <c r="N147" s="347"/>
      <c r="O147" s="579">
        <f t="shared" si="2"/>
        <v>0</v>
      </c>
      <c r="P147" s="579">
        <f t="shared" si="126"/>
        <v>0</v>
      </c>
      <c r="Q147" s="574"/>
      <c r="R147" s="347"/>
      <c r="S147" s="597"/>
      <c r="T147" s="347"/>
      <c r="U147" s="579">
        <f t="shared" si="48"/>
        <v>0</v>
      </c>
      <c r="V147" s="579">
        <f t="shared" si="49"/>
        <v>0</v>
      </c>
      <c r="W147" s="574" t="str">
        <f t="shared" si="179"/>
        <v/>
      </c>
      <c r="X147" s="347" t="str">
        <f t="shared" si="170"/>
        <v/>
      </c>
      <c r="Y147" s="347" t="str">
        <f t="shared" si="188"/>
        <v/>
      </c>
      <c r="Z147" s="347" t="str">
        <f t="shared" si="171"/>
        <v/>
      </c>
      <c r="AA147" s="579">
        <f t="shared" si="6"/>
        <v>0</v>
      </c>
      <c r="AB147" s="581">
        <f t="shared" si="105"/>
        <v>0</v>
      </c>
      <c r="AC147" s="347" t="str">
        <f t="shared" si="183"/>
        <v/>
      </c>
      <c r="AD147" s="347" t="str">
        <f t="shared" si="176"/>
        <v/>
      </c>
      <c r="AE147" s="347" t="str">
        <f t="shared" si="173"/>
        <v/>
      </c>
      <c r="AF147" s="347" t="str">
        <f t="shared" si="174"/>
        <v/>
      </c>
      <c r="AG147" s="579">
        <f t="shared" si="54"/>
        <v>0</v>
      </c>
      <c r="AH147" s="579">
        <f t="shared" si="175"/>
        <v>0</v>
      </c>
      <c r="AI147" s="582"/>
      <c r="AJ147" s="582"/>
      <c r="AK147" s="582"/>
      <c r="AL147" s="582"/>
      <c r="AM147" s="579"/>
      <c r="AN147" s="579"/>
      <c r="AO147" s="347"/>
      <c r="AP147" s="581">
        <f t="shared" si="164"/>
        <v>0</v>
      </c>
      <c r="AQ147" s="596"/>
      <c r="AR147" s="596"/>
      <c r="AS147" s="348"/>
      <c r="AT147" s="348"/>
      <c r="AU147" s="348"/>
      <c r="AV147" s="348"/>
      <c r="AW147" s="348"/>
      <c r="AX147" s="584">
        <f t="shared" si="165"/>
        <v>0</v>
      </c>
      <c r="AY147" s="581">
        <f t="shared" si="12"/>
        <v>0</v>
      </c>
      <c r="AZ147" s="581">
        <f t="shared" si="159"/>
        <v>0</v>
      </c>
      <c r="BA147" s="596"/>
      <c r="BB147" s="596"/>
      <c r="BC147" s="348"/>
      <c r="BD147" s="581" t="str">
        <f t="shared" si="99"/>
        <v/>
      </c>
      <c r="BE147" s="581">
        <f t="shared" si="37"/>
        <v>0</v>
      </c>
      <c r="BF147" s="347"/>
      <c r="BG147" s="347"/>
      <c r="BH147" s="347"/>
      <c r="BI147" s="347"/>
      <c r="BJ147" s="586">
        <f t="shared" si="187"/>
        <v>0</v>
      </c>
      <c r="BK147" s="581">
        <f t="shared" si="15"/>
        <v>0</v>
      </c>
      <c r="BL147" s="347"/>
      <c r="BM147" s="347"/>
      <c r="BN147" s="347"/>
      <c r="BO147" s="586">
        <f t="shared" si="189"/>
        <v>0</v>
      </c>
      <c r="BP147" s="584">
        <f t="shared" si="17"/>
        <v>0</v>
      </c>
      <c r="BQ147" s="347"/>
      <c r="BR147" s="581">
        <f t="shared" si="153"/>
        <v>0</v>
      </c>
      <c r="BS147" s="588">
        <f t="shared" si="180"/>
        <v>0</v>
      </c>
      <c r="BT147" s="581">
        <f t="shared" si="20"/>
        <v>0</v>
      </c>
      <c r="BU147" s="589"/>
      <c r="BV147" s="581">
        <f t="shared" si="44"/>
        <v>0</v>
      </c>
      <c r="BW147" s="590"/>
      <c r="BX147" s="347"/>
      <c r="BY147" s="347"/>
      <c r="BZ147" s="347"/>
      <c r="CA147" s="586">
        <f t="shared" si="129"/>
        <v>0</v>
      </c>
      <c r="CB147" s="581">
        <f t="shared" si="160"/>
        <v>0</v>
      </c>
      <c r="CC147" s="581">
        <f t="shared" si="131"/>
        <v>0</v>
      </c>
      <c r="CD147" s="581">
        <f t="shared" si="132"/>
        <v>0</v>
      </c>
      <c r="CE147" s="581">
        <f t="shared" si="133"/>
        <v>0</v>
      </c>
      <c r="CF147" s="581">
        <f t="shared" si="134"/>
        <v>0</v>
      </c>
      <c r="CG147" s="581">
        <f t="shared" si="135"/>
        <v>0</v>
      </c>
      <c r="CH147" s="608" t="str">
        <f t="shared" si="136"/>
        <v>#DIV/0!</v>
      </c>
      <c r="CI147" s="603" t="str">
        <f t="shared" si="137"/>
        <v>#DIV/0!</v>
      </c>
      <c r="CJ147" s="347"/>
      <c r="CK147" s="347">
        <f t="shared" si="138"/>
        <v>0</v>
      </c>
      <c r="CL147" s="539">
        <f t="shared" si="139"/>
        <v>0</v>
      </c>
      <c r="CM147" s="347">
        <f t="shared" si="140"/>
        <v>0</v>
      </c>
      <c r="CN147" s="347">
        <f t="shared" si="141"/>
        <v>0</v>
      </c>
      <c r="CO147" s="347" t="str">
        <f t="shared" si="142"/>
        <v/>
      </c>
      <c r="CP147" s="347"/>
    </row>
    <row r="148">
      <c r="A148" s="574">
        <f t="shared" si="147"/>
        <v>300066</v>
      </c>
      <c r="B148" s="574" t="str">
        <f t="shared" si="1"/>
        <v>Batch 300066</v>
      </c>
      <c r="C148" s="347"/>
      <c r="D148" s="574" t="str">
        <f t="shared" si="190"/>
        <v>3-66</v>
      </c>
      <c r="E148" s="347"/>
      <c r="F148" s="596"/>
      <c r="G148" s="596"/>
      <c r="H148" s="347"/>
      <c r="I148" s="347"/>
      <c r="J148" s="583" t="str">
        <f t="shared" si="82"/>
        <v/>
      </c>
      <c r="K148" s="609"/>
      <c r="L148" s="1"/>
      <c r="M148" s="347"/>
      <c r="N148" s="347"/>
      <c r="O148" s="579">
        <f t="shared" si="2"/>
        <v>0</v>
      </c>
      <c r="P148" s="579">
        <f t="shared" si="126"/>
        <v>0</v>
      </c>
      <c r="Q148" s="574"/>
      <c r="R148" s="347"/>
      <c r="S148" s="597"/>
      <c r="T148" s="347"/>
      <c r="U148" s="579">
        <f t="shared" si="48"/>
        <v>0</v>
      </c>
      <c r="V148" s="579">
        <f t="shared" si="49"/>
        <v>0</v>
      </c>
      <c r="W148" s="574" t="str">
        <f t="shared" si="179"/>
        <v/>
      </c>
      <c r="X148" s="347" t="str">
        <f t="shared" si="170"/>
        <v/>
      </c>
      <c r="Y148" s="347" t="str">
        <f t="shared" si="188"/>
        <v/>
      </c>
      <c r="Z148" s="347" t="str">
        <f t="shared" si="171"/>
        <v/>
      </c>
      <c r="AA148" s="579">
        <f t="shared" si="6"/>
        <v>0</v>
      </c>
      <c r="AB148" s="581">
        <f t="shared" si="105"/>
        <v>0</v>
      </c>
      <c r="AC148" s="347" t="str">
        <f t="shared" si="183"/>
        <v/>
      </c>
      <c r="AD148" s="347" t="str">
        <f t="shared" si="176"/>
        <v/>
      </c>
      <c r="AE148" s="347" t="str">
        <f t="shared" si="173"/>
        <v/>
      </c>
      <c r="AF148" s="347" t="str">
        <f t="shared" si="174"/>
        <v/>
      </c>
      <c r="AG148" s="579">
        <f t="shared" si="54"/>
        <v>0</v>
      </c>
      <c r="AH148" s="579">
        <f t="shared" si="175"/>
        <v>0</v>
      </c>
      <c r="AI148" s="582"/>
      <c r="AJ148" s="582"/>
      <c r="AK148" s="582"/>
      <c r="AL148" s="582"/>
      <c r="AM148" s="579"/>
      <c r="AN148" s="579"/>
      <c r="AO148" s="347"/>
      <c r="AP148" s="581">
        <f t="shared" si="164"/>
        <v>0</v>
      </c>
      <c r="AQ148" s="596"/>
      <c r="AR148" s="596"/>
      <c r="AS148" s="348"/>
      <c r="AT148" s="348"/>
      <c r="AU148" s="348"/>
      <c r="AV148" s="348"/>
      <c r="AW148" s="348"/>
      <c r="AX148" s="584">
        <f t="shared" si="165"/>
        <v>0</v>
      </c>
      <c r="AY148" s="581">
        <f t="shared" si="12"/>
        <v>0</v>
      </c>
      <c r="AZ148" s="581">
        <f t="shared" si="159"/>
        <v>0</v>
      </c>
      <c r="BA148" s="596"/>
      <c r="BB148" s="596"/>
      <c r="BC148" s="348"/>
      <c r="BD148" s="581" t="str">
        <f t="shared" si="99"/>
        <v/>
      </c>
      <c r="BE148" s="581">
        <f t="shared" si="37"/>
        <v>0</v>
      </c>
      <c r="BF148" s="347"/>
      <c r="BG148" s="347"/>
      <c r="BH148" s="347"/>
      <c r="BI148" s="347"/>
      <c r="BJ148" s="586">
        <f t="shared" si="187"/>
        <v>0</v>
      </c>
      <c r="BK148" s="581">
        <f t="shared" si="15"/>
        <v>0</v>
      </c>
      <c r="BL148" s="347"/>
      <c r="BM148" s="347"/>
      <c r="BN148" s="347"/>
      <c r="BO148" s="586">
        <f t="shared" si="189"/>
        <v>0</v>
      </c>
      <c r="BP148" s="584">
        <f t="shared" si="17"/>
        <v>0</v>
      </c>
      <c r="BQ148" s="347"/>
      <c r="BR148" s="581">
        <f t="shared" si="153"/>
        <v>0</v>
      </c>
      <c r="BS148" s="588">
        <f t="shared" si="180"/>
        <v>0</v>
      </c>
      <c r="BT148" s="581">
        <f t="shared" si="20"/>
        <v>0</v>
      </c>
      <c r="BU148" s="589"/>
      <c r="BV148" s="581">
        <f t="shared" si="44"/>
        <v>0</v>
      </c>
      <c r="BW148" s="590"/>
      <c r="BX148" s="347"/>
      <c r="BY148" s="347"/>
      <c r="BZ148" s="347"/>
      <c r="CA148" s="586">
        <f t="shared" si="129"/>
        <v>0</v>
      </c>
      <c r="CB148" s="581">
        <f t="shared" si="160"/>
        <v>0</v>
      </c>
      <c r="CC148" s="581">
        <f t="shared" si="131"/>
        <v>0</v>
      </c>
      <c r="CD148" s="581">
        <f t="shared" si="132"/>
        <v>0</v>
      </c>
      <c r="CE148" s="581">
        <f t="shared" si="133"/>
        <v>0</v>
      </c>
      <c r="CF148" s="581">
        <f t="shared" si="134"/>
        <v>0</v>
      </c>
      <c r="CG148" s="581">
        <f t="shared" si="135"/>
        <v>0</v>
      </c>
      <c r="CH148" s="608" t="str">
        <f t="shared" si="136"/>
        <v>#DIV/0!</v>
      </c>
      <c r="CI148" s="603" t="str">
        <f t="shared" si="137"/>
        <v>#DIV/0!</v>
      </c>
      <c r="CJ148" s="347"/>
      <c r="CK148" s="347">
        <f t="shared" si="138"/>
        <v>0</v>
      </c>
      <c r="CL148" s="539">
        <f t="shared" si="139"/>
        <v>0</v>
      </c>
      <c r="CM148" s="347">
        <f t="shared" si="140"/>
        <v>0</v>
      </c>
      <c r="CN148" s="347">
        <f t="shared" si="141"/>
        <v>0</v>
      </c>
      <c r="CO148" s="347" t="str">
        <f t="shared" si="142"/>
        <v/>
      </c>
      <c r="CP148" s="347"/>
    </row>
    <row r="149">
      <c r="A149" s="574">
        <f t="shared" si="147"/>
        <v>200134</v>
      </c>
      <c r="B149" s="574" t="str">
        <f t="shared" si="1"/>
        <v>Batch 200134</v>
      </c>
      <c r="C149" s="347"/>
      <c r="D149" s="574" t="str">
        <f t="shared" si="190"/>
        <v>2-34</v>
      </c>
      <c r="E149" s="347"/>
      <c r="F149" s="596"/>
      <c r="G149" s="596"/>
      <c r="H149" s="347"/>
      <c r="I149" s="347"/>
      <c r="J149" s="583" t="str">
        <f t="shared" si="82"/>
        <v/>
      </c>
      <c r="K149" s="609"/>
      <c r="L149" s="1"/>
      <c r="M149" s="347"/>
      <c r="N149" s="347"/>
      <c r="O149" s="579">
        <f t="shared" si="2"/>
        <v>0</v>
      </c>
      <c r="P149" s="579">
        <f t="shared" si="126"/>
        <v>0</v>
      </c>
      <c r="Q149" s="574"/>
      <c r="R149" s="347"/>
      <c r="S149" s="597"/>
      <c r="T149" s="347"/>
      <c r="U149" s="579">
        <f t="shared" si="48"/>
        <v>0</v>
      </c>
      <c r="V149" s="579">
        <f t="shared" si="49"/>
        <v>0</v>
      </c>
      <c r="W149" s="574" t="str">
        <f t="shared" si="179"/>
        <v/>
      </c>
      <c r="X149" s="347" t="str">
        <f t="shared" si="170"/>
        <v/>
      </c>
      <c r="Y149" s="347" t="str">
        <f t="shared" si="188"/>
        <v/>
      </c>
      <c r="Z149" s="347" t="str">
        <f t="shared" si="171"/>
        <v/>
      </c>
      <c r="AA149" s="579">
        <f t="shared" si="6"/>
        <v>0</v>
      </c>
      <c r="AB149" s="581">
        <f t="shared" si="105"/>
        <v>0</v>
      </c>
      <c r="AC149" s="347" t="str">
        <f t="shared" si="183"/>
        <v/>
      </c>
      <c r="AD149" s="347" t="str">
        <f t="shared" si="176"/>
        <v/>
      </c>
      <c r="AE149" s="347" t="str">
        <f t="shared" si="173"/>
        <v/>
      </c>
      <c r="AF149" s="347" t="str">
        <f t="shared" si="174"/>
        <v/>
      </c>
      <c r="AG149" s="579">
        <f t="shared" si="54"/>
        <v>0</v>
      </c>
      <c r="AH149" s="579">
        <f t="shared" si="175"/>
        <v>0</v>
      </c>
      <c r="AI149" s="582"/>
      <c r="AJ149" s="582"/>
      <c r="AK149" s="582"/>
      <c r="AL149" s="582"/>
      <c r="AM149" s="579"/>
      <c r="AN149" s="579"/>
      <c r="AO149" s="347"/>
      <c r="AP149" s="581">
        <f t="shared" si="164"/>
        <v>0</v>
      </c>
      <c r="AQ149" s="596"/>
      <c r="AR149" s="596"/>
      <c r="AS149" s="348"/>
      <c r="AT149" s="348"/>
      <c r="AU149" s="348"/>
      <c r="AV149" s="348"/>
      <c r="AW149" s="348"/>
      <c r="AX149" s="584">
        <f t="shared" si="165"/>
        <v>0</v>
      </c>
      <c r="AY149" s="581">
        <f t="shared" si="12"/>
        <v>0</v>
      </c>
      <c r="AZ149" s="581">
        <f t="shared" si="159"/>
        <v>0</v>
      </c>
      <c r="BA149" s="596"/>
      <c r="BB149" s="596"/>
      <c r="BC149" s="348"/>
      <c r="BD149" s="581" t="str">
        <f t="shared" si="99"/>
        <v/>
      </c>
      <c r="BE149" s="581">
        <f t="shared" si="37"/>
        <v>0</v>
      </c>
      <c r="BF149" s="347"/>
      <c r="BG149" s="347"/>
      <c r="BH149" s="347"/>
      <c r="BI149" s="347"/>
      <c r="BJ149" s="586">
        <f t="shared" si="187"/>
        <v>0</v>
      </c>
      <c r="BK149" s="581">
        <f t="shared" si="15"/>
        <v>0</v>
      </c>
      <c r="BL149" s="347"/>
      <c r="BM149" s="347"/>
      <c r="BN149" s="347"/>
      <c r="BO149" s="586">
        <f t="shared" si="189"/>
        <v>0</v>
      </c>
      <c r="BP149" s="584">
        <f t="shared" si="17"/>
        <v>0</v>
      </c>
      <c r="BQ149" s="347"/>
      <c r="BR149" s="581">
        <f t="shared" si="153"/>
        <v>0</v>
      </c>
      <c r="BS149" s="588">
        <f t="shared" si="180"/>
        <v>0</v>
      </c>
      <c r="BT149" s="581">
        <f t="shared" si="20"/>
        <v>0</v>
      </c>
      <c r="BU149" s="589"/>
      <c r="BV149" s="581">
        <f t="shared" si="44"/>
        <v>0</v>
      </c>
      <c r="BW149" s="590"/>
      <c r="BX149" s="347"/>
      <c r="BY149" s="347"/>
      <c r="BZ149" s="347"/>
      <c r="CA149" s="586">
        <f t="shared" si="129"/>
        <v>0</v>
      </c>
      <c r="CB149" s="581">
        <f t="shared" si="160"/>
        <v>0</v>
      </c>
      <c r="CC149" s="581">
        <f t="shared" si="131"/>
        <v>0</v>
      </c>
      <c r="CD149" s="581">
        <f t="shared" si="132"/>
        <v>0</v>
      </c>
      <c r="CE149" s="581">
        <f t="shared" si="133"/>
        <v>0</v>
      </c>
      <c r="CF149" s="581">
        <f t="shared" si="134"/>
        <v>0</v>
      </c>
      <c r="CG149" s="581">
        <f t="shared" si="135"/>
        <v>0</v>
      </c>
      <c r="CH149" s="608" t="str">
        <f t="shared" si="136"/>
        <v>#DIV/0!</v>
      </c>
      <c r="CI149" s="603" t="str">
        <f t="shared" si="137"/>
        <v>#DIV/0!</v>
      </c>
      <c r="CJ149" s="347"/>
      <c r="CK149" s="347">
        <f t="shared" si="138"/>
        <v>0</v>
      </c>
      <c r="CL149" s="539">
        <f t="shared" si="139"/>
        <v>0</v>
      </c>
      <c r="CM149" s="347">
        <f t="shared" si="140"/>
        <v>0</v>
      </c>
      <c r="CN149" s="347">
        <f t="shared" si="141"/>
        <v>0</v>
      </c>
      <c r="CO149" s="347" t="str">
        <f t="shared" si="142"/>
        <v/>
      </c>
      <c r="CP149" s="347"/>
    </row>
    <row r="150">
      <c r="A150" s="574">
        <f t="shared" si="147"/>
        <v>300067</v>
      </c>
      <c r="B150" s="574" t="str">
        <f t="shared" si="1"/>
        <v>Batch 300067</v>
      </c>
      <c r="C150" s="347"/>
      <c r="D150" s="574" t="str">
        <f t="shared" si="190"/>
        <v>3-67</v>
      </c>
      <c r="E150" s="347"/>
      <c r="F150" s="596"/>
      <c r="G150" s="596"/>
      <c r="H150" s="347"/>
      <c r="I150" s="347"/>
      <c r="J150" s="583" t="str">
        <f t="shared" si="82"/>
        <v/>
      </c>
      <c r="K150" s="609"/>
      <c r="L150" s="1"/>
      <c r="M150" s="347"/>
      <c r="N150" s="347"/>
      <c r="O150" s="579">
        <f t="shared" si="2"/>
        <v>0</v>
      </c>
      <c r="P150" s="579">
        <f t="shared" si="126"/>
        <v>0</v>
      </c>
      <c r="Q150" s="574"/>
      <c r="R150" s="347"/>
      <c r="S150" s="597"/>
      <c r="T150" s="347"/>
      <c r="U150" s="579">
        <f t="shared" si="48"/>
        <v>0</v>
      </c>
      <c r="V150" s="579">
        <f t="shared" si="49"/>
        <v>0</v>
      </c>
      <c r="W150" s="574" t="str">
        <f t="shared" si="179"/>
        <v/>
      </c>
      <c r="X150" s="347" t="str">
        <f t="shared" si="170"/>
        <v/>
      </c>
      <c r="Y150" s="347" t="str">
        <f t="shared" si="188"/>
        <v/>
      </c>
      <c r="Z150" s="347" t="str">
        <f t="shared" si="171"/>
        <v/>
      </c>
      <c r="AA150" s="579">
        <f t="shared" si="6"/>
        <v>0</v>
      </c>
      <c r="AB150" s="581">
        <f t="shared" si="105"/>
        <v>0</v>
      </c>
      <c r="AC150" s="347" t="str">
        <f t="shared" si="183"/>
        <v/>
      </c>
      <c r="AD150" s="347" t="str">
        <f t="shared" si="176"/>
        <v/>
      </c>
      <c r="AE150" s="347" t="str">
        <f t="shared" si="173"/>
        <v/>
      </c>
      <c r="AF150" s="347" t="str">
        <f t="shared" si="174"/>
        <v/>
      </c>
      <c r="AG150" s="579">
        <f t="shared" si="54"/>
        <v>0</v>
      </c>
      <c r="AH150" s="579">
        <f t="shared" si="175"/>
        <v>0</v>
      </c>
      <c r="AI150" s="582"/>
      <c r="AJ150" s="582"/>
      <c r="AK150" s="582"/>
      <c r="AL150" s="582"/>
      <c r="AM150" s="579"/>
      <c r="AN150" s="579"/>
      <c r="AO150" s="347"/>
      <c r="AP150" s="581">
        <f t="shared" si="164"/>
        <v>0</v>
      </c>
      <c r="AQ150" s="596"/>
      <c r="AR150" s="596"/>
      <c r="AS150" s="348"/>
      <c r="AT150" s="348"/>
      <c r="AU150" s="348"/>
      <c r="AV150" s="348"/>
      <c r="AW150" s="348"/>
      <c r="AX150" s="584">
        <f t="shared" si="165"/>
        <v>0</v>
      </c>
      <c r="AY150" s="581">
        <f t="shared" si="12"/>
        <v>0</v>
      </c>
      <c r="AZ150" s="581">
        <f t="shared" si="159"/>
        <v>0</v>
      </c>
      <c r="BA150" s="596"/>
      <c r="BB150" s="596"/>
      <c r="BC150" s="348"/>
      <c r="BD150" s="581" t="str">
        <f t="shared" si="99"/>
        <v/>
      </c>
      <c r="BE150" s="581">
        <f t="shared" si="37"/>
        <v>0</v>
      </c>
      <c r="BF150" s="347"/>
      <c r="BG150" s="347"/>
      <c r="BH150" s="347"/>
      <c r="BI150" s="347"/>
      <c r="BJ150" s="586">
        <f t="shared" si="187"/>
        <v>0</v>
      </c>
      <c r="BK150" s="581">
        <f t="shared" si="15"/>
        <v>0</v>
      </c>
      <c r="BL150" s="347"/>
      <c r="BM150" s="347"/>
      <c r="BN150" s="347"/>
      <c r="BO150" s="586">
        <f t="shared" si="189"/>
        <v>0</v>
      </c>
      <c r="BP150" s="584">
        <f t="shared" si="17"/>
        <v>0</v>
      </c>
      <c r="BQ150" s="347"/>
      <c r="BR150" s="581">
        <f t="shared" si="153"/>
        <v>0</v>
      </c>
      <c r="BS150" s="588">
        <f t="shared" si="180"/>
        <v>0</v>
      </c>
      <c r="BT150" s="581">
        <f t="shared" si="20"/>
        <v>0</v>
      </c>
      <c r="BU150" s="589"/>
      <c r="BV150" s="581">
        <f t="shared" si="44"/>
        <v>0</v>
      </c>
      <c r="BW150" s="590"/>
      <c r="BX150" s="347"/>
      <c r="BY150" s="347"/>
      <c r="BZ150" s="347"/>
      <c r="CA150" s="586">
        <f t="shared" si="129"/>
        <v>0</v>
      </c>
      <c r="CB150" s="581">
        <f t="shared" si="160"/>
        <v>0</v>
      </c>
      <c r="CC150" s="581">
        <f t="shared" si="131"/>
        <v>0</v>
      </c>
      <c r="CD150" s="581">
        <f t="shared" si="132"/>
        <v>0</v>
      </c>
      <c r="CE150" s="581">
        <f t="shared" si="133"/>
        <v>0</v>
      </c>
      <c r="CF150" s="581">
        <f t="shared" si="134"/>
        <v>0</v>
      </c>
      <c r="CG150" s="581">
        <f t="shared" si="135"/>
        <v>0</v>
      </c>
      <c r="CH150" s="608" t="str">
        <f t="shared" si="136"/>
        <v>#DIV/0!</v>
      </c>
      <c r="CI150" s="603" t="str">
        <f t="shared" si="137"/>
        <v>#DIV/0!</v>
      </c>
      <c r="CJ150" s="347"/>
      <c r="CK150" s="347">
        <f t="shared" si="138"/>
        <v>0</v>
      </c>
      <c r="CL150" s="539">
        <f t="shared" si="139"/>
        <v>0</v>
      </c>
      <c r="CM150" s="347">
        <f t="shared" si="140"/>
        <v>0</v>
      </c>
      <c r="CN150" s="347">
        <f t="shared" si="141"/>
        <v>0</v>
      </c>
      <c r="CO150" s="347" t="str">
        <f t="shared" si="142"/>
        <v/>
      </c>
      <c r="CP150" s="347"/>
    </row>
    <row r="151">
      <c r="A151" s="574">
        <f t="shared" si="147"/>
        <v>200135</v>
      </c>
      <c r="B151" s="574" t="str">
        <f t="shared" si="1"/>
        <v>Batch 200135</v>
      </c>
      <c r="C151" s="347"/>
      <c r="D151" s="574" t="str">
        <f t="shared" si="190"/>
        <v>2-35</v>
      </c>
      <c r="E151" s="347"/>
      <c r="F151" s="596"/>
      <c r="G151" s="596"/>
      <c r="H151" s="347"/>
      <c r="I151" s="347"/>
      <c r="J151" s="583" t="str">
        <f t="shared" si="82"/>
        <v/>
      </c>
      <c r="K151" s="609"/>
      <c r="L151" s="1"/>
      <c r="M151" s="347"/>
      <c r="N151" s="347"/>
      <c r="O151" s="579">
        <f t="shared" si="2"/>
        <v>0</v>
      </c>
      <c r="P151" s="579">
        <f t="shared" si="126"/>
        <v>0</v>
      </c>
      <c r="Q151" s="574"/>
      <c r="R151" s="347"/>
      <c r="S151" s="597"/>
      <c r="T151" s="347"/>
      <c r="U151" s="579">
        <f t="shared" si="48"/>
        <v>0</v>
      </c>
      <c r="V151" s="579">
        <f t="shared" si="49"/>
        <v>0</v>
      </c>
      <c r="W151" s="574" t="str">
        <f t="shared" si="179"/>
        <v/>
      </c>
      <c r="X151" s="347" t="str">
        <f t="shared" si="170"/>
        <v/>
      </c>
      <c r="Y151" s="347" t="str">
        <f t="shared" si="188"/>
        <v/>
      </c>
      <c r="Z151" s="347" t="str">
        <f t="shared" si="171"/>
        <v/>
      </c>
      <c r="AA151" s="579">
        <f t="shared" si="6"/>
        <v>0</v>
      </c>
      <c r="AB151" s="581">
        <f t="shared" si="105"/>
        <v>0</v>
      </c>
      <c r="AC151" s="347" t="str">
        <f t="shared" si="183"/>
        <v/>
      </c>
      <c r="AD151" s="347" t="str">
        <f t="shared" si="176"/>
        <v/>
      </c>
      <c r="AE151" s="347" t="str">
        <f t="shared" si="173"/>
        <v/>
      </c>
      <c r="AF151" s="347" t="str">
        <f t="shared" si="174"/>
        <v/>
      </c>
      <c r="AG151" s="579">
        <f t="shared" si="54"/>
        <v>0</v>
      </c>
      <c r="AH151" s="579">
        <f t="shared" si="175"/>
        <v>0</v>
      </c>
      <c r="AI151" s="582"/>
      <c r="AJ151" s="582"/>
      <c r="AK151" s="582"/>
      <c r="AL151" s="582"/>
      <c r="AM151" s="579"/>
      <c r="AN151" s="579"/>
      <c r="AO151" s="347"/>
      <c r="AP151" s="581">
        <f t="shared" si="164"/>
        <v>0</v>
      </c>
      <c r="AQ151" s="596"/>
      <c r="AR151" s="596"/>
      <c r="AS151" s="348"/>
      <c r="AT151" s="348"/>
      <c r="AU151" s="348"/>
      <c r="AV151" s="348"/>
      <c r="AW151" s="348"/>
      <c r="AX151" s="584">
        <f t="shared" si="165"/>
        <v>0</v>
      </c>
      <c r="AY151" s="581">
        <f t="shared" si="12"/>
        <v>0</v>
      </c>
      <c r="AZ151" s="581">
        <f t="shared" si="159"/>
        <v>0</v>
      </c>
      <c r="BA151" s="596"/>
      <c r="BB151" s="596"/>
      <c r="BC151" s="348"/>
      <c r="BD151" s="581" t="str">
        <f t="shared" si="99"/>
        <v/>
      </c>
      <c r="BE151" s="581">
        <f t="shared" si="37"/>
        <v>0</v>
      </c>
      <c r="BF151" s="347"/>
      <c r="BG151" s="347"/>
      <c r="BH151" s="347"/>
      <c r="BI151" s="347"/>
      <c r="BJ151" s="586">
        <f t="shared" si="187"/>
        <v>0</v>
      </c>
      <c r="BK151" s="581">
        <f t="shared" si="15"/>
        <v>0</v>
      </c>
      <c r="BL151" s="347"/>
      <c r="BM151" s="347"/>
      <c r="BN151" s="347"/>
      <c r="BO151" s="586">
        <f t="shared" si="189"/>
        <v>0</v>
      </c>
      <c r="BP151" s="584">
        <f t="shared" si="17"/>
        <v>0</v>
      </c>
      <c r="BQ151" s="347"/>
      <c r="BR151" s="581">
        <f t="shared" si="153"/>
        <v>0</v>
      </c>
      <c r="BS151" s="588">
        <f t="shared" si="180"/>
        <v>0</v>
      </c>
      <c r="BT151" s="581">
        <f t="shared" si="20"/>
        <v>0</v>
      </c>
      <c r="BU151" s="589"/>
      <c r="BV151" s="581">
        <f t="shared" si="44"/>
        <v>0</v>
      </c>
      <c r="BW151" s="590"/>
      <c r="BX151" s="347"/>
      <c r="BY151" s="347"/>
      <c r="BZ151" s="347"/>
      <c r="CA151" s="586">
        <f t="shared" si="129"/>
        <v>0</v>
      </c>
      <c r="CB151" s="581">
        <f t="shared" si="160"/>
        <v>0</v>
      </c>
      <c r="CC151" s="581">
        <f t="shared" si="131"/>
        <v>0</v>
      </c>
      <c r="CD151" s="581">
        <f t="shared" si="132"/>
        <v>0</v>
      </c>
      <c r="CE151" s="581">
        <f t="shared" si="133"/>
        <v>0</v>
      </c>
      <c r="CF151" s="581">
        <f t="shared" si="134"/>
        <v>0</v>
      </c>
      <c r="CG151" s="581">
        <f t="shared" si="135"/>
        <v>0</v>
      </c>
      <c r="CH151" s="608" t="str">
        <f t="shared" si="136"/>
        <v>#DIV/0!</v>
      </c>
      <c r="CI151" s="603" t="str">
        <f t="shared" si="137"/>
        <v>#DIV/0!</v>
      </c>
      <c r="CJ151" s="347"/>
      <c r="CK151" s="347">
        <f t="shared" si="138"/>
        <v>0</v>
      </c>
      <c r="CL151" s="539">
        <f t="shared" si="139"/>
        <v>0</v>
      </c>
      <c r="CM151" s="347">
        <f t="shared" si="140"/>
        <v>0</v>
      </c>
      <c r="CN151" s="347">
        <f t="shared" si="141"/>
        <v>0</v>
      </c>
      <c r="CO151" s="347" t="str">
        <f t="shared" si="142"/>
        <v/>
      </c>
      <c r="CP151" s="347"/>
    </row>
    <row r="152">
      <c r="A152" s="574">
        <f t="shared" si="147"/>
        <v>300068</v>
      </c>
      <c r="B152" s="574" t="str">
        <f t="shared" si="1"/>
        <v>Batch 300068</v>
      </c>
      <c r="C152" s="347"/>
      <c r="D152" s="574" t="str">
        <f t="shared" si="190"/>
        <v>3-68</v>
      </c>
      <c r="E152" s="347"/>
      <c r="F152" s="596"/>
      <c r="G152" s="596"/>
      <c r="H152" s="347"/>
      <c r="I152" s="347"/>
      <c r="J152" s="583" t="str">
        <f t="shared" si="82"/>
        <v/>
      </c>
      <c r="K152" s="609"/>
      <c r="L152" s="1"/>
      <c r="M152" s="347"/>
      <c r="N152" s="347"/>
      <c r="O152" s="579">
        <f t="shared" si="2"/>
        <v>0</v>
      </c>
      <c r="P152" s="579">
        <f t="shared" si="126"/>
        <v>0</v>
      </c>
      <c r="Q152" s="574"/>
      <c r="R152" s="347"/>
      <c r="S152" s="597"/>
      <c r="T152" s="347"/>
      <c r="U152" s="579">
        <f t="shared" si="48"/>
        <v>0</v>
      </c>
      <c r="V152" s="579">
        <f t="shared" si="49"/>
        <v>0</v>
      </c>
      <c r="W152" s="574" t="str">
        <f t="shared" si="179"/>
        <v/>
      </c>
      <c r="X152" s="347" t="str">
        <f t="shared" si="170"/>
        <v/>
      </c>
      <c r="Y152" s="347" t="str">
        <f t="shared" si="188"/>
        <v/>
      </c>
      <c r="Z152" s="347" t="str">
        <f t="shared" si="171"/>
        <v/>
      </c>
      <c r="AA152" s="579">
        <f t="shared" si="6"/>
        <v>0</v>
      </c>
      <c r="AB152" s="581">
        <f t="shared" si="105"/>
        <v>0</v>
      </c>
      <c r="AC152" s="347" t="str">
        <f t="shared" si="183"/>
        <v/>
      </c>
      <c r="AD152" s="347" t="str">
        <f t="shared" si="176"/>
        <v/>
      </c>
      <c r="AE152" s="347" t="str">
        <f t="shared" si="173"/>
        <v/>
      </c>
      <c r="AF152" s="347" t="str">
        <f t="shared" si="174"/>
        <v/>
      </c>
      <c r="AG152" s="579">
        <f t="shared" si="54"/>
        <v>0</v>
      </c>
      <c r="AH152" s="579">
        <f t="shared" si="175"/>
        <v>0</v>
      </c>
      <c r="AI152" s="582"/>
      <c r="AJ152" s="582"/>
      <c r="AK152" s="582"/>
      <c r="AL152" s="582"/>
      <c r="AM152" s="579"/>
      <c r="AN152" s="579"/>
      <c r="AO152" s="347"/>
      <c r="AP152" s="581">
        <f t="shared" si="164"/>
        <v>0</v>
      </c>
      <c r="AQ152" s="596"/>
      <c r="AR152" s="596"/>
      <c r="AS152" s="348"/>
      <c r="AT152" s="348"/>
      <c r="AU152" s="348"/>
      <c r="AV152" s="348"/>
      <c r="AW152" s="348"/>
      <c r="AX152" s="584">
        <f t="shared" si="165"/>
        <v>0</v>
      </c>
      <c r="AY152" s="581">
        <f t="shared" si="12"/>
        <v>0</v>
      </c>
      <c r="AZ152" s="581">
        <f t="shared" si="159"/>
        <v>0</v>
      </c>
      <c r="BA152" s="596"/>
      <c r="BB152" s="596"/>
      <c r="BC152" s="348"/>
      <c r="BD152" s="581" t="str">
        <f t="shared" si="99"/>
        <v/>
      </c>
      <c r="BE152" s="581">
        <f t="shared" si="37"/>
        <v>0</v>
      </c>
      <c r="BF152" s="347"/>
      <c r="BG152" s="347"/>
      <c r="BH152" s="347"/>
      <c r="BI152" s="347"/>
      <c r="BJ152" s="586">
        <f t="shared" si="187"/>
        <v>0</v>
      </c>
      <c r="BK152" s="581">
        <f t="shared" si="15"/>
        <v>0</v>
      </c>
      <c r="BL152" s="347"/>
      <c r="BM152" s="347"/>
      <c r="BN152" s="347"/>
      <c r="BO152" s="586">
        <f t="shared" si="189"/>
        <v>0</v>
      </c>
      <c r="BP152" s="584">
        <f t="shared" si="17"/>
        <v>0</v>
      </c>
      <c r="BQ152" s="347"/>
      <c r="BR152" s="581">
        <f t="shared" si="153"/>
        <v>0</v>
      </c>
      <c r="BS152" s="588">
        <f t="shared" si="180"/>
        <v>0</v>
      </c>
      <c r="BT152" s="581">
        <f t="shared" si="20"/>
        <v>0</v>
      </c>
      <c r="BU152" s="589"/>
      <c r="BV152" s="581">
        <f t="shared" si="44"/>
        <v>0</v>
      </c>
      <c r="BW152" s="590"/>
      <c r="BX152" s="347"/>
      <c r="BY152" s="347"/>
      <c r="BZ152" s="347"/>
      <c r="CA152" s="586">
        <f t="shared" si="129"/>
        <v>0</v>
      </c>
      <c r="CB152" s="581">
        <f t="shared" si="160"/>
        <v>0</v>
      </c>
      <c r="CC152" s="581">
        <f t="shared" si="131"/>
        <v>0</v>
      </c>
      <c r="CD152" s="581">
        <f t="shared" si="132"/>
        <v>0</v>
      </c>
      <c r="CE152" s="581">
        <f t="shared" si="133"/>
        <v>0</v>
      </c>
      <c r="CF152" s="581">
        <f t="shared" si="134"/>
        <v>0</v>
      </c>
      <c r="CG152" s="581">
        <f t="shared" si="135"/>
        <v>0</v>
      </c>
      <c r="CH152" s="608" t="str">
        <f t="shared" si="136"/>
        <v>#DIV/0!</v>
      </c>
      <c r="CI152" s="603" t="str">
        <f t="shared" si="137"/>
        <v>#DIV/0!</v>
      </c>
      <c r="CJ152" s="347"/>
      <c r="CK152" s="347">
        <f t="shared" si="138"/>
        <v>0</v>
      </c>
      <c r="CL152" s="539">
        <f t="shared" si="139"/>
        <v>0</v>
      </c>
      <c r="CM152" s="347">
        <f t="shared" si="140"/>
        <v>0</v>
      </c>
      <c r="CN152" s="347">
        <f t="shared" si="141"/>
        <v>0</v>
      </c>
      <c r="CO152" s="347" t="str">
        <f t="shared" si="142"/>
        <v/>
      </c>
      <c r="CP152" s="347"/>
    </row>
    <row r="153">
      <c r="A153" s="574">
        <f t="shared" si="147"/>
        <v>200136</v>
      </c>
      <c r="B153" s="574" t="str">
        <f t="shared" si="1"/>
        <v>Batch 200136</v>
      </c>
      <c r="C153" s="347"/>
      <c r="D153" s="574" t="str">
        <f t="shared" si="190"/>
        <v>2-36</v>
      </c>
      <c r="E153" s="347"/>
      <c r="F153" s="596"/>
      <c r="G153" s="596"/>
      <c r="H153" s="347"/>
      <c r="I153" s="347"/>
      <c r="J153" s="583" t="str">
        <f t="shared" si="82"/>
        <v/>
      </c>
      <c r="K153" s="609"/>
      <c r="L153" s="1"/>
      <c r="M153" s="347"/>
      <c r="N153" s="347"/>
      <c r="O153" s="579">
        <f t="shared" si="2"/>
        <v>0</v>
      </c>
      <c r="P153" s="579">
        <f t="shared" si="126"/>
        <v>0</v>
      </c>
      <c r="Q153" s="574"/>
      <c r="R153" s="347"/>
      <c r="S153" s="597"/>
      <c r="T153" s="347"/>
      <c r="U153" s="579">
        <f t="shared" si="48"/>
        <v>0</v>
      </c>
      <c r="V153" s="579">
        <f t="shared" si="49"/>
        <v>0</v>
      </c>
      <c r="W153" s="574" t="str">
        <f t="shared" si="179"/>
        <v/>
      </c>
      <c r="X153" s="347" t="str">
        <f t="shared" si="170"/>
        <v/>
      </c>
      <c r="Y153" s="347" t="str">
        <f t="shared" si="188"/>
        <v/>
      </c>
      <c r="Z153" s="347" t="str">
        <f t="shared" si="171"/>
        <v/>
      </c>
      <c r="AA153" s="579">
        <f t="shared" si="6"/>
        <v>0</v>
      </c>
      <c r="AB153" s="581">
        <f t="shared" si="105"/>
        <v>0</v>
      </c>
      <c r="AC153" s="347" t="str">
        <f t="shared" si="183"/>
        <v/>
      </c>
      <c r="AD153" s="347" t="str">
        <f t="shared" si="176"/>
        <v/>
      </c>
      <c r="AE153" s="347" t="str">
        <f t="shared" si="173"/>
        <v/>
      </c>
      <c r="AF153" s="347" t="str">
        <f t="shared" si="174"/>
        <v/>
      </c>
      <c r="AG153" s="579">
        <f t="shared" si="54"/>
        <v>0</v>
      </c>
      <c r="AH153" s="579">
        <f t="shared" si="175"/>
        <v>0</v>
      </c>
      <c r="AI153" s="582"/>
      <c r="AJ153" s="582"/>
      <c r="AK153" s="582"/>
      <c r="AL153" s="582"/>
      <c r="AM153" s="579"/>
      <c r="AN153" s="579"/>
      <c r="AO153" s="347"/>
      <c r="AP153" s="581">
        <f t="shared" si="164"/>
        <v>0</v>
      </c>
      <c r="AQ153" s="596"/>
      <c r="AR153" s="596"/>
      <c r="AS153" s="348"/>
      <c r="AT153" s="348"/>
      <c r="AU153" s="348"/>
      <c r="AV153" s="348"/>
      <c r="AW153" s="348"/>
      <c r="AX153" s="584">
        <f t="shared" si="165"/>
        <v>0</v>
      </c>
      <c r="AY153" s="581">
        <f t="shared" si="12"/>
        <v>0</v>
      </c>
      <c r="AZ153" s="581">
        <f t="shared" si="159"/>
        <v>0</v>
      </c>
      <c r="BA153" s="596"/>
      <c r="BB153" s="596"/>
      <c r="BC153" s="348"/>
      <c r="BD153" s="581" t="str">
        <f t="shared" si="99"/>
        <v/>
      </c>
      <c r="BE153" s="581">
        <f t="shared" si="37"/>
        <v>0</v>
      </c>
      <c r="BF153" s="347"/>
      <c r="BG153" s="347"/>
      <c r="BH153" s="347"/>
      <c r="BI153" s="347"/>
      <c r="BJ153" s="586">
        <f t="shared" si="187"/>
        <v>0</v>
      </c>
      <c r="BK153" s="581">
        <f t="shared" si="15"/>
        <v>0</v>
      </c>
      <c r="BL153" s="347"/>
      <c r="BM153" s="347"/>
      <c r="BN153" s="347"/>
      <c r="BO153" s="586">
        <f t="shared" si="189"/>
        <v>0</v>
      </c>
      <c r="BP153" s="584">
        <f t="shared" si="17"/>
        <v>0</v>
      </c>
      <c r="BQ153" s="347"/>
      <c r="BR153" s="581">
        <f t="shared" si="153"/>
        <v>0</v>
      </c>
      <c r="BS153" s="588">
        <f t="shared" si="180"/>
        <v>0</v>
      </c>
      <c r="BT153" s="581">
        <f t="shared" si="20"/>
        <v>0</v>
      </c>
      <c r="BU153" s="589"/>
      <c r="BV153" s="581">
        <f t="shared" si="44"/>
        <v>0</v>
      </c>
      <c r="BW153" s="590"/>
      <c r="BX153" s="347"/>
      <c r="BY153" s="347"/>
      <c r="BZ153" s="347"/>
      <c r="CA153" s="586">
        <f t="shared" si="129"/>
        <v>0</v>
      </c>
      <c r="CB153" s="581">
        <f t="shared" si="160"/>
        <v>0</v>
      </c>
      <c r="CC153" s="581">
        <f t="shared" si="131"/>
        <v>0</v>
      </c>
      <c r="CD153" s="581">
        <f t="shared" si="132"/>
        <v>0</v>
      </c>
      <c r="CE153" s="581">
        <f t="shared" si="133"/>
        <v>0</v>
      </c>
      <c r="CF153" s="581">
        <f t="shared" si="134"/>
        <v>0</v>
      </c>
      <c r="CG153" s="581">
        <f t="shared" si="135"/>
        <v>0</v>
      </c>
      <c r="CH153" s="608" t="str">
        <f t="shared" si="136"/>
        <v>#DIV/0!</v>
      </c>
      <c r="CI153" s="603" t="str">
        <f t="shared" si="137"/>
        <v>#DIV/0!</v>
      </c>
      <c r="CJ153" s="347"/>
      <c r="CK153" s="347">
        <f t="shared" si="138"/>
        <v>0</v>
      </c>
      <c r="CL153" s="539">
        <f t="shared" si="139"/>
        <v>0</v>
      </c>
      <c r="CM153" s="347">
        <f t="shared" si="140"/>
        <v>0</v>
      </c>
      <c r="CN153" s="347">
        <f t="shared" si="141"/>
        <v>0</v>
      </c>
      <c r="CO153" s="347" t="str">
        <f t="shared" si="142"/>
        <v/>
      </c>
      <c r="CP153" s="347"/>
    </row>
    <row r="154">
      <c r="A154" s="574">
        <f t="shared" si="147"/>
        <v>300069</v>
      </c>
      <c r="B154" s="574" t="str">
        <f t="shared" si="1"/>
        <v>Batch 300069</v>
      </c>
      <c r="C154" s="347"/>
      <c r="D154" s="574" t="str">
        <f t="shared" si="190"/>
        <v>3-69</v>
      </c>
      <c r="E154" s="347"/>
      <c r="F154" s="596"/>
      <c r="G154" s="596"/>
      <c r="H154" s="347"/>
      <c r="I154" s="347"/>
      <c r="J154" s="583" t="str">
        <f t="shared" si="82"/>
        <v/>
      </c>
      <c r="K154" s="609"/>
      <c r="L154" s="1"/>
      <c r="M154" s="347"/>
      <c r="N154" s="347"/>
      <c r="O154" s="579">
        <f t="shared" si="2"/>
        <v>0</v>
      </c>
      <c r="P154" s="579">
        <f t="shared" si="126"/>
        <v>0</v>
      </c>
      <c r="Q154" s="574"/>
      <c r="R154" s="347"/>
      <c r="S154" s="597"/>
      <c r="T154" s="347"/>
      <c r="U154" s="579">
        <f t="shared" si="48"/>
        <v>0</v>
      </c>
      <c r="V154" s="579">
        <f t="shared" si="49"/>
        <v>0</v>
      </c>
      <c r="W154" s="574" t="str">
        <f t="shared" si="179"/>
        <v/>
      </c>
      <c r="X154" s="347" t="str">
        <f t="shared" si="170"/>
        <v/>
      </c>
      <c r="Y154" s="347" t="str">
        <f t="shared" si="188"/>
        <v/>
      </c>
      <c r="Z154" s="347" t="str">
        <f t="shared" si="171"/>
        <v/>
      </c>
      <c r="AA154" s="579">
        <f t="shared" si="6"/>
        <v>0</v>
      </c>
      <c r="AB154" s="581">
        <f t="shared" si="105"/>
        <v>0</v>
      </c>
      <c r="AC154" s="347" t="str">
        <f t="shared" si="183"/>
        <v/>
      </c>
      <c r="AD154" s="347" t="str">
        <f t="shared" si="176"/>
        <v/>
      </c>
      <c r="AE154" s="347" t="str">
        <f t="shared" si="173"/>
        <v/>
      </c>
      <c r="AF154" s="347" t="str">
        <f t="shared" si="174"/>
        <v/>
      </c>
      <c r="AG154" s="579">
        <f t="shared" si="54"/>
        <v>0</v>
      </c>
      <c r="AH154" s="579">
        <f t="shared" si="175"/>
        <v>0</v>
      </c>
      <c r="AI154" s="582"/>
      <c r="AJ154" s="582"/>
      <c r="AK154" s="582"/>
      <c r="AL154" s="582"/>
      <c r="AM154" s="579"/>
      <c r="AN154" s="579"/>
      <c r="AO154" s="347"/>
      <c r="AP154" s="581">
        <f t="shared" si="164"/>
        <v>0</v>
      </c>
      <c r="AQ154" s="596"/>
      <c r="AR154" s="596"/>
      <c r="AS154" s="348"/>
      <c r="AT154" s="348"/>
      <c r="AU154" s="348"/>
      <c r="AV154" s="348"/>
      <c r="AW154" s="348"/>
      <c r="AX154" s="584">
        <f t="shared" si="165"/>
        <v>0</v>
      </c>
      <c r="AY154" s="581">
        <f t="shared" si="12"/>
        <v>0</v>
      </c>
      <c r="AZ154" s="581">
        <f t="shared" si="159"/>
        <v>0</v>
      </c>
      <c r="BA154" s="596"/>
      <c r="BB154" s="596"/>
      <c r="BC154" s="348"/>
      <c r="BD154" s="581" t="str">
        <f t="shared" si="99"/>
        <v/>
      </c>
      <c r="BE154" s="581">
        <f t="shared" si="37"/>
        <v>0</v>
      </c>
      <c r="BF154" s="347"/>
      <c r="BG154" s="347"/>
      <c r="BH154" s="347"/>
      <c r="BI154" s="347"/>
      <c r="BJ154" s="586">
        <f t="shared" si="187"/>
        <v>0</v>
      </c>
      <c r="BK154" s="581">
        <f t="shared" si="15"/>
        <v>0</v>
      </c>
      <c r="BL154" s="347"/>
      <c r="BM154" s="347"/>
      <c r="BN154" s="347"/>
      <c r="BO154" s="586">
        <f t="shared" si="189"/>
        <v>0</v>
      </c>
      <c r="BP154" s="584">
        <f t="shared" si="17"/>
        <v>0</v>
      </c>
      <c r="BQ154" s="347"/>
      <c r="BR154" s="581">
        <f t="shared" si="153"/>
        <v>0</v>
      </c>
      <c r="BS154" s="588">
        <f t="shared" si="180"/>
        <v>0</v>
      </c>
      <c r="BT154" s="581">
        <f t="shared" si="20"/>
        <v>0</v>
      </c>
      <c r="BU154" s="589"/>
      <c r="BV154" s="581">
        <f t="shared" si="44"/>
        <v>0</v>
      </c>
      <c r="BW154" s="590"/>
      <c r="BX154" s="347"/>
      <c r="BY154" s="347"/>
      <c r="BZ154" s="347"/>
      <c r="CA154" s="586">
        <f t="shared" si="129"/>
        <v>0</v>
      </c>
      <c r="CB154" s="581">
        <f t="shared" si="160"/>
        <v>0</v>
      </c>
      <c r="CC154" s="581">
        <f t="shared" si="131"/>
        <v>0</v>
      </c>
      <c r="CD154" s="581">
        <f t="shared" si="132"/>
        <v>0</v>
      </c>
      <c r="CE154" s="581">
        <f t="shared" si="133"/>
        <v>0</v>
      </c>
      <c r="CF154" s="581">
        <f t="shared" si="134"/>
        <v>0</v>
      </c>
      <c r="CG154" s="581">
        <f t="shared" si="135"/>
        <v>0</v>
      </c>
      <c r="CH154" s="608" t="str">
        <f t="shared" si="136"/>
        <v>#DIV/0!</v>
      </c>
      <c r="CI154" s="603" t="str">
        <f t="shared" si="137"/>
        <v>#DIV/0!</v>
      </c>
      <c r="CJ154" s="347"/>
      <c r="CK154" s="347">
        <f t="shared" si="138"/>
        <v>0</v>
      </c>
      <c r="CL154" s="539">
        <f t="shared" si="139"/>
        <v>0</v>
      </c>
      <c r="CM154" s="347">
        <f t="shared" si="140"/>
        <v>0</v>
      </c>
      <c r="CN154" s="347">
        <f t="shared" si="141"/>
        <v>0</v>
      </c>
      <c r="CO154" s="347" t="str">
        <f t="shared" si="142"/>
        <v/>
      </c>
      <c r="CP154" s="347"/>
    </row>
    <row r="155">
      <c r="A155" s="574">
        <f t="shared" si="147"/>
        <v>200137</v>
      </c>
      <c r="B155" s="574" t="str">
        <f t="shared" si="1"/>
        <v>Batch 200137</v>
      </c>
      <c r="C155" s="347"/>
      <c r="D155" s="574" t="str">
        <f t="shared" si="190"/>
        <v>2-37</v>
      </c>
      <c r="E155" s="347"/>
      <c r="F155" s="596"/>
      <c r="G155" s="596"/>
      <c r="H155" s="347"/>
      <c r="I155" s="347"/>
      <c r="J155" s="583" t="str">
        <f t="shared" si="82"/>
        <v/>
      </c>
      <c r="K155" s="609"/>
      <c r="L155" s="1"/>
      <c r="M155" s="347"/>
      <c r="N155" s="347"/>
      <c r="O155" s="579">
        <f t="shared" si="2"/>
        <v>0</v>
      </c>
      <c r="P155" s="579">
        <f t="shared" si="126"/>
        <v>0</v>
      </c>
      <c r="Q155" s="574"/>
      <c r="R155" s="347"/>
      <c r="S155" s="597"/>
      <c r="T155" s="347"/>
      <c r="U155" s="579">
        <f t="shared" si="48"/>
        <v>0</v>
      </c>
      <c r="V155" s="579">
        <f t="shared" si="49"/>
        <v>0</v>
      </c>
      <c r="W155" s="574" t="str">
        <f t="shared" si="179"/>
        <v/>
      </c>
      <c r="X155" s="347" t="str">
        <f t="shared" si="170"/>
        <v/>
      </c>
      <c r="Y155" s="347" t="str">
        <f t="shared" si="188"/>
        <v/>
      </c>
      <c r="Z155" s="347" t="str">
        <f t="shared" si="171"/>
        <v/>
      </c>
      <c r="AA155" s="579">
        <f t="shared" si="6"/>
        <v>0</v>
      </c>
      <c r="AB155" s="581">
        <f t="shared" si="105"/>
        <v>0</v>
      </c>
      <c r="AC155" s="347" t="str">
        <f t="shared" si="183"/>
        <v/>
      </c>
      <c r="AD155" s="347" t="str">
        <f t="shared" si="176"/>
        <v/>
      </c>
      <c r="AE155" s="347" t="str">
        <f t="shared" si="173"/>
        <v/>
      </c>
      <c r="AF155" s="347" t="str">
        <f t="shared" si="174"/>
        <v/>
      </c>
      <c r="AG155" s="579">
        <f t="shared" si="54"/>
        <v>0</v>
      </c>
      <c r="AH155" s="579">
        <f t="shared" si="175"/>
        <v>0</v>
      </c>
      <c r="AI155" s="582"/>
      <c r="AJ155" s="582"/>
      <c r="AK155" s="582"/>
      <c r="AL155" s="582"/>
      <c r="AM155" s="579"/>
      <c r="AN155" s="579"/>
      <c r="AO155" s="347"/>
      <c r="AP155" s="581">
        <f t="shared" si="164"/>
        <v>0</v>
      </c>
      <c r="AQ155" s="596"/>
      <c r="AR155" s="596"/>
      <c r="AS155" s="348"/>
      <c r="AT155" s="348"/>
      <c r="AU155" s="348"/>
      <c r="AV155" s="348"/>
      <c r="AW155" s="348"/>
      <c r="AX155" s="584">
        <f t="shared" si="165"/>
        <v>0</v>
      </c>
      <c r="AY155" s="581">
        <f t="shared" si="12"/>
        <v>0</v>
      </c>
      <c r="AZ155" s="581">
        <f t="shared" si="159"/>
        <v>0</v>
      </c>
      <c r="BA155" s="596"/>
      <c r="BB155" s="596"/>
      <c r="BC155" s="348"/>
      <c r="BD155" s="581" t="str">
        <f t="shared" si="99"/>
        <v/>
      </c>
      <c r="BE155" s="581">
        <f t="shared" si="37"/>
        <v>0</v>
      </c>
      <c r="BF155" s="347"/>
      <c r="BG155" s="347"/>
      <c r="BH155" s="347"/>
      <c r="BI155" s="347"/>
      <c r="BJ155" s="586">
        <f t="shared" si="187"/>
        <v>0</v>
      </c>
      <c r="BK155" s="581">
        <f t="shared" si="15"/>
        <v>0</v>
      </c>
      <c r="BL155" s="347"/>
      <c r="BM155" s="347"/>
      <c r="BN155" s="347"/>
      <c r="BO155" s="586">
        <f t="shared" si="189"/>
        <v>0</v>
      </c>
      <c r="BP155" s="584">
        <f t="shared" si="17"/>
        <v>0</v>
      </c>
      <c r="BQ155" s="347"/>
      <c r="BR155" s="581">
        <f t="shared" si="153"/>
        <v>0</v>
      </c>
      <c r="BS155" s="588">
        <f t="shared" si="180"/>
        <v>0</v>
      </c>
      <c r="BT155" s="581">
        <f t="shared" si="20"/>
        <v>0</v>
      </c>
      <c r="BU155" s="589"/>
      <c r="BV155" s="581">
        <f t="shared" si="44"/>
        <v>0</v>
      </c>
      <c r="BW155" s="590"/>
      <c r="BX155" s="347"/>
      <c r="BY155" s="347"/>
      <c r="BZ155" s="347"/>
      <c r="CA155" s="586">
        <f t="shared" si="129"/>
        <v>0</v>
      </c>
      <c r="CB155" s="581">
        <f t="shared" si="160"/>
        <v>0</v>
      </c>
      <c r="CC155" s="581">
        <f t="shared" si="131"/>
        <v>0</v>
      </c>
      <c r="CD155" s="581">
        <f t="shared" si="132"/>
        <v>0</v>
      </c>
      <c r="CE155" s="581">
        <f t="shared" si="133"/>
        <v>0</v>
      </c>
      <c r="CF155" s="581">
        <f t="shared" si="134"/>
        <v>0</v>
      </c>
      <c r="CG155" s="581">
        <f t="shared" si="135"/>
        <v>0</v>
      </c>
      <c r="CH155" s="608" t="str">
        <f t="shared" si="136"/>
        <v>#DIV/0!</v>
      </c>
      <c r="CI155" s="603" t="str">
        <f t="shared" si="137"/>
        <v>#DIV/0!</v>
      </c>
      <c r="CJ155" s="347"/>
      <c r="CK155" s="347">
        <f t="shared" si="138"/>
        <v>0</v>
      </c>
      <c r="CL155" s="539">
        <f t="shared" si="139"/>
        <v>0</v>
      </c>
      <c r="CM155" s="347">
        <f t="shared" si="140"/>
        <v>0</v>
      </c>
      <c r="CN155" s="347">
        <f t="shared" si="141"/>
        <v>0</v>
      </c>
      <c r="CO155" s="347" t="str">
        <f t="shared" si="142"/>
        <v/>
      </c>
      <c r="CP155" s="347"/>
    </row>
    <row r="156">
      <c r="A156" s="574">
        <f t="shared" si="147"/>
        <v>300070</v>
      </c>
      <c r="B156" s="574" t="str">
        <f t="shared" si="1"/>
        <v>Batch 300070</v>
      </c>
      <c r="C156" s="347"/>
      <c r="D156" s="574" t="str">
        <f t="shared" si="190"/>
        <v>3-70</v>
      </c>
      <c r="E156" s="347"/>
      <c r="F156" s="596"/>
      <c r="G156" s="596"/>
      <c r="H156" s="347"/>
      <c r="I156" s="347"/>
      <c r="J156" s="583" t="str">
        <f t="shared" si="82"/>
        <v/>
      </c>
      <c r="K156" s="609"/>
      <c r="L156" s="1"/>
      <c r="M156" s="347"/>
      <c r="N156" s="347"/>
      <c r="O156" s="579">
        <f t="shared" si="2"/>
        <v>0</v>
      </c>
      <c r="P156" s="579">
        <f t="shared" si="126"/>
        <v>0</v>
      </c>
      <c r="Q156" s="574"/>
      <c r="R156" s="347"/>
      <c r="S156" s="597"/>
      <c r="T156" s="347"/>
      <c r="U156" s="579">
        <f t="shared" si="48"/>
        <v>0</v>
      </c>
      <c r="V156" s="579">
        <f t="shared" si="49"/>
        <v>0</v>
      </c>
      <c r="W156" s="574" t="str">
        <f t="shared" si="179"/>
        <v/>
      </c>
      <c r="X156" s="347" t="str">
        <f t="shared" si="170"/>
        <v/>
      </c>
      <c r="Y156" s="347" t="str">
        <f t="shared" si="188"/>
        <v/>
      </c>
      <c r="Z156" s="347" t="str">
        <f t="shared" si="171"/>
        <v/>
      </c>
      <c r="AA156" s="579">
        <f t="shared" si="6"/>
        <v>0</v>
      </c>
      <c r="AB156" s="581">
        <f t="shared" si="105"/>
        <v>0</v>
      </c>
      <c r="AC156" s="347" t="str">
        <f t="shared" si="183"/>
        <v/>
      </c>
      <c r="AD156" s="347" t="str">
        <f t="shared" si="176"/>
        <v/>
      </c>
      <c r="AE156" s="347" t="str">
        <f t="shared" si="173"/>
        <v/>
      </c>
      <c r="AF156" s="347" t="str">
        <f t="shared" si="174"/>
        <v/>
      </c>
      <c r="AG156" s="579">
        <f t="shared" si="54"/>
        <v>0</v>
      </c>
      <c r="AH156" s="579">
        <f t="shared" si="175"/>
        <v>0</v>
      </c>
      <c r="AI156" s="582"/>
      <c r="AJ156" s="582"/>
      <c r="AK156" s="582"/>
      <c r="AL156" s="582"/>
      <c r="AM156" s="579"/>
      <c r="AN156" s="579"/>
      <c r="AO156" s="347"/>
      <c r="AP156" s="581">
        <f t="shared" si="164"/>
        <v>0</v>
      </c>
      <c r="AQ156" s="596"/>
      <c r="AR156" s="596"/>
      <c r="AS156" s="348"/>
      <c r="AT156" s="348"/>
      <c r="AU156" s="348"/>
      <c r="AV156" s="348"/>
      <c r="AW156" s="348"/>
      <c r="AX156" s="584">
        <f t="shared" si="165"/>
        <v>0</v>
      </c>
      <c r="AY156" s="581">
        <f t="shared" si="12"/>
        <v>0</v>
      </c>
      <c r="AZ156" s="581">
        <f t="shared" si="159"/>
        <v>0</v>
      </c>
      <c r="BA156" s="596"/>
      <c r="BB156" s="596"/>
      <c r="BC156" s="348"/>
      <c r="BD156" s="581" t="str">
        <f t="shared" si="99"/>
        <v/>
      </c>
      <c r="BE156" s="581">
        <f t="shared" si="37"/>
        <v>0</v>
      </c>
      <c r="BF156" s="347"/>
      <c r="BG156" s="347"/>
      <c r="BH156" s="347"/>
      <c r="BI156" s="347"/>
      <c r="BJ156" s="586">
        <f t="shared" si="187"/>
        <v>0</v>
      </c>
      <c r="BK156" s="581">
        <f t="shared" si="15"/>
        <v>0</v>
      </c>
      <c r="BL156" s="347"/>
      <c r="BM156" s="347"/>
      <c r="BN156" s="347"/>
      <c r="BO156" s="586">
        <f t="shared" si="189"/>
        <v>0</v>
      </c>
      <c r="BP156" s="584">
        <f t="shared" si="17"/>
        <v>0</v>
      </c>
      <c r="BQ156" s="347"/>
      <c r="BR156" s="581">
        <f t="shared" si="153"/>
        <v>0</v>
      </c>
      <c r="BS156" s="588">
        <f t="shared" si="180"/>
        <v>0</v>
      </c>
      <c r="BT156" s="581">
        <f t="shared" si="20"/>
        <v>0</v>
      </c>
      <c r="BU156" s="589"/>
      <c r="BV156" s="581">
        <f t="shared" si="44"/>
        <v>0</v>
      </c>
      <c r="BW156" s="590"/>
      <c r="BX156" s="347"/>
      <c r="BY156" s="347"/>
      <c r="BZ156" s="347"/>
      <c r="CA156" s="586">
        <f t="shared" si="129"/>
        <v>0</v>
      </c>
      <c r="CB156" s="581">
        <f t="shared" si="160"/>
        <v>0</v>
      </c>
      <c r="CC156" s="581">
        <f t="shared" si="131"/>
        <v>0</v>
      </c>
      <c r="CD156" s="581">
        <f t="shared" si="132"/>
        <v>0</v>
      </c>
      <c r="CE156" s="581">
        <f t="shared" si="133"/>
        <v>0</v>
      </c>
      <c r="CF156" s="581">
        <f t="shared" si="134"/>
        <v>0</v>
      </c>
      <c r="CG156" s="581">
        <f t="shared" si="135"/>
        <v>0</v>
      </c>
      <c r="CH156" s="608" t="str">
        <f t="shared" si="136"/>
        <v>#DIV/0!</v>
      </c>
      <c r="CI156" s="603" t="str">
        <f t="shared" si="137"/>
        <v>#DIV/0!</v>
      </c>
      <c r="CJ156" s="347"/>
      <c r="CK156" s="347">
        <f t="shared" si="138"/>
        <v>0</v>
      </c>
      <c r="CL156" s="539">
        <f t="shared" si="139"/>
        <v>0</v>
      </c>
      <c r="CM156" s="347">
        <f t="shared" si="140"/>
        <v>0</v>
      </c>
      <c r="CN156" s="347">
        <f t="shared" si="141"/>
        <v>0</v>
      </c>
      <c r="CO156" s="347" t="str">
        <f t="shared" si="142"/>
        <v/>
      </c>
      <c r="CP156" s="347"/>
    </row>
    <row r="157">
      <c r="A157" s="574">
        <f t="shared" si="147"/>
        <v>200138</v>
      </c>
      <c r="B157" s="574" t="str">
        <f t="shared" si="1"/>
        <v>Batch 200138</v>
      </c>
      <c r="C157" s="347"/>
      <c r="D157" s="574" t="str">
        <f t="shared" si="190"/>
        <v>2-38</v>
      </c>
      <c r="E157" s="347"/>
      <c r="F157" s="596"/>
      <c r="G157" s="596"/>
      <c r="H157" s="347"/>
      <c r="I157" s="347"/>
      <c r="J157" s="583" t="str">
        <f t="shared" si="82"/>
        <v/>
      </c>
      <c r="K157" s="609"/>
      <c r="L157" s="1"/>
      <c r="M157" s="347"/>
      <c r="N157" s="347"/>
      <c r="O157" s="579">
        <f t="shared" si="2"/>
        <v>0</v>
      </c>
      <c r="P157" s="579">
        <f t="shared" si="126"/>
        <v>0</v>
      </c>
      <c r="Q157" s="574"/>
      <c r="R157" s="347"/>
      <c r="S157" s="597"/>
      <c r="T157" s="347"/>
      <c r="U157" s="579">
        <f t="shared" si="48"/>
        <v>0</v>
      </c>
      <c r="V157" s="579">
        <f t="shared" si="49"/>
        <v>0</v>
      </c>
      <c r="W157" s="574" t="str">
        <f t="shared" si="179"/>
        <v/>
      </c>
      <c r="X157" s="347" t="str">
        <f t="shared" si="170"/>
        <v/>
      </c>
      <c r="Y157" s="347" t="str">
        <f t="shared" si="188"/>
        <v/>
      </c>
      <c r="Z157" s="347" t="str">
        <f t="shared" si="171"/>
        <v/>
      </c>
      <c r="AA157" s="579">
        <f t="shared" si="6"/>
        <v>0</v>
      </c>
      <c r="AB157" s="581">
        <f t="shared" si="105"/>
        <v>0</v>
      </c>
      <c r="AC157" s="347" t="str">
        <f t="shared" si="183"/>
        <v/>
      </c>
      <c r="AD157" s="347" t="str">
        <f t="shared" si="176"/>
        <v/>
      </c>
      <c r="AE157" s="347" t="str">
        <f t="shared" si="173"/>
        <v/>
      </c>
      <c r="AF157" s="347" t="str">
        <f t="shared" si="174"/>
        <v/>
      </c>
      <c r="AG157" s="579">
        <f t="shared" si="54"/>
        <v>0</v>
      </c>
      <c r="AH157" s="579">
        <f t="shared" si="175"/>
        <v>0</v>
      </c>
      <c r="AI157" s="582"/>
      <c r="AJ157" s="582"/>
      <c r="AK157" s="582"/>
      <c r="AL157" s="582"/>
      <c r="AM157" s="579"/>
      <c r="AN157" s="579"/>
      <c r="AO157" s="347"/>
      <c r="AP157" s="581">
        <f t="shared" si="164"/>
        <v>0</v>
      </c>
      <c r="AQ157" s="596"/>
      <c r="AR157" s="596"/>
      <c r="AS157" s="348"/>
      <c r="AT157" s="348"/>
      <c r="AU157" s="348"/>
      <c r="AV157" s="348"/>
      <c r="AW157" s="348"/>
      <c r="AX157" s="584">
        <f t="shared" si="165"/>
        <v>0</v>
      </c>
      <c r="AY157" s="581">
        <f t="shared" si="12"/>
        <v>0</v>
      </c>
      <c r="AZ157" s="581">
        <f t="shared" si="159"/>
        <v>0</v>
      </c>
      <c r="BA157" s="596"/>
      <c r="BB157" s="596"/>
      <c r="BC157" s="348"/>
      <c r="BD157" s="581" t="str">
        <f t="shared" si="99"/>
        <v/>
      </c>
      <c r="BE157" s="581">
        <f t="shared" si="37"/>
        <v>0</v>
      </c>
      <c r="BF157" s="347"/>
      <c r="BG157" s="347"/>
      <c r="BH157" s="347"/>
      <c r="BI157" s="347"/>
      <c r="BJ157" s="586">
        <f t="shared" si="187"/>
        <v>0</v>
      </c>
      <c r="BK157" s="581">
        <f t="shared" si="15"/>
        <v>0</v>
      </c>
      <c r="BL157" s="347"/>
      <c r="BM157" s="347"/>
      <c r="BN157" s="347"/>
      <c r="BO157" s="586">
        <f t="shared" si="189"/>
        <v>0</v>
      </c>
      <c r="BP157" s="584">
        <f t="shared" si="17"/>
        <v>0</v>
      </c>
      <c r="BQ157" s="347"/>
      <c r="BR157" s="581">
        <f t="shared" si="153"/>
        <v>0</v>
      </c>
      <c r="BS157" s="588">
        <f t="shared" si="180"/>
        <v>0</v>
      </c>
      <c r="BT157" s="581">
        <f t="shared" si="20"/>
        <v>0</v>
      </c>
      <c r="BU157" s="589"/>
      <c r="BV157" s="581">
        <f t="shared" si="44"/>
        <v>0</v>
      </c>
      <c r="BW157" s="590"/>
      <c r="BX157" s="347"/>
      <c r="BY157" s="347"/>
      <c r="BZ157" s="347"/>
      <c r="CA157" s="586">
        <f t="shared" si="129"/>
        <v>0</v>
      </c>
      <c r="CB157" s="581">
        <f t="shared" si="160"/>
        <v>0</v>
      </c>
      <c r="CC157" s="581">
        <f t="shared" si="131"/>
        <v>0</v>
      </c>
      <c r="CD157" s="581">
        <f t="shared" si="132"/>
        <v>0</v>
      </c>
      <c r="CE157" s="581">
        <f t="shared" si="133"/>
        <v>0</v>
      </c>
      <c r="CF157" s="581">
        <f t="shared" si="134"/>
        <v>0</v>
      </c>
      <c r="CG157" s="581">
        <f t="shared" si="135"/>
        <v>0</v>
      </c>
      <c r="CH157" s="608" t="str">
        <f t="shared" si="136"/>
        <v>#DIV/0!</v>
      </c>
      <c r="CI157" s="603" t="str">
        <f t="shared" si="137"/>
        <v>#DIV/0!</v>
      </c>
      <c r="CJ157" s="347"/>
      <c r="CK157" s="347">
        <f t="shared" si="138"/>
        <v>0</v>
      </c>
      <c r="CL157" s="539">
        <f t="shared" si="139"/>
        <v>0</v>
      </c>
      <c r="CM157" s="347">
        <f t="shared" si="140"/>
        <v>0</v>
      </c>
      <c r="CN157" s="347">
        <f t="shared" si="141"/>
        <v>0</v>
      </c>
      <c r="CO157" s="347" t="str">
        <f t="shared" si="142"/>
        <v/>
      </c>
      <c r="CP157" s="347"/>
    </row>
    <row r="158">
      <c r="A158" s="574">
        <f t="shared" si="147"/>
        <v>300071</v>
      </c>
      <c r="B158" s="574" t="str">
        <f t="shared" si="1"/>
        <v>Batch 300071</v>
      </c>
      <c r="C158" s="347"/>
      <c r="D158" s="574" t="str">
        <f t="shared" si="190"/>
        <v>3-71</v>
      </c>
      <c r="E158" s="347"/>
      <c r="F158" s="596"/>
      <c r="G158" s="596"/>
      <c r="H158" s="347"/>
      <c r="I158" s="347"/>
      <c r="J158" s="583" t="str">
        <f t="shared" si="82"/>
        <v/>
      </c>
      <c r="K158" s="609"/>
      <c r="L158" s="1"/>
      <c r="M158" s="347"/>
      <c r="N158" s="347"/>
      <c r="O158" s="579">
        <f t="shared" si="2"/>
        <v>0</v>
      </c>
      <c r="P158" s="579">
        <f t="shared" si="126"/>
        <v>0</v>
      </c>
      <c r="Q158" s="574"/>
      <c r="R158" s="347"/>
      <c r="S158" s="597"/>
      <c r="T158" s="347"/>
      <c r="U158" s="579">
        <f t="shared" si="48"/>
        <v>0</v>
      </c>
      <c r="V158" s="579">
        <f t="shared" si="49"/>
        <v>0</v>
      </c>
      <c r="W158" s="574" t="str">
        <f t="shared" si="179"/>
        <v/>
      </c>
      <c r="X158" s="347" t="str">
        <f t="shared" si="170"/>
        <v/>
      </c>
      <c r="Y158" s="347" t="str">
        <f t="shared" si="188"/>
        <v/>
      </c>
      <c r="Z158" s="347" t="str">
        <f t="shared" si="171"/>
        <v/>
      </c>
      <c r="AA158" s="579">
        <f t="shared" si="6"/>
        <v>0</v>
      </c>
      <c r="AB158" s="581">
        <f t="shared" si="105"/>
        <v>0</v>
      </c>
      <c r="AC158" s="347" t="str">
        <f t="shared" si="183"/>
        <v/>
      </c>
      <c r="AD158" s="347" t="str">
        <f t="shared" si="176"/>
        <v/>
      </c>
      <c r="AE158" s="347" t="str">
        <f t="shared" si="173"/>
        <v/>
      </c>
      <c r="AF158" s="347" t="str">
        <f t="shared" si="174"/>
        <v/>
      </c>
      <c r="AG158" s="579">
        <f t="shared" si="54"/>
        <v>0</v>
      </c>
      <c r="AH158" s="579">
        <f t="shared" si="175"/>
        <v>0</v>
      </c>
      <c r="AI158" s="582"/>
      <c r="AJ158" s="582"/>
      <c r="AK158" s="582"/>
      <c r="AL158" s="582"/>
      <c r="AM158" s="579"/>
      <c r="AN158" s="579"/>
      <c r="AO158" s="347"/>
      <c r="AP158" s="581">
        <f t="shared" si="164"/>
        <v>0</v>
      </c>
      <c r="AQ158" s="596"/>
      <c r="AR158" s="596"/>
      <c r="AS158" s="348"/>
      <c r="AT158" s="348"/>
      <c r="AU158" s="348"/>
      <c r="AV158" s="348"/>
      <c r="AW158" s="348"/>
      <c r="AX158" s="584">
        <f t="shared" si="165"/>
        <v>0</v>
      </c>
      <c r="AY158" s="581">
        <f t="shared" si="12"/>
        <v>0</v>
      </c>
      <c r="AZ158" s="581">
        <f t="shared" si="159"/>
        <v>0</v>
      </c>
      <c r="BA158" s="596"/>
      <c r="BB158" s="596"/>
      <c r="BC158" s="348"/>
      <c r="BD158" s="581" t="str">
        <f t="shared" si="99"/>
        <v/>
      </c>
      <c r="BE158" s="581">
        <f t="shared" si="37"/>
        <v>0</v>
      </c>
      <c r="BF158" s="347"/>
      <c r="BG158" s="347"/>
      <c r="BH158" s="347"/>
      <c r="BI158" s="347"/>
      <c r="BJ158" s="586">
        <f t="shared" si="187"/>
        <v>0</v>
      </c>
      <c r="BK158" s="581">
        <f t="shared" si="15"/>
        <v>0</v>
      </c>
      <c r="BL158" s="347"/>
      <c r="BM158" s="347"/>
      <c r="BN158" s="347"/>
      <c r="BO158" s="586">
        <f t="shared" si="189"/>
        <v>0</v>
      </c>
      <c r="BP158" s="584">
        <f t="shared" si="17"/>
        <v>0</v>
      </c>
      <c r="BQ158" s="347"/>
      <c r="BR158" s="581">
        <f t="shared" si="153"/>
        <v>0</v>
      </c>
      <c r="BS158" s="588">
        <f t="shared" si="180"/>
        <v>0</v>
      </c>
      <c r="BT158" s="581">
        <f t="shared" si="20"/>
        <v>0</v>
      </c>
      <c r="BU158" s="589"/>
      <c r="BV158" s="581">
        <f t="shared" si="44"/>
        <v>0</v>
      </c>
      <c r="BW158" s="590"/>
      <c r="BX158" s="347"/>
      <c r="BY158" s="347"/>
      <c r="BZ158" s="347"/>
      <c r="CA158" s="586">
        <f t="shared" si="129"/>
        <v>0</v>
      </c>
      <c r="CB158" s="581">
        <f t="shared" si="160"/>
        <v>0</v>
      </c>
      <c r="CC158" s="581">
        <f t="shared" si="131"/>
        <v>0</v>
      </c>
      <c r="CD158" s="581">
        <f t="shared" si="132"/>
        <v>0</v>
      </c>
      <c r="CE158" s="581">
        <f t="shared" si="133"/>
        <v>0</v>
      </c>
      <c r="CF158" s="581">
        <f t="shared" si="134"/>
        <v>0</v>
      </c>
      <c r="CG158" s="581">
        <f t="shared" si="135"/>
        <v>0</v>
      </c>
      <c r="CH158" s="608" t="str">
        <f t="shared" si="136"/>
        <v>#DIV/0!</v>
      </c>
      <c r="CI158" s="603" t="str">
        <f t="shared" si="137"/>
        <v>#DIV/0!</v>
      </c>
      <c r="CJ158" s="347"/>
      <c r="CK158" s="347">
        <f t="shared" si="138"/>
        <v>0</v>
      </c>
      <c r="CL158" s="539">
        <f t="shared" si="139"/>
        <v>0</v>
      </c>
      <c r="CM158" s="347">
        <f t="shared" si="140"/>
        <v>0</v>
      </c>
      <c r="CN158" s="347">
        <f t="shared" si="141"/>
        <v>0</v>
      </c>
      <c r="CO158" s="347" t="str">
        <f t="shared" si="142"/>
        <v/>
      </c>
      <c r="CP158" s="347"/>
    </row>
    <row r="159">
      <c r="A159" s="574">
        <f t="shared" si="147"/>
        <v>200139</v>
      </c>
      <c r="B159" s="574" t="str">
        <f t="shared" si="1"/>
        <v>Batch 200139</v>
      </c>
      <c r="C159" s="347"/>
      <c r="D159" s="574" t="str">
        <f t="shared" si="190"/>
        <v>2-39</v>
      </c>
      <c r="E159" s="347"/>
      <c r="F159" s="596"/>
      <c r="G159" s="596"/>
      <c r="H159" s="347"/>
      <c r="I159" s="347"/>
      <c r="J159" s="583" t="str">
        <f t="shared" si="82"/>
        <v/>
      </c>
      <c r="K159" s="609"/>
      <c r="L159" s="1"/>
      <c r="M159" s="347"/>
      <c r="N159" s="347"/>
      <c r="O159" s="579">
        <f t="shared" si="2"/>
        <v>0</v>
      </c>
      <c r="P159" s="579">
        <f t="shared" si="126"/>
        <v>0</v>
      </c>
      <c r="Q159" s="574"/>
      <c r="R159" s="347"/>
      <c r="S159" s="597"/>
      <c r="T159" s="347"/>
      <c r="U159" s="579">
        <f t="shared" si="48"/>
        <v>0</v>
      </c>
      <c r="V159" s="579">
        <f t="shared" si="49"/>
        <v>0</v>
      </c>
      <c r="W159" s="574" t="str">
        <f t="shared" si="179"/>
        <v/>
      </c>
      <c r="X159" s="347" t="str">
        <f t="shared" si="170"/>
        <v/>
      </c>
      <c r="Y159" s="347" t="str">
        <f t="shared" si="188"/>
        <v/>
      </c>
      <c r="Z159" s="347" t="str">
        <f t="shared" si="171"/>
        <v/>
      </c>
      <c r="AA159" s="579">
        <f t="shared" si="6"/>
        <v>0</v>
      </c>
      <c r="AB159" s="581">
        <f t="shared" si="105"/>
        <v>0</v>
      </c>
      <c r="AC159" s="347" t="str">
        <f t="shared" si="183"/>
        <v/>
      </c>
      <c r="AD159" s="347" t="str">
        <f t="shared" si="176"/>
        <v/>
      </c>
      <c r="AE159" s="347" t="str">
        <f t="shared" si="173"/>
        <v/>
      </c>
      <c r="AF159" s="347" t="str">
        <f t="shared" si="174"/>
        <v/>
      </c>
      <c r="AG159" s="579">
        <f t="shared" si="54"/>
        <v>0</v>
      </c>
      <c r="AH159" s="579">
        <f t="shared" si="175"/>
        <v>0</v>
      </c>
      <c r="AI159" s="582"/>
      <c r="AJ159" s="582"/>
      <c r="AK159" s="582"/>
      <c r="AL159" s="582"/>
      <c r="AM159" s="579"/>
      <c r="AN159" s="579"/>
      <c r="AO159" s="347"/>
      <c r="AP159" s="581">
        <f t="shared" si="164"/>
        <v>0</v>
      </c>
      <c r="AQ159" s="596"/>
      <c r="AR159" s="596"/>
      <c r="AS159" s="348"/>
      <c r="AT159" s="348"/>
      <c r="AU159" s="348"/>
      <c r="AV159" s="348"/>
      <c r="AW159" s="348"/>
      <c r="AX159" s="584">
        <f t="shared" si="165"/>
        <v>0</v>
      </c>
      <c r="AY159" s="581">
        <f t="shared" si="12"/>
        <v>0</v>
      </c>
      <c r="AZ159" s="581">
        <f t="shared" si="159"/>
        <v>0</v>
      </c>
      <c r="BA159" s="596"/>
      <c r="BB159" s="596"/>
      <c r="BC159" s="348"/>
      <c r="BD159" s="581" t="str">
        <f t="shared" si="99"/>
        <v/>
      </c>
      <c r="BE159" s="581">
        <f t="shared" si="37"/>
        <v>0</v>
      </c>
      <c r="BF159" s="347"/>
      <c r="BG159" s="347"/>
      <c r="BH159" s="347"/>
      <c r="BI159" s="347"/>
      <c r="BJ159" s="586">
        <f t="shared" si="187"/>
        <v>0</v>
      </c>
      <c r="BK159" s="581">
        <f t="shared" si="15"/>
        <v>0</v>
      </c>
      <c r="BL159" s="347"/>
      <c r="BM159" s="347"/>
      <c r="BN159" s="347"/>
      <c r="BO159" s="586">
        <f t="shared" si="189"/>
        <v>0</v>
      </c>
      <c r="BP159" s="584">
        <f t="shared" si="17"/>
        <v>0</v>
      </c>
      <c r="BQ159" s="347"/>
      <c r="BR159" s="581">
        <f t="shared" si="153"/>
        <v>0</v>
      </c>
      <c r="BS159" s="588">
        <f t="shared" si="180"/>
        <v>0</v>
      </c>
      <c r="BT159" s="581">
        <f t="shared" si="20"/>
        <v>0</v>
      </c>
      <c r="BU159" s="589"/>
      <c r="BV159" s="581">
        <f t="shared" si="44"/>
        <v>0</v>
      </c>
      <c r="BW159" s="590"/>
      <c r="BX159" s="347"/>
      <c r="BY159" s="347"/>
      <c r="BZ159" s="347"/>
      <c r="CA159" s="586">
        <f t="shared" si="129"/>
        <v>0</v>
      </c>
      <c r="CB159" s="581">
        <f t="shared" si="160"/>
        <v>0</v>
      </c>
      <c r="CC159" s="581">
        <f t="shared" si="131"/>
        <v>0</v>
      </c>
      <c r="CD159" s="581">
        <f t="shared" si="132"/>
        <v>0</v>
      </c>
      <c r="CE159" s="581">
        <f t="shared" si="133"/>
        <v>0</v>
      </c>
      <c r="CF159" s="581">
        <f t="shared" si="134"/>
        <v>0</v>
      </c>
      <c r="CG159" s="581">
        <f t="shared" si="135"/>
        <v>0</v>
      </c>
      <c r="CH159" s="608" t="str">
        <f t="shared" si="136"/>
        <v>#DIV/0!</v>
      </c>
      <c r="CI159" s="603" t="str">
        <f t="shared" si="137"/>
        <v>#DIV/0!</v>
      </c>
      <c r="CJ159" s="347"/>
      <c r="CK159" s="347">
        <f t="shared" si="138"/>
        <v>0</v>
      </c>
      <c r="CL159" s="539">
        <f t="shared" si="139"/>
        <v>0</v>
      </c>
      <c r="CM159" s="347">
        <f t="shared" si="140"/>
        <v>0</v>
      </c>
      <c r="CN159" s="347">
        <f t="shared" si="141"/>
        <v>0</v>
      </c>
      <c r="CO159" s="347" t="str">
        <f t="shared" si="142"/>
        <v/>
      </c>
      <c r="CP159" s="347"/>
    </row>
    <row r="160">
      <c r="A160" s="574">
        <f t="shared" si="147"/>
        <v>300072</v>
      </c>
      <c r="B160" s="574" t="str">
        <f t="shared" si="1"/>
        <v>Batch 300072</v>
      </c>
      <c r="C160" s="347"/>
      <c r="D160" s="574" t="str">
        <f t="shared" si="190"/>
        <v>3-72</v>
      </c>
      <c r="E160" s="347"/>
      <c r="F160" s="596"/>
      <c r="G160" s="596"/>
      <c r="H160" s="347"/>
      <c r="I160" s="347"/>
      <c r="J160" s="583" t="str">
        <f t="shared" si="82"/>
        <v/>
      </c>
      <c r="K160" s="609"/>
      <c r="L160" s="1"/>
      <c r="M160" s="347"/>
      <c r="N160" s="347"/>
      <c r="O160" s="579">
        <f t="shared" si="2"/>
        <v>0</v>
      </c>
      <c r="P160" s="579">
        <f t="shared" si="126"/>
        <v>0</v>
      </c>
      <c r="Q160" s="574"/>
      <c r="R160" s="347"/>
      <c r="S160" s="597"/>
      <c r="T160" s="347"/>
      <c r="U160" s="579">
        <f t="shared" si="48"/>
        <v>0</v>
      </c>
      <c r="V160" s="579">
        <f t="shared" si="49"/>
        <v>0</v>
      </c>
      <c r="W160" s="574" t="str">
        <f t="shared" si="179"/>
        <v/>
      </c>
      <c r="X160" s="347" t="str">
        <f t="shared" si="170"/>
        <v/>
      </c>
      <c r="Y160" s="347" t="str">
        <f t="shared" si="188"/>
        <v/>
      </c>
      <c r="Z160" s="347" t="str">
        <f t="shared" si="171"/>
        <v/>
      </c>
      <c r="AA160" s="579">
        <f t="shared" si="6"/>
        <v>0</v>
      </c>
      <c r="AB160" s="581">
        <f t="shared" si="105"/>
        <v>0</v>
      </c>
      <c r="AC160" s="347" t="str">
        <f t="shared" si="183"/>
        <v/>
      </c>
      <c r="AD160" s="347" t="str">
        <f t="shared" si="176"/>
        <v/>
      </c>
      <c r="AE160" s="347" t="str">
        <f t="shared" si="173"/>
        <v/>
      </c>
      <c r="AF160" s="347" t="str">
        <f t="shared" si="174"/>
        <v/>
      </c>
      <c r="AG160" s="579">
        <f t="shared" si="54"/>
        <v>0</v>
      </c>
      <c r="AH160" s="579">
        <f t="shared" si="175"/>
        <v>0</v>
      </c>
      <c r="AI160" s="582"/>
      <c r="AJ160" s="582"/>
      <c r="AK160" s="582"/>
      <c r="AL160" s="582"/>
      <c r="AM160" s="579"/>
      <c r="AN160" s="579"/>
      <c r="AO160" s="347"/>
      <c r="AP160" s="581">
        <f t="shared" si="164"/>
        <v>0</v>
      </c>
      <c r="AQ160" s="596"/>
      <c r="AR160" s="596"/>
      <c r="AS160" s="348"/>
      <c r="AT160" s="348"/>
      <c r="AU160" s="348"/>
      <c r="AV160" s="348"/>
      <c r="AW160" s="348"/>
      <c r="AX160" s="584">
        <f t="shared" si="165"/>
        <v>0</v>
      </c>
      <c r="AY160" s="581">
        <f t="shared" si="12"/>
        <v>0</v>
      </c>
      <c r="AZ160" s="581">
        <f t="shared" si="159"/>
        <v>0</v>
      </c>
      <c r="BA160" s="596"/>
      <c r="BB160" s="596"/>
      <c r="BC160" s="348"/>
      <c r="BD160" s="581" t="str">
        <f t="shared" si="99"/>
        <v/>
      </c>
      <c r="BE160" s="581">
        <f t="shared" si="37"/>
        <v>0</v>
      </c>
      <c r="BF160" s="347"/>
      <c r="BG160" s="347"/>
      <c r="BH160" s="347"/>
      <c r="BI160" s="347"/>
      <c r="BJ160" s="586">
        <f t="shared" si="187"/>
        <v>0</v>
      </c>
      <c r="BK160" s="581">
        <f t="shared" si="15"/>
        <v>0</v>
      </c>
      <c r="BL160" s="347"/>
      <c r="BM160" s="347"/>
      <c r="BN160" s="347"/>
      <c r="BO160" s="586">
        <f t="shared" si="189"/>
        <v>0</v>
      </c>
      <c r="BP160" s="584">
        <f t="shared" si="17"/>
        <v>0</v>
      </c>
      <c r="BQ160" s="347"/>
      <c r="BR160" s="581">
        <f t="shared" si="153"/>
        <v>0</v>
      </c>
      <c r="BS160" s="588">
        <f t="shared" si="180"/>
        <v>0</v>
      </c>
      <c r="BT160" s="581">
        <f t="shared" si="20"/>
        <v>0</v>
      </c>
      <c r="BU160" s="589"/>
      <c r="BV160" s="581">
        <f t="shared" si="44"/>
        <v>0</v>
      </c>
      <c r="BW160" s="590"/>
      <c r="BX160" s="347"/>
      <c r="BY160" s="347"/>
      <c r="BZ160" s="347"/>
      <c r="CA160" s="586">
        <f t="shared" si="129"/>
        <v>0</v>
      </c>
      <c r="CB160" s="581">
        <f t="shared" si="160"/>
        <v>0</v>
      </c>
      <c r="CC160" s="581">
        <f t="shared" si="131"/>
        <v>0</v>
      </c>
      <c r="CD160" s="581">
        <f t="shared" si="132"/>
        <v>0</v>
      </c>
      <c r="CE160" s="581">
        <f t="shared" si="133"/>
        <v>0</v>
      </c>
      <c r="CF160" s="581">
        <f t="shared" si="134"/>
        <v>0</v>
      </c>
      <c r="CG160" s="581">
        <f t="shared" si="135"/>
        <v>0</v>
      </c>
      <c r="CH160" s="608" t="str">
        <f t="shared" si="136"/>
        <v>#DIV/0!</v>
      </c>
      <c r="CI160" s="603" t="str">
        <f t="shared" si="137"/>
        <v>#DIV/0!</v>
      </c>
      <c r="CJ160" s="347"/>
      <c r="CK160" s="347">
        <f t="shared" si="138"/>
        <v>0</v>
      </c>
      <c r="CL160" s="539">
        <f t="shared" si="139"/>
        <v>0</v>
      </c>
      <c r="CM160" s="347">
        <f t="shared" si="140"/>
        <v>0</v>
      </c>
      <c r="CN160" s="347">
        <f t="shared" si="141"/>
        <v>0</v>
      </c>
      <c r="CO160" s="347" t="str">
        <f t="shared" si="142"/>
        <v/>
      </c>
      <c r="CP160" s="347"/>
    </row>
    <row r="161">
      <c r="A161" s="574">
        <f t="shared" si="147"/>
        <v>200140</v>
      </c>
      <c r="B161" s="574" t="str">
        <f t="shared" si="1"/>
        <v>Batch 200140</v>
      </c>
      <c r="C161" s="347"/>
      <c r="D161" s="574" t="str">
        <f t="shared" si="190"/>
        <v>2-40</v>
      </c>
      <c r="E161" s="347"/>
      <c r="F161" s="596"/>
      <c r="G161" s="596"/>
      <c r="H161" s="347"/>
      <c r="I161" s="347"/>
      <c r="J161" s="583" t="str">
        <f t="shared" si="82"/>
        <v/>
      </c>
      <c r="K161" s="609"/>
      <c r="L161" s="1"/>
      <c r="M161" s="347"/>
      <c r="N161" s="347"/>
      <c r="O161" s="579">
        <f t="shared" si="2"/>
        <v>0</v>
      </c>
      <c r="P161" s="579">
        <f t="shared" si="126"/>
        <v>0</v>
      </c>
      <c r="Q161" s="574"/>
      <c r="R161" s="347"/>
      <c r="S161" s="597"/>
      <c r="T161" s="347"/>
      <c r="U161" s="579">
        <f t="shared" si="48"/>
        <v>0</v>
      </c>
      <c r="V161" s="579">
        <f t="shared" si="49"/>
        <v>0</v>
      </c>
      <c r="W161" s="574" t="str">
        <f t="shared" si="179"/>
        <v/>
      </c>
      <c r="X161" s="347" t="str">
        <f t="shared" si="170"/>
        <v/>
      </c>
      <c r="Y161" s="347" t="str">
        <f t="shared" si="188"/>
        <v/>
      </c>
      <c r="Z161" s="347" t="str">
        <f t="shared" si="171"/>
        <v/>
      </c>
      <c r="AA161" s="579">
        <f t="shared" si="6"/>
        <v>0</v>
      </c>
      <c r="AB161" s="581">
        <f t="shared" si="105"/>
        <v>0</v>
      </c>
      <c r="AC161" s="347" t="str">
        <f t="shared" si="183"/>
        <v/>
      </c>
      <c r="AD161" s="347" t="str">
        <f t="shared" si="176"/>
        <v/>
      </c>
      <c r="AE161" s="347" t="str">
        <f t="shared" si="173"/>
        <v/>
      </c>
      <c r="AF161" s="347" t="str">
        <f t="shared" si="174"/>
        <v/>
      </c>
      <c r="AG161" s="579">
        <f t="shared" si="54"/>
        <v>0</v>
      </c>
      <c r="AH161" s="579">
        <f t="shared" si="175"/>
        <v>0</v>
      </c>
      <c r="AI161" s="582"/>
      <c r="AJ161" s="582"/>
      <c r="AK161" s="582"/>
      <c r="AL161" s="582"/>
      <c r="AM161" s="579"/>
      <c r="AN161" s="579"/>
      <c r="AO161" s="347"/>
      <c r="AP161" s="581">
        <f t="shared" si="164"/>
        <v>0</v>
      </c>
      <c r="AQ161" s="596"/>
      <c r="AR161" s="596"/>
      <c r="AS161" s="348"/>
      <c r="AT161" s="348"/>
      <c r="AU161" s="348"/>
      <c r="AV161" s="348"/>
      <c r="AW161" s="348"/>
      <c r="AX161" s="584">
        <f t="shared" si="165"/>
        <v>0</v>
      </c>
      <c r="AY161" s="581">
        <f t="shared" si="12"/>
        <v>0</v>
      </c>
      <c r="AZ161" s="581">
        <f t="shared" si="159"/>
        <v>0</v>
      </c>
      <c r="BA161" s="596"/>
      <c r="BB161" s="596"/>
      <c r="BC161" s="348"/>
      <c r="BD161" s="581" t="str">
        <f t="shared" si="99"/>
        <v/>
      </c>
      <c r="BE161" s="581">
        <f t="shared" si="37"/>
        <v>0</v>
      </c>
      <c r="BF161" s="347"/>
      <c r="BG161" s="347"/>
      <c r="BH161" s="347"/>
      <c r="BI161" s="347"/>
      <c r="BJ161" s="586">
        <f t="shared" si="187"/>
        <v>0</v>
      </c>
      <c r="BK161" s="581">
        <f t="shared" si="15"/>
        <v>0</v>
      </c>
      <c r="BL161" s="347"/>
      <c r="BM161" s="347"/>
      <c r="BN161" s="347"/>
      <c r="BO161" s="586">
        <f t="shared" si="189"/>
        <v>0</v>
      </c>
      <c r="BP161" s="584">
        <f t="shared" si="17"/>
        <v>0</v>
      </c>
      <c r="BQ161" s="347"/>
      <c r="BR161" s="581">
        <f t="shared" si="153"/>
        <v>0</v>
      </c>
      <c r="BS161" s="588">
        <f t="shared" si="180"/>
        <v>0</v>
      </c>
      <c r="BT161" s="581">
        <f t="shared" si="20"/>
        <v>0</v>
      </c>
      <c r="BU161" s="589"/>
      <c r="BV161" s="581">
        <f t="shared" si="44"/>
        <v>0</v>
      </c>
      <c r="BW161" s="590"/>
      <c r="BX161" s="347"/>
      <c r="BY161" s="347"/>
      <c r="BZ161" s="347"/>
      <c r="CA161" s="586">
        <f t="shared" si="129"/>
        <v>0</v>
      </c>
      <c r="CB161" s="581">
        <f t="shared" si="160"/>
        <v>0</v>
      </c>
      <c r="CC161" s="581">
        <f t="shared" si="131"/>
        <v>0</v>
      </c>
      <c r="CD161" s="581">
        <f t="shared" si="132"/>
        <v>0</v>
      </c>
      <c r="CE161" s="581">
        <f t="shared" si="133"/>
        <v>0</v>
      </c>
      <c r="CF161" s="581">
        <f t="shared" si="134"/>
        <v>0</v>
      </c>
      <c r="CG161" s="581">
        <f t="shared" si="135"/>
        <v>0</v>
      </c>
      <c r="CH161" s="608" t="str">
        <f t="shared" si="136"/>
        <v>#DIV/0!</v>
      </c>
      <c r="CI161" s="603" t="str">
        <f t="shared" si="137"/>
        <v>#DIV/0!</v>
      </c>
      <c r="CJ161" s="347"/>
      <c r="CK161" s="347">
        <f t="shared" si="138"/>
        <v>0</v>
      </c>
      <c r="CL161" s="539">
        <f t="shared" si="139"/>
        <v>0</v>
      </c>
      <c r="CM161" s="347">
        <f t="shared" si="140"/>
        <v>0</v>
      </c>
      <c r="CN161" s="347">
        <f t="shared" si="141"/>
        <v>0</v>
      </c>
      <c r="CO161" s="347" t="str">
        <f t="shared" si="142"/>
        <v/>
      </c>
      <c r="CP161" s="347"/>
    </row>
    <row r="162">
      <c r="A162" s="574">
        <f t="shared" si="147"/>
        <v>300073</v>
      </c>
      <c r="B162" s="574" t="str">
        <f t="shared" si="1"/>
        <v>Batch 300073</v>
      </c>
      <c r="C162" s="347"/>
      <c r="D162" s="574" t="str">
        <f t="shared" si="190"/>
        <v>3-73</v>
      </c>
      <c r="E162" s="347"/>
      <c r="F162" s="596"/>
      <c r="G162" s="596"/>
      <c r="H162" s="347"/>
      <c r="I162" s="347"/>
      <c r="J162" s="583" t="str">
        <f t="shared" si="82"/>
        <v/>
      </c>
      <c r="K162" s="609"/>
      <c r="L162" s="1"/>
      <c r="M162" s="347"/>
      <c r="N162" s="347"/>
      <c r="O162" s="579">
        <f t="shared" si="2"/>
        <v>0</v>
      </c>
      <c r="P162" s="579">
        <f t="shared" si="126"/>
        <v>0</v>
      </c>
      <c r="Q162" s="574"/>
      <c r="R162" s="347"/>
      <c r="S162" s="597"/>
      <c r="T162" s="347"/>
      <c r="U162" s="579">
        <f t="shared" si="48"/>
        <v>0</v>
      </c>
      <c r="V162" s="579">
        <f t="shared" si="49"/>
        <v>0</v>
      </c>
      <c r="W162" s="574" t="str">
        <f t="shared" si="179"/>
        <v/>
      </c>
      <c r="X162" s="347" t="str">
        <f t="shared" si="170"/>
        <v/>
      </c>
      <c r="Y162" s="347" t="str">
        <f t="shared" si="188"/>
        <v/>
      </c>
      <c r="Z162" s="347" t="str">
        <f t="shared" si="171"/>
        <v/>
      </c>
      <c r="AA162" s="579">
        <f t="shared" si="6"/>
        <v>0</v>
      </c>
      <c r="AB162" s="581">
        <f t="shared" si="105"/>
        <v>0</v>
      </c>
      <c r="AC162" s="347" t="str">
        <f t="shared" si="183"/>
        <v/>
      </c>
      <c r="AD162" s="347" t="str">
        <f t="shared" si="176"/>
        <v/>
      </c>
      <c r="AE162" s="347" t="str">
        <f t="shared" si="173"/>
        <v/>
      </c>
      <c r="AF162" s="347" t="str">
        <f t="shared" si="174"/>
        <v/>
      </c>
      <c r="AG162" s="579">
        <f t="shared" si="54"/>
        <v>0</v>
      </c>
      <c r="AH162" s="579">
        <f t="shared" si="175"/>
        <v>0</v>
      </c>
      <c r="AI162" s="582"/>
      <c r="AJ162" s="582"/>
      <c r="AK162" s="582"/>
      <c r="AL162" s="582"/>
      <c r="AM162" s="579"/>
      <c r="AN162" s="579"/>
      <c r="AO162" s="347"/>
      <c r="AP162" s="581">
        <f t="shared" si="164"/>
        <v>0</v>
      </c>
      <c r="AQ162" s="596"/>
      <c r="AR162" s="596"/>
      <c r="AS162" s="348"/>
      <c r="AT162" s="348"/>
      <c r="AU162" s="348"/>
      <c r="AV162" s="348"/>
      <c r="AW162" s="348"/>
      <c r="AX162" s="584">
        <f t="shared" si="165"/>
        <v>0</v>
      </c>
      <c r="AY162" s="581">
        <f t="shared" si="12"/>
        <v>0</v>
      </c>
      <c r="AZ162" s="581">
        <f t="shared" si="159"/>
        <v>0</v>
      </c>
      <c r="BA162" s="596"/>
      <c r="BB162" s="596"/>
      <c r="BC162" s="348"/>
      <c r="BD162" s="581" t="str">
        <f t="shared" si="99"/>
        <v/>
      </c>
      <c r="BE162" s="581">
        <f t="shared" si="37"/>
        <v>0</v>
      </c>
      <c r="BF162" s="347"/>
      <c r="BG162" s="347"/>
      <c r="BH162" s="347"/>
      <c r="BI162" s="347"/>
      <c r="BJ162" s="586">
        <f t="shared" si="187"/>
        <v>0</v>
      </c>
      <c r="BK162" s="581">
        <f t="shared" si="15"/>
        <v>0</v>
      </c>
      <c r="BL162" s="347"/>
      <c r="BM162" s="347"/>
      <c r="BN162" s="347"/>
      <c r="BO162" s="586">
        <f t="shared" si="189"/>
        <v>0</v>
      </c>
      <c r="BP162" s="584">
        <f t="shared" si="17"/>
        <v>0</v>
      </c>
      <c r="BQ162" s="347"/>
      <c r="BR162" s="581">
        <f t="shared" si="153"/>
        <v>0</v>
      </c>
      <c r="BS162" s="588">
        <f t="shared" si="180"/>
        <v>0</v>
      </c>
      <c r="BT162" s="581">
        <f t="shared" si="20"/>
        <v>0</v>
      </c>
      <c r="BU162" s="589"/>
      <c r="BV162" s="581">
        <f t="shared" si="44"/>
        <v>0</v>
      </c>
      <c r="BW162" s="590"/>
      <c r="BX162" s="347"/>
      <c r="BY162" s="347"/>
      <c r="BZ162" s="347"/>
      <c r="CA162" s="586">
        <f t="shared" si="129"/>
        <v>0</v>
      </c>
      <c r="CB162" s="581">
        <f t="shared" si="160"/>
        <v>0</v>
      </c>
      <c r="CC162" s="581">
        <f t="shared" si="131"/>
        <v>0</v>
      </c>
      <c r="CD162" s="581">
        <f t="shared" si="132"/>
        <v>0</v>
      </c>
      <c r="CE162" s="581">
        <f t="shared" si="133"/>
        <v>0</v>
      </c>
      <c r="CF162" s="581">
        <f t="shared" si="134"/>
        <v>0</v>
      </c>
      <c r="CG162" s="581">
        <f t="shared" si="135"/>
        <v>0</v>
      </c>
      <c r="CH162" s="608" t="str">
        <f t="shared" si="136"/>
        <v>#DIV/0!</v>
      </c>
      <c r="CI162" s="603" t="str">
        <f t="shared" si="137"/>
        <v>#DIV/0!</v>
      </c>
      <c r="CJ162" s="347"/>
      <c r="CK162" s="347">
        <f t="shared" si="138"/>
        <v>0</v>
      </c>
      <c r="CL162" s="539">
        <f t="shared" si="139"/>
        <v>0</v>
      </c>
      <c r="CM162" s="347">
        <f t="shared" si="140"/>
        <v>0</v>
      </c>
      <c r="CN162" s="347">
        <f t="shared" si="141"/>
        <v>0</v>
      </c>
      <c r="CO162" s="347" t="str">
        <f t="shared" si="142"/>
        <v/>
      </c>
      <c r="CP162" s="347"/>
    </row>
    <row r="163">
      <c r="A163" s="574">
        <f t="shared" si="147"/>
        <v>200141</v>
      </c>
      <c r="B163" s="574" t="str">
        <f t="shared" si="1"/>
        <v>Batch 200141</v>
      </c>
      <c r="C163" s="347"/>
      <c r="D163" s="574" t="str">
        <f t="shared" si="190"/>
        <v>2-41</v>
      </c>
      <c r="E163" s="347"/>
      <c r="F163" s="596"/>
      <c r="G163" s="596"/>
      <c r="H163" s="347"/>
      <c r="I163" s="347"/>
      <c r="J163" s="583" t="str">
        <f t="shared" si="82"/>
        <v/>
      </c>
      <c r="K163" s="609"/>
      <c r="L163" s="1"/>
      <c r="M163" s="347"/>
      <c r="N163" s="347"/>
      <c r="O163" s="579">
        <f t="shared" si="2"/>
        <v>0</v>
      </c>
      <c r="P163" s="579">
        <f t="shared" si="126"/>
        <v>0</v>
      </c>
      <c r="Q163" s="574"/>
      <c r="R163" s="347"/>
      <c r="S163" s="597"/>
      <c r="T163" s="347"/>
      <c r="U163" s="579">
        <f t="shared" si="48"/>
        <v>0</v>
      </c>
      <c r="V163" s="579">
        <f t="shared" si="49"/>
        <v>0</v>
      </c>
      <c r="W163" s="574" t="str">
        <f t="shared" si="179"/>
        <v/>
      </c>
      <c r="X163" s="347" t="str">
        <f t="shared" si="170"/>
        <v/>
      </c>
      <c r="Y163" s="347" t="str">
        <f t="shared" si="188"/>
        <v/>
      </c>
      <c r="Z163" s="347" t="str">
        <f t="shared" si="171"/>
        <v/>
      </c>
      <c r="AA163" s="579">
        <f t="shared" si="6"/>
        <v>0</v>
      </c>
      <c r="AB163" s="581">
        <f t="shared" si="105"/>
        <v>0</v>
      </c>
      <c r="AC163" s="347" t="str">
        <f t="shared" si="183"/>
        <v/>
      </c>
      <c r="AD163" s="347" t="str">
        <f t="shared" si="176"/>
        <v/>
      </c>
      <c r="AE163" s="347" t="str">
        <f t="shared" si="173"/>
        <v/>
      </c>
      <c r="AF163" s="347" t="str">
        <f t="shared" si="174"/>
        <v/>
      </c>
      <c r="AG163" s="579">
        <f t="shared" si="54"/>
        <v>0</v>
      </c>
      <c r="AH163" s="579">
        <f t="shared" si="175"/>
        <v>0</v>
      </c>
      <c r="AI163" s="582"/>
      <c r="AJ163" s="582"/>
      <c r="AK163" s="582"/>
      <c r="AL163" s="582"/>
      <c r="AM163" s="579"/>
      <c r="AN163" s="579"/>
      <c r="AO163" s="347"/>
      <c r="AP163" s="581">
        <f t="shared" si="164"/>
        <v>0</v>
      </c>
      <c r="AQ163" s="596"/>
      <c r="AR163" s="596"/>
      <c r="AS163" s="348"/>
      <c r="AT163" s="348"/>
      <c r="AU163" s="348"/>
      <c r="AV163" s="348"/>
      <c r="AW163" s="348"/>
      <c r="AX163" s="584">
        <f t="shared" si="165"/>
        <v>0</v>
      </c>
      <c r="AY163" s="581">
        <f t="shared" si="12"/>
        <v>0</v>
      </c>
      <c r="AZ163" s="581">
        <f t="shared" si="159"/>
        <v>0</v>
      </c>
      <c r="BA163" s="596"/>
      <c r="BB163" s="596"/>
      <c r="BC163" s="348"/>
      <c r="BD163" s="581" t="str">
        <f t="shared" si="99"/>
        <v/>
      </c>
      <c r="BE163" s="581">
        <f t="shared" si="37"/>
        <v>0</v>
      </c>
      <c r="BF163" s="347"/>
      <c r="BG163" s="347"/>
      <c r="BH163" s="347"/>
      <c r="BI163" s="347"/>
      <c r="BJ163" s="586">
        <f t="shared" si="187"/>
        <v>0</v>
      </c>
      <c r="BK163" s="581">
        <f t="shared" si="15"/>
        <v>0</v>
      </c>
      <c r="BL163" s="347"/>
      <c r="BM163" s="347"/>
      <c r="BN163" s="347"/>
      <c r="BO163" s="586">
        <f t="shared" si="189"/>
        <v>0</v>
      </c>
      <c r="BP163" s="584">
        <f t="shared" si="17"/>
        <v>0</v>
      </c>
      <c r="BQ163" s="347"/>
      <c r="BR163" s="581">
        <f t="shared" si="153"/>
        <v>0</v>
      </c>
      <c r="BS163" s="588">
        <f t="shared" si="180"/>
        <v>0</v>
      </c>
      <c r="BT163" s="581">
        <f t="shared" si="20"/>
        <v>0</v>
      </c>
      <c r="BU163" s="589"/>
      <c r="BV163" s="581">
        <f t="shared" si="44"/>
        <v>0</v>
      </c>
      <c r="BW163" s="590"/>
      <c r="BX163" s="347"/>
      <c r="BY163" s="347"/>
      <c r="BZ163" s="347"/>
      <c r="CA163" s="586">
        <f t="shared" si="129"/>
        <v>0</v>
      </c>
      <c r="CB163" s="581">
        <f t="shared" si="160"/>
        <v>0</v>
      </c>
      <c r="CC163" s="581">
        <f t="shared" si="131"/>
        <v>0</v>
      </c>
      <c r="CD163" s="581">
        <f t="shared" si="132"/>
        <v>0</v>
      </c>
      <c r="CE163" s="581">
        <f t="shared" si="133"/>
        <v>0</v>
      </c>
      <c r="CF163" s="581">
        <f t="shared" si="134"/>
        <v>0</v>
      </c>
      <c r="CG163" s="581">
        <f t="shared" si="135"/>
        <v>0</v>
      </c>
      <c r="CH163" s="608" t="str">
        <f t="shared" si="136"/>
        <v>#DIV/0!</v>
      </c>
      <c r="CI163" s="603" t="str">
        <f t="shared" si="137"/>
        <v>#DIV/0!</v>
      </c>
      <c r="CJ163" s="347"/>
      <c r="CK163" s="347">
        <f t="shared" si="138"/>
        <v>0</v>
      </c>
      <c r="CL163" s="539">
        <f t="shared" si="139"/>
        <v>0</v>
      </c>
      <c r="CM163" s="347">
        <f t="shared" si="140"/>
        <v>0</v>
      </c>
      <c r="CN163" s="347">
        <f t="shared" si="141"/>
        <v>0</v>
      </c>
      <c r="CO163" s="347" t="str">
        <f t="shared" si="142"/>
        <v/>
      </c>
      <c r="CP163" s="347"/>
    </row>
    <row r="164">
      <c r="A164" s="574">
        <f t="shared" si="147"/>
        <v>300074</v>
      </c>
      <c r="B164" s="574" t="str">
        <f t="shared" si="1"/>
        <v>Batch 300074</v>
      </c>
      <c r="C164" s="347"/>
      <c r="D164" s="574" t="str">
        <f t="shared" si="190"/>
        <v>3-74</v>
      </c>
      <c r="E164" s="347"/>
      <c r="F164" s="596"/>
      <c r="G164" s="596"/>
      <c r="H164" s="347"/>
      <c r="I164" s="347"/>
      <c r="J164" s="596"/>
      <c r="K164" s="609"/>
      <c r="L164" s="1"/>
      <c r="M164" s="347"/>
      <c r="N164" s="347"/>
      <c r="O164" s="579">
        <f t="shared" si="2"/>
        <v>0</v>
      </c>
      <c r="P164" s="579">
        <f t="shared" si="126"/>
        <v>0</v>
      </c>
      <c r="Q164" s="574"/>
      <c r="R164" s="347"/>
      <c r="S164" s="597"/>
      <c r="T164" s="347"/>
      <c r="U164" s="579">
        <f t="shared" si="48"/>
        <v>0</v>
      </c>
      <c r="V164" s="579">
        <f t="shared" si="49"/>
        <v>0</v>
      </c>
      <c r="W164" s="574" t="str">
        <f t="shared" si="179"/>
        <v/>
      </c>
      <c r="X164" s="347" t="str">
        <f t="shared" si="170"/>
        <v/>
      </c>
      <c r="Y164" s="347" t="str">
        <f t="shared" si="188"/>
        <v/>
      </c>
      <c r="Z164" s="347" t="str">
        <f t="shared" si="171"/>
        <v/>
      </c>
      <c r="AA164" s="579">
        <f t="shared" si="6"/>
        <v>0</v>
      </c>
      <c r="AB164" s="581">
        <f t="shared" si="105"/>
        <v>0</v>
      </c>
      <c r="AC164" s="347" t="str">
        <f t="shared" si="183"/>
        <v/>
      </c>
      <c r="AD164" s="347" t="str">
        <f t="shared" si="176"/>
        <v/>
      </c>
      <c r="AE164" s="347" t="str">
        <f t="shared" si="173"/>
        <v/>
      </c>
      <c r="AF164" s="347" t="str">
        <f t="shared" si="174"/>
        <v/>
      </c>
      <c r="AG164" s="579">
        <f t="shared" si="54"/>
        <v>0</v>
      </c>
      <c r="AH164" s="579">
        <f t="shared" si="175"/>
        <v>0</v>
      </c>
      <c r="AI164" s="582"/>
      <c r="AJ164" s="582"/>
      <c r="AK164" s="582"/>
      <c r="AL164" s="582"/>
      <c r="AM164" s="579"/>
      <c r="AN164" s="579"/>
      <c r="AO164" s="347"/>
      <c r="AP164" s="581">
        <f t="shared" si="164"/>
        <v>0</v>
      </c>
      <c r="AQ164" s="596"/>
      <c r="AR164" s="596"/>
      <c r="AS164" s="348"/>
      <c r="AT164" s="348"/>
      <c r="AU164" s="348"/>
      <c r="AV164" s="348"/>
      <c r="AW164" s="348"/>
      <c r="AX164" s="584">
        <f t="shared" si="165"/>
        <v>0</v>
      </c>
      <c r="AY164" s="581">
        <f t="shared" si="12"/>
        <v>0</v>
      </c>
      <c r="AZ164" s="581">
        <f t="shared" si="159"/>
        <v>0</v>
      </c>
      <c r="BA164" s="596"/>
      <c r="BB164" s="596"/>
      <c r="BC164" s="348"/>
      <c r="BD164" s="581" t="str">
        <f t="shared" si="99"/>
        <v/>
      </c>
      <c r="BE164" s="581">
        <f t="shared" si="37"/>
        <v>0</v>
      </c>
      <c r="BF164" s="347"/>
      <c r="BG164" s="347"/>
      <c r="BH164" s="347"/>
      <c r="BI164" s="347"/>
      <c r="BJ164" s="586">
        <f t="shared" si="187"/>
        <v>0</v>
      </c>
      <c r="BK164" s="581">
        <f t="shared" si="15"/>
        <v>0</v>
      </c>
      <c r="BL164" s="347"/>
      <c r="BM164" s="347"/>
      <c r="BN164" s="347"/>
      <c r="BO164" s="586">
        <f t="shared" si="189"/>
        <v>0</v>
      </c>
      <c r="BP164" s="584">
        <f t="shared" si="17"/>
        <v>0</v>
      </c>
      <c r="BQ164" s="347"/>
      <c r="BR164" s="581">
        <f t="shared" si="153"/>
        <v>0</v>
      </c>
      <c r="BS164" s="588">
        <f t="shared" si="180"/>
        <v>0</v>
      </c>
      <c r="BT164" s="581">
        <f t="shared" si="20"/>
        <v>0</v>
      </c>
      <c r="BU164" s="589"/>
      <c r="BV164" s="581">
        <f t="shared" si="44"/>
        <v>0</v>
      </c>
      <c r="BW164" s="590"/>
      <c r="BX164" s="347"/>
      <c r="BY164" s="347"/>
      <c r="BZ164" s="347"/>
      <c r="CA164" s="586">
        <f t="shared" si="129"/>
        <v>0</v>
      </c>
      <c r="CB164" s="581">
        <f t="shared" si="160"/>
        <v>0</v>
      </c>
      <c r="CC164" s="581">
        <f t="shared" si="131"/>
        <v>0</v>
      </c>
      <c r="CD164" s="581">
        <f t="shared" si="132"/>
        <v>0</v>
      </c>
      <c r="CE164" s="581">
        <f t="shared" si="133"/>
        <v>0</v>
      </c>
      <c r="CF164" s="581">
        <f t="shared" si="134"/>
        <v>0</v>
      </c>
      <c r="CG164" s="581">
        <f t="shared" si="135"/>
        <v>0</v>
      </c>
      <c r="CH164" s="608" t="str">
        <f t="shared" si="136"/>
        <v>#DIV/0!</v>
      </c>
      <c r="CI164" s="603" t="str">
        <f t="shared" si="137"/>
        <v>#DIV/0!</v>
      </c>
      <c r="CJ164" s="347"/>
      <c r="CK164" s="347">
        <f t="shared" si="138"/>
        <v>0</v>
      </c>
      <c r="CL164" s="539">
        <f t="shared" si="139"/>
        <v>0</v>
      </c>
      <c r="CM164" s="347">
        <f t="shared" si="140"/>
        <v>0</v>
      </c>
      <c r="CN164" s="347">
        <f t="shared" si="141"/>
        <v>0</v>
      </c>
      <c r="CO164" s="347" t="str">
        <f t="shared" si="142"/>
        <v>1899-12-30</v>
      </c>
      <c r="CP164" s="347"/>
    </row>
    <row r="165">
      <c r="A165" s="574">
        <f t="shared" si="147"/>
        <v>200142</v>
      </c>
      <c r="B165" s="574" t="str">
        <f t="shared" si="1"/>
        <v>Batch 200142</v>
      </c>
      <c r="C165" s="347"/>
      <c r="D165" s="574" t="str">
        <f t="shared" si="190"/>
        <v>2-42</v>
      </c>
      <c r="E165" s="347"/>
      <c r="F165" s="596"/>
      <c r="G165" s="596"/>
      <c r="H165" s="347"/>
      <c r="I165" s="347"/>
      <c r="J165" s="596"/>
      <c r="K165" s="609"/>
      <c r="L165" s="1"/>
      <c r="M165" s="347"/>
      <c r="N165" s="347"/>
      <c r="O165" s="579">
        <f t="shared" si="2"/>
        <v>0</v>
      </c>
      <c r="P165" s="579">
        <f t="shared" si="126"/>
        <v>0</v>
      </c>
      <c r="Q165" s="574"/>
      <c r="R165" s="347"/>
      <c r="S165" s="597"/>
      <c r="T165" s="347"/>
      <c r="U165" s="579">
        <f t="shared" si="48"/>
        <v>0</v>
      </c>
      <c r="V165" s="579">
        <f t="shared" si="49"/>
        <v>0</v>
      </c>
      <c r="W165" s="574" t="str">
        <f t="shared" si="179"/>
        <v/>
      </c>
      <c r="X165" s="347" t="str">
        <f t="shared" si="170"/>
        <v/>
      </c>
      <c r="Y165" s="347" t="str">
        <f t="shared" si="188"/>
        <v/>
      </c>
      <c r="Z165" s="347" t="str">
        <f t="shared" si="171"/>
        <v/>
      </c>
      <c r="AA165" s="579">
        <f t="shared" si="6"/>
        <v>0</v>
      </c>
      <c r="AB165" s="581">
        <f t="shared" si="105"/>
        <v>0</v>
      </c>
      <c r="AC165" s="347" t="str">
        <f t="shared" si="183"/>
        <v/>
      </c>
      <c r="AD165" s="347" t="str">
        <f t="shared" si="176"/>
        <v/>
      </c>
      <c r="AE165" s="347" t="str">
        <f t="shared" si="173"/>
        <v/>
      </c>
      <c r="AF165" s="347" t="str">
        <f t="shared" si="174"/>
        <v/>
      </c>
      <c r="AG165" s="579">
        <f t="shared" si="54"/>
        <v>0</v>
      </c>
      <c r="AH165" s="579">
        <f t="shared" si="175"/>
        <v>0</v>
      </c>
      <c r="AI165" s="582"/>
      <c r="AJ165" s="582"/>
      <c r="AK165" s="582"/>
      <c r="AL165" s="582"/>
      <c r="AM165" s="579"/>
      <c r="AN165" s="579"/>
      <c r="AO165" s="347"/>
      <c r="AP165" s="581">
        <f t="shared" si="164"/>
        <v>0</v>
      </c>
      <c r="AQ165" s="596"/>
      <c r="AR165" s="596"/>
      <c r="AS165" s="348"/>
      <c r="AT165" s="348"/>
      <c r="AU165" s="348"/>
      <c r="AV165" s="348"/>
      <c r="AW165" s="348"/>
      <c r="AX165" s="584">
        <f t="shared" si="165"/>
        <v>0</v>
      </c>
      <c r="AY165" s="581">
        <f t="shared" si="12"/>
        <v>0</v>
      </c>
      <c r="AZ165" s="581">
        <f t="shared" si="159"/>
        <v>0</v>
      </c>
      <c r="BA165" s="596"/>
      <c r="BB165" s="596"/>
      <c r="BC165" s="348"/>
      <c r="BD165" s="581" t="str">
        <f t="shared" si="99"/>
        <v/>
      </c>
      <c r="BE165" s="581">
        <f t="shared" si="37"/>
        <v>0</v>
      </c>
      <c r="BF165" s="347"/>
      <c r="BG165" s="347"/>
      <c r="BH165" s="347"/>
      <c r="BI165" s="347"/>
      <c r="BJ165" s="586">
        <f t="shared" si="187"/>
        <v>0</v>
      </c>
      <c r="BK165" s="581">
        <f t="shared" si="15"/>
        <v>0</v>
      </c>
      <c r="BL165" s="347"/>
      <c r="BM165" s="347"/>
      <c r="BN165" s="347"/>
      <c r="BO165" s="586">
        <f t="shared" si="189"/>
        <v>0</v>
      </c>
      <c r="BP165" s="584">
        <f t="shared" si="17"/>
        <v>0</v>
      </c>
      <c r="BQ165" s="347"/>
      <c r="BR165" s="581">
        <f t="shared" si="153"/>
        <v>0</v>
      </c>
      <c r="BS165" s="588">
        <f t="shared" si="180"/>
        <v>0</v>
      </c>
      <c r="BT165" s="581">
        <f t="shared" si="20"/>
        <v>0</v>
      </c>
      <c r="BU165" s="589"/>
      <c r="BV165" s="581">
        <f t="shared" si="44"/>
        <v>0</v>
      </c>
      <c r="BW165" s="590"/>
      <c r="BX165" s="347"/>
      <c r="BY165" s="347"/>
      <c r="BZ165" s="347"/>
      <c r="CA165" s="586">
        <f t="shared" si="129"/>
        <v>0</v>
      </c>
      <c r="CB165" s="581">
        <f t="shared" si="160"/>
        <v>0</v>
      </c>
      <c r="CC165" s="581">
        <f t="shared" si="131"/>
        <v>0</v>
      </c>
      <c r="CD165" s="581">
        <f t="shared" si="132"/>
        <v>0</v>
      </c>
      <c r="CE165" s="581">
        <f t="shared" si="133"/>
        <v>0</v>
      </c>
      <c r="CF165" s="581">
        <f t="shared" si="134"/>
        <v>0</v>
      </c>
      <c r="CG165" s="581">
        <f t="shared" si="135"/>
        <v>0</v>
      </c>
      <c r="CH165" s="608" t="str">
        <f t="shared" si="136"/>
        <v>#DIV/0!</v>
      </c>
      <c r="CI165" s="603" t="str">
        <f t="shared" si="137"/>
        <v>#DIV/0!</v>
      </c>
      <c r="CJ165" s="347"/>
      <c r="CK165" s="347">
        <f t="shared" si="138"/>
        <v>0</v>
      </c>
      <c r="CL165" s="539">
        <f t="shared" si="139"/>
        <v>0</v>
      </c>
      <c r="CM165" s="347">
        <f t="shared" si="140"/>
        <v>0</v>
      </c>
      <c r="CN165" s="347">
        <f t="shared" si="141"/>
        <v>0</v>
      </c>
      <c r="CO165" s="347" t="str">
        <f t="shared" si="142"/>
        <v>1899-12-30</v>
      </c>
      <c r="CP165" s="347"/>
    </row>
    <row r="166">
      <c r="A166" s="574">
        <f t="shared" si="147"/>
        <v>300075</v>
      </c>
      <c r="B166" s="574" t="str">
        <f t="shared" si="1"/>
        <v>Batch 300075</v>
      </c>
      <c r="C166" s="347"/>
      <c r="D166" s="574" t="str">
        <f t="shared" si="190"/>
        <v>3-75</v>
      </c>
      <c r="E166" s="347"/>
      <c r="F166" s="596"/>
      <c r="G166" s="596"/>
      <c r="H166" s="347"/>
      <c r="I166" s="347"/>
      <c r="J166" s="596"/>
      <c r="K166" s="609"/>
      <c r="L166" s="1"/>
      <c r="M166" s="347"/>
      <c r="N166" s="347"/>
      <c r="O166" s="579">
        <f t="shared" si="2"/>
        <v>0</v>
      </c>
      <c r="P166" s="579">
        <f t="shared" si="126"/>
        <v>0</v>
      </c>
      <c r="Q166" s="574"/>
      <c r="R166" s="347"/>
      <c r="S166" s="597"/>
      <c r="T166" s="347"/>
      <c r="U166" s="579">
        <f t="shared" si="48"/>
        <v>0</v>
      </c>
      <c r="V166" s="579">
        <f t="shared" si="49"/>
        <v>0</v>
      </c>
      <c r="W166" s="574" t="str">
        <f t="shared" si="179"/>
        <v/>
      </c>
      <c r="X166" s="347" t="str">
        <f t="shared" si="170"/>
        <v/>
      </c>
      <c r="Y166" s="347" t="str">
        <f t="shared" si="188"/>
        <v/>
      </c>
      <c r="Z166" s="347" t="str">
        <f t="shared" si="171"/>
        <v/>
      </c>
      <c r="AA166" s="579">
        <f t="shared" si="6"/>
        <v>0</v>
      </c>
      <c r="AB166" s="581">
        <f t="shared" si="105"/>
        <v>0</v>
      </c>
      <c r="AC166" s="347" t="str">
        <f t="shared" si="183"/>
        <v/>
      </c>
      <c r="AD166" s="347" t="str">
        <f t="shared" si="176"/>
        <v/>
      </c>
      <c r="AE166" s="347" t="str">
        <f t="shared" si="173"/>
        <v/>
      </c>
      <c r="AF166" s="347" t="str">
        <f t="shared" si="174"/>
        <v/>
      </c>
      <c r="AG166" s="579">
        <f t="shared" si="54"/>
        <v>0</v>
      </c>
      <c r="AH166" s="579">
        <f t="shared" si="175"/>
        <v>0</v>
      </c>
      <c r="AI166" s="582"/>
      <c r="AJ166" s="582"/>
      <c r="AK166" s="582"/>
      <c r="AL166" s="582"/>
      <c r="AM166" s="579"/>
      <c r="AN166" s="579"/>
      <c r="AO166" s="347"/>
      <c r="AP166" s="581">
        <f t="shared" si="164"/>
        <v>0</v>
      </c>
      <c r="AQ166" s="596"/>
      <c r="AR166" s="596"/>
      <c r="AS166" s="348"/>
      <c r="AT166" s="348"/>
      <c r="AU166" s="348"/>
      <c r="AV166" s="348"/>
      <c r="AW166" s="348"/>
      <c r="AX166" s="584">
        <f t="shared" si="165"/>
        <v>0</v>
      </c>
      <c r="AY166" s="581">
        <f t="shared" si="12"/>
        <v>0</v>
      </c>
      <c r="AZ166" s="581">
        <f t="shared" si="159"/>
        <v>0</v>
      </c>
      <c r="BA166" s="596"/>
      <c r="BB166" s="596"/>
      <c r="BC166" s="348"/>
      <c r="BD166" s="581" t="str">
        <f t="shared" si="99"/>
        <v/>
      </c>
      <c r="BE166" s="581">
        <f t="shared" si="37"/>
        <v>0</v>
      </c>
      <c r="BF166" s="347"/>
      <c r="BG166" s="347"/>
      <c r="BH166" s="347"/>
      <c r="BI166" s="347"/>
      <c r="BJ166" s="586">
        <f t="shared" si="187"/>
        <v>0</v>
      </c>
      <c r="BK166" s="581">
        <f t="shared" si="15"/>
        <v>0</v>
      </c>
      <c r="BL166" s="347"/>
      <c r="BM166" s="347"/>
      <c r="BN166" s="347"/>
      <c r="BO166" s="586">
        <f t="shared" si="189"/>
        <v>0</v>
      </c>
      <c r="BP166" s="584">
        <f t="shared" si="17"/>
        <v>0</v>
      </c>
      <c r="BQ166" s="347"/>
      <c r="BR166" s="581">
        <f t="shared" si="153"/>
        <v>0</v>
      </c>
      <c r="BS166" s="588">
        <f t="shared" si="180"/>
        <v>0</v>
      </c>
      <c r="BT166" s="581">
        <f t="shared" si="20"/>
        <v>0</v>
      </c>
      <c r="BU166" s="589"/>
      <c r="BV166" s="581">
        <f t="shared" si="44"/>
        <v>0</v>
      </c>
      <c r="BW166" s="590"/>
      <c r="BX166" s="347"/>
      <c r="BY166" s="347"/>
      <c r="BZ166" s="347"/>
      <c r="CA166" s="586">
        <f t="shared" si="129"/>
        <v>0</v>
      </c>
      <c r="CB166" s="581">
        <f t="shared" si="160"/>
        <v>0</v>
      </c>
      <c r="CC166" s="581">
        <f t="shared" si="131"/>
        <v>0</v>
      </c>
      <c r="CD166" s="581">
        <f t="shared" si="132"/>
        <v>0</v>
      </c>
      <c r="CE166" s="581">
        <f t="shared" si="133"/>
        <v>0</v>
      </c>
      <c r="CF166" s="581">
        <f t="shared" si="134"/>
        <v>0</v>
      </c>
      <c r="CG166" s="581">
        <f t="shared" si="135"/>
        <v>0</v>
      </c>
      <c r="CH166" s="608" t="str">
        <f t="shared" si="136"/>
        <v>#DIV/0!</v>
      </c>
      <c r="CI166" s="603" t="str">
        <f t="shared" si="137"/>
        <v>#DIV/0!</v>
      </c>
      <c r="CJ166" s="347"/>
      <c r="CK166" s="347">
        <f t="shared" si="138"/>
        <v>0</v>
      </c>
      <c r="CL166" s="539">
        <f t="shared" si="139"/>
        <v>0</v>
      </c>
      <c r="CM166" s="347">
        <f t="shared" si="140"/>
        <v>0</v>
      </c>
      <c r="CN166" s="347">
        <f t="shared" si="141"/>
        <v>0</v>
      </c>
      <c r="CO166" s="347" t="str">
        <f t="shared" si="142"/>
        <v>1899-12-30</v>
      </c>
      <c r="CP166" s="347"/>
    </row>
    <row r="167">
      <c r="A167" s="574">
        <f t="shared" si="147"/>
        <v>200143</v>
      </c>
      <c r="B167" s="574" t="str">
        <f t="shared" si="1"/>
        <v>Batch 200143</v>
      </c>
      <c r="C167" s="347"/>
      <c r="D167" s="574" t="str">
        <f t="shared" si="190"/>
        <v>2-43</v>
      </c>
      <c r="E167" s="347"/>
      <c r="F167" s="596"/>
      <c r="G167" s="596"/>
      <c r="H167" s="347"/>
      <c r="I167" s="347"/>
      <c r="J167" s="596"/>
      <c r="K167" s="609"/>
      <c r="L167" s="1"/>
      <c r="M167" s="347"/>
      <c r="N167" s="347"/>
      <c r="O167" s="579">
        <f t="shared" si="2"/>
        <v>0</v>
      </c>
      <c r="P167" s="579">
        <f t="shared" si="126"/>
        <v>0</v>
      </c>
      <c r="Q167" s="574"/>
      <c r="R167" s="347"/>
      <c r="S167" s="597"/>
      <c r="T167" s="347"/>
      <c r="U167" s="579">
        <f t="shared" si="48"/>
        <v>0</v>
      </c>
      <c r="V167" s="579">
        <f t="shared" si="49"/>
        <v>0</v>
      </c>
      <c r="W167" s="574" t="str">
        <f t="shared" si="179"/>
        <v/>
      </c>
      <c r="X167" s="347" t="str">
        <f t="shared" si="170"/>
        <v/>
      </c>
      <c r="Y167" s="347" t="str">
        <f t="shared" si="188"/>
        <v/>
      </c>
      <c r="Z167" s="347" t="str">
        <f t="shared" si="171"/>
        <v/>
      </c>
      <c r="AA167" s="579">
        <f t="shared" si="6"/>
        <v>0</v>
      </c>
      <c r="AB167" s="581">
        <f t="shared" si="105"/>
        <v>0</v>
      </c>
      <c r="AC167" s="347" t="str">
        <f t="shared" si="183"/>
        <v/>
      </c>
      <c r="AD167" s="347" t="str">
        <f t="shared" si="176"/>
        <v/>
      </c>
      <c r="AE167" s="347" t="str">
        <f t="shared" si="173"/>
        <v/>
      </c>
      <c r="AF167" s="347" t="str">
        <f t="shared" si="174"/>
        <v/>
      </c>
      <c r="AG167" s="579">
        <f t="shared" si="54"/>
        <v>0</v>
      </c>
      <c r="AH167" s="579">
        <f t="shared" si="175"/>
        <v>0</v>
      </c>
      <c r="AI167" s="582"/>
      <c r="AJ167" s="582"/>
      <c r="AK167" s="582"/>
      <c r="AL167" s="582"/>
      <c r="AM167" s="579"/>
      <c r="AN167" s="579"/>
      <c r="AO167" s="347"/>
      <c r="AP167" s="581">
        <f t="shared" si="164"/>
        <v>0</v>
      </c>
      <c r="AQ167" s="596"/>
      <c r="AR167" s="596"/>
      <c r="AS167" s="348"/>
      <c r="AT167" s="348"/>
      <c r="AU167" s="348"/>
      <c r="AV167" s="348"/>
      <c r="AW167" s="348"/>
      <c r="AX167" s="584">
        <f t="shared" si="165"/>
        <v>0</v>
      </c>
      <c r="AY167" s="581">
        <f t="shared" si="12"/>
        <v>0</v>
      </c>
      <c r="AZ167" s="581">
        <f t="shared" si="159"/>
        <v>0</v>
      </c>
      <c r="BA167" s="596"/>
      <c r="BB167" s="596"/>
      <c r="BC167" s="348"/>
      <c r="BD167" s="581" t="str">
        <f t="shared" si="99"/>
        <v/>
      </c>
      <c r="BE167" s="581">
        <f t="shared" si="37"/>
        <v>0</v>
      </c>
      <c r="BF167" s="347"/>
      <c r="BG167" s="347"/>
      <c r="BH167" s="347"/>
      <c r="BI167" s="347"/>
      <c r="BJ167" s="586">
        <f t="shared" si="187"/>
        <v>0</v>
      </c>
      <c r="BK167" s="581">
        <f t="shared" si="15"/>
        <v>0</v>
      </c>
      <c r="BL167" s="347"/>
      <c r="BM167" s="347"/>
      <c r="BN167" s="347"/>
      <c r="BO167" s="586">
        <f t="shared" si="189"/>
        <v>0</v>
      </c>
      <c r="BP167" s="584">
        <f t="shared" si="17"/>
        <v>0</v>
      </c>
      <c r="BQ167" s="347"/>
      <c r="BR167" s="581">
        <f t="shared" si="153"/>
        <v>0</v>
      </c>
      <c r="BS167" s="588">
        <f t="shared" si="180"/>
        <v>0</v>
      </c>
      <c r="BT167" s="581">
        <f t="shared" si="20"/>
        <v>0</v>
      </c>
      <c r="BU167" s="589"/>
      <c r="BV167" s="581">
        <f t="shared" si="44"/>
        <v>0</v>
      </c>
      <c r="BW167" s="590"/>
      <c r="BX167" s="347"/>
      <c r="BY167" s="347"/>
      <c r="BZ167" s="347"/>
      <c r="CA167" s="586">
        <f t="shared" si="129"/>
        <v>0</v>
      </c>
      <c r="CB167" s="581">
        <f t="shared" si="160"/>
        <v>0</v>
      </c>
      <c r="CC167" s="581">
        <f t="shared" si="131"/>
        <v>0</v>
      </c>
      <c r="CD167" s="581">
        <f t="shared" si="132"/>
        <v>0</v>
      </c>
      <c r="CE167" s="581">
        <f t="shared" si="133"/>
        <v>0</v>
      </c>
      <c r="CF167" s="581">
        <f t="shared" si="134"/>
        <v>0</v>
      </c>
      <c r="CG167" s="581">
        <f t="shared" si="135"/>
        <v>0</v>
      </c>
      <c r="CH167" s="608" t="str">
        <f t="shared" si="136"/>
        <v>#DIV/0!</v>
      </c>
      <c r="CI167" s="603" t="str">
        <f t="shared" si="137"/>
        <v>#DIV/0!</v>
      </c>
      <c r="CJ167" s="347"/>
      <c r="CK167" s="347">
        <f t="shared" si="138"/>
        <v>0</v>
      </c>
      <c r="CL167" s="539">
        <f t="shared" si="139"/>
        <v>0</v>
      </c>
      <c r="CM167" s="347">
        <f t="shared" si="140"/>
        <v>0</v>
      </c>
      <c r="CN167" s="347">
        <f t="shared" si="141"/>
        <v>0</v>
      </c>
      <c r="CO167" s="347" t="str">
        <f t="shared" si="142"/>
        <v>1899-12-30</v>
      </c>
      <c r="CP167" s="347"/>
    </row>
    <row r="168">
      <c r="A168" s="574">
        <f t="shared" si="147"/>
        <v>300076</v>
      </c>
      <c r="B168" s="574" t="str">
        <f t="shared" si="1"/>
        <v>Batch 300076</v>
      </c>
      <c r="C168" s="347"/>
      <c r="D168" s="574" t="str">
        <f t="shared" si="190"/>
        <v>3-76</v>
      </c>
      <c r="E168" s="347"/>
      <c r="F168" s="596"/>
      <c r="G168" s="596"/>
      <c r="H168" s="347"/>
      <c r="I168" s="347"/>
      <c r="J168" s="596"/>
      <c r="K168" s="609"/>
      <c r="L168" s="1"/>
      <c r="M168" s="347"/>
      <c r="N168" s="347"/>
      <c r="O168" s="579">
        <f t="shared" si="2"/>
        <v>0</v>
      </c>
      <c r="P168" s="579">
        <f t="shared" si="126"/>
        <v>0</v>
      </c>
      <c r="Q168" s="574"/>
      <c r="R168" s="347"/>
      <c r="S168" s="597"/>
      <c r="T168" s="347"/>
      <c r="U168" s="579">
        <f t="shared" si="48"/>
        <v>0</v>
      </c>
      <c r="V168" s="579">
        <f t="shared" si="49"/>
        <v>0</v>
      </c>
      <c r="W168" s="574" t="str">
        <f t="shared" si="179"/>
        <v/>
      </c>
      <c r="X168" s="347" t="str">
        <f t="shared" si="170"/>
        <v/>
      </c>
      <c r="Y168" s="347" t="str">
        <f t="shared" si="188"/>
        <v/>
      </c>
      <c r="Z168" s="347" t="str">
        <f t="shared" si="171"/>
        <v/>
      </c>
      <c r="AA168" s="579">
        <f t="shared" si="6"/>
        <v>0</v>
      </c>
      <c r="AB168" s="581">
        <f t="shared" si="105"/>
        <v>0</v>
      </c>
      <c r="AC168" s="347" t="str">
        <f t="shared" si="183"/>
        <v/>
      </c>
      <c r="AD168" s="347" t="str">
        <f t="shared" si="176"/>
        <v/>
      </c>
      <c r="AE168" s="347" t="str">
        <f t="shared" si="173"/>
        <v/>
      </c>
      <c r="AF168" s="347" t="str">
        <f t="shared" si="174"/>
        <v/>
      </c>
      <c r="AG168" s="579">
        <f t="shared" si="54"/>
        <v>0</v>
      </c>
      <c r="AH168" s="579">
        <f t="shared" si="175"/>
        <v>0</v>
      </c>
      <c r="AI168" s="582"/>
      <c r="AJ168" s="582"/>
      <c r="AK168" s="582"/>
      <c r="AL168" s="582"/>
      <c r="AM168" s="579"/>
      <c r="AN168" s="579"/>
      <c r="AO168" s="347"/>
      <c r="AP168" s="581">
        <f t="shared" si="164"/>
        <v>0</v>
      </c>
      <c r="AQ168" s="596"/>
      <c r="AR168" s="596"/>
      <c r="AS168" s="348"/>
      <c r="AT168" s="348"/>
      <c r="AU168" s="348"/>
      <c r="AV168" s="348"/>
      <c r="AW168" s="348"/>
      <c r="AX168" s="584">
        <f t="shared" si="165"/>
        <v>0</v>
      </c>
      <c r="AY168" s="581">
        <f t="shared" si="12"/>
        <v>0</v>
      </c>
      <c r="AZ168" s="581">
        <f t="shared" si="159"/>
        <v>0</v>
      </c>
      <c r="BA168" s="596"/>
      <c r="BB168" s="596"/>
      <c r="BC168" s="348"/>
      <c r="BD168" s="581" t="str">
        <f t="shared" si="99"/>
        <v/>
      </c>
      <c r="BE168" s="581">
        <f t="shared" si="37"/>
        <v>0</v>
      </c>
      <c r="BF168" s="347"/>
      <c r="BG168" s="347"/>
      <c r="BH168" s="347"/>
      <c r="BI168" s="347"/>
      <c r="BJ168" s="586">
        <f t="shared" si="187"/>
        <v>0</v>
      </c>
      <c r="BK168" s="581">
        <f t="shared" si="15"/>
        <v>0</v>
      </c>
      <c r="BL168" s="347"/>
      <c r="BM168" s="347"/>
      <c r="BN168" s="347"/>
      <c r="BO168" s="586">
        <f t="shared" si="189"/>
        <v>0</v>
      </c>
      <c r="BP168" s="584">
        <f t="shared" si="17"/>
        <v>0</v>
      </c>
      <c r="BQ168" s="347"/>
      <c r="BR168" s="581">
        <f t="shared" si="153"/>
        <v>0</v>
      </c>
      <c r="BS168" s="588">
        <f t="shared" si="180"/>
        <v>0</v>
      </c>
      <c r="BT168" s="581">
        <f t="shared" si="20"/>
        <v>0</v>
      </c>
      <c r="BU168" s="589"/>
      <c r="BV168" s="581">
        <f t="shared" si="44"/>
        <v>0</v>
      </c>
      <c r="BW168" s="590"/>
      <c r="BX168" s="347"/>
      <c r="BY168" s="347"/>
      <c r="BZ168" s="347"/>
      <c r="CA168" s="586">
        <f t="shared" si="129"/>
        <v>0</v>
      </c>
      <c r="CB168" s="581">
        <f t="shared" si="160"/>
        <v>0</v>
      </c>
      <c r="CC168" s="581">
        <f t="shared" si="131"/>
        <v>0</v>
      </c>
      <c r="CD168" s="581">
        <f t="shared" si="132"/>
        <v>0</v>
      </c>
      <c r="CE168" s="581">
        <f t="shared" si="133"/>
        <v>0</v>
      </c>
      <c r="CF168" s="581">
        <f t="shared" si="134"/>
        <v>0</v>
      </c>
      <c r="CG168" s="581">
        <f t="shared" si="135"/>
        <v>0</v>
      </c>
      <c r="CH168" s="608" t="str">
        <f t="shared" si="136"/>
        <v>#DIV/0!</v>
      </c>
      <c r="CI168" s="603" t="str">
        <f t="shared" si="137"/>
        <v>#DIV/0!</v>
      </c>
      <c r="CJ168" s="347"/>
      <c r="CK168" s="347">
        <f t="shared" si="138"/>
        <v>0</v>
      </c>
      <c r="CL168" s="539">
        <f t="shared" si="139"/>
        <v>0</v>
      </c>
      <c r="CM168" s="347">
        <f t="shared" si="140"/>
        <v>0</v>
      </c>
      <c r="CN168" s="347">
        <f t="shared" si="141"/>
        <v>0</v>
      </c>
      <c r="CO168" s="347" t="str">
        <f t="shared" si="142"/>
        <v>1899-12-30</v>
      </c>
      <c r="CP168" s="347"/>
    </row>
    <row r="169">
      <c r="A169" s="574">
        <f t="shared" si="147"/>
        <v>200144</v>
      </c>
      <c r="B169" s="574" t="str">
        <f t="shared" si="1"/>
        <v>Batch 200144</v>
      </c>
      <c r="C169" s="347"/>
      <c r="D169" s="574" t="str">
        <f t="shared" si="190"/>
        <v>2-44</v>
      </c>
      <c r="E169" s="347"/>
      <c r="F169" s="596"/>
      <c r="G169" s="596"/>
      <c r="H169" s="347"/>
      <c r="I169" s="347"/>
      <c r="J169" s="596"/>
      <c r="K169" s="609"/>
      <c r="L169" s="1"/>
      <c r="M169" s="347"/>
      <c r="N169" s="347"/>
      <c r="O169" s="579">
        <f t="shared" si="2"/>
        <v>0</v>
      </c>
      <c r="P169" s="579">
        <f t="shared" si="126"/>
        <v>0</v>
      </c>
      <c r="Q169" s="574"/>
      <c r="R169" s="347"/>
      <c r="S169" s="597"/>
      <c r="T169" s="347"/>
      <c r="U169" s="579">
        <f t="shared" si="48"/>
        <v>0</v>
      </c>
      <c r="V169" s="579">
        <f t="shared" si="49"/>
        <v>0</v>
      </c>
      <c r="W169" s="574" t="str">
        <f t="shared" si="179"/>
        <v/>
      </c>
      <c r="X169" s="347" t="str">
        <f t="shared" si="170"/>
        <v/>
      </c>
      <c r="Y169" s="347" t="str">
        <f t="shared" si="188"/>
        <v/>
      </c>
      <c r="Z169" s="347" t="str">
        <f t="shared" si="171"/>
        <v/>
      </c>
      <c r="AA169" s="579">
        <f t="shared" si="6"/>
        <v>0</v>
      </c>
      <c r="AB169" s="581">
        <f t="shared" si="105"/>
        <v>0</v>
      </c>
      <c r="AC169" s="347"/>
      <c r="AD169" s="347" t="str">
        <f t="shared" ref="AD169:AD175" si="191">IFERROR(INDEX('Consumed Oil by Batch'!F:F, SMALL(IF('Consumed Oil by Batch'!A:A=D169, ROW('Consumed Oil by Batch'!A:A)), ROW(A106))), "")</f>
        <v/>
      </c>
      <c r="AE169" s="347"/>
      <c r="AF169" s="347"/>
      <c r="AG169" s="579">
        <f t="shared" si="54"/>
        <v>0</v>
      </c>
      <c r="AH169" s="579">
        <f t="shared" si="175"/>
        <v>0</v>
      </c>
      <c r="AI169" s="582"/>
      <c r="AJ169" s="582"/>
      <c r="AK169" s="582"/>
      <c r="AL169" s="582"/>
      <c r="AM169" s="579"/>
      <c r="AN169" s="579"/>
      <c r="AO169" s="347"/>
      <c r="AP169" s="581">
        <f t="shared" si="164"/>
        <v>0</v>
      </c>
      <c r="AQ169" s="596"/>
      <c r="AR169" s="596"/>
      <c r="AS169" s="348"/>
      <c r="AT169" s="348"/>
      <c r="AU169" s="348"/>
      <c r="AV169" s="348"/>
      <c r="AW169" s="348"/>
      <c r="AX169" s="584">
        <f t="shared" si="165"/>
        <v>0</v>
      </c>
      <c r="AY169" s="581">
        <f t="shared" si="12"/>
        <v>0</v>
      </c>
      <c r="AZ169" s="581">
        <f t="shared" si="159"/>
        <v>0</v>
      </c>
      <c r="BA169" s="596"/>
      <c r="BB169" s="596"/>
      <c r="BC169" s="348"/>
      <c r="BD169" s="581" t="str">
        <f t="shared" si="99"/>
        <v/>
      </c>
      <c r="BE169" s="581">
        <f t="shared" si="37"/>
        <v>0</v>
      </c>
      <c r="BF169" s="347"/>
      <c r="BG169" s="347"/>
      <c r="BH169" s="347"/>
      <c r="BI169" s="347"/>
      <c r="BJ169" s="586">
        <f t="shared" si="187"/>
        <v>0</v>
      </c>
      <c r="BK169" s="581">
        <f t="shared" si="15"/>
        <v>0</v>
      </c>
      <c r="BL169" s="347"/>
      <c r="BM169" s="347"/>
      <c r="BN169" s="347"/>
      <c r="BO169" s="586">
        <f t="shared" si="189"/>
        <v>0</v>
      </c>
      <c r="BP169" s="584">
        <f t="shared" si="17"/>
        <v>0</v>
      </c>
      <c r="BQ169" s="347"/>
      <c r="BR169" s="581">
        <f t="shared" si="153"/>
        <v>0</v>
      </c>
      <c r="BS169" s="588">
        <f t="shared" si="180"/>
        <v>0</v>
      </c>
      <c r="BT169" s="581">
        <f t="shared" si="20"/>
        <v>0</v>
      </c>
      <c r="BU169" s="589"/>
      <c r="BV169" s="581">
        <f t="shared" si="44"/>
        <v>0</v>
      </c>
      <c r="BW169" s="590"/>
      <c r="BX169" s="347"/>
      <c r="BY169" s="347"/>
      <c r="BZ169" s="347"/>
      <c r="CA169" s="586">
        <f t="shared" si="129"/>
        <v>0</v>
      </c>
      <c r="CB169" s="581">
        <f t="shared" si="160"/>
        <v>0</v>
      </c>
      <c r="CC169" s="581">
        <f t="shared" si="131"/>
        <v>0</v>
      </c>
      <c r="CD169" s="581">
        <f t="shared" si="132"/>
        <v>0</v>
      </c>
      <c r="CE169" s="581">
        <f t="shared" si="133"/>
        <v>0</v>
      </c>
      <c r="CF169" s="581">
        <f t="shared" si="134"/>
        <v>0</v>
      </c>
      <c r="CG169" s="581">
        <f t="shared" si="135"/>
        <v>0</v>
      </c>
      <c r="CH169" s="608" t="str">
        <f t="shared" si="136"/>
        <v>#DIV/0!</v>
      </c>
      <c r="CI169" s="603" t="str">
        <f t="shared" si="137"/>
        <v>#DIV/0!</v>
      </c>
      <c r="CJ169" s="347"/>
      <c r="CK169" s="347">
        <f t="shared" si="138"/>
        <v>0</v>
      </c>
      <c r="CL169" s="539">
        <f t="shared" si="139"/>
        <v>0</v>
      </c>
      <c r="CM169" s="347">
        <f t="shared" si="140"/>
        <v>0</v>
      </c>
      <c r="CN169" s="347">
        <f t="shared" si="141"/>
        <v>0</v>
      </c>
      <c r="CO169" s="347" t="str">
        <f t="shared" si="142"/>
        <v>1899-12-30</v>
      </c>
      <c r="CP169" s="347"/>
    </row>
    <row r="170">
      <c r="A170" s="574">
        <f t="shared" si="147"/>
        <v>300077</v>
      </c>
      <c r="B170" s="574" t="str">
        <f t="shared" si="1"/>
        <v>Batch 300077</v>
      </c>
      <c r="C170" s="347"/>
      <c r="D170" s="574" t="str">
        <f t="shared" si="190"/>
        <v>3-77</v>
      </c>
      <c r="E170" s="347"/>
      <c r="F170" s="596"/>
      <c r="G170" s="596"/>
      <c r="H170" s="347"/>
      <c r="I170" s="347"/>
      <c r="J170" s="596"/>
      <c r="K170" s="609"/>
      <c r="L170" s="1"/>
      <c r="M170" s="347"/>
      <c r="N170" s="347"/>
      <c r="O170" s="579">
        <f t="shared" si="2"/>
        <v>0</v>
      </c>
      <c r="P170" s="579">
        <f t="shared" si="126"/>
        <v>0</v>
      </c>
      <c r="Q170" s="574"/>
      <c r="R170" s="347"/>
      <c r="S170" s="597"/>
      <c r="T170" s="347"/>
      <c r="U170" s="579">
        <f t="shared" si="48"/>
        <v>0</v>
      </c>
      <c r="V170" s="579">
        <f t="shared" si="49"/>
        <v>0</v>
      </c>
      <c r="W170" s="574" t="str">
        <f t="shared" si="179"/>
        <v/>
      </c>
      <c r="X170" s="347" t="str">
        <f t="shared" si="170"/>
        <v/>
      </c>
      <c r="Y170" s="347" t="str">
        <f t="shared" si="188"/>
        <v/>
      </c>
      <c r="Z170" s="347" t="str">
        <f t="shared" si="171"/>
        <v/>
      </c>
      <c r="AA170" s="579">
        <f t="shared" si="6"/>
        <v>0</v>
      </c>
      <c r="AB170" s="581">
        <f t="shared" si="105"/>
        <v>0</v>
      </c>
      <c r="AC170" s="347"/>
      <c r="AD170" s="347" t="str">
        <f t="shared" si="191"/>
        <v/>
      </c>
      <c r="AE170" s="347"/>
      <c r="AF170" s="347"/>
      <c r="AG170" s="579">
        <f t="shared" si="54"/>
        <v>0</v>
      </c>
      <c r="AH170" s="579">
        <f t="shared" si="175"/>
        <v>0</v>
      </c>
      <c r="AI170" s="582"/>
      <c r="AJ170" s="582"/>
      <c r="AK170" s="582"/>
      <c r="AL170" s="582"/>
      <c r="AM170" s="579"/>
      <c r="AN170" s="579"/>
      <c r="AO170" s="347"/>
      <c r="AP170" s="581">
        <f t="shared" si="164"/>
        <v>0</v>
      </c>
      <c r="AQ170" s="596"/>
      <c r="AR170" s="596"/>
      <c r="AS170" s="348"/>
      <c r="AT170" s="348"/>
      <c r="AU170" s="348"/>
      <c r="AV170" s="348"/>
      <c r="AW170" s="348"/>
      <c r="AX170" s="584">
        <f t="shared" si="165"/>
        <v>0</v>
      </c>
      <c r="AY170" s="581">
        <f t="shared" si="12"/>
        <v>0</v>
      </c>
      <c r="AZ170" s="581">
        <f t="shared" si="159"/>
        <v>0</v>
      </c>
      <c r="BA170" s="596"/>
      <c r="BB170" s="596"/>
      <c r="BC170" s="348"/>
      <c r="BD170" s="581" t="str">
        <f t="shared" si="99"/>
        <v/>
      </c>
      <c r="BE170" s="581">
        <f t="shared" si="37"/>
        <v>0</v>
      </c>
      <c r="BF170" s="347"/>
      <c r="BG170" s="347"/>
      <c r="BH170" s="347"/>
      <c r="BI170" s="347"/>
      <c r="BJ170" s="586">
        <f t="shared" si="187"/>
        <v>0</v>
      </c>
      <c r="BK170" s="581">
        <f t="shared" si="15"/>
        <v>0</v>
      </c>
      <c r="BL170" s="347"/>
      <c r="BM170" s="347"/>
      <c r="BN170" s="347"/>
      <c r="BO170" s="586">
        <f t="shared" si="189"/>
        <v>0</v>
      </c>
      <c r="BP170" s="584">
        <f t="shared" si="17"/>
        <v>0</v>
      </c>
      <c r="BQ170" s="347"/>
      <c r="BR170" s="581">
        <f t="shared" si="153"/>
        <v>0</v>
      </c>
      <c r="BS170" s="588">
        <f t="shared" si="180"/>
        <v>0</v>
      </c>
      <c r="BT170" s="581">
        <f t="shared" si="20"/>
        <v>0</v>
      </c>
      <c r="BU170" s="589"/>
      <c r="BV170" s="581">
        <f t="shared" si="44"/>
        <v>0</v>
      </c>
      <c r="BW170" s="590"/>
      <c r="BX170" s="347"/>
      <c r="BY170" s="347"/>
      <c r="BZ170" s="347"/>
      <c r="CA170" s="586">
        <f t="shared" si="129"/>
        <v>0</v>
      </c>
      <c r="CB170" s="581">
        <f t="shared" si="160"/>
        <v>0</v>
      </c>
      <c r="CC170" s="581">
        <f t="shared" si="131"/>
        <v>0</v>
      </c>
      <c r="CD170" s="581">
        <f t="shared" si="132"/>
        <v>0</v>
      </c>
      <c r="CE170" s="581">
        <f t="shared" si="133"/>
        <v>0</v>
      </c>
      <c r="CF170" s="581">
        <f t="shared" si="134"/>
        <v>0</v>
      </c>
      <c r="CG170" s="581">
        <f t="shared" si="135"/>
        <v>0</v>
      </c>
      <c r="CH170" s="608" t="str">
        <f t="shared" si="136"/>
        <v>#DIV/0!</v>
      </c>
      <c r="CI170" s="603" t="str">
        <f t="shared" si="137"/>
        <v>#DIV/0!</v>
      </c>
      <c r="CJ170" s="347"/>
      <c r="CK170" s="347">
        <f t="shared" si="138"/>
        <v>0</v>
      </c>
      <c r="CL170" s="539">
        <f t="shared" si="139"/>
        <v>0</v>
      </c>
      <c r="CM170" s="347">
        <f t="shared" si="140"/>
        <v>0</v>
      </c>
      <c r="CN170" s="347">
        <f t="shared" si="141"/>
        <v>0</v>
      </c>
      <c r="CO170" s="347" t="str">
        <f t="shared" si="142"/>
        <v>1899-12-30</v>
      </c>
      <c r="CP170" s="347"/>
    </row>
    <row r="171">
      <c r="A171" s="574">
        <f t="shared" si="147"/>
        <v>200145</v>
      </c>
      <c r="B171" s="574" t="str">
        <f t="shared" si="1"/>
        <v>Batch 200145</v>
      </c>
      <c r="C171" s="347"/>
      <c r="D171" s="574" t="str">
        <f t="shared" si="190"/>
        <v>2-45</v>
      </c>
      <c r="E171" s="347"/>
      <c r="F171" s="596"/>
      <c r="G171" s="596"/>
      <c r="H171" s="347"/>
      <c r="I171" s="347"/>
      <c r="J171" s="596"/>
      <c r="K171" s="609"/>
      <c r="L171" s="1"/>
      <c r="M171" s="347"/>
      <c r="N171" s="347"/>
      <c r="O171" s="579">
        <f t="shared" si="2"/>
        <v>0</v>
      </c>
      <c r="P171" s="579">
        <f t="shared" si="126"/>
        <v>0</v>
      </c>
      <c r="Q171" s="574"/>
      <c r="R171" s="347"/>
      <c r="S171" s="597"/>
      <c r="T171" s="347"/>
      <c r="U171" s="579">
        <f t="shared" si="48"/>
        <v>0</v>
      </c>
      <c r="V171" s="579">
        <f t="shared" si="49"/>
        <v>0</v>
      </c>
      <c r="W171" s="574" t="str">
        <f t="shared" si="179"/>
        <v/>
      </c>
      <c r="X171" s="347" t="str">
        <f t="shared" si="170"/>
        <v/>
      </c>
      <c r="Y171" s="347" t="str">
        <f t="shared" si="188"/>
        <v/>
      </c>
      <c r="Z171" s="347" t="str">
        <f t="shared" si="171"/>
        <v/>
      </c>
      <c r="AA171" s="579">
        <f t="shared" si="6"/>
        <v>0</v>
      </c>
      <c r="AB171" s="581">
        <f t="shared" si="105"/>
        <v>0</v>
      </c>
      <c r="AC171" s="347"/>
      <c r="AD171" s="347" t="str">
        <f t="shared" si="191"/>
        <v/>
      </c>
      <c r="AE171" s="347"/>
      <c r="AF171" s="347"/>
      <c r="AG171" s="579">
        <f t="shared" si="54"/>
        <v>0</v>
      </c>
      <c r="AH171" s="579">
        <f t="shared" si="175"/>
        <v>0</v>
      </c>
      <c r="AI171" s="582"/>
      <c r="AJ171" s="582"/>
      <c r="AK171" s="582"/>
      <c r="AL171" s="582"/>
      <c r="AM171" s="579"/>
      <c r="AN171" s="579"/>
      <c r="AO171" s="347"/>
      <c r="AP171" s="581">
        <f t="shared" si="164"/>
        <v>0</v>
      </c>
      <c r="AQ171" s="596"/>
      <c r="AR171" s="596"/>
      <c r="AS171" s="348"/>
      <c r="AT171" s="348"/>
      <c r="AU171" s="348"/>
      <c r="AV171" s="348"/>
      <c r="AW171" s="348"/>
      <c r="AX171" s="584">
        <f t="shared" si="165"/>
        <v>0</v>
      </c>
      <c r="AY171" s="581">
        <f t="shared" si="12"/>
        <v>0</v>
      </c>
      <c r="AZ171" s="581">
        <f t="shared" si="159"/>
        <v>0</v>
      </c>
      <c r="BA171" s="596"/>
      <c r="BB171" s="596"/>
      <c r="BC171" s="348"/>
      <c r="BD171" s="581" t="str">
        <f t="shared" si="99"/>
        <v/>
      </c>
      <c r="BE171" s="581">
        <f t="shared" si="37"/>
        <v>0</v>
      </c>
      <c r="BF171" s="347"/>
      <c r="BG171" s="347"/>
      <c r="BH171" s="347"/>
      <c r="BI171" s="347"/>
      <c r="BJ171" s="586">
        <f t="shared" si="187"/>
        <v>0</v>
      </c>
      <c r="BK171" s="581">
        <f t="shared" si="15"/>
        <v>0</v>
      </c>
      <c r="BL171" s="347"/>
      <c r="BM171" s="347"/>
      <c r="BN171" s="347"/>
      <c r="BO171" s="586">
        <f t="shared" si="189"/>
        <v>0</v>
      </c>
      <c r="BP171" s="584">
        <f t="shared" si="17"/>
        <v>0</v>
      </c>
      <c r="BQ171" s="347"/>
      <c r="BR171" s="581">
        <f t="shared" si="153"/>
        <v>0</v>
      </c>
      <c r="BS171" s="588">
        <f t="shared" si="180"/>
        <v>0</v>
      </c>
      <c r="BT171" s="581">
        <f t="shared" si="20"/>
        <v>0</v>
      </c>
      <c r="BU171" s="589"/>
      <c r="BV171" s="581">
        <f t="shared" si="44"/>
        <v>0</v>
      </c>
      <c r="BW171" s="590"/>
      <c r="BX171" s="347"/>
      <c r="BY171" s="347"/>
      <c r="BZ171" s="347"/>
      <c r="CA171" s="586">
        <f t="shared" si="129"/>
        <v>0</v>
      </c>
      <c r="CB171" s="581">
        <f t="shared" si="160"/>
        <v>0</v>
      </c>
      <c r="CC171" s="581">
        <f t="shared" si="131"/>
        <v>0</v>
      </c>
      <c r="CD171" s="581">
        <f t="shared" si="132"/>
        <v>0</v>
      </c>
      <c r="CE171" s="581">
        <f t="shared" si="133"/>
        <v>0</v>
      </c>
      <c r="CF171" s="581">
        <f t="shared" si="134"/>
        <v>0</v>
      </c>
      <c r="CG171" s="581">
        <f t="shared" si="135"/>
        <v>0</v>
      </c>
      <c r="CH171" s="608" t="str">
        <f t="shared" si="136"/>
        <v>#DIV/0!</v>
      </c>
      <c r="CI171" s="603" t="str">
        <f t="shared" si="137"/>
        <v>#DIV/0!</v>
      </c>
      <c r="CJ171" s="347"/>
      <c r="CK171" s="347">
        <f t="shared" si="138"/>
        <v>0</v>
      </c>
      <c r="CL171" s="539">
        <f t="shared" si="139"/>
        <v>0</v>
      </c>
      <c r="CM171" s="347">
        <f t="shared" si="140"/>
        <v>0</v>
      </c>
      <c r="CN171" s="347">
        <f t="shared" si="141"/>
        <v>0</v>
      </c>
      <c r="CO171" s="347" t="str">
        <f t="shared" si="142"/>
        <v>1899-12-30</v>
      </c>
      <c r="CP171" s="347"/>
    </row>
    <row r="172">
      <c r="A172" s="574">
        <f t="shared" si="147"/>
        <v>300078</v>
      </c>
      <c r="B172" s="574" t="str">
        <f t="shared" si="1"/>
        <v>Batch 300078</v>
      </c>
      <c r="C172" s="347"/>
      <c r="D172" s="574" t="str">
        <f t="shared" si="190"/>
        <v>3-78</v>
      </c>
      <c r="E172" s="347"/>
      <c r="F172" s="596"/>
      <c r="G172" s="596"/>
      <c r="H172" s="347"/>
      <c r="I172" s="347"/>
      <c r="J172" s="596"/>
      <c r="K172" s="609"/>
      <c r="L172" s="1"/>
      <c r="M172" s="347"/>
      <c r="N172" s="347"/>
      <c r="O172" s="579">
        <f t="shared" si="2"/>
        <v>0</v>
      </c>
      <c r="P172" s="579">
        <f t="shared" si="126"/>
        <v>0</v>
      </c>
      <c r="Q172" s="574"/>
      <c r="R172" s="347"/>
      <c r="S172" s="597"/>
      <c r="T172" s="347"/>
      <c r="U172" s="579">
        <f t="shared" si="48"/>
        <v>0</v>
      </c>
      <c r="V172" s="579">
        <f t="shared" si="49"/>
        <v>0</v>
      </c>
      <c r="W172" s="574" t="str">
        <f t="shared" si="179"/>
        <v/>
      </c>
      <c r="X172" s="347" t="str">
        <f t="shared" si="170"/>
        <v/>
      </c>
      <c r="Y172" s="347" t="str">
        <f t="shared" si="188"/>
        <v/>
      </c>
      <c r="Z172" s="347" t="str">
        <f t="shared" si="171"/>
        <v/>
      </c>
      <c r="AA172" s="579">
        <f t="shared" si="6"/>
        <v>0</v>
      </c>
      <c r="AB172" s="581">
        <f t="shared" si="105"/>
        <v>0</v>
      </c>
      <c r="AC172" s="347"/>
      <c r="AD172" s="347" t="str">
        <f t="shared" si="191"/>
        <v/>
      </c>
      <c r="AE172" s="347"/>
      <c r="AF172" s="347"/>
      <c r="AG172" s="579">
        <f t="shared" si="54"/>
        <v>0</v>
      </c>
      <c r="AH172" s="579">
        <f t="shared" si="175"/>
        <v>0</v>
      </c>
      <c r="AI172" s="582"/>
      <c r="AJ172" s="582"/>
      <c r="AK172" s="582"/>
      <c r="AL172" s="582"/>
      <c r="AM172" s="579"/>
      <c r="AN172" s="579"/>
      <c r="AO172" s="347"/>
      <c r="AP172" s="581">
        <f t="shared" si="164"/>
        <v>0</v>
      </c>
      <c r="AQ172" s="596"/>
      <c r="AR172" s="596"/>
      <c r="AS172" s="348"/>
      <c r="AT172" s="348"/>
      <c r="AU172" s="348"/>
      <c r="AV172" s="348"/>
      <c r="AW172" s="348"/>
      <c r="AX172" s="584">
        <f t="shared" si="165"/>
        <v>0</v>
      </c>
      <c r="AY172" s="581">
        <f t="shared" si="12"/>
        <v>0</v>
      </c>
      <c r="AZ172" s="581">
        <f t="shared" si="159"/>
        <v>0</v>
      </c>
      <c r="BA172" s="596"/>
      <c r="BB172" s="596"/>
      <c r="BC172" s="348"/>
      <c r="BD172" s="581" t="str">
        <f t="shared" si="99"/>
        <v/>
      </c>
      <c r="BE172" s="581">
        <f t="shared" si="37"/>
        <v>0</v>
      </c>
      <c r="BF172" s="347"/>
      <c r="BG172" s="347"/>
      <c r="BH172" s="347"/>
      <c r="BI172" s="347"/>
      <c r="BJ172" s="586">
        <f t="shared" si="187"/>
        <v>0</v>
      </c>
      <c r="BK172" s="581">
        <f t="shared" si="15"/>
        <v>0</v>
      </c>
      <c r="BL172" s="347"/>
      <c r="BM172" s="347"/>
      <c r="BN172" s="347"/>
      <c r="BO172" s="586">
        <f t="shared" si="189"/>
        <v>0</v>
      </c>
      <c r="BP172" s="584">
        <f t="shared" si="17"/>
        <v>0</v>
      </c>
      <c r="BQ172" s="347"/>
      <c r="BR172" s="581">
        <f t="shared" si="153"/>
        <v>0</v>
      </c>
      <c r="BS172" s="588">
        <f t="shared" si="180"/>
        <v>0</v>
      </c>
      <c r="BT172" s="581">
        <f t="shared" si="20"/>
        <v>0</v>
      </c>
      <c r="BU172" s="589"/>
      <c r="BV172" s="581">
        <f t="shared" si="44"/>
        <v>0</v>
      </c>
      <c r="BW172" s="590"/>
      <c r="BX172" s="347"/>
      <c r="BY172" s="347"/>
      <c r="BZ172" s="347"/>
      <c r="CA172" s="586">
        <f t="shared" si="129"/>
        <v>0</v>
      </c>
      <c r="CB172" s="581">
        <f t="shared" si="160"/>
        <v>0</v>
      </c>
      <c r="CC172" s="581">
        <f t="shared" si="131"/>
        <v>0</v>
      </c>
      <c r="CD172" s="581">
        <f t="shared" si="132"/>
        <v>0</v>
      </c>
      <c r="CE172" s="581">
        <f t="shared" si="133"/>
        <v>0</v>
      </c>
      <c r="CF172" s="581">
        <f t="shared" si="134"/>
        <v>0</v>
      </c>
      <c r="CG172" s="581">
        <f t="shared" si="135"/>
        <v>0</v>
      </c>
      <c r="CH172" s="608" t="str">
        <f t="shared" si="136"/>
        <v>#DIV/0!</v>
      </c>
      <c r="CI172" s="603" t="str">
        <f t="shared" si="137"/>
        <v>#DIV/0!</v>
      </c>
      <c r="CJ172" s="347"/>
      <c r="CK172" s="347">
        <f t="shared" si="138"/>
        <v>0</v>
      </c>
      <c r="CL172" s="539">
        <f t="shared" si="139"/>
        <v>0</v>
      </c>
      <c r="CM172" s="347">
        <f t="shared" si="140"/>
        <v>0</v>
      </c>
      <c r="CN172" s="347">
        <f t="shared" si="141"/>
        <v>0</v>
      </c>
      <c r="CO172" s="347" t="str">
        <f t="shared" si="142"/>
        <v>1899-12-30</v>
      </c>
      <c r="CP172" s="347"/>
    </row>
    <row r="173">
      <c r="A173" s="574">
        <f t="shared" si="147"/>
        <v>200146</v>
      </c>
      <c r="B173" s="574" t="str">
        <f t="shared" si="1"/>
        <v>Batch 200146</v>
      </c>
      <c r="C173" s="347"/>
      <c r="D173" s="574" t="str">
        <f t="shared" si="190"/>
        <v>2-46</v>
      </c>
      <c r="E173" s="347"/>
      <c r="F173" s="596"/>
      <c r="G173" s="596"/>
      <c r="H173" s="347"/>
      <c r="I173" s="347"/>
      <c r="J173" s="596"/>
      <c r="K173" s="609"/>
      <c r="L173" s="1"/>
      <c r="M173" s="347"/>
      <c r="N173" s="347"/>
      <c r="O173" s="579">
        <f t="shared" si="2"/>
        <v>0</v>
      </c>
      <c r="P173" s="579">
        <f t="shared" si="126"/>
        <v>0</v>
      </c>
      <c r="Q173" s="574"/>
      <c r="R173" s="347"/>
      <c r="S173" s="597"/>
      <c r="T173" s="347"/>
      <c r="U173" s="579">
        <f t="shared" si="48"/>
        <v>0</v>
      </c>
      <c r="V173" s="579">
        <f t="shared" si="49"/>
        <v>0</v>
      </c>
      <c r="W173" s="574" t="str">
        <f t="shared" si="179"/>
        <v/>
      </c>
      <c r="X173" s="347" t="str">
        <f t="shared" si="170"/>
        <v/>
      </c>
      <c r="Y173" s="347" t="str">
        <f t="shared" si="188"/>
        <v/>
      </c>
      <c r="Z173" s="347" t="str">
        <f t="shared" si="171"/>
        <v/>
      </c>
      <c r="AA173" s="579">
        <f t="shared" si="6"/>
        <v>0</v>
      </c>
      <c r="AB173" s="581">
        <f t="shared" si="105"/>
        <v>0</v>
      </c>
      <c r="AC173" s="347"/>
      <c r="AD173" s="347" t="str">
        <f t="shared" si="191"/>
        <v/>
      </c>
      <c r="AE173" s="347"/>
      <c r="AF173" s="347"/>
      <c r="AG173" s="579">
        <f t="shared" si="54"/>
        <v>0</v>
      </c>
      <c r="AH173" s="579">
        <f t="shared" si="175"/>
        <v>0</v>
      </c>
      <c r="AI173" s="582"/>
      <c r="AJ173" s="582"/>
      <c r="AK173" s="582"/>
      <c r="AL173" s="582"/>
      <c r="AM173" s="579"/>
      <c r="AN173" s="579"/>
      <c r="AO173" s="347"/>
      <c r="AP173" s="581">
        <f t="shared" si="164"/>
        <v>0</v>
      </c>
      <c r="AQ173" s="596"/>
      <c r="AR173" s="596"/>
      <c r="AS173" s="348"/>
      <c r="AT173" s="348"/>
      <c r="AU173" s="348"/>
      <c r="AV173" s="348"/>
      <c r="AW173" s="348"/>
      <c r="AX173" s="584">
        <f t="shared" si="165"/>
        <v>0</v>
      </c>
      <c r="AY173" s="581">
        <f t="shared" si="12"/>
        <v>0</v>
      </c>
      <c r="AZ173" s="581">
        <f t="shared" si="159"/>
        <v>0</v>
      </c>
      <c r="BA173" s="596"/>
      <c r="BB173" s="596"/>
      <c r="BC173" s="348"/>
      <c r="BD173" s="581" t="str">
        <f t="shared" si="99"/>
        <v/>
      </c>
      <c r="BE173" s="581">
        <f t="shared" si="37"/>
        <v>0</v>
      </c>
      <c r="BF173" s="347"/>
      <c r="BG173" s="347"/>
      <c r="BH173" s="347"/>
      <c r="BI173" s="347"/>
      <c r="BJ173" s="586">
        <f t="shared" si="187"/>
        <v>0</v>
      </c>
      <c r="BK173" s="581">
        <f t="shared" si="15"/>
        <v>0</v>
      </c>
      <c r="BL173" s="347"/>
      <c r="BM173" s="347"/>
      <c r="BN173" s="347"/>
      <c r="BO173" s="586">
        <f t="shared" si="189"/>
        <v>0</v>
      </c>
      <c r="BP173" s="584">
        <f t="shared" si="17"/>
        <v>0</v>
      </c>
      <c r="BQ173" s="347"/>
      <c r="BR173" s="581">
        <f t="shared" si="153"/>
        <v>0</v>
      </c>
      <c r="BS173" s="588">
        <f t="shared" si="180"/>
        <v>0</v>
      </c>
      <c r="BT173" s="581">
        <f t="shared" si="20"/>
        <v>0</v>
      </c>
      <c r="BU173" s="589"/>
      <c r="BV173" s="581">
        <f t="shared" si="44"/>
        <v>0</v>
      </c>
      <c r="BW173" s="590"/>
      <c r="BX173" s="347"/>
      <c r="BY173" s="347"/>
      <c r="BZ173" s="347"/>
      <c r="CA173" s="586">
        <f t="shared" si="129"/>
        <v>0</v>
      </c>
      <c r="CB173" s="581">
        <f t="shared" si="160"/>
        <v>0</v>
      </c>
      <c r="CC173" s="581">
        <f t="shared" si="131"/>
        <v>0</v>
      </c>
      <c r="CD173" s="581">
        <f t="shared" si="132"/>
        <v>0</v>
      </c>
      <c r="CE173" s="581">
        <f t="shared" si="133"/>
        <v>0</v>
      </c>
      <c r="CF173" s="581">
        <f t="shared" si="134"/>
        <v>0</v>
      </c>
      <c r="CG173" s="581">
        <f t="shared" si="135"/>
        <v>0</v>
      </c>
      <c r="CH173" s="608" t="str">
        <f t="shared" si="136"/>
        <v>#DIV/0!</v>
      </c>
      <c r="CI173" s="603" t="str">
        <f t="shared" si="137"/>
        <v>#DIV/0!</v>
      </c>
      <c r="CJ173" s="347"/>
      <c r="CK173" s="347">
        <f t="shared" si="138"/>
        <v>0</v>
      </c>
      <c r="CL173" s="539">
        <f t="shared" si="139"/>
        <v>0</v>
      </c>
      <c r="CM173" s="347">
        <f t="shared" si="140"/>
        <v>0</v>
      </c>
      <c r="CN173" s="347">
        <f t="shared" si="141"/>
        <v>0</v>
      </c>
      <c r="CO173" s="347" t="str">
        <f t="shared" si="142"/>
        <v>1899-12-30</v>
      </c>
      <c r="CP173" s="347"/>
    </row>
    <row r="174">
      <c r="A174" s="574">
        <f t="shared" si="147"/>
        <v>300079</v>
      </c>
      <c r="B174" s="574" t="str">
        <f t="shared" si="1"/>
        <v>Batch 300079</v>
      </c>
      <c r="C174" s="347"/>
      <c r="D174" s="574" t="str">
        <f t="shared" si="190"/>
        <v>3-79</v>
      </c>
      <c r="E174" s="347"/>
      <c r="F174" s="596"/>
      <c r="G174" s="596"/>
      <c r="H174" s="347"/>
      <c r="I174" s="347"/>
      <c r="J174" s="596"/>
      <c r="K174" s="609"/>
      <c r="L174" s="1"/>
      <c r="M174" s="347"/>
      <c r="N174" s="347"/>
      <c r="O174" s="579">
        <f t="shared" si="2"/>
        <v>0</v>
      </c>
      <c r="P174" s="579">
        <f t="shared" si="126"/>
        <v>0</v>
      </c>
      <c r="Q174" s="574"/>
      <c r="R174" s="347"/>
      <c r="S174" s="597"/>
      <c r="T174" s="347"/>
      <c r="U174" s="579">
        <f t="shared" si="48"/>
        <v>0</v>
      </c>
      <c r="V174" s="579">
        <f t="shared" si="49"/>
        <v>0</v>
      </c>
      <c r="W174" s="574" t="str">
        <f t="shared" si="179"/>
        <v/>
      </c>
      <c r="X174" s="347" t="str">
        <f t="shared" si="170"/>
        <v/>
      </c>
      <c r="Y174" s="347" t="str">
        <f t="shared" si="188"/>
        <v/>
      </c>
      <c r="Z174" s="347" t="str">
        <f t="shared" si="171"/>
        <v/>
      </c>
      <c r="AA174" s="579">
        <f t="shared" si="6"/>
        <v>0</v>
      </c>
      <c r="AB174" s="581">
        <f t="shared" si="105"/>
        <v>0</v>
      </c>
      <c r="AC174" s="347"/>
      <c r="AD174" s="347" t="str">
        <f t="shared" si="191"/>
        <v/>
      </c>
      <c r="AE174" s="347"/>
      <c r="AF174" s="347"/>
      <c r="AG174" s="579">
        <f t="shared" si="54"/>
        <v>0</v>
      </c>
      <c r="AH174" s="579">
        <f t="shared" si="175"/>
        <v>0</v>
      </c>
      <c r="AI174" s="582"/>
      <c r="AJ174" s="582"/>
      <c r="AK174" s="582"/>
      <c r="AL174" s="582"/>
      <c r="AM174" s="579"/>
      <c r="AN174" s="579"/>
      <c r="AO174" s="347"/>
      <c r="AP174" s="581">
        <f t="shared" si="164"/>
        <v>0</v>
      </c>
      <c r="AQ174" s="596"/>
      <c r="AR174" s="596"/>
      <c r="AS174" s="348"/>
      <c r="AT174" s="348"/>
      <c r="AU174" s="348"/>
      <c r="AV174" s="348"/>
      <c r="AW174" s="348"/>
      <c r="AX174" s="584">
        <f t="shared" si="165"/>
        <v>0</v>
      </c>
      <c r="AY174" s="581">
        <f t="shared" si="12"/>
        <v>0</v>
      </c>
      <c r="AZ174" s="581">
        <f t="shared" si="159"/>
        <v>0</v>
      </c>
      <c r="BA174" s="596"/>
      <c r="BB174" s="596"/>
      <c r="BC174" s="348"/>
      <c r="BD174" s="581" t="str">
        <f t="shared" si="99"/>
        <v/>
      </c>
      <c r="BE174" s="581">
        <f t="shared" si="37"/>
        <v>0</v>
      </c>
      <c r="BF174" s="347"/>
      <c r="BG174" s="347"/>
      <c r="BH174" s="347"/>
      <c r="BI174" s="347"/>
      <c r="BJ174" s="586">
        <f t="shared" si="187"/>
        <v>0</v>
      </c>
      <c r="BK174" s="581">
        <f t="shared" si="15"/>
        <v>0</v>
      </c>
      <c r="BL174" s="347"/>
      <c r="BM174" s="347"/>
      <c r="BN174" s="347"/>
      <c r="BO174" s="586">
        <f t="shared" si="189"/>
        <v>0</v>
      </c>
      <c r="BP174" s="584">
        <f t="shared" si="17"/>
        <v>0</v>
      </c>
      <c r="BQ174" s="347"/>
      <c r="BR174" s="581">
        <f t="shared" si="153"/>
        <v>0</v>
      </c>
      <c r="BS174" s="588">
        <f t="shared" si="180"/>
        <v>0</v>
      </c>
      <c r="BT174" s="581">
        <f t="shared" si="20"/>
        <v>0</v>
      </c>
      <c r="BU174" s="589"/>
      <c r="BV174" s="581">
        <f t="shared" si="44"/>
        <v>0</v>
      </c>
      <c r="BW174" s="590"/>
      <c r="BX174" s="347"/>
      <c r="BY174" s="347"/>
      <c r="BZ174" s="347"/>
      <c r="CA174" s="586">
        <f t="shared" si="129"/>
        <v>0</v>
      </c>
      <c r="CB174" s="581">
        <f t="shared" si="160"/>
        <v>0</v>
      </c>
      <c r="CC174" s="581">
        <f t="shared" si="131"/>
        <v>0</v>
      </c>
      <c r="CD174" s="581">
        <f t="shared" si="132"/>
        <v>0</v>
      </c>
      <c r="CE174" s="581">
        <f t="shared" si="133"/>
        <v>0</v>
      </c>
      <c r="CF174" s="581">
        <f t="shared" si="134"/>
        <v>0</v>
      </c>
      <c r="CG174" s="581">
        <f t="shared" si="135"/>
        <v>0</v>
      </c>
      <c r="CH174" s="608" t="str">
        <f t="shared" si="136"/>
        <v>#DIV/0!</v>
      </c>
      <c r="CI174" s="603" t="str">
        <f t="shared" si="137"/>
        <v>#DIV/0!</v>
      </c>
      <c r="CJ174" s="347"/>
      <c r="CK174" s="347">
        <f t="shared" si="138"/>
        <v>0</v>
      </c>
      <c r="CL174" s="539">
        <f t="shared" si="139"/>
        <v>0</v>
      </c>
      <c r="CM174" s="347">
        <f t="shared" si="140"/>
        <v>0</v>
      </c>
      <c r="CN174" s="347">
        <f t="shared" si="141"/>
        <v>0</v>
      </c>
      <c r="CO174" s="347" t="str">
        <f t="shared" si="142"/>
        <v>1899-12-30</v>
      </c>
      <c r="CP174" s="347"/>
    </row>
    <row r="175">
      <c r="A175" s="574">
        <f t="shared" si="147"/>
        <v>200147</v>
      </c>
      <c r="B175" s="574" t="str">
        <f t="shared" si="1"/>
        <v>Batch 200147</v>
      </c>
      <c r="C175" s="347"/>
      <c r="D175" s="574" t="str">
        <f t="shared" si="190"/>
        <v>2-47</v>
      </c>
      <c r="E175" s="347"/>
      <c r="F175" s="596"/>
      <c r="G175" s="596"/>
      <c r="H175" s="347"/>
      <c r="I175" s="347"/>
      <c r="J175" s="596"/>
      <c r="K175" s="609"/>
      <c r="L175" s="1"/>
      <c r="M175" s="347"/>
      <c r="N175" s="347"/>
      <c r="O175" s="579">
        <f t="shared" si="2"/>
        <v>0</v>
      </c>
      <c r="P175" s="579">
        <f t="shared" si="126"/>
        <v>0</v>
      </c>
      <c r="Q175" s="574"/>
      <c r="R175" s="347"/>
      <c r="S175" s="597"/>
      <c r="T175" s="347"/>
      <c r="U175" s="579">
        <f t="shared" si="48"/>
        <v>0</v>
      </c>
      <c r="V175" s="579">
        <f t="shared" si="49"/>
        <v>0</v>
      </c>
      <c r="W175" s="574" t="str">
        <f t="shared" si="179"/>
        <v/>
      </c>
      <c r="X175" s="347" t="str">
        <f t="shared" si="170"/>
        <v/>
      </c>
      <c r="Y175" s="347" t="str">
        <f t="shared" si="188"/>
        <v/>
      </c>
      <c r="Z175" s="347" t="str">
        <f t="shared" si="171"/>
        <v/>
      </c>
      <c r="AA175" s="579">
        <f t="shared" si="6"/>
        <v>0</v>
      </c>
      <c r="AB175" s="581">
        <f t="shared" si="105"/>
        <v>0</v>
      </c>
      <c r="AC175" s="347"/>
      <c r="AD175" s="347" t="str">
        <f t="shared" si="191"/>
        <v/>
      </c>
      <c r="AE175" s="347"/>
      <c r="AF175" s="347"/>
      <c r="AG175" s="579">
        <f t="shared" si="54"/>
        <v>0</v>
      </c>
      <c r="AH175" s="579">
        <f t="shared" si="175"/>
        <v>0</v>
      </c>
      <c r="AI175" s="582"/>
      <c r="AJ175" s="582"/>
      <c r="AK175" s="582"/>
      <c r="AL175" s="582"/>
      <c r="AM175" s="579"/>
      <c r="AN175" s="579"/>
      <c r="AO175" s="347"/>
      <c r="AP175" s="581">
        <f t="shared" si="164"/>
        <v>0</v>
      </c>
      <c r="AQ175" s="596"/>
      <c r="AR175" s="596"/>
      <c r="AS175" s="348"/>
      <c r="AT175" s="348"/>
      <c r="AU175" s="348"/>
      <c r="AV175" s="348"/>
      <c r="AW175" s="348"/>
      <c r="AX175" s="584">
        <f t="shared" si="165"/>
        <v>0</v>
      </c>
      <c r="AY175" s="581">
        <f t="shared" si="12"/>
        <v>0</v>
      </c>
      <c r="AZ175" s="581">
        <f t="shared" si="159"/>
        <v>0</v>
      </c>
      <c r="BA175" s="596"/>
      <c r="BB175" s="596"/>
      <c r="BC175" s="348"/>
      <c r="BD175" s="581" t="str">
        <f t="shared" si="99"/>
        <v/>
      </c>
      <c r="BE175" s="581">
        <f t="shared" si="37"/>
        <v>0</v>
      </c>
      <c r="BF175" s="347"/>
      <c r="BG175" s="347"/>
      <c r="BH175" s="347"/>
      <c r="BI175" s="347"/>
      <c r="BJ175" s="586">
        <f t="shared" si="187"/>
        <v>0</v>
      </c>
      <c r="BK175" s="581">
        <f t="shared" si="15"/>
        <v>0</v>
      </c>
      <c r="BL175" s="347"/>
      <c r="BM175" s="347"/>
      <c r="BN175" s="347"/>
      <c r="BO175" s="586">
        <f t="shared" si="189"/>
        <v>0</v>
      </c>
      <c r="BP175" s="584">
        <f t="shared" si="17"/>
        <v>0</v>
      </c>
      <c r="BQ175" s="347"/>
      <c r="BR175" s="581">
        <f t="shared" si="153"/>
        <v>0</v>
      </c>
      <c r="BS175" s="588">
        <f t="shared" si="180"/>
        <v>0</v>
      </c>
      <c r="BT175" s="581">
        <f t="shared" si="20"/>
        <v>0</v>
      </c>
      <c r="BU175" s="589"/>
      <c r="BV175" s="581">
        <f t="shared" si="44"/>
        <v>0</v>
      </c>
      <c r="BW175" s="590"/>
      <c r="BX175" s="347"/>
      <c r="BY175" s="347"/>
      <c r="BZ175" s="347"/>
      <c r="CA175" s="586">
        <f t="shared" si="129"/>
        <v>0</v>
      </c>
      <c r="CB175" s="581">
        <f t="shared" si="160"/>
        <v>0</v>
      </c>
      <c r="CC175" s="581">
        <f t="shared" si="131"/>
        <v>0</v>
      </c>
      <c r="CD175" s="581">
        <f t="shared" si="132"/>
        <v>0</v>
      </c>
      <c r="CE175" s="581">
        <f t="shared" si="133"/>
        <v>0</v>
      </c>
      <c r="CF175" s="581">
        <f t="shared" si="134"/>
        <v>0</v>
      </c>
      <c r="CG175" s="581">
        <f t="shared" si="135"/>
        <v>0</v>
      </c>
      <c r="CH175" s="608" t="str">
        <f t="shared" si="136"/>
        <v>#DIV/0!</v>
      </c>
      <c r="CI175" s="603" t="str">
        <f t="shared" si="137"/>
        <v>#DIV/0!</v>
      </c>
      <c r="CJ175" s="347"/>
      <c r="CK175" s="347">
        <f t="shared" si="138"/>
        <v>0</v>
      </c>
      <c r="CL175" s="539">
        <f t="shared" si="139"/>
        <v>0</v>
      </c>
      <c r="CM175" s="347">
        <f t="shared" si="140"/>
        <v>0</v>
      </c>
      <c r="CN175" s="347">
        <f t="shared" si="141"/>
        <v>0</v>
      </c>
      <c r="CO175" s="347" t="str">
        <f t="shared" si="142"/>
        <v>1899-12-30</v>
      </c>
      <c r="CP175" s="347"/>
    </row>
    <row r="176">
      <c r="A176" s="574">
        <f t="shared" si="147"/>
        <v>300080</v>
      </c>
      <c r="B176" s="574" t="str">
        <f t="shared" si="1"/>
        <v>Batch 300080</v>
      </c>
      <c r="C176" s="347"/>
      <c r="D176" s="574" t="str">
        <f t="shared" si="190"/>
        <v>3-80</v>
      </c>
      <c r="E176" s="347"/>
      <c r="F176" s="596"/>
      <c r="G176" s="596"/>
      <c r="H176" s="347"/>
      <c r="I176" s="347"/>
      <c r="J176" s="596"/>
      <c r="K176" s="609"/>
      <c r="L176" s="1"/>
      <c r="M176" s="347"/>
      <c r="N176" s="347"/>
      <c r="O176" s="579">
        <f t="shared" si="2"/>
        <v>0</v>
      </c>
      <c r="P176" s="579">
        <f t="shared" si="126"/>
        <v>0</v>
      </c>
      <c r="Q176" s="574"/>
      <c r="R176" s="347"/>
      <c r="S176" s="597"/>
      <c r="T176" s="347"/>
      <c r="U176" s="579">
        <f t="shared" si="48"/>
        <v>0</v>
      </c>
      <c r="V176" s="579">
        <f t="shared" si="49"/>
        <v>0</v>
      </c>
      <c r="W176" s="574" t="str">
        <f t="shared" si="179"/>
        <v/>
      </c>
      <c r="X176" s="347" t="str">
        <f t="shared" si="170"/>
        <v/>
      </c>
      <c r="Y176" s="347" t="str">
        <f t="shared" si="188"/>
        <v/>
      </c>
      <c r="Z176" s="347" t="str">
        <f t="shared" si="171"/>
        <v/>
      </c>
      <c r="AA176" s="579">
        <f t="shared" si="6"/>
        <v>0</v>
      </c>
      <c r="AB176" s="581">
        <f t="shared" si="105"/>
        <v>0</v>
      </c>
      <c r="AC176" s="347"/>
      <c r="AD176" s="347"/>
      <c r="AE176" s="347"/>
      <c r="AF176" s="347"/>
      <c r="AG176" s="579">
        <f t="shared" si="54"/>
        <v>0</v>
      </c>
      <c r="AH176" s="579">
        <f t="shared" si="175"/>
        <v>0</v>
      </c>
      <c r="AI176" s="582"/>
      <c r="AJ176" s="582"/>
      <c r="AK176" s="582"/>
      <c r="AL176" s="582"/>
      <c r="AM176" s="579"/>
      <c r="AN176" s="579"/>
      <c r="AO176" s="347"/>
      <c r="AP176" s="581">
        <f t="shared" si="164"/>
        <v>0</v>
      </c>
      <c r="AQ176" s="596"/>
      <c r="AR176" s="596"/>
      <c r="AS176" s="348"/>
      <c r="AT176" s="348"/>
      <c r="AU176" s="348"/>
      <c r="AV176" s="348"/>
      <c r="AW176" s="348"/>
      <c r="AX176" s="584">
        <f t="shared" si="165"/>
        <v>0</v>
      </c>
      <c r="AY176" s="581">
        <f t="shared" si="12"/>
        <v>0</v>
      </c>
      <c r="AZ176" s="581">
        <f t="shared" si="159"/>
        <v>0</v>
      </c>
      <c r="BA176" s="596"/>
      <c r="BB176" s="596"/>
      <c r="BC176" s="348"/>
      <c r="BD176" s="581" t="str">
        <f t="shared" si="99"/>
        <v/>
      </c>
      <c r="BE176" s="581">
        <f t="shared" si="37"/>
        <v>0</v>
      </c>
      <c r="BF176" s="347"/>
      <c r="BG176" s="347"/>
      <c r="BH176" s="347"/>
      <c r="BI176" s="347"/>
      <c r="BJ176" s="586">
        <f t="shared" si="187"/>
        <v>0</v>
      </c>
      <c r="BK176" s="581">
        <f t="shared" si="15"/>
        <v>0</v>
      </c>
      <c r="BL176" s="347"/>
      <c r="BM176" s="347"/>
      <c r="BN176" s="347"/>
      <c r="BO176" s="586">
        <f t="shared" si="189"/>
        <v>0</v>
      </c>
      <c r="BP176" s="584">
        <f t="shared" si="17"/>
        <v>0</v>
      </c>
      <c r="BQ176" s="347"/>
      <c r="BR176" s="581">
        <f t="shared" si="153"/>
        <v>0</v>
      </c>
      <c r="BS176" s="588">
        <f t="shared" si="180"/>
        <v>0</v>
      </c>
      <c r="BT176" s="581">
        <f t="shared" si="20"/>
        <v>0</v>
      </c>
      <c r="BU176" s="589"/>
      <c r="BV176" s="581">
        <f t="shared" si="44"/>
        <v>0</v>
      </c>
      <c r="BW176" s="590"/>
      <c r="BX176" s="347"/>
      <c r="BY176" s="347"/>
      <c r="BZ176" s="347"/>
      <c r="CA176" s="586">
        <f t="shared" si="129"/>
        <v>0</v>
      </c>
      <c r="CB176" s="581">
        <f t="shared" si="160"/>
        <v>0</v>
      </c>
      <c r="CC176" s="581">
        <f t="shared" si="131"/>
        <v>0</v>
      </c>
      <c r="CD176" s="581">
        <f t="shared" si="132"/>
        <v>0</v>
      </c>
      <c r="CE176" s="581">
        <f t="shared" si="133"/>
        <v>0</v>
      </c>
      <c r="CF176" s="581">
        <f t="shared" si="134"/>
        <v>0</v>
      </c>
      <c r="CG176" s="581">
        <f t="shared" si="135"/>
        <v>0</v>
      </c>
      <c r="CH176" s="608" t="str">
        <f t="shared" si="136"/>
        <v>#DIV/0!</v>
      </c>
      <c r="CI176" s="603" t="str">
        <f t="shared" si="137"/>
        <v>#DIV/0!</v>
      </c>
      <c r="CJ176" s="347"/>
      <c r="CK176" s="347">
        <f t="shared" si="138"/>
        <v>0</v>
      </c>
      <c r="CL176" s="539">
        <f t="shared" si="139"/>
        <v>0</v>
      </c>
      <c r="CM176" s="347">
        <f t="shared" si="140"/>
        <v>0</v>
      </c>
      <c r="CN176" s="347">
        <f t="shared" si="141"/>
        <v>0</v>
      </c>
      <c r="CO176" s="347" t="str">
        <f t="shared" si="142"/>
        <v>1899-12-30</v>
      </c>
      <c r="CP176" s="347"/>
    </row>
    <row r="177">
      <c r="A177" s="574">
        <f t="shared" si="147"/>
        <v>200148</v>
      </c>
      <c r="B177" s="574" t="str">
        <f t="shared" si="1"/>
        <v>Batch 200148</v>
      </c>
      <c r="C177" s="347"/>
      <c r="D177" s="574" t="str">
        <f t="shared" si="190"/>
        <v>2-48</v>
      </c>
      <c r="E177" s="347"/>
      <c r="F177" s="596"/>
      <c r="G177" s="596"/>
      <c r="H177" s="347"/>
      <c r="I177" s="347"/>
      <c r="J177" s="596"/>
      <c r="K177" s="609"/>
      <c r="L177" s="1"/>
      <c r="M177" s="347"/>
      <c r="N177" s="347"/>
      <c r="O177" s="579">
        <f t="shared" si="2"/>
        <v>0</v>
      </c>
      <c r="P177" s="579">
        <f t="shared" si="126"/>
        <v>0</v>
      </c>
      <c r="Q177" s="574"/>
      <c r="R177" s="347"/>
      <c r="S177" s="597"/>
      <c r="T177" s="347"/>
      <c r="U177" s="579">
        <f t="shared" si="48"/>
        <v>0</v>
      </c>
      <c r="V177" s="579">
        <f t="shared" si="49"/>
        <v>0</v>
      </c>
      <c r="W177" s="574" t="str">
        <f t="shared" si="179"/>
        <v/>
      </c>
      <c r="X177" s="347" t="str">
        <f t="shared" si="170"/>
        <v/>
      </c>
      <c r="Y177" s="347" t="str">
        <f t="shared" si="188"/>
        <v/>
      </c>
      <c r="Z177" s="347" t="str">
        <f t="shared" si="171"/>
        <v/>
      </c>
      <c r="AA177" s="579">
        <f t="shared" si="6"/>
        <v>0</v>
      </c>
      <c r="AB177" s="581">
        <f t="shared" si="105"/>
        <v>0</v>
      </c>
      <c r="AC177" s="347"/>
      <c r="AD177" s="347"/>
      <c r="AE177" s="347"/>
      <c r="AF177" s="347"/>
      <c r="AG177" s="579">
        <f t="shared" si="54"/>
        <v>0</v>
      </c>
      <c r="AH177" s="579">
        <f t="shared" si="175"/>
        <v>0</v>
      </c>
      <c r="AI177" s="582"/>
      <c r="AJ177" s="582"/>
      <c r="AK177" s="582"/>
      <c r="AL177" s="582"/>
      <c r="AM177" s="579"/>
      <c r="AN177" s="579"/>
      <c r="AO177" s="347"/>
      <c r="AP177" s="581">
        <f t="shared" si="164"/>
        <v>0</v>
      </c>
      <c r="AQ177" s="596"/>
      <c r="AR177" s="596"/>
      <c r="AS177" s="348"/>
      <c r="AT177" s="348"/>
      <c r="AU177" s="348"/>
      <c r="AV177" s="348"/>
      <c r="AW177" s="348"/>
      <c r="AX177" s="584">
        <f t="shared" si="165"/>
        <v>0</v>
      </c>
      <c r="AY177" s="581">
        <f t="shared" si="12"/>
        <v>0</v>
      </c>
      <c r="AZ177" s="581">
        <f t="shared" si="159"/>
        <v>0</v>
      </c>
      <c r="BA177" s="596"/>
      <c r="BB177" s="596"/>
      <c r="BC177" s="348"/>
      <c r="BD177" s="581" t="str">
        <f t="shared" si="99"/>
        <v/>
      </c>
      <c r="BE177" s="581">
        <f t="shared" si="37"/>
        <v>0</v>
      </c>
      <c r="BF177" s="347"/>
      <c r="BG177" s="347"/>
      <c r="BH177" s="347"/>
      <c r="BI177" s="347"/>
      <c r="BJ177" s="586">
        <f t="shared" si="187"/>
        <v>0</v>
      </c>
      <c r="BK177" s="581">
        <f t="shared" si="15"/>
        <v>0</v>
      </c>
      <c r="BL177" s="347"/>
      <c r="BM177" s="347"/>
      <c r="BN177" s="347"/>
      <c r="BO177" s="586">
        <f t="shared" si="189"/>
        <v>0</v>
      </c>
      <c r="BP177" s="584">
        <f t="shared" si="17"/>
        <v>0</v>
      </c>
      <c r="BQ177" s="347"/>
      <c r="BR177" s="581">
        <f t="shared" si="153"/>
        <v>0</v>
      </c>
      <c r="BS177" s="588">
        <f t="shared" si="180"/>
        <v>0</v>
      </c>
      <c r="BT177" s="581">
        <f t="shared" si="20"/>
        <v>0</v>
      </c>
      <c r="BU177" s="589"/>
      <c r="BV177" s="581">
        <f t="shared" si="44"/>
        <v>0</v>
      </c>
      <c r="BW177" s="590"/>
      <c r="BX177" s="347"/>
      <c r="BY177" s="347"/>
      <c r="BZ177" s="347"/>
      <c r="CA177" s="586">
        <f t="shared" si="129"/>
        <v>0</v>
      </c>
      <c r="CB177" s="581">
        <f t="shared" si="160"/>
        <v>0</v>
      </c>
      <c r="CC177" s="581">
        <f t="shared" si="131"/>
        <v>0</v>
      </c>
      <c r="CD177" s="581">
        <f t="shared" si="132"/>
        <v>0</v>
      </c>
      <c r="CE177" s="581">
        <f t="shared" si="133"/>
        <v>0</v>
      </c>
      <c r="CF177" s="581">
        <f t="shared" si="134"/>
        <v>0</v>
      </c>
      <c r="CG177" s="581">
        <f t="shared" si="135"/>
        <v>0</v>
      </c>
      <c r="CH177" s="608" t="str">
        <f t="shared" si="136"/>
        <v>#DIV/0!</v>
      </c>
      <c r="CI177" s="603" t="str">
        <f t="shared" si="137"/>
        <v>#DIV/0!</v>
      </c>
      <c r="CJ177" s="347"/>
      <c r="CK177" s="347">
        <f t="shared" si="138"/>
        <v>0</v>
      </c>
      <c r="CL177" s="539">
        <f t="shared" si="139"/>
        <v>0</v>
      </c>
      <c r="CM177" s="347">
        <f t="shared" si="140"/>
        <v>0</v>
      </c>
      <c r="CN177" s="347">
        <f t="shared" si="141"/>
        <v>0</v>
      </c>
      <c r="CO177" s="347" t="str">
        <f t="shared" si="142"/>
        <v>1899-12-30</v>
      </c>
      <c r="CP177" s="347"/>
    </row>
    <row r="178">
      <c r="A178" s="574">
        <f t="shared" si="147"/>
        <v>300081</v>
      </c>
      <c r="B178" s="574" t="str">
        <f t="shared" si="1"/>
        <v>Batch 300081</v>
      </c>
      <c r="C178" s="347"/>
      <c r="D178" s="574" t="str">
        <f t="shared" si="190"/>
        <v>3-81</v>
      </c>
      <c r="E178" s="347"/>
      <c r="F178" s="596"/>
      <c r="G178" s="596"/>
      <c r="H178" s="347"/>
      <c r="I178" s="347"/>
      <c r="J178" s="596"/>
      <c r="K178" s="609"/>
      <c r="L178" s="1"/>
      <c r="M178" s="347"/>
      <c r="N178" s="347"/>
      <c r="O178" s="579">
        <f t="shared" si="2"/>
        <v>0</v>
      </c>
      <c r="P178" s="579">
        <f t="shared" si="126"/>
        <v>0</v>
      </c>
      <c r="Q178" s="574"/>
      <c r="R178" s="347"/>
      <c r="S178" s="597"/>
      <c r="T178" s="347"/>
      <c r="U178" s="579">
        <f t="shared" si="48"/>
        <v>0</v>
      </c>
      <c r="V178" s="579">
        <f t="shared" si="49"/>
        <v>0</v>
      </c>
      <c r="W178" s="574" t="str">
        <f t="shared" si="179"/>
        <v/>
      </c>
      <c r="X178" s="347" t="str">
        <f t="shared" si="170"/>
        <v/>
      </c>
      <c r="Y178" s="347" t="str">
        <f t="shared" si="188"/>
        <v/>
      </c>
      <c r="Z178" s="347" t="str">
        <f t="shared" si="171"/>
        <v/>
      </c>
      <c r="AA178" s="579">
        <f t="shared" si="6"/>
        <v>0</v>
      </c>
      <c r="AB178" s="581">
        <f t="shared" si="105"/>
        <v>0</v>
      </c>
      <c r="AC178" s="347"/>
      <c r="AD178" s="347"/>
      <c r="AE178" s="347"/>
      <c r="AF178" s="347"/>
      <c r="AG178" s="579">
        <f t="shared" si="54"/>
        <v>0</v>
      </c>
      <c r="AH178" s="579">
        <f t="shared" si="175"/>
        <v>0</v>
      </c>
      <c r="AI178" s="582"/>
      <c r="AJ178" s="582"/>
      <c r="AK178" s="582"/>
      <c r="AL178" s="582"/>
      <c r="AM178" s="579"/>
      <c r="AN178" s="579"/>
      <c r="AO178" s="347"/>
      <c r="AP178" s="581">
        <f t="shared" si="164"/>
        <v>0</v>
      </c>
      <c r="AQ178" s="596"/>
      <c r="AR178" s="596"/>
      <c r="AS178" s="348"/>
      <c r="AT178" s="348"/>
      <c r="AU178" s="348"/>
      <c r="AV178" s="348"/>
      <c r="AW178" s="348"/>
      <c r="AX178" s="584">
        <f t="shared" si="165"/>
        <v>0</v>
      </c>
      <c r="AY178" s="581">
        <f t="shared" si="12"/>
        <v>0</v>
      </c>
      <c r="AZ178" s="581">
        <f t="shared" si="159"/>
        <v>0</v>
      </c>
      <c r="BA178" s="596"/>
      <c r="BB178" s="596"/>
      <c r="BC178" s="348"/>
      <c r="BD178" s="581" t="str">
        <f t="shared" si="99"/>
        <v/>
      </c>
      <c r="BE178" s="581">
        <f t="shared" si="37"/>
        <v>0</v>
      </c>
      <c r="BF178" s="347"/>
      <c r="BG178" s="347"/>
      <c r="BH178" s="347"/>
      <c r="BI178" s="347"/>
      <c r="BJ178" s="586">
        <f t="shared" si="187"/>
        <v>0</v>
      </c>
      <c r="BK178" s="581">
        <f t="shared" si="15"/>
        <v>0</v>
      </c>
      <c r="BL178" s="347"/>
      <c r="BM178" s="347"/>
      <c r="BN178" s="347"/>
      <c r="BO178" s="586">
        <f t="shared" si="189"/>
        <v>0</v>
      </c>
      <c r="BP178" s="584">
        <f t="shared" si="17"/>
        <v>0</v>
      </c>
      <c r="BQ178" s="347"/>
      <c r="BR178" s="581">
        <f t="shared" si="153"/>
        <v>0</v>
      </c>
      <c r="BS178" s="588">
        <f t="shared" si="180"/>
        <v>0</v>
      </c>
      <c r="BT178" s="581">
        <f t="shared" si="20"/>
        <v>0</v>
      </c>
      <c r="BU178" s="589"/>
      <c r="BV178" s="581">
        <f t="shared" si="44"/>
        <v>0</v>
      </c>
      <c r="BW178" s="590"/>
      <c r="BX178" s="347"/>
      <c r="BY178" s="347"/>
      <c r="BZ178" s="347"/>
      <c r="CA178" s="586">
        <f t="shared" si="129"/>
        <v>0</v>
      </c>
      <c r="CB178" s="581">
        <f t="shared" si="160"/>
        <v>0</v>
      </c>
      <c r="CC178" s="581">
        <f t="shared" si="131"/>
        <v>0</v>
      </c>
      <c r="CD178" s="581">
        <f t="shared" si="132"/>
        <v>0</v>
      </c>
      <c r="CE178" s="581">
        <f t="shared" si="133"/>
        <v>0</v>
      </c>
      <c r="CF178" s="581">
        <f t="shared" si="134"/>
        <v>0</v>
      </c>
      <c r="CG178" s="581">
        <f t="shared" si="135"/>
        <v>0</v>
      </c>
      <c r="CH178" s="608" t="str">
        <f t="shared" si="136"/>
        <v>#DIV/0!</v>
      </c>
      <c r="CI178" s="603" t="str">
        <f t="shared" si="137"/>
        <v>#DIV/0!</v>
      </c>
      <c r="CJ178" s="347"/>
      <c r="CK178" s="347">
        <f t="shared" si="138"/>
        <v>0</v>
      </c>
      <c r="CL178" s="539">
        <f t="shared" si="139"/>
        <v>0</v>
      </c>
      <c r="CM178" s="347">
        <f t="shared" si="140"/>
        <v>0</v>
      </c>
      <c r="CN178" s="347">
        <f t="shared" si="141"/>
        <v>0</v>
      </c>
      <c r="CO178" s="347" t="str">
        <f t="shared" si="142"/>
        <v>1899-12-30</v>
      </c>
      <c r="CP178" s="347"/>
    </row>
    <row r="179">
      <c r="A179" s="574">
        <f t="shared" si="147"/>
        <v>200149</v>
      </c>
      <c r="B179" s="574" t="str">
        <f t="shared" si="1"/>
        <v>Batch 200149</v>
      </c>
      <c r="C179" s="347"/>
      <c r="D179" s="574" t="str">
        <f t="shared" si="190"/>
        <v>2-49</v>
      </c>
      <c r="E179" s="347"/>
      <c r="F179" s="596"/>
      <c r="G179" s="596"/>
      <c r="H179" s="347"/>
      <c r="I179" s="347"/>
      <c r="J179" s="596"/>
      <c r="K179" s="609"/>
      <c r="L179" s="1"/>
      <c r="M179" s="347"/>
      <c r="N179" s="347"/>
      <c r="O179" s="579">
        <f t="shared" si="2"/>
        <v>0</v>
      </c>
      <c r="P179" s="579">
        <f t="shared" si="126"/>
        <v>0</v>
      </c>
      <c r="Q179" s="574"/>
      <c r="R179" s="347"/>
      <c r="S179" s="597"/>
      <c r="T179" s="347"/>
      <c r="U179" s="579">
        <f t="shared" si="48"/>
        <v>0</v>
      </c>
      <c r="V179" s="579">
        <f t="shared" si="49"/>
        <v>0</v>
      </c>
      <c r="W179" s="574" t="str">
        <f t="shared" si="179"/>
        <v/>
      </c>
      <c r="X179" s="347" t="str">
        <f t="shared" si="170"/>
        <v/>
      </c>
      <c r="Y179" s="347" t="str">
        <f t="shared" si="188"/>
        <v/>
      </c>
      <c r="Z179" s="347" t="str">
        <f t="shared" si="171"/>
        <v/>
      </c>
      <c r="AA179" s="579">
        <f t="shared" si="6"/>
        <v>0</v>
      </c>
      <c r="AB179" s="581">
        <f t="shared" si="105"/>
        <v>0</v>
      </c>
      <c r="AC179" s="347"/>
      <c r="AD179" s="347"/>
      <c r="AE179" s="347"/>
      <c r="AF179" s="347"/>
      <c r="AG179" s="579">
        <f t="shared" si="54"/>
        <v>0</v>
      </c>
      <c r="AH179" s="579">
        <f t="shared" si="175"/>
        <v>0</v>
      </c>
      <c r="AI179" s="582"/>
      <c r="AJ179" s="582"/>
      <c r="AK179" s="582"/>
      <c r="AL179" s="582"/>
      <c r="AM179" s="579"/>
      <c r="AN179" s="579"/>
      <c r="AO179" s="347"/>
      <c r="AP179" s="581">
        <f t="shared" si="164"/>
        <v>0</v>
      </c>
      <c r="AQ179" s="596"/>
      <c r="AR179" s="596"/>
      <c r="AS179" s="348"/>
      <c r="AT179" s="348"/>
      <c r="AU179" s="348"/>
      <c r="AV179" s="348"/>
      <c r="AW179" s="348"/>
      <c r="AX179" s="584">
        <f t="shared" si="165"/>
        <v>0</v>
      </c>
      <c r="AY179" s="581">
        <f t="shared" si="12"/>
        <v>0</v>
      </c>
      <c r="AZ179" s="581">
        <f t="shared" si="159"/>
        <v>0</v>
      </c>
      <c r="BA179" s="596"/>
      <c r="BB179" s="596"/>
      <c r="BC179" s="348"/>
      <c r="BD179" s="581" t="str">
        <f t="shared" si="99"/>
        <v/>
      </c>
      <c r="BE179" s="581">
        <f t="shared" si="37"/>
        <v>0</v>
      </c>
      <c r="BF179" s="347"/>
      <c r="BG179" s="347"/>
      <c r="BH179" s="347"/>
      <c r="BI179" s="347"/>
      <c r="BJ179" s="586">
        <f t="shared" si="187"/>
        <v>0</v>
      </c>
      <c r="BK179" s="581">
        <f t="shared" si="15"/>
        <v>0</v>
      </c>
      <c r="BL179" s="347"/>
      <c r="BM179" s="347"/>
      <c r="BN179" s="347"/>
      <c r="BO179" s="586">
        <f t="shared" si="189"/>
        <v>0</v>
      </c>
      <c r="BP179" s="584">
        <f t="shared" si="17"/>
        <v>0</v>
      </c>
      <c r="BQ179" s="347"/>
      <c r="BR179" s="581">
        <f t="shared" si="153"/>
        <v>0</v>
      </c>
      <c r="BS179" s="588">
        <f t="shared" si="180"/>
        <v>0</v>
      </c>
      <c r="BT179" s="581">
        <f t="shared" si="20"/>
        <v>0</v>
      </c>
      <c r="BU179" s="589"/>
      <c r="BV179" s="581">
        <f t="shared" si="44"/>
        <v>0</v>
      </c>
      <c r="BW179" s="590"/>
      <c r="BX179" s="347"/>
      <c r="BY179" s="347"/>
      <c r="BZ179" s="347"/>
      <c r="CA179" s="586">
        <f t="shared" si="129"/>
        <v>0</v>
      </c>
      <c r="CB179" s="581">
        <f t="shared" si="160"/>
        <v>0</v>
      </c>
      <c r="CC179" s="581">
        <f t="shared" si="131"/>
        <v>0</v>
      </c>
      <c r="CD179" s="581">
        <f t="shared" si="132"/>
        <v>0</v>
      </c>
      <c r="CE179" s="581">
        <f t="shared" si="133"/>
        <v>0</v>
      </c>
      <c r="CF179" s="581">
        <f t="shared" si="134"/>
        <v>0</v>
      </c>
      <c r="CG179" s="581">
        <f t="shared" si="135"/>
        <v>0</v>
      </c>
      <c r="CH179" s="608" t="str">
        <f t="shared" si="136"/>
        <v>#DIV/0!</v>
      </c>
      <c r="CI179" s="603" t="str">
        <f t="shared" si="137"/>
        <v>#DIV/0!</v>
      </c>
      <c r="CJ179" s="347"/>
      <c r="CK179" s="347">
        <f t="shared" si="138"/>
        <v>0</v>
      </c>
      <c r="CL179" s="539">
        <f t="shared" si="139"/>
        <v>0</v>
      </c>
      <c r="CM179" s="347">
        <f t="shared" si="140"/>
        <v>0</v>
      </c>
      <c r="CN179" s="347">
        <f t="shared" si="141"/>
        <v>0</v>
      </c>
      <c r="CO179" s="347" t="str">
        <f t="shared" si="142"/>
        <v>1899-12-30</v>
      </c>
      <c r="CP179" s="347"/>
    </row>
    <row r="180">
      <c r="A180" s="574">
        <f t="shared" si="147"/>
        <v>300082</v>
      </c>
      <c r="B180" s="574" t="str">
        <f t="shared" si="1"/>
        <v>Batch 300082</v>
      </c>
      <c r="C180" s="347"/>
      <c r="D180" s="574" t="str">
        <f t="shared" si="190"/>
        <v>3-82</v>
      </c>
      <c r="E180" s="347"/>
      <c r="F180" s="596"/>
      <c r="G180" s="596"/>
      <c r="H180" s="347"/>
      <c r="I180" s="347"/>
      <c r="J180" s="596"/>
      <c r="K180" s="609"/>
      <c r="L180" s="1"/>
      <c r="M180" s="347"/>
      <c r="N180" s="347"/>
      <c r="O180" s="579">
        <f t="shared" si="2"/>
        <v>0</v>
      </c>
      <c r="P180" s="579">
        <f t="shared" si="126"/>
        <v>0</v>
      </c>
      <c r="Q180" s="574"/>
      <c r="R180" s="347"/>
      <c r="S180" s="597"/>
      <c r="T180" s="347"/>
      <c r="U180" s="579">
        <f t="shared" si="48"/>
        <v>0</v>
      </c>
      <c r="V180" s="579">
        <f t="shared" si="49"/>
        <v>0</v>
      </c>
      <c r="W180" s="574" t="str">
        <f t="shared" si="179"/>
        <v/>
      </c>
      <c r="X180" s="347" t="str">
        <f t="shared" si="170"/>
        <v/>
      </c>
      <c r="Y180" s="347" t="str">
        <f t="shared" si="188"/>
        <v/>
      </c>
      <c r="Z180" s="347" t="str">
        <f t="shared" si="171"/>
        <v/>
      </c>
      <c r="AA180" s="579">
        <f t="shared" si="6"/>
        <v>0</v>
      </c>
      <c r="AB180" s="581">
        <f t="shared" si="105"/>
        <v>0</v>
      </c>
      <c r="AC180" s="347"/>
      <c r="AD180" s="347"/>
      <c r="AE180" s="347"/>
      <c r="AF180" s="347"/>
      <c r="AG180" s="579">
        <f t="shared" si="54"/>
        <v>0</v>
      </c>
      <c r="AH180" s="579">
        <f t="shared" si="175"/>
        <v>0</v>
      </c>
      <c r="AI180" s="582"/>
      <c r="AJ180" s="582"/>
      <c r="AK180" s="582"/>
      <c r="AL180" s="582"/>
      <c r="AM180" s="579"/>
      <c r="AN180" s="579"/>
      <c r="AO180" s="347"/>
      <c r="AP180" s="581">
        <f t="shared" si="164"/>
        <v>0</v>
      </c>
      <c r="AQ180" s="596"/>
      <c r="AR180" s="596"/>
      <c r="AS180" s="348"/>
      <c r="AT180" s="348"/>
      <c r="AU180" s="348"/>
      <c r="AV180" s="348"/>
      <c r="AW180" s="348"/>
      <c r="AX180" s="584">
        <f t="shared" si="165"/>
        <v>0</v>
      </c>
      <c r="AY180" s="581">
        <f t="shared" si="12"/>
        <v>0</v>
      </c>
      <c r="AZ180" s="581">
        <f t="shared" si="159"/>
        <v>0</v>
      </c>
      <c r="BA180" s="596"/>
      <c r="BB180" s="596"/>
      <c r="BC180" s="348"/>
      <c r="BD180" s="581" t="str">
        <f t="shared" si="99"/>
        <v/>
      </c>
      <c r="BE180" s="581">
        <f t="shared" si="37"/>
        <v>0</v>
      </c>
      <c r="BF180" s="347"/>
      <c r="BG180" s="347"/>
      <c r="BH180" s="347"/>
      <c r="BI180" s="347"/>
      <c r="BJ180" s="586">
        <f t="shared" si="187"/>
        <v>0</v>
      </c>
      <c r="BK180" s="581">
        <f t="shared" si="15"/>
        <v>0</v>
      </c>
      <c r="BL180" s="347"/>
      <c r="BM180" s="347"/>
      <c r="BN180" s="347"/>
      <c r="BO180" s="586">
        <f t="shared" si="189"/>
        <v>0</v>
      </c>
      <c r="BP180" s="584">
        <f t="shared" si="17"/>
        <v>0</v>
      </c>
      <c r="BQ180" s="347"/>
      <c r="BR180" s="581">
        <f t="shared" si="153"/>
        <v>0</v>
      </c>
      <c r="BS180" s="588">
        <f t="shared" si="180"/>
        <v>0</v>
      </c>
      <c r="BT180" s="581">
        <f t="shared" si="20"/>
        <v>0</v>
      </c>
      <c r="BU180" s="589"/>
      <c r="BV180" s="581">
        <f t="shared" si="44"/>
        <v>0</v>
      </c>
      <c r="BW180" s="590"/>
      <c r="BX180" s="347"/>
      <c r="BY180" s="347"/>
      <c r="BZ180" s="347"/>
      <c r="CA180" s="586">
        <f t="shared" si="129"/>
        <v>0</v>
      </c>
      <c r="CB180" s="581">
        <f t="shared" si="160"/>
        <v>0</v>
      </c>
      <c r="CC180" s="581">
        <f t="shared" si="131"/>
        <v>0</v>
      </c>
      <c r="CD180" s="581">
        <f t="shared" si="132"/>
        <v>0</v>
      </c>
      <c r="CE180" s="581">
        <f t="shared" si="133"/>
        <v>0</v>
      </c>
      <c r="CF180" s="581">
        <f t="shared" si="134"/>
        <v>0</v>
      </c>
      <c r="CG180" s="581">
        <f t="shared" si="135"/>
        <v>0</v>
      </c>
      <c r="CH180" s="608" t="str">
        <f t="shared" si="136"/>
        <v>#DIV/0!</v>
      </c>
      <c r="CI180" s="603" t="str">
        <f t="shared" si="137"/>
        <v>#DIV/0!</v>
      </c>
      <c r="CJ180" s="347"/>
      <c r="CK180" s="347">
        <f t="shared" si="138"/>
        <v>0</v>
      </c>
      <c r="CL180" s="539">
        <f t="shared" si="139"/>
        <v>0</v>
      </c>
      <c r="CM180" s="347">
        <f t="shared" si="140"/>
        <v>0</v>
      </c>
      <c r="CN180" s="347">
        <f t="shared" si="141"/>
        <v>0</v>
      </c>
      <c r="CO180" s="347" t="str">
        <f t="shared" si="142"/>
        <v>1899-12-30</v>
      </c>
      <c r="CP180" s="347"/>
    </row>
    <row r="181">
      <c r="A181" s="574">
        <f t="shared" si="147"/>
        <v>200150</v>
      </c>
      <c r="B181" s="574" t="str">
        <f t="shared" si="1"/>
        <v>Batch 200150</v>
      </c>
      <c r="C181" s="347"/>
      <c r="D181" s="574" t="str">
        <f t="shared" si="190"/>
        <v>2-50</v>
      </c>
      <c r="E181" s="347"/>
      <c r="F181" s="596"/>
      <c r="G181" s="596"/>
      <c r="H181" s="347"/>
      <c r="I181" s="347"/>
      <c r="J181" s="596"/>
      <c r="K181" s="609"/>
      <c r="L181" s="1"/>
      <c r="M181" s="347"/>
      <c r="N181" s="347"/>
      <c r="O181" s="579">
        <f t="shared" si="2"/>
        <v>0</v>
      </c>
      <c r="P181" s="579">
        <f t="shared" si="126"/>
        <v>0</v>
      </c>
      <c r="Q181" s="574"/>
      <c r="R181" s="347"/>
      <c r="S181" s="597"/>
      <c r="T181" s="347"/>
      <c r="U181" s="579">
        <f t="shared" si="48"/>
        <v>0</v>
      </c>
      <c r="V181" s="579">
        <f t="shared" si="49"/>
        <v>0</v>
      </c>
      <c r="W181" s="574" t="str">
        <f t="shared" si="179"/>
        <v/>
      </c>
      <c r="X181" s="347" t="str">
        <f t="shared" si="170"/>
        <v/>
      </c>
      <c r="Y181" s="347" t="str">
        <f t="shared" si="188"/>
        <v/>
      </c>
      <c r="Z181" s="347" t="str">
        <f t="shared" si="171"/>
        <v/>
      </c>
      <c r="AA181" s="579">
        <f t="shared" si="6"/>
        <v>0</v>
      </c>
      <c r="AB181" s="581">
        <f t="shared" si="105"/>
        <v>0</v>
      </c>
      <c r="AC181" s="347"/>
      <c r="AD181" s="347"/>
      <c r="AE181" s="347"/>
      <c r="AF181" s="347"/>
      <c r="AG181" s="579">
        <f t="shared" si="54"/>
        <v>0</v>
      </c>
      <c r="AH181" s="579">
        <f t="shared" si="175"/>
        <v>0</v>
      </c>
      <c r="AI181" s="582"/>
      <c r="AJ181" s="582"/>
      <c r="AK181" s="582"/>
      <c r="AL181" s="582"/>
      <c r="AM181" s="579"/>
      <c r="AN181" s="579"/>
      <c r="AO181" s="347"/>
      <c r="AP181" s="581">
        <f t="shared" si="164"/>
        <v>0</v>
      </c>
      <c r="AQ181" s="596"/>
      <c r="AR181" s="596"/>
      <c r="AS181" s="348"/>
      <c r="AT181" s="348"/>
      <c r="AU181" s="348"/>
      <c r="AV181" s="348"/>
      <c r="AW181" s="348"/>
      <c r="AX181" s="584">
        <f t="shared" si="165"/>
        <v>0</v>
      </c>
      <c r="AY181" s="581">
        <f t="shared" si="12"/>
        <v>0</v>
      </c>
      <c r="AZ181" s="581">
        <f t="shared" si="159"/>
        <v>0</v>
      </c>
      <c r="BA181" s="596"/>
      <c r="BB181" s="596"/>
      <c r="BC181" s="348"/>
      <c r="BD181" s="581" t="str">
        <f t="shared" si="99"/>
        <v/>
      </c>
      <c r="BE181" s="581">
        <f t="shared" si="37"/>
        <v>0</v>
      </c>
      <c r="BF181" s="347"/>
      <c r="BG181" s="347"/>
      <c r="BH181" s="347"/>
      <c r="BI181" s="347"/>
      <c r="BJ181" s="586">
        <f t="shared" si="187"/>
        <v>0</v>
      </c>
      <c r="BK181" s="581">
        <f t="shared" si="15"/>
        <v>0</v>
      </c>
      <c r="BL181" s="347"/>
      <c r="BM181" s="347"/>
      <c r="BN181" s="347"/>
      <c r="BO181" s="586">
        <f t="shared" si="189"/>
        <v>0</v>
      </c>
      <c r="BP181" s="584">
        <f t="shared" si="17"/>
        <v>0</v>
      </c>
      <c r="BQ181" s="347"/>
      <c r="BR181" s="581">
        <f t="shared" si="153"/>
        <v>0</v>
      </c>
      <c r="BS181" s="588">
        <f t="shared" si="180"/>
        <v>0</v>
      </c>
      <c r="BT181" s="581">
        <f t="shared" si="20"/>
        <v>0</v>
      </c>
      <c r="BU181" s="589"/>
      <c r="BV181" s="581">
        <f t="shared" si="44"/>
        <v>0</v>
      </c>
      <c r="BW181" s="590"/>
      <c r="BX181" s="347"/>
      <c r="BY181" s="347"/>
      <c r="BZ181" s="347"/>
      <c r="CA181" s="586">
        <f t="shared" si="129"/>
        <v>0</v>
      </c>
      <c r="CB181" s="581">
        <f t="shared" si="160"/>
        <v>0</v>
      </c>
      <c r="CC181" s="581">
        <f t="shared" si="131"/>
        <v>0</v>
      </c>
      <c r="CD181" s="581">
        <f t="shared" si="132"/>
        <v>0</v>
      </c>
      <c r="CE181" s="581">
        <f t="shared" si="133"/>
        <v>0</v>
      </c>
      <c r="CF181" s="581">
        <f t="shared" si="134"/>
        <v>0</v>
      </c>
      <c r="CG181" s="581">
        <f t="shared" si="135"/>
        <v>0</v>
      </c>
      <c r="CH181" s="608" t="str">
        <f t="shared" si="136"/>
        <v>#DIV/0!</v>
      </c>
      <c r="CI181" s="603" t="str">
        <f t="shared" si="137"/>
        <v>#DIV/0!</v>
      </c>
      <c r="CJ181" s="347"/>
      <c r="CK181" s="347">
        <f t="shared" si="138"/>
        <v>0</v>
      </c>
      <c r="CL181" s="539">
        <f t="shared" si="139"/>
        <v>0</v>
      </c>
      <c r="CM181" s="347">
        <f t="shared" si="140"/>
        <v>0</v>
      </c>
      <c r="CN181" s="347">
        <f t="shared" si="141"/>
        <v>0</v>
      </c>
      <c r="CO181" s="347" t="str">
        <f t="shared" si="142"/>
        <v>1899-12-30</v>
      </c>
      <c r="CP181" s="347"/>
    </row>
    <row r="182">
      <c r="A182" s="574">
        <f t="shared" si="147"/>
        <v>300083</v>
      </c>
      <c r="B182" s="574" t="str">
        <f t="shared" si="1"/>
        <v>Batch 300083</v>
      </c>
      <c r="C182" s="347"/>
      <c r="D182" s="574" t="str">
        <f t="shared" si="190"/>
        <v>3-83</v>
      </c>
      <c r="E182" s="347"/>
      <c r="F182" s="596"/>
      <c r="G182" s="596"/>
      <c r="H182" s="347"/>
      <c r="I182" s="347"/>
      <c r="J182" s="596"/>
      <c r="K182" s="609"/>
      <c r="L182" s="1"/>
      <c r="M182" s="347"/>
      <c r="N182" s="347"/>
      <c r="O182" s="579">
        <f t="shared" si="2"/>
        <v>0</v>
      </c>
      <c r="P182" s="579">
        <f t="shared" si="126"/>
        <v>0</v>
      </c>
      <c r="Q182" s="574"/>
      <c r="R182" s="347"/>
      <c r="S182" s="597"/>
      <c r="T182" s="347"/>
      <c r="U182" s="579">
        <f t="shared" si="48"/>
        <v>0</v>
      </c>
      <c r="V182" s="579">
        <f t="shared" si="49"/>
        <v>0</v>
      </c>
      <c r="W182" s="574" t="str">
        <f t="shared" si="179"/>
        <v/>
      </c>
      <c r="X182" s="347" t="str">
        <f t="shared" si="170"/>
        <v/>
      </c>
      <c r="Y182" s="347" t="str">
        <f t="shared" si="188"/>
        <v/>
      </c>
      <c r="Z182" s="347" t="str">
        <f t="shared" si="171"/>
        <v/>
      </c>
      <c r="AA182" s="579">
        <f t="shared" si="6"/>
        <v>0</v>
      </c>
      <c r="AB182" s="581">
        <f t="shared" si="105"/>
        <v>0</v>
      </c>
      <c r="AC182" s="347"/>
      <c r="AD182" s="347"/>
      <c r="AE182" s="347"/>
      <c r="AF182" s="347"/>
      <c r="AG182" s="579">
        <f t="shared" si="54"/>
        <v>0</v>
      </c>
      <c r="AH182" s="579">
        <f t="shared" si="175"/>
        <v>0</v>
      </c>
      <c r="AI182" s="582"/>
      <c r="AJ182" s="582"/>
      <c r="AK182" s="582"/>
      <c r="AL182" s="582"/>
      <c r="AM182" s="579"/>
      <c r="AN182" s="579"/>
      <c r="AO182" s="347"/>
      <c r="AP182" s="581">
        <f t="shared" si="164"/>
        <v>0</v>
      </c>
      <c r="AQ182" s="596"/>
      <c r="AR182" s="596"/>
      <c r="AS182" s="348"/>
      <c r="AT182" s="348"/>
      <c r="AU182" s="348"/>
      <c r="AV182" s="348"/>
      <c r="AW182" s="348"/>
      <c r="AX182" s="584">
        <f t="shared" si="165"/>
        <v>0</v>
      </c>
      <c r="AY182" s="581">
        <f t="shared" si="12"/>
        <v>0</v>
      </c>
      <c r="AZ182" s="581">
        <f t="shared" si="159"/>
        <v>0</v>
      </c>
      <c r="BA182" s="596"/>
      <c r="BB182" s="596"/>
      <c r="BC182" s="348"/>
      <c r="BD182" s="581" t="str">
        <f t="shared" si="99"/>
        <v/>
      </c>
      <c r="BE182" s="581">
        <f t="shared" si="37"/>
        <v>0</v>
      </c>
      <c r="BF182" s="347"/>
      <c r="BG182" s="347"/>
      <c r="BH182" s="347"/>
      <c r="BI182" s="347"/>
      <c r="BJ182" s="586">
        <f t="shared" si="187"/>
        <v>0</v>
      </c>
      <c r="BK182" s="581">
        <f t="shared" si="15"/>
        <v>0</v>
      </c>
      <c r="BL182" s="347"/>
      <c r="BM182" s="347"/>
      <c r="BN182" s="347"/>
      <c r="BO182" s="586">
        <f t="shared" si="189"/>
        <v>0</v>
      </c>
      <c r="BP182" s="584">
        <f t="shared" si="17"/>
        <v>0</v>
      </c>
      <c r="BQ182" s="347"/>
      <c r="BR182" s="581">
        <f t="shared" si="153"/>
        <v>0</v>
      </c>
      <c r="BS182" s="588">
        <f t="shared" si="180"/>
        <v>0</v>
      </c>
      <c r="BT182" s="581">
        <f t="shared" si="20"/>
        <v>0</v>
      </c>
      <c r="BU182" s="589"/>
      <c r="BV182" s="581">
        <f t="shared" si="44"/>
        <v>0</v>
      </c>
      <c r="BW182" s="590"/>
      <c r="BX182" s="347"/>
      <c r="BY182" s="347"/>
      <c r="BZ182" s="347"/>
      <c r="CA182" s="586">
        <f t="shared" si="129"/>
        <v>0</v>
      </c>
      <c r="CB182" s="581">
        <f t="shared" si="160"/>
        <v>0</v>
      </c>
      <c r="CC182" s="581">
        <f t="shared" si="131"/>
        <v>0</v>
      </c>
      <c r="CD182" s="581">
        <f t="shared" si="132"/>
        <v>0</v>
      </c>
      <c r="CE182" s="581">
        <f t="shared" si="133"/>
        <v>0</v>
      </c>
      <c r="CF182" s="581">
        <f t="shared" si="134"/>
        <v>0</v>
      </c>
      <c r="CG182" s="581">
        <f t="shared" si="135"/>
        <v>0</v>
      </c>
      <c r="CH182" s="608" t="str">
        <f t="shared" si="136"/>
        <v>#DIV/0!</v>
      </c>
      <c r="CI182" s="603" t="str">
        <f t="shared" si="137"/>
        <v>#DIV/0!</v>
      </c>
      <c r="CJ182" s="347"/>
      <c r="CK182" s="347">
        <f t="shared" si="138"/>
        <v>0</v>
      </c>
      <c r="CL182" s="539">
        <f t="shared" si="139"/>
        <v>0</v>
      </c>
      <c r="CM182" s="347">
        <f t="shared" si="140"/>
        <v>0</v>
      </c>
      <c r="CN182" s="347">
        <f t="shared" si="141"/>
        <v>0</v>
      </c>
      <c r="CO182" s="347" t="str">
        <f t="shared" si="142"/>
        <v>1899-12-30</v>
      </c>
      <c r="CP182" s="347"/>
    </row>
    <row r="183">
      <c r="A183" s="574">
        <f t="shared" si="147"/>
        <v>200151</v>
      </c>
      <c r="B183" s="574" t="str">
        <f t="shared" si="1"/>
        <v>Batch 200151</v>
      </c>
      <c r="C183" s="347"/>
      <c r="D183" s="574" t="str">
        <f t="shared" si="190"/>
        <v>2-51</v>
      </c>
      <c r="E183" s="347"/>
      <c r="F183" s="596"/>
      <c r="G183" s="596"/>
      <c r="H183" s="347"/>
      <c r="I183" s="347"/>
      <c r="J183" s="596"/>
      <c r="K183" s="609"/>
      <c r="L183" s="1"/>
      <c r="M183" s="347"/>
      <c r="N183" s="347"/>
      <c r="O183" s="579">
        <f t="shared" si="2"/>
        <v>0</v>
      </c>
      <c r="P183" s="579">
        <f t="shared" si="126"/>
        <v>0</v>
      </c>
      <c r="Q183" s="574"/>
      <c r="R183" s="347"/>
      <c r="S183" s="597"/>
      <c r="T183" s="347"/>
      <c r="U183" s="579">
        <f t="shared" si="48"/>
        <v>0</v>
      </c>
      <c r="V183" s="579">
        <f t="shared" si="49"/>
        <v>0</v>
      </c>
      <c r="W183" s="574" t="str">
        <f t="shared" si="179"/>
        <v/>
      </c>
      <c r="X183" s="347" t="str">
        <f t="shared" si="170"/>
        <v/>
      </c>
      <c r="Y183" s="347" t="str">
        <f t="shared" si="188"/>
        <v/>
      </c>
      <c r="Z183" s="347" t="str">
        <f t="shared" si="171"/>
        <v/>
      </c>
      <c r="AA183" s="579">
        <f t="shared" si="6"/>
        <v>0</v>
      </c>
      <c r="AB183" s="581">
        <f t="shared" si="105"/>
        <v>0</v>
      </c>
      <c r="AC183" s="347"/>
      <c r="AD183" s="347"/>
      <c r="AE183" s="347"/>
      <c r="AF183" s="347"/>
      <c r="AG183" s="579">
        <f t="shared" si="54"/>
        <v>0</v>
      </c>
      <c r="AH183" s="579">
        <f t="shared" si="175"/>
        <v>0</v>
      </c>
      <c r="AI183" s="582"/>
      <c r="AJ183" s="582"/>
      <c r="AK183" s="582"/>
      <c r="AL183" s="582"/>
      <c r="AM183" s="579"/>
      <c r="AN183" s="579"/>
      <c r="AO183" s="347"/>
      <c r="AP183" s="581">
        <f t="shared" si="164"/>
        <v>0</v>
      </c>
      <c r="AQ183" s="596"/>
      <c r="AR183" s="596"/>
      <c r="AS183" s="348"/>
      <c r="AT183" s="348"/>
      <c r="AU183" s="348"/>
      <c r="AV183" s="348"/>
      <c r="AW183" s="348"/>
      <c r="AX183" s="584">
        <f t="shared" si="165"/>
        <v>0</v>
      </c>
      <c r="AY183" s="581">
        <f t="shared" si="12"/>
        <v>0</v>
      </c>
      <c r="AZ183" s="581">
        <f t="shared" si="159"/>
        <v>0</v>
      </c>
      <c r="BA183" s="596"/>
      <c r="BB183" s="596"/>
      <c r="BC183" s="348"/>
      <c r="BD183" s="581" t="str">
        <f t="shared" si="99"/>
        <v/>
      </c>
      <c r="BE183" s="581">
        <f t="shared" si="37"/>
        <v>0</v>
      </c>
      <c r="BF183" s="347"/>
      <c r="BG183" s="347"/>
      <c r="BH183" s="347"/>
      <c r="BI183" s="347"/>
      <c r="BJ183" s="586">
        <f t="shared" si="187"/>
        <v>0</v>
      </c>
      <c r="BK183" s="581">
        <f t="shared" si="15"/>
        <v>0</v>
      </c>
      <c r="BL183" s="347"/>
      <c r="BM183" s="347"/>
      <c r="BN183" s="347"/>
      <c r="BO183" s="586">
        <f t="shared" si="189"/>
        <v>0</v>
      </c>
      <c r="BP183" s="584">
        <f t="shared" si="17"/>
        <v>0</v>
      </c>
      <c r="BQ183" s="347"/>
      <c r="BR183" s="581">
        <f t="shared" si="153"/>
        <v>0</v>
      </c>
      <c r="BS183" s="588">
        <f t="shared" si="180"/>
        <v>0</v>
      </c>
      <c r="BT183" s="581">
        <f t="shared" si="20"/>
        <v>0</v>
      </c>
      <c r="BU183" s="589"/>
      <c r="BV183" s="581">
        <f t="shared" si="44"/>
        <v>0</v>
      </c>
      <c r="BW183" s="590"/>
      <c r="BX183" s="347"/>
      <c r="BY183" s="347"/>
      <c r="BZ183" s="347"/>
      <c r="CA183" s="586">
        <f t="shared" si="129"/>
        <v>0</v>
      </c>
      <c r="CB183" s="581">
        <f t="shared" si="160"/>
        <v>0</v>
      </c>
      <c r="CC183" s="581">
        <f t="shared" si="131"/>
        <v>0</v>
      </c>
      <c r="CD183" s="581">
        <f t="shared" si="132"/>
        <v>0</v>
      </c>
      <c r="CE183" s="581">
        <f t="shared" si="133"/>
        <v>0</v>
      </c>
      <c r="CF183" s="581">
        <f t="shared" si="134"/>
        <v>0</v>
      </c>
      <c r="CG183" s="581">
        <f t="shared" si="135"/>
        <v>0</v>
      </c>
      <c r="CH183" s="608" t="str">
        <f t="shared" si="136"/>
        <v>#DIV/0!</v>
      </c>
      <c r="CI183" s="603" t="str">
        <f t="shared" si="137"/>
        <v>#DIV/0!</v>
      </c>
      <c r="CJ183" s="347"/>
      <c r="CK183" s="347">
        <f t="shared" si="138"/>
        <v>0</v>
      </c>
      <c r="CL183" s="539">
        <f t="shared" si="139"/>
        <v>0</v>
      </c>
      <c r="CM183" s="347">
        <f t="shared" si="140"/>
        <v>0</v>
      </c>
      <c r="CN183" s="347">
        <f t="shared" si="141"/>
        <v>0</v>
      </c>
      <c r="CO183" s="347" t="str">
        <f t="shared" si="142"/>
        <v>1899-12-30</v>
      </c>
      <c r="CP183" s="347"/>
    </row>
    <row r="184">
      <c r="A184" s="574">
        <f t="shared" si="147"/>
        <v>300084</v>
      </c>
      <c r="B184" s="574" t="str">
        <f t="shared" si="1"/>
        <v>Batch 300084</v>
      </c>
      <c r="C184" s="347"/>
      <c r="D184" s="574" t="str">
        <f t="shared" si="190"/>
        <v>3-84</v>
      </c>
      <c r="E184" s="347"/>
      <c r="F184" s="596"/>
      <c r="G184" s="596"/>
      <c r="H184" s="347"/>
      <c r="I184" s="347"/>
      <c r="J184" s="596"/>
      <c r="K184" s="609"/>
      <c r="L184" s="1"/>
      <c r="M184" s="347"/>
      <c r="N184" s="347"/>
      <c r="O184" s="579">
        <f t="shared" si="2"/>
        <v>0</v>
      </c>
      <c r="P184" s="579">
        <f t="shared" si="126"/>
        <v>0</v>
      </c>
      <c r="Q184" s="574"/>
      <c r="R184" s="347"/>
      <c r="S184" s="597"/>
      <c r="T184" s="347"/>
      <c r="U184" s="579">
        <f t="shared" si="48"/>
        <v>0</v>
      </c>
      <c r="V184" s="579">
        <f t="shared" si="49"/>
        <v>0</v>
      </c>
      <c r="W184" s="574" t="str">
        <f t="shared" si="179"/>
        <v/>
      </c>
      <c r="X184" s="347" t="str">
        <f t="shared" si="170"/>
        <v/>
      </c>
      <c r="Y184" s="347" t="str">
        <f t="shared" si="188"/>
        <v/>
      </c>
      <c r="Z184" s="347" t="str">
        <f t="shared" si="171"/>
        <v/>
      </c>
      <c r="AA184" s="579">
        <f t="shared" si="6"/>
        <v>0</v>
      </c>
      <c r="AB184" s="581">
        <f t="shared" si="105"/>
        <v>0</v>
      </c>
      <c r="AC184" s="347"/>
      <c r="AD184" s="347"/>
      <c r="AE184" s="347"/>
      <c r="AF184" s="347"/>
      <c r="AG184" s="579">
        <f t="shared" si="54"/>
        <v>0</v>
      </c>
      <c r="AH184" s="579">
        <f t="shared" si="175"/>
        <v>0</v>
      </c>
      <c r="AI184" s="582"/>
      <c r="AJ184" s="582"/>
      <c r="AK184" s="582"/>
      <c r="AL184" s="582"/>
      <c r="AM184" s="579"/>
      <c r="AN184" s="579"/>
      <c r="AO184" s="347"/>
      <c r="AP184" s="581">
        <f t="shared" si="164"/>
        <v>0</v>
      </c>
      <c r="AQ184" s="596"/>
      <c r="AR184" s="596"/>
      <c r="AS184" s="348"/>
      <c r="AT184" s="348"/>
      <c r="AU184" s="348"/>
      <c r="AV184" s="348"/>
      <c r="AW184" s="348"/>
      <c r="AX184" s="584">
        <f t="shared" si="165"/>
        <v>0</v>
      </c>
      <c r="AY184" s="581">
        <f t="shared" si="12"/>
        <v>0</v>
      </c>
      <c r="AZ184" s="581">
        <f t="shared" si="159"/>
        <v>0</v>
      </c>
      <c r="BA184" s="596"/>
      <c r="BB184" s="596"/>
      <c r="BC184" s="348"/>
      <c r="BD184" s="581" t="str">
        <f t="shared" si="99"/>
        <v/>
      </c>
      <c r="BE184" s="581">
        <f t="shared" si="37"/>
        <v>0</v>
      </c>
      <c r="BF184" s="347"/>
      <c r="BG184" s="347"/>
      <c r="BH184" s="347"/>
      <c r="BI184" s="347"/>
      <c r="BJ184" s="586">
        <f t="shared" si="187"/>
        <v>0</v>
      </c>
      <c r="BK184" s="581">
        <f t="shared" si="15"/>
        <v>0</v>
      </c>
      <c r="BL184" s="347"/>
      <c r="BM184" s="347"/>
      <c r="BN184" s="347"/>
      <c r="BO184" s="586">
        <f t="shared" si="189"/>
        <v>0</v>
      </c>
      <c r="BP184" s="584">
        <f t="shared" si="17"/>
        <v>0</v>
      </c>
      <c r="BQ184" s="347"/>
      <c r="BR184" s="581">
        <f t="shared" si="153"/>
        <v>0</v>
      </c>
      <c r="BS184" s="588">
        <f t="shared" si="180"/>
        <v>0</v>
      </c>
      <c r="BT184" s="581">
        <f t="shared" si="20"/>
        <v>0</v>
      </c>
      <c r="BU184" s="589"/>
      <c r="BV184" s="581">
        <f t="shared" si="44"/>
        <v>0</v>
      </c>
      <c r="BW184" s="590"/>
      <c r="BX184" s="347"/>
      <c r="BY184" s="347"/>
      <c r="BZ184" s="347"/>
      <c r="CA184" s="586">
        <f t="shared" si="129"/>
        <v>0</v>
      </c>
      <c r="CB184" s="581">
        <f t="shared" si="160"/>
        <v>0</v>
      </c>
      <c r="CC184" s="581">
        <f t="shared" si="131"/>
        <v>0</v>
      </c>
      <c r="CD184" s="581">
        <f t="shared" si="132"/>
        <v>0</v>
      </c>
      <c r="CE184" s="581">
        <f t="shared" si="133"/>
        <v>0</v>
      </c>
      <c r="CF184" s="581">
        <f t="shared" si="134"/>
        <v>0</v>
      </c>
      <c r="CG184" s="581">
        <f t="shared" si="135"/>
        <v>0</v>
      </c>
      <c r="CH184" s="608" t="str">
        <f t="shared" si="136"/>
        <v>#DIV/0!</v>
      </c>
      <c r="CI184" s="603" t="str">
        <f t="shared" si="137"/>
        <v>#DIV/0!</v>
      </c>
      <c r="CJ184" s="347"/>
      <c r="CK184" s="347">
        <f t="shared" si="138"/>
        <v>0</v>
      </c>
      <c r="CL184" s="539">
        <f t="shared" si="139"/>
        <v>0</v>
      </c>
      <c r="CM184" s="347">
        <f t="shared" si="140"/>
        <v>0</v>
      </c>
      <c r="CN184" s="347">
        <f t="shared" si="141"/>
        <v>0</v>
      </c>
      <c r="CO184" s="347" t="str">
        <f t="shared" si="142"/>
        <v>1899-12-30</v>
      </c>
      <c r="CP184" s="347"/>
    </row>
    <row r="185">
      <c r="A185" s="574">
        <f t="shared" si="147"/>
        <v>200152</v>
      </c>
      <c r="B185" s="574" t="str">
        <f t="shared" si="1"/>
        <v>Batch 200152</v>
      </c>
      <c r="C185" s="347"/>
      <c r="D185" s="574" t="str">
        <f t="shared" si="190"/>
        <v>2-52</v>
      </c>
      <c r="E185" s="347"/>
      <c r="F185" s="596"/>
      <c r="G185" s="596"/>
      <c r="H185" s="347"/>
      <c r="I185" s="347"/>
      <c r="J185" s="596"/>
      <c r="K185" s="609"/>
      <c r="L185" s="1"/>
      <c r="M185" s="347"/>
      <c r="N185" s="347"/>
      <c r="O185" s="579">
        <f t="shared" si="2"/>
        <v>0</v>
      </c>
      <c r="P185" s="579">
        <f t="shared" si="126"/>
        <v>0</v>
      </c>
      <c r="Q185" s="574"/>
      <c r="R185" s="347"/>
      <c r="S185" s="597"/>
      <c r="T185" s="347"/>
      <c r="U185" s="579">
        <f t="shared" si="48"/>
        <v>0</v>
      </c>
      <c r="V185" s="579">
        <f t="shared" si="49"/>
        <v>0</v>
      </c>
      <c r="W185" s="574" t="str">
        <f t="shared" si="179"/>
        <v/>
      </c>
      <c r="X185" s="347" t="str">
        <f t="shared" si="170"/>
        <v/>
      </c>
      <c r="Y185" s="347" t="str">
        <f t="shared" si="188"/>
        <v/>
      </c>
      <c r="Z185" s="347" t="str">
        <f t="shared" si="171"/>
        <v/>
      </c>
      <c r="AA185" s="579">
        <f t="shared" si="6"/>
        <v>0</v>
      </c>
      <c r="AB185" s="581">
        <f t="shared" si="105"/>
        <v>0</v>
      </c>
      <c r="AC185" s="347"/>
      <c r="AD185" s="347"/>
      <c r="AE185" s="347"/>
      <c r="AF185" s="347"/>
      <c r="AG185" s="579">
        <f t="shared" si="54"/>
        <v>0</v>
      </c>
      <c r="AH185" s="579">
        <f t="shared" si="175"/>
        <v>0</v>
      </c>
      <c r="AI185" s="582"/>
      <c r="AJ185" s="582"/>
      <c r="AK185" s="582"/>
      <c r="AL185" s="582"/>
      <c r="AM185" s="579"/>
      <c r="AN185" s="579"/>
      <c r="AO185" s="347"/>
      <c r="AP185" s="581">
        <f t="shared" si="164"/>
        <v>0</v>
      </c>
      <c r="AQ185" s="596"/>
      <c r="AR185" s="596"/>
      <c r="AS185" s="348"/>
      <c r="AT185" s="348"/>
      <c r="AU185" s="348"/>
      <c r="AV185" s="348"/>
      <c r="AW185" s="348"/>
      <c r="AX185" s="584">
        <f t="shared" si="165"/>
        <v>0</v>
      </c>
      <c r="AY185" s="581">
        <f t="shared" si="12"/>
        <v>0</v>
      </c>
      <c r="AZ185" s="581">
        <f t="shared" si="159"/>
        <v>0</v>
      </c>
      <c r="BA185" s="596"/>
      <c r="BB185" s="596"/>
      <c r="BC185" s="348"/>
      <c r="BD185" s="581" t="str">
        <f t="shared" si="99"/>
        <v/>
      </c>
      <c r="BE185" s="581">
        <f t="shared" si="37"/>
        <v>0</v>
      </c>
      <c r="BF185" s="347"/>
      <c r="BG185" s="347"/>
      <c r="BH185" s="347"/>
      <c r="BI185" s="347"/>
      <c r="BJ185" s="586">
        <f t="shared" si="187"/>
        <v>0</v>
      </c>
      <c r="BK185" s="581">
        <f t="shared" si="15"/>
        <v>0</v>
      </c>
      <c r="BL185" s="347"/>
      <c r="BM185" s="347"/>
      <c r="BN185" s="347"/>
      <c r="BO185" s="586">
        <f t="shared" si="189"/>
        <v>0</v>
      </c>
      <c r="BP185" s="584">
        <f t="shared" si="17"/>
        <v>0</v>
      </c>
      <c r="BQ185" s="347"/>
      <c r="BR185" s="581">
        <f t="shared" si="153"/>
        <v>0</v>
      </c>
      <c r="BS185" s="588">
        <f t="shared" si="180"/>
        <v>0</v>
      </c>
      <c r="BT185" s="581">
        <f t="shared" si="20"/>
        <v>0</v>
      </c>
      <c r="BU185" s="589"/>
      <c r="BV185" s="581">
        <f t="shared" si="44"/>
        <v>0</v>
      </c>
      <c r="BW185" s="590"/>
      <c r="BX185" s="347"/>
      <c r="BY185" s="347"/>
      <c r="BZ185" s="347"/>
      <c r="CA185" s="586">
        <f t="shared" si="129"/>
        <v>0</v>
      </c>
      <c r="CB185" s="581">
        <f t="shared" si="160"/>
        <v>0</v>
      </c>
      <c r="CC185" s="581">
        <f t="shared" si="131"/>
        <v>0</v>
      </c>
      <c r="CD185" s="581">
        <f t="shared" si="132"/>
        <v>0</v>
      </c>
      <c r="CE185" s="581">
        <f t="shared" si="133"/>
        <v>0</v>
      </c>
      <c r="CF185" s="581">
        <f t="shared" si="134"/>
        <v>0</v>
      </c>
      <c r="CG185" s="581">
        <f t="shared" si="135"/>
        <v>0</v>
      </c>
      <c r="CH185" s="608" t="str">
        <f t="shared" si="136"/>
        <v>#DIV/0!</v>
      </c>
      <c r="CI185" s="603" t="str">
        <f t="shared" si="137"/>
        <v>#DIV/0!</v>
      </c>
      <c r="CJ185" s="347"/>
      <c r="CK185" s="347">
        <f t="shared" si="138"/>
        <v>0</v>
      </c>
      <c r="CL185" s="539">
        <f t="shared" si="139"/>
        <v>0</v>
      </c>
      <c r="CM185" s="347">
        <f t="shared" si="140"/>
        <v>0</v>
      </c>
      <c r="CN185" s="347">
        <f t="shared" si="141"/>
        <v>0</v>
      </c>
      <c r="CO185" s="347" t="str">
        <f t="shared" si="142"/>
        <v>1899-12-30</v>
      </c>
      <c r="CP185" s="347"/>
    </row>
    <row r="186">
      <c r="A186" s="574">
        <f t="shared" si="147"/>
        <v>300085</v>
      </c>
      <c r="B186" s="574" t="str">
        <f t="shared" si="1"/>
        <v>Batch 300085</v>
      </c>
      <c r="C186" s="347"/>
      <c r="D186" s="574" t="str">
        <f t="shared" si="190"/>
        <v>3-85</v>
      </c>
      <c r="E186" s="347"/>
      <c r="F186" s="596"/>
      <c r="G186" s="596"/>
      <c r="H186" s="347"/>
      <c r="I186" s="347"/>
      <c r="J186" s="596"/>
      <c r="K186" s="609"/>
      <c r="L186" s="1"/>
      <c r="M186" s="347"/>
      <c r="N186" s="347"/>
      <c r="O186" s="579">
        <f t="shared" si="2"/>
        <v>0</v>
      </c>
      <c r="P186" s="579">
        <f t="shared" si="126"/>
        <v>0</v>
      </c>
      <c r="Q186" s="574"/>
      <c r="R186" s="347"/>
      <c r="S186" s="597"/>
      <c r="T186" s="347"/>
      <c r="U186" s="579">
        <f t="shared" si="48"/>
        <v>0</v>
      </c>
      <c r="V186" s="579">
        <f t="shared" si="49"/>
        <v>0</v>
      </c>
      <c r="W186" s="574" t="str">
        <f t="shared" si="179"/>
        <v/>
      </c>
      <c r="X186" s="347" t="str">
        <f t="shared" si="170"/>
        <v/>
      </c>
      <c r="Y186" s="347" t="str">
        <f t="shared" si="188"/>
        <v/>
      </c>
      <c r="Z186" s="347" t="str">
        <f t="shared" si="171"/>
        <v/>
      </c>
      <c r="AA186" s="579">
        <f t="shared" si="6"/>
        <v>0</v>
      </c>
      <c r="AB186" s="581">
        <f t="shared" si="105"/>
        <v>0</v>
      </c>
      <c r="AC186" s="347"/>
      <c r="AD186" s="347"/>
      <c r="AE186" s="347"/>
      <c r="AF186" s="347"/>
      <c r="AG186" s="579">
        <f t="shared" si="54"/>
        <v>0</v>
      </c>
      <c r="AH186" s="579">
        <f t="shared" si="175"/>
        <v>0</v>
      </c>
      <c r="AI186" s="582"/>
      <c r="AJ186" s="582"/>
      <c r="AK186" s="582"/>
      <c r="AL186" s="582"/>
      <c r="AM186" s="579"/>
      <c r="AN186" s="579"/>
      <c r="AO186" s="347"/>
      <c r="AP186" s="581">
        <f t="shared" si="164"/>
        <v>0</v>
      </c>
      <c r="AQ186" s="596"/>
      <c r="AR186" s="596"/>
      <c r="AS186" s="348"/>
      <c r="AT186" s="348"/>
      <c r="AU186" s="348"/>
      <c r="AV186" s="348"/>
      <c r="AW186" s="348"/>
      <c r="AX186" s="584">
        <f t="shared" si="165"/>
        <v>0</v>
      </c>
      <c r="AY186" s="581">
        <f t="shared" si="12"/>
        <v>0</v>
      </c>
      <c r="AZ186" s="581">
        <f t="shared" si="159"/>
        <v>0</v>
      </c>
      <c r="BA186" s="596"/>
      <c r="BB186" s="596"/>
      <c r="BC186" s="348"/>
      <c r="BD186" s="581" t="str">
        <f t="shared" si="99"/>
        <v/>
      </c>
      <c r="BE186" s="581">
        <f t="shared" si="37"/>
        <v>0</v>
      </c>
      <c r="BF186" s="347"/>
      <c r="BG186" s="347"/>
      <c r="BH186" s="347"/>
      <c r="BI186" s="347"/>
      <c r="BJ186" s="586">
        <f t="shared" si="187"/>
        <v>0</v>
      </c>
      <c r="BK186" s="581">
        <f t="shared" si="15"/>
        <v>0</v>
      </c>
      <c r="BL186" s="347"/>
      <c r="BM186" s="347"/>
      <c r="BN186" s="347"/>
      <c r="BO186" s="586">
        <f t="shared" si="189"/>
        <v>0</v>
      </c>
      <c r="BP186" s="584">
        <f t="shared" si="17"/>
        <v>0</v>
      </c>
      <c r="BQ186" s="347"/>
      <c r="BR186" s="581">
        <f t="shared" si="153"/>
        <v>0</v>
      </c>
      <c r="BS186" s="588">
        <f t="shared" si="180"/>
        <v>0</v>
      </c>
      <c r="BT186" s="581">
        <f t="shared" si="20"/>
        <v>0</v>
      </c>
      <c r="BU186" s="589"/>
      <c r="BV186" s="581">
        <f t="shared" si="44"/>
        <v>0</v>
      </c>
      <c r="BW186" s="590"/>
      <c r="BX186" s="347"/>
      <c r="BY186" s="347"/>
      <c r="BZ186" s="347"/>
      <c r="CA186" s="586">
        <f t="shared" si="129"/>
        <v>0</v>
      </c>
      <c r="CB186" s="581">
        <f t="shared" si="160"/>
        <v>0</v>
      </c>
      <c r="CC186" s="581">
        <f t="shared" si="131"/>
        <v>0</v>
      </c>
      <c r="CD186" s="581">
        <f t="shared" si="132"/>
        <v>0</v>
      </c>
      <c r="CE186" s="581">
        <f t="shared" si="133"/>
        <v>0</v>
      </c>
      <c r="CF186" s="581">
        <f t="shared" si="134"/>
        <v>0</v>
      </c>
      <c r="CG186" s="581">
        <f t="shared" si="135"/>
        <v>0</v>
      </c>
      <c r="CH186" s="608" t="str">
        <f t="shared" si="136"/>
        <v>#DIV/0!</v>
      </c>
      <c r="CI186" s="603" t="str">
        <f t="shared" si="137"/>
        <v>#DIV/0!</v>
      </c>
      <c r="CJ186" s="347"/>
      <c r="CK186" s="347">
        <f t="shared" si="138"/>
        <v>0</v>
      </c>
      <c r="CL186" s="539">
        <f t="shared" si="139"/>
        <v>0</v>
      </c>
      <c r="CM186" s="347">
        <f t="shared" si="140"/>
        <v>0</v>
      </c>
      <c r="CN186" s="347">
        <f t="shared" si="141"/>
        <v>0</v>
      </c>
      <c r="CO186" s="347" t="str">
        <f t="shared" si="142"/>
        <v>1899-12-30</v>
      </c>
      <c r="CP186" s="347"/>
    </row>
    <row r="187">
      <c r="A187" s="574">
        <f t="shared" si="147"/>
        <v>200153</v>
      </c>
      <c r="B187" s="574" t="str">
        <f t="shared" si="1"/>
        <v>Batch 200153</v>
      </c>
      <c r="C187" s="347"/>
      <c r="D187" s="574" t="str">
        <f t="shared" si="190"/>
        <v>2-53</v>
      </c>
      <c r="E187" s="347"/>
      <c r="F187" s="596"/>
      <c r="G187" s="596"/>
      <c r="H187" s="347"/>
      <c r="I187" s="347"/>
      <c r="J187" s="596"/>
      <c r="K187" s="609"/>
      <c r="L187" s="1"/>
      <c r="M187" s="347"/>
      <c r="N187" s="347"/>
      <c r="O187" s="579">
        <f t="shared" si="2"/>
        <v>0</v>
      </c>
      <c r="P187" s="579">
        <f t="shared" si="126"/>
        <v>0</v>
      </c>
      <c r="Q187" s="574"/>
      <c r="R187" s="347"/>
      <c r="S187" s="597"/>
      <c r="T187" s="347"/>
      <c r="U187" s="579">
        <f t="shared" si="48"/>
        <v>0</v>
      </c>
      <c r="V187" s="579">
        <f t="shared" si="49"/>
        <v>0</v>
      </c>
      <c r="W187" s="574" t="str">
        <f t="shared" si="179"/>
        <v/>
      </c>
      <c r="X187" s="347" t="str">
        <f t="shared" si="170"/>
        <v/>
      </c>
      <c r="Y187" s="347" t="str">
        <f t="shared" si="188"/>
        <v/>
      </c>
      <c r="Z187" s="347" t="str">
        <f t="shared" si="171"/>
        <v/>
      </c>
      <c r="AA187" s="579">
        <f t="shared" si="6"/>
        <v>0</v>
      </c>
      <c r="AB187" s="581">
        <f t="shared" si="105"/>
        <v>0</v>
      </c>
      <c r="AC187" s="347"/>
      <c r="AD187" s="347"/>
      <c r="AE187" s="347"/>
      <c r="AF187" s="347"/>
      <c r="AG187" s="579">
        <f t="shared" si="54"/>
        <v>0</v>
      </c>
      <c r="AH187" s="579">
        <f t="shared" si="175"/>
        <v>0</v>
      </c>
      <c r="AI187" s="582"/>
      <c r="AJ187" s="582"/>
      <c r="AK187" s="582"/>
      <c r="AL187" s="582"/>
      <c r="AM187" s="579"/>
      <c r="AN187" s="579"/>
      <c r="AO187" s="347"/>
      <c r="AP187" s="581">
        <f t="shared" si="164"/>
        <v>0</v>
      </c>
      <c r="AQ187" s="596"/>
      <c r="AR187" s="596"/>
      <c r="AS187" s="348"/>
      <c r="AT187" s="348"/>
      <c r="AU187" s="348"/>
      <c r="AV187" s="348"/>
      <c r="AW187" s="348"/>
      <c r="AX187" s="584">
        <f t="shared" si="165"/>
        <v>0</v>
      </c>
      <c r="AY187" s="581">
        <f t="shared" si="12"/>
        <v>0</v>
      </c>
      <c r="AZ187" s="581">
        <f t="shared" si="159"/>
        <v>0</v>
      </c>
      <c r="BA187" s="596"/>
      <c r="BB187" s="596"/>
      <c r="BC187" s="348"/>
      <c r="BD187" s="581" t="str">
        <f t="shared" si="99"/>
        <v/>
      </c>
      <c r="BE187" s="581">
        <f t="shared" si="37"/>
        <v>0</v>
      </c>
      <c r="BF187" s="347"/>
      <c r="BG187" s="347"/>
      <c r="BH187" s="347"/>
      <c r="BI187" s="347"/>
      <c r="BJ187" s="586">
        <f t="shared" si="187"/>
        <v>0</v>
      </c>
      <c r="BK187" s="581">
        <f t="shared" si="15"/>
        <v>0</v>
      </c>
      <c r="BL187" s="347"/>
      <c r="BM187" s="347"/>
      <c r="BN187" s="347"/>
      <c r="BO187" s="586">
        <f t="shared" si="189"/>
        <v>0</v>
      </c>
      <c r="BP187" s="584">
        <f t="shared" si="17"/>
        <v>0</v>
      </c>
      <c r="BQ187" s="347"/>
      <c r="BR187" s="581">
        <f t="shared" si="153"/>
        <v>0</v>
      </c>
      <c r="BS187" s="588">
        <f t="shared" si="180"/>
        <v>0</v>
      </c>
      <c r="BT187" s="581">
        <f t="shared" si="20"/>
        <v>0</v>
      </c>
      <c r="BU187" s="589"/>
      <c r="BV187" s="581">
        <f t="shared" si="44"/>
        <v>0</v>
      </c>
      <c r="BW187" s="590"/>
      <c r="BX187" s="347"/>
      <c r="BY187" s="347"/>
      <c r="BZ187" s="347"/>
      <c r="CA187" s="586">
        <f t="shared" si="129"/>
        <v>0</v>
      </c>
      <c r="CB187" s="581">
        <f t="shared" si="160"/>
        <v>0</v>
      </c>
      <c r="CC187" s="581">
        <f t="shared" si="131"/>
        <v>0</v>
      </c>
      <c r="CD187" s="581">
        <f t="shared" si="132"/>
        <v>0</v>
      </c>
      <c r="CE187" s="581">
        <f t="shared" si="133"/>
        <v>0</v>
      </c>
      <c r="CF187" s="581">
        <f t="shared" si="134"/>
        <v>0</v>
      </c>
      <c r="CG187" s="581">
        <f t="shared" si="135"/>
        <v>0</v>
      </c>
      <c r="CH187" s="608" t="str">
        <f t="shared" si="136"/>
        <v>#DIV/0!</v>
      </c>
      <c r="CI187" s="603" t="str">
        <f t="shared" si="137"/>
        <v>#DIV/0!</v>
      </c>
      <c r="CJ187" s="347"/>
      <c r="CK187" s="347">
        <f t="shared" si="138"/>
        <v>0</v>
      </c>
      <c r="CL187" s="539">
        <f t="shared" si="139"/>
        <v>0</v>
      </c>
      <c r="CM187" s="347">
        <f t="shared" si="140"/>
        <v>0</v>
      </c>
      <c r="CN187" s="347">
        <f t="shared" si="141"/>
        <v>0</v>
      </c>
      <c r="CO187" s="347" t="str">
        <f t="shared" si="142"/>
        <v>1899-12-30</v>
      </c>
      <c r="CP187" s="347"/>
    </row>
    <row r="188">
      <c r="A188" s="574">
        <f t="shared" si="147"/>
        <v>300086</v>
      </c>
      <c r="B188" s="574" t="str">
        <f t="shared" si="1"/>
        <v>Batch 300086</v>
      </c>
      <c r="C188" s="347"/>
      <c r="D188" s="574" t="str">
        <f t="shared" si="190"/>
        <v>3-86</v>
      </c>
      <c r="E188" s="347"/>
      <c r="F188" s="596"/>
      <c r="G188" s="596"/>
      <c r="H188" s="347"/>
      <c r="I188" s="347"/>
      <c r="J188" s="596"/>
      <c r="K188" s="609"/>
      <c r="L188" s="1"/>
      <c r="M188" s="347"/>
      <c r="N188" s="347"/>
      <c r="O188" s="579">
        <f t="shared" si="2"/>
        <v>0</v>
      </c>
      <c r="P188" s="579">
        <f t="shared" si="126"/>
        <v>0</v>
      </c>
      <c r="Q188" s="574"/>
      <c r="R188" s="347"/>
      <c r="S188" s="597"/>
      <c r="T188" s="347"/>
      <c r="U188" s="579">
        <f t="shared" si="48"/>
        <v>0</v>
      </c>
      <c r="V188" s="579">
        <f t="shared" si="49"/>
        <v>0</v>
      </c>
      <c r="W188" s="574" t="str">
        <f t="shared" si="179"/>
        <v/>
      </c>
      <c r="X188" s="347" t="str">
        <f t="shared" si="170"/>
        <v/>
      </c>
      <c r="Y188" s="347" t="str">
        <f t="shared" si="188"/>
        <v/>
      </c>
      <c r="Z188" s="347" t="str">
        <f t="shared" si="171"/>
        <v/>
      </c>
      <c r="AA188" s="579">
        <f t="shared" si="6"/>
        <v>0</v>
      </c>
      <c r="AB188" s="581">
        <f t="shared" si="105"/>
        <v>0</v>
      </c>
      <c r="AC188" s="347"/>
      <c r="AD188" s="347"/>
      <c r="AE188" s="347"/>
      <c r="AF188" s="347"/>
      <c r="AG188" s="579">
        <f t="shared" si="54"/>
        <v>0</v>
      </c>
      <c r="AH188" s="579">
        <f t="shared" si="175"/>
        <v>0</v>
      </c>
      <c r="AI188" s="582"/>
      <c r="AJ188" s="582"/>
      <c r="AK188" s="582"/>
      <c r="AL188" s="582"/>
      <c r="AM188" s="579"/>
      <c r="AN188" s="579"/>
      <c r="AO188" s="347"/>
      <c r="AP188" s="581">
        <f t="shared" si="164"/>
        <v>0</v>
      </c>
      <c r="AQ188" s="596"/>
      <c r="AR188" s="596"/>
      <c r="AS188" s="348"/>
      <c r="AT188" s="348"/>
      <c r="AU188" s="348"/>
      <c r="AV188" s="348"/>
      <c r="AW188" s="348"/>
      <c r="AX188" s="584">
        <f t="shared" si="165"/>
        <v>0</v>
      </c>
      <c r="AY188" s="581">
        <f t="shared" si="12"/>
        <v>0</v>
      </c>
      <c r="AZ188" s="581">
        <f t="shared" si="159"/>
        <v>0</v>
      </c>
      <c r="BA188" s="596"/>
      <c r="BB188" s="596"/>
      <c r="BC188" s="348"/>
      <c r="BD188" s="581" t="str">
        <f t="shared" si="99"/>
        <v/>
      </c>
      <c r="BE188" s="581">
        <f t="shared" si="37"/>
        <v>0</v>
      </c>
      <c r="BF188" s="347"/>
      <c r="BG188" s="347"/>
      <c r="BH188" s="347"/>
      <c r="BI188" s="347"/>
      <c r="BJ188" s="586">
        <f t="shared" si="187"/>
        <v>0</v>
      </c>
      <c r="BK188" s="581">
        <f t="shared" si="15"/>
        <v>0</v>
      </c>
      <c r="BL188" s="347"/>
      <c r="BM188" s="347"/>
      <c r="BN188" s="347"/>
      <c r="BO188" s="586">
        <f t="shared" si="189"/>
        <v>0</v>
      </c>
      <c r="BP188" s="584">
        <f t="shared" si="17"/>
        <v>0</v>
      </c>
      <c r="BQ188" s="347"/>
      <c r="BR188" s="581">
        <f t="shared" si="153"/>
        <v>0</v>
      </c>
      <c r="BS188" s="588">
        <f t="shared" si="180"/>
        <v>0</v>
      </c>
      <c r="BT188" s="581">
        <f t="shared" si="20"/>
        <v>0</v>
      </c>
      <c r="BU188" s="589"/>
      <c r="BV188" s="581">
        <f t="shared" si="44"/>
        <v>0</v>
      </c>
      <c r="BW188" s="590"/>
      <c r="BX188" s="347"/>
      <c r="BY188" s="347"/>
      <c r="BZ188" s="347"/>
      <c r="CA188" s="586">
        <f t="shared" si="129"/>
        <v>0</v>
      </c>
      <c r="CB188" s="581">
        <f t="shared" si="160"/>
        <v>0</v>
      </c>
      <c r="CC188" s="581">
        <f t="shared" si="131"/>
        <v>0</v>
      </c>
      <c r="CD188" s="581">
        <f t="shared" si="132"/>
        <v>0</v>
      </c>
      <c r="CE188" s="581">
        <f t="shared" si="133"/>
        <v>0</v>
      </c>
      <c r="CF188" s="581">
        <f t="shared" si="134"/>
        <v>0</v>
      </c>
      <c r="CG188" s="581">
        <f t="shared" si="135"/>
        <v>0</v>
      </c>
      <c r="CH188" s="608" t="str">
        <f t="shared" si="136"/>
        <v>#DIV/0!</v>
      </c>
      <c r="CI188" s="603" t="str">
        <f t="shared" si="137"/>
        <v>#DIV/0!</v>
      </c>
      <c r="CJ188" s="347"/>
      <c r="CK188" s="347">
        <f t="shared" si="138"/>
        <v>0</v>
      </c>
      <c r="CL188" s="539">
        <f t="shared" si="139"/>
        <v>0</v>
      </c>
      <c r="CM188" s="347">
        <f t="shared" si="140"/>
        <v>0</v>
      </c>
      <c r="CN188" s="347">
        <f t="shared" si="141"/>
        <v>0</v>
      </c>
      <c r="CO188" s="347" t="str">
        <f t="shared" si="142"/>
        <v>1899-12-30</v>
      </c>
      <c r="CP188" s="347"/>
    </row>
    <row r="189">
      <c r="A189" s="574">
        <f t="shared" si="147"/>
        <v>200154</v>
      </c>
      <c r="B189" s="574" t="str">
        <f t="shared" si="1"/>
        <v>Batch 200154</v>
      </c>
      <c r="C189" s="347"/>
      <c r="D189" s="574" t="str">
        <f t="shared" si="190"/>
        <v>2-54</v>
      </c>
      <c r="E189" s="347"/>
      <c r="F189" s="596"/>
      <c r="G189" s="596"/>
      <c r="H189" s="347"/>
      <c r="I189" s="347"/>
      <c r="J189" s="596"/>
      <c r="K189" s="609"/>
      <c r="L189" s="1"/>
      <c r="M189" s="347"/>
      <c r="N189" s="347"/>
      <c r="O189" s="579">
        <f t="shared" si="2"/>
        <v>0</v>
      </c>
      <c r="P189" s="579">
        <f t="shared" si="126"/>
        <v>0</v>
      </c>
      <c r="Q189" s="574"/>
      <c r="R189" s="347"/>
      <c r="S189" s="597"/>
      <c r="T189" s="347"/>
      <c r="U189" s="579">
        <f t="shared" si="48"/>
        <v>0</v>
      </c>
      <c r="V189" s="579">
        <f t="shared" si="49"/>
        <v>0</v>
      </c>
      <c r="W189" s="574" t="str">
        <f t="shared" si="179"/>
        <v/>
      </c>
      <c r="X189" s="347" t="str">
        <f t="shared" si="170"/>
        <v/>
      </c>
      <c r="Y189" s="347" t="str">
        <f t="shared" si="188"/>
        <v/>
      </c>
      <c r="Z189" s="347" t="str">
        <f t="shared" si="171"/>
        <v/>
      </c>
      <c r="AA189" s="579">
        <f t="shared" si="6"/>
        <v>0</v>
      </c>
      <c r="AB189" s="581">
        <f t="shared" si="105"/>
        <v>0</v>
      </c>
      <c r="AC189" s="347"/>
      <c r="AD189" s="347"/>
      <c r="AE189" s="347"/>
      <c r="AF189" s="347"/>
      <c r="AG189" s="579">
        <f t="shared" si="54"/>
        <v>0</v>
      </c>
      <c r="AH189" s="579">
        <f t="shared" si="175"/>
        <v>0</v>
      </c>
      <c r="AI189" s="582"/>
      <c r="AJ189" s="582"/>
      <c r="AK189" s="582"/>
      <c r="AL189" s="582"/>
      <c r="AM189" s="579"/>
      <c r="AN189" s="579"/>
      <c r="AO189" s="347"/>
      <c r="AP189" s="581">
        <f t="shared" si="164"/>
        <v>0</v>
      </c>
      <c r="AQ189" s="596"/>
      <c r="AR189" s="596"/>
      <c r="AS189" s="348"/>
      <c r="AT189" s="348"/>
      <c r="AU189" s="348"/>
      <c r="AV189" s="348"/>
      <c r="AW189" s="348"/>
      <c r="AX189" s="584">
        <f t="shared" si="165"/>
        <v>0</v>
      </c>
      <c r="AY189" s="581">
        <f t="shared" si="12"/>
        <v>0</v>
      </c>
      <c r="AZ189" s="581">
        <f t="shared" si="159"/>
        <v>0</v>
      </c>
      <c r="BA189" s="596"/>
      <c r="BB189" s="596"/>
      <c r="BC189" s="348"/>
      <c r="BD189" s="581" t="str">
        <f t="shared" si="99"/>
        <v/>
      </c>
      <c r="BE189" s="581">
        <f t="shared" si="37"/>
        <v>0</v>
      </c>
      <c r="BF189" s="347"/>
      <c r="BG189" s="347"/>
      <c r="BH189" s="347"/>
      <c r="BI189" s="347"/>
      <c r="BJ189" s="586">
        <f t="shared" si="187"/>
        <v>0</v>
      </c>
      <c r="BK189" s="581">
        <f t="shared" si="15"/>
        <v>0</v>
      </c>
      <c r="BL189" s="347"/>
      <c r="BM189" s="347"/>
      <c r="BN189" s="347"/>
      <c r="BO189" s="586">
        <f t="shared" si="189"/>
        <v>0</v>
      </c>
      <c r="BP189" s="584">
        <f t="shared" si="17"/>
        <v>0</v>
      </c>
      <c r="BQ189" s="347"/>
      <c r="BR189" s="581">
        <f t="shared" si="153"/>
        <v>0</v>
      </c>
      <c r="BS189" s="588">
        <f t="shared" si="180"/>
        <v>0</v>
      </c>
      <c r="BT189" s="581">
        <f t="shared" si="20"/>
        <v>0</v>
      </c>
      <c r="BU189" s="589"/>
      <c r="BV189" s="581">
        <f t="shared" si="44"/>
        <v>0</v>
      </c>
      <c r="BW189" s="590"/>
      <c r="BX189" s="347"/>
      <c r="BY189" s="347"/>
      <c r="BZ189" s="347"/>
      <c r="CA189" s="586">
        <f t="shared" si="129"/>
        <v>0</v>
      </c>
      <c r="CB189" s="581">
        <f t="shared" si="160"/>
        <v>0</v>
      </c>
      <c r="CC189" s="581">
        <f t="shared" si="131"/>
        <v>0</v>
      </c>
      <c r="CD189" s="581">
        <f t="shared" si="132"/>
        <v>0</v>
      </c>
      <c r="CE189" s="581">
        <f t="shared" si="133"/>
        <v>0</v>
      </c>
      <c r="CF189" s="581">
        <f t="shared" si="134"/>
        <v>0</v>
      </c>
      <c r="CG189" s="581">
        <f t="shared" si="135"/>
        <v>0</v>
      </c>
      <c r="CH189" s="608" t="str">
        <f t="shared" si="136"/>
        <v>#DIV/0!</v>
      </c>
      <c r="CI189" s="603" t="str">
        <f t="shared" si="137"/>
        <v>#DIV/0!</v>
      </c>
      <c r="CJ189" s="347"/>
      <c r="CK189" s="347">
        <f t="shared" si="138"/>
        <v>0</v>
      </c>
      <c r="CL189" s="539">
        <f t="shared" si="139"/>
        <v>0</v>
      </c>
      <c r="CM189" s="347">
        <f t="shared" si="140"/>
        <v>0</v>
      </c>
      <c r="CN189" s="347">
        <f t="shared" si="141"/>
        <v>0</v>
      </c>
      <c r="CO189" s="347" t="str">
        <f t="shared" si="142"/>
        <v>1899-12-30</v>
      </c>
      <c r="CP189" s="347"/>
    </row>
    <row r="190">
      <c r="A190" s="574">
        <f t="shared" si="147"/>
        <v>300087</v>
      </c>
      <c r="B190" s="574" t="str">
        <f t="shared" si="1"/>
        <v>Batch 300087</v>
      </c>
      <c r="C190" s="347"/>
      <c r="D190" s="574" t="str">
        <f t="shared" si="190"/>
        <v>3-87</v>
      </c>
      <c r="E190" s="347"/>
      <c r="F190" s="596"/>
      <c r="G190" s="596"/>
      <c r="H190" s="347"/>
      <c r="I190" s="347"/>
      <c r="J190" s="596"/>
      <c r="K190" s="609"/>
      <c r="L190" s="1"/>
      <c r="M190" s="347"/>
      <c r="N190" s="347"/>
      <c r="O190" s="579">
        <f t="shared" si="2"/>
        <v>0</v>
      </c>
      <c r="P190" s="579">
        <f t="shared" si="126"/>
        <v>0</v>
      </c>
      <c r="Q190" s="574"/>
      <c r="R190" s="347"/>
      <c r="S190" s="597"/>
      <c r="T190" s="347"/>
      <c r="U190" s="579">
        <f t="shared" si="48"/>
        <v>0</v>
      </c>
      <c r="V190" s="579">
        <f t="shared" si="49"/>
        <v>0</v>
      </c>
      <c r="W190" s="574" t="str">
        <f t="shared" si="179"/>
        <v/>
      </c>
      <c r="X190" s="347" t="str">
        <f t="shared" si="170"/>
        <v/>
      </c>
      <c r="Y190" s="347" t="str">
        <f t="shared" si="188"/>
        <v/>
      </c>
      <c r="Z190" s="347" t="str">
        <f t="shared" si="171"/>
        <v/>
      </c>
      <c r="AA190" s="579">
        <f t="shared" si="6"/>
        <v>0</v>
      </c>
      <c r="AB190" s="581">
        <f t="shared" si="105"/>
        <v>0</v>
      </c>
      <c r="AC190" s="347"/>
      <c r="AD190" s="347"/>
      <c r="AE190" s="347"/>
      <c r="AF190" s="347"/>
      <c r="AG190" s="579">
        <f t="shared" si="54"/>
        <v>0</v>
      </c>
      <c r="AH190" s="579">
        <f t="shared" si="175"/>
        <v>0</v>
      </c>
      <c r="AI190" s="582"/>
      <c r="AJ190" s="582"/>
      <c r="AK190" s="582"/>
      <c r="AL190" s="582"/>
      <c r="AM190" s="579"/>
      <c r="AN190" s="579"/>
      <c r="AO190" s="347"/>
      <c r="AP190" s="581">
        <f t="shared" si="164"/>
        <v>0</v>
      </c>
      <c r="AQ190" s="596"/>
      <c r="AR190" s="596"/>
      <c r="AS190" s="348"/>
      <c r="AT190" s="348"/>
      <c r="AU190" s="348"/>
      <c r="AV190" s="348"/>
      <c r="AW190" s="348"/>
      <c r="AX190" s="584">
        <f t="shared" si="165"/>
        <v>0</v>
      </c>
      <c r="AY190" s="581">
        <f t="shared" si="12"/>
        <v>0</v>
      </c>
      <c r="AZ190" s="581">
        <f t="shared" si="159"/>
        <v>0</v>
      </c>
      <c r="BA190" s="596"/>
      <c r="BB190" s="596"/>
      <c r="BC190" s="348"/>
      <c r="BD190" s="581" t="str">
        <f t="shared" si="99"/>
        <v/>
      </c>
      <c r="BE190" s="581">
        <f t="shared" si="37"/>
        <v>0</v>
      </c>
      <c r="BF190" s="347"/>
      <c r="BG190" s="347"/>
      <c r="BH190" s="347"/>
      <c r="BI190" s="347"/>
      <c r="BJ190" s="586">
        <f t="shared" si="187"/>
        <v>0</v>
      </c>
      <c r="BK190" s="581">
        <f t="shared" si="15"/>
        <v>0</v>
      </c>
      <c r="BL190" s="347"/>
      <c r="BM190" s="347"/>
      <c r="BN190" s="347"/>
      <c r="BO190" s="586">
        <f t="shared" si="189"/>
        <v>0</v>
      </c>
      <c r="BP190" s="584">
        <f t="shared" si="17"/>
        <v>0</v>
      </c>
      <c r="BQ190" s="347"/>
      <c r="BR190" s="581">
        <f t="shared" si="153"/>
        <v>0</v>
      </c>
      <c r="BS190" s="588">
        <f t="shared" si="180"/>
        <v>0</v>
      </c>
      <c r="BT190" s="581">
        <f t="shared" si="20"/>
        <v>0</v>
      </c>
      <c r="BU190" s="589"/>
      <c r="BV190" s="581">
        <f t="shared" si="44"/>
        <v>0</v>
      </c>
      <c r="BW190" s="590"/>
      <c r="BX190" s="347"/>
      <c r="BY190" s="347"/>
      <c r="BZ190" s="347"/>
      <c r="CA190" s="586">
        <f t="shared" si="129"/>
        <v>0</v>
      </c>
      <c r="CB190" s="581">
        <f t="shared" si="160"/>
        <v>0</v>
      </c>
      <c r="CC190" s="581">
        <f t="shared" si="131"/>
        <v>0</v>
      </c>
      <c r="CD190" s="581">
        <f t="shared" si="132"/>
        <v>0</v>
      </c>
      <c r="CE190" s="581">
        <f t="shared" si="133"/>
        <v>0</v>
      </c>
      <c r="CF190" s="581">
        <f t="shared" si="134"/>
        <v>0</v>
      </c>
      <c r="CG190" s="581">
        <f t="shared" si="135"/>
        <v>0</v>
      </c>
      <c r="CH190" s="608" t="str">
        <f t="shared" si="136"/>
        <v>#DIV/0!</v>
      </c>
      <c r="CI190" s="603" t="str">
        <f t="shared" si="137"/>
        <v>#DIV/0!</v>
      </c>
      <c r="CJ190" s="347"/>
      <c r="CK190" s="347">
        <f t="shared" si="138"/>
        <v>0</v>
      </c>
      <c r="CL190" s="539">
        <f t="shared" si="139"/>
        <v>0</v>
      </c>
      <c r="CM190" s="347">
        <f t="shared" si="140"/>
        <v>0</v>
      </c>
      <c r="CN190" s="347">
        <f t="shared" si="141"/>
        <v>0</v>
      </c>
      <c r="CO190" s="347" t="str">
        <f t="shared" si="142"/>
        <v>1899-12-30</v>
      </c>
      <c r="CP190" s="347"/>
    </row>
    <row r="191">
      <c r="A191" s="574">
        <f t="shared" si="147"/>
        <v>200155</v>
      </c>
      <c r="B191" s="574" t="str">
        <f t="shared" si="1"/>
        <v>Batch 200155</v>
      </c>
      <c r="C191" s="347"/>
      <c r="D191" s="574" t="str">
        <f t="shared" si="190"/>
        <v>2-55</v>
      </c>
      <c r="E191" s="347"/>
      <c r="F191" s="596"/>
      <c r="G191" s="596"/>
      <c r="H191" s="347"/>
      <c r="I191" s="347"/>
      <c r="J191" s="596"/>
      <c r="K191" s="609"/>
      <c r="L191" s="1"/>
      <c r="M191" s="347"/>
      <c r="N191" s="347"/>
      <c r="O191" s="579">
        <f t="shared" si="2"/>
        <v>0</v>
      </c>
      <c r="P191" s="579">
        <f t="shared" si="126"/>
        <v>0</v>
      </c>
      <c r="Q191" s="574"/>
      <c r="R191" s="347"/>
      <c r="S191" s="597"/>
      <c r="T191" s="347"/>
      <c r="U191" s="579">
        <f t="shared" si="48"/>
        <v>0</v>
      </c>
      <c r="V191" s="579">
        <f t="shared" si="49"/>
        <v>0</v>
      </c>
      <c r="W191" s="574" t="str">
        <f t="shared" si="179"/>
        <v/>
      </c>
      <c r="X191" s="347" t="str">
        <f t="shared" si="170"/>
        <v/>
      </c>
      <c r="Y191" s="347" t="str">
        <f t="shared" si="188"/>
        <v/>
      </c>
      <c r="Z191" s="347" t="str">
        <f t="shared" si="171"/>
        <v/>
      </c>
      <c r="AA191" s="579">
        <f t="shared" si="6"/>
        <v>0</v>
      </c>
      <c r="AB191" s="581">
        <f t="shared" si="105"/>
        <v>0</v>
      </c>
      <c r="AC191" s="347"/>
      <c r="AD191" s="347"/>
      <c r="AE191" s="347"/>
      <c r="AF191" s="347"/>
      <c r="AG191" s="579">
        <f t="shared" si="54"/>
        <v>0</v>
      </c>
      <c r="AH191" s="579">
        <f t="shared" si="175"/>
        <v>0</v>
      </c>
      <c r="AI191" s="582"/>
      <c r="AJ191" s="582"/>
      <c r="AK191" s="582"/>
      <c r="AL191" s="582"/>
      <c r="AM191" s="579"/>
      <c r="AN191" s="579"/>
      <c r="AO191" s="347"/>
      <c r="AP191" s="581">
        <f t="shared" si="164"/>
        <v>0</v>
      </c>
      <c r="AQ191" s="596"/>
      <c r="AR191" s="596"/>
      <c r="AS191" s="348"/>
      <c r="AT191" s="348"/>
      <c r="AU191" s="348"/>
      <c r="AV191" s="348"/>
      <c r="AW191" s="348"/>
      <c r="AX191" s="584">
        <f t="shared" si="165"/>
        <v>0</v>
      </c>
      <c r="AY191" s="581">
        <f t="shared" si="12"/>
        <v>0</v>
      </c>
      <c r="AZ191" s="581">
        <f t="shared" si="159"/>
        <v>0</v>
      </c>
      <c r="BA191" s="596"/>
      <c r="BB191" s="596"/>
      <c r="BC191" s="348"/>
      <c r="BD191" s="581" t="str">
        <f t="shared" si="99"/>
        <v/>
      </c>
      <c r="BE191" s="581">
        <f t="shared" si="37"/>
        <v>0</v>
      </c>
      <c r="BF191" s="347"/>
      <c r="BG191" s="347"/>
      <c r="BH191" s="347"/>
      <c r="BI191" s="347"/>
      <c r="BJ191" s="586">
        <f t="shared" si="187"/>
        <v>0</v>
      </c>
      <c r="BK191" s="581">
        <f t="shared" si="15"/>
        <v>0</v>
      </c>
      <c r="BL191" s="347"/>
      <c r="BM191" s="347"/>
      <c r="BN191" s="347"/>
      <c r="BO191" s="586">
        <f t="shared" si="189"/>
        <v>0</v>
      </c>
      <c r="BP191" s="584">
        <f t="shared" si="17"/>
        <v>0</v>
      </c>
      <c r="BQ191" s="347"/>
      <c r="BR191" s="581">
        <f t="shared" si="153"/>
        <v>0</v>
      </c>
      <c r="BS191" s="588">
        <f t="shared" si="180"/>
        <v>0</v>
      </c>
      <c r="BT191" s="581">
        <f t="shared" si="20"/>
        <v>0</v>
      </c>
      <c r="BU191" s="589"/>
      <c r="BV191" s="581">
        <f t="shared" si="44"/>
        <v>0</v>
      </c>
      <c r="BW191" s="590"/>
      <c r="BX191" s="347"/>
      <c r="BY191" s="347"/>
      <c r="BZ191" s="347"/>
      <c r="CA191" s="586">
        <f t="shared" si="129"/>
        <v>0</v>
      </c>
      <c r="CB191" s="581">
        <f t="shared" si="160"/>
        <v>0</v>
      </c>
      <c r="CC191" s="581">
        <f t="shared" si="131"/>
        <v>0</v>
      </c>
      <c r="CD191" s="581">
        <f t="shared" si="132"/>
        <v>0</v>
      </c>
      <c r="CE191" s="581">
        <f t="shared" si="133"/>
        <v>0</v>
      </c>
      <c r="CF191" s="581">
        <f t="shared" si="134"/>
        <v>0</v>
      </c>
      <c r="CG191" s="581">
        <f t="shared" si="135"/>
        <v>0</v>
      </c>
      <c r="CH191" s="608" t="str">
        <f t="shared" si="136"/>
        <v>#DIV/0!</v>
      </c>
      <c r="CI191" s="603" t="str">
        <f t="shared" si="137"/>
        <v>#DIV/0!</v>
      </c>
      <c r="CJ191" s="347"/>
      <c r="CK191" s="347">
        <f t="shared" si="138"/>
        <v>0</v>
      </c>
      <c r="CL191" s="539">
        <f t="shared" si="139"/>
        <v>0</v>
      </c>
      <c r="CM191" s="347">
        <f t="shared" si="140"/>
        <v>0</v>
      </c>
      <c r="CN191" s="347">
        <f t="shared" si="141"/>
        <v>0</v>
      </c>
      <c r="CO191" s="347" t="str">
        <f t="shared" si="142"/>
        <v>1899-12-30</v>
      </c>
      <c r="CP191" s="347"/>
    </row>
    <row r="192">
      <c r="A192" s="574">
        <f t="shared" si="147"/>
        <v>300088</v>
      </c>
      <c r="B192" s="574" t="str">
        <f t="shared" si="1"/>
        <v>Batch 300088</v>
      </c>
      <c r="C192" s="347"/>
      <c r="D192" s="574" t="str">
        <f t="shared" si="190"/>
        <v>3-88</v>
      </c>
      <c r="E192" s="347"/>
      <c r="F192" s="596"/>
      <c r="G192" s="596"/>
      <c r="H192" s="347"/>
      <c r="I192" s="347"/>
      <c r="J192" s="596"/>
      <c r="K192" s="609"/>
      <c r="L192" s="1"/>
      <c r="M192" s="347"/>
      <c r="N192" s="347"/>
      <c r="O192" s="579">
        <f t="shared" si="2"/>
        <v>0</v>
      </c>
      <c r="P192" s="579">
        <f t="shared" si="126"/>
        <v>0</v>
      </c>
      <c r="Q192" s="574"/>
      <c r="R192" s="347"/>
      <c r="S192" s="597"/>
      <c r="T192" s="347"/>
      <c r="U192" s="579">
        <f t="shared" si="48"/>
        <v>0</v>
      </c>
      <c r="V192" s="579">
        <f t="shared" si="49"/>
        <v>0</v>
      </c>
      <c r="W192" s="574" t="str">
        <f t="shared" si="179"/>
        <v/>
      </c>
      <c r="X192" s="347" t="str">
        <f t="shared" si="170"/>
        <v/>
      </c>
      <c r="Y192" s="347" t="str">
        <f t="shared" si="188"/>
        <v/>
      </c>
      <c r="Z192" s="347" t="str">
        <f t="shared" si="171"/>
        <v/>
      </c>
      <c r="AA192" s="579">
        <f t="shared" si="6"/>
        <v>0</v>
      </c>
      <c r="AB192" s="581">
        <f t="shared" si="105"/>
        <v>0</v>
      </c>
      <c r="AC192" s="347"/>
      <c r="AD192" s="347"/>
      <c r="AE192" s="347"/>
      <c r="AF192" s="347"/>
      <c r="AG192" s="579">
        <f t="shared" si="54"/>
        <v>0</v>
      </c>
      <c r="AH192" s="579">
        <f t="shared" si="175"/>
        <v>0</v>
      </c>
      <c r="AI192" s="582"/>
      <c r="AJ192" s="582"/>
      <c r="AK192" s="582"/>
      <c r="AL192" s="582"/>
      <c r="AM192" s="579"/>
      <c r="AN192" s="579"/>
      <c r="AO192" s="347"/>
      <c r="AP192" s="581">
        <f t="shared" si="164"/>
        <v>0</v>
      </c>
      <c r="AQ192" s="596"/>
      <c r="AR192" s="596"/>
      <c r="AS192" s="348"/>
      <c r="AT192" s="348"/>
      <c r="AU192" s="348"/>
      <c r="AV192" s="348"/>
      <c r="AW192" s="348"/>
      <c r="AX192" s="584">
        <f t="shared" si="165"/>
        <v>0</v>
      </c>
      <c r="AY192" s="581">
        <f t="shared" si="12"/>
        <v>0</v>
      </c>
      <c r="AZ192" s="581">
        <f t="shared" si="159"/>
        <v>0</v>
      </c>
      <c r="BA192" s="596"/>
      <c r="BB192" s="596"/>
      <c r="BC192" s="348"/>
      <c r="BD192" s="581" t="str">
        <f t="shared" si="99"/>
        <v/>
      </c>
      <c r="BE192" s="581">
        <f t="shared" si="37"/>
        <v>0</v>
      </c>
      <c r="BF192" s="347"/>
      <c r="BG192" s="347"/>
      <c r="BH192" s="347"/>
      <c r="BI192" s="347"/>
      <c r="BJ192" s="586">
        <f t="shared" si="187"/>
        <v>0</v>
      </c>
      <c r="BK192" s="581">
        <f t="shared" si="15"/>
        <v>0</v>
      </c>
      <c r="BL192" s="347"/>
      <c r="BM192" s="347"/>
      <c r="BN192" s="347"/>
      <c r="BO192" s="586">
        <f t="shared" si="189"/>
        <v>0</v>
      </c>
      <c r="BP192" s="584">
        <f t="shared" si="17"/>
        <v>0</v>
      </c>
      <c r="BQ192" s="347"/>
      <c r="BR192" s="581">
        <f t="shared" si="153"/>
        <v>0</v>
      </c>
      <c r="BS192" s="588">
        <f t="shared" si="180"/>
        <v>0</v>
      </c>
      <c r="BT192" s="581">
        <f t="shared" si="20"/>
        <v>0</v>
      </c>
      <c r="BU192" s="589"/>
      <c r="BV192" s="581">
        <f t="shared" si="44"/>
        <v>0</v>
      </c>
      <c r="BW192" s="590"/>
      <c r="BX192" s="347"/>
      <c r="BY192" s="347"/>
      <c r="BZ192" s="347"/>
      <c r="CA192" s="586">
        <f t="shared" si="129"/>
        <v>0</v>
      </c>
      <c r="CB192" s="581">
        <f t="shared" si="160"/>
        <v>0</v>
      </c>
      <c r="CC192" s="581">
        <f t="shared" si="131"/>
        <v>0</v>
      </c>
      <c r="CD192" s="581">
        <f t="shared" si="132"/>
        <v>0</v>
      </c>
      <c r="CE192" s="581">
        <f t="shared" si="133"/>
        <v>0</v>
      </c>
      <c r="CF192" s="581">
        <f t="shared" si="134"/>
        <v>0</v>
      </c>
      <c r="CG192" s="581">
        <f t="shared" si="135"/>
        <v>0</v>
      </c>
      <c r="CH192" s="608" t="str">
        <f t="shared" si="136"/>
        <v>#DIV/0!</v>
      </c>
      <c r="CI192" s="603" t="str">
        <f t="shared" si="137"/>
        <v>#DIV/0!</v>
      </c>
      <c r="CJ192" s="347"/>
      <c r="CK192" s="347">
        <f t="shared" si="138"/>
        <v>0</v>
      </c>
      <c r="CL192" s="539">
        <f t="shared" si="139"/>
        <v>0</v>
      </c>
      <c r="CM192" s="347">
        <f t="shared" si="140"/>
        <v>0</v>
      </c>
      <c r="CN192" s="347">
        <f t="shared" si="141"/>
        <v>0</v>
      </c>
      <c r="CO192" s="347" t="str">
        <f t="shared" si="142"/>
        <v>1899-12-30</v>
      </c>
      <c r="CP192" s="347"/>
    </row>
    <row r="193">
      <c r="A193" s="574">
        <f t="shared" si="147"/>
        <v>200156</v>
      </c>
      <c r="B193" s="574" t="str">
        <f t="shared" si="1"/>
        <v>Batch 200156</v>
      </c>
      <c r="C193" s="347"/>
      <c r="D193" s="574" t="str">
        <f t="shared" si="190"/>
        <v>2-56</v>
      </c>
      <c r="E193" s="347"/>
      <c r="F193" s="596"/>
      <c r="G193" s="596"/>
      <c r="H193" s="347"/>
      <c r="I193" s="347"/>
      <c r="J193" s="596"/>
      <c r="K193" s="609"/>
      <c r="L193" s="1"/>
      <c r="M193" s="347"/>
      <c r="N193" s="347"/>
      <c r="O193" s="579">
        <f t="shared" si="2"/>
        <v>0</v>
      </c>
      <c r="P193" s="579">
        <f t="shared" si="126"/>
        <v>0</v>
      </c>
      <c r="Q193" s="574"/>
      <c r="R193" s="347"/>
      <c r="S193" s="597"/>
      <c r="T193" s="347"/>
      <c r="U193" s="579">
        <f t="shared" si="48"/>
        <v>0</v>
      </c>
      <c r="V193" s="579">
        <f t="shared" si="49"/>
        <v>0</v>
      </c>
      <c r="W193" s="574" t="str">
        <f t="shared" si="179"/>
        <v/>
      </c>
      <c r="X193" s="347" t="str">
        <f t="shared" si="170"/>
        <v/>
      </c>
      <c r="Y193" s="347" t="str">
        <f t="shared" si="188"/>
        <v/>
      </c>
      <c r="Z193" s="347" t="str">
        <f t="shared" si="171"/>
        <v/>
      </c>
      <c r="AA193" s="579">
        <f t="shared" si="6"/>
        <v>0</v>
      </c>
      <c r="AB193" s="581">
        <f t="shared" si="105"/>
        <v>0</v>
      </c>
      <c r="AC193" s="347"/>
      <c r="AD193" s="347"/>
      <c r="AE193" s="347"/>
      <c r="AF193" s="347"/>
      <c r="AG193" s="579">
        <f t="shared" si="54"/>
        <v>0</v>
      </c>
      <c r="AH193" s="579">
        <f t="shared" si="175"/>
        <v>0</v>
      </c>
      <c r="AI193" s="582"/>
      <c r="AJ193" s="582"/>
      <c r="AK193" s="582"/>
      <c r="AL193" s="582"/>
      <c r="AM193" s="579"/>
      <c r="AN193" s="579"/>
      <c r="AO193" s="347"/>
      <c r="AP193" s="581">
        <f t="shared" si="164"/>
        <v>0</v>
      </c>
      <c r="AQ193" s="596"/>
      <c r="AR193" s="596"/>
      <c r="AS193" s="348"/>
      <c r="AT193" s="348"/>
      <c r="AU193" s="348"/>
      <c r="AV193" s="348"/>
      <c r="AW193" s="348"/>
      <c r="AX193" s="584">
        <f t="shared" si="165"/>
        <v>0</v>
      </c>
      <c r="AY193" s="581">
        <f t="shared" si="12"/>
        <v>0</v>
      </c>
      <c r="AZ193" s="581">
        <f t="shared" si="159"/>
        <v>0</v>
      </c>
      <c r="BA193" s="596"/>
      <c r="BB193" s="596"/>
      <c r="BC193" s="348"/>
      <c r="BD193" s="581" t="str">
        <f t="shared" si="99"/>
        <v/>
      </c>
      <c r="BE193" s="581">
        <f t="shared" si="37"/>
        <v>0</v>
      </c>
      <c r="BF193" s="347"/>
      <c r="BG193" s="347"/>
      <c r="BH193" s="347"/>
      <c r="BI193" s="347"/>
      <c r="BJ193" s="586">
        <f t="shared" si="187"/>
        <v>0</v>
      </c>
      <c r="BK193" s="581">
        <f t="shared" si="15"/>
        <v>0</v>
      </c>
      <c r="BL193" s="347"/>
      <c r="BM193" s="347"/>
      <c r="BN193" s="347"/>
      <c r="BO193" s="586">
        <f t="shared" si="189"/>
        <v>0</v>
      </c>
      <c r="BP193" s="584">
        <f t="shared" si="17"/>
        <v>0</v>
      </c>
      <c r="BQ193" s="347"/>
      <c r="BR193" s="581">
        <f t="shared" si="153"/>
        <v>0</v>
      </c>
      <c r="BS193" s="588">
        <f t="shared" si="180"/>
        <v>0</v>
      </c>
      <c r="BT193" s="581">
        <f t="shared" si="20"/>
        <v>0</v>
      </c>
      <c r="BU193" s="589"/>
      <c r="BV193" s="581">
        <f t="shared" si="44"/>
        <v>0</v>
      </c>
      <c r="BW193" s="590"/>
      <c r="BX193" s="347"/>
      <c r="BY193" s="347"/>
      <c r="BZ193" s="347"/>
      <c r="CA193" s="586">
        <f t="shared" si="129"/>
        <v>0</v>
      </c>
      <c r="CB193" s="581">
        <f t="shared" si="160"/>
        <v>0</v>
      </c>
      <c r="CC193" s="581">
        <f t="shared" si="131"/>
        <v>0</v>
      </c>
      <c r="CD193" s="581">
        <f t="shared" si="132"/>
        <v>0</v>
      </c>
      <c r="CE193" s="581">
        <f t="shared" si="133"/>
        <v>0</v>
      </c>
      <c r="CF193" s="581">
        <f t="shared" si="134"/>
        <v>0</v>
      </c>
      <c r="CG193" s="581">
        <f t="shared" si="135"/>
        <v>0</v>
      </c>
      <c r="CH193" s="608" t="str">
        <f t="shared" si="136"/>
        <v>#DIV/0!</v>
      </c>
      <c r="CI193" s="603" t="str">
        <f t="shared" si="137"/>
        <v>#DIV/0!</v>
      </c>
      <c r="CJ193" s="347"/>
      <c r="CK193" s="347">
        <f t="shared" si="138"/>
        <v>0</v>
      </c>
      <c r="CL193" s="539">
        <f t="shared" si="139"/>
        <v>0</v>
      </c>
      <c r="CM193" s="347">
        <f t="shared" si="140"/>
        <v>0</v>
      </c>
      <c r="CN193" s="347">
        <f t="shared" si="141"/>
        <v>0</v>
      </c>
      <c r="CO193" s="347" t="str">
        <f t="shared" si="142"/>
        <v>1899-12-30</v>
      </c>
      <c r="CP193" s="347"/>
    </row>
    <row r="194">
      <c r="A194" s="574">
        <f t="shared" si="147"/>
        <v>300089</v>
      </c>
      <c r="B194" s="574" t="str">
        <f t="shared" si="1"/>
        <v>Batch 300089</v>
      </c>
      <c r="C194" s="347"/>
      <c r="D194" s="574" t="str">
        <f t="shared" si="190"/>
        <v>3-89</v>
      </c>
      <c r="E194" s="347"/>
      <c r="F194" s="596"/>
      <c r="G194" s="596"/>
      <c r="H194" s="347"/>
      <c r="I194" s="347"/>
      <c r="J194" s="596"/>
      <c r="K194" s="609"/>
      <c r="L194" s="1"/>
      <c r="M194" s="347"/>
      <c r="N194" s="347"/>
      <c r="O194" s="579">
        <f t="shared" si="2"/>
        <v>0</v>
      </c>
      <c r="P194" s="579">
        <f t="shared" si="126"/>
        <v>0</v>
      </c>
      <c r="Q194" s="574"/>
      <c r="R194" s="347"/>
      <c r="S194" s="597"/>
      <c r="T194" s="347"/>
      <c r="U194" s="579">
        <f t="shared" si="48"/>
        <v>0</v>
      </c>
      <c r="V194" s="579">
        <f t="shared" si="49"/>
        <v>0</v>
      </c>
      <c r="W194" s="574" t="str">
        <f t="shared" si="179"/>
        <v/>
      </c>
      <c r="X194" s="347" t="str">
        <f t="shared" si="170"/>
        <v/>
      </c>
      <c r="Y194" s="347" t="str">
        <f t="shared" si="188"/>
        <v/>
      </c>
      <c r="Z194" s="347" t="str">
        <f t="shared" si="171"/>
        <v/>
      </c>
      <c r="AA194" s="579">
        <f t="shared" si="6"/>
        <v>0</v>
      </c>
      <c r="AB194" s="581">
        <f t="shared" si="105"/>
        <v>0</v>
      </c>
      <c r="AC194" s="347"/>
      <c r="AD194" s="347"/>
      <c r="AE194" s="347"/>
      <c r="AF194" s="347"/>
      <c r="AG194" s="579">
        <f t="shared" si="54"/>
        <v>0</v>
      </c>
      <c r="AH194" s="579">
        <f t="shared" si="175"/>
        <v>0</v>
      </c>
      <c r="AI194" s="582"/>
      <c r="AJ194" s="582"/>
      <c r="AK194" s="582"/>
      <c r="AL194" s="582"/>
      <c r="AM194" s="579"/>
      <c r="AN194" s="579"/>
      <c r="AO194" s="347"/>
      <c r="AP194" s="581">
        <f t="shared" si="164"/>
        <v>0</v>
      </c>
      <c r="AQ194" s="596"/>
      <c r="AR194" s="596"/>
      <c r="AS194" s="348"/>
      <c r="AT194" s="348"/>
      <c r="AU194" s="348"/>
      <c r="AV194" s="348"/>
      <c r="AW194" s="348"/>
      <c r="AX194" s="584">
        <f t="shared" si="165"/>
        <v>0</v>
      </c>
      <c r="AY194" s="581">
        <f t="shared" si="12"/>
        <v>0</v>
      </c>
      <c r="AZ194" s="581">
        <f t="shared" si="159"/>
        <v>0</v>
      </c>
      <c r="BA194" s="596"/>
      <c r="BB194" s="596"/>
      <c r="BC194" s="348"/>
      <c r="BD194" s="581" t="str">
        <f t="shared" si="99"/>
        <v/>
      </c>
      <c r="BE194" s="581">
        <f t="shared" si="37"/>
        <v>0</v>
      </c>
      <c r="BF194" s="347"/>
      <c r="BG194" s="347"/>
      <c r="BH194" s="347"/>
      <c r="BI194" s="347"/>
      <c r="BJ194" s="586">
        <f t="shared" si="187"/>
        <v>0</v>
      </c>
      <c r="BK194" s="581">
        <f t="shared" si="15"/>
        <v>0</v>
      </c>
      <c r="BL194" s="347"/>
      <c r="BM194" s="347"/>
      <c r="BN194" s="347"/>
      <c r="BO194" s="586">
        <f t="shared" si="189"/>
        <v>0</v>
      </c>
      <c r="BP194" s="584">
        <f t="shared" si="17"/>
        <v>0</v>
      </c>
      <c r="BQ194" s="347"/>
      <c r="BR194" s="581">
        <f t="shared" si="153"/>
        <v>0</v>
      </c>
      <c r="BS194" s="588">
        <f t="shared" si="180"/>
        <v>0</v>
      </c>
      <c r="BT194" s="581">
        <f t="shared" si="20"/>
        <v>0</v>
      </c>
      <c r="BU194" s="589"/>
      <c r="BV194" s="581">
        <f t="shared" si="44"/>
        <v>0</v>
      </c>
      <c r="BW194" s="590"/>
      <c r="BX194" s="347"/>
      <c r="BY194" s="347"/>
      <c r="BZ194" s="347"/>
      <c r="CA194" s="586">
        <f t="shared" si="129"/>
        <v>0</v>
      </c>
      <c r="CB194" s="581">
        <f t="shared" si="160"/>
        <v>0</v>
      </c>
      <c r="CC194" s="581">
        <f t="shared" si="131"/>
        <v>0</v>
      </c>
      <c r="CD194" s="581">
        <f t="shared" si="132"/>
        <v>0</v>
      </c>
      <c r="CE194" s="581">
        <f t="shared" si="133"/>
        <v>0</v>
      </c>
      <c r="CF194" s="581">
        <f t="shared" si="134"/>
        <v>0</v>
      </c>
      <c r="CG194" s="581">
        <f t="shared" si="135"/>
        <v>0</v>
      </c>
      <c r="CH194" s="608" t="str">
        <f t="shared" si="136"/>
        <v>#DIV/0!</v>
      </c>
      <c r="CI194" s="603" t="str">
        <f t="shared" si="137"/>
        <v>#DIV/0!</v>
      </c>
      <c r="CJ194" s="347"/>
      <c r="CK194" s="347">
        <f t="shared" si="138"/>
        <v>0</v>
      </c>
      <c r="CL194" s="539">
        <f t="shared" si="139"/>
        <v>0</v>
      </c>
      <c r="CM194" s="347">
        <f t="shared" si="140"/>
        <v>0</v>
      </c>
      <c r="CN194" s="347">
        <f t="shared" si="141"/>
        <v>0</v>
      </c>
      <c r="CO194" s="347" t="str">
        <f t="shared" si="142"/>
        <v>1899-12-30</v>
      </c>
      <c r="CP194" s="347"/>
    </row>
    <row r="195">
      <c r="A195" s="574">
        <f t="shared" si="147"/>
        <v>200157</v>
      </c>
      <c r="B195" s="574" t="str">
        <f t="shared" si="1"/>
        <v>Batch 200157</v>
      </c>
      <c r="C195" s="347"/>
      <c r="D195" s="574" t="str">
        <f t="shared" si="190"/>
        <v>2-57</v>
      </c>
      <c r="E195" s="347"/>
      <c r="F195" s="596"/>
      <c r="G195" s="596"/>
      <c r="H195" s="347"/>
      <c r="I195" s="347"/>
      <c r="J195" s="596"/>
      <c r="K195" s="609"/>
      <c r="L195" s="1"/>
      <c r="M195" s="347"/>
      <c r="N195" s="347"/>
      <c r="O195" s="579">
        <f t="shared" si="2"/>
        <v>0</v>
      </c>
      <c r="P195" s="579">
        <f t="shared" si="126"/>
        <v>0</v>
      </c>
      <c r="Q195" s="574"/>
      <c r="R195" s="347"/>
      <c r="S195" s="597"/>
      <c r="T195" s="347"/>
      <c r="U195" s="579">
        <f t="shared" si="48"/>
        <v>0</v>
      </c>
      <c r="V195" s="579">
        <f t="shared" si="49"/>
        <v>0</v>
      </c>
      <c r="W195" s="574" t="str">
        <f t="shared" si="179"/>
        <v/>
      </c>
      <c r="X195" s="347" t="str">
        <f t="shared" si="170"/>
        <v/>
      </c>
      <c r="Y195" s="347" t="str">
        <f t="shared" si="188"/>
        <v/>
      </c>
      <c r="Z195" s="347" t="str">
        <f t="shared" si="171"/>
        <v/>
      </c>
      <c r="AA195" s="579">
        <f t="shared" si="6"/>
        <v>0</v>
      </c>
      <c r="AB195" s="581">
        <f t="shared" si="105"/>
        <v>0</v>
      </c>
      <c r="AC195" s="347"/>
      <c r="AD195" s="347"/>
      <c r="AE195" s="347"/>
      <c r="AF195" s="347"/>
      <c r="AG195" s="579">
        <f t="shared" si="54"/>
        <v>0</v>
      </c>
      <c r="AH195" s="579">
        <f t="shared" si="175"/>
        <v>0</v>
      </c>
      <c r="AI195" s="582"/>
      <c r="AJ195" s="582"/>
      <c r="AK195" s="582"/>
      <c r="AL195" s="582"/>
      <c r="AM195" s="579"/>
      <c r="AN195" s="579"/>
      <c r="AO195" s="347"/>
      <c r="AP195" s="581">
        <f t="shared" si="164"/>
        <v>0</v>
      </c>
      <c r="AQ195" s="596"/>
      <c r="AR195" s="596"/>
      <c r="AS195" s="348"/>
      <c r="AT195" s="348"/>
      <c r="AU195" s="348"/>
      <c r="AV195" s="348"/>
      <c r="AW195" s="348"/>
      <c r="AX195" s="584">
        <f t="shared" si="165"/>
        <v>0</v>
      </c>
      <c r="AY195" s="581">
        <f t="shared" si="12"/>
        <v>0</v>
      </c>
      <c r="AZ195" s="581">
        <f t="shared" si="159"/>
        <v>0</v>
      </c>
      <c r="BA195" s="596"/>
      <c r="BB195" s="596"/>
      <c r="BC195" s="348"/>
      <c r="BD195" s="581" t="str">
        <f t="shared" si="99"/>
        <v/>
      </c>
      <c r="BE195" s="581">
        <f t="shared" si="37"/>
        <v>0</v>
      </c>
      <c r="BF195" s="347"/>
      <c r="BG195" s="347"/>
      <c r="BH195" s="347"/>
      <c r="BI195" s="347"/>
      <c r="BJ195" s="586">
        <f t="shared" si="187"/>
        <v>0</v>
      </c>
      <c r="BK195" s="581">
        <f t="shared" si="15"/>
        <v>0</v>
      </c>
      <c r="BL195" s="347"/>
      <c r="BM195" s="347"/>
      <c r="BN195" s="347"/>
      <c r="BO195" s="586">
        <f t="shared" si="189"/>
        <v>0</v>
      </c>
      <c r="BP195" s="584">
        <f t="shared" si="17"/>
        <v>0</v>
      </c>
      <c r="BQ195" s="347"/>
      <c r="BR195" s="581">
        <f t="shared" si="153"/>
        <v>0</v>
      </c>
      <c r="BS195" s="588">
        <f t="shared" si="180"/>
        <v>0</v>
      </c>
      <c r="BT195" s="581">
        <f t="shared" si="20"/>
        <v>0</v>
      </c>
      <c r="BU195" s="589"/>
      <c r="BV195" s="581">
        <f t="shared" si="44"/>
        <v>0</v>
      </c>
      <c r="BW195" s="590"/>
      <c r="BX195" s="347"/>
      <c r="BY195" s="347"/>
      <c r="BZ195" s="347"/>
      <c r="CA195" s="586">
        <f t="shared" si="129"/>
        <v>0</v>
      </c>
      <c r="CB195" s="581">
        <f t="shared" si="160"/>
        <v>0</v>
      </c>
      <c r="CC195" s="581">
        <f t="shared" si="131"/>
        <v>0</v>
      </c>
      <c r="CD195" s="581">
        <f t="shared" si="132"/>
        <v>0</v>
      </c>
      <c r="CE195" s="581">
        <f t="shared" si="133"/>
        <v>0</v>
      </c>
      <c r="CF195" s="581">
        <f t="shared" si="134"/>
        <v>0</v>
      </c>
      <c r="CG195" s="581">
        <f t="shared" si="135"/>
        <v>0</v>
      </c>
      <c r="CH195" s="608" t="str">
        <f t="shared" si="136"/>
        <v>#DIV/0!</v>
      </c>
      <c r="CI195" s="603" t="str">
        <f t="shared" si="137"/>
        <v>#DIV/0!</v>
      </c>
      <c r="CJ195" s="347"/>
      <c r="CK195" s="347">
        <f t="shared" si="138"/>
        <v>0</v>
      </c>
      <c r="CL195" s="539">
        <f t="shared" si="139"/>
        <v>0</v>
      </c>
      <c r="CM195" s="347">
        <f t="shared" si="140"/>
        <v>0</v>
      </c>
      <c r="CN195" s="347">
        <f t="shared" si="141"/>
        <v>0</v>
      </c>
      <c r="CO195" s="347" t="str">
        <f t="shared" si="142"/>
        <v>1899-12-30</v>
      </c>
      <c r="CP195" s="347"/>
    </row>
    <row r="196">
      <c r="A196" s="574">
        <f t="shared" si="147"/>
        <v>300090</v>
      </c>
      <c r="B196" s="574" t="str">
        <f t="shared" si="1"/>
        <v>Batch 300090</v>
      </c>
      <c r="C196" s="347"/>
      <c r="D196" s="574" t="str">
        <f t="shared" si="190"/>
        <v>3-90</v>
      </c>
      <c r="E196" s="347"/>
      <c r="F196" s="596"/>
      <c r="G196" s="596"/>
      <c r="H196" s="347"/>
      <c r="I196" s="347"/>
      <c r="J196" s="596"/>
      <c r="K196" s="609"/>
      <c r="L196" s="1"/>
      <c r="M196" s="347"/>
      <c r="N196" s="347"/>
      <c r="O196" s="579">
        <f t="shared" si="2"/>
        <v>0</v>
      </c>
      <c r="P196" s="579">
        <f t="shared" si="126"/>
        <v>0</v>
      </c>
      <c r="Q196" s="574"/>
      <c r="R196" s="347"/>
      <c r="S196" s="597"/>
      <c r="T196" s="347"/>
      <c r="U196" s="579">
        <f t="shared" si="48"/>
        <v>0</v>
      </c>
      <c r="V196" s="579">
        <f t="shared" si="49"/>
        <v>0</v>
      </c>
      <c r="W196" s="574" t="str">
        <f t="shared" si="179"/>
        <v/>
      </c>
      <c r="X196" s="347" t="str">
        <f t="shared" si="170"/>
        <v/>
      </c>
      <c r="Y196" s="347" t="str">
        <f t="shared" si="188"/>
        <v/>
      </c>
      <c r="Z196" s="347" t="str">
        <f t="shared" si="171"/>
        <v/>
      </c>
      <c r="AA196" s="579">
        <f t="shared" si="6"/>
        <v>0</v>
      </c>
      <c r="AB196" s="581">
        <f t="shared" si="105"/>
        <v>0</v>
      </c>
      <c r="AC196" s="347"/>
      <c r="AD196" s="347"/>
      <c r="AE196" s="347"/>
      <c r="AF196" s="347"/>
      <c r="AG196" s="579">
        <f t="shared" si="54"/>
        <v>0</v>
      </c>
      <c r="AH196" s="579">
        <f t="shared" si="175"/>
        <v>0</v>
      </c>
      <c r="AI196" s="582"/>
      <c r="AJ196" s="582"/>
      <c r="AK196" s="582"/>
      <c r="AL196" s="582"/>
      <c r="AM196" s="579"/>
      <c r="AN196" s="579"/>
      <c r="AO196" s="347"/>
      <c r="AP196" s="581">
        <f t="shared" si="164"/>
        <v>0</v>
      </c>
      <c r="AQ196" s="596"/>
      <c r="AR196" s="596"/>
      <c r="AS196" s="348"/>
      <c r="AT196" s="348"/>
      <c r="AU196" s="348"/>
      <c r="AV196" s="348"/>
      <c r="AW196" s="348"/>
      <c r="AX196" s="584">
        <f t="shared" si="165"/>
        <v>0</v>
      </c>
      <c r="AY196" s="581">
        <f t="shared" si="12"/>
        <v>0</v>
      </c>
      <c r="AZ196" s="581">
        <f t="shared" si="159"/>
        <v>0</v>
      </c>
      <c r="BA196" s="596"/>
      <c r="BB196" s="596"/>
      <c r="BC196" s="348"/>
      <c r="BD196" s="581" t="str">
        <f t="shared" si="99"/>
        <v/>
      </c>
      <c r="BE196" s="581">
        <f t="shared" si="37"/>
        <v>0</v>
      </c>
      <c r="BF196" s="347"/>
      <c r="BG196" s="347"/>
      <c r="BH196" s="347"/>
      <c r="BI196" s="347"/>
      <c r="BJ196" s="586">
        <f t="shared" si="187"/>
        <v>0</v>
      </c>
      <c r="BK196" s="581">
        <f t="shared" si="15"/>
        <v>0</v>
      </c>
      <c r="BL196" s="347"/>
      <c r="BM196" s="347"/>
      <c r="BN196" s="347"/>
      <c r="BO196" s="586">
        <f t="shared" si="189"/>
        <v>0</v>
      </c>
      <c r="BP196" s="584">
        <f t="shared" si="17"/>
        <v>0</v>
      </c>
      <c r="BQ196" s="347"/>
      <c r="BR196" s="581">
        <f t="shared" si="153"/>
        <v>0</v>
      </c>
      <c r="BS196" s="588">
        <f t="shared" si="180"/>
        <v>0</v>
      </c>
      <c r="BT196" s="581">
        <f t="shared" si="20"/>
        <v>0</v>
      </c>
      <c r="BU196" s="589"/>
      <c r="BV196" s="581">
        <f t="shared" si="44"/>
        <v>0</v>
      </c>
      <c r="BW196" s="590"/>
      <c r="BX196" s="347"/>
      <c r="BY196" s="347"/>
      <c r="BZ196" s="347"/>
      <c r="CA196" s="586">
        <f t="shared" si="129"/>
        <v>0</v>
      </c>
      <c r="CB196" s="581">
        <f t="shared" si="160"/>
        <v>0</v>
      </c>
      <c r="CC196" s="581">
        <f t="shared" si="131"/>
        <v>0</v>
      </c>
      <c r="CD196" s="581">
        <f t="shared" si="132"/>
        <v>0</v>
      </c>
      <c r="CE196" s="581">
        <f t="shared" si="133"/>
        <v>0</v>
      </c>
      <c r="CF196" s="581">
        <f t="shared" si="134"/>
        <v>0</v>
      </c>
      <c r="CG196" s="581">
        <f t="shared" si="135"/>
        <v>0</v>
      </c>
      <c r="CH196" s="608" t="str">
        <f t="shared" si="136"/>
        <v>#DIV/0!</v>
      </c>
      <c r="CI196" s="603" t="str">
        <f t="shared" si="137"/>
        <v>#DIV/0!</v>
      </c>
      <c r="CJ196" s="347"/>
      <c r="CK196" s="347">
        <f t="shared" si="138"/>
        <v>0</v>
      </c>
      <c r="CL196" s="539">
        <f t="shared" si="139"/>
        <v>0</v>
      </c>
      <c r="CM196" s="347">
        <f t="shared" si="140"/>
        <v>0</v>
      </c>
      <c r="CN196" s="347">
        <f t="shared" si="141"/>
        <v>0</v>
      </c>
      <c r="CO196" s="347" t="str">
        <f t="shared" si="142"/>
        <v>1899-12-30</v>
      </c>
      <c r="CP196" s="347"/>
    </row>
    <row r="197">
      <c r="A197" s="574">
        <f t="shared" si="147"/>
        <v>200158</v>
      </c>
      <c r="B197" s="574" t="str">
        <f t="shared" si="1"/>
        <v>Batch 200158</v>
      </c>
      <c r="C197" s="347"/>
      <c r="D197" s="574" t="str">
        <f t="shared" si="190"/>
        <v>2-58</v>
      </c>
      <c r="E197" s="347"/>
      <c r="F197" s="596"/>
      <c r="G197" s="596"/>
      <c r="H197" s="347"/>
      <c r="I197" s="347"/>
      <c r="J197" s="596"/>
      <c r="K197" s="609"/>
      <c r="L197" s="1"/>
      <c r="M197" s="347"/>
      <c r="N197" s="347"/>
      <c r="O197" s="579">
        <f t="shared" si="2"/>
        <v>0</v>
      </c>
      <c r="P197" s="579">
        <f t="shared" si="126"/>
        <v>0</v>
      </c>
      <c r="Q197" s="574"/>
      <c r="R197" s="347"/>
      <c r="S197" s="597"/>
      <c r="T197" s="347"/>
      <c r="U197" s="579">
        <f t="shared" si="48"/>
        <v>0</v>
      </c>
      <c r="V197" s="579">
        <f t="shared" si="49"/>
        <v>0</v>
      </c>
      <c r="W197" s="574" t="str">
        <f t="shared" si="179"/>
        <v/>
      </c>
      <c r="X197" s="347" t="str">
        <f t="shared" si="170"/>
        <v/>
      </c>
      <c r="Y197" s="347" t="str">
        <f t="shared" si="188"/>
        <v/>
      </c>
      <c r="Z197" s="347" t="str">
        <f t="shared" si="171"/>
        <v/>
      </c>
      <c r="AA197" s="579">
        <f t="shared" si="6"/>
        <v>0</v>
      </c>
      <c r="AB197" s="581">
        <f t="shared" si="105"/>
        <v>0</v>
      </c>
      <c r="AC197" s="347"/>
      <c r="AD197" s="347"/>
      <c r="AE197" s="347"/>
      <c r="AF197" s="347"/>
      <c r="AG197" s="579">
        <f t="shared" si="54"/>
        <v>0</v>
      </c>
      <c r="AH197" s="579">
        <f t="shared" si="175"/>
        <v>0</v>
      </c>
      <c r="AI197" s="582"/>
      <c r="AJ197" s="582"/>
      <c r="AK197" s="582"/>
      <c r="AL197" s="582"/>
      <c r="AM197" s="579"/>
      <c r="AN197" s="579"/>
      <c r="AO197" s="347"/>
      <c r="AP197" s="581">
        <f t="shared" si="164"/>
        <v>0</v>
      </c>
      <c r="AQ197" s="596"/>
      <c r="AR197" s="596"/>
      <c r="AS197" s="348"/>
      <c r="AT197" s="348"/>
      <c r="AU197" s="348"/>
      <c r="AV197" s="348"/>
      <c r="AW197" s="348"/>
      <c r="AX197" s="584">
        <f t="shared" si="165"/>
        <v>0</v>
      </c>
      <c r="AY197" s="581">
        <f t="shared" si="12"/>
        <v>0</v>
      </c>
      <c r="AZ197" s="581">
        <f t="shared" si="159"/>
        <v>0</v>
      </c>
      <c r="BA197" s="596"/>
      <c r="BB197" s="596"/>
      <c r="BC197" s="348"/>
      <c r="BD197" s="581" t="str">
        <f t="shared" si="99"/>
        <v/>
      </c>
      <c r="BE197" s="581">
        <f t="shared" si="37"/>
        <v>0</v>
      </c>
      <c r="BF197" s="347"/>
      <c r="BG197" s="347"/>
      <c r="BH197" s="347"/>
      <c r="BI197" s="347"/>
      <c r="BJ197" s="586">
        <f t="shared" si="187"/>
        <v>0</v>
      </c>
      <c r="BK197" s="581">
        <f t="shared" si="15"/>
        <v>0</v>
      </c>
      <c r="BL197" s="347"/>
      <c r="BM197" s="347"/>
      <c r="BN197" s="347"/>
      <c r="BO197" s="586">
        <f t="shared" si="189"/>
        <v>0</v>
      </c>
      <c r="BP197" s="584">
        <f t="shared" si="17"/>
        <v>0</v>
      </c>
      <c r="BQ197" s="347"/>
      <c r="BR197" s="581">
        <f t="shared" si="153"/>
        <v>0</v>
      </c>
      <c r="BS197" s="588">
        <f t="shared" si="180"/>
        <v>0</v>
      </c>
      <c r="BT197" s="581">
        <f t="shared" si="20"/>
        <v>0</v>
      </c>
      <c r="BU197" s="589"/>
      <c r="BV197" s="581">
        <f t="shared" si="44"/>
        <v>0</v>
      </c>
      <c r="BW197" s="590"/>
      <c r="BX197" s="347"/>
      <c r="BY197" s="347"/>
      <c r="BZ197" s="347"/>
      <c r="CA197" s="586">
        <f t="shared" si="129"/>
        <v>0</v>
      </c>
      <c r="CB197" s="581">
        <f t="shared" si="160"/>
        <v>0</v>
      </c>
      <c r="CC197" s="581">
        <f t="shared" si="131"/>
        <v>0</v>
      </c>
      <c r="CD197" s="581">
        <f t="shared" si="132"/>
        <v>0</v>
      </c>
      <c r="CE197" s="581">
        <f t="shared" si="133"/>
        <v>0</v>
      </c>
      <c r="CF197" s="581">
        <f t="shared" si="134"/>
        <v>0</v>
      </c>
      <c r="CG197" s="581">
        <f t="shared" si="135"/>
        <v>0</v>
      </c>
      <c r="CH197" s="608" t="str">
        <f t="shared" si="136"/>
        <v>#DIV/0!</v>
      </c>
      <c r="CI197" s="603" t="str">
        <f t="shared" si="137"/>
        <v>#DIV/0!</v>
      </c>
      <c r="CJ197" s="347"/>
      <c r="CK197" s="347">
        <f t="shared" si="138"/>
        <v>0</v>
      </c>
      <c r="CL197" s="539">
        <f t="shared" si="139"/>
        <v>0</v>
      </c>
      <c r="CM197" s="347">
        <f t="shared" si="140"/>
        <v>0</v>
      </c>
      <c r="CN197" s="347">
        <f t="shared" si="141"/>
        <v>0</v>
      </c>
      <c r="CO197" s="347" t="str">
        <f t="shared" si="142"/>
        <v>1899-12-30</v>
      </c>
      <c r="CP197" s="347"/>
    </row>
    <row r="198">
      <c r="A198" s="574">
        <f t="shared" si="147"/>
        <v>300091</v>
      </c>
      <c r="B198" s="574" t="str">
        <f t="shared" si="1"/>
        <v>Batch 300091</v>
      </c>
      <c r="C198" s="347"/>
      <c r="D198" s="574" t="str">
        <f t="shared" si="190"/>
        <v>3-91</v>
      </c>
      <c r="E198" s="347"/>
      <c r="F198" s="596"/>
      <c r="G198" s="596"/>
      <c r="H198" s="347"/>
      <c r="I198" s="347"/>
      <c r="J198" s="596"/>
      <c r="K198" s="609"/>
      <c r="L198" s="1"/>
      <c r="M198" s="347"/>
      <c r="N198" s="347"/>
      <c r="O198" s="579">
        <f t="shared" si="2"/>
        <v>0</v>
      </c>
      <c r="P198" s="579">
        <f t="shared" si="126"/>
        <v>0</v>
      </c>
      <c r="Q198" s="574"/>
      <c r="R198" s="347"/>
      <c r="S198" s="597"/>
      <c r="T198" s="347"/>
      <c r="U198" s="579">
        <f t="shared" si="48"/>
        <v>0</v>
      </c>
      <c r="V198" s="579">
        <f t="shared" si="49"/>
        <v>0</v>
      </c>
      <c r="W198" s="574" t="str">
        <f t="shared" si="179"/>
        <v/>
      </c>
      <c r="X198" s="347" t="str">
        <f t="shared" si="170"/>
        <v/>
      </c>
      <c r="Y198" s="347" t="str">
        <f t="shared" si="188"/>
        <v/>
      </c>
      <c r="Z198" s="347" t="str">
        <f t="shared" si="171"/>
        <v/>
      </c>
      <c r="AA198" s="579">
        <f t="shared" si="6"/>
        <v>0</v>
      </c>
      <c r="AB198" s="581">
        <f t="shared" si="105"/>
        <v>0</v>
      </c>
      <c r="AC198" s="347"/>
      <c r="AD198" s="347"/>
      <c r="AE198" s="347"/>
      <c r="AF198" s="347"/>
      <c r="AG198" s="579">
        <f t="shared" si="54"/>
        <v>0</v>
      </c>
      <c r="AH198" s="579">
        <f t="shared" si="175"/>
        <v>0</v>
      </c>
      <c r="AI198" s="582"/>
      <c r="AJ198" s="582"/>
      <c r="AK198" s="582"/>
      <c r="AL198" s="582"/>
      <c r="AM198" s="579"/>
      <c r="AN198" s="579"/>
      <c r="AO198" s="347"/>
      <c r="AP198" s="581">
        <f t="shared" si="164"/>
        <v>0</v>
      </c>
      <c r="AQ198" s="596"/>
      <c r="AR198" s="596"/>
      <c r="AS198" s="348"/>
      <c r="AT198" s="348"/>
      <c r="AU198" s="348"/>
      <c r="AV198" s="348"/>
      <c r="AW198" s="348"/>
      <c r="AX198" s="584">
        <f t="shared" si="165"/>
        <v>0</v>
      </c>
      <c r="AY198" s="581">
        <f t="shared" si="12"/>
        <v>0</v>
      </c>
      <c r="AZ198" s="581">
        <f t="shared" si="159"/>
        <v>0</v>
      </c>
      <c r="BA198" s="596"/>
      <c r="BB198" s="596"/>
      <c r="BC198" s="348"/>
      <c r="BD198" s="581" t="str">
        <f t="shared" si="99"/>
        <v/>
      </c>
      <c r="BE198" s="581">
        <f t="shared" si="37"/>
        <v>0</v>
      </c>
      <c r="BF198" s="347"/>
      <c r="BG198" s="347"/>
      <c r="BH198" s="347"/>
      <c r="BI198" s="347"/>
      <c r="BJ198" s="586">
        <f t="shared" si="187"/>
        <v>0</v>
      </c>
      <c r="BK198" s="581">
        <f t="shared" si="15"/>
        <v>0</v>
      </c>
      <c r="BL198" s="347"/>
      <c r="BM198" s="347"/>
      <c r="BN198" s="347"/>
      <c r="BO198" s="586">
        <f t="shared" si="189"/>
        <v>0</v>
      </c>
      <c r="BP198" s="584">
        <f t="shared" si="17"/>
        <v>0</v>
      </c>
      <c r="BQ198" s="347"/>
      <c r="BR198" s="581">
        <f t="shared" si="153"/>
        <v>0</v>
      </c>
      <c r="BS198" s="588">
        <f t="shared" si="180"/>
        <v>0</v>
      </c>
      <c r="BT198" s="581">
        <f t="shared" si="20"/>
        <v>0</v>
      </c>
      <c r="BU198" s="589"/>
      <c r="BV198" s="581">
        <f t="shared" si="44"/>
        <v>0</v>
      </c>
      <c r="BW198" s="590"/>
      <c r="BX198" s="347"/>
      <c r="BY198" s="347"/>
      <c r="BZ198" s="347"/>
      <c r="CA198" s="586">
        <f t="shared" si="129"/>
        <v>0</v>
      </c>
      <c r="CB198" s="581">
        <f t="shared" si="160"/>
        <v>0</v>
      </c>
      <c r="CC198" s="581">
        <f t="shared" si="131"/>
        <v>0</v>
      </c>
      <c r="CD198" s="581">
        <f t="shared" si="132"/>
        <v>0</v>
      </c>
      <c r="CE198" s="581">
        <f t="shared" si="133"/>
        <v>0</v>
      </c>
      <c r="CF198" s="581">
        <f t="shared" si="134"/>
        <v>0</v>
      </c>
      <c r="CG198" s="581">
        <f t="shared" si="135"/>
        <v>0</v>
      </c>
      <c r="CH198" s="608" t="str">
        <f t="shared" si="136"/>
        <v>#DIV/0!</v>
      </c>
      <c r="CI198" s="603" t="str">
        <f t="shared" si="137"/>
        <v>#DIV/0!</v>
      </c>
      <c r="CJ198" s="347"/>
      <c r="CK198" s="347">
        <f t="shared" si="138"/>
        <v>0</v>
      </c>
      <c r="CL198" s="539">
        <f t="shared" si="139"/>
        <v>0</v>
      </c>
      <c r="CM198" s="347">
        <f t="shared" si="140"/>
        <v>0</v>
      </c>
      <c r="CN198" s="347">
        <f t="shared" si="141"/>
        <v>0</v>
      </c>
      <c r="CO198" s="347" t="str">
        <f t="shared" si="142"/>
        <v>1899-12-30</v>
      </c>
      <c r="CP198" s="347"/>
    </row>
    <row r="199">
      <c r="A199" s="574">
        <f t="shared" si="147"/>
        <v>200159</v>
      </c>
      <c r="B199" s="574" t="str">
        <f t="shared" si="1"/>
        <v>Batch 200159</v>
      </c>
      <c r="C199" s="347"/>
      <c r="D199" s="574" t="str">
        <f t="shared" si="190"/>
        <v>2-59</v>
      </c>
      <c r="E199" s="347"/>
      <c r="F199" s="596"/>
      <c r="G199" s="596"/>
      <c r="H199" s="347"/>
      <c r="I199" s="347"/>
      <c r="J199" s="596"/>
      <c r="K199" s="609"/>
      <c r="L199" s="1"/>
      <c r="M199" s="347"/>
      <c r="N199" s="347"/>
      <c r="O199" s="579">
        <f t="shared" si="2"/>
        <v>0</v>
      </c>
      <c r="P199" s="579">
        <f t="shared" si="126"/>
        <v>0</v>
      </c>
      <c r="Q199" s="574"/>
      <c r="R199" s="347"/>
      <c r="S199" s="597"/>
      <c r="T199" s="347"/>
      <c r="U199" s="579">
        <f t="shared" si="48"/>
        <v>0</v>
      </c>
      <c r="V199" s="579">
        <f t="shared" si="49"/>
        <v>0</v>
      </c>
      <c r="W199" s="574" t="str">
        <f t="shared" si="179"/>
        <v/>
      </c>
      <c r="X199" s="347" t="str">
        <f t="shared" si="170"/>
        <v/>
      </c>
      <c r="Y199" s="347" t="str">
        <f t="shared" si="188"/>
        <v/>
      </c>
      <c r="Z199" s="347" t="str">
        <f t="shared" si="171"/>
        <v/>
      </c>
      <c r="AA199" s="579">
        <f t="shared" si="6"/>
        <v>0</v>
      </c>
      <c r="AB199" s="581">
        <f t="shared" si="105"/>
        <v>0</v>
      </c>
      <c r="AC199" s="347"/>
      <c r="AD199" s="347"/>
      <c r="AE199" s="347"/>
      <c r="AF199" s="347"/>
      <c r="AG199" s="579">
        <f t="shared" si="54"/>
        <v>0</v>
      </c>
      <c r="AH199" s="579">
        <f t="shared" si="175"/>
        <v>0</v>
      </c>
      <c r="AI199" s="582"/>
      <c r="AJ199" s="582"/>
      <c r="AK199" s="582"/>
      <c r="AL199" s="582"/>
      <c r="AM199" s="579"/>
      <c r="AN199" s="579"/>
      <c r="AO199" s="347"/>
      <c r="AP199" s="581">
        <f t="shared" si="164"/>
        <v>0</v>
      </c>
      <c r="AQ199" s="596"/>
      <c r="AR199" s="596"/>
      <c r="AS199" s="348"/>
      <c r="AT199" s="348"/>
      <c r="AU199" s="348"/>
      <c r="AV199" s="348"/>
      <c r="AW199" s="348"/>
      <c r="AX199" s="584">
        <f t="shared" si="165"/>
        <v>0</v>
      </c>
      <c r="AY199" s="581">
        <f t="shared" si="12"/>
        <v>0</v>
      </c>
      <c r="AZ199" s="581">
        <f t="shared" si="159"/>
        <v>0</v>
      </c>
      <c r="BA199" s="596"/>
      <c r="BB199" s="596"/>
      <c r="BC199" s="348"/>
      <c r="BD199" s="581" t="str">
        <f t="shared" si="99"/>
        <v/>
      </c>
      <c r="BE199" s="581">
        <f t="shared" si="37"/>
        <v>0</v>
      </c>
      <c r="BF199" s="347"/>
      <c r="BG199" s="347"/>
      <c r="BH199" s="347"/>
      <c r="BI199" s="347"/>
      <c r="BJ199" s="586">
        <f t="shared" si="187"/>
        <v>0</v>
      </c>
      <c r="BK199" s="581">
        <f t="shared" si="15"/>
        <v>0</v>
      </c>
      <c r="BL199" s="347"/>
      <c r="BM199" s="347"/>
      <c r="BN199" s="347"/>
      <c r="BO199" s="586">
        <f t="shared" si="189"/>
        <v>0</v>
      </c>
      <c r="BP199" s="584">
        <f t="shared" si="17"/>
        <v>0</v>
      </c>
      <c r="BQ199" s="347"/>
      <c r="BR199" s="581">
        <f t="shared" si="153"/>
        <v>0</v>
      </c>
      <c r="BS199" s="588">
        <f t="shared" si="180"/>
        <v>0</v>
      </c>
      <c r="BT199" s="581">
        <f t="shared" si="20"/>
        <v>0</v>
      </c>
      <c r="BU199" s="589"/>
      <c r="BV199" s="581">
        <f t="shared" si="44"/>
        <v>0</v>
      </c>
      <c r="BW199" s="590"/>
      <c r="BX199" s="347"/>
      <c r="BY199" s="347"/>
      <c r="BZ199" s="347"/>
      <c r="CA199" s="586">
        <f t="shared" si="129"/>
        <v>0</v>
      </c>
      <c r="CB199" s="581">
        <f t="shared" si="160"/>
        <v>0</v>
      </c>
      <c r="CC199" s="581">
        <f t="shared" si="131"/>
        <v>0</v>
      </c>
      <c r="CD199" s="581">
        <f t="shared" si="132"/>
        <v>0</v>
      </c>
      <c r="CE199" s="581">
        <f t="shared" si="133"/>
        <v>0</v>
      </c>
      <c r="CF199" s="581">
        <f t="shared" si="134"/>
        <v>0</v>
      </c>
      <c r="CG199" s="581">
        <f t="shared" si="135"/>
        <v>0</v>
      </c>
      <c r="CH199" s="608" t="str">
        <f t="shared" si="136"/>
        <v>#DIV/0!</v>
      </c>
      <c r="CI199" s="603" t="str">
        <f t="shared" si="137"/>
        <v>#DIV/0!</v>
      </c>
      <c r="CJ199" s="347"/>
      <c r="CK199" s="347">
        <f t="shared" si="138"/>
        <v>0</v>
      </c>
      <c r="CL199" s="539">
        <f t="shared" si="139"/>
        <v>0</v>
      </c>
      <c r="CM199" s="347">
        <f t="shared" si="140"/>
        <v>0</v>
      </c>
      <c r="CN199" s="347">
        <f t="shared" si="141"/>
        <v>0</v>
      </c>
      <c r="CO199" s="347" t="str">
        <f t="shared" si="142"/>
        <v>1899-12-30</v>
      </c>
      <c r="CP199" s="347"/>
    </row>
    <row r="200">
      <c r="A200" s="574">
        <f t="shared" si="147"/>
        <v>300092</v>
      </c>
      <c r="B200" s="574" t="str">
        <f t="shared" si="1"/>
        <v>Batch 300092</v>
      </c>
      <c r="C200" s="347"/>
      <c r="D200" s="574" t="str">
        <f t="shared" si="190"/>
        <v>3-92</v>
      </c>
      <c r="E200" s="347"/>
      <c r="F200" s="596"/>
      <c r="G200" s="596"/>
      <c r="H200" s="347"/>
      <c r="I200" s="347"/>
      <c r="J200" s="596"/>
      <c r="K200" s="609"/>
      <c r="L200" s="1"/>
      <c r="M200" s="347"/>
      <c r="N200" s="347"/>
      <c r="O200" s="579">
        <f t="shared" si="2"/>
        <v>0</v>
      </c>
      <c r="P200" s="579">
        <f t="shared" si="126"/>
        <v>0</v>
      </c>
      <c r="Q200" s="574"/>
      <c r="R200" s="347"/>
      <c r="S200" s="597"/>
      <c r="T200" s="347"/>
      <c r="U200" s="579">
        <f t="shared" si="48"/>
        <v>0</v>
      </c>
      <c r="V200" s="579">
        <f t="shared" si="49"/>
        <v>0</v>
      </c>
      <c r="W200" s="574" t="str">
        <f t="shared" si="179"/>
        <v/>
      </c>
      <c r="X200" s="347" t="str">
        <f t="shared" si="170"/>
        <v/>
      </c>
      <c r="Y200" s="347" t="str">
        <f t="shared" si="188"/>
        <v/>
      </c>
      <c r="Z200" s="347" t="str">
        <f t="shared" si="171"/>
        <v/>
      </c>
      <c r="AA200" s="579">
        <f t="shared" si="6"/>
        <v>0</v>
      </c>
      <c r="AB200" s="581">
        <f t="shared" si="105"/>
        <v>0</v>
      </c>
      <c r="AC200" s="347"/>
      <c r="AD200" s="347"/>
      <c r="AE200" s="347"/>
      <c r="AF200" s="347"/>
      <c r="AG200" s="579">
        <f t="shared" si="54"/>
        <v>0</v>
      </c>
      <c r="AH200" s="579">
        <f t="shared" si="175"/>
        <v>0</v>
      </c>
      <c r="AI200" s="582"/>
      <c r="AJ200" s="582"/>
      <c r="AK200" s="582"/>
      <c r="AL200" s="582"/>
      <c r="AM200" s="579"/>
      <c r="AN200" s="579"/>
      <c r="AO200" s="347"/>
      <c r="AP200" s="581">
        <f t="shared" si="164"/>
        <v>0</v>
      </c>
      <c r="AQ200" s="596"/>
      <c r="AR200" s="596"/>
      <c r="AS200" s="348"/>
      <c r="AT200" s="348"/>
      <c r="AU200" s="348"/>
      <c r="AV200" s="348"/>
      <c r="AW200" s="348"/>
      <c r="AX200" s="584">
        <f t="shared" si="165"/>
        <v>0</v>
      </c>
      <c r="AY200" s="581">
        <f t="shared" si="12"/>
        <v>0</v>
      </c>
      <c r="AZ200" s="581">
        <f t="shared" si="159"/>
        <v>0</v>
      </c>
      <c r="BA200" s="596"/>
      <c r="BB200" s="596"/>
      <c r="BC200" s="348"/>
      <c r="BD200" s="581" t="str">
        <f t="shared" si="99"/>
        <v/>
      </c>
      <c r="BE200" s="581">
        <f t="shared" si="37"/>
        <v>0</v>
      </c>
      <c r="BF200" s="347"/>
      <c r="BG200" s="347"/>
      <c r="BH200" s="347"/>
      <c r="BI200" s="347"/>
      <c r="BJ200" s="586">
        <f t="shared" si="187"/>
        <v>0</v>
      </c>
      <c r="BK200" s="581">
        <f t="shared" si="15"/>
        <v>0</v>
      </c>
      <c r="BL200" s="347"/>
      <c r="BM200" s="347"/>
      <c r="BN200" s="347"/>
      <c r="BO200" s="586">
        <f t="shared" si="189"/>
        <v>0</v>
      </c>
      <c r="BP200" s="584">
        <f t="shared" si="17"/>
        <v>0</v>
      </c>
      <c r="BQ200" s="347"/>
      <c r="BR200" s="581">
        <f t="shared" si="153"/>
        <v>0</v>
      </c>
      <c r="BS200" s="588">
        <f t="shared" si="180"/>
        <v>0</v>
      </c>
      <c r="BT200" s="581">
        <f t="shared" si="20"/>
        <v>0</v>
      </c>
      <c r="BU200" s="589"/>
      <c r="BV200" s="581">
        <f t="shared" si="44"/>
        <v>0</v>
      </c>
      <c r="BW200" s="590"/>
      <c r="BX200" s="347"/>
      <c r="BY200" s="347"/>
      <c r="BZ200" s="347"/>
      <c r="CA200" s="586">
        <f t="shared" si="129"/>
        <v>0</v>
      </c>
      <c r="CB200" s="581">
        <f t="shared" si="160"/>
        <v>0</v>
      </c>
      <c r="CC200" s="581">
        <f t="shared" si="131"/>
        <v>0</v>
      </c>
      <c r="CD200" s="581">
        <f t="shared" si="132"/>
        <v>0</v>
      </c>
      <c r="CE200" s="581">
        <f t="shared" si="133"/>
        <v>0</v>
      </c>
      <c r="CF200" s="581">
        <f t="shared" si="134"/>
        <v>0</v>
      </c>
      <c r="CG200" s="581">
        <f t="shared" si="135"/>
        <v>0</v>
      </c>
      <c r="CH200" s="608" t="str">
        <f t="shared" si="136"/>
        <v>#DIV/0!</v>
      </c>
      <c r="CI200" s="603" t="str">
        <f t="shared" si="137"/>
        <v>#DIV/0!</v>
      </c>
      <c r="CJ200" s="347"/>
      <c r="CK200" s="347">
        <f t="shared" si="138"/>
        <v>0</v>
      </c>
      <c r="CL200" s="539">
        <f t="shared" si="139"/>
        <v>0</v>
      </c>
      <c r="CM200" s="347">
        <f t="shared" si="140"/>
        <v>0</v>
      </c>
      <c r="CN200" s="347">
        <f t="shared" si="141"/>
        <v>0</v>
      </c>
      <c r="CO200" s="347" t="str">
        <f t="shared" si="142"/>
        <v>1899-12-30</v>
      </c>
      <c r="CP200" s="347"/>
    </row>
    <row r="201">
      <c r="A201" s="574">
        <f t="shared" si="147"/>
        <v>200160</v>
      </c>
      <c r="B201" s="574" t="str">
        <f t="shared" si="1"/>
        <v>Batch 200160</v>
      </c>
      <c r="C201" s="347"/>
      <c r="D201" s="574" t="str">
        <f t="shared" si="190"/>
        <v>2-60</v>
      </c>
      <c r="E201" s="347"/>
      <c r="F201" s="596"/>
      <c r="G201" s="596"/>
      <c r="H201" s="347"/>
      <c r="I201" s="347"/>
      <c r="J201" s="596"/>
      <c r="K201" s="609"/>
      <c r="L201" s="1"/>
      <c r="M201" s="347"/>
      <c r="N201" s="347"/>
      <c r="O201" s="579">
        <f t="shared" si="2"/>
        <v>0</v>
      </c>
      <c r="P201" s="579">
        <f t="shared" si="126"/>
        <v>0</v>
      </c>
      <c r="Q201" s="574"/>
      <c r="R201" s="347"/>
      <c r="S201" s="597"/>
      <c r="T201" s="347"/>
      <c r="U201" s="579">
        <f t="shared" si="48"/>
        <v>0</v>
      </c>
      <c r="V201" s="579">
        <f t="shared" si="49"/>
        <v>0</v>
      </c>
      <c r="W201" s="574" t="str">
        <f t="shared" si="179"/>
        <v/>
      </c>
      <c r="X201" s="347" t="str">
        <f t="shared" si="170"/>
        <v/>
      </c>
      <c r="Y201" s="347" t="str">
        <f t="shared" si="188"/>
        <v/>
      </c>
      <c r="Z201" s="347" t="str">
        <f t="shared" si="171"/>
        <v/>
      </c>
      <c r="AA201" s="579">
        <f t="shared" si="6"/>
        <v>0</v>
      </c>
      <c r="AB201" s="581">
        <f t="shared" si="105"/>
        <v>0</v>
      </c>
      <c r="AC201" s="347"/>
      <c r="AD201" s="347"/>
      <c r="AE201" s="347"/>
      <c r="AF201" s="347"/>
      <c r="AG201" s="579">
        <f t="shared" si="54"/>
        <v>0</v>
      </c>
      <c r="AH201" s="579">
        <f t="shared" si="175"/>
        <v>0</v>
      </c>
      <c r="AI201" s="582"/>
      <c r="AJ201" s="582"/>
      <c r="AK201" s="582"/>
      <c r="AL201" s="582"/>
      <c r="AM201" s="579"/>
      <c r="AN201" s="579"/>
      <c r="AO201" s="347"/>
      <c r="AP201" s="581">
        <f t="shared" si="164"/>
        <v>0</v>
      </c>
      <c r="AQ201" s="596"/>
      <c r="AR201" s="596"/>
      <c r="AS201" s="348"/>
      <c r="AT201" s="348"/>
      <c r="AU201" s="348"/>
      <c r="AV201" s="348"/>
      <c r="AW201" s="348"/>
      <c r="AX201" s="584">
        <f t="shared" si="165"/>
        <v>0</v>
      </c>
      <c r="AY201" s="581">
        <f t="shared" si="12"/>
        <v>0</v>
      </c>
      <c r="AZ201" s="581">
        <f t="shared" si="159"/>
        <v>0</v>
      </c>
      <c r="BA201" s="596"/>
      <c r="BB201" s="596"/>
      <c r="BC201" s="348"/>
      <c r="BD201" s="581" t="str">
        <f t="shared" si="99"/>
        <v/>
      </c>
      <c r="BE201" s="581">
        <f t="shared" si="37"/>
        <v>0</v>
      </c>
      <c r="BF201" s="347"/>
      <c r="BG201" s="347"/>
      <c r="BH201" s="347"/>
      <c r="BI201" s="347"/>
      <c r="BJ201" s="586">
        <f t="shared" si="187"/>
        <v>0</v>
      </c>
      <c r="BK201" s="581">
        <f t="shared" si="15"/>
        <v>0</v>
      </c>
      <c r="BL201" s="347"/>
      <c r="BM201" s="347"/>
      <c r="BN201" s="347"/>
      <c r="BO201" s="586">
        <f t="shared" si="189"/>
        <v>0</v>
      </c>
      <c r="BP201" s="584">
        <f t="shared" si="17"/>
        <v>0</v>
      </c>
      <c r="BQ201" s="347"/>
      <c r="BR201" s="581">
        <f t="shared" si="153"/>
        <v>0</v>
      </c>
      <c r="BS201" s="588">
        <f t="shared" si="180"/>
        <v>0</v>
      </c>
      <c r="BT201" s="581">
        <f t="shared" si="20"/>
        <v>0</v>
      </c>
      <c r="BU201" s="589"/>
      <c r="BV201" s="581">
        <f t="shared" si="44"/>
        <v>0</v>
      </c>
      <c r="BW201" s="590"/>
      <c r="BX201" s="347"/>
      <c r="BY201" s="347"/>
      <c r="BZ201" s="347"/>
      <c r="CA201" s="586">
        <f t="shared" si="129"/>
        <v>0</v>
      </c>
      <c r="CB201" s="581">
        <f t="shared" si="160"/>
        <v>0</v>
      </c>
      <c r="CC201" s="581">
        <f t="shared" si="131"/>
        <v>0</v>
      </c>
      <c r="CD201" s="581">
        <f t="shared" si="132"/>
        <v>0</v>
      </c>
      <c r="CE201" s="581">
        <f t="shared" si="133"/>
        <v>0</v>
      </c>
      <c r="CF201" s="581">
        <f t="shared" si="134"/>
        <v>0</v>
      </c>
      <c r="CG201" s="581">
        <f t="shared" si="135"/>
        <v>0</v>
      </c>
      <c r="CH201" s="608" t="str">
        <f t="shared" si="136"/>
        <v>#DIV/0!</v>
      </c>
      <c r="CI201" s="603" t="str">
        <f t="shared" si="137"/>
        <v>#DIV/0!</v>
      </c>
      <c r="CJ201" s="347"/>
      <c r="CK201" s="347">
        <f t="shared" si="138"/>
        <v>0</v>
      </c>
      <c r="CL201" s="539">
        <f t="shared" si="139"/>
        <v>0</v>
      </c>
      <c r="CM201" s="347">
        <f t="shared" si="140"/>
        <v>0</v>
      </c>
      <c r="CN201" s="347">
        <f t="shared" si="141"/>
        <v>0</v>
      </c>
      <c r="CO201" s="347" t="str">
        <f t="shared" si="142"/>
        <v>1899-12-30</v>
      </c>
      <c r="CP201" s="347"/>
    </row>
    <row r="202">
      <c r="A202" s="574">
        <f t="shared" si="147"/>
        <v>300093</v>
      </c>
      <c r="B202" s="574" t="str">
        <f t="shared" si="1"/>
        <v>Batch 300093</v>
      </c>
      <c r="C202" s="347"/>
      <c r="D202" s="574" t="str">
        <f t="shared" si="190"/>
        <v>3-93</v>
      </c>
      <c r="E202" s="347"/>
      <c r="F202" s="596"/>
      <c r="G202" s="596"/>
      <c r="H202" s="347"/>
      <c r="I202" s="347"/>
      <c r="J202" s="596"/>
      <c r="K202" s="609"/>
      <c r="L202" s="1"/>
      <c r="M202" s="347"/>
      <c r="N202" s="347"/>
      <c r="O202" s="579">
        <f t="shared" si="2"/>
        <v>0</v>
      </c>
      <c r="P202" s="579">
        <f t="shared" si="126"/>
        <v>0</v>
      </c>
      <c r="Q202" s="574"/>
      <c r="R202" s="347"/>
      <c r="S202" s="597"/>
      <c r="T202" s="347"/>
      <c r="U202" s="579">
        <f t="shared" si="48"/>
        <v>0</v>
      </c>
      <c r="V202" s="579">
        <f t="shared" si="49"/>
        <v>0</v>
      </c>
      <c r="W202" s="574" t="str">
        <f t="shared" si="179"/>
        <v/>
      </c>
      <c r="X202" s="347" t="str">
        <f t="shared" si="170"/>
        <v/>
      </c>
      <c r="Y202" s="347" t="str">
        <f t="shared" si="188"/>
        <v/>
      </c>
      <c r="Z202" s="347" t="str">
        <f t="shared" si="171"/>
        <v/>
      </c>
      <c r="AA202" s="579">
        <f t="shared" si="6"/>
        <v>0</v>
      </c>
      <c r="AB202" s="581">
        <f t="shared" si="105"/>
        <v>0</v>
      </c>
      <c r="AC202" s="347"/>
      <c r="AD202" s="347"/>
      <c r="AE202" s="347"/>
      <c r="AF202" s="347"/>
      <c r="AG202" s="579">
        <f t="shared" si="54"/>
        <v>0</v>
      </c>
      <c r="AH202" s="579">
        <f t="shared" si="175"/>
        <v>0</v>
      </c>
      <c r="AI202" s="582"/>
      <c r="AJ202" s="582"/>
      <c r="AK202" s="582"/>
      <c r="AL202" s="582"/>
      <c r="AM202" s="579"/>
      <c r="AN202" s="579"/>
      <c r="AO202" s="347"/>
      <c r="AP202" s="581">
        <f t="shared" si="164"/>
        <v>0</v>
      </c>
      <c r="AQ202" s="596"/>
      <c r="AR202" s="596"/>
      <c r="AS202" s="348"/>
      <c r="AT202" s="348"/>
      <c r="AU202" s="348"/>
      <c r="AV202" s="348"/>
      <c r="AW202" s="348"/>
      <c r="AX202" s="584">
        <f t="shared" si="165"/>
        <v>0</v>
      </c>
      <c r="AY202" s="581">
        <f t="shared" si="12"/>
        <v>0</v>
      </c>
      <c r="AZ202" s="581">
        <f t="shared" si="159"/>
        <v>0</v>
      </c>
      <c r="BA202" s="596"/>
      <c r="BB202" s="596"/>
      <c r="BC202" s="348"/>
      <c r="BD202" s="581" t="str">
        <f t="shared" si="99"/>
        <v/>
      </c>
      <c r="BE202" s="581">
        <f t="shared" si="37"/>
        <v>0</v>
      </c>
      <c r="BF202" s="347"/>
      <c r="BG202" s="347"/>
      <c r="BH202" s="347"/>
      <c r="BI202" s="347"/>
      <c r="BJ202" s="586">
        <f t="shared" si="187"/>
        <v>0</v>
      </c>
      <c r="BK202" s="581">
        <f t="shared" si="15"/>
        <v>0</v>
      </c>
      <c r="BL202" s="347"/>
      <c r="BM202" s="347"/>
      <c r="BN202" s="347"/>
      <c r="BO202" s="586">
        <f t="shared" si="189"/>
        <v>0</v>
      </c>
      <c r="BP202" s="584">
        <f t="shared" si="17"/>
        <v>0</v>
      </c>
      <c r="BQ202" s="347"/>
      <c r="BR202" s="581">
        <f t="shared" si="153"/>
        <v>0</v>
      </c>
      <c r="BS202" s="588">
        <f t="shared" si="180"/>
        <v>0</v>
      </c>
      <c r="BT202" s="581">
        <f t="shared" si="20"/>
        <v>0</v>
      </c>
      <c r="BU202" s="589"/>
      <c r="BV202" s="581">
        <f t="shared" si="44"/>
        <v>0</v>
      </c>
      <c r="BW202" s="590"/>
      <c r="BX202" s="347"/>
      <c r="BY202" s="347"/>
      <c r="BZ202" s="347"/>
      <c r="CA202" s="586">
        <f t="shared" si="129"/>
        <v>0</v>
      </c>
      <c r="CB202" s="581">
        <f t="shared" si="160"/>
        <v>0</v>
      </c>
      <c r="CC202" s="581">
        <f t="shared" si="131"/>
        <v>0</v>
      </c>
      <c r="CD202" s="581">
        <f t="shared" si="132"/>
        <v>0</v>
      </c>
      <c r="CE202" s="581">
        <f t="shared" si="133"/>
        <v>0</v>
      </c>
      <c r="CF202" s="581">
        <f t="shared" si="134"/>
        <v>0</v>
      </c>
      <c r="CG202" s="581">
        <f t="shared" si="135"/>
        <v>0</v>
      </c>
      <c r="CH202" s="608" t="str">
        <f t="shared" si="136"/>
        <v>#DIV/0!</v>
      </c>
      <c r="CI202" s="603" t="str">
        <f t="shared" si="137"/>
        <v>#DIV/0!</v>
      </c>
      <c r="CJ202" s="347"/>
      <c r="CK202" s="347">
        <f t="shared" si="138"/>
        <v>0</v>
      </c>
      <c r="CL202" s="539">
        <f t="shared" si="139"/>
        <v>0</v>
      </c>
      <c r="CM202" s="347">
        <f t="shared" si="140"/>
        <v>0</v>
      </c>
      <c r="CN202" s="347">
        <f t="shared" si="141"/>
        <v>0</v>
      </c>
      <c r="CO202" s="347" t="str">
        <f t="shared" si="142"/>
        <v>1899-12-30</v>
      </c>
      <c r="CP202" s="347"/>
    </row>
    <row r="203">
      <c r="A203" s="574">
        <f t="shared" si="147"/>
        <v>200161</v>
      </c>
      <c r="B203" s="574" t="str">
        <f t="shared" si="1"/>
        <v>Batch 200161</v>
      </c>
      <c r="C203" s="347"/>
      <c r="D203" s="574" t="str">
        <f t="shared" si="190"/>
        <v>2-61</v>
      </c>
      <c r="E203" s="347"/>
      <c r="F203" s="596"/>
      <c r="G203" s="596"/>
      <c r="H203" s="347"/>
      <c r="I203" s="347"/>
      <c r="J203" s="596"/>
      <c r="K203" s="609"/>
      <c r="L203" s="1"/>
      <c r="M203" s="347"/>
      <c r="N203" s="347"/>
      <c r="O203" s="579">
        <f t="shared" si="2"/>
        <v>0</v>
      </c>
      <c r="P203" s="579">
        <f t="shared" si="126"/>
        <v>0</v>
      </c>
      <c r="Q203" s="574"/>
      <c r="R203" s="347"/>
      <c r="S203" s="597"/>
      <c r="T203" s="347"/>
      <c r="U203" s="579">
        <f t="shared" si="48"/>
        <v>0</v>
      </c>
      <c r="V203" s="579">
        <f t="shared" si="49"/>
        <v>0</v>
      </c>
      <c r="W203" s="574" t="str">
        <f t="shared" si="179"/>
        <v/>
      </c>
      <c r="X203" s="347" t="str">
        <f t="shared" si="170"/>
        <v/>
      </c>
      <c r="Y203" s="347" t="str">
        <f t="shared" si="188"/>
        <v/>
      </c>
      <c r="Z203" s="347" t="str">
        <f t="shared" si="171"/>
        <v/>
      </c>
      <c r="AA203" s="579">
        <f t="shared" si="6"/>
        <v>0</v>
      </c>
      <c r="AB203" s="581">
        <f t="shared" si="105"/>
        <v>0</v>
      </c>
      <c r="AC203" s="347"/>
      <c r="AD203" s="347"/>
      <c r="AE203" s="347"/>
      <c r="AF203" s="347"/>
      <c r="AG203" s="579">
        <f t="shared" si="54"/>
        <v>0</v>
      </c>
      <c r="AH203" s="579">
        <f t="shared" si="175"/>
        <v>0</v>
      </c>
      <c r="AI203" s="582"/>
      <c r="AJ203" s="582"/>
      <c r="AK203" s="582"/>
      <c r="AL203" s="582"/>
      <c r="AM203" s="579"/>
      <c r="AN203" s="579"/>
      <c r="AO203" s="347"/>
      <c r="AP203" s="581">
        <f t="shared" si="164"/>
        <v>0</v>
      </c>
      <c r="AQ203" s="596"/>
      <c r="AR203" s="596"/>
      <c r="AS203" s="348"/>
      <c r="AT203" s="348"/>
      <c r="AU203" s="348"/>
      <c r="AV203" s="348"/>
      <c r="AW203" s="348"/>
      <c r="AX203" s="584">
        <f t="shared" si="165"/>
        <v>0</v>
      </c>
      <c r="AY203" s="581">
        <f t="shared" si="12"/>
        <v>0</v>
      </c>
      <c r="AZ203" s="581">
        <f t="shared" si="159"/>
        <v>0</v>
      </c>
      <c r="BA203" s="596"/>
      <c r="BB203" s="596"/>
      <c r="BC203" s="348"/>
      <c r="BD203" s="581" t="str">
        <f t="shared" si="99"/>
        <v/>
      </c>
      <c r="BE203" s="581">
        <f t="shared" si="37"/>
        <v>0</v>
      </c>
      <c r="BF203" s="347"/>
      <c r="BG203" s="347"/>
      <c r="BH203" s="347"/>
      <c r="BI203" s="347"/>
      <c r="BJ203" s="586">
        <f t="shared" si="187"/>
        <v>0</v>
      </c>
      <c r="BK203" s="581">
        <f t="shared" si="15"/>
        <v>0</v>
      </c>
      <c r="BL203" s="347"/>
      <c r="BM203" s="347"/>
      <c r="BN203" s="347"/>
      <c r="BO203" s="586">
        <f t="shared" si="189"/>
        <v>0</v>
      </c>
      <c r="BP203" s="584">
        <f t="shared" si="17"/>
        <v>0</v>
      </c>
      <c r="BQ203" s="347"/>
      <c r="BR203" s="581">
        <f t="shared" si="153"/>
        <v>0</v>
      </c>
      <c r="BS203" s="588">
        <f t="shared" si="180"/>
        <v>0</v>
      </c>
      <c r="BT203" s="581">
        <f t="shared" si="20"/>
        <v>0</v>
      </c>
      <c r="BU203" s="589"/>
      <c r="BV203" s="581">
        <f t="shared" si="44"/>
        <v>0</v>
      </c>
      <c r="BW203" s="590"/>
      <c r="BX203" s="347"/>
      <c r="BY203" s="347"/>
      <c r="BZ203" s="347"/>
      <c r="CA203" s="586">
        <f t="shared" si="129"/>
        <v>0</v>
      </c>
      <c r="CB203" s="581">
        <f t="shared" si="160"/>
        <v>0</v>
      </c>
      <c r="CC203" s="581">
        <f t="shared" si="131"/>
        <v>0</v>
      </c>
      <c r="CD203" s="581">
        <f t="shared" si="132"/>
        <v>0</v>
      </c>
      <c r="CE203" s="581">
        <f t="shared" si="133"/>
        <v>0</v>
      </c>
      <c r="CF203" s="581">
        <f t="shared" si="134"/>
        <v>0</v>
      </c>
      <c r="CG203" s="581">
        <f t="shared" si="135"/>
        <v>0</v>
      </c>
      <c r="CH203" s="608" t="str">
        <f t="shared" si="136"/>
        <v>#DIV/0!</v>
      </c>
      <c r="CI203" s="603" t="str">
        <f t="shared" si="137"/>
        <v>#DIV/0!</v>
      </c>
      <c r="CJ203" s="347"/>
      <c r="CK203" s="347">
        <f t="shared" si="138"/>
        <v>0</v>
      </c>
      <c r="CL203" s="539">
        <f t="shared" si="139"/>
        <v>0</v>
      </c>
      <c r="CM203" s="347">
        <f t="shared" si="140"/>
        <v>0</v>
      </c>
      <c r="CN203" s="347">
        <f t="shared" si="141"/>
        <v>0</v>
      </c>
      <c r="CO203" s="347" t="str">
        <f t="shared" si="142"/>
        <v>1899-12-30</v>
      </c>
      <c r="CP203" s="347"/>
    </row>
    <row r="204">
      <c r="A204" s="574">
        <f t="shared" si="147"/>
        <v>300094</v>
      </c>
      <c r="B204" s="574" t="str">
        <f t="shared" si="1"/>
        <v>Batch 300094</v>
      </c>
      <c r="C204" s="347"/>
      <c r="D204" s="574" t="str">
        <f t="shared" si="190"/>
        <v>3-94</v>
      </c>
      <c r="E204" s="347"/>
      <c r="F204" s="596"/>
      <c r="G204" s="596"/>
      <c r="H204" s="347"/>
      <c r="I204" s="347"/>
      <c r="J204" s="596"/>
      <c r="K204" s="609"/>
      <c r="L204" s="1"/>
      <c r="M204" s="347"/>
      <c r="N204" s="347"/>
      <c r="O204" s="579">
        <f t="shared" si="2"/>
        <v>0</v>
      </c>
      <c r="P204" s="579">
        <f t="shared" si="126"/>
        <v>0</v>
      </c>
      <c r="Q204" s="574"/>
      <c r="R204" s="347"/>
      <c r="S204" s="597"/>
      <c r="T204" s="347"/>
      <c r="U204" s="579">
        <f t="shared" si="48"/>
        <v>0</v>
      </c>
      <c r="V204" s="579">
        <f t="shared" si="49"/>
        <v>0</v>
      </c>
      <c r="W204" s="574" t="str">
        <f t="shared" si="179"/>
        <v/>
      </c>
      <c r="X204" s="347" t="str">
        <f t="shared" si="170"/>
        <v/>
      </c>
      <c r="Y204" s="347" t="str">
        <f t="shared" si="188"/>
        <v/>
      </c>
      <c r="Z204" s="347" t="str">
        <f t="shared" si="171"/>
        <v/>
      </c>
      <c r="AA204" s="579">
        <f t="shared" si="6"/>
        <v>0</v>
      </c>
      <c r="AB204" s="581">
        <f t="shared" si="105"/>
        <v>0</v>
      </c>
      <c r="AC204" s="347"/>
      <c r="AD204" s="347"/>
      <c r="AE204" s="347"/>
      <c r="AF204" s="347"/>
      <c r="AG204" s="579">
        <f t="shared" si="54"/>
        <v>0</v>
      </c>
      <c r="AH204" s="579">
        <f t="shared" si="175"/>
        <v>0</v>
      </c>
      <c r="AI204" s="582"/>
      <c r="AJ204" s="582"/>
      <c r="AK204" s="582"/>
      <c r="AL204" s="582"/>
      <c r="AM204" s="579"/>
      <c r="AN204" s="579"/>
      <c r="AO204" s="347"/>
      <c r="AP204" s="581">
        <f t="shared" si="164"/>
        <v>0</v>
      </c>
      <c r="AQ204" s="596"/>
      <c r="AR204" s="596"/>
      <c r="AS204" s="348"/>
      <c r="AT204" s="348"/>
      <c r="AU204" s="348"/>
      <c r="AV204" s="348"/>
      <c r="AW204" s="348"/>
      <c r="AX204" s="584">
        <f t="shared" si="165"/>
        <v>0</v>
      </c>
      <c r="AY204" s="581">
        <f t="shared" si="12"/>
        <v>0</v>
      </c>
      <c r="AZ204" s="581">
        <f t="shared" si="159"/>
        <v>0</v>
      </c>
      <c r="BA204" s="596"/>
      <c r="BB204" s="596"/>
      <c r="BC204" s="348"/>
      <c r="BD204" s="581" t="str">
        <f t="shared" si="99"/>
        <v/>
      </c>
      <c r="BE204" s="581">
        <f t="shared" si="37"/>
        <v>0</v>
      </c>
      <c r="BF204" s="347"/>
      <c r="BG204" s="347"/>
      <c r="BH204" s="347"/>
      <c r="BI204" s="347"/>
      <c r="BJ204" s="586">
        <f t="shared" si="187"/>
        <v>0</v>
      </c>
      <c r="BK204" s="581">
        <f t="shared" si="15"/>
        <v>0</v>
      </c>
      <c r="BL204" s="347"/>
      <c r="BM204" s="347"/>
      <c r="BN204" s="347"/>
      <c r="BO204" s="586">
        <f t="shared" si="189"/>
        <v>0</v>
      </c>
      <c r="BP204" s="584">
        <f t="shared" si="17"/>
        <v>0</v>
      </c>
      <c r="BQ204" s="347"/>
      <c r="BR204" s="581">
        <f t="shared" si="153"/>
        <v>0</v>
      </c>
      <c r="BS204" s="588">
        <f t="shared" si="180"/>
        <v>0</v>
      </c>
      <c r="BT204" s="581">
        <f t="shared" si="20"/>
        <v>0</v>
      </c>
      <c r="BU204" s="589"/>
      <c r="BV204" s="581">
        <f t="shared" si="44"/>
        <v>0</v>
      </c>
      <c r="BW204" s="590"/>
      <c r="BX204" s="347"/>
      <c r="BY204" s="347"/>
      <c r="BZ204" s="347"/>
      <c r="CA204" s="586">
        <f t="shared" si="129"/>
        <v>0</v>
      </c>
      <c r="CB204" s="581">
        <f t="shared" si="160"/>
        <v>0</v>
      </c>
      <c r="CC204" s="581">
        <f t="shared" si="131"/>
        <v>0</v>
      </c>
      <c r="CD204" s="581">
        <f t="shared" si="132"/>
        <v>0</v>
      </c>
      <c r="CE204" s="581">
        <f t="shared" si="133"/>
        <v>0</v>
      </c>
      <c r="CF204" s="581">
        <f t="shared" si="134"/>
        <v>0</v>
      </c>
      <c r="CG204" s="581">
        <f t="shared" si="135"/>
        <v>0</v>
      </c>
      <c r="CH204" s="608" t="str">
        <f t="shared" si="136"/>
        <v>#DIV/0!</v>
      </c>
      <c r="CI204" s="603" t="str">
        <f t="shared" si="137"/>
        <v>#DIV/0!</v>
      </c>
      <c r="CJ204" s="347"/>
      <c r="CK204" s="347">
        <f t="shared" si="138"/>
        <v>0</v>
      </c>
      <c r="CL204" s="539">
        <f t="shared" si="139"/>
        <v>0</v>
      </c>
      <c r="CM204" s="347">
        <f t="shared" si="140"/>
        <v>0</v>
      </c>
      <c r="CN204" s="347">
        <f t="shared" si="141"/>
        <v>0</v>
      </c>
      <c r="CO204" s="347" t="str">
        <f t="shared" si="142"/>
        <v>1899-12-30</v>
      </c>
      <c r="CP204" s="347"/>
    </row>
    <row r="205">
      <c r="A205" s="574">
        <f t="shared" si="147"/>
        <v>200162</v>
      </c>
      <c r="B205" s="574" t="str">
        <f t="shared" si="1"/>
        <v>Batch 200162</v>
      </c>
      <c r="C205" s="347"/>
      <c r="D205" s="574" t="str">
        <f t="shared" si="190"/>
        <v>2-62</v>
      </c>
      <c r="E205" s="347"/>
      <c r="F205" s="596"/>
      <c r="G205" s="596"/>
      <c r="H205" s="347"/>
      <c r="I205" s="347"/>
      <c r="J205" s="596"/>
      <c r="K205" s="609"/>
      <c r="L205" s="1"/>
      <c r="M205" s="347"/>
      <c r="N205" s="347"/>
      <c r="O205" s="579">
        <f t="shared" si="2"/>
        <v>0</v>
      </c>
      <c r="P205" s="579">
        <f t="shared" si="126"/>
        <v>0</v>
      </c>
      <c r="Q205" s="574"/>
      <c r="R205" s="347"/>
      <c r="S205" s="597"/>
      <c r="T205" s="347"/>
      <c r="U205" s="579">
        <f t="shared" si="48"/>
        <v>0</v>
      </c>
      <c r="V205" s="579">
        <f t="shared" si="49"/>
        <v>0</v>
      </c>
      <c r="W205" s="574" t="str">
        <f t="shared" si="179"/>
        <v/>
      </c>
      <c r="X205" s="347" t="str">
        <f t="shared" si="170"/>
        <v/>
      </c>
      <c r="Y205" s="347" t="str">
        <f t="shared" si="188"/>
        <v/>
      </c>
      <c r="Z205" s="347" t="str">
        <f t="shared" si="171"/>
        <v/>
      </c>
      <c r="AA205" s="579">
        <f t="shared" si="6"/>
        <v>0</v>
      </c>
      <c r="AB205" s="581">
        <f t="shared" si="105"/>
        <v>0</v>
      </c>
      <c r="AC205" s="347"/>
      <c r="AD205" s="347"/>
      <c r="AE205" s="347"/>
      <c r="AF205" s="347"/>
      <c r="AG205" s="579">
        <f t="shared" si="54"/>
        <v>0</v>
      </c>
      <c r="AH205" s="579">
        <f t="shared" si="175"/>
        <v>0</v>
      </c>
      <c r="AI205" s="582"/>
      <c r="AJ205" s="582"/>
      <c r="AK205" s="582"/>
      <c r="AL205" s="582"/>
      <c r="AM205" s="579"/>
      <c r="AN205" s="579"/>
      <c r="AO205" s="347"/>
      <c r="AP205" s="581">
        <f t="shared" si="164"/>
        <v>0</v>
      </c>
      <c r="AQ205" s="596"/>
      <c r="AR205" s="596"/>
      <c r="AS205" s="348"/>
      <c r="AT205" s="348"/>
      <c r="AU205" s="348"/>
      <c r="AV205" s="348"/>
      <c r="AW205" s="348"/>
      <c r="AX205" s="584">
        <f t="shared" si="165"/>
        <v>0</v>
      </c>
      <c r="AY205" s="581">
        <f t="shared" si="12"/>
        <v>0</v>
      </c>
      <c r="AZ205" s="581">
        <f t="shared" si="159"/>
        <v>0</v>
      </c>
      <c r="BA205" s="596"/>
      <c r="BB205" s="596"/>
      <c r="BC205" s="348"/>
      <c r="BD205" s="581" t="str">
        <f t="shared" si="99"/>
        <v/>
      </c>
      <c r="BE205" s="581">
        <f t="shared" si="37"/>
        <v>0</v>
      </c>
      <c r="BF205" s="347"/>
      <c r="BG205" s="347"/>
      <c r="BH205" s="347"/>
      <c r="BI205" s="347"/>
      <c r="BJ205" s="586">
        <f t="shared" si="187"/>
        <v>0</v>
      </c>
      <c r="BK205" s="581">
        <f t="shared" si="15"/>
        <v>0</v>
      </c>
      <c r="BL205" s="347"/>
      <c r="BM205" s="347"/>
      <c r="BN205" s="347"/>
      <c r="BO205" s="586">
        <f t="shared" si="189"/>
        <v>0</v>
      </c>
      <c r="BP205" s="584">
        <f t="shared" si="17"/>
        <v>0</v>
      </c>
      <c r="BQ205" s="347"/>
      <c r="BR205" s="581">
        <f t="shared" si="153"/>
        <v>0</v>
      </c>
      <c r="BS205" s="588">
        <f t="shared" si="180"/>
        <v>0</v>
      </c>
      <c r="BT205" s="581">
        <f t="shared" si="20"/>
        <v>0</v>
      </c>
      <c r="BU205" s="589"/>
      <c r="BV205" s="581">
        <f t="shared" si="44"/>
        <v>0</v>
      </c>
      <c r="BW205" s="590"/>
      <c r="BX205" s="347"/>
      <c r="BY205" s="347"/>
      <c r="BZ205" s="347"/>
      <c r="CA205" s="586">
        <f t="shared" si="129"/>
        <v>0</v>
      </c>
      <c r="CB205" s="581">
        <f t="shared" si="160"/>
        <v>0</v>
      </c>
      <c r="CC205" s="581">
        <f t="shared" si="131"/>
        <v>0</v>
      </c>
      <c r="CD205" s="581">
        <f t="shared" si="132"/>
        <v>0</v>
      </c>
      <c r="CE205" s="581">
        <f t="shared" si="133"/>
        <v>0</v>
      </c>
      <c r="CF205" s="581">
        <f t="shared" si="134"/>
        <v>0</v>
      </c>
      <c r="CG205" s="581">
        <f t="shared" si="135"/>
        <v>0</v>
      </c>
      <c r="CH205" s="608" t="str">
        <f t="shared" si="136"/>
        <v>#DIV/0!</v>
      </c>
      <c r="CI205" s="603" t="str">
        <f t="shared" si="137"/>
        <v>#DIV/0!</v>
      </c>
      <c r="CJ205" s="347"/>
      <c r="CK205" s="347">
        <f t="shared" si="138"/>
        <v>0</v>
      </c>
      <c r="CL205" s="539">
        <f t="shared" si="139"/>
        <v>0</v>
      </c>
      <c r="CM205" s="347">
        <f t="shared" si="140"/>
        <v>0</v>
      </c>
      <c r="CN205" s="347">
        <f t="shared" si="141"/>
        <v>0</v>
      </c>
      <c r="CO205" s="347" t="str">
        <f t="shared" si="142"/>
        <v>1899-12-30</v>
      </c>
      <c r="CP205" s="347"/>
    </row>
    <row r="206">
      <c r="A206" s="574">
        <f t="shared" si="147"/>
        <v>300095</v>
      </c>
      <c r="B206" s="574" t="str">
        <f t="shared" si="1"/>
        <v>Batch 300095</v>
      </c>
      <c r="C206" s="347"/>
      <c r="D206" s="574" t="str">
        <f t="shared" si="190"/>
        <v>3-95</v>
      </c>
      <c r="E206" s="347"/>
      <c r="F206" s="596"/>
      <c r="G206" s="596"/>
      <c r="H206" s="347"/>
      <c r="I206" s="347"/>
      <c r="J206" s="596"/>
      <c r="K206" s="609"/>
      <c r="L206" s="1"/>
      <c r="M206" s="347"/>
      <c r="N206" s="347"/>
      <c r="O206" s="579">
        <f t="shared" si="2"/>
        <v>0</v>
      </c>
      <c r="P206" s="579">
        <f t="shared" si="126"/>
        <v>0</v>
      </c>
      <c r="Q206" s="574"/>
      <c r="R206" s="347"/>
      <c r="S206" s="597"/>
      <c r="T206" s="347"/>
      <c r="U206" s="579">
        <f t="shared" si="48"/>
        <v>0</v>
      </c>
      <c r="V206" s="579">
        <f t="shared" si="49"/>
        <v>0</v>
      </c>
      <c r="W206" s="574" t="str">
        <f t="shared" si="179"/>
        <v/>
      </c>
      <c r="X206" s="347" t="str">
        <f t="shared" si="170"/>
        <v/>
      </c>
      <c r="Y206" s="347" t="str">
        <f t="shared" si="188"/>
        <v/>
      </c>
      <c r="Z206" s="347" t="str">
        <f t="shared" si="171"/>
        <v/>
      </c>
      <c r="AA206" s="579">
        <f t="shared" si="6"/>
        <v>0</v>
      </c>
      <c r="AB206" s="581">
        <f t="shared" si="105"/>
        <v>0</v>
      </c>
      <c r="AC206" s="347"/>
      <c r="AD206" s="347"/>
      <c r="AE206" s="347"/>
      <c r="AF206" s="347"/>
      <c r="AG206" s="579">
        <f t="shared" si="54"/>
        <v>0</v>
      </c>
      <c r="AH206" s="579">
        <f t="shared" si="175"/>
        <v>0</v>
      </c>
      <c r="AI206" s="582"/>
      <c r="AJ206" s="582"/>
      <c r="AK206" s="582"/>
      <c r="AL206" s="582"/>
      <c r="AM206" s="579"/>
      <c r="AN206" s="579"/>
      <c r="AO206" s="347"/>
      <c r="AP206" s="581">
        <f t="shared" si="164"/>
        <v>0</v>
      </c>
      <c r="AQ206" s="596"/>
      <c r="AR206" s="596"/>
      <c r="AS206" s="348"/>
      <c r="AT206" s="348"/>
      <c r="AU206" s="348"/>
      <c r="AV206" s="348"/>
      <c r="AW206" s="348"/>
      <c r="AX206" s="584">
        <f t="shared" si="165"/>
        <v>0</v>
      </c>
      <c r="AY206" s="581">
        <f t="shared" si="12"/>
        <v>0</v>
      </c>
      <c r="AZ206" s="581">
        <f t="shared" si="159"/>
        <v>0</v>
      </c>
      <c r="BA206" s="596"/>
      <c r="BB206" s="596"/>
      <c r="BC206" s="348"/>
      <c r="BD206" s="581" t="str">
        <f t="shared" si="99"/>
        <v/>
      </c>
      <c r="BE206" s="581">
        <f t="shared" si="37"/>
        <v>0</v>
      </c>
      <c r="BF206" s="347"/>
      <c r="BG206" s="347"/>
      <c r="BH206" s="347"/>
      <c r="BI206" s="347"/>
      <c r="BJ206" s="586">
        <f t="shared" si="187"/>
        <v>0</v>
      </c>
      <c r="BK206" s="581">
        <f t="shared" si="15"/>
        <v>0</v>
      </c>
      <c r="BL206" s="347"/>
      <c r="BM206" s="347"/>
      <c r="BN206" s="347"/>
      <c r="BO206" s="586">
        <f t="shared" si="189"/>
        <v>0</v>
      </c>
      <c r="BP206" s="584">
        <f t="shared" si="17"/>
        <v>0</v>
      </c>
      <c r="BQ206" s="347"/>
      <c r="BR206" s="581">
        <f t="shared" si="153"/>
        <v>0</v>
      </c>
      <c r="BS206" s="588">
        <f t="shared" si="180"/>
        <v>0</v>
      </c>
      <c r="BT206" s="581">
        <f t="shared" si="20"/>
        <v>0</v>
      </c>
      <c r="BU206" s="589"/>
      <c r="BV206" s="581">
        <f t="shared" si="44"/>
        <v>0</v>
      </c>
      <c r="BW206" s="590"/>
      <c r="BX206" s="347"/>
      <c r="BY206" s="347"/>
      <c r="BZ206" s="347"/>
      <c r="CA206" s="586">
        <f t="shared" si="129"/>
        <v>0</v>
      </c>
      <c r="CB206" s="581">
        <f t="shared" si="160"/>
        <v>0</v>
      </c>
      <c r="CC206" s="581">
        <f t="shared" si="131"/>
        <v>0</v>
      </c>
      <c r="CD206" s="581">
        <f t="shared" si="132"/>
        <v>0</v>
      </c>
      <c r="CE206" s="581">
        <f t="shared" si="133"/>
        <v>0</v>
      </c>
      <c r="CF206" s="581">
        <f t="shared" si="134"/>
        <v>0</v>
      </c>
      <c r="CG206" s="581">
        <f t="shared" si="135"/>
        <v>0</v>
      </c>
      <c r="CH206" s="608" t="str">
        <f t="shared" si="136"/>
        <v>#DIV/0!</v>
      </c>
      <c r="CI206" s="603" t="str">
        <f t="shared" si="137"/>
        <v>#DIV/0!</v>
      </c>
      <c r="CJ206" s="347"/>
      <c r="CK206" s="347">
        <f t="shared" si="138"/>
        <v>0</v>
      </c>
      <c r="CL206" s="539">
        <f t="shared" si="139"/>
        <v>0</v>
      </c>
      <c r="CM206" s="347">
        <f t="shared" si="140"/>
        <v>0</v>
      </c>
      <c r="CN206" s="347">
        <f t="shared" si="141"/>
        <v>0</v>
      </c>
      <c r="CO206" s="347" t="str">
        <f t="shared" si="142"/>
        <v>1899-12-30</v>
      </c>
      <c r="CP206" s="347"/>
    </row>
    <row r="207">
      <c r="A207" s="574">
        <f t="shared" si="147"/>
        <v>200163</v>
      </c>
      <c r="B207" s="574" t="str">
        <f t="shared" si="1"/>
        <v>Batch 200163</v>
      </c>
      <c r="C207" s="347"/>
      <c r="D207" s="574" t="str">
        <f t="shared" si="190"/>
        <v>2-63</v>
      </c>
      <c r="E207" s="347"/>
      <c r="F207" s="596"/>
      <c r="G207" s="596"/>
      <c r="H207" s="347"/>
      <c r="I207" s="347"/>
      <c r="J207" s="596"/>
      <c r="K207" s="609"/>
      <c r="L207" s="1"/>
      <c r="M207" s="347"/>
      <c r="N207" s="347"/>
      <c r="O207" s="579">
        <f t="shared" si="2"/>
        <v>0</v>
      </c>
      <c r="P207" s="579">
        <f t="shared" si="126"/>
        <v>0</v>
      </c>
      <c r="Q207" s="574"/>
      <c r="R207" s="347"/>
      <c r="S207" s="597"/>
      <c r="T207" s="347"/>
      <c r="U207" s="579">
        <f t="shared" si="48"/>
        <v>0</v>
      </c>
      <c r="V207" s="579">
        <f t="shared" si="49"/>
        <v>0</v>
      </c>
      <c r="W207" s="574" t="str">
        <f t="shared" si="179"/>
        <v/>
      </c>
      <c r="X207" s="347" t="str">
        <f t="shared" si="170"/>
        <v/>
      </c>
      <c r="Y207" s="347" t="str">
        <f t="shared" si="188"/>
        <v/>
      </c>
      <c r="Z207" s="347" t="str">
        <f t="shared" si="171"/>
        <v/>
      </c>
      <c r="AA207" s="579">
        <f t="shared" si="6"/>
        <v>0</v>
      </c>
      <c r="AB207" s="581">
        <f t="shared" si="105"/>
        <v>0</v>
      </c>
      <c r="AC207" s="347"/>
      <c r="AD207" s="347"/>
      <c r="AE207" s="347"/>
      <c r="AF207" s="347"/>
      <c r="AG207" s="579">
        <f t="shared" si="54"/>
        <v>0</v>
      </c>
      <c r="AH207" s="579">
        <f t="shared" si="175"/>
        <v>0</v>
      </c>
      <c r="AI207" s="582"/>
      <c r="AJ207" s="582"/>
      <c r="AK207" s="582"/>
      <c r="AL207" s="582"/>
      <c r="AM207" s="579"/>
      <c r="AN207" s="579"/>
      <c r="AO207" s="347"/>
      <c r="AP207" s="581">
        <f t="shared" si="164"/>
        <v>0</v>
      </c>
      <c r="AQ207" s="596"/>
      <c r="AR207" s="596"/>
      <c r="AS207" s="348"/>
      <c r="AT207" s="348"/>
      <c r="AU207" s="348"/>
      <c r="AV207" s="348"/>
      <c r="AW207" s="348"/>
      <c r="AX207" s="584">
        <f t="shared" si="165"/>
        <v>0</v>
      </c>
      <c r="AY207" s="581">
        <f t="shared" si="12"/>
        <v>0</v>
      </c>
      <c r="AZ207" s="581">
        <f t="shared" si="159"/>
        <v>0</v>
      </c>
      <c r="BA207" s="596"/>
      <c r="BB207" s="596"/>
      <c r="BC207" s="348"/>
      <c r="BD207" s="581" t="str">
        <f t="shared" si="99"/>
        <v/>
      </c>
      <c r="BE207" s="581">
        <f t="shared" si="37"/>
        <v>0</v>
      </c>
      <c r="BF207" s="347"/>
      <c r="BG207" s="347"/>
      <c r="BH207" s="347"/>
      <c r="BI207" s="347"/>
      <c r="BJ207" s="586">
        <f t="shared" si="187"/>
        <v>0</v>
      </c>
      <c r="BK207" s="581">
        <f t="shared" si="15"/>
        <v>0</v>
      </c>
      <c r="BL207" s="347"/>
      <c r="BM207" s="347"/>
      <c r="BN207" s="347"/>
      <c r="BO207" s="586">
        <f t="shared" si="189"/>
        <v>0</v>
      </c>
      <c r="BP207" s="584">
        <f t="shared" si="17"/>
        <v>0</v>
      </c>
      <c r="BQ207" s="347"/>
      <c r="BR207" s="581">
        <f t="shared" si="153"/>
        <v>0</v>
      </c>
      <c r="BS207" s="588">
        <f t="shared" si="180"/>
        <v>0</v>
      </c>
      <c r="BT207" s="581">
        <f t="shared" si="20"/>
        <v>0</v>
      </c>
      <c r="BU207" s="589"/>
      <c r="BV207" s="581">
        <f t="shared" si="44"/>
        <v>0</v>
      </c>
      <c r="BW207" s="590"/>
      <c r="BX207" s="347"/>
      <c r="BY207" s="347"/>
      <c r="BZ207" s="347"/>
      <c r="CA207" s="586">
        <f t="shared" si="129"/>
        <v>0</v>
      </c>
      <c r="CB207" s="581">
        <f t="shared" si="160"/>
        <v>0</v>
      </c>
      <c r="CC207" s="581">
        <f t="shared" si="131"/>
        <v>0</v>
      </c>
      <c r="CD207" s="581">
        <f t="shared" si="132"/>
        <v>0</v>
      </c>
      <c r="CE207" s="581">
        <f t="shared" si="133"/>
        <v>0</v>
      </c>
      <c r="CF207" s="581">
        <f t="shared" si="134"/>
        <v>0</v>
      </c>
      <c r="CG207" s="581">
        <f t="shared" si="135"/>
        <v>0</v>
      </c>
      <c r="CH207" s="608" t="str">
        <f t="shared" si="136"/>
        <v>#DIV/0!</v>
      </c>
      <c r="CI207" s="603" t="str">
        <f t="shared" si="137"/>
        <v>#DIV/0!</v>
      </c>
      <c r="CJ207" s="347"/>
      <c r="CK207" s="347">
        <f t="shared" si="138"/>
        <v>0</v>
      </c>
      <c r="CL207" s="539">
        <f t="shared" si="139"/>
        <v>0</v>
      </c>
      <c r="CM207" s="347">
        <f t="shared" si="140"/>
        <v>0</v>
      </c>
      <c r="CN207" s="347">
        <f t="shared" si="141"/>
        <v>0</v>
      </c>
      <c r="CO207" s="347" t="str">
        <f t="shared" si="142"/>
        <v>1899-12-30</v>
      </c>
      <c r="CP207" s="347"/>
    </row>
    <row r="208">
      <c r="A208" s="574">
        <f t="shared" si="147"/>
        <v>300096</v>
      </c>
      <c r="B208" s="574" t="str">
        <f t="shared" si="1"/>
        <v>Batch 300096</v>
      </c>
      <c r="C208" s="347"/>
      <c r="D208" s="574" t="str">
        <f t="shared" si="190"/>
        <v>3-96</v>
      </c>
      <c r="E208" s="347"/>
      <c r="F208" s="596"/>
      <c r="G208" s="596"/>
      <c r="H208" s="347"/>
      <c r="I208" s="347"/>
      <c r="J208" s="596"/>
      <c r="K208" s="609"/>
      <c r="L208" s="1"/>
      <c r="M208" s="347"/>
      <c r="N208" s="347"/>
      <c r="O208" s="579">
        <f t="shared" si="2"/>
        <v>0</v>
      </c>
      <c r="P208" s="579">
        <f t="shared" si="126"/>
        <v>0</v>
      </c>
      <c r="Q208" s="574"/>
      <c r="R208" s="347"/>
      <c r="S208" s="597"/>
      <c r="T208" s="347"/>
      <c r="U208" s="579">
        <f t="shared" si="48"/>
        <v>0</v>
      </c>
      <c r="V208" s="579">
        <f t="shared" si="49"/>
        <v>0</v>
      </c>
      <c r="W208" s="574" t="str">
        <f t="shared" si="179"/>
        <v/>
      </c>
      <c r="X208" s="347" t="str">
        <f t="shared" si="170"/>
        <v/>
      </c>
      <c r="Y208" s="347" t="str">
        <f t="shared" si="188"/>
        <v/>
      </c>
      <c r="Z208" s="347" t="str">
        <f t="shared" si="171"/>
        <v/>
      </c>
      <c r="AA208" s="579">
        <f t="shared" si="6"/>
        <v>0</v>
      </c>
      <c r="AB208" s="581">
        <f t="shared" si="105"/>
        <v>0</v>
      </c>
      <c r="AC208" s="347"/>
      <c r="AD208" s="347"/>
      <c r="AE208" s="347"/>
      <c r="AF208" s="347"/>
      <c r="AG208" s="579">
        <f t="shared" si="54"/>
        <v>0</v>
      </c>
      <c r="AH208" s="579">
        <f t="shared" si="175"/>
        <v>0</v>
      </c>
      <c r="AI208" s="582"/>
      <c r="AJ208" s="582"/>
      <c r="AK208" s="582"/>
      <c r="AL208" s="582"/>
      <c r="AM208" s="579"/>
      <c r="AN208" s="579"/>
      <c r="AO208" s="347"/>
      <c r="AP208" s="581">
        <f t="shared" si="164"/>
        <v>0</v>
      </c>
      <c r="AQ208" s="596"/>
      <c r="AR208" s="596"/>
      <c r="AS208" s="348"/>
      <c r="AT208" s="348"/>
      <c r="AU208" s="348"/>
      <c r="AV208" s="348"/>
      <c r="AW208" s="348"/>
      <c r="AX208" s="584">
        <f t="shared" si="165"/>
        <v>0</v>
      </c>
      <c r="AY208" s="581">
        <f t="shared" si="12"/>
        <v>0</v>
      </c>
      <c r="AZ208" s="581">
        <f t="shared" si="159"/>
        <v>0</v>
      </c>
      <c r="BA208" s="596"/>
      <c r="BB208" s="596"/>
      <c r="BC208" s="348"/>
      <c r="BD208" s="581" t="str">
        <f t="shared" si="99"/>
        <v/>
      </c>
      <c r="BE208" s="581">
        <f t="shared" si="37"/>
        <v>0</v>
      </c>
      <c r="BF208" s="347"/>
      <c r="BG208" s="347"/>
      <c r="BH208" s="347"/>
      <c r="BI208" s="347"/>
      <c r="BJ208" s="586">
        <f t="shared" si="187"/>
        <v>0</v>
      </c>
      <c r="BK208" s="581">
        <f t="shared" si="15"/>
        <v>0</v>
      </c>
      <c r="BL208" s="347"/>
      <c r="BM208" s="347"/>
      <c r="BN208" s="347"/>
      <c r="BO208" s="586">
        <f t="shared" si="189"/>
        <v>0</v>
      </c>
      <c r="BP208" s="584">
        <f t="shared" si="17"/>
        <v>0</v>
      </c>
      <c r="BQ208" s="347"/>
      <c r="BR208" s="581">
        <f t="shared" si="153"/>
        <v>0</v>
      </c>
      <c r="BS208" s="588">
        <f t="shared" si="180"/>
        <v>0</v>
      </c>
      <c r="BT208" s="581">
        <f t="shared" si="20"/>
        <v>0</v>
      </c>
      <c r="BU208" s="589"/>
      <c r="BV208" s="581">
        <f t="shared" si="44"/>
        <v>0</v>
      </c>
      <c r="BW208" s="590"/>
      <c r="BX208" s="347"/>
      <c r="BY208" s="347"/>
      <c r="BZ208" s="347"/>
      <c r="CA208" s="586">
        <f t="shared" si="129"/>
        <v>0</v>
      </c>
      <c r="CB208" s="581">
        <f t="shared" si="160"/>
        <v>0</v>
      </c>
      <c r="CC208" s="581">
        <f t="shared" si="131"/>
        <v>0</v>
      </c>
      <c r="CD208" s="581">
        <f t="shared" si="132"/>
        <v>0</v>
      </c>
      <c r="CE208" s="581">
        <f t="shared" si="133"/>
        <v>0</v>
      </c>
      <c r="CF208" s="581">
        <f t="shared" si="134"/>
        <v>0</v>
      </c>
      <c r="CG208" s="581">
        <f t="shared" si="135"/>
        <v>0</v>
      </c>
      <c r="CH208" s="608" t="str">
        <f t="shared" si="136"/>
        <v>#DIV/0!</v>
      </c>
      <c r="CI208" s="603" t="str">
        <f t="shared" si="137"/>
        <v>#DIV/0!</v>
      </c>
      <c r="CJ208" s="347"/>
      <c r="CK208" s="347">
        <f t="shared" si="138"/>
        <v>0</v>
      </c>
      <c r="CL208" s="539">
        <f t="shared" si="139"/>
        <v>0</v>
      </c>
      <c r="CM208" s="347">
        <f t="shared" si="140"/>
        <v>0</v>
      </c>
      <c r="CN208" s="347">
        <f t="shared" si="141"/>
        <v>0</v>
      </c>
      <c r="CO208" s="347" t="str">
        <f t="shared" si="142"/>
        <v>1899-12-30</v>
      </c>
      <c r="CP208" s="347"/>
    </row>
    <row r="209">
      <c r="A209" s="574">
        <f t="shared" si="147"/>
        <v>200164</v>
      </c>
      <c r="B209" s="574" t="str">
        <f t="shared" si="1"/>
        <v>Batch 200164</v>
      </c>
      <c r="C209" s="347"/>
      <c r="D209" s="574" t="str">
        <f t="shared" si="190"/>
        <v>2-64</v>
      </c>
      <c r="E209" s="347"/>
      <c r="F209" s="596"/>
      <c r="G209" s="596"/>
      <c r="H209" s="347"/>
      <c r="I209" s="347"/>
      <c r="J209" s="596"/>
      <c r="K209" s="609"/>
      <c r="L209" s="1"/>
      <c r="M209" s="347"/>
      <c r="N209" s="347"/>
      <c r="O209" s="579">
        <f t="shared" si="2"/>
        <v>0</v>
      </c>
      <c r="P209" s="579">
        <f t="shared" si="126"/>
        <v>0</v>
      </c>
      <c r="Q209" s="574"/>
      <c r="R209" s="347"/>
      <c r="S209" s="597"/>
      <c r="T209" s="347"/>
      <c r="U209" s="579">
        <f t="shared" si="48"/>
        <v>0</v>
      </c>
      <c r="V209" s="579">
        <f t="shared" si="49"/>
        <v>0</v>
      </c>
      <c r="W209" s="574" t="str">
        <f t="shared" si="179"/>
        <v/>
      </c>
      <c r="X209" s="347" t="str">
        <f t="shared" si="170"/>
        <v/>
      </c>
      <c r="Y209" s="347" t="str">
        <f t="shared" si="188"/>
        <v/>
      </c>
      <c r="Z209" s="347" t="str">
        <f t="shared" si="171"/>
        <v/>
      </c>
      <c r="AA209" s="579">
        <f t="shared" si="6"/>
        <v>0</v>
      </c>
      <c r="AB209" s="581">
        <f t="shared" si="105"/>
        <v>0</v>
      </c>
      <c r="AC209" s="347"/>
      <c r="AD209" s="347"/>
      <c r="AE209" s="347"/>
      <c r="AF209" s="347"/>
      <c r="AG209" s="579">
        <f t="shared" si="54"/>
        <v>0</v>
      </c>
      <c r="AH209" s="579">
        <f t="shared" si="175"/>
        <v>0</v>
      </c>
      <c r="AI209" s="582"/>
      <c r="AJ209" s="582"/>
      <c r="AK209" s="582"/>
      <c r="AL209" s="582"/>
      <c r="AM209" s="579"/>
      <c r="AN209" s="579"/>
      <c r="AO209" s="347"/>
      <c r="AP209" s="581">
        <f t="shared" si="164"/>
        <v>0</v>
      </c>
      <c r="AQ209" s="596"/>
      <c r="AR209" s="596"/>
      <c r="AS209" s="348"/>
      <c r="AT209" s="348"/>
      <c r="AU209" s="348"/>
      <c r="AV209" s="348"/>
      <c r="AW209" s="348"/>
      <c r="AX209" s="584">
        <f t="shared" si="165"/>
        <v>0</v>
      </c>
      <c r="AY209" s="581">
        <f t="shared" si="12"/>
        <v>0</v>
      </c>
      <c r="AZ209" s="581">
        <f t="shared" si="159"/>
        <v>0</v>
      </c>
      <c r="BA209" s="596"/>
      <c r="BB209" s="596"/>
      <c r="BC209" s="348"/>
      <c r="BD209" s="581" t="str">
        <f t="shared" si="99"/>
        <v/>
      </c>
      <c r="BE209" s="581">
        <f t="shared" si="37"/>
        <v>0</v>
      </c>
      <c r="BF209" s="347"/>
      <c r="BG209" s="347"/>
      <c r="BH209" s="347"/>
      <c r="BI209" s="347"/>
      <c r="BJ209" s="586">
        <f t="shared" si="187"/>
        <v>0</v>
      </c>
      <c r="BK209" s="581">
        <f t="shared" si="15"/>
        <v>0</v>
      </c>
      <c r="BL209" s="347"/>
      <c r="BM209" s="347"/>
      <c r="BN209" s="347"/>
      <c r="BO209" s="586">
        <f t="shared" si="189"/>
        <v>0</v>
      </c>
      <c r="BP209" s="584">
        <f t="shared" si="17"/>
        <v>0</v>
      </c>
      <c r="BQ209" s="347"/>
      <c r="BR209" s="581">
        <f t="shared" si="153"/>
        <v>0</v>
      </c>
      <c r="BS209" s="588">
        <f t="shared" si="180"/>
        <v>0</v>
      </c>
      <c r="BT209" s="581">
        <f t="shared" si="20"/>
        <v>0</v>
      </c>
      <c r="BU209" s="589"/>
      <c r="BV209" s="581">
        <f t="shared" si="44"/>
        <v>0</v>
      </c>
      <c r="BW209" s="590"/>
      <c r="BX209" s="347"/>
      <c r="BY209" s="347"/>
      <c r="BZ209" s="347"/>
      <c r="CA209" s="586">
        <f t="shared" si="129"/>
        <v>0</v>
      </c>
      <c r="CB209" s="581">
        <f t="shared" si="160"/>
        <v>0</v>
      </c>
      <c r="CC209" s="581">
        <f t="shared" si="131"/>
        <v>0</v>
      </c>
      <c r="CD209" s="581">
        <f t="shared" si="132"/>
        <v>0</v>
      </c>
      <c r="CE209" s="581">
        <f t="shared" si="133"/>
        <v>0</v>
      </c>
      <c r="CF209" s="581">
        <f t="shared" si="134"/>
        <v>0</v>
      </c>
      <c r="CG209" s="581">
        <f t="shared" si="135"/>
        <v>0</v>
      </c>
      <c r="CH209" s="608" t="str">
        <f t="shared" si="136"/>
        <v>#DIV/0!</v>
      </c>
      <c r="CI209" s="603" t="str">
        <f t="shared" si="137"/>
        <v>#DIV/0!</v>
      </c>
      <c r="CJ209" s="347"/>
      <c r="CK209" s="347">
        <f t="shared" si="138"/>
        <v>0</v>
      </c>
      <c r="CL209" s="539">
        <f t="shared" si="139"/>
        <v>0</v>
      </c>
      <c r="CM209" s="347">
        <f t="shared" si="140"/>
        <v>0</v>
      </c>
      <c r="CN209" s="347">
        <f t="shared" si="141"/>
        <v>0</v>
      </c>
      <c r="CO209" s="347" t="str">
        <f t="shared" si="142"/>
        <v>1899-12-30</v>
      </c>
      <c r="CP209" s="347"/>
    </row>
    <row r="210">
      <c r="A210" s="574">
        <f t="shared" si="147"/>
        <v>300097</v>
      </c>
      <c r="B210" s="574" t="str">
        <f t="shared" si="1"/>
        <v>Batch 300097</v>
      </c>
      <c r="C210" s="347"/>
      <c r="D210" s="574" t="str">
        <f t="shared" si="190"/>
        <v>3-97</v>
      </c>
      <c r="E210" s="347"/>
      <c r="F210" s="596"/>
      <c r="G210" s="596"/>
      <c r="H210" s="347"/>
      <c r="I210" s="347"/>
      <c r="J210" s="596"/>
      <c r="K210" s="609"/>
      <c r="L210" s="1"/>
      <c r="M210" s="347"/>
      <c r="N210" s="347"/>
      <c r="O210" s="579">
        <f t="shared" si="2"/>
        <v>0</v>
      </c>
      <c r="P210" s="579">
        <f t="shared" si="126"/>
        <v>0</v>
      </c>
      <c r="Q210" s="574"/>
      <c r="R210" s="347"/>
      <c r="S210" s="597"/>
      <c r="T210" s="347"/>
      <c r="U210" s="579">
        <f t="shared" si="48"/>
        <v>0</v>
      </c>
      <c r="V210" s="579">
        <f t="shared" si="49"/>
        <v>0</v>
      </c>
      <c r="W210" s="574" t="str">
        <f t="shared" si="179"/>
        <v/>
      </c>
      <c r="X210" s="347" t="str">
        <f t="shared" si="170"/>
        <v/>
      </c>
      <c r="Y210" s="347" t="str">
        <f t="shared" si="188"/>
        <v/>
      </c>
      <c r="Z210" s="347" t="str">
        <f t="shared" si="171"/>
        <v/>
      </c>
      <c r="AA210" s="579">
        <f t="shared" si="6"/>
        <v>0</v>
      </c>
      <c r="AB210" s="581">
        <f t="shared" si="105"/>
        <v>0</v>
      </c>
      <c r="AC210" s="347"/>
      <c r="AD210" s="347"/>
      <c r="AE210" s="347"/>
      <c r="AF210" s="347"/>
      <c r="AG210" s="579">
        <f t="shared" si="54"/>
        <v>0</v>
      </c>
      <c r="AH210" s="579">
        <f t="shared" si="175"/>
        <v>0</v>
      </c>
      <c r="AI210" s="582"/>
      <c r="AJ210" s="582"/>
      <c r="AK210" s="582"/>
      <c r="AL210" s="582"/>
      <c r="AM210" s="579"/>
      <c r="AN210" s="579"/>
      <c r="AO210" s="347"/>
      <c r="AP210" s="581">
        <f t="shared" si="164"/>
        <v>0</v>
      </c>
      <c r="AQ210" s="596"/>
      <c r="AR210" s="596"/>
      <c r="AS210" s="348"/>
      <c r="AT210" s="348"/>
      <c r="AU210" s="348"/>
      <c r="AV210" s="348"/>
      <c r="AW210" s="348"/>
      <c r="AX210" s="584">
        <f t="shared" si="165"/>
        <v>0</v>
      </c>
      <c r="AY210" s="581">
        <f t="shared" si="12"/>
        <v>0</v>
      </c>
      <c r="AZ210" s="581">
        <f t="shared" si="159"/>
        <v>0</v>
      </c>
      <c r="BA210" s="596"/>
      <c r="BB210" s="596"/>
      <c r="BC210" s="348"/>
      <c r="BD210" s="581" t="str">
        <f t="shared" si="99"/>
        <v/>
      </c>
      <c r="BE210" s="581">
        <f t="shared" si="37"/>
        <v>0</v>
      </c>
      <c r="BF210" s="347"/>
      <c r="BG210" s="347"/>
      <c r="BH210" s="347"/>
      <c r="BI210" s="347"/>
      <c r="BJ210" s="586">
        <f t="shared" si="187"/>
        <v>0</v>
      </c>
      <c r="BK210" s="581">
        <f t="shared" si="15"/>
        <v>0</v>
      </c>
      <c r="BL210" s="347"/>
      <c r="BM210" s="347"/>
      <c r="BN210" s="347"/>
      <c r="BO210" s="586">
        <f t="shared" si="189"/>
        <v>0</v>
      </c>
      <c r="BP210" s="584">
        <f t="shared" si="17"/>
        <v>0</v>
      </c>
      <c r="BQ210" s="347"/>
      <c r="BR210" s="581">
        <f t="shared" si="153"/>
        <v>0</v>
      </c>
      <c r="BS210" s="588">
        <f t="shared" si="180"/>
        <v>0</v>
      </c>
      <c r="BT210" s="581">
        <f t="shared" si="20"/>
        <v>0</v>
      </c>
      <c r="BU210" s="589"/>
      <c r="BV210" s="581">
        <f t="shared" si="44"/>
        <v>0</v>
      </c>
      <c r="BW210" s="590"/>
      <c r="BX210" s="347"/>
      <c r="BY210" s="347"/>
      <c r="BZ210" s="347"/>
      <c r="CA210" s="586">
        <f t="shared" si="129"/>
        <v>0</v>
      </c>
      <c r="CB210" s="581">
        <f t="shared" si="160"/>
        <v>0</v>
      </c>
      <c r="CC210" s="581">
        <f t="shared" si="131"/>
        <v>0</v>
      </c>
      <c r="CD210" s="581">
        <f t="shared" si="132"/>
        <v>0</v>
      </c>
      <c r="CE210" s="581">
        <f t="shared" si="133"/>
        <v>0</v>
      </c>
      <c r="CF210" s="581">
        <f t="shared" si="134"/>
        <v>0</v>
      </c>
      <c r="CG210" s="581">
        <f t="shared" si="135"/>
        <v>0</v>
      </c>
      <c r="CH210" s="608" t="str">
        <f t="shared" si="136"/>
        <v>#DIV/0!</v>
      </c>
      <c r="CI210" s="603" t="str">
        <f t="shared" si="137"/>
        <v>#DIV/0!</v>
      </c>
      <c r="CJ210" s="347"/>
      <c r="CK210" s="347">
        <f t="shared" si="138"/>
        <v>0</v>
      </c>
      <c r="CL210" s="539">
        <f t="shared" si="139"/>
        <v>0</v>
      </c>
      <c r="CM210" s="347">
        <f t="shared" si="140"/>
        <v>0</v>
      </c>
      <c r="CN210" s="347">
        <f t="shared" si="141"/>
        <v>0</v>
      </c>
      <c r="CO210" s="347" t="str">
        <f t="shared" si="142"/>
        <v>1899-12-30</v>
      </c>
      <c r="CP210" s="347"/>
    </row>
    <row r="211">
      <c r="A211" s="574">
        <f t="shared" si="147"/>
        <v>200165</v>
      </c>
      <c r="B211" s="574" t="str">
        <f t="shared" si="1"/>
        <v>Batch 200165</v>
      </c>
      <c r="C211" s="347"/>
      <c r="D211" s="574" t="str">
        <f t="shared" si="190"/>
        <v>2-65</v>
      </c>
      <c r="E211" s="347"/>
      <c r="F211" s="596"/>
      <c r="G211" s="596"/>
      <c r="H211" s="347"/>
      <c r="I211" s="347"/>
      <c r="J211" s="596"/>
      <c r="K211" s="609"/>
      <c r="L211" s="1"/>
      <c r="M211" s="347"/>
      <c r="N211" s="347"/>
      <c r="O211" s="579">
        <f t="shared" si="2"/>
        <v>0</v>
      </c>
      <c r="P211" s="579">
        <f t="shared" si="126"/>
        <v>0</v>
      </c>
      <c r="Q211" s="574"/>
      <c r="R211" s="347"/>
      <c r="S211" s="597"/>
      <c r="T211" s="347"/>
      <c r="U211" s="579">
        <f t="shared" si="48"/>
        <v>0</v>
      </c>
      <c r="V211" s="579">
        <f t="shared" si="49"/>
        <v>0</v>
      </c>
      <c r="W211" s="574" t="str">
        <f t="shared" si="179"/>
        <v/>
      </c>
      <c r="X211" s="347" t="str">
        <f t="shared" si="170"/>
        <v/>
      </c>
      <c r="Y211" s="347" t="str">
        <f t="shared" si="188"/>
        <v/>
      </c>
      <c r="Z211" s="347" t="str">
        <f t="shared" si="171"/>
        <v/>
      </c>
      <c r="AA211" s="579">
        <f t="shared" si="6"/>
        <v>0</v>
      </c>
      <c r="AB211" s="581">
        <f t="shared" si="105"/>
        <v>0</v>
      </c>
      <c r="AC211" s="347"/>
      <c r="AD211" s="347"/>
      <c r="AE211" s="347"/>
      <c r="AF211" s="347"/>
      <c r="AG211" s="579">
        <f t="shared" si="54"/>
        <v>0</v>
      </c>
      <c r="AH211" s="579">
        <f t="shared" si="175"/>
        <v>0</v>
      </c>
      <c r="AI211" s="582"/>
      <c r="AJ211" s="582"/>
      <c r="AK211" s="582"/>
      <c r="AL211" s="582"/>
      <c r="AM211" s="579"/>
      <c r="AN211" s="579"/>
      <c r="AO211" s="347"/>
      <c r="AP211" s="581">
        <f t="shared" si="164"/>
        <v>0</v>
      </c>
      <c r="AQ211" s="596"/>
      <c r="AR211" s="596"/>
      <c r="AS211" s="348"/>
      <c r="AT211" s="348"/>
      <c r="AU211" s="348"/>
      <c r="AV211" s="348"/>
      <c r="AW211" s="348"/>
      <c r="AX211" s="584">
        <f t="shared" si="165"/>
        <v>0</v>
      </c>
      <c r="AY211" s="581">
        <f t="shared" si="12"/>
        <v>0</v>
      </c>
      <c r="AZ211" s="581">
        <f t="shared" si="159"/>
        <v>0</v>
      </c>
      <c r="BA211" s="596"/>
      <c r="BB211" s="596"/>
      <c r="BC211" s="348"/>
      <c r="BD211" s="581" t="str">
        <f t="shared" si="99"/>
        <v/>
      </c>
      <c r="BE211" s="581">
        <f t="shared" si="37"/>
        <v>0</v>
      </c>
      <c r="BF211" s="347"/>
      <c r="BG211" s="347"/>
      <c r="BH211" s="347"/>
      <c r="BI211" s="347"/>
      <c r="BJ211" s="586">
        <f t="shared" si="187"/>
        <v>0</v>
      </c>
      <c r="BK211" s="581">
        <f t="shared" si="15"/>
        <v>0</v>
      </c>
      <c r="BL211" s="347"/>
      <c r="BM211" s="347"/>
      <c r="BN211" s="347"/>
      <c r="BO211" s="586">
        <f t="shared" si="189"/>
        <v>0</v>
      </c>
      <c r="BP211" s="584">
        <f t="shared" si="17"/>
        <v>0</v>
      </c>
      <c r="BQ211" s="347"/>
      <c r="BR211" s="581">
        <f t="shared" si="153"/>
        <v>0</v>
      </c>
      <c r="BS211" s="588">
        <f t="shared" si="180"/>
        <v>0</v>
      </c>
      <c r="BT211" s="581">
        <f t="shared" si="20"/>
        <v>0</v>
      </c>
      <c r="BU211" s="589"/>
      <c r="BV211" s="581">
        <f t="shared" si="44"/>
        <v>0</v>
      </c>
      <c r="BW211" s="590"/>
      <c r="BX211" s="347"/>
      <c r="BY211" s="347"/>
      <c r="BZ211" s="347"/>
      <c r="CA211" s="586">
        <f t="shared" si="129"/>
        <v>0</v>
      </c>
      <c r="CB211" s="581">
        <f t="shared" si="160"/>
        <v>0</v>
      </c>
      <c r="CC211" s="581">
        <f t="shared" si="131"/>
        <v>0</v>
      </c>
      <c r="CD211" s="581">
        <f t="shared" si="132"/>
        <v>0</v>
      </c>
      <c r="CE211" s="581">
        <f t="shared" si="133"/>
        <v>0</v>
      </c>
      <c r="CF211" s="581">
        <f t="shared" si="134"/>
        <v>0</v>
      </c>
      <c r="CG211" s="581">
        <f t="shared" si="135"/>
        <v>0</v>
      </c>
      <c r="CH211" s="608" t="str">
        <f t="shared" si="136"/>
        <v>#DIV/0!</v>
      </c>
      <c r="CI211" s="603" t="str">
        <f t="shared" si="137"/>
        <v>#DIV/0!</v>
      </c>
      <c r="CJ211" s="347"/>
      <c r="CK211" s="347">
        <f t="shared" si="138"/>
        <v>0</v>
      </c>
      <c r="CL211" s="539">
        <f t="shared" si="139"/>
        <v>0</v>
      </c>
      <c r="CM211" s="347">
        <f t="shared" si="140"/>
        <v>0</v>
      </c>
      <c r="CN211" s="347">
        <f t="shared" si="141"/>
        <v>0</v>
      </c>
      <c r="CO211" s="347" t="str">
        <f t="shared" si="142"/>
        <v>1899-12-30</v>
      </c>
      <c r="CP211" s="347"/>
    </row>
    <row r="212">
      <c r="A212" s="574">
        <f t="shared" si="147"/>
        <v>300098</v>
      </c>
      <c r="B212" s="574" t="str">
        <f t="shared" si="1"/>
        <v>Batch 300098</v>
      </c>
      <c r="C212" s="347"/>
      <c r="D212" s="574" t="str">
        <f t="shared" si="190"/>
        <v>3-98</v>
      </c>
      <c r="E212" s="347"/>
      <c r="F212" s="596"/>
      <c r="G212" s="596"/>
      <c r="H212" s="347"/>
      <c r="I212" s="347"/>
      <c r="J212" s="596"/>
      <c r="K212" s="609"/>
      <c r="L212" s="1"/>
      <c r="M212" s="347"/>
      <c r="N212" s="347"/>
      <c r="O212" s="579">
        <f t="shared" si="2"/>
        <v>0</v>
      </c>
      <c r="P212" s="579">
        <f t="shared" si="126"/>
        <v>0</v>
      </c>
      <c r="Q212" s="574"/>
      <c r="R212" s="347"/>
      <c r="S212" s="597"/>
      <c r="T212" s="347"/>
      <c r="U212" s="579">
        <f t="shared" si="48"/>
        <v>0</v>
      </c>
      <c r="V212" s="579">
        <f t="shared" si="49"/>
        <v>0</v>
      </c>
      <c r="W212" s="574" t="str">
        <f t="shared" si="179"/>
        <v/>
      </c>
      <c r="X212" s="347" t="str">
        <f t="shared" si="170"/>
        <v/>
      </c>
      <c r="Y212" s="347" t="str">
        <f t="shared" si="188"/>
        <v/>
      </c>
      <c r="Z212" s="347" t="str">
        <f t="shared" si="171"/>
        <v/>
      </c>
      <c r="AA212" s="579">
        <f t="shared" si="6"/>
        <v>0</v>
      </c>
      <c r="AB212" s="581">
        <f t="shared" si="105"/>
        <v>0</v>
      </c>
      <c r="AC212" s="347"/>
      <c r="AD212" s="347"/>
      <c r="AE212" s="347"/>
      <c r="AF212" s="347"/>
      <c r="AG212" s="579">
        <f t="shared" si="54"/>
        <v>0</v>
      </c>
      <c r="AH212" s="579">
        <f t="shared" si="175"/>
        <v>0</v>
      </c>
      <c r="AI212" s="582"/>
      <c r="AJ212" s="582"/>
      <c r="AK212" s="582"/>
      <c r="AL212" s="582"/>
      <c r="AM212" s="579"/>
      <c r="AN212" s="579"/>
      <c r="AO212" s="347"/>
      <c r="AP212" s="581">
        <f t="shared" si="164"/>
        <v>0</v>
      </c>
      <c r="AQ212" s="596"/>
      <c r="AR212" s="596"/>
      <c r="AS212" s="348"/>
      <c r="AT212" s="348"/>
      <c r="AU212" s="348"/>
      <c r="AV212" s="348"/>
      <c r="AW212" s="348"/>
      <c r="AX212" s="584">
        <f t="shared" si="165"/>
        <v>0</v>
      </c>
      <c r="AY212" s="581">
        <f t="shared" si="12"/>
        <v>0</v>
      </c>
      <c r="AZ212" s="581">
        <f t="shared" si="159"/>
        <v>0</v>
      </c>
      <c r="BA212" s="596"/>
      <c r="BB212" s="596"/>
      <c r="BC212" s="348"/>
      <c r="BD212" s="581" t="str">
        <f t="shared" si="99"/>
        <v/>
      </c>
      <c r="BE212" s="581">
        <f t="shared" si="37"/>
        <v>0</v>
      </c>
      <c r="BF212" s="347"/>
      <c r="BG212" s="347"/>
      <c r="BH212" s="347"/>
      <c r="BI212" s="347"/>
      <c r="BJ212" s="586">
        <f t="shared" si="187"/>
        <v>0</v>
      </c>
      <c r="BK212" s="581">
        <f t="shared" si="15"/>
        <v>0</v>
      </c>
      <c r="BL212" s="347"/>
      <c r="BM212" s="347"/>
      <c r="BN212" s="347"/>
      <c r="BO212" s="586">
        <f t="shared" si="189"/>
        <v>0</v>
      </c>
      <c r="BP212" s="584">
        <f t="shared" si="17"/>
        <v>0</v>
      </c>
      <c r="BQ212" s="347"/>
      <c r="BR212" s="581">
        <f t="shared" si="153"/>
        <v>0</v>
      </c>
      <c r="BS212" s="588">
        <f t="shared" si="180"/>
        <v>0</v>
      </c>
      <c r="BT212" s="581">
        <f t="shared" si="20"/>
        <v>0</v>
      </c>
      <c r="BU212" s="589"/>
      <c r="BV212" s="581">
        <f t="shared" si="44"/>
        <v>0</v>
      </c>
      <c r="BW212" s="590"/>
      <c r="BX212" s="347"/>
      <c r="BY212" s="347"/>
      <c r="BZ212" s="347"/>
      <c r="CA212" s="586">
        <f t="shared" si="129"/>
        <v>0</v>
      </c>
      <c r="CB212" s="581">
        <f t="shared" si="160"/>
        <v>0</v>
      </c>
      <c r="CC212" s="581">
        <f t="shared" si="131"/>
        <v>0</v>
      </c>
      <c r="CD212" s="581">
        <f t="shared" si="132"/>
        <v>0</v>
      </c>
      <c r="CE212" s="581">
        <f t="shared" si="133"/>
        <v>0</v>
      </c>
      <c r="CF212" s="581">
        <f t="shared" si="134"/>
        <v>0</v>
      </c>
      <c r="CG212" s="581">
        <f t="shared" si="135"/>
        <v>0</v>
      </c>
      <c r="CH212" s="608" t="str">
        <f t="shared" si="136"/>
        <v>#DIV/0!</v>
      </c>
      <c r="CI212" s="603" t="str">
        <f t="shared" si="137"/>
        <v>#DIV/0!</v>
      </c>
      <c r="CJ212" s="347"/>
      <c r="CK212" s="347">
        <f t="shared" si="138"/>
        <v>0</v>
      </c>
      <c r="CL212" s="539">
        <f t="shared" si="139"/>
        <v>0</v>
      </c>
      <c r="CM212" s="347">
        <f t="shared" si="140"/>
        <v>0</v>
      </c>
      <c r="CN212" s="347">
        <f t="shared" si="141"/>
        <v>0</v>
      </c>
      <c r="CO212" s="347" t="str">
        <f t="shared" si="142"/>
        <v>1899-12-30</v>
      </c>
      <c r="CP212" s="347"/>
    </row>
    <row r="213">
      <c r="A213" s="574">
        <f t="shared" si="147"/>
        <v>200166</v>
      </c>
      <c r="B213" s="574" t="str">
        <f t="shared" si="1"/>
        <v>Batch 200166</v>
      </c>
      <c r="C213" s="347"/>
      <c r="D213" s="574" t="str">
        <f t="shared" si="190"/>
        <v>2-66</v>
      </c>
      <c r="E213" s="347"/>
      <c r="F213" s="596"/>
      <c r="G213" s="596"/>
      <c r="H213" s="347"/>
      <c r="I213" s="347"/>
      <c r="J213" s="596"/>
      <c r="K213" s="609"/>
      <c r="L213" s="1"/>
      <c r="M213" s="347"/>
      <c r="N213" s="347"/>
      <c r="O213" s="579">
        <f t="shared" si="2"/>
        <v>0</v>
      </c>
      <c r="P213" s="579">
        <f t="shared" si="126"/>
        <v>0</v>
      </c>
      <c r="Q213" s="574"/>
      <c r="R213" s="347"/>
      <c r="S213" s="597"/>
      <c r="T213" s="347"/>
      <c r="U213" s="579">
        <f t="shared" si="48"/>
        <v>0</v>
      </c>
      <c r="V213" s="579">
        <f t="shared" si="49"/>
        <v>0</v>
      </c>
      <c r="W213" s="574" t="str">
        <f t="shared" si="179"/>
        <v/>
      </c>
      <c r="X213" s="347" t="str">
        <f t="shared" si="170"/>
        <v/>
      </c>
      <c r="Y213" s="347" t="str">
        <f t="shared" si="188"/>
        <v/>
      </c>
      <c r="Z213" s="347" t="str">
        <f t="shared" si="171"/>
        <v/>
      </c>
      <c r="AA213" s="579">
        <f t="shared" si="6"/>
        <v>0</v>
      </c>
      <c r="AB213" s="581">
        <f t="shared" si="105"/>
        <v>0</v>
      </c>
      <c r="AC213" s="347"/>
      <c r="AD213" s="347"/>
      <c r="AE213" s="347"/>
      <c r="AF213" s="347"/>
      <c r="AG213" s="579">
        <f t="shared" si="54"/>
        <v>0</v>
      </c>
      <c r="AH213" s="579">
        <f t="shared" si="175"/>
        <v>0</v>
      </c>
      <c r="AI213" s="582"/>
      <c r="AJ213" s="582"/>
      <c r="AK213" s="582"/>
      <c r="AL213" s="582"/>
      <c r="AM213" s="579"/>
      <c r="AN213" s="579"/>
      <c r="AO213" s="347"/>
      <c r="AP213" s="581">
        <f t="shared" si="164"/>
        <v>0</v>
      </c>
      <c r="AQ213" s="596"/>
      <c r="AR213" s="596"/>
      <c r="AS213" s="348"/>
      <c r="AT213" s="348"/>
      <c r="AU213" s="348"/>
      <c r="AV213" s="348"/>
      <c r="AW213" s="348"/>
      <c r="AX213" s="584">
        <f t="shared" si="165"/>
        <v>0</v>
      </c>
      <c r="AY213" s="581">
        <f t="shared" si="12"/>
        <v>0</v>
      </c>
      <c r="AZ213" s="581">
        <f t="shared" si="159"/>
        <v>0</v>
      </c>
      <c r="BA213" s="596"/>
      <c r="BB213" s="596"/>
      <c r="BC213" s="348"/>
      <c r="BD213" s="581" t="str">
        <f t="shared" si="99"/>
        <v/>
      </c>
      <c r="BE213" s="581">
        <f t="shared" si="37"/>
        <v>0</v>
      </c>
      <c r="BF213" s="347"/>
      <c r="BG213" s="347"/>
      <c r="BH213" s="347"/>
      <c r="BI213" s="347"/>
      <c r="BJ213" s="586">
        <f t="shared" si="187"/>
        <v>0</v>
      </c>
      <c r="BK213" s="581">
        <f t="shared" si="15"/>
        <v>0</v>
      </c>
      <c r="BL213" s="347"/>
      <c r="BM213" s="347"/>
      <c r="BN213" s="347"/>
      <c r="BO213" s="586">
        <f t="shared" si="189"/>
        <v>0</v>
      </c>
      <c r="BP213" s="584">
        <f t="shared" si="17"/>
        <v>0</v>
      </c>
      <c r="BQ213" s="347"/>
      <c r="BR213" s="581">
        <f t="shared" si="153"/>
        <v>0</v>
      </c>
      <c r="BS213" s="588">
        <f t="shared" si="180"/>
        <v>0</v>
      </c>
      <c r="BT213" s="581">
        <f t="shared" si="20"/>
        <v>0</v>
      </c>
      <c r="BU213" s="589"/>
      <c r="BV213" s="581">
        <f t="shared" si="44"/>
        <v>0</v>
      </c>
      <c r="BW213" s="590"/>
      <c r="BX213" s="347"/>
      <c r="BY213" s="347"/>
      <c r="BZ213" s="347"/>
      <c r="CA213" s="586">
        <f t="shared" si="129"/>
        <v>0</v>
      </c>
      <c r="CB213" s="581">
        <f t="shared" si="160"/>
        <v>0</v>
      </c>
      <c r="CC213" s="581">
        <f t="shared" si="131"/>
        <v>0</v>
      </c>
      <c r="CD213" s="581">
        <f t="shared" si="132"/>
        <v>0</v>
      </c>
      <c r="CE213" s="581">
        <f t="shared" si="133"/>
        <v>0</v>
      </c>
      <c r="CF213" s="581">
        <f t="shared" si="134"/>
        <v>0</v>
      </c>
      <c r="CG213" s="581">
        <f t="shared" si="135"/>
        <v>0</v>
      </c>
      <c r="CH213" s="608" t="str">
        <f t="shared" si="136"/>
        <v>#DIV/0!</v>
      </c>
      <c r="CI213" s="603" t="str">
        <f t="shared" si="137"/>
        <v>#DIV/0!</v>
      </c>
      <c r="CJ213" s="347"/>
      <c r="CK213" s="347">
        <f t="shared" si="138"/>
        <v>0</v>
      </c>
      <c r="CL213" s="539">
        <f t="shared" si="139"/>
        <v>0</v>
      </c>
      <c r="CM213" s="347">
        <f t="shared" si="140"/>
        <v>0</v>
      </c>
      <c r="CN213" s="347">
        <f t="shared" si="141"/>
        <v>0</v>
      </c>
      <c r="CO213" s="347" t="str">
        <f t="shared" si="142"/>
        <v>1899-12-30</v>
      </c>
      <c r="CP213" s="347"/>
    </row>
    <row r="214">
      <c r="A214" s="574">
        <f t="shared" si="147"/>
        <v>300099</v>
      </c>
      <c r="B214" s="574" t="str">
        <f t="shared" si="1"/>
        <v>Batch 300099</v>
      </c>
      <c r="C214" s="347"/>
      <c r="D214" s="574" t="str">
        <f t="shared" si="190"/>
        <v>3-99</v>
      </c>
      <c r="E214" s="347"/>
      <c r="F214" s="596"/>
      <c r="G214" s="596"/>
      <c r="H214" s="347"/>
      <c r="I214" s="347"/>
      <c r="J214" s="596"/>
      <c r="K214" s="609"/>
      <c r="L214" s="1"/>
      <c r="M214" s="347"/>
      <c r="N214" s="347"/>
      <c r="O214" s="579">
        <f t="shared" si="2"/>
        <v>0</v>
      </c>
      <c r="P214" s="579">
        <f t="shared" si="126"/>
        <v>0</v>
      </c>
      <c r="Q214" s="574"/>
      <c r="R214" s="347"/>
      <c r="S214" s="597"/>
      <c r="T214" s="347"/>
      <c r="U214" s="579">
        <f t="shared" si="48"/>
        <v>0</v>
      </c>
      <c r="V214" s="579">
        <f t="shared" si="49"/>
        <v>0</v>
      </c>
      <c r="W214" s="574" t="str">
        <f t="shared" si="179"/>
        <v/>
      </c>
      <c r="X214" s="347" t="str">
        <f t="shared" si="170"/>
        <v/>
      </c>
      <c r="Y214" s="347" t="str">
        <f t="shared" si="188"/>
        <v/>
      </c>
      <c r="Z214" s="347" t="str">
        <f t="shared" si="171"/>
        <v/>
      </c>
      <c r="AA214" s="579">
        <f t="shared" si="6"/>
        <v>0</v>
      </c>
      <c r="AB214" s="581">
        <f t="shared" si="105"/>
        <v>0</v>
      </c>
      <c r="AC214" s="347"/>
      <c r="AD214" s="347"/>
      <c r="AE214" s="347"/>
      <c r="AF214" s="347"/>
      <c r="AG214" s="579">
        <f t="shared" si="54"/>
        <v>0</v>
      </c>
      <c r="AH214" s="579">
        <f t="shared" si="175"/>
        <v>0</v>
      </c>
      <c r="AI214" s="582"/>
      <c r="AJ214" s="582"/>
      <c r="AK214" s="582"/>
      <c r="AL214" s="582"/>
      <c r="AM214" s="579"/>
      <c r="AN214" s="579"/>
      <c r="AO214" s="347"/>
      <c r="AP214" s="581">
        <f t="shared" si="164"/>
        <v>0</v>
      </c>
      <c r="AQ214" s="596"/>
      <c r="AR214" s="596"/>
      <c r="AS214" s="348"/>
      <c r="AT214" s="348"/>
      <c r="AU214" s="348"/>
      <c r="AV214" s="348"/>
      <c r="AW214" s="348"/>
      <c r="AX214" s="584">
        <f t="shared" si="165"/>
        <v>0</v>
      </c>
      <c r="AY214" s="581">
        <f t="shared" si="12"/>
        <v>0</v>
      </c>
      <c r="AZ214" s="581">
        <f t="shared" si="159"/>
        <v>0</v>
      </c>
      <c r="BA214" s="596"/>
      <c r="BB214" s="596"/>
      <c r="BC214" s="348"/>
      <c r="BD214" s="581" t="str">
        <f t="shared" si="99"/>
        <v/>
      </c>
      <c r="BE214" s="581">
        <f t="shared" si="37"/>
        <v>0</v>
      </c>
      <c r="BF214" s="347"/>
      <c r="BG214" s="347"/>
      <c r="BH214" s="347"/>
      <c r="BI214" s="347"/>
      <c r="BJ214" s="586">
        <f t="shared" si="187"/>
        <v>0</v>
      </c>
      <c r="BK214" s="581">
        <f t="shared" si="15"/>
        <v>0</v>
      </c>
      <c r="BL214" s="347"/>
      <c r="BM214" s="347"/>
      <c r="BN214" s="347"/>
      <c r="BO214" s="586">
        <f t="shared" si="189"/>
        <v>0</v>
      </c>
      <c r="BP214" s="584">
        <f t="shared" si="17"/>
        <v>0</v>
      </c>
      <c r="BQ214" s="347"/>
      <c r="BR214" s="581">
        <f t="shared" si="153"/>
        <v>0</v>
      </c>
      <c r="BS214" s="588">
        <f t="shared" si="180"/>
        <v>0</v>
      </c>
      <c r="BT214" s="581">
        <f t="shared" si="20"/>
        <v>0</v>
      </c>
      <c r="BU214" s="589"/>
      <c r="BV214" s="581">
        <f t="shared" si="44"/>
        <v>0</v>
      </c>
      <c r="BW214" s="590"/>
      <c r="BX214" s="347"/>
      <c r="BY214" s="347"/>
      <c r="BZ214" s="347"/>
      <c r="CA214" s="586">
        <f t="shared" si="129"/>
        <v>0</v>
      </c>
      <c r="CB214" s="581">
        <f t="shared" si="160"/>
        <v>0</v>
      </c>
      <c r="CC214" s="581">
        <f t="shared" si="131"/>
        <v>0</v>
      </c>
      <c r="CD214" s="581">
        <f t="shared" si="132"/>
        <v>0</v>
      </c>
      <c r="CE214" s="581">
        <f t="shared" si="133"/>
        <v>0</v>
      </c>
      <c r="CF214" s="581">
        <f t="shared" si="134"/>
        <v>0</v>
      </c>
      <c r="CG214" s="581">
        <f t="shared" si="135"/>
        <v>0</v>
      </c>
      <c r="CH214" s="608" t="str">
        <f t="shared" si="136"/>
        <v>#DIV/0!</v>
      </c>
      <c r="CI214" s="603" t="str">
        <f t="shared" si="137"/>
        <v>#DIV/0!</v>
      </c>
      <c r="CJ214" s="347"/>
      <c r="CK214" s="347">
        <f t="shared" si="138"/>
        <v>0</v>
      </c>
      <c r="CL214" s="539">
        <f t="shared" si="139"/>
        <v>0</v>
      </c>
      <c r="CM214" s="347">
        <f t="shared" si="140"/>
        <v>0</v>
      </c>
      <c r="CN214" s="347">
        <f t="shared" si="141"/>
        <v>0</v>
      </c>
      <c r="CO214" s="347" t="str">
        <f t="shared" si="142"/>
        <v>1899-12-30</v>
      </c>
      <c r="CP214" s="347"/>
    </row>
    <row r="215">
      <c r="A215" s="574">
        <f t="shared" si="147"/>
        <v>200167</v>
      </c>
      <c r="B215" s="574" t="str">
        <f t="shared" si="1"/>
        <v>Batch 200167</v>
      </c>
      <c r="C215" s="347"/>
      <c r="D215" s="574" t="str">
        <f t="shared" si="190"/>
        <v>2-67</v>
      </c>
      <c r="E215" s="347"/>
      <c r="F215" s="596"/>
      <c r="G215" s="596"/>
      <c r="H215" s="347"/>
      <c r="I215" s="347"/>
      <c r="J215" s="596"/>
      <c r="K215" s="609"/>
      <c r="L215" s="1"/>
      <c r="M215" s="347"/>
      <c r="N215" s="347"/>
      <c r="O215" s="579">
        <f t="shared" si="2"/>
        <v>0</v>
      </c>
      <c r="P215" s="579">
        <f t="shared" si="126"/>
        <v>0</v>
      </c>
      <c r="Q215" s="574"/>
      <c r="R215" s="347"/>
      <c r="S215" s="597"/>
      <c r="T215" s="347"/>
      <c r="U215" s="579">
        <f t="shared" si="48"/>
        <v>0</v>
      </c>
      <c r="V215" s="579">
        <f t="shared" si="49"/>
        <v>0</v>
      </c>
      <c r="W215" s="574" t="str">
        <f t="shared" si="179"/>
        <v/>
      </c>
      <c r="X215" s="347" t="str">
        <f t="shared" si="170"/>
        <v/>
      </c>
      <c r="Y215" s="347" t="str">
        <f t="shared" si="188"/>
        <v/>
      </c>
      <c r="Z215" s="347" t="str">
        <f t="shared" si="171"/>
        <v/>
      </c>
      <c r="AA215" s="579">
        <f t="shared" si="6"/>
        <v>0</v>
      </c>
      <c r="AB215" s="581">
        <f t="shared" si="105"/>
        <v>0</v>
      </c>
      <c r="AC215" s="347"/>
      <c r="AD215" s="347"/>
      <c r="AE215" s="347"/>
      <c r="AF215" s="347"/>
      <c r="AG215" s="579">
        <f t="shared" si="54"/>
        <v>0</v>
      </c>
      <c r="AH215" s="579">
        <f t="shared" si="175"/>
        <v>0</v>
      </c>
      <c r="AI215" s="582"/>
      <c r="AJ215" s="582"/>
      <c r="AK215" s="582"/>
      <c r="AL215" s="582"/>
      <c r="AM215" s="579"/>
      <c r="AN215" s="579"/>
      <c r="AO215" s="347"/>
      <c r="AP215" s="581">
        <f t="shared" si="164"/>
        <v>0</v>
      </c>
      <c r="AQ215" s="596"/>
      <c r="AR215" s="596"/>
      <c r="AS215" s="348"/>
      <c r="AT215" s="348"/>
      <c r="AU215" s="348"/>
      <c r="AV215" s="348"/>
      <c r="AW215" s="348"/>
      <c r="AX215" s="584">
        <f t="shared" si="165"/>
        <v>0</v>
      </c>
      <c r="AY215" s="581">
        <f t="shared" si="12"/>
        <v>0</v>
      </c>
      <c r="AZ215" s="581">
        <f t="shared" si="159"/>
        <v>0</v>
      </c>
      <c r="BA215" s="596"/>
      <c r="BB215" s="596"/>
      <c r="BC215" s="348"/>
      <c r="BD215" s="581" t="str">
        <f t="shared" si="99"/>
        <v/>
      </c>
      <c r="BE215" s="581">
        <f t="shared" si="37"/>
        <v>0</v>
      </c>
      <c r="BF215" s="347"/>
      <c r="BG215" s="347"/>
      <c r="BH215" s="347"/>
      <c r="BI215" s="347"/>
      <c r="BJ215" s="586">
        <f t="shared" si="187"/>
        <v>0</v>
      </c>
      <c r="BK215" s="581">
        <f t="shared" si="15"/>
        <v>0</v>
      </c>
      <c r="BL215" s="347"/>
      <c r="BM215" s="347"/>
      <c r="BN215" s="347"/>
      <c r="BO215" s="586">
        <f t="shared" si="189"/>
        <v>0</v>
      </c>
      <c r="BP215" s="584">
        <f t="shared" si="17"/>
        <v>0</v>
      </c>
      <c r="BQ215" s="347"/>
      <c r="BR215" s="581">
        <f t="shared" si="153"/>
        <v>0</v>
      </c>
      <c r="BS215" s="588">
        <f t="shared" si="180"/>
        <v>0</v>
      </c>
      <c r="BT215" s="581">
        <f t="shared" si="20"/>
        <v>0</v>
      </c>
      <c r="BU215" s="589"/>
      <c r="BV215" s="581">
        <f t="shared" si="44"/>
        <v>0</v>
      </c>
      <c r="BW215" s="590"/>
      <c r="BX215" s="347"/>
      <c r="BY215" s="347"/>
      <c r="BZ215" s="347"/>
      <c r="CA215" s="586">
        <f t="shared" si="129"/>
        <v>0</v>
      </c>
      <c r="CB215" s="581">
        <f t="shared" si="160"/>
        <v>0</v>
      </c>
      <c r="CC215" s="581">
        <f t="shared" si="131"/>
        <v>0</v>
      </c>
      <c r="CD215" s="581">
        <f t="shared" si="132"/>
        <v>0</v>
      </c>
      <c r="CE215" s="581">
        <f t="shared" si="133"/>
        <v>0</v>
      </c>
      <c r="CF215" s="581">
        <f t="shared" si="134"/>
        <v>0</v>
      </c>
      <c r="CG215" s="581">
        <f t="shared" si="135"/>
        <v>0</v>
      </c>
      <c r="CH215" s="608" t="str">
        <f t="shared" si="136"/>
        <v>#DIV/0!</v>
      </c>
      <c r="CI215" s="603" t="str">
        <f t="shared" si="137"/>
        <v>#DIV/0!</v>
      </c>
      <c r="CJ215" s="347"/>
      <c r="CK215" s="347">
        <f t="shared" si="138"/>
        <v>0</v>
      </c>
      <c r="CL215" s="539">
        <f t="shared" si="139"/>
        <v>0</v>
      </c>
      <c r="CM215" s="347">
        <f t="shared" si="140"/>
        <v>0</v>
      </c>
      <c r="CN215" s="347">
        <f t="shared" si="141"/>
        <v>0</v>
      </c>
      <c r="CO215" s="347" t="str">
        <f t="shared" si="142"/>
        <v>1899-12-30</v>
      </c>
      <c r="CP215" s="347"/>
    </row>
    <row r="216">
      <c r="A216" s="574">
        <f t="shared" si="147"/>
        <v>300100</v>
      </c>
      <c r="B216" s="574" t="str">
        <f t="shared" si="1"/>
        <v>Batch 300100</v>
      </c>
      <c r="C216" s="347"/>
      <c r="D216" s="574" t="str">
        <f t="shared" si="190"/>
        <v>3-00</v>
      </c>
      <c r="E216" s="347"/>
      <c r="F216" s="596"/>
      <c r="G216" s="596"/>
      <c r="H216" s="347"/>
      <c r="I216" s="347"/>
      <c r="J216" s="596"/>
      <c r="K216" s="609"/>
      <c r="L216" s="1"/>
      <c r="M216" s="347"/>
      <c r="N216" s="347"/>
      <c r="O216" s="579">
        <f t="shared" si="2"/>
        <v>0</v>
      </c>
      <c r="P216" s="579">
        <f t="shared" si="126"/>
        <v>0</v>
      </c>
      <c r="Q216" s="574"/>
      <c r="R216" s="347"/>
      <c r="S216" s="597"/>
      <c r="T216" s="347"/>
      <c r="U216" s="579">
        <f t="shared" si="48"/>
        <v>0</v>
      </c>
      <c r="V216" s="579">
        <f t="shared" si="49"/>
        <v>0</v>
      </c>
      <c r="W216" s="574" t="str">
        <f t="shared" si="179"/>
        <v/>
      </c>
      <c r="X216" s="347" t="str">
        <f t="shared" si="170"/>
        <v/>
      </c>
      <c r="Y216" s="347" t="str">
        <f t="shared" si="188"/>
        <v/>
      </c>
      <c r="Z216" s="347" t="str">
        <f t="shared" si="171"/>
        <v/>
      </c>
      <c r="AA216" s="579">
        <f t="shared" si="6"/>
        <v>0</v>
      </c>
      <c r="AB216" s="581">
        <f t="shared" si="105"/>
        <v>0</v>
      </c>
      <c r="AC216" s="347"/>
      <c r="AD216" s="347"/>
      <c r="AE216" s="347"/>
      <c r="AF216" s="347"/>
      <c r="AG216" s="579">
        <f t="shared" si="54"/>
        <v>0</v>
      </c>
      <c r="AH216" s="579">
        <f t="shared" si="175"/>
        <v>0</v>
      </c>
      <c r="AI216" s="582"/>
      <c r="AJ216" s="582"/>
      <c r="AK216" s="582"/>
      <c r="AL216" s="582"/>
      <c r="AM216" s="579"/>
      <c r="AN216" s="579"/>
      <c r="AO216" s="347"/>
      <c r="AP216" s="581">
        <f t="shared" si="164"/>
        <v>0</v>
      </c>
      <c r="AQ216" s="596"/>
      <c r="AR216" s="596"/>
      <c r="AS216" s="348"/>
      <c r="AT216" s="348"/>
      <c r="AU216" s="348"/>
      <c r="AV216" s="348"/>
      <c r="AW216" s="348"/>
      <c r="AX216" s="584">
        <f t="shared" si="165"/>
        <v>0</v>
      </c>
      <c r="AY216" s="581">
        <f t="shared" si="12"/>
        <v>0</v>
      </c>
      <c r="AZ216" s="581">
        <f t="shared" si="159"/>
        <v>0</v>
      </c>
      <c r="BA216" s="596"/>
      <c r="BB216" s="596"/>
      <c r="BC216" s="348"/>
      <c r="BD216" s="581" t="str">
        <f t="shared" si="99"/>
        <v/>
      </c>
      <c r="BE216" s="581">
        <f t="shared" si="37"/>
        <v>0</v>
      </c>
      <c r="BF216" s="347"/>
      <c r="BG216" s="347"/>
      <c r="BH216" s="347"/>
      <c r="BI216" s="347"/>
      <c r="BJ216" s="586">
        <f t="shared" si="187"/>
        <v>0</v>
      </c>
      <c r="BK216" s="581">
        <f t="shared" si="15"/>
        <v>0</v>
      </c>
      <c r="BL216" s="347"/>
      <c r="BM216" s="347"/>
      <c r="BN216" s="347"/>
      <c r="BO216" s="586">
        <f t="shared" si="189"/>
        <v>0</v>
      </c>
      <c r="BP216" s="584">
        <f t="shared" si="17"/>
        <v>0</v>
      </c>
      <c r="BQ216" s="347"/>
      <c r="BR216" s="581">
        <f t="shared" si="153"/>
        <v>0</v>
      </c>
      <c r="BS216" s="588">
        <f t="shared" si="180"/>
        <v>0</v>
      </c>
      <c r="BT216" s="581">
        <f t="shared" si="20"/>
        <v>0</v>
      </c>
      <c r="BU216" s="589"/>
      <c r="BV216" s="581">
        <f t="shared" si="44"/>
        <v>0</v>
      </c>
      <c r="BW216" s="590"/>
      <c r="BX216" s="347"/>
      <c r="BY216" s="347"/>
      <c r="BZ216" s="347"/>
      <c r="CA216" s="586">
        <f t="shared" si="129"/>
        <v>0</v>
      </c>
      <c r="CB216" s="581">
        <f t="shared" si="160"/>
        <v>0</v>
      </c>
      <c r="CC216" s="581">
        <f t="shared" si="131"/>
        <v>0</v>
      </c>
      <c r="CD216" s="581">
        <f t="shared" si="132"/>
        <v>0</v>
      </c>
      <c r="CE216" s="581">
        <f t="shared" si="133"/>
        <v>0</v>
      </c>
      <c r="CF216" s="581">
        <f t="shared" si="134"/>
        <v>0</v>
      </c>
      <c r="CG216" s="581">
        <f t="shared" si="135"/>
        <v>0</v>
      </c>
      <c r="CH216" s="608" t="str">
        <f t="shared" si="136"/>
        <v>#DIV/0!</v>
      </c>
      <c r="CI216" s="603" t="str">
        <f t="shared" si="137"/>
        <v>#DIV/0!</v>
      </c>
      <c r="CJ216" s="347"/>
      <c r="CK216" s="347">
        <f t="shared" si="138"/>
        <v>0</v>
      </c>
      <c r="CL216" s="539">
        <f t="shared" si="139"/>
        <v>0</v>
      </c>
      <c r="CM216" s="347">
        <f t="shared" si="140"/>
        <v>0</v>
      </c>
      <c r="CN216" s="347">
        <f t="shared" si="141"/>
        <v>0</v>
      </c>
      <c r="CO216" s="347" t="str">
        <f t="shared" si="142"/>
        <v>1899-12-30</v>
      </c>
      <c r="CP216" s="347"/>
    </row>
    <row r="217">
      <c r="A217" s="574">
        <f t="shared" si="147"/>
        <v>200168</v>
      </c>
      <c r="B217" s="574" t="str">
        <f t="shared" si="1"/>
        <v>Batch 200168</v>
      </c>
      <c r="C217" s="347"/>
      <c r="D217" s="574" t="str">
        <f t="shared" si="190"/>
        <v>2-68</v>
      </c>
      <c r="E217" s="347"/>
      <c r="F217" s="596"/>
      <c r="G217" s="596"/>
      <c r="H217" s="347"/>
      <c r="I217" s="347"/>
      <c r="J217" s="596"/>
      <c r="K217" s="609"/>
      <c r="L217" s="1"/>
      <c r="M217" s="347"/>
      <c r="N217" s="347"/>
      <c r="O217" s="579">
        <f t="shared" si="2"/>
        <v>0</v>
      </c>
      <c r="P217" s="579">
        <f t="shared" si="126"/>
        <v>0</v>
      </c>
      <c r="Q217" s="574"/>
      <c r="R217" s="347"/>
      <c r="S217" s="597"/>
      <c r="T217" s="347"/>
      <c r="U217" s="579">
        <f t="shared" si="48"/>
        <v>0</v>
      </c>
      <c r="V217" s="579">
        <f t="shared" si="49"/>
        <v>0</v>
      </c>
      <c r="W217" s="574" t="str">
        <f t="shared" si="179"/>
        <v/>
      </c>
      <c r="X217" s="347" t="str">
        <f t="shared" si="170"/>
        <v/>
      </c>
      <c r="Y217" s="347" t="str">
        <f t="shared" si="188"/>
        <v/>
      </c>
      <c r="Z217" s="347" t="str">
        <f t="shared" si="171"/>
        <v/>
      </c>
      <c r="AA217" s="579">
        <f t="shared" si="6"/>
        <v>0</v>
      </c>
      <c r="AB217" s="581">
        <f t="shared" si="105"/>
        <v>0</v>
      </c>
      <c r="AC217" s="347"/>
      <c r="AD217" s="347"/>
      <c r="AE217" s="347"/>
      <c r="AF217" s="347"/>
      <c r="AG217" s="579">
        <f t="shared" si="54"/>
        <v>0</v>
      </c>
      <c r="AH217" s="579">
        <f t="shared" si="175"/>
        <v>0</v>
      </c>
      <c r="AI217" s="582"/>
      <c r="AJ217" s="582"/>
      <c r="AK217" s="582"/>
      <c r="AL217" s="582"/>
      <c r="AM217" s="579"/>
      <c r="AN217" s="579"/>
      <c r="AO217" s="347"/>
      <c r="AP217" s="581">
        <f t="shared" si="164"/>
        <v>0</v>
      </c>
      <c r="AQ217" s="596"/>
      <c r="AR217" s="596"/>
      <c r="AS217" s="348"/>
      <c r="AT217" s="348"/>
      <c r="AU217" s="348"/>
      <c r="AV217" s="348"/>
      <c r="AW217" s="348"/>
      <c r="AX217" s="584">
        <f t="shared" si="165"/>
        <v>0</v>
      </c>
      <c r="AY217" s="581">
        <f t="shared" si="12"/>
        <v>0</v>
      </c>
      <c r="AZ217" s="581">
        <f t="shared" si="159"/>
        <v>0</v>
      </c>
      <c r="BA217" s="596"/>
      <c r="BB217" s="596"/>
      <c r="BC217" s="348"/>
      <c r="BD217" s="581" t="str">
        <f t="shared" si="99"/>
        <v/>
      </c>
      <c r="BE217" s="581">
        <f t="shared" si="37"/>
        <v>0</v>
      </c>
      <c r="BF217" s="347"/>
      <c r="BG217" s="347"/>
      <c r="BH217" s="347"/>
      <c r="BI217" s="347"/>
      <c r="BJ217" s="586">
        <f t="shared" si="187"/>
        <v>0</v>
      </c>
      <c r="BK217" s="581">
        <f t="shared" si="15"/>
        <v>0</v>
      </c>
      <c r="BL217" s="347"/>
      <c r="BM217" s="347"/>
      <c r="BN217" s="347"/>
      <c r="BO217" s="586">
        <f t="shared" si="189"/>
        <v>0</v>
      </c>
      <c r="BP217" s="584">
        <f t="shared" si="17"/>
        <v>0</v>
      </c>
      <c r="BQ217" s="347"/>
      <c r="BR217" s="581">
        <f t="shared" si="153"/>
        <v>0</v>
      </c>
      <c r="BS217" s="588">
        <f t="shared" si="180"/>
        <v>0</v>
      </c>
      <c r="BT217" s="581">
        <f t="shared" si="20"/>
        <v>0</v>
      </c>
      <c r="BU217" s="589"/>
      <c r="BV217" s="581">
        <f t="shared" si="44"/>
        <v>0</v>
      </c>
      <c r="BW217" s="590"/>
      <c r="BX217" s="347"/>
      <c r="BY217" s="347"/>
      <c r="BZ217" s="347"/>
      <c r="CA217" s="586">
        <f t="shared" si="129"/>
        <v>0</v>
      </c>
      <c r="CB217" s="581">
        <f t="shared" si="160"/>
        <v>0</v>
      </c>
      <c r="CC217" s="581">
        <f t="shared" si="131"/>
        <v>0</v>
      </c>
      <c r="CD217" s="581">
        <f t="shared" si="132"/>
        <v>0</v>
      </c>
      <c r="CE217" s="581">
        <f t="shared" si="133"/>
        <v>0</v>
      </c>
      <c r="CF217" s="581">
        <f t="shared" si="134"/>
        <v>0</v>
      </c>
      <c r="CG217" s="581">
        <f t="shared" si="135"/>
        <v>0</v>
      </c>
      <c r="CH217" s="608" t="str">
        <f t="shared" si="136"/>
        <v>#DIV/0!</v>
      </c>
      <c r="CI217" s="603" t="str">
        <f t="shared" si="137"/>
        <v>#DIV/0!</v>
      </c>
      <c r="CJ217" s="347"/>
      <c r="CK217" s="347">
        <f t="shared" si="138"/>
        <v>0</v>
      </c>
      <c r="CL217" s="539">
        <f t="shared" si="139"/>
        <v>0</v>
      </c>
      <c r="CM217" s="347">
        <f t="shared" si="140"/>
        <v>0</v>
      </c>
      <c r="CN217" s="347">
        <f t="shared" si="141"/>
        <v>0</v>
      </c>
      <c r="CO217" s="347" t="str">
        <f t="shared" si="142"/>
        <v>1899-12-30</v>
      </c>
      <c r="CP217" s="347"/>
    </row>
    <row r="218">
      <c r="A218" s="574">
        <f t="shared" si="147"/>
        <v>300101</v>
      </c>
      <c r="B218" s="574" t="str">
        <f t="shared" si="1"/>
        <v>Batch 300101</v>
      </c>
      <c r="C218" s="347"/>
      <c r="D218" s="574" t="str">
        <f t="shared" si="190"/>
        <v>3-01</v>
      </c>
      <c r="E218" s="347"/>
      <c r="F218" s="596"/>
      <c r="G218" s="596"/>
      <c r="H218" s="347"/>
      <c r="I218" s="347"/>
      <c r="J218" s="596"/>
      <c r="K218" s="609"/>
      <c r="L218" s="1"/>
      <c r="M218" s="347"/>
      <c r="N218" s="347"/>
      <c r="O218" s="579">
        <f t="shared" si="2"/>
        <v>0</v>
      </c>
      <c r="P218" s="579">
        <f t="shared" si="126"/>
        <v>0</v>
      </c>
      <c r="Q218" s="574"/>
      <c r="R218" s="347"/>
      <c r="S218" s="597"/>
      <c r="T218" s="347"/>
      <c r="U218" s="579">
        <f t="shared" si="48"/>
        <v>0</v>
      </c>
      <c r="V218" s="579">
        <f t="shared" si="49"/>
        <v>0</v>
      </c>
      <c r="W218" s="574" t="str">
        <f t="shared" si="179"/>
        <v/>
      </c>
      <c r="X218" s="347" t="str">
        <f t="shared" si="170"/>
        <v/>
      </c>
      <c r="Y218" s="347" t="str">
        <f t="shared" si="188"/>
        <v/>
      </c>
      <c r="Z218" s="347" t="str">
        <f t="shared" si="171"/>
        <v/>
      </c>
      <c r="AA218" s="579">
        <f t="shared" si="6"/>
        <v>0</v>
      </c>
      <c r="AB218" s="581">
        <f t="shared" si="105"/>
        <v>0</v>
      </c>
      <c r="AC218" s="347"/>
      <c r="AD218" s="347"/>
      <c r="AE218" s="347"/>
      <c r="AF218" s="347"/>
      <c r="AG218" s="579">
        <f t="shared" si="54"/>
        <v>0</v>
      </c>
      <c r="AH218" s="579">
        <f t="shared" si="175"/>
        <v>0</v>
      </c>
      <c r="AI218" s="582"/>
      <c r="AJ218" s="582"/>
      <c r="AK218" s="582"/>
      <c r="AL218" s="582"/>
      <c r="AM218" s="579"/>
      <c r="AN218" s="579"/>
      <c r="AO218" s="347"/>
      <c r="AP218" s="581">
        <f t="shared" si="164"/>
        <v>0</v>
      </c>
      <c r="AQ218" s="596"/>
      <c r="AR218" s="596"/>
      <c r="AS218" s="348"/>
      <c r="AT218" s="348"/>
      <c r="AU218" s="348"/>
      <c r="AV218" s="348"/>
      <c r="AW218" s="348"/>
      <c r="AX218" s="584">
        <f t="shared" si="165"/>
        <v>0</v>
      </c>
      <c r="AY218" s="581">
        <f t="shared" si="12"/>
        <v>0</v>
      </c>
      <c r="AZ218" s="581">
        <f t="shared" si="159"/>
        <v>0</v>
      </c>
      <c r="BA218" s="596"/>
      <c r="BB218" s="596"/>
      <c r="BC218" s="348"/>
      <c r="BD218" s="581" t="str">
        <f t="shared" si="99"/>
        <v/>
      </c>
      <c r="BE218" s="581">
        <f t="shared" si="37"/>
        <v>0</v>
      </c>
      <c r="BF218" s="347"/>
      <c r="BG218" s="347"/>
      <c r="BH218" s="347"/>
      <c r="BI218" s="347"/>
      <c r="BJ218" s="586">
        <f t="shared" si="187"/>
        <v>0</v>
      </c>
      <c r="BK218" s="581">
        <f t="shared" si="15"/>
        <v>0</v>
      </c>
      <c r="BL218" s="347"/>
      <c r="BM218" s="347"/>
      <c r="BN218" s="347"/>
      <c r="BO218" s="586">
        <f t="shared" si="189"/>
        <v>0</v>
      </c>
      <c r="BP218" s="584">
        <f t="shared" si="17"/>
        <v>0</v>
      </c>
      <c r="BQ218" s="347"/>
      <c r="BR218" s="581">
        <f t="shared" si="153"/>
        <v>0</v>
      </c>
      <c r="BS218" s="588">
        <f t="shared" si="180"/>
        <v>0</v>
      </c>
      <c r="BT218" s="581">
        <f t="shared" si="20"/>
        <v>0</v>
      </c>
      <c r="BU218" s="589"/>
      <c r="BV218" s="581">
        <f t="shared" si="44"/>
        <v>0</v>
      </c>
      <c r="BW218" s="590"/>
      <c r="BX218" s="347"/>
      <c r="BY218" s="347"/>
      <c r="BZ218" s="347"/>
      <c r="CA218" s="586">
        <f t="shared" si="129"/>
        <v>0</v>
      </c>
      <c r="CB218" s="581">
        <f t="shared" si="160"/>
        <v>0</v>
      </c>
      <c r="CC218" s="581">
        <f t="shared" si="131"/>
        <v>0</v>
      </c>
      <c r="CD218" s="581">
        <f t="shared" si="132"/>
        <v>0</v>
      </c>
      <c r="CE218" s="581">
        <f t="shared" si="133"/>
        <v>0</v>
      </c>
      <c r="CF218" s="581">
        <f t="shared" si="134"/>
        <v>0</v>
      </c>
      <c r="CG218" s="581">
        <f t="shared" si="135"/>
        <v>0</v>
      </c>
      <c r="CH218" s="608" t="str">
        <f t="shared" si="136"/>
        <v>#DIV/0!</v>
      </c>
      <c r="CI218" s="603" t="str">
        <f t="shared" si="137"/>
        <v>#DIV/0!</v>
      </c>
      <c r="CJ218" s="347"/>
      <c r="CK218" s="347">
        <f t="shared" si="138"/>
        <v>0</v>
      </c>
      <c r="CL218" s="539">
        <f t="shared" si="139"/>
        <v>0</v>
      </c>
      <c r="CM218" s="347">
        <f t="shared" si="140"/>
        <v>0</v>
      </c>
      <c r="CN218" s="347">
        <f t="shared" si="141"/>
        <v>0</v>
      </c>
      <c r="CO218" s="347" t="str">
        <f t="shared" si="142"/>
        <v>1899-12-30</v>
      </c>
      <c r="CP218" s="347"/>
    </row>
    <row r="219">
      <c r="A219" s="574">
        <f t="shared" si="147"/>
        <v>200169</v>
      </c>
      <c r="B219" s="574" t="str">
        <f t="shared" si="1"/>
        <v>Batch 200169</v>
      </c>
      <c r="C219" s="347"/>
      <c r="D219" s="574" t="str">
        <f t="shared" si="190"/>
        <v>2-69</v>
      </c>
      <c r="E219" s="347"/>
      <c r="F219" s="596"/>
      <c r="G219" s="596"/>
      <c r="H219" s="347"/>
      <c r="I219" s="347"/>
      <c r="J219" s="596"/>
      <c r="K219" s="609"/>
      <c r="L219" s="1"/>
      <c r="M219" s="347"/>
      <c r="N219" s="347"/>
      <c r="O219" s="579">
        <f t="shared" si="2"/>
        <v>0</v>
      </c>
      <c r="P219" s="579">
        <f t="shared" si="126"/>
        <v>0</v>
      </c>
      <c r="Q219" s="574"/>
      <c r="R219" s="347"/>
      <c r="S219" s="597"/>
      <c r="T219" s="347"/>
      <c r="U219" s="579">
        <f t="shared" si="48"/>
        <v>0</v>
      </c>
      <c r="V219" s="579">
        <f t="shared" si="49"/>
        <v>0</v>
      </c>
      <c r="W219" s="574" t="str">
        <f t="shared" si="179"/>
        <v/>
      </c>
      <c r="X219" s="347" t="str">
        <f t="shared" si="170"/>
        <v/>
      </c>
      <c r="Y219" s="347" t="str">
        <f t="shared" si="188"/>
        <v/>
      </c>
      <c r="Z219" s="347" t="str">
        <f t="shared" si="171"/>
        <v/>
      </c>
      <c r="AA219" s="579">
        <f t="shared" si="6"/>
        <v>0</v>
      </c>
      <c r="AB219" s="581">
        <f t="shared" si="105"/>
        <v>0</v>
      </c>
      <c r="AC219" s="347"/>
      <c r="AD219" s="347"/>
      <c r="AE219" s="347"/>
      <c r="AF219" s="347"/>
      <c r="AG219" s="579">
        <f t="shared" si="54"/>
        <v>0</v>
      </c>
      <c r="AH219" s="579">
        <f t="shared" si="175"/>
        <v>0</v>
      </c>
      <c r="AI219" s="582"/>
      <c r="AJ219" s="582"/>
      <c r="AK219" s="582"/>
      <c r="AL219" s="582"/>
      <c r="AM219" s="579"/>
      <c r="AN219" s="579"/>
      <c r="AO219" s="347"/>
      <c r="AP219" s="581">
        <f t="shared" si="164"/>
        <v>0</v>
      </c>
      <c r="AQ219" s="596"/>
      <c r="AR219" s="596"/>
      <c r="AS219" s="348"/>
      <c r="AT219" s="348"/>
      <c r="AU219" s="348"/>
      <c r="AV219" s="348"/>
      <c r="AW219" s="348"/>
      <c r="AX219" s="584">
        <f t="shared" si="165"/>
        <v>0</v>
      </c>
      <c r="AY219" s="581">
        <f t="shared" si="12"/>
        <v>0</v>
      </c>
      <c r="AZ219" s="581">
        <f t="shared" si="159"/>
        <v>0</v>
      </c>
      <c r="BA219" s="596"/>
      <c r="BB219" s="596"/>
      <c r="BC219" s="348"/>
      <c r="BD219" s="581" t="str">
        <f t="shared" si="99"/>
        <v/>
      </c>
      <c r="BE219" s="581">
        <f t="shared" si="37"/>
        <v>0</v>
      </c>
      <c r="BF219" s="347"/>
      <c r="BG219" s="347"/>
      <c r="BH219" s="347"/>
      <c r="BI219" s="347"/>
      <c r="BJ219" s="586">
        <f t="shared" si="187"/>
        <v>0</v>
      </c>
      <c r="BK219" s="581">
        <f t="shared" si="15"/>
        <v>0</v>
      </c>
      <c r="BL219" s="347"/>
      <c r="BM219" s="347"/>
      <c r="BN219" s="347"/>
      <c r="BO219" s="586">
        <f t="shared" si="189"/>
        <v>0</v>
      </c>
      <c r="BP219" s="584">
        <f t="shared" si="17"/>
        <v>0</v>
      </c>
      <c r="BQ219" s="347"/>
      <c r="BR219" s="581">
        <f t="shared" si="153"/>
        <v>0</v>
      </c>
      <c r="BS219" s="588">
        <f t="shared" si="180"/>
        <v>0</v>
      </c>
      <c r="BT219" s="581">
        <f t="shared" si="20"/>
        <v>0</v>
      </c>
      <c r="BU219" s="589"/>
      <c r="BV219" s="581">
        <f t="shared" si="44"/>
        <v>0</v>
      </c>
      <c r="BW219" s="590"/>
      <c r="BX219" s="347"/>
      <c r="BY219" s="347"/>
      <c r="BZ219" s="347"/>
      <c r="CA219" s="586">
        <f t="shared" si="129"/>
        <v>0</v>
      </c>
      <c r="CB219" s="581">
        <f t="shared" si="160"/>
        <v>0</v>
      </c>
      <c r="CC219" s="581">
        <f t="shared" si="131"/>
        <v>0</v>
      </c>
      <c r="CD219" s="581">
        <f t="shared" si="132"/>
        <v>0</v>
      </c>
      <c r="CE219" s="581">
        <f t="shared" si="133"/>
        <v>0</v>
      </c>
      <c r="CF219" s="581">
        <f t="shared" si="134"/>
        <v>0</v>
      </c>
      <c r="CG219" s="581">
        <f t="shared" si="135"/>
        <v>0</v>
      </c>
      <c r="CH219" s="608" t="str">
        <f t="shared" si="136"/>
        <v>#DIV/0!</v>
      </c>
      <c r="CI219" s="603" t="str">
        <f t="shared" si="137"/>
        <v>#DIV/0!</v>
      </c>
      <c r="CJ219" s="347"/>
      <c r="CK219" s="347">
        <f t="shared" si="138"/>
        <v>0</v>
      </c>
      <c r="CL219" s="539">
        <f t="shared" si="139"/>
        <v>0</v>
      </c>
      <c r="CM219" s="347">
        <f t="shared" si="140"/>
        <v>0</v>
      </c>
      <c r="CN219" s="347">
        <f t="shared" si="141"/>
        <v>0</v>
      </c>
      <c r="CO219" s="347" t="str">
        <f t="shared" si="142"/>
        <v>1899-12-30</v>
      </c>
      <c r="CP219" s="347"/>
    </row>
    <row r="220">
      <c r="A220" s="574">
        <f t="shared" si="147"/>
        <v>300102</v>
      </c>
      <c r="B220" s="574" t="str">
        <f t="shared" si="1"/>
        <v>Batch 300102</v>
      </c>
      <c r="C220" s="347"/>
      <c r="D220" s="574" t="str">
        <f t="shared" si="190"/>
        <v>3-02</v>
      </c>
      <c r="E220" s="347"/>
      <c r="F220" s="596"/>
      <c r="G220" s="596"/>
      <c r="H220" s="347"/>
      <c r="I220" s="347"/>
      <c r="J220" s="596"/>
      <c r="K220" s="609"/>
      <c r="L220" s="1"/>
      <c r="M220" s="347"/>
      <c r="N220" s="347"/>
      <c r="O220" s="579">
        <f t="shared" si="2"/>
        <v>0</v>
      </c>
      <c r="P220" s="579">
        <f t="shared" si="126"/>
        <v>0</v>
      </c>
      <c r="Q220" s="574"/>
      <c r="R220" s="347"/>
      <c r="S220" s="597"/>
      <c r="T220" s="347"/>
      <c r="U220" s="579">
        <f t="shared" si="48"/>
        <v>0</v>
      </c>
      <c r="V220" s="579">
        <f t="shared" si="49"/>
        <v>0</v>
      </c>
      <c r="W220" s="574" t="str">
        <f t="shared" si="179"/>
        <v/>
      </c>
      <c r="X220" s="347" t="str">
        <f t="shared" si="170"/>
        <v/>
      </c>
      <c r="Y220" s="347" t="str">
        <f t="shared" si="188"/>
        <v/>
      </c>
      <c r="Z220" s="347" t="str">
        <f t="shared" si="171"/>
        <v/>
      </c>
      <c r="AA220" s="579">
        <f t="shared" si="6"/>
        <v>0</v>
      </c>
      <c r="AB220" s="581">
        <f t="shared" si="105"/>
        <v>0</v>
      </c>
      <c r="AC220" s="347"/>
      <c r="AD220" s="347"/>
      <c r="AE220" s="347"/>
      <c r="AF220" s="347"/>
      <c r="AG220" s="579">
        <f t="shared" si="54"/>
        <v>0</v>
      </c>
      <c r="AH220" s="579">
        <f t="shared" si="175"/>
        <v>0</v>
      </c>
      <c r="AI220" s="582"/>
      <c r="AJ220" s="582"/>
      <c r="AK220" s="582"/>
      <c r="AL220" s="582"/>
      <c r="AM220" s="579"/>
      <c r="AN220" s="579"/>
      <c r="AO220" s="347"/>
      <c r="AP220" s="581">
        <f t="shared" si="164"/>
        <v>0</v>
      </c>
      <c r="AQ220" s="596"/>
      <c r="AR220" s="596"/>
      <c r="AS220" s="348"/>
      <c r="AT220" s="348"/>
      <c r="AU220" s="348"/>
      <c r="AV220" s="348"/>
      <c r="AW220" s="348"/>
      <c r="AX220" s="584">
        <f t="shared" si="165"/>
        <v>0</v>
      </c>
      <c r="AY220" s="581">
        <f t="shared" si="12"/>
        <v>0</v>
      </c>
      <c r="AZ220" s="581">
        <f t="shared" si="159"/>
        <v>0</v>
      </c>
      <c r="BA220" s="596"/>
      <c r="BB220" s="596"/>
      <c r="BC220" s="348"/>
      <c r="BD220" s="581" t="str">
        <f t="shared" si="99"/>
        <v/>
      </c>
      <c r="BE220" s="581">
        <f t="shared" si="37"/>
        <v>0</v>
      </c>
      <c r="BF220" s="347"/>
      <c r="BG220" s="347"/>
      <c r="BH220" s="347"/>
      <c r="BI220" s="347"/>
      <c r="BJ220" s="586">
        <f t="shared" si="187"/>
        <v>0</v>
      </c>
      <c r="BK220" s="581">
        <f t="shared" si="15"/>
        <v>0</v>
      </c>
      <c r="BL220" s="347"/>
      <c r="BM220" s="347"/>
      <c r="BN220" s="347"/>
      <c r="BO220" s="586">
        <f t="shared" si="189"/>
        <v>0</v>
      </c>
      <c r="BP220" s="584">
        <f t="shared" si="17"/>
        <v>0</v>
      </c>
      <c r="BQ220" s="347"/>
      <c r="BR220" s="581">
        <f t="shared" si="153"/>
        <v>0</v>
      </c>
      <c r="BS220" s="588">
        <f t="shared" si="180"/>
        <v>0</v>
      </c>
      <c r="BT220" s="581">
        <f t="shared" si="20"/>
        <v>0</v>
      </c>
      <c r="BU220" s="589"/>
      <c r="BV220" s="581">
        <f t="shared" si="44"/>
        <v>0</v>
      </c>
      <c r="BW220" s="590"/>
      <c r="BX220" s="347"/>
      <c r="BY220" s="347"/>
      <c r="BZ220" s="347"/>
      <c r="CA220" s="586">
        <f t="shared" si="129"/>
        <v>0</v>
      </c>
      <c r="CB220" s="581">
        <f t="shared" si="160"/>
        <v>0</v>
      </c>
      <c r="CC220" s="581">
        <f t="shared" si="131"/>
        <v>0</v>
      </c>
      <c r="CD220" s="581">
        <f t="shared" si="132"/>
        <v>0</v>
      </c>
      <c r="CE220" s="581">
        <f t="shared" si="133"/>
        <v>0</v>
      </c>
      <c r="CF220" s="581">
        <f t="shared" si="134"/>
        <v>0</v>
      </c>
      <c r="CG220" s="581">
        <f t="shared" si="135"/>
        <v>0</v>
      </c>
      <c r="CH220" s="608" t="str">
        <f t="shared" si="136"/>
        <v>#DIV/0!</v>
      </c>
      <c r="CI220" s="603" t="str">
        <f t="shared" si="137"/>
        <v>#DIV/0!</v>
      </c>
      <c r="CJ220" s="347"/>
      <c r="CK220" s="347">
        <f t="shared" si="138"/>
        <v>0</v>
      </c>
      <c r="CL220" s="539">
        <f t="shared" si="139"/>
        <v>0</v>
      </c>
      <c r="CM220" s="347">
        <f t="shared" si="140"/>
        <v>0</v>
      </c>
      <c r="CN220" s="347">
        <f t="shared" si="141"/>
        <v>0</v>
      </c>
      <c r="CO220" s="347" t="str">
        <f t="shared" si="142"/>
        <v>1899-12-30</v>
      </c>
      <c r="CP220" s="347"/>
    </row>
    <row r="221">
      <c r="A221" s="574">
        <f t="shared" si="147"/>
        <v>200170</v>
      </c>
      <c r="B221" s="574" t="str">
        <f t="shared" si="1"/>
        <v>Batch 200170</v>
      </c>
      <c r="C221" s="347"/>
      <c r="D221" s="574" t="str">
        <f t="shared" si="190"/>
        <v>2-70</v>
      </c>
      <c r="E221" s="347"/>
      <c r="F221" s="596"/>
      <c r="G221" s="596"/>
      <c r="H221" s="347"/>
      <c r="I221" s="347"/>
      <c r="J221" s="596"/>
      <c r="K221" s="609"/>
      <c r="L221" s="1"/>
      <c r="M221" s="347"/>
      <c r="N221" s="347"/>
      <c r="O221" s="579">
        <f t="shared" si="2"/>
        <v>0</v>
      </c>
      <c r="P221" s="579">
        <f t="shared" si="126"/>
        <v>0</v>
      </c>
      <c r="Q221" s="574"/>
      <c r="R221" s="347"/>
      <c r="S221" s="597"/>
      <c r="T221" s="347"/>
      <c r="U221" s="579">
        <f t="shared" si="48"/>
        <v>0</v>
      </c>
      <c r="V221" s="579">
        <f t="shared" si="49"/>
        <v>0</v>
      </c>
      <c r="W221" s="574" t="str">
        <f t="shared" si="179"/>
        <v/>
      </c>
      <c r="X221" s="347" t="str">
        <f t="shared" si="170"/>
        <v/>
      </c>
      <c r="Y221" s="347" t="str">
        <f t="shared" si="188"/>
        <v/>
      </c>
      <c r="Z221" s="347" t="str">
        <f t="shared" si="171"/>
        <v/>
      </c>
      <c r="AA221" s="579">
        <f t="shared" si="6"/>
        <v>0</v>
      </c>
      <c r="AB221" s="581">
        <f t="shared" si="105"/>
        <v>0</v>
      </c>
      <c r="AC221" s="347"/>
      <c r="AD221" s="347"/>
      <c r="AE221" s="347"/>
      <c r="AF221" s="347"/>
      <c r="AG221" s="579">
        <f t="shared" si="54"/>
        <v>0</v>
      </c>
      <c r="AH221" s="579">
        <f t="shared" si="175"/>
        <v>0</v>
      </c>
      <c r="AI221" s="582"/>
      <c r="AJ221" s="582"/>
      <c r="AK221" s="582"/>
      <c r="AL221" s="582"/>
      <c r="AM221" s="579"/>
      <c r="AN221" s="579"/>
      <c r="AO221" s="347"/>
      <c r="AP221" s="581">
        <f t="shared" si="164"/>
        <v>0</v>
      </c>
      <c r="AQ221" s="596"/>
      <c r="AR221" s="596"/>
      <c r="AS221" s="348"/>
      <c r="AT221" s="348"/>
      <c r="AU221" s="348"/>
      <c r="AV221" s="348"/>
      <c r="AW221" s="348"/>
      <c r="AX221" s="584">
        <f t="shared" si="165"/>
        <v>0</v>
      </c>
      <c r="AY221" s="581">
        <f t="shared" si="12"/>
        <v>0</v>
      </c>
      <c r="AZ221" s="581">
        <f t="shared" si="159"/>
        <v>0</v>
      </c>
      <c r="BA221" s="596"/>
      <c r="BB221" s="596"/>
      <c r="BC221" s="348"/>
      <c r="BD221" s="581" t="str">
        <f t="shared" si="99"/>
        <v/>
      </c>
      <c r="BE221" s="581">
        <f t="shared" si="37"/>
        <v>0</v>
      </c>
      <c r="BF221" s="347"/>
      <c r="BG221" s="347"/>
      <c r="BH221" s="347"/>
      <c r="BI221" s="347"/>
      <c r="BJ221" s="586">
        <f t="shared" si="187"/>
        <v>0</v>
      </c>
      <c r="BK221" s="581">
        <f t="shared" si="15"/>
        <v>0</v>
      </c>
      <c r="BL221" s="347"/>
      <c r="BM221" s="347"/>
      <c r="BN221" s="347"/>
      <c r="BO221" s="586">
        <f t="shared" si="189"/>
        <v>0</v>
      </c>
      <c r="BP221" s="584">
        <f t="shared" si="17"/>
        <v>0</v>
      </c>
      <c r="BQ221" s="347"/>
      <c r="BR221" s="581">
        <f t="shared" si="153"/>
        <v>0</v>
      </c>
      <c r="BS221" s="588">
        <f t="shared" si="180"/>
        <v>0</v>
      </c>
      <c r="BT221" s="581">
        <f t="shared" si="20"/>
        <v>0</v>
      </c>
      <c r="BU221" s="589"/>
      <c r="BV221" s="581">
        <f t="shared" si="44"/>
        <v>0</v>
      </c>
      <c r="BW221" s="590"/>
      <c r="BX221" s="347"/>
      <c r="BY221" s="347"/>
      <c r="BZ221" s="347"/>
      <c r="CA221" s="586">
        <f t="shared" si="129"/>
        <v>0</v>
      </c>
      <c r="CB221" s="581">
        <f t="shared" si="160"/>
        <v>0</v>
      </c>
      <c r="CC221" s="581">
        <f t="shared" si="131"/>
        <v>0</v>
      </c>
      <c r="CD221" s="581">
        <f t="shared" si="132"/>
        <v>0</v>
      </c>
      <c r="CE221" s="581">
        <f t="shared" si="133"/>
        <v>0</v>
      </c>
      <c r="CF221" s="581">
        <f t="shared" si="134"/>
        <v>0</v>
      </c>
      <c r="CG221" s="581">
        <f t="shared" si="135"/>
        <v>0</v>
      </c>
      <c r="CH221" s="608" t="str">
        <f t="shared" si="136"/>
        <v>#DIV/0!</v>
      </c>
      <c r="CI221" s="603" t="str">
        <f t="shared" si="137"/>
        <v>#DIV/0!</v>
      </c>
      <c r="CJ221" s="347"/>
      <c r="CK221" s="347">
        <f t="shared" si="138"/>
        <v>0</v>
      </c>
      <c r="CL221" s="539">
        <f t="shared" si="139"/>
        <v>0</v>
      </c>
      <c r="CM221" s="347">
        <f t="shared" si="140"/>
        <v>0</v>
      </c>
      <c r="CN221" s="347">
        <f t="shared" si="141"/>
        <v>0</v>
      </c>
      <c r="CO221" s="347" t="str">
        <f t="shared" si="142"/>
        <v>1899-12-30</v>
      </c>
      <c r="CP221" s="347"/>
    </row>
    <row r="222">
      <c r="A222" s="574">
        <f t="shared" si="147"/>
        <v>300103</v>
      </c>
      <c r="B222" s="574" t="str">
        <f t="shared" si="1"/>
        <v>Batch 300103</v>
      </c>
      <c r="C222" s="347"/>
      <c r="D222" s="574" t="str">
        <f t="shared" si="190"/>
        <v>3-03</v>
      </c>
      <c r="E222" s="347"/>
      <c r="F222" s="596"/>
      <c r="G222" s="596"/>
      <c r="H222" s="347"/>
      <c r="I222" s="347"/>
      <c r="J222" s="596"/>
      <c r="K222" s="609"/>
      <c r="L222" s="1"/>
      <c r="M222" s="347"/>
      <c r="N222" s="347"/>
      <c r="O222" s="579">
        <f t="shared" si="2"/>
        <v>0</v>
      </c>
      <c r="P222" s="579">
        <f t="shared" si="126"/>
        <v>0</v>
      </c>
      <c r="Q222" s="574"/>
      <c r="R222" s="347"/>
      <c r="S222" s="597"/>
      <c r="T222" s="347"/>
      <c r="U222" s="579">
        <f t="shared" si="48"/>
        <v>0</v>
      </c>
      <c r="V222" s="579">
        <f t="shared" si="49"/>
        <v>0</v>
      </c>
      <c r="W222" s="574" t="str">
        <f t="shared" si="179"/>
        <v/>
      </c>
      <c r="X222" s="347" t="str">
        <f t="shared" si="170"/>
        <v/>
      </c>
      <c r="Y222" s="347" t="str">
        <f t="shared" si="188"/>
        <v/>
      </c>
      <c r="Z222" s="347" t="str">
        <f t="shared" si="171"/>
        <v/>
      </c>
      <c r="AA222" s="579">
        <f t="shared" si="6"/>
        <v>0</v>
      </c>
      <c r="AB222" s="581">
        <f t="shared" si="105"/>
        <v>0</v>
      </c>
      <c r="AC222" s="347"/>
      <c r="AD222" s="347"/>
      <c r="AE222" s="347"/>
      <c r="AF222" s="347"/>
      <c r="AG222" s="579">
        <f t="shared" si="54"/>
        <v>0</v>
      </c>
      <c r="AH222" s="579">
        <f t="shared" si="175"/>
        <v>0</v>
      </c>
      <c r="AI222" s="582"/>
      <c r="AJ222" s="582"/>
      <c r="AK222" s="582"/>
      <c r="AL222" s="582"/>
      <c r="AM222" s="579"/>
      <c r="AN222" s="579"/>
      <c r="AO222" s="347"/>
      <c r="AP222" s="581">
        <f t="shared" si="164"/>
        <v>0</v>
      </c>
      <c r="AQ222" s="596"/>
      <c r="AR222" s="596"/>
      <c r="AS222" s="348"/>
      <c r="AT222" s="348"/>
      <c r="AU222" s="348"/>
      <c r="AV222" s="348"/>
      <c r="AW222" s="348"/>
      <c r="AX222" s="584">
        <f t="shared" si="165"/>
        <v>0</v>
      </c>
      <c r="AY222" s="581">
        <f t="shared" si="12"/>
        <v>0</v>
      </c>
      <c r="AZ222" s="581">
        <f t="shared" si="159"/>
        <v>0</v>
      </c>
      <c r="BA222" s="596"/>
      <c r="BB222" s="596"/>
      <c r="BC222" s="348"/>
      <c r="BD222" s="581" t="str">
        <f t="shared" si="99"/>
        <v/>
      </c>
      <c r="BE222" s="581">
        <f t="shared" si="37"/>
        <v>0</v>
      </c>
      <c r="BF222" s="347"/>
      <c r="BG222" s="347"/>
      <c r="BH222" s="347"/>
      <c r="BI222" s="347"/>
      <c r="BJ222" s="586">
        <f t="shared" si="187"/>
        <v>0</v>
      </c>
      <c r="BK222" s="581">
        <f t="shared" si="15"/>
        <v>0</v>
      </c>
      <c r="BL222" s="347"/>
      <c r="BM222" s="347"/>
      <c r="BN222" s="347"/>
      <c r="BO222" s="586">
        <f t="shared" si="189"/>
        <v>0</v>
      </c>
      <c r="BP222" s="584">
        <f t="shared" si="17"/>
        <v>0</v>
      </c>
      <c r="BQ222" s="347"/>
      <c r="BR222" s="581">
        <f t="shared" si="153"/>
        <v>0</v>
      </c>
      <c r="BS222" s="588">
        <f t="shared" si="180"/>
        <v>0</v>
      </c>
      <c r="BT222" s="581">
        <f t="shared" si="20"/>
        <v>0</v>
      </c>
      <c r="BU222" s="589"/>
      <c r="BV222" s="581">
        <f t="shared" si="44"/>
        <v>0</v>
      </c>
      <c r="BW222" s="590"/>
      <c r="BX222" s="347"/>
      <c r="BY222" s="347"/>
      <c r="BZ222" s="347"/>
      <c r="CA222" s="586">
        <f t="shared" si="129"/>
        <v>0</v>
      </c>
      <c r="CB222" s="581">
        <f t="shared" si="160"/>
        <v>0</v>
      </c>
      <c r="CC222" s="581">
        <f t="shared" si="131"/>
        <v>0</v>
      </c>
      <c r="CD222" s="581">
        <f t="shared" si="132"/>
        <v>0</v>
      </c>
      <c r="CE222" s="581">
        <f t="shared" si="133"/>
        <v>0</v>
      </c>
      <c r="CF222" s="581">
        <f t="shared" si="134"/>
        <v>0</v>
      </c>
      <c r="CG222" s="581">
        <f t="shared" si="135"/>
        <v>0</v>
      </c>
      <c r="CH222" s="608" t="str">
        <f t="shared" si="136"/>
        <v>#DIV/0!</v>
      </c>
      <c r="CI222" s="603" t="str">
        <f t="shared" si="137"/>
        <v>#DIV/0!</v>
      </c>
      <c r="CJ222" s="347"/>
      <c r="CK222" s="347">
        <f t="shared" si="138"/>
        <v>0</v>
      </c>
      <c r="CL222" s="539">
        <f t="shared" si="139"/>
        <v>0</v>
      </c>
      <c r="CM222" s="347">
        <f t="shared" si="140"/>
        <v>0</v>
      </c>
      <c r="CN222" s="347">
        <f t="shared" si="141"/>
        <v>0</v>
      </c>
      <c r="CO222" s="347" t="str">
        <f t="shared" si="142"/>
        <v>1899-12-30</v>
      </c>
      <c r="CP222" s="347"/>
    </row>
    <row r="223">
      <c r="A223" s="574">
        <f t="shared" si="147"/>
        <v>200171</v>
      </c>
      <c r="B223" s="574" t="str">
        <f t="shared" si="1"/>
        <v>Batch 200171</v>
      </c>
      <c r="C223" s="347"/>
      <c r="D223" s="574" t="str">
        <f t="shared" si="190"/>
        <v>2-71</v>
      </c>
      <c r="E223" s="347"/>
      <c r="F223" s="596"/>
      <c r="G223" s="596"/>
      <c r="H223" s="347"/>
      <c r="I223" s="347"/>
      <c r="J223" s="596"/>
      <c r="K223" s="609"/>
      <c r="L223" s="1"/>
      <c r="M223" s="347"/>
      <c r="N223" s="347"/>
      <c r="O223" s="579">
        <f t="shared" si="2"/>
        <v>0</v>
      </c>
      <c r="P223" s="579">
        <f t="shared" si="126"/>
        <v>0</v>
      </c>
      <c r="Q223" s="574"/>
      <c r="R223" s="347"/>
      <c r="S223" s="597"/>
      <c r="T223" s="347"/>
      <c r="U223" s="579">
        <f t="shared" si="48"/>
        <v>0</v>
      </c>
      <c r="V223" s="579">
        <f t="shared" si="49"/>
        <v>0</v>
      </c>
      <c r="W223" s="574" t="str">
        <f t="shared" si="179"/>
        <v/>
      </c>
      <c r="X223" s="347" t="str">
        <f t="shared" si="170"/>
        <v/>
      </c>
      <c r="Y223" s="347" t="str">
        <f t="shared" si="188"/>
        <v/>
      </c>
      <c r="Z223" s="347" t="str">
        <f t="shared" si="171"/>
        <v/>
      </c>
      <c r="AA223" s="579">
        <f t="shared" si="6"/>
        <v>0</v>
      </c>
      <c r="AB223" s="581">
        <f t="shared" si="105"/>
        <v>0</v>
      </c>
      <c r="AC223" s="347"/>
      <c r="AD223" s="347"/>
      <c r="AE223" s="347"/>
      <c r="AF223" s="347"/>
      <c r="AG223" s="579">
        <f t="shared" si="54"/>
        <v>0</v>
      </c>
      <c r="AH223" s="579">
        <f t="shared" si="175"/>
        <v>0</v>
      </c>
      <c r="AI223" s="582"/>
      <c r="AJ223" s="582"/>
      <c r="AK223" s="582"/>
      <c r="AL223" s="582"/>
      <c r="AM223" s="579"/>
      <c r="AN223" s="579"/>
      <c r="AO223" s="347"/>
      <c r="AP223" s="581">
        <f t="shared" si="164"/>
        <v>0</v>
      </c>
      <c r="AQ223" s="596"/>
      <c r="AR223" s="596"/>
      <c r="AS223" s="348"/>
      <c r="AT223" s="348"/>
      <c r="AU223" s="348"/>
      <c r="AV223" s="348"/>
      <c r="AW223" s="348"/>
      <c r="AX223" s="584">
        <f t="shared" si="165"/>
        <v>0</v>
      </c>
      <c r="AY223" s="581">
        <f t="shared" si="12"/>
        <v>0</v>
      </c>
      <c r="AZ223" s="581">
        <f t="shared" si="159"/>
        <v>0</v>
      </c>
      <c r="BA223" s="596"/>
      <c r="BB223" s="596"/>
      <c r="BC223" s="348"/>
      <c r="BD223" s="581" t="str">
        <f t="shared" si="99"/>
        <v/>
      </c>
      <c r="BE223" s="581">
        <f t="shared" si="37"/>
        <v>0</v>
      </c>
      <c r="BF223" s="347"/>
      <c r="BG223" s="347"/>
      <c r="BH223" s="347"/>
      <c r="BI223" s="347"/>
      <c r="BJ223" s="586">
        <f t="shared" si="187"/>
        <v>0</v>
      </c>
      <c r="BK223" s="581">
        <f t="shared" si="15"/>
        <v>0</v>
      </c>
      <c r="BL223" s="347"/>
      <c r="BM223" s="347"/>
      <c r="BN223" s="347"/>
      <c r="BO223" s="586">
        <f t="shared" si="189"/>
        <v>0</v>
      </c>
      <c r="BP223" s="584">
        <f t="shared" si="17"/>
        <v>0</v>
      </c>
      <c r="BQ223" s="347"/>
      <c r="BR223" s="581">
        <f t="shared" si="153"/>
        <v>0</v>
      </c>
      <c r="BS223" s="588">
        <f t="shared" si="180"/>
        <v>0</v>
      </c>
      <c r="BT223" s="581">
        <f t="shared" si="20"/>
        <v>0</v>
      </c>
      <c r="BU223" s="589"/>
      <c r="BV223" s="581">
        <f t="shared" si="44"/>
        <v>0</v>
      </c>
      <c r="BW223" s="590"/>
      <c r="BX223" s="347"/>
      <c r="BY223" s="347"/>
      <c r="BZ223" s="347"/>
      <c r="CA223" s="586">
        <f t="shared" si="129"/>
        <v>0</v>
      </c>
      <c r="CB223" s="581">
        <f t="shared" si="160"/>
        <v>0</v>
      </c>
      <c r="CC223" s="581">
        <f t="shared" si="131"/>
        <v>0</v>
      </c>
      <c r="CD223" s="581">
        <f t="shared" si="132"/>
        <v>0</v>
      </c>
      <c r="CE223" s="581">
        <f t="shared" si="133"/>
        <v>0</v>
      </c>
      <c r="CF223" s="581">
        <f t="shared" si="134"/>
        <v>0</v>
      </c>
      <c r="CG223" s="581">
        <f t="shared" si="135"/>
        <v>0</v>
      </c>
      <c r="CH223" s="608" t="str">
        <f t="shared" si="136"/>
        <v>#DIV/0!</v>
      </c>
      <c r="CI223" s="603" t="str">
        <f t="shared" si="137"/>
        <v>#DIV/0!</v>
      </c>
      <c r="CJ223" s="347"/>
      <c r="CK223" s="347">
        <f t="shared" si="138"/>
        <v>0</v>
      </c>
      <c r="CL223" s="539">
        <f t="shared" si="139"/>
        <v>0</v>
      </c>
      <c r="CM223" s="347">
        <f t="shared" si="140"/>
        <v>0</v>
      </c>
      <c r="CN223" s="347">
        <f t="shared" si="141"/>
        <v>0</v>
      </c>
      <c r="CO223" s="347" t="str">
        <f t="shared" si="142"/>
        <v>1899-12-30</v>
      </c>
      <c r="CP223" s="347"/>
    </row>
    <row r="224">
      <c r="A224" s="574">
        <f t="shared" si="147"/>
        <v>300104</v>
      </c>
      <c r="B224" s="574" t="str">
        <f t="shared" si="1"/>
        <v>Batch 300104</v>
      </c>
      <c r="C224" s="347"/>
      <c r="D224" s="574" t="str">
        <f t="shared" si="190"/>
        <v>3-04</v>
      </c>
      <c r="E224" s="347"/>
      <c r="F224" s="596"/>
      <c r="G224" s="596"/>
      <c r="H224" s="347"/>
      <c r="I224" s="347"/>
      <c r="J224" s="596"/>
      <c r="K224" s="609"/>
      <c r="L224" s="1"/>
      <c r="M224" s="347"/>
      <c r="N224" s="347"/>
      <c r="O224" s="579">
        <f t="shared" si="2"/>
        <v>0</v>
      </c>
      <c r="P224" s="579">
        <f t="shared" si="126"/>
        <v>0</v>
      </c>
      <c r="Q224" s="574"/>
      <c r="R224" s="347"/>
      <c r="S224" s="597"/>
      <c r="T224" s="347"/>
      <c r="U224" s="579">
        <f t="shared" si="48"/>
        <v>0</v>
      </c>
      <c r="V224" s="579">
        <f t="shared" si="49"/>
        <v>0</v>
      </c>
      <c r="W224" s="574" t="str">
        <f t="shared" si="179"/>
        <v/>
      </c>
      <c r="X224" s="347" t="str">
        <f t="shared" si="170"/>
        <v/>
      </c>
      <c r="Y224" s="347" t="str">
        <f t="shared" si="188"/>
        <v/>
      </c>
      <c r="Z224" s="347" t="str">
        <f t="shared" si="171"/>
        <v/>
      </c>
      <c r="AA224" s="579">
        <f t="shared" si="6"/>
        <v>0</v>
      </c>
      <c r="AB224" s="581">
        <f t="shared" si="105"/>
        <v>0</v>
      </c>
      <c r="AC224" s="347"/>
      <c r="AD224" s="347"/>
      <c r="AE224" s="347"/>
      <c r="AF224" s="347"/>
      <c r="AG224" s="579">
        <f t="shared" si="54"/>
        <v>0</v>
      </c>
      <c r="AH224" s="579">
        <f t="shared" si="175"/>
        <v>0</v>
      </c>
      <c r="AI224" s="582"/>
      <c r="AJ224" s="582"/>
      <c r="AK224" s="582"/>
      <c r="AL224" s="582"/>
      <c r="AM224" s="579"/>
      <c r="AN224" s="579"/>
      <c r="AO224" s="347"/>
      <c r="AP224" s="581">
        <f t="shared" si="164"/>
        <v>0</v>
      </c>
      <c r="AQ224" s="596"/>
      <c r="AR224" s="596"/>
      <c r="AS224" s="348"/>
      <c r="AT224" s="348"/>
      <c r="AU224" s="348"/>
      <c r="AV224" s="348"/>
      <c r="AW224" s="348"/>
      <c r="AX224" s="584">
        <f t="shared" si="165"/>
        <v>0</v>
      </c>
      <c r="AY224" s="581">
        <f t="shared" si="12"/>
        <v>0</v>
      </c>
      <c r="AZ224" s="581">
        <f t="shared" si="159"/>
        <v>0</v>
      </c>
      <c r="BA224" s="596"/>
      <c r="BB224" s="596"/>
      <c r="BC224" s="348"/>
      <c r="BD224" s="581" t="str">
        <f t="shared" si="99"/>
        <v/>
      </c>
      <c r="BE224" s="581">
        <f t="shared" si="37"/>
        <v>0</v>
      </c>
      <c r="BF224" s="347"/>
      <c r="BG224" s="347"/>
      <c r="BH224" s="347"/>
      <c r="BI224" s="347"/>
      <c r="BJ224" s="586">
        <f t="shared" si="187"/>
        <v>0</v>
      </c>
      <c r="BK224" s="581">
        <f t="shared" si="15"/>
        <v>0</v>
      </c>
      <c r="BL224" s="347"/>
      <c r="BM224" s="347"/>
      <c r="BN224" s="347"/>
      <c r="BO224" s="586">
        <f t="shared" si="189"/>
        <v>0</v>
      </c>
      <c r="BP224" s="584">
        <f t="shared" si="17"/>
        <v>0</v>
      </c>
      <c r="BQ224" s="347"/>
      <c r="BR224" s="581">
        <f t="shared" si="153"/>
        <v>0</v>
      </c>
      <c r="BS224" s="588">
        <f t="shared" si="180"/>
        <v>0</v>
      </c>
      <c r="BT224" s="581">
        <f t="shared" si="20"/>
        <v>0</v>
      </c>
      <c r="BU224" s="589"/>
      <c r="BV224" s="581">
        <f t="shared" si="44"/>
        <v>0</v>
      </c>
      <c r="BW224" s="590"/>
      <c r="BX224" s="347"/>
      <c r="BY224" s="347"/>
      <c r="BZ224" s="347"/>
      <c r="CA224" s="586">
        <f t="shared" si="129"/>
        <v>0</v>
      </c>
      <c r="CB224" s="581">
        <f t="shared" si="160"/>
        <v>0</v>
      </c>
      <c r="CC224" s="581">
        <f t="shared" si="131"/>
        <v>0</v>
      </c>
      <c r="CD224" s="581">
        <f t="shared" si="132"/>
        <v>0</v>
      </c>
      <c r="CE224" s="581">
        <f t="shared" si="133"/>
        <v>0</v>
      </c>
      <c r="CF224" s="581">
        <f t="shared" si="134"/>
        <v>0</v>
      </c>
      <c r="CG224" s="581">
        <f t="shared" si="135"/>
        <v>0</v>
      </c>
      <c r="CH224" s="608" t="str">
        <f t="shared" si="136"/>
        <v>#DIV/0!</v>
      </c>
      <c r="CI224" s="603" t="str">
        <f t="shared" si="137"/>
        <v>#DIV/0!</v>
      </c>
      <c r="CJ224" s="347"/>
      <c r="CK224" s="347">
        <f t="shared" si="138"/>
        <v>0</v>
      </c>
      <c r="CL224" s="539">
        <f t="shared" si="139"/>
        <v>0</v>
      </c>
      <c r="CM224" s="347">
        <f t="shared" si="140"/>
        <v>0</v>
      </c>
      <c r="CN224" s="347">
        <f t="shared" si="141"/>
        <v>0</v>
      </c>
      <c r="CO224" s="347" t="str">
        <f t="shared" si="142"/>
        <v>1899-12-30</v>
      </c>
      <c r="CP224" s="347"/>
    </row>
    <row r="225">
      <c r="A225" s="574">
        <f t="shared" si="147"/>
        <v>200172</v>
      </c>
      <c r="B225" s="574" t="str">
        <f t="shared" si="1"/>
        <v>Batch 200172</v>
      </c>
      <c r="C225" s="347"/>
      <c r="D225" s="574" t="str">
        <f t="shared" si="190"/>
        <v>2-72</v>
      </c>
      <c r="E225" s="347"/>
      <c r="F225" s="596"/>
      <c r="G225" s="596"/>
      <c r="H225" s="347"/>
      <c r="I225" s="347"/>
      <c r="J225" s="596"/>
      <c r="K225" s="609"/>
      <c r="L225" s="1"/>
      <c r="M225" s="347"/>
      <c r="N225" s="347"/>
      <c r="O225" s="579">
        <f t="shared" si="2"/>
        <v>0</v>
      </c>
      <c r="P225" s="579">
        <f t="shared" si="126"/>
        <v>0</v>
      </c>
      <c r="Q225" s="574"/>
      <c r="R225" s="347"/>
      <c r="S225" s="597"/>
      <c r="T225" s="347"/>
      <c r="U225" s="579">
        <f t="shared" si="48"/>
        <v>0</v>
      </c>
      <c r="V225" s="579">
        <f t="shared" si="49"/>
        <v>0</v>
      </c>
      <c r="W225" s="574" t="str">
        <f t="shared" si="179"/>
        <v/>
      </c>
      <c r="X225" s="347" t="str">
        <f t="shared" si="170"/>
        <v/>
      </c>
      <c r="Y225" s="347" t="str">
        <f t="shared" si="188"/>
        <v/>
      </c>
      <c r="Z225" s="347" t="str">
        <f t="shared" si="171"/>
        <v/>
      </c>
      <c r="AA225" s="579">
        <f t="shared" si="6"/>
        <v>0</v>
      </c>
      <c r="AB225" s="581">
        <f t="shared" si="105"/>
        <v>0</v>
      </c>
      <c r="AC225" s="347"/>
      <c r="AD225" s="347"/>
      <c r="AE225" s="347"/>
      <c r="AF225" s="347"/>
      <c r="AG225" s="579">
        <f t="shared" si="54"/>
        <v>0</v>
      </c>
      <c r="AH225" s="579">
        <f t="shared" si="175"/>
        <v>0</v>
      </c>
      <c r="AI225" s="582"/>
      <c r="AJ225" s="582"/>
      <c r="AK225" s="582"/>
      <c r="AL225" s="582"/>
      <c r="AM225" s="579"/>
      <c r="AN225" s="579"/>
      <c r="AO225" s="347"/>
      <c r="AP225" s="581">
        <f t="shared" si="164"/>
        <v>0</v>
      </c>
      <c r="AQ225" s="596"/>
      <c r="AR225" s="596"/>
      <c r="AS225" s="348"/>
      <c r="AT225" s="348"/>
      <c r="AU225" s="348"/>
      <c r="AV225" s="348"/>
      <c r="AW225" s="348"/>
      <c r="AX225" s="584">
        <f t="shared" si="165"/>
        <v>0</v>
      </c>
      <c r="AY225" s="581">
        <f t="shared" si="12"/>
        <v>0</v>
      </c>
      <c r="AZ225" s="581">
        <f t="shared" si="159"/>
        <v>0</v>
      </c>
      <c r="BA225" s="596"/>
      <c r="BB225" s="596"/>
      <c r="BC225" s="348"/>
      <c r="BD225" s="581" t="str">
        <f t="shared" si="99"/>
        <v/>
      </c>
      <c r="BE225" s="581">
        <f t="shared" si="37"/>
        <v>0</v>
      </c>
      <c r="BF225" s="347"/>
      <c r="BG225" s="347"/>
      <c r="BH225" s="347"/>
      <c r="BI225" s="347"/>
      <c r="BJ225" s="586">
        <f t="shared" si="187"/>
        <v>0</v>
      </c>
      <c r="BK225" s="581">
        <f t="shared" si="15"/>
        <v>0</v>
      </c>
      <c r="BL225" s="347"/>
      <c r="BM225" s="347"/>
      <c r="BN225" s="347"/>
      <c r="BO225" s="586">
        <f t="shared" si="189"/>
        <v>0</v>
      </c>
      <c r="BP225" s="584">
        <f t="shared" si="17"/>
        <v>0</v>
      </c>
      <c r="BQ225" s="347"/>
      <c r="BR225" s="581">
        <f t="shared" si="153"/>
        <v>0</v>
      </c>
      <c r="BS225" s="588">
        <f t="shared" si="180"/>
        <v>0</v>
      </c>
      <c r="BT225" s="581">
        <f t="shared" si="20"/>
        <v>0</v>
      </c>
      <c r="BU225" s="589"/>
      <c r="BV225" s="581">
        <f t="shared" si="44"/>
        <v>0</v>
      </c>
      <c r="BW225" s="590"/>
      <c r="BX225" s="347"/>
      <c r="BY225" s="347"/>
      <c r="BZ225" s="347"/>
      <c r="CA225" s="586">
        <f t="shared" si="129"/>
        <v>0</v>
      </c>
      <c r="CB225" s="581">
        <f t="shared" si="160"/>
        <v>0</v>
      </c>
      <c r="CC225" s="581">
        <f t="shared" si="131"/>
        <v>0</v>
      </c>
      <c r="CD225" s="581">
        <f t="shared" si="132"/>
        <v>0</v>
      </c>
      <c r="CE225" s="581">
        <f t="shared" si="133"/>
        <v>0</v>
      </c>
      <c r="CF225" s="581">
        <f t="shared" si="134"/>
        <v>0</v>
      </c>
      <c r="CG225" s="581">
        <f t="shared" si="135"/>
        <v>0</v>
      </c>
      <c r="CH225" s="608" t="str">
        <f t="shared" si="136"/>
        <v>#DIV/0!</v>
      </c>
      <c r="CI225" s="603" t="str">
        <f t="shared" si="137"/>
        <v>#DIV/0!</v>
      </c>
      <c r="CJ225" s="347"/>
      <c r="CK225" s="347">
        <f t="shared" si="138"/>
        <v>0</v>
      </c>
      <c r="CL225" s="539">
        <f t="shared" si="139"/>
        <v>0</v>
      </c>
      <c r="CM225" s="347">
        <f t="shared" si="140"/>
        <v>0</v>
      </c>
      <c r="CN225" s="347">
        <f t="shared" si="141"/>
        <v>0</v>
      </c>
      <c r="CO225" s="347" t="str">
        <f t="shared" si="142"/>
        <v>1899-12-30</v>
      </c>
      <c r="CP225" s="347"/>
    </row>
    <row r="226">
      <c r="A226" s="574">
        <f t="shared" si="147"/>
        <v>300105</v>
      </c>
      <c r="B226" s="574" t="str">
        <f t="shared" si="1"/>
        <v>Batch 300105</v>
      </c>
      <c r="C226" s="347"/>
      <c r="D226" s="574" t="str">
        <f t="shared" si="190"/>
        <v>3-05</v>
      </c>
      <c r="E226" s="347"/>
      <c r="F226" s="596"/>
      <c r="G226" s="596"/>
      <c r="H226" s="347"/>
      <c r="I226" s="347"/>
      <c r="J226" s="596"/>
      <c r="K226" s="609"/>
      <c r="L226" s="1"/>
      <c r="M226" s="347"/>
      <c r="N226" s="347"/>
      <c r="O226" s="579">
        <f t="shared" si="2"/>
        <v>0</v>
      </c>
      <c r="P226" s="579">
        <f t="shared" si="126"/>
        <v>0</v>
      </c>
      <c r="Q226" s="574"/>
      <c r="R226" s="347"/>
      <c r="S226" s="597"/>
      <c r="T226" s="347"/>
      <c r="U226" s="579">
        <f t="shared" si="48"/>
        <v>0</v>
      </c>
      <c r="V226" s="579">
        <f t="shared" si="49"/>
        <v>0</v>
      </c>
      <c r="W226" s="574" t="str">
        <f t="shared" si="179"/>
        <v/>
      </c>
      <c r="X226" s="347" t="str">
        <f t="shared" si="170"/>
        <v/>
      </c>
      <c r="Y226" s="347" t="str">
        <f t="shared" si="188"/>
        <v/>
      </c>
      <c r="Z226" s="347" t="str">
        <f t="shared" si="171"/>
        <v/>
      </c>
      <c r="AA226" s="579">
        <f t="shared" si="6"/>
        <v>0</v>
      </c>
      <c r="AB226" s="581">
        <f t="shared" si="105"/>
        <v>0</v>
      </c>
      <c r="AC226" s="347"/>
      <c r="AD226" s="347"/>
      <c r="AE226" s="347"/>
      <c r="AF226" s="347"/>
      <c r="AG226" s="579">
        <f t="shared" si="54"/>
        <v>0</v>
      </c>
      <c r="AH226" s="579">
        <f t="shared" si="175"/>
        <v>0</v>
      </c>
      <c r="AI226" s="582"/>
      <c r="AJ226" s="582"/>
      <c r="AK226" s="582"/>
      <c r="AL226" s="582"/>
      <c r="AM226" s="579"/>
      <c r="AN226" s="579"/>
      <c r="AO226" s="347"/>
      <c r="AP226" s="581">
        <f t="shared" si="164"/>
        <v>0</v>
      </c>
      <c r="AQ226" s="596"/>
      <c r="AR226" s="596"/>
      <c r="AS226" s="348"/>
      <c r="AT226" s="348"/>
      <c r="AU226" s="348"/>
      <c r="AV226" s="348"/>
      <c r="AW226" s="348"/>
      <c r="AX226" s="584">
        <f t="shared" si="165"/>
        <v>0</v>
      </c>
      <c r="AY226" s="581">
        <f t="shared" si="12"/>
        <v>0</v>
      </c>
      <c r="AZ226" s="581">
        <f t="shared" si="159"/>
        <v>0</v>
      </c>
      <c r="BA226" s="596"/>
      <c r="BB226" s="596"/>
      <c r="BC226" s="348"/>
      <c r="BD226" s="581" t="str">
        <f t="shared" si="99"/>
        <v/>
      </c>
      <c r="BE226" s="581">
        <f t="shared" si="37"/>
        <v>0</v>
      </c>
      <c r="BF226" s="347"/>
      <c r="BG226" s="347"/>
      <c r="BH226" s="347"/>
      <c r="BI226" s="347"/>
      <c r="BJ226" s="586">
        <f t="shared" si="187"/>
        <v>0</v>
      </c>
      <c r="BK226" s="581">
        <f t="shared" si="15"/>
        <v>0</v>
      </c>
      <c r="BL226" s="347"/>
      <c r="BM226" s="347"/>
      <c r="BN226" s="347"/>
      <c r="BO226" s="586">
        <f t="shared" si="189"/>
        <v>0</v>
      </c>
      <c r="BP226" s="584">
        <f t="shared" si="17"/>
        <v>0</v>
      </c>
      <c r="BQ226" s="347"/>
      <c r="BR226" s="581">
        <f t="shared" si="153"/>
        <v>0</v>
      </c>
      <c r="BS226" s="588">
        <f t="shared" si="180"/>
        <v>0</v>
      </c>
      <c r="BT226" s="581">
        <f t="shared" si="20"/>
        <v>0</v>
      </c>
      <c r="BU226" s="589"/>
      <c r="BV226" s="581">
        <f t="shared" si="44"/>
        <v>0</v>
      </c>
      <c r="BW226" s="590"/>
      <c r="BX226" s="347"/>
      <c r="BY226" s="347"/>
      <c r="BZ226" s="347"/>
      <c r="CA226" s="586">
        <f t="shared" si="129"/>
        <v>0</v>
      </c>
      <c r="CB226" s="581">
        <f t="shared" si="160"/>
        <v>0</v>
      </c>
      <c r="CC226" s="581">
        <f t="shared" si="131"/>
        <v>0</v>
      </c>
      <c r="CD226" s="581">
        <f t="shared" si="132"/>
        <v>0</v>
      </c>
      <c r="CE226" s="581">
        <f t="shared" si="133"/>
        <v>0</v>
      </c>
      <c r="CF226" s="581">
        <f t="shared" si="134"/>
        <v>0</v>
      </c>
      <c r="CG226" s="581">
        <f t="shared" si="135"/>
        <v>0</v>
      </c>
      <c r="CH226" s="608" t="str">
        <f t="shared" si="136"/>
        <v>#DIV/0!</v>
      </c>
      <c r="CI226" s="603" t="str">
        <f t="shared" si="137"/>
        <v>#DIV/0!</v>
      </c>
      <c r="CJ226" s="347"/>
      <c r="CK226" s="347">
        <f t="shared" si="138"/>
        <v>0</v>
      </c>
      <c r="CL226" s="539">
        <f t="shared" si="139"/>
        <v>0</v>
      </c>
      <c r="CM226" s="347">
        <f t="shared" si="140"/>
        <v>0</v>
      </c>
      <c r="CN226" s="347">
        <f t="shared" si="141"/>
        <v>0</v>
      </c>
      <c r="CO226" s="347" t="str">
        <f t="shared" si="142"/>
        <v>1899-12-30</v>
      </c>
      <c r="CP226" s="347"/>
    </row>
    <row r="227">
      <c r="A227" s="574">
        <f t="shared" si="147"/>
        <v>200173</v>
      </c>
      <c r="B227" s="574" t="str">
        <f t="shared" si="1"/>
        <v>Batch 200173</v>
      </c>
      <c r="C227" s="347"/>
      <c r="D227" s="574" t="str">
        <f t="shared" si="190"/>
        <v>2-73</v>
      </c>
      <c r="E227" s="347"/>
      <c r="F227" s="596"/>
      <c r="G227" s="596"/>
      <c r="H227" s="347"/>
      <c r="I227" s="347"/>
      <c r="J227" s="596"/>
      <c r="K227" s="609"/>
      <c r="L227" s="1"/>
      <c r="M227" s="347"/>
      <c r="N227" s="347"/>
      <c r="O227" s="579">
        <f t="shared" si="2"/>
        <v>0</v>
      </c>
      <c r="P227" s="579">
        <f t="shared" si="126"/>
        <v>0</v>
      </c>
      <c r="Q227" s="574"/>
      <c r="R227" s="347"/>
      <c r="S227" s="597"/>
      <c r="T227" s="347"/>
      <c r="U227" s="579">
        <f t="shared" si="48"/>
        <v>0</v>
      </c>
      <c r="V227" s="579">
        <f t="shared" si="49"/>
        <v>0</v>
      </c>
      <c r="W227" s="574" t="str">
        <f t="shared" si="179"/>
        <v/>
      </c>
      <c r="X227" s="347" t="str">
        <f t="shared" si="170"/>
        <v/>
      </c>
      <c r="Y227" s="347" t="str">
        <f t="shared" si="188"/>
        <v/>
      </c>
      <c r="Z227" s="347" t="str">
        <f t="shared" si="171"/>
        <v/>
      </c>
      <c r="AA227" s="579">
        <f t="shared" si="6"/>
        <v>0</v>
      </c>
      <c r="AB227" s="581">
        <f t="shared" si="105"/>
        <v>0</v>
      </c>
      <c r="AC227" s="347"/>
      <c r="AD227" s="347"/>
      <c r="AE227" s="347"/>
      <c r="AF227" s="347"/>
      <c r="AG227" s="579">
        <f t="shared" si="54"/>
        <v>0</v>
      </c>
      <c r="AH227" s="579">
        <f t="shared" si="175"/>
        <v>0</v>
      </c>
      <c r="AI227" s="582"/>
      <c r="AJ227" s="582"/>
      <c r="AK227" s="582"/>
      <c r="AL227" s="582"/>
      <c r="AM227" s="579"/>
      <c r="AN227" s="579"/>
      <c r="AO227" s="347"/>
      <c r="AP227" s="581">
        <f t="shared" si="164"/>
        <v>0</v>
      </c>
      <c r="AQ227" s="596"/>
      <c r="AR227" s="596"/>
      <c r="AS227" s="348"/>
      <c r="AT227" s="348"/>
      <c r="AU227" s="348"/>
      <c r="AV227" s="348"/>
      <c r="AW227" s="348"/>
      <c r="AX227" s="584">
        <f t="shared" si="165"/>
        <v>0</v>
      </c>
      <c r="AY227" s="581">
        <f t="shared" si="12"/>
        <v>0</v>
      </c>
      <c r="AZ227" s="581">
        <f t="shared" si="159"/>
        <v>0</v>
      </c>
      <c r="BA227" s="596"/>
      <c r="BB227" s="596"/>
      <c r="BC227" s="348"/>
      <c r="BD227" s="581" t="str">
        <f t="shared" si="99"/>
        <v/>
      </c>
      <c r="BE227" s="581">
        <f t="shared" si="37"/>
        <v>0</v>
      </c>
      <c r="BF227" s="347"/>
      <c r="BG227" s="347"/>
      <c r="BH227" s="347"/>
      <c r="BI227" s="347"/>
      <c r="BJ227" s="586">
        <f t="shared" si="187"/>
        <v>0</v>
      </c>
      <c r="BK227" s="581">
        <f t="shared" si="15"/>
        <v>0</v>
      </c>
      <c r="BL227" s="347"/>
      <c r="BM227" s="347"/>
      <c r="BN227" s="347"/>
      <c r="BO227" s="586">
        <f t="shared" si="189"/>
        <v>0</v>
      </c>
      <c r="BP227" s="584">
        <f t="shared" si="17"/>
        <v>0</v>
      </c>
      <c r="BQ227" s="347"/>
      <c r="BR227" s="581">
        <f t="shared" si="153"/>
        <v>0</v>
      </c>
      <c r="BS227" s="588">
        <f t="shared" si="180"/>
        <v>0</v>
      </c>
      <c r="BT227" s="581">
        <f t="shared" si="20"/>
        <v>0</v>
      </c>
      <c r="BU227" s="589"/>
      <c r="BV227" s="581">
        <f t="shared" si="44"/>
        <v>0</v>
      </c>
      <c r="BW227" s="590"/>
      <c r="BX227" s="347"/>
      <c r="BY227" s="347"/>
      <c r="BZ227" s="347"/>
      <c r="CA227" s="586">
        <f t="shared" si="129"/>
        <v>0</v>
      </c>
      <c r="CB227" s="581">
        <f t="shared" si="160"/>
        <v>0</v>
      </c>
      <c r="CC227" s="581">
        <f t="shared" si="131"/>
        <v>0</v>
      </c>
      <c r="CD227" s="581">
        <f t="shared" si="132"/>
        <v>0</v>
      </c>
      <c r="CE227" s="581">
        <f t="shared" si="133"/>
        <v>0</v>
      </c>
      <c r="CF227" s="581">
        <f t="shared" si="134"/>
        <v>0</v>
      </c>
      <c r="CG227" s="581">
        <f t="shared" si="135"/>
        <v>0</v>
      </c>
      <c r="CH227" s="608" t="str">
        <f t="shared" si="136"/>
        <v>#DIV/0!</v>
      </c>
      <c r="CI227" s="603" t="str">
        <f t="shared" si="137"/>
        <v>#DIV/0!</v>
      </c>
      <c r="CJ227" s="347"/>
      <c r="CK227" s="347">
        <f t="shared" si="138"/>
        <v>0</v>
      </c>
      <c r="CL227" s="539">
        <f t="shared" si="139"/>
        <v>0</v>
      </c>
      <c r="CM227" s="347">
        <f t="shared" si="140"/>
        <v>0</v>
      </c>
      <c r="CN227" s="347">
        <f t="shared" si="141"/>
        <v>0</v>
      </c>
      <c r="CO227" s="347" t="str">
        <f t="shared" si="142"/>
        <v>1899-12-30</v>
      </c>
      <c r="CP227" s="347"/>
    </row>
    <row r="228">
      <c r="A228" s="574">
        <f t="shared" si="147"/>
        <v>300106</v>
      </c>
      <c r="B228" s="574" t="str">
        <f t="shared" si="1"/>
        <v>Batch 300106</v>
      </c>
      <c r="C228" s="347"/>
      <c r="D228" s="574" t="str">
        <f t="shared" si="190"/>
        <v>3-06</v>
      </c>
      <c r="E228" s="347"/>
      <c r="F228" s="596"/>
      <c r="G228" s="596"/>
      <c r="H228" s="347"/>
      <c r="I228" s="347"/>
      <c r="J228" s="596"/>
      <c r="K228" s="609"/>
      <c r="L228" s="1"/>
      <c r="M228" s="347"/>
      <c r="N228" s="347"/>
      <c r="O228" s="579">
        <f t="shared" si="2"/>
        <v>0</v>
      </c>
      <c r="P228" s="579">
        <f t="shared" si="126"/>
        <v>0</v>
      </c>
      <c r="Q228" s="574"/>
      <c r="R228" s="347"/>
      <c r="S228" s="597"/>
      <c r="T228" s="347"/>
      <c r="U228" s="579">
        <f t="shared" si="48"/>
        <v>0</v>
      </c>
      <c r="V228" s="579">
        <f t="shared" si="49"/>
        <v>0</v>
      </c>
      <c r="W228" s="574" t="str">
        <f t="shared" si="179"/>
        <v/>
      </c>
      <c r="X228" s="347" t="str">
        <f t="shared" si="170"/>
        <v/>
      </c>
      <c r="Y228" s="347" t="str">
        <f t="shared" si="188"/>
        <v/>
      </c>
      <c r="Z228" s="347" t="str">
        <f t="shared" si="171"/>
        <v/>
      </c>
      <c r="AA228" s="579">
        <f t="shared" si="6"/>
        <v>0</v>
      </c>
      <c r="AB228" s="581">
        <f t="shared" si="105"/>
        <v>0</v>
      </c>
      <c r="AC228" s="347"/>
      <c r="AD228" s="347"/>
      <c r="AE228" s="347"/>
      <c r="AF228" s="347"/>
      <c r="AG228" s="579">
        <f t="shared" si="54"/>
        <v>0</v>
      </c>
      <c r="AH228" s="579">
        <f t="shared" si="175"/>
        <v>0</v>
      </c>
      <c r="AI228" s="582"/>
      <c r="AJ228" s="582"/>
      <c r="AK228" s="582"/>
      <c r="AL228" s="582"/>
      <c r="AM228" s="579"/>
      <c r="AN228" s="579"/>
      <c r="AO228" s="347"/>
      <c r="AP228" s="581">
        <f t="shared" si="164"/>
        <v>0</v>
      </c>
      <c r="AQ228" s="596"/>
      <c r="AR228" s="596"/>
      <c r="AS228" s="348"/>
      <c r="AT228" s="348"/>
      <c r="AU228" s="348"/>
      <c r="AV228" s="348"/>
      <c r="AW228" s="348"/>
      <c r="AX228" s="584">
        <f t="shared" si="165"/>
        <v>0</v>
      </c>
      <c r="AY228" s="581">
        <f t="shared" si="12"/>
        <v>0</v>
      </c>
      <c r="AZ228" s="581">
        <f t="shared" si="159"/>
        <v>0</v>
      </c>
      <c r="BA228" s="596"/>
      <c r="BB228" s="596"/>
      <c r="BC228" s="348"/>
      <c r="BD228" s="581" t="str">
        <f t="shared" si="99"/>
        <v/>
      </c>
      <c r="BE228" s="581">
        <f t="shared" si="37"/>
        <v>0</v>
      </c>
      <c r="BF228" s="347"/>
      <c r="BG228" s="347"/>
      <c r="BH228" s="347"/>
      <c r="BI228" s="347"/>
      <c r="BJ228" s="586">
        <f t="shared" si="187"/>
        <v>0</v>
      </c>
      <c r="BK228" s="581">
        <f t="shared" si="15"/>
        <v>0</v>
      </c>
      <c r="BL228" s="347"/>
      <c r="BM228" s="347"/>
      <c r="BN228" s="347"/>
      <c r="BO228" s="586">
        <f t="shared" si="189"/>
        <v>0</v>
      </c>
      <c r="BP228" s="584">
        <f t="shared" si="17"/>
        <v>0</v>
      </c>
      <c r="BQ228" s="347"/>
      <c r="BR228" s="581">
        <f t="shared" si="153"/>
        <v>0</v>
      </c>
      <c r="BS228" s="588">
        <f t="shared" si="180"/>
        <v>0</v>
      </c>
      <c r="BT228" s="581">
        <f t="shared" si="20"/>
        <v>0</v>
      </c>
      <c r="BU228" s="589"/>
      <c r="BV228" s="581">
        <f t="shared" si="44"/>
        <v>0</v>
      </c>
      <c r="BW228" s="590"/>
      <c r="BX228" s="347"/>
      <c r="BY228" s="347"/>
      <c r="BZ228" s="347"/>
      <c r="CA228" s="586">
        <f t="shared" si="129"/>
        <v>0</v>
      </c>
      <c r="CB228" s="581">
        <f t="shared" si="160"/>
        <v>0</v>
      </c>
      <c r="CC228" s="581">
        <f t="shared" si="131"/>
        <v>0</v>
      </c>
      <c r="CD228" s="581">
        <f t="shared" si="132"/>
        <v>0</v>
      </c>
      <c r="CE228" s="581">
        <f t="shared" si="133"/>
        <v>0</v>
      </c>
      <c r="CF228" s="581">
        <f t="shared" si="134"/>
        <v>0</v>
      </c>
      <c r="CG228" s="581">
        <f t="shared" si="135"/>
        <v>0</v>
      </c>
      <c r="CH228" s="608" t="str">
        <f t="shared" si="136"/>
        <v>#DIV/0!</v>
      </c>
      <c r="CI228" s="603" t="str">
        <f t="shared" si="137"/>
        <v>#DIV/0!</v>
      </c>
      <c r="CJ228" s="347"/>
      <c r="CK228" s="347">
        <f t="shared" si="138"/>
        <v>0</v>
      </c>
      <c r="CL228" s="539">
        <f t="shared" si="139"/>
        <v>0</v>
      </c>
      <c r="CM228" s="347">
        <f t="shared" si="140"/>
        <v>0</v>
      </c>
      <c r="CN228" s="347">
        <f t="shared" si="141"/>
        <v>0</v>
      </c>
      <c r="CO228" s="347" t="str">
        <f t="shared" si="142"/>
        <v>1899-12-30</v>
      </c>
      <c r="CP228" s="347"/>
    </row>
    <row r="229">
      <c r="A229" s="574">
        <f t="shared" si="147"/>
        <v>200174</v>
      </c>
      <c r="B229" s="574" t="str">
        <f t="shared" si="1"/>
        <v>Batch 200174</v>
      </c>
      <c r="C229" s="347"/>
      <c r="D229" s="574" t="str">
        <f t="shared" si="190"/>
        <v>2-74</v>
      </c>
      <c r="E229" s="347"/>
      <c r="F229" s="596"/>
      <c r="G229" s="596"/>
      <c r="H229" s="347"/>
      <c r="I229" s="347"/>
      <c r="J229" s="596"/>
      <c r="K229" s="609"/>
      <c r="L229" s="1"/>
      <c r="M229" s="347"/>
      <c r="N229" s="347"/>
      <c r="O229" s="579">
        <f t="shared" si="2"/>
        <v>0</v>
      </c>
      <c r="P229" s="579">
        <f t="shared" si="126"/>
        <v>0</v>
      </c>
      <c r="Q229" s="574"/>
      <c r="R229" s="347"/>
      <c r="S229" s="597"/>
      <c r="T229" s="347"/>
      <c r="U229" s="579">
        <f t="shared" si="48"/>
        <v>0</v>
      </c>
      <c r="V229" s="579">
        <f t="shared" si="49"/>
        <v>0</v>
      </c>
      <c r="W229" s="574" t="str">
        <f t="shared" si="179"/>
        <v/>
      </c>
      <c r="X229" s="347" t="str">
        <f t="shared" si="170"/>
        <v/>
      </c>
      <c r="Y229" s="347" t="str">
        <f t="shared" si="188"/>
        <v/>
      </c>
      <c r="Z229" s="347" t="str">
        <f t="shared" si="171"/>
        <v/>
      </c>
      <c r="AA229" s="579">
        <f t="shared" si="6"/>
        <v>0</v>
      </c>
      <c r="AB229" s="581">
        <f t="shared" si="105"/>
        <v>0</v>
      </c>
      <c r="AC229" s="347"/>
      <c r="AD229" s="347"/>
      <c r="AE229" s="347"/>
      <c r="AF229" s="347"/>
      <c r="AG229" s="579">
        <f t="shared" si="54"/>
        <v>0</v>
      </c>
      <c r="AH229" s="579">
        <f t="shared" si="175"/>
        <v>0</v>
      </c>
      <c r="AI229" s="582"/>
      <c r="AJ229" s="582"/>
      <c r="AK229" s="582"/>
      <c r="AL229" s="582"/>
      <c r="AM229" s="579"/>
      <c r="AN229" s="579"/>
      <c r="AO229" s="347"/>
      <c r="AP229" s="581">
        <f t="shared" si="164"/>
        <v>0</v>
      </c>
      <c r="AQ229" s="596"/>
      <c r="AR229" s="596"/>
      <c r="AS229" s="348"/>
      <c r="AT229" s="348"/>
      <c r="AU229" s="348"/>
      <c r="AV229" s="348"/>
      <c r="AW229" s="348"/>
      <c r="AX229" s="584">
        <f t="shared" si="165"/>
        <v>0</v>
      </c>
      <c r="AY229" s="581">
        <f t="shared" si="12"/>
        <v>0</v>
      </c>
      <c r="AZ229" s="581">
        <f t="shared" si="159"/>
        <v>0</v>
      </c>
      <c r="BA229" s="596"/>
      <c r="BB229" s="596"/>
      <c r="BC229" s="348"/>
      <c r="BD229" s="581" t="str">
        <f t="shared" si="99"/>
        <v/>
      </c>
      <c r="BE229" s="581">
        <f t="shared" si="37"/>
        <v>0</v>
      </c>
      <c r="BF229" s="347"/>
      <c r="BG229" s="347"/>
      <c r="BH229" s="347"/>
      <c r="BI229" s="347"/>
      <c r="BJ229" s="586">
        <f t="shared" si="187"/>
        <v>0</v>
      </c>
      <c r="BK229" s="581">
        <f t="shared" si="15"/>
        <v>0</v>
      </c>
      <c r="BL229" s="347"/>
      <c r="BM229" s="347"/>
      <c r="BN229" s="347"/>
      <c r="BO229" s="586">
        <f t="shared" si="189"/>
        <v>0</v>
      </c>
      <c r="BP229" s="584">
        <f t="shared" si="17"/>
        <v>0</v>
      </c>
      <c r="BQ229" s="347"/>
      <c r="BR229" s="581">
        <f t="shared" si="153"/>
        <v>0</v>
      </c>
      <c r="BS229" s="588">
        <f t="shared" si="180"/>
        <v>0</v>
      </c>
      <c r="BT229" s="581">
        <f t="shared" si="20"/>
        <v>0</v>
      </c>
      <c r="BU229" s="589"/>
      <c r="BV229" s="581">
        <f t="shared" si="44"/>
        <v>0</v>
      </c>
      <c r="BW229" s="590"/>
      <c r="BX229" s="347"/>
      <c r="BY229" s="347"/>
      <c r="BZ229" s="347"/>
      <c r="CA229" s="586">
        <f t="shared" si="129"/>
        <v>0</v>
      </c>
      <c r="CB229" s="581">
        <f t="shared" si="160"/>
        <v>0</v>
      </c>
      <c r="CC229" s="581">
        <f t="shared" si="131"/>
        <v>0</v>
      </c>
      <c r="CD229" s="581">
        <f t="shared" si="132"/>
        <v>0</v>
      </c>
      <c r="CE229" s="581">
        <f t="shared" si="133"/>
        <v>0</v>
      </c>
      <c r="CF229" s="581">
        <f t="shared" si="134"/>
        <v>0</v>
      </c>
      <c r="CG229" s="581">
        <f t="shared" si="135"/>
        <v>0</v>
      </c>
      <c r="CH229" s="608" t="str">
        <f t="shared" si="136"/>
        <v>#DIV/0!</v>
      </c>
      <c r="CI229" s="603" t="str">
        <f t="shared" si="137"/>
        <v>#DIV/0!</v>
      </c>
      <c r="CJ229" s="347"/>
      <c r="CK229" s="347">
        <f t="shared" si="138"/>
        <v>0</v>
      </c>
      <c r="CL229" s="539">
        <f t="shared" si="139"/>
        <v>0</v>
      </c>
      <c r="CM229" s="347">
        <f t="shared" si="140"/>
        <v>0</v>
      </c>
      <c r="CN229" s="347">
        <f t="shared" si="141"/>
        <v>0</v>
      </c>
      <c r="CO229" s="347" t="str">
        <f t="shared" si="142"/>
        <v>1899-12-30</v>
      </c>
      <c r="CP229" s="347"/>
    </row>
    <row r="230">
      <c r="A230" s="574">
        <f t="shared" si="147"/>
        <v>300107</v>
      </c>
      <c r="B230" s="574" t="str">
        <f t="shared" si="1"/>
        <v>Batch 300107</v>
      </c>
      <c r="C230" s="347"/>
      <c r="D230" s="574" t="str">
        <f t="shared" si="190"/>
        <v>3-07</v>
      </c>
      <c r="E230" s="347"/>
      <c r="F230" s="596"/>
      <c r="G230" s="596"/>
      <c r="H230" s="347"/>
      <c r="I230" s="347"/>
      <c r="J230" s="596"/>
      <c r="K230" s="609"/>
      <c r="L230" s="1"/>
      <c r="M230" s="347"/>
      <c r="N230" s="347"/>
      <c r="O230" s="579">
        <f t="shared" si="2"/>
        <v>0</v>
      </c>
      <c r="P230" s="579">
        <f t="shared" si="126"/>
        <v>0</v>
      </c>
      <c r="Q230" s="574"/>
      <c r="R230" s="347"/>
      <c r="S230" s="597"/>
      <c r="T230" s="347"/>
      <c r="U230" s="579">
        <f t="shared" si="48"/>
        <v>0</v>
      </c>
      <c r="V230" s="579">
        <f t="shared" si="49"/>
        <v>0</v>
      </c>
      <c r="W230" s="574" t="str">
        <f t="shared" si="179"/>
        <v/>
      </c>
      <c r="X230" s="347" t="str">
        <f t="shared" si="170"/>
        <v/>
      </c>
      <c r="Y230" s="347" t="str">
        <f t="shared" si="188"/>
        <v/>
      </c>
      <c r="Z230" s="347" t="str">
        <f t="shared" si="171"/>
        <v/>
      </c>
      <c r="AA230" s="579">
        <f t="shared" si="6"/>
        <v>0</v>
      </c>
      <c r="AB230" s="581">
        <f t="shared" si="105"/>
        <v>0</v>
      </c>
      <c r="AC230" s="347"/>
      <c r="AD230" s="347"/>
      <c r="AE230" s="347"/>
      <c r="AF230" s="347"/>
      <c r="AG230" s="579">
        <f t="shared" si="54"/>
        <v>0</v>
      </c>
      <c r="AH230" s="579">
        <f t="shared" si="175"/>
        <v>0</v>
      </c>
      <c r="AI230" s="582"/>
      <c r="AJ230" s="582"/>
      <c r="AK230" s="582"/>
      <c r="AL230" s="582"/>
      <c r="AM230" s="579"/>
      <c r="AN230" s="579"/>
      <c r="AO230" s="347"/>
      <c r="AP230" s="581">
        <f t="shared" si="164"/>
        <v>0</v>
      </c>
      <c r="AQ230" s="596"/>
      <c r="AR230" s="596"/>
      <c r="AS230" s="348"/>
      <c r="AT230" s="348"/>
      <c r="AU230" s="348"/>
      <c r="AV230" s="348"/>
      <c r="AW230" s="348"/>
      <c r="AX230" s="584">
        <f t="shared" si="165"/>
        <v>0</v>
      </c>
      <c r="AY230" s="581">
        <f t="shared" si="12"/>
        <v>0</v>
      </c>
      <c r="AZ230" s="581">
        <f t="shared" si="159"/>
        <v>0</v>
      </c>
      <c r="BA230" s="596"/>
      <c r="BB230" s="596"/>
      <c r="BC230" s="348"/>
      <c r="BD230" s="581" t="str">
        <f t="shared" si="99"/>
        <v/>
      </c>
      <c r="BE230" s="581">
        <f t="shared" si="37"/>
        <v>0</v>
      </c>
      <c r="BF230" s="347"/>
      <c r="BG230" s="347"/>
      <c r="BH230" s="347"/>
      <c r="BI230" s="347"/>
      <c r="BJ230" s="586">
        <f t="shared" si="187"/>
        <v>0</v>
      </c>
      <c r="BK230" s="581">
        <f t="shared" si="15"/>
        <v>0</v>
      </c>
      <c r="BL230" s="347"/>
      <c r="BM230" s="347"/>
      <c r="BN230" s="347"/>
      <c r="BO230" s="586">
        <f t="shared" si="189"/>
        <v>0</v>
      </c>
      <c r="BP230" s="584">
        <f t="shared" si="17"/>
        <v>0</v>
      </c>
      <c r="BQ230" s="347"/>
      <c r="BR230" s="581">
        <f t="shared" si="153"/>
        <v>0</v>
      </c>
      <c r="BS230" s="588">
        <f t="shared" si="180"/>
        <v>0</v>
      </c>
      <c r="BT230" s="581">
        <f t="shared" si="20"/>
        <v>0</v>
      </c>
      <c r="BU230" s="589"/>
      <c r="BV230" s="581">
        <f t="shared" si="44"/>
        <v>0</v>
      </c>
      <c r="BW230" s="590"/>
      <c r="BX230" s="347"/>
      <c r="BY230" s="347"/>
      <c r="BZ230" s="347"/>
      <c r="CA230" s="586">
        <f t="shared" si="129"/>
        <v>0</v>
      </c>
      <c r="CB230" s="581">
        <f t="shared" si="160"/>
        <v>0</v>
      </c>
      <c r="CC230" s="581">
        <f t="shared" si="131"/>
        <v>0</v>
      </c>
      <c r="CD230" s="581">
        <f t="shared" si="132"/>
        <v>0</v>
      </c>
      <c r="CE230" s="581">
        <f t="shared" si="133"/>
        <v>0</v>
      </c>
      <c r="CF230" s="581">
        <f t="shared" si="134"/>
        <v>0</v>
      </c>
      <c r="CG230" s="581">
        <f t="shared" si="135"/>
        <v>0</v>
      </c>
      <c r="CH230" s="608" t="str">
        <f t="shared" si="136"/>
        <v>#DIV/0!</v>
      </c>
      <c r="CI230" s="603" t="str">
        <f t="shared" si="137"/>
        <v>#DIV/0!</v>
      </c>
      <c r="CJ230" s="347"/>
      <c r="CK230" s="347">
        <f t="shared" si="138"/>
        <v>0</v>
      </c>
      <c r="CL230" s="539">
        <f t="shared" si="139"/>
        <v>0</v>
      </c>
      <c r="CM230" s="347">
        <f t="shared" si="140"/>
        <v>0</v>
      </c>
      <c r="CN230" s="347">
        <f t="shared" si="141"/>
        <v>0</v>
      </c>
      <c r="CO230" s="347" t="str">
        <f t="shared" si="142"/>
        <v>1899-12-30</v>
      </c>
      <c r="CP230" s="347"/>
    </row>
    <row r="231">
      <c r="A231" s="574">
        <f t="shared" si="147"/>
        <v>200175</v>
      </c>
      <c r="B231" s="574" t="str">
        <f t="shared" si="1"/>
        <v>Batch 200175</v>
      </c>
      <c r="C231" s="347"/>
      <c r="D231" s="574" t="str">
        <f t="shared" si="190"/>
        <v>2-75</v>
      </c>
      <c r="E231" s="347"/>
      <c r="F231" s="596"/>
      <c r="G231" s="596"/>
      <c r="H231" s="347"/>
      <c r="I231" s="347"/>
      <c r="J231" s="596"/>
      <c r="K231" s="609"/>
      <c r="L231" s="1"/>
      <c r="M231" s="347"/>
      <c r="N231" s="347"/>
      <c r="O231" s="579">
        <f t="shared" si="2"/>
        <v>0</v>
      </c>
      <c r="P231" s="579">
        <f t="shared" si="126"/>
        <v>0</v>
      </c>
      <c r="Q231" s="574"/>
      <c r="R231" s="347"/>
      <c r="S231" s="597"/>
      <c r="T231" s="347"/>
      <c r="U231" s="579">
        <f t="shared" si="48"/>
        <v>0</v>
      </c>
      <c r="V231" s="579">
        <f t="shared" si="49"/>
        <v>0</v>
      </c>
      <c r="W231" s="574" t="str">
        <f t="shared" si="179"/>
        <v/>
      </c>
      <c r="X231" s="347" t="str">
        <f t="shared" si="170"/>
        <v/>
      </c>
      <c r="Y231" s="347" t="str">
        <f t="shared" si="188"/>
        <v/>
      </c>
      <c r="Z231" s="347" t="str">
        <f t="shared" si="171"/>
        <v/>
      </c>
      <c r="AA231" s="579">
        <f t="shared" si="6"/>
        <v>0</v>
      </c>
      <c r="AB231" s="581">
        <f t="shared" si="105"/>
        <v>0</v>
      </c>
      <c r="AC231" s="347"/>
      <c r="AD231" s="347"/>
      <c r="AE231" s="347"/>
      <c r="AF231" s="347"/>
      <c r="AG231" s="579">
        <f t="shared" si="54"/>
        <v>0</v>
      </c>
      <c r="AH231" s="579">
        <f t="shared" si="175"/>
        <v>0</v>
      </c>
      <c r="AI231" s="582"/>
      <c r="AJ231" s="582"/>
      <c r="AK231" s="582"/>
      <c r="AL231" s="582"/>
      <c r="AM231" s="579"/>
      <c r="AN231" s="579"/>
      <c r="AO231" s="347"/>
      <c r="AP231" s="581">
        <f t="shared" si="164"/>
        <v>0</v>
      </c>
      <c r="AQ231" s="596"/>
      <c r="AR231" s="596"/>
      <c r="AS231" s="348"/>
      <c r="AT231" s="348"/>
      <c r="AU231" s="348"/>
      <c r="AV231" s="348"/>
      <c r="AW231" s="348"/>
      <c r="AX231" s="584">
        <f t="shared" si="165"/>
        <v>0</v>
      </c>
      <c r="AY231" s="581">
        <f t="shared" si="12"/>
        <v>0</v>
      </c>
      <c r="AZ231" s="581">
        <f t="shared" si="159"/>
        <v>0</v>
      </c>
      <c r="BA231" s="596"/>
      <c r="BB231" s="596"/>
      <c r="BC231" s="348"/>
      <c r="BD231" s="581">
        <f t="shared" ref="BD231:BD300" si="192">BC231*$CP$5</f>
        <v>0</v>
      </c>
      <c r="BE231" s="581">
        <f t="shared" si="37"/>
        <v>0</v>
      </c>
      <c r="BF231" s="347"/>
      <c r="BG231" s="347"/>
      <c r="BH231" s="347"/>
      <c r="BI231" s="347"/>
      <c r="BJ231" s="586">
        <f t="shared" si="187"/>
        <v>0</v>
      </c>
      <c r="BK231" s="581">
        <f t="shared" si="15"/>
        <v>0</v>
      </c>
      <c r="BL231" s="347"/>
      <c r="BM231" s="347"/>
      <c r="BN231" s="347"/>
      <c r="BO231" s="586">
        <f t="shared" si="189"/>
        <v>0</v>
      </c>
      <c r="BP231" s="584">
        <f t="shared" si="17"/>
        <v>0</v>
      </c>
      <c r="BQ231" s="347"/>
      <c r="BR231" s="581">
        <f t="shared" si="153"/>
        <v>0</v>
      </c>
      <c r="BS231" s="588">
        <f t="shared" si="180"/>
        <v>0</v>
      </c>
      <c r="BT231" s="581">
        <f t="shared" si="20"/>
        <v>0</v>
      </c>
      <c r="BU231" s="589"/>
      <c r="BV231" s="581">
        <f t="shared" si="44"/>
        <v>0</v>
      </c>
      <c r="BW231" s="590"/>
      <c r="BX231" s="347"/>
      <c r="BY231" s="347"/>
      <c r="BZ231" s="347"/>
      <c r="CA231" s="586">
        <f t="shared" si="129"/>
        <v>0</v>
      </c>
      <c r="CB231" s="581">
        <f t="shared" si="160"/>
        <v>0</v>
      </c>
      <c r="CC231" s="581">
        <f t="shared" si="131"/>
        <v>0</v>
      </c>
      <c r="CD231" s="581">
        <f t="shared" si="132"/>
        <v>0</v>
      </c>
      <c r="CE231" s="581">
        <f t="shared" si="133"/>
        <v>0</v>
      </c>
      <c r="CF231" s="581">
        <f t="shared" si="134"/>
        <v>0</v>
      </c>
      <c r="CG231" s="581">
        <f t="shared" si="135"/>
        <v>0</v>
      </c>
      <c r="CH231" s="608" t="str">
        <f t="shared" si="136"/>
        <v>#DIV/0!</v>
      </c>
      <c r="CI231" s="603" t="str">
        <f t="shared" si="137"/>
        <v>#DIV/0!</v>
      </c>
      <c r="CJ231" s="347"/>
      <c r="CK231" s="347">
        <f t="shared" si="138"/>
        <v>0</v>
      </c>
      <c r="CL231" s="539">
        <f t="shared" si="139"/>
        <v>0</v>
      </c>
      <c r="CM231" s="347">
        <f t="shared" si="140"/>
        <v>0</v>
      </c>
      <c r="CN231" s="347">
        <f t="shared" si="141"/>
        <v>0</v>
      </c>
      <c r="CO231" s="347" t="str">
        <f t="shared" si="142"/>
        <v>1899-12-30</v>
      </c>
      <c r="CP231" s="347"/>
    </row>
    <row r="232">
      <c r="A232" s="574">
        <f t="shared" si="147"/>
        <v>300108</v>
      </c>
      <c r="B232" s="574" t="str">
        <f t="shared" si="1"/>
        <v>Batch 300108</v>
      </c>
      <c r="C232" s="347"/>
      <c r="D232" s="574" t="str">
        <f t="shared" si="190"/>
        <v>3-08</v>
      </c>
      <c r="E232" s="347"/>
      <c r="F232" s="596"/>
      <c r="G232" s="596"/>
      <c r="H232" s="347"/>
      <c r="I232" s="347"/>
      <c r="J232" s="596"/>
      <c r="K232" s="609"/>
      <c r="L232" s="1"/>
      <c r="M232" s="347"/>
      <c r="N232" s="347"/>
      <c r="O232" s="579">
        <f t="shared" si="2"/>
        <v>0</v>
      </c>
      <c r="P232" s="579">
        <f t="shared" si="126"/>
        <v>0</v>
      </c>
      <c r="Q232" s="574"/>
      <c r="R232" s="347"/>
      <c r="S232" s="597"/>
      <c r="T232" s="347"/>
      <c r="U232" s="579">
        <f t="shared" si="48"/>
        <v>0</v>
      </c>
      <c r="V232" s="579">
        <f t="shared" si="49"/>
        <v>0</v>
      </c>
      <c r="W232" s="574" t="str">
        <f t="shared" si="179"/>
        <v/>
      </c>
      <c r="X232" s="347" t="str">
        <f t="shared" si="170"/>
        <v/>
      </c>
      <c r="Y232" s="347" t="str">
        <f t="shared" si="188"/>
        <v/>
      </c>
      <c r="Z232" s="347" t="str">
        <f t="shared" si="171"/>
        <v/>
      </c>
      <c r="AA232" s="579">
        <f t="shared" si="6"/>
        <v>0</v>
      </c>
      <c r="AB232" s="581">
        <f t="shared" si="105"/>
        <v>0</v>
      </c>
      <c r="AC232" s="347"/>
      <c r="AD232" s="347"/>
      <c r="AE232" s="347"/>
      <c r="AF232" s="347"/>
      <c r="AG232" s="579">
        <f t="shared" si="54"/>
        <v>0</v>
      </c>
      <c r="AH232" s="579">
        <f t="shared" si="175"/>
        <v>0</v>
      </c>
      <c r="AI232" s="582"/>
      <c r="AJ232" s="582"/>
      <c r="AK232" s="582"/>
      <c r="AL232" s="582"/>
      <c r="AM232" s="579"/>
      <c r="AN232" s="579"/>
      <c r="AO232" s="347"/>
      <c r="AP232" s="581">
        <f t="shared" si="164"/>
        <v>0</v>
      </c>
      <c r="AQ232" s="596"/>
      <c r="AR232" s="596"/>
      <c r="AS232" s="348"/>
      <c r="AT232" s="348"/>
      <c r="AU232" s="348"/>
      <c r="AV232" s="348"/>
      <c r="AW232" s="348"/>
      <c r="AX232" s="584">
        <f t="shared" si="165"/>
        <v>0</v>
      </c>
      <c r="AY232" s="581">
        <f t="shared" si="12"/>
        <v>0</v>
      </c>
      <c r="AZ232" s="581">
        <f t="shared" si="159"/>
        <v>0</v>
      </c>
      <c r="BA232" s="596"/>
      <c r="BB232" s="596"/>
      <c r="BC232" s="348"/>
      <c r="BD232" s="581">
        <f t="shared" si="192"/>
        <v>0</v>
      </c>
      <c r="BE232" s="581">
        <f t="shared" si="37"/>
        <v>0</v>
      </c>
      <c r="BF232" s="347"/>
      <c r="BG232" s="347"/>
      <c r="BH232" s="347"/>
      <c r="BI232" s="347"/>
      <c r="BJ232" s="586">
        <f t="shared" si="187"/>
        <v>0</v>
      </c>
      <c r="BK232" s="581">
        <f t="shared" si="15"/>
        <v>0</v>
      </c>
      <c r="BL232" s="347"/>
      <c r="BM232" s="347"/>
      <c r="BN232" s="347"/>
      <c r="BO232" s="586">
        <f t="shared" si="189"/>
        <v>0</v>
      </c>
      <c r="BP232" s="584">
        <f t="shared" si="17"/>
        <v>0</v>
      </c>
      <c r="BQ232" s="347"/>
      <c r="BR232" s="581">
        <f t="shared" si="153"/>
        <v>0</v>
      </c>
      <c r="BS232" s="588">
        <f t="shared" si="180"/>
        <v>0</v>
      </c>
      <c r="BT232" s="581">
        <f t="shared" si="20"/>
        <v>0</v>
      </c>
      <c r="BU232" s="589"/>
      <c r="BV232" s="581">
        <f t="shared" si="44"/>
        <v>0</v>
      </c>
      <c r="BW232" s="590"/>
      <c r="BX232" s="347"/>
      <c r="BY232" s="347"/>
      <c r="BZ232" s="347"/>
      <c r="CA232" s="586">
        <f t="shared" si="129"/>
        <v>0</v>
      </c>
      <c r="CB232" s="581">
        <f t="shared" si="160"/>
        <v>0</v>
      </c>
      <c r="CC232" s="581">
        <f t="shared" si="131"/>
        <v>0</v>
      </c>
      <c r="CD232" s="581">
        <f t="shared" si="132"/>
        <v>0</v>
      </c>
      <c r="CE232" s="581">
        <f t="shared" si="133"/>
        <v>0</v>
      </c>
      <c r="CF232" s="581">
        <f t="shared" si="134"/>
        <v>0</v>
      </c>
      <c r="CG232" s="581">
        <f t="shared" si="135"/>
        <v>0</v>
      </c>
      <c r="CH232" s="608" t="str">
        <f t="shared" si="136"/>
        <v>#DIV/0!</v>
      </c>
      <c r="CI232" s="603" t="str">
        <f t="shared" si="137"/>
        <v>#DIV/0!</v>
      </c>
      <c r="CJ232" s="347"/>
      <c r="CK232" s="347">
        <f t="shared" si="138"/>
        <v>0</v>
      </c>
      <c r="CL232" s="539">
        <f t="shared" si="139"/>
        <v>0</v>
      </c>
      <c r="CM232" s="347">
        <f t="shared" si="140"/>
        <v>0</v>
      </c>
      <c r="CN232" s="347">
        <f t="shared" si="141"/>
        <v>0</v>
      </c>
      <c r="CO232" s="347" t="str">
        <f t="shared" si="142"/>
        <v>1899-12-30</v>
      </c>
      <c r="CP232" s="347"/>
    </row>
    <row r="233">
      <c r="A233" s="574">
        <f t="shared" si="147"/>
        <v>200176</v>
      </c>
      <c r="B233" s="574" t="str">
        <f t="shared" si="1"/>
        <v>Batch 200176</v>
      </c>
      <c r="C233" s="347"/>
      <c r="D233" s="574" t="str">
        <f t="shared" si="190"/>
        <v>2-76</v>
      </c>
      <c r="E233" s="347"/>
      <c r="F233" s="596"/>
      <c r="G233" s="596"/>
      <c r="H233" s="347"/>
      <c r="I233" s="347"/>
      <c r="J233" s="596"/>
      <c r="K233" s="609"/>
      <c r="L233" s="1"/>
      <c r="M233" s="347"/>
      <c r="N233" s="347"/>
      <c r="O233" s="579">
        <f t="shared" si="2"/>
        <v>0</v>
      </c>
      <c r="P233" s="579">
        <f t="shared" si="126"/>
        <v>0</v>
      </c>
      <c r="Q233" s="574"/>
      <c r="R233" s="347"/>
      <c r="S233" s="597"/>
      <c r="T233" s="347"/>
      <c r="U233" s="579">
        <f t="shared" si="48"/>
        <v>0</v>
      </c>
      <c r="V233" s="579">
        <f t="shared" si="49"/>
        <v>0</v>
      </c>
      <c r="W233" s="574" t="str">
        <f t="shared" si="179"/>
        <v/>
      </c>
      <c r="X233" s="347" t="str">
        <f t="shared" si="170"/>
        <v/>
      </c>
      <c r="Y233" s="347" t="str">
        <f t="shared" si="188"/>
        <v/>
      </c>
      <c r="Z233" s="347" t="str">
        <f t="shared" si="171"/>
        <v/>
      </c>
      <c r="AA233" s="579">
        <f t="shared" si="6"/>
        <v>0</v>
      </c>
      <c r="AB233" s="581">
        <f t="shared" si="105"/>
        <v>0</v>
      </c>
      <c r="AC233" s="347"/>
      <c r="AD233" s="347"/>
      <c r="AE233" s="347"/>
      <c r="AF233" s="347"/>
      <c r="AG233" s="579">
        <f t="shared" si="54"/>
        <v>0</v>
      </c>
      <c r="AH233" s="579">
        <f t="shared" si="175"/>
        <v>0</v>
      </c>
      <c r="AI233" s="582"/>
      <c r="AJ233" s="582"/>
      <c r="AK233" s="582"/>
      <c r="AL233" s="582"/>
      <c r="AM233" s="579"/>
      <c r="AN233" s="579"/>
      <c r="AO233" s="347"/>
      <c r="AP233" s="581">
        <f t="shared" si="164"/>
        <v>0</v>
      </c>
      <c r="AQ233" s="596"/>
      <c r="AR233" s="596"/>
      <c r="AS233" s="348"/>
      <c r="AT233" s="348"/>
      <c r="AU233" s="348"/>
      <c r="AV233" s="348"/>
      <c r="AW233" s="348"/>
      <c r="AX233" s="584">
        <f t="shared" si="165"/>
        <v>0</v>
      </c>
      <c r="AY233" s="581">
        <f t="shared" si="12"/>
        <v>0</v>
      </c>
      <c r="AZ233" s="581">
        <f t="shared" si="159"/>
        <v>0</v>
      </c>
      <c r="BA233" s="596"/>
      <c r="BB233" s="596"/>
      <c r="BC233" s="348"/>
      <c r="BD233" s="581">
        <f t="shared" si="192"/>
        <v>0</v>
      </c>
      <c r="BE233" s="581">
        <f t="shared" si="37"/>
        <v>0</v>
      </c>
      <c r="BF233" s="347"/>
      <c r="BG233" s="347"/>
      <c r="BH233" s="347"/>
      <c r="BI233" s="347"/>
      <c r="BJ233" s="586">
        <f t="shared" si="187"/>
        <v>0</v>
      </c>
      <c r="BK233" s="581">
        <f t="shared" si="15"/>
        <v>0</v>
      </c>
      <c r="BL233" s="347"/>
      <c r="BM233" s="347"/>
      <c r="BN233" s="347"/>
      <c r="BO233" s="586">
        <f t="shared" si="189"/>
        <v>0</v>
      </c>
      <c r="BP233" s="584">
        <f t="shared" si="17"/>
        <v>0</v>
      </c>
      <c r="BQ233" s="347"/>
      <c r="BR233" s="581">
        <f t="shared" si="153"/>
        <v>0</v>
      </c>
      <c r="BS233" s="588">
        <f t="shared" si="180"/>
        <v>0</v>
      </c>
      <c r="BT233" s="581">
        <f t="shared" si="20"/>
        <v>0</v>
      </c>
      <c r="BU233" s="589"/>
      <c r="BV233" s="581">
        <f t="shared" si="44"/>
        <v>0</v>
      </c>
      <c r="BW233" s="590"/>
      <c r="BX233" s="347"/>
      <c r="BY233" s="347"/>
      <c r="BZ233" s="347"/>
      <c r="CA233" s="586">
        <f t="shared" si="129"/>
        <v>0</v>
      </c>
      <c r="CB233" s="581">
        <f t="shared" si="160"/>
        <v>0</v>
      </c>
      <c r="CC233" s="581">
        <f t="shared" si="131"/>
        <v>0</v>
      </c>
      <c r="CD233" s="581">
        <f t="shared" si="132"/>
        <v>0</v>
      </c>
      <c r="CE233" s="581">
        <f t="shared" si="133"/>
        <v>0</v>
      </c>
      <c r="CF233" s="581">
        <f t="shared" si="134"/>
        <v>0</v>
      </c>
      <c r="CG233" s="581">
        <f t="shared" si="135"/>
        <v>0</v>
      </c>
      <c r="CH233" s="608" t="str">
        <f t="shared" si="136"/>
        <v>#DIV/0!</v>
      </c>
      <c r="CI233" s="603" t="str">
        <f t="shared" si="137"/>
        <v>#DIV/0!</v>
      </c>
      <c r="CJ233" s="347"/>
      <c r="CK233" s="347">
        <f t="shared" si="138"/>
        <v>0</v>
      </c>
      <c r="CL233" s="539">
        <f t="shared" si="139"/>
        <v>0</v>
      </c>
      <c r="CM233" s="347">
        <f t="shared" si="140"/>
        <v>0</v>
      </c>
      <c r="CN233" s="347">
        <f t="shared" si="141"/>
        <v>0</v>
      </c>
      <c r="CO233" s="347" t="str">
        <f t="shared" si="142"/>
        <v>1899-12-30</v>
      </c>
      <c r="CP233" s="347"/>
    </row>
    <row r="234">
      <c r="A234" s="574">
        <f t="shared" si="147"/>
        <v>300109</v>
      </c>
      <c r="B234" s="574" t="str">
        <f t="shared" si="1"/>
        <v>Batch 300109</v>
      </c>
      <c r="C234" s="347"/>
      <c r="D234" s="574" t="str">
        <f t="shared" si="190"/>
        <v>3-09</v>
      </c>
      <c r="E234" s="347"/>
      <c r="F234" s="596"/>
      <c r="G234" s="596"/>
      <c r="H234" s="347"/>
      <c r="I234" s="347"/>
      <c r="J234" s="596"/>
      <c r="K234" s="609"/>
      <c r="L234" s="1"/>
      <c r="M234" s="347"/>
      <c r="N234" s="347"/>
      <c r="O234" s="579">
        <f t="shared" si="2"/>
        <v>0</v>
      </c>
      <c r="P234" s="579">
        <f t="shared" si="126"/>
        <v>0</v>
      </c>
      <c r="Q234" s="574"/>
      <c r="R234" s="347"/>
      <c r="S234" s="597"/>
      <c r="T234" s="347"/>
      <c r="U234" s="579">
        <f t="shared" si="48"/>
        <v>0</v>
      </c>
      <c r="V234" s="579">
        <f t="shared" si="49"/>
        <v>0</v>
      </c>
      <c r="W234" s="574" t="str">
        <f t="shared" si="179"/>
        <v/>
      </c>
      <c r="X234" s="347" t="str">
        <f t="shared" si="170"/>
        <v/>
      </c>
      <c r="Y234" s="347" t="str">
        <f t="shared" si="188"/>
        <v/>
      </c>
      <c r="Z234" s="347" t="str">
        <f t="shared" si="171"/>
        <v/>
      </c>
      <c r="AA234" s="579">
        <f t="shared" si="6"/>
        <v>0</v>
      </c>
      <c r="AB234" s="581">
        <f t="shared" si="105"/>
        <v>0</v>
      </c>
      <c r="AC234" s="347"/>
      <c r="AD234" s="347"/>
      <c r="AE234" s="347"/>
      <c r="AF234" s="347"/>
      <c r="AG234" s="579">
        <f t="shared" si="54"/>
        <v>0</v>
      </c>
      <c r="AH234" s="579">
        <f t="shared" si="175"/>
        <v>0</v>
      </c>
      <c r="AI234" s="582"/>
      <c r="AJ234" s="582"/>
      <c r="AK234" s="582"/>
      <c r="AL234" s="582"/>
      <c r="AM234" s="579"/>
      <c r="AN234" s="579"/>
      <c r="AO234" s="347"/>
      <c r="AP234" s="581">
        <f t="shared" si="164"/>
        <v>0</v>
      </c>
      <c r="AQ234" s="596"/>
      <c r="AR234" s="596"/>
      <c r="AS234" s="348"/>
      <c r="AT234" s="348"/>
      <c r="AU234" s="348"/>
      <c r="AV234" s="348"/>
      <c r="AW234" s="348"/>
      <c r="AX234" s="584">
        <f t="shared" si="165"/>
        <v>0</v>
      </c>
      <c r="AY234" s="581">
        <f t="shared" si="12"/>
        <v>0</v>
      </c>
      <c r="AZ234" s="581">
        <f t="shared" si="159"/>
        <v>0</v>
      </c>
      <c r="BA234" s="596"/>
      <c r="BB234" s="596"/>
      <c r="BC234" s="348"/>
      <c r="BD234" s="581">
        <f t="shared" si="192"/>
        <v>0</v>
      </c>
      <c r="BE234" s="581">
        <f t="shared" si="37"/>
        <v>0</v>
      </c>
      <c r="BF234" s="347"/>
      <c r="BG234" s="347"/>
      <c r="BH234" s="347"/>
      <c r="BI234" s="347"/>
      <c r="BJ234" s="586">
        <f t="shared" si="187"/>
        <v>0</v>
      </c>
      <c r="BK234" s="581">
        <f t="shared" si="15"/>
        <v>0</v>
      </c>
      <c r="BL234" s="347"/>
      <c r="BM234" s="347"/>
      <c r="BN234" s="347"/>
      <c r="BO234" s="586">
        <f t="shared" si="189"/>
        <v>0</v>
      </c>
      <c r="BP234" s="584">
        <f t="shared" si="17"/>
        <v>0</v>
      </c>
      <c r="BQ234" s="347"/>
      <c r="BR234" s="581">
        <f t="shared" si="153"/>
        <v>0</v>
      </c>
      <c r="BS234" s="588">
        <f t="shared" si="180"/>
        <v>0</v>
      </c>
      <c r="BT234" s="581">
        <f t="shared" si="20"/>
        <v>0</v>
      </c>
      <c r="BU234" s="589"/>
      <c r="BV234" s="581">
        <f t="shared" si="44"/>
        <v>0</v>
      </c>
      <c r="BW234" s="590"/>
      <c r="BX234" s="347"/>
      <c r="BY234" s="347"/>
      <c r="BZ234" s="347"/>
      <c r="CA234" s="586">
        <f t="shared" si="129"/>
        <v>0</v>
      </c>
      <c r="CB234" s="581">
        <f t="shared" si="160"/>
        <v>0</v>
      </c>
      <c r="CC234" s="581">
        <f t="shared" si="131"/>
        <v>0</v>
      </c>
      <c r="CD234" s="581">
        <f t="shared" si="132"/>
        <v>0</v>
      </c>
      <c r="CE234" s="581">
        <f t="shared" si="133"/>
        <v>0</v>
      </c>
      <c r="CF234" s="581">
        <f t="shared" si="134"/>
        <v>0</v>
      </c>
      <c r="CG234" s="581">
        <f t="shared" si="135"/>
        <v>0</v>
      </c>
      <c r="CH234" s="608" t="str">
        <f t="shared" si="136"/>
        <v>#DIV/0!</v>
      </c>
      <c r="CI234" s="603" t="str">
        <f t="shared" si="137"/>
        <v>#DIV/0!</v>
      </c>
      <c r="CJ234" s="347"/>
      <c r="CK234" s="347">
        <f t="shared" si="138"/>
        <v>0</v>
      </c>
      <c r="CL234" s="539">
        <f t="shared" si="139"/>
        <v>0</v>
      </c>
      <c r="CM234" s="347">
        <f t="shared" si="140"/>
        <v>0</v>
      </c>
      <c r="CN234" s="347">
        <f t="shared" si="141"/>
        <v>0</v>
      </c>
      <c r="CO234" s="347" t="str">
        <f t="shared" si="142"/>
        <v>1899-12-30</v>
      </c>
      <c r="CP234" s="347"/>
    </row>
    <row r="235">
      <c r="A235" s="574">
        <f t="shared" si="147"/>
        <v>200177</v>
      </c>
      <c r="B235" s="574" t="str">
        <f t="shared" si="1"/>
        <v>Batch 200177</v>
      </c>
      <c r="C235" s="347"/>
      <c r="D235" s="574" t="str">
        <f t="shared" si="190"/>
        <v>2-77</v>
      </c>
      <c r="E235" s="347"/>
      <c r="F235" s="596"/>
      <c r="G235" s="596"/>
      <c r="H235" s="347"/>
      <c r="I235" s="347"/>
      <c r="J235" s="596"/>
      <c r="K235" s="609"/>
      <c r="L235" s="1"/>
      <c r="M235" s="347"/>
      <c r="N235" s="347"/>
      <c r="O235" s="579">
        <f t="shared" si="2"/>
        <v>0</v>
      </c>
      <c r="P235" s="579">
        <f t="shared" si="126"/>
        <v>0</v>
      </c>
      <c r="Q235" s="574"/>
      <c r="R235" s="347"/>
      <c r="S235" s="597"/>
      <c r="T235" s="347"/>
      <c r="U235" s="579">
        <f t="shared" si="48"/>
        <v>0</v>
      </c>
      <c r="V235" s="579">
        <f t="shared" si="49"/>
        <v>0</v>
      </c>
      <c r="W235" s="574" t="str">
        <f t="shared" si="179"/>
        <v/>
      </c>
      <c r="X235" s="347" t="str">
        <f t="shared" si="170"/>
        <v/>
      </c>
      <c r="Y235" s="347" t="str">
        <f t="shared" si="188"/>
        <v/>
      </c>
      <c r="Z235" s="347" t="str">
        <f t="shared" si="171"/>
        <v/>
      </c>
      <c r="AA235" s="579">
        <f t="shared" si="6"/>
        <v>0</v>
      </c>
      <c r="AB235" s="581">
        <f t="shared" si="105"/>
        <v>0</v>
      </c>
      <c r="AC235" s="347"/>
      <c r="AD235" s="347"/>
      <c r="AE235" s="347"/>
      <c r="AF235" s="347"/>
      <c r="AG235" s="579">
        <f t="shared" si="54"/>
        <v>0</v>
      </c>
      <c r="AH235" s="579">
        <f t="shared" si="175"/>
        <v>0</v>
      </c>
      <c r="AI235" s="582"/>
      <c r="AJ235" s="582"/>
      <c r="AK235" s="582"/>
      <c r="AL235" s="582"/>
      <c r="AM235" s="579"/>
      <c r="AN235" s="579"/>
      <c r="AO235" s="347"/>
      <c r="AP235" s="581">
        <f t="shared" si="164"/>
        <v>0</v>
      </c>
      <c r="AQ235" s="596"/>
      <c r="AR235" s="596"/>
      <c r="AS235" s="348"/>
      <c r="AT235" s="348"/>
      <c r="AU235" s="348"/>
      <c r="AV235" s="348"/>
      <c r="AW235" s="348"/>
      <c r="AX235" s="584">
        <f t="shared" si="165"/>
        <v>0</v>
      </c>
      <c r="AY235" s="581">
        <f t="shared" si="12"/>
        <v>0</v>
      </c>
      <c r="AZ235" s="581">
        <f t="shared" si="159"/>
        <v>0</v>
      </c>
      <c r="BA235" s="596"/>
      <c r="BB235" s="596"/>
      <c r="BC235" s="348"/>
      <c r="BD235" s="581">
        <f t="shared" si="192"/>
        <v>0</v>
      </c>
      <c r="BE235" s="581">
        <f t="shared" si="37"/>
        <v>0</v>
      </c>
      <c r="BF235" s="347"/>
      <c r="BG235" s="347"/>
      <c r="BH235" s="347"/>
      <c r="BI235" s="347"/>
      <c r="BJ235" s="586">
        <f t="shared" si="187"/>
        <v>0</v>
      </c>
      <c r="BK235" s="581">
        <f t="shared" si="15"/>
        <v>0</v>
      </c>
      <c r="BL235" s="347"/>
      <c r="BM235" s="347"/>
      <c r="BN235" s="347"/>
      <c r="BO235" s="586">
        <f t="shared" si="189"/>
        <v>0</v>
      </c>
      <c r="BP235" s="584">
        <f t="shared" si="17"/>
        <v>0</v>
      </c>
      <c r="BQ235" s="347"/>
      <c r="BR235" s="581">
        <f t="shared" si="153"/>
        <v>0</v>
      </c>
      <c r="BS235" s="588">
        <f t="shared" si="180"/>
        <v>0</v>
      </c>
      <c r="BT235" s="581">
        <f t="shared" si="20"/>
        <v>0</v>
      </c>
      <c r="BU235" s="589"/>
      <c r="BV235" s="581">
        <f t="shared" si="44"/>
        <v>0</v>
      </c>
      <c r="BW235" s="590"/>
      <c r="BX235" s="347"/>
      <c r="BY235" s="347"/>
      <c r="BZ235" s="347"/>
      <c r="CA235" s="586">
        <f t="shared" si="129"/>
        <v>0</v>
      </c>
      <c r="CB235" s="581">
        <f t="shared" si="160"/>
        <v>0</v>
      </c>
      <c r="CC235" s="581">
        <f t="shared" si="131"/>
        <v>0</v>
      </c>
      <c r="CD235" s="581">
        <f t="shared" si="132"/>
        <v>0</v>
      </c>
      <c r="CE235" s="581">
        <f t="shared" si="133"/>
        <v>0</v>
      </c>
      <c r="CF235" s="581">
        <f t="shared" si="134"/>
        <v>0</v>
      </c>
      <c r="CG235" s="581">
        <f t="shared" si="135"/>
        <v>0</v>
      </c>
      <c r="CH235" s="608" t="str">
        <f t="shared" si="136"/>
        <v>#DIV/0!</v>
      </c>
      <c r="CI235" s="603" t="str">
        <f t="shared" si="137"/>
        <v>#DIV/0!</v>
      </c>
      <c r="CJ235" s="347"/>
      <c r="CK235" s="347">
        <f t="shared" si="138"/>
        <v>0</v>
      </c>
      <c r="CL235" s="539">
        <f t="shared" si="139"/>
        <v>0</v>
      </c>
      <c r="CM235" s="347">
        <f t="shared" si="140"/>
        <v>0</v>
      </c>
      <c r="CN235" s="347">
        <f t="shared" si="141"/>
        <v>0</v>
      </c>
      <c r="CO235" s="347" t="str">
        <f t="shared" si="142"/>
        <v>1899-12-30</v>
      </c>
      <c r="CP235" s="347"/>
    </row>
    <row r="236">
      <c r="A236" s="574">
        <f t="shared" si="147"/>
        <v>300110</v>
      </c>
      <c r="B236" s="574" t="str">
        <f t="shared" si="1"/>
        <v>Batch 300110</v>
      </c>
      <c r="C236" s="347"/>
      <c r="D236" s="574" t="str">
        <f t="shared" si="190"/>
        <v>3-10</v>
      </c>
      <c r="E236" s="347"/>
      <c r="F236" s="596"/>
      <c r="G236" s="596"/>
      <c r="H236" s="347"/>
      <c r="I236" s="347"/>
      <c r="J236" s="596"/>
      <c r="K236" s="609"/>
      <c r="L236" s="1"/>
      <c r="M236" s="347"/>
      <c r="N236" s="347"/>
      <c r="O236" s="579">
        <f t="shared" si="2"/>
        <v>0</v>
      </c>
      <c r="P236" s="579">
        <f t="shared" si="126"/>
        <v>0</v>
      </c>
      <c r="Q236" s="574"/>
      <c r="R236" s="347"/>
      <c r="S236" s="597"/>
      <c r="T236" s="347"/>
      <c r="U236" s="579">
        <f t="shared" si="48"/>
        <v>0</v>
      </c>
      <c r="V236" s="579">
        <f t="shared" si="49"/>
        <v>0</v>
      </c>
      <c r="W236" s="574" t="str">
        <f t="shared" si="179"/>
        <v/>
      </c>
      <c r="X236" s="347" t="str">
        <f t="shared" si="170"/>
        <v/>
      </c>
      <c r="Y236" s="347" t="str">
        <f t="shared" si="188"/>
        <v/>
      </c>
      <c r="Z236" s="347" t="str">
        <f t="shared" si="171"/>
        <v/>
      </c>
      <c r="AA236" s="579">
        <f t="shared" si="6"/>
        <v>0</v>
      </c>
      <c r="AB236" s="581">
        <f t="shared" si="105"/>
        <v>0</v>
      </c>
      <c r="AC236" s="347"/>
      <c r="AD236" s="347"/>
      <c r="AE236" s="347"/>
      <c r="AF236" s="347"/>
      <c r="AG236" s="579">
        <f t="shared" si="54"/>
        <v>0</v>
      </c>
      <c r="AH236" s="579">
        <f t="shared" si="175"/>
        <v>0</v>
      </c>
      <c r="AI236" s="582"/>
      <c r="AJ236" s="582"/>
      <c r="AK236" s="582"/>
      <c r="AL236" s="582"/>
      <c r="AM236" s="579"/>
      <c r="AN236" s="579"/>
      <c r="AO236" s="347"/>
      <c r="AP236" s="581">
        <f t="shared" si="164"/>
        <v>0</v>
      </c>
      <c r="AQ236" s="596"/>
      <c r="AR236" s="596"/>
      <c r="AS236" s="348"/>
      <c r="AT236" s="348"/>
      <c r="AU236" s="348"/>
      <c r="AV236" s="348"/>
      <c r="AW236" s="348"/>
      <c r="AX236" s="584">
        <f t="shared" si="165"/>
        <v>0</v>
      </c>
      <c r="AY236" s="581">
        <f t="shared" si="12"/>
        <v>0</v>
      </c>
      <c r="AZ236" s="581">
        <f t="shared" si="159"/>
        <v>0</v>
      </c>
      <c r="BA236" s="596"/>
      <c r="BB236" s="596"/>
      <c r="BC236" s="348"/>
      <c r="BD236" s="581">
        <f t="shared" si="192"/>
        <v>0</v>
      </c>
      <c r="BE236" s="581">
        <f t="shared" si="37"/>
        <v>0</v>
      </c>
      <c r="BF236" s="347"/>
      <c r="BG236" s="347"/>
      <c r="BH236" s="347"/>
      <c r="BI236" s="347"/>
      <c r="BJ236" s="586">
        <f t="shared" si="187"/>
        <v>0</v>
      </c>
      <c r="BK236" s="581">
        <f t="shared" si="15"/>
        <v>0</v>
      </c>
      <c r="BL236" s="347"/>
      <c r="BM236" s="347"/>
      <c r="BN236" s="347"/>
      <c r="BO236" s="586">
        <f t="shared" si="189"/>
        <v>0</v>
      </c>
      <c r="BP236" s="584">
        <f t="shared" si="17"/>
        <v>0</v>
      </c>
      <c r="BQ236" s="347"/>
      <c r="BR236" s="581">
        <f t="shared" si="153"/>
        <v>0</v>
      </c>
      <c r="BS236" s="588">
        <f t="shared" si="180"/>
        <v>0</v>
      </c>
      <c r="BT236" s="581">
        <f t="shared" si="20"/>
        <v>0</v>
      </c>
      <c r="BU236" s="589"/>
      <c r="BV236" s="581">
        <f t="shared" si="44"/>
        <v>0</v>
      </c>
      <c r="BW236" s="590"/>
      <c r="BX236" s="347"/>
      <c r="BY236" s="347"/>
      <c r="BZ236" s="347"/>
      <c r="CA236" s="586">
        <f t="shared" si="129"/>
        <v>0</v>
      </c>
      <c r="CB236" s="581">
        <f t="shared" si="160"/>
        <v>0</v>
      </c>
      <c r="CC236" s="581">
        <f t="shared" si="131"/>
        <v>0</v>
      </c>
      <c r="CD236" s="581">
        <f t="shared" si="132"/>
        <v>0</v>
      </c>
      <c r="CE236" s="581">
        <f t="shared" si="133"/>
        <v>0</v>
      </c>
      <c r="CF236" s="581">
        <f t="shared" si="134"/>
        <v>0</v>
      </c>
      <c r="CG236" s="581">
        <f t="shared" si="135"/>
        <v>0</v>
      </c>
      <c r="CH236" s="608" t="str">
        <f t="shared" si="136"/>
        <v>#DIV/0!</v>
      </c>
      <c r="CI236" s="603" t="str">
        <f t="shared" si="137"/>
        <v>#DIV/0!</v>
      </c>
      <c r="CJ236" s="347"/>
      <c r="CK236" s="347">
        <f t="shared" si="138"/>
        <v>0</v>
      </c>
      <c r="CL236" s="539">
        <f t="shared" si="139"/>
        <v>0</v>
      </c>
      <c r="CM236" s="347">
        <f t="shared" si="140"/>
        <v>0</v>
      </c>
      <c r="CN236" s="347">
        <f t="shared" si="141"/>
        <v>0</v>
      </c>
      <c r="CO236" s="347" t="str">
        <f t="shared" si="142"/>
        <v>1899-12-30</v>
      </c>
      <c r="CP236" s="347"/>
    </row>
    <row r="237">
      <c r="A237" s="574">
        <f t="shared" si="147"/>
        <v>200178</v>
      </c>
      <c r="B237" s="574" t="str">
        <f t="shared" si="1"/>
        <v>Batch 200178</v>
      </c>
      <c r="C237" s="347"/>
      <c r="D237" s="574" t="str">
        <f t="shared" si="190"/>
        <v>2-78</v>
      </c>
      <c r="E237" s="347"/>
      <c r="F237" s="596"/>
      <c r="G237" s="596"/>
      <c r="H237" s="347"/>
      <c r="I237" s="347"/>
      <c r="J237" s="596"/>
      <c r="K237" s="609"/>
      <c r="L237" s="1"/>
      <c r="M237" s="347"/>
      <c r="N237" s="347"/>
      <c r="O237" s="579">
        <f t="shared" si="2"/>
        <v>0</v>
      </c>
      <c r="P237" s="579">
        <f t="shared" si="126"/>
        <v>0</v>
      </c>
      <c r="Q237" s="574"/>
      <c r="R237" s="347"/>
      <c r="S237" s="597"/>
      <c r="T237" s="347"/>
      <c r="U237" s="579">
        <f t="shared" si="48"/>
        <v>0</v>
      </c>
      <c r="V237" s="579">
        <f t="shared" si="49"/>
        <v>0</v>
      </c>
      <c r="W237" s="574" t="str">
        <f t="shared" si="179"/>
        <v/>
      </c>
      <c r="X237" s="347" t="str">
        <f t="shared" si="170"/>
        <v/>
      </c>
      <c r="Y237" s="347" t="str">
        <f t="shared" si="188"/>
        <v/>
      </c>
      <c r="Z237" s="347" t="str">
        <f t="shared" si="171"/>
        <v/>
      </c>
      <c r="AA237" s="579">
        <f t="shared" si="6"/>
        <v>0</v>
      </c>
      <c r="AB237" s="581">
        <f t="shared" si="105"/>
        <v>0</v>
      </c>
      <c r="AC237" s="347"/>
      <c r="AD237" s="347"/>
      <c r="AE237" s="347"/>
      <c r="AF237" s="347"/>
      <c r="AG237" s="579">
        <f t="shared" si="54"/>
        <v>0</v>
      </c>
      <c r="AH237" s="579">
        <f t="shared" si="175"/>
        <v>0</v>
      </c>
      <c r="AI237" s="582"/>
      <c r="AJ237" s="582"/>
      <c r="AK237" s="582"/>
      <c r="AL237" s="582"/>
      <c r="AM237" s="579"/>
      <c r="AN237" s="579"/>
      <c r="AO237" s="347"/>
      <c r="AP237" s="581">
        <f t="shared" si="164"/>
        <v>0</v>
      </c>
      <c r="AQ237" s="596"/>
      <c r="AR237" s="596"/>
      <c r="AS237" s="348"/>
      <c r="AT237" s="348"/>
      <c r="AU237" s="348"/>
      <c r="AV237" s="348"/>
      <c r="AW237" s="348"/>
      <c r="AX237" s="584">
        <f t="shared" si="165"/>
        <v>0</v>
      </c>
      <c r="AY237" s="581">
        <f t="shared" si="12"/>
        <v>0</v>
      </c>
      <c r="AZ237" s="581">
        <f t="shared" si="159"/>
        <v>0</v>
      </c>
      <c r="BA237" s="596"/>
      <c r="BB237" s="596"/>
      <c r="BC237" s="348"/>
      <c r="BD237" s="581">
        <f t="shared" si="192"/>
        <v>0</v>
      </c>
      <c r="BE237" s="581">
        <f t="shared" si="37"/>
        <v>0</v>
      </c>
      <c r="BF237" s="347"/>
      <c r="BG237" s="347"/>
      <c r="BH237" s="347"/>
      <c r="BI237" s="347"/>
      <c r="BJ237" s="586">
        <f t="shared" si="187"/>
        <v>0</v>
      </c>
      <c r="BK237" s="581">
        <f t="shared" si="15"/>
        <v>0</v>
      </c>
      <c r="BL237" s="347"/>
      <c r="BM237" s="347"/>
      <c r="BN237" s="347"/>
      <c r="BO237" s="586">
        <f t="shared" si="189"/>
        <v>0</v>
      </c>
      <c r="BP237" s="584">
        <f t="shared" si="17"/>
        <v>0</v>
      </c>
      <c r="BQ237" s="347"/>
      <c r="BR237" s="581">
        <f t="shared" si="153"/>
        <v>0</v>
      </c>
      <c r="BS237" s="588">
        <f t="shared" si="180"/>
        <v>0</v>
      </c>
      <c r="BT237" s="581">
        <f t="shared" si="20"/>
        <v>0</v>
      </c>
      <c r="BU237" s="589"/>
      <c r="BV237" s="581">
        <f t="shared" si="44"/>
        <v>0</v>
      </c>
      <c r="BW237" s="590"/>
      <c r="BX237" s="347"/>
      <c r="BY237" s="347"/>
      <c r="BZ237" s="347"/>
      <c r="CA237" s="586">
        <f t="shared" si="129"/>
        <v>0</v>
      </c>
      <c r="CB237" s="581">
        <f t="shared" si="160"/>
        <v>0</v>
      </c>
      <c r="CC237" s="581">
        <f t="shared" si="131"/>
        <v>0</v>
      </c>
      <c r="CD237" s="581">
        <f t="shared" si="132"/>
        <v>0</v>
      </c>
      <c r="CE237" s="581">
        <f t="shared" si="133"/>
        <v>0</v>
      </c>
      <c r="CF237" s="581">
        <f t="shared" si="134"/>
        <v>0</v>
      </c>
      <c r="CG237" s="581">
        <f t="shared" si="135"/>
        <v>0</v>
      </c>
      <c r="CH237" s="608" t="str">
        <f t="shared" si="136"/>
        <v>#DIV/0!</v>
      </c>
      <c r="CI237" s="603" t="str">
        <f t="shared" si="137"/>
        <v>#DIV/0!</v>
      </c>
      <c r="CJ237" s="347"/>
      <c r="CK237" s="347">
        <f t="shared" si="138"/>
        <v>0</v>
      </c>
      <c r="CL237" s="539">
        <f t="shared" si="139"/>
        <v>0</v>
      </c>
      <c r="CM237" s="347">
        <f t="shared" si="140"/>
        <v>0</v>
      </c>
      <c r="CN237" s="347">
        <f t="shared" si="141"/>
        <v>0</v>
      </c>
      <c r="CO237" s="347" t="str">
        <f t="shared" si="142"/>
        <v>1899-12-30</v>
      </c>
      <c r="CP237" s="347"/>
    </row>
    <row r="238">
      <c r="A238" s="574">
        <f t="shared" si="147"/>
        <v>300111</v>
      </c>
      <c r="B238" s="574" t="str">
        <f t="shared" si="1"/>
        <v>Batch 300111</v>
      </c>
      <c r="C238" s="347"/>
      <c r="D238" s="574" t="str">
        <f t="shared" si="190"/>
        <v>3-11</v>
      </c>
      <c r="E238" s="347"/>
      <c r="F238" s="596"/>
      <c r="G238" s="596"/>
      <c r="H238" s="347"/>
      <c r="I238" s="347"/>
      <c r="J238" s="596"/>
      <c r="K238" s="609"/>
      <c r="L238" s="1"/>
      <c r="M238" s="347"/>
      <c r="N238" s="347"/>
      <c r="O238" s="579">
        <f t="shared" si="2"/>
        <v>0</v>
      </c>
      <c r="P238" s="579">
        <f t="shared" si="126"/>
        <v>0</v>
      </c>
      <c r="Q238" s="574"/>
      <c r="R238" s="347"/>
      <c r="S238" s="597"/>
      <c r="T238" s="347"/>
      <c r="U238" s="579">
        <f t="shared" si="48"/>
        <v>0</v>
      </c>
      <c r="V238" s="579">
        <f t="shared" si="49"/>
        <v>0</v>
      </c>
      <c r="W238" s="574" t="str">
        <f t="shared" si="179"/>
        <v/>
      </c>
      <c r="X238" s="347" t="str">
        <f t="shared" si="170"/>
        <v/>
      </c>
      <c r="Y238" s="347" t="str">
        <f t="shared" si="188"/>
        <v/>
      </c>
      <c r="Z238" s="347" t="str">
        <f t="shared" si="171"/>
        <v/>
      </c>
      <c r="AA238" s="579">
        <f t="shared" si="6"/>
        <v>0</v>
      </c>
      <c r="AB238" s="581">
        <f t="shared" si="105"/>
        <v>0</v>
      </c>
      <c r="AC238" s="347"/>
      <c r="AD238" s="347"/>
      <c r="AE238" s="347"/>
      <c r="AF238" s="347"/>
      <c r="AG238" s="579">
        <f t="shared" si="54"/>
        <v>0</v>
      </c>
      <c r="AH238" s="579">
        <f t="shared" si="175"/>
        <v>0</v>
      </c>
      <c r="AI238" s="582"/>
      <c r="AJ238" s="582"/>
      <c r="AK238" s="582"/>
      <c r="AL238" s="582"/>
      <c r="AM238" s="579"/>
      <c r="AN238" s="579"/>
      <c r="AO238" s="347"/>
      <c r="AP238" s="581">
        <f t="shared" si="164"/>
        <v>0</v>
      </c>
      <c r="AQ238" s="596"/>
      <c r="AR238" s="596"/>
      <c r="AS238" s="348"/>
      <c r="AT238" s="348"/>
      <c r="AU238" s="348"/>
      <c r="AV238" s="348"/>
      <c r="AW238" s="348"/>
      <c r="AX238" s="584">
        <f t="shared" si="165"/>
        <v>0</v>
      </c>
      <c r="AY238" s="581">
        <f t="shared" si="12"/>
        <v>0</v>
      </c>
      <c r="AZ238" s="581">
        <f t="shared" si="159"/>
        <v>0</v>
      </c>
      <c r="BA238" s="596"/>
      <c r="BB238" s="596"/>
      <c r="BC238" s="348"/>
      <c r="BD238" s="581">
        <f t="shared" si="192"/>
        <v>0</v>
      </c>
      <c r="BE238" s="581">
        <f t="shared" si="37"/>
        <v>0</v>
      </c>
      <c r="BF238" s="347"/>
      <c r="BG238" s="347"/>
      <c r="BH238" s="347"/>
      <c r="BI238" s="347"/>
      <c r="BJ238" s="586">
        <f t="shared" si="187"/>
        <v>0</v>
      </c>
      <c r="BK238" s="581">
        <f t="shared" si="15"/>
        <v>0</v>
      </c>
      <c r="BL238" s="347"/>
      <c r="BM238" s="347"/>
      <c r="BN238" s="347"/>
      <c r="BO238" s="586">
        <f t="shared" si="189"/>
        <v>0</v>
      </c>
      <c r="BP238" s="584">
        <f t="shared" si="17"/>
        <v>0</v>
      </c>
      <c r="BQ238" s="347"/>
      <c r="BR238" s="581">
        <f t="shared" si="153"/>
        <v>0</v>
      </c>
      <c r="BS238" s="588">
        <f t="shared" si="180"/>
        <v>0</v>
      </c>
      <c r="BT238" s="581">
        <f t="shared" si="20"/>
        <v>0</v>
      </c>
      <c r="BU238" s="589"/>
      <c r="BV238" s="581">
        <f t="shared" si="44"/>
        <v>0</v>
      </c>
      <c r="BW238" s="590"/>
      <c r="BX238" s="347"/>
      <c r="BY238" s="347"/>
      <c r="BZ238" s="347"/>
      <c r="CA238" s="586">
        <f t="shared" si="129"/>
        <v>0</v>
      </c>
      <c r="CB238" s="581">
        <f t="shared" si="160"/>
        <v>0</v>
      </c>
      <c r="CC238" s="581">
        <f t="shared" si="131"/>
        <v>0</v>
      </c>
      <c r="CD238" s="581">
        <f t="shared" si="132"/>
        <v>0</v>
      </c>
      <c r="CE238" s="581">
        <f t="shared" si="133"/>
        <v>0</v>
      </c>
      <c r="CF238" s="581">
        <f t="shared" si="134"/>
        <v>0</v>
      </c>
      <c r="CG238" s="581">
        <f t="shared" si="135"/>
        <v>0</v>
      </c>
      <c r="CH238" s="608" t="str">
        <f t="shared" si="136"/>
        <v>#DIV/0!</v>
      </c>
      <c r="CI238" s="603" t="str">
        <f t="shared" si="137"/>
        <v>#DIV/0!</v>
      </c>
      <c r="CJ238" s="347"/>
      <c r="CK238" s="347">
        <f t="shared" si="138"/>
        <v>0</v>
      </c>
      <c r="CL238" s="539">
        <f t="shared" si="139"/>
        <v>0</v>
      </c>
      <c r="CM238" s="347">
        <f t="shared" si="140"/>
        <v>0</v>
      </c>
      <c r="CN238" s="347">
        <f t="shared" si="141"/>
        <v>0</v>
      </c>
      <c r="CO238" s="347" t="str">
        <f t="shared" si="142"/>
        <v>1899-12-30</v>
      </c>
      <c r="CP238" s="347"/>
    </row>
    <row r="239">
      <c r="A239" s="574">
        <f t="shared" si="147"/>
        <v>200179</v>
      </c>
      <c r="B239" s="574" t="str">
        <f t="shared" si="1"/>
        <v>Batch 200179</v>
      </c>
      <c r="C239" s="347"/>
      <c r="D239" s="574" t="str">
        <f t="shared" si="190"/>
        <v>2-79</v>
      </c>
      <c r="E239" s="347"/>
      <c r="F239" s="596"/>
      <c r="G239" s="596"/>
      <c r="H239" s="347"/>
      <c r="I239" s="347"/>
      <c r="J239" s="596"/>
      <c r="K239" s="609"/>
      <c r="L239" s="1"/>
      <c r="M239" s="347"/>
      <c r="N239" s="347"/>
      <c r="O239" s="579">
        <f t="shared" si="2"/>
        <v>0</v>
      </c>
      <c r="P239" s="579">
        <f t="shared" si="126"/>
        <v>0</v>
      </c>
      <c r="Q239" s="574"/>
      <c r="R239" s="347"/>
      <c r="S239" s="597"/>
      <c r="T239" s="347"/>
      <c r="U239" s="579">
        <f t="shared" si="48"/>
        <v>0</v>
      </c>
      <c r="V239" s="579">
        <f t="shared" si="49"/>
        <v>0</v>
      </c>
      <c r="W239" s="574" t="str">
        <f t="shared" si="179"/>
        <v/>
      </c>
      <c r="X239" s="347" t="str">
        <f t="shared" si="170"/>
        <v/>
      </c>
      <c r="Y239" s="347" t="str">
        <f t="shared" si="188"/>
        <v/>
      </c>
      <c r="Z239" s="347" t="str">
        <f t="shared" si="171"/>
        <v/>
      </c>
      <c r="AA239" s="579">
        <f t="shared" si="6"/>
        <v>0</v>
      </c>
      <c r="AB239" s="581">
        <f t="shared" si="105"/>
        <v>0</v>
      </c>
      <c r="AC239" s="347"/>
      <c r="AD239" s="347"/>
      <c r="AE239" s="347"/>
      <c r="AF239" s="347"/>
      <c r="AG239" s="579">
        <f t="shared" si="54"/>
        <v>0</v>
      </c>
      <c r="AH239" s="579">
        <f t="shared" si="175"/>
        <v>0</v>
      </c>
      <c r="AI239" s="582"/>
      <c r="AJ239" s="582"/>
      <c r="AK239" s="582"/>
      <c r="AL239" s="582"/>
      <c r="AM239" s="579"/>
      <c r="AN239" s="579"/>
      <c r="AO239" s="347"/>
      <c r="AP239" s="581">
        <f t="shared" si="164"/>
        <v>0</v>
      </c>
      <c r="AQ239" s="596"/>
      <c r="AR239" s="596"/>
      <c r="AS239" s="348"/>
      <c r="AT239" s="348"/>
      <c r="AU239" s="348"/>
      <c r="AV239" s="348"/>
      <c r="AW239" s="348"/>
      <c r="AX239" s="584">
        <f t="shared" si="165"/>
        <v>0</v>
      </c>
      <c r="AY239" s="581">
        <f t="shared" si="12"/>
        <v>0</v>
      </c>
      <c r="AZ239" s="581">
        <f t="shared" si="159"/>
        <v>0</v>
      </c>
      <c r="BA239" s="596"/>
      <c r="BB239" s="596"/>
      <c r="BC239" s="348"/>
      <c r="BD239" s="581">
        <f t="shared" si="192"/>
        <v>0</v>
      </c>
      <c r="BE239" s="581">
        <f t="shared" si="37"/>
        <v>0</v>
      </c>
      <c r="BF239" s="347"/>
      <c r="BG239" s="347"/>
      <c r="BH239" s="347"/>
      <c r="BI239" s="347"/>
      <c r="BJ239" s="586">
        <f t="shared" si="187"/>
        <v>0</v>
      </c>
      <c r="BK239" s="581">
        <f t="shared" si="15"/>
        <v>0</v>
      </c>
      <c r="BL239" s="347"/>
      <c r="BM239" s="347"/>
      <c r="BN239" s="347"/>
      <c r="BO239" s="586">
        <f t="shared" si="189"/>
        <v>0</v>
      </c>
      <c r="BP239" s="584">
        <f t="shared" si="17"/>
        <v>0</v>
      </c>
      <c r="BQ239" s="347"/>
      <c r="BR239" s="581">
        <f t="shared" si="153"/>
        <v>0</v>
      </c>
      <c r="BS239" s="588">
        <f t="shared" si="180"/>
        <v>0</v>
      </c>
      <c r="BT239" s="581">
        <f t="shared" si="20"/>
        <v>0</v>
      </c>
      <c r="BU239" s="589"/>
      <c r="BV239" s="581">
        <f t="shared" si="44"/>
        <v>0</v>
      </c>
      <c r="BW239" s="590"/>
      <c r="BX239" s="347"/>
      <c r="BY239" s="347"/>
      <c r="BZ239" s="347"/>
      <c r="CA239" s="586">
        <f t="shared" si="129"/>
        <v>0</v>
      </c>
      <c r="CB239" s="581">
        <f t="shared" si="160"/>
        <v>0</v>
      </c>
      <c r="CC239" s="581">
        <f t="shared" si="131"/>
        <v>0</v>
      </c>
      <c r="CD239" s="581">
        <f t="shared" si="132"/>
        <v>0</v>
      </c>
      <c r="CE239" s="581">
        <f t="shared" si="133"/>
        <v>0</v>
      </c>
      <c r="CF239" s="581">
        <f t="shared" si="134"/>
        <v>0</v>
      </c>
      <c r="CG239" s="581">
        <f t="shared" si="135"/>
        <v>0</v>
      </c>
      <c r="CH239" s="608" t="str">
        <f t="shared" si="136"/>
        <v>#DIV/0!</v>
      </c>
      <c r="CI239" s="603" t="str">
        <f t="shared" si="137"/>
        <v>#DIV/0!</v>
      </c>
      <c r="CJ239" s="347"/>
      <c r="CK239" s="347">
        <f t="shared" si="138"/>
        <v>0</v>
      </c>
      <c r="CL239" s="539">
        <f t="shared" si="139"/>
        <v>0</v>
      </c>
      <c r="CM239" s="347">
        <f t="shared" si="140"/>
        <v>0</v>
      </c>
      <c r="CN239" s="347">
        <f t="shared" si="141"/>
        <v>0</v>
      </c>
      <c r="CO239" s="347" t="str">
        <f t="shared" si="142"/>
        <v>1899-12-30</v>
      </c>
      <c r="CP239" s="347"/>
    </row>
    <row r="240">
      <c r="A240" s="574">
        <f t="shared" si="147"/>
        <v>300112</v>
      </c>
      <c r="B240" s="574" t="str">
        <f t="shared" si="1"/>
        <v>Batch 300112</v>
      </c>
      <c r="C240" s="347"/>
      <c r="D240" s="574" t="str">
        <f t="shared" si="190"/>
        <v>3-12</v>
      </c>
      <c r="E240" s="347"/>
      <c r="F240" s="596"/>
      <c r="G240" s="596"/>
      <c r="H240" s="347"/>
      <c r="I240" s="347"/>
      <c r="J240" s="596"/>
      <c r="K240" s="609"/>
      <c r="L240" s="1"/>
      <c r="M240" s="347"/>
      <c r="N240" s="347"/>
      <c r="O240" s="579">
        <f t="shared" si="2"/>
        <v>0</v>
      </c>
      <c r="P240" s="579">
        <f t="shared" si="126"/>
        <v>0</v>
      </c>
      <c r="Q240" s="574"/>
      <c r="R240" s="347"/>
      <c r="S240" s="597"/>
      <c r="T240" s="347"/>
      <c r="U240" s="579">
        <f t="shared" si="48"/>
        <v>0</v>
      </c>
      <c r="V240" s="579">
        <f t="shared" si="49"/>
        <v>0</v>
      </c>
      <c r="W240" s="574" t="str">
        <f t="shared" si="179"/>
        <v/>
      </c>
      <c r="X240" s="347" t="str">
        <f t="shared" si="170"/>
        <v/>
      </c>
      <c r="Y240" s="347" t="str">
        <f t="shared" si="188"/>
        <v/>
      </c>
      <c r="Z240" s="347" t="str">
        <f t="shared" si="171"/>
        <v/>
      </c>
      <c r="AA240" s="579">
        <f t="shared" si="6"/>
        <v>0</v>
      </c>
      <c r="AB240" s="581">
        <f t="shared" si="105"/>
        <v>0</v>
      </c>
      <c r="AC240" s="347"/>
      <c r="AD240" s="347"/>
      <c r="AE240" s="347"/>
      <c r="AF240" s="347"/>
      <c r="AG240" s="579">
        <f t="shared" si="54"/>
        <v>0</v>
      </c>
      <c r="AH240" s="579">
        <f t="shared" si="175"/>
        <v>0</v>
      </c>
      <c r="AI240" s="582"/>
      <c r="AJ240" s="582"/>
      <c r="AK240" s="582"/>
      <c r="AL240" s="582"/>
      <c r="AM240" s="579"/>
      <c r="AN240" s="579"/>
      <c r="AO240" s="347"/>
      <c r="AP240" s="581">
        <f t="shared" si="164"/>
        <v>0</v>
      </c>
      <c r="AQ240" s="596"/>
      <c r="AR240" s="596"/>
      <c r="AS240" s="348"/>
      <c r="AT240" s="348"/>
      <c r="AU240" s="348"/>
      <c r="AV240" s="348"/>
      <c r="AW240" s="348"/>
      <c r="AX240" s="584">
        <f t="shared" si="165"/>
        <v>0</v>
      </c>
      <c r="AY240" s="581">
        <f t="shared" si="12"/>
        <v>0</v>
      </c>
      <c r="AZ240" s="581">
        <f t="shared" si="159"/>
        <v>0</v>
      </c>
      <c r="BA240" s="596"/>
      <c r="BB240" s="596"/>
      <c r="BC240" s="348"/>
      <c r="BD240" s="581">
        <f t="shared" si="192"/>
        <v>0</v>
      </c>
      <c r="BE240" s="581">
        <f t="shared" si="37"/>
        <v>0</v>
      </c>
      <c r="BF240" s="347"/>
      <c r="BG240" s="347"/>
      <c r="BH240" s="347"/>
      <c r="BI240" s="347"/>
      <c r="BJ240" s="586">
        <f t="shared" si="187"/>
        <v>0</v>
      </c>
      <c r="BK240" s="581">
        <f t="shared" si="15"/>
        <v>0</v>
      </c>
      <c r="BL240" s="347"/>
      <c r="BM240" s="347"/>
      <c r="BN240" s="347"/>
      <c r="BO240" s="586">
        <f t="shared" si="189"/>
        <v>0</v>
      </c>
      <c r="BP240" s="584">
        <f t="shared" si="17"/>
        <v>0</v>
      </c>
      <c r="BQ240" s="347"/>
      <c r="BR240" s="581">
        <f t="shared" si="153"/>
        <v>0</v>
      </c>
      <c r="BS240" s="588">
        <f t="shared" si="180"/>
        <v>0</v>
      </c>
      <c r="BT240" s="581">
        <f t="shared" si="20"/>
        <v>0</v>
      </c>
      <c r="BU240" s="589"/>
      <c r="BV240" s="581">
        <f t="shared" si="44"/>
        <v>0</v>
      </c>
      <c r="BW240" s="590"/>
      <c r="BX240" s="347"/>
      <c r="BY240" s="347"/>
      <c r="BZ240" s="347"/>
      <c r="CA240" s="586">
        <f t="shared" si="129"/>
        <v>0</v>
      </c>
      <c r="CB240" s="581">
        <f t="shared" si="160"/>
        <v>0</v>
      </c>
      <c r="CC240" s="581">
        <f t="shared" si="131"/>
        <v>0</v>
      </c>
      <c r="CD240" s="581">
        <f t="shared" si="132"/>
        <v>0</v>
      </c>
      <c r="CE240" s="581">
        <f t="shared" si="133"/>
        <v>0</v>
      </c>
      <c r="CF240" s="581">
        <f t="shared" si="134"/>
        <v>0</v>
      </c>
      <c r="CG240" s="581">
        <f t="shared" si="135"/>
        <v>0</v>
      </c>
      <c r="CH240" s="608" t="str">
        <f t="shared" si="136"/>
        <v>#DIV/0!</v>
      </c>
      <c r="CI240" s="603" t="str">
        <f t="shared" si="137"/>
        <v>#DIV/0!</v>
      </c>
      <c r="CJ240" s="347"/>
      <c r="CK240" s="347">
        <f t="shared" si="138"/>
        <v>0</v>
      </c>
      <c r="CL240" s="539">
        <f t="shared" si="139"/>
        <v>0</v>
      </c>
      <c r="CM240" s="347">
        <f t="shared" si="140"/>
        <v>0</v>
      </c>
      <c r="CN240" s="347">
        <f t="shared" si="141"/>
        <v>0</v>
      </c>
      <c r="CO240" s="347" t="str">
        <f t="shared" si="142"/>
        <v>1899-12-30</v>
      </c>
      <c r="CP240" s="347"/>
    </row>
    <row r="241">
      <c r="A241" s="574">
        <f t="shared" si="147"/>
        <v>200180</v>
      </c>
      <c r="B241" s="574" t="str">
        <f t="shared" si="1"/>
        <v>Batch 200180</v>
      </c>
      <c r="C241" s="347"/>
      <c r="D241" s="574" t="str">
        <f t="shared" si="190"/>
        <v>2-80</v>
      </c>
      <c r="E241" s="347"/>
      <c r="F241" s="596"/>
      <c r="G241" s="596"/>
      <c r="H241" s="347"/>
      <c r="I241" s="347"/>
      <c r="J241" s="596"/>
      <c r="K241" s="609"/>
      <c r="L241" s="1"/>
      <c r="M241" s="347"/>
      <c r="N241" s="347"/>
      <c r="O241" s="579">
        <f t="shared" si="2"/>
        <v>0</v>
      </c>
      <c r="P241" s="579">
        <f t="shared" si="126"/>
        <v>0</v>
      </c>
      <c r="Q241" s="574"/>
      <c r="R241" s="347"/>
      <c r="S241" s="597"/>
      <c r="T241" s="347"/>
      <c r="U241" s="579">
        <f t="shared" si="48"/>
        <v>0</v>
      </c>
      <c r="V241" s="579">
        <f t="shared" si="49"/>
        <v>0</v>
      </c>
      <c r="W241" s="574" t="str">
        <f t="shared" si="179"/>
        <v/>
      </c>
      <c r="X241" s="347" t="str">
        <f t="shared" si="170"/>
        <v/>
      </c>
      <c r="Y241" s="347" t="str">
        <f t="shared" si="188"/>
        <v/>
      </c>
      <c r="Z241" s="347" t="str">
        <f t="shared" si="171"/>
        <v/>
      </c>
      <c r="AA241" s="579">
        <f t="shared" si="6"/>
        <v>0</v>
      </c>
      <c r="AB241" s="581">
        <f t="shared" si="105"/>
        <v>0</v>
      </c>
      <c r="AC241" s="347"/>
      <c r="AD241" s="347"/>
      <c r="AE241" s="347"/>
      <c r="AF241" s="347"/>
      <c r="AG241" s="579">
        <f t="shared" si="54"/>
        <v>0</v>
      </c>
      <c r="AH241" s="579">
        <f t="shared" si="175"/>
        <v>0</v>
      </c>
      <c r="AI241" s="582"/>
      <c r="AJ241" s="582"/>
      <c r="AK241" s="582"/>
      <c r="AL241" s="582"/>
      <c r="AM241" s="579"/>
      <c r="AN241" s="579"/>
      <c r="AO241" s="347"/>
      <c r="AP241" s="581">
        <f t="shared" si="164"/>
        <v>0</v>
      </c>
      <c r="AQ241" s="596"/>
      <c r="AR241" s="596"/>
      <c r="AS241" s="348"/>
      <c r="AT241" s="348"/>
      <c r="AU241" s="348"/>
      <c r="AV241" s="348"/>
      <c r="AW241" s="348"/>
      <c r="AX241" s="584">
        <f t="shared" si="165"/>
        <v>0</v>
      </c>
      <c r="AY241" s="581">
        <f t="shared" si="12"/>
        <v>0</v>
      </c>
      <c r="AZ241" s="581">
        <f t="shared" si="159"/>
        <v>0</v>
      </c>
      <c r="BA241" s="596"/>
      <c r="BB241" s="596"/>
      <c r="BC241" s="348"/>
      <c r="BD241" s="581">
        <f t="shared" si="192"/>
        <v>0</v>
      </c>
      <c r="BE241" s="581">
        <f t="shared" si="37"/>
        <v>0</v>
      </c>
      <c r="BF241" s="347"/>
      <c r="BG241" s="347"/>
      <c r="BH241" s="347"/>
      <c r="BI241" s="347"/>
      <c r="BJ241" s="586">
        <f t="shared" si="187"/>
        <v>0</v>
      </c>
      <c r="BK241" s="581">
        <f t="shared" si="15"/>
        <v>0</v>
      </c>
      <c r="BL241" s="347"/>
      <c r="BM241" s="347"/>
      <c r="BN241" s="347"/>
      <c r="BO241" s="586">
        <f t="shared" si="189"/>
        <v>0</v>
      </c>
      <c r="BP241" s="584">
        <f t="shared" si="17"/>
        <v>0</v>
      </c>
      <c r="BQ241" s="347"/>
      <c r="BR241" s="581">
        <f t="shared" si="153"/>
        <v>0</v>
      </c>
      <c r="BS241" s="588">
        <f t="shared" si="180"/>
        <v>0</v>
      </c>
      <c r="BT241" s="581">
        <f t="shared" si="20"/>
        <v>0</v>
      </c>
      <c r="BU241" s="589"/>
      <c r="BV241" s="581">
        <f t="shared" si="44"/>
        <v>0</v>
      </c>
      <c r="BW241" s="590"/>
      <c r="BX241" s="347"/>
      <c r="BY241" s="347"/>
      <c r="BZ241" s="347"/>
      <c r="CA241" s="586">
        <f t="shared" si="129"/>
        <v>0</v>
      </c>
      <c r="CB241" s="581">
        <f t="shared" si="160"/>
        <v>0</v>
      </c>
      <c r="CC241" s="581">
        <f t="shared" si="131"/>
        <v>0</v>
      </c>
      <c r="CD241" s="581">
        <f t="shared" si="132"/>
        <v>0</v>
      </c>
      <c r="CE241" s="581">
        <f t="shared" si="133"/>
        <v>0</v>
      </c>
      <c r="CF241" s="581">
        <f t="shared" si="134"/>
        <v>0</v>
      </c>
      <c r="CG241" s="581">
        <f t="shared" si="135"/>
        <v>0</v>
      </c>
      <c r="CH241" s="608" t="str">
        <f t="shared" si="136"/>
        <v>#DIV/0!</v>
      </c>
      <c r="CI241" s="603" t="str">
        <f t="shared" si="137"/>
        <v>#DIV/0!</v>
      </c>
      <c r="CJ241" s="347"/>
      <c r="CK241" s="347">
        <f t="shared" si="138"/>
        <v>0</v>
      </c>
      <c r="CL241" s="539">
        <f t="shared" si="139"/>
        <v>0</v>
      </c>
      <c r="CM241" s="347">
        <f t="shared" si="140"/>
        <v>0</v>
      </c>
      <c r="CN241" s="347">
        <f t="shared" si="141"/>
        <v>0</v>
      </c>
      <c r="CO241" s="347" t="str">
        <f t="shared" si="142"/>
        <v>1899-12-30</v>
      </c>
      <c r="CP241" s="347"/>
    </row>
    <row r="242">
      <c r="A242" s="574">
        <f t="shared" si="147"/>
        <v>300113</v>
      </c>
      <c r="B242" s="574" t="str">
        <f t="shared" si="1"/>
        <v>Batch 300113</v>
      </c>
      <c r="C242" s="347"/>
      <c r="D242" s="574" t="str">
        <f t="shared" si="190"/>
        <v>3-13</v>
      </c>
      <c r="E242" s="347"/>
      <c r="F242" s="596"/>
      <c r="G242" s="596"/>
      <c r="H242" s="347"/>
      <c r="I242" s="347"/>
      <c r="J242" s="596"/>
      <c r="K242" s="609"/>
      <c r="L242" s="1"/>
      <c r="M242" s="347"/>
      <c r="N242" s="347"/>
      <c r="O242" s="579">
        <f t="shared" si="2"/>
        <v>0</v>
      </c>
      <c r="P242" s="579">
        <f t="shared" si="126"/>
        <v>0</v>
      </c>
      <c r="Q242" s="574"/>
      <c r="R242" s="347"/>
      <c r="S242" s="597"/>
      <c r="T242" s="347"/>
      <c r="U242" s="579">
        <f t="shared" si="48"/>
        <v>0</v>
      </c>
      <c r="V242" s="579">
        <f t="shared" si="49"/>
        <v>0</v>
      </c>
      <c r="W242" s="574"/>
      <c r="X242" s="347"/>
      <c r="Y242" s="347"/>
      <c r="Z242" s="347"/>
      <c r="AA242" s="579">
        <f t="shared" si="6"/>
        <v>0</v>
      </c>
      <c r="AB242" s="581">
        <f t="shared" si="105"/>
        <v>0</v>
      </c>
      <c r="AC242" s="347"/>
      <c r="AD242" s="347"/>
      <c r="AE242" s="347"/>
      <c r="AF242" s="347"/>
      <c r="AG242" s="579">
        <f t="shared" si="54"/>
        <v>0</v>
      </c>
      <c r="AH242" s="579">
        <f t="shared" si="175"/>
        <v>0</v>
      </c>
      <c r="AI242" s="582"/>
      <c r="AJ242" s="582"/>
      <c r="AK242" s="582"/>
      <c r="AL242" s="582"/>
      <c r="AM242" s="579"/>
      <c r="AN242" s="579"/>
      <c r="AO242" s="347"/>
      <c r="AP242" s="581">
        <f t="shared" si="164"/>
        <v>0</v>
      </c>
      <c r="AQ242" s="596"/>
      <c r="AR242" s="596"/>
      <c r="AS242" s="348"/>
      <c r="AT242" s="348"/>
      <c r="AU242" s="348"/>
      <c r="AV242" s="348"/>
      <c r="AW242" s="348"/>
      <c r="AX242" s="584">
        <f t="shared" si="165"/>
        <v>0</v>
      </c>
      <c r="AY242" s="581">
        <f t="shared" si="12"/>
        <v>0</v>
      </c>
      <c r="AZ242" s="581">
        <f t="shared" si="159"/>
        <v>0</v>
      </c>
      <c r="BA242" s="596"/>
      <c r="BB242" s="596"/>
      <c r="BC242" s="348"/>
      <c r="BD242" s="581">
        <f t="shared" si="192"/>
        <v>0</v>
      </c>
      <c r="BE242" s="581">
        <f t="shared" si="37"/>
        <v>0</v>
      </c>
      <c r="BF242" s="347"/>
      <c r="BG242" s="347"/>
      <c r="BH242" s="347"/>
      <c r="BI242" s="347"/>
      <c r="BJ242" s="586">
        <f t="shared" si="187"/>
        <v>0</v>
      </c>
      <c r="BK242" s="581">
        <f t="shared" si="15"/>
        <v>0</v>
      </c>
      <c r="BL242" s="347"/>
      <c r="BM242" s="347"/>
      <c r="BN242" s="347"/>
      <c r="BO242" s="586">
        <f t="shared" si="189"/>
        <v>0</v>
      </c>
      <c r="BP242" s="584">
        <f t="shared" si="17"/>
        <v>0</v>
      </c>
      <c r="BQ242" s="347"/>
      <c r="BR242" s="581">
        <f t="shared" si="153"/>
        <v>0</v>
      </c>
      <c r="BS242" s="588">
        <f t="shared" si="180"/>
        <v>0</v>
      </c>
      <c r="BT242" s="581">
        <f t="shared" si="20"/>
        <v>0</v>
      </c>
      <c r="BU242" s="589"/>
      <c r="BV242" s="581">
        <f t="shared" si="44"/>
        <v>0</v>
      </c>
      <c r="BW242" s="590"/>
      <c r="BX242" s="347"/>
      <c r="BY242" s="347"/>
      <c r="BZ242" s="347"/>
      <c r="CA242" s="586">
        <f t="shared" si="129"/>
        <v>0</v>
      </c>
      <c r="CB242" s="581">
        <f t="shared" si="160"/>
        <v>0</v>
      </c>
      <c r="CC242" s="581">
        <f t="shared" si="131"/>
        <v>0</v>
      </c>
      <c r="CD242" s="581">
        <f t="shared" si="132"/>
        <v>0</v>
      </c>
      <c r="CE242" s="581">
        <f t="shared" si="133"/>
        <v>0</v>
      </c>
      <c r="CF242" s="581">
        <f t="shared" si="134"/>
        <v>0</v>
      </c>
      <c r="CG242" s="581">
        <f t="shared" si="135"/>
        <v>0</v>
      </c>
      <c r="CH242" s="608" t="str">
        <f t="shared" si="136"/>
        <v>#DIV/0!</v>
      </c>
      <c r="CI242" s="603" t="str">
        <f t="shared" si="137"/>
        <v>#DIV/0!</v>
      </c>
      <c r="CJ242" s="347"/>
      <c r="CK242" s="347">
        <f t="shared" si="138"/>
        <v>0</v>
      </c>
      <c r="CL242" s="539">
        <f t="shared" si="139"/>
        <v>0</v>
      </c>
      <c r="CM242" s="347">
        <f t="shared" si="140"/>
        <v>0</v>
      </c>
      <c r="CN242" s="347">
        <f t="shared" si="141"/>
        <v>0</v>
      </c>
      <c r="CO242" s="347" t="str">
        <f t="shared" si="142"/>
        <v>1899-12-30</v>
      </c>
      <c r="CP242" s="347"/>
    </row>
    <row r="243">
      <c r="A243" s="574">
        <f t="shared" si="147"/>
        <v>200181</v>
      </c>
      <c r="B243" s="574" t="str">
        <f t="shared" si="1"/>
        <v>Batch 200181</v>
      </c>
      <c r="C243" s="347"/>
      <c r="D243" s="574" t="str">
        <f t="shared" si="190"/>
        <v>2-81</v>
      </c>
      <c r="E243" s="347"/>
      <c r="F243" s="596"/>
      <c r="G243" s="596"/>
      <c r="H243" s="347"/>
      <c r="I243" s="347"/>
      <c r="J243" s="596"/>
      <c r="K243" s="609"/>
      <c r="L243" s="1"/>
      <c r="M243" s="347"/>
      <c r="N243" s="347"/>
      <c r="O243" s="579">
        <f t="shared" si="2"/>
        <v>0</v>
      </c>
      <c r="P243" s="579">
        <f t="shared" si="126"/>
        <v>0</v>
      </c>
      <c r="Q243" s="574"/>
      <c r="R243" s="347"/>
      <c r="S243" s="597"/>
      <c r="T243" s="347"/>
      <c r="U243" s="579">
        <f t="shared" si="48"/>
        <v>0</v>
      </c>
      <c r="V243" s="579">
        <f t="shared" si="49"/>
        <v>0</v>
      </c>
      <c r="W243" s="574"/>
      <c r="X243" s="347"/>
      <c r="Y243" s="347"/>
      <c r="Z243" s="347"/>
      <c r="AA243" s="579">
        <f t="shared" si="6"/>
        <v>0</v>
      </c>
      <c r="AB243" s="581">
        <f t="shared" si="105"/>
        <v>0</v>
      </c>
      <c r="AC243" s="347"/>
      <c r="AD243" s="347"/>
      <c r="AE243" s="347"/>
      <c r="AF243" s="347"/>
      <c r="AG243" s="579">
        <f t="shared" si="54"/>
        <v>0</v>
      </c>
      <c r="AH243" s="579">
        <f t="shared" si="175"/>
        <v>0</v>
      </c>
      <c r="AI243" s="582"/>
      <c r="AJ243" s="582"/>
      <c r="AK243" s="582"/>
      <c r="AL243" s="582"/>
      <c r="AM243" s="579"/>
      <c r="AN243" s="579"/>
      <c r="AO243" s="347"/>
      <c r="AP243" s="581">
        <f t="shared" si="164"/>
        <v>0</v>
      </c>
      <c r="AQ243" s="596"/>
      <c r="AR243" s="596"/>
      <c r="AS243" s="348"/>
      <c r="AT243" s="348"/>
      <c r="AU243" s="348"/>
      <c r="AV243" s="348"/>
      <c r="AW243" s="348"/>
      <c r="AX243" s="584">
        <f t="shared" si="165"/>
        <v>0</v>
      </c>
      <c r="AY243" s="581">
        <f t="shared" si="12"/>
        <v>0</v>
      </c>
      <c r="AZ243" s="581">
        <f t="shared" si="159"/>
        <v>0</v>
      </c>
      <c r="BA243" s="596"/>
      <c r="BB243" s="596"/>
      <c r="BC243" s="348"/>
      <c r="BD243" s="581">
        <f t="shared" si="192"/>
        <v>0</v>
      </c>
      <c r="BE243" s="581">
        <f t="shared" si="37"/>
        <v>0</v>
      </c>
      <c r="BF243" s="347"/>
      <c r="BG243" s="347"/>
      <c r="BH243" s="347"/>
      <c r="BI243" s="347"/>
      <c r="BJ243" s="586">
        <f t="shared" si="187"/>
        <v>0</v>
      </c>
      <c r="BK243" s="581">
        <f t="shared" si="15"/>
        <v>0</v>
      </c>
      <c r="BL243" s="347"/>
      <c r="BM243" s="347"/>
      <c r="BN243" s="347"/>
      <c r="BO243" s="586">
        <f t="shared" si="189"/>
        <v>0</v>
      </c>
      <c r="BP243" s="584">
        <f t="shared" si="17"/>
        <v>0</v>
      </c>
      <c r="BQ243" s="347"/>
      <c r="BR243" s="581">
        <f t="shared" si="153"/>
        <v>0</v>
      </c>
      <c r="BS243" s="588">
        <f t="shared" si="180"/>
        <v>0</v>
      </c>
      <c r="BT243" s="581">
        <f t="shared" si="20"/>
        <v>0</v>
      </c>
      <c r="BU243" s="589"/>
      <c r="BV243" s="581">
        <f t="shared" si="44"/>
        <v>0</v>
      </c>
      <c r="BW243" s="590"/>
      <c r="BX243" s="347"/>
      <c r="BY243" s="347"/>
      <c r="BZ243" s="347"/>
      <c r="CA243" s="586">
        <f t="shared" si="129"/>
        <v>0</v>
      </c>
      <c r="CB243" s="581">
        <f t="shared" si="160"/>
        <v>0</v>
      </c>
      <c r="CC243" s="581">
        <f t="shared" si="131"/>
        <v>0</v>
      </c>
      <c r="CD243" s="581">
        <f t="shared" si="132"/>
        <v>0</v>
      </c>
      <c r="CE243" s="581">
        <f t="shared" si="133"/>
        <v>0</v>
      </c>
      <c r="CF243" s="581">
        <f t="shared" si="134"/>
        <v>0</v>
      </c>
      <c r="CG243" s="581">
        <f t="shared" si="135"/>
        <v>0</v>
      </c>
      <c r="CH243" s="608" t="str">
        <f t="shared" si="136"/>
        <v>#DIV/0!</v>
      </c>
      <c r="CI243" s="603" t="str">
        <f t="shared" si="137"/>
        <v>#DIV/0!</v>
      </c>
      <c r="CJ243" s="347"/>
      <c r="CK243" s="347">
        <f t="shared" si="138"/>
        <v>0</v>
      </c>
      <c r="CL243" s="539">
        <f t="shared" si="139"/>
        <v>0</v>
      </c>
      <c r="CM243" s="347">
        <f t="shared" si="140"/>
        <v>0</v>
      </c>
      <c r="CN243" s="347">
        <f t="shared" si="141"/>
        <v>0</v>
      </c>
      <c r="CO243" s="347" t="str">
        <f t="shared" si="142"/>
        <v>1899-12-30</v>
      </c>
      <c r="CP243" s="347"/>
    </row>
    <row r="244">
      <c r="A244" s="574">
        <f t="shared" si="147"/>
        <v>300114</v>
      </c>
      <c r="B244" s="574" t="str">
        <f t="shared" si="1"/>
        <v>Batch 300114</v>
      </c>
      <c r="C244" s="347"/>
      <c r="D244" s="574" t="str">
        <f t="shared" si="190"/>
        <v>3-14</v>
      </c>
      <c r="E244" s="347"/>
      <c r="F244" s="596"/>
      <c r="G244" s="596"/>
      <c r="H244" s="347"/>
      <c r="I244" s="347"/>
      <c r="J244" s="596"/>
      <c r="K244" s="609"/>
      <c r="L244" s="1"/>
      <c r="M244" s="347"/>
      <c r="N244" s="347"/>
      <c r="O244" s="579">
        <f t="shared" si="2"/>
        <v>0</v>
      </c>
      <c r="P244" s="579">
        <f t="shared" si="126"/>
        <v>0</v>
      </c>
      <c r="Q244" s="574"/>
      <c r="R244" s="347"/>
      <c r="S244" s="597"/>
      <c r="T244" s="347"/>
      <c r="U244" s="579">
        <f t="shared" si="48"/>
        <v>0</v>
      </c>
      <c r="V244" s="579">
        <f t="shared" si="49"/>
        <v>0</v>
      </c>
      <c r="W244" s="574"/>
      <c r="X244" s="347"/>
      <c r="Y244" s="347"/>
      <c r="Z244" s="347"/>
      <c r="AA244" s="579">
        <f t="shared" si="6"/>
        <v>0</v>
      </c>
      <c r="AB244" s="581">
        <f t="shared" si="105"/>
        <v>0</v>
      </c>
      <c r="AC244" s="347"/>
      <c r="AD244" s="347"/>
      <c r="AE244" s="347"/>
      <c r="AF244" s="347"/>
      <c r="AG244" s="579">
        <f t="shared" si="54"/>
        <v>0</v>
      </c>
      <c r="AH244" s="579">
        <f t="shared" si="175"/>
        <v>0</v>
      </c>
      <c r="AI244" s="582"/>
      <c r="AJ244" s="582"/>
      <c r="AK244" s="582"/>
      <c r="AL244" s="582"/>
      <c r="AM244" s="579"/>
      <c r="AN244" s="579"/>
      <c r="AO244" s="347"/>
      <c r="AP244" s="581">
        <f t="shared" si="164"/>
        <v>0</v>
      </c>
      <c r="AQ244" s="596"/>
      <c r="AR244" s="596"/>
      <c r="AS244" s="348"/>
      <c r="AT244" s="348"/>
      <c r="AU244" s="348"/>
      <c r="AV244" s="348"/>
      <c r="AW244" s="348"/>
      <c r="AX244" s="584">
        <f t="shared" si="165"/>
        <v>0</v>
      </c>
      <c r="AY244" s="581">
        <f t="shared" si="12"/>
        <v>0</v>
      </c>
      <c r="AZ244" s="581">
        <f t="shared" si="159"/>
        <v>0</v>
      </c>
      <c r="BA244" s="596"/>
      <c r="BB244" s="596"/>
      <c r="BC244" s="348"/>
      <c r="BD244" s="581">
        <f t="shared" si="192"/>
        <v>0</v>
      </c>
      <c r="BE244" s="581">
        <f t="shared" si="37"/>
        <v>0</v>
      </c>
      <c r="BF244" s="347"/>
      <c r="BG244" s="347"/>
      <c r="BH244" s="347"/>
      <c r="BI244" s="347"/>
      <c r="BJ244" s="586">
        <f t="shared" si="187"/>
        <v>0</v>
      </c>
      <c r="BK244" s="581">
        <f t="shared" si="15"/>
        <v>0</v>
      </c>
      <c r="BL244" s="347"/>
      <c r="BM244" s="347"/>
      <c r="BN244" s="347"/>
      <c r="BO244" s="586">
        <f t="shared" si="189"/>
        <v>0</v>
      </c>
      <c r="BP244" s="584">
        <f t="shared" si="17"/>
        <v>0</v>
      </c>
      <c r="BQ244" s="347"/>
      <c r="BR244" s="581">
        <f t="shared" si="153"/>
        <v>0</v>
      </c>
      <c r="BS244" s="588">
        <f t="shared" si="180"/>
        <v>0</v>
      </c>
      <c r="BT244" s="581">
        <f t="shared" si="20"/>
        <v>0</v>
      </c>
      <c r="BU244" s="589"/>
      <c r="BV244" s="581">
        <f t="shared" si="44"/>
        <v>0</v>
      </c>
      <c r="BW244" s="590"/>
      <c r="BX244" s="347"/>
      <c r="BY244" s="347"/>
      <c r="BZ244" s="347"/>
      <c r="CA244" s="586">
        <f t="shared" si="129"/>
        <v>0</v>
      </c>
      <c r="CB244" s="581">
        <f t="shared" si="160"/>
        <v>0</v>
      </c>
      <c r="CC244" s="581">
        <f t="shared" si="131"/>
        <v>0</v>
      </c>
      <c r="CD244" s="581">
        <f t="shared" si="132"/>
        <v>0</v>
      </c>
      <c r="CE244" s="581">
        <f t="shared" si="133"/>
        <v>0</v>
      </c>
      <c r="CF244" s="581">
        <f t="shared" si="134"/>
        <v>0</v>
      </c>
      <c r="CG244" s="581">
        <f t="shared" si="135"/>
        <v>0</v>
      </c>
      <c r="CH244" s="608" t="str">
        <f t="shared" si="136"/>
        <v>#DIV/0!</v>
      </c>
      <c r="CI244" s="603" t="str">
        <f t="shared" si="137"/>
        <v>#DIV/0!</v>
      </c>
      <c r="CJ244" s="347"/>
      <c r="CK244" s="347">
        <f t="shared" si="138"/>
        <v>0</v>
      </c>
      <c r="CL244" s="539">
        <f t="shared" si="139"/>
        <v>0</v>
      </c>
      <c r="CM244" s="347">
        <f t="shared" si="140"/>
        <v>0</v>
      </c>
      <c r="CN244" s="347">
        <f t="shared" si="141"/>
        <v>0</v>
      </c>
      <c r="CO244" s="347" t="str">
        <f t="shared" si="142"/>
        <v>1899-12-30</v>
      </c>
      <c r="CP244" s="347"/>
    </row>
    <row r="245">
      <c r="A245" s="574">
        <f t="shared" si="147"/>
        <v>200182</v>
      </c>
      <c r="B245" s="574" t="str">
        <f t="shared" si="1"/>
        <v>Batch 200182</v>
      </c>
      <c r="C245" s="347"/>
      <c r="D245" s="574" t="str">
        <f t="shared" si="190"/>
        <v>2-82</v>
      </c>
      <c r="E245" s="347"/>
      <c r="F245" s="596"/>
      <c r="G245" s="596"/>
      <c r="H245" s="347"/>
      <c r="I245" s="347"/>
      <c r="J245" s="596"/>
      <c r="K245" s="609"/>
      <c r="L245" s="1"/>
      <c r="M245" s="347"/>
      <c r="N245" s="347"/>
      <c r="O245" s="579">
        <f t="shared" si="2"/>
        <v>0</v>
      </c>
      <c r="P245" s="579">
        <f t="shared" si="126"/>
        <v>0</v>
      </c>
      <c r="Q245" s="574"/>
      <c r="R245" s="347"/>
      <c r="S245" s="597"/>
      <c r="T245" s="347"/>
      <c r="U245" s="579">
        <f t="shared" si="48"/>
        <v>0</v>
      </c>
      <c r="V245" s="579">
        <f t="shared" si="49"/>
        <v>0</v>
      </c>
      <c r="W245" s="574"/>
      <c r="X245" s="347"/>
      <c r="Y245" s="347"/>
      <c r="Z245" s="347"/>
      <c r="AA245" s="579">
        <f t="shared" si="6"/>
        <v>0</v>
      </c>
      <c r="AB245" s="581">
        <f t="shared" si="105"/>
        <v>0</v>
      </c>
      <c r="AC245" s="347"/>
      <c r="AD245" s="347"/>
      <c r="AE245" s="347"/>
      <c r="AF245" s="347"/>
      <c r="AG245" s="579">
        <f t="shared" si="54"/>
        <v>0</v>
      </c>
      <c r="AH245" s="579">
        <f t="shared" si="175"/>
        <v>0</v>
      </c>
      <c r="AI245" s="582"/>
      <c r="AJ245" s="582"/>
      <c r="AK245" s="582"/>
      <c r="AL245" s="582"/>
      <c r="AM245" s="579"/>
      <c r="AN245" s="579"/>
      <c r="AO245" s="347"/>
      <c r="AP245" s="581">
        <f t="shared" si="164"/>
        <v>0</v>
      </c>
      <c r="AQ245" s="596"/>
      <c r="AR245" s="596"/>
      <c r="AS245" s="348"/>
      <c r="AT245" s="348"/>
      <c r="AU245" s="348"/>
      <c r="AV245" s="348"/>
      <c r="AW245" s="348"/>
      <c r="AX245" s="584">
        <f t="shared" si="165"/>
        <v>0</v>
      </c>
      <c r="AY245" s="581">
        <f t="shared" si="12"/>
        <v>0</v>
      </c>
      <c r="AZ245" s="581">
        <f t="shared" si="159"/>
        <v>0</v>
      </c>
      <c r="BA245" s="596"/>
      <c r="BB245" s="596"/>
      <c r="BC245" s="348"/>
      <c r="BD245" s="581">
        <f t="shared" si="192"/>
        <v>0</v>
      </c>
      <c r="BE245" s="581">
        <f t="shared" si="37"/>
        <v>0</v>
      </c>
      <c r="BF245" s="347"/>
      <c r="BG245" s="347"/>
      <c r="BH245" s="347"/>
      <c r="BI245" s="347"/>
      <c r="BJ245" s="586">
        <f t="shared" si="187"/>
        <v>0</v>
      </c>
      <c r="BK245" s="581">
        <f t="shared" si="15"/>
        <v>0</v>
      </c>
      <c r="BL245" s="347"/>
      <c r="BM245" s="347"/>
      <c r="BN245" s="347"/>
      <c r="BO245" s="586">
        <f t="shared" si="189"/>
        <v>0</v>
      </c>
      <c r="BP245" s="584">
        <f t="shared" si="17"/>
        <v>0</v>
      </c>
      <c r="BQ245" s="347"/>
      <c r="BR245" s="581">
        <f t="shared" si="153"/>
        <v>0</v>
      </c>
      <c r="BS245" s="588">
        <f t="shared" si="180"/>
        <v>0</v>
      </c>
      <c r="BT245" s="581">
        <f t="shared" si="20"/>
        <v>0</v>
      </c>
      <c r="BU245" s="589"/>
      <c r="BV245" s="581">
        <f t="shared" si="44"/>
        <v>0</v>
      </c>
      <c r="BW245" s="590"/>
      <c r="BX245" s="347"/>
      <c r="BY245" s="347"/>
      <c r="BZ245" s="347"/>
      <c r="CA245" s="586">
        <f t="shared" si="129"/>
        <v>0</v>
      </c>
      <c r="CB245" s="581">
        <f t="shared" si="160"/>
        <v>0</v>
      </c>
      <c r="CC245" s="581">
        <f t="shared" si="131"/>
        <v>0</v>
      </c>
      <c r="CD245" s="581">
        <f t="shared" si="132"/>
        <v>0</v>
      </c>
      <c r="CE245" s="581">
        <f t="shared" si="133"/>
        <v>0</v>
      </c>
      <c r="CF245" s="581">
        <f t="shared" si="134"/>
        <v>0</v>
      </c>
      <c r="CG245" s="581">
        <f t="shared" si="135"/>
        <v>0</v>
      </c>
      <c r="CH245" s="608" t="str">
        <f t="shared" si="136"/>
        <v>#DIV/0!</v>
      </c>
      <c r="CI245" s="603" t="str">
        <f t="shared" si="137"/>
        <v>#DIV/0!</v>
      </c>
      <c r="CJ245" s="347"/>
      <c r="CK245" s="347">
        <f t="shared" si="138"/>
        <v>0</v>
      </c>
      <c r="CL245" s="539">
        <f t="shared" si="139"/>
        <v>0</v>
      </c>
      <c r="CM245" s="347">
        <f t="shared" si="140"/>
        <v>0</v>
      </c>
      <c r="CN245" s="347">
        <f t="shared" si="141"/>
        <v>0</v>
      </c>
      <c r="CO245" s="347" t="str">
        <f t="shared" si="142"/>
        <v>1899-12-30</v>
      </c>
      <c r="CP245" s="347"/>
    </row>
    <row r="246">
      <c r="A246" s="574">
        <f t="shared" si="147"/>
        <v>300115</v>
      </c>
      <c r="B246" s="574" t="str">
        <f t="shared" si="1"/>
        <v>Batch 300115</v>
      </c>
      <c r="C246" s="347"/>
      <c r="D246" s="574" t="str">
        <f t="shared" si="190"/>
        <v>3-15</v>
      </c>
      <c r="E246" s="347"/>
      <c r="F246" s="596"/>
      <c r="G246" s="596"/>
      <c r="H246" s="347"/>
      <c r="I246" s="347"/>
      <c r="J246" s="596"/>
      <c r="K246" s="609"/>
      <c r="L246" s="1"/>
      <c r="M246" s="347"/>
      <c r="N246" s="347"/>
      <c r="O246" s="579">
        <f t="shared" si="2"/>
        <v>0</v>
      </c>
      <c r="P246" s="579">
        <f t="shared" si="126"/>
        <v>0</v>
      </c>
      <c r="Q246" s="574"/>
      <c r="R246" s="347"/>
      <c r="S246" s="597"/>
      <c r="T246" s="347"/>
      <c r="U246" s="579">
        <f t="shared" si="48"/>
        <v>0</v>
      </c>
      <c r="V246" s="579">
        <f t="shared" si="49"/>
        <v>0</v>
      </c>
      <c r="W246" s="574"/>
      <c r="X246" s="347"/>
      <c r="Y246" s="347"/>
      <c r="Z246" s="347"/>
      <c r="AA246" s="579">
        <f t="shared" si="6"/>
        <v>0</v>
      </c>
      <c r="AB246" s="581">
        <f t="shared" si="105"/>
        <v>0</v>
      </c>
      <c r="AC246" s="347"/>
      <c r="AD246" s="347"/>
      <c r="AE246" s="347"/>
      <c r="AF246" s="347"/>
      <c r="AG246" s="579">
        <f t="shared" si="54"/>
        <v>0</v>
      </c>
      <c r="AH246" s="579">
        <f t="shared" si="175"/>
        <v>0</v>
      </c>
      <c r="AI246" s="582"/>
      <c r="AJ246" s="582"/>
      <c r="AK246" s="582"/>
      <c r="AL246" s="582"/>
      <c r="AM246" s="579"/>
      <c r="AN246" s="579"/>
      <c r="AO246" s="347"/>
      <c r="AP246" s="581">
        <f t="shared" si="164"/>
        <v>0</v>
      </c>
      <c r="AQ246" s="596"/>
      <c r="AR246" s="596"/>
      <c r="AS246" s="348"/>
      <c r="AT246" s="348"/>
      <c r="AU246" s="348"/>
      <c r="AV246" s="348"/>
      <c r="AW246" s="348"/>
      <c r="AX246" s="584">
        <f t="shared" si="165"/>
        <v>0</v>
      </c>
      <c r="AY246" s="581">
        <f t="shared" si="12"/>
        <v>0</v>
      </c>
      <c r="AZ246" s="581">
        <f t="shared" si="159"/>
        <v>0</v>
      </c>
      <c r="BA246" s="596"/>
      <c r="BB246" s="596"/>
      <c r="BC246" s="348"/>
      <c r="BD246" s="581">
        <f t="shared" si="192"/>
        <v>0</v>
      </c>
      <c r="BE246" s="581">
        <f t="shared" si="37"/>
        <v>0</v>
      </c>
      <c r="BF246" s="347"/>
      <c r="BG246" s="347"/>
      <c r="BH246" s="347"/>
      <c r="BI246" s="347"/>
      <c r="BJ246" s="586">
        <f t="shared" si="187"/>
        <v>0</v>
      </c>
      <c r="BK246" s="581">
        <f t="shared" si="15"/>
        <v>0</v>
      </c>
      <c r="BL246" s="347"/>
      <c r="BM246" s="347"/>
      <c r="BN246" s="347"/>
      <c r="BO246" s="586">
        <f t="shared" si="189"/>
        <v>0</v>
      </c>
      <c r="BP246" s="584">
        <f t="shared" si="17"/>
        <v>0</v>
      </c>
      <c r="BQ246" s="347"/>
      <c r="BR246" s="581">
        <f t="shared" si="153"/>
        <v>0</v>
      </c>
      <c r="BS246" s="588">
        <f t="shared" si="180"/>
        <v>0</v>
      </c>
      <c r="BT246" s="581">
        <f t="shared" si="20"/>
        <v>0</v>
      </c>
      <c r="BU246" s="589"/>
      <c r="BV246" s="581">
        <f t="shared" si="44"/>
        <v>0</v>
      </c>
      <c r="BW246" s="590"/>
      <c r="BX246" s="347"/>
      <c r="BY246" s="347"/>
      <c r="BZ246" s="347"/>
      <c r="CA246" s="586">
        <f t="shared" si="129"/>
        <v>0</v>
      </c>
      <c r="CB246" s="581">
        <f t="shared" si="160"/>
        <v>0</v>
      </c>
      <c r="CC246" s="581">
        <f t="shared" si="131"/>
        <v>0</v>
      </c>
      <c r="CD246" s="581">
        <f t="shared" si="132"/>
        <v>0</v>
      </c>
      <c r="CE246" s="581">
        <f t="shared" si="133"/>
        <v>0</v>
      </c>
      <c r="CF246" s="581">
        <f t="shared" si="134"/>
        <v>0</v>
      </c>
      <c r="CG246" s="581">
        <f t="shared" si="135"/>
        <v>0</v>
      </c>
      <c r="CH246" s="608" t="str">
        <f t="shared" si="136"/>
        <v>#DIV/0!</v>
      </c>
      <c r="CI246" s="603" t="str">
        <f t="shared" si="137"/>
        <v>#DIV/0!</v>
      </c>
      <c r="CJ246" s="347"/>
      <c r="CK246" s="347">
        <f t="shared" si="138"/>
        <v>0</v>
      </c>
      <c r="CL246" s="539">
        <f t="shared" si="139"/>
        <v>0</v>
      </c>
      <c r="CM246" s="347">
        <f t="shared" si="140"/>
        <v>0</v>
      </c>
      <c r="CN246" s="347">
        <f t="shared" si="141"/>
        <v>0</v>
      </c>
      <c r="CO246" s="347" t="str">
        <f t="shared" si="142"/>
        <v>1899-12-30</v>
      </c>
      <c r="CP246" s="347"/>
    </row>
    <row r="247">
      <c r="A247" s="574">
        <f t="shared" si="147"/>
        <v>200183</v>
      </c>
      <c r="B247" s="574" t="str">
        <f t="shared" si="1"/>
        <v>Batch 200183</v>
      </c>
      <c r="C247" s="347"/>
      <c r="D247" s="574" t="str">
        <f t="shared" si="190"/>
        <v>2-83</v>
      </c>
      <c r="E247" s="347"/>
      <c r="F247" s="596"/>
      <c r="G247" s="596"/>
      <c r="H247" s="347"/>
      <c r="I247" s="347"/>
      <c r="J247" s="596"/>
      <c r="K247" s="609"/>
      <c r="L247" s="1"/>
      <c r="M247" s="347"/>
      <c r="N247" s="347"/>
      <c r="O247" s="579">
        <f t="shared" si="2"/>
        <v>0</v>
      </c>
      <c r="P247" s="579">
        <f t="shared" si="126"/>
        <v>0</v>
      </c>
      <c r="Q247" s="574"/>
      <c r="R247" s="347"/>
      <c r="S247" s="597"/>
      <c r="T247" s="347"/>
      <c r="U247" s="579">
        <f t="shared" si="48"/>
        <v>0</v>
      </c>
      <c r="V247" s="579">
        <f t="shared" si="49"/>
        <v>0</v>
      </c>
      <c r="W247" s="574"/>
      <c r="X247" s="347"/>
      <c r="Y247" s="347"/>
      <c r="Z247" s="347"/>
      <c r="AA247" s="579">
        <f t="shared" si="6"/>
        <v>0</v>
      </c>
      <c r="AB247" s="581">
        <f t="shared" si="105"/>
        <v>0</v>
      </c>
      <c r="AC247" s="347"/>
      <c r="AD247" s="347"/>
      <c r="AE247" s="347"/>
      <c r="AF247" s="347"/>
      <c r="AG247" s="579">
        <f t="shared" si="54"/>
        <v>0</v>
      </c>
      <c r="AH247" s="579">
        <f t="shared" si="175"/>
        <v>0</v>
      </c>
      <c r="AI247" s="582"/>
      <c r="AJ247" s="582"/>
      <c r="AK247" s="582"/>
      <c r="AL247" s="582"/>
      <c r="AM247" s="579"/>
      <c r="AN247" s="579"/>
      <c r="AO247" s="347"/>
      <c r="AP247" s="581">
        <f t="shared" si="164"/>
        <v>0</v>
      </c>
      <c r="AQ247" s="596"/>
      <c r="AR247" s="596"/>
      <c r="AS247" s="348"/>
      <c r="AT247" s="348"/>
      <c r="AU247" s="348"/>
      <c r="AV247" s="348"/>
      <c r="AW247" s="348"/>
      <c r="AX247" s="584">
        <f t="shared" si="165"/>
        <v>0</v>
      </c>
      <c r="AY247" s="581">
        <f t="shared" si="12"/>
        <v>0</v>
      </c>
      <c r="AZ247" s="581">
        <f t="shared" si="159"/>
        <v>0</v>
      </c>
      <c r="BA247" s="596"/>
      <c r="BB247" s="596"/>
      <c r="BC247" s="348"/>
      <c r="BD247" s="581">
        <f t="shared" si="192"/>
        <v>0</v>
      </c>
      <c r="BE247" s="581">
        <f t="shared" si="37"/>
        <v>0</v>
      </c>
      <c r="BF247" s="347"/>
      <c r="BG247" s="347"/>
      <c r="BH247" s="347"/>
      <c r="BI247" s="347"/>
      <c r="BJ247" s="586">
        <f t="shared" si="187"/>
        <v>0</v>
      </c>
      <c r="BK247" s="581">
        <f t="shared" si="15"/>
        <v>0</v>
      </c>
      <c r="BL247" s="347"/>
      <c r="BM247" s="347"/>
      <c r="BN247" s="347"/>
      <c r="BO247" s="586">
        <f t="shared" si="189"/>
        <v>0</v>
      </c>
      <c r="BP247" s="584">
        <f t="shared" si="17"/>
        <v>0</v>
      </c>
      <c r="BQ247" s="347"/>
      <c r="BR247" s="581">
        <f t="shared" si="153"/>
        <v>0</v>
      </c>
      <c r="BS247" s="588">
        <f t="shared" si="180"/>
        <v>0</v>
      </c>
      <c r="BT247" s="581">
        <f t="shared" si="20"/>
        <v>0</v>
      </c>
      <c r="BU247" s="589"/>
      <c r="BV247" s="581">
        <f t="shared" si="44"/>
        <v>0</v>
      </c>
      <c r="BW247" s="590"/>
      <c r="BX247" s="347"/>
      <c r="BY247" s="347"/>
      <c r="BZ247" s="347"/>
      <c r="CA247" s="586">
        <f t="shared" si="129"/>
        <v>0</v>
      </c>
      <c r="CB247" s="581">
        <f t="shared" si="160"/>
        <v>0</v>
      </c>
      <c r="CC247" s="581">
        <f t="shared" si="131"/>
        <v>0</v>
      </c>
      <c r="CD247" s="581">
        <f t="shared" si="132"/>
        <v>0</v>
      </c>
      <c r="CE247" s="581">
        <f t="shared" si="133"/>
        <v>0</v>
      </c>
      <c r="CF247" s="581">
        <f t="shared" si="134"/>
        <v>0</v>
      </c>
      <c r="CG247" s="581">
        <f t="shared" si="135"/>
        <v>0</v>
      </c>
      <c r="CH247" s="608" t="str">
        <f t="shared" si="136"/>
        <v>#DIV/0!</v>
      </c>
      <c r="CI247" s="603" t="str">
        <f t="shared" si="137"/>
        <v>#DIV/0!</v>
      </c>
      <c r="CJ247" s="347"/>
      <c r="CK247" s="347">
        <f t="shared" si="138"/>
        <v>0</v>
      </c>
      <c r="CL247" s="539">
        <f t="shared" si="139"/>
        <v>0</v>
      </c>
      <c r="CM247" s="347">
        <f t="shared" si="140"/>
        <v>0</v>
      </c>
      <c r="CN247" s="347">
        <f t="shared" si="141"/>
        <v>0</v>
      </c>
      <c r="CO247" s="347" t="str">
        <f t="shared" si="142"/>
        <v>1899-12-30</v>
      </c>
      <c r="CP247" s="347"/>
    </row>
    <row r="248">
      <c r="A248" s="574">
        <f t="shared" si="147"/>
        <v>300116</v>
      </c>
      <c r="B248" s="574" t="str">
        <f t="shared" si="1"/>
        <v>Batch 300116</v>
      </c>
      <c r="C248" s="347"/>
      <c r="D248" s="574" t="str">
        <f t="shared" si="190"/>
        <v>3-16</v>
      </c>
      <c r="E248" s="347"/>
      <c r="F248" s="596"/>
      <c r="G248" s="596"/>
      <c r="H248" s="347"/>
      <c r="I248" s="347"/>
      <c r="J248" s="596"/>
      <c r="K248" s="609"/>
      <c r="L248" s="1"/>
      <c r="M248" s="347"/>
      <c r="N248" s="347"/>
      <c r="O248" s="579">
        <f t="shared" si="2"/>
        <v>0</v>
      </c>
      <c r="P248" s="579">
        <f t="shared" si="126"/>
        <v>0</v>
      </c>
      <c r="Q248" s="574"/>
      <c r="R248" s="347"/>
      <c r="S248" s="597"/>
      <c r="T248" s="347"/>
      <c r="U248" s="579">
        <f t="shared" si="48"/>
        <v>0</v>
      </c>
      <c r="V248" s="579">
        <f t="shared" si="49"/>
        <v>0</v>
      </c>
      <c r="W248" s="574"/>
      <c r="X248" s="347"/>
      <c r="Y248" s="347"/>
      <c r="Z248" s="347"/>
      <c r="AA248" s="579">
        <f t="shared" si="6"/>
        <v>0</v>
      </c>
      <c r="AB248" s="581">
        <f t="shared" si="105"/>
        <v>0</v>
      </c>
      <c r="AC248" s="347"/>
      <c r="AD248" s="347"/>
      <c r="AE248" s="347"/>
      <c r="AF248" s="347"/>
      <c r="AG248" s="579">
        <f t="shared" si="54"/>
        <v>0</v>
      </c>
      <c r="AH248" s="579">
        <f t="shared" si="175"/>
        <v>0</v>
      </c>
      <c r="AI248" s="582"/>
      <c r="AJ248" s="582"/>
      <c r="AK248" s="582"/>
      <c r="AL248" s="582"/>
      <c r="AM248" s="579"/>
      <c r="AN248" s="579"/>
      <c r="AO248" s="347"/>
      <c r="AP248" s="581">
        <f t="shared" si="164"/>
        <v>0</v>
      </c>
      <c r="AQ248" s="596"/>
      <c r="AR248" s="596"/>
      <c r="AS248" s="348"/>
      <c r="AT248" s="348"/>
      <c r="AU248" s="348"/>
      <c r="AV248" s="348"/>
      <c r="AW248" s="348"/>
      <c r="AX248" s="584">
        <f t="shared" si="165"/>
        <v>0</v>
      </c>
      <c r="AY248" s="581">
        <f t="shared" si="12"/>
        <v>0</v>
      </c>
      <c r="AZ248" s="581">
        <f t="shared" si="159"/>
        <v>0</v>
      </c>
      <c r="BA248" s="596"/>
      <c r="BB248" s="596"/>
      <c r="BC248" s="348"/>
      <c r="BD248" s="581">
        <f t="shared" si="192"/>
        <v>0</v>
      </c>
      <c r="BE248" s="581">
        <f t="shared" si="37"/>
        <v>0</v>
      </c>
      <c r="BF248" s="347"/>
      <c r="BG248" s="347"/>
      <c r="BH248" s="347"/>
      <c r="BI248" s="347"/>
      <c r="BJ248" s="586">
        <f t="shared" si="187"/>
        <v>0</v>
      </c>
      <c r="BK248" s="581">
        <f t="shared" si="15"/>
        <v>0</v>
      </c>
      <c r="BL248" s="347"/>
      <c r="BM248" s="347"/>
      <c r="BN248" s="347"/>
      <c r="BO248" s="586">
        <f t="shared" si="189"/>
        <v>0</v>
      </c>
      <c r="BP248" s="584">
        <f t="shared" si="17"/>
        <v>0</v>
      </c>
      <c r="BQ248" s="347"/>
      <c r="BR248" s="581">
        <f t="shared" si="153"/>
        <v>0</v>
      </c>
      <c r="BS248" s="588">
        <f t="shared" si="180"/>
        <v>0</v>
      </c>
      <c r="BT248" s="581">
        <f t="shared" si="20"/>
        <v>0</v>
      </c>
      <c r="BU248" s="589"/>
      <c r="BV248" s="581">
        <f t="shared" si="44"/>
        <v>0</v>
      </c>
      <c r="BW248" s="590"/>
      <c r="BX248" s="347"/>
      <c r="BY248" s="347"/>
      <c r="BZ248" s="347"/>
      <c r="CA248" s="586">
        <f t="shared" si="129"/>
        <v>0</v>
      </c>
      <c r="CB248" s="581">
        <f t="shared" si="160"/>
        <v>0</v>
      </c>
      <c r="CC248" s="581">
        <f t="shared" si="131"/>
        <v>0</v>
      </c>
      <c r="CD248" s="581">
        <f t="shared" si="132"/>
        <v>0</v>
      </c>
      <c r="CE248" s="581">
        <f t="shared" si="133"/>
        <v>0</v>
      </c>
      <c r="CF248" s="581">
        <f t="shared" si="134"/>
        <v>0</v>
      </c>
      <c r="CG248" s="581">
        <f t="shared" si="135"/>
        <v>0</v>
      </c>
      <c r="CH248" s="608" t="str">
        <f t="shared" si="136"/>
        <v>#DIV/0!</v>
      </c>
      <c r="CI248" s="603" t="str">
        <f t="shared" si="137"/>
        <v>#DIV/0!</v>
      </c>
      <c r="CJ248" s="347"/>
      <c r="CK248" s="347">
        <f t="shared" si="138"/>
        <v>0</v>
      </c>
      <c r="CL248" s="539">
        <f t="shared" si="139"/>
        <v>0</v>
      </c>
      <c r="CM248" s="347">
        <f t="shared" si="140"/>
        <v>0</v>
      </c>
      <c r="CN248" s="347">
        <f t="shared" si="141"/>
        <v>0</v>
      </c>
      <c r="CO248" s="347" t="str">
        <f t="shared" si="142"/>
        <v>1899-12-30</v>
      </c>
      <c r="CP248" s="347"/>
    </row>
    <row r="249">
      <c r="A249" s="574">
        <f t="shared" si="147"/>
        <v>200184</v>
      </c>
      <c r="B249" s="574" t="str">
        <f t="shared" si="1"/>
        <v>Batch 200184</v>
      </c>
      <c r="C249" s="347"/>
      <c r="D249" s="574" t="str">
        <f t="shared" si="190"/>
        <v>2-84</v>
      </c>
      <c r="E249" s="347"/>
      <c r="F249" s="596"/>
      <c r="G249" s="596"/>
      <c r="H249" s="347"/>
      <c r="I249" s="347"/>
      <c r="J249" s="596"/>
      <c r="K249" s="609"/>
      <c r="L249" s="1"/>
      <c r="M249" s="347"/>
      <c r="N249" s="347"/>
      <c r="O249" s="579">
        <f t="shared" si="2"/>
        <v>0</v>
      </c>
      <c r="P249" s="579">
        <f t="shared" si="126"/>
        <v>0</v>
      </c>
      <c r="Q249" s="574"/>
      <c r="R249" s="347"/>
      <c r="S249" s="597"/>
      <c r="T249" s="347"/>
      <c r="U249" s="579">
        <f t="shared" si="48"/>
        <v>0</v>
      </c>
      <c r="V249" s="579">
        <f t="shared" si="49"/>
        <v>0</v>
      </c>
      <c r="W249" s="574"/>
      <c r="X249" s="347"/>
      <c r="Y249" s="347"/>
      <c r="Z249" s="347"/>
      <c r="AA249" s="579">
        <f t="shared" si="6"/>
        <v>0</v>
      </c>
      <c r="AB249" s="581">
        <f t="shared" si="105"/>
        <v>0</v>
      </c>
      <c r="AC249" s="347"/>
      <c r="AD249" s="347"/>
      <c r="AE249" s="347"/>
      <c r="AF249" s="347"/>
      <c r="AG249" s="579">
        <f t="shared" si="54"/>
        <v>0</v>
      </c>
      <c r="AH249" s="579">
        <f t="shared" si="175"/>
        <v>0</v>
      </c>
      <c r="AI249" s="582"/>
      <c r="AJ249" s="582"/>
      <c r="AK249" s="582"/>
      <c r="AL249" s="582"/>
      <c r="AM249" s="579"/>
      <c r="AN249" s="579"/>
      <c r="AO249" s="347"/>
      <c r="AP249" s="581">
        <f t="shared" si="164"/>
        <v>0</v>
      </c>
      <c r="AQ249" s="596"/>
      <c r="AR249" s="596"/>
      <c r="AS249" s="348"/>
      <c r="AT249" s="348"/>
      <c r="AU249" s="348"/>
      <c r="AV249" s="348"/>
      <c r="AW249" s="348"/>
      <c r="AX249" s="584">
        <f t="shared" si="165"/>
        <v>0</v>
      </c>
      <c r="AY249" s="581">
        <f t="shared" si="12"/>
        <v>0</v>
      </c>
      <c r="AZ249" s="581">
        <f t="shared" si="159"/>
        <v>0</v>
      </c>
      <c r="BA249" s="596"/>
      <c r="BB249" s="596"/>
      <c r="BC249" s="348"/>
      <c r="BD249" s="581">
        <f t="shared" si="192"/>
        <v>0</v>
      </c>
      <c r="BE249" s="581">
        <f t="shared" si="37"/>
        <v>0</v>
      </c>
      <c r="BF249" s="347"/>
      <c r="BG249" s="347"/>
      <c r="BH249" s="347"/>
      <c r="BI249" s="347"/>
      <c r="BJ249" s="586">
        <f t="shared" si="187"/>
        <v>0</v>
      </c>
      <c r="BK249" s="581">
        <f t="shared" si="15"/>
        <v>0</v>
      </c>
      <c r="BL249" s="347"/>
      <c r="BM249" s="347"/>
      <c r="BN249" s="347"/>
      <c r="BO249" s="586">
        <f t="shared" si="189"/>
        <v>0</v>
      </c>
      <c r="BP249" s="584">
        <f t="shared" si="17"/>
        <v>0</v>
      </c>
      <c r="BQ249" s="347"/>
      <c r="BR249" s="581">
        <f t="shared" si="153"/>
        <v>0</v>
      </c>
      <c r="BS249" s="588">
        <f t="shared" si="180"/>
        <v>0</v>
      </c>
      <c r="BT249" s="581">
        <f t="shared" si="20"/>
        <v>0</v>
      </c>
      <c r="BU249" s="589"/>
      <c r="BV249" s="581">
        <f t="shared" si="44"/>
        <v>0</v>
      </c>
      <c r="BW249" s="590"/>
      <c r="BX249" s="347"/>
      <c r="BY249" s="347"/>
      <c r="BZ249" s="347"/>
      <c r="CA249" s="586">
        <f t="shared" si="129"/>
        <v>0</v>
      </c>
      <c r="CB249" s="581">
        <f t="shared" si="160"/>
        <v>0</v>
      </c>
      <c r="CC249" s="581">
        <f t="shared" si="131"/>
        <v>0</v>
      </c>
      <c r="CD249" s="581">
        <f t="shared" si="132"/>
        <v>0</v>
      </c>
      <c r="CE249" s="581">
        <f t="shared" si="133"/>
        <v>0</v>
      </c>
      <c r="CF249" s="581">
        <f t="shared" si="134"/>
        <v>0</v>
      </c>
      <c r="CG249" s="581">
        <f t="shared" si="135"/>
        <v>0</v>
      </c>
      <c r="CH249" s="608" t="str">
        <f t="shared" si="136"/>
        <v>#DIV/0!</v>
      </c>
      <c r="CI249" s="603" t="str">
        <f t="shared" si="137"/>
        <v>#DIV/0!</v>
      </c>
      <c r="CJ249" s="347"/>
      <c r="CK249" s="347">
        <f t="shared" si="138"/>
        <v>0</v>
      </c>
      <c r="CL249" s="539">
        <f t="shared" si="139"/>
        <v>0</v>
      </c>
      <c r="CM249" s="347">
        <f t="shared" si="140"/>
        <v>0</v>
      </c>
      <c r="CN249" s="347">
        <f t="shared" si="141"/>
        <v>0</v>
      </c>
      <c r="CO249" s="347" t="str">
        <f t="shared" si="142"/>
        <v>1899-12-30</v>
      </c>
      <c r="CP249" s="347"/>
    </row>
    <row r="250">
      <c r="A250" s="574">
        <f t="shared" si="147"/>
        <v>300117</v>
      </c>
      <c r="B250" s="574" t="str">
        <f t="shared" si="1"/>
        <v>Batch 300117</v>
      </c>
      <c r="C250" s="347"/>
      <c r="D250" s="574" t="str">
        <f t="shared" si="190"/>
        <v>3-17</v>
      </c>
      <c r="E250" s="347"/>
      <c r="F250" s="596"/>
      <c r="G250" s="596"/>
      <c r="H250" s="347"/>
      <c r="I250" s="347"/>
      <c r="J250" s="596"/>
      <c r="K250" s="609"/>
      <c r="L250" s="1"/>
      <c r="M250" s="347"/>
      <c r="N250" s="347"/>
      <c r="O250" s="579">
        <f t="shared" si="2"/>
        <v>0</v>
      </c>
      <c r="P250" s="579">
        <f t="shared" si="126"/>
        <v>0</v>
      </c>
      <c r="Q250" s="574"/>
      <c r="R250" s="347"/>
      <c r="S250" s="597"/>
      <c r="T250" s="347"/>
      <c r="U250" s="579">
        <f t="shared" si="48"/>
        <v>0</v>
      </c>
      <c r="V250" s="579">
        <f t="shared" si="49"/>
        <v>0</v>
      </c>
      <c r="W250" s="574"/>
      <c r="X250" s="347"/>
      <c r="Y250" s="347"/>
      <c r="Z250" s="347"/>
      <c r="AA250" s="579">
        <f t="shared" si="6"/>
        <v>0</v>
      </c>
      <c r="AB250" s="581">
        <f t="shared" si="105"/>
        <v>0</v>
      </c>
      <c r="AC250" s="347"/>
      <c r="AD250" s="347"/>
      <c r="AE250" s="347"/>
      <c r="AF250" s="347"/>
      <c r="AG250" s="579">
        <f t="shared" si="54"/>
        <v>0</v>
      </c>
      <c r="AH250" s="579">
        <f t="shared" si="175"/>
        <v>0</v>
      </c>
      <c r="AI250" s="582"/>
      <c r="AJ250" s="582"/>
      <c r="AK250" s="582"/>
      <c r="AL250" s="582"/>
      <c r="AM250" s="579"/>
      <c r="AN250" s="579"/>
      <c r="AO250" s="347"/>
      <c r="AP250" s="581">
        <f t="shared" si="164"/>
        <v>0</v>
      </c>
      <c r="AQ250" s="596"/>
      <c r="AR250" s="596"/>
      <c r="AS250" s="348"/>
      <c r="AT250" s="348"/>
      <c r="AU250" s="348"/>
      <c r="AV250" s="348"/>
      <c r="AW250" s="348"/>
      <c r="AX250" s="584">
        <f t="shared" si="165"/>
        <v>0</v>
      </c>
      <c r="AY250" s="581">
        <f t="shared" si="12"/>
        <v>0</v>
      </c>
      <c r="AZ250" s="581">
        <f t="shared" si="159"/>
        <v>0</v>
      </c>
      <c r="BA250" s="596"/>
      <c r="BB250" s="596"/>
      <c r="BC250" s="348"/>
      <c r="BD250" s="581">
        <f t="shared" si="192"/>
        <v>0</v>
      </c>
      <c r="BE250" s="581">
        <f t="shared" si="37"/>
        <v>0</v>
      </c>
      <c r="BF250" s="347"/>
      <c r="BG250" s="347"/>
      <c r="BH250" s="347"/>
      <c r="BI250" s="347"/>
      <c r="BJ250" s="586">
        <f t="shared" si="187"/>
        <v>0</v>
      </c>
      <c r="BK250" s="581">
        <f t="shared" si="15"/>
        <v>0</v>
      </c>
      <c r="BL250" s="347"/>
      <c r="BM250" s="347"/>
      <c r="BN250" s="347"/>
      <c r="BO250" s="586">
        <f t="shared" si="189"/>
        <v>0</v>
      </c>
      <c r="BP250" s="584">
        <f t="shared" si="17"/>
        <v>0</v>
      </c>
      <c r="BQ250" s="347"/>
      <c r="BR250" s="581">
        <f t="shared" si="153"/>
        <v>0</v>
      </c>
      <c r="BS250" s="588">
        <f t="shared" si="180"/>
        <v>0</v>
      </c>
      <c r="BT250" s="581">
        <f t="shared" si="20"/>
        <v>0</v>
      </c>
      <c r="BU250" s="589"/>
      <c r="BV250" s="581">
        <f t="shared" si="44"/>
        <v>0</v>
      </c>
      <c r="BW250" s="590"/>
      <c r="BX250" s="347"/>
      <c r="BY250" s="347"/>
      <c r="BZ250" s="347"/>
      <c r="CA250" s="586">
        <f t="shared" si="129"/>
        <v>0</v>
      </c>
      <c r="CB250" s="581">
        <f t="shared" si="160"/>
        <v>0</v>
      </c>
      <c r="CC250" s="581">
        <f t="shared" si="131"/>
        <v>0</v>
      </c>
      <c r="CD250" s="581">
        <f t="shared" si="132"/>
        <v>0</v>
      </c>
      <c r="CE250" s="581">
        <f t="shared" si="133"/>
        <v>0</v>
      </c>
      <c r="CF250" s="581">
        <f t="shared" si="134"/>
        <v>0</v>
      </c>
      <c r="CG250" s="581">
        <f t="shared" si="135"/>
        <v>0</v>
      </c>
      <c r="CH250" s="608" t="str">
        <f t="shared" si="136"/>
        <v>#DIV/0!</v>
      </c>
      <c r="CI250" s="603" t="str">
        <f t="shared" si="137"/>
        <v>#DIV/0!</v>
      </c>
      <c r="CJ250" s="347"/>
      <c r="CK250" s="347">
        <f t="shared" si="138"/>
        <v>0</v>
      </c>
      <c r="CL250" s="539">
        <f t="shared" si="139"/>
        <v>0</v>
      </c>
      <c r="CM250" s="347">
        <f t="shared" si="140"/>
        <v>0</v>
      </c>
      <c r="CN250" s="347">
        <f t="shared" si="141"/>
        <v>0</v>
      </c>
      <c r="CO250" s="347" t="str">
        <f t="shared" si="142"/>
        <v>1899-12-30</v>
      </c>
      <c r="CP250" s="347"/>
    </row>
    <row r="251">
      <c r="A251" s="574">
        <f t="shared" si="147"/>
        <v>200185</v>
      </c>
      <c r="B251" s="574" t="str">
        <f t="shared" si="1"/>
        <v>Batch 200185</v>
      </c>
      <c r="C251" s="347"/>
      <c r="D251" s="574" t="str">
        <f t="shared" si="190"/>
        <v>2-85</v>
      </c>
      <c r="E251" s="347"/>
      <c r="F251" s="596"/>
      <c r="G251" s="596"/>
      <c r="H251" s="347"/>
      <c r="I251" s="347"/>
      <c r="J251" s="596"/>
      <c r="K251" s="609"/>
      <c r="L251" s="1"/>
      <c r="M251" s="347"/>
      <c r="N251" s="347"/>
      <c r="O251" s="579">
        <f t="shared" si="2"/>
        <v>0</v>
      </c>
      <c r="P251" s="579">
        <f t="shared" si="126"/>
        <v>0</v>
      </c>
      <c r="Q251" s="574"/>
      <c r="R251" s="347"/>
      <c r="S251" s="597"/>
      <c r="T251" s="347"/>
      <c r="U251" s="579">
        <f t="shared" si="48"/>
        <v>0</v>
      </c>
      <c r="V251" s="579">
        <f t="shared" si="49"/>
        <v>0</v>
      </c>
      <c r="W251" s="574"/>
      <c r="X251" s="347"/>
      <c r="Y251" s="347"/>
      <c r="Z251" s="347"/>
      <c r="AA251" s="579">
        <f t="shared" si="6"/>
        <v>0</v>
      </c>
      <c r="AB251" s="581">
        <f t="shared" si="105"/>
        <v>0</v>
      </c>
      <c r="AC251" s="347"/>
      <c r="AD251" s="347"/>
      <c r="AE251" s="347"/>
      <c r="AF251" s="347"/>
      <c r="AG251" s="579">
        <f t="shared" si="54"/>
        <v>0</v>
      </c>
      <c r="AH251" s="579">
        <f t="shared" si="175"/>
        <v>0</v>
      </c>
      <c r="AI251" s="582"/>
      <c r="AJ251" s="582"/>
      <c r="AK251" s="582"/>
      <c r="AL251" s="582"/>
      <c r="AM251" s="579"/>
      <c r="AN251" s="579"/>
      <c r="AO251" s="347"/>
      <c r="AP251" s="581">
        <f t="shared" si="164"/>
        <v>0</v>
      </c>
      <c r="AQ251" s="596"/>
      <c r="AR251" s="596"/>
      <c r="AS251" s="348"/>
      <c r="AT251" s="348"/>
      <c r="AU251" s="348"/>
      <c r="AV251" s="348"/>
      <c r="AW251" s="348"/>
      <c r="AX251" s="584">
        <f t="shared" si="165"/>
        <v>0</v>
      </c>
      <c r="AY251" s="581">
        <f t="shared" si="12"/>
        <v>0</v>
      </c>
      <c r="AZ251" s="581">
        <f t="shared" si="159"/>
        <v>0</v>
      </c>
      <c r="BA251" s="596"/>
      <c r="BB251" s="596"/>
      <c r="BC251" s="348"/>
      <c r="BD251" s="581">
        <f t="shared" si="192"/>
        <v>0</v>
      </c>
      <c r="BE251" s="581">
        <f t="shared" si="37"/>
        <v>0</v>
      </c>
      <c r="BF251" s="347"/>
      <c r="BG251" s="347"/>
      <c r="BH251" s="347"/>
      <c r="BI251" s="347"/>
      <c r="BJ251" s="586">
        <f t="shared" si="187"/>
        <v>0</v>
      </c>
      <c r="BK251" s="581">
        <f t="shared" si="15"/>
        <v>0</v>
      </c>
      <c r="BL251" s="347"/>
      <c r="BM251" s="347"/>
      <c r="BN251" s="347"/>
      <c r="BO251" s="586">
        <f t="shared" si="189"/>
        <v>0</v>
      </c>
      <c r="BP251" s="584">
        <f t="shared" si="17"/>
        <v>0</v>
      </c>
      <c r="BQ251" s="347"/>
      <c r="BR251" s="581">
        <f t="shared" si="153"/>
        <v>0</v>
      </c>
      <c r="BS251" s="588">
        <f t="shared" si="180"/>
        <v>0</v>
      </c>
      <c r="BT251" s="581">
        <f t="shared" si="20"/>
        <v>0</v>
      </c>
      <c r="BU251" s="589"/>
      <c r="BV251" s="581">
        <f t="shared" si="44"/>
        <v>0</v>
      </c>
      <c r="BW251" s="590"/>
      <c r="BX251" s="347"/>
      <c r="BY251" s="347"/>
      <c r="BZ251" s="347"/>
      <c r="CA251" s="586">
        <f t="shared" si="129"/>
        <v>0</v>
      </c>
      <c r="CB251" s="581">
        <f t="shared" si="160"/>
        <v>0</v>
      </c>
      <c r="CC251" s="581">
        <f t="shared" si="131"/>
        <v>0</v>
      </c>
      <c r="CD251" s="581">
        <f t="shared" si="132"/>
        <v>0</v>
      </c>
      <c r="CE251" s="581">
        <f t="shared" si="133"/>
        <v>0</v>
      </c>
      <c r="CF251" s="581">
        <f t="shared" si="134"/>
        <v>0</v>
      </c>
      <c r="CG251" s="581">
        <f t="shared" si="135"/>
        <v>0</v>
      </c>
      <c r="CH251" s="608" t="str">
        <f t="shared" si="136"/>
        <v>#DIV/0!</v>
      </c>
      <c r="CI251" s="603" t="str">
        <f t="shared" si="137"/>
        <v>#DIV/0!</v>
      </c>
      <c r="CJ251" s="347"/>
      <c r="CK251" s="347">
        <f t="shared" si="138"/>
        <v>0</v>
      </c>
      <c r="CL251" s="539">
        <f t="shared" si="139"/>
        <v>0</v>
      </c>
      <c r="CM251" s="347">
        <f t="shared" si="140"/>
        <v>0</v>
      </c>
      <c r="CN251" s="347">
        <f t="shared" si="141"/>
        <v>0</v>
      </c>
      <c r="CO251" s="347" t="str">
        <f t="shared" si="142"/>
        <v>1899-12-30</v>
      </c>
      <c r="CP251" s="347"/>
    </row>
    <row r="252">
      <c r="A252" s="574">
        <f t="shared" si="147"/>
        <v>300118</v>
      </c>
      <c r="B252" s="574" t="str">
        <f t="shared" si="1"/>
        <v>Batch 300118</v>
      </c>
      <c r="C252" s="347"/>
      <c r="D252" s="574"/>
      <c r="E252" s="347"/>
      <c r="F252" s="596"/>
      <c r="G252" s="596"/>
      <c r="H252" s="347"/>
      <c r="I252" s="347"/>
      <c r="J252" s="596"/>
      <c r="K252" s="609"/>
      <c r="L252" s="1"/>
      <c r="M252" s="347"/>
      <c r="N252" s="347"/>
      <c r="O252" s="579">
        <f t="shared" si="2"/>
        <v>0</v>
      </c>
      <c r="P252" s="579">
        <f t="shared" si="126"/>
        <v>0</v>
      </c>
      <c r="Q252" s="574"/>
      <c r="R252" s="347"/>
      <c r="S252" s="597"/>
      <c r="T252" s="347"/>
      <c r="U252" s="579">
        <f t="shared" si="48"/>
        <v>0</v>
      </c>
      <c r="V252" s="579">
        <f t="shared" si="49"/>
        <v>0</v>
      </c>
      <c r="W252" s="574"/>
      <c r="X252" s="347"/>
      <c r="Y252" s="347"/>
      <c r="Z252" s="347"/>
      <c r="AA252" s="579">
        <f t="shared" si="6"/>
        <v>0</v>
      </c>
      <c r="AB252" s="581">
        <f t="shared" si="105"/>
        <v>0</v>
      </c>
      <c r="AC252" s="347"/>
      <c r="AD252" s="347"/>
      <c r="AE252" s="347"/>
      <c r="AF252" s="347"/>
      <c r="AG252" s="579">
        <f t="shared" si="54"/>
        <v>0</v>
      </c>
      <c r="AH252" s="579">
        <f t="shared" si="175"/>
        <v>0</v>
      </c>
      <c r="AI252" s="582"/>
      <c r="AJ252" s="582"/>
      <c r="AK252" s="582"/>
      <c r="AL252" s="582"/>
      <c r="AM252" s="579"/>
      <c r="AN252" s="579"/>
      <c r="AO252" s="347"/>
      <c r="AP252" s="581">
        <f t="shared" si="164"/>
        <v>0</v>
      </c>
      <c r="AQ252" s="596"/>
      <c r="AR252" s="596"/>
      <c r="AS252" s="348"/>
      <c r="AT252" s="348"/>
      <c r="AU252" s="348"/>
      <c r="AV252" s="348"/>
      <c r="AW252" s="348"/>
      <c r="AX252" s="584">
        <f t="shared" si="165"/>
        <v>0</v>
      </c>
      <c r="AY252" s="581">
        <f t="shared" si="12"/>
        <v>0</v>
      </c>
      <c r="AZ252" s="581">
        <f t="shared" si="159"/>
        <v>0</v>
      </c>
      <c r="BA252" s="596"/>
      <c r="BB252" s="596"/>
      <c r="BC252" s="348"/>
      <c r="BD252" s="581">
        <f t="shared" si="192"/>
        <v>0</v>
      </c>
      <c r="BE252" s="581">
        <f t="shared" si="37"/>
        <v>0</v>
      </c>
      <c r="BF252" s="347"/>
      <c r="BG252" s="347"/>
      <c r="BH252" s="347"/>
      <c r="BI252" s="347"/>
      <c r="BJ252" s="586">
        <f t="shared" si="187"/>
        <v>0</v>
      </c>
      <c r="BK252" s="581">
        <f t="shared" si="15"/>
        <v>0</v>
      </c>
      <c r="BL252" s="347"/>
      <c r="BM252" s="347"/>
      <c r="BN252" s="347"/>
      <c r="BO252" s="586">
        <f t="shared" si="189"/>
        <v>0</v>
      </c>
      <c r="BP252" s="584">
        <f t="shared" si="17"/>
        <v>0</v>
      </c>
      <c r="BQ252" s="347"/>
      <c r="BR252" s="581">
        <f t="shared" si="153"/>
        <v>0</v>
      </c>
      <c r="BS252" s="588">
        <f t="shared" si="180"/>
        <v>0</v>
      </c>
      <c r="BT252" s="581">
        <f t="shared" si="20"/>
        <v>0</v>
      </c>
      <c r="BU252" s="589"/>
      <c r="BV252" s="581">
        <f t="shared" si="44"/>
        <v>0</v>
      </c>
      <c r="BW252" s="590"/>
      <c r="BX252" s="347"/>
      <c r="BY252" s="347"/>
      <c r="BZ252" s="347"/>
      <c r="CA252" s="586">
        <f t="shared" si="129"/>
        <v>0</v>
      </c>
      <c r="CB252" s="581">
        <f t="shared" si="160"/>
        <v>0</v>
      </c>
      <c r="CC252" s="581">
        <f t="shared" si="131"/>
        <v>0</v>
      </c>
      <c r="CD252" s="581">
        <f t="shared" si="132"/>
        <v>0</v>
      </c>
      <c r="CE252" s="581">
        <f t="shared" si="133"/>
        <v>0</v>
      </c>
      <c r="CF252" s="581">
        <f t="shared" si="134"/>
        <v>0</v>
      </c>
      <c r="CG252" s="581">
        <f t="shared" si="135"/>
        <v>0</v>
      </c>
      <c r="CH252" s="608" t="str">
        <f t="shared" si="136"/>
        <v>#DIV/0!</v>
      </c>
      <c r="CI252" s="603" t="str">
        <f t="shared" si="137"/>
        <v>#DIV/0!</v>
      </c>
      <c r="CJ252" s="347"/>
      <c r="CK252" s="347">
        <f t="shared" si="138"/>
        <v>0</v>
      </c>
      <c r="CL252" s="539">
        <f t="shared" si="139"/>
        <v>0</v>
      </c>
      <c r="CM252" s="347">
        <f t="shared" si="140"/>
        <v>0</v>
      </c>
      <c r="CN252" s="347">
        <f t="shared" si="141"/>
        <v>0</v>
      </c>
      <c r="CO252" s="347" t="str">
        <f t="shared" si="142"/>
        <v>1899-12-30</v>
      </c>
      <c r="CP252" s="347"/>
    </row>
    <row r="253">
      <c r="A253" s="574">
        <f t="shared" si="147"/>
        <v>200186</v>
      </c>
      <c r="B253" s="574" t="str">
        <f t="shared" si="1"/>
        <v>Batch 200186</v>
      </c>
      <c r="C253" s="347"/>
      <c r="D253" s="574"/>
      <c r="E253" s="347"/>
      <c r="F253" s="596"/>
      <c r="G253" s="596"/>
      <c r="H253" s="347"/>
      <c r="I253" s="347"/>
      <c r="J253" s="596"/>
      <c r="K253" s="609"/>
      <c r="L253" s="1"/>
      <c r="M253" s="347"/>
      <c r="N253" s="347"/>
      <c r="O253" s="579">
        <f t="shared" si="2"/>
        <v>0</v>
      </c>
      <c r="P253" s="579">
        <f t="shared" si="126"/>
        <v>0</v>
      </c>
      <c r="Q253" s="574"/>
      <c r="R253" s="347"/>
      <c r="S253" s="597"/>
      <c r="T253" s="347"/>
      <c r="U253" s="579">
        <f t="shared" si="48"/>
        <v>0</v>
      </c>
      <c r="V253" s="579">
        <f t="shared" si="49"/>
        <v>0</v>
      </c>
      <c r="W253" s="574"/>
      <c r="X253" s="347"/>
      <c r="Y253" s="347"/>
      <c r="Z253" s="347"/>
      <c r="AA253" s="579">
        <f t="shared" si="6"/>
        <v>0</v>
      </c>
      <c r="AB253" s="581">
        <f t="shared" si="105"/>
        <v>0</v>
      </c>
      <c r="AC253" s="347"/>
      <c r="AD253" s="347"/>
      <c r="AE253" s="347"/>
      <c r="AF253" s="347"/>
      <c r="AG253" s="579">
        <f t="shared" si="54"/>
        <v>0</v>
      </c>
      <c r="AH253" s="579">
        <f t="shared" si="175"/>
        <v>0</v>
      </c>
      <c r="AI253" s="582"/>
      <c r="AJ253" s="582"/>
      <c r="AK253" s="582"/>
      <c r="AL253" s="582"/>
      <c r="AM253" s="579"/>
      <c r="AN253" s="579"/>
      <c r="AO253" s="347"/>
      <c r="AP253" s="581">
        <f t="shared" si="164"/>
        <v>0</v>
      </c>
      <c r="AQ253" s="596"/>
      <c r="AR253" s="596"/>
      <c r="AS253" s="348"/>
      <c r="AT253" s="348"/>
      <c r="AU253" s="348"/>
      <c r="AV253" s="348"/>
      <c r="AW253" s="348"/>
      <c r="AX253" s="584">
        <f t="shared" si="165"/>
        <v>0</v>
      </c>
      <c r="AY253" s="581">
        <f t="shared" si="12"/>
        <v>0</v>
      </c>
      <c r="AZ253" s="581">
        <f t="shared" si="159"/>
        <v>0</v>
      </c>
      <c r="BA253" s="596"/>
      <c r="BB253" s="596"/>
      <c r="BC253" s="348"/>
      <c r="BD253" s="581">
        <f t="shared" si="192"/>
        <v>0</v>
      </c>
      <c r="BE253" s="581">
        <f t="shared" si="37"/>
        <v>0</v>
      </c>
      <c r="BF253" s="347"/>
      <c r="BG253" s="347"/>
      <c r="BH253" s="347"/>
      <c r="BI253" s="347"/>
      <c r="BJ253" s="586">
        <f t="shared" si="187"/>
        <v>0</v>
      </c>
      <c r="BK253" s="581">
        <f t="shared" si="15"/>
        <v>0</v>
      </c>
      <c r="BL253" s="347"/>
      <c r="BM253" s="347"/>
      <c r="BN253" s="347"/>
      <c r="BO253" s="586">
        <f t="shared" si="189"/>
        <v>0</v>
      </c>
      <c r="BP253" s="584">
        <f t="shared" si="17"/>
        <v>0</v>
      </c>
      <c r="BQ253" s="347"/>
      <c r="BR253" s="581">
        <f t="shared" si="153"/>
        <v>0</v>
      </c>
      <c r="BS253" s="588">
        <f t="shared" si="180"/>
        <v>0</v>
      </c>
      <c r="BT253" s="581">
        <f t="shared" si="20"/>
        <v>0</v>
      </c>
      <c r="BU253" s="589"/>
      <c r="BV253" s="581">
        <f t="shared" si="44"/>
        <v>0</v>
      </c>
      <c r="BW253" s="590"/>
      <c r="BX253" s="347"/>
      <c r="BY253" s="347"/>
      <c r="BZ253" s="347"/>
      <c r="CA253" s="586">
        <f t="shared" si="129"/>
        <v>0</v>
      </c>
      <c r="CB253" s="581">
        <f t="shared" si="160"/>
        <v>0</v>
      </c>
      <c r="CC253" s="581">
        <f t="shared" si="131"/>
        <v>0</v>
      </c>
      <c r="CD253" s="581">
        <f t="shared" si="132"/>
        <v>0</v>
      </c>
      <c r="CE253" s="581">
        <f t="shared" si="133"/>
        <v>0</v>
      </c>
      <c r="CF253" s="581">
        <f t="shared" si="134"/>
        <v>0</v>
      </c>
      <c r="CG253" s="581">
        <f t="shared" si="135"/>
        <v>0</v>
      </c>
      <c r="CH253" s="608" t="str">
        <f t="shared" si="136"/>
        <v>#DIV/0!</v>
      </c>
      <c r="CI253" s="603" t="str">
        <f t="shared" si="137"/>
        <v>#DIV/0!</v>
      </c>
      <c r="CJ253" s="347"/>
      <c r="CK253" s="347">
        <f t="shared" si="138"/>
        <v>0</v>
      </c>
      <c r="CL253" s="539">
        <f t="shared" si="139"/>
        <v>0</v>
      </c>
      <c r="CM253" s="347">
        <f t="shared" si="140"/>
        <v>0</v>
      </c>
      <c r="CN253" s="347">
        <f t="shared" si="141"/>
        <v>0</v>
      </c>
      <c r="CO253" s="347" t="str">
        <f t="shared" si="142"/>
        <v>1899-12-30</v>
      </c>
      <c r="CP253" s="347"/>
    </row>
    <row r="254">
      <c r="A254" s="574">
        <f t="shared" si="147"/>
        <v>300119</v>
      </c>
      <c r="B254" s="574" t="str">
        <f t="shared" si="1"/>
        <v>Batch 300119</v>
      </c>
      <c r="C254" s="347"/>
      <c r="D254" s="574"/>
      <c r="E254" s="347"/>
      <c r="F254" s="596"/>
      <c r="G254" s="596"/>
      <c r="H254" s="347"/>
      <c r="I254" s="347"/>
      <c r="J254" s="596"/>
      <c r="K254" s="609"/>
      <c r="L254" s="1"/>
      <c r="M254" s="347"/>
      <c r="N254" s="347"/>
      <c r="O254" s="579">
        <f t="shared" si="2"/>
        <v>0</v>
      </c>
      <c r="P254" s="579">
        <f t="shared" si="126"/>
        <v>0</v>
      </c>
      <c r="Q254" s="574"/>
      <c r="R254" s="347"/>
      <c r="S254" s="597"/>
      <c r="T254" s="347"/>
      <c r="U254" s="579">
        <f t="shared" si="48"/>
        <v>0</v>
      </c>
      <c r="V254" s="579">
        <f t="shared" si="49"/>
        <v>0</v>
      </c>
      <c r="W254" s="574"/>
      <c r="X254" s="347"/>
      <c r="Y254" s="347"/>
      <c r="Z254" s="347"/>
      <c r="AA254" s="579">
        <f t="shared" si="6"/>
        <v>0</v>
      </c>
      <c r="AB254" s="581">
        <f t="shared" si="105"/>
        <v>0</v>
      </c>
      <c r="AC254" s="347"/>
      <c r="AD254" s="347"/>
      <c r="AE254" s="347"/>
      <c r="AF254" s="347"/>
      <c r="AG254" s="579">
        <f t="shared" si="54"/>
        <v>0</v>
      </c>
      <c r="AH254" s="579">
        <f t="shared" si="175"/>
        <v>0</v>
      </c>
      <c r="AI254" s="582"/>
      <c r="AJ254" s="582"/>
      <c r="AK254" s="582"/>
      <c r="AL254" s="582"/>
      <c r="AM254" s="579"/>
      <c r="AN254" s="579"/>
      <c r="AO254" s="347"/>
      <c r="AP254" s="581">
        <f t="shared" si="164"/>
        <v>0</v>
      </c>
      <c r="AQ254" s="596"/>
      <c r="AR254" s="596"/>
      <c r="AS254" s="348"/>
      <c r="AT254" s="348"/>
      <c r="AU254" s="348"/>
      <c r="AV254" s="348"/>
      <c r="AW254" s="348"/>
      <c r="AX254" s="584">
        <f t="shared" si="165"/>
        <v>0</v>
      </c>
      <c r="AY254" s="581">
        <f t="shared" si="12"/>
        <v>0</v>
      </c>
      <c r="AZ254" s="581">
        <f t="shared" si="159"/>
        <v>0</v>
      </c>
      <c r="BA254" s="596"/>
      <c r="BB254" s="596"/>
      <c r="BC254" s="348"/>
      <c r="BD254" s="581">
        <f t="shared" si="192"/>
        <v>0</v>
      </c>
      <c r="BE254" s="581">
        <f t="shared" si="37"/>
        <v>0</v>
      </c>
      <c r="BF254" s="347"/>
      <c r="BG254" s="347"/>
      <c r="BH254" s="347"/>
      <c r="BI254" s="347"/>
      <c r="BJ254" s="586">
        <f t="shared" si="187"/>
        <v>0</v>
      </c>
      <c r="BK254" s="581">
        <f t="shared" si="15"/>
        <v>0</v>
      </c>
      <c r="BL254" s="347"/>
      <c r="BM254" s="347"/>
      <c r="BN254" s="347"/>
      <c r="BO254" s="586">
        <f t="shared" si="189"/>
        <v>0</v>
      </c>
      <c r="BP254" s="584">
        <f t="shared" si="17"/>
        <v>0</v>
      </c>
      <c r="BQ254" s="347"/>
      <c r="BR254" s="581">
        <f t="shared" si="153"/>
        <v>0</v>
      </c>
      <c r="BS254" s="588">
        <f t="shared" si="180"/>
        <v>0</v>
      </c>
      <c r="BT254" s="581">
        <f t="shared" si="20"/>
        <v>0</v>
      </c>
      <c r="BU254" s="589"/>
      <c r="BV254" s="581">
        <f t="shared" si="44"/>
        <v>0</v>
      </c>
      <c r="BW254" s="590"/>
      <c r="BX254" s="347"/>
      <c r="BY254" s="347"/>
      <c r="BZ254" s="347"/>
      <c r="CA254" s="586">
        <f t="shared" si="129"/>
        <v>0</v>
      </c>
      <c r="CB254" s="581">
        <f t="shared" si="160"/>
        <v>0</v>
      </c>
      <c r="CC254" s="581">
        <f t="shared" si="131"/>
        <v>0</v>
      </c>
      <c r="CD254" s="581">
        <f t="shared" si="132"/>
        <v>0</v>
      </c>
      <c r="CE254" s="581">
        <f t="shared" si="133"/>
        <v>0</v>
      </c>
      <c r="CF254" s="581">
        <f t="shared" si="134"/>
        <v>0</v>
      </c>
      <c r="CG254" s="581">
        <f t="shared" si="135"/>
        <v>0</v>
      </c>
      <c r="CH254" s="608" t="str">
        <f t="shared" si="136"/>
        <v>#DIV/0!</v>
      </c>
      <c r="CI254" s="603" t="str">
        <f t="shared" si="137"/>
        <v>#DIV/0!</v>
      </c>
      <c r="CJ254" s="347"/>
      <c r="CK254" s="347">
        <f t="shared" si="138"/>
        <v>0</v>
      </c>
      <c r="CL254" s="539">
        <f t="shared" si="139"/>
        <v>0</v>
      </c>
      <c r="CM254" s="347">
        <f t="shared" si="140"/>
        <v>0</v>
      </c>
      <c r="CN254" s="347">
        <f t="shared" si="141"/>
        <v>0</v>
      </c>
      <c r="CO254" s="347" t="str">
        <f t="shared" si="142"/>
        <v>1899-12-30</v>
      </c>
      <c r="CP254" s="347"/>
    </row>
    <row r="255">
      <c r="A255" s="574">
        <f t="shared" si="147"/>
        <v>200187</v>
      </c>
      <c r="B255" s="574" t="str">
        <f t="shared" si="1"/>
        <v>Batch 200187</v>
      </c>
      <c r="C255" s="347"/>
      <c r="D255" s="574"/>
      <c r="E255" s="347"/>
      <c r="F255" s="596"/>
      <c r="G255" s="596"/>
      <c r="H255" s="347"/>
      <c r="I255" s="347"/>
      <c r="J255" s="596"/>
      <c r="K255" s="609"/>
      <c r="L255" s="1"/>
      <c r="M255" s="347"/>
      <c r="N255" s="347"/>
      <c r="O255" s="579">
        <f t="shared" si="2"/>
        <v>0</v>
      </c>
      <c r="P255" s="579">
        <f t="shared" si="126"/>
        <v>0</v>
      </c>
      <c r="Q255" s="574"/>
      <c r="R255" s="347"/>
      <c r="S255" s="597"/>
      <c r="T255" s="347"/>
      <c r="U255" s="579">
        <f t="shared" si="48"/>
        <v>0</v>
      </c>
      <c r="V255" s="579">
        <f t="shared" si="49"/>
        <v>0</v>
      </c>
      <c r="W255" s="574"/>
      <c r="X255" s="347"/>
      <c r="Y255" s="347"/>
      <c r="Z255" s="347"/>
      <c r="AA255" s="579">
        <f t="shared" si="6"/>
        <v>0</v>
      </c>
      <c r="AB255" s="581">
        <f t="shared" si="105"/>
        <v>0</v>
      </c>
      <c r="AC255" s="347"/>
      <c r="AD255" s="347"/>
      <c r="AE255" s="347"/>
      <c r="AF255" s="347"/>
      <c r="AG255" s="579">
        <f t="shared" si="54"/>
        <v>0</v>
      </c>
      <c r="AH255" s="579">
        <f t="shared" si="175"/>
        <v>0</v>
      </c>
      <c r="AI255" s="582"/>
      <c r="AJ255" s="582"/>
      <c r="AK255" s="582"/>
      <c r="AL255" s="582"/>
      <c r="AM255" s="579"/>
      <c r="AN255" s="579"/>
      <c r="AO255" s="347"/>
      <c r="AP255" s="581">
        <f t="shared" si="164"/>
        <v>0</v>
      </c>
      <c r="AQ255" s="596"/>
      <c r="AR255" s="596"/>
      <c r="AS255" s="348"/>
      <c r="AT255" s="348"/>
      <c r="AU255" s="348"/>
      <c r="AV255" s="348"/>
      <c r="AW255" s="348"/>
      <c r="AX255" s="584">
        <f t="shared" si="165"/>
        <v>0</v>
      </c>
      <c r="AY255" s="581">
        <f t="shared" si="12"/>
        <v>0</v>
      </c>
      <c r="AZ255" s="581">
        <f t="shared" si="159"/>
        <v>0</v>
      </c>
      <c r="BA255" s="596"/>
      <c r="BB255" s="596"/>
      <c r="BC255" s="348"/>
      <c r="BD255" s="581">
        <f t="shared" si="192"/>
        <v>0</v>
      </c>
      <c r="BE255" s="581">
        <f t="shared" si="37"/>
        <v>0</v>
      </c>
      <c r="BF255" s="347"/>
      <c r="BG255" s="347"/>
      <c r="BH255" s="347"/>
      <c r="BI255" s="347"/>
      <c r="BJ255" s="586">
        <f t="shared" si="187"/>
        <v>0</v>
      </c>
      <c r="BK255" s="581">
        <f t="shared" si="15"/>
        <v>0</v>
      </c>
      <c r="BL255" s="347"/>
      <c r="BM255" s="347"/>
      <c r="BN255" s="347"/>
      <c r="BO255" s="586">
        <f t="shared" si="189"/>
        <v>0</v>
      </c>
      <c r="BP255" s="584">
        <f t="shared" si="17"/>
        <v>0</v>
      </c>
      <c r="BQ255" s="347"/>
      <c r="BR255" s="581">
        <f t="shared" si="153"/>
        <v>0</v>
      </c>
      <c r="BS255" s="588">
        <f t="shared" si="180"/>
        <v>0</v>
      </c>
      <c r="BT255" s="581">
        <f t="shared" si="20"/>
        <v>0</v>
      </c>
      <c r="BU255" s="589"/>
      <c r="BV255" s="581">
        <f t="shared" si="44"/>
        <v>0</v>
      </c>
      <c r="BW255" s="590"/>
      <c r="BX255" s="347"/>
      <c r="BY255" s="347"/>
      <c r="BZ255" s="347"/>
      <c r="CA255" s="586">
        <f t="shared" si="129"/>
        <v>0</v>
      </c>
      <c r="CB255" s="581">
        <f t="shared" si="160"/>
        <v>0</v>
      </c>
      <c r="CC255" s="581">
        <f t="shared" si="131"/>
        <v>0</v>
      </c>
      <c r="CD255" s="581">
        <f t="shared" si="132"/>
        <v>0</v>
      </c>
      <c r="CE255" s="581">
        <f t="shared" si="133"/>
        <v>0</v>
      </c>
      <c r="CF255" s="581">
        <f t="shared" si="134"/>
        <v>0</v>
      </c>
      <c r="CG255" s="581">
        <f t="shared" si="135"/>
        <v>0</v>
      </c>
      <c r="CH255" s="608" t="str">
        <f t="shared" si="136"/>
        <v>#DIV/0!</v>
      </c>
      <c r="CI255" s="603" t="str">
        <f t="shared" si="137"/>
        <v>#DIV/0!</v>
      </c>
      <c r="CJ255" s="347"/>
      <c r="CK255" s="347">
        <f t="shared" si="138"/>
        <v>0</v>
      </c>
      <c r="CL255" s="539">
        <f t="shared" si="139"/>
        <v>0</v>
      </c>
      <c r="CM255" s="347">
        <f t="shared" si="140"/>
        <v>0</v>
      </c>
      <c r="CN255" s="347">
        <f t="shared" si="141"/>
        <v>0</v>
      </c>
      <c r="CO255" s="347" t="str">
        <f t="shared" si="142"/>
        <v>1899-12-30</v>
      </c>
      <c r="CP255" s="347"/>
    </row>
    <row r="256">
      <c r="A256" s="574">
        <f t="shared" si="147"/>
        <v>300120</v>
      </c>
      <c r="B256" s="574" t="str">
        <f t="shared" si="1"/>
        <v>Batch 300120</v>
      </c>
      <c r="C256" s="347"/>
      <c r="D256" s="574"/>
      <c r="E256" s="347"/>
      <c r="F256" s="596"/>
      <c r="G256" s="596"/>
      <c r="H256" s="347"/>
      <c r="I256" s="347"/>
      <c r="J256" s="596"/>
      <c r="K256" s="609"/>
      <c r="L256" s="1"/>
      <c r="M256" s="347"/>
      <c r="N256" s="347"/>
      <c r="O256" s="579">
        <f t="shared" si="2"/>
        <v>0</v>
      </c>
      <c r="P256" s="579">
        <f t="shared" si="126"/>
        <v>0</v>
      </c>
      <c r="Q256" s="574"/>
      <c r="R256" s="347"/>
      <c r="S256" s="597"/>
      <c r="T256" s="347"/>
      <c r="U256" s="579">
        <f t="shared" si="48"/>
        <v>0</v>
      </c>
      <c r="V256" s="579">
        <f t="shared" si="49"/>
        <v>0</v>
      </c>
      <c r="W256" s="574"/>
      <c r="X256" s="347"/>
      <c r="Y256" s="347"/>
      <c r="Z256" s="347"/>
      <c r="AA256" s="579">
        <f t="shared" si="6"/>
        <v>0</v>
      </c>
      <c r="AB256" s="581">
        <f t="shared" si="105"/>
        <v>0</v>
      </c>
      <c r="AC256" s="347"/>
      <c r="AD256" s="347"/>
      <c r="AE256" s="347"/>
      <c r="AF256" s="347"/>
      <c r="AG256" s="579">
        <f t="shared" si="54"/>
        <v>0</v>
      </c>
      <c r="AH256" s="579">
        <f t="shared" si="175"/>
        <v>0</v>
      </c>
      <c r="AI256" s="582"/>
      <c r="AJ256" s="582"/>
      <c r="AK256" s="582"/>
      <c r="AL256" s="582"/>
      <c r="AM256" s="579"/>
      <c r="AN256" s="579"/>
      <c r="AO256" s="347"/>
      <c r="AP256" s="581">
        <f t="shared" si="164"/>
        <v>0</v>
      </c>
      <c r="AQ256" s="596"/>
      <c r="AR256" s="596"/>
      <c r="AS256" s="348"/>
      <c r="AT256" s="348"/>
      <c r="AU256" s="348"/>
      <c r="AV256" s="348"/>
      <c r="AW256" s="348"/>
      <c r="AX256" s="584">
        <f t="shared" si="165"/>
        <v>0</v>
      </c>
      <c r="AY256" s="581">
        <f t="shared" si="12"/>
        <v>0</v>
      </c>
      <c r="AZ256" s="581">
        <f t="shared" si="159"/>
        <v>0</v>
      </c>
      <c r="BA256" s="596"/>
      <c r="BB256" s="596"/>
      <c r="BC256" s="348"/>
      <c r="BD256" s="581">
        <f t="shared" si="192"/>
        <v>0</v>
      </c>
      <c r="BE256" s="581">
        <f t="shared" si="37"/>
        <v>0</v>
      </c>
      <c r="BF256" s="347"/>
      <c r="BG256" s="347"/>
      <c r="BH256" s="347"/>
      <c r="BI256" s="347"/>
      <c r="BJ256" s="586">
        <f t="shared" si="187"/>
        <v>0</v>
      </c>
      <c r="BK256" s="581">
        <f t="shared" si="15"/>
        <v>0</v>
      </c>
      <c r="BL256" s="347"/>
      <c r="BM256" s="347"/>
      <c r="BN256" s="347"/>
      <c r="BO256" s="586">
        <f t="shared" si="189"/>
        <v>0</v>
      </c>
      <c r="BP256" s="584">
        <f t="shared" si="17"/>
        <v>0</v>
      </c>
      <c r="BQ256" s="347"/>
      <c r="BR256" s="581">
        <f t="shared" si="153"/>
        <v>0</v>
      </c>
      <c r="BS256" s="588">
        <f t="shared" si="180"/>
        <v>0</v>
      </c>
      <c r="BT256" s="581">
        <f t="shared" si="20"/>
        <v>0</v>
      </c>
      <c r="BU256" s="589"/>
      <c r="BV256" s="581">
        <f t="shared" si="44"/>
        <v>0</v>
      </c>
      <c r="BW256" s="590"/>
      <c r="BX256" s="347"/>
      <c r="BY256" s="347"/>
      <c r="BZ256" s="347"/>
      <c r="CA256" s="586">
        <f t="shared" si="129"/>
        <v>0</v>
      </c>
      <c r="CB256" s="581">
        <f t="shared" si="160"/>
        <v>0</v>
      </c>
      <c r="CC256" s="581">
        <f t="shared" si="131"/>
        <v>0</v>
      </c>
      <c r="CD256" s="581">
        <f t="shared" si="132"/>
        <v>0</v>
      </c>
      <c r="CE256" s="581">
        <f t="shared" si="133"/>
        <v>0</v>
      </c>
      <c r="CF256" s="581">
        <f t="shared" si="134"/>
        <v>0</v>
      </c>
      <c r="CG256" s="581">
        <f t="shared" si="135"/>
        <v>0</v>
      </c>
      <c r="CH256" s="608" t="str">
        <f t="shared" si="136"/>
        <v>#DIV/0!</v>
      </c>
      <c r="CI256" s="603" t="str">
        <f t="shared" si="137"/>
        <v>#DIV/0!</v>
      </c>
      <c r="CJ256" s="347"/>
      <c r="CK256" s="347">
        <f t="shared" si="138"/>
        <v>0</v>
      </c>
      <c r="CL256" s="539">
        <f t="shared" si="139"/>
        <v>0</v>
      </c>
      <c r="CM256" s="347">
        <f t="shared" si="140"/>
        <v>0</v>
      </c>
      <c r="CN256" s="347">
        <f t="shared" si="141"/>
        <v>0</v>
      </c>
      <c r="CO256" s="347" t="str">
        <f t="shared" si="142"/>
        <v>1899-12-30</v>
      </c>
      <c r="CP256" s="347"/>
    </row>
    <row r="257">
      <c r="A257" s="574">
        <f t="shared" si="147"/>
        <v>200188</v>
      </c>
      <c r="B257" s="574" t="str">
        <f t="shared" si="1"/>
        <v>Batch 200188</v>
      </c>
      <c r="C257" s="347"/>
      <c r="D257" s="574"/>
      <c r="E257" s="347"/>
      <c r="F257" s="596"/>
      <c r="G257" s="596"/>
      <c r="H257" s="347"/>
      <c r="I257" s="347"/>
      <c r="J257" s="596"/>
      <c r="K257" s="609"/>
      <c r="L257" s="1"/>
      <c r="M257" s="347"/>
      <c r="N257" s="347"/>
      <c r="O257" s="579">
        <f t="shared" si="2"/>
        <v>0</v>
      </c>
      <c r="P257" s="579">
        <f t="shared" si="126"/>
        <v>0</v>
      </c>
      <c r="Q257" s="574"/>
      <c r="R257" s="347"/>
      <c r="S257" s="597"/>
      <c r="T257" s="347"/>
      <c r="U257" s="579">
        <f t="shared" si="48"/>
        <v>0</v>
      </c>
      <c r="V257" s="579">
        <f t="shared" si="49"/>
        <v>0</v>
      </c>
      <c r="W257" s="574"/>
      <c r="X257" s="347"/>
      <c r="Y257" s="347"/>
      <c r="Z257" s="347"/>
      <c r="AA257" s="579">
        <f t="shared" si="6"/>
        <v>0</v>
      </c>
      <c r="AB257" s="581">
        <f t="shared" si="105"/>
        <v>0</v>
      </c>
      <c r="AC257" s="347"/>
      <c r="AD257" s="347"/>
      <c r="AE257" s="347"/>
      <c r="AF257" s="347"/>
      <c r="AG257" s="579">
        <f t="shared" si="54"/>
        <v>0</v>
      </c>
      <c r="AH257" s="579">
        <f t="shared" si="175"/>
        <v>0</v>
      </c>
      <c r="AI257" s="582"/>
      <c r="AJ257" s="582"/>
      <c r="AK257" s="582"/>
      <c r="AL257" s="582"/>
      <c r="AM257" s="579"/>
      <c r="AN257" s="579"/>
      <c r="AO257" s="347"/>
      <c r="AP257" s="581">
        <f t="shared" si="164"/>
        <v>0</v>
      </c>
      <c r="AQ257" s="596"/>
      <c r="AR257" s="596"/>
      <c r="AS257" s="348"/>
      <c r="AT257" s="348"/>
      <c r="AU257" s="348"/>
      <c r="AV257" s="348"/>
      <c r="AW257" s="348"/>
      <c r="AX257" s="584">
        <f t="shared" si="165"/>
        <v>0</v>
      </c>
      <c r="AY257" s="581">
        <f t="shared" si="12"/>
        <v>0</v>
      </c>
      <c r="AZ257" s="581">
        <f t="shared" si="159"/>
        <v>0</v>
      </c>
      <c r="BA257" s="596"/>
      <c r="BB257" s="596"/>
      <c r="BC257" s="348"/>
      <c r="BD257" s="581">
        <f t="shared" si="192"/>
        <v>0</v>
      </c>
      <c r="BE257" s="581">
        <f t="shared" si="37"/>
        <v>0</v>
      </c>
      <c r="BF257" s="347"/>
      <c r="BG257" s="347"/>
      <c r="BH257" s="347"/>
      <c r="BI257" s="347"/>
      <c r="BJ257" s="586">
        <f t="shared" si="187"/>
        <v>0</v>
      </c>
      <c r="BK257" s="581">
        <f t="shared" si="15"/>
        <v>0</v>
      </c>
      <c r="BL257" s="347"/>
      <c r="BM257" s="347"/>
      <c r="BN257" s="347"/>
      <c r="BO257" s="586">
        <f t="shared" si="189"/>
        <v>0</v>
      </c>
      <c r="BP257" s="584">
        <f t="shared" si="17"/>
        <v>0</v>
      </c>
      <c r="BQ257" s="347"/>
      <c r="BR257" s="581">
        <f t="shared" si="153"/>
        <v>0</v>
      </c>
      <c r="BS257" s="588">
        <f t="shared" si="180"/>
        <v>0</v>
      </c>
      <c r="BT257" s="581">
        <f t="shared" si="20"/>
        <v>0</v>
      </c>
      <c r="BU257" s="589"/>
      <c r="BV257" s="581">
        <f t="shared" si="44"/>
        <v>0</v>
      </c>
      <c r="BW257" s="590"/>
      <c r="BX257" s="347"/>
      <c r="BY257" s="347"/>
      <c r="BZ257" s="347"/>
      <c r="CA257" s="586">
        <f t="shared" si="129"/>
        <v>0</v>
      </c>
      <c r="CB257" s="581">
        <f t="shared" si="160"/>
        <v>0</v>
      </c>
      <c r="CC257" s="581">
        <f t="shared" si="131"/>
        <v>0</v>
      </c>
      <c r="CD257" s="581">
        <f t="shared" si="132"/>
        <v>0</v>
      </c>
      <c r="CE257" s="581">
        <f t="shared" si="133"/>
        <v>0</v>
      </c>
      <c r="CF257" s="581">
        <f t="shared" si="134"/>
        <v>0</v>
      </c>
      <c r="CG257" s="581">
        <f t="shared" si="135"/>
        <v>0</v>
      </c>
      <c r="CH257" s="608" t="str">
        <f t="shared" si="136"/>
        <v>#DIV/0!</v>
      </c>
      <c r="CI257" s="603" t="str">
        <f t="shared" si="137"/>
        <v>#DIV/0!</v>
      </c>
      <c r="CJ257" s="347"/>
      <c r="CK257" s="347">
        <f t="shared" si="138"/>
        <v>0</v>
      </c>
      <c r="CL257" s="539">
        <f t="shared" si="139"/>
        <v>0</v>
      </c>
      <c r="CM257" s="347">
        <f t="shared" si="140"/>
        <v>0</v>
      </c>
      <c r="CN257" s="347">
        <f t="shared" si="141"/>
        <v>0</v>
      </c>
      <c r="CO257" s="347" t="str">
        <f t="shared" si="142"/>
        <v>1899-12-30</v>
      </c>
      <c r="CP257" s="347"/>
    </row>
    <row r="258">
      <c r="A258" s="574">
        <f t="shared" si="147"/>
        <v>300121</v>
      </c>
      <c r="B258" s="574" t="str">
        <f t="shared" si="1"/>
        <v>Batch 300121</v>
      </c>
      <c r="C258" s="347"/>
      <c r="D258" s="574"/>
      <c r="E258" s="347"/>
      <c r="F258" s="596"/>
      <c r="G258" s="596"/>
      <c r="H258" s="347"/>
      <c r="I258" s="347"/>
      <c r="J258" s="596"/>
      <c r="K258" s="609"/>
      <c r="L258" s="1"/>
      <c r="M258" s="347"/>
      <c r="N258" s="347"/>
      <c r="O258" s="579">
        <f t="shared" si="2"/>
        <v>0</v>
      </c>
      <c r="P258" s="579">
        <f t="shared" si="126"/>
        <v>0</v>
      </c>
      <c r="Q258" s="574"/>
      <c r="R258" s="347"/>
      <c r="S258" s="597"/>
      <c r="T258" s="347"/>
      <c r="U258" s="579">
        <f t="shared" si="48"/>
        <v>0</v>
      </c>
      <c r="V258" s="579">
        <f t="shared" si="49"/>
        <v>0</v>
      </c>
      <c r="W258" s="574"/>
      <c r="X258" s="347"/>
      <c r="Y258" s="347"/>
      <c r="Z258" s="347"/>
      <c r="AA258" s="579">
        <f t="shared" si="6"/>
        <v>0</v>
      </c>
      <c r="AB258" s="581">
        <f t="shared" si="105"/>
        <v>0</v>
      </c>
      <c r="AC258" s="347"/>
      <c r="AD258" s="347"/>
      <c r="AE258" s="347"/>
      <c r="AF258" s="347"/>
      <c r="AG258" s="579">
        <f t="shared" si="54"/>
        <v>0</v>
      </c>
      <c r="AH258" s="579">
        <f t="shared" si="175"/>
        <v>0</v>
      </c>
      <c r="AI258" s="582"/>
      <c r="AJ258" s="582"/>
      <c r="AK258" s="582"/>
      <c r="AL258" s="582"/>
      <c r="AM258" s="579"/>
      <c r="AN258" s="579"/>
      <c r="AO258" s="347"/>
      <c r="AP258" s="581">
        <f t="shared" si="164"/>
        <v>0</v>
      </c>
      <c r="AQ258" s="596"/>
      <c r="AR258" s="596"/>
      <c r="AS258" s="348"/>
      <c r="AT258" s="348"/>
      <c r="AU258" s="348"/>
      <c r="AV258" s="348"/>
      <c r="AW258" s="348"/>
      <c r="AX258" s="584">
        <f t="shared" si="165"/>
        <v>0</v>
      </c>
      <c r="AY258" s="581">
        <f t="shared" si="12"/>
        <v>0</v>
      </c>
      <c r="AZ258" s="581">
        <f t="shared" si="159"/>
        <v>0</v>
      </c>
      <c r="BA258" s="596"/>
      <c r="BB258" s="596"/>
      <c r="BC258" s="348"/>
      <c r="BD258" s="581">
        <f t="shared" si="192"/>
        <v>0</v>
      </c>
      <c r="BE258" s="581">
        <f t="shared" si="37"/>
        <v>0</v>
      </c>
      <c r="BF258" s="347"/>
      <c r="BG258" s="347"/>
      <c r="BH258" s="347"/>
      <c r="BI258" s="347"/>
      <c r="BJ258" s="586">
        <f t="shared" si="187"/>
        <v>0</v>
      </c>
      <c r="BK258" s="581">
        <f t="shared" si="15"/>
        <v>0</v>
      </c>
      <c r="BL258" s="347"/>
      <c r="BM258" s="347"/>
      <c r="BN258" s="347"/>
      <c r="BO258" s="586">
        <f t="shared" si="189"/>
        <v>0</v>
      </c>
      <c r="BP258" s="584">
        <f t="shared" si="17"/>
        <v>0</v>
      </c>
      <c r="BQ258" s="347"/>
      <c r="BR258" s="581">
        <f t="shared" si="153"/>
        <v>0</v>
      </c>
      <c r="BS258" s="588">
        <f t="shared" si="180"/>
        <v>0</v>
      </c>
      <c r="BT258" s="581">
        <f t="shared" si="20"/>
        <v>0</v>
      </c>
      <c r="BU258" s="589"/>
      <c r="BV258" s="581">
        <f t="shared" si="44"/>
        <v>0</v>
      </c>
      <c r="BW258" s="590"/>
      <c r="BX258" s="347"/>
      <c r="BY258" s="347"/>
      <c r="BZ258" s="347"/>
      <c r="CA258" s="586">
        <f t="shared" si="129"/>
        <v>0</v>
      </c>
      <c r="CB258" s="581">
        <f t="shared" si="160"/>
        <v>0</v>
      </c>
      <c r="CC258" s="581">
        <f t="shared" si="131"/>
        <v>0</v>
      </c>
      <c r="CD258" s="581">
        <f t="shared" si="132"/>
        <v>0</v>
      </c>
      <c r="CE258" s="581">
        <f t="shared" si="133"/>
        <v>0</v>
      </c>
      <c r="CF258" s="581">
        <f t="shared" si="134"/>
        <v>0</v>
      </c>
      <c r="CG258" s="581">
        <f t="shared" si="135"/>
        <v>0</v>
      </c>
      <c r="CH258" s="608" t="str">
        <f t="shared" si="136"/>
        <v>#DIV/0!</v>
      </c>
      <c r="CI258" s="603" t="str">
        <f t="shared" si="137"/>
        <v>#DIV/0!</v>
      </c>
      <c r="CJ258" s="347"/>
      <c r="CK258" s="347">
        <f t="shared" si="138"/>
        <v>0</v>
      </c>
      <c r="CL258" s="539">
        <f t="shared" si="139"/>
        <v>0</v>
      </c>
      <c r="CM258" s="347">
        <f t="shared" si="140"/>
        <v>0</v>
      </c>
      <c r="CN258" s="347">
        <f t="shared" si="141"/>
        <v>0</v>
      </c>
      <c r="CO258" s="347" t="str">
        <f t="shared" si="142"/>
        <v>1899-12-30</v>
      </c>
      <c r="CP258" s="347"/>
    </row>
    <row r="259">
      <c r="A259" s="574">
        <f t="shared" si="147"/>
        <v>200189</v>
      </c>
      <c r="B259" s="574" t="str">
        <f t="shared" si="1"/>
        <v>Batch 200189</v>
      </c>
      <c r="C259" s="347"/>
      <c r="D259" s="574"/>
      <c r="E259" s="347"/>
      <c r="F259" s="596"/>
      <c r="G259" s="596"/>
      <c r="H259" s="347"/>
      <c r="I259" s="347"/>
      <c r="J259" s="596"/>
      <c r="K259" s="609"/>
      <c r="L259" s="1"/>
      <c r="M259" s="347"/>
      <c r="N259" s="347"/>
      <c r="O259" s="579">
        <f t="shared" si="2"/>
        <v>0</v>
      </c>
      <c r="P259" s="579">
        <f t="shared" si="126"/>
        <v>0</v>
      </c>
      <c r="Q259" s="574"/>
      <c r="R259" s="347"/>
      <c r="S259" s="597"/>
      <c r="T259" s="347"/>
      <c r="U259" s="579">
        <f t="shared" si="48"/>
        <v>0</v>
      </c>
      <c r="V259" s="579">
        <f t="shared" si="49"/>
        <v>0</v>
      </c>
      <c r="W259" s="574"/>
      <c r="X259" s="347"/>
      <c r="Y259" s="347"/>
      <c r="Z259" s="347"/>
      <c r="AA259" s="579">
        <f t="shared" si="6"/>
        <v>0</v>
      </c>
      <c r="AB259" s="581">
        <f t="shared" si="105"/>
        <v>0</v>
      </c>
      <c r="AC259" s="347"/>
      <c r="AD259" s="347"/>
      <c r="AE259" s="347"/>
      <c r="AF259" s="347"/>
      <c r="AG259" s="579">
        <f t="shared" si="54"/>
        <v>0</v>
      </c>
      <c r="AH259" s="579">
        <f t="shared" si="175"/>
        <v>0</v>
      </c>
      <c r="AI259" s="582"/>
      <c r="AJ259" s="582"/>
      <c r="AK259" s="582"/>
      <c r="AL259" s="582"/>
      <c r="AM259" s="579"/>
      <c r="AN259" s="579"/>
      <c r="AO259" s="347"/>
      <c r="AP259" s="581">
        <f t="shared" si="164"/>
        <v>0</v>
      </c>
      <c r="AQ259" s="596"/>
      <c r="AR259" s="596"/>
      <c r="AS259" s="348"/>
      <c r="AT259" s="348"/>
      <c r="AU259" s="348"/>
      <c r="AV259" s="348"/>
      <c r="AW259" s="348"/>
      <c r="AX259" s="584">
        <f t="shared" si="165"/>
        <v>0</v>
      </c>
      <c r="AY259" s="581">
        <f t="shared" si="12"/>
        <v>0</v>
      </c>
      <c r="AZ259" s="581">
        <f t="shared" si="159"/>
        <v>0</v>
      </c>
      <c r="BA259" s="596"/>
      <c r="BB259" s="596"/>
      <c r="BC259" s="348"/>
      <c r="BD259" s="581">
        <f t="shared" si="192"/>
        <v>0</v>
      </c>
      <c r="BE259" s="581">
        <f t="shared" si="37"/>
        <v>0</v>
      </c>
      <c r="BF259" s="347"/>
      <c r="BG259" s="347"/>
      <c r="BH259" s="347"/>
      <c r="BI259" s="347"/>
      <c r="BJ259" s="586">
        <f t="shared" si="187"/>
        <v>0</v>
      </c>
      <c r="BK259" s="581">
        <f t="shared" si="15"/>
        <v>0</v>
      </c>
      <c r="BL259" s="347"/>
      <c r="BM259" s="347"/>
      <c r="BN259" s="347"/>
      <c r="BO259" s="586">
        <f t="shared" si="189"/>
        <v>0</v>
      </c>
      <c r="BP259" s="584">
        <f t="shared" si="17"/>
        <v>0</v>
      </c>
      <c r="BQ259" s="347"/>
      <c r="BR259" s="581">
        <f t="shared" si="153"/>
        <v>0</v>
      </c>
      <c r="BS259" s="588">
        <f t="shared" si="180"/>
        <v>0</v>
      </c>
      <c r="BT259" s="581">
        <f t="shared" si="20"/>
        <v>0</v>
      </c>
      <c r="BU259" s="589"/>
      <c r="BV259" s="581">
        <f t="shared" si="44"/>
        <v>0</v>
      </c>
      <c r="BW259" s="590"/>
      <c r="BX259" s="347"/>
      <c r="BY259" s="347"/>
      <c r="BZ259" s="347"/>
      <c r="CA259" s="586">
        <f t="shared" si="129"/>
        <v>0</v>
      </c>
      <c r="CB259" s="581">
        <f t="shared" si="160"/>
        <v>0</v>
      </c>
      <c r="CC259" s="581">
        <f t="shared" si="131"/>
        <v>0</v>
      </c>
      <c r="CD259" s="581">
        <f t="shared" si="132"/>
        <v>0</v>
      </c>
      <c r="CE259" s="581">
        <f t="shared" si="133"/>
        <v>0</v>
      </c>
      <c r="CF259" s="581">
        <f t="shared" si="134"/>
        <v>0</v>
      </c>
      <c r="CG259" s="581">
        <f t="shared" si="135"/>
        <v>0</v>
      </c>
      <c r="CH259" s="608" t="str">
        <f t="shared" si="136"/>
        <v>#DIV/0!</v>
      </c>
      <c r="CI259" s="603" t="str">
        <f t="shared" si="137"/>
        <v>#DIV/0!</v>
      </c>
      <c r="CJ259" s="347"/>
      <c r="CK259" s="347">
        <f t="shared" si="138"/>
        <v>0</v>
      </c>
      <c r="CL259" s="539">
        <f t="shared" si="139"/>
        <v>0</v>
      </c>
      <c r="CM259" s="347">
        <f t="shared" si="140"/>
        <v>0</v>
      </c>
      <c r="CN259" s="347">
        <f t="shared" si="141"/>
        <v>0</v>
      </c>
      <c r="CO259" s="347" t="str">
        <f t="shared" si="142"/>
        <v>1899-12-30</v>
      </c>
      <c r="CP259" s="347"/>
    </row>
    <row r="260">
      <c r="A260" s="574">
        <f t="shared" si="147"/>
        <v>300122</v>
      </c>
      <c r="B260" s="574" t="str">
        <f t="shared" si="1"/>
        <v>Batch 300122</v>
      </c>
      <c r="C260" s="347"/>
      <c r="D260" s="574"/>
      <c r="E260" s="347"/>
      <c r="F260" s="596"/>
      <c r="G260" s="596"/>
      <c r="H260" s="347"/>
      <c r="I260" s="347"/>
      <c r="J260" s="596"/>
      <c r="K260" s="609"/>
      <c r="L260" s="1"/>
      <c r="M260" s="347"/>
      <c r="N260" s="347"/>
      <c r="O260" s="579">
        <f t="shared" si="2"/>
        <v>0</v>
      </c>
      <c r="P260" s="579">
        <f t="shared" si="126"/>
        <v>0</v>
      </c>
      <c r="Q260" s="574"/>
      <c r="R260" s="347"/>
      <c r="S260" s="597"/>
      <c r="T260" s="347"/>
      <c r="U260" s="579">
        <f t="shared" si="48"/>
        <v>0</v>
      </c>
      <c r="V260" s="579">
        <f t="shared" si="49"/>
        <v>0</v>
      </c>
      <c r="W260" s="574"/>
      <c r="X260" s="347"/>
      <c r="Y260" s="347"/>
      <c r="Z260" s="347"/>
      <c r="AA260" s="579">
        <f t="shared" si="6"/>
        <v>0</v>
      </c>
      <c r="AB260" s="581">
        <f t="shared" si="105"/>
        <v>0</v>
      </c>
      <c r="AC260" s="347"/>
      <c r="AD260" s="347"/>
      <c r="AE260" s="347"/>
      <c r="AF260" s="347"/>
      <c r="AG260" s="579">
        <f t="shared" si="54"/>
        <v>0</v>
      </c>
      <c r="AH260" s="579">
        <f t="shared" si="175"/>
        <v>0</v>
      </c>
      <c r="AI260" s="582"/>
      <c r="AJ260" s="582"/>
      <c r="AK260" s="582"/>
      <c r="AL260" s="582"/>
      <c r="AM260" s="579"/>
      <c r="AN260" s="579"/>
      <c r="AO260" s="347"/>
      <c r="AP260" s="581">
        <f t="shared" si="164"/>
        <v>0</v>
      </c>
      <c r="AQ260" s="596"/>
      <c r="AR260" s="596"/>
      <c r="AS260" s="348"/>
      <c r="AT260" s="348"/>
      <c r="AU260" s="348"/>
      <c r="AV260" s="348"/>
      <c r="AW260" s="348"/>
      <c r="AX260" s="584">
        <f t="shared" si="165"/>
        <v>0</v>
      </c>
      <c r="AY260" s="581">
        <f t="shared" si="12"/>
        <v>0</v>
      </c>
      <c r="AZ260" s="581">
        <f t="shared" si="159"/>
        <v>0</v>
      </c>
      <c r="BA260" s="596"/>
      <c r="BB260" s="596"/>
      <c r="BC260" s="348"/>
      <c r="BD260" s="581">
        <f t="shared" si="192"/>
        <v>0</v>
      </c>
      <c r="BE260" s="581">
        <f t="shared" si="37"/>
        <v>0</v>
      </c>
      <c r="BF260" s="347"/>
      <c r="BG260" s="347"/>
      <c r="BH260" s="347"/>
      <c r="BI260" s="347"/>
      <c r="BJ260" s="586">
        <f t="shared" si="187"/>
        <v>0</v>
      </c>
      <c r="BK260" s="581">
        <f t="shared" si="15"/>
        <v>0</v>
      </c>
      <c r="BL260" s="347"/>
      <c r="BM260" s="347"/>
      <c r="BN260" s="347"/>
      <c r="BO260" s="586">
        <f t="shared" si="189"/>
        <v>0</v>
      </c>
      <c r="BP260" s="584">
        <f t="shared" si="17"/>
        <v>0</v>
      </c>
      <c r="BQ260" s="347"/>
      <c r="BR260" s="581">
        <f t="shared" si="153"/>
        <v>0</v>
      </c>
      <c r="BS260" s="588">
        <f t="shared" si="180"/>
        <v>0</v>
      </c>
      <c r="BT260" s="581">
        <f t="shared" si="20"/>
        <v>0</v>
      </c>
      <c r="BU260" s="589"/>
      <c r="BV260" s="581">
        <f t="shared" si="44"/>
        <v>0</v>
      </c>
      <c r="BW260" s="590"/>
      <c r="BX260" s="347"/>
      <c r="BY260" s="347"/>
      <c r="BZ260" s="347"/>
      <c r="CA260" s="586">
        <f t="shared" si="129"/>
        <v>0</v>
      </c>
      <c r="CB260" s="581">
        <f t="shared" si="160"/>
        <v>0</v>
      </c>
      <c r="CC260" s="581">
        <f t="shared" si="131"/>
        <v>0</v>
      </c>
      <c r="CD260" s="581">
        <f t="shared" si="132"/>
        <v>0</v>
      </c>
      <c r="CE260" s="581">
        <f t="shared" si="133"/>
        <v>0</v>
      </c>
      <c r="CF260" s="581">
        <f t="shared" si="134"/>
        <v>0</v>
      </c>
      <c r="CG260" s="581">
        <f t="shared" si="135"/>
        <v>0</v>
      </c>
      <c r="CH260" s="608" t="str">
        <f t="shared" si="136"/>
        <v>#DIV/0!</v>
      </c>
      <c r="CI260" s="603" t="str">
        <f t="shared" si="137"/>
        <v>#DIV/0!</v>
      </c>
      <c r="CJ260" s="347"/>
      <c r="CK260" s="347">
        <f t="shared" si="138"/>
        <v>0</v>
      </c>
      <c r="CL260" s="539">
        <f t="shared" si="139"/>
        <v>0</v>
      </c>
      <c r="CM260" s="347">
        <f t="shared" si="140"/>
        <v>0</v>
      </c>
      <c r="CN260" s="347">
        <f t="shared" si="141"/>
        <v>0</v>
      </c>
      <c r="CO260" s="347" t="str">
        <f t="shared" si="142"/>
        <v>1899-12-30</v>
      </c>
      <c r="CP260" s="347"/>
    </row>
    <row r="261">
      <c r="A261" s="574">
        <f t="shared" si="147"/>
        <v>200190</v>
      </c>
      <c r="B261" s="574" t="str">
        <f t="shared" si="1"/>
        <v>Batch 200190</v>
      </c>
      <c r="C261" s="347"/>
      <c r="D261" s="574"/>
      <c r="E261" s="347"/>
      <c r="F261" s="596"/>
      <c r="G261" s="596"/>
      <c r="H261" s="347"/>
      <c r="I261" s="347"/>
      <c r="J261" s="596"/>
      <c r="K261" s="609"/>
      <c r="L261" s="1"/>
      <c r="M261" s="347"/>
      <c r="N261" s="347"/>
      <c r="O261" s="579">
        <f t="shared" si="2"/>
        <v>0</v>
      </c>
      <c r="P261" s="579">
        <f t="shared" si="126"/>
        <v>0</v>
      </c>
      <c r="Q261" s="574"/>
      <c r="R261" s="347"/>
      <c r="S261" s="597"/>
      <c r="T261" s="347"/>
      <c r="U261" s="579">
        <f t="shared" si="48"/>
        <v>0</v>
      </c>
      <c r="V261" s="579">
        <f t="shared" si="49"/>
        <v>0</v>
      </c>
      <c r="W261" s="574"/>
      <c r="X261" s="347"/>
      <c r="Y261" s="347"/>
      <c r="Z261" s="347"/>
      <c r="AA261" s="579">
        <f t="shared" si="6"/>
        <v>0</v>
      </c>
      <c r="AB261" s="581">
        <f t="shared" si="105"/>
        <v>0</v>
      </c>
      <c r="AC261" s="347"/>
      <c r="AD261" s="347"/>
      <c r="AE261" s="347"/>
      <c r="AF261" s="347"/>
      <c r="AG261" s="579">
        <f t="shared" si="54"/>
        <v>0</v>
      </c>
      <c r="AH261" s="579">
        <f t="shared" si="175"/>
        <v>0</v>
      </c>
      <c r="AI261" s="582"/>
      <c r="AJ261" s="582"/>
      <c r="AK261" s="582"/>
      <c r="AL261" s="582"/>
      <c r="AM261" s="579"/>
      <c r="AN261" s="579"/>
      <c r="AO261" s="347"/>
      <c r="AP261" s="581">
        <f t="shared" si="164"/>
        <v>0</v>
      </c>
      <c r="AQ261" s="596"/>
      <c r="AR261" s="596"/>
      <c r="AS261" s="348"/>
      <c r="AT261" s="348"/>
      <c r="AU261" s="348"/>
      <c r="AV261" s="348"/>
      <c r="AW261" s="348"/>
      <c r="AX261" s="584">
        <f t="shared" si="165"/>
        <v>0</v>
      </c>
      <c r="AY261" s="581">
        <f t="shared" si="12"/>
        <v>0</v>
      </c>
      <c r="AZ261" s="581">
        <f t="shared" si="159"/>
        <v>0</v>
      </c>
      <c r="BA261" s="596"/>
      <c r="BB261" s="596"/>
      <c r="BC261" s="348"/>
      <c r="BD261" s="581">
        <f t="shared" si="192"/>
        <v>0</v>
      </c>
      <c r="BE261" s="581">
        <f t="shared" si="37"/>
        <v>0</v>
      </c>
      <c r="BF261" s="347"/>
      <c r="BG261" s="347"/>
      <c r="BH261" s="347"/>
      <c r="BI261" s="347"/>
      <c r="BJ261" s="586">
        <f t="shared" si="187"/>
        <v>0</v>
      </c>
      <c r="BK261" s="581">
        <f t="shared" si="15"/>
        <v>0</v>
      </c>
      <c r="BL261" s="347"/>
      <c r="BM261" s="347"/>
      <c r="BN261" s="347"/>
      <c r="BO261" s="586">
        <f t="shared" si="189"/>
        <v>0</v>
      </c>
      <c r="BP261" s="584">
        <f t="shared" si="17"/>
        <v>0</v>
      </c>
      <c r="BQ261" s="347"/>
      <c r="BR261" s="581">
        <f t="shared" si="153"/>
        <v>0</v>
      </c>
      <c r="BS261" s="588">
        <f t="shared" si="180"/>
        <v>0</v>
      </c>
      <c r="BT261" s="581">
        <f t="shared" si="20"/>
        <v>0</v>
      </c>
      <c r="BU261" s="589"/>
      <c r="BV261" s="581">
        <f t="shared" si="44"/>
        <v>0</v>
      </c>
      <c r="BW261" s="590"/>
      <c r="BX261" s="347"/>
      <c r="BY261" s="347"/>
      <c r="BZ261" s="347"/>
      <c r="CA261" s="586">
        <f t="shared" si="129"/>
        <v>0</v>
      </c>
      <c r="CB261" s="581">
        <f t="shared" si="160"/>
        <v>0</v>
      </c>
      <c r="CC261" s="581">
        <f t="shared" si="131"/>
        <v>0</v>
      </c>
      <c r="CD261" s="581">
        <f t="shared" si="132"/>
        <v>0</v>
      </c>
      <c r="CE261" s="581">
        <f t="shared" si="133"/>
        <v>0</v>
      </c>
      <c r="CF261" s="581">
        <f t="shared" si="134"/>
        <v>0</v>
      </c>
      <c r="CG261" s="581">
        <f t="shared" si="135"/>
        <v>0</v>
      </c>
      <c r="CH261" s="608" t="str">
        <f t="shared" si="136"/>
        <v>#DIV/0!</v>
      </c>
      <c r="CI261" s="603" t="str">
        <f t="shared" si="137"/>
        <v>#DIV/0!</v>
      </c>
      <c r="CJ261" s="347"/>
      <c r="CK261" s="347">
        <f t="shared" si="138"/>
        <v>0</v>
      </c>
      <c r="CL261" s="539">
        <f t="shared" si="139"/>
        <v>0</v>
      </c>
      <c r="CM261" s="347">
        <f t="shared" si="140"/>
        <v>0</v>
      </c>
      <c r="CN261" s="347">
        <f t="shared" si="141"/>
        <v>0</v>
      </c>
      <c r="CO261" s="347" t="str">
        <f t="shared" si="142"/>
        <v>1899-12-30</v>
      </c>
      <c r="CP261" s="347"/>
    </row>
    <row r="262">
      <c r="A262" s="574">
        <f t="shared" si="147"/>
        <v>300123</v>
      </c>
      <c r="B262" s="574" t="str">
        <f t="shared" si="1"/>
        <v>Batch 300123</v>
      </c>
      <c r="C262" s="347"/>
      <c r="D262" s="574"/>
      <c r="E262" s="347"/>
      <c r="F262" s="596"/>
      <c r="G262" s="596"/>
      <c r="H262" s="347"/>
      <c r="I262" s="347"/>
      <c r="J262" s="596"/>
      <c r="K262" s="609"/>
      <c r="L262" s="1"/>
      <c r="M262" s="347"/>
      <c r="N262" s="347"/>
      <c r="O262" s="579">
        <f t="shared" si="2"/>
        <v>0</v>
      </c>
      <c r="P262" s="579">
        <f t="shared" si="126"/>
        <v>0</v>
      </c>
      <c r="Q262" s="574"/>
      <c r="R262" s="347"/>
      <c r="S262" s="597"/>
      <c r="T262" s="347"/>
      <c r="U262" s="579">
        <f t="shared" si="48"/>
        <v>0</v>
      </c>
      <c r="V262" s="579">
        <f t="shared" si="49"/>
        <v>0</v>
      </c>
      <c r="W262" s="574"/>
      <c r="X262" s="347"/>
      <c r="Y262" s="347"/>
      <c r="Z262" s="347"/>
      <c r="AA262" s="579">
        <f t="shared" si="6"/>
        <v>0</v>
      </c>
      <c r="AB262" s="581">
        <f t="shared" si="105"/>
        <v>0</v>
      </c>
      <c r="AC262" s="347"/>
      <c r="AD262" s="347"/>
      <c r="AE262" s="347"/>
      <c r="AF262" s="347"/>
      <c r="AG262" s="579">
        <f t="shared" si="54"/>
        <v>0</v>
      </c>
      <c r="AH262" s="579">
        <f t="shared" si="175"/>
        <v>0</v>
      </c>
      <c r="AI262" s="582"/>
      <c r="AJ262" s="582"/>
      <c r="AK262" s="582"/>
      <c r="AL262" s="582"/>
      <c r="AM262" s="579"/>
      <c r="AN262" s="579"/>
      <c r="AO262" s="347"/>
      <c r="AP262" s="581">
        <f t="shared" si="164"/>
        <v>0</v>
      </c>
      <c r="AQ262" s="596"/>
      <c r="AR262" s="596"/>
      <c r="AS262" s="348"/>
      <c r="AT262" s="348"/>
      <c r="AU262" s="348"/>
      <c r="AV262" s="348"/>
      <c r="AW262" s="348"/>
      <c r="AX262" s="584">
        <f t="shared" si="165"/>
        <v>0</v>
      </c>
      <c r="AY262" s="581">
        <f t="shared" si="12"/>
        <v>0</v>
      </c>
      <c r="AZ262" s="581">
        <f t="shared" si="159"/>
        <v>0</v>
      </c>
      <c r="BA262" s="596"/>
      <c r="BB262" s="596"/>
      <c r="BC262" s="348"/>
      <c r="BD262" s="581">
        <f t="shared" si="192"/>
        <v>0</v>
      </c>
      <c r="BE262" s="581">
        <f t="shared" si="37"/>
        <v>0</v>
      </c>
      <c r="BF262" s="347"/>
      <c r="BG262" s="347"/>
      <c r="BH262" s="347"/>
      <c r="BI262" s="347"/>
      <c r="BJ262" s="586">
        <f t="shared" si="187"/>
        <v>0</v>
      </c>
      <c r="BK262" s="581">
        <f t="shared" si="15"/>
        <v>0</v>
      </c>
      <c r="BL262" s="347"/>
      <c r="BM262" s="347"/>
      <c r="BN262" s="347"/>
      <c r="BO262" s="586">
        <f t="shared" si="189"/>
        <v>0</v>
      </c>
      <c r="BP262" s="584">
        <f t="shared" si="17"/>
        <v>0</v>
      </c>
      <c r="BQ262" s="347"/>
      <c r="BR262" s="581">
        <f t="shared" si="153"/>
        <v>0</v>
      </c>
      <c r="BS262" s="588">
        <f t="shared" si="180"/>
        <v>0</v>
      </c>
      <c r="BT262" s="581">
        <f t="shared" si="20"/>
        <v>0</v>
      </c>
      <c r="BU262" s="589"/>
      <c r="BV262" s="581">
        <f t="shared" si="44"/>
        <v>0</v>
      </c>
      <c r="BW262" s="590"/>
      <c r="BX262" s="347"/>
      <c r="BY262" s="347"/>
      <c r="BZ262" s="347"/>
      <c r="CA262" s="586">
        <f t="shared" si="129"/>
        <v>0</v>
      </c>
      <c r="CB262" s="581">
        <f t="shared" si="160"/>
        <v>0</v>
      </c>
      <c r="CC262" s="581">
        <f t="shared" si="131"/>
        <v>0</v>
      </c>
      <c r="CD262" s="581">
        <f t="shared" si="132"/>
        <v>0</v>
      </c>
      <c r="CE262" s="581">
        <f t="shared" si="133"/>
        <v>0</v>
      </c>
      <c r="CF262" s="581">
        <f t="shared" si="134"/>
        <v>0</v>
      </c>
      <c r="CG262" s="581">
        <f t="shared" si="135"/>
        <v>0</v>
      </c>
      <c r="CH262" s="608" t="str">
        <f t="shared" si="136"/>
        <v>#DIV/0!</v>
      </c>
      <c r="CI262" s="603" t="str">
        <f t="shared" si="137"/>
        <v>#DIV/0!</v>
      </c>
      <c r="CJ262" s="347"/>
      <c r="CK262" s="347">
        <f t="shared" si="138"/>
        <v>0</v>
      </c>
      <c r="CL262" s="539">
        <f t="shared" si="139"/>
        <v>0</v>
      </c>
      <c r="CM262" s="347">
        <f t="shared" si="140"/>
        <v>0</v>
      </c>
      <c r="CN262" s="347">
        <f t="shared" si="141"/>
        <v>0</v>
      </c>
      <c r="CO262" s="347" t="str">
        <f t="shared" si="142"/>
        <v>1899-12-30</v>
      </c>
      <c r="CP262" s="347"/>
    </row>
    <row r="263">
      <c r="A263" s="574">
        <f t="shared" si="147"/>
        <v>200191</v>
      </c>
      <c r="B263" s="574" t="str">
        <f t="shared" si="1"/>
        <v>Batch 200191</v>
      </c>
      <c r="C263" s="347"/>
      <c r="D263" s="574"/>
      <c r="E263" s="347"/>
      <c r="F263" s="596"/>
      <c r="G263" s="596"/>
      <c r="H263" s="347"/>
      <c r="I263" s="347"/>
      <c r="J263" s="596"/>
      <c r="K263" s="609"/>
      <c r="L263" s="1"/>
      <c r="M263" s="347"/>
      <c r="N263" s="347"/>
      <c r="O263" s="579">
        <f t="shared" si="2"/>
        <v>0</v>
      </c>
      <c r="P263" s="579">
        <f t="shared" si="126"/>
        <v>0</v>
      </c>
      <c r="Q263" s="574"/>
      <c r="R263" s="347"/>
      <c r="S263" s="597"/>
      <c r="T263" s="347"/>
      <c r="U263" s="579">
        <f t="shared" si="48"/>
        <v>0</v>
      </c>
      <c r="V263" s="579">
        <f t="shared" si="49"/>
        <v>0</v>
      </c>
      <c r="W263" s="574"/>
      <c r="X263" s="347"/>
      <c r="Y263" s="347"/>
      <c r="Z263" s="347"/>
      <c r="AA263" s="579">
        <f t="shared" si="6"/>
        <v>0</v>
      </c>
      <c r="AB263" s="581">
        <f t="shared" si="105"/>
        <v>0</v>
      </c>
      <c r="AC263" s="347"/>
      <c r="AD263" s="347"/>
      <c r="AE263" s="347"/>
      <c r="AF263" s="347"/>
      <c r="AG263" s="579">
        <f t="shared" si="54"/>
        <v>0</v>
      </c>
      <c r="AH263" s="579">
        <f t="shared" si="175"/>
        <v>0</v>
      </c>
      <c r="AI263" s="582"/>
      <c r="AJ263" s="582"/>
      <c r="AK263" s="582"/>
      <c r="AL263" s="582"/>
      <c r="AM263" s="579"/>
      <c r="AN263" s="579"/>
      <c r="AO263" s="347"/>
      <c r="AP263" s="581">
        <f t="shared" si="164"/>
        <v>0</v>
      </c>
      <c r="AQ263" s="596"/>
      <c r="AR263" s="596"/>
      <c r="AS263" s="348"/>
      <c r="AT263" s="348"/>
      <c r="AU263" s="348"/>
      <c r="AV263" s="348"/>
      <c r="AW263" s="348"/>
      <c r="AX263" s="584">
        <f t="shared" si="165"/>
        <v>0</v>
      </c>
      <c r="AY263" s="581">
        <f t="shared" si="12"/>
        <v>0</v>
      </c>
      <c r="AZ263" s="581">
        <f t="shared" si="159"/>
        <v>0</v>
      </c>
      <c r="BA263" s="596"/>
      <c r="BB263" s="596"/>
      <c r="BC263" s="348"/>
      <c r="BD263" s="581">
        <f t="shared" si="192"/>
        <v>0</v>
      </c>
      <c r="BE263" s="581">
        <f t="shared" si="37"/>
        <v>0</v>
      </c>
      <c r="BF263" s="347"/>
      <c r="BG263" s="347"/>
      <c r="BH263" s="347"/>
      <c r="BI263" s="347"/>
      <c r="BJ263" s="586">
        <f t="shared" si="187"/>
        <v>0</v>
      </c>
      <c r="BK263" s="581">
        <f t="shared" si="15"/>
        <v>0</v>
      </c>
      <c r="BL263" s="347"/>
      <c r="BM263" s="347"/>
      <c r="BN263" s="347"/>
      <c r="BO263" s="586">
        <f t="shared" si="189"/>
        <v>0</v>
      </c>
      <c r="BP263" s="584">
        <f t="shared" si="17"/>
        <v>0</v>
      </c>
      <c r="BQ263" s="347"/>
      <c r="BR263" s="581">
        <f t="shared" si="153"/>
        <v>0</v>
      </c>
      <c r="BS263" s="588">
        <f t="shared" si="180"/>
        <v>0</v>
      </c>
      <c r="BT263" s="581">
        <f t="shared" si="20"/>
        <v>0</v>
      </c>
      <c r="BU263" s="589"/>
      <c r="BV263" s="581">
        <f t="shared" si="44"/>
        <v>0</v>
      </c>
      <c r="BW263" s="590"/>
      <c r="BX263" s="347"/>
      <c r="BY263" s="347"/>
      <c r="BZ263" s="347"/>
      <c r="CA263" s="586">
        <f t="shared" si="129"/>
        <v>0</v>
      </c>
      <c r="CB263" s="581">
        <f t="shared" si="160"/>
        <v>0</v>
      </c>
      <c r="CC263" s="581">
        <f t="shared" si="131"/>
        <v>0</v>
      </c>
      <c r="CD263" s="581">
        <f t="shared" si="132"/>
        <v>0</v>
      </c>
      <c r="CE263" s="581">
        <f t="shared" si="133"/>
        <v>0</v>
      </c>
      <c r="CF263" s="581">
        <f t="shared" si="134"/>
        <v>0</v>
      </c>
      <c r="CG263" s="581">
        <f t="shared" si="135"/>
        <v>0</v>
      </c>
      <c r="CH263" s="608" t="str">
        <f t="shared" si="136"/>
        <v>#DIV/0!</v>
      </c>
      <c r="CI263" s="603" t="str">
        <f t="shared" si="137"/>
        <v>#DIV/0!</v>
      </c>
      <c r="CJ263" s="347"/>
      <c r="CK263" s="347">
        <f t="shared" si="138"/>
        <v>0</v>
      </c>
      <c r="CL263" s="539">
        <f t="shared" si="139"/>
        <v>0</v>
      </c>
      <c r="CM263" s="347">
        <f t="shared" si="140"/>
        <v>0</v>
      </c>
      <c r="CN263" s="347">
        <f t="shared" si="141"/>
        <v>0</v>
      </c>
      <c r="CO263" s="347" t="str">
        <f t="shared" si="142"/>
        <v>1899-12-30</v>
      </c>
      <c r="CP263" s="347"/>
    </row>
    <row r="264">
      <c r="A264" s="574">
        <f t="shared" si="147"/>
        <v>300124</v>
      </c>
      <c r="B264" s="574" t="str">
        <f t="shared" si="1"/>
        <v>Batch 300124</v>
      </c>
      <c r="C264" s="347"/>
      <c r="D264" s="574"/>
      <c r="E264" s="347"/>
      <c r="F264" s="596"/>
      <c r="G264" s="596"/>
      <c r="H264" s="347"/>
      <c r="I264" s="347"/>
      <c r="J264" s="596"/>
      <c r="K264" s="609"/>
      <c r="L264" s="1"/>
      <c r="M264" s="347"/>
      <c r="N264" s="347"/>
      <c r="O264" s="579">
        <f t="shared" si="2"/>
        <v>0</v>
      </c>
      <c r="P264" s="579">
        <f t="shared" si="126"/>
        <v>0</v>
      </c>
      <c r="Q264" s="574"/>
      <c r="R264" s="347"/>
      <c r="S264" s="597"/>
      <c r="T264" s="347"/>
      <c r="U264" s="579">
        <f t="shared" si="48"/>
        <v>0</v>
      </c>
      <c r="V264" s="579">
        <f t="shared" si="49"/>
        <v>0</v>
      </c>
      <c r="W264" s="574"/>
      <c r="X264" s="347"/>
      <c r="Y264" s="347"/>
      <c r="Z264" s="347"/>
      <c r="AA264" s="579">
        <f t="shared" si="6"/>
        <v>0</v>
      </c>
      <c r="AB264" s="581">
        <f t="shared" si="105"/>
        <v>0</v>
      </c>
      <c r="AC264" s="347"/>
      <c r="AD264" s="347"/>
      <c r="AE264" s="347"/>
      <c r="AF264" s="347"/>
      <c r="AG264" s="579">
        <f t="shared" si="54"/>
        <v>0</v>
      </c>
      <c r="AH264" s="579">
        <f t="shared" si="175"/>
        <v>0</v>
      </c>
      <c r="AI264" s="582"/>
      <c r="AJ264" s="582"/>
      <c r="AK264" s="582"/>
      <c r="AL264" s="582"/>
      <c r="AM264" s="579"/>
      <c r="AN264" s="579"/>
      <c r="AO264" s="347"/>
      <c r="AP264" s="581">
        <f t="shared" si="164"/>
        <v>0</v>
      </c>
      <c r="AQ264" s="596"/>
      <c r="AR264" s="596"/>
      <c r="AS264" s="348"/>
      <c r="AT264" s="348"/>
      <c r="AU264" s="348"/>
      <c r="AV264" s="348"/>
      <c r="AW264" s="348"/>
      <c r="AX264" s="584">
        <f t="shared" si="165"/>
        <v>0</v>
      </c>
      <c r="AY264" s="581">
        <f t="shared" si="12"/>
        <v>0</v>
      </c>
      <c r="AZ264" s="581">
        <f t="shared" si="159"/>
        <v>0</v>
      </c>
      <c r="BA264" s="596"/>
      <c r="BB264" s="596"/>
      <c r="BC264" s="348"/>
      <c r="BD264" s="581">
        <f t="shared" si="192"/>
        <v>0</v>
      </c>
      <c r="BE264" s="581">
        <f t="shared" si="37"/>
        <v>0</v>
      </c>
      <c r="BF264" s="347"/>
      <c r="BG264" s="347"/>
      <c r="BH264" s="347"/>
      <c r="BI264" s="347"/>
      <c r="BJ264" s="586">
        <f t="shared" si="187"/>
        <v>0</v>
      </c>
      <c r="BK264" s="581">
        <f t="shared" si="15"/>
        <v>0</v>
      </c>
      <c r="BL264" s="347"/>
      <c r="BM264" s="347"/>
      <c r="BN264" s="347"/>
      <c r="BO264" s="586">
        <f t="shared" si="189"/>
        <v>0</v>
      </c>
      <c r="BP264" s="584">
        <f t="shared" si="17"/>
        <v>0</v>
      </c>
      <c r="BQ264" s="347"/>
      <c r="BR264" s="581">
        <f t="shared" si="153"/>
        <v>0</v>
      </c>
      <c r="BS264" s="588">
        <f t="shared" si="180"/>
        <v>0</v>
      </c>
      <c r="BT264" s="581">
        <f t="shared" si="20"/>
        <v>0</v>
      </c>
      <c r="BU264" s="589"/>
      <c r="BV264" s="581">
        <f t="shared" si="44"/>
        <v>0</v>
      </c>
      <c r="BW264" s="590"/>
      <c r="BX264" s="347"/>
      <c r="BY264" s="347"/>
      <c r="BZ264" s="347"/>
      <c r="CA264" s="586">
        <f t="shared" si="129"/>
        <v>0</v>
      </c>
      <c r="CB264" s="581">
        <f t="shared" si="160"/>
        <v>0</v>
      </c>
      <c r="CC264" s="581">
        <f t="shared" si="131"/>
        <v>0</v>
      </c>
      <c r="CD264" s="581">
        <f t="shared" si="132"/>
        <v>0</v>
      </c>
      <c r="CE264" s="581">
        <f t="shared" si="133"/>
        <v>0</v>
      </c>
      <c r="CF264" s="581">
        <f t="shared" si="134"/>
        <v>0</v>
      </c>
      <c r="CG264" s="581">
        <f t="shared" si="135"/>
        <v>0</v>
      </c>
      <c r="CH264" s="608" t="str">
        <f t="shared" si="136"/>
        <v>#DIV/0!</v>
      </c>
      <c r="CI264" s="603" t="str">
        <f t="shared" si="137"/>
        <v>#DIV/0!</v>
      </c>
      <c r="CJ264" s="347"/>
      <c r="CK264" s="347">
        <f t="shared" si="138"/>
        <v>0</v>
      </c>
      <c r="CL264" s="539">
        <f t="shared" si="139"/>
        <v>0</v>
      </c>
      <c r="CM264" s="347">
        <f t="shared" si="140"/>
        <v>0</v>
      </c>
      <c r="CN264" s="347">
        <f t="shared" si="141"/>
        <v>0</v>
      </c>
      <c r="CO264" s="347" t="str">
        <f t="shared" si="142"/>
        <v>1899-12-30</v>
      </c>
      <c r="CP264" s="347"/>
    </row>
    <row r="265">
      <c r="A265" s="574">
        <f t="shared" si="147"/>
        <v>200192</v>
      </c>
      <c r="B265" s="574" t="str">
        <f t="shared" si="1"/>
        <v>Batch 200192</v>
      </c>
      <c r="C265" s="347"/>
      <c r="D265" s="574"/>
      <c r="E265" s="347"/>
      <c r="F265" s="596"/>
      <c r="G265" s="596"/>
      <c r="H265" s="347"/>
      <c r="I265" s="347"/>
      <c r="J265" s="596"/>
      <c r="K265" s="609"/>
      <c r="L265" s="1"/>
      <c r="M265" s="347"/>
      <c r="N265" s="347"/>
      <c r="O265" s="579">
        <f t="shared" si="2"/>
        <v>0</v>
      </c>
      <c r="P265" s="579">
        <f t="shared" si="126"/>
        <v>0</v>
      </c>
      <c r="Q265" s="574"/>
      <c r="R265" s="347"/>
      <c r="S265" s="597"/>
      <c r="T265" s="347"/>
      <c r="U265" s="579">
        <f t="shared" si="48"/>
        <v>0</v>
      </c>
      <c r="V265" s="579">
        <f t="shared" si="49"/>
        <v>0</v>
      </c>
      <c r="W265" s="574"/>
      <c r="X265" s="347"/>
      <c r="Y265" s="347"/>
      <c r="Z265" s="347"/>
      <c r="AA265" s="579">
        <f t="shared" si="6"/>
        <v>0</v>
      </c>
      <c r="AB265" s="581">
        <f t="shared" si="105"/>
        <v>0</v>
      </c>
      <c r="AC265" s="347"/>
      <c r="AD265" s="347"/>
      <c r="AE265" s="347"/>
      <c r="AF265" s="347"/>
      <c r="AG265" s="579">
        <f t="shared" si="54"/>
        <v>0</v>
      </c>
      <c r="AH265" s="579">
        <f t="shared" si="175"/>
        <v>0</v>
      </c>
      <c r="AI265" s="582"/>
      <c r="AJ265" s="582"/>
      <c r="AK265" s="582"/>
      <c r="AL265" s="582"/>
      <c r="AM265" s="579"/>
      <c r="AN265" s="579"/>
      <c r="AO265" s="347"/>
      <c r="AP265" s="581">
        <f t="shared" si="164"/>
        <v>0</v>
      </c>
      <c r="AQ265" s="596"/>
      <c r="AR265" s="596"/>
      <c r="AS265" s="348"/>
      <c r="AT265" s="348"/>
      <c r="AU265" s="348"/>
      <c r="AV265" s="348"/>
      <c r="AW265" s="348"/>
      <c r="AX265" s="584">
        <f t="shared" si="165"/>
        <v>0</v>
      </c>
      <c r="AY265" s="581">
        <f t="shared" si="12"/>
        <v>0</v>
      </c>
      <c r="AZ265" s="581">
        <f t="shared" si="159"/>
        <v>0</v>
      </c>
      <c r="BA265" s="596"/>
      <c r="BB265" s="596"/>
      <c r="BC265" s="348"/>
      <c r="BD265" s="581">
        <f t="shared" si="192"/>
        <v>0</v>
      </c>
      <c r="BE265" s="581">
        <f t="shared" si="37"/>
        <v>0</v>
      </c>
      <c r="BF265" s="347"/>
      <c r="BG265" s="347"/>
      <c r="BH265" s="347"/>
      <c r="BI265" s="347"/>
      <c r="BJ265" s="586">
        <f t="shared" si="187"/>
        <v>0</v>
      </c>
      <c r="BK265" s="581">
        <f t="shared" si="15"/>
        <v>0</v>
      </c>
      <c r="BL265" s="347"/>
      <c r="BM265" s="347"/>
      <c r="BN265" s="347"/>
      <c r="BO265" s="586">
        <f t="shared" si="189"/>
        <v>0</v>
      </c>
      <c r="BP265" s="584">
        <f t="shared" si="17"/>
        <v>0</v>
      </c>
      <c r="BQ265" s="347"/>
      <c r="BR265" s="581">
        <f t="shared" si="153"/>
        <v>0</v>
      </c>
      <c r="BS265" s="588">
        <f t="shared" si="180"/>
        <v>0</v>
      </c>
      <c r="BT265" s="581">
        <f t="shared" si="20"/>
        <v>0</v>
      </c>
      <c r="BU265" s="589"/>
      <c r="BV265" s="581">
        <f t="shared" si="44"/>
        <v>0</v>
      </c>
      <c r="BW265" s="590"/>
      <c r="BX265" s="347"/>
      <c r="BY265" s="347"/>
      <c r="BZ265" s="347"/>
      <c r="CA265" s="586">
        <f t="shared" si="129"/>
        <v>0</v>
      </c>
      <c r="CB265" s="581">
        <f t="shared" si="160"/>
        <v>0</v>
      </c>
      <c r="CC265" s="581">
        <f t="shared" si="131"/>
        <v>0</v>
      </c>
      <c r="CD265" s="581">
        <f t="shared" si="132"/>
        <v>0</v>
      </c>
      <c r="CE265" s="581">
        <f t="shared" si="133"/>
        <v>0</v>
      </c>
      <c r="CF265" s="581">
        <f t="shared" si="134"/>
        <v>0</v>
      </c>
      <c r="CG265" s="581">
        <f t="shared" si="135"/>
        <v>0</v>
      </c>
      <c r="CH265" s="608" t="str">
        <f t="shared" si="136"/>
        <v>#DIV/0!</v>
      </c>
      <c r="CI265" s="603" t="str">
        <f t="shared" si="137"/>
        <v>#DIV/0!</v>
      </c>
      <c r="CJ265" s="347"/>
      <c r="CK265" s="347">
        <f t="shared" si="138"/>
        <v>0</v>
      </c>
      <c r="CL265" s="539">
        <f t="shared" si="139"/>
        <v>0</v>
      </c>
      <c r="CM265" s="347">
        <f t="shared" si="140"/>
        <v>0</v>
      </c>
      <c r="CN265" s="347">
        <f t="shared" si="141"/>
        <v>0</v>
      </c>
      <c r="CO265" s="347" t="str">
        <f t="shared" si="142"/>
        <v>1899-12-30</v>
      </c>
      <c r="CP265" s="347"/>
    </row>
    <row r="266">
      <c r="A266" s="574">
        <f t="shared" si="147"/>
        <v>300125</v>
      </c>
      <c r="B266" s="574" t="str">
        <f t="shared" si="1"/>
        <v>Batch 300125</v>
      </c>
      <c r="C266" s="347"/>
      <c r="D266" s="574"/>
      <c r="E266" s="347"/>
      <c r="F266" s="596"/>
      <c r="G266" s="596"/>
      <c r="H266" s="347"/>
      <c r="I266" s="347"/>
      <c r="J266" s="596"/>
      <c r="K266" s="609"/>
      <c r="L266" s="1"/>
      <c r="M266" s="347"/>
      <c r="N266" s="347"/>
      <c r="O266" s="579">
        <f t="shared" si="2"/>
        <v>0</v>
      </c>
      <c r="P266" s="579">
        <f t="shared" si="126"/>
        <v>0</v>
      </c>
      <c r="Q266" s="574"/>
      <c r="R266" s="347"/>
      <c r="S266" s="597"/>
      <c r="T266" s="347"/>
      <c r="U266" s="579">
        <f t="shared" si="48"/>
        <v>0</v>
      </c>
      <c r="V266" s="579">
        <f t="shared" si="49"/>
        <v>0</v>
      </c>
      <c r="W266" s="574"/>
      <c r="X266" s="347"/>
      <c r="Y266" s="347"/>
      <c r="Z266" s="347"/>
      <c r="AA266" s="579">
        <f t="shared" si="6"/>
        <v>0</v>
      </c>
      <c r="AB266" s="581">
        <f t="shared" si="105"/>
        <v>0</v>
      </c>
      <c r="AC266" s="347"/>
      <c r="AD266" s="347"/>
      <c r="AE266" s="347"/>
      <c r="AF266" s="347"/>
      <c r="AG266" s="579">
        <f t="shared" si="54"/>
        <v>0</v>
      </c>
      <c r="AH266" s="579">
        <f t="shared" si="175"/>
        <v>0</v>
      </c>
      <c r="AI266" s="582"/>
      <c r="AJ266" s="582"/>
      <c r="AK266" s="582"/>
      <c r="AL266" s="582"/>
      <c r="AM266" s="579"/>
      <c r="AN266" s="579"/>
      <c r="AO266" s="347"/>
      <c r="AP266" s="581">
        <f t="shared" si="164"/>
        <v>0</v>
      </c>
      <c r="AQ266" s="596"/>
      <c r="AR266" s="596"/>
      <c r="AS266" s="348"/>
      <c r="AT266" s="348"/>
      <c r="AU266" s="348"/>
      <c r="AV266" s="348"/>
      <c r="AW266" s="348"/>
      <c r="AX266" s="584">
        <f t="shared" si="165"/>
        <v>0</v>
      </c>
      <c r="AY266" s="581">
        <f t="shared" si="12"/>
        <v>0</v>
      </c>
      <c r="AZ266" s="581">
        <f t="shared" si="159"/>
        <v>0</v>
      </c>
      <c r="BA266" s="596"/>
      <c r="BB266" s="596"/>
      <c r="BC266" s="348"/>
      <c r="BD266" s="581">
        <f t="shared" si="192"/>
        <v>0</v>
      </c>
      <c r="BE266" s="581">
        <f t="shared" si="37"/>
        <v>0</v>
      </c>
      <c r="BF266" s="347"/>
      <c r="BG266" s="347"/>
      <c r="BH266" s="347"/>
      <c r="BI266" s="347"/>
      <c r="BJ266" s="586">
        <f t="shared" si="187"/>
        <v>0</v>
      </c>
      <c r="BK266" s="581">
        <f t="shared" si="15"/>
        <v>0</v>
      </c>
      <c r="BL266" s="347"/>
      <c r="BM266" s="347"/>
      <c r="BN266" s="347"/>
      <c r="BO266" s="586">
        <f t="shared" si="189"/>
        <v>0</v>
      </c>
      <c r="BP266" s="584">
        <f t="shared" si="17"/>
        <v>0</v>
      </c>
      <c r="BQ266" s="347"/>
      <c r="BR266" s="581">
        <f t="shared" si="153"/>
        <v>0</v>
      </c>
      <c r="BS266" s="588">
        <f t="shared" si="180"/>
        <v>0</v>
      </c>
      <c r="BT266" s="581">
        <f t="shared" si="20"/>
        <v>0</v>
      </c>
      <c r="BU266" s="589"/>
      <c r="BV266" s="581">
        <f t="shared" si="44"/>
        <v>0</v>
      </c>
      <c r="BW266" s="590"/>
      <c r="BX266" s="347"/>
      <c r="BY266" s="347"/>
      <c r="BZ266" s="347"/>
      <c r="CA266" s="586">
        <f t="shared" si="129"/>
        <v>0</v>
      </c>
      <c r="CB266" s="581">
        <f t="shared" si="160"/>
        <v>0</v>
      </c>
      <c r="CC266" s="581">
        <f t="shared" si="131"/>
        <v>0</v>
      </c>
      <c r="CD266" s="581">
        <f t="shared" si="132"/>
        <v>0</v>
      </c>
      <c r="CE266" s="581">
        <f t="shared" si="133"/>
        <v>0</v>
      </c>
      <c r="CF266" s="581">
        <f t="shared" si="134"/>
        <v>0</v>
      </c>
      <c r="CG266" s="581">
        <f t="shared" si="135"/>
        <v>0</v>
      </c>
      <c r="CH266" s="608" t="str">
        <f t="shared" si="136"/>
        <v>#DIV/0!</v>
      </c>
      <c r="CI266" s="603" t="str">
        <f t="shared" si="137"/>
        <v>#DIV/0!</v>
      </c>
      <c r="CJ266" s="347"/>
      <c r="CK266" s="347">
        <f t="shared" si="138"/>
        <v>0</v>
      </c>
      <c r="CL266" s="539">
        <f t="shared" si="139"/>
        <v>0</v>
      </c>
      <c r="CM266" s="347">
        <f t="shared" si="140"/>
        <v>0</v>
      </c>
      <c r="CN266" s="347">
        <f t="shared" si="141"/>
        <v>0</v>
      </c>
      <c r="CO266" s="347" t="str">
        <f t="shared" si="142"/>
        <v>1899-12-30</v>
      </c>
      <c r="CP266" s="347"/>
    </row>
    <row r="267">
      <c r="A267" s="574">
        <f t="shared" si="147"/>
        <v>200193</v>
      </c>
      <c r="B267" s="574" t="str">
        <f t="shared" si="1"/>
        <v>Batch 200193</v>
      </c>
      <c r="C267" s="347"/>
      <c r="D267" s="574"/>
      <c r="E267" s="347"/>
      <c r="F267" s="596"/>
      <c r="G267" s="596"/>
      <c r="H267" s="347"/>
      <c r="I267" s="347"/>
      <c r="J267" s="596"/>
      <c r="K267" s="609"/>
      <c r="L267" s="1"/>
      <c r="M267" s="347"/>
      <c r="N267" s="347"/>
      <c r="O267" s="579">
        <f t="shared" si="2"/>
        <v>0</v>
      </c>
      <c r="P267" s="579">
        <f t="shared" si="126"/>
        <v>0</v>
      </c>
      <c r="Q267" s="574"/>
      <c r="R267" s="347"/>
      <c r="S267" s="597"/>
      <c r="T267" s="347"/>
      <c r="U267" s="579">
        <f t="shared" si="48"/>
        <v>0</v>
      </c>
      <c r="V267" s="579">
        <f t="shared" si="49"/>
        <v>0</v>
      </c>
      <c r="W267" s="574"/>
      <c r="X267" s="347"/>
      <c r="Y267" s="347"/>
      <c r="Z267" s="347"/>
      <c r="AA267" s="579">
        <f t="shared" si="6"/>
        <v>0</v>
      </c>
      <c r="AB267" s="581">
        <f t="shared" si="105"/>
        <v>0</v>
      </c>
      <c r="AC267" s="347"/>
      <c r="AD267" s="347"/>
      <c r="AE267" s="347"/>
      <c r="AF267" s="347"/>
      <c r="AG267" s="579">
        <f t="shared" si="54"/>
        <v>0</v>
      </c>
      <c r="AH267" s="579">
        <f t="shared" si="175"/>
        <v>0</v>
      </c>
      <c r="AI267" s="582"/>
      <c r="AJ267" s="582"/>
      <c r="AK267" s="582"/>
      <c r="AL267" s="582"/>
      <c r="AM267" s="579"/>
      <c r="AN267" s="579"/>
      <c r="AO267" s="347"/>
      <c r="AP267" s="581">
        <f t="shared" si="164"/>
        <v>0</v>
      </c>
      <c r="AQ267" s="596"/>
      <c r="AR267" s="596"/>
      <c r="AS267" s="348"/>
      <c r="AT267" s="348"/>
      <c r="AU267" s="348"/>
      <c r="AV267" s="348"/>
      <c r="AW267" s="348"/>
      <c r="AX267" s="584">
        <f t="shared" si="165"/>
        <v>0</v>
      </c>
      <c r="AY267" s="581">
        <f t="shared" si="12"/>
        <v>0</v>
      </c>
      <c r="AZ267" s="581">
        <f t="shared" si="159"/>
        <v>0</v>
      </c>
      <c r="BA267" s="596"/>
      <c r="BB267" s="596"/>
      <c r="BC267" s="348"/>
      <c r="BD267" s="581">
        <f t="shared" si="192"/>
        <v>0</v>
      </c>
      <c r="BE267" s="581">
        <f t="shared" si="37"/>
        <v>0</v>
      </c>
      <c r="BF267" s="347"/>
      <c r="BG267" s="347"/>
      <c r="BH267" s="347"/>
      <c r="BI267" s="347"/>
      <c r="BJ267" s="586">
        <f t="shared" si="187"/>
        <v>0</v>
      </c>
      <c r="BK267" s="581">
        <f t="shared" si="15"/>
        <v>0</v>
      </c>
      <c r="BL267" s="347"/>
      <c r="BM267" s="347"/>
      <c r="BN267" s="347"/>
      <c r="BO267" s="586">
        <f t="shared" si="189"/>
        <v>0</v>
      </c>
      <c r="BP267" s="584">
        <f t="shared" si="17"/>
        <v>0</v>
      </c>
      <c r="BQ267" s="347"/>
      <c r="BR267" s="581">
        <f t="shared" si="153"/>
        <v>0</v>
      </c>
      <c r="BS267" s="588">
        <f t="shared" si="180"/>
        <v>0</v>
      </c>
      <c r="BT267" s="581">
        <f t="shared" si="20"/>
        <v>0</v>
      </c>
      <c r="BU267" s="589"/>
      <c r="BV267" s="581">
        <f t="shared" si="44"/>
        <v>0</v>
      </c>
      <c r="BW267" s="590"/>
      <c r="BX267" s="347"/>
      <c r="BY267" s="347"/>
      <c r="BZ267" s="347"/>
      <c r="CA267" s="586">
        <f t="shared" si="129"/>
        <v>0</v>
      </c>
      <c r="CB267" s="581">
        <f t="shared" si="160"/>
        <v>0</v>
      </c>
      <c r="CC267" s="581">
        <f t="shared" si="131"/>
        <v>0</v>
      </c>
      <c r="CD267" s="581">
        <f t="shared" si="132"/>
        <v>0</v>
      </c>
      <c r="CE267" s="581">
        <f t="shared" si="133"/>
        <v>0</v>
      </c>
      <c r="CF267" s="581">
        <f t="shared" si="134"/>
        <v>0</v>
      </c>
      <c r="CG267" s="581">
        <f t="shared" si="135"/>
        <v>0</v>
      </c>
      <c r="CH267" s="608" t="str">
        <f t="shared" si="136"/>
        <v>#DIV/0!</v>
      </c>
      <c r="CI267" s="603" t="str">
        <f t="shared" si="137"/>
        <v>#DIV/0!</v>
      </c>
      <c r="CJ267" s="347"/>
      <c r="CK267" s="347">
        <f t="shared" si="138"/>
        <v>0</v>
      </c>
      <c r="CL267" s="539">
        <f t="shared" si="139"/>
        <v>0</v>
      </c>
      <c r="CM267" s="347">
        <f t="shared" si="140"/>
        <v>0</v>
      </c>
      <c r="CN267" s="347">
        <f t="shared" si="141"/>
        <v>0</v>
      </c>
      <c r="CO267" s="347" t="str">
        <f t="shared" si="142"/>
        <v>1899-12-30</v>
      </c>
      <c r="CP267" s="347"/>
    </row>
    <row r="268">
      <c r="A268" s="574">
        <f t="shared" si="147"/>
        <v>300126</v>
      </c>
      <c r="B268" s="574" t="str">
        <f t="shared" si="1"/>
        <v>Batch 300126</v>
      </c>
      <c r="C268" s="347"/>
      <c r="D268" s="574"/>
      <c r="E268" s="347"/>
      <c r="F268" s="596"/>
      <c r="G268" s="596"/>
      <c r="H268" s="347"/>
      <c r="I268" s="347"/>
      <c r="J268" s="596"/>
      <c r="K268" s="609"/>
      <c r="L268" s="1"/>
      <c r="M268" s="347"/>
      <c r="N268" s="347"/>
      <c r="O268" s="579">
        <f t="shared" si="2"/>
        <v>0</v>
      </c>
      <c r="P268" s="579">
        <f t="shared" si="126"/>
        <v>0</v>
      </c>
      <c r="Q268" s="574"/>
      <c r="R268" s="347"/>
      <c r="S268" s="597"/>
      <c r="T268" s="347"/>
      <c r="U268" s="579">
        <f t="shared" si="48"/>
        <v>0</v>
      </c>
      <c r="V268" s="579">
        <f t="shared" si="49"/>
        <v>0</v>
      </c>
      <c r="W268" s="574"/>
      <c r="X268" s="347"/>
      <c r="Y268" s="347"/>
      <c r="Z268" s="347"/>
      <c r="AA268" s="579">
        <f t="shared" si="6"/>
        <v>0</v>
      </c>
      <c r="AB268" s="581">
        <f t="shared" si="105"/>
        <v>0</v>
      </c>
      <c r="AC268" s="347"/>
      <c r="AD268" s="347"/>
      <c r="AE268" s="347"/>
      <c r="AF268" s="347"/>
      <c r="AG268" s="579">
        <f t="shared" si="54"/>
        <v>0</v>
      </c>
      <c r="AH268" s="579">
        <f t="shared" si="175"/>
        <v>0</v>
      </c>
      <c r="AI268" s="582"/>
      <c r="AJ268" s="582"/>
      <c r="AK268" s="582"/>
      <c r="AL268" s="582"/>
      <c r="AM268" s="579"/>
      <c r="AN268" s="579"/>
      <c r="AO268" s="347"/>
      <c r="AP268" s="581">
        <f t="shared" si="164"/>
        <v>0</v>
      </c>
      <c r="AQ268" s="596"/>
      <c r="AR268" s="596"/>
      <c r="AS268" s="348"/>
      <c r="AT268" s="348"/>
      <c r="AU268" s="348"/>
      <c r="AV268" s="348"/>
      <c r="AW268" s="348"/>
      <c r="AX268" s="584">
        <f t="shared" si="165"/>
        <v>0</v>
      </c>
      <c r="AY268" s="581">
        <f t="shared" si="12"/>
        <v>0</v>
      </c>
      <c r="AZ268" s="581">
        <f t="shared" si="159"/>
        <v>0</v>
      </c>
      <c r="BA268" s="596"/>
      <c r="BB268" s="596"/>
      <c r="BC268" s="348"/>
      <c r="BD268" s="581">
        <f t="shared" si="192"/>
        <v>0</v>
      </c>
      <c r="BE268" s="581">
        <f t="shared" si="37"/>
        <v>0</v>
      </c>
      <c r="BF268" s="347"/>
      <c r="BG268" s="347"/>
      <c r="BH268" s="347"/>
      <c r="BI268" s="347"/>
      <c r="BJ268" s="586">
        <f t="shared" si="187"/>
        <v>0</v>
      </c>
      <c r="BK268" s="581">
        <f t="shared" si="15"/>
        <v>0</v>
      </c>
      <c r="BL268" s="347"/>
      <c r="BM268" s="347"/>
      <c r="BN268" s="347"/>
      <c r="BO268" s="586">
        <f t="shared" si="189"/>
        <v>0</v>
      </c>
      <c r="BP268" s="584">
        <f t="shared" si="17"/>
        <v>0</v>
      </c>
      <c r="BQ268" s="347"/>
      <c r="BR268" s="581">
        <f t="shared" si="153"/>
        <v>0</v>
      </c>
      <c r="BS268" s="588">
        <f t="shared" si="180"/>
        <v>0</v>
      </c>
      <c r="BT268" s="581">
        <f t="shared" si="20"/>
        <v>0</v>
      </c>
      <c r="BU268" s="589"/>
      <c r="BV268" s="581">
        <f t="shared" si="44"/>
        <v>0</v>
      </c>
      <c r="BW268" s="590"/>
      <c r="BX268" s="347"/>
      <c r="BY268" s="347"/>
      <c r="BZ268" s="347"/>
      <c r="CA268" s="586">
        <f t="shared" si="129"/>
        <v>0</v>
      </c>
      <c r="CB268" s="581">
        <f t="shared" si="160"/>
        <v>0</v>
      </c>
      <c r="CC268" s="581">
        <f t="shared" si="131"/>
        <v>0</v>
      </c>
      <c r="CD268" s="581">
        <f t="shared" si="132"/>
        <v>0</v>
      </c>
      <c r="CE268" s="581">
        <f t="shared" si="133"/>
        <v>0</v>
      </c>
      <c r="CF268" s="581">
        <f t="shared" si="134"/>
        <v>0</v>
      </c>
      <c r="CG268" s="581">
        <f t="shared" si="135"/>
        <v>0</v>
      </c>
      <c r="CH268" s="608" t="str">
        <f t="shared" si="136"/>
        <v>#DIV/0!</v>
      </c>
      <c r="CI268" s="603" t="str">
        <f t="shared" si="137"/>
        <v>#DIV/0!</v>
      </c>
      <c r="CJ268" s="347"/>
      <c r="CK268" s="347">
        <f t="shared" si="138"/>
        <v>0</v>
      </c>
      <c r="CL268" s="539">
        <f t="shared" si="139"/>
        <v>0</v>
      </c>
      <c r="CM268" s="347">
        <f t="shared" si="140"/>
        <v>0</v>
      </c>
      <c r="CN268" s="347">
        <f t="shared" si="141"/>
        <v>0</v>
      </c>
      <c r="CO268" s="347" t="str">
        <f t="shared" si="142"/>
        <v>1899-12-30</v>
      </c>
      <c r="CP268" s="347"/>
    </row>
    <row r="269">
      <c r="A269" s="574">
        <f t="shared" si="147"/>
        <v>200194</v>
      </c>
      <c r="B269" s="574" t="str">
        <f t="shared" si="1"/>
        <v>Batch 200194</v>
      </c>
      <c r="C269" s="347"/>
      <c r="D269" s="574"/>
      <c r="E269" s="347"/>
      <c r="F269" s="596"/>
      <c r="G269" s="596"/>
      <c r="H269" s="347"/>
      <c r="I269" s="347"/>
      <c r="J269" s="596"/>
      <c r="K269" s="609"/>
      <c r="L269" s="1"/>
      <c r="M269" s="347"/>
      <c r="N269" s="347"/>
      <c r="O269" s="579">
        <f t="shared" si="2"/>
        <v>0</v>
      </c>
      <c r="P269" s="579">
        <f t="shared" si="126"/>
        <v>0</v>
      </c>
      <c r="Q269" s="574"/>
      <c r="R269" s="347"/>
      <c r="S269" s="597"/>
      <c r="T269" s="347"/>
      <c r="U269" s="579">
        <f t="shared" si="48"/>
        <v>0</v>
      </c>
      <c r="V269" s="579">
        <f t="shared" si="49"/>
        <v>0</v>
      </c>
      <c r="W269" s="574"/>
      <c r="X269" s="347"/>
      <c r="Y269" s="347"/>
      <c r="Z269" s="347"/>
      <c r="AA269" s="579">
        <f t="shared" si="6"/>
        <v>0</v>
      </c>
      <c r="AB269" s="581">
        <f t="shared" si="105"/>
        <v>0</v>
      </c>
      <c r="AC269" s="347"/>
      <c r="AD269" s="347"/>
      <c r="AE269" s="347"/>
      <c r="AF269" s="347"/>
      <c r="AG269" s="579">
        <f t="shared" si="54"/>
        <v>0</v>
      </c>
      <c r="AH269" s="579">
        <f t="shared" si="175"/>
        <v>0</v>
      </c>
      <c r="AI269" s="582"/>
      <c r="AJ269" s="582"/>
      <c r="AK269" s="582"/>
      <c r="AL269" s="582"/>
      <c r="AM269" s="579"/>
      <c r="AN269" s="579"/>
      <c r="AO269" s="347"/>
      <c r="AP269" s="581">
        <f t="shared" si="164"/>
        <v>0</v>
      </c>
      <c r="AQ269" s="596"/>
      <c r="AR269" s="596"/>
      <c r="AS269" s="348"/>
      <c r="AT269" s="348"/>
      <c r="AU269" s="348"/>
      <c r="AV269" s="348"/>
      <c r="AW269" s="348"/>
      <c r="AX269" s="584">
        <f t="shared" si="165"/>
        <v>0</v>
      </c>
      <c r="AY269" s="581">
        <f t="shared" si="12"/>
        <v>0</v>
      </c>
      <c r="AZ269" s="581">
        <f t="shared" si="159"/>
        <v>0</v>
      </c>
      <c r="BA269" s="596"/>
      <c r="BB269" s="596"/>
      <c r="BC269" s="348"/>
      <c r="BD269" s="581">
        <f t="shared" si="192"/>
        <v>0</v>
      </c>
      <c r="BE269" s="581">
        <f t="shared" si="37"/>
        <v>0</v>
      </c>
      <c r="BF269" s="347"/>
      <c r="BG269" s="347"/>
      <c r="BH269" s="347"/>
      <c r="BI269" s="347"/>
      <c r="BJ269" s="586">
        <f t="shared" si="187"/>
        <v>0</v>
      </c>
      <c r="BK269" s="581">
        <f t="shared" si="15"/>
        <v>0</v>
      </c>
      <c r="BL269" s="347"/>
      <c r="BM269" s="347"/>
      <c r="BN269" s="347"/>
      <c r="BO269" s="586">
        <f t="shared" si="189"/>
        <v>0</v>
      </c>
      <c r="BP269" s="584">
        <f t="shared" si="17"/>
        <v>0</v>
      </c>
      <c r="BQ269" s="347"/>
      <c r="BR269" s="581">
        <f t="shared" si="153"/>
        <v>0</v>
      </c>
      <c r="BS269" s="588">
        <f t="shared" si="180"/>
        <v>0</v>
      </c>
      <c r="BT269" s="581">
        <f t="shared" si="20"/>
        <v>0</v>
      </c>
      <c r="BU269" s="589"/>
      <c r="BV269" s="581">
        <f t="shared" si="44"/>
        <v>0</v>
      </c>
      <c r="BW269" s="590"/>
      <c r="BX269" s="347"/>
      <c r="BY269" s="347"/>
      <c r="BZ269" s="347"/>
      <c r="CA269" s="586">
        <f t="shared" si="129"/>
        <v>0</v>
      </c>
      <c r="CB269" s="581">
        <f t="shared" si="160"/>
        <v>0</v>
      </c>
      <c r="CC269" s="581">
        <f t="shared" si="131"/>
        <v>0</v>
      </c>
      <c r="CD269" s="581">
        <f t="shared" si="132"/>
        <v>0</v>
      </c>
      <c r="CE269" s="581">
        <f t="shared" si="133"/>
        <v>0</v>
      </c>
      <c r="CF269" s="581">
        <f t="shared" si="134"/>
        <v>0</v>
      </c>
      <c r="CG269" s="581">
        <f t="shared" si="135"/>
        <v>0</v>
      </c>
      <c r="CH269" s="608" t="str">
        <f t="shared" si="136"/>
        <v>#DIV/0!</v>
      </c>
      <c r="CI269" s="603" t="str">
        <f t="shared" si="137"/>
        <v>#DIV/0!</v>
      </c>
      <c r="CJ269" s="347"/>
      <c r="CK269" s="347">
        <f t="shared" si="138"/>
        <v>0</v>
      </c>
      <c r="CL269" s="539">
        <f t="shared" si="139"/>
        <v>0</v>
      </c>
      <c r="CM269" s="347">
        <f t="shared" si="140"/>
        <v>0</v>
      </c>
      <c r="CN269" s="347">
        <f t="shared" si="141"/>
        <v>0</v>
      </c>
      <c r="CO269" s="347" t="str">
        <f t="shared" si="142"/>
        <v>1899-12-30</v>
      </c>
      <c r="CP269" s="347"/>
    </row>
    <row r="270">
      <c r="A270" s="574">
        <f t="shared" si="147"/>
        <v>300127</v>
      </c>
      <c r="B270" s="574" t="str">
        <f t="shared" si="1"/>
        <v>Batch 300127</v>
      </c>
      <c r="C270" s="347"/>
      <c r="D270" s="574"/>
      <c r="E270" s="347"/>
      <c r="F270" s="596"/>
      <c r="G270" s="596"/>
      <c r="H270" s="347"/>
      <c r="I270" s="347"/>
      <c r="J270" s="596"/>
      <c r="K270" s="609"/>
      <c r="L270" s="1"/>
      <c r="M270" s="347"/>
      <c r="N270" s="347"/>
      <c r="O270" s="579">
        <f t="shared" si="2"/>
        <v>0</v>
      </c>
      <c r="P270" s="579">
        <f t="shared" si="126"/>
        <v>0</v>
      </c>
      <c r="Q270" s="574"/>
      <c r="R270" s="347"/>
      <c r="S270" s="597"/>
      <c r="T270" s="347"/>
      <c r="U270" s="579">
        <f t="shared" si="48"/>
        <v>0</v>
      </c>
      <c r="V270" s="579">
        <f t="shared" si="49"/>
        <v>0</v>
      </c>
      <c r="W270" s="574"/>
      <c r="X270" s="347"/>
      <c r="Y270" s="347"/>
      <c r="Z270" s="347"/>
      <c r="AA270" s="579">
        <f t="shared" si="6"/>
        <v>0</v>
      </c>
      <c r="AB270" s="581">
        <f t="shared" si="105"/>
        <v>0</v>
      </c>
      <c r="AC270" s="347"/>
      <c r="AD270" s="347"/>
      <c r="AE270" s="347"/>
      <c r="AF270" s="347"/>
      <c r="AG270" s="579">
        <f t="shared" si="54"/>
        <v>0</v>
      </c>
      <c r="AH270" s="579">
        <f t="shared" si="175"/>
        <v>0</v>
      </c>
      <c r="AI270" s="582"/>
      <c r="AJ270" s="582"/>
      <c r="AK270" s="582"/>
      <c r="AL270" s="582"/>
      <c r="AM270" s="579"/>
      <c r="AN270" s="579"/>
      <c r="AO270" s="347"/>
      <c r="AP270" s="581">
        <f t="shared" si="164"/>
        <v>0</v>
      </c>
      <c r="AQ270" s="596"/>
      <c r="AR270" s="596"/>
      <c r="AS270" s="348"/>
      <c r="AT270" s="348"/>
      <c r="AU270" s="348"/>
      <c r="AV270" s="348"/>
      <c r="AW270" s="348"/>
      <c r="AX270" s="584">
        <f t="shared" si="165"/>
        <v>0</v>
      </c>
      <c r="AY270" s="581">
        <f t="shared" si="12"/>
        <v>0</v>
      </c>
      <c r="AZ270" s="581">
        <f t="shared" si="159"/>
        <v>0</v>
      </c>
      <c r="BA270" s="596"/>
      <c r="BB270" s="596"/>
      <c r="BC270" s="348"/>
      <c r="BD270" s="581">
        <f t="shared" si="192"/>
        <v>0</v>
      </c>
      <c r="BE270" s="581">
        <f t="shared" si="37"/>
        <v>0</v>
      </c>
      <c r="BF270" s="347"/>
      <c r="BG270" s="347"/>
      <c r="BH270" s="347"/>
      <c r="BI270" s="347"/>
      <c r="BJ270" s="586">
        <f t="shared" si="187"/>
        <v>0</v>
      </c>
      <c r="BK270" s="581">
        <f t="shared" si="15"/>
        <v>0</v>
      </c>
      <c r="BL270" s="347"/>
      <c r="BM270" s="347"/>
      <c r="BN270" s="347"/>
      <c r="BO270" s="586">
        <f t="shared" si="189"/>
        <v>0</v>
      </c>
      <c r="BP270" s="584">
        <f t="shared" si="17"/>
        <v>0</v>
      </c>
      <c r="BQ270" s="347"/>
      <c r="BR270" s="581">
        <f t="shared" si="153"/>
        <v>0</v>
      </c>
      <c r="BS270" s="588">
        <f t="shared" si="180"/>
        <v>0</v>
      </c>
      <c r="BT270" s="581">
        <f t="shared" si="20"/>
        <v>0</v>
      </c>
      <c r="BU270" s="589"/>
      <c r="BV270" s="581">
        <f t="shared" si="44"/>
        <v>0</v>
      </c>
      <c r="BW270" s="590"/>
      <c r="BX270" s="347"/>
      <c r="BY270" s="347"/>
      <c r="BZ270" s="347"/>
      <c r="CA270" s="586">
        <f t="shared" si="129"/>
        <v>0</v>
      </c>
      <c r="CB270" s="581">
        <f t="shared" si="160"/>
        <v>0</v>
      </c>
      <c r="CC270" s="581">
        <f t="shared" si="131"/>
        <v>0</v>
      </c>
      <c r="CD270" s="581">
        <f t="shared" si="132"/>
        <v>0</v>
      </c>
      <c r="CE270" s="581">
        <f t="shared" si="133"/>
        <v>0</v>
      </c>
      <c r="CF270" s="581">
        <f t="shared" si="134"/>
        <v>0</v>
      </c>
      <c r="CG270" s="581">
        <f t="shared" si="135"/>
        <v>0</v>
      </c>
      <c r="CH270" s="608" t="str">
        <f t="shared" si="136"/>
        <v>#DIV/0!</v>
      </c>
      <c r="CI270" s="603" t="str">
        <f t="shared" si="137"/>
        <v>#DIV/0!</v>
      </c>
      <c r="CJ270" s="347"/>
      <c r="CK270" s="347">
        <f t="shared" si="138"/>
        <v>0</v>
      </c>
      <c r="CL270" s="539">
        <f t="shared" si="139"/>
        <v>0</v>
      </c>
      <c r="CM270" s="347">
        <f t="shared" si="140"/>
        <v>0</v>
      </c>
      <c r="CN270" s="347">
        <f t="shared" si="141"/>
        <v>0</v>
      </c>
      <c r="CO270" s="347" t="str">
        <f t="shared" si="142"/>
        <v>1899-12-30</v>
      </c>
      <c r="CP270" s="347"/>
    </row>
    <row r="271">
      <c r="A271" s="574">
        <f t="shared" si="147"/>
        <v>200195</v>
      </c>
      <c r="B271" s="574" t="str">
        <f t="shared" si="1"/>
        <v>Batch 200195</v>
      </c>
      <c r="C271" s="347"/>
      <c r="D271" s="574"/>
      <c r="E271" s="347"/>
      <c r="F271" s="596"/>
      <c r="G271" s="596"/>
      <c r="H271" s="347"/>
      <c r="I271" s="347"/>
      <c r="J271" s="596"/>
      <c r="K271" s="609"/>
      <c r="L271" s="1"/>
      <c r="M271" s="347"/>
      <c r="N271" s="347"/>
      <c r="O271" s="579">
        <f t="shared" si="2"/>
        <v>0</v>
      </c>
      <c r="P271" s="579">
        <f t="shared" si="126"/>
        <v>0</v>
      </c>
      <c r="Q271" s="574"/>
      <c r="R271" s="347"/>
      <c r="S271" s="597"/>
      <c r="T271" s="347"/>
      <c r="U271" s="579">
        <f t="shared" si="48"/>
        <v>0</v>
      </c>
      <c r="V271" s="579">
        <f t="shared" si="49"/>
        <v>0</v>
      </c>
      <c r="W271" s="574"/>
      <c r="X271" s="347"/>
      <c r="Y271" s="347"/>
      <c r="Z271" s="347"/>
      <c r="AA271" s="579">
        <f t="shared" si="6"/>
        <v>0</v>
      </c>
      <c r="AB271" s="581">
        <f t="shared" si="105"/>
        <v>0</v>
      </c>
      <c r="AC271" s="347"/>
      <c r="AD271" s="347"/>
      <c r="AE271" s="347"/>
      <c r="AF271" s="347"/>
      <c r="AG271" s="579">
        <f t="shared" si="54"/>
        <v>0</v>
      </c>
      <c r="AH271" s="579">
        <f t="shared" si="175"/>
        <v>0</v>
      </c>
      <c r="AI271" s="582"/>
      <c r="AJ271" s="582"/>
      <c r="AK271" s="582"/>
      <c r="AL271" s="582"/>
      <c r="AM271" s="579"/>
      <c r="AN271" s="579"/>
      <c r="AO271" s="347"/>
      <c r="AP271" s="581">
        <f t="shared" si="164"/>
        <v>0</v>
      </c>
      <c r="AQ271" s="596"/>
      <c r="AR271" s="596"/>
      <c r="AS271" s="348"/>
      <c r="AT271" s="348"/>
      <c r="AU271" s="348"/>
      <c r="AV271" s="348"/>
      <c r="AW271" s="348"/>
      <c r="AX271" s="584">
        <f t="shared" si="165"/>
        <v>0</v>
      </c>
      <c r="AY271" s="581">
        <f t="shared" si="12"/>
        <v>0</v>
      </c>
      <c r="AZ271" s="581">
        <f t="shared" si="159"/>
        <v>0</v>
      </c>
      <c r="BA271" s="596"/>
      <c r="BB271" s="596"/>
      <c r="BC271" s="348"/>
      <c r="BD271" s="581">
        <f t="shared" si="192"/>
        <v>0</v>
      </c>
      <c r="BE271" s="581">
        <f t="shared" si="37"/>
        <v>0</v>
      </c>
      <c r="BF271" s="347"/>
      <c r="BG271" s="347"/>
      <c r="BH271" s="347"/>
      <c r="BI271" s="347"/>
      <c r="BJ271" s="586">
        <f t="shared" si="187"/>
        <v>0</v>
      </c>
      <c r="BK271" s="581">
        <f t="shared" si="15"/>
        <v>0</v>
      </c>
      <c r="BL271" s="347"/>
      <c r="BM271" s="347"/>
      <c r="BN271" s="347"/>
      <c r="BO271" s="586">
        <f t="shared" si="189"/>
        <v>0</v>
      </c>
      <c r="BP271" s="584">
        <f t="shared" si="17"/>
        <v>0</v>
      </c>
      <c r="BQ271" s="347"/>
      <c r="BR271" s="581">
        <f t="shared" si="153"/>
        <v>0</v>
      </c>
      <c r="BS271" s="588">
        <f t="shared" si="180"/>
        <v>0</v>
      </c>
      <c r="BT271" s="581">
        <f t="shared" si="20"/>
        <v>0</v>
      </c>
      <c r="BU271" s="589"/>
      <c r="BV271" s="581">
        <f t="shared" si="44"/>
        <v>0</v>
      </c>
      <c r="BW271" s="590"/>
      <c r="BX271" s="347"/>
      <c r="BY271" s="347"/>
      <c r="BZ271" s="347"/>
      <c r="CA271" s="586">
        <f t="shared" si="129"/>
        <v>0</v>
      </c>
      <c r="CB271" s="581">
        <f t="shared" si="160"/>
        <v>0</v>
      </c>
      <c r="CC271" s="581">
        <f t="shared" si="131"/>
        <v>0</v>
      </c>
      <c r="CD271" s="581">
        <f t="shared" si="132"/>
        <v>0</v>
      </c>
      <c r="CE271" s="581">
        <f t="shared" si="133"/>
        <v>0</v>
      </c>
      <c r="CF271" s="581">
        <f t="shared" si="134"/>
        <v>0</v>
      </c>
      <c r="CG271" s="581">
        <f t="shared" si="135"/>
        <v>0</v>
      </c>
      <c r="CH271" s="608" t="str">
        <f t="shared" si="136"/>
        <v>#DIV/0!</v>
      </c>
      <c r="CI271" s="603" t="str">
        <f t="shared" si="137"/>
        <v>#DIV/0!</v>
      </c>
      <c r="CJ271" s="347"/>
      <c r="CK271" s="347">
        <f t="shared" si="138"/>
        <v>0</v>
      </c>
      <c r="CL271" s="539">
        <f t="shared" si="139"/>
        <v>0</v>
      </c>
      <c r="CM271" s="347">
        <f t="shared" si="140"/>
        <v>0</v>
      </c>
      <c r="CN271" s="347">
        <f t="shared" si="141"/>
        <v>0</v>
      </c>
      <c r="CO271" s="347" t="str">
        <f t="shared" si="142"/>
        <v>1899-12-30</v>
      </c>
      <c r="CP271" s="347"/>
    </row>
    <row r="272">
      <c r="A272" s="574">
        <f t="shared" si="147"/>
        <v>300128</v>
      </c>
      <c r="B272" s="574" t="str">
        <f t="shared" si="1"/>
        <v>Batch 300128</v>
      </c>
      <c r="C272" s="347"/>
      <c r="D272" s="574"/>
      <c r="E272" s="347"/>
      <c r="F272" s="596"/>
      <c r="G272" s="596"/>
      <c r="H272" s="347"/>
      <c r="I272" s="347"/>
      <c r="J272" s="596"/>
      <c r="K272" s="609"/>
      <c r="L272" s="1"/>
      <c r="M272" s="347"/>
      <c r="N272" s="347"/>
      <c r="O272" s="579">
        <f t="shared" si="2"/>
        <v>0</v>
      </c>
      <c r="P272" s="579">
        <f t="shared" si="126"/>
        <v>0</v>
      </c>
      <c r="Q272" s="574"/>
      <c r="R272" s="347"/>
      <c r="S272" s="597"/>
      <c r="T272" s="347"/>
      <c r="U272" s="579">
        <f t="shared" si="48"/>
        <v>0</v>
      </c>
      <c r="V272" s="579">
        <f t="shared" si="49"/>
        <v>0</v>
      </c>
      <c r="W272" s="574"/>
      <c r="X272" s="347"/>
      <c r="Y272" s="347"/>
      <c r="Z272" s="347"/>
      <c r="AA272" s="579">
        <f t="shared" si="6"/>
        <v>0</v>
      </c>
      <c r="AB272" s="581">
        <f t="shared" si="105"/>
        <v>0</v>
      </c>
      <c r="AC272" s="347"/>
      <c r="AD272" s="347"/>
      <c r="AE272" s="347"/>
      <c r="AF272" s="347"/>
      <c r="AG272" s="579">
        <f t="shared" si="54"/>
        <v>0</v>
      </c>
      <c r="AH272" s="579">
        <f t="shared" si="175"/>
        <v>0</v>
      </c>
      <c r="AI272" s="582"/>
      <c r="AJ272" s="582"/>
      <c r="AK272" s="582"/>
      <c r="AL272" s="582"/>
      <c r="AM272" s="579"/>
      <c r="AN272" s="579"/>
      <c r="AO272" s="347"/>
      <c r="AP272" s="581">
        <f t="shared" si="164"/>
        <v>0</v>
      </c>
      <c r="AQ272" s="596"/>
      <c r="AR272" s="596"/>
      <c r="AS272" s="348"/>
      <c r="AT272" s="348"/>
      <c r="AU272" s="348"/>
      <c r="AV272" s="348"/>
      <c r="AW272" s="348"/>
      <c r="AX272" s="584">
        <f t="shared" si="165"/>
        <v>0</v>
      </c>
      <c r="AY272" s="581">
        <f t="shared" si="12"/>
        <v>0</v>
      </c>
      <c r="AZ272" s="581">
        <f t="shared" si="159"/>
        <v>0</v>
      </c>
      <c r="BA272" s="596"/>
      <c r="BB272" s="596"/>
      <c r="BC272" s="348"/>
      <c r="BD272" s="581">
        <f t="shared" si="192"/>
        <v>0</v>
      </c>
      <c r="BE272" s="581">
        <f t="shared" si="37"/>
        <v>0</v>
      </c>
      <c r="BF272" s="347"/>
      <c r="BG272" s="347"/>
      <c r="BH272" s="347"/>
      <c r="BI272" s="347"/>
      <c r="BJ272" s="586">
        <f t="shared" si="187"/>
        <v>0</v>
      </c>
      <c r="BK272" s="581">
        <f t="shared" si="15"/>
        <v>0</v>
      </c>
      <c r="BL272" s="347"/>
      <c r="BM272" s="347"/>
      <c r="BN272" s="347"/>
      <c r="BO272" s="586">
        <f t="shared" si="189"/>
        <v>0</v>
      </c>
      <c r="BP272" s="584">
        <f t="shared" si="17"/>
        <v>0</v>
      </c>
      <c r="BQ272" s="347"/>
      <c r="BR272" s="581">
        <f t="shared" si="153"/>
        <v>0</v>
      </c>
      <c r="BS272" s="588">
        <f t="shared" si="180"/>
        <v>0</v>
      </c>
      <c r="BT272" s="581">
        <f t="shared" si="20"/>
        <v>0</v>
      </c>
      <c r="BU272" s="589"/>
      <c r="BV272" s="581">
        <f t="shared" si="44"/>
        <v>0</v>
      </c>
      <c r="BW272" s="590"/>
      <c r="BX272" s="347"/>
      <c r="BY272" s="347"/>
      <c r="BZ272" s="347"/>
      <c r="CA272" s="586">
        <f t="shared" si="129"/>
        <v>0</v>
      </c>
      <c r="CB272" s="581">
        <f t="shared" si="160"/>
        <v>0</v>
      </c>
      <c r="CC272" s="581">
        <f t="shared" si="131"/>
        <v>0</v>
      </c>
      <c r="CD272" s="581">
        <f t="shared" si="132"/>
        <v>0</v>
      </c>
      <c r="CE272" s="581">
        <f t="shared" si="133"/>
        <v>0</v>
      </c>
      <c r="CF272" s="581">
        <f t="shared" si="134"/>
        <v>0</v>
      </c>
      <c r="CG272" s="581">
        <f t="shared" si="135"/>
        <v>0</v>
      </c>
      <c r="CH272" s="608" t="str">
        <f t="shared" si="136"/>
        <v>#DIV/0!</v>
      </c>
      <c r="CI272" s="603" t="str">
        <f t="shared" si="137"/>
        <v>#DIV/0!</v>
      </c>
      <c r="CJ272" s="347"/>
      <c r="CK272" s="347">
        <f t="shared" si="138"/>
        <v>0</v>
      </c>
      <c r="CL272" s="539">
        <f t="shared" si="139"/>
        <v>0</v>
      </c>
      <c r="CM272" s="347">
        <f t="shared" si="140"/>
        <v>0</v>
      </c>
      <c r="CN272" s="347">
        <f t="shared" si="141"/>
        <v>0</v>
      </c>
      <c r="CO272" s="347" t="str">
        <f t="shared" si="142"/>
        <v>1899-12-30</v>
      </c>
      <c r="CP272" s="347"/>
    </row>
    <row r="273">
      <c r="A273" s="574">
        <f t="shared" si="147"/>
        <v>200196</v>
      </c>
      <c r="B273" s="574" t="str">
        <f t="shared" si="1"/>
        <v>Batch 200196</v>
      </c>
      <c r="C273" s="347"/>
      <c r="D273" s="574"/>
      <c r="E273" s="347"/>
      <c r="F273" s="596"/>
      <c r="G273" s="596"/>
      <c r="H273" s="347"/>
      <c r="I273" s="347"/>
      <c r="J273" s="596"/>
      <c r="K273" s="609"/>
      <c r="L273" s="1"/>
      <c r="M273" s="347"/>
      <c r="N273" s="347"/>
      <c r="O273" s="579">
        <f t="shared" si="2"/>
        <v>0</v>
      </c>
      <c r="P273" s="579">
        <f t="shared" si="126"/>
        <v>0</v>
      </c>
      <c r="Q273" s="574"/>
      <c r="R273" s="347"/>
      <c r="S273" s="597"/>
      <c r="T273" s="347"/>
      <c r="U273" s="579">
        <f t="shared" si="48"/>
        <v>0</v>
      </c>
      <c r="V273" s="579">
        <f t="shared" si="49"/>
        <v>0</v>
      </c>
      <c r="W273" s="574"/>
      <c r="X273" s="347"/>
      <c r="Y273" s="347"/>
      <c r="Z273" s="347"/>
      <c r="AA273" s="579">
        <f t="shared" si="6"/>
        <v>0</v>
      </c>
      <c r="AB273" s="581">
        <f t="shared" si="105"/>
        <v>0</v>
      </c>
      <c r="AC273" s="347"/>
      <c r="AD273" s="347"/>
      <c r="AE273" s="347"/>
      <c r="AF273" s="347"/>
      <c r="AG273" s="579">
        <f t="shared" si="54"/>
        <v>0</v>
      </c>
      <c r="AH273" s="579">
        <f t="shared" si="175"/>
        <v>0</v>
      </c>
      <c r="AI273" s="582"/>
      <c r="AJ273" s="582"/>
      <c r="AK273" s="582"/>
      <c r="AL273" s="582"/>
      <c r="AM273" s="579"/>
      <c r="AN273" s="579"/>
      <c r="AO273" s="347"/>
      <c r="AP273" s="581">
        <f t="shared" si="164"/>
        <v>0</v>
      </c>
      <c r="AQ273" s="596"/>
      <c r="AR273" s="596"/>
      <c r="AS273" s="348"/>
      <c r="AT273" s="348"/>
      <c r="AU273" s="348"/>
      <c r="AV273" s="348"/>
      <c r="AW273" s="348"/>
      <c r="AX273" s="584">
        <f t="shared" si="165"/>
        <v>0</v>
      </c>
      <c r="AY273" s="581">
        <f t="shared" si="12"/>
        <v>0</v>
      </c>
      <c r="AZ273" s="581">
        <f t="shared" si="159"/>
        <v>0</v>
      </c>
      <c r="BA273" s="596"/>
      <c r="BB273" s="596"/>
      <c r="BC273" s="348"/>
      <c r="BD273" s="581">
        <f t="shared" si="192"/>
        <v>0</v>
      </c>
      <c r="BE273" s="581">
        <f t="shared" si="37"/>
        <v>0</v>
      </c>
      <c r="BF273" s="347"/>
      <c r="BG273" s="347"/>
      <c r="BH273" s="347"/>
      <c r="BI273" s="347"/>
      <c r="BJ273" s="586">
        <f t="shared" si="187"/>
        <v>0</v>
      </c>
      <c r="BK273" s="581">
        <f t="shared" si="15"/>
        <v>0</v>
      </c>
      <c r="BL273" s="347"/>
      <c r="BM273" s="347"/>
      <c r="BN273" s="347"/>
      <c r="BO273" s="586">
        <f t="shared" si="189"/>
        <v>0</v>
      </c>
      <c r="BP273" s="584">
        <f t="shared" si="17"/>
        <v>0</v>
      </c>
      <c r="BQ273" s="347"/>
      <c r="BR273" s="581">
        <f t="shared" si="153"/>
        <v>0</v>
      </c>
      <c r="BS273" s="588">
        <f t="shared" si="180"/>
        <v>0</v>
      </c>
      <c r="BT273" s="581">
        <f t="shared" si="20"/>
        <v>0</v>
      </c>
      <c r="BU273" s="589"/>
      <c r="BV273" s="581">
        <f t="shared" si="44"/>
        <v>0</v>
      </c>
      <c r="BW273" s="590"/>
      <c r="BX273" s="347"/>
      <c r="BY273" s="347"/>
      <c r="BZ273" s="347"/>
      <c r="CA273" s="586">
        <f t="shared" si="129"/>
        <v>0</v>
      </c>
      <c r="CB273" s="581">
        <f t="shared" si="160"/>
        <v>0</v>
      </c>
      <c r="CC273" s="581">
        <f t="shared" si="131"/>
        <v>0</v>
      </c>
      <c r="CD273" s="581">
        <f t="shared" si="132"/>
        <v>0</v>
      </c>
      <c r="CE273" s="581">
        <f t="shared" si="133"/>
        <v>0</v>
      </c>
      <c r="CF273" s="581">
        <f t="shared" si="134"/>
        <v>0</v>
      </c>
      <c r="CG273" s="581">
        <f t="shared" si="135"/>
        <v>0</v>
      </c>
      <c r="CH273" s="608" t="str">
        <f t="shared" si="136"/>
        <v>#DIV/0!</v>
      </c>
      <c r="CI273" s="603" t="str">
        <f t="shared" si="137"/>
        <v>#DIV/0!</v>
      </c>
      <c r="CJ273" s="347"/>
      <c r="CK273" s="347">
        <f t="shared" si="138"/>
        <v>0</v>
      </c>
      <c r="CL273" s="539">
        <f t="shared" si="139"/>
        <v>0</v>
      </c>
      <c r="CM273" s="347">
        <f t="shared" si="140"/>
        <v>0</v>
      </c>
      <c r="CN273" s="347">
        <f t="shared" si="141"/>
        <v>0</v>
      </c>
      <c r="CO273" s="347" t="str">
        <f t="shared" si="142"/>
        <v>1899-12-30</v>
      </c>
      <c r="CP273" s="347"/>
    </row>
    <row r="274">
      <c r="A274" s="574">
        <f t="shared" si="147"/>
        <v>300129</v>
      </c>
      <c r="B274" s="574" t="str">
        <f t="shared" si="1"/>
        <v>Batch 300129</v>
      </c>
      <c r="C274" s="347"/>
      <c r="D274" s="574"/>
      <c r="E274" s="347"/>
      <c r="F274" s="596"/>
      <c r="G274" s="596"/>
      <c r="H274" s="347"/>
      <c r="I274" s="347"/>
      <c r="J274" s="596"/>
      <c r="K274" s="609"/>
      <c r="L274" s="1"/>
      <c r="M274" s="347"/>
      <c r="N274" s="347"/>
      <c r="O274" s="579">
        <f t="shared" si="2"/>
        <v>0</v>
      </c>
      <c r="P274" s="579">
        <f t="shared" si="126"/>
        <v>0</v>
      </c>
      <c r="Q274" s="574"/>
      <c r="R274" s="347"/>
      <c r="S274" s="597"/>
      <c r="T274" s="347"/>
      <c r="U274" s="579">
        <f t="shared" si="48"/>
        <v>0</v>
      </c>
      <c r="V274" s="579">
        <f t="shared" si="49"/>
        <v>0</v>
      </c>
      <c r="W274" s="574"/>
      <c r="X274" s="347"/>
      <c r="Y274" s="347"/>
      <c r="Z274" s="347"/>
      <c r="AA274" s="579">
        <f t="shared" si="6"/>
        <v>0</v>
      </c>
      <c r="AB274" s="581">
        <f t="shared" si="105"/>
        <v>0</v>
      </c>
      <c r="AC274" s="347"/>
      <c r="AD274" s="347"/>
      <c r="AE274" s="347"/>
      <c r="AF274" s="347"/>
      <c r="AG274" s="579">
        <f t="shared" si="54"/>
        <v>0</v>
      </c>
      <c r="AH274" s="579">
        <f t="shared" si="175"/>
        <v>0</v>
      </c>
      <c r="AI274" s="582"/>
      <c r="AJ274" s="582"/>
      <c r="AK274" s="582"/>
      <c r="AL274" s="582"/>
      <c r="AM274" s="579"/>
      <c r="AN274" s="579"/>
      <c r="AO274" s="347"/>
      <c r="AP274" s="581">
        <f t="shared" si="164"/>
        <v>0</v>
      </c>
      <c r="AQ274" s="596"/>
      <c r="AR274" s="596"/>
      <c r="AS274" s="348"/>
      <c r="AT274" s="348"/>
      <c r="AU274" s="348"/>
      <c r="AV274" s="348"/>
      <c r="AW274" s="348"/>
      <c r="AX274" s="584">
        <f t="shared" si="165"/>
        <v>0</v>
      </c>
      <c r="AY274" s="581">
        <f t="shared" si="12"/>
        <v>0</v>
      </c>
      <c r="AZ274" s="581">
        <f t="shared" si="159"/>
        <v>0</v>
      </c>
      <c r="BA274" s="596"/>
      <c r="BB274" s="596"/>
      <c r="BC274" s="348"/>
      <c r="BD274" s="581">
        <f t="shared" si="192"/>
        <v>0</v>
      </c>
      <c r="BE274" s="581">
        <f t="shared" si="37"/>
        <v>0</v>
      </c>
      <c r="BF274" s="347"/>
      <c r="BG274" s="347"/>
      <c r="BH274" s="347"/>
      <c r="BI274" s="347"/>
      <c r="BJ274" s="586">
        <f t="shared" si="187"/>
        <v>0</v>
      </c>
      <c r="BK274" s="581">
        <f t="shared" si="15"/>
        <v>0</v>
      </c>
      <c r="BL274" s="347"/>
      <c r="BM274" s="347"/>
      <c r="BN274" s="347"/>
      <c r="BO274" s="586">
        <f t="shared" si="189"/>
        <v>0</v>
      </c>
      <c r="BP274" s="584">
        <f t="shared" si="17"/>
        <v>0</v>
      </c>
      <c r="BQ274" s="347"/>
      <c r="BR274" s="581">
        <f t="shared" si="153"/>
        <v>0</v>
      </c>
      <c r="BS274" s="588">
        <f t="shared" si="180"/>
        <v>0</v>
      </c>
      <c r="BT274" s="581">
        <f t="shared" si="20"/>
        <v>0</v>
      </c>
      <c r="BU274" s="589"/>
      <c r="BV274" s="581">
        <f t="shared" si="44"/>
        <v>0</v>
      </c>
      <c r="BW274" s="590"/>
      <c r="BX274" s="347"/>
      <c r="BY274" s="347"/>
      <c r="BZ274" s="347"/>
      <c r="CA274" s="586">
        <f t="shared" si="129"/>
        <v>0</v>
      </c>
      <c r="CB274" s="581">
        <f t="shared" si="160"/>
        <v>0</v>
      </c>
      <c r="CC274" s="581">
        <f t="shared" si="131"/>
        <v>0</v>
      </c>
      <c r="CD274" s="581">
        <f t="shared" si="132"/>
        <v>0</v>
      </c>
      <c r="CE274" s="581">
        <f t="shared" si="133"/>
        <v>0</v>
      </c>
      <c r="CF274" s="581">
        <f t="shared" si="134"/>
        <v>0</v>
      </c>
      <c r="CG274" s="581">
        <f t="shared" si="135"/>
        <v>0</v>
      </c>
      <c r="CH274" s="608" t="str">
        <f t="shared" si="136"/>
        <v>#DIV/0!</v>
      </c>
      <c r="CI274" s="603" t="str">
        <f t="shared" si="137"/>
        <v>#DIV/0!</v>
      </c>
      <c r="CJ274" s="347"/>
      <c r="CK274" s="347">
        <f t="shared" si="138"/>
        <v>0</v>
      </c>
      <c r="CL274" s="539">
        <f t="shared" si="139"/>
        <v>0</v>
      </c>
      <c r="CM274" s="347">
        <f t="shared" si="140"/>
        <v>0</v>
      </c>
      <c r="CN274" s="347">
        <f t="shared" si="141"/>
        <v>0</v>
      </c>
      <c r="CO274" s="347" t="str">
        <f t="shared" si="142"/>
        <v>1899-12-30</v>
      </c>
      <c r="CP274" s="347"/>
    </row>
    <row r="275">
      <c r="A275" s="574">
        <f t="shared" si="147"/>
        <v>200197</v>
      </c>
      <c r="B275" s="574" t="str">
        <f t="shared" si="1"/>
        <v>Batch 200197</v>
      </c>
      <c r="C275" s="347"/>
      <c r="D275" s="574"/>
      <c r="E275" s="347"/>
      <c r="F275" s="596"/>
      <c r="G275" s="596"/>
      <c r="H275" s="347"/>
      <c r="I275" s="347"/>
      <c r="J275" s="596"/>
      <c r="K275" s="609"/>
      <c r="L275" s="1"/>
      <c r="M275" s="345"/>
      <c r="N275" s="345"/>
      <c r="O275" s="579">
        <f t="shared" si="2"/>
        <v>0</v>
      </c>
      <c r="P275" s="579">
        <f t="shared" si="126"/>
        <v>0</v>
      </c>
      <c r="Q275" s="574"/>
      <c r="R275" s="347"/>
      <c r="S275" s="597"/>
      <c r="T275" s="347"/>
      <c r="U275" s="579">
        <f t="shared" si="48"/>
        <v>0</v>
      </c>
      <c r="V275" s="579">
        <f t="shared" si="49"/>
        <v>0</v>
      </c>
      <c r="W275" s="574"/>
      <c r="X275" s="347"/>
      <c r="Y275" s="347"/>
      <c r="Z275" s="347"/>
      <c r="AA275" s="579">
        <f t="shared" si="6"/>
        <v>0</v>
      </c>
      <c r="AB275" s="581">
        <f t="shared" si="105"/>
        <v>0</v>
      </c>
      <c r="AC275" s="347"/>
      <c r="AD275" s="347"/>
      <c r="AE275" s="347"/>
      <c r="AF275" s="347"/>
      <c r="AG275" s="579">
        <f t="shared" si="54"/>
        <v>0</v>
      </c>
      <c r="AH275" s="579">
        <f t="shared" si="175"/>
        <v>0</v>
      </c>
      <c r="AI275" s="582"/>
      <c r="AJ275" s="582"/>
      <c r="AK275" s="582"/>
      <c r="AL275" s="582"/>
      <c r="AM275" s="579"/>
      <c r="AN275" s="579"/>
      <c r="AO275" s="347"/>
      <c r="AP275" s="581">
        <f t="shared" si="164"/>
        <v>0</v>
      </c>
      <c r="AQ275" s="596"/>
      <c r="AR275" s="596"/>
      <c r="AS275" s="348"/>
      <c r="AT275" s="348"/>
      <c r="AU275" s="348"/>
      <c r="AV275" s="348"/>
      <c r="AW275" s="348"/>
      <c r="AX275" s="584">
        <f t="shared" si="165"/>
        <v>0</v>
      </c>
      <c r="AY275" s="581">
        <f t="shared" si="12"/>
        <v>0</v>
      </c>
      <c r="AZ275" s="581">
        <f t="shared" si="159"/>
        <v>0</v>
      </c>
      <c r="BA275" s="596"/>
      <c r="BB275" s="596"/>
      <c r="BC275" s="348"/>
      <c r="BD275" s="581">
        <f t="shared" si="192"/>
        <v>0</v>
      </c>
      <c r="BE275" s="581">
        <f t="shared" si="37"/>
        <v>0</v>
      </c>
      <c r="BF275" s="347"/>
      <c r="BG275" s="347"/>
      <c r="BH275" s="347"/>
      <c r="BI275" s="347"/>
      <c r="BJ275" s="586">
        <f t="shared" si="187"/>
        <v>0</v>
      </c>
      <c r="BK275" s="581">
        <f t="shared" si="15"/>
        <v>0</v>
      </c>
      <c r="BL275" s="347"/>
      <c r="BM275" s="347"/>
      <c r="BN275" s="347"/>
      <c r="BO275" s="586">
        <f t="shared" si="189"/>
        <v>0</v>
      </c>
      <c r="BP275" s="584">
        <f t="shared" si="17"/>
        <v>0</v>
      </c>
      <c r="BQ275" s="347"/>
      <c r="BR275" s="581">
        <f t="shared" si="153"/>
        <v>0</v>
      </c>
      <c r="BS275" s="588">
        <f t="shared" si="180"/>
        <v>0</v>
      </c>
      <c r="BT275" s="581">
        <f t="shared" si="20"/>
        <v>0</v>
      </c>
      <c r="BU275" s="589"/>
      <c r="BV275" s="581">
        <f t="shared" si="44"/>
        <v>0</v>
      </c>
      <c r="BW275" s="590"/>
      <c r="BX275" s="347"/>
      <c r="BY275" s="347"/>
      <c r="BZ275" s="347"/>
      <c r="CA275" s="586">
        <f t="shared" si="129"/>
        <v>0</v>
      </c>
      <c r="CB275" s="581">
        <f t="shared" si="160"/>
        <v>0</v>
      </c>
      <c r="CC275" s="581">
        <f t="shared" si="131"/>
        <v>0</v>
      </c>
      <c r="CD275" s="581">
        <f t="shared" si="132"/>
        <v>0</v>
      </c>
      <c r="CE275" s="581">
        <f t="shared" si="133"/>
        <v>0</v>
      </c>
      <c r="CF275" s="581">
        <f t="shared" si="134"/>
        <v>0</v>
      </c>
      <c r="CG275" s="581">
        <f t="shared" si="135"/>
        <v>0</v>
      </c>
      <c r="CH275" s="608" t="str">
        <f t="shared" si="136"/>
        <v>#DIV/0!</v>
      </c>
      <c r="CI275" s="603" t="str">
        <f t="shared" si="137"/>
        <v>#DIV/0!</v>
      </c>
      <c r="CJ275" s="347"/>
      <c r="CK275" s="347">
        <f t="shared" si="138"/>
        <v>0</v>
      </c>
      <c r="CL275" s="539">
        <f t="shared" si="139"/>
        <v>0</v>
      </c>
      <c r="CM275" s="347">
        <f t="shared" si="140"/>
        <v>0</v>
      </c>
      <c r="CN275" s="347">
        <f t="shared" si="141"/>
        <v>0</v>
      </c>
      <c r="CO275" s="347" t="str">
        <f t="shared" si="142"/>
        <v>1899-12-30</v>
      </c>
      <c r="CP275" s="347"/>
    </row>
    <row r="276">
      <c r="A276" s="574">
        <f t="shared" si="147"/>
        <v>300130</v>
      </c>
      <c r="B276" s="574" t="str">
        <f t="shared" si="1"/>
        <v>Batch 300130</v>
      </c>
      <c r="C276" s="347"/>
      <c r="D276" s="574"/>
      <c r="E276" s="347"/>
      <c r="F276" s="596"/>
      <c r="G276" s="596"/>
      <c r="H276" s="347"/>
      <c r="I276" s="347"/>
      <c r="J276" s="596"/>
      <c r="K276" s="609"/>
      <c r="L276" s="1"/>
      <c r="M276" s="345"/>
      <c r="N276" s="345"/>
      <c r="O276" s="579">
        <f t="shared" si="2"/>
        <v>0</v>
      </c>
      <c r="P276" s="579">
        <f t="shared" si="126"/>
        <v>0</v>
      </c>
      <c r="Q276" s="574"/>
      <c r="R276" s="347"/>
      <c r="S276" s="597"/>
      <c r="T276" s="347"/>
      <c r="U276" s="579">
        <f t="shared" si="48"/>
        <v>0</v>
      </c>
      <c r="V276" s="579">
        <f t="shared" si="49"/>
        <v>0</v>
      </c>
      <c r="W276" s="574"/>
      <c r="X276" s="347"/>
      <c r="Y276" s="347"/>
      <c r="Z276" s="347"/>
      <c r="AA276" s="579">
        <f t="shared" si="6"/>
        <v>0</v>
      </c>
      <c r="AB276" s="581">
        <f t="shared" si="105"/>
        <v>0</v>
      </c>
      <c r="AC276" s="347"/>
      <c r="AD276" s="347"/>
      <c r="AE276" s="347"/>
      <c r="AF276" s="347"/>
      <c r="AG276" s="579">
        <f t="shared" si="54"/>
        <v>0</v>
      </c>
      <c r="AH276" s="579">
        <f t="shared" si="175"/>
        <v>0</v>
      </c>
      <c r="AI276" s="582"/>
      <c r="AJ276" s="582"/>
      <c r="AK276" s="582"/>
      <c r="AL276" s="582"/>
      <c r="AM276" s="579"/>
      <c r="AN276" s="579"/>
      <c r="AO276" s="347"/>
      <c r="AP276" s="581">
        <f t="shared" si="164"/>
        <v>0</v>
      </c>
      <c r="AQ276" s="596"/>
      <c r="AR276" s="596"/>
      <c r="AS276" s="348"/>
      <c r="AT276" s="348"/>
      <c r="AU276" s="348"/>
      <c r="AV276" s="348"/>
      <c r="AW276" s="348"/>
      <c r="AX276" s="584">
        <f t="shared" si="165"/>
        <v>0</v>
      </c>
      <c r="AY276" s="581">
        <f t="shared" si="12"/>
        <v>0</v>
      </c>
      <c r="AZ276" s="581">
        <f t="shared" si="159"/>
        <v>0</v>
      </c>
      <c r="BA276" s="596"/>
      <c r="BB276" s="596"/>
      <c r="BC276" s="348"/>
      <c r="BD276" s="581">
        <f t="shared" si="192"/>
        <v>0</v>
      </c>
      <c r="BE276" s="581">
        <f t="shared" si="37"/>
        <v>0</v>
      </c>
      <c r="BF276" s="347"/>
      <c r="BG276" s="347"/>
      <c r="BH276" s="347"/>
      <c r="BI276" s="347"/>
      <c r="BJ276" s="586">
        <f t="shared" si="187"/>
        <v>0</v>
      </c>
      <c r="BK276" s="581">
        <f t="shared" si="15"/>
        <v>0</v>
      </c>
      <c r="BL276" s="347"/>
      <c r="BM276" s="347"/>
      <c r="BN276" s="347"/>
      <c r="BO276" s="586">
        <f t="shared" si="189"/>
        <v>0</v>
      </c>
      <c r="BP276" s="584">
        <f t="shared" si="17"/>
        <v>0</v>
      </c>
      <c r="BQ276" s="347"/>
      <c r="BR276" s="581">
        <f t="shared" si="153"/>
        <v>0</v>
      </c>
      <c r="BS276" s="588">
        <f t="shared" si="180"/>
        <v>0</v>
      </c>
      <c r="BT276" s="581">
        <f t="shared" si="20"/>
        <v>0</v>
      </c>
      <c r="BU276" s="589"/>
      <c r="BV276" s="581">
        <f t="shared" si="44"/>
        <v>0</v>
      </c>
      <c r="BW276" s="590"/>
      <c r="BX276" s="347"/>
      <c r="BY276" s="347"/>
      <c r="BZ276" s="347"/>
      <c r="CA276" s="586">
        <f t="shared" si="129"/>
        <v>0</v>
      </c>
      <c r="CB276" s="581">
        <f t="shared" si="160"/>
        <v>0</v>
      </c>
      <c r="CC276" s="581">
        <f t="shared" si="131"/>
        <v>0</v>
      </c>
      <c r="CD276" s="581">
        <f t="shared" si="132"/>
        <v>0</v>
      </c>
      <c r="CE276" s="581">
        <f t="shared" si="133"/>
        <v>0</v>
      </c>
      <c r="CF276" s="581">
        <f t="shared" si="134"/>
        <v>0</v>
      </c>
      <c r="CG276" s="581">
        <f t="shared" si="135"/>
        <v>0</v>
      </c>
      <c r="CH276" s="608" t="str">
        <f t="shared" si="136"/>
        <v>#DIV/0!</v>
      </c>
      <c r="CI276" s="603" t="str">
        <f t="shared" si="137"/>
        <v>#DIV/0!</v>
      </c>
      <c r="CJ276" s="347"/>
      <c r="CK276" s="347">
        <f t="shared" si="138"/>
        <v>0</v>
      </c>
      <c r="CL276" s="539">
        <f t="shared" si="139"/>
        <v>0</v>
      </c>
      <c r="CM276" s="347">
        <f t="shared" si="140"/>
        <v>0</v>
      </c>
      <c r="CN276" s="347">
        <f t="shared" si="141"/>
        <v>0</v>
      </c>
      <c r="CO276" s="347" t="str">
        <f t="shared" si="142"/>
        <v>1899-12-30</v>
      </c>
      <c r="CP276" s="347"/>
    </row>
    <row r="277">
      <c r="A277" s="574">
        <f t="shared" si="147"/>
        <v>200198</v>
      </c>
      <c r="B277" s="574" t="str">
        <f t="shared" si="1"/>
        <v>Batch 200198</v>
      </c>
      <c r="C277" s="347"/>
      <c r="D277" s="574"/>
      <c r="E277" s="347"/>
      <c r="F277" s="596"/>
      <c r="G277" s="596"/>
      <c r="H277" s="347"/>
      <c r="I277" s="347"/>
      <c r="J277" s="596"/>
      <c r="K277" s="609"/>
      <c r="L277" s="1"/>
      <c r="M277" s="347"/>
      <c r="N277" s="347"/>
      <c r="O277" s="579">
        <f t="shared" si="2"/>
        <v>0</v>
      </c>
      <c r="P277" s="579">
        <f t="shared" si="126"/>
        <v>0</v>
      </c>
      <c r="Q277" s="574"/>
      <c r="R277" s="347"/>
      <c r="S277" s="597"/>
      <c r="T277" s="347"/>
      <c r="U277" s="579">
        <f t="shared" si="48"/>
        <v>0</v>
      </c>
      <c r="V277" s="579">
        <f t="shared" si="49"/>
        <v>0</v>
      </c>
      <c r="W277" s="574"/>
      <c r="X277" s="347"/>
      <c r="Y277" s="347"/>
      <c r="Z277" s="347"/>
      <c r="AA277" s="579">
        <f t="shared" si="6"/>
        <v>0</v>
      </c>
      <c r="AB277" s="581">
        <f t="shared" si="105"/>
        <v>0</v>
      </c>
      <c r="AC277" s="347"/>
      <c r="AD277" s="347"/>
      <c r="AE277" s="347"/>
      <c r="AF277" s="347"/>
      <c r="AG277" s="579">
        <f t="shared" si="54"/>
        <v>0</v>
      </c>
      <c r="AH277" s="579">
        <f t="shared" si="175"/>
        <v>0</v>
      </c>
      <c r="AI277" s="582"/>
      <c r="AJ277" s="582"/>
      <c r="AK277" s="582"/>
      <c r="AL277" s="582"/>
      <c r="AM277" s="579"/>
      <c r="AN277" s="579"/>
      <c r="AO277" s="347"/>
      <c r="AP277" s="581">
        <f t="shared" si="164"/>
        <v>0</v>
      </c>
      <c r="AQ277" s="596"/>
      <c r="AR277" s="596"/>
      <c r="AS277" s="348"/>
      <c r="AT277" s="348"/>
      <c r="AU277" s="348"/>
      <c r="AV277" s="348"/>
      <c r="AW277" s="348"/>
      <c r="AX277" s="584">
        <f t="shared" si="165"/>
        <v>0</v>
      </c>
      <c r="AY277" s="581">
        <f t="shared" si="12"/>
        <v>0</v>
      </c>
      <c r="AZ277" s="581">
        <f t="shared" si="159"/>
        <v>0</v>
      </c>
      <c r="BA277" s="596"/>
      <c r="BB277" s="596"/>
      <c r="BC277" s="348"/>
      <c r="BD277" s="581">
        <f t="shared" si="192"/>
        <v>0</v>
      </c>
      <c r="BE277" s="581">
        <f t="shared" si="37"/>
        <v>0</v>
      </c>
      <c r="BF277" s="347"/>
      <c r="BG277" s="347"/>
      <c r="BH277" s="347"/>
      <c r="BI277" s="347"/>
      <c r="BJ277" s="586">
        <f t="shared" si="187"/>
        <v>0</v>
      </c>
      <c r="BK277" s="581">
        <f t="shared" si="15"/>
        <v>0</v>
      </c>
      <c r="BL277" s="347"/>
      <c r="BM277" s="347"/>
      <c r="BN277" s="347"/>
      <c r="BO277" s="586">
        <f t="shared" si="189"/>
        <v>0</v>
      </c>
      <c r="BP277" s="584">
        <f t="shared" si="17"/>
        <v>0</v>
      </c>
      <c r="BQ277" s="347"/>
      <c r="BR277" s="581">
        <f t="shared" si="153"/>
        <v>0</v>
      </c>
      <c r="BS277" s="588">
        <f t="shared" si="180"/>
        <v>0</v>
      </c>
      <c r="BT277" s="581">
        <f t="shared" si="20"/>
        <v>0</v>
      </c>
      <c r="BU277" s="589"/>
      <c r="BV277" s="581">
        <f t="shared" si="44"/>
        <v>0</v>
      </c>
      <c r="BW277" s="590"/>
      <c r="BX277" s="347"/>
      <c r="BY277" s="347"/>
      <c r="BZ277" s="347"/>
      <c r="CA277" s="586">
        <f t="shared" si="129"/>
        <v>0</v>
      </c>
      <c r="CB277" s="581">
        <f t="shared" si="160"/>
        <v>0</v>
      </c>
      <c r="CC277" s="581">
        <f t="shared" si="131"/>
        <v>0</v>
      </c>
      <c r="CD277" s="581">
        <f t="shared" si="132"/>
        <v>0</v>
      </c>
      <c r="CE277" s="581">
        <f t="shared" si="133"/>
        <v>0</v>
      </c>
      <c r="CF277" s="581">
        <f t="shared" si="134"/>
        <v>0</v>
      </c>
      <c r="CG277" s="581">
        <f t="shared" si="135"/>
        <v>0</v>
      </c>
      <c r="CH277" s="608" t="str">
        <f t="shared" si="136"/>
        <v>#DIV/0!</v>
      </c>
      <c r="CI277" s="603" t="str">
        <f t="shared" si="137"/>
        <v>#DIV/0!</v>
      </c>
      <c r="CJ277" s="347"/>
      <c r="CK277" s="347">
        <f t="shared" si="138"/>
        <v>0</v>
      </c>
      <c r="CL277" s="539">
        <f t="shared" si="139"/>
        <v>0</v>
      </c>
      <c r="CM277" s="347">
        <f t="shared" si="140"/>
        <v>0</v>
      </c>
      <c r="CN277" s="347">
        <f t="shared" si="141"/>
        <v>0</v>
      </c>
      <c r="CO277" s="347" t="str">
        <f t="shared" si="142"/>
        <v>1899-12-30</v>
      </c>
      <c r="CP277" s="347"/>
    </row>
    <row r="278">
      <c r="A278" s="574">
        <f t="shared" si="147"/>
        <v>300131</v>
      </c>
      <c r="B278" s="574" t="str">
        <f t="shared" si="1"/>
        <v>Batch 300131</v>
      </c>
      <c r="C278" s="347"/>
      <c r="D278" s="574"/>
      <c r="E278" s="347"/>
      <c r="F278" s="596"/>
      <c r="G278" s="596"/>
      <c r="H278" s="347"/>
      <c r="I278" s="347"/>
      <c r="J278" s="596"/>
      <c r="K278" s="609"/>
      <c r="L278" s="1"/>
      <c r="M278" s="347"/>
      <c r="N278" s="347"/>
      <c r="O278" s="579">
        <f t="shared" si="2"/>
        <v>0</v>
      </c>
      <c r="P278" s="579">
        <f t="shared" si="126"/>
        <v>0</v>
      </c>
      <c r="Q278" s="574"/>
      <c r="R278" s="347"/>
      <c r="S278" s="597"/>
      <c r="T278" s="347"/>
      <c r="U278" s="579">
        <f t="shared" si="48"/>
        <v>0</v>
      </c>
      <c r="V278" s="579">
        <f t="shared" si="49"/>
        <v>0</v>
      </c>
      <c r="W278" s="574"/>
      <c r="X278" s="347"/>
      <c r="Y278" s="347"/>
      <c r="Z278" s="347"/>
      <c r="AA278" s="579">
        <f t="shared" si="6"/>
        <v>0</v>
      </c>
      <c r="AB278" s="581">
        <f t="shared" si="105"/>
        <v>0</v>
      </c>
      <c r="AC278" s="347"/>
      <c r="AD278" s="347"/>
      <c r="AE278" s="347"/>
      <c r="AF278" s="347"/>
      <c r="AG278" s="579">
        <f t="shared" si="54"/>
        <v>0</v>
      </c>
      <c r="AH278" s="579">
        <f t="shared" si="175"/>
        <v>0</v>
      </c>
      <c r="AI278" s="582"/>
      <c r="AJ278" s="582"/>
      <c r="AK278" s="582"/>
      <c r="AL278" s="582"/>
      <c r="AM278" s="579"/>
      <c r="AN278" s="579"/>
      <c r="AO278" s="347"/>
      <c r="AP278" s="581">
        <f t="shared" si="164"/>
        <v>0</v>
      </c>
      <c r="AQ278" s="596"/>
      <c r="AR278" s="596"/>
      <c r="AS278" s="348"/>
      <c r="AT278" s="348"/>
      <c r="AU278" s="348"/>
      <c r="AV278" s="348"/>
      <c r="AW278" s="348"/>
      <c r="AX278" s="584">
        <f t="shared" si="165"/>
        <v>0</v>
      </c>
      <c r="AY278" s="581">
        <f t="shared" si="12"/>
        <v>0</v>
      </c>
      <c r="AZ278" s="581">
        <f t="shared" si="159"/>
        <v>0</v>
      </c>
      <c r="BA278" s="596"/>
      <c r="BB278" s="596"/>
      <c r="BC278" s="348"/>
      <c r="BD278" s="581">
        <f t="shared" si="192"/>
        <v>0</v>
      </c>
      <c r="BE278" s="581">
        <f t="shared" si="37"/>
        <v>0</v>
      </c>
      <c r="BF278" s="347"/>
      <c r="BG278" s="347"/>
      <c r="BH278" s="347"/>
      <c r="BI278" s="347"/>
      <c r="BJ278" s="586">
        <f t="shared" si="187"/>
        <v>0</v>
      </c>
      <c r="BK278" s="581">
        <f t="shared" si="15"/>
        <v>0</v>
      </c>
      <c r="BL278" s="347"/>
      <c r="BM278" s="347"/>
      <c r="BN278" s="347"/>
      <c r="BO278" s="586">
        <f t="shared" si="189"/>
        <v>0</v>
      </c>
      <c r="BP278" s="584">
        <f t="shared" si="17"/>
        <v>0</v>
      </c>
      <c r="BQ278" s="347"/>
      <c r="BR278" s="581">
        <f t="shared" si="153"/>
        <v>0</v>
      </c>
      <c r="BS278" s="588">
        <f t="shared" si="180"/>
        <v>0</v>
      </c>
      <c r="BT278" s="581">
        <f t="shared" si="20"/>
        <v>0</v>
      </c>
      <c r="BU278" s="589"/>
      <c r="BV278" s="581">
        <f t="shared" si="44"/>
        <v>0</v>
      </c>
      <c r="BW278" s="590"/>
      <c r="BX278" s="347"/>
      <c r="BY278" s="347"/>
      <c r="BZ278" s="347"/>
      <c r="CA278" s="586">
        <f t="shared" si="129"/>
        <v>0</v>
      </c>
      <c r="CB278" s="581">
        <f t="shared" si="160"/>
        <v>0</v>
      </c>
      <c r="CC278" s="581">
        <f t="shared" si="131"/>
        <v>0</v>
      </c>
      <c r="CD278" s="581">
        <f t="shared" si="132"/>
        <v>0</v>
      </c>
      <c r="CE278" s="581">
        <f t="shared" si="133"/>
        <v>0</v>
      </c>
      <c r="CF278" s="581">
        <f t="shared" si="134"/>
        <v>0</v>
      </c>
      <c r="CG278" s="581">
        <f t="shared" si="135"/>
        <v>0</v>
      </c>
      <c r="CH278" s="608" t="str">
        <f t="shared" si="136"/>
        <v>#DIV/0!</v>
      </c>
      <c r="CI278" s="603" t="str">
        <f t="shared" si="137"/>
        <v>#DIV/0!</v>
      </c>
      <c r="CJ278" s="347"/>
      <c r="CK278" s="347">
        <f t="shared" si="138"/>
        <v>0</v>
      </c>
      <c r="CL278" s="539">
        <f t="shared" si="139"/>
        <v>0</v>
      </c>
      <c r="CM278" s="347">
        <f t="shared" si="140"/>
        <v>0</v>
      </c>
      <c r="CN278" s="347">
        <f t="shared" si="141"/>
        <v>0</v>
      </c>
      <c r="CO278" s="347" t="str">
        <f t="shared" si="142"/>
        <v>1899-12-30</v>
      </c>
      <c r="CP278" s="347"/>
    </row>
    <row r="279">
      <c r="A279" s="574">
        <f t="shared" si="147"/>
        <v>200199</v>
      </c>
      <c r="B279" s="574" t="str">
        <f t="shared" si="1"/>
        <v>Batch 200199</v>
      </c>
      <c r="C279" s="347"/>
      <c r="D279" s="574"/>
      <c r="E279" s="347"/>
      <c r="F279" s="596"/>
      <c r="G279" s="596"/>
      <c r="H279" s="347"/>
      <c r="I279" s="347"/>
      <c r="J279" s="596"/>
      <c r="K279" s="609"/>
      <c r="L279" s="1"/>
      <c r="M279" s="347"/>
      <c r="N279" s="347"/>
      <c r="O279" s="579">
        <f t="shared" si="2"/>
        <v>0</v>
      </c>
      <c r="P279" s="579">
        <f t="shared" si="126"/>
        <v>0</v>
      </c>
      <c r="Q279" s="574"/>
      <c r="R279" s="347"/>
      <c r="S279" s="597"/>
      <c r="T279" s="347"/>
      <c r="U279" s="579">
        <f t="shared" si="48"/>
        <v>0</v>
      </c>
      <c r="V279" s="579">
        <f t="shared" si="49"/>
        <v>0</v>
      </c>
      <c r="W279" s="574"/>
      <c r="X279" s="347"/>
      <c r="Y279" s="347"/>
      <c r="Z279" s="347"/>
      <c r="AA279" s="579">
        <f t="shared" si="6"/>
        <v>0</v>
      </c>
      <c r="AB279" s="581">
        <f t="shared" si="105"/>
        <v>0</v>
      </c>
      <c r="AC279" s="347"/>
      <c r="AD279" s="347"/>
      <c r="AE279" s="347"/>
      <c r="AF279" s="347"/>
      <c r="AG279" s="579">
        <f t="shared" si="54"/>
        <v>0</v>
      </c>
      <c r="AH279" s="579">
        <f t="shared" si="175"/>
        <v>0</v>
      </c>
      <c r="AI279" s="582"/>
      <c r="AJ279" s="582"/>
      <c r="AK279" s="582"/>
      <c r="AL279" s="582"/>
      <c r="AM279" s="579"/>
      <c r="AN279" s="579"/>
      <c r="AO279" s="347"/>
      <c r="AP279" s="581">
        <f t="shared" si="164"/>
        <v>0</v>
      </c>
      <c r="AQ279" s="596"/>
      <c r="AR279" s="596"/>
      <c r="AS279" s="348"/>
      <c r="AT279" s="348"/>
      <c r="AU279" s="348"/>
      <c r="AV279" s="348"/>
      <c r="AW279" s="348"/>
      <c r="AX279" s="584">
        <f t="shared" si="165"/>
        <v>0</v>
      </c>
      <c r="AY279" s="581">
        <f t="shared" si="12"/>
        <v>0</v>
      </c>
      <c r="AZ279" s="581">
        <f t="shared" si="159"/>
        <v>0</v>
      </c>
      <c r="BA279" s="596"/>
      <c r="BB279" s="596"/>
      <c r="BC279" s="348"/>
      <c r="BD279" s="581">
        <f t="shared" si="192"/>
        <v>0</v>
      </c>
      <c r="BE279" s="581">
        <f t="shared" si="37"/>
        <v>0</v>
      </c>
      <c r="BF279" s="347"/>
      <c r="BG279" s="347"/>
      <c r="BH279" s="347"/>
      <c r="BI279" s="347"/>
      <c r="BJ279" s="586">
        <f t="shared" si="187"/>
        <v>0</v>
      </c>
      <c r="BK279" s="581">
        <f t="shared" si="15"/>
        <v>0</v>
      </c>
      <c r="BL279" s="347"/>
      <c r="BM279" s="347"/>
      <c r="BN279" s="347"/>
      <c r="BO279" s="586">
        <f t="shared" si="189"/>
        <v>0</v>
      </c>
      <c r="BP279" s="584">
        <f t="shared" si="17"/>
        <v>0</v>
      </c>
      <c r="BQ279" s="347"/>
      <c r="BR279" s="581">
        <f t="shared" si="153"/>
        <v>0</v>
      </c>
      <c r="BS279" s="588">
        <f t="shared" si="180"/>
        <v>0</v>
      </c>
      <c r="BT279" s="581">
        <f t="shared" si="20"/>
        <v>0</v>
      </c>
      <c r="BU279" s="589"/>
      <c r="BV279" s="581">
        <f t="shared" si="44"/>
        <v>0</v>
      </c>
      <c r="BW279" s="590"/>
      <c r="BX279" s="347"/>
      <c r="BY279" s="347"/>
      <c r="BZ279" s="347"/>
      <c r="CA279" s="586">
        <f t="shared" si="129"/>
        <v>0</v>
      </c>
      <c r="CB279" s="581">
        <f t="shared" si="160"/>
        <v>0</v>
      </c>
      <c r="CC279" s="581">
        <f t="shared" si="131"/>
        <v>0</v>
      </c>
      <c r="CD279" s="581">
        <f t="shared" si="132"/>
        <v>0</v>
      </c>
      <c r="CE279" s="581">
        <f t="shared" si="133"/>
        <v>0</v>
      </c>
      <c r="CF279" s="581">
        <f t="shared" si="134"/>
        <v>0</v>
      </c>
      <c r="CG279" s="581">
        <f t="shared" si="135"/>
        <v>0</v>
      </c>
      <c r="CH279" s="608" t="str">
        <f t="shared" si="136"/>
        <v>#DIV/0!</v>
      </c>
      <c r="CI279" s="603" t="str">
        <f t="shared" si="137"/>
        <v>#DIV/0!</v>
      </c>
      <c r="CJ279" s="347"/>
      <c r="CK279" s="347">
        <f t="shared" si="138"/>
        <v>0</v>
      </c>
      <c r="CL279" s="539">
        <f t="shared" si="139"/>
        <v>0</v>
      </c>
      <c r="CM279" s="347">
        <f t="shared" si="140"/>
        <v>0</v>
      </c>
      <c r="CN279" s="347">
        <f t="shared" si="141"/>
        <v>0</v>
      </c>
      <c r="CO279" s="347" t="str">
        <f t="shared" si="142"/>
        <v>1899-12-30</v>
      </c>
      <c r="CP279" s="347"/>
    </row>
    <row r="280">
      <c r="A280" s="574">
        <f t="shared" si="147"/>
        <v>300132</v>
      </c>
      <c r="B280" s="574" t="str">
        <f t="shared" si="1"/>
        <v>Batch 300132</v>
      </c>
      <c r="C280" s="347"/>
      <c r="D280" s="574"/>
      <c r="E280" s="347"/>
      <c r="F280" s="596"/>
      <c r="G280" s="596"/>
      <c r="H280" s="347"/>
      <c r="I280" s="347"/>
      <c r="J280" s="596"/>
      <c r="K280" s="609"/>
      <c r="L280" s="1"/>
      <c r="M280" s="347"/>
      <c r="N280" s="347"/>
      <c r="O280" s="579">
        <f t="shared" si="2"/>
        <v>0</v>
      </c>
      <c r="P280" s="579">
        <f t="shared" si="126"/>
        <v>0</v>
      </c>
      <c r="Q280" s="574"/>
      <c r="R280" s="347"/>
      <c r="S280" s="597"/>
      <c r="T280" s="347"/>
      <c r="U280" s="579">
        <f t="shared" si="48"/>
        <v>0</v>
      </c>
      <c r="V280" s="579">
        <f t="shared" si="49"/>
        <v>0</v>
      </c>
      <c r="W280" s="574"/>
      <c r="X280" s="347"/>
      <c r="Y280" s="347"/>
      <c r="Z280" s="347"/>
      <c r="AA280" s="579">
        <f t="shared" si="6"/>
        <v>0</v>
      </c>
      <c r="AB280" s="581">
        <f t="shared" si="105"/>
        <v>0</v>
      </c>
      <c r="AC280" s="347"/>
      <c r="AD280" s="347"/>
      <c r="AE280" s="347"/>
      <c r="AF280" s="347"/>
      <c r="AG280" s="579">
        <f t="shared" si="54"/>
        <v>0</v>
      </c>
      <c r="AH280" s="579">
        <f t="shared" si="175"/>
        <v>0</v>
      </c>
      <c r="AI280" s="582"/>
      <c r="AJ280" s="582"/>
      <c r="AK280" s="582"/>
      <c r="AL280" s="582"/>
      <c r="AM280" s="579"/>
      <c r="AN280" s="579"/>
      <c r="AO280" s="347"/>
      <c r="AP280" s="581">
        <f t="shared" si="164"/>
        <v>0</v>
      </c>
      <c r="AQ280" s="596"/>
      <c r="AR280" s="596"/>
      <c r="AS280" s="348"/>
      <c r="AT280" s="348"/>
      <c r="AU280" s="348"/>
      <c r="AV280" s="348"/>
      <c r="AW280" s="348"/>
      <c r="AX280" s="584">
        <f t="shared" si="165"/>
        <v>0</v>
      </c>
      <c r="AY280" s="581">
        <f t="shared" si="12"/>
        <v>0</v>
      </c>
      <c r="AZ280" s="581">
        <f t="shared" si="159"/>
        <v>0</v>
      </c>
      <c r="BA280" s="596"/>
      <c r="BB280" s="596"/>
      <c r="BC280" s="348"/>
      <c r="BD280" s="581">
        <f t="shared" si="192"/>
        <v>0</v>
      </c>
      <c r="BE280" s="581">
        <f t="shared" si="37"/>
        <v>0</v>
      </c>
      <c r="BF280" s="347"/>
      <c r="BG280" s="347"/>
      <c r="BH280" s="347"/>
      <c r="BI280" s="347"/>
      <c r="BJ280" s="586">
        <f t="shared" si="187"/>
        <v>0</v>
      </c>
      <c r="BK280" s="581">
        <f t="shared" si="15"/>
        <v>0</v>
      </c>
      <c r="BL280" s="347"/>
      <c r="BM280" s="347"/>
      <c r="BN280" s="347"/>
      <c r="BO280" s="586">
        <f t="shared" si="189"/>
        <v>0</v>
      </c>
      <c r="BP280" s="584">
        <f t="shared" si="17"/>
        <v>0</v>
      </c>
      <c r="BQ280" s="347"/>
      <c r="BR280" s="581">
        <f t="shared" si="153"/>
        <v>0</v>
      </c>
      <c r="BS280" s="588">
        <f t="shared" si="180"/>
        <v>0</v>
      </c>
      <c r="BT280" s="581">
        <f t="shared" si="20"/>
        <v>0</v>
      </c>
      <c r="BU280" s="589"/>
      <c r="BV280" s="581">
        <f t="shared" si="44"/>
        <v>0</v>
      </c>
      <c r="BW280" s="590"/>
      <c r="BX280" s="347"/>
      <c r="BY280" s="347"/>
      <c r="BZ280" s="347"/>
      <c r="CA280" s="586">
        <f t="shared" si="129"/>
        <v>0</v>
      </c>
      <c r="CB280" s="581">
        <f t="shared" si="160"/>
        <v>0</v>
      </c>
      <c r="CC280" s="581">
        <f t="shared" si="131"/>
        <v>0</v>
      </c>
      <c r="CD280" s="581">
        <f t="shared" si="132"/>
        <v>0</v>
      </c>
      <c r="CE280" s="581">
        <f t="shared" si="133"/>
        <v>0</v>
      </c>
      <c r="CF280" s="581">
        <f t="shared" si="134"/>
        <v>0</v>
      </c>
      <c r="CG280" s="581">
        <f t="shared" si="135"/>
        <v>0</v>
      </c>
      <c r="CH280" s="608" t="str">
        <f t="shared" si="136"/>
        <v>#DIV/0!</v>
      </c>
      <c r="CI280" s="603" t="str">
        <f t="shared" si="137"/>
        <v>#DIV/0!</v>
      </c>
      <c r="CJ280" s="347"/>
      <c r="CK280" s="347">
        <f t="shared" si="138"/>
        <v>0</v>
      </c>
      <c r="CL280" s="539">
        <f t="shared" si="139"/>
        <v>0</v>
      </c>
      <c r="CM280" s="347">
        <f t="shared" si="140"/>
        <v>0</v>
      </c>
      <c r="CN280" s="347">
        <f t="shared" si="141"/>
        <v>0</v>
      </c>
      <c r="CO280" s="347" t="str">
        <f t="shared" si="142"/>
        <v>1899-12-30</v>
      </c>
      <c r="CP280" s="347"/>
    </row>
    <row r="281">
      <c r="A281" s="574">
        <f t="shared" si="147"/>
        <v>200200</v>
      </c>
      <c r="B281" s="574" t="str">
        <f t="shared" si="1"/>
        <v>Batch 200200</v>
      </c>
      <c r="C281" s="347"/>
      <c r="D281" s="574"/>
      <c r="E281" s="347"/>
      <c r="F281" s="596"/>
      <c r="G281" s="596"/>
      <c r="H281" s="347"/>
      <c r="I281" s="347"/>
      <c r="J281" s="596"/>
      <c r="K281" s="609"/>
      <c r="L281" s="1"/>
      <c r="M281" s="347"/>
      <c r="N281" s="347"/>
      <c r="O281" s="579">
        <f t="shared" si="2"/>
        <v>0</v>
      </c>
      <c r="P281" s="579">
        <f t="shared" si="126"/>
        <v>0</v>
      </c>
      <c r="Q281" s="574"/>
      <c r="R281" s="347"/>
      <c r="S281" s="597"/>
      <c r="T281" s="347"/>
      <c r="U281" s="579">
        <f t="shared" si="48"/>
        <v>0</v>
      </c>
      <c r="V281" s="579">
        <f t="shared" si="49"/>
        <v>0</v>
      </c>
      <c r="W281" s="574"/>
      <c r="X281" s="347"/>
      <c r="Y281" s="347"/>
      <c r="Z281" s="347"/>
      <c r="AA281" s="579">
        <f t="shared" si="6"/>
        <v>0</v>
      </c>
      <c r="AB281" s="581">
        <f t="shared" si="105"/>
        <v>0</v>
      </c>
      <c r="AC281" s="347"/>
      <c r="AD281" s="347"/>
      <c r="AE281" s="347"/>
      <c r="AF281" s="347"/>
      <c r="AG281" s="579">
        <f t="shared" si="54"/>
        <v>0</v>
      </c>
      <c r="AH281" s="579">
        <f t="shared" si="175"/>
        <v>0</v>
      </c>
      <c r="AI281" s="582"/>
      <c r="AJ281" s="582"/>
      <c r="AK281" s="582"/>
      <c r="AL281" s="582"/>
      <c r="AM281" s="579"/>
      <c r="AN281" s="579"/>
      <c r="AO281" s="347"/>
      <c r="AP281" s="581">
        <f t="shared" si="164"/>
        <v>0</v>
      </c>
      <c r="AQ281" s="596"/>
      <c r="AR281" s="596"/>
      <c r="AS281" s="348"/>
      <c r="AT281" s="348"/>
      <c r="AU281" s="348"/>
      <c r="AV281" s="348"/>
      <c r="AW281" s="348"/>
      <c r="AX281" s="584">
        <f t="shared" si="165"/>
        <v>0</v>
      </c>
      <c r="AY281" s="581">
        <f t="shared" si="12"/>
        <v>0</v>
      </c>
      <c r="AZ281" s="581">
        <f t="shared" si="159"/>
        <v>0</v>
      </c>
      <c r="BA281" s="596"/>
      <c r="BB281" s="596"/>
      <c r="BC281" s="348"/>
      <c r="BD281" s="581">
        <f t="shared" si="192"/>
        <v>0</v>
      </c>
      <c r="BE281" s="581">
        <f t="shared" si="37"/>
        <v>0</v>
      </c>
      <c r="BF281" s="347"/>
      <c r="BG281" s="347"/>
      <c r="BH281" s="347"/>
      <c r="BI281" s="347"/>
      <c r="BJ281" s="586">
        <f t="shared" si="187"/>
        <v>0</v>
      </c>
      <c r="BK281" s="581">
        <f t="shared" si="15"/>
        <v>0</v>
      </c>
      <c r="BL281" s="347"/>
      <c r="BM281" s="347"/>
      <c r="BN281" s="347"/>
      <c r="BO281" s="586">
        <f t="shared" si="189"/>
        <v>0</v>
      </c>
      <c r="BP281" s="584">
        <f t="shared" si="17"/>
        <v>0</v>
      </c>
      <c r="BQ281" s="347"/>
      <c r="BR281" s="581">
        <f t="shared" si="153"/>
        <v>0</v>
      </c>
      <c r="BS281" s="588">
        <f t="shared" si="180"/>
        <v>0</v>
      </c>
      <c r="BT281" s="581">
        <f t="shared" si="20"/>
        <v>0</v>
      </c>
      <c r="BU281" s="589"/>
      <c r="BV281" s="581">
        <f t="shared" si="44"/>
        <v>0</v>
      </c>
      <c r="BW281" s="590"/>
      <c r="BX281" s="347"/>
      <c r="BY281" s="347"/>
      <c r="BZ281" s="347"/>
      <c r="CA281" s="586">
        <f t="shared" si="129"/>
        <v>0</v>
      </c>
      <c r="CB281" s="581">
        <f t="shared" si="160"/>
        <v>0</v>
      </c>
      <c r="CC281" s="581">
        <f t="shared" si="131"/>
        <v>0</v>
      </c>
      <c r="CD281" s="581">
        <f t="shared" si="132"/>
        <v>0</v>
      </c>
      <c r="CE281" s="581">
        <f t="shared" si="133"/>
        <v>0</v>
      </c>
      <c r="CF281" s="581">
        <f t="shared" si="134"/>
        <v>0</v>
      </c>
      <c r="CG281" s="581">
        <f t="shared" si="135"/>
        <v>0</v>
      </c>
      <c r="CH281" s="608" t="str">
        <f t="shared" si="136"/>
        <v>#DIV/0!</v>
      </c>
      <c r="CI281" s="603" t="str">
        <f t="shared" si="137"/>
        <v>#DIV/0!</v>
      </c>
      <c r="CJ281" s="347"/>
      <c r="CK281" s="347">
        <f t="shared" si="138"/>
        <v>0</v>
      </c>
      <c r="CL281" s="539">
        <f t="shared" si="139"/>
        <v>0</v>
      </c>
      <c r="CM281" s="347">
        <f t="shared" si="140"/>
        <v>0</v>
      </c>
      <c r="CN281" s="347">
        <f t="shared" si="141"/>
        <v>0</v>
      </c>
      <c r="CO281" s="347" t="str">
        <f t="shared" si="142"/>
        <v>1899-12-30</v>
      </c>
      <c r="CP281" s="347"/>
    </row>
    <row r="282">
      <c r="A282" s="574">
        <f t="shared" si="147"/>
        <v>300133</v>
      </c>
      <c r="B282" s="574" t="str">
        <f t="shared" si="1"/>
        <v>Batch 300133</v>
      </c>
      <c r="C282" s="347"/>
      <c r="D282" s="574"/>
      <c r="E282" s="347"/>
      <c r="F282" s="596"/>
      <c r="G282" s="596"/>
      <c r="H282" s="347"/>
      <c r="I282" s="347"/>
      <c r="J282" s="596"/>
      <c r="K282" s="609"/>
      <c r="L282" s="1"/>
      <c r="M282" s="347"/>
      <c r="N282" s="347"/>
      <c r="O282" s="579">
        <f t="shared" si="2"/>
        <v>0</v>
      </c>
      <c r="P282" s="579">
        <f t="shared" si="126"/>
        <v>0</v>
      </c>
      <c r="Q282" s="574"/>
      <c r="R282" s="347"/>
      <c r="S282" s="597"/>
      <c r="T282" s="347"/>
      <c r="U282" s="579">
        <f t="shared" si="48"/>
        <v>0</v>
      </c>
      <c r="V282" s="579">
        <f t="shared" si="49"/>
        <v>0</v>
      </c>
      <c r="W282" s="574"/>
      <c r="X282" s="347"/>
      <c r="Y282" s="347"/>
      <c r="Z282" s="347"/>
      <c r="AA282" s="579">
        <f t="shared" si="6"/>
        <v>0</v>
      </c>
      <c r="AB282" s="581">
        <f t="shared" si="105"/>
        <v>0</v>
      </c>
      <c r="AC282" s="347"/>
      <c r="AD282" s="347"/>
      <c r="AE282" s="347"/>
      <c r="AF282" s="347"/>
      <c r="AG282" s="579">
        <f t="shared" si="54"/>
        <v>0</v>
      </c>
      <c r="AH282" s="579">
        <f t="shared" si="175"/>
        <v>0</v>
      </c>
      <c r="AI282" s="582"/>
      <c r="AJ282" s="582"/>
      <c r="AK282" s="582"/>
      <c r="AL282" s="582"/>
      <c r="AM282" s="579"/>
      <c r="AN282" s="579"/>
      <c r="AO282" s="347"/>
      <c r="AP282" s="581">
        <f t="shared" si="164"/>
        <v>0</v>
      </c>
      <c r="AQ282" s="596"/>
      <c r="AR282" s="596"/>
      <c r="AS282" s="348"/>
      <c r="AT282" s="348"/>
      <c r="AU282" s="348"/>
      <c r="AV282" s="348"/>
      <c r="AW282" s="348"/>
      <c r="AX282" s="584">
        <f t="shared" si="165"/>
        <v>0</v>
      </c>
      <c r="AY282" s="581">
        <f t="shared" si="12"/>
        <v>0</v>
      </c>
      <c r="AZ282" s="581">
        <f t="shared" si="159"/>
        <v>0</v>
      </c>
      <c r="BA282" s="596"/>
      <c r="BB282" s="596"/>
      <c r="BC282" s="348"/>
      <c r="BD282" s="581">
        <f t="shared" si="192"/>
        <v>0</v>
      </c>
      <c r="BE282" s="581">
        <f t="shared" si="37"/>
        <v>0</v>
      </c>
      <c r="BF282" s="347"/>
      <c r="BG282" s="347"/>
      <c r="BH282" s="347"/>
      <c r="BI282" s="347"/>
      <c r="BJ282" s="586">
        <f t="shared" si="187"/>
        <v>0</v>
      </c>
      <c r="BK282" s="581">
        <f t="shared" si="15"/>
        <v>0</v>
      </c>
      <c r="BL282" s="347"/>
      <c r="BM282" s="347"/>
      <c r="BN282" s="347"/>
      <c r="BO282" s="586">
        <f t="shared" si="189"/>
        <v>0</v>
      </c>
      <c r="BP282" s="584">
        <f t="shared" si="17"/>
        <v>0</v>
      </c>
      <c r="BQ282" s="347"/>
      <c r="BR282" s="581">
        <f t="shared" si="153"/>
        <v>0</v>
      </c>
      <c r="BS282" s="588">
        <f t="shared" si="180"/>
        <v>0</v>
      </c>
      <c r="BT282" s="581">
        <f t="shared" si="20"/>
        <v>0</v>
      </c>
      <c r="BU282" s="589"/>
      <c r="BV282" s="581">
        <f t="shared" si="44"/>
        <v>0</v>
      </c>
      <c r="BW282" s="590"/>
      <c r="BX282" s="347"/>
      <c r="BY282" s="347"/>
      <c r="BZ282" s="347"/>
      <c r="CA282" s="586">
        <f t="shared" si="129"/>
        <v>0</v>
      </c>
      <c r="CB282" s="581">
        <f t="shared" si="160"/>
        <v>0</v>
      </c>
      <c r="CC282" s="581">
        <f t="shared" si="131"/>
        <v>0</v>
      </c>
      <c r="CD282" s="581">
        <f t="shared" si="132"/>
        <v>0</v>
      </c>
      <c r="CE282" s="581">
        <f t="shared" si="133"/>
        <v>0</v>
      </c>
      <c r="CF282" s="581">
        <f t="shared" si="134"/>
        <v>0</v>
      </c>
      <c r="CG282" s="581">
        <f t="shared" si="135"/>
        <v>0</v>
      </c>
      <c r="CH282" s="608" t="str">
        <f t="shared" si="136"/>
        <v>#DIV/0!</v>
      </c>
      <c r="CI282" s="603" t="str">
        <f t="shared" si="137"/>
        <v>#DIV/0!</v>
      </c>
      <c r="CJ282" s="347"/>
      <c r="CK282" s="347">
        <f t="shared" si="138"/>
        <v>0</v>
      </c>
      <c r="CL282" s="539">
        <f t="shared" si="139"/>
        <v>0</v>
      </c>
      <c r="CM282" s="347">
        <f t="shared" si="140"/>
        <v>0</v>
      </c>
      <c r="CN282" s="347">
        <f t="shared" si="141"/>
        <v>0</v>
      </c>
      <c r="CO282" s="347" t="str">
        <f t="shared" si="142"/>
        <v>1899-12-30</v>
      </c>
      <c r="CP282" s="347"/>
    </row>
    <row r="283">
      <c r="A283" s="574">
        <f t="shared" si="147"/>
        <v>200201</v>
      </c>
      <c r="B283" s="574" t="str">
        <f t="shared" si="1"/>
        <v>Batch 200201</v>
      </c>
      <c r="C283" s="347"/>
      <c r="D283" s="574"/>
      <c r="E283" s="347"/>
      <c r="F283" s="596"/>
      <c r="G283" s="596"/>
      <c r="H283" s="347"/>
      <c r="I283" s="347"/>
      <c r="J283" s="596"/>
      <c r="K283" s="609"/>
      <c r="L283" s="1"/>
      <c r="M283" s="347"/>
      <c r="N283" s="347"/>
      <c r="O283" s="579">
        <f t="shared" si="2"/>
        <v>0</v>
      </c>
      <c r="P283" s="579">
        <f t="shared" si="126"/>
        <v>0</v>
      </c>
      <c r="Q283" s="574"/>
      <c r="R283" s="347"/>
      <c r="S283" s="597"/>
      <c r="T283" s="347"/>
      <c r="U283" s="579">
        <f t="shared" si="48"/>
        <v>0</v>
      </c>
      <c r="V283" s="579">
        <f t="shared" si="49"/>
        <v>0</v>
      </c>
      <c r="W283" s="574"/>
      <c r="X283" s="347"/>
      <c r="Y283" s="347"/>
      <c r="Z283" s="347"/>
      <c r="AA283" s="579">
        <f t="shared" si="6"/>
        <v>0</v>
      </c>
      <c r="AB283" s="581">
        <f t="shared" si="105"/>
        <v>0</v>
      </c>
      <c r="AC283" s="347"/>
      <c r="AD283" s="347"/>
      <c r="AE283" s="347"/>
      <c r="AF283" s="347"/>
      <c r="AG283" s="579">
        <f t="shared" si="54"/>
        <v>0</v>
      </c>
      <c r="AH283" s="579">
        <f t="shared" si="175"/>
        <v>0</v>
      </c>
      <c r="AI283" s="582"/>
      <c r="AJ283" s="582"/>
      <c r="AK283" s="582"/>
      <c r="AL283" s="582"/>
      <c r="AM283" s="579"/>
      <c r="AN283" s="579"/>
      <c r="AO283" s="347"/>
      <c r="AP283" s="581">
        <f t="shared" si="164"/>
        <v>0</v>
      </c>
      <c r="AQ283" s="596"/>
      <c r="AR283" s="596"/>
      <c r="AS283" s="348"/>
      <c r="AT283" s="348"/>
      <c r="AU283" s="348"/>
      <c r="AV283" s="348"/>
      <c r="AW283" s="348"/>
      <c r="AX283" s="584">
        <f t="shared" si="165"/>
        <v>0</v>
      </c>
      <c r="AY283" s="581">
        <f t="shared" si="12"/>
        <v>0</v>
      </c>
      <c r="AZ283" s="581">
        <f t="shared" si="159"/>
        <v>0</v>
      </c>
      <c r="BA283" s="596"/>
      <c r="BB283" s="596"/>
      <c r="BC283" s="348"/>
      <c r="BD283" s="581">
        <f t="shared" si="192"/>
        <v>0</v>
      </c>
      <c r="BE283" s="581">
        <f t="shared" si="37"/>
        <v>0</v>
      </c>
      <c r="BF283" s="347"/>
      <c r="BG283" s="347"/>
      <c r="BH283" s="347"/>
      <c r="BI283" s="347"/>
      <c r="BJ283" s="586">
        <f t="shared" si="187"/>
        <v>0</v>
      </c>
      <c r="BK283" s="581">
        <f t="shared" si="15"/>
        <v>0</v>
      </c>
      <c r="BL283" s="347"/>
      <c r="BM283" s="347"/>
      <c r="BN283" s="347"/>
      <c r="BO283" s="586">
        <f t="shared" si="189"/>
        <v>0</v>
      </c>
      <c r="BP283" s="584">
        <f t="shared" si="17"/>
        <v>0</v>
      </c>
      <c r="BQ283" s="347"/>
      <c r="BR283" s="581">
        <f t="shared" si="153"/>
        <v>0</v>
      </c>
      <c r="BS283" s="588">
        <f t="shared" si="180"/>
        <v>0</v>
      </c>
      <c r="BT283" s="581">
        <f t="shared" si="20"/>
        <v>0</v>
      </c>
      <c r="BU283" s="589"/>
      <c r="BV283" s="581">
        <f t="shared" si="44"/>
        <v>0</v>
      </c>
      <c r="BW283" s="590"/>
      <c r="BX283" s="347"/>
      <c r="BY283" s="347"/>
      <c r="BZ283" s="347"/>
      <c r="CA283" s="586">
        <f t="shared" si="129"/>
        <v>0</v>
      </c>
      <c r="CB283" s="581">
        <f t="shared" si="160"/>
        <v>0</v>
      </c>
      <c r="CC283" s="581">
        <f t="shared" si="131"/>
        <v>0</v>
      </c>
      <c r="CD283" s="581">
        <f t="shared" si="132"/>
        <v>0</v>
      </c>
      <c r="CE283" s="581">
        <f t="shared" si="133"/>
        <v>0</v>
      </c>
      <c r="CF283" s="581">
        <f t="shared" si="134"/>
        <v>0</v>
      </c>
      <c r="CG283" s="581">
        <f t="shared" si="135"/>
        <v>0</v>
      </c>
      <c r="CH283" s="608" t="str">
        <f t="shared" si="136"/>
        <v>#DIV/0!</v>
      </c>
      <c r="CI283" s="603" t="str">
        <f t="shared" si="137"/>
        <v>#DIV/0!</v>
      </c>
      <c r="CJ283" s="347"/>
      <c r="CK283" s="347">
        <f t="shared" si="138"/>
        <v>0</v>
      </c>
      <c r="CL283" s="539">
        <f t="shared" si="139"/>
        <v>0</v>
      </c>
      <c r="CM283" s="347">
        <f t="shared" si="140"/>
        <v>0</v>
      </c>
      <c r="CN283" s="347">
        <f t="shared" si="141"/>
        <v>0</v>
      </c>
      <c r="CO283" s="347" t="str">
        <f t="shared" si="142"/>
        <v>1899-12-30</v>
      </c>
      <c r="CP283" s="347"/>
    </row>
    <row r="284">
      <c r="A284" s="574">
        <f t="shared" si="147"/>
        <v>300134</v>
      </c>
      <c r="B284" s="574" t="str">
        <f t="shared" si="1"/>
        <v>Batch 300134</v>
      </c>
      <c r="C284" s="347"/>
      <c r="D284" s="574"/>
      <c r="E284" s="347"/>
      <c r="F284" s="596"/>
      <c r="G284" s="596"/>
      <c r="H284" s="347"/>
      <c r="I284" s="347"/>
      <c r="J284" s="596"/>
      <c r="K284" s="609"/>
      <c r="L284" s="1"/>
      <c r="M284" s="347"/>
      <c r="N284" s="347"/>
      <c r="O284" s="579">
        <f t="shared" si="2"/>
        <v>0</v>
      </c>
      <c r="P284" s="579">
        <f t="shared" si="126"/>
        <v>0</v>
      </c>
      <c r="Q284" s="574"/>
      <c r="R284" s="347"/>
      <c r="S284" s="597"/>
      <c r="T284" s="347"/>
      <c r="U284" s="579">
        <f t="shared" si="48"/>
        <v>0</v>
      </c>
      <c r="V284" s="579">
        <f t="shared" si="49"/>
        <v>0</v>
      </c>
      <c r="W284" s="574"/>
      <c r="X284" s="347"/>
      <c r="Y284" s="347"/>
      <c r="Z284" s="347"/>
      <c r="AA284" s="579">
        <f t="shared" si="6"/>
        <v>0</v>
      </c>
      <c r="AB284" s="581">
        <f t="shared" si="105"/>
        <v>0</v>
      </c>
      <c r="AC284" s="347"/>
      <c r="AD284" s="347"/>
      <c r="AE284" s="347"/>
      <c r="AF284" s="347"/>
      <c r="AG284" s="579">
        <f t="shared" si="54"/>
        <v>0</v>
      </c>
      <c r="AH284" s="579">
        <f t="shared" si="175"/>
        <v>0</v>
      </c>
      <c r="AI284" s="582"/>
      <c r="AJ284" s="582"/>
      <c r="AK284" s="582"/>
      <c r="AL284" s="582"/>
      <c r="AM284" s="579"/>
      <c r="AN284" s="579"/>
      <c r="AO284" s="347"/>
      <c r="AP284" s="581">
        <f t="shared" si="164"/>
        <v>0</v>
      </c>
      <c r="AQ284" s="596"/>
      <c r="AR284" s="596"/>
      <c r="AS284" s="348"/>
      <c r="AT284" s="348"/>
      <c r="AU284" s="348"/>
      <c r="AV284" s="348"/>
      <c r="AW284" s="348"/>
      <c r="AX284" s="584">
        <f t="shared" si="165"/>
        <v>0</v>
      </c>
      <c r="AY284" s="581">
        <f t="shared" si="12"/>
        <v>0</v>
      </c>
      <c r="AZ284" s="581">
        <f t="shared" si="159"/>
        <v>0</v>
      </c>
      <c r="BA284" s="596"/>
      <c r="BB284" s="596"/>
      <c r="BC284" s="348"/>
      <c r="BD284" s="581">
        <f t="shared" si="192"/>
        <v>0</v>
      </c>
      <c r="BE284" s="581">
        <f t="shared" si="37"/>
        <v>0</v>
      </c>
      <c r="BF284" s="347"/>
      <c r="BG284" s="347"/>
      <c r="BH284" s="347"/>
      <c r="BI284" s="347"/>
      <c r="BJ284" s="586">
        <f t="shared" si="187"/>
        <v>0</v>
      </c>
      <c r="BK284" s="581">
        <f t="shared" si="15"/>
        <v>0</v>
      </c>
      <c r="BL284" s="347"/>
      <c r="BM284" s="347"/>
      <c r="BN284" s="347"/>
      <c r="BO284" s="586">
        <f t="shared" si="189"/>
        <v>0</v>
      </c>
      <c r="BP284" s="584">
        <f t="shared" si="17"/>
        <v>0</v>
      </c>
      <c r="BQ284" s="347"/>
      <c r="BR284" s="581">
        <f t="shared" si="153"/>
        <v>0</v>
      </c>
      <c r="BS284" s="588">
        <f t="shared" si="180"/>
        <v>0</v>
      </c>
      <c r="BT284" s="581">
        <f t="shared" si="20"/>
        <v>0</v>
      </c>
      <c r="BU284" s="589"/>
      <c r="BV284" s="581">
        <f t="shared" si="44"/>
        <v>0</v>
      </c>
      <c r="BW284" s="590"/>
      <c r="BX284" s="347"/>
      <c r="BY284" s="347"/>
      <c r="BZ284" s="347"/>
      <c r="CA284" s="586">
        <f t="shared" si="129"/>
        <v>0</v>
      </c>
      <c r="CB284" s="581">
        <f t="shared" si="160"/>
        <v>0</v>
      </c>
      <c r="CC284" s="581">
        <f t="shared" si="131"/>
        <v>0</v>
      </c>
      <c r="CD284" s="581">
        <f t="shared" si="132"/>
        <v>0</v>
      </c>
      <c r="CE284" s="581">
        <f t="shared" si="133"/>
        <v>0</v>
      </c>
      <c r="CF284" s="581">
        <f t="shared" si="134"/>
        <v>0</v>
      </c>
      <c r="CG284" s="581">
        <f t="shared" si="135"/>
        <v>0</v>
      </c>
      <c r="CH284" s="608" t="str">
        <f t="shared" si="136"/>
        <v>#DIV/0!</v>
      </c>
      <c r="CI284" s="603" t="str">
        <f t="shared" si="137"/>
        <v>#DIV/0!</v>
      </c>
      <c r="CJ284" s="347"/>
      <c r="CK284" s="347">
        <f t="shared" si="138"/>
        <v>0</v>
      </c>
      <c r="CL284" s="539">
        <f t="shared" si="139"/>
        <v>0</v>
      </c>
      <c r="CM284" s="347">
        <f t="shared" si="140"/>
        <v>0</v>
      </c>
      <c r="CN284" s="347">
        <f t="shared" si="141"/>
        <v>0</v>
      </c>
      <c r="CO284" s="347" t="str">
        <f t="shared" si="142"/>
        <v>1899-12-30</v>
      </c>
      <c r="CP284" s="347"/>
    </row>
    <row r="285">
      <c r="A285" s="574">
        <f t="shared" si="147"/>
        <v>200202</v>
      </c>
      <c r="B285" s="574" t="str">
        <f t="shared" si="1"/>
        <v>Batch 200202</v>
      </c>
      <c r="C285" s="347"/>
      <c r="D285" s="574"/>
      <c r="E285" s="347"/>
      <c r="F285" s="596"/>
      <c r="G285" s="596"/>
      <c r="H285" s="347"/>
      <c r="I285" s="347"/>
      <c r="J285" s="596"/>
      <c r="K285" s="609"/>
      <c r="L285" s="1"/>
      <c r="M285" s="347"/>
      <c r="N285" s="347"/>
      <c r="O285" s="579">
        <f t="shared" si="2"/>
        <v>0</v>
      </c>
      <c r="P285" s="579">
        <f t="shared" si="126"/>
        <v>0</v>
      </c>
      <c r="Q285" s="574"/>
      <c r="R285" s="347"/>
      <c r="S285" s="597"/>
      <c r="T285" s="347"/>
      <c r="U285" s="579">
        <f t="shared" si="48"/>
        <v>0</v>
      </c>
      <c r="V285" s="579">
        <f t="shared" si="49"/>
        <v>0</v>
      </c>
      <c r="W285" s="574"/>
      <c r="X285" s="347"/>
      <c r="Y285" s="347"/>
      <c r="Z285" s="347"/>
      <c r="AA285" s="579">
        <f t="shared" si="6"/>
        <v>0</v>
      </c>
      <c r="AB285" s="581">
        <f t="shared" si="105"/>
        <v>0</v>
      </c>
      <c r="AC285" s="347"/>
      <c r="AD285" s="347"/>
      <c r="AE285" s="347"/>
      <c r="AF285" s="347"/>
      <c r="AG285" s="579">
        <f t="shared" si="54"/>
        <v>0</v>
      </c>
      <c r="AH285" s="579">
        <f t="shared" si="175"/>
        <v>0</v>
      </c>
      <c r="AI285" s="582"/>
      <c r="AJ285" s="582"/>
      <c r="AK285" s="582"/>
      <c r="AL285" s="582"/>
      <c r="AM285" s="579"/>
      <c r="AN285" s="579"/>
      <c r="AO285" s="347"/>
      <c r="AP285" s="581">
        <f t="shared" si="164"/>
        <v>0</v>
      </c>
      <c r="AQ285" s="596"/>
      <c r="AR285" s="596"/>
      <c r="AS285" s="348"/>
      <c r="AT285" s="348"/>
      <c r="AU285" s="348"/>
      <c r="AV285" s="348"/>
      <c r="AW285" s="348"/>
      <c r="AX285" s="584">
        <f t="shared" si="165"/>
        <v>0</v>
      </c>
      <c r="AY285" s="581">
        <f t="shared" si="12"/>
        <v>0</v>
      </c>
      <c r="AZ285" s="581">
        <f t="shared" si="159"/>
        <v>0</v>
      </c>
      <c r="BA285" s="596"/>
      <c r="BB285" s="596"/>
      <c r="BC285" s="348"/>
      <c r="BD285" s="581">
        <f t="shared" si="192"/>
        <v>0</v>
      </c>
      <c r="BE285" s="581">
        <f t="shared" si="37"/>
        <v>0</v>
      </c>
      <c r="BF285" s="347"/>
      <c r="BG285" s="347"/>
      <c r="BH285" s="347"/>
      <c r="BI285" s="347"/>
      <c r="BJ285" s="586">
        <f t="shared" si="187"/>
        <v>0</v>
      </c>
      <c r="BK285" s="581">
        <f t="shared" si="15"/>
        <v>0</v>
      </c>
      <c r="BL285" s="347"/>
      <c r="BM285" s="347"/>
      <c r="BN285" s="347"/>
      <c r="BO285" s="586">
        <f t="shared" si="189"/>
        <v>0</v>
      </c>
      <c r="BP285" s="584">
        <f t="shared" si="17"/>
        <v>0</v>
      </c>
      <c r="BQ285" s="347"/>
      <c r="BR285" s="581">
        <f t="shared" si="153"/>
        <v>0</v>
      </c>
      <c r="BS285" s="588">
        <f t="shared" si="180"/>
        <v>0</v>
      </c>
      <c r="BT285" s="581">
        <f t="shared" si="20"/>
        <v>0</v>
      </c>
      <c r="BU285" s="589"/>
      <c r="BV285" s="581">
        <f t="shared" si="44"/>
        <v>0</v>
      </c>
      <c r="BW285" s="590"/>
      <c r="BX285" s="347"/>
      <c r="BY285" s="347"/>
      <c r="BZ285" s="347"/>
      <c r="CA285" s="586">
        <f t="shared" si="129"/>
        <v>0</v>
      </c>
      <c r="CB285" s="581">
        <f t="shared" si="160"/>
        <v>0</v>
      </c>
      <c r="CC285" s="581">
        <f t="shared" si="131"/>
        <v>0</v>
      </c>
      <c r="CD285" s="581">
        <f t="shared" si="132"/>
        <v>0</v>
      </c>
      <c r="CE285" s="581">
        <f t="shared" si="133"/>
        <v>0</v>
      </c>
      <c r="CF285" s="581">
        <f t="shared" si="134"/>
        <v>0</v>
      </c>
      <c r="CG285" s="581">
        <f t="shared" si="135"/>
        <v>0</v>
      </c>
      <c r="CH285" s="608" t="str">
        <f t="shared" si="136"/>
        <v>#DIV/0!</v>
      </c>
      <c r="CI285" s="603" t="str">
        <f t="shared" si="137"/>
        <v>#DIV/0!</v>
      </c>
      <c r="CJ285" s="347"/>
      <c r="CK285" s="347">
        <f t="shared" si="138"/>
        <v>0</v>
      </c>
      <c r="CL285" s="539">
        <f t="shared" si="139"/>
        <v>0</v>
      </c>
      <c r="CM285" s="347">
        <f t="shared" si="140"/>
        <v>0</v>
      </c>
      <c r="CN285" s="347">
        <f t="shared" si="141"/>
        <v>0</v>
      </c>
      <c r="CO285" s="347" t="str">
        <f t="shared" si="142"/>
        <v>1899-12-30</v>
      </c>
      <c r="CP285" s="347"/>
    </row>
    <row r="286">
      <c r="A286" s="574">
        <f t="shared" si="147"/>
        <v>300135</v>
      </c>
      <c r="B286" s="574" t="str">
        <f t="shared" si="1"/>
        <v>Batch 300135</v>
      </c>
      <c r="C286" s="347"/>
      <c r="D286" s="574"/>
      <c r="E286" s="347"/>
      <c r="F286" s="596"/>
      <c r="G286" s="596"/>
      <c r="H286" s="347"/>
      <c r="I286" s="347"/>
      <c r="J286" s="596"/>
      <c r="K286" s="609"/>
      <c r="L286" s="1"/>
      <c r="M286" s="347"/>
      <c r="N286" s="347"/>
      <c r="O286" s="579">
        <f t="shared" si="2"/>
        <v>0</v>
      </c>
      <c r="P286" s="579">
        <f t="shared" si="126"/>
        <v>0</v>
      </c>
      <c r="Q286" s="574"/>
      <c r="R286" s="347"/>
      <c r="S286" s="597"/>
      <c r="T286" s="347"/>
      <c r="U286" s="579">
        <f t="shared" si="48"/>
        <v>0</v>
      </c>
      <c r="V286" s="579">
        <f t="shared" si="49"/>
        <v>0</v>
      </c>
      <c r="W286" s="574"/>
      <c r="X286" s="347"/>
      <c r="Y286" s="347"/>
      <c r="Z286" s="347"/>
      <c r="AA286" s="579">
        <f t="shared" si="6"/>
        <v>0</v>
      </c>
      <c r="AB286" s="581">
        <f t="shared" si="105"/>
        <v>0</v>
      </c>
      <c r="AC286" s="347"/>
      <c r="AD286" s="347"/>
      <c r="AE286" s="347"/>
      <c r="AF286" s="347"/>
      <c r="AG286" s="579">
        <f t="shared" si="54"/>
        <v>0</v>
      </c>
      <c r="AH286" s="579">
        <f t="shared" si="175"/>
        <v>0</v>
      </c>
      <c r="AI286" s="582"/>
      <c r="AJ286" s="582"/>
      <c r="AK286" s="582"/>
      <c r="AL286" s="582"/>
      <c r="AM286" s="579"/>
      <c r="AN286" s="579"/>
      <c r="AO286" s="347"/>
      <c r="AP286" s="581">
        <f t="shared" si="164"/>
        <v>0</v>
      </c>
      <c r="AQ286" s="596"/>
      <c r="AR286" s="596"/>
      <c r="AS286" s="348"/>
      <c r="AT286" s="348"/>
      <c r="AU286" s="348"/>
      <c r="AV286" s="348"/>
      <c r="AW286" s="348"/>
      <c r="AX286" s="584">
        <f t="shared" si="165"/>
        <v>0</v>
      </c>
      <c r="AY286" s="581">
        <f t="shared" si="12"/>
        <v>0</v>
      </c>
      <c r="AZ286" s="581">
        <f t="shared" si="159"/>
        <v>0</v>
      </c>
      <c r="BA286" s="596"/>
      <c r="BB286" s="596"/>
      <c r="BC286" s="348"/>
      <c r="BD286" s="581">
        <f t="shared" si="192"/>
        <v>0</v>
      </c>
      <c r="BE286" s="581">
        <f t="shared" si="37"/>
        <v>0</v>
      </c>
      <c r="BF286" s="347"/>
      <c r="BG286" s="347"/>
      <c r="BH286" s="347"/>
      <c r="BI286" s="347"/>
      <c r="BJ286" s="586">
        <f t="shared" si="187"/>
        <v>0</v>
      </c>
      <c r="BK286" s="581">
        <f t="shared" si="15"/>
        <v>0</v>
      </c>
      <c r="BL286" s="347"/>
      <c r="BM286" s="347"/>
      <c r="BN286" s="347"/>
      <c r="BO286" s="586">
        <f t="shared" si="189"/>
        <v>0</v>
      </c>
      <c r="BP286" s="584">
        <f t="shared" si="17"/>
        <v>0</v>
      </c>
      <c r="BQ286" s="347"/>
      <c r="BR286" s="581">
        <f t="shared" si="153"/>
        <v>0</v>
      </c>
      <c r="BS286" s="588">
        <f t="shared" si="180"/>
        <v>0</v>
      </c>
      <c r="BT286" s="581">
        <f t="shared" si="20"/>
        <v>0</v>
      </c>
      <c r="BU286" s="589"/>
      <c r="BV286" s="581">
        <f t="shared" si="44"/>
        <v>0</v>
      </c>
      <c r="BW286" s="590"/>
      <c r="BX286" s="347"/>
      <c r="BY286" s="347"/>
      <c r="BZ286" s="347"/>
      <c r="CA286" s="586">
        <f t="shared" si="129"/>
        <v>0</v>
      </c>
      <c r="CB286" s="581">
        <f t="shared" si="160"/>
        <v>0</v>
      </c>
      <c r="CC286" s="581">
        <f t="shared" si="131"/>
        <v>0</v>
      </c>
      <c r="CD286" s="581">
        <f t="shared" si="132"/>
        <v>0</v>
      </c>
      <c r="CE286" s="581">
        <f t="shared" si="133"/>
        <v>0</v>
      </c>
      <c r="CF286" s="581">
        <f t="shared" si="134"/>
        <v>0</v>
      </c>
      <c r="CG286" s="581">
        <f t="shared" si="135"/>
        <v>0</v>
      </c>
      <c r="CH286" s="608" t="str">
        <f t="shared" si="136"/>
        <v>#DIV/0!</v>
      </c>
      <c r="CI286" s="603" t="str">
        <f t="shared" si="137"/>
        <v>#DIV/0!</v>
      </c>
      <c r="CJ286" s="347"/>
      <c r="CK286" s="347">
        <f t="shared" si="138"/>
        <v>0</v>
      </c>
      <c r="CL286" s="539">
        <f t="shared" si="139"/>
        <v>0</v>
      </c>
      <c r="CM286" s="347">
        <f t="shared" si="140"/>
        <v>0</v>
      </c>
      <c r="CN286" s="347">
        <f t="shared" si="141"/>
        <v>0</v>
      </c>
      <c r="CO286" s="347" t="str">
        <f t="shared" si="142"/>
        <v>1899-12-30</v>
      </c>
      <c r="CP286" s="347"/>
    </row>
    <row r="287">
      <c r="A287" s="574">
        <f t="shared" si="147"/>
        <v>200203</v>
      </c>
      <c r="B287" s="574" t="str">
        <f t="shared" si="1"/>
        <v>Batch 200203</v>
      </c>
      <c r="C287" s="347"/>
      <c r="D287" s="574"/>
      <c r="E287" s="347"/>
      <c r="F287" s="596"/>
      <c r="G287" s="596"/>
      <c r="H287" s="347"/>
      <c r="I287" s="347"/>
      <c r="J287" s="596"/>
      <c r="K287" s="609"/>
      <c r="L287" s="1"/>
      <c r="M287" s="347"/>
      <c r="N287" s="347"/>
      <c r="O287" s="579">
        <f t="shared" si="2"/>
        <v>0</v>
      </c>
      <c r="P287" s="579">
        <f t="shared" si="126"/>
        <v>0</v>
      </c>
      <c r="Q287" s="574"/>
      <c r="R287" s="347"/>
      <c r="S287" s="597"/>
      <c r="T287" s="347"/>
      <c r="U287" s="579">
        <f t="shared" si="48"/>
        <v>0</v>
      </c>
      <c r="V287" s="579">
        <f t="shared" si="49"/>
        <v>0</v>
      </c>
      <c r="W287" s="574"/>
      <c r="X287" s="347"/>
      <c r="Y287" s="347"/>
      <c r="Z287" s="347"/>
      <c r="AA287" s="579">
        <f t="shared" si="6"/>
        <v>0</v>
      </c>
      <c r="AB287" s="581">
        <f t="shared" si="105"/>
        <v>0</v>
      </c>
      <c r="AC287" s="347"/>
      <c r="AD287" s="347"/>
      <c r="AE287" s="347"/>
      <c r="AF287" s="347"/>
      <c r="AG287" s="579">
        <f t="shared" si="54"/>
        <v>0</v>
      </c>
      <c r="AH287" s="579">
        <f t="shared" si="175"/>
        <v>0</v>
      </c>
      <c r="AI287" s="582"/>
      <c r="AJ287" s="582"/>
      <c r="AK287" s="582"/>
      <c r="AL287" s="582"/>
      <c r="AM287" s="579"/>
      <c r="AN287" s="579"/>
      <c r="AO287" s="347"/>
      <c r="AP287" s="581">
        <f t="shared" si="164"/>
        <v>0</v>
      </c>
      <c r="AQ287" s="596"/>
      <c r="AR287" s="596"/>
      <c r="AS287" s="348"/>
      <c r="AT287" s="348"/>
      <c r="AU287" s="348"/>
      <c r="AV287" s="348"/>
      <c r="AW287" s="348"/>
      <c r="AX287" s="584">
        <f t="shared" si="165"/>
        <v>0</v>
      </c>
      <c r="AY287" s="581">
        <f t="shared" si="12"/>
        <v>0</v>
      </c>
      <c r="AZ287" s="581">
        <f t="shared" si="159"/>
        <v>0</v>
      </c>
      <c r="BA287" s="596"/>
      <c r="BB287" s="596"/>
      <c r="BC287" s="348"/>
      <c r="BD287" s="581">
        <f t="shared" si="192"/>
        <v>0</v>
      </c>
      <c r="BE287" s="581">
        <f t="shared" si="37"/>
        <v>0</v>
      </c>
      <c r="BF287" s="347"/>
      <c r="BG287" s="347"/>
      <c r="BH287" s="347"/>
      <c r="BI287" s="347"/>
      <c r="BJ287" s="586">
        <f t="shared" si="187"/>
        <v>0</v>
      </c>
      <c r="BK287" s="581">
        <f t="shared" si="15"/>
        <v>0</v>
      </c>
      <c r="BL287" s="347"/>
      <c r="BM287" s="347"/>
      <c r="BN287" s="347"/>
      <c r="BO287" s="586">
        <f t="shared" si="189"/>
        <v>0</v>
      </c>
      <c r="BP287" s="584">
        <f t="shared" si="17"/>
        <v>0</v>
      </c>
      <c r="BQ287" s="347"/>
      <c r="BR287" s="581">
        <f t="shared" si="153"/>
        <v>0</v>
      </c>
      <c r="BS287" s="588">
        <f t="shared" si="180"/>
        <v>0</v>
      </c>
      <c r="BT287" s="581">
        <f t="shared" si="20"/>
        <v>0</v>
      </c>
      <c r="BU287" s="589"/>
      <c r="BV287" s="581">
        <f t="shared" si="44"/>
        <v>0</v>
      </c>
      <c r="BW287" s="590"/>
      <c r="BX287" s="347"/>
      <c r="BY287" s="347"/>
      <c r="BZ287" s="347"/>
      <c r="CA287" s="586">
        <f t="shared" si="129"/>
        <v>0</v>
      </c>
      <c r="CB287" s="581">
        <f t="shared" si="160"/>
        <v>0</v>
      </c>
      <c r="CC287" s="581">
        <f t="shared" si="131"/>
        <v>0</v>
      </c>
      <c r="CD287" s="581">
        <f t="shared" si="132"/>
        <v>0</v>
      </c>
      <c r="CE287" s="581">
        <f t="shared" si="133"/>
        <v>0</v>
      </c>
      <c r="CF287" s="581">
        <f t="shared" si="134"/>
        <v>0</v>
      </c>
      <c r="CG287" s="581">
        <f t="shared" si="135"/>
        <v>0</v>
      </c>
      <c r="CH287" s="608" t="str">
        <f t="shared" si="136"/>
        <v>#DIV/0!</v>
      </c>
      <c r="CI287" s="603" t="str">
        <f t="shared" si="137"/>
        <v>#DIV/0!</v>
      </c>
      <c r="CJ287" s="347"/>
      <c r="CK287" s="347">
        <f t="shared" si="138"/>
        <v>0</v>
      </c>
      <c r="CL287" s="539">
        <f t="shared" si="139"/>
        <v>0</v>
      </c>
      <c r="CM287" s="347">
        <f t="shared" si="140"/>
        <v>0</v>
      </c>
      <c r="CN287" s="347">
        <f t="shared" si="141"/>
        <v>0</v>
      </c>
      <c r="CO287" s="347" t="str">
        <f t="shared" si="142"/>
        <v>1899-12-30</v>
      </c>
      <c r="CP287" s="347"/>
    </row>
    <row r="288">
      <c r="A288" s="574">
        <f t="shared" si="147"/>
        <v>300136</v>
      </c>
      <c r="B288" s="574" t="str">
        <f t="shared" si="1"/>
        <v>Batch 300136</v>
      </c>
      <c r="C288" s="347"/>
      <c r="D288" s="574"/>
      <c r="E288" s="347"/>
      <c r="F288" s="596"/>
      <c r="G288" s="596"/>
      <c r="H288" s="347"/>
      <c r="I288" s="347"/>
      <c r="J288" s="596"/>
      <c r="K288" s="609"/>
      <c r="L288" s="1"/>
      <c r="M288" s="347"/>
      <c r="N288" s="347"/>
      <c r="O288" s="579">
        <f t="shared" si="2"/>
        <v>0</v>
      </c>
      <c r="P288" s="579">
        <f t="shared" si="126"/>
        <v>0</v>
      </c>
      <c r="Q288" s="574"/>
      <c r="R288" s="347"/>
      <c r="S288" s="597"/>
      <c r="T288" s="347"/>
      <c r="U288" s="579">
        <f t="shared" si="48"/>
        <v>0</v>
      </c>
      <c r="V288" s="579">
        <f t="shared" si="49"/>
        <v>0</v>
      </c>
      <c r="W288" s="574"/>
      <c r="X288" s="347"/>
      <c r="Y288" s="347"/>
      <c r="Z288" s="347"/>
      <c r="AA288" s="579">
        <f t="shared" si="6"/>
        <v>0</v>
      </c>
      <c r="AB288" s="581">
        <f t="shared" si="105"/>
        <v>0</v>
      </c>
      <c r="AC288" s="347"/>
      <c r="AD288" s="347"/>
      <c r="AE288" s="347"/>
      <c r="AF288" s="347"/>
      <c r="AG288" s="579">
        <f t="shared" si="54"/>
        <v>0</v>
      </c>
      <c r="AH288" s="579">
        <f t="shared" si="175"/>
        <v>0</v>
      </c>
      <c r="AI288" s="582"/>
      <c r="AJ288" s="582"/>
      <c r="AK288" s="582"/>
      <c r="AL288" s="582"/>
      <c r="AM288" s="579"/>
      <c r="AN288" s="579"/>
      <c r="AO288" s="347"/>
      <c r="AP288" s="581">
        <f t="shared" si="164"/>
        <v>0</v>
      </c>
      <c r="AQ288" s="596"/>
      <c r="AR288" s="596"/>
      <c r="AS288" s="348"/>
      <c r="AT288" s="348"/>
      <c r="AU288" s="348"/>
      <c r="AV288" s="348"/>
      <c r="AW288" s="348"/>
      <c r="AX288" s="584">
        <f t="shared" si="165"/>
        <v>0</v>
      </c>
      <c r="AY288" s="581">
        <f t="shared" si="12"/>
        <v>0</v>
      </c>
      <c r="AZ288" s="581">
        <f t="shared" si="159"/>
        <v>0</v>
      </c>
      <c r="BA288" s="596"/>
      <c r="BB288" s="596"/>
      <c r="BC288" s="348"/>
      <c r="BD288" s="581">
        <f t="shared" si="192"/>
        <v>0</v>
      </c>
      <c r="BE288" s="581">
        <f t="shared" si="37"/>
        <v>0</v>
      </c>
      <c r="BF288" s="347"/>
      <c r="BG288" s="347"/>
      <c r="BH288" s="347"/>
      <c r="BI288" s="347"/>
      <c r="BJ288" s="586">
        <f t="shared" si="187"/>
        <v>0</v>
      </c>
      <c r="BK288" s="581">
        <f t="shared" si="15"/>
        <v>0</v>
      </c>
      <c r="BL288" s="347"/>
      <c r="BM288" s="347"/>
      <c r="BN288" s="347"/>
      <c r="BO288" s="586">
        <f t="shared" si="189"/>
        <v>0</v>
      </c>
      <c r="BP288" s="584">
        <f t="shared" si="17"/>
        <v>0</v>
      </c>
      <c r="BQ288" s="347"/>
      <c r="BR288" s="581">
        <f t="shared" si="153"/>
        <v>0</v>
      </c>
      <c r="BS288" s="588">
        <f t="shared" si="180"/>
        <v>0</v>
      </c>
      <c r="BT288" s="581">
        <f t="shared" si="20"/>
        <v>0</v>
      </c>
      <c r="BU288" s="589"/>
      <c r="BV288" s="581">
        <f t="shared" si="44"/>
        <v>0</v>
      </c>
      <c r="BW288" s="590"/>
      <c r="BX288" s="347"/>
      <c r="BY288" s="347"/>
      <c r="BZ288" s="347"/>
      <c r="CA288" s="586">
        <f t="shared" si="129"/>
        <v>0</v>
      </c>
      <c r="CB288" s="581">
        <f t="shared" si="160"/>
        <v>0</v>
      </c>
      <c r="CC288" s="581">
        <f t="shared" si="131"/>
        <v>0</v>
      </c>
      <c r="CD288" s="581">
        <f t="shared" si="132"/>
        <v>0</v>
      </c>
      <c r="CE288" s="581">
        <f t="shared" si="133"/>
        <v>0</v>
      </c>
      <c r="CF288" s="581">
        <f t="shared" si="134"/>
        <v>0</v>
      </c>
      <c r="CG288" s="581">
        <f t="shared" si="135"/>
        <v>0</v>
      </c>
      <c r="CH288" s="608" t="str">
        <f t="shared" si="136"/>
        <v>#DIV/0!</v>
      </c>
      <c r="CI288" s="603" t="str">
        <f t="shared" si="137"/>
        <v>#DIV/0!</v>
      </c>
      <c r="CJ288" s="347"/>
      <c r="CK288" s="347">
        <f t="shared" si="138"/>
        <v>0</v>
      </c>
      <c r="CL288" s="539">
        <f t="shared" si="139"/>
        <v>0</v>
      </c>
      <c r="CM288" s="347">
        <f t="shared" si="140"/>
        <v>0</v>
      </c>
      <c r="CN288" s="347">
        <f t="shared" si="141"/>
        <v>0</v>
      </c>
      <c r="CO288" s="347" t="str">
        <f t="shared" si="142"/>
        <v>1899-12-30</v>
      </c>
      <c r="CP288" s="347"/>
    </row>
    <row r="289">
      <c r="A289" s="574">
        <f t="shared" si="147"/>
        <v>200204</v>
      </c>
      <c r="B289" s="574" t="str">
        <f t="shared" si="1"/>
        <v>Batch 200204</v>
      </c>
      <c r="C289" s="347"/>
      <c r="D289" s="574"/>
      <c r="E289" s="347"/>
      <c r="F289" s="596"/>
      <c r="G289" s="596"/>
      <c r="H289" s="347"/>
      <c r="I289" s="347"/>
      <c r="J289" s="596"/>
      <c r="K289" s="609"/>
      <c r="L289" s="1"/>
      <c r="M289" s="347"/>
      <c r="N289" s="347"/>
      <c r="O289" s="579">
        <f t="shared" si="2"/>
        <v>0</v>
      </c>
      <c r="P289" s="579">
        <f t="shared" si="126"/>
        <v>0</v>
      </c>
      <c r="Q289" s="574"/>
      <c r="R289" s="347"/>
      <c r="S289" s="597"/>
      <c r="T289" s="347"/>
      <c r="U289" s="579">
        <f t="shared" si="48"/>
        <v>0</v>
      </c>
      <c r="V289" s="579">
        <f t="shared" si="49"/>
        <v>0</v>
      </c>
      <c r="W289" s="574"/>
      <c r="X289" s="347"/>
      <c r="Y289" s="347"/>
      <c r="Z289" s="347"/>
      <c r="AA289" s="579">
        <f t="shared" si="6"/>
        <v>0</v>
      </c>
      <c r="AB289" s="581">
        <f t="shared" si="105"/>
        <v>0</v>
      </c>
      <c r="AC289" s="347"/>
      <c r="AD289" s="347"/>
      <c r="AE289" s="347"/>
      <c r="AF289" s="347"/>
      <c r="AG289" s="579">
        <f t="shared" si="54"/>
        <v>0</v>
      </c>
      <c r="AH289" s="579">
        <f t="shared" si="175"/>
        <v>0</v>
      </c>
      <c r="AI289" s="582"/>
      <c r="AJ289" s="582"/>
      <c r="AK289" s="582"/>
      <c r="AL289" s="582"/>
      <c r="AM289" s="579"/>
      <c r="AN289" s="579"/>
      <c r="AO289" s="347"/>
      <c r="AP289" s="581">
        <f t="shared" si="164"/>
        <v>0</v>
      </c>
      <c r="AQ289" s="596"/>
      <c r="AR289" s="596"/>
      <c r="AS289" s="348"/>
      <c r="AT289" s="348"/>
      <c r="AU289" s="348"/>
      <c r="AV289" s="348"/>
      <c r="AW289" s="348"/>
      <c r="AX289" s="584">
        <f t="shared" si="165"/>
        <v>0</v>
      </c>
      <c r="AY289" s="581">
        <f t="shared" si="12"/>
        <v>0</v>
      </c>
      <c r="AZ289" s="581">
        <f t="shared" si="159"/>
        <v>0</v>
      </c>
      <c r="BA289" s="596"/>
      <c r="BB289" s="596"/>
      <c r="BC289" s="348"/>
      <c r="BD289" s="581">
        <f t="shared" si="192"/>
        <v>0</v>
      </c>
      <c r="BE289" s="581">
        <f t="shared" si="37"/>
        <v>0</v>
      </c>
      <c r="BF289" s="347"/>
      <c r="BG289" s="347"/>
      <c r="BH289" s="347"/>
      <c r="BI289" s="347"/>
      <c r="BJ289" s="586">
        <f t="shared" si="187"/>
        <v>0</v>
      </c>
      <c r="BK289" s="581">
        <f t="shared" si="15"/>
        <v>0</v>
      </c>
      <c r="BL289" s="347"/>
      <c r="BM289" s="347"/>
      <c r="BN289" s="347"/>
      <c r="BO289" s="586">
        <f t="shared" si="189"/>
        <v>0</v>
      </c>
      <c r="BP289" s="584">
        <f t="shared" si="17"/>
        <v>0</v>
      </c>
      <c r="BQ289" s="347"/>
      <c r="BR289" s="581">
        <f t="shared" si="153"/>
        <v>0</v>
      </c>
      <c r="BS289" s="588">
        <f t="shared" si="180"/>
        <v>0</v>
      </c>
      <c r="BT289" s="581">
        <f t="shared" si="20"/>
        <v>0</v>
      </c>
      <c r="BU289" s="589"/>
      <c r="BV289" s="581">
        <f t="shared" si="44"/>
        <v>0</v>
      </c>
      <c r="BW289" s="590"/>
      <c r="BX289" s="347"/>
      <c r="BY289" s="347"/>
      <c r="BZ289" s="347"/>
      <c r="CA289" s="586">
        <f t="shared" si="129"/>
        <v>0</v>
      </c>
      <c r="CB289" s="581">
        <f t="shared" si="160"/>
        <v>0</v>
      </c>
      <c r="CC289" s="581">
        <f t="shared" si="131"/>
        <v>0</v>
      </c>
      <c r="CD289" s="581">
        <f t="shared" si="132"/>
        <v>0</v>
      </c>
      <c r="CE289" s="581">
        <f t="shared" si="133"/>
        <v>0</v>
      </c>
      <c r="CF289" s="581">
        <f t="shared" si="134"/>
        <v>0</v>
      </c>
      <c r="CG289" s="581">
        <f t="shared" si="135"/>
        <v>0</v>
      </c>
      <c r="CH289" s="608" t="str">
        <f t="shared" si="136"/>
        <v>#DIV/0!</v>
      </c>
      <c r="CI289" s="603" t="str">
        <f t="shared" si="137"/>
        <v>#DIV/0!</v>
      </c>
      <c r="CJ289" s="347"/>
      <c r="CK289" s="347">
        <f t="shared" si="138"/>
        <v>0</v>
      </c>
      <c r="CL289" s="539">
        <f t="shared" si="139"/>
        <v>0</v>
      </c>
      <c r="CM289" s="347">
        <f t="shared" si="140"/>
        <v>0</v>
      </c>
      <c r="CN289" s="347">
        <f t="shared" si="141"/>
        <v>0</v>
      </c>
      <c r="CO289" s="347" t="str">
        <f t="shared" si="142"/>
        <v>1899-12-30</v>
      </c>
      <c r="CP289" s="347"/>
    </row>
    <row r="290">
      <c r="A290" s="574">
        <f t="shared" si="147"/>
        <v>300137</v>
      </c>
      <c r="B290" s="574" t="str">
        <f t="shared" si="1"/>
        <v>Batch 300137</v>
      </c>
      <c r="C290" s="347"/>
      <c r="D290" s="574"/>
      <c r="E290" s="347"/>
      <c r="F290" s="596"/>
      <c r="G290" s="596"/>
      <c r="H290" s="347"/>
      <c r="I290" s="347"/>
      <c r="J290" s="596"/>
      <c r="K290" s="609"/>
      <c r="L290" s="1"/>
      <c r="M290" s="347"/>
      <c r="N290" s="347"/>
      <c r="O290" s="579">
        <f t="shared" si="2"/>
        <v>0</v>
      </c>
      <c r="P290" s="579">
        <f t="shared" si="126"/>
        <v>0</v>
      </c>
      <c r="Q290" s="574"/>
      <c r="R290" s="347"/>
      <c r="S290" s="597"/>
      <c r="T290" s="347"/>
      <c r="U290" s="579">
        <f t="shared" si="48"/>
        <v>0</v>
      </c>
      <c r="V290" s="579">
        <f t="shared" si="49"/>
        <v>0</v>
      </c>
      <c r="W290" s="574"/>
      <c r="X290" s="347"/>
      <c r="Y290" s="347"/>
      <c r="Z290" s="347"/>
      <c r="AA290" s="579">
        <f t="shared" si="6"/>
        <v>0</v>
      </c>
      <c r="AB290" s="581">
        <f t="shared" si="105"/>
        <v>0</v>
      </c>
      <c r="AC290" s="347"/>
      <c r="AD290" s="347"/>
      <c r="AE290" s="347"/>
      <c r="AF290" s="347"/>
      <c r="AG290" s="579">
        <f t="shared" si="54"/>
        <v>0</v>
      </c>
      <c r="AH290" s="579">
        <f t="shared" si="175"/>
        <v>0</v>
      </c>
      <c r="AI290" s="582"/>
      <c r="AJ290" s="582"/>
      <c r="AK290" s="582"/>
      <c r="AL290" s="582"/>
      <c r="AM290" s="579"/>
      <c r="AN290" s="579"/>
      <c r="AO290" s="347"/>
      <c r="AP290" s="581">
        <f t="shared" si="164"/>
        <v>0</v>
      </c>
      <c r="AQ290" s="596"/>
      <c r="AR290" s="596"/>
      <c r="AS290" s="348"/>
      <c r="AT290" s="348"/>
      <c r="AU290" s="348"/>
      <c r="AV290" s="348"/>
      <c r="AW290" s="348"/>
      <c r="AX290" s="584">
        <f t="shared" si="165"/>
        <v>0</v>
      </c>
      <c r="AY290" s="581">
        <f t="shared" si="12"/>
        <v>0</v>
      </c>
      <c r="AZ290" s="581">
        <f t="shared" si="159"/>
        <v>0</v>
      </c>
      <c r="BA290" s="596"/>
      <c r="BB290" s="596"/>
      <c r="BC290" s="348"/>
      <c r="BD290" s="581">
        <f t="shared" si="192"/>
        <v>0</v>
      </c>
      <c r="BE290" s="581">
        <f t="shared" si="37"/>
        <v>0</v>
      </c>
      <c r="BF290" s="347"/>
      <c r="BG290" s="347"/>
      <c r="BH290" s="347"/>
      <c r="BI290" s="347"/>
      <c r="BJ290" s="586">
        <f t="shared" si="187"/>
        <v>0</v>
      </c>
      <c r="BK290" s="581">
        <f t="shared" si="15"/>
        <v>0</v>
      </c>
      <c r="BL290" s="347"/>
      <c r="BM290" s="347"/>
      <c r="BN290" s="347"/>
      <c r="BO290" s="586">
        <f t="shared" si="189"/>
        <v>0</v>
      </c>
      <c r="BP290" s="584">
        <f t="shared" si="17"/>
        <v>0</v>
      </c>
      <c r="BQ290" s="347"/>
      <c r="BR290" s="581">
        <f t="shared" si="153"/>
        <v>0</v>
      </c>
      <c r="BS290" s="588">
        <f t="shared" si="180"/>
        <v>0</v>
      </c>
      <c r="BT290" s="581">
        <f t="shared" si="20"/>
        <v>0</v>
      </c>
      <c r="BU290" s="589"/>
      <c r="BV290" s="581">
        <f t="shared" si="44"/>
        <v>0</v>
      </c>
      <c r="BW290" s="590"/>
      <c r="BX290" s="347"/>
      <c r="BY290" s="347"/>
      <c r="BZ290" s="347"/>
      <c r="CA290" s="586">
        <f t="shared" si="129"/>
        <v>0</v>
      </c>
      <c r="CB290" s="581">
        <f t="shared" si="160"/>
        <v>0</v>
      </c>
      <c r="CC290" s="581">
        <f t="shared" si="131"/>
        <v>0</v>
      </c>
      <c r="CD290" s="581">
        <f t="shared" si="132"/>
        <v>0</v>
      </c>
      <c r="CE290" s="581">
        <f t="shared" si="133"/>
        <v>0</v>
      </c>
      <c r="CF290" s="581">
        <f t="shared" si="134"/>
        <v>0</v>
      </c>
      <c r="CG290" s="581">
        <f t="shared" si="135"/>
        <v>0</v>
      </c>
      <c r="CH290" s="608" t="str">
        <f t="shared" si="136"/>
        <v>#DIV/0!</v>
      </c>
      <c r="CI290" s="603" t="str">
        <f t="shared" si="137"/>
        <v>#DIV/0!</v>
      </c>
      <c r="CJ290" s="347"/>
      <c r="CK290" s="347">
        <f t="shared" si="138"/>
        <v>0</v>
      </c>
      <c r="CL290" s="539">
        <f t="shared" si="139"/>
        <v>0</v>
      </c>
      <c r="CM290" s="347">
        <f t="shared" si="140"/>
        <v>0</v>
      </c>
      <c r="CN290" s="347">
        <f t="shared" si="141"/>
        <v>0</v>
      </c>
      <c r="CO290" s="347" t="str">
        <f t="shared" si="142"/>
        <v>1899-12-30</v>
      </c>
      <c r="CP290" s="347"/>
    </row>
    <row r="291">
      <c r="A291" s="574">
        <f t="shared" si="147"/>
        <v>200205</v>
      </c>
      <c r="B291" s="574" t="str">
        <f t="shared" si="1"/>
        <v>Batch 200205</v>
      </c>
      <c r="C291" s="347"/>
      <c r="D291" s="574"/>
      <c r="E291" s="347"/>
      <c r="F291" s="596"/>
      <c r="G291" s="596"/>
      <c r="H291" s="347"/>
      <c r="I291" s="347"/>
      <c r="J291" s="596"/>
      <c r="K291" s="609"/>
      <c r="L291" s="1"/>
      <c r="M291" s="347"/>
      <c r="N291" s="347"/>
      <c r="O291" s="579">
        <f t="shared" si="2"/>
        <v>0</v>
      </c>
      <c r="P291" s="579">
        <f t="shared" si="126"/>
        <v>0</v>
      </c>
      <c r="Q291" s="574"/>
      <c r="R291" s="347"/>
      <c r="S291" s="597"/>
      <c r="T291" s="347"/>
      <c r="U291" s="579">
        <f t="shared" si="48"/>
        <v>0</v>
      </c>
      <c r="V291" s="579">
        <f t="shared" si="49"/>
        <v>0</v>
      </c>
      <c r="W291" s="574"/>
      <c r="X291" s="347"/>
      <c r="Y291" s="347"/>
      <c r="Z291" s="347"/>
      <c r="AA291" s="579">
        <f t="shared" si="6"/>
        <v>0</v>
      </c>
      <c r="AB291" s="581">
        <f t="shared" si="105"/>
        <v>0</v>
      </c>
      <c r="AC291" s="347"/>
      <c r="AD291" s="347"/>
      <c r="AE291" s="347"/>
      <c r="AF291" s="347"/>
      <c r="AG291" s="579">
        <f t="shared" si="54"/>
        <v>0</v>
      </c>
      <c r="AH291" s="579">
        <f t="shared" si="175"/>
        <v>0</v>
      </c>
      <c r="AI291" s="582"/>
      <c r="AJ291" s="582"/>
      <c r="AK291" s="582"/>
      <c r="AL291" s="582"/>
      <c r="AM291" s="579"/>
      <c r="AN291" s="579"/>
      <c r="AO291" s="347"/>
      <c r="AP291" s="581">
        <f t="shared" si="164"/>
        <v>0</v>
      </c>
      <c r="AQ291" s="596"/>
      <c r="AR291" s="596"/>
      <c r="AS291" s="348"/>
      <c r="AT291" s="348"/>
      <c r="AU291" s="348"/>
      <c r="AV291" s="348"/>
      <c r="AW291" s="348"/>
      <c r="AX291" s="584">
        <f t="shared" si="165"/>
        <v>0</v>
      </c>
      <c r="AY291" s="581">
        <f t="shared" si="12"/>
        <v>0</v>
      </c>
      <c r="AZ291" s="581">
        <f t="shared" si="159"/>
        <v>0</v>
      </c>
      <c r="BA291" s="596"/>
      <c r="BB291" s="596"/>
      <c r="BC291" s="348"/>
      <c r="BD291" s="581">
        <f t="shared" si="192"/>
        <v>0</v>
      </c>
      <c r="BE291" s="581">
        <f t="shared" si="37"/>
        <v>0</v>
      </c>
      <c r="BF291" s="347"/>
      <c r="BG291" s="347"/>
      <c r="BH291" s="347"/>
      <c r="BI291" s="347"/>
      <c r="BJ291" s="586">
        <f t="shared" si="187"/>
        <v>0</v>
      </c>
      <c r="BK291" s="581">
        <f t="shared" si="15"/>
        <v>0</v>
      </c>
      <c r="BL291" s="347"/>
      <c r="BM291" s="347"/>
      <c r="BN291" s="347"/>
      <c r="BO291" s="586">
        <f t="shared" si="189"/>
        <v>0</v>
      </c>
      <c r="BP291" s="584">
        <f t="shared" si="17"/>
        <v>0</v>
      </c>
      <c r="BQ291" s="347"/>
      <c r="BR291" s="581">
        <f t="shared" si="153"/>
        <v>0</v>
      </c>
      <c r="BS291" s="588">
        <f t="shared" si="180"/>
        <v>0</v>
      </c>
      <c r="BT291" s="581">
        <f t="shared" si="20"/>
        <v>0</v>
      </c>
      <c r="BU291" s="589"/>
      <c r="BV291" s="581">
        <f t="shared" si="44"/>
        <v>0</v>
      </c>
      <c r="BW291" s="590"/>
      <c r="BX291" s="347"/>
      <c r="BY291" s="347"/>
      <c r="BZ291" s="347"/>
      <c r="CA291" s="586">
        <f t="shared" si="129"/>
        <v>0</v>
      </c>
      <c r="CB291" s="581">
        <f t="shared" si="160"/>
        <v>0</v>
      </c>
      <c r="CC291" s="581">
        <f t="shared" si="131"/>
        <v>0</v>
      </c>
      <c r="CD291" s="581">
        <f t="shared" si="132"/>
        <v>0</v>
      </c>
      <c r="CE291" s="581">
        <f t="shared" si="133"/>
        <v>0</v>
      </c>
      <c r="CF291" s="581">
        <f t="shared" si="134"/>
        <v>0</v>
      </c>
      <c r="CG291" s="581">
        <f t="shared" si="135"/>
        <v>0</v>
      </c>
      <c r="CH291" s="608" t="str">
        <f t="shared" si="136"/>
        <v>#DIV/0!</v>
      </c>
      <c r="CI291" s="603" t="str">
        <f t="shared" si="137"/>
        <v>#DIV/0!</v>
      </c>
      <c r="CJ291" s="347"/>
      <c r="CK291" s="347">
        <f t="shared" si="138"/>
        <v>0</v>
      </c>
      <c r="CL291" s="539">
        <f t="shared" si="139"/>
        <v>0</v>
      </c>
      <c r="CM291" s="347">
        <f t="shared" si="140"/>
        <v>0</v>
      </c>
      <c r="CN291" s="347">
        <f t="shared" si="141"/>
        <v>0</v>
      </c>
      <c r="CO291" s="347" t="str">
        <f t="shared" si="142"/>
        <v>1899-12-30</v>
      </c>
      <c r="CP291" s="347"/>
    </row>
    <row r="292">
      <c r="A292" s="574">
        <f t="shared" si="147"/>
        <v>300138</v>
      </c>
      <c r="B292" s="574" t="str">
        <f t="shared" si="1"/>
        <v>Batch 300138</v>
      </c>
      <c r="C292" s="347"/>
      <c r="D292" s="574"/>
      <c r="E292" s="347"/>
      <c r="F292" s="596"/>
      <c r="G292" s="596"/>
      <c r="H292" s="347"/>
      <c r="I292" s="347"/>
      <c r="J292" s="596"/>
      <c r="K292" s="609"/>
      <c r="L292" s="1"/>
      <c r="M292" s="347"/>
      <c r="N292" s="347"/>
      <c r="O292" s="579">
        <f t="shared" si="2"/>
        <v>0</v>
      </c>
      <c r="P292" s="579">
        <f t="shared" si="126"/>
        <v>0</v>
      </c>
      <c r="Q292" s="574"/>
      <c r="R292" s="347"/>
      <c r="S292" s="597"/>
      <c r="T292" s="347"/>
      <c r="U292" s="579">
        <f t="shared" si="48"/>
        <v>0</v>
      </c>
      <c r="V292" s="579">
        <f t="shared" si="49"/>
        <v>0</v>
      </c>
      <c r="W292" s="574"/>
      <c r="X292" s="347"/>
      <c r="Y292" s="347"/>
      <c r="Z292" s="347"/>
      <c r="AA292" s="579">
        <f t="shared" si="6"/>
        <v>0</v>
      </c>
      <c r="AB292" s="581">
        <f t="shared" si="105"/>
        <v>0</v>
      </c>
      <c r="AC292" s="347"/>
      <c r="AD292" s="347"/>
      <c r="AE292" s="347"/>
      <c r="AF292" s="347"/>
      <c r="AG292" s="579">
        <f t="shared" si="54"/>
        <v>0</v>
      </c>
      <c r="AH292" s="579">
        <f t="shared" si="175"/>
        <v>0</v>
      </c>
      <c r="AI292" s="582"/>
      <c r="AJ292" s="582"/>
      <c r="AK292" s="582"/>
      <c r="AL292" s="582"/>
      <c r="AM292" s="579"/>
      <c r="AN292" s="579"/>
      <c r="AO292" s="347"/>
      <c r="AP292" s="581">
        <f t="shared" si="164"/>
        <v>0</v>
      </c>
      <c r="AQ292" s="596"/>
      <c r="AR292" s="596"/>
      <c r="AS292" s="348"/>
      <c r="AT292" s="348"/>
      <c r="AU292" s="348"/>
      <c r="AV292" s="348"/>
      <c r="AW292" s="348"/>
      <c r="AX292" s="584">
        <f t="shared" si="165"/>
        <v>0</v>
      </c>
      <c r="AY292" s="581">
        <f t="shared" si="12"/>
        <v>0</v>
      </c>
      <c r="AZ292" s="581">
        <f t="shared" si="159"/>
        <v>0</v>
      </c>
      <c r="BA292" s="596"/>
      <c r="BB292" s="596"/>
      <c r="BC292" s="348"/>
      <c r="BD292" s="581">
        <f t="shared" si="192"/>
        <v>0</v>
      </c>
      <c r="BE292" s="581">
        <f t="shared" si="37"/>
        <v>0</v>
      </c>
      <c r="BF292" s="347"/>
      <c r="BG292" s="347"/>
      <c r="BH292" s="347"/>
      <c r="BI292" s="347"/>
      <c r="BJ292" s="586">
        <f t="shared" si="187"/>
        <v>0</v>
      </c>
      <c r="BK292" s="581">
        <f t="shared" si="15"/>
        <v>0</v>
      </c>
      <c r="BL292" s="347"/>
      <c r="BM292" s="347"/>
      <c r="BN292" s="347"/>
      <c r="BO292" s="586">
        <f t="shared" si="189"/>
        <v>0</v>
      </c>
      <c r="BP292" s="584">
        <f t="shared" si="17"/>
        <v>0</v>
      </c>
      <c r="BQ292" s="347"/>
      <c r="BR292" s="581">
        <f t="shared" si="153"/>
        <v>0</v>
      </c>
      <c r="BS292" s="588">
        <f t="shared" si="180"/>
        <v>0</v>
      </c>
      <c r="BT292" s="581">
        <f t="shared" si="20"/>
        <v>0</v>
      </c>
      <c r="BU292" s="589"/>
      <c r="BV292" s="581">
        <f t="shared" si="44"/>
        <v>0</v>
      </c>
      <c r="BW292" s="590"/>
      <c r="BX292" s="347"/>
      <c r="BY292" s="347"/>
      <c r="BZ292" s="347"/>
      <c r="CA292" s="586">
        <f t="shared" si="129"/>
        <v>0</v>
      </c>
      <c r="CB292" s="581">
        <f t="shared" si="160"/>
        <v>0</v>
      </c>
      <c r="CC292" s="581">
        <f t="shared" si="131"/>
        <v>0</v>
      </c>
      <c r="CD292" s="581">
        <f t="shared" si="132"/>
        <v>0</v>
      </c>
      <c r="CE292" s="581">
        <f t="shared" si="133"/>
        <v>0</v>
      </c>
      <c r="CF292" s="581">
        <f t="shared" si="134"/>
        <v>0</v>
      </c>
      <c r="CG292" s="581">
        <f t="shared" si="135"/>
        <v>0</v>
      </c>
      <c r="CH292" s="608" t="str">
        <f t="shared" si="136"/>
        <v>#DIV/0!</v>
      </c>
      <c r="CI292" s="603" t="str">
        <f t="shared" si="137"/>
        <v>#DIV/0!</v>
      </c>
      <c r="CJ292" s="347"/>
      <c r="CK292" s="347">
        <f t="shared" si="138"/>
        <v>0</v>
      </c>
      <c r="CL292" s="539">
        <f t="shared" si="139"/>
        <v>0</v>
      </c>
      <c r="CM292" s="347">
        <f t="shared" si="140"/>
        <v>0</v>
      </c>
      <c r="CN292" s="347">
        <f t="shared" si="141"/>
        <v>0</v>
      </c>
      <c r="CO292" s="347" t="str">
        <f t="shared" si="142"/>
        <v>1899-12-30</v>
      </c>
      <c r="CP292" s="347"/>
    </row>
    <row r="293">
      <c r="A293" s="574">
        <f t="shared" si="147"/>
        <v>200206</v>
      </c>
      <c r="B293" s="574" t="str">
        <f t="shared" si="1"/>
        <v>Batch 200206</v>
      </c>
      <c r="C293" s="347"/>
      <c r="D293" s="574"/>
      <c r="E293" s="347"/>
      <c r="F293" s="596"/>
      <c r="G293" s="596"/>
      <c r="H293" s="347"/>
      <c r="I293" s="347"/>
      <c r="J293" s="596"/>
      <c r="K293" s="609"/>
      <c r="L293" s="1"/>
      <c r="M293" s="347"/>
      <c r="N293" s="347"/>
      <c r="O293" s="579">
        <f t="shared" si="2"/>
        <v>0</v>
      </c>
      <c r="P293" s="579">
        <f t="shared" si="126"/>
        <v>0</v>
      </c>
      <c r="Q293" s="574"/>
      <c r="R293" s="347"/>
      <c r="S293" s="597"/>
      <c r="T293" s="347"/>
      <c r="U293" s="579">
        <f t="shared" si="48"/>
        <v>0</v>
      </c>
      <c r="V293" s="579">
        <f t="shared" si="49"/>
        <v>0</v>
      </c>
      <c r="W293" s="574"/>
      <c r="X293" s="347"/>
      <c r="Y293" s="347"/>
      <c r="Z293" s="347"/>
      <c r="AA293" s="579">
        <f t="shared" si="6"/>
        <v>0</v>
      </c>
      <c r="AB293" s="581">
        <f t="shared" si="105"/>
        <v>0</v>
      </c>
      <c r="AC293" s="347"/>
      <c r="AD293" s="347"/>
      <c r="AE293" s="347"/>
      <c r="AF293" s="347"/>
      <c r="AG293" s="579">
        <f t="shared" si="54"/>
        <v>0</v>
      </c>
      <c r="AH293" s="579">
        <f t="shared" si="175"/>
        <v>0</v>
      </c>
      <c r="AI293" s="582"/>
      <c r="AJ293" s="582"/>
      <c r="AK293" s="582"/>
      <c r="AL293" s="582"/>
      <c r="AM293" s="579"/>
      <c r="AN293" s="579"/>
      <c r="AO293" s="347"/>
      <c r="AP293" s="581">
        <f t="shared" si="164"/>
        <v>0</v>
      </c>
      <c r="AQ293" s="596"/>
      <c r="AR293" s="596"/>
      <c r="AS293" s="348"/>
      <c r="AT293" s="348"/>
      <c r="AU293" s="348"/>
      <c r="AV293" s="348"/>
      <c r="AW293" s="348"/>
      <c r="AX293" s="584">
        <f t="shared" si="165"/>
        <v>0</v>
      </c>
      <c r="AY293" s="581">
        <f t="shared" si="12"/>
        <v>0</v>
      </c>
      <c r="AZ293" s="581">
        <f t="shared" si="159"/>
        <v>0</v>
      </c>
      <c r="BA293" s="596"/>
      <c r="BB293" s="596"/>
      <c r="BC293" s="348"/>
      <c r="BD293" s="581">
        <f t="shared" si="192"/>
        <v>0</v>
      </c>
      <c r="BE293" s="581">
        <f t="shared" si="37"/>
        <v>0</v>
      </c>
      <c r="BF293" s="347"/>
      <c r="BG293" s="347"/>
      <c r="BH293" s="347"/>
      <c r="BI293" s="347"/>
      <c r="BJ293" s="586">
        <f t="shared" si="187"/>
        <v>0</v>
      </c>
      <c r="BK293" s="581">
        <f t="shared" si="15"/>
        <v>0</v>
      </c>
      <c r="BL293" s="347"/>
      <c r="BM293" s="347"/>
      <c r="BN293" s="347"/>
      <c r="BO293" s="586">
        <f t="shared" si="189"/>
        <v>0</v>
      </c>
      <c r="BP293" s="584">
        <f t="shared" si="17"/>
        <v>0</v>
      </c>
      <c r="BQ293" s="347"/>
      <c r="BR293" s="581">
        <f t="shared" si="153"/>
        <v>0</v>
      </c>
      <c r="BS293" s="588">
        <f t="shared" si="180"/>
        <v>0</v>
      </c>
      <c r="BT293" s="581">
        <f t="shared" si="20"/>
        <v>0</v>
      </c>
      <c r="BU293" s="589"/>
      <c r="BV293" s="581">
        <f t="shared" si="44"/>
        <v>0</v>
      </c>
      <c r="BW293" s="590"/>
      <c r="BX293" s="347"/>
      <c r="BY293" s="347"/>
      <c r="BZ293" s="347"/>
      <c r="CA293" s="586">
        <f t="shared" si="129"/>
        <v>0</v>
      </c>
      <c r="CB293" s="581">
        <f t="shared" si="160"/>
        <v>0</v>
      </c>
      <c r="CC293" s="581">
        <f t="shared" si="131"/>
        <v>0</v>
      </c>
      <c r="CD293" s="581">
        <f t="shared" si="132"/>
        <v>0</v>
      </c>
      <c r="CE293" s="581">
        <f t="shared" si="133"/>
        <v>0</v>
      </c>
      <c r="CF293" s="581">
        <f t="shared" si="134"/>
        <v>0</v>
      </c>
      <c r="CG293" s="581">
        <f t="shared" si="135"/>
        <v>0</v>
      </c>
      <c r="CH293" s="608" t="str">
        <f t="shared" si="136"/>
        <v>#DIV/0!</v>
      </c>
      <c r="CI293" s="603" t="str">
        <f t="shared" si="137"/>
        <v>#DIV/0!</v>
      </c>
      <c r="CJ293" s="347"/>
      <c r="CK293" s="347">
        <f t="shared" si="138"/>
        <v>0</v>
      </c>
      <c r="CL293" s="539">
        <f t="shared" si="139"/>
        <v>0</v>
      </c>
      <c r="CM293" s="347">
        <f t="shared" si="140"/>
        <v>0</v>
      </c>
      <c r="CN293" s="347">
        <f t="shared" si="141"/>
        <v>0</v>
      </c>
      <c r="CO293" s="347" t="str">
        <f t="shared" si="142"/>
        <v>1899-12-30</v>
      </c>
      <c r="CP293" s="347"/>
    </row>
    <row r="294">
      <c r="A294" s="574">
        <f t="shared" si="147"/>
        <v>300139</v>
      </c>
      <c r="B294" s="574" t="str">
        <f t="shared" si="1"/>
        <v>Batch 300139</v>
      </c>
      <c r="C294" s="347"/>
      <c r="D294" s="574"/>
      <c r="E294" s="347"/>
      <c r="F294" s="596"/>
      <c r="G294" s="596"/>
      <c r="H294" s="347"/>
      <c r="I294" s="347"/>
      <c r="J294" s="596"/>
      <c r="K294" s="609"/>
      <c r="L294" s="1"/>
      <c r="M294" s="347"/>
      <c r="N294" s="347"/>
      <c r="O294" s="579">
        <f t="shared" si="2"/>
        <v>0</v>
      </c>
      <c r="P294" s="579">
        <f t="shared" si="126"/>
        <v>0</v>
      </c>
      <c r="Q294" s="574"/>
      <c r="R294" s="347"/>
      <c r="S294" s="597"/>
      <c r="T294" s="347"/>
      <c r="U294" s="579">
        <f t="shared" si="48"/>
        <v>0</v>
      </c>
      <c r="V294" s="579">
        <f t="shared" si="49"/>
        <v>0</v>
      </c>
      <c r="W294" s="574"/>
      <c r="X294" s="347"/>
      <c r="Y294" s="347"/>
      <c r="Z294" s="347"/>
      <c r="AA294" s="579">
        <f t="shared" si="6"/>
        <v>0</v>
      </c>
      <c r="AB294" s="581">
        <f t="shared" si="105"/>
        <v>0</v>
      </c>
      <c r="AC294" s="347"/>
      <c r="AD294" s="347"/>
      <c r="AE294" s="347"/>
      <c r="AF294" s="347"/>
      <c r="AG294" s="579">
        <f t="shared" si="54"/>
        <v>0</v>
      </c>
      <c r="AH294" s="579">
        <f t="shared" si="175"/>
        <v>0</v>
      </c>
      <c r="AI294" s="582"/>
      <c r="AJ294" s="582"/>
      <c r="AK294" s="582"/>
      <c r="AL294" s="582"/>
      <c r="AM294" s="579"/>
      <c r="AN294" s="579"/>
      <c r="AO294" s="347"/>
      <c r="AP294" s="581">
        <f t="shared" si="164"/>
        <v>0</v>
      </c>
      <c r="AQ294" s="596"/>
      <c r="AR294" s="596"/>
      <c r="AS294" s="348"/>
      <c r="AT294" s="348"/>
      <c r="AU294" s="348"/>
      <c r="AV294" s="348"/>
      <c r="AW294" s="348"/>
      <c r="AX294" s="584">
        <f t="shared" si="165"/>
        <v>0</v>
      </c>
      <c r="AY294" s="581">
        <f t="shared" si="12"/>
        <v>0</v>
      </c>
      <c r="AZ294" s="581">
        <f t="shared" si="159"/>
        <v>0</v>
      </c>
      <c r="BA294" s="596"/>
      <c r="BB294" s="596"/>
      <c r="BC294" s="348"/>
      <c r="BD294" s="581">
        <f t="shared" si="192"/>
        <v>0</v>
      </c>
      <c r="BE294" s="581">
        <f t="shared" si="37"/>
        <v>0</v>
      </c>
      <c r="BF294" s="347"/>
      <c r="BG294" s="347"/>
      <c r="BH294" s="347"/>
      <c r="BI294" s="347"/>
      <c r="BJ294" s="586">
        <f t="shared" si="187"/>
        <v>0</v>
      </c>
      <c r="BK294" s="581">
        <f t="shared" si="15"/>
        <v>0</v>
      </c>
      <c r="BL294" s="347"/>
      <c r="BM294" s="347"/>
      <c r="BN294" s="347"/>
      <c r="BO294" s="586">
        <f t="shared" si="189"/>
        <v>0</v>
      </c>
      <c r="BP294" s="584">
        <f t="shared" si="17"/>
        <v>0</v>
      </c>
      <c r="BQ294" s="347"/>
      <c r="BR294" s="581">
        <f t="shared" si="153"/>
        <v>0</v>
      </c>
      <c r="BS294" s="588">
        <f t="shared" si="180"/>
        <v>0</v>
      </c>
      <c r="BT294" s="581">
        <f t="shared" si="20"/>
        <v>0</v>
      </c>
      <c r="BU294" s="589"/>
      <c r="BV294" s="581">
        <f t="shared" si="44"/>
        <v>0</v>
      </c>
      <c r="BW294" s="590"/>
      <c r="BX294" s="347"/>
      <c r="BY294" s="347"/>
      <c r="BZ294" s="347"/>
      <c r="CA294" s="586">
        <f t="shared" si="129"/>
        <v>0</v>
      </c>
      <c r="CB294" s="581">
        <f t="shared" si="160"/>
        <v>0</v>
      </c>
      <c r="CC294" s="581">
        <f t="shared" si="131"/>
        <v>0</v>
      </c>
      <c r="CD294" s="581">
        <f t="shared" si="132"/>
        <v>0</v>
      </c>
      <c r="CE294" s="581">
        <f t="shared" si="133"/>
        <v>0</v>
      </c>
      <c r="CF294" s="581">
        <f t="shared" si="134"/>
        <v>0</v>
      </c>
      <c r="CG294" s="581">
        <f t="shared" si="135"/>
        <v>0</v>
      </c>
      <c r="CH294" s="608" t="str">
        <f t="shared" si="136"/>
        <v>#DIV/0!</v>
      </c>
      <c r="CI294" s="603" t="str">
        <f t="shared" si="137"/>
        <v>#DIV/0!</v>
      </c>
      <c r="CJ294" s="347"/>
      <c r="CK294" s="347">
        <f t="shared" si="138"/>
        <v>0</v>
      </c>
      <c r="CL294" s="539">
        <f t="shared" si="139"/>
        <v>0</v>
      </c>
      <c r="CM294" s="347">
        <f t="shared" si="140"/>
        <v>0</v>
      </c>
      <c r="CN294" s="347">
        <f t="shared" si="141"/>
        <v>0</v>
      </c>
      <c r="CO294" s="347" t="str">
        <f t="shared" si="142"/>
        <v>1899-12-30</v>
      </c>
      <c r="CP294" s="347"/>
    </row>
    <row r="295">
      <c r="A295" s="574">
        <f t="shared" si="147"/>
        <v>200207</v>
      </c>
      <c r="B295" s="574" t="str">
        <f t="shared" si="1"/>
        <v>Batch 200207</v>
      </c>
      <c r="C295" s="347"/>
      <c r="D295" s="574"/>
      <c r="E295" s="347"/>
      <c r="F295" s="596"/>
      <c r="G295" s="596"/>
      <c r="H295" s="347"/>
      <c r="I295" s="347"/>
      <c r="J295" s="596"/>
      <c r="K295" s="609"/>
      <c r="L295" s="1"/>
      <c r="M295" s="347"/>
      <c r="N295" s="347"/>
      <c r="O295" s="579">
        <f t="shared" si="2"/>
        <v>0</v>
      </c>
      <c r="P295" s="579">
        <f t="shared" si="126"/>
        <v>0</v>
      </c>
      <c r="Q295" s="574"/>
      <c r="R295" s="347"/>
      <c r="S295" s="597"/>
      <c r="T295" s="347"/>
      <c r="U295" s="579">
        <f t="shared" si="48"/>
        <v>0</v>
      </c>
      <c r="V295" s="579">
        <f t="shared" si="49"/>
        <v>0</v>
      </c>
      <c r="W295" s="574"/>
      <c r="X295" s="347"/>
      <c r="Y295" s="347"/>
      <c r="Z295" s="347"/>
      <c r="AA295" s="579">
        <f t="shared" si="6"/>
        <v>0</v>
      </c>
      <c r="AB295" s="581">
        <f t="shared" si="105"/>
        <v>0</v>
      </c>
      <c r="AC295" s="347"/>
      <c r="AD295" s="347"/>
      <c r="AE295" s="347"/>
      <c r="AF295" s="347"/>
      <c r="AG295" s="579">
        <f t="shared" si="54"/>
        <v>0</v>
      </c>
      <c r="AH295" s="579">
        <f t="shared" si="175"/>
        <v>0</v>
      </c>
      <c r="AI295" s="582"/>
      <c r="AJ295" s="582"/>
      <c r="AK295" s="582"/>
      <c r="AL295" s="582"/>
      <c r="AM295" s="579"/>
      <c r="AN295" s="579"/>
      <c r="AO295" s="347"/>
      <c r="AP295" s="581">
        <f t="shared" si="164"/>
        <v>0</v>
      </c>
      <c r="AQ295" s="596"/>
      <c r="AR295" s="596"/>
      <c r="AS295" s="348"/>
      <c r="AT295" s="348"/>
      <c r="AU295" s="348"/>
      <c r="AV295" s="348"/>
      <c r="AW295" s="348"/>
      <c r="AX295" s="584">
        <f t="shared" si="165"/>
        <v>0</v>
      </c>
      <c r="AY295" s="581">
        <f t="shared" si="12"/>
        <v>0</v>
      </c>
      <c r="AZ295" s="581">
        <f t="shared" si="159"/>
        <v>0</v>
      </c>
      <c r="BA295" s="596"/>
      <c r="BB295" s="596"/>
      <c r="BC295" s="348"/>
      <c r="BD295" s="581">
        <f t="shared" si="192"/>
        <v>0</v>
      </c>
      <c r="BE295" s="581">
        <f t="shared" si="37"/>
        <v>0</v>
      </c>
      <c r="BF295" s="347"/>
      <c r="BG295" s="347"/>
      <c r="BH295" s="347"/>
      <c r="BI295" s="347"/>
      <c r="BJ295" s="586">
        <f t="shared" si="187"/>
        <v>0</v>
      </c>
      <c r="BK295" s="581">
        <f t="shared" si="15"/>
        <v>0</v>
      </c>
      <c r="BL295" s="347"/>
      <c r="BM295" s="347"/>
      <c r="BN295" s="347"/>
      <c r="BO295" s="586">
        <f t="shared" si="189"/>
        <v>0</v>
      </c>
      <c r="BP295" s="584">
        <f t="shared" si="17"/>
        <v>0</v>
      </c>
      <c r="BQ295" s="347"/>
      <c r="BR295" s="581">
        <f t="shared" si="153"/>
        <v>0</v>
      </c>
      <c r="BS295" s="588">
        <f t="shared" si="180"/>
        <v>0</v>
      </c>
      <c r="BT295" s="581">
        <f t="shared" si="20"/>
        <v>0</v>
      </c>
      <c r="BU295" s="589"/>
      <c r="BV295" s="581">
        <f t="shared" si="44"/>
        <v>0</v>
      </c>
      <c r="BW295" s="590"/>
      <c r="BX295" s="347"/>
      <c r="BY295" s="347"/>
      <c r="BZ295" s="347"/>
      <c r="CA295" s="586">
        <f t="shared" si="129"/>
        <v>0</v>
      </c>
      <c r="CB295" s="581">
        <f t="shared" si="160"/>
        <v>0</v>
      </c>
      <c r="CC295" s="581">
        <f t="shared" si="131"/>
        <v>0</v>
      </c>
      <c r="CD295" s="581">
        <f t="shared" si="132"/>
        <v>0</v>
      </c>
      <c r="CE295" s="581">
        <f t="shared" si="133"/>
        <v>0</v>
      </c>
      <c r="CF295" s="581">
        <f t="shared" si="134"/>
        <v>0</v>
      </c>
      <c r="CG295" s="581">
        <f t="shared" si="135"/>
        <v>0</v>
      </c>
      <c r="CH295" s="608" t="str">
        <f t="shared" si="136"/>
        <v>#DIV/0!</v>
      </c>
      <c r="CI295" s="603" t="str">
        <f t="shared" si="137"/>
        <v>#DIV/0!</v>
      </c>
      <c r="CJ295" s="347"/>
      <c r="CK295" s="347">
        <f t="shared" si="138"/>
        <v>0</v>
      </c>
      <c r="CL295" s="539">
        <f t="shared" si="139"/>
        <v>0</v>
      </c>
      <c r="CM295" s="347">
        <f t="shared" si="140"/>
        <v>0</v>
      </c>
      <c r="CN295" s="347">
        <f t="shared" si="141"/>
        <v>0</v>
      </c>
      <c r="CO295" s="347" t="str">
        <f t="shared" si="142"/>
        <v>1899-12-30</v>
      </c>
      <c r="CP295" s="347"/>
    </row>
    <row r="296">
      <c r="A296" s="574">
        <f t="shared" si="147"/>
        <v>300140</v>
      </c>
      <c r="B296" s="574" t="str">
        <f t="shared" si="1"/>
        <v>Batch 300140</v>
      </c>
      <c r="C296" s="347"/>
      <c r="D296" s="574"/>
      <c r="E296" s="347"/>
      <c r="F296" s="596"/>
      <c r="G296" s="596"/>
      <c r="H296" s="347"/>
      <c r="I296" s="347"/>
      <c r="J296" s="596"/>
      <c r="K296" s="609"/>
      <c r="L296" s="1"/>
      <c r="M296" s="347"/>
      <c r="N296" s="347"/>
      <c r="O296" s="579">
        <f t="shared" si="2"/>
        <v>0</v>
      </c>
      <c r="P296" s="579">
        <f t="shared" si="126"/>
        <v>0</v>
      </c>
      <c r="Q296" s="574"/>
      <c r="R296" s="347"/>
      <c r="S296" s="597"/>
      <c r="T296" s="347"/>
      <c r="U296" s="579">
        <f t="shared" si="48"/>
        <v>0</v>
      </c>
      <c r="V296" s="579">
        <f t="shared" si="49"/>
        <v>0</v>
      </c>
      <c r="W296" s="574"/>
      <c r="X296" s="347"/>
      <c r="Y296" s="347"/>
      <c r="Z296" s="347"/>
      <c r="AA296" s="579">
        <f t="shared" si="6"/>
        <v>0</v>
      </c>
      <c r="AB296" s="581">
        <f t="shared" si="105"/>
        <v>0</v>
      </c>
      <c r="AC296" s="347"/>
      <c r="AD296" s="347"/>
      <c r="AE296" s="347"/>
      <c r="AF296" s="347"/>
      <c r="AG296" s="579">
        <f t="shared" si="54"/>
        <v>0</v>
      </c>
      <c r="AH296" s="579">
        <f t="shared" si="175"/>
        <v>0</v>
      </c>
      <c r="AI296" s="582"/>
      <c r="AJ296" s="582"/>
      <c r="AK296" s="582"/>
      <c r="AL296" s="582"/>
      <c r="AM296" s="579"/>
      <c r="AN296" s="579"/>
      <c r="AO296" s="347"/>
      <c r="AP296" s="581">
        <f t="shared" si="164"/>
        <v>0</v>
      </c>
      <c r="AQ296" s="596"/>
      <c r="AR296" s="596"/>
      <c r="AS296" s="348"/>
      <c r="AT296" s="348"/>
      <c r="AU296" s="348"/>
      <c r="AV296" s="348"/>
      <c r="AW296" s="348"/>
      <c r="AX296" s="584">
        <f t="shared" si="165"/>
        <v>0</v>
      </c>
      <c r="AY296" s="581">
        <f t="shared" si="12"/>
        <v>0</v>
      </c>
      <c r="AZ296" s="581">
        <f t="shared" si="159"/>
        <v>0</v>
      </c>
      <c r="BA296" s="596"/>
      <c r="BB296" s="596"/>
      <c r="BC296" s="348"/>
      <c r="BD296" s="581">
        <f t="shared" si="192"/>
        <v>0</v>
      </c>
      <c r="BE296" s="581">
        <f t="shared" si="37"/>
        <v>0</v>
      </c>
      <c r="BF296" s="347"/>
      <c r="BG296" s="347"/>
      <c r="BH296" s="347"/>
      <c r="BI296" s="347"/>
      <c r="BJ296" s="586">
        <f t="shared" si="187"/>
        <v>0</v>
      </c>
      <c r="BK296" s="581">
        <f t="shared" si="15"/>
        <v>0</v>
      </c>
      <c r="BL296" s="347"/>
      <c r="BM296" s="347"/>
      <c r="BN296" s="347"/>
      <c r="BO296" s="586">
        <f t="shared" si="189"/>
        <v>0</v>
      </c>
      <c r="BP296" s="584">
        <f t="shared" si="17"/>
        <v>0</v>
      </c>
      <c r="BQ296" s="347"/>
      <c r="BR296" s="581">
        <f t="shared" si="153"/>
        <v>0</v>
      </c>
      <c r="BS296" s="588">
        <f t="shared" si="180"/>
        <v>0</v>
      </c>
      <c r="BT296" s="581">
        <f t="shared" si="20"/>
        <v>0</v>
      </c>
      <c r="BU296" s="589"/>
      <c r="BV296" s="581">
        <f t="shared" si="44"/>
        <v>0</v>
      </c>
      <c r="BW296" s="590"/>
      <c r="BX296" s="347"/>
      <c r="BY296" s="347"/>
      <c r="BZ296" s="347"/>
      <c r="CA296" s="586">
        <f t="shared" si="129"/>
        <v>0</v>
      </c>
      <c r="CB296" s="581">
        <f t="shared" si="160"/>
        <v>0</v>
      </c>
      <c r="CC296" s="581">
        <f t="shared" si="131"/>
        <v>0</v>
      </c>
      <c r="CD296" s="581">
        <f t="shared" si="132"/>
        <v>0</v>
      </c>
      <c r="CE296" s="581">
        <f t="shared" si="133"/>
        <v>0</v>
      </c>
      <c r="CF296" s="581">
        <f t="shared" si="134"/>
        <v>0</v>
      </c>
      <c r="CG296" s="581">
        <f t="shared" si="135"/>
        <v>0</v>
      </c>
      <c r="CH296" s="608" t="str">
        <f t="shared" si="136"/>
        <v>#DIV/0!</v>
      </c>
      <c r="CI296" s="603" t="str">
        <f t="shared" si="137"/>
        <v>#DIV/0!</v>
      </c>
      <c r="CJ296" s="347"/>
      <c r="CK296" s="347">
        <f t="shared" si="138"/>
        <v>0</v>
      </c>
      <c r="CL296" s="539">
        <f t="shared" si="139"/>
        <v>0</v>
      </c>
      <c r="CM296" s="347">
        <f t="shared" si="140"/>
        <v>0</v>
      </c>
      <c r="CN296" s="347">
        <f t="shared" si="141"/>
        <v>0</v>
      </c>
      <c r="CO296" s="347" t="str">
        <f t="shared" si="142"/>
        <v>1899-12-30</v>
      </c>
      <c r="CP296" s="347"/>
    </row>
    <row r="297">
      <c r="A297" s="574">
        <f t="shared" si="147"/>
        <v>200208</v>
      </c>
      <c r="B297" s="574" t="str">
        <f t="shared" si="1"/>
        <v>Batch 200208</v>
      </c>
      <c r="C297" s="347"/>
      <c r="D297" s="574"/>
      <c r="E297" s="347"/>
      <c r="F297" s="596"/>
      <c r="G297" s="596"/>
      <c r="H297" s="347"/>
      <c r="I297" s="347"/>
      <c r="J297" s="596"/>
      <c r="K297" s="609"/>
      <c r="L297" s="1"/>
      <c r="M297" s="347"/>
      <c r="N297" s="347"/>
      <c r="O297" s="579">
        <f t="shared" si="2"/>
        <v>0</v>
      </c>
      <c r="P297" s="579">
        <f t="shared" si="126"/>
        <v>0</v>
      </c>
      <c r="Q297" s="574"/>
      <c r="R297" s="347"/>
      <c r="S297" s="597"/>
      <c r="T297" s="347"/>
      <c r="U297" s="579">
        <f t="shared" si="48"/>
        <v>0</v>
      </c>
      <c r="V297" s="579">
        <f t="shared" si="49"/>
        <v>0</v>
      </c>
      <c r="W297" s="574"/>
      <c r="X297" s="347"/>
      <c r="Y297" s="347"/>
      <c r="Z297" s="347"/>
      <c r="AA297" s="579">
        <f t="shared" si="6"/>
        <v>0</v>
      </c>
      <c r="AB297" s="581">
        <f t="shared" si="105"/>
        <v>0</v>
      </c>
      <c r="AC297" s="347"/>
      <c r="AD297" s="347"/>
      <c r="AE297" s="347"/>
      <c r="AF297" s="347"/>
      <c r="AG297" s="579">
        <f t="shared" si="54"/>
        <v>0</v>
      </c>
      <c r="AH297" s="579">
        <f t="shared" si="175"/>
        <v>0</v>
      </c>
      <c r="AI297" s="582"/>
      <c r="AJ297" s="582"/>
      <c r="AK297" s="582"/>
      <c r="AL297" s="582"/>
      <c r="AM297" s="579"/>
      <c r="AN297" s="579"/>
      <c r="AO297" s="347"/>
      <c r="AP297" s="581">
        <f t="shared" si="164"/>
        <v>0</v>
      </c>
      <c r="AQ297" s="596"/>
      <c r="AR297" s="596"/>
      <c r="AS297" s="348"/>
      <c r="AT297" s="348"/>
      <c r="AU297" s="348"/>
      <c r="AV297" s="348"/>
      <c r="AW297" s="348"/>
      <c r="AX297" s="584">
        <f t="shared" si="165"/>
        <v>0</v>
      </c>
      <c r="AY297" s="581">
        <f t="shared" si="12"/>
        <v>0</v>
      </c>
      <c r="AZ297" s="581">
        <f t="shared" si="159"/>
        <v>0</v>
      </c>
      <c r="BA297" s="596"/>
      <c r="BB297" s="596"/>
      <c r="BC297" s="348"/>
      <c r="BD297" s="581">
        <f t="shared" si="192"/>
        <v>0</v>
      </c>
      <c r="BE297" s="581">
        <f t="shared" si="37"/>
        <v>0</v>
      </c>
      <c r="BF297" s="347"/>
      <c r="BG297" s="347"/>
      <c r="BH297" s="347"/>
      <c r="BI297" s="347"/>
      <c r="BJ297" s="586">
        <f t="shared" si="187"/>
        <v>0</v>
      </c>
      <c r="BK297" s="581">
        <f t="shared" si="15"/>
        <v>0</v>
      </c>
      <c r="BL297" s="347"/>
      <c r="BM297" s="347"/>
      <c r="BN297" s="347"/>
      <c r="BO297" s="586">
        <f t="shared" si="189"/>
        <v>0</v>
      </c>
      <c r="BP297" s="584">
        <f t="shared" si="17"/>
        <v>0</v>
      </c>
      <c r="BQ297" s="347"/>
      <c r="BR297" s="581">
        <f t="shared" si="153"/>
        <v>0</v>
      </c>
      <c r="BS297" s="588">
        <f t="shared" si="180"/>
        <v>0</v>
      </c>
      <c r="BT297" s="581">
        <f t="shared" si="20"/>
        <v>0</v>
      </c>
      <c r="BU297" s="589"/>
      <c r="BV297" s="581">
        <f t="shared" si="44"/>
        <v>0</v>
      </c>
      <c r="BW297" s="590"/>
      <c r="BX297" s="347"/>
      <c r="BY297" s="347"/>
      <c r="BZ297" s="347"/>
      <c r="CA297" s="586">
        <f t="shared" si="129"/>
        <v>0</v>
      </c>
      <c r="CB297" s="581">
        <f t="shared" si="160"/>
        <v>0</v>
      </c>
      <c r="CC297" s="581">
        <f t="shared" si="131"/>
        <v>0</v>
      </c>
      <c r="CD297" s="581">
        <f t="shared" si="132"/>
        <v>0</v>
      </c>
      <c r="CE297" s="581">
        <f t="shared" si="133"/>
        <v>0</v>
      </c>
      <c r="CF297" s="581">
        <f t="shared" si="134"/>
        <v>0</v>
      </c>
      <c r="CG297" s="581">
        <f t="shared" si="135"/>
        <v>0</v>
      </c>
      <c r="CH297" s="608" t="str">
        <f t="shared" si="136"/>
        <v>#DIV/0!</v>
      </c>
      <c r="CI297" s="603" t="str">
        <f t="shared" si="137"/>
        <v>#DIV/0!</v>
      </c>
      <c r="CJ297" s="347"/>
      <c r="CK297" s="347">
        <f t="shared" si="138"/>
        <v>0</v>
      </c>
      <c r="CL297" s="539">
        <f t="shared" si="139"/>
        <v>0</v>
      </c>
      <c r="CM297" s="347">
        <f t="shared" si="140"/>
        <v>0</v>
      </c>
      <c r="CN297" s="347">
        <f t="shared" si="141"/>
        <v>0</v>
      </c>
      <c r="CO297" s="347" t="str">
        <f t="shared" si="142"/>
        <v>1899-12-30</v>
      </c>
      <c r="CP297" s="347"/>
    </row>
    <row r="298">
      <c r="A298" s="574">
        <f t="shared" si="147"/>
        <v>300141</v>
      </c>
      <c r="B298" s="574" t="str">
        <f t="shared" si="1"/>
        <v>Batch 300141</v>
      </c>
      <c r="C298" s="347"/>
      <c r="D298" s="574"/>
      <c r="E298" s="347"/>
      <c r="F298" s="596"/>
      <c r="G298" s="596"/>
      <c r="H298" s="347"/>
      <c r="I298" s="347"/>
      <c r="J298" s="596"/>
      <c r="K298" s="609"/>
      <c r="L298" s="1"/>
      <c r="M298" s="347"/>
      <c r="N298" s="347"/>
      <c r="O298" s="579">
        <f t="shared" si="2"/>
        <v>0</v>
      </c>
      <c r="P298" s="579">
        <f t="shared" si="126"/>
        <v>0</v>
      </c>
      <c r="Q298" s="574"/>
      <c r="R298" s="347"/>
      <c r="S298" s="597"/>
      <c r="T298" s="347"/>
      <c r="U298" s="579">
        <f t="shared" si="48"/>
        <v>0</v>
      </c>
      <c r="V298" s="579">
        <f t="shared" si="49"/>
        <v>0</v>
      </c>
      <c r="W298" s="574"/>
      <c r="X298" s="347"/>
      <c r="Y298" s="347"/>
      <c r="Z298" s="347"/>
      <c r="AA298" s="579">
        <f t="shared" si="6"/>
        <v>0</v>
      </c>
      <c r="AB298" s="581">
        <f t="shared" si="105"/>
        <v>0</v>
      </c>
      <c r="AC298" s="347"/>
      <c r="AD298" s="347"/>
      <c r="AE298" s="347"/>
      <c r="AF298" s="347"/>
      <c r="AG298" s="579">
        <f t="shared" si="54"/>
        <v>0</v>
      </c>
      <c r="AH298" s="579">
        <f t="shared" si="175"/>
        <v>0</v>
      </c>
      <c r="AI298" s="582"/>
      <c r="AJ298" s="582"/>
      <c r="AK298" s="582"/>
      <c r="AL298" s="582"/>
      <c r="AM298" s="579"/>
      <c r="AN298" s="579"/>
      <c r="AO298" s="347"/>
      <c r="AP298" s="581">
        <f t="shared" si="164"/>
        <v>0</v>
      </c>
      <c r="AQ298" s="596"/>
      <c r="AR298" s="596"/>
      <c r="AS298" s="348"/>
      <c r="AT298" s="348"/>
      <c r="AU298" s="348"/>
      <c r="AV298" s="348"/>
      <c r="AW298" s="348"/>
      <c r="AX298" s="584">
        <f t="shared" si="165"/>
        <v>0</v>
      </c>
      <c r="AY298" s="581">
        <f t="shared" si="12"/>
        <v>0</v>
      </c>
      <c r="AZ298" s="581">
        <f t="shared" si="159"/>
        <v>0</v>
      </c>
      <c r="BA298" s="596"/>
      <c r="BB298" s="596"/>
      <c r="BC298" s="348"/>
      <c r="BD298" s="581">
        <f t="shared" si="192"/>
        <v>0</v>
      </c>
      <c r="BE298" s="581">
        <f t="shared" si="37"/>
        <v>0</v>
      </c>
      <c r="BF298" s="347"/>
      <c r="BG298" s="347"/>
      <c r="BH298" s="347"/>
      <c r="BI298" s="347"/>
      <c r="BJ298" s="586">
        <f t="shared" si="187"/>
        <v>0</v>
      </c>
      <c r="BK298" s="581">
        <f t="shared" si="15"/>
        <v>0</v>
      </c>
      <c r="BL298" s="347"/>
      <c r="BM298" s="347"/>
      <c r="BN298" s="347"/>
      <c r="BO298" s="586">
        <f t="shared" si="189"/>
        <v>0</v>
      </c>
      <c r="BP298" s="584">
        <f t="shared" si="17"/>
        <v>0</v>
      </c>
      <c r="BQ298" s="347"/>
      <c r="BR298" s="581">
        <f t="shared" si="153"/>
        <v>0</v>
      </c>
      <c r="BS298" s="588">
        <f t="shared" si="180"/>
        <v>0</v>
      </c>
      <c r="BT298" s="581">
        <f t="shared" si="20"/>
        <v>0</v>
      </c>
      <c r="BU298" s="589"/>
      <c r="BV298" s="581">
        <f t="shared" si="44"/>
        <v>0</v>
      </c>
      <c r="BW298" s="590"/>
      <c r="BX298" s="347"/>
      <c r="BY298" s="347"/>
      <c r="BZ298" s="347"/>
      <c r="CA298" s="586">
        <f t="shared" si="129"/>
        <v>0</v>
      </c>
      <c r="CB298" s="581">
        <f t="shared" si="160"/>
        <v>0</v>
      </c>
      <c r="CC298" s="581">
        <f t="shared" si="131"/>
        <v>0</v>
      </c>
      <c r="CD298" s="581">
        <f t="shared" si="132"/>
        <v>0</v>
      </c>
      <c r="CE298" s="581">
        <f t="shared" si="133"/>
        <v>0</v>
      </c>
      <c r="CF298" s="581">
        <f t="shared" si="134"/>
        <v>0</v>
      </c>
      <c r="CG298" s="581">
        <f t="shared" si="135"/>
        <v>0</v>
      </c>
      <c r="CH298" s="608" t="str">
        <f t="shared" si="136"/>
        <v>#DIV/0!</v>
      </c>
      <c r="CI298" s="603" t="str">
        <f t="shared" si="137"/>
        <v>#DIV/0!</v>
      </c>
      <c r="CJ298" s="347"/>
      <c r="CK298" s="347">
        <f t="shared" si="138"/>
        <v>0</v>
      </c>
      <c r="CL298" s="539">
        <f t="shared" si="139"/>
        <v>0</v>
      </c>
      <c r="CM298" s="347">
        <f t="shared" si="140"/>
        <v>0</v>
      </c>
      <c r="CN298" s="347">
        <f t="shared" si="141"/>
        <v>0</v>
      </c>
      <c r="CO298" s="347" t="str">
        <f t="shared" si="142"/>
        <v>1899-12-30</v>
      </c>
      <c r="CP298" s="347"/>
    </row>
    <row r="299">
      <c r="A299" s="574">
        <f t="shared" si="147"/>
        <v>200209</v>
      </c>
      <c r="B299" s="574" t="str">
        <f t="shared" si="1"/>
        <v>Batch 200209</v>
      </c>
      <c r="C299" s="347"/>
      <c r="D299" s="574"/>
      <c r="E299" s="347"/>
      <c r="F299" s="596"/>
      <c r="G299" s="596"/>
      <c r="H299" s="347"/>
      <c r="I299" s="347"/>
      <c r="J299" s="596"/>
      <c r="K299" s="609"/>
      <c r="L299" s="1"/>
      <c r="M299" s="347"/>
      <c r="N299" s="347"/>
      <c r="O299" s="579">
        <f t="shared" si="2"/>
        <v>0</v>
      </c>
      <c r="P299" s="579">
        <f t="shared" si="126"/>
        <v>0</v>
      </c>
      <c r="Q299" s="574"/>
      <c r="R299" s="347"/>
      <c r="S299" s="597"/>
      <c r="T299" s="347"/>
      <c r="U299" s="579">
        <f t="shared" si="48"/>
        <v>0</v>
      </c>
      <c r="V299" s="579">
        <f t="shared" si="49"/>
        <v>0</v>
      </c>
      <c r="W299" s="574"/>
      <c r="X299" s="347"/>
      <c r="Y299" s="347"/>
      <c r="Z299" s="347"/>
      <c r="AA299" s="579">
        <f t="shared" si="6"/>
        <v>0</v>
      </c>
      <c r="AB299" s="581">
        <f t="shared" si="105"/>
        <v>0</v>
      </c>
      <c r="AC299" s="347"/>
      <c r="AD299" s="347"/>
      <c r="AE299" s="347"/>
      <c r="AF299" s="347"/>
      <c r="AG299" s="579">
        <f t="shared" si="54"/>
        <v>0</v>
      </c>
      <c r="AH299" s="579">
        <f t="shared" si="175"/>
        <v>0</v>
      </c>
      <c r="AI299" s="582"/>
      <c r="AJ299" s="582"/>
      <c r="AK299" s="582"/>
      <c r="AL299" s="582"/>
      <c r="AM299" s="579"/>
      <c r="AN299" s="579"/>
      <c r="AO299" s="347"/>
      <c r="AP299" s="581">
        <f t="shared" si="164"/>
        <v>0</v>
      </c>
      <c r="AQ299" s="596"/>
      <c r="AR299" s="596"/>
      <c r="AS299" s="348"/>
      <c r="AT299" s="348"/>
      <c r="AU299" s="348"/>
      <c r="AV299" s="348"/>
      <c r="AW299" s="348"/>
      <c r="AX299" s="584">
        <f t="shared" si="165"/>
        <v>0</v>
      </c>
      <c r="AY299" s="581">
        <f t="shared" si="12"/>
        <v>0</v>
      </c>
      <c r="AZ299" s="581">
        <f t="shared" si="159"/>
        <v>0</v>
      </c>
      <c r="BA299" s="596"/>
      <c r="BB299" s="596"/>
      <c r="BC299" s="348"/>
      <c r="BD299" s="581">
        <f t="shared" si="192"/>
        <v>0</v>
      </c>
      <c r="BE299" s="581">
        <f t="shared" si="37"/>
        <v>0</v>
      </c>
      <c r="BF299" s="347"/>
      <c r="BG299" s="347"/>
      <c r="BH299" s="347"/>
      <c r="BI299" s="347"/>
      <c r="BJ299" s="586">
        <f t="shared" si="187"/>
        <v>0</v>
      </c>
      <c r="BK299" s="581">
        <f t="shared" si="15"/>
        <v>0</v>
      </c>
      <c r="BL299" s="347"/>
      <c r="BM299" s="347"/>
      <c r="BN299" s="347"/>
      <c r="BO299" s="586">
        <f t="shared" si="189"/>
        <v>0</v>
      </c>
      <c r="BP299" s="584">
        <f t="shared" si="17"/>
        <v>0</v>
      </c>
      <c r="BQ299" s="347"/>
      <c r="BR299" s="581">
        <f t="shared" si="153"/>
        <v>0</v>
      </c>
      <c r="BS299" s="588">
        <f t="shared" si="180"/>
        <v>0</v>
      </c>
      <c r="BT299" s="581">
        <f t="shared" si="20"/>
        <v>0</v>
      </c>
      <c r="BU299" s="589"/>
      <c r="BV299" s="581">
        <f t="shared" si="44"/>
        <v>0</v>
      </c>
      <c r="BW299" s="590"/>
      <c r="BX299" s="347"/>
      <c r="BY299" s="347"/>
      <c r="BZ299" s="347"/>
      <c r="CA299" s="586">
        <f t="shared" si="129"/>
        <v>0</v>
      </c>
      <c r="CB299" s="581">
        <f t="shared" si="160"/>
        <v>0</v>
      </c>
      <c r="CC299" s="581">
        <f t="shared" si="131"/>
        <v>0</v>
      </c>
      <c r="CD299" s="581">
        <f t="shared" si="132"/>
        <v>0</v>
      </c>
      <c r="CE299" s="581">
        <f t="shared" si="133"/>
        <v>0</v>
      </c>
      <c r="CF299" s="581">
        <f t="shared" si="134"/>
        <v>0</v>
      </c>
      <c r="CG299" s="581">
        <f t="shared" si="135"/>
        <v>0</v>
      </c>
      <c r="CH299" s="608" t="str">
        <f t="shared" si="136"/>
        <v>#DIV/0!</v>
      </c>
      <c r="CI299" s="603" t="str">
        <f t="shared" si="137"/>
        <v>#DIV/0!</v>
      </c>
      <c r="CJ299" s="347"/>
      <c r="CK299" s="347">
        <f t="shared" si="138"/>
        <v>0</v>
      </c>
      <c r="CL299" s="539">
        <f t="shared" si="139"/>
        <v>0</v>
      </c>
      <c r="CM299" s="347">
        <f t="shared" si="140"/>
        <v>0</v>
      </c>
      <c r="CN299" s="347">
        <f t="shared" si="141"/>
        <v>0</v>
      </c>
      <c r="CO299" s="347" t="str">
        <f t="shared" si="142"/>
        <v>1899-12-30</v>
      </c>
      <c r="CP299" s="347"/>
    </row>
    <row r="300">
      <c r="A300" s="574">
        <f t="shared" si="147"/>
        <v>300142</v>
      </c>
      <c r="B300" s="574" t="str">
        <f t="shared" si="1"/>
        <v>Batch 300142</v>
      </c>
      <c r="C300" s="347"/>
      <c r="D300" s="574"/>
      <c r="E300" s="347"/>
      <c r="F300" s="596"/>
      <c r="G300" s="596"/>
      <c r="H300" s="347"/>
      <c r="I300" s="347"/>
      <c r="J300" s="596"/>
      <c r="K300" s="609"/>
      <c r="L300" s="1"/>
      <c r="M300" s="347"/>
      <c r="N300" s="347"/>
      <c r="O300" s="579">
        <f t="shared" si="2"/>
        <v>0</v>
      </c>
      <c r="P300" s="579">
        <f t="shared" si="126"/>
        <v>0</v>
      </c>
      <c r="Q300" s="574"/>
      <c r="R300" s="347"/>
      <c r="S300" s="597"/>
      <c r="T300" s="347"/>
      <c r="U300" s="579">
        <f t="shared" si="48"/>
        <v>0</v>
      </c>
      <c r="V300" s="579">
        <f t="shared" si="49"/>
        <v>0</v>
      </c>
      <c r="W300" s="574"/>
      <c r="X300" s="347"/>
      <c r="Y300" s="347"/>
      <c r="Z300" s="347"/>
      <c r="AA300" s="579">
        <f t="shared" si="6"/>
        <v>0</v>
      </c>
      <c r="AB300" s="581">
        <f t="shared" si="105"/>
        <v>0</v>
      </c>
      <c r="AC300" s="347"/>
      <c r="AD300" s="347"/>
      <c r="AE300" s="347"/>
      <c r="AF300" s="347"/>
      <c r="AG300" s="579">
        <f t="shared" si="54"/>
        <v>0</v>
      </c>
      <c r="AH300" s="579">
        <f t="shared" si="175"/>
        <v>0</v>
      </c>
      <c r="AI300" s="582"/>
      <c r="AJ300" s="582"/>
      <c r="AK300" s="582"/>
      <c r="AL300" s="582"/>
      <c r="AM300" s="579"/>
      <c r="AN300" s="579"/>
      <c r="AO300" s="347"/>
      <c r="AP300" s="581">
        <f t="shared" si="164"/>
        <v>0</v>
      </c>
      <c r="AQ300" s="596"/>
      <c r="AR300" s="596"/>
      <c r="AS300" s="348"/>
      <c r="AT300" s="348"/>
      <c r="AU300" s="348"/>
      <c r="AV300" s="348"/>
      <c r="AW300" s="348"/>
      <c r="AX300" s="584">
        <f t="shared" si="165"/>
        <v>0</v>
      </c>
      <c r="AY300" s="581">
        <f t="shared" si="12"/>
        <v>0</v>
      </c>
      <c r="AZ300" s="581">
        <f t="shared" si="159"/>
        <v>0</v>
      </c>
      <c r="BA300" s="596"/>
      <c r="BB300" s="596"/>
      <c r="BC300" s="348"/>
      <c r="BD300" s="581">
        <f t="shared" si="192"/>
        <v>0</v>
      </c>
      <c r="BE300" s="581">
        <f t="shared" si="37"/>
        <v>0</v>
      </c>
      <c r="BF300" s="347"/>
      <c r="BG300" s="347"/>
      <c r="BH300" s="347"/>
      <c r="BI300" s="347"/>
      <c r="BJ300" s="586">
        <f t="shared" si="187"/>
        <v>0</v>
      </c>
      <c r="BK300" s="581">
        <f t="shared" si="15"/>
        <v>0</v>
      </c>
      <c r="BL300" s="347"/>
      <c r="BM300" s="347"/>
      <c r="BN300" s="347"/>
      <c r="BO300" s="586">
        <f t="shared" si="189"/>
        <v>0</v>
      </c>
      <c r="BP300" s="584">
        <f t="shared" si="17"/>
        <v>0</v>
      </c>
      <c r="BQ300" s="347"/>
      <c r="BR300" s="581">
        <f t="shared" si="153"/>
        <v>0</v>
      </c>
      <c r="BS300" s="588">
        <f t="shared" si="180"/>
        <v>0</v>
      </c>
      <c r="BT300" s="581">
        <f t="shared" si="20"/>
        <v>0</v>
      </c>
      <c r="BU300" s="589"/>
      <c r="BV300" s="581">
        <f t="shared" si="44"/>
        <v>0</v>
      </c>
      <c r="BW300" s="590"/>
      <c r="BX300" s="347"/>
      <c r="BY300" s="347"/>
      <c r="BZ300" s="347"/>
      <c r="CA300" s="586">
        <f t="shared" si="129"/>
        <v>0</v>
      </c>
      <c r="CB300" s="581">
        <f t="shared" si="160"/>
        <v>0</v>
      </c>
      <c r="CC300" s="581">
        <f t="shared" si="131"/>
        <v>0</v>
      </c>
      <c r="CD300" s="581">
        <f t="shared" si="132"/>
        <v>0</v>
      </c>
      <c r="CE300" s="581">
        <f t="shared" si="133"/>
        <v>0</v>
      </c>
      <c r="CF300" s="581">
        <f t="shared" si="134"/>
        <v>0</v>
      </c>
      <c r="CG300" s="581">
        <f t="shared" si="135"/>
        <v>0</v>
      </c>
      <c r="CH300" s="608" t="str">
        <f t="shared" si="136"/>
        <v>#DIV/0!</v>
      </c>
      <c r="CI300" s="603" t="str">
        <f t="shared" si="137"/>
        <v>#DIV/0!</v>
      </c>
      <c r="CJ300" s="347"/>
      <c r="CK300" s="347">
        <f t="shared" si="138"/>
        <v>0</v>
      </c>
      <c r="CL300" s="539">
        <f t="shared" si="139"/>
        <v>0</v>
      </c>
      <c r="CM300" s="347">
        <f t="shared" si="140"/>
        <v>0</v>
      </c>
      <c r="CN300" s="347">
        <f t="shared" si="141"/>
        <v>0</v>
      </c>
      <c r="CO300" s="347" t="str">
        <f t="shared" si="142"/>
        <v>1899-12-30</v>
      </c>
      <c r="CP300" s="347"/>
    </row>
    <row r="301">
      <c r="A301" s="574"/>
      <c r="B301" s="574"/>
      <c r="C301" s="347"/>
      <c r="D301" s="574"/>
      <c r="E301" s="347"/>
      <c r="F301" s="596"/>
      <c r="G301" s="596"/>
      <c r="H301" s="347"/>
      <c r="I301" s="347"/>
      <c r="J301" s="596"/>
      <c r="K301" s="609"/>
      <c r="L301" s="1"/>
      <c r="M301" s="347"/>
      <c r="N301" s="347"/>
      <c r="O301" s="579"/>
      <c r="P301" s="579"/>
      <c r="Q301" s="574"/>
      <c r="R301" s="347"/>
      <c r="S301" s="597"/>
      <c r="T301" s="347"/>
      <c r="U301" s="579"/>
      <c r="V301" s="579"/>
      <c r="W301" s="574"/>
      <c r="X301" s="347"/>
      <c r="Y301" s="347"/>
      <c r="Z301" s="347"/>
      <c r="AA301" s="579"/>
      <c r="AB301" s="581"/>
      <c r="AC301" s="347"/>
      <c r="AD301" s="347"/>
      <c r="AE301" s="347"/>
      <c r="AF301" s="347"/>
      <c r="AG301" s="579"/>
      <c r="AH301" s="579"/>
      <c r="AI301" s="582"/>
      <c r="AJ301" s="582"/>
      <c r="AK301" s="582"/>
      <c r="AL301" s="582"/>
      <c r="AM301" s="579"/>
      <c r="AN301" s="579"/>
      <c r="AO301" s="347"/>
      <c r="AP301" s="586"/>
      <c r="AQ301" s="596"/>
      <c r="AR301" s="596"/>
      <c r="AS301" s="348"/>
      <c r="AT301" s="348"/>
      <c r="AU301" s="348"/>
      <c r="AV301" s="348"/>
      <c r="AW301" s="348"/>
      <c r="AX301" s="584"/>
      <c r="AY301" s="581"/>
      <c r="AZ301" s="581"/>
      <c r="BA301" s="596"/>
      <c r="BB301" s="596"/>
      <c r="BC301" s="348"/>
      <c r="BD301" s="581"/>
      <c r="BE301" s="581"/>
      <c r="BF301" s="347"/>
      <c r="BG301" s="347"/>
      <c r="BH301" s="347"/>
      <c r="BI301" s="347"/>
      <c r="BJ301" s="586"/>
      <c r="BK301" s="581"/>
      <c r="BL301" s="347"/>
      <c r="BM301" s="347"/>
      <c r="BN301" s="347"/>
      <c r="BO301" s="586"/>
      <c r="BP301" s="584"/>
      <c r="BQ301" s="347"/>
      <c r="BR301" s="586"/>
      <c r="BS301" s="588"/>
      <c r="BT301" s="586"/>
      <c r="BU301" s="589"/>
      <c r="BV301" s="581">
        <f t="shared" si="44"/>
        <v>0</v>
      </c>
      <c r="BW301" s="590"/>
      <c r="BX301" s="347"/>
      <c r="BY301" s="347"/>
      <c r="BZ301" s="347"/>
      <c r="CA301" s="586"/>
      <c r="CB301" s="581"/>
      <c r="CC301" s="581">
        <f t="shared" ref="CC301:CC1005" si="193">(X301+R301+L301+AD301)*0.024</f>
        <v>0</v>
      </c>
      <c r="CD301" s="581"/>
      <c r="CE301" s="581"/>
      <c r="CF301" s="581"/>
      <c r="CG301" s="586"/>
      <c r="CH301" s="608"/>
      <c r="CI301" s="603"/>
      <c r="CJ301" s="347"/>
      <c r="CK301" s="347"/>
      <c r="CL301" s="347"/>
      <c r="CM301" s="347"/>
      <c r="CN301" s="347"/>
      <c r="CO301" s="347"/>
      <c r="CP301" s="347"/>
    </row>
    <row r="302">
      <c r="A302" s="574"/>
      <c r="B302" s="574"/>
      <c r="C302" s="347"/>
      <c r="D302" s="574"/>
      <c r="E302" s="347"/>
      <c r="F302" s="596"/>
      <c r="G302" s="596"/>
      <c r="H302" s="347"/>
      <c r="I302" s="347"/>
      <c r="J302" s="596"/>
      <c r="K302" s="609"/>
      <c r="L302" s="1"/>
      <c r="M302" s="347"/>
      <c r="N302" s="347"/>
      <c r="O302" s="579"/>
      <c r="P302" s="579"/>
      <c r="Q302" s="574"/>
      <c r="R302" s="347"/>
      <c r="S302" s="597"/>
      <c r="T302" s="347"/>
      <c r="U302" s="579"/>
      <c r="V302" s="579"/>
      <c r="W302" s="574"/>
      <c r="X302" s="347"/>
      <c r="Y302" s="347"/>
      <c r="Z302" s="347"/>
      <c r="AA302" s="579"/>
      <c r="AB302" s="581"/>
      <c r="AC302" s="347"/>
      <c r="AD302" s="347"/>
      <c r="AE302" s="347"/>
      <c r="AF302" s="347"/>
      <c r="AG302" s="579"/>
      <c r="AH302" s="579"/>
      <c r="AI302" s="582"/>
      <c r="AJ302" s="582"/>
      <c r="AK302" s="582"/>
      <c r="AL302" s="582"/>
      <c r="AM302" s="579"/>
      <c r="AN302" s="579"/>
      <c r="AO302" s="347"/>
      <c r="AP302" s="586"/>
      <c r="AQ302" s="596"/>
      <c r="AR302" s="596"/>
      <c r="AS302" s="348"/>
      <c r="AT302" s="348"/>
      <c r="AU302" s="348"/>
      <c r="AV302" s="348"/>
      <c r="AW302" s="348"/>
      <c r="AX302" s="584"/>
      <c r="AY302" s="581"/>
      <c r="AZ302" s="581"/>
      <c r="BA302" s="596"/>
      <c r="BB302" s="596"/>
      <c r="BC302" s="348"/>
      <c r="BD302" s="581"/>
      <c r="BE302" s="581"/>
      <c r="BF302" s="347"/>
      <c r="BG302" s="347"/>
      <c r="BH302" s="347"/>
      <c r="BI302" s="347"/>
      <c r="BJ302" s="586"/>
      <c r="BK302" s="581"/>
      <c r="BL302" s="347"/>
      <c r="BM302" s="347"/>
      <c r="BN302" s="347"/>
      <c r="BO302" s="586"/>
      <c r="BP302" s="584"/>
      <c r="BQ302" s="347"/>
      <c r="BR302" s="586"/>
      <c r="BS302" s="588"/>
      <c r="BT302" s="586"/>
      <c r="BU302" s="589"/>
      <c r="BV302" s="581">
        <f t="shared" si="44"/>
        <v>0</v>
      </c>
      <c r="BW302" s="590"/>
      <c r="BX302" s="347"/>
      <c r="BY302" s="347"/>
      <c r="BZ302" s="347"/>
      <c r="CA302" s="586"/>
      <c r="CB302" s="581"/>
      <c r="CC302" s="581">
        <f t="shared" si="193"/>
        <v>0</v>
      </c>
      <c r="CD302" s="581"/>
      <c r="CE302" s="581"/>
      <c r="CF302" s="581"/>
      <c r="CG302" s="586"/>
      <c r="CH302" s="608"/>
      <c r="CI302" s="603"/>
      <c r="CJ302" s="347"/>
      <c r="CK302" s="347"/>
      <c r="CL302" s="347"/>
      <c r="CM302" s="347"/>
      <c r="CN302" s="347"/>
      <c r="CO302" s="347"/>
      <c r="CP302" s="347"/>
    </row>
    <row r="303">
      <c r="A303" s="574"/>
      <c r="B303" s="574"/>
      <c r="C303" s="347"/>
      <c r="D303" s="574"/>
      <c r="E303" s="347"/>
      <c r="F303" s="596"/>
      <c r="G303" s="596"/>
      <c r="H303" s="347"/>
      <c r="I303" s="347"/>
      <c r="J303" s="596"/>
      <c r="K303" s="609"/>
      <c r="L303" s="1"/>
      <c r="M303" s="347"/>
      <c r="N303" s="347"/>
      <c r="O303" s="579"/>
      <c r="P303" s="579"/>
      <c r="Q303" s="574"/>
      <c r="R303" s="347"/>
      <c r="S303" s="597"/>
      <c r="T303" s="347"/>
      <c r="U303" s="579"/>
      <c r="V303" s="579"/>
      <c r="W303" s="574"/>
      <c r="X303" s="347"/>
      <c r="Y303" s="347"/>
      <c r="Z303" s="347"/>
      <c r="AA303" s="579"/>
      <c r="AB303" s="581"/>
      <c r="AC303" s="347"/>
      <c r="AD303" s="347"/>
      <c r="AE303" s="347"/>
      <c r="AF303" s="347"/>
      <c r="AG303" s="579"/>
      <c r="AH303" s="579"/>
      <c r="AI303" s="582"/>
      <c r="AJ303" s="582"/>
      <c r="AK303" s="582"/>
      <c r="AL303" s="582"/>
      <c r="AM303" s="579"/>
      <c r="AN303" s="579"/>
      <c r="AO303" s="347"/>
      <c r="AP303" s="586"/>
      <c r="AQ303" s="596"/>
      <c r="AR303" s="596"/>
      <c r="AS303" s="348"/>
      <c r="AT303" s="348"/>
      <c r="AU303" s="348"/>
      <c r="AV303" s="348"/>
      <c r="AW303" s="348"/>
      <c r="AX303" s="584"/>
      <c r="AY303" s="581"/>
      <c r="AZ303" s="581"/>
      <c r="BA303" s="596"/>
      <c r="BB303" s="596"/>
      <c r="BC303" s="348"/>
      <c r="BD303" s="581"/>
      <c r="BE303" s="581"/>
      <c r="BF303" s="347"/>
      <c r="BG303" s="347"/>
      <c r="BH303" s="347"/>
      <c r="BI303" s="347"/>
      <c r="BJ303" s="586"/>
      <c r="BK303" s="581"/>
      <c r="BL303" s="347"/>
      <c r="BM303" s="347"/>
      <c r="BN303" s="347"/>
      <c r="BO303" s="586"/>
      <c r="BP303" s="584"/>
      <c r="BQ303" s="347"/>
      <c r="BR303" s="586"/>
      <c r="BS303" s="588"/>
      <c r="BT303" s="586"/>
      <c r="BU303" s="589"/>
      <c r="BV303" s="581">
        <f t="shared" si="44"/>
        <v>0</v>
      </c>
      <c r="BW303" s="590"/>
      <c r="BX303" s="347"/>
      <c r="BY303" s="347"/>
      <c r="BZ303" s="347"/>
      <c r="CA303" s="586"/>
      <c r="CB303" s="581"/>
      <c r="CC303" s="581">
        <f t="shared" si="193"/>
        <v>0</v>
      </c>
      <c r="CD303" s="581"/>
      <c r="CE303" s="581"/>
      <c r="CF303" s="581"/>
      <c r="CG303" s="586"/>
      <c r="CH303" s="608"/>
      <c r="CI303" s="603"/>
      <c r="CJ303" s="347"/>
      <c r="CK303" s="347"/>
      <c r="CL303" s="347"/>
      <c r="CM303" s="347"/>
      <c r="CN303" s="347"/>
      <c r="CO303" s="347"/>
      <c r="CP303" s="347"/>
    </row>
    <row r="304">
      <c r="A304" s="574"/>
      <c r="B304" s="574"/>
      <c r="C304" s="347"/>
      <c r="D304" s="574"/>
      <c r="E304" s="347"/>
      <c r="F304" s="596"/>
      <c r="G304" s="596"/>
      <c r="H304" s="347"/>
      <c r="I304" s="347"/>
      <c r="J304" s="596"/>
      <c r="K304" s="609"/>
      <c r="L304" s="1"/>
      <c r="M304" s="347"/>
      <c r="N304" s="347"/>
      <c r="O304" s="579"/>
      <c r="P304" s="579"/>
      <c r="Q304" s="574"/>
      <c r="R304" s="347"/>
      <c r="S304" s="597"/>
      <c r="T304" s="347"/>
      <c r="U304" s="579"/>
      <c r="V304" s="579"/>
      <c r="W304" s="574"/>
      <c r="X304" s="347"/>
      <c r="Y304" s="347"/>
      <c r="Z304" s="347"/>
      <c r="AA304" s="579"/>
      <c r="AB304" s="581"/>
      <c r="AC304" s="347"/>
      <c r="AD304" s="347"/>
      <c r="AE304" s="347"/>
      <c r="AF304" s="347"/>
      <c r="AG304" s="579"/>
      <c r="AH304" s="579"/>
      <c r="AI304" s="582"/>
      <c r="AJ304" s="582"/>
      <c r="AK304" s="582"/>
      <c r="AL304" s="582"/>
      <c r="AM304" s="579"/>
      <c r="AN304" s="579"/>
      <c r="AO304" s="347"/>
      <c r="AP304" s="586"/>
      <c r="AQ304" s="596"/>
      <c r="AR304" s="596"/>
      <c r="AS304" s="348"/>
      <c r="AT304" s="348"/>
      <c r="AU304" s="348"/>
      <c r="AV304" s="348"/>
      <c r="AW304" s="348"/>
      <c r="AX304" s="584"/>
      <c r="AY304" s="581"/>
      <c r="AZ304" s="581"/>
      <c r="BA304" s="596"/>
      <c r="BB304" s="596"/>
      <c r="BC304" s="348"/>
      <c r="BD304" s="581"/>
      <c r="BE304" s="581"/>
      <c r="BF304" s="347"/>
      <c r="BG304" s="347"/>
      <c r="BH304" s="347"/>
      <c r="BI304" s="347"/>
      <c r="BJ304" s="586"/>
      <c r="BK304" s="581"/>
      <c r="BL304" s="347"/>
      <c r="BM304" s="347"/>
      <c r="BN304" s="347"/>
      <c r="BO304" s="586"/>
      <c r="BP304" s="584"/>
      <c r="BQ304" s="347"/>
      <c r="BR304" s="586"/>
      <c r="BS304" s="588"/>
      <c r="BT304" s="586"/>
      <c r="BU304" s="589"/>
      <c r="BV304" s="581">
        <f t="shared" si="44"/>
        <v>0</v>
      </c>
      <c r="BW304" s="590"/>
      <c r="BX304" s="347"/>
      <c r="BY304" s="347"/>
      <c r="BZ304" s="347"/>
      <c r="CA304" s="586"/>
      <c r="CB304" s="581"/>
      <c r="CC304" s="581">
        <f t="shared" si="193"/>
        <v>0</v>
      </c>
      <c r="CD304" s="581"/>
      <c r="CE304" s="581"/>
      <c r="CF304" s="581"/>
      <c r="CG304" s="586"/>
      <c r="CH304" s="608"/>
      <c r="CI304" s="603"/>
      <c r="CJ304" s="347"/>
      <c r="CK304" s="347"/>
      <c r="CL304" s="347"/>
      <c r="CM304" s="347"/>
      <c r="CN304" s="347"/>
      <c r="CO304" s="347"/>
      <c r="CP304" s="347"/>
    </row>
    <row r="305">
      <c r="A305" s="574"/>
      <c r="B305" s="574"/>
      <c r="C305" s="347"/>
      <c r="D305" s="574"/>
      <c r="E305" s="347"/>
      <c r="F305" s="596"/>
      <c r="G305" s="596"/>
      <c r="H305" s="347"/>
      <c r="I305" s="347"/>
      <c r="J305" s="596"/>
      <c r="K305" s="609"/>
      <c r="L305" s="1"/>
      <c r="M305" s="347"/>
      <c r="N305" s="347"/>
      <c r="O305" s="579"/>
      <c r="P305" s="579"/>
      <c r="Q305" s="574"/>
      <c r="R305" s="347"/>
      <c r="S305" s="597"/>
      <c r="T305" s="347"/>
      <c r="U305" s="579"/>
      <c r="V305" s="579"/>
      <c r="W305" s="574"/>
      <c r="X305" s="347"/>
      <c r="Y305" s="347"/>
      <c r="Z305" s="347"/>
      <c r="AA305" s="579"/>
      <c r="AB305" s="581"/>
      <c r="AC305" s="347"/>
      <c r="AD305" s="347"/>
      <c r="AE305" s="347"/>
      <c r="AF305" s="347"/>
      <c r="AG305" s="579"/>
      <c r="AH305" s="579"/>
      <c r="AI305" s="582"/>
      <c r="AJ305" s="582"/>
      <c r="AK305" s="582"/>
      <c r="AL305" s="582"/>
      <c r="AM305" s="579"/>
      <c r="AN305" s="579"/>
      <c r="AO305" s="347"/>
      <c r="AP305" s="586"/>
      <c r="AQ305" s="596"/>
      <c r="AR305" s="596"/>
      <c r="AS305" s="348"/>
      <c r="AT305" s="348"/>
      <c r="AU305" s="348"/>
      <c r="AV305" s="348"/>
      <c r="AW305" s="348"/>
      <c r="AX305" s="584"/>
      <c r="AY305" s="581"/>
      <c r="AZ305" s="581"/>
      <c r="BA305" s="596"/>
      <c r="BB305" s="596"/>
      <c r="BC305" s="348"/>
      <c r="BD305" s="581"/>
      <c r="BE305" s="581"/>
      <c r="BF305" s="347"/>
      <c r="BG305" s="347"/>
      <c r="BH305" s="347"/>
      <c r="BI305" s="347"/>
      <c r="BJ305" s="586"/>
      <c r="BK305" s="581"/>
      <c r="BL305" s="347"/>
      <c r="BM305" s="347"/>
      <c r="BN305" s="347"/>
      <c r="BO305" s="586"/>
      <c r="BP305" s="584"/>
      <c r="BQ305" s="347"/>
      <c r="BR305" s="586"/>
      <c r="BS305" s="588"/>
      <c r="BT305" s="586"/>
      <c r="BU305" s="589"/>
      <c r="BV305" s="581">
        <f t="shared" si="44"/>
        <v>0</v>
      </c>
      <c r="BW305" s="590"/>
      <c r="BX305" s="347"/>
      <c r="BY305" s="347"/>
      <c r="BZ305" s="347"/>
      <c r="CA305" s="586"/>
      <c r="CB305" s="581"/>
      <c r="CC305" s="581">
        <f t="shared" si="193"/>
        <v>0</v>
      </c>
      <c r="CD305" s="581"/>
      <c r="CE305" s="581"/>
      <c r="CF305" s="581"/>
      <c r="CG305" s="586"/>
      <c r="CH305" s="608"/>
      <c r="CI305" s="603"/>
      <c r="CJ305" s="347"/>
      <c r="CK305" s="347"/>
      <c r="CL305" s="347"/>
      <c r="CM305" s="347"/>
      <c r="CN305" s="347"/>
      <c r="CO305" s="347"/>
      <c r="CP305" s="347"/>
    </row>
    <row r="306">
      <c r="A306" s="574"/>
      <c r="B306" s="574"/>
      <c r="C306" s="347"/>
      <c r="D306" s="574"/>
      <c r="E306" s="347"/>
      <c r="F306" s="596"/>
      <c r="G306" s="596"/>
      <c r="H306" s="347"/>
      <c r="I306" s="347"/>
      <c r="J306" s="596"/>
      <c r="K306" s="609"/>
      <c r="L306" s="1"/>
      <c r="M306" s="347"/>
      <c r="N306" s="347"/>
      <c r="O306" s="579"/>
      <c r="P306" s="579"/>
      <c r="Q306" s="574"/>
      <c r="R306" s="347"/>
      <c r="S306" s="597"/>
      <c r="T306" s="347"/>
      <c r="U306" s="579"/>
      <c r="V306" s="579"/>
      <c r="W306" s="574"/>
      <c r="X306" s="347"/>
      <c r="Y306" s="347"/>
      <c r="Z306" s="347"/>
      <c r="AA306" s="579"/>
      <c r="AB306" s="581"/>
      <c r="AC306" s="347"/>
      <c r="AD306" s="347"/>
      <c r="AE306" s="347"/>
      <c r="AF306" s="347"/>
      <c r="AG306" s="579"/>
      <c r="AH306" s="579"/>
      <c r="AI306" s="582"/>
      <c r="AJ306" s="582"/>
      <c r="AK306" s="582"/>
      <c r="AL306" s="582"/>
      <c r="AM306" s="579"/>
      <c r="AN306" s="579"/>
      <c r="AO306" s="347"/>
      <c r="AP306" s="586"/>
      <c r="AQ306" s="596"/>
      <c r="AR306" s="596"/>
      <c r="AS306" s="348"/>
      <c r="AT306" s="348"/>
      <c r="AU306" s="348"/>
      <c r="AV306" s="348"/>
      <c r="AW306" s="348"/>
      <c r="AX306" s="584"/>
      <c r="AY306" s="581"/>
      <c r="AZ306" s="581"/>
      <c r="BA306" s="596"/>
      <c r="BB306" s="596"/>
      <c r="BC306" s="348"/>
      <c r="BD306" s="581"/>
      <c r="BE306" s="581"/>
      <c r="BF306" s="347"/>
      <c r="BG306" s="347"/>
      <c r="BH306" s="347"/>
      <c r="BI306" s="347"/>
      <c r="BJ306" s="586"/>
      <c r="BK306" s="581"/>
      <c r="BL306" s="347"/>
      <c r="BM306" s="347"/>
      <c r="BN306" s="347"/>
      <c r="BO306" s="586"/>
      <c r="BP306" s="584"/>
      <c r="BQ306" s="347"/>
      <c r="BR306" s="586"/>
      <c r="BS306" s="588"/>
      <c r="BT306" s="586"/>
      <c r="BU306" s="589"/>
      <c r="BV306" s="581">
        <f t="shared" si="44"/>
        <v>0</v>
      </c>
      <c r="BW306" s="590"/>
      <c r="BX306" s="347"/>
      <c r="BY306" s="347"/>
      <c r="BZ306" s="347"/>
      <c r="CA306" s="586"/>
      <c r="CB306" s="581"/>
      <c r="CC306" s="581">
        <f t="shared" si="193"/>
        <v>0</v>
      </c>
      <c r="CD306" s="581"/>
      <c r="CE306" s="581"/>
      <c r="CF306" s="581"/>
      <c r="CG306" s="586"/>
      <c r="CH306" s="608"/>
      <c r="CI306" s="603"/>
      <c r="CJ306" s="347"/>
      <c r="CK306" s="347"/>
      <c r="CL306" s="347"/>
      <c r="CM306" s="347"/>
      <c r="CN306" s="347"/>
      <c r="CO306" s="347"/>
      <c r="CP306" s="347"/>
    </row>
    <row r="307">
      <c r="A307" s="574"/>
      <c r="B307" s="574"/>
      <c r="C307" s="347"/>
      <c r="D307" s="574"/>
      <c r="E307" s="347"/>
      <c r="F307" s="596"/>
      <c r="G307" s="596"/>
      <c r="H307" s="347"/>
      <c r="I307" s="347"/>
      <c r="J307" s="596"/>
      <c r="K307" s="609"/>
      <c r="L307" s="1"/>
      <c r="M307" s="347"/>
      <c r="N307" s="347"/>
      <c r="O307" s="579"/>
      <c r="P307" s="579"/>
      <c r="Q307" s="574"/>
      <c r="R307" s="347"/>
      <c r="S307" s="597"/>
      <c r="T307" s="347"/>
      <c r="U307" s="579"/>
      <c r="V307" s="579"/>
      <c r="W307" s="574"/>
      <c r="X307" s="347"/>
      <c r="Y307" s="347"/>
      <c r="Z307" s="347"/>
      <c r="AA307" s="579"/>
      <c r="AB307" s="581"/>
      <c r="AC307" s="347"/>
      <c r="AD307" s="347"/>
      <c r="AE307" s="347"/>
      <c r="AF307" s="347"/>
      <c r="AG307" s="579"/>
      <c r="AH307" s="579"/>
      <c r="AI307" s="582"/>
      <c r="AJ307" s="582"/>
      <c r="AK307" s="582"/>
      <c r="AL307" s="582"/>
      <c r="AM307" s="579"/>
      <c r="AN307" s="579"/>
      <c r="AO307" s="347"/>
      <c r="AP307" s="586"/>
      <c r="AQ307" s="596"/>
      <c r="AR307" s="596"/>
      <c r="AS307" s="348"/>
      <c r="AT307" s="348"/>
      <c r="AU307" s="348"/>
      <c r="AV307" s="348"/>
      <c r="AW307" s="348"/>
      <c r="AX307" s="584"/>
      <c r="AY307" s="581"/>
      <c r="AZ307" s="581"/>
      <c r="BA307" s="596"/>
      <c r="BB307" s="596"/>
      <c r="BC307" s="348"/>
      <c r="BD307" s="581"/>
      <c r="BE307" s="581"/>
      <c r="BF307" s="347"/>
      <c r="BG307" s="347"/>
      <c r="BH307" s="347"/>
      <c r="BI307" s="347"/>
      <c r="BJ307" s="586"/>
      <c r="BK307" s="581"/>
      <c r="BL307" s="347"/>
      <c r="BM307" s="347"/>
      <c r="BN307" s="347"/>
      <c r="BO307" s="586"/>
      <c r="BP307" s="584"/>
      <c r="BQ307" s="347"/>
      <c r="BR307" s="586"/>
      <c r="BS307" s="588"/>
      <c r="BT307" s="586"/>
      <c r="BU307" s="589"/>
      <c r="BV307" s="581">
        <f t="shared" si="44"/>
        <v>0</v>
      </c>
      <c r="BW307" s="590"/>
      <c r="BX307" s="347"/>
      <c r="BY307" s="347"/>
      <c r="BZ307" s="347"/>
      <c r="CA307" s="586"/>
      <c r="CB307" s="581"/>
      <c r="CC307" s="581">
        <f t="shared" si="193"/>
        <v>0</v>
      </c>
      <c r="CD307" s="581"/>
      <c r="CE307" s="581"/>
      <c r="CF307" s="581"/>
      <c r="CG307" s="586"/>
      <c r="CH307" s="608"/>
      <c r="CI307" s="603"/>
      <c r="CJ307" s="347"/>
      <c r="CK307" s="347"/>
      <c r="CL307" s="347"/>
      <c r="CM307" s="347"/>
      <c r="CN307" s="347"/>
      <c r="CO307" s="347"/>
      <c r="CP307" s="347"/>
    </row>
    <row r="308">
      <c r="A308" s="574"/>
      <c r="B308" s="574"/>
      <c r="C308" s="347"/>
      <c r="D308" s="574"/>
      <c r="E308" s="347"/>
      <c r="F308" s="596"/>
      <c r="G308" s="596"/>
      <c r="H308" s="347"/>
      <c r="I308" s="347"/>
      <c r="J308" s="596"/>
      <c r="K308" s="609"/>
      <c r="L308" s="1"/>
      <c r="M308" s="347"/>
      <c r="N308" s="347"/>
      <c r="O308" s="579"/>
      <c r="P308" s="579"/>
      <c r="Q308" s="574"/>
      <c r="R308" s="347"/>
      <c r="S308" s="597"/>
      <c r="T308" s="347"/>
      <c r="U308" s="579"/>
      <c r="V308" s="579"/>
      <c r="W308" s="574"/>
      <c r="X308" s="347"/>
      <c r="Y308" s="347"/>
      <c r="Z308" s="347"/>
      <c r="AA308" s="579"/>
      <c r="AB308" s="581"/>
      <c r="AC308" s="347"/>
      <c r="AD308" s="347"/>
      <c r="AE308" s="347"/>
      <c r="AF308" s="347"/>
      <c r="AG308" s="579"/>
      <c r="AH308" s="579"/>
      <c r="AI308" s="582"/>
      <c r="AJ308" s="582"/>
      <c r="AK308" s="582"/>
      <c r="AL308" s="582"/>
      <c r="AM308" s="579"/>
      <c r="AN308" s="579"/>
      <c r="AO308" s="347"/>
      <c r="AP308" s="586"/>
      <c r="AQ308" s="596"/>
      <c r="AR308" s="596"/>
      <c r="AS308" s="348"/>
      <c r="AT308" s="348"/>
      <c r="AU308" s="348"/>
      <c r="AV308" s="348"/>
      <c r="AW308" s="348"/>
      <c r="AX308" s="584"/>
      <c r="AY308" s="581"/>
      <c r="AZ308" s="581"/>
      <c r="BA308" s="596"/>
      <c r="BB308" s="596"/>
      <c r="BC308" s="348"/>
      <c r="BD308" s="581"/>
      <c r="BE308" s="581"/>
      <c r="BF308" s="347"/>
      <c r="BG308" s="347"/>
      <c r="BH308" s="347"/>
      <c r="BI308" s="347"/>
      <c r="BJ308" s="586"/>
      <c r="BK308" s="581"/>
      <c r="BL308" s="347"/>
      <c r="BM308" s="347"/>
      <c r="BN308" s="347"/>
      <c r="BO308" s="586"/>
      <c r="BP308" s="584"/>
      <c r="BQ308" s="347"/>
      <c r="BR308" s="586"/>
      <c r="BS308" s="588"/>
      <c r="BT308" s="586"/>
      <c r="BU308" s="589"/>
      <c r="BV308" s="581">
        <f t="shared" si="44"/>
        <v>0</v>
      </c>
      <c r="BW308" s="590"/>
      <c r="BX308" s="347"/>
      <c r="BY308" s="347"/>
      <c r="BZ308" s="347"/>
      <c r="CA308" s="586"/>
      <c r="CB308" s="581"/>
      <c r="CC308" s="581">
        <f t="shared" si="193"/>
        <v>0</v>
      </c>
      <c r="CD308" s="581"/>
      <c r="CE308" s="581"/>
      <c r="CF308" s="581"/>
      <c r="CG308" s="586"/>
      <c r="CH308" s="608"/>
      <c r="CI308" s="603"/>
      <c r="CJ308" s="347"/>
      <c r="CK308" s="347"/>
      <c r="CL308" s="347"/>
      <c r="CM308" s="347"/>
      <c r="CN308" s="347"/>
      <c r="CO308" s="347"/>
      <c r="CP308" s="347"/>
    </row>
    <row r="309">
      <c r="A309" s="574"/>
      <c r="B309" s="574"/>
      <c r="C309" s="347"/>
      <c r="D309" s="574"/>
      <c r="E309" s="347"/>
      <c r="F309" s="596"/>
      <c r="G309" s="596"/>
      <c r="H309" s="347"/>
      <c r="I309" s="347"/>
      <c r="J309" s="596"/>
      <c r="K309" s="609"/>
      <c r="L309" s="1"/>
      <c r="M309" s="347"/>
      <c r="N309" s="347"/>
      <c r="O309" s="579"/>
      <c r="P309" s="579"/>
      <c r="Q309" s="574"/>
      <c r="R309" s="347"/>
      <c r="S309" s="597"/>
      <c r="T309" s="347"/>
      <c r="U309" s="579"/>
      <c r="V309" s="579"/>
      <c r="W309" s="574"/>
      <c r="X309" s="347"/>
      <c r="Y309" s="347"/>
      <c r="Z309" s="347"/>
      <c r="AA309" s="579"/>
      <c r="AB309" s="581"/>
      <c r="AC309" s="347"/>
      <c r="AD309" s="347"/>
      <c r="AE309" s="347"/>
      <c r="AF309" s="347"/>
      <c r="AG309" s="579"/>
      <c r="AH309" s="579"/>
      <c r="AI309" s="582"/>
      <c r="AJ309" s="582"/>
      <c r="AK309" s="582"/>
      <c r="AL309" s="582"/>
      <c r="AM309" s="579"/>
      <c r="AN309" s="579"/>
      <c r="AO309" s="347"/>
      <c r="AP309" s="586"/>
      <c r="AQ309" s="596"/>
      <c r="AR309" s="596"/>
      <c r="AS309" s="348"/>
      <c r="AT309" s="348"/>
      <c r="AU309" s="348"/>
      <c r="AV309" s="348"/>
      <c r="AW309" s="348"/>
      <c r="AX309" s="584"/>
      <c r="AY309" s="581"/>
      <c r="AZ309" s="581"/>
      <c r="BA309" s="596"/>
      <c r="BB309" s="596"/>
      <c r="BC309" s="348"/>
      <c r="BD309" s="581"/>
      <c r="BE309" s="581"/>
      <c r="BF309" s="347"/>
      <c r="BG309" s="347"/>
      <c r="BH309" s="347"/>
      <c r="BI309" s="347"/>
      <c r="BJ309" s="586"/>
      <c r="BK309" s="581"/>
      <c r="BL309" s="347"/>
      <c r="BM309" s="347"/>
      <c r="BN309" s="347"/>
      <c r="BO309" s="586"/>
      <c r="BP309" s="584"/>
      <c r="BQ309" s="347"/>
      <c r="BR309" s="586"/>
      <c r="BS309" s="588"/>
      <c r="BT309" s="586"/>
      <c r="BU309" s="589"/>
      <c r="BV309" s="581">
        <f t="shared" si="44"/>
        <v>0</v>
      </c>
      <c r="BW309" s="590"/>
      <c r="BX309" s="347"/>
      <c r="BY309" s="347"/>
      <c r="BZ309" s="347"/>
      <c r="CA309" s="586"/>
      <c r="CB309" s="581"/>
      <c r="CC309" s="581">
        <f t="shared" si="193"/>
        <v>0</v>
      </c>
      <c r="CD309" s="581"/>
      <c r="CE309" s="581"/>
      <c r="CF309" s="581"/>
      <c r="CG309" s="586"/>
      <c r="CH309" s="608"/>
      <c r="CI309" s="603"/>
      <c r="CJ309" s="347"/>
      <c r="CK309" s="347"/>
      <c r="CL309" s="347"/>
      <c r="CM309" s="347"/>
      <c r="CN309" s="347"/>
      <c r="CO309" s="347"/>
      <c r="CP309" s="347"/>
    </row>
    <row r="310">
      <c r="A310" s="574"/>
      <c r="B310" s="574"/>
      <c r="C310" s="347"/>
      <c r="D310" s="574"/>
      <c r="E310" s="347"/>
      <c r="F310" s="596"/>
      <c r="G310" s="596"/>
      <c r="H310" s="347"/>
      <c r="I310" s="347"/>
      <c r="J310" s="596"/>
      <c r="K310" s="609"/>
      <c r="L310" s="1"/>
      <c r="M310" s="347"/>
      <c r="N310" s="347"/>
      <c r="O310" s="579"/>
      <c r="P310" s="579"/>
      <c r="Q310" s="574"/>
      <c r="R310" s="347"/>
      <c r="S310" s="597"/>
      <c r="T310" s="347"/>
      <c r="U310" s="579"/>
      <c r="V310" s="579"/>
      <c r="W310" s="574"/>
      <c r="X310" s="347"/>
      <c r="Y310" s="347"/>
      <c r="Z310" s="347"/>
      <c r="AA310" s="579"/>
      <c r="AB310" s="581"/>
      <c r="AC310" s="347"/>
      <c r="AD310" s="347"/>
      <c r="AE310" s="347"/>
      <c r="AF310" s="347"/>
      <c r="AG310" s="579"/>
      <c r="AH310" s="579"/>
      <c r="AI310" s="582"/>
      <c r="AJ310" s="582"/>
      <c r="AK310" s="582"/>
      <c r="AL310" s="582"/>
      <c r="AM310" s="579"/>
      <c r="AN310" s="579"/>
      <c r="AO310" s="347"/>
      <c r="AP310" s="586"/>
      <c r="AQ310" s="596"/>
      <c r="AR310" s="596"/>
      <c r="AS310" s="348"/>
      <c r="AT310" s="348"/>
      <c r="AU310" s="348"/>
      <c r="AV310" s="348"/>
      <c r="AW310" s="348"/>
      <c r="AX310" s="584"/>
      <c r="AY310" s="581"/>
      <c r="AZ310" s="581"/>
      <c r="BA310" s="596"/>
      <c r="BB310" s="596"/>
      <c r="BC310" s="348"/>
      <c r="BD310" s="581"/>
      <c r="BE310" s="581"/>
      <c r="BF310" s="347"/>
      <c r="BG310" s="347"/>
      <c r="BH310" s="347"/>
      <c r="BI310" s="347"/>
      <c r="BJ310" s="586"/>
      <c r="BK310" s="581"/>
      <c r="BL310" s="347"/>
      <c r="BM310" s="347"/>
      <c r="BN310" s="347"/>
      <c r="BO310" s="586"/>
      <c r="BP310" s="584"/>
      <c r="BQ310" s="347"/>
      <c r="BR310" s="586"/>
      <c r="BS310" s="588"/>
      <c r="BT310" s="586"/>
      <c r="BU310" s="589"/>
      <c r="BV310" s="581">
        <f t="shared" si="44"/>
        <v>0</v>
      </c>
      <c r="BW310" s="590"/>
      <c r="BX310" s="347"/>
      <c r="BY310" s="347"/>
      <c r="BZ310" s="347"/>
      <c r="CA310" s="586"/>
      <c r="CB310" s="581"/>
      <c r="CC310" s="581">
        <f t="shared" si="193"/>
        <v>0</v>
      </c>
      <c r="CD310" s="581"/>
      <c r="CE310" s="581"/>
      <c r="CF310" s="581"/>
      <c r="CG310" s="586"/>
      <c r="CH310" s="608"/>
      <c r="CI310" s="603"/>
      <c r="CJ310" s="347"/>
      <c r="CK310" s="347"/>
      <c r="CL310" s="347"/>
      <c r="CM310" s="347"/>
      <c r="CN310" s="347"/>
      <c r="CO310" s="347"/>
      <c r="CP310" s="347"/>
    </row>
    <row r="311">
      <c r="A311" s="574"/>
      <c r="B311" s="574"/>
      <c r="C311" s="347"/>
      <c r="D311" s="574"/>
      <c r="E311" s="347"/>
      <c r="F311" s="596"/>
      <c r="G311" s="596"/>
      <c r="H311" s="347"/>
      <c r="I311" s="347"/>
      <c r="J311" s="596"/>
      <c r="K311" s="609"/>
      <c r="L311" s="1"/>
      <c r="M311" s="347"/>
      <c r="N311" s="347"/>
      <c r="O311" s="579"/>
      <c r="P311" s="579"/>
      <c r="Q311" s="574"/>
      <c r="R311" s="347"/>
      <c r="S311" s="597"/>
      <c r="T311" s="347"/>
      <c r="U311" s="579"/>
      <c r="V311" s="579"/>
      <c r="W311" s="574"/>
      <c r="X311" s="347"/>
      <c r="Y311" s="347"/>
      <c r="Z311" s="347"/>
      <c r="AA311" s="579"/>
      <c r="AB311" s="581"/>
      <c r="AC311" s="347"/>
      <c r="AD311" s="347"/>
      <c r="AE311" s="347"/>
      <c r="AF311" s="347"/>
      <c r="AG311" s="579"/>
      <c r="AH311" s="579"/>
      <c r="AI311" s="582"/>
      <c r="AJ311" s="582"/>
      <c r="AK311" s="582"/>
      <c r="AL311" s="582"/>
      <c r="AM311" s="579"/>
      <c r="AN311" s="579"/>
      <c r="AO311" s="347"/>
      <c r="AP311" s="586"/>
      <c r="AQ311" s="596"/>
      <c r="AR311" s="596"/>
      <c r="AS311" s="348"/>
      <c r="AT311" s="348"/>
      <c r="AU311" s="348"/>
      <c r="AV311" s="348"/>
      <c r="AW311" s="348"/>
      <c r="AX311" s="584"/>
      <c r="AY311" s="581"/>
      <c r="AZ311" s="581"/>
      <c r="BA311" s="596"/>
      <c r="BB311" s="596"/>
      <c r="BC311" s="348"/>
      <c r="BD311" s="581"/>
      <c r="BE311" s="581"/>
      <c r="BF311" s="347"/>
      <c r="BG311" s="347"/>
      <c r="BH311" s="347"/>
      <c r="BI311" s="347"/>
      <c r="BJ311" s="586"/>
      <c r="BK311" s="581"/>
      <c r="BL311" s="347"/>
      <c r="BM311" s="347"/>
      <c r="BN311" s="347"/>
      <c r="BO311" s="586"/>
      <c r="BP311" s="584"/>
      <c r="BQ311" s="347"/>
      <c r="BR311" s="586"/>
      <c r="BS311" s="588"/>
      <c r="BT311" s="586"/>
      <c r="BU311" s="589"/>
      <c r="BV311" s="581">
        <f t="shared" si="44"/>
        <v>0</v>
      </c>
      <c r="BW311" s="590"/>
      <c r="BX311" s="347"/>
      <c r="BY311" s="347"/>
      <c r="BZ311" s="347"/>
      <c r="CA311" s="586"/>
      <c r="CB311" s="581"/>
      <c r="CC311" s="581">
        <f t="shared" si="193"/>
        <v>0</v>
      </c>
      <c r="CD311" s="581"/>
      <c r="CE311" s="581"/>
      <c r="CF311" s="581"/>
      <c r="CG311" s="586"/>
      <c r="CH311" s="608"/>
      <c r="CI311" s="603"/>
      <c r="CJ311" s="347"/>
      <c r="CK311" s="347"/>
      <c r="CL311" s="347"/>
      <c r="CM311" s="347"/>
      <c r="CN311" s="347"/>
      <c r="CO311" s="347"/>
      <c r="CP311" s="347"/>
    </row>
    <row r="312">
      <c r="A312" s="574"/>
      <c r="B312" s="574"/>
      <c r="C312" s="347"/>
      <c r="D312" s="574"/>
      <c r="E312" s="347"/>
      <c r="F312" s="596"/>
      <c r="G312" s="596"/>
      <c r="H312" s="347"/>
      <c r="I312" s="347"/>
      <c r="J312" s="596"/>
      <c r="K312" s="609"/>
      <c r="L312" s="1"/>
      <c r="M312" s="347"/>
      <c r="N312" s="347"/>
      <c r="O312" s="579"/>
      <c r="P312" s="579"/>
      <c r="Q312" s="574"/>
      <c r="R312" s="347"/>
      <c r="S312" s="597"/>
      <c r="T312" s="347"/>
      <c r="U312" s="579"/>
      <c r="V312" s="579"/>
      <c r="W312" s="574"/>
      <c r="X312" s="347"/>
      <c r="Y312" s="347"/>
      <c r="Z312" s="347"/>
      <c r="AA312" s="579"/>
      <c r="AB312" s="581"/>
      <c r="AC312" s="347"/>
      <c r="AD312" s="347"/>
      <c r="AE312" s="347"/>
      <c r="AF312" s="347"/>
      <c r="AG312" s="579"/>
      <c r="AH312" s="579"/>
      <c r="AI312" s="582"/>
      <c r="AJ312" s="582"/>
      <c r="AK312" s="582"/>
      <c r="AL312" s="582"/>
      <c r="AM312" s="579"/>
      <c r="AN312" s="579"/>
      <c r="AO312" s="347"/>
      <c r="AP312" s="586"/>
      <c r="AQ312" s="596"/>
      <c r="AR312" s="596"/>
      <c r="AS312" s="348"/>
      <c r="AT312" s="348"/>
      <c r="AU312" s="348"/>
      <c r="AV312" s="348"/>
      <c r="AW312" s="348"/>
      <c r="AX312" s="584"/>
      <c r="AY312" s="581"/>
      <c r="AZ312" s="581"/>
      <c r="BA312" s="596"/>
      <c r="BB312" s="596"/>
      <c r="BC312" s="348"/>
      <c r="BD312" s="581"/>
      <c r="BE312" s="581"/>
      <c r="BF312" s="347"/>
      <c r="BG312" s="347"/>
      <c r="BH312" s="347"/>
      <c r="BI312" s="347"/>
      <c r="BJ312" s="586"/>
      <c r="BK312" s="581"/>
      <c r="BL312" s="347"/>
      <c r="BM312" s="347"/>
      <c r="BN312" s="347"/>
      <c r="BO312" s="586"/>
      <c r="BP312" s="584"/>
      <c r="BQ312" s="347"/>
      <c r="BR312" s="586"/>
      <c r="BS312" s="588"/>
      <c r="BT312" s="586"/>
      <c r="BU312" s="589"/>
      <c r="BV312" s="581">
        <f t="shared" si="44"/>
        <v>0</v>
      </c>
      <c r="BW312" s="590"/>
      <c r="BX312" s="347"/>
      <c r="BY312" s="347"/>
      <c r="BZ312" s="347"/>
      <c r="CA312" s="586"/>
      <c r="CB312" s="581"/>
      <c r="CC312" s="581">
        <f t="shared" si="193"/>
        <v>0</v>
      </c>
      <c r="CD312" s="581"/>
      <c r="CE312" s="581"/>
      <c r="CF312" s="581"/>
      <c r="CG312" s="586"/>
      <c r="CH312" s="608"/>
      <c r="CI312" s="603"/>
      <c r="CJ312" s="347"/>
      <c r="CK312" s="347"/>
      <c r="CL312" s="347"/>
      <c r="CM312" s="347"/>
      <c r="CN312" s="347"/>
      <c r="CO312" s="347"/>
      <c r="CP312" s="347"/>
    </row>
    <row r="313">
      <c r="A313" s="574"/>
      <c r="B313" s="574"/>
      <c r="C313" s="347"/>
      <c r="D313" s="574"/>
      <c r="E313" s="347"/>
      <c r="F313" s="596"/>
      <c r="G313" s="596"/>
      <c r="H313" s="347"/>
      <c r="I313" s="347"/>
      <c r="J313" s="596"/>
      <c r="K313" s="609"/>
      <c r="L313" s="1"/>
      <c r="M313" s="347"/>
      <c r="N313" s="347"/>
      <c r="O313" s="579"/>
      <c r="P313" s="579"/>
      <c r="Q313" s="574"/>
      <c r="R313" s="347"/>
      <c r="S313" s="597"/>
      <c r="T313" s="347"/>
      <c r="U313" s="579"/>
      <c r="V313" s="579"/>
      <c r="W313" s="574"/>
      <c r="X313" s="347"/>
      <c r="Y313" s="347"/>
      <c r="Z313" s="347"/>
      <c r="AA313" s="579"/>
      <c r="AB313" s="581"/>
      <c r="AC313" s="347"/>
      <c r="AD313" s="347"/>
      <c r="AE313" s="347"/>
      <c r="AF313" s="347"/>
      <c r="AG313" s="579"/>
      <c r="AH313" s="579"/>
      <c r="AI313" s="582"/>
      <c r="AJ313" s="582"/>
      <c r="AK313" s="582"/>
      <c r="AL313" s="582"/>
      <c r="AM313" s="579"/>
      <c r="AN313" s="579"/>
      <c r="AO313" s="347"/>
      <c r="AP313" s="586"/>
      <c r="AQ313" s="596"/>
      <c r="AR313" s="596"/>
      <c r="AS313" s="348"/>
      <c r="AT313" s="348"/>
      <c r="AU313" s="348"/>
      <c r="AV313" s="348"/>
      <c r="AW313" s="348"/>
      <c r="AX313" s="584"/>
      <c r="AY313" s="581"/>
      <c r="AZ313" s="581"/>
      <c r="BA313" s="596"/>
      <c r="BB313" s="596"/>
      <c r="BC313" s="348"/>
      <c r="BD313" s="581"/>
      <c r="BE313" s="581"/>
      <c r="BF313" s="347"/>
      <c r="BG313" s="347"/>
      <c r="BH313" s="347"/>
      <c r="BI313" s="347"/>
      <c r="BJ313" s="586"/>
      <c r="BK313" s="581"/>
      <c r="BL313" s="347"/>
      <c r="BM313" s="347"/>
      <c r="BN313" s="347"/>
      <c r="BO313" s="586"/>
      <c r="BP313" s="584"/>
      <c r="BQ313" s="347"/>
      <c r="BR313" s="586"/>
      <c r="BS313" s="588"/>
      <c r="BT313" s="586"/>
      <c r="BU313" s="589"/>
      <c r="BV313" s="581">
        <f t="shared" si="44"/>
        <v>0</v>
      </c>
      <c r="BW313" s="590"/>
      <c r="BX313" s="347"/>
      <c r="BY313" s="347"/>
      <c r="BZ313" s="347"/>
      <c r="CA313" s="586"/>
      <c r="CB313" s="581"/>
      <c r="CC313" s="581">
        <f t="shared" si="193"/>
        <v>0</v>
      </c>
      <c r="CD313" s="581"/>
      <c r="CE313" s="581"/>
      <c r="CF313" s="581"/>
      <c r="CG313" s="586"/>
      <c r="CH313" s="608"/>
      <c r="CI313" s="603"/>
      <c r="CJ313" s="347"/>
      <c r="CK313" s="347"/>
      <c r="CL313" s="347"/>
      <c r="CM313" s="347"/>
      <c r="CN313" s="347"/>
      <c r="CO313" s="347"/>
      <c r="CP313" s="347"/>
    </row>
    <row r="314">
      <c r="A314" s="574"/>
      <c r="B314" s="574"/>
      <c r="C314" s="347"/>
      <c r="D314" s="574"/>
      <c r="E314" s="347"/>
      <c r="F314" s="596"/>
      <c r="G314" s="596"/>
      <c r="H314" s="347"/>
      <c r="I314" s="347"/>
      <c r="J314" s="596"/>
      <c r="K314" s="609"/>
      <c r="L314" s="1"/>
      <c r="M314" s="347"/>
      <c r="N314" s="347"/>
      <c r="O314" s="579"/>
      <c r="P314" s="579"/>
      <c r="Q314" s="574"/>
      <c r="R314" s="347"/>
      <c r="S314" s="597"/>
      <c r="T314" s="347"/>
      <c r="U314" s="579"/>
      <c r="V314" s="579"/>
      <c r="W314" s="574"/>
      <c r="X314" s="347"/>
      <c r="Y314" s="347"/>
      <c r="Z314" s="347"/>
      <c r="AA314" s="579"/>
      <c r="AB314" s="581"/>
      <c r="AC314" s="347"/>
      <c r="AD314" s="347"/>
      <c r="AE314" s="347"/>
      <c r="AF314" s="347"/>
      <c r="AG314" s="579"/>
      <c r="AH314" s="579"/>
      <c r="AI314" s="582"/>
      <c r="AJ314" s="582"/>
      <c r="AK314" s="582"/>
      <c r="AL314" s="582"/>
      <c r="AM314" s="579"/>
      <c r="AN314" s="579"/>
      <c r="AO314" s="347"/>
      <c r="AP314" s="586"/>
      <c r="AQ314" s="596"/>
      <c r="AR314" s="596"/>
      <c r="AS314" s="348"/>
      <c r="AT314" s="348"/>
      <c r="AU314" s="348"/>
      <c r="AV314" s="348"/>
      <c r="AW314" s="348"/>
      <c r="AX314" s="584"/>
      <c r="AY314" s="581"/>
      <c r="AZ314" s="581"/>
      <c r="BA314" s="596"/>
      <c r="BB314" s="596"/>
      <c r="BC314" s="348"/>
      <c r="BD314" s="581"/>
      <c r="BE314" s="581"/>
      <c r="BF314" s="347"/>
      <c r="BG314" s="347"/>
      <c r="BH314" s="347"/>
      <c r="BI314" s="347"/>
      <c r="BJ314" s="586"/>
      <c r="BK314" s="581"/>
      <c r="BL314" s="347"/>
      <c r="BM314" s="347"/>
      <c r="BN314" s="347"/>
      <c r="BO314" s="586"/>
      <c r="BP314" s="584"/>
      <c r="BQ314" s="347"/>
      <c r="BR314" s="586"/>
      <c r="BS314" s="588"/>
      <c r="BT314" s="586"/>
      <c r="BU314" s="589"/>
      <c r="BV314" s="581">
        <f t="shared" si="44"/>
        <v>0</v>
      </c>
      <c r="BW314" s="590"/>
      <c r="BX314" s="347"/>
      <c r="BY314" s="347"/>
      <c r="BZ314" s="347"/>
      <c r="CA314" s="586"/>
      <c r="CB314" s="581"/>
      <c r="CC314" s="581">
        <f t="shared" si="193"/>
        <v>0</v>
      </c>
      <c r="CD314" s="581"/>
      <c r="CE314" s="581"/>
      <c r="CF314" s="581"/>
      <c r="CG314" s="586"/>
      <c r="CH314" s="608"/>
      <c r="CI314" s="603"/>
      <c r="CJ314" s="347"/>
      <c r="CK314" s="347"/>
      <c r="CL314" s="347"/>
      <c r="CM314" s="347"/>
      <c r="CN314" s="347"/>
      <c r="CO314" s="347"/>
      <c r="CP314" s="347"/>
    </row>
    <row r="315">
      <c r="A315" s="574"/>
      <c r="B315" s="574"/>
      <c r="C315" s="347"/>
      <c r="D315" s="574"/>
      <c r="E315" s="347"/>
      <c r="F315" s="596"/>
      <c r="G315" s="596"/>
      <c r="H315" s="347"/>
      <c r="I315" s="347"/>
      <c r="J315" s="596"/>
      <c r="K315" s="609"/>
      <c r="L315" s="1"/>
      <c r="M315" s="347"/>
      <c r="N315" s="347"/>
      <c r="O315" s="579"/>
      <c r="P315" s="579"/>
      <c r="Q315" s="574"/>
      <c r="R315" s="347"/>
      <c r="S315" s="597"/>
      <c r="T315" s="347"/>
      <c r="U315" s="579"/>
      <c r="V315" s="579"/>
      <c r="W315" s="574"/>
      <c r="X315" s="347"/>
      <c r="Y315" s="347"/>
      <c r="Z315" s="347"/>
      <c r="AA315" s="579"/>
      <c r="AB315" s="581"/>
      <c r="AC315" s="347"/>
      <c r="AD315" s="347"/>
      <c r="AE315" s="347"/>
      <c r="AF315" s="347"/>
      <c r="AG315" s="579"/>
      <c r="AH315" s="579"/>
      <c r="AI315" s="582"/>
      <c r="AJ315" s="582"/>
      <c r="AK315" s="582"/>
      <c r="AL315" s="582"/>
      <c r="AM315" s="579"/>
      <c r="AN315" s="579"/>
      <c r="AO315" s="347"/>
      <c r="AP315" s="586"/>
      <c r="AQ315" s="596"/>
      <c r="AR315" s="596"/>
      <c r="AS315" s="348"/>
      <c r="AT315" s="348"/>
      <c r="AU315" s="348"/>
      <c r="AV315" s="348"/>
      <c r="AW315" s="348"/>
      <c r="AX315" s="584"/>
      <c r="AY315" s="581"/>
      <c r="AZ315" s="581"/>
      <c r="BA315" s="596"/>
      <c r="BB315" s="596"/>
      <c r="BC315" s="348"/>
      <c r="BD315" s="581"/>
      <c r="BE315" s="581"/>
      <c r="BF315" s="347"/>
      <c r="BG315" s="347"/>
      <c r="BH315" s="347"/>
      <c r="BI315" s="347"/>
      <c r="BJ315" s="586"/>
      <c r="BK315" s="581"/>
      <c r="BL315" s="347"/>
      <c r="BM315" s="347"/>
      <c r="BN315" s="347"/>
      <c r="BO315" s="586"/>
      <c r="BP315" s="584"/>
      <c r="BQ315" s="347"/>
      <c r="BR315" s="586"/>
      <c r="BS315" s="588"/>
      <c r="BT315" s="586"/>
      <c r="BU315" s="589"/>
      <c r="BV315" s="581">
        <f t="shared" si="44"/>
        <v>0</v>
      </c>
      <c r="BW315" s="590"/>
      <c r="BX315" s="347"/>
      <c r="BY315" s="347"/>
      <c r="BZ315" s="347"/>
      <c r="CA315" s="586"/>
      <c r="CB315" s="581"/>
      <c r="CC315" s="581">
        <f t="shared" si="193"/>
        <v>0</v>
      </c>
      <c r="CD315" s="581"/>
      <c r="CE315" s="581"/>
      <c r="CF315" s="581"/>
      <c r="CG315" s="586"/>
      <c r="CH315" s="608"/>
      <c r="CI315" s="603"/>
      <c r="CJ315" s="347"/>
      <c r="CK315" s="347"/>
      <c r="CL315" s="347"/>
      <c r="CM315" s="347"/>
      <c r="CN315" s="347"/>
      <c r="CO315" s="347"/>
      <c r="CP315" s="347"/>
    </row>
    <row r="316">
      <c r="A316" s="574"/>
      <c r="B316" s="574"/>
      <c r="C316" s="347"/>
      <c r="D316" s="574"/>
      <c r="E316" s="347"/>
      <c r="F316" s="596"/>
      <c r="G316" s="596"/>
      <c r="H316" s="347"/>
      <c r="I316" s="347"/>
      <c r="J316" s="596"/>
      <c r="K316" s="609"/>
      <c r="L316" s="1"/>
      <c r="M316" s="347"/>
      <c r="N316" s="347"/>
      <c r="O316" s="579"/>
      <c r="P316" s="579"/>
      <c r="Q316" s="574"/>
      <c r="R316" s="347"/>
      <c r="S316" s="597"/>
      <c r="T316" s="347"/>
      <c r="U316" s="579"/>
      <c r="V316" s="579"/>
      <c r="W316" s="574"/>
      <c r="X316" s="347"/>
      <c r="Y316" s="347"/>
      <c r="Z316" s="347"/>
      <c r="AA316" s="579"/>
      <c r="AB316" s="581"/>
      <c r="AC316" s="347"/>
      <c r="AD316" s="347"/>
      <c r="AE316" s="347"/>
      <c r="AF316" s="347"/>
      <c r="AG316" s="579"/>
      <c r="AH316" s="579"/>
      <c r="AI316" s="582"/>
      <c r="AJ316" s="582"/>
      <c r="AK316" s="582"/>
      <c r="AL316" s="582"/>
      <c r="AM316" s="579"/>
      <c r="AN316" s="579"/>
      <c r="AO316" s="347"/>
      <c r="AP316" s="586"/>
      <c r="AQ316" s="596"/>
      <c r="AR316" s="596"/>
      <c r="AS316" s="348"/>
      <c r="AT316" s="348"/>
      <c r="AU316" s="348"/>
      <c r="AV316" s="348"/>
      <c r="AW316" s="348"/>
      <c r="AX316" s="584"/>
      <c r="AY316" s="581"/>
      <c r="AZ316" s="581"/>
      <c r="BA316" s="596"/>
      <c r="BB316" s="596"/>
      <c r="BC316" s="348"/>
      <c r="BD316" s="581"/>
      <c r="BE316" s="581"/>
      <c r="BF316" s="347"/>
      <c r="BG316" s="347"/>
      <c r="BH316" s="347"/>
      <c r="BI316" s="347"/>
      <c r="BJ316" s="586"/>
      <c r="BK316" s="581"/>
      <c r="BL316" s="347"/>
      <c r="BM316" s="347"/>
      <c r="BN316" s="347"/>
      <c r="BO316" s="586"/>
      <c r="BP316" s="584"/>
      <c r="BQ316" s="347"/>
      <c r="BR316" s="586"/>
      <c r="BS316" s="588"/>
      <c r="BT316" s="586"/>
      <c r="BU316" s="589"/>
      <c r="BV316" s="581">
        <f t="shared" si="44"/>
        <v>0</v>
      </c>
      <c r="BW316" s="590"/>
      <c r="BX316" s="347"/>
      <c r="BY316" s="347"/>
      <c r="BZ316" s="347"/>
      <c r="CA316" s="586"/>
      <c r="CB316" s="581"/>
      <c r="CC316" s="581">
        <f t="shared" si="193"/>
        <v>0</v>
      </c>
      <c r="CD316" s="581"/>
      <c r="CE316" s="581"/>
      <c r="CF316" s="581"/>
      <c r="CG316" s="586"/>
      <c r="CH316" s="608"/>
      <c r="CI316" s="603"/>
      <c r="CJ316" s="347"/>
      <c r="CK316" s="347"/>
      <c r="CL316" s="347"/>
      <c r="CM316" s="347"/>
      <c r="CN316" s="347"/>
      <c r="CO316" s="347"/>
      <c r="CP316" s="347"/>
    </row>
    <row r="317">
      <c r="A317" s="574"/>
      <c r="B317" s="574"/>
      <c r="C317" s="347"/>
      <c r="D317" s="574"/>
      <c r="E317" s="347"/>
      <c r="F317" s="596"/>
      <c r="G317" s="596"/>
      <c r="H317" s="347"/>
      <c r="I317" s="347"/>
      <c r="J317" s="596"/>
      <c r="K317" s="609"/>
      <c r="L317" s="1"/>
      <c r="M317" s="347"/>
      <c r="N317" s="347"/>
      <c r="O317" s="579"/>
      <c r="P317" s="579"/>
      <c r="Q317" s="574"/>
      <c r="R317" s="347"/>
      <c r="S317" s="597"/>
      <c r="T317" s="347"/>
      <c r="U317" s="579"/>
      <c r="V317" s="579"/>
      <c r="W317" s="574"/>
      <c r="X317" s="347"/>
      <c r="Y317" s="347"/>
      <c r="Z317" s="347"/>
      <c r="AA317" s="579"/>
      <c r="AB317" s="581"/>
      <c r="AC317" s="347"/>
      <c r="AD317" s="347"/>
      <c r="AE317" s="347"/>
      <c r="AF317" s="347"/>
      <c r="AG317" s="579"/>
      <c r="AH317" s="579"/>
      <c r="AI317" s="582"/>
      <c r="AJ317" s="582"/>
      <c r="AK317" s="582"/>
      <c r="AL317" s="582"/>
      <c r="AM317" s="579"/>
      <c r="AN317" s="579"/>
      <c r="AO317" s="347"/>
      <c r="AP317" s="586"/>
      <c r="AQ317" s="596"/>
      <c r="AR317" s="596"/>
      <c r="AS317" s="348"/>
      <c r="AT317" s="348"/>
      <c r="AU317" s="348"/>
      <c r="AV317" s="348"/>
      <c r="AW317" s="348"/>
      <c r="AX317" s="584"/>
      <c r="AY317" s="581"/>
      <c r="AZ317" s="581"/>
      <c r="BA317" s="596"/>
      <c r="BB317" s="596"/>
      <c r="BC317" s="348"/>
      <c r="BD317" s="581"/>
      <c r="BE317" s="581"/>
      <c r="BF317" s="347"/>
      <c r="BG317" s="347"/>
      <c r="BH317" s="347"/>
      <c r="BI317" s="347"/>
      <c r="BJ317" s="586"/>
      <c r="BK317" s="581"/>
      <c r="BL317" s="347"/>
      <c r="BM317" s="347"/>
      <c r="BN317" s="347"/>
      <c r="BO317" s="586"/>
      <c r="BP317" s="584"/>
      <c r="BQ317" s="347"/>
      <c r="BR317" s="586"/>
      <c r="BS317" s="588"/>
      <c r="BT317" s="586"/>
      <c r="BU317" s="589"/>
      <c r="BV317" s="581">
        <f t="shared" si="44"/>
        <v>0</v>
      </c>
      <c r="BW317" s="590"/>
      <c r="BX317" s="347"/>
      <c r="BY317" s="347"/>
      <c r="BZ317" s="347"/>
      <c r="CA317" s="586"/>
      <c r="CB317" s="581"/>
      <c r="CC317" s="581">
        <f t="shared" si="193"/>
        <v>0</v>
      </c>
      <c r="CD317" s="581"/>
      <c r="CE317" s="581"/>
      <c r="CF317" s="581"/>
      <c r="CG317" s="586"/>
      <c r="CH317" s="608"/>
      <c r="CI317" s="603"/>
      <c r="CJ317" s="347"/>
      <c r="CK317" s="347"/>
      <c r="CL317" s="347"/>
      <c r="CM317" s="347"/>
      <c r="CN317" s="347"/>
      <c r="CO317" s="347"/>
      <c r="CP317" s="347"/>
    </row>
    <row r="318">
      <c r="A318" s="574"/>
      <c r="B318" s="574"/>
      <c r="C318" s="347"/>
      <c r="D318" s="574"/>
      <c r="E318" s="347"/>
      <c r="F318" s="596"/>
      <c r="G318" s="596"/>
      <c r="H318" s="347"/>
      <c r="I318" s="347"/>
      <c r="J318" s="596"/>
      <c r="K318" s="609"/>
      <c r="L318" s="1"/>
      <c r="M318" s="347"/>
      <c r="N318" s="347"/>
      <c r="O318" s="579"/>
      <c r="P318" s="579"/>
      <c r="Q318" s="574"/>
      <c r="R318" s="347"/>
      <c r="S318" s="597"/>
      <c r="T318" s="347"/>
      <c r="U318" s="579"/>
      <c r="V318" s="579"/>
      <c r="W318" s="574"/>
      <c r="X318" s="347"/>
      <c r="Y318" s="347"/>
      <c r="Z318" s="347"/>
      <c r="AA318" s="579"/>
      <c r="AB318" s="581"/>
      <c r="AC318" s="347"/>
      <c r="AD318" s="347"/>
      <c r="AE318" s="347"/>
      <c r="AF318" s="347"/>
      <c r="AG318" s="579"/>
      <c r="AH318" s="579"/>
      <c r="AI318" s="582"/>
      <c r="AJ318" s="582"/>
      <c r="AK318" s="582"/>
      <c r="AL318" s="582"/>
      <c r="AM318" s="579"/>
      <c r="AN318" s="579"/>
      <c r="AO318" s="347"/>
      <c r="AP318" s="586"/>
      <c r="AQ318" s="596"/>
      <c r="AR318" s="596"/>
      <c r="AS318" s="348"/>
      <c r="AT318" s="348"/>
      <c r="AU318" s="348"/>
      <c r="AV318" s="348"/>
      <c r="AW318" s="348"/>
      <c r="AX318" s="584"/>
      <c r="AY318" s="581"/>
      <c r="AZ318" s="581"/>
      <c r="BA318" s="596"/>
      <c r="BB318" s="596"/>
      <c r="BC318" s="348"/>
      <c r="BD318" s="581"/>
      <c r="BE318" s="581"/>
      <c r="BF318" s="347"/>
      <c r="BG318" s="347"/>
      <c r="BH318" s="347"/>
      <c r="BI318" s="347"/>
      <c r="BJ318" s="586"/>
      <c r="BK318" s="581"/>
      <c r="BL318" s="347"/>
      <c r="BM318" s="347"/>
      <c r="BN318" s="347"/>
      <c r="BO318" s="586"/>
      <c r="BP318" s="584"/>
      <c r="BQ318" s="347"/>
      <c r="BR318" s="586"/>
      <c r="BS318" s="588"/>
      <c r="BT318" s="586"/>
      <c r="BU318" s="589"/>
      <c r="BV318" s="581">
        <f t="shared" si="44"/>
        <v>0</v>
      </c>
      <c r="BW318" s="590"/>
      <c r="BX318" s="347"/>
      <c r="BY318" s="347"/>
      <c r="BZ318" s="347"/>
      <c r="CA318" s="586"/>
      <c r="CB318" s="581"/>
      <c r="CC318" s="581">
        <f t="shared" si="193"/>
        <v>0</v>
      </c>
      <c r="CD318" s="581"/>
      <c r="CE318" s="581"/>
      <c r="CF318" s="581"/>
      <c r="CG318" s="586"/>
      <c r="CH318" s="608"/>
      <c r="CI318" s="603"/>
      <c r="CJ318" s="347"/>
      <c r="CK318" s="347"/>
      <c r="CL318" s="347"/>
      <c r="CM318" s="347"/>
      <c r="CN318" s="347"/>
      <c r="CO318" s="347"/>
      <c r="CP318" s="347"/>
    </row>
    <row r="319">
      <c r="A319" s="574"/>
      <c r="B319" s="574"/>
      <c r="C319" s="347"/>
      <c r="D319" s="574"/>
      <c r="E319" s="347"/>
      <c r="F319" s="596"/>
      <c r="G319" s="596"/>
      <c r="H319" s="347"/>
      <c r="I319" s="347"/>
      <c r="J319" s="596"/>
      <c r="K319" s="609"/>
      <c r="L319" s="1"/>
      <c r="M319" s="347"/>
      <c r="N319" s="347"/>
      <c r="O319" s="579"/>
      <c r="P319" s="579"/>
      <c r="Q319" s="574"/>
      <c r="R319" s="347"/>
      <c r="S319" s="597"/>
      <c r="T319" s="347"/>
      <c r="U319" s="579"/>
      <c r="V319" s="579"/>
      <c r="W319" s="574"/>
      <c r="X319" s="347"/>
      <c r="Y319" s="347"/>
      <c r="Z319" s="347"/>
      <c r="AA319" s="579"/>
      <c r="AB319" s="581"/>
      <c r="AC319" s="347"/>
      <c r="AD319" s="347"/>
      <c r="AE319" s="347"/>
      <c r="AF319" s="347"/>
      <c r="AG319" s="579"/>
      <c r="AH319" s="579"/>
      <c r="AI319" s="582"/>
      <c r="AJ319" s="582"/>
      <c r="AK319" s="582"/>
      <c r="AL319" s="582"/>
      <c r="AM319" s="579"/>
      <c r="AN319" s="579"/>
      <c r="AO319" s="347"/>
      <c r="AP319" s="586"/>
      <c r="AQ319" s="596"/>
      <c r="AR319" s="596"/>
      <c r="AS319" s="348"/>
      <c r="AT319" s="348"/>
      <c r="AU319" s="348"/>
      <c r="AV319" s="348"/>
      <c r="AW319" s="348"/>
      <c r="AX319" s="584"/>
      <c r="AY319" s="581"/>
      <c r="AZ319" s="581"/>
      <c r="BA319" s="596"/>
      <c r="BB319" s="596"/>
      <c r="BC319" s="348"/>
      <c r="BD319" s="581"/>
      <c r="BE319" s="581"/>
      <c r="BF319" s="347"/>
      <c r="BG319" s="347"/>
      <c r="BH319" s="347"/>
      <c r="BI319" s="347"/>
      <c r="BJ319" s="586"/>
      <c r="BK319" s="581"/>
      <c r="BL319" s="347"/>
      <c r="BM319" s="347"/>
      <c r="BN319" s="347"/>
      <c r="BO319" s="586"/>
      <c r="BP319" s="584"/>
      <c r="BQ319" s="347"/>
      <c r="BR319" s="586"/>
      <c r="BS319" s="588"/>
      <c r="BT319" s="586"/>
      <c r="BU319" s="589"/>
      <c r="BV319" s="581">
        <f t="shared" si="44"/>
        <v>0</v>
      </c>
      <c r="BW319" s="590"/>
      <c r="BX319" s="347"/>
      <c r="BY319" s="347"/>
      <c r="BZ319" s="347"/>
      <c r="CA319" s="586"/>
      <c r="CB319" s="581"/>
      <c r="CC319" s="581">
        <f t="shared" si="193"/>
        <v>0</v>
      </c>
      <c r="CD319" s="581"/>
      <c r="CE319" s="581"/>
      <c r="CF319" s="581"/>
      <c r="CG319" s="586"/>
      <c r="CH319" s="608"/>
      <c r="CI319" s="603"/>
      <c r="CJ319" s="347"/>
      <c r="CK319" s="347"/>
      <c r="CL319" s="347"/>
      <c r="CM319" s="347"/>
      <c r="CN319" s="347"/>
      <c r="CO319" s="347"/>
      <c r="CP319" s="347"/>
    </row>
    <row r="320">
      <c r="A320" s="574"/>
      <c r="B320" s="574"/>
      <c r="C320" s="347"/>
      <c r="D320" s="574"/>
      <c r="E320" s="347"/>
      <c r="F320" s="596"/>
      <c r="G320" s="596"/>
      <c r="H320" s="347"/>
      <c r="I320" s="347"/>
      <c r="J320" s="596"/>
      <c r="K320" s="609"/>
      <c r="L320" s="1"/>
      <c r="M320" s="347"/>
      <c r="N320" s="347"/>
      <c r="O320" s="579"/>
      <c r="P320" s="579"/>
      <c r="Q320" s="574"/>
      <c r="R320" s="347"/>
      <c r="S320" s="597"/>
      <c r="T320" s="347"/>
      <c r="U320" s="579"/>
      <c r="V320" s="579"/>
      <c r="W320" s="574"/>
      <c r="X320" s="347"/>
      <c r="Y320" s="347"/>
      <c r="Z320" s="347"/>
      <c r="AA320" s="579"/>
      <c r="AB320" s="581"/>
      <c r="AC320" s="347"/>
      <c r="AD320" s="347"/>
      <c r="AE320" s="347"/>
      <c r="AF320" s="347"/>
      <c r="AG320" s="579"/>
      <c r="AH320" s="579"/>
      <c r="AI320" s="582"/>
      <c r="AJ320" s="582"/>
      <c r="AK320" s="582"/>
      <c r="AL320" s="582"/>
      <c r="AM320" s="579"/>
      <c r="AN320" s="579"/>
      <c r="AO320" s="347"/>
      <c r="AP320" s="586"/>
      <c r="AQ320" s="596"/>
      <c r="AR320" s="596"/>
      <c r="AS320" s="348"/>
      <c r="AT320" s="348"/>
      <c r="AU320" s="348"/>
      <c r="AV320" s="348"/>
      <c r="AW320" s="348"/>
      <c r="AX320" s="584"/>
      <c r="AY320" s="581"/>
      <c r="AZ320" s="581"/>
      <c r="BA320" s="596"/>
      <c r="BB320" s="596"/>
      <c r="BC320" s="348"/>
      <c r="BD320" s="581"/>
      <c r="BE320" s="581"/>
      <c r="BF320" s="347"/>
      <c r="BG320" s="347"/>
      <c r="BH320" s="347"/>
      <c r="BI320" s="347"/>
      <c r="BJ320" s="586"/>
      <c r="BK320" s="581"/>
      <c r="BL320" s="347"/>
      <c r="BM320" s="347"/>
      <c r="BN320" s="347"/>
      <c r="BO320" s="586"/>
      <c r="BP320" s="584"/>
      <c r="BQ320" s="347"/>
      <c r="BR320" s="586"/>
      <c r="BS320" s="588"/>
      <c r="BT320" s="586"/>
      <c r="BU320" s="589"/>
      <c r="BV320" s="581">
        <f t="shared" si="44"/>
        <v>0</v>
      </c>
      <c r="BW320" s="590"/>
      <c r="BX320" s="347"/>
      <c r="BY320" s="347"/>
      <c r="BZ320" s="347"/>
      <c r="CA320" s="586"/>
      <c r="CB320" s="581"/>
      <c r="CC320" s="581">
        <f t="shared" si="193"/>
        <v>0</v>
      </c>
      <c r="CD320" s="581"/>
      <c r="CE320" s="581"/>
      <c r="CF320" s="581"/>
      <c r="CG320" s="586"/>
      <c r="CH320" s="608"/>
      <c r="CI320" s="603"/>
      <c r="CJ320" s="347"/>
      <c r="CK320" s="347"/>
      <c r="CL320" s="347"/>
      <c r="CM320" s="347"/>
      <c r="CN320" s="347"/>
      <c r="CO320" s="347"/>
      <c r="CP320" s="347"/>
    </row>
    <row r="321">
      <c r="A321" s="574"/>
      <c r="B321" s="574"/>
      <c r="C321" s="347"/>
      <c r="D321" s="574"/>
      <c r="E321" s="347"/>
      <c r="F321" s="596"/>
      <c r="G321" s="596"/>
      <c r="H321" s="347"/>
      <c r="I321" s="347"/>
      <c r="J321" s="596"/>
      <c r="K321" s="609"/>
      <c r="L321" s="1"/>
      <c r="M321" s="347"/>
      <c r="N321" s="347"/>
      <c r="O321" s="579"/>
      <c r="P321" s="579"/>
      <c r="Q321" s="574"/>
      <c r="R321" s="347"/>
      <c r="S321" s="597"/>
      <c r="T321" s="347"/>
      <c r="U321" s="579"/>
      <c r="V321" s="579"/>
      <c r="W321" s="574"/>
      <c r="X321" s="347"/>
      <c r="Y321" s="347"/>
      <c r="Z321" s="347"/>
      <c r="AA321" s="579"/>
      <c r="AB321" s="581"/>
      <c r="AC321" s="347"/>
      <c r="AD321" s="347"/>
      <c r="AE321" s="347"/>
      <c r="AF321" s="347"/>
      <c r="AG321" s="579"/>
      <c r="AH321" s="579"/>
      <c r="AI321" s="582"/>
      <c r="AJ321" s="582"/>
      <c r="AK321" s="582"/>
      <c r="AL321" s="582"/>
      <c r="AM321" s="579"/>
      <c r="AN321" s="579"/>
      <c r="AO321" s="347"/>
      <c r="AP321" s="586"/>
      <c r="AQ321" s="596"/>
      <c r="AR321" s="596"/>
      <c r="AS321" s="348"/>
      <c r="AT321" s="348"/>
      <c r="AU321" s="348"/>
      <c r="AV321" s="348"/>
      <c r="AW321" s="348"/>
      <c r="AX321" s="584"/>
      <c r="AY321" s="581"/>
      <c r="AZ321" s="581"/>
      <c r="BA321" s="596"/>
      <c r="BB321" s="596"/>
      <c r="BC321" s="348"/>
      <c r="BD321" s="581"/>
      <c r="BE321" s="581"/>
      <c r="BF321" s="347"/>
      <c r="BG321" s="347"/>
      <c r="BH321" s="347"/>
      <c r="BI321" s="347"/>
      <c r="BJ321" s="586"/>
      <c r="BK321" s="581"/>
      <c r="BL321" s="347"/>
      <c r="BM321" s="347"/>
      <c r="BN321" s="347"/>
      <c r="BO321" s="586"/>
      <c r="BP321" s="584"/>
      <c r="BQ321" s="347"/>
      <c r="BR321" s="586"/>
      <c r="BS321" s="588"/>
      <c r="BT321" s="586"/>
      <c r="BU321" s="589"/>
      <c r="BV321" s="581">
        <f t="shared" si="44"/>
        <v>0</v>
      </c>
      <c r="BW321" s="590"/>
      <c r="BX321" s="347"/>
      <c r="BY321" s="347"/>
      <c r="BZ321" s="347"/>
      <c r="CA321" s="586"/>
      <c r="CB321" s="581"/>
      <c r="CC321" s="581">
        <f t="shared" si="193"/>
        <v>0</v>
      </c>
      <c r="CD321" s="581"/>
      <c r="CE321" s="581"/>
      <c r="CF321" s="581"/>
      <c r="CG321" s="586"/>
      <c r="CH321" s="608"/>
      <c r="CI321" s="603"/>
      <c r="CJ321" s="347"/>
      <c r="CK321" s="347"/>
      <c r="CL321" s="347"/>
      <c r="CM321" s="347"/>
      <c r="CN321" s="347"/>
      <c r="CO321" s="347"/>
      <c r="CP321" s="347"/>
    </row>
    <row r="322">
      <c r="A322" s="574"/>
      <c r="B322" s="574"/>
      <c r="C322" s="347"/>
      <c r="D322" s="574"/>
      <c r="E322" s="347"/>
      <c r="F322" s="596"/>
      <c r="G322" s="596"/>
      <c r="H322" s="347"/>
      <c r="I322" s="347"/>
      <c r="J322" s="596"/>
      <c r="K322" s="609"/>
      <c r="L322" s="1"/>
      <c r="M322" s="347"/>
      <c r="N322" s="347"/>
      <c r="O322" s="579"/>
      <c r="P322" s="579"/>
      <c r="Q322" s="574"/>
      <c r="R322" s="347"/>
      <c r="S322" s="597"/>
      <c r="T322" s="347"/>
      <c r="U322" s="579"/>
      <c r="V322" s="579"/>
      <c r="W322" s="574"/>
      <c r="X322" s="347"/>
      <c r="Y322" s="347"/>
      <c r="Z322" s="347"/>
      <c r="AA322" s="579"/>
      <c r="AB322" s="581"/>
      <c r="AC322" s="347"/>
      <c r="AD322" s="347"/>
      <c r="AE322" s="347"/>
      <c r="AF322" s="347"/>
      <c r="AG322" s="579"/>
      <c r="AH322" s="579"/>
      <c r="AI322" s="582"/>
      <c r="AJ322" s="582"/>
      <c r="AK322" s="582"/>
      <c r="AL322" s="582"/>
      <c r="AM322" s="579"/>
      <c r="AN322" s="579"/>
      <c r="AO322" s="347"/>
      <c r="AP322" s="586"/>
      <c r="AQ322" s="596"/>
      <c r="AR322" s="596"/>
      <c r="AS322" s="348"/>
      <c r="AT322" s="348"/>
      <c r="AU322" s="348"/>
      <c r="AV322" s="348"/>
      <c r="AW322" s="348"/>
      <c r="AX322" s="584"/>
      <c r="AY322" s="581"/>
      <c r="AZ322" s="581"/>
      <c r="BA322" s="596"/>
      <c r="BB322" s="596"/>
      <c r="BC322" s="348"/>
      <c r="BD322" s="581"/>
      <c r="BE322" s="581"/>
      <c r="BF322" s="347"/>
      <c r="BG322" s="347"/>
      <c r="BH322" s="347"/>
      <c r="BI322" s="347"/>
      <c r="BJ322" s="586"/>
      <c r="BK322" s="581"/>
      <c r="BL322" s="347"/>
      <c r="BM322" s="347"/>
      <c r="BN322" s="347"/>
      <c r="BO322" s="586"/>
      <c r="BP322" s="584"/>
      <c r="BQ322" s="347"/>
      <c r="BR322" s="586"/>
      <c r="BS322" s="588"/>
      <c r="BT322" s="586"/>
      <c r="BU322" s="589"/>
      <c r="BV322" s="581">
        <f t="shared" si="44"/>
        <v>0</v>
      </c>
      <c r="BW322" s="590"/>
      <c r="BX322" s="347"/>
      <c r="BY322" s="347"/>
      <c r="BZ322" s="347"/>
      <c r="CA322" s="586"/>
      <c r="CB322" s="581"/>
      <c r="CC322" s="581">
        <f t="shared" si="193"/>
        <v>0</v>
      </c>
      <c r="CD322" s="581"/>
      <c r="CE322" s="581"/>
      <c r="CF322" s="581"/>
      <c r="CG322" s="586"/>
      <c r="CH322" s="608"/>
      <c r="CI322" s="603"/>
      <c r="CJ322" s="347"/>
      <c r="CK322" s="347"/>
      <c r="CL322" s="347"/>
      <c r="CM322" s="347"/>
      <c r="CN322" s="347"/>
      <c r="CO322" s="347"/>
      <c r="CP322" s="347"/>
    </row>
    <row r="323">
      <c r="A323" s="574"/>
      <c r="B323" s="574"/>
      <c r="C323" s="347"/>
      <c r="D323" s="574"/>
      <c r="E323" s="347"/>
      <c r="F323" s="596"/>
      <c r="G323" s="596"/>
      <c r="H323" s="347"/>
      <c r="I323" s="347"/>
      <c r="J323" s="596"/>
      <c r="K323" s="609"/>
      <c r="L323" s="1"/>
      <c r="M323" s="347"/>
      <c r="N323" s="347"/>
      <c r="O323" s="579"/>
      <c r="P323" s="579"/>
      <c r="Q323" s="574"/>
      <c r="R323" s="347"/>
      <c r="S323" s="597"/>
      <c r="T323" s="347"/>
      <c r="U323" s="579"/>
      <c r="V323" s="579"/>
      <c r="W323" s="574"/>
      <c r="X323" s="347"/>
      <c r="Y323" s="347"/>
      <c r="Z323" s="347"/>
      <c r="AA323" s="579"/>
      <c r="AB323" s="581"/>
      <c r="AC323" s="347"/>
      <c r="AD323" s="347"/>
      <c r="AE323" s="347"/>
      <c r="AF323" s="347"/>
      <c r="AG323" s="579"/>
      <c r="AH323" s="579"/>
      <c r="AI323" s="582"/>
      <c r="AJ323" s="582"/>
      <c r="AK323" s="582"/>
      <c r="AL323" s="582"/>
      <c r="AM323" s="579"/>
      <c r="AN323" s="579"/>
      <c r="AO323" s="347"/>
      <c r="AP323" s="586"/>
      <c r="AQ323" s="596"/>
      <c r="AR323" s="596"/>
      <c r="AS323" s="348"/>
      <c r="AT323" s="348"/>
      <c r="AU323" s="348"/>
      <c r="AV323" s="348"/>
      <c r="AW323" s="348"/>
      <c r="AX323" s="584"/>
      <c r="AY323" s="581"/>
      <c r="AZ323" s="581"/>
      <c r="BA323" s="596"/>
      <c r="BB323" s="596"/>
      <c r="BC323" s="348"/>
      <c r="BD323" s="581"/>
      <c r="BE323" s="581"/>
      <c r="BF323" s="347"/>
      <c r="BG323" s="347"/>
      <c r="BH323" s="347"/>
      <c r="BI323" s="347"/>
      <c r="BJ323" s="586"/>
      <c r="BK323" s="581"/>
      <c r="BL323" s="347"/>
      <c r="BM323" s="347"/>
      <c r="BN323" s="347"/>
      <c r="BO323" s="586"/>
      <c r="BP323" s="584"/>
      <c r="BQ323" s="347"/>
      <c r="BR323" s="586"/>
      <c r="BS323" s="588"/>
      <c r="BT323" s="586"/>
      <c r="BU323" s="589"/>
      <c r="BV323" s="581">
        <f t="shared" si="44"/>
        <v>0</v>
      </c>
      <c r="BW323" s="590"/>
      <c r="BX323" s="347"/>
      <c r="BY323" s="347"/>
      <c r="BZ323" s="347"/>
      <c r="CA323" s="586"/>
      <c r="CB323" s="581"/>
      <c r="CC323" s="581">
        <f t="shared" si="193"/>
        <v>0</v>
      </c>
      <c r="CD323" s="581"/>
      <c r="CE323" s="581"/>
      <c r="CF323" s="581"/>
      <c r="CG323" s="586"/>
      <c r="CH323" s="608"/>
      <c r="CI323" s="603"/>
      <c r="CJ323" s="347"/>
      <c r="CK323" s="347"/>
      <c r="CL323" s="347"/>
      <c r="CM323" s="347"/>
      <c r="CN323" s="347"/>
      <c r="CO323" s="347"/>
      <c r="CP323" s="347"/>
    </row>
    <row r="324">
      <c r="A324" s="574"/>
      <c r="B324" s="574"/>
      <c r="C324" s="347"/>
      <c r="D324" s="574"/>
      <c r="E324" s="347"/>
      <c r="F324" s="596"/>
      <c r="G324" s="596"/>
      <c r="H324" s="347"/>
      <c r="I324" s="347"/>
      <c r="J324" s="596"/>
      <c r="K324" s="609"/>
      <c r="L324" s="1"/>
      <c r="M324" s="347"/>
      <c r="N324" s="347"/>
      <c r="O324" s="579"/>
      <c r="P324" s="579"/>
      <c r="Q324" s="574"/>
      <c r="R324" s="347"/>
      <c r="S324" s="597"/>
      <c r="T324" s="347"/>
      <c r="U324" s="579"/>
      <c r="V324" s="579"/>
      <c r="W324" s="574"/>
      <c r="X324" s="347"/>
      <c r="Y324" s="347"/>
      <c r="Z324" s="347"/>
      <c r="AA324" s="579"/>
      <c r="AB324" s="581"/>
      <c r="AC324" s="347"/>
      <c r="AD324" s="347"/>
      <c r="AE324" s="347"/>
      <c r="AF324" s="347"/>
      <c r="AG324" s="579"/>
      <c r="AH324" s="579"/>
      <c r="AI324" s="582"/>
      <c r="AJ324" s="582"/>
      <c r="AK324" s="582"/>
      <c r="AL324" s="582"/>
      <c r="AM324" s="579"/>
      <c r="AN324" s="579"/>
      <c r="AO324" s="347"/>
      <c r="AP324" s="586"/>
      <c r="AQ324" s="596"/>
      <c r="AR324" s="596"/>
      <c r="AS324" s="348"/>
      <c r="AT324" s="348"/>
      <c r="AU324" s="348"/>
      <c r="AV324" s="348"/>
      <c r="AW324" s="348"/>
      <c r="AX324" s="584"/>
      <c r="AY324" s="581"/>
      <c r="AZ324" s="581"/>
      <c r="BA324" s="596"/>
      <c r="BB324" s="596"/>
      <c r="BC324" s="348"/>
      <c r="BD324" s="581"/>
      <c r="BE324" s="581"/>
      <c r="BF324" s="347"/>
      <c r="BG324" s="347"/>
      <c r="BH324" s="347"/>
      <c r="BI324" s="347"/>
      <c r="BJ324" s="586"/>
      <c r="BK324" s="581"/>
      <c r="BL324" s="347"/>
      <c r="BM324" s="347"/>
      <c r="BN324" s="347"/>
      <c r="BO324" s="586"/>
      <c r="BP324" s="584"/>
      <c r="BQ324" s="347"/>
      <c r="BR324" s="586"/>
      <c r="BS324" s="588"/>
      <c r="BT324" s="586"/>
      <c r="BU324" s="589"/>
      <c r="BV324" s="581">
        <f t="shared" si="44"/>
        <v>0</v>
      </c>
      <c r="BW324" s="590"/>
      <c r="BX324" s="347"/>
      <c r="BY324" s="347"/>
      <c r="BZ324" s="347"/>
      <c r="CA324" s="586"/>
      <c r="CB324" s="581"/>
      <c r="CC324" s="581">
        <f t="shared" si="193"/>
        <v>0</v>
      </c>
      <c r="CD324" s="581"/>
      <c r="CE324" s="581"/>
      <c r="CF324" s="581"/>
      <c r="CG324" s="586"/>
      <c r="CH324" s="608"/>
      <c r="CI324" s="603"/>
      <c r="CJ324" s="347"/>
      <c r="CK324" s="347"/>
      <c r="CL324" s="347"/>
      <c r="CM324" s="347"/>
      <c r="CN324" s="347"/>
      <c r="CO324" s="347"/>
      <c r="CP324" s="347"/>
    </row>
    <row r="325">
      <c r="A325" s="574"/>
      <c r="B325" s="574"/>
      <c r="C325" s="347"/>
      <c r="D325" s="574"/>
      <c r="E325" s="347"/>
      <c r="F325" s="596"/>
      <c r="G325" s="596"/>
      <c r="H325" s="347"/>
      <c r="I325" s="347"/>
      <c r="J325" s="596"/>
      <c r="K325" s="609"/>
      <c r="L325" s="1"/>
      <c r="M325" s="347"/>
      <c r="N325" s="347"/>
      <c r="O325" s="579"/>
      <c r="P325" s="579"/>
      <c r="Q325" s="574"/>
      <c r="R325" s="347"/>
      <c r="S325" s="597"/>
      <c r="T325" s="347"/>
      <c r="U325" s="579"/>
      <c r="V325" s="579"/>
      <c r="W325" s="574"/>
      <c r="X325" s="347"/>
      <c r="Y325" s="347"/>
      <c r="Z325" s="347"/>
      <c r="AA325" s="579"/>
      <c r="AB325" s="581"/>
      <c r="AC325" s="347"/>
      <c r="AD325" s="347"/>
      <c r="AE325" s="347"/>
      <c r="AF325" s="347"/>
      <c r="AG325" s="579"/>
      <c r="AH325" s="579"/>
      <c r="AI325" s="582"/>
      <c r="AJ325" s="582"/>
      <c r="AK325" s="582"/>
      <c r="AL325" s="582"/>
      <c r="AM325" s="579"/>
      <c r="AN325" s="579"/>
      <c r="AO325" s="347"/>
      <c r="AP325" s="586"/>
      <c r="AQ325" s="596"/>
      <c r="AR325" s="596"/>
      <c r="AS325" s="348"/>
      <c r="AT325" s="348"/>
      <c r="AU325" s="348"/>
      <c r="AV325" s="348"/>
      <c r="AW325" s="348"/>
      <c r="AX325" s="584"/>
      <c r="AY325" s="581"/>
      <c r="AZ325" s="581"/>
      <c r="BA325" s="596"/>
      <c r="BB325" s="596"/>
      <c r="BC325" s="348"/>
      <c r="BD325" s="581"/>
      <c r="BE325" s="581"/>
      <c r="BF325" s="347"/>
      <c r="BG325" s="347"/>
      <c r="BH325" s="347"/>
      <c r="BI325" s="347"/>
      <c r="BJ325" s="586"/>
      <c r="BK325" s="581"/>
      <c r="BL325" s="347"/>
      <c r="BM325" s="347"/>
      <c r="BN325" s="347"/>
      <c r="BO325" s="586"/>
      <c r="BP325" s="584"/>
      <c r="BQ325" s="347"/>
      <c r="BR325" s="586"/>
      <c r="BS325" s="588"/>
      <c r="BT325" s="586"/>
      <c r="BU325" s="589"/>
      <c r="BV325" s="581">
        <f t="shared" si="44"/>
        <v>0</v>
      </c>
      <c r="BW325" s="590"/>
      <c r="BX325" s="347"/>
      <c r="BY325" s="347"/>
      <c r="BZ325" s="347"/>
      <c r="CA325" s="586"/>
      <c r="CB325" s="581"/>
      <c r="CC325" s="581">
        <f t="shared" si="193"/>
        <v>0</v>
      </c>
      <c r="CD325" s="581"/>
      <c r="CE325" s="581"/>
      <c r="CF325" s="581"/>
      <c r="CG325" s="586"/>
      <c r="CH325" s="608"/>
      <c r="CI325" s="603"/>
      <c r="CJ325" s="347"/>
      <c r="CK325" s="347"/>
      <c r="CL325" s="347"/>
      <c r="CM325" s="347"/>
      <c r="CN325" s="347"/>
      <c r="CO325" s="347"/>
      <c r="CP325" s="347"/>
    </row>
    <row r="326">
      <c r="A326" s="574"/>
      <c r="B326" s="574"/>
      <c r="C326" s="347"/>
      <c r="D326" s="574"/>
      <c r="E326" s="347"/>
      <c r="F326" s="596"/>
      <c r="G326" s="596"/>
      <c r="H326" s="347"/>
      <c r="I326" s="347"/>
      <c r="J326" s="596"/>
      <c r="K326" s="609"/>
      <c r="L326" s="1"/>
      <c r="M326" s="347"/>
      <c r="N326" s="347"/>
      <c r="O326" s="579"/>
      <c r="P326" s="579"/>
      <c r="Q326" s="574"/>
      <c r="R326" s="347"/>
      <c r="S326" s="597"/>
      <c r="T326" s="347"/>
      <c r="U326" s="579"/>
      <c r="V326" s="579"/>
      <c r="W326" s="574"/>
      <c r="X326" s="347"/>
      <c r="Y326" s="347"/>
      <c r="Z326" s="347"/>
      <c r="AA326" s="579"/>
      <c r="AB326" s="581"/>
      <c r="AC326" s="347"/>
      <c r="AD326" s="347"/>
      <c r="AE326" s="347"/>
      <c r="AF326" s="347"/>
      <c r="AG326" s="579"/>
      <c r="AH326" s="579"/>
      <c r="AI326" s="582"/>
      <c r="AJ326" s="582"/>
      <c r="AK326" s="582"/>
      <c r="AL326" s="582"/>
      <c r="AM326" s="579"/>
      <c r="AN326" s="579"/>
      <c r="AO326" s="347"/>
      <c r="AP326" s="586"/>
      <c r="AQ326" s="596"/>
      <c r="AR326" s="596"/>
      <c r="AS326" s="348"/>
      <c r="AT326" s="348"/>
      <c r="AU326" s="348"/>
      <c r="AV326" s="348"/>
      <c r="AW326" s="348"/>
      <c r="AX326" s="584"/>
      <c r="AY326" s="581"/>
      <c r="AZ326" s="581"/>
      <c r="BA326" s="596"/>
      <c r="BB326" s="596"/>
      <c r="BC326" s="348"/>
      <c r="BD326" s="581"/>
      <c r="BE326" s="581"/>
      <c r="BF326" s="347"/>
      <c r="BG326" s="347"/>
      <c r="BH326" s="347"/>
      <c r="BI326" s="347"/>
      <c r="BJ326" s="586"/>
      <c r="BK326" s="581"/>
      <c r="BL326" s="347"/>
      <c r="BM326" s="347"/>
      <c r="BN326" s="347"/>
      <c r="BO326" s="586"/>
      <c r="BP326" s="584"/>
      <c r="BQ326" s="347"/>
      <c r="BR326" s="586"/>
      <c r="BS326" s="588"/>
      <c r="BT326" s="586"/>
      <c r="BU326" s="589"/>
      <c r="BV326" s="581">
        <f t="shared" si="44"/>
        <v>0</v>
      </c>
      <c r="BW326" s="590"/>
      <c r="BX326" s="347"/>
      <c r="BY326" s="347"/>
      <c r="BZ326" s="347"/>
      <c r="CA326" s="586"/>
      <c r="CB326" s="581"/>
      <c r="CC326" s="581">
        <f t="shared" si="193"/>
        <v>0</v>
      </c>
      <c r="CD326" s="581"/>
      <c r="CE326" s="581"/>
      <c r="CF326" s="581"/>
      <c r="CG326" s="586"/>
      <c r="CH326" s="608"/>
      <c r="CI326" s="603"/>
      <c r="CJ326" s="347"/>
      <c r="CK326" s="347"/>
      <c r="CL326" s="347"/>
      <c r="CM326" s="347"/>
      <c r="CN326" s="347"/>
      <c r="CO326" s="347"/>
      <c r="CP326" s="347"/>
    </row>
    <row r="327">
      <c r="A327" s="574"/>
      <c r="B327" s="574"/>
      <c r="C327" s="347"/>
      <c r="D327" s="574"/>
      <c r="E327" s="347"/>
      <c r="F327" s="596"/>
      <c r="G327" s="596"/>
      <c r="H327" s="347"/>
      <c r="I327" s="347"/>
      <c r="J327" s="596"/>
      <c r="K327" s="609"/>
      <c r="L327" s="1"/>
      <c r="M327" s="347"/>
      <c r="N327" s="347"/>
      <c r="O327" s="579"/>
      <c r="P327" s="579"/>
      <c r="Q327" s="574"/>
      <c r="R327" s="347"/>
      <c r="S327" s="597"/>
      <c r="T327" s="347"/>
      <c r="U327" s="579"/>
      <c r="V327" s="579"/>
      <c r="W327" s="574"/>
      <c r="X327" s="347"/>
      <c r="Y327" s="347"/>
      <c r="Z327" s="347"/>
      <c r="AA327" s="579"/>
      <c r="AB327" s="581"/>
      <c r="AC327" s="347"/>
      <c r="AD327" s="347"/>
      <c r="AE327" s="347"/>
      <c r="AF327" s="347"/>
      <c r="AG327" s="579"/>
      <c r="AH327" s="579"/>
      <c r="AI327" s="582"/>
      <c r="AJ327" s="582"/>
      <c r="AK327" s="582"/>
      <c r="AL327" s="582"/>
      <c r="AM327" s="579"/>
      <c r="AN327" s="579"/>
      <c r="AO327" s="347"/>
      <c r="AP327" s="586"/>
      <c r="AQ327" s="596"/>
      <c r="AR327" s="596"/>
      <c r="AS327" s="348"/>
      <c r="AT327" s="348"/>
      <c r="AU327" s="348"/>
      <c r="AV327" s="348"/>
      <c r="AW327" s="348"/>
      <c r="AX327" s="584"/>
      <c r="AY327" s="581"/>
      <c r="AZ327" s="581"/>
      <c r="BA327" s="596"/>
      <c r="BB327" s="596"/>
      <c r="BC327" s="348"/>
      <c r="BD327" s="581"/>
      <c r="BE327" s="581"/>
      <c r="BF327" s="347"/>
      <c r="BG327" s="347"/>
      <c r="BH327" s="347"/>
      <c r="BI327" s="347"/>
      <c r="BJ327" s="586"/>
      <c r="BK327" s="581"/>
      <c r="BL327" s="347"/>
      <c r="BM327" s="347"/>
      <c r="BN327" s="347"/>
      <c r="BO327" s="586"/>
      <c r="BP327" s="584"/>
      <c r="BQ327" s="347"/>
      <c r="BR327" s="586"/>
      <c r="BS327" s="588"/>
      <c r="BT327" s="586"/>
      <c r="BU327" s="589"/>
      <c r="BV327" s="581">
        <f t="shared" si="44"/>
        <v>0</v>
      </c>
      <c r="BW327" s="590"/>
      <c r="BX327" s="347"/>
      <c r="BY327" s="347"/>
      <c r="BZ327" s="347"/>
      <c r="CA327" s="586"/>
      <c r="CB327" s="581"/>
      <c r="CC327" s="581">
        <f t="shared" si="193"/>
        <v>0</v>
      </c>
      <c r="CD327" s="581"/>
      <c r="CE327" s="581"/>
      <c r="CF327" s="581"/>
      <c r="CG327" s="586"/>
      <c r="CH327" s="608"/>
      <c r="CI327" s="603"/>
      <c r="CJ327" s="347"/>
      <c r="CK327" s="347"/>
      <c r="CL327" s="347"/>
      <c r="CM327" s="347"/>
      <c r="CN327" s="347"/>
      <c r="CO327" s="347"/>
      <c r="CP327" s="347"/>
    </row>
    <row r="328">
      <c r="A328" s="574"/>
      <c r="B328" s="574"/>
      <c r="C328" s="347"/>
      <c r="D328" s="574"/>
      <c r="E328" s="347"/>
      <c r="F328" s="596"/>
      <c r="G328" s="596"/>
      <c r="H328" s="347"/>
      <c r="I328" s="347"/>
      <c r="J328" s="596"/>
      <c r="K328" s="609"/>
      <c r="L328" s="1"/>
      <c r="M328" s="347"/>
      <c r="N328" s="347"/>
      <c r="O328" s="579"/>
      <c r="P328" s="579"/>
      <c r="Q328" s="574"/>
      <c r="R328" s="347"/>
      <c r="S328" s="597"/>
      <c r="T328" s="347"/>
      <c r="U328" s="579"/>
      <c r="V328" s="579"/>
      <c r="W328" s="574"/>
      <c r="X328" s="347"/>
      <c r="Y328" s="347"/>
      <c r="Z328" s="347"/>
      <c r="AA328" s="579"/>
      <c r="AB328" s="581"/>
      <c r="AC328" s="347"/>
      <c r="AD328" s="347"/>
      <c r="AE328" s="347"/>
      <c r="AF328" s="347"/>
      <c r="AG328" s="579"/>
      <c r="AH328" s="579"/>
      <c r="AI328" s="582"/>
      <c r="AJ328" s="582"/>
      <c r="AK328" s="582"/>
      <c r="AL328" s="582"/>
      <c r="AM328" s="579"/>
      <c r="AN328" s="579"/>
      <c r="AO328" s="347"/>
      <c r="AP328" s="586"/>
      <c r="AQ328" s="596"/>
      <c r="AR328" s="596"/>
      <c r="AS328" s="348"/>
      <c r="AT328" s="348"/>
      <c r="AU328" s="348"/>
      <c r="AV328" s="348"/>
      <c r="AW328" s="348"/>
      <c r="AX328" s="584"/>
      <c r="AY328" s="581"/>
      <c r="AZ328" s="581"/>
      <c r="BA328" s="596"/>
      <c r="BB328" s="596"/>
      <c r="BC328" s="348"/>
      <c r="BD328" s="581"/>
      <c r="BE328" s="581"/>
      <c r="BF328" s="347"/>
      <c r="BG328" s="347"/>
      <c r="BH328" s="347"/>
      <c r="BI328" s="347"/>
      <c r="BJ328" s="586"/>
      <c r="BK328" s="581"/>
      <c r="BL328" s="347"/>
      <c r="BM328" s="347"/>
      <c r="BN328" s="347"/>
      <c r="BO328" s="586"/>
      <c r="BP328" s="584"/>
      <c r="BQ328" s="347"/>
      <c r="BR328" s="586"/>
      <c r="BS328" s="588"/>
      <c r="BT328" s="586"/>
      <c r="BU328" s="589"/>
      <c r="BV328" s="581">
        <f t="shared" si="44"/>
        <v>0</v>
      </c>
      <c r="BW328" s="590"/>
      <c r="BX328" s="347"/>
      <c r="BY328" s="347"/>
      <c r="BZ328" s="347"/>
      <c r="CA328" s="586"/>
      <c r="CB328" s="581"/>
      <c r="CC328" s="581">
        <f t="shared" si="193"/>
        <v>0</v>
      </c>
      <c r="CD328" s="581"/>
      <c r="CE328" s="581"/>
      <c r="CF328" s="581"/>
      <c r="CG328" s="586"/>
      <c r="CH328" s="608"/>
      <c r="CI328" s="603"/>
      <c r="CJ328" s="347"/>
      <c r="CK328" s="347"/>
      <c r="CL328" s="347"/>
      <c r="CM328" s="347"/>
      <c r="CN328" s="347"/>
      <c r="CO328" s="347"/>
      <c r="CP328" s="347"/>
    </row>
    <row r="329">
      <c r="A329" s="574"/>
      <c r="B329" s="574"/>
      <c r="C329" s="347"/>
      <c r="D329" s="574"/>
      <c r="E329" s="347"/>
      <c r="F329" s="596"/>
      <c r="G329" s="596"/>
      <c r="H329" s="347"/>
      <c r="I329" s="347"/>
      <c r="J329" s="596"/>
      <c r="K329" s="609"/>
      <c r="L329" s="1"/>
      <c r="M329" s="347"/>
      <c r="N329" s="347"/>
      <c r="O329" s="579"/>
      <c r="P329" s="579"/>
      <c r="Q329" s="574"/>
      <c r="R329" s="347"/>
      <c r="S329" s="597"/>
      <c r="T329" s="347"/>
      <c r="U329" s="579"/>
      <c r="V329" s="579"/>
      <c r="W329" s="574"/>
      <c r="X329" s="347"/>
      <c r="Y329" s="347"/>
      <c r="Z329" s="347"/>
      <c r="AA329" s="579"/>
      <c r="AB329" s="581"/>
      <c r="AC329" s="347"/>
      <c r="AD329" s="347"/>
      <c r="AE329" s="347"/>
      <c r="AF329" s="347"/>
      <c r="AG329" s="579"/>
      <c r="AH329" s="579"/>
      <c r="AI329" s="582"/>
      <c r="AJ329" s="582"/>
      <c r="AK329" s="582"/>
      <c r="AL329" s="582"/>
      <c r="AM329" s="579"/>
      <c r="AN329" s="579"/>
      <c r="AO329" s="347"/>
      <c r="AP329" s="586"/>
      <c r="AQ329" s="596"/>
      <c r="AR329" s="596"/>
      <c r="AS329" s="348"/>
      <c r="AT329" s="348"/>
      <c r="AU329" s="348"/>
      <c r="AV329" s="348"/>
      <c r="AW329" s="348"/>
      <c r="AX329" s="584"/>
      <c r="AY329" s="581"/>
      <c r="AZ329" s="581"/>
      <c r="BA329" s="596"/>
      <c r="BB329" s="596"/>
      <c r="BC329" s="348"/>
      <c r="BD329" s="581"/>
      <c r="BE329" s="581"/>
      <c r="BF329" s="347"/>
      <c r="BG329" s="347"/>
      <c r="BH329" s="347"/>
      <c r="BI329" s="347"/>
      <c r="BJ329" s="586"/>
      <c r="BK329" s="581"/>
      <c r="BL329" s="347"/>
      <c r="BM329" s="347"/>
      <c r="BN329" s="347"/>
      <c r="BO329" s="586"/>
      <c r="BP329" s="584"/>
      <c r="BQ329" s="347"/>
      <c r="BR329" s="586"/>
      <c r="BS329" s="588"/>
      <c r="BT329" s="586"/>
      <c r="BU329" s="589"/>
      <c r="BV329" s="581">
        <f t="shared" si="44"/>
        <v>0</v>
      </c>
      <c r="BW329" s="590"/>
      <c r="BX329" s="347"/>
      <c r="BY329" s="347"/>
      <c r="BZ329" s="347"/>
      <c r="CA329" s="586"/>
      <c r="CB329" s="581"/>
      <c r="CC329" s="581">
        <f t="shared" si="193"/>
        <v>0</v>
      </c>
      <c r="CD329" s="581"/>
      <c r="CE329" s="581"/>
      <c r="CF329" s="581"/>
      <c r="CG329" s="586"/>
      <c r="CH329" s="608"/>
      <c r="CI329" s="603"/>
      <c r="CJ329" s="347"/>
      <c r="CK329" s="347"/>
      <c r="CL329" s="347"/>
      <c r="CM329" s="347"/>
      <c r="CN329" s="347"/>
      <c r="CO329" s="347"/>
      <c r="CP329" s="347"/>
    </row>
    <row r="330">
      <c r="A330" s="574"/>
      <c r="B330" s="574"/>
      <c r="C330" s="347"/>
      <c r="D330" s="574"/>
      <c r="E330" s="347"/>
      <c r="F330" s="596"/>
      <c r="G330" s="596"/>
      <c r="H330" s="347"/>
      <c r="I330" s="347"/>
      <c r="J330" s="596"/>
      <c r="K330" s="609"/>
      <c r="L330" s="1"/>
      <c r="M330" s="347"/>
      <c r="N330" s="347"/>
      <c r="O330" s="579"/>
      <c r="P330" s="579"/>
      <c r="Q330" s="574"/>
      <c r="R330" s="347"/>
      <c r="S330" s="597"/>
      <c r="T330" s="347"/>
      <c r="U330" s="579"/>
      <c r="V330" s="579"/>
      <c r="W330" s="574"/>
      <c r="X330" s="347"/>
      <c r="Y330" s="347"/>
      <c r="Z330" s="347"/>
      <c r="AA330" s="579"/>
      <c r="AB330" s="581"/>
      <c r="AC330" s="347"/>
      <c r="AD330" s="347"/>
      <c r="AE330" s="347"/>
      <c r="AF330" s="347"/>
      <c r="AG330" s="579"/>
      <c r="AH330" s="579"/>
      <c r="AI330" s="582"/>
      <c r="AJ330" s="582"/>
      <c r="AK330" s="582"/>
      <c r="AL330" s="582"/>
      <c r="AM330" s="579"/>
      <c r="AN330" s="579"/>
      <c r="AO330" s="347"/>
      <c r="AP330" s="586"/>
      <c r="AQ330" s="596"/>
      <c r="AR330" s="596"/>
      <c r="AS330" s="348"/>
      <c r="AT330" s="348"/>
      <c r="AU330" s="348"/>
      <c r="AV330" s="348"/>
      <c r="AW330" s="348"/>
      <c r="AX330" s="584"/>
      <c r="AY330" s="581"/>
      <c r="AZ330" s="581"/>
      <c r="BA330" s="596"/>
      <c r="BB330" s="596"/>
      <c r="BC330" s="348"/>
      <c r="BD330" s="581"/>
      <c r="BE330" s="581"/>
      <c r="BF330" s="347"/>
      <c r="BG330" s="347"/>
      <c r="BH330" s="347"/>
      <c r="BI330" s="347"/>
      <c r="BJ330" s="586"/>
      <c r="BK330" s="581"/>
      <c r="BL330" s="347"/>
      <c r="BM330" s="347"/>
      <c r="BN330" s="347"/>
      <c r="BO330" s="586"/>
      <c r="BP330" s="584"/>
      <c r="BQ330" s="347"/>
      <c r="BR330" s="586"/>
      <c r="BS330" s="588"/>
      <c r="BT330" s="586"/>
      <c r="BU330" s="589"/>
      <c r="BV330" s="581">
        <f t="shared" si="44"/>
        <v>0</v>
      </c>
      <c r="BW330" s="590"/>
      <c r="BX330" s="347"/>
      <c r="BY330" s="347"/>
      <c r="BZ330" s="347"/>
      <c r="CA330" s="586"/>
      <c r="CB330" s="581"/>
      <c r="CC330" s="581">
        <f t="shared" si="193"/>
        <v>0</v>
      </c>
      <c r="CD330" s="581"/>
      <c r="CE330" s="581"/>
      <c r="CF330" s="581"/>
      <c r="CG330" s="586"/>
      <c r="CH330" s="608"/>
      <c r="CI330" s="603"/>
      <c r="CJ330" s="347"/>
      <c r="CK330" s="347"/>
      <c r="CL330" s="347"/>
      <c r="CM330" s="347"/>
      <c r="CN330" s="347"/>
      <c r="CO330" s="347"/>
      <c r="CP330" s="347"/>
    </row>
    <row r="331">
      <c r="A331" s="574"/>
      <c r="B331" s="574"/>
      <c r="C331" s="347"/>
      <c r="D331" s="574"/>
      <c r="E331" s="347"/>
      <c r="F331" s="596"/>
      <c r="G331" s="596"/>
      <c r="H331" s="347"/>
      <c r="I331" s="347"/>
      <c r="J331" s="596"/>
      <c r="K331" s="609"/>
      <c r="L331" s="1"/>
      <c r="M331" s="347"/>
      <c r="N331" s="347"/>
      <c r="O331" s="579"/>
      <c r="P331" s="579"/>
      <c r="Q331" s="574"/>
      <c r="R331" s="347"/>
      <c r="S331" s="597"/>
      <c r="T331" s="347"/>
      <c r="U331" s="579"/>
      <c r="V331" s="579"/>
      <c r="W331" s="574"/>
      <c r="X331" s="347"/>
      <c r="Y331" s="347"/>
      <c r="Z331" s="347"/>
      <c r="AA331" s="579"/>
      <c r="AB331" s="581"/>
      <c r="AC331" s="347"/>
      <c r="AD331" s="347"/>
      <c r="AE331" s="347"/>
      <c r="AF331" s="347"/>
      <c r="AG331" s="579"/>
      <c r="AH331" s="579"/>
      <c r="AI331" s="582"/>
      <c r="AJ331" s="582"/>
      <c r="AK331" s="582"/>
      <c r="AL331" s="582"/>
      <c r="AM331" s="579"/>
      <c r="AN331" s="579"/>
      <c r="AO331" s="347"/>
      <c r="AP331" s="586"/>
      <c r="AQ331" s="596"/>
      <c r="AR331" s="596"/>
      <c r="AS331" s="348"/>
      <c r="AT331" s="348"/>
      <c r="AU331" s="348"/>
      <c r="AV331" s="348"/>
      <c r="AW331" s="348"/>
      <c r="AX331" s="584"/>
      <c r="AY331" s="581"/>
      <c r="AZ331" s="581"/>
      <c r="BA331" s="596"/>
      <c r="BB331" s="596"/>
      <c r="BC331" s="348"/>
      <c r="BD331" s="581"/>
      <c r="BE331" s="581"/>
      <c r="BF331" s="347"/>
      <c r="BG331" s="347"/>
      <c r="BH331" s="347"/>
      <c r="BI331" s="347"/>
      <c r="BJ331" s="586"/>
      <c r="BK331" s="581"/>
      <c r="BL331" s="347"/>
      <c r="BM331" s="347"/>
      <c r="BN331" s="347"/>
      <c r="BO331" s="586"/>
      <c r="BP331" s="584"/>
      <c r="BQ331" s="347"/>
      <c r="BR331" s="586"/>
      <c r="BS331" s="588"/>
      <c r="BT331" s="586"/>
      <c r="BU331" s="589"/>
      <c r="BV331" s="581">
        <f t="shared" si="44"/>
        <v>0</v>
      </c>
      <c r="BW331" s="590"/>
      <c r="BX331" s="347"/>
      <c r="BY331" s="347"/>
      <c r="BZ331" s="347"/>
      <c r="CA331" s="586"/>
      <c r="CB331" s="581"/>
      <c r="CC331" s="581">
        <f t="shared" si="193"/>
        <v>0</v>
      </c>
      <c r="CD331" s="581"/>
      <c r="CE331" s="581"/>
      <c r="CF331" s="581"/>
      <c r="CG331" s="586"/>
      <c r="CH331" s="608"/>
      <c r="CI331" s="603"/>
      <c r="CJ331" s="347"/>
      <c r="CK331" s="347"/>
      <c r="CL331" s="347"/>
      <c r="CM331" s="347"/>
      <c r="CN331" s="347"/>
      <c r="CO331" s="347"/>
      <c r="CP331" s="347"/>
    </row>
    <row r="332">
      <c r="A332" s="574"/>
      <c r="B332" s="574"/>
      <c r="C332" s="347"/>
      <c r="D332" s="574"/>
      <c r="E332" s="347"/>
      <c r="F332" s="596"/>
      <c r="G332" s="596"/>
      <c r="H332" s="347"/>
      <c r="I332" s="347"/>
      <c r="J332" s="596"/>
      <c r="K332" s="609"/>
      <c r="L332" s="1"/>
      <c r="M332" s="347"/>
      <c r="N332" s="347"/>
      <c r="O332" s="579"/>
      <c r="P332" s="579"/>
      <c r="Q332" s="574"/>
      <c r="R332" s="347"/>
      <c r="S332" s="597"/>
      <c r="T332" s="347"/>
      <c r="U332" s="579"/>
      <c r="V332" s="579"/>
      <c r="W332" s="574"/>
      <c r="X332" s="347"/>
      <c r="Y332" s="347"/>
      <c r="Z332" s="347"/>
      <c r="AA332" s="579"/>
      <c r="AB332" s="581"/>
      <c r="AC332" s="347"/>
      <c r="AD332" s="347"/>
      <c r="AE332" s="347"/>
      <c r="AF332" s="347"/>
      <c r="AG332" s="579"/>
      <c r="AH332" s="579"/>
      <c r="AI332" s="582"/>
      <c r="AJ332" s="582"/>
      <c r="AK332" s="582"/>
      <c r="AL332" s="582"/>
      <c r="AM332" s="579"/>
      <c r="AN332" s="579"/>
      <c r="AO332" s="347"/>
      <c r="AP332" s="586"/>
      <c r="AQ332" s="596"/>
      <c r="AR332" s="596"/>
      <c r="AS332" s="348"/>
      <c r="AT332" s="348"/>
      <c r="AU332" s="348"/>
      <c r="AV332" s="348"/>
      <c r="AW332" s="348"/>
      <c r="AX332" s="584"/>
      <c r="AY332" s="581"/>
      <c r="AZ332" s="581"/>
      <c r="BA332" s="596"/>
      <c r="BB332" s="596"/>
      <c r="BC332" s="348"/>
      <c r="BD332" s="581"/>
      <c r="BE332" s="581"/>
      <c r="BF332" s="347"/>
      <c r="BG332" s="347"/>
      <c r="BH332" s="347"/>
      <c r="BI332" s="347"/>
      <c r="BJ332" s="586"/>
      <c r="BK332" s="581"/>
      <c r="BL332" s="347"/>
      <c r="BM332" s="347"/>
      <c r="BN332" s="347"/>
      <c r="BO332" s="586"/>
      <c r="BP332" s="584"/>
      <c r="BQ332" s="347"/>
      <c r="BR332" s="586"/>
      <c r="BS332" s="588"/>
      <c r="BT332" s="586"/>
      <c r="BU332" s="589"/>
      <c r="BV332" s="581">
        <f t="shared" si="44"/>
        <v>0</v>
      </c>
      <c r="BW332" s="590"/>
      <c r="BX332" s="347"/>
      <c r="BY332" s="347"/>
      <c r="BZ332" s="347"/>
      <c r="CA332" s="586"/>
      <c r="CB332" s="581"/>
      <c r="CC332" s="581">
        <f t="shared" si="193"/>
        <v>0</v>
      </c>
      <c r="CD332" s="581"/>
      <c r="CE332" s="581"/>
      <c r="CF332" s="581"/>
      <c r="CG332" s="586"/>
      <c r="CH332" s="608"/>
      <c r="CI332" s="603"/>
      <c r="CJ332" s="347"/>
      <c r="CK332" s="347"/>
      <c r="CL332" s="347"/>
      <c r="CM332" s="347"/>
      <c r="CN332" s="347"/>
      <c r="CO332" s="347"/>
      <c r="CP332" s="347"/>
    </row>
    <row r="333">
      <c r="A333" s="574"/>
      <c r="B333" s="574"/>
      <c r="C333" s="347"/>
      <c r="D333" s="574"/>
      <c r="E333" s="347"/>
      <c r="F333" s="596"/>
      <c r="G333" s="596"/>
      <c r="H333" s="347"/>
      <c r="I333" s="347"/>
      <c r="J333" s="596"/>
      <c r="K333" s="609"/>
      <c r="L333" s="1"/>
      <c r="M333" s="347"/>
      <c r="N333" s="347"/>
      <c r="O333" s="579"/>
      <c r="P333" s="579"/>
      <c r="Q333" s="574"/>
      <c r="R333" s="347"/>
      <c r="S333" s="597"/>
      <c r="T333" s="347"/>
      <c r="U333" s="579"/>
      <c r="V333" s="579"/>
      <c r="W333" s="574"/>
      <c r="X333" s="347"/>
      <c r="Y333" s="347"/>
      <c r="Z333" s="347"/>
      <c r="AA333" s="579"/>
      <c r="AB333" s="581"/>
      <c r="AC333" s="347"/>
      <c r="AD333" s="347"/>
      <c r="AE333" s="347"/>
      <c r="AF333" s="347"/>
      <c r="AG333" s="579"/>
      <c r="AH333" s="579"/>
      <c r="AI333" s="582"/>
      <c r="AJ333" s="582"/>
      <c r="AK333" s="582"/>
      <c r="AL333" s="582"/>
      <c r="AM333" s="579"/>
      <c r="AN333" s="579"/>
      <c r="AO333" s="347"/>
      <c r="AP333" s="586"/>
      <c r="AQ333" s="596"/>
      <c r="AR333" s="596"/>
      <c r="AS333" s="348"/>
      <c r="AT333" s="348"/>
      <c r="AU333" s="348"/>
      <c r="AV333" s="348"/>
      <c r="AW333" s="348"/>
      <c r="AX333" s="584"/>
      <c r="AY333" s="581"/>
      <c r="AZ333" s="581"/>
      <c r="BA333" s="596"/>
      <c r="BB333" s="596"/>
      <c r="BC333" s="348"/>
      <c r="BD333" s="581"/>
      <c r="BE333" s="581"/>
      <c r="BF333" s="347"/>
      <c r="BG333" s="347"/>
      <c r="BH333" s="347"/>
      <c r="BI333" s="347"/>
      <c r="BJ333" s="586"/>
      <c r="BK333" s="581"/>
      <c r="BL333" s="347"/>
      <c r="BM333" s="347"/>
      <c r="BN333" s="347"/>
      <c r="BO333" s="586"/>
      <c r="BP333" s="584"/>
      <c r="BQ333" s="347"/>
      <c r="BR333" s="586"/>
      <c r="BS333" s="588"/>
      <c r="BT333" s="586"/>
      <c r="BU333" s="589"/>
      <c r="BV333" s="581">
        <f t="shared" si="44"/>
        <v>0</v>
      </c>
      <c r="BW333" s="590"/>
      <c r="BX333" s="347"/>
      <c r="BY333" s="347"/>
      <c r="BZ333" s="347"/>
      <c r="CA333" s="586"/>
      <c r="CB333" s="581"/>
      <c r="CC333" s="581">
        <f t="shared" si="193"/>
        <v>0</v>
      </c>
      <c r="CD333" s="581"/>
      <c r="CE333" s="581"/>
      <c r="CF333" s="581"/>
      <c r="CG333" s="586"/>
      <c r="CH333" s="608"/>
      <c r="CI333" s="603"/>
      <c r="CJ333" s="347"/>
      <c r="CK333" s="347"/>
      <c r="CL333" s="347"/>
      <c r="CM333" s="347"/>
      <c r="CN333" s="347"/>
      <c r="CO333" s="347"/>
      <c r="CP333" s="347"/>
    </row>
    <row r="334">
      <c r="A334" s="574"/>
      <c r="B334" s="574"/>
      <c r="C334" s="347"/>
      <c r="D334" s="574"/>
      <c r="E334" s="347"/>
      <c r="F334" s="596"/>
      <c r="G334" s="596"/>
      <c r="H334" s="347"/>
      <c r="I334" s="347"/>
      <c r="J334" s="596"/>
      <c r="K334" s="609"/>
      <c r="L334" s="1"/>
      <c r="M334" s="347"/>
      <c r="N334" s="347"/>
      <c r="O334" s="579"/>
      <c r="P334" s="579"/>
      <c r="Q334" s="574"/>
      <c r="R334" s="347"/>
      <c r="S334" s="597"/>
      <c r="T334" s="347"/>
      <c r="U334" s="579"/>
      <c r="V334" s="579"/>
      <c r="W334" s="574"/>
      <c r="X334" s="347"/>
      <c r="Y334" s="347"/>
      <c r="Z334" s="347"/>
      <c r="AA334" s="579"/>
      <c r="AB334" s="581"/>
      <c r="AC334" s="347"/>
      <c r="AD334" s="347"/>
      <c r="AE334" s="347"/>
      <c r="AF334" s="347"/>
      <c r="AG334" s="579"/>
      <c r="AH334" s="579"/>
      <c r="AI334" s="582"/>
      <c r="AJ334" s="582"/>
      <c r="AK334" s="582"/>
      <c r="AL334" s="582"/>
      <c r="AM334" s="579"/>
      <c r="AN334" s="579"/>
      <c r="AO334" s="347"/>
      <c r="AP334" s="586"/>
      <c r="AQ334" s="596"/>
      <c r="AR334" s="596"/>
      <c r="AS334" s="348"/>
      <c r="AT334" s="348"/>
      <c r="AU334" s="348"/>
      <c r="AV334" s="348"/>
      <c r="AW334" s="348"/>
      <c r="AX334" s="584"/>
      <c r="AY334" s="581"/>
      <c r="AZ334" s="581"/>
      <c r="BA334" s="596"/>
      <c r="BB334" s="596"/>
      <c r="BC334" s="348"/>
      <c r="BD334" s="581"/>
      <c r="BE334" s="581"/>
      <c r="BF334" s="347"/>
      <c r="BG334" s="347"/>
      <c r="BH334" s="347"/>
      <c r="BI334" s="347"/>
      <c r="BJ334" s="586"/>
      <c r="BK334" s="581"/>
      <c r="BL334" s="347"/>
      <c r="BM334" s="347"/>
      <c r="BN334" s="347"/>
      <c r="BO334" s="586"/>
      <c r="BP334" s="584"/>
      <c r="BQ334" s="347"/>
      <c r="BR334" s="586"/>
      <c r="BS334" s="588"/>
      <c r="BT334" s="586"/>
      <c r="BU334" s="589"/>
      <c r="BV334" s="581">
        <f t="shared" si="44"/>
        <v>0</v>
      </c>
      <c r="BW334" s="590"/>
      <c r="BX334" s="347"/>
      <c r="BY334" s="347"/>
      <c r="BZ334" s="347"/>
      <c r="CA334" s="586"/>
      <c r="CB334" s="581"/>
      <c r="CC334" s="581">
        <f t="shared" si="193"/>
        <v>0</v>
      </c>
      <c r="CD334" s="581"/>
      <c r="CE334" s="581"/>
      <c r="CF334" s="581"/>
      <c r="CG334" s="586"/>
      <c r="CH334" s="608"/>
      <c r="CI334" s="603"/>
      <c r="CJ334" s="347"/>
      <c r="CK334" s="347"/>
      <c r="CL334" s="347"/>
      <c r="CM334" s="347"/>
      <c r="CN334" s="347"/>
      <c r="CO334" s="347"/>
      <c r="CP334" s="347"/>
    </row>
    <row r="335">
      <c r="A335" s="574"/>
      <c r="B335" s="574"/>
      <c r="C335" s="347"/>
      <c r="D335" s="574"/>
      <c r="E335" s="347"/>
      <c r="F335" s="596"/>
      <c r="G335" s="596"/>
      <c r="H335" s="347"/>
      <c r="I335" s="347"/>
      <c r="J335" s="596"/>
      <c r="K335" s="609"/>
      <c r="L335" s="1"/>
      <c r="M335" s="347"/>
      <c r="N335" s="347"/>
      <c r="O335" s="579"/>
      <c r="P335" s="579"/>
      <c r="Q335" s="574"/>
      <c r="R335" s="347"/>
      <c r="S335" s="597"/>
      <c r="T335" s="347"/>
      <c r="U335" s="579"/>
      <c r="V335" s="579"/>
      <c r="W335" s="574"/>
      <c r="X335" s="347"/>
      <c r="Y335" s="347"/>
      <c r="Z335" s="347"/>
      <c r="AA335" s="579"/>
      <c r="AB335" s="581"/>
      <c r="AC335" s="347"/>
      <c r="AD335" s="347"/>
      <c r="AE335" s="347"/>
      <c r="AF335" s="347"/>
      <c r="AG335" s="579"/>
      <c r="AH335" s="579"/>
      <c r="AI335" s="582"/>
      <c r="AJ335" s="582"/>
      <c r="AK335" s="582"/>
      <c r="AL335" s="582"/>
      <c r="AM335" s="579"/>
      <c r="AN335" s="579"/>
      <c r="AO335" s="347"/>
      <c r="AP335" s="586"/>
      <c r="AQ335" s="596"/>
      <c r="AR335" s="596"/>
      <c r="AS335" s="348"/>
      <c r="AT335" s="348"/>
      <c r="AU335" s="348"/>
      <c r="AV335" s="348"/>
      <c r="AW335" s="348"/>
      <c r="AX335" s="584"/>
      <c r="AY335" s="581"/>
      <c r="AZ335" s="581"/>
      <c r="BA335" s="596"/>
      <c r="BB335" s="596"/>
      <c r="BC335" s="348"/>
      <c r="BD335" s="581"/>
      <c r="BE335" s="581"/>
      <c r="BF335" s="347"/>
      <c r="BG335" s="347"/>
      <c r="BH335" s="347"/>
      <c r="BI335" s="347"/>
      <c r="BJ335" s="586"/>
      <c r="BK335" s="581"/>
      <c r="BL335" s="347"/>
      <c r="BM335" s="347"/>
      <c r="BN335" s="347"/>
      <c r="BO335" s="586"/>
      <c r="BP335" s="584"/>
      <c r="BQ335" s="347"/>
      <c r="BR335" s="586"/>
      <c r="BS335" s="588"/>
      <c r="BT335" s="586"/>
      <c r="BU335" s="589"/>
      <c r="BV335" s="581">
        <f t="shared" si="44"/>
        <v>0</v>
      </c>
      <c r="BW335" s="590"/>
      <c r="BX335" s="347"/>
      <c r="BY335" s="347"/>
      <c r="BZ335" s="347"/>
      <c r="CA335" s="586"/>
      <c r="CB335" s="581"/>
      <c r="CC335" s="581">
        <f t="shared" si="193"/>
        <v>0</v>
      </c>
      <c r="CD335" s="581"/>
      <c r="CE335" s="581"/>
      <c r="CF335" s="581"/>
      <c r="CG335" s="586"/>
      <c r="CH335" s="608"/>
      <c r="CI335" s="603"/>
      <c r="CJ335" s="347"/>
      <c r="CK335" s="347"/>
      <c r="CL335" s="347"/>
      <c r="CM335" s="347"/>
      <c r="CN335" s="347"/>
      <c r="CO335" s="347"/>
      <c r="CP335" s="347"/>
    </row>
    <row r="336">
      <c r="A336" s="574"/>
      <c r="B336" s="574"/>
      <c r="C336" s="347"/>
      <c r="D336" s="574"/>
      <c r="E336" s="347"/>
      <c r="F336" s="596"/>
      <c r="G336" s="596"/>
      <c r="H336" s="347"/>
      <c r="I336" s="347"/>
      <c r="J336" s="596"/>
      <c r="K336" s="609"/>
      <c r="L336" s="1"/>
      <c r="M336" s="347"/>
      <c r="N336" s="347"/>
      <c r="O336" s="579"/>
      <c r="P336" s="579"/>
      <c r="Q336" s="574"/>
      <c r="R336" s="347"/>
      <c r="S336" s="597"/>
      <c r="T336" s="347"/>
      <c r="U336" s="579"/>
      <c r="V336" s="579"/>
      <c r="W336" s="574"/>
      <c r="X336" s="347"/>
      <c r="Y336" s="347"/>
      <c r="Z336" s="347"/>
      <c r="AA336" s="579"/>
      <c r="AB336" s="581"/>
      <c r="AC336" s="347"/>
      <c r="AD336" s="347"/>
      <c r="AE336" s="347"/>
      <c r="AF336" s="347"/>
      <c r="AG336" s="579"/>
      <c r="AH336" s="579"/>
      <c r="AI336" s="582"/>
      <c r="AJ336" s="582"/>
      <c r="AK336" s="582"/>
      <c r="AL336" s="582"/>
      <c r="AM336" s="579"/>
      <c r="AN336" s="579"/>
      <c r="AO336" s="347"/>
      <c r="AP336" s="586"/>
      <c r="AQ336" s="596"/>
      <c r="AR336" s="596"/>
      <c r="AS336" s="348"/>
      <c r="AT336" s="348"/>
      <c r="AU336" s="348"/>
      <c r="AV336" s="348"/>
      <c r="AW336" s="348"/>
      <c r="AX336" s="584"/>
      <c r="AY336" s="581"/>
      <c r="AZ336" s="581"/>
      <c r="BA336" s="596"/>
      <c r="BB336" s="596"/>
      <c r="BC336" s="348"/>
      <c r="BD336" s="581"/>
      <c r="BE336" s="581"/>
      <c r="BF336" s="347"/>
      <c r="BG336" s="347"/>
      <c r="BH336" s="347"/>
      <c r="BI336" s="347"/>
      <c r="BJ336" s="586"/>
      <c r="BK336" s="581"/>
      <c r="BL336" s="347"/>
      <c r="BM336" s="347"/>
      <c r="BN336" s="347"/>
      <c r="BO336" s="586"/>
      <c r="BP336" s="584"/>
      <c r="BQ336" s="347"/>
      <c r="BR336" s="586"/>
      <c r="BS336" s="588"/>
      <c r="BT336" s="586"/>
      <c r="BU336" s="589"/>
      <c r="BV336" s="581">
        <f t="shared" si="44"/>
        <v>0</v>
      </c>
      <c r="BW336" s="590"/>
      <c r="BX336" s="347"/>
      <c r="BY336" s="347"/>
      <c r="BZ336" s="347"/>
      <c r="CA336" s="586"/>
      <c r="CB336" s="581"/>
      <c r="CC336" s="581">
        <f t="shared" si="193"/>
        <v>0</v>
      </c>
      <c r="CD336" s="581"/>
      <c r="CE336" s="581"/>
      <c r="CF336" s="581"/>
      <c r="CG336" s="586"/>
      <c r="CH336" s="608"/>
      <c r="CI336" s="603"/>
      <c r="CJ336" s="347"/>
      <c r="CK336" s="347"/>
      <c r="CL336" s="347"/>
      <c r="CM336" s="347"/>
      <c r="CN336" s="347"/>
      <c r="CO336" s="347"/>
      <c r="CP336" s="347"/>
    </row>
    <row r="337">
      <c r="A337" s="574"/>
      <c r="B337" s="574"/>
      <c r="C337" s="347"/>
      <c r="D337" s="574"/>
      <c r="E337" s="347"/>
      <c r="F337" s="596"/>
      <c r="G337" s="596"/>
      <c r="H337" s="347"/>
      <c r="I337" s="347"/>
      <c r="J337" s="596"/>
      <c r="K337" s="609"/>
      <c r="L337" s="1"/>
      <c r="M337" s="347"/>
      <c r="N337" s="347"/>
      <c r="O337" s="579"/>
      <c r="P337" s="579"/>
      <c r="Q337" s="574"/>
      <c r="R337" s="347"/>
      <c r="S337" s="597"/>
      <c r="T337" s="347"/>
      <c r="U337" s="579"/>
      <c r="V337" s="579"/>
      <c r="W337" s="574"/>
      <c r="X337" s="347"/>
      <c r="Y337" s="347"/>
      <c r="Z337" s="347"/>
      <c r="AA337" s="579"/>
      <c r="AB337" s="581"/>
      <c r="AC337" s="347"/>
      <c r="AD337" s="347"/>
      <c r="AE337" s="347"/>
      <c r="AF337" s="347"/>
      <c r="AG337" s="579"/>
      <c r="AH337" s="579"/>
      <c r="AI337" s="582"/>
      <c r="AJ337" s="582"/>
      <c r="AK337" s="582"/>
      <c r="AL337" s="582"/>
      <c r="AM337" s="579"/>
      <c r="AN337" s="579"/>
      <c r="AO337" s="347"/>
      <c r="AP337" s="586"/>
      <c r="AQ337" s="596"/>
      <c r="AR337" s="596"/>
      <c r="AS337" s="348"/>
      <c r="AT337" s="348"/>
      <c r="AU337" s="348"/>
      <c r="AV337" s="348"/>
      <c r="AW337" s="348"/>
      <c r="AX337" s="584"/>
      <c r="AY337" s="581"/>
      <c r="AZ337" s="581"/>
      <c r="BA337" s="596"/>
      <c r="BB337" s="596"/>
      <c r="BC337" s="348"/>
      <c r="BD337" s="581"/>
      <c r="BE337" s="581"/>
      <c r="BF337" s="347"/>
      <c r="BG337" s="347"/>
      <c r="BH337" s="347"/>
      <c r="BI337" s="347"/>
      <c r="BJ337" s="586"/>
      <c r="BK337" s="581"/>
      <c r="BL337" s="347"/>
      <c r="BM337" s="347"/>
      <c r="BN337" s="347"/>
      <c r="BO337" s="586"/>
      <c r="BP337" s="584"/>
      <c r="BQ337" s="347"/>
      <c r="BR337" s="586"/>
      <c r="BS337" s="588"/>
      <c r="BT337" s="586"/>
      <c r="BU337" s="589"/>
      <c r="BV337" s="581">
        <f t="shared" si="44"/>
        <v>0</v>
      </c>
      <c r="BW337" s="590"/>
      <c r="BX337" s="347"/>
      <c r="BY337" s="347"/>
      <c r="BZ337" s="347"/>
      <c r="CA337" s="586"/>
      <c r="CB337" s="581"/>
      <c r="CC337" s="581">
        <f t="shared" si="193"/>
        <v>0</v>
      </c>
      <c r="CD337" s="581"/>
      <c r="CE337" s="581"/>
      <c r="CF337" s="581"/>
      <c r="CG337" s="586"/>
      <c r="CH337" s="608"/>
      <c r="CI337" s="603"/>
      <c r="CJ337" s="347"/>
      <c r="CK337" s="347"/>
      <c r="CL337" s="347"/>
      <c r="CM337" s="347"/>
      <c r="CN337" s="347"/>
      <c r="CO337" s="347"/>
      <c r="CP337" s="347"/>
    </row>
    <row r="338">
      <c r="A338" s="574"/>
      <c r="B338" s="574"/>
      <c r="C338" s="347"/>
      <c r="D338" s="574"/>
      <c r="E338" s="347"/>
      <c r="F338" s="596"/>
      <c r="G338" s="596"/>
      <c r="H338" s="347"/>
      <c r="I338" s="347"/>
      <c r="J338" s="596"/>
      <c r="K338" s="609"/>
      <c r="L338" s="1"/>
      <c r="M338" s="347"/>
      <c r="N338" s="347"/>
      <c r="O338" s="579"/>
      <c r="P338" s="579"/>
      <c r="Q338" s="574"/>
      <c r="R338" s="347"/>
      <c r="S338" s="597"/>
      <c r="T338" s="347"/>
      <c r="U338" s="579"/>
      <c r="V338" s="579"/>
      <c r="W338" s="574"/>
      <c r="X338" s="347"/>
      <c r="Y338" s="347"/>
      <c r="Z338" s="347"/>
      <c r="AA338" s="579"/>
      <c r="AB338" s="581"/>
      <c r="AC338" s="347"/>
      <c r="AD338" s="347"/>
      <c r="AE338" s="347"/>
      <c r="AF338" s="347"/>
      <c r="AG338" s="579"/>
      <c r="AH338" s="579"/>
      <c r="AI338" s="582"/>
      <c r="AJ338" s="582"/>
      <c r="AK338" s="582"/>
      <c r="AL338" s="582"/>
      <c r="AM338" s="579"/>
      <c r="AN338" s="579"/>
      <c r="AO338" s="347"/>
      <c r="AP338" s="586"/>
      <c r="AQ338" s="596"/>
      <c r="AR338" s="596"/>
      <c r="AS338" s="348"/>
      <c r="AT338" s="348"/>
      <c r="AU338" s="348"/>
      <c r="AV338" s="348"/>
      <c r="AW338" s="348"/>
      <c r="AX338" s="584"/>
      <c r="AY338" s="581"/>
      <c r="AZ338" s="581"/>
      <c r="BA338" s="596"/>
      <c r="BB338" s="596"/>
      <c r="BC338" s="348"/>
      <c r="BD338" s="581"/>
      <c r="BE338" s="581"/>
      <c r="BF338" s="347"/>
      <c r="BG338" s="347"/>
      <c r="BH338" s="347"/>
      <c r="BI338" s="347"/>
      <c r="BJ338" s="586"/>
      <c r="BK338" s="581"/>
      <c r="BL338" s="347"/>
      <c r="BM338" s="347"/>
      <c r="BN338" s="347"/>
      <c r="BO338" s="586"/>
      <c r="BP338" s="584"/>
      <c r="BQ338" s="347"/>
      <c r="BR338" s="586"/>
      <c r="BS338" s="588"/>
      <c r="BT338" s="586"/>
      <c r="BU338" s="589"/>
      <c r="BV338" s="581">
        <f t="shared" si="44"/>
        <v>0</v>
      </c>
      <c r="BW338" s="590"/>
      <c r="BX338" s="347"/>
      <c r="BY338" s="347"/>
      <c r="BZ338" s="347"/>
      <c r="CA338" s="586"/>
      <c r="CB338" s="581"/>
      <c r="CC338" s="581">
        <f t="shared" si="193"/>
        <v>0</v>
      </c>
      <c r="CD338" s="581"/>
      <c r="CE338" s="581"/>
      <c r="CF338" s="581"/>
      <c r="CG338" s="586"/>
      <c r="CH338" s="608"/>
      <c r="CI338" s="603"/>
      <c r="CJ338" s="347"/>
      <c r="CK338" s="347"/>
      <c r="CL338" s="347"/>
      <c r="CM338" s="347"/>
      <c r="CN338" s="347"/>
      <c r="CO338" s="347"/>
      <c r="CP338" s="347"/>
    </row>
    <row r="339">
      <c r="A339" s="574"/>
      <c r="B339" s="574"/>
      <c r="C339" s="347"/>
      <c r="D339" s="574"/>
      <c r="E339" s="347"/>
      <c r="F339" s="596"/>
      <c r="G339" s="596"/>
      <c r="H339" s="347"/>
      <c r="I339" s="347"/>
      <c r="J339" s="596"/>
      <c r="K339" s="609"/>
      <c r="L339" s="1"/>
      <c r="M339" s="347"/>
      <c r="N339" s="347"/>
      <c r="O339" s="579"/>
      <c r="P339" s="579"/>
      <c r="Q339" s="574"/>
      <c r="R339" s="347"/>
      <c r="S339" s="597"/>
      <c r="T339" s="347"/>
      <c r="U339" s="579"/>
      <c r="V339" s="579"/>
      <c r="W339" s="574"/>
      <c r="X339" s="347"/>
      <c r="Y339" s="347"/>
      <c r="Z339" s="347"/>
      <c r="AA339" s="579"/>
      <c r="AB339" s="581"/>
      <c r="AC339" s="347"/>
      <c r="AD339" s="347"/>
      <c r="AE339" s="347"/>
      <c r="AF339" s="347"/>
      <c r="AG339" s="579"/>
      <c r="AH339" s="579"/>
      <c r="AI339" s="582"/>
      <c r="AJ339" s="582"/>
      <c r="AK339" s="582"/>
      <c r="AL339" s="582"/>
      <c r="AM339" s="579"/>
      <c r="AN339" s="579"/>
      <c r="AO339" s="347"/>
      <c r="AP339" s="586"/>
      <c r="AQ339" s="596"/>
      <c r="AR339" s="596"/>
      <c r="AS339" s="348"/>
      <c r="AT339" s="348"/>
      <c r="AU339" s="348"/>
      <c r="AV339" s="348"/>
      <c r="AW339" s="348"/>
      <c r="AX339" s="584"/>
      <c r="AY339" s="581"/>
      <c r="AZ339" s="581"/>
      <c r="BA339" s="596"/>
      <c r="BB339" s="596"/>
      <c r="BC339" s="348"/>
      <c r="BD339" s="581"/>
      <c r="BE339" s="581"/>
      <c r="BF339" s="347"/>
      <c r="BG339" s="347"/>
      <c r="BH339" s="347"/>
      <c r="BI339" s="347"/>
      <c r="BJ339" s="586"/>
      <c r="BK339" s="581"/>
      <c r="BL339" s="347"/>
      <c r="BM339" s="347"/>
      <c r="BN339" s="347"/>
      <c r="BO339" s="586"/>
      <c r="BP339" s="584"/>
      <c r="BQ339" s="347"/>
      <c r="BR339" s="586"/>
      <c r="BS339" s="588"/>
      <c r="BT339" s="586"/>
      <c r="BU339" s="589"/>
      <c r="BV339" s="581">
        <f t="shared" si="44"/>
        <v>0</v>
      </c>
      <c r="BW339" s="590"/>
      <c r="BX339" s="347"/>
      <c r="BY339" s="347"/>
      <c r="BZ339" s="347"/>
      <c r="CA339" s="586"/>
      <c r="CB339" s="581"/>
      <c r="CC339" s="581">
        <f t="shared" si="193"/>
        <v>0</v>
      </c>
      <c r="CD339" s="581"/>
      <c r="CE339" s="581"/>
      <c r="CF339" s="581"/>
      <c r="CG339" s="586"/>
      <c r="CH339" s="608"/>
      <c r="CI339" s="603"/>
      <c r="CJ339" s="347"/>
      <c r="CK339" s="347"/>
      <c r="CL339" s="347"/>
      <c r="CM339" s="347"/>
      <c r="CN339" s="347"/>
      <c r="CO339" s="347"/>
      <c r="CP339" s="347"/>
    </row>
    <row r="340">
      <c r="A340" s="574"/>
      <c r="B340" s="574"/>
      <c r="C340" s="347"/>
      <c r="D340" s="574"/>
      <c r="E340" s="347"/>
      <c r="F340" s="596"/>
      <c r="G340" s="596"/>
      <c r="H340" s="347"/>
      <c r="I340" s="347"/>
      <c r="J340" s="596"/>
      <c r="K340" s="609"/>
      <c r="L340" s="1"/>
      <c r="M340" s="347"/>
      <c r="N340" s="347"/>
      <c r="O340" s="579"/>
      <c r="P340" s="579"/>
      <c r="Q340" s="574"/>
      <c r="R340" s="347"/>
      <c r="S340" s="597"/>
      <c r="T340" s="347"/>
      <c r="U340" s="579"/>
      <c r="V340" s="579"/>
      <c r="W340" s="574"/>
      <c r="X340" s="347"/>
      <c r="Y340" s="347"/>
      <c r="Z340" s="347"/>
      <c r="AA340" s="579"/>
      <c r="AB340" s="581"/>
      <c r="AC340" s="347"/>
      <c r="AD340" s="347"/>
      <c r="AE340" s="347"/>
      <c r="AF340" s="347"/>
      <c r="AG340" s="579"/>
      <c r="AH340" s="579"/>
      <c r="AI340" s="582"/>
      <c r="AJ340" s="582"/>
      <c r="AK340" s="582"/>
      <c r="AL340" s="582"/>
      <c r="AM340" s="579"/>
      <c r="AN340" s="579"/>
      <c r="AO340" s="347"/>
      <c r="AP340" s="586"/>
      <c r="AQ340" s="596"/>
      <c r="AR340" s="596"/>
      <c r="AS340" s="348"/>
      <c r="AT340" s="348"/>
      <c r="AU340" s="348"/>
      <c r="AV340" s="348"/>
      <c r="AW340" s="348"/>
      <c r="AX340" s="584"/>
      <c r="AY340" s="581"/>
      <c r="AZ340" s="581"/>
      <c r="BA340" s="596"/>
      <c r="BB340" s="596"/>
      <c r="BC340" s="348"/>
      <c r="BD340" s="581"/>
      <c r="BE340" s="581"/>
      <c r="BF340" s="347"/>
      <c r="BG340" s="347"/>
      <c r="BH340" s="347"/>
      <c r="BI340" s="347"/>
      <c r="BJ340" s="586"/>
      <c r="BK340" s="581"/>
      <c r="BL340" s="347"/>
      <c r="BM340" s="347"/>
      <c r="BN340" s="347"/>
      <c r="BO340" s="586"/>
      <c r="BP340" s="584"/>
      <c r="BQ340" s="347"/>
      <c r="BR340" s="586"/>
      <c r="BS340" s="588"/>
      <c r="BT340" s="586"/>
      <c r="BU340" s="589"/>
      <c r="BV340" s="581">
        <f t="shared" si="44"/>
        <v>0</v>
      </c>
      <c r="BW340" s="590"/>
      <c r="BX340" s="347"/>
      <c r="BY340" s="347"/>
      <c r="BZ340" s="347"/>
      <c r="CA340" s="586"/>
      <c r="CB340" s="581"/>
      <c r="CC340" s="581">
        <f t="shared" si="193"/>
        <v>0</v>
      </c>
      <c r="CD340" s="581"/>
      <c r="CE340" s="581"/>
      <c r="CF340" s="581"/>
      <c r="CG340" s="586"/>
      <c r="CH340" s="608"/>
      <c r="CI340" s="603"/>
      <c r="CJ340" s="347"/>
      <c r="CK340" s="347"/>
      <c r="CL340" s="347"/>
      <c r="CM340" s="347"/>
      <c r="CN340" s="347"/>
      <c r="CO340" s="347"/>
      <c r="CP340" s="347"/>
    </row>
    <row r="341">
      <c r="A341" s="574"/>
      <c r="B341" s="574"/>
      <c r="C341" s="347"/>
      <c r="D341" s="574"/>
      <c r="E341" s="347"/>
      <c r="F341" s="596"/>
      <c r="G341" s="596"/>
      <c r="H341" s="347"/>
      <c r="I341" s="347"/>
      <c r="J341" s="596"/>
      <c r="K341" s="609"/>
      <c r="L341" s="1"/>
      <c r="M341" s="347"/>
      <c r="N341" s="347"/>
      <c r="O341" s="579"/>
      <c r="P341" s="579"/>
      <c r="Q341" s="574"/>
      <c r="R341" s="347"/>
      <c r="S341" s="597"/>
      <c r="T341" s="347"/>
      <c r="U341" s="579"/>
      <c r="V341" s="579"/>
      <c r="W341" s="574"/>
      <c r="X341" s="347"/>
      <c r="Y341" s="347"/>
      <c r="Z341" s="347"/>
      <c r="AA341" s="579"/>
      <c r="AB341" s="581"/>
      <c r="AC341" s="347"/>
      <c r="AD341" s="347"/>
      <c r="AE341" s="347"/>
      <c r="AF341" s="347"/>
      <c r="AG341" s="579"/>
      <c r="AH341" s="579"/>
      <c r="AI341" s="582"/>
      <c r="AJ341" s="582"/>
      <c r="AK341" s="582"/>
      <c r="AL341" s="582"/>
      <c r="AM341" s="579"/>
      <c r="AN341" s="579"/>
      <c r="AO341" s="347"/>
      <c r="AP341" s="586"/>
      <c r="AQ341" s="596"/>
      <c r="AR341" s="596"/>
      <c r="AS341" s="348"/>
      <c r="AT341" s="348"/>
      <c r="AU341" s="348"/>
      <c r="AV341" s="348"/>
      <c r="AW341" s="348"/>
      <c r="AX341" s="584"/>
      <c r="AY341" s="581"/>
      <c r="AZ341" s="581"/>
      <c r="BA341" s="596"/>
      <c r="BB341" s="596"/>
      <c r="BC341" s="348"/>
      <c r="BD341" s="581"/>
      <c r="BE341" s="581"/>
      <c r="BF341" s="347"/>
      <c r="BG341" s="347"/>
      <c r="BH341" s="347"/>
      <c r="BI341" s="347"/>
      <c r="BJ341" s="586"/>
      <c r="BK341" s="581"/>
      <c r="BL341" s="347"/>
      <c r="BM341" s="347"/>
      <c r="BN341" s="347"/>
      <c r="BO341" s="586"/>
      <c r="BP341" s="584"/>
      <c r="BQ341" s="347"/>
      <c r="BR341" s="586"/>
      <c r="BS341" s="588"/>
      <c r="BT341" s="586"/>
      <c r="BU341" s="589"/>
      <c r="BV341" s="581">
        <f t="shared" si="44"/>
        <v>0</v>
      </c>
      <c r="BW341" s="590"/>
      <c r="BX341" s="347"/>
      <c r="BY341" s="347"/>
      <c r="BZ341" s="347"/>
      <c r="CA341" s="586"/>
      <c r="CB341" s="581"/>
      <c r="CC341" s="581">
        <f t="shared" si="193"/>
        <v>0</v>
      </c>
      <c r="CD341" s="581"/>
      <c r="CE341" s="581"/>
      <c r="CF341" s="581"/>
      <c r="CG341" s="586"/>
      <c r="CH341" s="608"/>
      <c r="CI341" s="603"/>
      <c r="CJ341" s="347"/>
      <c r="CK341" s="347"/>
      <c r="CL341" s="347"/>
      <c r="CM341" s="347"/>
      <c r="CN341" s="347"/>
      <c r="CO341" s="347"/>
      <c r="CP341" s="347"/>
    </row>
    <row r="342">
      <c r="A342" s="574"/>
      <c r="B342" s="574"/>
      <c r="C342" s="347"/>
      <c r="D342" s="574"/>
      <c r="E342" s="347"/>
      <c r="F342" s="596"/>
      <c r="G342" s="596"/>
      <c r="H342" s="347"/>
      <c r="I342" s="347"/>
      <c r="J342" s="596"/>
      <c r="K342" s="609"/>
      <c r="L342" s="1"/>
      <c r="M342" s="347"/>
      <c r="N342" s="347"/>
      <c r="O342" s="579"/>
      <c r="P342" s="579"/>
      <c r="Q342" s="574"/>
      <c r="R342" s="347"/>
      <c r="S342" s="597"/>
      <c r="T342" s="347"/>
      <c r="U342" s="579"/>
      <c r="V342" s="579"/>
      <c r="W342" s="574"/>
      <c r="X342" s="347"/>
      <c r="Y342" s="347"/>
      <c r="Z342" s="347"/>
      <c r="AA342" s="579"/>
      <c r="AB342" s="581"/>
      <c r="AC342" s="347"/>
      <c r="AD342" s="347"/>
      <c r="AE342" s="347"/>
      <c r="AF342" s="347"/>
      <c r="AG342" s="579"/>
      <c r="AH342" s="579"/>
      <c r="AI342" s="582"/>
      <c r="AJ342" s="582"/>
      <c r="AK342" s="582"/>
      <c r="AL342" s="582"/>
      <c r="AM342" s="579"/>
      <c r="AN342" s="579"/>
      <c r="AO342" s="347"/>
      <c r="AP342" s="586"/>
      <c r="AQ342" s="596"/>
      <c r="AR342" s="596"/>
      <c r="AS342" s="348"/>
      <c r="AT342" s="348"/>
      <c r="AU342" s="348"/>
      <c r="AV342" s="348"/>
      <c r="AW342" s="348"/>
      <c r="AX342" s="584"/>
      <c r="AY342" s="581"/>
      <c r="AZ342" s="581"/>
      <c r="BA342" s="596"/>
      <c r="BB342" s="596"/>
      <c r="BC342" s="348"/>
      <c r="BD342" s="581"/>
      <c r="BE342" s="581"/>
      <c r="BF342" s="347"/>
      <c r="BG342" s="347"/>
      <c r="BH342" s="347"/>
      <c r="BI342" s="347"/>
      <c r="BJ342" s="586"/>
      <c r="BK342" s="581"/>
      <c r="BL342" s="347"/>
      <c r="BM342" s="347"/>
      <c r="BN342" s="347"/>
      <c r="BO342" s="586"/>
      <c r="BP342" s="584"/>
      <c r="BQ342" s="347"/>
      <c r="BR342" s="586"/>
      <c r="BS342" s="588"/>
      <c r="BT342" s="586"/>
      <c r="BU342" s="589"/>
      <c r="BV342" s="581">
        <f t="shared" si="44"/>
        <v>0</v>
      </c>
      <c r="BW342" s="590"/>
      <c r="BX342" s="347"/>
      <c r="BY342" s="347"/>
      <c r="BZ342" s="347"/>
      <c r="CA342" s="586"/>
      <c r="CB342" s="581"/>
      <c r="CC342" s="581">
        <f t="shared" si="193"/>
        <v>0</v>
      </c>
      <c r="CD342" s="581"/>
      <c r="CE342" s="581"/>
      <c r="CF342" s="581"/>
      <c r="CG342" s="586"/>
      <c r="CH342" s="608"/>
      <c r="CI342" s="603"/>
      <c r="CJ342" s="347"/>
      <c r="CK342" s="347"/>
      <c r="CL342" s="347"/>
      <c r="CM342" s="347"/>
      <c r="CN342" s="347"/>
      <c r="CO342" s="347"/>
      <c r="CP342" s="347"/>
    </row>
    <row r="343">
      <c r="A343" s="574"/>
      <c r="B343" s="574"/>
      <c r="C343" s="347"/>
      <c r="D343" s="574"/>
      <c r="E343" s="347"/>
      <c r="F343" s="596"/>
      <c r="G343" s="596"/>
      <c r="H343" s="347"/>
      <c r="I343" s="347"/>
      <c r="J343" s="596"/>
      <c r="K343" s="609"/>
      <c r="L343" s="1"/>
      <c r="M343" s="347"/>
      <c r="N343" s="347"/>
      <c r="O343" s="579"/>
      <c r="P343" s="579"/>
      <c r="Q343" s="574"/>
      <c r="R343" s="347"/>
      <c r="S343" s="597"/>
      <c r="T343" s="347"/>
      <c r="U343" s="579"/>
      <c r="V343" s="579"/>
      <c r="W343" s="574"/>
      <c r="X343" s="347"/>
      <c r="Y343" s="347"/>
      <c r="Z343" s="347"/>
      <c r="AA343" s="579"/>
      <c r="AB343" s="581"/>
      <c r="AC343" s="347"/>
      <c r="AD343" s="347"/>
      <c r="AE343" s="347"/>
      <c r="AF343" s="347"/>
      <c r="AG343" s="579"/>
      <c r="AH343" s="579"/>
      <c r="AI343" s="582"/>
      <c r="AJ343" s="582"/>
      <c r="AK343" s="582"/>
      <c r="AL343" s="582"/>
      <c r="AM343" s="579"/>
      <c r="AN343" s="579"/>
      <c r="AO343" s="347"/>
      <c r="AP343" s="586"/>
      <c r="AQ343" s="596"/>
      <c r="AR343" s="596"/>
      <c r="AS343" s="348"/>
      <c r="AT343" s="348"/>
      <c r="AU343" s="348"/>
      <c r="AV343" s="348"/>
      <c r="AW343" s="348"/>
      <c r="AX343" s="584"/>
      <c r="AY343" s="581"/>
      <c r="AZ343" s="581"/>
      <c r="BA343" s="596"/>
      <c r="BB343" s="596"/>
      <c r="BC343" s="348"/>
      <c r="BD343" s="581"/>
      <c r="BE343" s="581"/>
      <c r="BF343" s="347"/>
      <c r="BG343" s="347"/>
      <c r="BH343" s="347"/>
      <c r="BI343" s="347"/>
      <c r="BJ343" s="586"/>
      <c r="BK343" s="581"/>
      <c r="BL343" s="347"/>
      <c r="BM343" s="347"/>
      <c r="BN343" s="347"/>
      <c r="BO343" s="586"/>
      <c r="BP343" s="584"/>
      <c r="BQ343" s="347"/>
      <c r="BR343" s="586"/>
      <c r="BS343" s="588"/>
      <c r="BT343" s="586"/>
      <c r="BU343" s="589"/>
      <c r="BV343" s="581">
        <f t="shared" si="44"/>
        <v>0</v>
      </c>
      <c r="BW343" s="590"/>
      <c r="BX343" s="347"/>
      <c r="BY343" s="347"/>
      <c r="BZ343" s="347"/>
      <c r="CA343" s="586"/>
      <c r="CB343" s="581"/>
      <c r="CC343" s="581">
        <f t="shared" si="193"/>
        <v>0</v>
      </c>
      <c r="CD343" s="581"/>
      <c r="CE343" s="581"/>
      <c r="CF343" s="581"/>
      <c r="CG343" s="586"/>
      <c r="CH343" s="608"/>
      <c r="CI343" s="603"/>
      <c r="CJ343" s="347"/>
      <c r="CK343" s="347"/>
      <c r="CL343" s="347"/>
      <c r="CM343" s="347"/>
      <c r="CN343" s="347"/>
      <c r="CO343" s="347"/>
      <c r="CP343" s="347"/>
    </row>
    <row r="344">
      <c r="A344" s="574"/>
      <c r="B344" s="574"/>
      <c r="C344" s="347"/>
      <c r="D344" s="574"/>
      <c r="E344" s="347"/>
      <c r="F344" s="596"/>
      <c r="G344" s="596"/>
      <c r="H344" s="347"/>
      <c r="I344" s="347"/>
      <c r="J344" s="596"/>
      <c r="K344" s="609"/>
      <c r="L344" s="1"/>
      <c r="M344" s="347"/>
      <c r="N344" s="347"/>
      <c r="O344" s="579"/>
      <c r="P344" s="579"/>
      <c r="Q344" s="574"/>
      <c r="R344" s="347"/>
      <c r="S344" s="597"/>
      <c r="T344" s="347"/>
      <c r="U344" s="579"/>
      <c r="V344" s="579"/>
      <c r="W344" s="574"/>
      <c r="X344" s="347"/>
      <c r="Y344" s="347"/>
      <c r="Z344" s="347"/>
      <c r="AA344" s="579"/>
      <c r="AB344" s="581"/>
      <c r="AC344" s="347"/>
      <c r="AD344" s="347"/>
      <c r="AE344" s="347"/>
      <c r="AF344" s="347"/>
      <c r="AG344" s="579"/>
      <c r="AH344" s="579"/>
      <c r="AI344" s="582"/>
      <c r="AJ344" s="582"/>
      <c r="AK344" s="582"/>
      <c r="AL344" s="582"/>
      <c r="AM344" s="579"/>
      <c r="AN344" s="579"/>
      <c r="AO344" s="347"/>
      <c r="AP344" s="586"/>
      <c r="AQ344" s="596"/>
      <c r="AR344" s="596"/>
      <c r="AS344" s="348"/>
      <c r="AT344" s="348"/>
      <c r="AU344" s="348"/>
      <c r="AV344" s="348"/>
      <c r="AW344" s="348"/>
      <c r="AX344" s="584"/>
      <c r="AY344" s="581"/>
      <c r="AZ344" s="581"/>
      <c r="BA344" s="596"/>
      <c r="BB344" s="596"/>
      <c r="BC344" s="348"/>
      <c r="BD344" s="581"/>
      <c r="BE344" s="581"/>
      <c r="BF344" s="347"/>
      <c r="BG344" s="347"/>
      <c r="BH344" s="347"/>
      <c r="BI344" s="347"/>
      <c r="BJ344" s="586"/>
      <c r="BK344" s="581"/>
      <c r="BL344" s="347"/>
      <c r="BM344" s="347"/>
      <c r="BN344" s="347"/>
      <c r="BO344" s="586"/>
      <c r="BP344" s="584"/>
      <c r="BQ344" s="347"/>
      <c r="BR344" s="586"/>
      <c r="BS344" s="588"/>
      <c r="BT344" s="586"/>
      <c r="BU344" s="589"/>
      <c r="BV344" s="581">
        <f t="shared" si="44"/>
        <v>0</v>
      </c>
      <c r="BW344" s="590"/>
      <c r="BX344" s="347"/>
      <c r="BY344" s="347"/>
      <c r="BZ344" s="347"/>
      <c r="CA344" s="586"/>
      <c r="CB344" s="581"/>
      <c r="CC344" s="581">
        <f t="shared" si="193"/>
        <v>0</v>
      </c>
      <c r="CD344" s="581"/>
      <c r="CE344" s="581"/>
      <c r="CF344" s="581"/>
      <c r="CG344" s="586"/>
      <c r="CH344" s="608"/>
      <c r="CI344" s="603"/>
      <c r="CJ344" s="347"/>
      <c r="CK344" s="347"/>
      <c r="CL344" s="347"/>
      <c r="CM344" s="347"/>
      <c r="CN344" s="347"/>
      <c r="CO344" s="347"/>
      <c r="CP344" s="347"/>
    </row>
    <row r="345">
      <c r="A345" s="574"/>
      <c r="B345" s="574"/>
      <c r="C345" s="347"/>
      <c r="D345" s="574"/>
      <c r="E345" s="347"/>
      <c r="F345" s="596"/>
      <c r="G345" s="596"/>
      <c r="H345" s="347"/>
      <c r="I345" s="347"/>
      <c r="J345" s="596"/>
      <c r="K345" s="609"/>
      <c r="L345" s="1"/>
      <c r="M345" s="347"/>
      <c r="N345" s="347"/>
      <c r="O345" s="579"/>
      <c r="P345" s="579"/>
      <c r="Q345" s="574"/>
      <c r="R345" s="347"/>
      <c r="S345" s="597"/>
      <c r="T345" s="347"/>
      <c r="U345" s="579"/>
      <c r="V345" s="579"/>
      <c r="W345" s="574"/>
      <c r="X345" s="347"/>
      <c r="Y345" s="347"/>
      <c r="Z345" s="347"/>
      <c r="AA345" s="579"/>
      <c r="AB345" s="581"/>
      <c r="AC345" s="347"/>
      <c r="AD345" s="347"/>
      <c r="AE345" s="347"/>
      <c r="AF345" s="347"/>
      <c r="AG345" s="579"/>
      <c r="AH345" s="579"/>
      <c r="AI345" s="582"/>
      <c r="AJ345" s="582"/>
      <c r="AK345" s="582"/>
      <c r="AL345" s="582"/>
      <c r="AM345" s="579"/>
      <c r="AN345" s="579"/>
      <c r="AO345" s="347"/>
      <c r="AP345" s="586"/>
      <c r="AQ345" s="596"/>
      <c r="AR345" s="596"/>
      <c r="AS345" s="348"/>
      <c r="AT345" s="348"/>
      <c r="AU345" s="348"/>
      <c r="AV345" s="348"/>
      <c r="AW345" s="348"/>
      <c r="AX345" s="584"/>
      <c r="AY345" s="581"/>
      <c r="AZ345" s="581"/>
      <c r="BA345" s="596"/>
      <c r="BB345" s="596"/>
      <c r="BC345" s="348"/>
      <c r="BD345" s="581"/>
      <c r="BE345" s="581"/>
      <c r="BF345" s="347"/>
      <c r="BG345" s="347"/>
      <c r="BH345" s="347"/>
      <c r="BI345" s="347"/>
      <c r="BJ345" s="586"/>
      <c r="BK345" s="581"/>
      <c r="BL345" s="347"/>
      <c r="BM345" s="347"/>
      <c r="BN345" s="347"/>
      <c r="BO345" s="586"/>
      <c r="BP345" s="584"/>
      <c r="BQ345" s="347"/>
      <c r="BR345" s="586"/>
      <c r="BS345" s="588"/>
      <c r="BT345" s="586"/>
      <c r="BU345" s="589"/>
      <c r="BV345" s="581">
        <f t="shared" si="44"/>
        <v>0</v>
      </c>
      <c r="BW345" s="590"/>
      <c r="BX345" s="347"/>
      <c r="BY345" s="347"/>
      <c r="BZ345" s="347"/>
      <c r="CA345" s="586"/>
      <c r="CB345" s="581"/>
      <c r="CC345" s="581">
        <f t="shared" si="193"/>
        <v>0</v>
      </c>
      <c r="CD345" s="581"/>
      <c r="CE345" s="581"/>
      <c r="CF345" s="581"/>
      <c r="CG345" s="586"/>
      <c r="CH345" s="608"/>
      <c r="CI345" s="603"/>
      <c r="CJ345" s="347"/>
      <c r="CK345" s="347"/>
      <c r="CL345" s="347"/>
      <c r="CM345" s="347"/>
      <c r="CN345" s="347"/>
      <c r="CO345" s="347"/>
      <c r="CP345" s="347"/>
    </row>
    <row r="346">
      <c r="A346" s="574"/>
      <c r="B346" s="574"/>
      <c r="C346" s="347"/>
      <c r="D346" s="574"/>
      <c r="E346" s="347"/>
      <c r="F346" s="596"/>
      <c r="G346" s="596"/>
      <c r="H346" s="347"/>
      <c r="I346" s="347"/>
      <c r="J346" s="596"/>
      <c r="K346" s="609"/>
      <c r="L346" s="1"/>
      <c r="M346" s="347"/>
      <c r="N346" s="347"/>
      <c r="O346" s="579"/>
      <c r="P346" s="579"/>
      <c r="Q346" s="574"/>
      <c r="R346" s="347"/>
      <c r="S346" s="597"/>
      <c r="T346" s="347"/>
      <c r="U346" s="579"/>
      <c r="V346" s="579"/>
      <c r="W346" s="574"/>
      <c r="X346" s="347"/>
      <c r="Y346" s="347"/>
      <c r="Z346" s="347"/>
      <c r="AA346" s="579"/>
      <c r="AB346" s="581"/>
      <c r="AC346" s="347"/>
      <c r="AD346" s="347"/>
      <c r="AE346" s="347"/>
      <c r="AF346" s="347"/>
      <c r="AG346" s="579"/>
      <c r="AH346" s="579"/>
      <c r="AI346" s="582"/>
      <c r="AJ346" s="582"/>
      <c r="AK346" s="582"/>
      <c r="AL346" s="582"/>
      <c r="AM346" s="579"/>
      <c r="AN346" s="579"/>
      <c r="AO346" s="347"/>
      <c r="AP346" s="586"/>
      <c r="AQ346" s="596"/>
      <c r="AR346" s="596"/>
      <c r="AS346" s="348"/>
      <c r="AT346" s="348"/>
      <c r="AU346" s="348"/>
      <c r="AV346" s="348"/>
      <c r="AW346" s="348"/>
      <c r="AX346" s="584"/>
      <c r="AY346" s="581"/>
      <c r="AZ346" s="581"/>
      <c r="BA346" s="596"/>
      <c r="BB346" s="596"/>
      <c r="BC346" s="348"/>
      <c r="BD346" s="581"/>
      <c r="BE346" s="581"/>
      <c r="BF346" s="347"/>
      <c r="BG346" s="347"/>
      <c r="BH346" s="347"/>
      <c r="BI346" s="347"/>
      <c r="BJ346" s="586"/>
      <c r="BK346" s="581"/>
      <c r="BL346" s="347"/>
      <c r="BM346" s="347"/>
      <c r="BN346" s="347"/>
      <c r="BO346" s="586"/>
      <c r="BP346" s="584"/>
      <c r="BQ346" s="347"/>
      <c r="BR346" s="586"/>
      <c r="BS346" s="588"/>
      <c r="BT346" s="586"/>
      <c r="BU346" s="589"/>
      <c r="BV346" s="581">
        <f t="shared" si="44"/>
        <v>0</v>
      </c>
      <c r="BW346" s="590"/>
      <c r="BX346" s="347"/>
      <c r="BY346" s="347"/>
      <c r="BZ346" s="347"/>
      <c r="CA346" s="586"/>
      <c r="CB346" s="581"/>
      <c r="CC346" s="581">
        <f t="shared" si="193"/>
        <v>0</v>
      </c>
      <c r="CD346" s="581"/>
      <c r="CE346" s="581"/>
      <c r="CF346" s="581"/>
      <c r="CG346" s="586"/>
      <c r="CH346" s="608"/>
      <c r="CI346" s="603"/>
      <c r="CJ346" s="347"/>
      <c r="CK346" s="347"/>
      <c r="CL346" s="347"/>
      <c r="CM346" s="347"/>
      <c r="CN346" s="347"/>
      <c r="CO346" s="347"/>
      <c r="CP346" s="347"/>
    </row>
    <row r="347">
      <c r="A347" s="574"/>
      <c r="B347" s="574"/>
      <c r="C347" s="347"/>
      <c r="D347" s="574"/>
      <c r="E347" s="347"/>
      <c r="F347" s="596"/>
      <c r="G347" s="596"/>
      <c r="H347" s="347"/>
      <c r="I347" s="347"/>
      <c r="J347" s="596"/>
      <c r="K347" s="609"/>
      <c r="L347" s="1"/>
      <c r="M347" s="347"/>
      <c r="N347" s="347"/>
      <c r="O347" s="579"/>
      <c r="P347" s="579"/>
      <c r="Q347" s="574"/>
      <c r="R347" s="347"/>
      <c r="S347" s="597"/>
      <c r="T347" s="347"/>
      <c r="U347" s="579"/>
      <c r="V347" s="579"/>
      <c r="W347" s="574"/>
      <c r="X347" s="347"/>
      <c r="Y347" s="347"/>
      <c r="Z347" s="347"/>
      <c r="AA347" s="579"/>
      <c r="AB347" s="581"/>
      <c r="AC347" s="347"/>
      <c r="AD347" s="347"/>
      <c r="AE347" s="347"/>
      <c r="AF347" s="347"/>
      <c r="AG347" s="579"/>
      <c r="AH347" s="579"/>
      <c r="AI347" s="582"/>
      <c r="AJ347" s="582"/>
      <c r="AK347" s="582"/>
      <c r="AL347" s="582"/>
      <c r="AM347" s="579"/>
      <c r="AN347" s="579"/>
      <c r="AO347" s="347"/>
      <c r="AP347" s="586"/>
      <c r="AQ347" s="596"/>
      <c r="AR347" s="596"/>
      <c r="AS347" s="348"/>
      <c r="AT347" s="348"/>
      <c r="AU347" s="348"/>
      <c r="AV347" s="348"/>
      <c r="AW347" s="348"/>
      <c r="AX347" s="584"/>
      <c r="AY347" s="581"/>
      <c r="AZ347" s="581"/>
      <c r="BA347" s="596"/>
      <c r="BB347" s="596"/>
      <c r="BC347" s="348"/>
      <c r="BD347" s="581"/>
      <c r="BE347" s="581"/>
      <c r="BF347" s="347"/>
      <c r="BG347" s="347"/>
      <c r="BH347" s="347"/>
      <c r="BI347" s="347"/>
      <c r="BJ347" s="586"/>
      <c r="BK347" s="581"/>
      <c r="BL347" s="347"/>
      <c r="BM347" s="347"/>
      <c r="BN347" s="347"/>
      <c r="BO347" s="586"/>
      <c r="BP347" s="584"/>
      <c r="BQ347" s="347"/>
      <c r="BR347" s="586"/>
      <c r="BS347" s="588"/>
      <c r="BT347" s="586"/>
      <c r="BU347" s="589"/>
      <c r="BV347" s="581">
        <f t="shared" si="44"/>
        <v>0</v>
      </c>
      <c r="BW347" s="590"/>
      <c r="BX347" s="347"/>
      <c r="BY347" s="347"/>
      <c r="BZ347" s="347"/>
      <c r="CA347" s="586"/>
      <c r="CB347" s="581"/>
      <c r="CC347" s="581">
        <f t="shared" si="193"/>
        <v>0</v>
      </c>
      <c r="CD347" s="581"/>
      <c r="CE347" s="581"/>
      <c r="CF347" s="581"/>
      <c r="CG347" s="586"/>
      <c r="CH347" s="608"/>
      <c r="CI347" s="603"/>
      <c r="CJ347" s="347"/>
      <c r="CK347" s="347"/>
      <c r="CL347" s="347"/>
      <c r="CM347" s="347"/>
      <c r="CN347" s="347"/>
      <c r="CO347" s="347"/>
      <c r="CP347" s="347"/>
    </row>
    <row r="348">
      <c r="A348" s="574"/>
      <c r="B348" s="574"/>
      <c r="C348" s="347"/>
      <c r="D348" s="574"/>
      <c r="E348" s="347"/>
      <c r="F348" s="596"/>
      <c r="G348" s="596"/>
      <c r="H348" s="347"/>
      <c r="I348" s="347"/>
      <c r="J348" s="596"/>
      <c r="K348" s="609"/>
      <c r="L348" s="1"/>
      <c r="M348" s="347"/>
      <c r="N348" s="347"/>
      <c r="O348" s="579"/>
      <c r="P348" s="579"/>
      <c r="Q348" s="574"/>
      <c r="R348" s="347"/>
      <c r="S348" s="597"/>
      <c r="T348" s="347"/>
      <c r="U348" s="579"/>
      <c r="V348" s="579"/>
      <c r="W348" s="574"/>
      <c r="X348" s="347"/>
      <c r="Y348" s="347"/>
      <c r="Z348" s="347"/>
      <c r="AA348" s="579"/>
      <c r="AB348" s="581"/>
      <c r="AC348" s="347"/>
      <c r="AD348" s="347"/>
      <c r="AE348" s="347"/>
      <c r="AF348" s="347"/>
      <c r="AG348" s="579"/>
      <c r="AH348" s="579"/>
      <c r="AI348" s="582"/>
      <c r="AJ348" s="582"/>
      <c r="AK348" s="582"/>
      <c r="AL348" s="582"/>
      <c r="AM348" s="579"/>
      <c r="AN348" s="579"/>
      <c r="AO348" s="347"/>
      <c r="AP348" s="586"/>
      <c r="AQ348" s="596"/>
      <c r="AR348" s="596"/>
      <c r="AS348" s="348"/>
      <c r="AT348" s="348"/>
      <c r="AU348" s="348"/>
      <c r="AV348" s="348"/>
      <c r="AW348" s="348"/>
      <c r="AX348" s="584"/>
      <c r="AY348" s="581"/>
      <c r="AZ348" s="581"/>
      <c r="BA348" s="596"/>
      <c r="BB348" s="596"/>
      <c r="BC348" s="348"/>
      <c r="BD348" s="581"/>
      <c r="BE348" s="581"/>
      <c r="BF348" s="347"/>
      <c r="BG348" s="347"/>
      <c r="BH348" s="347"/>
      <c r="BI348" s="347"/>
      <c r="BJ348" s="586"/>
      <c r="BK348" s="581"/>
      <c r="BL348" s="347"/>
      <c r="BM348" s="347"/>
      <c r="BN348" s="347"/>
      <c r="BO348" s="586"/>
      <c r="BP348" s="584"/>
      <c r="BQ348" s="347"/>
      <c r="BR348" s="586"/>
      <c r="BS348" s="588"/>
      <c r="BT348" s="586"/>
      <c r="BU348" s="589"/>
      <c r="BV348" s="581">
        <f t="shared" si="44"/>
        <v>0</v>
      </c>
      <c r="BW348" s="590"/>
      <c r="BX348" s="347"/>
      <c r="BY348" s="347"/>
      <c r="BZ348" s="347"/>
      <c r="CA348" s="586"/>
      <c r="CB348" s="581"/>
      <c r="CC348" s="581">
        <f t="shared" si="193"/>
        <v>0</v>
      </c>
      <c r="CD348" s="581"/>
      <c r="CE348" s="581"/>
      <c r="CF348" s="581"/>
      <c r="CG348" s="586"/>
      <c r="CH348" s="608"/>
      <c r="CI348" s="603"/>
      <c r="CJ348" s="347"/>
      <c r="CK348" s="347"/>
      <c r="CL348" s="347"/>
      <c r="CM348" s="347"/>
      <c r="CN348" s="347"/>
      <c r="CO348" s="347"/>
      <c r="CP348" s="347"/>
    </row>
    <row r="349">
      <c r="A349" s="574"/>
      <c r="B349" s="574"/>
      <c r="C349" s="347"/>
      <c r="D349" s="574"/>
      <c r="E349" s="347"/>
      <c r="F349" s="596"/>
      <c r="G349" s="596"/>
      <c r="H349" s="347"/>
      <c r="I349" s="347"/>
      <c r="J349" s="596"/>
      <c r="K349" s="609"/>
      <c r="L349" s="1"/>
      <c r="M349" s="347"/>
      <c r="N349" s="347"/>
      <c r="O349" s="579"/>
      <c r="P349" s="579"/>
      <c r="Q349" s="574"/>
      <c r="R349" s="347"/>
      <c r="S349" s="597"/>
      <c r="T349" s="347"/>
      <c r="U349" s="579"/>
      <c r="V349" s="579"/>
      <c r="W349" s="574"/>
      <c r="X349" s="347"/>
      <c r="Y349" s="347"/>
      <c r="Z349" s="347"/>
      <c r="AA349" s="579"/>
      <c r="AB349" s="581"/>
      <c r="AC349" s="347"/>
      <c r="AD349" s="347"/>
      <c r="AE349" s="347"/>
      <c r="AF349" s="347"/>
      <c r="AG349" s="579"/>
      <c r="AH349" s="579"/>
      <c r="AI349" s="582"/>
      <c r="AJ349" s="582"/>
      <c r="AK349" s="582"/>
      <c r="AL349" s="582"/>
      <c r="AM349" s="579"/>
      <c r="AN349" s="579"/>
      <c r="AO349" s="347"/>
      <c r="AP349" s="586"/>
      <c r="AQ349" s="596"/>
      <c r="AR349" s="596"/>
      <c r="AS349" s="348"/>
      <c r="AT349" s="348"/>
      <c r="AU349" s="348"/>
      <c r="AV349" s="348"/>
      <c r="AW349" s="348"/>
      <c r="AX349" s="584"/>
      <c r="AY349" s="581"/>
      <c r="AZ349" s="581"/>
      <c r="BA349" s="596"/>
      <c r="BB349" s="596"/>
      <c r="BC349" s="348"/>
      <c r="BD349" s="581"/>
      <c r="BE349" s="581"/>
      <c r="BF349" s="347"/>
      <c r="BG349" s="347"/>
      <c r="BH349" s="347"/>
      <c r="BI349" s="347"/>
      <c r="BJ349" s="586"/>
      <c r="BK349" s="581"/>
      <c r="BL349" s="347"/>
      <c r="BM349" s="347"/>
      <c r="BN349" s="347"/>
      <c r="BO349" s="586"/>
      <c r="BP349" s="584"/>
      <c r="BQ349" s="347"/>
      <c r="BR349" s="586"/>
      <c r="BS349" s="588"/>
      <c r="BT349" s="586"/>
      <c r="BU349" s="589"/>
      <c r="BV349" s="581">
        <f t="shared" si="44"/>
        <v>0</v>
      </c>
      <c r="BW349" s="590"/>
      <c r="BX349" s="347"/>
      <c r="BY349" s="347"/>
      <c r="BZ349" s="347"/>
      <c r="CA349" s="586"/>
      <c r="CB349" s="581"/>
      <c r="CC349" s="581">
        <f t="shared" si="193"/>
        <v>0</v>
      </c>
      <c r="CD349" s="581"/>
      <c r="CE349" s="581"/>
      <c r="CF349" s="581"/>
      <c r="CG349" s="586"/>
      <c r="CH349" s="608"/>
      <c r="CI349" s="603"/>
      <c r="CJ349" s="347"/>
      <c r="CK349" s="347"/>
      <c r="CL349" s="347"/>
      <c r="CM349" s="347"/>
      <c r="CN349" s="347"/>
      <c r="CO349" s="347"/>
      <c r="CP349" s="347"/>
    </row>
    <row r="350">
      <c r="A350" s="574"/>
      <c r="B350" s="574"/>
      <c r="C350" s="347"/>
      <c r="D350" s="574"/>
      <c r="E350" s="347"/>
      <c r="F350" s="596"/>
      <c r="G350" s="596"/>
      <c r="H350" s="347"/>
      <c r="I350" s="347"/>
      <c r="J350" s="596"/>
      <c r="K350" s="609"/>
      <c r="L350" s="1"/>
      <c r="M350" s="347"/>
      <c r="N350" s="347"/>
      <c r="O350" s="579"/>
      <c r="P350" s="579"/>
      <c r="Q350" s="574"/>
      <c r="R350" s="347"/>
      <c r="S350" s="597"/>
      <c r="T350" s="347"/>
      <c r="U350" s="579"/>
      <c r="V350" s="579"/>
      <c r="W350" s="574"/>
      <c r="X350" s="347"/>
      <c r="Y350" s="347"/>
      <c r="Z350" s="347"/>
      <c r="AA350" s="579"/>
      <c r="AB350" s="581"/>
      <c r="AC350" s="347"/>
      <c r="AD350" s="347"/>
      <c r="AE350" s="347"/>
      <c r="AF350" s="347"/>
      <c r="AG350" s="579"/>
      <c r="AH350" s="579"/>
      <c r="AI350" s="582"/>
      <c r="AJ350" s="582"/>
      <c r="AK350" s="582"/>
      <c r="AL350" s="582"/>
      <c r="AM350" s="579"/>
      <c r="AN350" s="579"/>
      <c r="AO350" s="347"/>
      <c r="AP350" s="586"/>
      <c r="AQ350" s="596"/>
      <c r="AR350" s="596"/>
      <c r="AS350" s="348"/>
      <c r="AT350" s="348"/>
      <c r="AU350" s="348"/>
      <c r="AV350" s="348"/>
      <c r="AW350" s="348"/>
      <c r="AX350" s="584"/>
      <c r="AY350" s="581"/>
      <c r="AZ350" s="581"/>
      <c r="BA350" s="596"/>
      <c r="BB350" s="596"/>
      <c r="BC350" s="348"/>
      <c r="BD350" s="581"/>
      <c r="BE350" s="581"/>
      <c r="BF350" s="347"/>
      <c r="BG350" s="347"/>
      <c r="BH350" s="347"/>
      <c r="BI350" s="347"/>
      <c r="BJ350" s="586"/>
      <c r="BK350" s="581"/>
      <c r="BL350" s="347"/>
      <c r="BM350" s="347"/>
      <c r="BN350" s="347"/>
      <c r="BO350" s="586"/>
      <c r="BP350" s="584"/>
      <c r="BQ350" s="347"/>
      <c r="BR350" s="586"/>
      <c r="BS350" s="588"/>
      <c r="BT350" s="586"/>
      <c r="BU350" s="589"/>
      <c r="BV350" s="581">
        <f t="shared" si="44"/>
        <v>0</v>
      </c>
      <c r="BW350" s="590"/>
      <c r="BX350" s="347"/>
      <c r="BY350" s="347"/>
      <c r="BZ350" s="347"/>
      <c r="CA350" s="586"/>
      <c r="CB350" s="581"/>
      <c r="CC350" s="581">
        <f t="shared" si="193"/>
        <v>0</v>
      </c>
      <c r="CD350" s="581"/>
      <c r="CE350" s="581"/>
      <c r="CF350" s="581"/>
      <c r="CG350" s="586"/>
      <c r="CH350" s="608"/>
      <c r="CI350" s="603"/>
      <c r="CJ350" s="347"/>
      <c r="CK350" s="347"/>
      <c r="CL350" s="347"/>
      <c r="CM350" s="347"/>
      <c r="CN350" s="347"/>
      <c r="CO350" s="347"/>
      <c r="CP350" s="347"/>
    </row>
    <row r="351">
      <c r="A351" s="574"/>
      <c r="B351" s="574"/>
      <c r="C351" s="347"/>
      <c r="D351" s="574"/>
      <c r="E351" s="347"/>
      <c r="F351" s="596"/>
      <c r="G351" s="596"/>
      <c r="H351" s="347"/>
      <c r="I351" s="347"/>
      <c r="J351" s="596"/>
      <c r="K351" s="609"/>
      <c r="L351" s="1"/>
      <c r="M351" s="347"/>
      <c r="N351" s="347"/>
      <c r="O351" s="579"/>
      <c r="P351" s="579"/>
      <c r="Q351" s="574"/>
      <c r="R351" s="347"/>
      <c r="S351" s="597"/>
      <c r="T351" s="347"/>
      <c r="U351" s="579"/>
      <c r="V351" s="579"/>
      <c r="W351" s="574"/>
      <c r="X351" s="347"/>
      <c r="Y351" s="347"/>
      <c r="Z351" s="347"/>
      <c r="AA351" s="579"/>
      <c r="AB351" s="581"/>
      <c r="AC351" s="347"/>
      <c r="AD351" s="347"/>
      <c r="AE351" s="347"/>
      <c r="AF351" s="347"/>
      <c r="AG351" s="579"/>
      <c r="AH351" s="579"/>
      <c r="AI351" s="582"/>
      <c r="AJ351" s="582"/>
      <c r="AK351" s="582"/>
      <c r="AL351" s="582"/>
      <c r="AM351" s="579"/>
      <c r="AN351" s="579"/>
      <c r="AO351" s="347"/>
      <c r="AP351" s="586"/>
      <c r="AQ351" s="596"/>
      <c r="AR351" s="596"/>
      <c r="AS351" s="348"/>
      <c r="AT351" s="348"/>
      <c r="AU351" s="348"/>
      <c r="AV351" s="348"/>
      <c r="AW351" s="348"/>
      <c r="AX351" s="584"/>
      <c r="AY351" s="581"/>
      <c r="AZ351" s="581"/>
      <c r="BA351" s="596"/>
      <c r="BB351" s="596"/>
      <c r="BC351" s="348"/>
      <c r="BD351" s="581"/>
      <c r="BE351" s="581"/>
      <c r="BF351" s="347"/>
      <c r="BG351" s="347"/>
      <c r="BH351" s="347"/>
      <c r="BI351" s="347"/>
      <c r="BJ351" s="586"/>
      <c r="BK351" s="581"/>
      <c r="BL351" s="347"/>
      <c r="BM351" s="347"/>
      <c r="BN351" s="347"/>
      <c r="BO351" s="586"/>
      <c r="BP351" s="584"/>
      <c r="BQ351" s="347"/>
      <c r="BR351" s="586"/>
      <c r="BS351" s="588"/>
      <c r="BT351" s="586"/>
      <c r="BU351" s="589"/>
      <c r="BV351" s="581">
        <f t="shared" si="44"/>
        <v>0</v>
      </c>
      <c r="BW351" s="590"/>
      <c r="BX351" s="347"/>
      <c r="BY351" s="347"/>
      <c r="BZ351" s="347"/>
      <c r="CA351" s="586"/>
      <c r="CB351" s="581"/>
      <c r="CC351" s="581">
        <f t="shared" si="193"/>
        <v>0</v>
      </c>
      <c r="CD351" s="581"/>
      <c r="CE351" s="581"/>
      <c r="CF351" s="581"/>
      <c r="CG351" s="586"/>
      <c r="CH351" s="608"/>
      <c r="CI351" s="603"/>
      <c r="CJ351" s="347"/>
      <c r="CK351" s="347"/>
      <c r="CL351" s="347"/>
      <c r="CM351" s="347"/>
      <c r="CN351" s="347"/>
      <c r="CO351" s="347"/>
      <c r="CP351" s="347"/>
    </row>
    <row r="352">
      <c r="A352" s="574"/>
      <c r="B352" s="574"/>
      <c r="C352" s="347"/>
      <c r="D352" s="574"/>
      <c r="E352" s="347"/>
      <c r="F352" s="596"/>
      <c r="G352" s="596"/>
      <c r="H352" s="347"/>
      <c r="I352" s="347"/>
      <c r="J352" s="596"/>
      <c r="K352" s="609"/>
      <c r="L352" s="1"/>
      <c r="M352" s="347"/>
      <c r="N352" s="347"/>
      <c r="O352" s="579"/>
      <c r="P352" s="579"/>
      <c r="Q352" s="574"/>
      <c r="R352" s="347"/>
      <c r="S352" s="597"/>
      <c r="T352" s="347"/>
      <c r="U352" s="579"/>
      <c r="V352" s="579"/>
      <c r="W352" s="574"/>
      <c r="X352" s="347"/>
      <c r="Y352" s="347"/>
      <c r="Z352" s="347"/>
      <c r="AA352" s="579"/>
      <c r="AB352" s="581"/>
      <c r="AC352" s="347"/>
      <c r="AD352" s="347"/>
      <c r="AE352" s="347"/>
      <c r="AF352" s="347"/>
      <c r="AG352" s="579"/>
      <c r="AH352" s="579"/>
      <c r="AI352" s="582"/>
      <c r="AJ352" s="582"/>
      <c r="AK352" s="582"/>
      <c r="AL352" s="582"/>
      <c r="AM352" s="579"/>
      <c r="AN352" s="579"/>
      <c r="AO352" s="347"/>
      <c r="AP352" s="586"/>
      <c r="AQ352" s="596"/>
      <c r="AR352" s="596"/>
      <c r="AS352" s="348"/>
      <c r="AT352" s="348"/>
      <c r="AU352" s="348"/>
      <c r="AV352" s="348"/>
      <c r="AW352" s="348"/>
      <c r="AX352" s="584"/>
      <c r="AY352" s="581"/>
      <c r="AZ352" s="581"/>
      <c r="BA352" s="596"/>
      <c r="BB352" s="596"/>
      <c r="BC352" s="348"/>
      <c r="BD352" s="581"/>
      <c r="BE352" s="581"/>
      <c r="BF352" s="347"/>
      <c r="BG352" s="347"/>
      <c r="BH352" s="347"/>
      <c r="BI352" s="347"/>
      <c r="BJ352" s="586"/>
      <c r="BK352" s="581"/>
      <c r="BL352" s="347"/>
      <c r="BM352" s="347"/>
      <c r="BN352" s="347"/>
      <c r="BO352" s="586"/>
      <c r="BP352" s="584"/>
      <c r="BQ352" s="347"/>
      <c r="BR352" s="586"/>
      <c r="BS352" s="588"/>
      <c r="BT352" s="586"/>
      <c r="BU352" s="589"/>
      <c r="BV352" s="581">
        <f t="shared" si="44"/>
        <v>0</v>
      </c>
      <c r="BW352" s="590"/>
      <c r="BX352" s="347"/>
      <c r="BY352" s="347"/>
      <c r="BZ352" s="347"/>
      <c r="CA352" s="586"/>
      <c r="CB352" s="581"/>
      <c r="CC352" s="581">
        <f t="shared" si="193"/>
        <v>0</v>
      </c>
      <c r="CD352" s="581"/>
      <c r="CE352" s="581"/>
      <c r="CF352" s="581"/>
      <c r="CG352" s="586"/>
      <c r="CH352" s="608"/>
      <c r="CI352" s="603"/>
      <c r="CJ352" s="347"/>
      <c r="CK352" s="347"/>
      <c r="CL352" s="347"/>
      <c r="CM352" s="347"/>
      <c r="CN352" s="347"/>
      <c r="CO352" s="347"/>
      <c r="CP352" s="347"/>
    </row>
    <row r="353">
      <c r="A353" s="574"/>
      <c r="B353" s="574"/>
      <c r="C353" s="347"/>
      <c r="D353" s="574"/>
      <c r="E353" s="347"/>
      <c r="F353" s="596"/>
      <c r="G353" s="596"/>
      <c r="H353" s="347"/>
      <c r="I353" s="347"/>
      <c r="J353" s="596"/>
      <c r="K353" s="609"/>
      <c r="L353" s="1"/>
      <c r="M353" s="347"/>
      <c r="N353" s="347"/>
      <c r="O353" s="579"/>
      <c r="P353" s="579"/>
      <c r="Q353" s="574"/>
      <c r="R353" s="347"/>
      <c r="S353" s="597"/>
      <c r="T353" s="347"/>
      <c r="U353" s="579"/>
      <c r="V353" s="579"/>
      <c r="W353" s="574"/>
      <c r="X353" s="347"/>
      <c r="Y353" s="347"/>
      <c r="Z353" s="347"/>
      <c r="AA353" s="579"/>
      <c r="AB353" s="581"/>
      <c r="AC353" s="347"/>
      <c r="AD353" s="347"/>
      <c r="AE353" s="347"/>
      <c r="AF353" s="347"/>
      <c r="AG353" s="579"/>
      <c r="AH353" s="579"/>
      <c r="AI353" s="582"/>
      <c r="AJ353" s="582"/>
      <c r="AK353" s="582"/>
      <c r="AL353" s="582"/>
      <c r="AM353" s="579"/>
      <c r="AN353" s="579"/>
      <c r="AO353" s="347"/>
      <c r="AP353" s="586"/>
      <c r="AQ353" s="596"/>
      <c r="AR353" s="596"/>
      <c r="AS353" s="348"/>
      <c r="AT353" s="348"/>
      <c r="AU353" s="348"/>
      <c r="AV353" s="348"/>
      <c r="AW353" s="348"/>
      <c r="AX353" s="584"/>
      <c r="AY353" s="581"/>
      <c r="AZ353" s="581"/>
      <c r="BA353" s="596"/>
      <c r="BB353" s="596"/>
      <c r="BC353" s="348"/>
      <c r="BD353" s="581"/>
      <c r="BE353" s="581"/>
      <c r="BF353" s="347"/>
      <c r="BG353" s="347"/>
      <c r="BH353" s="347"/>
      <c r="BI353" s="347"/>
      <c r="BJ353" s="586"/>
      <c r="BK353" s="581"/>
      <c r="BL353" s="347"/>
      <c r="BM353" s="347"/>
      <c r="BN353" s="347"/>
      <c r="BO353" s="586"/>
      <c r="BP353" s="584"/>
      <c r="BQ353" s="347"/>
      <c r="BR353" s="586"/>
      <c r="BS353" s="588"/>
      <c r="BT353" s="586"/>
      <c r="BU353" s="589"/>
      <c r="BV353" s="581">
        <f t="shared" si="44"/>
        <v>0</v>
      </c>
      <c r="BW353" s="590"/>
      <c r="BX353" s="347"/>
      <c r="BY353" s="347"/>
      <c r="BZ353" s="347"/>
      <c r="CA353" s="586"/>
      <c r="CB353" s="581"/>
      <c r="CC353" s="581">
        <f t="shared" si="193"/>
        <v>0</v>
      </c>
      <c r="CD353" s="581"/>
      <c r="CE353" s="581"/>
      <c r="CF353" s="581"/>
      <c r="CG353" s="586"/>
      <c r="CH353" s="608"/>
      <c r="CI353" s="603"/>
      <c r="CJ353" s="347"/>
      <c r="CK353" s="347"/>
      <c r="CL353" s="347"/>
      <c r="CM353" s="347"/>
      <c r="CN353" s="347"/>
      <c r="CO353" s="347"/>
      <c r="CP353" s="347"/>
    </row>
    <row r="354">
      <c r="A354" s="574"/>
      <c r="B354" s="574"/>
      <c r="C354" s="347"/>
      <c r="D354" s="574"/>
      <c r="E354" s="347"/>
      <c r="F354" s="596"/>
      <c r="G354" s="596"/>
      <c r="H354" s="347"/>
      <c r="I354" s="347"/>
      <c r="J354" s="596"/>
      <c r="K354" s="609"/>
      <c r="L354" s="1"/>
      <c r="M354" s="347"/>
      <c r="N354" s="347"/>
      <c r="O354" s="579"/>
      <c r="P354" s="579"/>
      <c r="Q354" s="574"/>
      <c r="R354" s="347"/>
      <c r="S354" s="597"/>
      <c r="T354" s="347"/>
      <c r="U354" s="579"/>
      <c r="V354" s="579"/>
      <c r="W354" s="574"/>
      <c r="X354" s="347"/>
      <c r="Y354" s="347"/>
      <c r="Z354" s="347"/>
      <c r="AA354" s="579"/>
      <c r="AB354" s="581"/>
      <c r="AC354" s="347"/>
      <c r="AD354" s="347"/>
      <c r="AE354" s="347"/>
      <c r="AF354" s="347"/>
      <c r="AG354" s="579"/>
      <c r="AH354" s="579"/>
      <c r="AI354" s="582"/>
      <c r="AJ354" s="582"/>
      <c r="AK354" s="582"/>
      <c r="AL354" s="582"/>
      <c r="AM354" s="579"/>
      <c r="AN354" s="579"/>
      <c r="AO354" s="347"/>
      <c r="AP354" s="586"/>
      <c r="AQ354" s="596"/>
      <c r="AR354" s="596"/>
      <c r="AS354" s="348"/>
      <c r="AT354" s="348"/>
      <c r="AU354" s="348"/>
      <c r="AV354" s="348"/>
      <c r="AW354" s="348"/>
      <c r="AX354" s="584"/>
      <c r="AY354" s="581"/>
      <c r="AZ354" s="581"/>
      <c r="BA354" s="596"/>
      <c r="BB354" s="596"/>
      <c r="BC354" s="348"/>
      <c r="BD354" s="581"/>
      <c r="BE354" s="581"/>
      <c r="BF354" s="347"/>
      <c r="BG354" s="347"/>
      <c r="BH354" s="347"/>
      <c r="BI354" s="347"/>
      <c r="BJ354" s="586"/>
      <c r="BK354" s="581"/>
      <c r="BL354" s="347"/>
      <c r="BM354" s="347"/>
      <c r="BN354" s="347"/>
      <c r="BO354" s="586"/>
      <c r="BP354" s="584"/>
      <c r="BQ354" s="347"/>
      <c r="BR354" s="586"/>
      <c r="BS354" s="588"/>
      <c r="BT354" s="586"/>
      <c r="BU354" s="589"/>
      <c r="BV354" s="581">
        <f t="shared" si="44"/>
        <v>0</v>
      </c>
      <c r="BW354" s="590"/>
      <c r="BX354" s="347"/>
      <c r="BY354" s="347"/>
      <c r="BZ354" s="347"/>
      <c r="CA354" s="586"/>
      <c r="CB354" s="581"/>
      <c r="CC354" s="581">
        <f t="shared" si="193"/>
        <v>0</v>
      </c>
      <c r="CD354" s="581"/>
      <c r="CE354" s="581"/>
      <c r="CF354" s="581"/>
      <c r="CG354" s="586"/>
      <c r="CH354" s="608"/>
      <c r="CI354" s="603"/>
      <c r="CJ354" s="347"/>
      <c r="CK354" s="347"/>
      <c r="CL354" s="347"/>
      <c r="CM354" s="347"/>
      <c r="CN354" s="347"/>
      <c r="CO354" s="347"/>
      <c r="CP354" s="347"/>
    </row>
    <row r="355">
      <c r="A355" s="574"/>
      <c r="B355" s="574"/>
      <c r="C355" s="347"/>
      <c r="D355" s="574"/>
      <c r="E355" s="347"/>
      <c r="F355" s="596"/>
      <c r="G355" s="596"/>
      <c r="H355" s="347"/>
      <c r="I355" s="347"/>
      <c r="J355" s="596"/>
      <c r="K355" s="609"/>
      <c r="L355" s="1"/>
      <c r="M355" s="347"/>
      <c r="N355" s="347"/>
      <c r="O355" s="579"/>
      <c r="P355" s="579"/>
      <c r="Q355" s="574"/>
      <c r="R355" s="347"/>
      <c r="S355" s="597"/>
      <c r="T355" s="347"/>
      <c r="U355" s="579"/>
      <c r="V355" s="579"/>
      <c r="W355" s="574"/>
      <c r="X355" s="347"/>
      <c r="Y355" s="347"/>
      <c r="Z355" s="347"/>
      <c r="AA355" s="579"/>
      <c r="AB355" s="581"/>
      <c r="AC355" s="347"/>
      <c r="AD355" s="347"/>
      <c r="AE355" s="347"/>
      <c r="AF355" s="347"/>
      <c r="AG355" s="579"/>
      <c r="AH355" s="579"/>
      <c r="AI355" s="582"/>
      <c r="AJ355" s="582"/>
      <c r="AK355" s="582"/>
      <c r="AL355" s="582"/>
      <c r="AM355" s="579"/>
      <c r="AN355" s="579"/>
      <c r="AO355" s="347"/>
      <c r="AP355" s="586"/>
      <c r="AQ355" s="596"/>
      <c r="AR355" s="596"/>
      <c r="AS355" s="348"/>
      <c r="AT355" s="348"/>
      <c r="AU355" s="348"/>
      <c r="AV355" s="348"/>
      <c r="AW355" s="348"/>
      <c r="AX355" s="584"/>
      <c r="AY355" s="581"/>
      <c r="AZ355" s="581"/>
      <c r="BA355" s="596"/>
      <c r="BB355" s="596"/>
      <c r="BC355" s="348"/>
      <c r="BD355" s="581"/>
      <c r="BE355" s="581"/>
      <c r="BF355" s="347"/>
      <c r="BG355" s="347"/>
      <c r="BH355" s="347"/>
      <c r="BI355" s="347"/>
      <c r="BJ355" s="586"/>
      <c r="BK355" s="581"/>
      <c r="BL355" s="347"/>
      <c r="BM355" s="347"/>
      <c r="BN355" s="347"/>
      <c r="BO355" s="586"/>
      <c r="BP355" s="584"/>
      <c r="BQ355" s="347"/>
      <c r="BR355" s="586"/>
      <c r="BS355" s="588"/>
      <c r="BT355" s="586"/>
      <c r="BU355" s="589"/>
      <c r="BV355" s="581">
        <f t="shared" si="44"/>
        <v>0</v>
      </c>
      <c r="BW355" s="590"/>
      <c r="BX355" s="347"/>
      <c r="BY355" s="347"/>
      <c r="BZ355" s="347"/>
      <c r="CA355" s="586"/>
      <c r="CB355" s="581"/>
      <c r="CC355" s="581">
        <f t="shared" si="193"/>
        <v>0</v>
      </c>
      <c r="CD355" s="581"/>
      <c r="CE355" s="581"/>
      <c r="CF355" s="581"/>
      <c r="CG355" s="586"/>
      <c r="CH355" s="608"/>
      <c r="CI355" s="603"/>
      <c r="CJ355" s="347"/>
      <c r="CK355" s="347"/>
      <c r="CL355" s="347"/>
      <c r="CM355" s="347"/>
      <c r="CN355" s="347"/>
      <c r="CO355" s="347"/>
      <c r="CP355" s="347"/>
    </row>
    <row r="356">
      <c r="A356" s="574"/>
      <c r="B356" s="574"/>
      <c r="C356" s="347"/>
      <c r="D356" s="574"/>
      <c r="E356" s="347"/>
      <c r="F356" s="596"/>
      <c r="G356" s="596"/>
      <c r="H356" s="347"/>
      <c r="I356" s="347"/>
      <c r="J356" s="596"/>
      <c r="K356" s="609"/>
      <c r="L356" s="1"/>
      <c r="M356" s="347"/>
      <c r="N356" s="347"/>
      <c r="O356" s="579"/>
      <c r="P356" s="579"/>
      <c r="Q356" s="574"/>
      <c r="R356" s="347"/>
      <c r="S356" s="597"/>
      <c r="T356" s="347"/>
      <c r="U356" s="579"/>
      <c r="V356" s="579"/>
      <c r="W356" s="574"/>
      <c r="X356" s="347"/>
      <c r="Y356" s="347"/>
      <c r="Z356" s="347"/>
      <c r="AA356" s="579"/>
      <c r="AB356" s="581"/>
      <c r="AC356" s="347"/>
      <c r="AD356" s="347"/>
      <c r="AE356" s="347"/>
      <c r="AF356" s="347"/>
      <c r="AG356" s="579"/>
      <c r="AH356" s="579"/>
      <c r="AI356" s="582"/>
      <c r="AJ356" s="582"/>
      <c r="AK356" s="582"/>
      <c r="AL356" s="582"/>
      <c r="AM356" s="579"/>
      <c r="AN356" s="579"/>
      <c r="AO356" s="347"/>
      <c r="AP356" s="586"/>
      <c r="AQ356" s="596"/>
      <c r="AR356" s="596"/>
      <c r="AS356" s="348"/>
      <c r="AT356" s="348"/>
      <c r="AU356" s="348"/>
      <c r="AV356" s="348"/>
      <c r="AW356" s="348"/>
      <c r="AX356" s="584"/>
      <c r="AY356" s="581"/>
      <c r="AZ356" s="581"/>
      <c r="BA356" s="596"/>
      <c r="BB356" s="596"/>
      <c r="BC356" s="348"/>
      <c r="BD356" s="581"/>
      <c r="BE356" s="581"/>
      <c r="BF356" s="347"/>
      <c r="BG356" s="347"/>
      <c r="BH356" s="347"/>
      <c r="BI356" s="347"/>
      <c r="BJ356" s="586"/>
      <c r="BK356" s="581"/>
      <c r="BL356" s="347"/>
      <c r="BM356" s="347"/>
      <c r="BN356" s="347"/>
      <c r="BO356" s="586"/>
      <c r="BP356" s="584"/>
      <c r="BQ356" s="347"/>
      <c r="BR356" s="586"/>
      <c r="BS356" s="588"/>
      <c r="BT356" s="586"/>
      <c r="BU356" s="589"/>
      <c r="BV356" s="581">
        <f t="shared" si="44"/>
        <v>0</v>
      </c>
      <c r="BW356" s="590"/>
      <c r="BX356" s="347"/>
      <c r="BY356" s="347"/>
      <c r="BZ356" s="347"/>
      <c r="CA356" s="586"/>
      <c r="CB356" s="581"/>
      <c r="CC356" s="581">
        <f t="shared" si="193"/>
        <v>0</v>
      </c>
      <c r="CD356" s="581"/>
      <c r="CE356" s="581"/>
      <c r="CF356" s="581"/>
      <c r="CG356" s="586"/>
      <c r="CH356" s="608"/>
      <c r="CI356" s="603"/>
      <c r="CJ356" s="347"/>
      <c r="CK356" s="347"/>
      <c r="CL356" s="347"/>
      <c r="CM356" s="347"/>
      <c r="CN356" s="347"/>
      <c r="CO356" s="347"/>
      <c r="CP356" s="347"/>
    </row>
    <row r="357">
      <c r="A357" s="574"/>
      <c r="B357" s="574"/>
      <c r="C357" s="347"/>
      <c r="D357" s="574"/>
      <c r="E357" s="347"/>
      <c r="F357" s="596"/>
      <c r="G357" s="596"/>
      <c r="H357" s="347"/>
      <c r="I357" s="347"/>
      <c r="J357" s="596"/>
      <c r="K357" s="609"/>
      <c r="L357" s="1"/>
      <c r="M357" s="347"/>
      <c r="N357" s="347"/>
      <c r="O357" s="579"/>
      <c r="P357" s="579"/>
      <c r="Q357" s="574"/>
      <c r="R357" s="347"/>
      <c r="S357" s="597"/>
      <c r="T357" s="347"/>
      <c r="U357" s="579"/>
      <c r="V357" s="579"/>
      <c r="W357" s="574"/>
      <c r="X357" s="347"/>
      <c r="Y357" s="347"/>
      <c r="Z357" s="347"/>
      <c r="AA357" s="579"/>
      <c r="AB357" s="581"/>
      <c r="AC357" s="347"/>
      <c r="AD357" s="347"/>
      <c r="AE357" s="347"/>
      <c r="AF357" s="347"/>
      <c r="AG357" s="579"/>
      <c r="AH357" s="579"/>
      <c r="AI357" s="582"/>
      <c r="AJ357" s="582"/>
      <c r="AK357" s="582"/>
      <c r="AL357" s="582"/>
      <c r="AM357" s="579"/>
      <c r="AN357" s="579"/>
      <c r="AO357" s="347"/>
      <c r="AP357" s="586"/>
      <c r="AQ357" s="596"/>
      <c r="AR357" s="596"/>
      <c r="AS357" s="348"/>
      <c r="AT357" s="348"/>
      <c r="AU357" s="348"/>
      <c r="AV357" s="348"/>
      <c r="AW357" s="348"/>
      <c r="AX357" s="584"/>
      <c r="AY357" s="581"/>
      <c r="AZ357" s="581"/>
      <c r="BA357" s="596"/>
      <c r="BB357" s="596"/>
      <c r="BC357" s="348"/>
      <c r="BD357" s="581"/>
      <c r="BE357" s="581"/>
      <c r="BF357" s="347"/>
      <c r="BG357" s="347"/>
      <c r="BH357" s="347"/>
      <c r="BI357" s="347"/>
      <c r="BJ357" s="586"/>
      <c r="BK357" s="581"/>
      <c r="BL357" s="347"/>
      <c r="BM357" s="347"/>
      <c r="BN357" s="347"/>
      <c r="BO357" s="586"/>
      <c r="BP357" s="584"/>
      <c r="BQ357" s="347"/>
      <c r="BR357" s="586"/>
      <c r="BS357" s="588"/>
      <c r="BT357" s="586"/>
      <c r="BU357" s="589"/>
      <c r="BV357" s="581">
        <f t="shared" si="44"/>
        <v>0</v>
      </c>
      <c r="BW357" s="590"/>
      <c r="BX357" s="347"/>
      <c r="BY357" s="347"/>
      <c r="BZ357" s="347"/>
      <c r="CA357" s="586"/>
      <c r="CB357" s="581"/>
      <c r="CC357" s="581">
        <f t="shared" si="193"/>
        <v>0</v>
      </c>
      <c r="CD357" s="581"/>
      <c r="CE357" s="581"/>
      <c r="CF357" s="581"/>
      <c r="CG357" s="586"/>
      <c r="CH357" s="608"/>
      <c r="CI357" s="603"/>
      <c r="CJ357" s="347"/>
      <c r="CK357" s="347"/>
      <c r="CL357" s="347"/>
      <c r="CM357" s="347"/>
      <c r="CN357" s="347"/>
      <c r="CO357" s="347"/>
      <c r="CP357" s="347"/>
    </row>
    <row r="358">
      <c r="A358" s="574"/>
      <c r="B358" s="574"/>
      <c r="C358" s="347"/>
      <c r="D358" s="574"/>
      <c r="E358" s="347"/>
      <c r="F358" s="596"/>
      <c r="G358" s="596"/>
      <c r="H358" s="347"/>
      <c r="I358" s="347"/>
      <c r="J358" s="596"/>
      <c r="K358" s="609"/>
      <c r="L358" s="1"/>
      <c r="M358" s="347"/>
      <c r="N358" s="347"/>
      <c r="O358" s="579"/>
      <c r="P358" s="579"/>
      <c r="Q358" s="574"/>
      <c r="R358" s="347"/>
      <c r="S358" s="597"/>
      <c r="T358" s="347"/>
      <c r="U358" s="579"/>
      <c r="V358" s="579"/>
      <c r="W358" s="574"/>
      <c r="X358" s="347"/>
      <c r="Y358" s="347"/>
      <c r="Z358" s="347"/>
      <c r="AA358" s="579"/>
      <c r="AB358" s="581"/>
      <c r="AC358" s="347"/>
      <c r="AD358" s="347"/>
      <c r="AE358" s="347"/>
      <c r="AF358" s="347"/>
      <c r="AG358" s="579"/>
      <c r="AH358" s="579"/>
      <c r="AI358" s="582"/>
      <c r="AJ358" s="582"/>
      <c r="AK358" s="582"/>
      <c r="AL358" s="582"/>
      <c r="AM358" s="579"/>
      <c r="AN358" s="579"/>
      <c r="AO358" s="347"/>
      <c r="AP358" s="586"/>
      <c r="AQ358" s="596"/>
      <c r="AR358" s="596"/>
      <c r="AS358" s="348"/>
      <c r="AT358" s="348"/>
      <c r="AU358" s="348"/>
      <c r="AV358" s="348"/>
      <c r="AW358" s="348"/>
      <c r="AX358" s="584"/>
      <c r="AY358" s="581"/>
      <c r="AZ358" s="581"/>
      <c r="BA358" s="596"/>
      <c r="BB358" s="596"/>
      <c r="BC358" s="348"/>
      <c r="BD358" s="581"/>
      <c r="BE358" s="581"/>
      <c r="BF358" s="347"/>
      <c r="BG358" s="347"/>
      <c r="BH358" s="347"/>
      <c r="BI358" s="347"/>
      <c r="BJ358" s="586"/>
      <c r="BK358" s="581"/>
      <c r="BL358" s="347"/>
      <c r="BM358" s="347"/>
      <c r="BN358" s="347"/>
      <c r="BO358" s="586"/>
      <c r="BP358" s="584"/>
      <c r="BQ358" s="347"/>
      <c r="BR358" s="586"/>
      <c r="BS358" s="588"/>
      <c r="BT358" s="586"/>
      <c r="BU358" s="589"/>
      <c r="BV358" s="581">
        <f t="shared" si="44"/>
        <v>0</v>
      </c>
      <c r="BW358" s="590"/>
      <c r="BX358" s="347"/>
      <c r="BY358" s="347"/>
      <c r="BZ358" s="347"/>
      <c r="CA358" s="586"/>
      <c r="CB358" s="581"/>
      <c r="CC358" s="581">
        <f t="shared" si="193"/>
        <v>0</v>
      </c>
      <c r="CD358" s="581"/>
      <c r="CE358" s="581"/>
      <c r="CF358" s="581"/>
      <c r="CG358" s="586"/>
      <c r="CH358" s="608"/>
      <c r="CI358" s="603"/>
      <c r="CJ358" s="347"/>
      <c r="CK358" s="347"/>
      <c r="CL358" s="347"/>
      <c r="CM358" s="347"/>
      <c r="CN358" s="347"/>
      <c r="CO358" s="347"/>
      <c r="CP358" s="347"/>
    </row>
    <row r="359">
      <c r="A359" s="574"/>
      <c r="B359" s="574"/>
      <c r="C359" s="347"/>
      <c r="D359" s="574"/>
      <c r="E359" s="347"/>
      <c r="F359" s="596"/>
      <c r="G359" s="596"/>
      <c r="H359" s="347"/>
      <c r="I359" s="347"/>
      <c r="J359" s="596"/>
      <c r="K359" s="609"/>
      <c r="L359" s="1"/>
      <c r="M359" s="347"/>
      <c r="N359" s="347"/>
      <c r="O359" s="579"/>
      <c r="P359" s="579"/>
      <c r="Q359" s="574"/>
      <c r="R359" s="347"/>
      <c r="S359" s="597"/>
      <c r="T359" s="347"/>
      <c r="U359" s="579"/>
      <c r="V359" s="579"/>
      <c r="W359" s="574"/>
      <c r="X359" s="347"/>
      <c r="Y359" s="347"/>
      <c r="Z359" s="347"/>
      <c r="AA359" s="579"/>
      <c r="AB359" s="581"/>
      <c r="AC359" s="347"/>
      <c r="AD359" s="347"/>
      <c r="AE359" s="347"/>
      <c r="AF359" s="347"/>
      <c r="AG359" s="579"/>
      <c r="AH359" s="579"/>
      <c r="AI359" s="582"/>
      <c r="AJ359" s="582"/>
      <c r="AK359" s="582"/>
      <c r="AL359" s="582"/>
      <c r="AM359" s="579"/>
      <c r="AN359" s="579"/>
      <c r="AO359" s="347"/>
      <c r="AP359" s="586"/>
      <c r="AQ359" s="596"/>
      <c r="AR359" s="596"/>
      <c r="AS359" s="348"/>
      <c r="AT359" s="348"/>
      <c r="AU359" s="348"/>
      <c r="AV359" s="348"/>
      <c r="AW359" s="348"/>
      <c r="AX359" s="584"/>
      <c r="AY359" s="581"/>
      <c r="AZ359" s="581"/>
      <c r="BA359" s="596"/>
      <c r="BB359" s="596"/>
      <c r="BC359" s="348"/>
      <c r="BD359" s="581"/>
      <c r="BE359" s="581"/>
      <c r="BF359" s="347"/>
      <c r="BG359" s="347"/>
      <c r="BH359" s="347"/>
      <c r="BI359" s="347"/>
      <c r="BJ359" s="586"/>
      <c r="BK359" s="581"/>
      <c r="BL359" s="347"/>
      <c r="BM359" s="347"/>
      <c r="BN359" s="347"/>
      <c r="BO359" s="586"/>
      <c r="BP359" s="584"/>
      <c r="BQ359" s="347"/>
      <c r="BR359" s="586"/>
      <c r="BS359" s="588"/>
      <c r="BT359" s="586"/>
      <c r="BU359" s="589"/>
      <c r="BV359" s="581">
        <f t="shared" si="44"/>
        <v>0</v>
      </c>
      <c r="BW359" s="590"/>
      <c r="BX359" s="347"/>
      <c r="BY359" s="347"/>
      <c r="BZ359" s="347"/>
      <c r="CA359" s="586"/>
      <c r="CB359" s="581"/>
      <c r="CC359" s="581">
        <f t="shared" si="193"/>
        <v>0</v>
      </c>
      <c r="CD359" s="581"/>
      <c r="CE359" s="581"/>
      <c r="CF359" s="581"/>
      <c r="CG359" s="586"/>
      <c r="CH359" s="608"/>
      <c r="CI359" s="603"/>
      <c r="CJ359" s="347"/>
      <c r="CK359" s="347"/>
      <c r="CL359" s="347"/>
      <c r="CM359" s="347"/>
      <c r="CN359" s="347"/>
      <c r="CO359" s="347"/>
      <c r="CP359" s="347"/>
    </row>
    <row r="360">
      <c r="A360" s="574"/>
      <c r="B360" s="574"/>
      <c r="C360" s="347"/>
      <c r="D360" s="574"/>
      <c r="E360" s="347"/>
      <c r="F360" s="596"/>
      <c r="G360" s="596"/>
      <c r="H360" s="347"/>
      <c r="I360" s="347"/>
      <c r="J360" s="596"/>
      <c r="K360" s="609"/>
      <c r="L360" s="1"/>
      <c r="M360" s="347"/>
      <c r="N360" s="347"/>
      <c r="O360" s="579"/>
      <c r="P360" s="579"/>
      <c r="Q360" s="574"/>
      <c r="R360" s="347"/>
      <c r="S360" s="597"/>
      <c r="T360" s="347"/>
      <c r="U360" s="579"/>
      <c r="V360" s="579"/>
      <c r="W360" s="574"/>
      <c r="X360" s="347"/>
      <c r="Y360" s="347"/>
      <c r="Z360" s="347"/>
      <c r="AA360" s="579"/>
      <c r="AB360" s="581"/>
      <c r="AC360" s="347"/>
      <c r="AD360" s="347"/>
      <c r="AE360" s="347"/>
      <c r="AF360" s="347"/>
      <c r="AG360" s="579"/>
      <c r="AH360" s="579"/>
      <c r="AI360" s="582"/>
      <c r="AJ360" s="582"/>
      <c r="AK360" s="582"/>
      <c r="AL360" s="582"/>
      <c r="AM360" s="579"/>
      <c r="AN360" s="579"/>
      <c r="AO360" s="347"/>
      <c r="AP360" s="586"/>
      <c r="AQ360" s="596"/>
      <c r="AR360" s="596"/>
      <c r="AS360" s="348"/>
      <c r="AT360" s="348"/>
      <c r="AU360" s="348"/>
      <c r="AV360" s="348"/>
      <c r="AW360" s="348"/>
      <c r="AX360" s="584"/>
      <c r="AY360" s="581"/>
      <c r="AZ360" s="581"/>
      <c r="BA360" s="596"/>
      <c r="BB360" s="596"/>
      <c r="BC360" s="348"/>
      <c r="BD360" s="581"/>
      <c r="BE360" s="581"/>
      <c r="BF360" s="347"/>
      <c r="BG360" s="347"/>
      <c r="BH360" s="347"/>
      <c r="BI360" s="347"/>
      <c r="BJ360" s="586"/>
      <c r="BK360" s="581"/>
      <c r="BL360" s="347"/>
      <c r="BM360" s="347"/>
      <c r="BN360" s="347"/>
      <c r="BO360" s="586"/>
      <c r="BP360" s="584"/>
      <c r="BQ360" s="347"/>
      <c r="BR360" s="586"/>
      <c r="BS360" s="588"/>
      <c r="BT360" s="586"/>
      <c r="BU360" s="589"/>
      <c r="BV360" s="581">
        <f t="shared" si="44"/>
        <v>0</v>
      </c>
      <c r="BW360" s="590"/>
      <c r="BX360" s="347"/>
      <c r="BY360" s="347"/>
      <c r="BZ360" s="347"/>
      <c r="CA360" s="586"/>
      <c r="CB360" s="581"/>
      <c r="CC360" s="581">
        <f t="shared" si="193"/>
        <v>0</v>
      </c>
      <c r="CD360" s="581"/>
      <c r="CE360" s="581"/>
      <c r="CF360" s="581"/>
      <c r="CG360" s="586"/>
      <c r="CH360" s="608"/>
      <c r="CI360" s="603"/>
      <c r="CJ360" s="347"/>
      <c r="CK360" s="347"/>
      <c r="CL360" s="347"/>
      <c r="CM360" s="347"/>
      <c r="CN360" s="347"/>
      <c r="CO360" s="347"/>
      <c r="CP360" s="347"/>
    </row>
    <row r="361">
      <c r="A361" s="574"/>
      <c r="B361" s="574"/>
      <c r="C361" s="347"/>
      <c r="D361" s="574"/>
      <c r="E361" s="347"/>
      <c r="F361" s="596"/>
      <c r="G361" s="596"/>
      <c r="H361" s="347"/>
      <c r="I361" s="347"/>
      <c r="J361" s="596"/>
      <c r="K361" s="609"/>
      <c r="L361" s="1"/>
      <c r="M361" s="347"/>
      <c r="N361" s="347"/>
      <c r="O361" s="579"/>
      <c r="P361" s="579"/>
      <c r="Q361" s="574"/>
      <c r="R361" s="347"/>
      <c r="S361" s="597"/>
      <c r="T361" s="347"/>
      <c r="U361" s="579"/>
      <c r="V361" s="579"/>
      <c r="W361" s="574"/>
      <c r="X361" s="347"/>
      <c r="Y361" s="347"/>
      <c r="Z361" s="347"/>
      <c r="AA361" s="579"/>
      <c r="AB361" s="581"/>
      <c r="AC361" s="347"/>
      <c r="AD361" s="347"/>
      <c r="AE361" s="347"/>
      <c r="AF361" s="347"/>
      <c r="AG361" s="579"/>
      <c r="AH361" s="579"/>
      <c r="AI361" s="582"/>
      <c r="AJ361" s="582"/>
      <c r="AK361" s="582"/>
      <c r="AL361" s="582"/>
      <c r="AM361" s="579"/>
      <c r="AN361" s="579"/>
      <c r="AO361" s="347"/>
      <c r="AP361" s="586"/>
      <c r="AQ361" s="596"/>
      <c r="AR361" s="596"/>
      <c r="AS361" s="348"/>
      <c r="AT361" s="348"/>
      <c r="AU361" s="348"/>
      <c r="AV361" s="348"/>
      <c r="AW361" s="348"/>
      <c r="AX361" s="584"/>
      <c r="AY361" s="581"/>
      <c r="AZ361" s="581"/>
      <c r="BA361" s="596"/>
      <c r="BB361" s="596"/>
      <c r="BC361" s="348"/>
      <c r="BD361" s="581"/>
      <c r="BE361" s="581"/>
      <c r="BF361" s="347"/>
      <c r="BG361" s="347"/>
      <c r="BH361" s="347"/>
      <c r="BI361" s="347"/>
      <c r="BJ361" s="586"/>
      <c r="BK361" s="581"/>
      <c r="BL361" s="347"/>
      <c r="BM361" s="347"/>
      <c r="BN361" s="347"/>
      <c r="BO361" s="586"/>
      <c r="BP361" s="584"/>
      <c r="BQ361" s="347"/>
      <c r="BR361" s="586"/>
      <c r="BS361" s="588"/>
      <c r="BT361" s="586"/>
      <c r="BU361" s="589"/>
      <c r="BV361" s="581">
        <f t="shared" si="44"/>
        <v>0</v>
      </c>
      <c r="BW361" s="590"/>
      <c r="BX361" s="347"/>
      <c r="BY361" s="347"/>
      <c r="BZ361" s="347"/>
      <c r="CA361" s="586"/>
      <c r="CB361" s="581"/>
      <c r="CC361" s="581">
        <f t="shared" si="193"/>
        <v>0</v>
      </c>
      <c r="CD361" s="581"/>
      <c r="CE361" s="581"/>
      <c r="CF361" s="581"/>
      <c r="CG361" s="586"/>
      <c r="CH361" s="608"/>
      <c r="CI361" s="603"/>
      <c r="CJ361" s="347"/>
      <c r="CK361" s="347"/>
      <c r="CL361" s="347"/>
      <c r="CM361" s="347"/>
      <c r="CN361" s="347"/>
      <c r="CO361" s="347"/>
      <c r="CP361" s="347"/>
    </row>
    <row r="362">
      <c r="A362" s="574"/>
      <c r="B362" s="574"/>
      <c r="C362" s="347"/>
      <c r="D362" s="574"/>
      <c r="E362" s="347"/>
      <c r="F362" s="596"/>
      <c r="G362" s="596"/>
      <c r="H362" s="347"/>
      <c r="I362" s="347"/>
      <c r="J362" s="596"/>
      <c r="K362" s="609"/>
      <c r="L362" s="1"/>
      <c r="M362" s="347"/>
      <c r="N362" s="347"/>
      <c r="O362" s="579"/>
      <c r="P362" s="579"/>
      <c r="Q362" s="574"/>
      <c r="R362" s="347"/>
      <c r="S362" s="597"/>
      <c r="T362" s="347"/>
      <c r="U362" s="579"/>
      <c r="V362" s="579"/>
      <c r="W362" s="574"/>
      <c r="X362" s="347"/>
      <c r="Y362" s="347"/>
      <c r="Z362" s="347"/>
      <c r="AA362" s="579"/>
      <c r="AB362" s="581"/>
      <c r="AC362" s="347"/>
      <c r="AD362" s="347"/>
      <c r="AE362" s="347"/>
      <c r="AF362" s="347"/>
      <c r="AG362" s="579"/>
      <c r="AH362" s="579"/>
      <c r="AI362" s="582"/>
      <c r="AJ362" s="582"/>
      <c r="AK362" s="582"/>
      <c r="AL362" s="582"/>
      <c r="AM362" s="579"/>
      <c r="AN362" s="579"/>
      <c r="AO362" s="347"/>
      <c r="AP362" s="586"/>
      <c r="AQ362" s="596"/>
      <c r="AR362" s="596"/>
      <c r="AS362" s="348"/>
      <c r="AT362" s="348"/>
      <c r="AU362" s="348"/>
      <c r="AV362" s="348"/>
      <c r="AW362" s="348"/>
      <c r="AX362" s="584"/>
      <c r="AY362" s="581"/>
      <c r="AZ362" s="581"/>
      <c r="BA362" s="596"/>
      <c r="BB362" s="596"/>
      <c r="BC362" s="348"/>
      <c r="BD362" s="581"/>
      <c r="BE362" s="581"/>
      <c r="BF362" s="347"/>
      <c r="BG362" s="347"/>
      <c r="BH362" s="347"/>
      <c r="BI362" s="347"/>
      <c r="BJ362" s="586"/>
      <c r="BK362" s="581"/>
      <c r="BL362" s="347"/>
      <c r="BM362" s="347"/>
      <c r="BN362" s="347"/>
      <c r="BO362" s="586"/>
      <c r="BP362" s="584"/>
      <c r="BQ362" s="347"/>
      <c r="BR362" s="586"/>
      <c r="BS362" s="588"/>
      <c r="BT362" s="586"/>
      <c r="BU362" s="589"/>
      <c r="BV362" s="581">
        <f t="shared" si="44"/>
        <v>0</v>
      </c>
      <c r="BW362" s="590"/>
      <c r="BX362" s="347"/>
      <c r="BY362" s="347"/>
      <c r="BZ362" s="347"/>
      <c r="CA362" s="586"/>
      <c r="CB362" s="581"/>
      <c r="CC362" s="581">
        <f t="shared" si="193"/>
        <v>0</v>
      </c>
      <c r="CD362" s="581"/>
      <c r="CE362" s="581"/>
      <c r="CF362" s="581"/>
      <c r="CG362" s="586"/>
      <c r="CH362" s="608"/>
      <c r="CI362" s="603"/>
      <c r="CJ362" s="347"/>
      <c r="CK362" s="347"/>
      <c r="CL362" s="347"/>
      <c r="CM362" s="347"/>
      <c r="CN362" s="347"/>
      <c r="CO362" s="347"/>
      <c r="CP362" s="347"/>
    </row>
    <row r="363">
      <c r="A363" s="574"/>
      <c r="B363" s="574"/>
      <c r="C363" s="347"/>
      <c r="D363" s="574"/>
      <c r="E363" s="347"/>
      <c r="F363" s="596"/>
      <c r="G363" s="596"/>
      <c r="H363" s="347"/>
      <c r="I363" s="347"/>
      <c r="J363" s="596"/>
      <c r="K363" s="609"/>
      <c r="L363" s="1"/>
      <c r="M363" s="347"/>
      <c r="N363" s="347"/>
      <c r="O363" s="579"/>
      <c r="P363" s="579"/>
      <c r="Q363" s="574"/>
      <c r="R363" s="347"/>
      <c r="S363" s="597"/>
      <c r="T363" s="347"/>
      <c r="U363" s="579"/>
      <c r="V363" s="579"/>
      <c r="W363" s="574"/>
      <c r="X363" s="347"/>
      <c r="Y363" s="347"/>
      <c r="Z363" s="347"/>
      <c r="AA363" s="579"/>
      <c r="AB363" s="581"/>
      <c r="AC363" s="347"/>
      <c r="AD363" s="347"/>
      <c r="AE363" s="347"/>
      <c r="AF363" s="347"/>
      <c r="AG363" s="579"/>
      <c r="AH363" s="579"/>
      <c r="AI363" s="582"/>
      <c r="AJ363" s="582"/>
      <c r="AK363" s="582"/>
      <c r="AL363" s="582"/>
      <c r="AM363" s="579"/>
      <c r="AN363" s="579"/>
      <c r="AO363" s="347"/>
      <c r="AP363" s="586"/>
      <c r="AQ363" s="596"/>
      <c r="AR363" s="596"/>
      <c r="AS363" s="348"/>
      <c r="AT363" s="348"/>
      <c r="AU363" s="348"/>
      <c r="AV363" s="348"/>
      <c r="AW363" s="348"/>
      <c r="AX363" s="584"/>
      <c r="AY363" s="581"/>
      <c r="AZ363" s="581"/>
      <c r="BA363" s="596"/>
      <c r="BB363" s="596"/>
      <c r="BC363" s="348"/>
      <c r="BD363" s="581"/>
      <c r="BE363" s="581"/>
      <c r="BF363" s="347"/>
      <c r="BG363" s="347"/>
      <c r="BH363" s="347"/>
      <c r="BI363" s="347"/>
      <c r="BJ363" s="586"/>
      <c r="BK363" s="581"/>
      <c r="BL363" s="347"/>
      <c r="BM363" s="347"/>
      <c r="BN363" s="347"/>
      <c r="BO363" s="586"/>
      <c r="BP363" s="584"/>
      <c r="BQ363" s="347"/>
      <c r="BR363" s="586"/>
      <c r="BS363" s="588"/>
      <c r="BT363" s="586"/>
      <c r="BU363" s="589"/>
      <c r="BV363" s="581">
        <f t="shared" si="44"/>
        <v>0</v>
      </c>
      <c r="BW363" s="590"/>
      <c r="BX363" s="347"/>
      <c r="BY363" s="347"/>
      <c r="BZ363" s="347"/>
      <c r="CA363" s="586"/>
      <c r="CB363" s="581"/>
      <c r="CC363" s="581">
        <f t="shared" si="193"/>
        <v>0</v>
      </c>
      <c r="CD363" s="581"/>
      <c r="CE363" s="581"/>
      <c r="CF363" s="581"/>
      <c r="CG363" s="586"/>
      <c r="CH363" s="608"/>
      <c r="CI363" s="603"/>
      <c r="CJ363" s="347"/>
      <c r="CK363" s="347"/>
      <c r="CL363" s="347"/>
      <c r="CM363" s="347"/>
      <c r="CN363" s="347"/>
      <c r="CO363" s="347"/>
      <c r="CP363" s="347"/>
    </row>
    <row r="364">
      <c r="A364" s="574"/>
      <c r="B364" s="574"/>
      <c r="C364" s="347"/>
      <c r="D364" s="574"/>
      <c r="E364" s="347"/>
      <c r="F364" s="596"/>
      <c r="G364" s="596"/>
      <c r="H364" s="347"/>
      <c r="I364" s="347"/>
      <c r="J364" s="596"/>
      <c r="K364" s="609"/>
      <c r="L364" s="1"/>
      <c r="M364" s="347"/>
      <c r="N364" s="347"/>
      <c r="O364" s="579"/>
      <c r="P364" s="579"/>
      <c r="Q364" s="574"/>
      <c r="R364" s="347"/>
      <c r="S364" s="597"/>
      <c r="T364" s="347"/>
      <c r="U364" s="579"/>
      <c r="V364" s="579"/>
      <c r="W364" s="574"/>
      <c r="X364" s="347"/>
      <c r="Y364" s="347"/>
      <c r="Z364" s="347"/>
      <c r="AA364" s="579"/>
      <c r="AB364" s="581"/>
      <c r="AC364" s="347"/>
      <c r="AD364" s="347"/>
      <c r="AE364" s="347"/>
      <c r="AF364" s="347"/>
      <c r="AG364" s="579"/>
      <c r="AH364" s="579"/>
      <c r="AI364" s="582"/>
      <c r="AJ364" s="582"/>
      <c r="AK364" s="582"/>
      <c r="AL364" s="582"/>
      <c r="AM364" s="579"/>
      <c r="AN364" s="579"/>
      <c r="AO364" s="347"/>
      <c r="AP364" s="586"/>
      <c r="AQ364" s="596"/>
      <c r="AR364" s="596"/>
      <c r="AS364" s="348"/>
      <c r="AT364" s="348"/>
      <c r="AU364" s="348"/>
      <c r="AV364" s="348"/>
      <c r="AW364" s="348"/>
      <c r="AX364" s="584"/>
      <c r="AY364" s="581"/>
      <c r="AZ364" s="581"/>
      <c r="BA364" s="596"/>
      <c r="BB364" s="596"/>
      <c r="BC364" s="348"/>
      <c r="BD364" s="581"/>
      <c r="BE364" s="581"/>
      <c r="BF364" s="347"/>
      <c r="BG364" s="347"/>
      <c r="BH364" s="347"/>
      <c r="BI364" s="347"/>
      <c r="BJ364" s="586"/>
      <c r="BK364" s="581"/>
      <c r="BL364" s="347"/>
      <c r="BM364" s="347"/>
      <c r="BN364" s="347"/>
      <c r="BO364" s="586"/>
      <c r="BP364" s="584"/>
      <c r="BQ364" s="347"/>
      <c r="BR364" s="586"/>
      <c r="BS364" s="588"/>
      <c r="BT364" s="586"/>
      <c r="BU364" s="589"/>
      <c r="BV364" s="581">
        <f t="shared" si="44"/>
        <v>0</v>
      </c>
      <c r="BW364" s="590"/>
      <c r="BX364" s="347"/>
      <c r="BY364" s="347"/>
      <c r="BZ364" s="347"/>
      <c r="CA364" s="586"/>
      <c r="CB364" s="581"/>
      <c r="CC364" s="581">
        <f t="shared" si="193"/>
        <v>0</v>
      </c>
      <c r="CD364" s="581"/>
      <c r="CE364" s="581"/>
      <c r="CF364" s="581"/>
      <c r="CG364" s="586"/>
      <c r="CH364" s="608"/>
      <c r="CI364" s="603"/>
      <c r="CJ364" s="347"/>
      <c r="CK364" s="347"/>
      <c r="CL364" s="347"/>
      <c r="CM364" s="347"/>
      <c r="CN364" s="347"/>
      <c r="CO364" s="347"/>
      <c r="CP364" s="347"/>
    </row>
    <row r="365">
      <c r="A365" s="574"/>
      <c r="B365" s="574"/>
      <c r="C365" s="347"/>
      <c r="D365" s="574"/>
      <c r="E365" s="347"/>
      <c r="F365" s="596"/>
      <c r="G365" s="596"/>
      <c r="H365" s="347"/>
      <c r="I365" s="347"/>
      <c r="J365" s="596"/>
      <c r="K365" s="609"/>
      <c r="L365" s="1"/>
      <c r="M365" s="347"/>
      <c r="N365" s="347"/>
      <c r="O365" s="579"/>
      <c r="P365" s="579"/>
      <c r="Q365" s="574"/>
      <c r="R365" s="347"/>
      <c r="S365" s="597"/>
      <c r="T365" s="347"/>
      <c r="U365" s="579"/>
      <c r="V365" s="579"/>
      <c r="W365" s="574"/>
      <c r="X365" s="347"/>
      <c r="Y365" s="347"/>
      <c r="Z365" s="347"/>
      <c r="AA365" s="579"/>
      <c r="AB365" s="581"/>
      <c r="AC365" s="347"/>
      <c r="AD365" s="347"/>
      <c r="AE365" s="347"/>
      <c r="AF365" s="347"/>
      <c r="AG365" s="579"/>
      <c r="AH365" s="579"/>
      <c r="AI365" s="582"/>
      <c r="AJ365" s="582"/>
      <c r="AK365" s="582"/>
      <c r="AL365" s="582"/>
      <c r="AM365" s="579"/>
      <c r="AN365" s="579"/>
      <c r="AO365" s="347"/>
      <c r="AP365" s="586"/>
      <c r="AQ365" s="596"/>
      <c r="AR365" s="596"/>
      <c r="AS365" s="348"/>
      <c r="AT365" s="348"/>
      <c r="AU365" s="348"/>
      <c r="AV365" s="348"/>
      <c r="AW365" s="348"/>
      <c r="AX365" s="584"/>
      <c r="AY365" s="581"/>
      <c r="AZ365" s="581"/>
      <c r="BA365" s="596"/>
      <c r="BB365" s="596"/>
      <c r="BC365" s="348"/>
      <c r="BD365" s="581"/>
      <c r="BE365" s="581"/>
      <c r="BF365" s="347"/>
      <c r="BG365" s="347"/>
      <c r="BH365" s="347"/>
      <c r="BI365" s="347"/>
      <c r="BJ365" s="586"/>
      <c r="BK365" s="581"/>
      <c r="BL365" s="347"/>
      <c r="BM365" s="347"/>
      <c r="BN365" s="347"/>
      <c r="BO365" s="586"/>
      <c r="BP365" s="584"/>
      <c r="BQ365" s="347"/>
      <c r="BR365" s="586"/>
      <c r="BS365" s="588"/>
      <c r="BT365" s="586"/>
      <c r="BU365" s="589"/>
      <c r="BV365" s="581">
        <f t="shared" si="44"/>
        <v>0</v>
      </c>
      <c r="BW365" s="590"/>
      <c r="BX365" s="347"/>
      <c r="BY365" s="347"/>
      <c r="BZ365" s="347"/>
      <c r="CA365" s="586"/>
      <c r="CB365" s="581"/>
      <c r="CC365" s="581">
        <f t="shared" si="193"/>
        <v>0</v>
      </c>
      <c r="CD365" s="581"/>
      <c r="CE365" s="581"/>
      <c r="CF365" s="581"/>
      <c r="CG365" s="586"/>
      <c r="CH365" s="608"/>
      <c r="CI365" s="603"/>
      <c r="CJ365" s="347"/>
      <c r="CK365" s="347"/>
      <c r="CL365" s="347"/>
      <c r="CM365" s="347"/>
      <c r="CN365" s="347"/>
      <c r="CO365" s="347"/>
      <c r="CP365" s="347"/>
    </row>
    <row r="366">
      <c r="A366" s="574"/>
      <c r="B366" s="574"/>
      <c r="C366" s="347"/>
      <c r="D366" s="574"/>
      <c r="E366" s="347"/>
      <c r="F366" s="596"/>
      <c r="G366" s="596"/>
      <c r="H366" s="347"/>
      <c r="I366" s="347"/>
      <c r="J366" s="596"/>
      <c r="K366" s="609"/>
      <c r="L366" s="1"/>
      <c r="M366" s="347"/>
      <c r="N366" s="347"/>
      <c r="O366" s="579"/>
      <c r="P366" s="579"/>
      <c r="Q366" s="574"/>
      <c r="R366" s="347"/>
      <c r="S366" s="597"/>
      <c r="T366" s="347"/>
      <c r="U366" s="579"/>
      <c r="V366" s="579"/>
      <c r="W366" s="574"/>
      <c r="X366" s="347"/>
      <c r="Y366" s="347"/>
      <c r="Z366" s="347"/>
      <c r="AA366" s="579"/>
      <c r="AB366" s="581"/>
      <c r="AC366" s="347"/>
      <c r="AD366" s="347"/>
      <c r="AE366" s="347"/>
      <c r="AF366" s="347"/>
      <c r="AG366" s="579"/>
      <c r="AH366" s="579"/>
      <c r="AI366" s="582"/>
      <c r="AJ366" s="582"/>
      <c r="AK366" s="582"/>
      <c r="AL366" s="582"/>
      <c r="AM366" s="579"/>
      <c r="AN366" s="579"/>
      <c r="AO366" s="347"/>
      <c r="AP366" s="586"/>
      <c r="AQ366" s="596"/>
      <c r="AR366" s="596"/>
      <c r="AS366" s="348"/>
      <c r="AT366" s="348"/>
      <c r="AU366" s="348"/>
      <c r="AV366" s="348"/>
      <c r="AW366" s="348"/>
      <c r="AX366" s="584"/>
      <c r="AY366" s="581"/>
      <c r="AZ366" s="581"/>
      <c r="BA366" s="596"/>
      <c r="BB366" s="596"/>
      <c r="BC366" s="348"/>
      <c r="BD366" s="581"/>
      <c r="BE366" s="581"/>
      <c r="BF366" s="347"/>
      <c r="BG366" s="347"/>
      <c r="BH366" s="347"/>
      <c r="BI366" s="347"/>
      <c r="BJ366" s="586"/>
      <c r="BK366" s="581"/>
      <c r="BL366" s="347"/>
      <c r="BM366" s="347"/>
      <c r="BN366" s="347"/>
      <c r="BO366" s="586"/>
      <c r="BP366" s="584"/>
      <c r="BQ366" s="347"/>
      <c r="BR366" s="586"/>
      <c r="BS366" s="588"/>
      <c r="BT366" s="586"/>
      <c r="BU366" s="589"/>
      <c r="BV366" s="581">
        <f t="shared" si="44"/>
        <v>0</v>
      </c>
      <c r="BW366" s="590"/>
      <c r="BX366" s="347"/>
      <c r="BY366" s="347"/>
      <c r="BZ366" s="347"/>
      <c r="CA366" s="586"/>
      <c r="CB366" s="581"/>
      <c r="CC366" s="581">
        <f t="shared" si="193"/>
        <v>0</v>
      </c>
      <c r="CD366" s="581"/>
      <c r="CE366" s="581"/>
      <c r="CF366" s="581"/>
      <c r="CG366" s="586"/>
      <c r="CH366" s="608"/>
      <c r="CI366" s="603"/>
      <c r="CJ366" s="347"/>
      <c r="CK366" s="347"/>
      <c r="CL366" s="347"/>
      <c r="CM366" s="347"/>
      <c r="CN366" s="347"/>
      <c r="CO366" s="347"/>
      <c r="CP366" s="347"/>
    </row>
    <row r="367">
      <c r="A367" s="574"/>
      <c r="B367" s="574"/>
      <c r="C367" s="347"/>
      <c r="D367" s="574"/>
      <c r="E367" s="347"/>
      <c r="F367" s="596"/>
      <c r="G367" s="596"/>
      <c r="H367" s="347"/>
      <c r="I367" s="347"/>
      <c r="J367" s="596"/>
      <c r="K367" s="609"/>
      <c r="L367" s="1"/>
      <c r="M367" s="347"/>
      <c r="N367" s="347"/>
      <c r="O367" s="579"/>
      <c r="P367" s="579"/>
      <c r="Q367" s="574"/>
      <c r="R367" s="347"/>
      <c r="S367" s="597"/>
      <c r="T367" s="347"/>
      <c r="U367" s="579"/>
      <c r="V367" s="579"/>
      <c r="W367" s="574"/>
      <c r="X367" s="347"/>
      <c r="Y367" s="347"/>
      <c r="Z367" s="347"/>
      <c r="AA367" s="579"/>
      <c r="AB367" s="581"/>
      <c r="AC367" s="347"/>
      <c r="AD367" s="347"/>
      <c r="AE367" s="347"/>
      <c r="AF367" s="347"/>
      <c r="AG367" s="579"/>
      <c r="AH367" s="579"/>
      <c r="AI367" s="582"/>
      <c r="AJ367" s="582"/>
      <c r="AK367" s="582"/>
      <c r="AL367" s="582"/>
      <c r="AM367" s="579"/>
      <c r="AN367" s="579"/>
      <c r="AO367" s="347"/>
      <c r="AP367" s="586"/>
      <c r="AQ367" s="596"/>
      <c r="AR367" s="596"/>
      <c r="AS367" s="348"/>
      <c r="AT367" s="348"/>
      <c r="AU367" s="348"/>
      <c r="AV367" s="348"/>
      <c r="AW367" s="348"/>
      <c r="AX367" s="584"/>
      <c r="AY367" s="581"/>
      <c r="AZ367" s="581"/>
      <c r="BA367" s="596"/>
      <c r="BB367" s="596"/>
      <c r="BC367" s="348"/>
      <c r="BD367" s="581"/>
      <c r="BE367" s="581"/>
      <c r="BF367" s="347"/>
      <c r="BG367" s="347"/>
      <c r="BH367" s="347"/>
      <c r="BI367" s="347"/>
      <c r="BJ367" s="586"/>
      <c r="BK367" s="581"/>
      <c r="BL367" s="347"/>
      <c r="BM367" s="347"/>
      <c r="BN367" s="347"/>
      <c r="BO367" s="586"/>
      <c r="BP367" s="584"/>
      <c r="BQ367" s="347"/>
      <c r="BR367" s="586"/>
      <c r="BS367" s="588"/>
      <c r="BT367" s="586"/>
      <c r="BU367" s="589"/>
      <c r="BV367" s="581">
        <f t="shared" si="44"/>
        <v>0</v>
      </c>
      <c r="BW367" s="590"/>
      <c r="BX367" s="347"/>
      <c r="BY367" s="347"/>
      <c r="BZ367" s="347"/>
      <c r="CA367" s="586"/>
      <c r="CB367" s="581"/>
      <c r="CC367" s="581">
        <f t="shared" si="193"/>
        <v>0</v>
      </c>
      <c r="CD367" s="581"/>
      <c r="CE367" s="581"/>
      <c r="CF367" s="581"/>
      <c r="CG367" s="586"/>
      <c r="CH367" s="608"/>
      <c r="CI367" s="603"/>
      <c r="CJ367" s="347"/>
      <c r="CK367" s="347"/>
      <c r="CL367" s="347"/>
      <c r="CM367" s="347"/>
      <c r="CN367" s="347"/>
      <c r="CO367" s="347"/>
      <c r="CP367" s="347"/>
    </row>
    <row r="368">
      <c r="A368" s="574"/>
      <c r="B368" s="574"/>
      <c r="C368" s="347"/>
      <c r="D368" s="574"/>
      <c r="E368" s="347"/>
      <c r="F368" s="596"/>
      <c r="G368" s="596"/>
      <c r="H368" s="347"/>
      <c r="I368" s="347"/>
      <c r="J368" s="596"/>
      <c r="K368" s="609"/>
      <c r="L368" s="1"/>
      <c r="M368" s="347"/>
      <c r="N368" s="347"/>
      <c r="O368" s="579"/>
      <c r="P368" s="579"/>
      <c r="Q368" s="574"/>
      <c r="R368" s="347"/>
      <c r="S368" s="597"/>
      <c r="T368" s="347"/>
      <c r="U368" s="579"/>
      <c r="V368" s="579"/>
      <c r="W368" s="574"/>
      <c r="X368" s="347"/>
      <c r="Y368" s="347"/>
      <c r="Z368" s="347"/>
      <c r="AA368" s="579"/>
      <c r="AB368" s="581"/>
      <c r="AC368" s="347"/>
      <c r="AD368" s="347"/>
      <c r="AE368" s="347"/>
      <c r="AF368" s="347"/>
      <c r="AG368" s="579"/>
      <c r="AH368" s="579"/>
      <c r="AI368" s="582"/>
      <c r="AJ368" s="582"/>
      <c r="AK368" s="582"/>
      <c r="AL368" s="582"/>
      <c r="AM368" s="579"/>
      <c r="AN368" s="579"/>
      <c r="AO368" s="347"/>
      <c r="AP368" s="586"/>
      <c r="AQ368" s="596"/>
      <c r="AR368" s="596"/>
      <c r="AS368" s="348"/>
      <c r="AT368" s="348"/>
      <c r="AU368" s="348"/>
      <c r="AV368" s="348"/>
      <c r="AW368" s="348"/>
      <c r="AX368" s="584"/>
      <c r="AY368" s="581"/>
      <c r="AZ368" s="581"/>
      <c r="BA368" s="596"/>
      <c r="BB368" s="596"/>
      <c r="BC368" s="348"/>
      <c r="BD368" s="581"/>
      <c r="BE368" s="581"/>
      <c r="BF368" s="347"/>
      <c r="BG368" s="347"/>
      <c r="BH368" s="347"/>
      <c r="BI368" s="347"/>
      <c r="BJ368" s="586"/>
      <c r="BK368" s="581"/>
      <c r="BL368" s="347"/>
      <c r="BM368" s="347"/>
      <c r="BN368" s="347"/>
      <c r="BO368" s="586"/>
      <c r="BP368" s="584"/>
      <c r="BQ368" s="347"/>
      <c r="BR368" s="586"/>
      <c r="BS368" s="588"/>
      <c r="BT368" s="586"/>
      <c r="BU368" s="589"/>
      <c r="BV368" s="581">
        <f t="shared" si="44"/>
        <v>0</v>
      </c>
      <c r="BW368" s="590"/>
      <c r="BX368" s="347"/>
      <c r="BY368" s="347"/>
      <c r="BZ368" s="347"/>
      <c r="CA368" s="586"/>
      <c r="CB368" s="581"/>
      <c r="CC368" s="581">
        <f t="shared" si="193"/>
        <v>0</v>
      </c>
      <c r="CD368" s="581"/>
      <c r="CE368" s="581"/>
      <c r="CF368" s="581"/>
      <c r="CG368" s="586"/>
      <c r="CH368" s="608"/>
      <c r="CI368" s="603"/>
      <c r="CJ368" s="347"/>
      <c r="CK368" s="347"/>
      <c r="CL368" s="347"/>
      <c r="CM368" s="347"/>
      <c r="CN368" s="347"/>
      <c r="CO368" s="347"/>
      <c r="CP368" s="347"/>
    </row>
    <row r="369">
      <c r="A369" s="574"/>
      <c r="B369" s="574"/>
      <c r="C369" s="347"/>
      <c r="D369" s="574"/>
      <c r="E369" s="347"/>
      <c r="F369" s="596"/>
      <c r="G369" s="596"/>
      <c r="H369" s="347"/>
      <c r="I369" s="347"/>
      <c r="J369" s="596"/>
      <c r="K369" s="609"/>
      <c r="L369" s="1"/>
      <c r="M369" s="347"/>
      <c r="N369" s="347"/>
      <c r="O369" s="579"/>
      <c r="P369" s="579"/>
      <c r="Q369" s="574"/>
      <c r="R369" s="347"/>
      <c r="S369" s="597"/>
      <c r="T369" s="347"/>
      <c r="U369" s="579"/>
      <c r="V369" s="579"/>
      <c r="W369" s="574"/>
      <c r="X369" s="347"/>
      <c r="Y369" s="347"/>
      <c r="Z369" s="347"/>
      <c r="AA369" s="579"/>
      <c r="AB369" s="581"/>
      <c r="AC369" s="347"/>
      <c r="AD369" s="347"/>
      <c r="AE369" s="347"/>
      <c r="AF369" s="347"/>
      <c r="AG369" s="579"/>
      <c r="AH369" s="579"/>
      <c r="AI369" s="582"/>
      <c r="AJ369" s="582"/>
      <c r="AK369" s="582"/>
      <c r="AL369" s="582"/>
      <c r="AM369" s="579"/>
      <c r="AN369" s="579"/>
      <c r="AO369" s="347"/>
      <c r="AP369" s="586"/>
      <c r="AQ369" s="596"/>
      <c r="AR369" s="596"/>
      <c r="AS369" s="348"/>
      <c r="AT369" s="348"/>
      <c r="AU369" s="348"/>
      <c r="AV369" s="348"/>
      <c r="AW369" s="348"/>
      <c r="AX369" s="584"/>
      <c r="AY369" s="581"/>
      <c r="AZ369" s="581"/>
      <c r="BA369" s="596"/>
      <c r="BB369" s="596"/>
      <c r="BC369" s="348"/>
      <c r="BD369" s="581"/>
      <c r="BE369" s="581"/>
      <c r="BF369" s="347"/>
      <c r="BG369" s="347"/>
      <c r="BH369" s="347"/>
      <c r="BI369" s="347"/>
      <c r="BJ369" s="586"/>
      <c r="BK369" s="581"/>
      <c r="BL369" s="347"/>
      <c r="BM369" s="347"/>
      <c r="BN369" s="347"/>
      <c r="BO369" s="586"/>
      <c r="BP369" s="584"/>
      <c r="BQ369" s="347"/>
      <c r="BR369" s="586"/>
      <c r="BS369" s="588"/>
      <c r="BT369" s="586"/>
      <c r="BU369" s="589"/>
      <c r="BV369" s="581">
        <f t="shared" si="44"/>
        <v>0</v>
      </c>
      <c r="BW369" s="590"/>
      <c r="BX369" s="347"/>
      <c r="BY369" s="347"/>
      <c r="BZ369" s="347"/>
      <c r="CA369" s="586"/>
      <c r="CB369" s="581"/>
      <c r="CC369" s="581">
        <f t="shared" si="193"/>
        <v>0</v>
      </c>
      <c r="CD369" s="581"/>
      <c r="CE369" s="581"/>
      <c r="CF369" s="581"/>
      <c r="CG369" s="586"/>
      <c r="CH369" s="608"/>
      <c r="CI369" s="603"/>
      <c r="CJ369" s="347"/>
      <c r="CK369" s="347"/>
      <c r="CL369" s="347"/>
      <c r="CM369" s="347"/>
      <c r="CN369" s="347"/>
      <c r="CO369" s="347"/>
      <c r="CP369" s="347"/>
    </row>
    <row r="370">
      <c r="A370" s="574"/>
      <c r="B370" s="574"/>
      <c r="C370" s="347"/>
      <c r="D370" s="574"/>
      <c r="E370" s="347"/>
      <c r="F370" s="596"/>
      <c r="G370" s="596"/>
      <c r="H370" s="347"/>
      <c r="I370" s="347"/>
      <c r="J370" s="596"/>
      <c r="K370" s="609"/>
      <c r="L370" s="1"/>
      <c r="M370" s="347"/>
      <c r="N370" s="347"/>
      <c r="O370" s="579"/>
      <c r="P370" s="579"/>
      <c r="Q370" s="574"/>
      <c r="R370" s="347"/>
      <c r="S370" s="597"/>
      <c r="T370" s="347"/>
      <c r="U370" s="579"/>
      <c r="V370" s="579"/>
      <c r="W370" s="574"/>
      <c r="X370" s="347"/>
      <c r="Y370" s="347"/>
      <c r="Z370" s="347"/>
      <c r="AA370" s="579"/>
      <c r="AB370" s="581"/>
      <c r="AC370" s="347"/>
      <c r="AD370" s="347"/>
      <c r="AE370" s="347"/>
      <c r="AF370" s="347"/>
      <c r="AG370" s="579"/>
      <c r="AH370" s="579"/>
      <c r="AI370" s="582"/>
      <c r="AJ370" s="582"/>
      <c r="AK370" s="582"/>
      <c r="AL370" s="582"/>
      <c r="AM370" s="579"/>
      <c r="AN370" s="579"/>
      <c r="AO370" s="347"/>
      <c r="AP370" s="586"/>
      <c r="AQ370" s="596"/>
      <c r="AR370" s="596"/>
      <c r="AS370" s="348"/>
      <c r="AT370" s="348"/>
      <c r="AU370" s="348"/>
      <c r="AV370" s="348"/>
      <c r="AW370" s="348"/>
      <c r="AX370" s="584"/>
      <c r="AY370" s="581"/>
      <c r="AZ370" s="581"/>
      <c r="BA370" s="596"/>
      <c r="BB370" s="596"/>
      <c r="BC370" s="348"/>
      <c r="BD370" s="581"/>
      <c r="BE370" s="581"/>
      <c r="BF370" s="347"/>
      <c r="BG370" s="347"/>
      <c r="BH370" s="347"/>
      <c r="BI370" s="347"/>
      <c r="BJ370" s="586"/>
      <c r="BK370" s="581"/>
      <c r="BL370" s="347"/>
      <c r="BM370" s="347"/>
      <c r="BN370" s="347"/>
      <c r="BO370" s="586"/>
      <c r="BP370" s="584"/>
      <c r="BQ370" s="347"/>
      <c r="BR370" s="586"/>
      <c r="BS370" s="588"/>
      <c r="BT370" s="586"/>
      <c r="BU370" s="589"/>
      <c r="BV370" s="581">
        <f t="shared" si="44"/>
        <v>0</v>
      </c>
      <c r="BW370" s="590"/>
      <c r="BX370" s="347"/>
      <c r="BY370" s="347"/>
      <c r="BZ370" s="347"/>
      <c r="CA370" s="586"/>
      <c r="CB370" s="581"/>
      <c r="CC370" s="581">
        <f t="shared" si="193"/>
        <v>0</v>
      </c>
      <c r="CD370" s="581"/>
      <c r="CE370" s="581"/>
      <c r="CF370" s="581"/>
      <c r="CG370" s="586"/>
      <c r="CH370" s="608"/>
      <c r="CI370" s="603"/>
      <c r="CJ370" s="347"/>
      <c r="CK370" s="347"/>
      <c r="CL370" s="347"/>
      <c r="CM370" s="347"/>
      <c r="CN370" s="347"/>
      <c r="CO370" s="347"/>
      <c r="CP370" s="347"/>
    </row>
    <row r="371">
      <c r="A371" s="574"/>
      <c r="B371" s="574"/>
      <c r="C371" s="347"/>
      <c r="D371" s="574"/>
      <c r="E371" s="347"/>
      <c r="F371" s="596"/>
      <c r="G371" s="596"/>
      <c r="H371" s="347"/>
      <c r="I371" s="347"/>
      <c r="J371" s="596"/>
      <c r="K371" s="609"/>
      <c r="L371" s="1"/>
      <c r="M371" s="347"/>
      <c r="N371" s="347"/>
      <c r="O371" s="579"/>
      <c r="P371" s="579"/>
      <c r="Q371" s="574"/>
      <c r="R371" s="347"/>
      <c r="S371" s="597"/>
      <c r="T371" s="347"/>
      <c r="U371" s="579"/>
      <c r="V371" s="579"/>
      <c r="W371" s="574"/>
      <c r="X371" s="347"/>
      <c r="Y371" s="347"/>
      <c r="Z371" s="347"/>
      <c r="AA371" s="579"/>
      <c r="AB371" s="581"/>
      <c r="AC371" s="347"/>
      <c r="AD371" s="347"/>
      <c r="AE371" s="347"/>
      <c r="AF371" s="347"/>
      <c r="AG371" s="579"/>
      <c r="AH371" s="579"/>
      <c r="AI371" s="582"/>
      <c r="AJ371" s="582"/>
      <c r="AK371" s="582"/>
      <c r="AL371" s="582"/>
      <c r="AM371" s="579"/>
      <c r="AN371" s="579"/>
      <c r="AO371" s="347"/>
      <c r="AP371" s="586"/>
      <c r="AQ371" s="596"/>
      <c r="AR371" s="596"/>
      <c r="AS371" s="348"/>
      <c r="AT371" s="348"/>
      <c r="AU371" s="348"/>
      <c r="AV371" s="348"/>
      <c r="AW371" s="348"/>
      <c r="AX371" s="584"/>
      <c r="AY371" s="581"/>
      <c r="AZ371" s="581"/>
      <c r="BA371" s="596"/>
      <c r="BB371" s="596"/>
      <c r="BC371" s="348"/>
      <c r="BD371" s="581"/>
      <c r="BE371" s="581"/>
      <c r="BF371" s="347"/>
      <c r="BG371" s="347"/>
      <c r="BH371" s="347"/>
      <c r="BI371" s="347"/>
      <c r="BJ371" s="586"/>
      <c r="BK371" s="581"/>
      <c r="BL371" s="347"/>
      <c r="BM371" s="347"/>
      <c r="BN371" s="347"/>
      <c r="BO371" s="586"/>
      <c r="BP371" s="584"/>
      <c r="BQ371" s="347"/>
      <c r="BR371" s="586"/>
      <c r="BS371" s="588"/>
      <c r="BT371" s="586"/>
      <c r="BU371" s="589"/>
      <c r="BV371" s="581">
        <f t="shared" si="44"/>
        <v>0</v>
      </c>
      <c r="BW371" s="590"/>
      <c r="BX371" s="347"/>
      <c r="BY371" s="347"/>
      <c r="BZ371" s="347"/>
      <c r="CA371" s="586"/>
      <c r="CB371" s="581"/>
      <c r="CC371" s="581">
        <f t="shared" si="193"/>
        <v>0</v>
      </c>
      <c r="CD371" s="581"/>
      <c r="CE371" s="581"/>
      <c r="CF371" s="581"/>
      <c r="CG371" s="586"/>
      <c r="CH371" s="608"/>
      <c r="CI371" s="603"/>
      <c r="CJ371" s="347"/>
      <c r="CK371" s="347"/>
      <c r="CL371" s="347"/>
      <c r="CM371" s="347"/>
      <c r="CN371" s="347"/>
      <c r="CO371" s="347"/>
      <c r="CP371" s="347"/>
    </row>
    <row r="372">
      <c r="A372" s="575" t="s">
        <v>2993</v>
      </c>
      <c r="B372" s="574"/>
      <c r="C372" s="347"/>
      <c r="D372" s="574"/>
      <c r="E372" s="347"/>
      <c r="F372" s="596"/>
      <c r="G372" s="596"/>
      <c r="H372" s="347"/>
      <c r="I372" s="347"/>
      <c r="J372" s="596"/>
      <c r="K372" s="609"/>
      <c r="L372" s="1"/>
      <c r="M372" s="347"/>
      <c r="N372" s="347"/>
      <c r="O372" s="579"/>
      <c r="P372" s="579"/>
      <c r="Q372" s="574"/>
      <c r="R372" s="347"/>
      <c r="S372" s="597"/>
      <c r="T372" s="347"/>
      <c r="U372" s="579"/>
      <c r="V372" s="579"/>
      <c r="W372" s="574"/>
      <c r="X372" s="347"/>
      <c r="Y372" s="347"/>
      <c r="Z372" s="347"/>
      <c r="AA372" s="579"/>
      <c r="AB372" s="581"/>
      <c r="AC372" s="347"/>
      <c r="AD372" s="347"/>
      <c r="AE372" s="347"/>
      <c r="AF372" s="347"/>
      <c r="AG372" s="579"/>
      <c r="AH372" s="579"/>
      <c r="AI372" s="582"/>
      <c r="AJ372" s="582"/>
      <c r="AK372" s="582"/>
      <c r="AL372" s="582"/>
      <c r="AM372" s="579"/>
      <c r="AN372" s="579"/>
      <c r="AO372" s="347"/>
      <c r="AP372" s="586"/>
      <c r="AQ372" s="596"/>
      <c r="AR372" s="596"/>
      <c r="AS372" s="348"/>
      <c r="AT372" s="348"/>
      <c r="AU372" s="348"/>
      <c r="AV372" s="348"/>
      <c r="AW372" s="348"/>
      <c r="AX372" s="584"/>
      <c r="AY372" s="581"/>
      <c r="AZ372" s="581"/>
      <c r="BA372" s="596"/>
      <c r="BB372" s="596"/>
      <c r="BC372" s="348"/>
      <c r="BD372" s="581"/>
      <c r="BE372" s="581"/>
      <c r="BF372" s="347"/>
      <c r="BG372" s="347"/>
      <c r="BH372" s="347"/>
      <c r="BI372" s="347"/>
      <c r="BJ372" s="586"/>
      <c r="BK372" s="581"/>
      <c r="BL372" s="347"/>
      <c r="BM372" s="347"/>
      <c r="BN372" s="347"/>
      <c r="BO372" s="586"/>
      <c r="BP372" s="584"/>
      <c r="BQ372" s="347"/>
      <c r="BR372" s="586"/>
      <c r="BS372" s="588"/>
      <c r="BT372" s="586"/>
      <c r="BU372" s="589"/>
      <c r="BV372" s="581">
        <f t="shared" si="44"/>
        <v>0</v>
      </c>
      <c r="BW372" s="590"/>
      <c r="BX372" s="347"/>
      <c r="BY372" s="347"/>
      <c r="BZ372" s="347"/>
      <c r="CA372" s="586"/>
      <c r="CB372" s="581"/>
      <c r="CC372" s="581">
        <f t="shared" si="193"/>
        <v>0</v>
      </c>
      <c r="CD372" s="581"/>
      <c r="CE372" s="581"/>
      <c r="CF372" s="581"/>
      <c r="CG372" s="586"/>
      <c r="CH372" s="608"/>
      <c r="CI372" s="603"/>
      <c r="CJ372" s="347"/>
      <c r="CK372" s="347"/>
      <c r="CL372" s="347"/>
      <c r="CM372" s="347"/>
      <c r="CN372" s="347"/>
      <c r="CO372" s="347"/>
      <c r="CP372" s="347"/>
    </row>
    <row r="373">
      <c r="A373" s="574"/>
      <c r="B373" s="574"/>
      <c r="C373" s="347"/>
      <c r="D373" s="574"/>
      <c r="E373" s="347"/>
      <c r="F373" s="596"/>
      <c r="G373" s="596"/>
      <c r="H373" s="347"/>
      <c r="I373" s="347"/>
      <c r="J373" s="596"/>
      <c r="K373" s="609"/>
      <c r="L373" s="1"/>
      <c r="M373" s="347"/>
      <c r="N373" s="347"/>
      <c r="O373" s="579"/>
      <c r="P373" s="579"/>
      <c r="Q373" s="574"/>
      <c r="R373" s="347"/>
      <c r="S373" s="597"/>
      <c r="T373" s="347"/>
      <c r="U373" s="579"/>
      <c r="V373" s="579"/>
      <c r="W373" s="574"/>
      <c r="X373" s="347"/>
      <c r="Y373" s="347"/>
      <c r="Z373" s="347"/>
      <c r="AA373" s="579"/>
      <c r="AB373" s="581"/>
      <c r="AC373" s="347"/>
      <c r="AD373" s="347"/>
      <c r="AE373" s="347"/>
      <c r="AF373" s="347"/>
      <c r="AG373" s="579"/>
      <c r="AH373" s="579"/>
      <c r="AI373" s="582"/>
      <c r="AJ373" s="582"/>
      <c r="AK373" s="582"/>
      <c r="AL373" s="582"/>
      <c r="AM373" s="579"/>
      <c r="AN373" s="579"/>
      <c r="AO373" s="347"/>
      <c r="AP373" s="586"/>
      <c r="AQ373" s="596"/>
      <c r="AR373" s="596"/>
      <c r="AS373" s="348"/>
      <c r="AT373" s="348"/>
      <c r="AU373" s="348"/>
      <c r="AV373" s="348"/>
      <c r="AW373" s="348"/>
      <c r="AX373" s="584"/>
      <c r="AY373" s="581"/>
      <c r="AZ373" s="581"/>
      <c r="BA373" s="596"/>
      <c r="BB373" s="596"/>
      <c r="BC373" s="348"/>
      <c r="BD373" s="581"/>
      <c r="BE373" s="581"/>
      <c r="BF373" s="347"/>
      <c r="BG373" s="347"/>
      <c r="BH373" s="347"/>
      <c r="BI373" s="347"/>
      <c r="BJ373" s="586"/>
      <c r="BK373" s="581"/>
      <c r="BL373" s="347"/>
      <c r="BM373" s="347"/>
      <c r="BN373" s="347"/>
      <c r="BO373" s="586"/>
      <c r="BP373" s="584"/>
      <c r="BQ373" s="347"/>
      <c r="BR373" s="586"/>
      <c r="BS373" s="588"/>
      <c r="BT373" s="586"/>
      <c r="BU373" s="589"/>
      <c r="BV373" s="581">
        <f t="shared" si="44"/>
        <v>0</v>
      </c>
      <c r="BW373" s="590"/>
      <c r="BX373" s="347"/>
      <c r="BY373" s="347"/>
      <c r="BZ373" s="347"/>
      <c r="CA373" s="586"/>
      <c r="CB373" s="581"/>
      <c r="CC373" s="581">
        <f t="shared" si="193"/>
        <v>0</v>
      </c>
      <c r="CD373" s="581"/>
      <c r="CE373" s="581"/>
      <c r="CF373" s="581"/>
      <c r="CG373" s="586"/>
      <c r="CH373" s="608"/>
      <c r="CI373" s="603"/>
      <c r="CJ373" s="347"/>
      <c r="CK373" s="347"/>
      <c r="CL373" s="347"/>
      <c r="CM373" s="347"/>
      <c r="CN373" s="347"/>
      <c r="CO373" s="347"/>
      <c r="CP373" s="347"/>
    </row>
    <row r="374">
      <c r="A374" s="574"/>
      <c r="B374" s="574"/>
      <c r="C374" s="347"/>
      <c r="D374" s="574"/>
      <c r="E374" s="347"/>
      <c r="F374" s="596"/>
      <c r="G374" s="596"/>
      <c r="H374" s="347"/>
      <c r="I374" s="347"/>
      <c r="J374" s="596"/>
      <c r="K374" s="609"/>
      <c r="L374" s="1"/>
      <c r="M374" s="347"/>
      <c r="N374" s="347"/>
      <c r="O374" s="579"/>
      <c r="P374" s="579"/>
      <c r="Q374" s="574"/>
      <c r="R374" s="347"/>
      <c r="S374" s="597"/>
      <c r="T374" s="347"/>
      <c r="U374" s="579"/>
      <c r="V374" s="579"/>
      <c r="W374" s="574"/>
      <c r="X374" s="347"/>
      <c r="Y374" s="347"/>
      <c r="Z374" s="347"/>
      <c r="AA374" s="579"/>
      <c r="AB374" s="581"/>
      <c r="AC374" s="347"/>
      <c r="AD374" s="347"/>
      <c r="AE374" s="347"/>
      <c r="AF374" s="347"/>
      <c r="AG374" s="579"/>
      <c r="AH374" s="579"/>
      <c r="AI374" s="582"/>
      <c r="AJ374" s="582"/>
      <c r="AK374" s="582"/>
      <c r="AL374" s="582"/>
      <c r="AM374" s="579"/>
      <c r="AN374" s="579"/>
      <c r="AO374" s="347"/>
      <c r="AP374" s="586"/>
      <c r="AQ374" s="596"/>
      <c r="AR374" s="596"/>
      <c r="AS374" s="348"/>
      <c r="AT374" s="348"/>
      <c r="AU374" s="348"/>
      <c r="AV374" s="348"/>
      <c r="AW374" s="348"/>
      <c r="AX374" s="584"/>
      <c r="AY374" s="581"/>
      <c r="AZ374" s="581"/>
      <c r="BA374" s="596"/>
      <c r="BB374" s="596"/>
      <c r="BC374" s="348"/>
      <c r="BD374" s="581"/>
      <c r="BE374" s="581"/>
      <c r="BF374" s="347"/>
      <c r="BG374" s="347"/>
      <c r="BH374" s="347"/>
      <c r="BI374" s="347"/>
      <c r="BJ374" s="586"/>
      <c r="BK374" s="581"/>
      <c r="BL374" s="347"/>
      <c r="BM374" s="347"/>
      <c r="BN374" s="347"/>
      <c r="BO374" s="586"/>
      <c r="BP374" s="584"/>
      <c r="BQ374" s="347"/>
      <c r="BR374" s="586"/>
      <c r="BS374" s="588"/>
      <c r="BT374" s="586"/>
      <c r="BU374" s="589"/>
      <c r="BV374" s="581">
        <f t="shared" si="44"/>
        <v>0</v>
      </c>
      <c r="BW374" s="590"/>
      <c r="BX374" s="347"/>
      <c r="BY374" s="347"/>
      <c r="BZ374" s="347"/>
      <c r="CA374" s="586"/>
      <c r="CB374" s="581"/>
      <c r="CC374" s="581">
        <f t="shared" si="193"/>
        <v>0</v>
      </c>
      <c r="CD374" s="581"/>
      <c r="CE374" s="581"/>
      <c r="CF374" s="581"/>
      <c r="CG374" s="586"/>
      <c r="CH374" s="608"/>
      <c r="CI374" s="603"/>
      <c r="CJ374" s="347"/>
      <c r="CK374" s="347"/>
      <c r="CL374" s="347"/>
      <c r="CM374" s="347"/>
      <c r="CN374" s="347"/>
      <c r="CO374" s="347"/>
      <c r="CP374" s="347"/>
    </row>
    <row r="375">
      <c r="A375" s="574"/>
      <c r="B375" s="574"/>
      <c r="C375" s="347"/>
      <c r="D375" s="574"/>
      <c r="E375" s="347"/>
      <c r="F375" s="596"/>
      <c r="G375" s="596"/>
      <c r="H375" s="347"/>
      <c r="I375" s="347"/>
      <c r="J375" s="596"/>
      <c r="K375" s="609"/>
      <c r="L375" s="1"/>
      <c r="M375" s="347"/>
      <c r="N375" s="347"/>
      <c r="O375" s="579"/>
      <c r="P375" s="579"/>
      <c r="Q375" s="574"/>
      <c r="R375" s="347"/>
      <c r="S375" s="597"/>
      <c r="T375" s="347"/>
      <c r="U375" s="579"/>
      <c r="V375" s="579"/>
      <c r="W375" s="574"/>
      <c r="X375" s="347"/>
      <c r="Y375" s="347"/>
      <c r="Z375" s="347"/>
      <c r="AA375" s="579"/>
      <c r="AB375" s="581"/>
      <c r="AC375" s="347"/>
      <c r="AD375" s="347"/>
      <c r="AE375" s="347"/>
      <c r="AF375" s="347"/>
      <c r="AG375" s="579"/>
      <c r="AH375" s="579"/>
      <c r="AI375" s="582"/>
      <c r="AJ375" s="582"/>
      <c r="AK375" s="582"/>
      <c r="AL375" s="582"/>
      <c r="AM375" s="579"/>
      <c r="AN375" s="579"/>
      <c r="AO375" s="347"/>
      <c r="AP375" s="586"/>
      <c r="AQ375" s="596"/>
      <c r="AR375" s="596"/>
      <c r="AS375" s="348"/>
      <c r="AT375" s="348"/>
      <c r="AU375" s="348"/>
      <c r="AV375" s="348"/>
      <c r="AW375" s="348"/>
      <c r="AX375" s="584"/>
      <c r="AY375" s="581"/>
      <c r="AZ375" s="581"/>
      <c r="BA375" s="596"/>
      <c r="BB375" s="596"/>
      <c r="BC375" s="348"/>
      <c r="BD375" s="581"/>
      <c r="BE375" s="581"/>
      <c r="BF375" s="347"/>
      <c r="BG375" s="347"/>
      <c r="BH375" s="347"/>
      <c r="BI375" s="347"/>
      <c r="BJ375" s="586"/>
      <c r="BK375" s="581"/>
      <c r="BL375" s="347"/>
      <c r="BM375" s="347"/>
      <c r="BN375" s="347"/>
      <c r="BO375" s="586"/>
      <c r="BP375" s="584"/>
      <c r="BQ375" s="347"/>
      <c r="BR375" s="586"/>
      <c r="BS375" s="588"/>
      <c r="BT375" s="586"/>
      <c r="BU375" s="589"/>
      <c r="BV375" s="581">
        <f t="shared" si="44"/>
        <v>0</v>
      </c>
      <c r="BW375" s="590"/>
      <c r="BX375" s="347"/>
      <c r="BY375" s="347"/>
      <c r="BZ375" s="347"/>
      <c r="CA375" s="586"/>
      <c r="CB375" s="581"/>
      <c r="CC375" s="581">
        <f t="shared" si="193"/>
        <v>0</v>
      </c>
      <c r="CD375" s="581"/>
      <c r="CE375" s="581"/>
      <c r="CF375" s="581"/>
      <c r="CG375" s="586"/>
      <c r="CH375" s="608"/>
      <c r="CI375" s="603"/>
      <c r="CJ375" s="347"/>
      <c r="CK375" s="347"/>
      <c r="CL375" s="347"/>
      <c r="CM375" s="347"/>
      <c r="CN375" s="347"/>
      <c r="CO375" s="347"/>
      <c r="CP375" s="347"/>
    </row>
    <row r="376">
      <c r="A376" s="574"/>
      <c r="B376" s="574"/>
      <c r="C376" s="347"/>
      <c r="D376" s="574"/>
      <c r="E376" s="347"/>
      <c r="F376" s="596"/>
      <c r="G376" s="596"/>
      <c r="H376" s="347"/>
      <c r="I376" s="347"/>
      <c r="J376" s="596"/>
      <c r="K376" s="609"/>
      <c r="L376" s="1"/>
      <c r="M376" s="347"/>
      <c r="N376" s="347"/>
      <c r="O376" s="579"/>
      <c r="P376" s="579"/>
      <c r="Q376" s="574"/>
      <c r="R376" s="347"/>
      <c r="S376" s="597"/>
      <c r="T376" s="347"/>
      <c r="U376" s="579"/>
      <c r="V376" s="579"/>
      <c r="W376" s="574"/>
      <c r="X376" s="347"/>
      <c r="Y376" s="347"/>
      <c r="Z376" s="347"/>
      <c r="AA376" s="579"/>
      <c r="AB376" s="581"/>
      <c r="AC376" s="347"/>
      <c r="AD376" s="347"/>
      <c r="AE376" s="347"/>
      <c r="AF376" s="347"/>
      <c r="AG376" s="579"/>
      <c r="AH376" s="579"/>
      <c r="AI376" s="582"/>
      <c r="AJ376" s="582"/>
      <c r="AK376" s="582"/>
      <c r="AL376" s="582"/>
      <c r="AM376" s="579"/>
      <c r="AN376" s="579"/>
      <c r="AO376" s="347"/>
      <c r="AP376" s="586"/>
      <c r="AQ376" s="596"/>
      <c r="AR376" s="596"/>
      <c r="AS376" s="348"/>
      <c r="AT376" s="348"/>
      <c r="AU376" s="348"/>
      <c r="AV376" s="348"/>
      <c r="AW376" s="348"/>
      <c r="AX376" s="584"/>
      <c r="AY376" s="581"/>
      <c r="AZ376" s="581"/>
      <c r="BA376" s="596"/>
      <c r="BB376" s="596"/>
      <c r="BC376" s="348"/>
      <c r="BD376" s="581"/>
      <c r="BE376" s="581"/>
      <c r="BF376" s="347"/>
      <c r="BG376" s="347"/>
      <c r="BH376" s="347"/>
      <c r="BI376" s="347"/>
      <c r="BJ376" s="586"/>
      <c r="BK376" s="581"/>
      <c r="BL376" s="347"/>
      <c r="BM376" s="347"/>
      <c r="BN376" s="347"/>
      <c r="BO376" s="586"/>
      <c r="BP376" s="584"/>
      <c r="BQ376" s="347"/>
      <c r="BR376" s="586"/>
      <c r="BS376" s="588"/>
      <c r="BT376" s="586"/>
      <c r="BU376" s="589"/>
      <c r="BV376" s="581">
        <f t="shared" si="44"/>
        <v>0</v>
      </c>
      <c r="BW376" s="590"/>
      <c r="BX376" s="347"/>
      <c r="BY376" s="347"/>
      <c r="BZ376" s="347"/>
      <c r="CA376" s="586"/>
      <c r="CB376" s="581"/>
      <c r="CC376" s="581">
        <f t="shared" si="193"/>
        <v>0</v>
      </c>
      <c r="CD376" s="581"/>
      <c r="CE376" s="581"/>
      <c r="CF376" s="581"/>
      <c r="CG376" s="586"/>
      <c r="CH376" s="608"/>
      <c r="CI376" s="603"/>
      <c r="CJ376" s="347"/>
      <c r="CK376" s="347"/>
      <c r="CL376" s="347"/>
      <c r="CM376" s="347"/>
      <c r="CN376" s="347"/>
      <c r="CO376" s="347"/>
      <c r="CP376" s="347"/>
    </row>
    <row r="377">
      <c r="A377" s="574"/>
      <c r="B377" s="574"/>
      <c r="C377" s="347"/>
      <c r="D377" s="574"/>
      <c r="E377" s="347"/>
      <c r="F377" s="596"/>
      <c r="G377" s="596"/>
      <c r="H377" s="347"/>
      <c r="I377" s="347"/>
      <c r="J377" s="596"/>
      <c r="K377" s="609"/>
      <c r="L377" s="1"/>
      <c r="M377" s="347"/>
      <c r="N377" s="347"/>
      <c r="O377" s="579"/>
      <c r="P377" s="579"/>
      <c r="Q377" s="574"/>
      <c r="R377" s="347"/>
      <c r="S377" s="597"/>
      <c r="T377" s="347"/>
      <c r="U377" s="579"/>
      <c r="V377" s="579"/>
      <c r="W377" s="574"/>
      <c r="X377" s="347"/>
      <c r="Y377" s="347"/>
      <c r="Z377" s="347"/>
      <c r="AA377" s="579"/>
      <c r="AB377" s="581"/>
      <c r="AC377" s="347"/>
      <c r="AD377" s="347"/>
      <c r="AE377" s="347"/>
      <c r="AF377" s="347"/>
      <c r="AG377" s="579"/>
      <c r="AH377" s="579"/>
      <c r="AI377" s="582"/>
      <c r="AJ377" s="582"/>
      <c r="AK377" s="582"/>
      <c r="AL377" s="582"/>
      <c r="AM377" s="579"/>
      <c r="AN377" s="579"/>
      <c r="AO377" s="347"/>
      <c r="AP377" s="586"/>
      <c r="AQ377" s="596"/>
      <c r="AR377" s="596"/>
      <c r="AS377" s="348"/>
      <c r="AT377" s="348"/>
      <c r="AU377" s="348"/>
      <c r="AV377" s="348"/>
      <c r="AW377" s="348"/>
      <c r="AX377" s="584"/>
      <c r="AY377" s="581"/>
      <c r="AZ377" s="581"/>
      <c r="BA377" s="596"/>
      <c r="BB377" s="596"/>
      <c r="BC377" s="348"/>
      <c r="BD377" s="581"/>
      <c r="BE377" s="581"/>
      <c r="BF377" s="347"/>
      <c r="BG377" s="347"/>
      <c r="BH377" s="347"/>
      <c r="BI377" s="347"/>
      <c r="BJ377" s="586"/>
      <c r="BK377" s="581"/>
      <c r="BL377" s="347"/>
      <c r="BM377" s="347"/>
      <c r="BN377" s="347"/>
      <c r="BO377" s="586"/>
      <c r="BP377" s="584"/>
      <c r="BQ377" s="347"/>
      <c r="BR377" s="586"/>
      <c r="BS377" s="588"/>
      <c r="BT377" s="586"/>
      <c r="BU377" s="589"/>
      <c r="BV377" s="581">
        <f t="shared" si="44"/>
        <v>0</v>
      </c>
      <c r="BW377" s="590"/>
      <c r="BX377" s="347"/>
      <c r="BY377" s="347"/>
      <c r="BZ377" s="347"/>
      <c r="CA377" s="586"/>
      <c r="CB377" s="581"/>
      <c r="CC377" s="581">
        <f t="shared" si="193"/>
        <v>0</v>
      </c>
      <c r="CD377" s="581"/>
      <c r="CE377" s="581"/>
      <c r="CF377" s="581"/>
      <c r="CG377" s="586"/>
      <c r="CH377" s="608"/>
      <c r="CI377" s="603"/>
      <c r="CJ377" s="347"/>
      <c r="CK377" s="347"/>
      <c r="CL377" s="347"/>
      <c r="CM377" s="347"/>
      <c r="CN377" s="347"/>
      <c r="CO377" s="347"/>
      <c r="CP377" s="347"/>
    </row>
    <row r="378">
      <c r="A378" s="574"/>
      <c r="B378" s="574"/>
      <c r="C378" s="347"/>
      <c r="D378" s="574"/>
      <c r="E378" s="347"/>
      <c r="F378" s="596"/>
      <c r="G378" s="596"/>
      <c r="H378" s="347"/>
      <c r="I378" s="347"/>
      <c r="J378" s="596"/>
      <c r="K378" s="609"/>
      <c r="L378" s="1"/>
      <c r="M378" s="347"/>
      <c r="N378" s="347"/>
      <c r="O378" s="579"/>
      <c r="P378" s="579"/>
      <c r="Q378" s="574"/>
      <c r="R378" s="347"/>
      <c r="S378" s="597"/>
      <c r="T378" s="347"/>
      <c r="U378" s="579"/>
      <c r="V378" s="579"/>
      <c r="W378" s="574"/>
      <c r="X378" s="347"/>
      <c r="Y378" s="347"/>
      <c r="Z378" s="347"/>
      <c r="AA378" s="579"/>
      <c r="AB378" s="581"/>
      <c r="AC378" s="347"/>
      <c r="AD378" s="347"/>
      <c r="AE378" s="347"/>
      <c r="AF378" s="347"/>
      <c r="AG378" s="579"/>
      <c r="AH378" s="579"/>
      <c r="AI378" s="582"/>
      <c r="AJ378" s="582"/>
      <c r="AK378" s="582"/>
      <c r="AL378" s="582"/>
      <c r="AM378" s="579"/>
      <c r="AN378" s="579"/>
      <c r="AO378" s="347"/>
      <c r="AP378" s="586"/>
      <c r="AQ378" s="596"/>
      <c r="AR378" s="596"/>
      <c r="AS378" s="348"/>
      <c r="AT378" s="348"/>
      <c r="AU378" s="348"/>
      <c r="AV378" s="348"/>
      <c r="AW378" s="348"/>
      <c r="AX378" s="584"/>
      <c r="AY378" s="581"/>
      <c r="AZ378" s="581"/>
      <c r="BA378" s="596"/>
      <c r="BB378" s="596"/>
      <c r="BC378" s="348"/>
      <c r="BD378" s="581"/>
      <c r="BE378" s="581"/>
      <c r="BF378" s="347"/>
      <c r="BG378" s="347"/>
      <c r="BH378" s="347"/>
      <c r="BI378" s="347"/>
      <c r="BJ378" s="586"/>
      <c r="BK378" s="581"/>
      <c r="BL378" s="347"/>
      <c r="BM378" s="347"/>
      <c r="BN378" s="347"/>
      <c r="BO378" s="586"/>
      <c r="BP378" s="584"/>
      <c r="BQ378" s="347"/>
      <c r="BR378" s="586"/>
      <c r="BS378" s="588"/>
      <c r="BT378" s="586"/>
      <c r="BU378" s="589"/>
      <c r="BV378" s="581">
        <f t="shared" si="44"/>
        <v>0</v>
      </c>
      <c r="BW378" s="590"/>
      <c r="BX378" s="347"/>
      <c r="BY378" s="347"/>
      <c r="BZ378" s="347"/>
      <c r="CA378" s="586"/>
      <c r="CB378" s="581"/>
      <c r="CC378" s="581">
        <f t="shared" si="193"/>
        <v>0</v>
      </c>
      <c r="CD378" s="581"/>
      <c r="CE378" s="581"/>
      <c r="CF378" s="581"/>
      <c r="CG378" s="586"/>
      <c r="CH378" s="608"/>
      <c r="CI378" s="603"/>
      <c r="CJ378" s="347"/>
      <c r="CK378" s="347"/>
      <c r="CL378" s="347"/>
      <c r="CM378" s="347"/>
      <c r="CN378" s="347"/>
      <c r="CO378" s="347"/>
      <c r="CP378" s="347"/>
    </row>
    <row r="379">
      <c r="A379" s="574"/>
      <c r="B379" s="574"/>
      <c r="C379" s="347"/>
      <c r="D379" s="574"/>
      <c r="E379" s="347"/>
      <c r="F379" s="596"/>
      <c r="G379" s="596"/>
      <c r="H379" s="347"/>
      <c r="I379" s="347"/>
      <c r="J379" s="596"/>
      <c r="K379" s="609"/>
      <c r="L379" s="1"/>
      <c r="M379" s="347"/>
      <c r="N379" s="347"/>
      <c r="O379" s="579"/>
      <c r="P379" s="579"/>
      <c r="Q379" s="574"/>
      <c r="R379" s="347"/>
      <c r="S379" s="597"/>
      <c r="T379" s="347"/>
      <c r="U379" s="579"/>
      <c r="V379" s="579"/>
      <c r="W379" s="574"/>
      <c r="X379" s="347"/>
      <c r="Y379" s="347"/>
      <c r="Z379" s="347"/>
      <c r="AA379" s="579"/>
      <c r="AB379" s="581"/>
      <c r="AC379" s="347"/>
      <c r="AD379" s="347"/>
      <c r="AE379" s="347"/>
      <c r="AF379" s="347"/>
      <c r="AG379" s="579"/>
      <c r="AH379" s="579"/>
      <c r="AI379" s="582"/>
      <c r="AJ379" s="582"/>
      <c r="AK379" s="582"/>
      <c r="AL379" s="582"/>
      <c r="AM379" s="579"/>
      <c r="AN379" s="579"/>
      <c r="AO379" s="347"/>
      <c r="AP379" s="586"/>
      <c r="AQ379" s="596"/>
      <c r="AR379" s="596"/>
      <c r="AS379" s="348"/>
      <c r="AT379" s="348"/>
      <c r="AU379" s="348"/>
      <c r="AV379" s="348"/>
      <c r="AW379" s="348"/>
      <c r="AX379" s="584"/>
      <c r="AY379" s="581"/>
      <c r="AZ379" s="581"/>
      <c r="BA379" s="596"/>
      <c r="BB379" s="596"/>
      <c r="BC379" s="348"/>
      <c r="BD379" s="581"/>
      <c r="BE379" s="581"/>
      <c r="BF379" s="347"/>
      <c r="BG379" s="347"/>
      <c r="BH379" s="347"/>
      <c r="BI379" s="347"/>
      <c r="BJ379" s="586"/>
      <c r="BK379" s="581"/>
      <c r="BL379" s="347"/>
      <c r="BM379" s="347"/>
      <c r="BN379" s="347"/>
      <c r="BO379" s="586"/>
      <c r="BP379" s="584"/>
      <c r="BQ379" s="347"/>
      <c r="BR379" s="586"/>
      <c r="BS379" s="588"/>
      <c r="BT379" s="586"/>
      <c r="BU379" s="589"/>
      <c r="BV379" s="581">
        <f t="shared" si="44"/>
        <v>0</v>
      </c>
      <c r="BW379" s="590"/>
      <c r="BX379" s="347"/>
      <c r="BY379" s="347"/>
      <c r="BZ379" s="347"/>
      <c r="CA379" s="586"/>
      <c r="CB379" s="581"/>
      <c r="CC379" s="581">
        <f t="shared" si="193"/>
        <v>0</v>
      </c>
      <c r="CD379" s="581"/>
      <c r="CE379" s="581"/>
      <c r="CF379" s="581"/>
      <c r="CG379" s="586"/>
      <c r="CH379" s="608"/>
      <c r="CI379" s="603"/>
      <c r="CJ379" s="347"/>
      <c r="CK379" s="347"/>
      <c r="CL379" s="347"/>
      <c r="CM379" s="347"/>
      <c r="CN379" s="347"/>
      <c r="CO379" s="347"/>
      <c r="CP379" s="347"/>
    </row>
    <row r="380">
      <c r="A380" s="574"/>
      <c r="B380" s="574"/>
      <c r="C380" s="347"/>
      <c r="D380" s="574"/>
      <c r="E380" s="347"/>
      <c r="F380" s="596"/>
      <c r="G380" s="596"/>
      <c r="H380" s="347"/>
      <c r="I380" s="347"/>
      <c r="J380" s="596"/>
      <c r="K380" s="609"/>
      <c r="L380" s="1"/>
      <c r="M380" s="347"/>
      <c r="N380" s="347"/>
      <c r="O380" s="579"/>
      <c r="P380" s="579"/>
      <c r="Q380" s="574"/>
      <c r="R380" s="347"/>
      <c r="S380" s="597"/>
      <c r="T380" s="347"/>
      <c r="U380" s="579"/>
      <c r="V380" s="579"/>
      <c r="W380" s="574"/>
      <c r="X380" s="347"/>
      <c r="Y380" s="347"/>
      <c r="Z380" s="347"/>
      <c r="AA380" s="579"/>
      <c r="AB380" s="581"/>
      <c r="AC380" s="347"/>
      <c r="AD380" s="347"/>
      <c r="AE380" s="347"/>
      <c r="AF380" s="347"/>
      <c r="AG380" s="579"/>
      <c r="AH380" s="579"/>
      <c r="AI380" s="582"/>
      <c r="AJ380" s="582"/>
      <c r="AK380" s="582"/>
      <c r="AL380" s="582"/>
      <c r="AM380" s="579"/>
      <c r="AN380" s="579"/>
      <c r="AO380" s="347"/>
      <c r="AP380" s="586"/>
      <c r="AQ380" s="596"/>
      <c r="AR380" s="596"/>
      <c r="AS380" s="348"/>
      <c r="AT380" s="348"/>
      <c r="AU380" s="348"/>
      <c r="AV380" s="348"/>
      <c r="AW380" s="348"/>
      <c r="AX380" s="584"/>
      <c r="AY380" s="581"/>
      <c r="AZ380" s="581"/>
      <c r="BA380" s="596"/>
      <c r="BB380" s="596"/>
      <c r="BC380" s="348"/>
      <c r="BD380" s="581"/>
      <c r="BE380" s="581"/>
      <c r="BF380" s="347"/>
      <c r="BG380" s="347"/>
      <c r="BH380" s="347"/>
      <c r="BI380" s="347"/>
      <c r="BJ380" s="586"/>
      <c r="BK380" s="581"/>
      <c r="BL380" s="347"/>
      <c r="BM380" s="347"/>
      <c r="BN380" s="347"/>
      <c r="BO380" s="586"/>
      <c r="BP380" s="584"/>
      <c r="BQ380" s="347"/>
      <c r="BR380" s="586"/>
      <c r="BS380" s="588"/>
      <c r="BT380" s="586"/>
      <c r="BU380" s="589"/>
      <c r="BV380" s="581">
        <f t="shared" si="44"/>
        <v>0</v>
      </c>
      <c r="BW380" s="590"/>
      <c r="BX380" s="347"/>
      <c r="BY380" s="347"/>
      <c r="BZ380" s="347"/>
      <c r="CA380" s="586"/>
      <c r="CB380" s="581"/>
      <c r="CC380" s="581">
        <f t="shared" si="193"/>
        <v>0</v>
      </c>
      <c r="CD380" s="581"/>
      <c r="CE380" s="581"/>
      <c r="CF380" s="581"/>
      <c r="CG380" s="586"/>
      <c r="CH380" s="608"/>
      <c r="CI380" s="603"/>
      <c r="CJ380" s="347"/>
      <c r="CK380" s="347"/>
      <c r="CL380" s="347"/>
      <c r="CM380" s="347"/>
      <c r="CN380" s="347"/>
      <c r="CO380" s="347"/>
      <c r="CP380" s="347"/>
    </row>
    <row r="381">
      <c r="A381" s="574"/>
      <c r="B381" s="574"/>
      <c r="C381" s="347"/>
      <c r="D381" s="574"/>
      <c r="E381" s="347"/>
      <c r="F381" s="596"/>
      <c r="G381" s="596"/>
      <c r="H381" s="347"/>
      <c r="I381" s="347"/>
      <c r="J381" s="596"/>
      <c r="K381" s="609"/>
      <c r="L381" s="1"/>
      <c r="M381" s="347"/>
      <c r="N381" s="347"/>
      <c r="O381" s="579"/>
      <c r="P381" s="579"/>
      <c r="Q381" s="574"/>
      <c r="R381" s="347"/>
      <c r="S381" s="597"/>
      <c r="T381" s="347"/>
      <c r="U381" s="579"/>
      <c r="V381" s="579"/>
      <c r="W381" s="574"/>
      <c r="X381" s="347"/>
      <c r="Y381" s="347"/>
      <c r="Z381" s="347"/>
      <c r="AA381" s="579"/>
      <c r="AB381" s="581"/>
      <c r="AC381" s="347"/>
      <c r="AD381" s="347"/>
      <c r="AE381" s="347"/>
      <c r="AF381" s="347"/>
      <c r="AG381" s="579"/>
      <c r="AH381" s="579"/>
      <c r="AI381" s="582"/>
      <c r="AJ381" s="582"/>
      <c r="AK381" s="582"/>
      <c r="AL381" s="582"/>
      <c r="AM381" s="579"/>
      <c r="AN381" s="579"/>
      <c r="AO381" s="347"/>
      <c r="AP381" s="586"/>
      <c r="AQ381" s="596"/>
      <c r="AR381" s="596"/>
      <c r="AS381" s="348"/>
      <c r="AT381" s="348"/>
      <c r="AU381" s="348"/>
      <c r="AV381" s="348"/>
      <c r="AW381" s="348"/>
      <c r="AX381" s="584"/>
      <c r="AY381" s="581"/>
      <c r="AZ381" s="581"/>
      <c r="BA381" s="596"/>
      <c r="BB381" s="596"/>
      <c r="BC381" s="348"/>
      <c r="BD381" s="581"/>
      <c r="BE381" s="581"/>
      <c r="BF381" s="347"/>
      <c r="BG381" s="347"/>
      <c r="BH381" s="347"/>
      <c r="BI381" s="347"/>
      <c r="BJ381" s="586"/>
      <c r="BK381" s="581"/>
      <c r="BL381" s="347"/>
      <c r="BM381" s="347"/>
      <c r="BN381" s="347"/>
      <c r="BO381" s="586"/>
      <c r="BP381" s="584"/>
      <c r="BQ381" s="347"/>
      <c r="BR381" s="586"/>
      <c r="BS381" s="588"/>
      <c r="BT381" s="586"/>
      <c r="BU381" s="589"/>
      <c r="BV381" s="581">
        <f t="shared" si="44"/>
        <v>0</v>
      </c>
      <c r="BW381" s="590"/>
      <c r="BX381" s="347"/>
      <c r="BY381" s="347"/>
      <c r="BZ381" s="347"/>
      <c r="CA381" s="586"/>
      <c r="CB381" s="581"/>
      <c r="CC381" s="581">
        <f t="shared" si="193"/>
        <v>0</v>
      </c>
      <c r="CD381" s="581"/>
      <c r="CE381" s="581"/>
      <c r="CF381" s="581"/>
      <c r="CG381" s="586"/>
      <c r="CH381" s="608"/>
      <c r="CI381" s="603"/>
      <c r="CJ381" s="347"/>
      <c r="CK381" s="347"/>
      <c r="CL381" s="347"/>
      <c r="CM381" s="347"/>
      <c r="CN381" s="347"/>
      <c r="CO381" s="347"/>
      <c r="CP381" s="347"/>
    </row>
    <row r="382">
      <c r="A382" s="574"/>
      <c r="B382" s="574"/>
      <c r="C382" s="347"/>
      <c r="D382" s="574"/>
      <c r="E382" s="347"/>
      <c r="F382" s="596"/>
      <c r="G382" s="596"/>
      <c r="H382" s="347"/>
      <c r="I382" s="347"/>
      <c r="J382" s="596"/>
      <c r="K382" s="609"/>
      <c r="L382" s="1"/>
      <c r="M382" s="347"/>
      <c r="N382" s="347"/>
      <c r="O382" s="579"/>
      <c r="P382" s="579"/>
      <c r="Q382" s="574"/>
      <c r="R382" s="347"/>
      <c r="S382" s="597"/>
      <c r="T382" s="347"/>
      <c r="U382" s="579"/>
      <c r="V382" s="579"/>
      <c r="W382" s="574"/>
      <c r="X382" s="347"/>
      <c r="Y382" s="347"/>
      <c r="Z382" s="347"/>
      <c r="AA382" s="579"/>
      <c r="AB382" s="581"/>
      <c r="AC382" s="347"/>
      <c r="AD382" s="347"/>
      <c r="AE382" s="347"/>
      <c r="AF382" s="347"/>
      <c r="AG382" s="579"/>
      <c r="AH382" s="579"/>
      <c r="AI382" s="582"/>
      <c r="AJ382" s="582"/>
      <c r="AK382" s="582"/>
      <c r="AL382" s="582"/>
      <c r="AM382" s="579"/>
      <c r="AN382" s="579"/>
      <c r="AO382" s="347"/>
      <c r="AP382" s="586"/>
      <c r="AQ382" s="596"/>
      <c r="AR382" s="596"/>
      <c r="AS382" s="348"/>
      <c r="AT382" s="348"/>
      <c r="AU382" s="348"/>
      <c r="AV382" s="348"/>
      <c r="AW382" s="348"/>
      <c r="AX382" s="584"/>
      <c r="AY382" s="581"/>
      <c r="AZ382" s="581"/>
      <c r="BA382" s="596"/>
      <c r="BB382" s="596"/>
      <c r="BC382" s="348"/>
      <c r="BD382" s="581"/>
      <c r="BE382" s="581"/>
      <c r="BF382" s="347"/>
      <c r="BG382" s="347"/>
      <c r="BH382" s="347"/>
      <c r="BI382" s="347"/>
      <c r="BJ382" s="586"/>
      <c r="BK382" s="581"/>
      <c r="BL382" s="347"/>
      <c r="BM382" s="347"/>
      <c r="BN382" s="347"/>
      <c r="BO382" s="586"/>
      <c r="BP382" s="584"/>
      <c r="BQ382" s="347"/>
      <c r="BR382" s="586"/>
      <c r="BS382" s="588"/>
      <c r="BT382" s="586"/>
      <c r="BU382" s="589"/>
      <c r="BV382" s="581">
        <f t="shared" si="44"/>
        <v>0</v>
      </c>
      <c r="BW382" s="590"/>
      <c r="BX382" s="347"/>
      <c r="BY382" s="347"/>
      <c r="BZ382" s="347"/>
      <c r="CA382" s="586"/>
      <c r="CB382" s="581"/>
      <c r="CC382" s="581">
        <f t="shared" si="193"/>
        <v>0</v>
      </c>
      <c r="CD382" s="581"/>
      <c r="CE382" s="581"/>
      <c r="CF382" s="581"/>
      <c r="CG382" s="586"/>
      <c r="CH382" s="608"/>
      <c r="CI382" s="603"/>
      <c r="CJ382" s="347"/>
      <c r="CK382" s="347"/>
      <c r="CL382" s="347"/>
      <c r="CM382" s="347"/>
      <c r="CN382" s="347"/>
      <c r="CO382" s="347"/>
      <c r="CP382" s="347"/>
    </row>
    <row r="383">
      <c r="A383" s="574"/>
      <c r="B383" s="574"/>
      <c r="C383" s="347"/>
      <c r="D383" s="574"/>
      <c r="E383" s="347"/>
      <c r="F383" s="596"/>
      <c r="G383" s="596"/>
      <c r="H383" s="347"/>
      <c r="I383" s="347"/>
      <c r="J383" s="596"/>
      <c r="K383" s="609"/>
      <c r="L383" s="1"/>
      <c r="M383" s="347"/>
      <c r="N383" s="347"/>
      <c r="O383" s="579"/>
      <c r="P383" s="579"/>
      <c r="Q383" s="574"/>
      <c r="R383" s="347"/>
      <c r="S383" s="597"/>
      <c r="T383" s="347"/>
      <c r="U383" s="579"/>
      <c r="V383" s="579"/>
      <c r="W383" s="574"/>
      <c r="X383" s="347"/>
      <c r="Y383" s="347"/>
      <c r="Z383" s="347"/>
      <c r="AA383" s="579"/>
      <c r="AB383" s="581"/>
      <c r="AC383" s="347"/>
      <c r="AD383" s="347"/>
      <c r="AE383" s="347"/>
      <c r="AF383" s="347"/>
      <c r="AG383" s="579"/>
      <c r="AH383" s="579"/>
      <c r="AI383" s="582"/>
      <c r="AJ383" s="582"/>
      <c r="AK383" s="582"/>
      <c r="AL383" s="582"/>
      <c r="AM383" s="579"/>
      <c r="AN383" s="579"/>
      <c r="AO383" s="347"/>
      <c r="AP383" s="586"/>
      <c r="AQ383" s="596"/>
      <c r="AR383" s="596"/>
      <c r="AS383" s="348"/>
      <c r="AT383" s="348"/>
      <c r="AU383" s="348"/>
      <c r="AV383" s="348"/>
      <c r="AW383" s="348"/>
      <c r="AX383" s="584"/>
      <c r="AY383" s="581"/>
      <c r="AZ383" s="581"/>
      <c r="BA383" s="596"/>
      <c r="BB383" s="596"/>
      <c r="BC383" s="348"/>
      <c r="BD383" s="581"/>
      <c r="BE383" s="581"/>
      <c r="BF383" s="347"/>
      <c r="BG383" s="347"/>
      <c r="BH383" s="347"/>
      <c r="BI383" s="347"/>
      <c r="BJ383" s="586"/>
      <c r="BK383" s="581"/>
      <c r="BL383" s="347"/>
      <c r="BM383" s="347"/>
      <c r="BN383" s="347"/>
      <c r="BO383" s="586"/>
      <c r="BP383" s="584"/>
      <c r="BQ383" s="347"/>
      <c r="BR383" s="586"/>
      <c r="BS383" s="588"/>
      <c r="BT383" s="586"/>
      <c r="BU383" s="589"/>
      <c r="BV383" s="581">
        <f t="shared" si="44"/>
        <v>0</v>
      </c>
      <c r="BW383" s="590"/>
      <c r="BX383" s="347"/>
      <c r="BY383" s="347"/>
      <c r="BZ383" s="347"/>
      <c r="CA383" s="586"/>
      <c r="CB383" s="581"/>
      <c r="CC383" s="581">
        <f t="shared" si="193"/>
        <v>0</v>
      </c>
      <c r="CD383" s="581"/>
      <c r="CE383" s="581"/>
      <c r="CF383" s="581"/>
      <c r="CG383" s="586"/>
      <c r="CH383" s="608"/>
      <c r="CI383" s="603"/>
      <c r="CJ383" s="347"/>
      <c r="CK383" s="347"/>
      <c r="CL383" s="347"/>
      <c r="CM383" s="347"/>
      <c r="CN383" s="347"/>
      <c r="CO383" s="347"/>
      <c r="CP383" s="347"/>
    </row>
    <row r="384">
      <c r="A384" s="574"/>
      <c r="B384" s="574"/>
      <c r="C384" s="347"/>
      <c r="D384" s="574"/>
      <c r="E384" s="347"/>
      <c r="F384" s="596"/>
      <c r="G384" s="596"/>
      <c r="H384" s="347"/>
      <c r="I384" s="347"/>
      <c r="J384" s="596"/>
      <c r="K384" s="609"/>
      <c r="L384" s="1"/>
      <c r="M384" s="347"/>
      <c r="N384" s="347"/>
      <c r="O384" s="579"/>
      <c r="P384" s="579"/>
      <c r="Q384" s="574"/>
      <c r="R384" s="347"/>
      <c r="S384" s="597"/>
      <c r="T384" s="347"/>
      <c r="U384" s="579"/>
      <c r="V384" s="579"/>
      <c r="W384" s="574"/>
      <c r="X384" s="347"/>
      <c r="Y384" s="347"/>
      <c r="Z384" s="347"/>
      <c r="AA384" s="579"/>
      <c r="AB384" s="581"/>
      <c r="AC384" s="347"/>
      <c r="AD384" s="347"/>
      <c r="AE384" s="347"/>
      <c r="AF384" s="347"/>
      <c r="AG384" s="579"/>
      <c r="AH384" s="579"/>
      <c r="AI384" s="582"/>
      <c r="AJ384" s="582"/>
      <c r="AK384" s="582"/>
      <c r="AL384" s="582"/>
      <c r="AM384" s="579"/>
      <c r="AN384" s="579"/>
      <c r="AO384" s="347"/>
      <c r="AP384" s="586"/>
      <c r="AQ384" s="596"/>
      <c r="AR384" s="596"/>
      <c r="AS384" s="348"/>
      <c r="AT384" s="348"/>
      <c r="AU384" s="348"/>
      <c r="AV384" s="348"/>
      <c r="AW384" s="348"/>
      <c r="AX384" s="584"/>
      <c r="AY384" s="581"/>
      <c r="AZ384" s="581"/>
      <c r="BA384" s="596"/>
      <c r="BB384" s="596"/>
      <c r="BC384" s="348"/>
      <c r="BD384" s="581"/>
      <c r="BE384" s="581"/>
      <c r="BF384" s="347"/>
      <c r="BG384" s="347"/>
      <c r="BH384" s="347"/>
      <c r="BI384" s="347"/>
      <c r="BJ384" s="586"/>
      <c r="BK384" s="581"/>
      <c r="BL384" s="347"/>
      <c r="BM384" s="347"/>
      <c r="BN384" s="347"/>
      <c r="BO384" s="586"/>
      <c r="BP384" s="584"/>
      <c r="BQ384" s="347"/>
      <c r="BR384" s="586"/>
      <c r="BS384" s="588"/>
      <c r="BT384" s="586"/>
      <c r="BU384" s="589"/>
      <c r="BV384" s="581">
        <f t="shared" si="44"/>
        <v>0</v>
      </c>
      <c r="BW384" s="590"/>
      <c r="BX384" s="347"/>
      <c r="BY384" s="347"/>
      <c r="BZ384" s="347"/>
      <c r="CA384" s="586"/>
      <c r="CB384" s="581"/>
      <c r="CC384" s="581">
        <f t="shared" si="193"/>
        <v>0</v>
      </c>
      <c r="CD384" s="581"/>
      <c r="CE384" s="581"/>
      <c r="CF384" s="581"/>
      <c r="CG384" s="586"/>
      <c r="CH384" s="608"/>
      <c r="CI384" s="603"/>
      <c r="CJ384" s="347"/>
      <c r="CK384" s="347"/>
      <c r="CL384" s="347"/>
      <c r="CM384" s="347"/>
      <c r="CN384" s="347"/>
      <c r="CO384" s="347"/>
      <c r="CP384" s="347"/>
    </row>
    <row r="385">
      <c r="A385" s="574"/>
      <c r="B385" s="574"/>
      <c r="C385" s="347"/>
      <c r="D385" s="574"/>
      <c r="E385" s="347"/>
      <c r="F385" s="596"/>
      <c r="G385" s="596"/>
      <c r="H385" s="347"/>
      <c r="I385" s="347"/>
      <c r="J385" s="596"/>
      <c r="K385" s="609"/>
      <c r="L385" s="1"/>
      <c r="M385" s="347"/>
      <c r="N385" s="347"/>
      <c r="O385" s="579"/>
      <c r="P385" s="579"/>
      <c r="Q385" s="574"/>
      <c r="R385" s="347"/>
      <c r="S385" s="597"/>
      <c r="T385" s="347"/>
      <c r="U385" s="579"/>
      <c r="V385" s="579"/>
      <c r="W385" s="574"/>
      <c r="X385" s="347"/>
      <c r="Y385" s="347"/>
      <c r="Z385" s="347"/>
      <c r="AA385" s="579"/>
      <c r="AB385" s="581"/>
      <c r="AC385" s="347"/>
      <c r="AD385" s="347"/>
      <c r="AE385" s="347"/>
      <c r="AF385" s="347"/>
      <c r="AG385" s="579"/>
      <c r="AH385" s="579"/>
      <c r="AI385" s="582"/>
      <c r="AJ385" s="582"/>
      <c r="AK385" s="582"/>
      <c r="AL385" s="582"/>
      <c r="AM385" s="579"/>
      <c r="AN385" s="579"/>
      <c r="AO385" s="347"/>
      <c r="AP385" s="586"/>
      <c r="AQ385" s="596"/>
      <c r="AR385" s="596"/>
      <c r="AS385" s="348"/>
      <c r="AT385" s="348"/>
      <c r="AU385" s="348"/>
      <c r="AV385" s="348"/>
      <c r="AW385" s="348"/>
      <c r="AX385" s="584"/>
      <c r="AY385" s="581"/>
      <c r="AZ385" s="581"/>
      <c r="BA385" s="596"/>
      <c r="BB385" s="596"/>
      <c r="BC385" s="348"/>
      <c r="BD385" s="581"/>
      <c r="BE385" s="581"/>
      <c r="BF385" s="347"/>
      <c r="BG385" s="347"/>
      <c r="BH385" s="347"/>
      <c r="BI385" s="347"/>
      <c r="BJ385" s="586"/>
      <c r="BK385" s="581"/>
      <c r="BL385" s="347"/>
      <c r="BM385" s="347"/>
      <c r="BN385" s="347"/>
      <c r="BO385" s="586"/>
      <c r="BP385" s="584"/>
      <c r="BQ385" s="347"/>
      <c r="BR385" s="586"/>
      <c r="BS385" s="588"/>
      <c r="BT385" s="586"/>
      <c r="BU385" s="589"/>
      <c r="BV385" s="581">
        <f t="shared" si="44"/>
        <v>0</v>
      </c>
      <c r="BW385" s="590"/>
      <c r="BX385" s="347"/>
      <c r="BY385" s="347"/>
      <c r="BZ385" s="347"/>
      <c r="CA385" s="586"/>
      <c r="CB385" s="581"/>
      <c r="CC385" s="581">
        <f t="shared" si="193"/>
        <v>0</v>
      </c>
      <c r="CD385" s="581"/>
      <c r="CE385" s="581"/>
      <c r="CF385" s="581"/>
      <c r="CG385" s="586"/>
      <c r="CH385" s="608"/>
      <c r="CI385" s="603"/>
      <c r="CJ385" s="347"/>
      <c r="CK385" s="347"/>
      <c r="CL385" s="347"/>
      <c r="CM385" s="347"/>
      <c r="CN385" s="347"/>
      <c r="CO385" s="347"/>
      <c r="CP385" s="347"/>
    </row>
    <row r="386">
      <c r="A386" s="574"/>
      <c r="B386" s="574"/>
      <c r="C386" s="347"/>
      <c r="D386" s="574"/>
      <c r="E386" s="347"/>
      <c r="F386" s="596"/>
      <c r="G386" s="596"/>
      <c r="H386" s="347"/>
      <c r="I386" s="347"/>
      <c r="J386" s="596"/>
      <c r="K386" s="609"/>
      <c r="L386" s="1"/>
      <c r="M386" s="347"/>
      <c r="N386" s="347"/>
      <c r="O386" s="579"/>
      <c r="P386" s="579"/>
      <c r="Q386" s="574"/>
      <c r="R386" s="347"/>
      <c r="S386" s="597"/>
      <c r="T386" s="347"/>
      <c r="U386" s="579"/>
      <c r="V386" s="579"/>
      <c r="W386" s="574"/>
      <c r="X386" s="347"/>
      <c r="Y386" s="347"/>
      <c r="Z386" s="347"/>
      <c r="AA386" s="579"/>
      <c r="AB386" s="581"/>
      <c r="AC386" s="347"/>
      <c r="AD386" s="347"/>
      <c r="AE386" s="347"/>
      <c r="AF386" s="347"/>
      <c r="AG386" s="579"/>
      <c r="AH386" s="579"/>
      <c r="AI386" s="582"/>
      <c r="AJ386" s="582"/>
      <c r="AK386" s="582"/>
      <c r="AL386" s="582"/>
      <c r="AM386" s="579"/>
      <c r="AN386" s="579"/>
      <c r="AO386" s="347"/>
      <c r="AP386" s="586"/>
      <c r="AQ386" s="596"/>
      <c r="AR386" s="596"/>
      <c r="AS386" s="348"/>
      <c r="AT386" s="348"/>
      <c r="AU386" s="348"/>
      <c r="AV386" s="348"/>
      <c r="AW386" s="348"/>
      <c r="AX386" s="584"/>
      <c r="AY386" s="581"/>
      <c r="AZ386" s="581"/>
      <c r="BA386" s="596"/>
      <c r="BB386" s="596"/>
      <c r="BC386" s="348"/>
      <c r="BD386" s="581"/>
      <c r="BE386" s="581"/>
      <c r="BF386" s="347"/>
      <c r="BG386" s="347"/>
      <c r="BH386" s="347"/>
      <c r="BI386" s="347"/>
      <c r="BJ386" s="586"/>
      <c r="BK386" s="581"/>
      <c r="BL386" s="347"/>
      <c r="BM386" s="347"/>
      <c r="BN386" s="347"/>
      <c r="BO386" s="586"/>
      <c r="BP386" s="584"/>
      <c r="BQ386" s="347"/>
      <c r="BR386" s="586"/>
      <c r="BS386" s="588"/>
      <c r="BT386" s="586"/>
      <c r="BU386" s="589"/>
      <c r="BV386" s="581">
        <f t="shared" si="44"/>
        <v>0</v>
      </c>
      <c r="BW386" s="590"/>
      <c r="BX386" s="347"/>
      <c r="BY386" s="347"/>
      <c r="BZ386" s="347"/>
      <c r="CA386" s="586"/>
      <c r="CB386" s="581"/>
      <c r="CC386" s="581">
        <f t="shared" si="193"/>
        <v>0</v>
      </c>
      <c r="CD386" s="581"/>
      <c r="CE386" s="581"/>
      <c r="CF386" s="581"/>
      <c r="CG386" s="586"/>
      <c r="CH386" s="608"/>
      <c r="CI386" s="603"/>
      <c r="CJ386" s="347"/>
      <c r="CK386" s="347"/>
      <c r="CL386" s="347"/>
      <c r="CM386" s="347"/>
      <c r="CN386" s="347"/>
      <c r="CO386" s="347"/>
      <c r="CP386" s="347"/>
    </row>
    <row r="387">
      <c r="A387" s="574"/>
      <c r="B387" s="574"/>
      <c r="C387" s="347"/>
      <c r="D387" s="574"/>
      <c r="E387" s="347"/>
      <c r="F387" s="596"/>
      <c r="G387" s="596"/>
      <c r="H387" s="347"/>
      <c r="I387" s="347"/>
      <c r="J387" s="596"/>
      <c r="K387" s="609"/>
      <c r="L387" s="1"/>
      <c r="M387" s="347"/>
      <c r="N387" s="347"/>
      <c r="O387" s="579"/>
      <c r="P387" s="579"/>
      <c r="Q387" s="574"/>
      <c r="R387" s="347"/>
      <c r="S387" s="597"/>
      <c r="T387" s="347"/>
      <c r="U387" s="579"/>
      <c r="V387" s="579"/>
      <c r="W387" s="574"/>
      <c r="X387" s="347"/>
      <c r="Y387" s="347"/>
      <c r="Z387" s="347"/>
      <c r="AA387" s="579"/>
      <c r="AB387" s="581"/>
      <c r="AC387" s="347"/>
      <c r="AD387" s="347"/>
      <c r="AE387" s="347"/>
      <c r="AF387" s="347"/>
      <c r="AG387" s="579"/>
      <c r="AH387" s="579"/>
      <c r="AI387" s="582"/>
      <c r="AJ387" s="582"/>
      <c r="AK387" s="582"/>
      <c r="AL387" s="582"/>
      <c r="AM387" s="579"/>
      <c r="AN387" s="579"/>
      <c r="AO387" s="347"/>
      <c r="AP387" s="586"/>
      <c r="AQ387" s="596"/>
      <c r="AR387" s="596"/>
      <c r="AS387" s="348"/>
      <c r="AT387" s="348"/>
      <c r="AU387" s="348"/>
      <c r="AV387" s="348"/>
      <c r="AW387" s="348"/>
      <c r="AX387" s="584"/>
      <c r="AY387" s="581"/>
      <c r="AZ387" s="581"/>
      <c r="BA387" s="596"/>
      <c r="BB387" s="596"/>
      <c r="BC387" s="348"/>
      <c r="BD387" s="581"/>
      <c r="BE387" s="581"/>
      <c r="BF387" s="347"/>
      <c r="BG387" s="347"/>
      <c r="BH387" s="347"/>
      <c r="BI387" s="347"/>
      <c r="BJ387" s="586"/>
      <c r="BK387" s="581"/>
      <c r="BL387" s="347"/>
      <c r="BM387" s="347"/>
      <c r="BN387" s="347"/>
      <c r="BO387" s="586"/>
      <c r="BP387" s="584"/>
      <c r="BQ387" s="347"/>
      <c r="BR387" s="586"/>
      <c r="BS387" s="588"/>
      <c r="BT387" s="586"/>
      <c r="BU387" s="589"/>
      <c r="BV387" s="581">
        <f t="shared" si="44"/>
        <v>0</v>
      </c>
      <c r="BW387" s="590"/>
      <c r="BX387" s="347"/>
      <c r="BY387" s="347"/>
      <c r="BZ387" s="347"/>
      <c r="CA387" s="586"/>
      <c r="CB387" s="581"/>
      <c r="CC387" s="581">
        <f t="shared" si="193"/>
        <v>0</v>
      </c>
      <c r="CD387" s="581"/>
      <c r="CE387" s="581"/>
      <c r="CF387" s="581"/>
      <c r="CG387" s="586"/>
      <c r="CH387" s="608"/>
      <c r="CI387" s="603"/>
      <c r="CJ387" s="347"/>
      <c r="CK387" s="347"/>
      <c r="CL387" s="347"/>
      <c r="CM387" s="347"/>
      <c r="CN387" s="347"/>
      <c r="CO387" s="347"/>
      <c r="CP387" s="347"/>
    </row>
    <row r="388">
      <c r="A388" s="574"/>
      <c r="B388" s="574"/>
      <c r="C388" s="347"/>
      <c r="D388" s="574"/>
      <c r="E388" s="347"/>
      <c r="F388" s="596"/>
      <c r="G388" s="596"/>
      <c r="H388" s="347"/>
      <c r="I388" s="347"/>
      <c r="J388" s="596"/>
      <c r="K388" s="609"/>
      <c r="L388" s="1"/>
      <c r="M388" s="347"/>
      <c r="N388" s="347"/>
      <c r="O388" s="579"/>
      <c r="P388" s="579"/>
      <c r="Q388" s="574"/>
      <c r="R388" s="347"/>
      <c r="S388" s="597"/>
      <c r="T388" s="347"/>
      <c r="U388" s="579"/>
      <c r="V388" s="579"/>
      <c r="W388" s="574"/>
      <c r="X388" s="347"/>
      <c r="Y388" s="347"/>
      <c r="Z388" s="347"/>
      <c r="AA388" s="579"/>
      <c r="AB388" s="581"/>
      <c r="AC388" s="347"/>
      <c r="AD388" s="347"/>
      <c r="AE388" s="347"/>
      <c r="AF388" s="347"/>
      <c r="AG388" s="579"/>
      <c r="AH388" s="579"/>
      <c r="AI388" s="582"/>
      <c r="AJ388" s="582"/>
      <c r="AK388" s="582"/>
      <c r="AL388" s="582"/>
      <c r="AM388" s="579"/>
      <c r="AN388" s="579"/>
      <c r="AO388" s="347"/>
      <c r="AP388" s="586"/>
      <c r="AQ388" s="596"/>
      <c r="AR388" s="596"/>
      <c r="AS388" s="348"/>
      <c r="AT388" s="348"/>
      <c r="AU388" s="348"/>
      <c r="AV388" s="348"/>
      <c r="AW388" s="348"/>
      <c r="AX388" s="584"/>
      <c r="AY388" s="581"/>
      <c r="AZ388" s="581"/>
      <c r="BA388" s="596"/>
      <c r="BB388" s="596"/>
      <c r="BC388" s="348"/>
      <c r="BD388" s="581"/>
      <c r="BE388" s="581"/>
      <c r="BF388" s="347"/>
      <c r="BG388" s="347"/>
      <c r="BH388" s="347"/>
      <c r="BI388" s="347"/>
      <c r="BJ388" s="586"/>
      <c r="BK388" s="581"/>
      <c r="BL388" s="347"/>
      <c r="BM388" s="347"/>
      <c r="BN388" s="347"/>
      <c r="BO388" s="586"/>
      <c r="BP388" s="584"/>
      <c r="BQ388" s="347"/>
      <c r="BR388" s="586"/>
      <c r="BS388" s="588"/>
      <c r="BT388" s="586"/>
      <c r="BU388" s="589"/>
      <c r="BV388" s="581">
        <f t="shared" si="44"/>
        <v>0</v>
      </c>
      <c r="BW388" s="590"/>
      <c r="BX388" s="347"/>
      <c r="BY388" s="347"/>
      <c r="BZ388" s="347"/>
      <c r="CA388" s="586"/>
      <c r="CB388" s="581"/>
      <c r="CC388" s="581">
        <f t="shared" si="193"/>
        <v>0</v>
      </c>
      <c r="CD388" s="581"/>
      <c r="CE388" s="581"/>
      <c r="CF388" s="581"/>
      <c r="CG388" s="586"/>
      <c r="CH388" s="608"/>
      <c r="CI388" s="603"/>
      <c r="CJ388" s="347"/>
      <c r="CK388" s="347"/>
      <c r="CL388" s="347"/>
      <c r="CM388" s="347"/>
      <c r="CN388" s="347"/>
      <c r="CO388" s="347"/>
      <c r="CP388" s="347"/>
    </row>
    <row r="389">
      <c r="A389" s="574"/>
      <c r="B389" s="574"/>
      <c r="C389" s="347"/>
      <c r="D389" s="574"/>
      <c r="E389" s="347"/>
      <c r="F389" s="596"/>
      <c r="G389" s="596"/>
      <c r="H389" s="347"/>
      <c r="I389" s="347"/>
      <c r="J389" s="596"/>
      <c r="K389" s="609"/>
      <c r="L389" s="1"/>
      <c r="M389" s="347"/>
      <c r="N389" s="347"/>
      <c r="O389" s="579"/>
      <c r="P389" s="579"/>
      <c r="Q389" s="574"/>
      <c r="R389" s="347"/>
      <c r="S389" s="597"/>
      <c r="T389" s="347"/>
      <c r="U389" s="579"/>
      <c r="V389" s="579"/>
      <c r="W389" s="574"/>
      <c r="X389" s="347"/>
      <c r="Y389" s="347"/>
      <c r="Z389" s="347"/>
      <c r="AA389" s="579"/>
      <c r="AB389" s="581"/>
      <c r="AC389" s="347"/>
      <c r="AD389" s="347"/>
      <c r="AE389" s="347"/>
      <c r="AF389" s="347"/>
      <c r="AG389" s="579"/>
      <c r="AH389" s="579"/>
      <c r="AI389" s="582"/>
      <c r="AJ389" s="582"/>
      <c r="AK389" s="582"/>
      <c r="AL389" s="582"/>
      <c r="AM389" s="579"/>
      <c r="AN389" s="579"/>
      <c r="AO389" s="347"/>
      <c r="AP389" s="586"/>
      <c r="AQ389" s="596"/>
      <c r="AR389" s="596"/>
      <c r="AS389" s="348"/>
      <c r="AT389" s="348"/>
      <c r="AU389" s="348"/>
      <c r="AV389" s="348"/>
      <c r="AW389" s="348"/>
      <c r="AX389" s="584"/>
      <c r="AY389" s="581"/>
      <c r="AZ389" s="581"/>
      <c r="BA389" s="596"/>
      <c r="BB389" s="596"/>
      <c r="BC389" s="348"/>
      <c r="BD389" s="581"/>
      <c r="BE389" s="581"/>
      <c r="BF389" s="347"/>
      <c r="BG389" s="347"/>
      <c r="BH389" s="347"/>
      <c r="BI389" s="347"/>
      <c r="BJ389" s="586"/>
      <c r="BK389" s="581"/>
      <c r="BL389" s="347"/>
      <c r="BM389" s="347"/>
      <c r="BN389" s="347"/>
      <c r="BO389" s="586"/>
      <c r="BP389" s="584"/>
      <c r="BQ389" s="347"/>
      <c r="BR389" s="586"/>
      <c r="BS389" s="588"/>
      <c r="BT389" s="586"/>
      <c r="BU389" s="589"/>
      <c r="BV389" s="581">
        <f t="shared" si="44"/>
        <v>0</v>
      </c>
      <c r="BW389" s="590"/>
      <c r="BX389" s="347"/>
      <c r="BY389" s="347"/>
      <c r="BZ389" s="347"/>
      <c r="CA389" s="586"/>
      <c r="CB389" s="581"/>
      <c r="CC389" s="581">
        <f t="shared" si="193"/>
        <v>0</v>
      </c>
      <c r="CD389" s="581"/>
      <c r="CE389" s="581"/>
      <c r="CF389" s="581"/>
      <c r="CG389" s="586"/>
      <c r="CH389" s="608"/>
      <c r="CI389" s="603"/>
      <c r="CJ389" s="347"/>
      <c r="CK389" s="347"/>
      <c r="CL389" s="347"/>
      <c r="CM389" s="347"/>
      <c r="CN389" s="347"/>
      <c r="CO389" s="347"/>
      <c r="CP389" s="347"/>
    </row>
    <row r="390">
      <c r="A390" s="574"/>
      <c r="B390" s="574"/>
      <c r="C390" s="347"/>
      <c r="D390" s="574"/>
      <c r="E390" s="347"/>
      <c r="F390" s="596"/>
      <c r="G390" s="596"/>
      <c r="H390" s="347"/>
      <c r="I390" s="347"/>
      <c r="J390" s="596"/>
      <c r="K390" s="609"/>
      <c r="L390" s="1"/>
      <c r="M390" s="347"/>
      <c r="N390" s="347"/>
      <c r="O390" s="579"/>
      <c r="P390" s="579"/>
      <c r="Q390" s="574"/>
      <c r="R390" s="347"/>
      <c r="S390" s="597"/>
      <c r="T390" s="347"/>
      <c r="U390" s="579"/>
      <c r="V390" s="579"/>
      <c r="W390" s="574"/>
      <c r="X390" s="347"/>
      <c r="Y390" s="347"/>
      <c r="Z390" s="347"/>
      <c r="AA390" s="579"/>
      <c r="AB390" s="581"/>
      <c r="AC390" s="347"/>
      <c r="AD390" s="347"/>
      <c r="AE390" s="347"/>
      <c r="AF390" s="347"/>
      <c r="AG390" s="579"/>
      <c r="AH390" s="579"/>
      <c r="AI390" s="582"/>
      <c r="AJ390" s="582"/>
      <c r="AK390" s="582"/>
      <c r="AL390" s="582"/>
      <c r="AM390" s="579"/>
      <c r="AN390" s="579"/>
      <c r="AO390" s="347"/>
      <c r="AP390" s="586"/>
      <c r="AQ390" s="596"/>
      <c r="AR390" s="596"/>
      <c r="AS390" s="348"/>
      <c r="AT390" s="348"/>
      <c r="AU390" s="348"/>
      <c r="AV390" s="348"/>
      <c r="AW390" s="348"/>
      <c r="AX390" s="584"/>
      <c r="AY390" s="581"/>
      <c r="AZ390" s="581"/>
      <c r="BA390" s="596"/>
      <c r="BB390" s="596"/>
      <c r="BC390" s="348"/>
      <c r="BD390" s="581"/>
      <c r="BE390" s="581"/>
      <c r="BF390" s="347"/>
      <c r="BG390" s="347"/>
      <c r="BH390" s="347"/>
      <c r="BI390" s="347"/>
      <c r="BJ390" s="586"/>
      <c r="BK390" s="581"/>
      <c r="BL390" s="347"/>
      <c r="BM390" s="347"/>
      <c r="BN390" s="347"/>
      <c r="BO390" s="586"/>
      <c r="BP390" s="584"/>
      <c r="BQ390" s="347"/>
      <c r="BR390" s="586"/>
      <c r="BS390" s="588"/>
      <c r="BT390" s="586"/>
      <c r="BU390" s="589"/>
      <c r="BV390" s="581">
        <f t="shared" si="44"/>
        <v>0</v>
      </c>
      <c r="BW390" s="590"/>
      <c r="BX390" s="347"/>
      <c r="BY390" s="347"/>
      <c r="BZ390" s="347"/>
      <c r="CA390" s="586"/>
      <c r="CB390" s="581"/>
      <c r="CC390" s="581">
        <f t="shared" si="193"/>
        <v>0</v>
      </c>
      <c r="CD390" s="581"/>
      <c r="CE390" s="581"/>
      <c r="CF390" s="581"/>
      <c r="CG390" s="586"/>
      <c r="CH390" s="608"/>
      <c r="CI390" s="603"/>
      <c r="CJ390" s="347"/>
      <c r="CK390" s="347"/>
      <c r="CL390" s="347"/>
      <c r="CM390" s="347"/>
      <c r="CN390" s="347"/>
      <c r="CO390" s="347"/>
      <c r="CP390" s="347"/>
    </row>
    <row r="391">
      <c r="A391" s="574"/>
      <c r="B391" s="574"/>
      <c r="C391" s="347"/>
      <c r="D391" s="574"/>
      <c r="E391" s="347"/>
      <c r="F391" s="596"/>
      <c r="G391" s="596"/>
      <c r="H391" s="347"/>
      <c r="I391" s="347"/>
      <c r="J391" s="596"/>
      <c r="K391" s="609"/>
      <c r="L391" s="1"/>
      <c r="M391" s="347"/>
      <c r="N391" s="347"/>
      <c r="O391" s="579"/>
      <c r="P391" s="579"/>
      <c r="Q391" s="574"/>
      <c r="R391" s="347"/>
      <c r="S391" s="597"/>
      <c r="T391" s="347"/>
      <c r="U391" s="579"/>
      <c r="V391" s="579"/>
      <c r="W391" s="574"/>
      <c r="X391" s="347"/>
      <c r="Y391" s="347"/>
      <c r="Z391" s="347"/>
      <c r="AA391" s="579"/>
      <c r="AB391" s="581"/>
      <c r="AC391" s="347"/>
      <c r="AD391" s="347"/>
      <c r="AE391" s="347"/>
      <c r="AF391" s="347"/>
      <c r="AG391" s="579"/>
      <c r="AH391" s="579"/>
      <c r="AI391" s="582"/>
      <c r="AJ391" s="582"/>
      <c r="AK391" s="582"/>
      <c r="AL391" s="582"/>
      <c r="AM391" s="579"/>
      <c r="AN391" s="579"/>
      <c r="AO391" s="347"/>
      <c r="AP391" s="586"/>
      <c r="AQ391" s="596"/>
      <c r="AR391" s="596"/>
      <c r="AS391" s="348"/>
      <c r="AT391" s="348"/>
      <c r="AU391" s="348"/>
      <c r="AV391" s="348"/>
      <c r="AW391" s="348"/>
      <c r="AX391" s="584"/>
      <c r="AY391" s="581"/>
      <c r="AZ391" s="581"/>
      <c r="BA391" s="596"/>
      <c r="BB391" s="596"/>
      <c r="BC391" s="348"/>
      <c r="BD391" s="581"/>
      <c r="BE391" s="581"/>
      <c r="BF391" s="347"/>
      <c r="BG391" s="347"/>
      <c r="BH391" s="347"/>
      <c r="BI391" s="347"/>
      <c r="BJ391" s="586"/>
      <c r="BK391" s="581"/>
      <c r="BL391" s="347"/>
      <c r="BM391" s="347"/>
      <c r="BN391" s="347"/>
      <c r="BO391" s="586"/>
      <c r="BP391" s="584"/>
      <c r="BQ391" s="347"/>
      <c r="BR391" s="586"/>
      <c r="BS391" s="588"/>
      <c r="BT391" s="586"/>
      <c r="BU391" s="589"/>
      <c r="BV391" s="581">
        <f t="shared" si="44"/>
        <v>0</v>
      </c>
      <c r="BW391" s="590"/>
      <c r="BX391" s="347"/>
      <c r="BY391" s="347"/>
      <c r="BZ391" s="347"/>
      <c r="CA391" s="586"/>
      <c r="CB391" s="581"/>
      <c r="CC391" s="581">
        <f t="shared" si="193"/>
        <v>0</v>
      </c>
      <c r="CD391" s="581"/>
      <c r="CE391" s="581"/>
      <c r="CF391" s="581"/>
      <c r="CG391" s="586"/>
      <c r="CH391" s="608"/>
      <c r="CI391" s="603"/>
      <c r="CJ391" s="347"/>
      <c r="CK391" s="347"/>
      <c r="CL391" s="347"/>
      <c r="CM391" s="347"/>
      <c r="CN391" s="347"/>
      <c r="CO391" s="347"/>
      <c r="CP391" s="347"/>
    </row>
    <row r="392">
      <c r="A392" s="574"/>
      <c r="B392" s="574"/>
      <c r="C392" s="347"/>
      <c r="D392" s="574"/>
      <c r="E392" s="347"/>
      <c r="F392" s="596"/>
      <c r="G392" s="596"/>
      <c r="H392" s="347"/>
      <c r="I392" s="347"/>
      <c r="J392" s="596"/>
      <c r="K392" s="609"/>
      <c r="L392" s="1"/>
      <c r="M392" s="347"/>
      <c r="N392" s="347"/>
      <c r="O392" s="579"/>
      <c r="P392" s="579"/>
      <c r="Q392" s="574"/>
      <c r="R392" s="347"/>
      <c r="S392" s="597"/>
      <c r="T392" s="347"/>
      <c r="U392" s="579"/>
      <c r="V392" s="579"/>
      <c r="W392" s="574"/>
      <c r="X392" s="347"/>
      <c r="Y392" s="347"/>
      <c r="Z392" s="347"/>
      <c r="AA392" s="579"/>
      <c r="AB392" s="581"/>
      <c r="AC392" s="347"/>
      <c r="AD392" s="347"/>
      <c r="AE392" s="347"/>
      <c r="AF392" s="347"/>
      <c r="AG392" s="579"/>
      <c r="AH392" s="579"/>
      <c r="AI392" s="582"/>
      <c r="AJ392" s="582"/>
      <c r="AK392" s="582"/>
      <c r="AL392" s="582"/>
      <c r="AM392" s="579"/>
      <c r="AN392" s="579"/>
      <c r="AO392" s="347"/>
      <c r="AP392" s="586"/>
      <c r="AQ392" s="596"/>
      <c r="AR392" s="596"/>
      <c r="AS392" s="348"/>
      <c r="AT392" s="348"/>
      <c r="AU392" s="348"/>
      <c r="AV392" s="348"/>
      <c r="AW392" s="348"/>
      <c r="AX392" s="584"/>
      <c r="AY392" s="581"/>
      <c r="AZ392" s="581"/>
      <c r="BA392" s="596"/>
      <c r="BB392" s="596"/>
      <c r="BC392" s="348"/>
      <c r="BD392" s="581"/>
      <c r="BE392" s="581"/>
      <c r="BF392" s="347"/>
      <c r="BG392" s="347"/>
      <c r="BH392" s="347"/>
      <c r="BI392" s="347"/>
      <c r="BJ392" s="586"/>
      <c r="BK392" s="581"/>
      <c r="BL392" s="347"/>
      <c r="BM392" s="347"/>
      <c r="BN392" s="347"/>
      <c r="BO392" s="586"/>
      <c r="BP392" s="584"/>
      <c r="BQ392" s="347"/>
      <c r="BR392" s="586"/>
      <c r="BS392" s="588"/>
      <c r="BT392" s="586"/>
      <c r="BU392" s="589"/>
      <c r="BV392" s="581">
        <f t="shared" si="44"/>
        <v>0</v>
      </c>
      <c r="BW392" s="590"/>
      <c r="BX392" s="347"/>
      <c r="BY392" s="347"/>
      <c r="BZ392" s="347"/>
      <c r="CA392" s="586"/>
      <c r="CB392" s="581"/>
      <c r="CC392" s="581">
        <f t="shared" si="193"/>
        <v>0</v>
      </c>
      <c r="CD392" s="581"/>
      <c r="CE392" s="581"/>
      <c r="CF392" s="581"/>
      <c r="CG392" s="586"/>
      <c r="CH392" s="608"/>
      <c r="CI392" s="603"/>
      <c r="CJ392" s="347"/>
      <c r="CK392" s="347"/>
      <c r="CL392" s="347"/>
      <c r="CM392" s="347"/>
      <c r="CN392" s="347"/>
      <c r="CO392" s="347"/>
      <c r="CP392" s="347"/>
    </row>
    <row r="393">
      <c r="A393" s="574"/>
      <c r="B393" s="574"/>
      <c r="C393" s="347"/>
      <c r="D393" s="574"/>
      <c r="E393" s="347"/>
      <c r="F393" s="596"/>
      <c r="G393" s="596"/>
      <c r="H393" s="347"/>
      <c r="I393" s="347"/>
      <c r="J393" s="596"/>
      <c r="K393" s="609"/>
      <c r="L393" s="1"/>
      <c r="M393" s="347"/>
      <c r="N393" s="347"/>
      <c r="O393" s="579"/>
      <c r="P393" s="579"/>
      <c r="Q393" s="574"/>
      <c r="R393" s="347"/>
      <c r="S393" s="597"/>
      <c r="T393" s="347"/>
      <c r="U393" s="579"/>
      <c r="V393" s="579"/>
      <c r="W393" s="574"/>
      <c r="X393" s="347"/>
      <c r="Y393" s="347"/>
      <c r="Z393" s="347"/>
      <c r="AA393" s="579"/>
      <c r="AB393" s="581"/>
      <c r="AC393" s="347"/>
      <c r="AD393" s="347"/>
      <c r="AE393" s="347"/>
      <c r="AF393" s="347"/>
      <c r="AG393" s="579"/>
      <c r="AH393" s="579"/>
      <c r="AI393" s="582"/>
      <c r="AJ393" s="582"/>
      <c r="AK393" s="582"/>
      <c r="AL393" s="582"/>
      <c r="AM393" s="579"/>
      <c r="AN393" s="579"/>
      <c r="AO393" s="347"/>
      <c r="AP393" s="586"/>
      <c r="AQ393" s="596"/>
      <c r="AR393" s="596"/>
      <c r="AS393" s="348"/>
      <c r="AT393" s="348"/>
      <c r="AU393" s="348"/>
      <c r="AV393" s="348"/>
      <c r="AW393" s="348"/>
      <c r="AX393" s="584"/>
      <c r="AY393" s="581"/>
      <c r="AZ393" s="581"/>
      <c r="BA393" s="596"/>
      <c r="BB393" s="596"/>
      <c r="BC393" s="348"/>
      <c r="BD393" s="581"/>
      <c r="BE393" s="581"/>
      <c r="BF393" s="347"/>
      <c r="BG393" s="347"/>
      <c r="BH393" s="347"/>
      <c r="BI393" s="347"/>
      <c r="BJ393" s="586"/>
      <c r="BK393" s="581"/>
      <c r="BL393" s="347"/>
      <c r="BM393" s="347"/>
      <c r="BN393" s="347"/>
      <c r="BO393" s="586"/>
      <c r="BP393" s="584"/>
      <c r="BQ393" s="347"/>
      <c r="BR393" s="586"/>
      <c r="BS393" s="588"/>
      <c r="BT393" s="586"/>
      <c r="BU393" s="589"/>
      <c r="BV393" s="581">
        <f t="shared" si="44"/>
        <v>0</v>
      </c>
      <c r="BW393" s="590"/>
      <c r="BX393" s="347"/>
      <c r="BY393" s="347"/>
      <c r="BZ393" s="347"/>
      <c r="CA393" s="586"/>
      <c r="CB393" s="581"/>
      <c r="CC393" s="581">
        <f t="shared" si="193"/>
        <v>0</v>
      </c>
      <c r="CD393" s="581"/>
      <c r="CE393" s="581"/>
      <c r="CF393" s="581"/>
      <c r="CG393" s="586"/>
      <c r="CH393" s="608"/>
      <c r="CI393" s="603"/>
      <c r="CJ393" s="347"/>
      <c r="CK393" s="347"/>
      <c r="CL393" s="347"/>
      <c r="CM393" s="347"/>
      <c r="CN393" s="347"/>
      <c r="CO393" s="347"/>
      <c r="CP393" s="347"/>
    </row>
    <row r="394">
      <c r="A394" s="574"/>
      <c r="B394" s="574"/>
      <c r="C394" s="347"/>
      <c r="D394" s="574"/>
      <c r="E394" s="347"/>
      <c r="F394" s="596"/>
      <c r="G394" s="596"/>
      <c r="H394" s="347"/>
      <c r="I394" s="347"/>
      <c r="J394" s="596"/>
      <c r="K394" s="609"/>
      <c r="L394" s="1"/>
      <c r="M394" s="347"/>
      <c r="N394" s="347"/>
      <c r="O394" s="579"/>
      <c r="P394" s="579"/>
      <c r="Q394" s="574"/>
      <c r="R394" s="347"/>
      <c r="S394" s="597"/>
      <c r="T394" s="347"/>
      <c r="U394" s="579"/>
      <c r="V394" s="579"/>
      <c r="W394" s="574"/>
      <c r="X394" s="347"/>
      <c r="Y394" s="347"/>
      <c r="Z394" s="347"/>
      <c r="AA394" s="579"/>
      <c r="AB394" s="581"/>
      <c r="AC394" s="347"/>
      <c r="AD394" s="347"/>
      <c r="AE394" s="347"/>
      <c r="AF394" s="347"/>
      <c r="AG394" s="579"/>
      <c r="AH394" s="579"/>
      <c r="AI394" s="582"/>
      <c r="AJ394" s="582"/>
      <c r="AK394" s="582"/>
      <c r="AL394" s="582"/>
      <c r="AM394" s="579"/>
      <c r="AN394" s="579"/>
      <c r="AO394" s="347"/>
      <c r="AP394" s="586"/>
      <c r="AQ394" s="596"/>
      <c r="AR394" s="596"/>
      <c r="AS394" s="348"/>
      <c r="AT394" s="348"/>
      <c r="AU394" s="348"/>
      <c r="AV394" s="348"/>
      <c r="AW394" s="348"/>
      <c r="AX394" s="584"/>
      <c r="AY394" s="581"/>
      <c r="AZ394" s="581"/>
      <c r="BA394" s="596"/>
      <c r="BB394" s="596"/>
      <c r="BC394" s="348"/>
      <c r="BD394" s="581"/>
      <c r="BE394" s="581"/>
      <c r="BF394" s="347"/>
      <c r="BG394" s="347"/>
      <c r="BH394" s="347"/>
      <c r="BI394" s="347"/>
      <c r="BJ394" s="586"/>
      <c r="BK394" s="581"/>
      <c r="BL394" s="347"/>
      <c r="BM394" s="347"/>
      <c r="BN394" s="347"/>
      <c r="BO394" s="586"/>
      <c r="BP394" s="584"/>
      <c r="BQ394" s="347"/>
      <c r="BR394" s="586"/>
      <c r="BS394" s="588"/>
      <c r="BT394" s="586"/>
      <c r="BU394" s="589"/>
      <c r="BV394" s="581">
        <f t="shared" si="44"/>
        <v>0</v>
      </c>
      <c r="BW394" s="590"/>
      <c r="BX394" s="347"/>
      <c r="BY394" s="347"/>
      <c r="BZ394" s="347"/>
      <c r="CA394" s="586"/>
      <c r="CB394" s="581"/>
      <c r="CC394" s="581">
        <f t="shared" si="193"/>
        <v>0</v>
      </c>
      <c r="CD394" s="581"/>
      <c r="CE394" s="581"/>
      <c r="CF394" s="581"/>
      <c r="CG394" s="586"/>
      <c r="CH394" s="608"/>
      <c r="CI394" s="603"/>
      <c r="CJ394" s="347"/>
      <c r="CK394" s="347"/>
      <c r="CL394" s="347"/>
      <c r="CM394" s="347"/>
      <c r="CN394" s="347"/>
      <c r="CO394" s="347"/>
      <c r="CP394" s="347"/>
    </row>
    <row r="395">
      <c r="A395" s="574"/>
      <c r="B395" s="574"/>
      <c r="C395" s="347"/>
      <c r="D395" s="574"/>
      <c r="E395" s="347"/>
      <c r="F395" s="596"/>
      <c r="G395" s="596"/>
      <c r="H395" s="347"/>
      <c r="I395" s="347"/>
      <c r="J395" s="596"/>
      <c r="K395" s="609"/>
      <c r="L395" s="1"/>
      <c r="M395" s="347"/>
      <c r="N395" s="347"/>
      <c r="O395" s="579"/>
      <c r="P395" s="579"/>
      <c r="Q395" s="574"/>
      <c r="R395" s="347"/>
      <c r="S395" s="597"/>
      <c r="T395" s="347"/>
      <c r="U395" s="579"/>
      <c r="V395" s="579"/>
      <c r="W395" s="574"/>
      <c r="X395" s="347"/>
      <c r="Y395" s="347"/>
      <c r="Z395" s="347"/>
      <c r="AA395" s="579"/>
      <c r="AB395" s="581"/>
      <c r="AC395" s="347"/>
      <c r="AD395" s="347"/>
      <c r="AE395" s="347"/>
      <c r="AF395" s="347"/>
      <c r="AG395" s="579"/>
      <c r="AH395" s="579"/>
      <c r="AI395" s="582"/>
      <c r="AJ395" s="582"/>
      <c r="AK395" s="582"/>
      <c r="AL395" s="582"/>
      <c r="AM395" s="579"/>
      <c r="AN395" s="579"/>
      <c r="AO395" s="347"/>
      <c r="AP395" s="586"/>
      <c r="AQ395" s="596"/>
      <c r="AR395" s="596"/>
      <c r="AS395" s="348"/>
      <c r="AT395" s="348"/>
      <c r="AU395" s="348"/>
      <c r="AV395" s="348"/>
      <c r="AW395" s="348"/>
      <c r="AX395" s="584"/>
      <c r="AY395" s="581"/>
      <c r="AZ395" s="581"/>
      <c r="BA395" s="596"/>
      <c r="BB395" s="596"/>
      <c r="BC395" s="348"/>
      <c r="BD395" s="581"/>
      <c r="BE395" s="581"/>
      <c r="BF395" s="347"/>
      <c r="BG395" s="347"/>
      <c r="BH395" s="347"/>
      <c r="BI395" s="347"/>
      <c r="BJ395" s="586"/>
      <c r="BK395" s="581"/>
      <c r="BL395" s="347"/>
      <c r="BM395" s="347"/>
      <c r="BN395" s="347"/>
      <c r="BO395" s="586"/>
      <c r="BP395" s="584"/>
      <c r="BQ395" s="347"/>
      <c r="BR395" s="586"/>
      <c r="BS395" s="588"/>
      <c r="BT395" s="586"/>
      <c r="BU395" s="589"/>
      <c r="BV395" s="581">
        <f t="shared" si="44"/>
        <v>0</v>
      </c>
      <c r="BW395" s="590"/>
      <c r="BX395" s="347"/>
      <c r="BY395" s="347"/>
      <c r="BZ395" s="347"/>
      <c r="CA395" s="586"/>
      <c r="CB395" s="581"/>
      <c r="CC395" s="581">
        <f t="shared" si="193"/>
        <v>0</v>
      </c>
      <c r="CD395" s="581"/>
      <c r="CE395" s="581"/>
      <c r="CF395" s="581"/>
      <c r="CG395" s="586"/>
      <c r="CH395" s="608"/>
      <c r="CI395" s="603"/>
      <c r="CJ395" s="347"/>
      <c r="CK395" s="347"/>
      <c r="CL395" s="347"/>
      <c r="CM395" s="347"/>
      <c r="CN395" s="347"/>
      <c r="CO395" s="347"/>
      <c r="CP395" s="347"/>
    </row>
    <row r="396">
      <c r="A396" s="574"/>
      <c r="B396" s="574"/>
      <c r="C396" s="347"/>
      <c r="D396" s="574"/>
      <c r="E396" s="347"/>
      <c r="F396" s="596"/>
      <c r="G396" s="596"/>
      <c r="H396" s="347"/>
      <c r="I396" s="347"/>
      <c r="J396" s="596"/>
      <c r="K396" s="609"/>
      <c r="L396" s="1"/>
      <c r="M396" s="347"/>
      <c r="N396" s="347"/>
      <c r="O396" s="579"/>
      <c r="P396" s="579"/>
      <c r="Q396" s="574"/>
      <c r="R396" s="347"/>
      <c r="S396" s="597"/>
      <c r="T396" s="347"/>
      <c r="U396" s="579"/>
      <c r="V396" s="579"/>
      <c r="W396" s="574"/>
      <c r="X396" s="347"/>
      <c r="Y396" s="347"/>
      <c r="Z396" s="347"/>
      <c r="AA396" s="579"/>
      <c r="AB396" s="581"/>
      <c r="AC396" s="347"/>
      <c r="AD396" s="347"/>
      <c r="AE396" s="347"/>
      <c r="AF396" s="347"/>
      <c r="AG396" s="579"/>
      <c r="AH396" s="579"/>
      <c r="AI396" s="582"/>
      <c r="AJ396" s="582"/>
      <c r="AK396" s="582"/>
      <c r="AL396" s="582"/>
      <c r="AM396" s="579"/>
      <c r="AN396" s="579"/>
      <c r="AO396" s="347"/>
      <c r="AP396" s="586"/>
      <c r="AQ396" s="596"/>
      <c r="AR396" s="596"/>
      <c r="AS396" s="348"/>
      <c r="AT396" s="348"/>
      <c r="AU396" s="348"/>
      <c r="AV396" s="348"/>
      <c r="AW396" s="348"/>
      <c r="AX396" s="584"/>
      <c r="AY396" s="581"/>
      <c r="AZ396" s="581"/>
      <c r="BA396" s="596"/>
      <c r="BB396" s="596"/>
      <c r="BC396" s="348"/>
      <c r="BD396" s="581"/>
      <c r="BE396" s="581"/>
      <c r="BF396" s="347"/>
      <c r="BG396" s="347"/>
      <c r="BH396" s="347"/>
      <c r="BI396" s="347"/>
      <c r="BJ396" s="586"/>
      <c r="BK396" s="581"/>
      <c r="BL396" s="347"/>
      <c r="BM396" s="347"/>
      <c r="BN396" s="347"/>
      <c r="BO396" s="586"/>
      <c r="BP396" s="584"/>
      <c r="BQ396" s="347"/>
      <c r="BR396" s="586"/>
      <c r="BS396" s="588"/>
      <c r="BT396" s="586"/>
      <c r="BU396" s="589"/>
      <c r="BV396" s="581">
        <f t="shared" si="44"/>
        <v>0</v>
      </c>
      <c r="BW396" s="590"/>
      <c r="BX396" s="347"/>
      <c r="BY396" s="347"/>
      <c r="BZ396" s="347"/>
      <c r="CA396" s="586"/>
      <c r="CB396" s="581"/>
      <c r="CC396" s="581">
        <f t="shared" si="193"/>
        <v>0</v>
      </c>
      <c r="CD396" s="581"/>
      <c r="CE396" s="581"/>
      <c r="CF396" s="581"/>
      <c r="CG396" s="586"/>
      <c r="CH396" s="608"/>
      <c r="CI396" s="603"/>
      <c r="CJ396" s="347"/>
      <c r="CK396" s="347"/>
      <c r="CL396" s="347"/>
      <c r="CM396" s="347"/>
      <c r="CN396" s="347"/>
      <c r="CO396" s="347"/>
      <c r="CP396" s="347"/>
    </row>
    <row r="397">
      <c r="A397" s="574"/>
      <c r="B397" s="574"/>
      <c r="C397" s="347"/>
      <c r="D397" s="574"/>
      <c r="E397" s="347"/>
      <c r="F397" s="596"/>
      <c r="G397" s="596"/>
      <c r="H397" s="347"/>
      <c r="I397" s="347"/>
      <c r="J397" s="596"/>
      <c r="K397" s="609"/>
      <c r="L397" s="1"/>
      <c r="M397" s="347"/>
      <c r="N397" s="347"/>
      <c r="O397" s="579"/>
      <c r="P397" s="579"/>
      <c r="Q397" s="574"/>
      <c r="R397" s="347"/>
      <c r="S397" s="597"/>
      <c r="T397" s="347"/>
      <c r="U397" s="579"/>
      <c r="V397" s="579"/>
      <c r="W397" s="574"/>
      <c r="X397" s="347"/>
      <c r="Y397" s="347"/>
      <c r="Z397" s="347"/>
      <c r="AA397" s="579"/>
      <c r="AB397" s="581"/>
      <c r="AC397" s="347"/>
      <c r="AD397" s="347"/>
      <c r="AE397" s="347"/>
      <c r="AF397" s="347"/>
      <c r="AG397" s="579"/>
      <c r="AH397" s="579"/>
      <c r="AI397" s="582"/>
      <c r="AJ397" s="582"/>
      <c r="AK397" s="582"/>
      <c r="AL397" s="582"/>
      <c r="AM397" s="579"/>
      <c r="AN397" s="579"/>
      <c r="AO397" s="347"/>
      <c r="AP397" s="586"/>
      <c r="AQ397" s="596"/>
      <c r="AR397" s="596"/>
      <c r="AS397" s="348"/>
      <c r="AT397" s="348"/>
      <c r="AU397" s="348"/>
      <c r="AV397" s="348"/>
      <c r="AW397" s="348"/>
      <c r="AX397" s="584"/>
      <c r="AY397" s="581"/>
      <c r="AZ397" s="581"/>
      <c r="BA397" s="596"/>
      <c r="BB397" s="596"/>
      <c r="BC397" s="348"/>
      <c r="BD397" s="581"/>
      <c r="BE397" s="581"/>
      <c r="BF397" s="347"/>
      <c r="BG397" s="347"/>
      <c r="BH397" s="347"/>
      <c r="BI397" s="347"/>
      <c r="BJ397" s="586"/>
      <c r="BK397" s="581"/>
      <c r="BL397" s="347"/>
      <c r="BM397" s="347"/>
      <c r="BN397" s="347"/>
      <c r="BO397" s="586"/>
      <c r="BP397" s="584"/>
      <c r="BQ397" s="347"/>
      <c r="BR397" s="586"/>
      <c r="BS397" s="588"/>
      <c r="BT397" s="586"/>
      <c r="BU397" s="589"/>
      <c r="BV397" s="581">
        <f t="shared" si="44"/>
        <v>0</v>
      </c>
      <c r="BW397" s="590"/>
      <c r="BX397" s="347"/>
      <c r="BY397" s="347"/>
      <c r="BZ397" s="347"/>
      <c r="CA397" s="586"/>
      <c r="CB397" s="581"/>
      <c r="CC397" s="581">
        <f t="shared" si="193"/>
        <v>0</v>
      </c>
      <c r="CD397" s="581"/>
      <c r="CE397" s="581"/>
      <c r="CF397" s="581"/>
      <c r="CG397" s="586"/>
      <c r="CH397" s="608"/>
      <c r="CI397" s="603"/>
      <c r="CJ397" s="347"/>
      <c r="CK397" s="347"/>
      <c r="CL397" s="347"/>
      <c r="CM397" s="347"/>
      <c r="CN397" s="347"/>
      <c r="CO397" s="347"/>
      <c r="CP397" s="347"/>
    </row>
    <row r="398">
      <c r="A398" s="574"/>
      <c r="B398" s="574"/>
      <c r="C398" s="347"/>
      <c r="D398" s="574"/>
      <c r="E398" s="347"/>
      <c r="F398" s="596"/>
      <c r="G398" s="596"/>
      <c r="H398" s="347"/>
      <c r="I398" s="347"/>
      <c r="J398" s="596"/>
      <c r="K398" s="609"/>
      <c r="L398" s="1"/>
      <c r="M398" s="347"/>
      <c r="N398" s="347"/>
      <c r="O398" s="579"/>
      <c r="P398" s="579"/>
      <c r="Q398" s="574"/>
      <c r="R398" s="347"/>
      <c r="S398" s="597"/>
      <c r="T398" s="347"/>
      <c r="U398" s="579"/>
      <c r="V398" s="579"/>
      <c r="W398" s="574"/>
      <c r="X398" s="347"/>
      <c r="Y398" s="347"/>
      <c r="Z398" s="347"/>
      <c r="AA398" s="579"/>
      <c r="AB398" s="581"/>
      <c r="AC398" s="347"/>
      <c r="AD398" s="347"/>
      <c r="AE398" s="347"/>
      <c r="AF398" s="347"/>
      <c r="AG398" s="579"/>
      <c r="AH398" s="579"/>
      <c r="AI398" s="582"/>
      <c r="AJ398" s="582"/>
      <c r="AK398" s="582"/>
      <c r="AL398" s="582"/>
      <c r="AM398" s="579"/>
      <c r="AN398" s="579"/>
      <c r="AO398" s="347"/>
      <c r="AP398" s="586"/>
      <c r="AQ398" s="596"/>
      <c r="AR398" s="596"/>
      <c r="AS398" s="348"/>
      <c r="AT398" s="348"/>
      <c r="AU398" s="348"/>
      <c r="AV398" s="348"/>
      <c r="AW398" s="348"/>
      <c r="AX398" s="584"/>
      <c r="AY398" s="581"/>
      <c r="AZ398" s="581"/>
      <c r="BA398" s="596"/>
      <c r="BB398" s="596"/>
      <c r="BC398" s="348"/>
      <c r="BD398" s="581"/>
      <c r="BE398" s="581"/>
      <c r="BF398" s="347"/>
      <c r="BG398" s="347"/>
      <c r="BH398" s="347"/>
      <c r="BI398" s="347"/>
      <c r="BJ398" s="586"/>
      <c r="BK398" s="581"/>
      <c r="BL398" s="347"/>
      <c r="BM398" s="347"/>
      <c r="BN398" s="347"/>
      <c r="BO398" s="586"/>
      <c r="BP398" s="584"/>
      <c r="BQ398" s="347"/>
      <c r="BR398" s="586"/>
      <c r="BS398" s="588"/>
      <c r="BT398" s="586"/>
      <c r="BU398" s="589"/>
      <c r="BV398" s="581">
        <f t="shared" si="44"/>
        <v>0</v>
      </c>
      <c r="BW398" s="590"/>
      <c r="BX398" s="347"/>
      <c r="BY398" s="347"/>
      <c r="BZ398" s="347"/>
      <c r="CA398" s="586"/>
      <c r="CB398" s="581"/>
      <c r="CC398" s="581">
        <f t="shared" si="193"/>
        <v>0</v>
      </c>
      <c r="CD398" s="581"/>
      <c r="CE398" s="581"/>
      <c r="CF398" s="581"/>
      <c r="CG398" s="586"/>
      <c r="CH398" s="608"/>
      <c r="CI398" s="603"/>
      <c r="CJ398" s="347"/>
      <c r="CK398" s="347"/>
      <c r="CL398" s="347"/>
      <c r="CM398" s="347"/>
      <c r="CN398" s="347"/>
      <c r="CO398" s="347"/>
      <c r="CP398" s="347"/>
    </row>
    <row r="399">
      <c r="A399" s="574"/>
      <c r="B399" s="574"/>
      <c r="C399" s="347"/>
      <c r="D399" s="574"/>
      <c r="E399" s="347"/>
      <c r="F399" s="596"/>
      <c r="G399" s="596"/>
      <c r="H399" s="347"/>
      <c r="I399" s="347"/>
      <c r="J399" s="596"/>
      <c r="K399" s="609"/>
      <c r="L399" s="1"/>
      <c r="M399" s="347"/>
      <c r="N399" s="347"/>
      <c r="O399" s="579"/>
      <c r="P399" s="579"/>
      <c r="Q399" s="574"/>
      <c r="R399" s="347"/>
      <c r="S399" s="597"/>
      <c r="T399" s="347"/>
      <c r="U399" s="579"/>
      <c r="V399" s="579"/>
      <c r="W399" s="574"/>
      <c r="X399" s="347"/>
      <c r="Y399" s="347"/>
      <c r="Z399" s="347"/>
      <c r="AA399" s="579"/>
      <c r="AB399" s="581"/>
      <c r="AC399" s="347"/>
      <c r="AD399" s="347"/>
      <c r="AE399" s="347"/>
      <c r="AF399" s="347"/>
      <c r="AG399" s="579"/>
      <c r="AH399" s="579"/>
      <c r="AI399" s="582"/>
      <c r="AJ399" s="582"/>
      <c r="AK399" s="582"/>
      <c r="AL399" s="582"/>
      <c r="AM399" s="579"/>
      <c r="AN399" s="579"/>
      <c r="AO399" s="347"/>
      <c r="AP399" s="586"/>
      <c r="AQ399" s="596"/>
      <c r="AR399" s="596"/>
      <c r="AS399" s="348"/>
      <c r="AT399" s="348"/>
      <c r="AU399" s="348"/>
      <c r="AV399" s="348"/>
      <c r="AW399" s="348"/>
      <c r="AX399" s="584"/>
      <c r="AY399" s="581"/>
      <c r="AZ399" s="581"/>
      <c r="BA399" s="596"/>
      <c r="BB399" s="596"/>
      <c r="BC399" s="348"/>
      <c r="BD399" s="581"/>
      <c r="BE399" s="581"/>
      <c r="BF399" s="347"/>
      <c r="BG399" s="347"/>
      <c r="BH399" s="347"/>
      <c r="BI399" s="347"/>
      <c r="BJ399" s="586"/>
      <c r="BK399" s="581"/>
      <c r="BL399" s="347"/>
      <c r="BM399" s="347"/>
      <c r="BN399" s="347"/>
      <c r="BO399" s="586"/>
      <c r="BP399" s="584"/>
      <c r="BQ399" s="347"/>
      <c r="BR399" s="586"/>
      <c r="BS399" s="588"/>
      <c r="BT399" s="586"/>
      <c r="BU399" s="589"/>
      <c r="BV399" s="581">
        <f t="shared" si="44"/>
        <v>0</v>
      </c>
      <c r="BW399" s="590"/>
      <c r="BX399" s="347"/>
      <c r="BY399" s="347"/>
      <c r="BZ399" s="347"/>
      <c r="CA399" s="586"/>
      <c r="CB399" s="581"/>
      <c r="CC399" s="581">
        <f t="shared" si="193"/>
        <v>0</v>
      </c>
      <c r="CD399" s="581"/>
      <c r="CE399" s="581"/>
      <c r="CF399" s="581"/>
      <c r="CG399" s="586"/>
      <c r="CH399" s="608"/>
      <c r="CI399" s="603"/>
      <c r="CJ399" s="347"/>
      <c r="CK399" s="347"/>
      <c r="CL399" s="347"/>
      <c r="CM399" s="347"/>
      <c r="CN399" s="347"/>
      <c r="CO399" s="347"/>
      <c r="CP399" s="347"/>
    </row>
    <row r="400">
      <c r="A400" s="574"/>
      <c r="B400" s="574"/>
      <c r="C400" s="347"/>
      <c r="D400" s="574"/>
      <c r="E400" s="347"/>
      <c r="F400" s="596"/>
      <c r="G400" s="596"/>
      <c r="H400" s="347"/>
      <c r="I400" s="347"/>
      <c r="J400" s="596"/>
      <c r="K400" s="609"/>
      <c r="L400" s="1"/>
      <c r="M400" s="347"/>
      <c r="N400" s="347"/>
      <c r="O400" s="579"/>
      <c r="P400" s="579"/>
      <c r="Q400" s="574"/>
      <c r="R400" s="347"/>
      <c r="S400" s="597"/>
      <c r="T400" s="347"/>
      <c r="U400" s="579"/>
      <c r="V400" s="579"/>
      <c r="W400" s="574"/>
      <c r="X400" s="347"/>
      <c r="Y400" s="347"/>
      <c r="Z400" s="347"/>
      <c r="AA400" s="579"/>
      <c r="AB400" s="581"/>
      <c r="AC400" s="347"/>
      <c r="AD400" s="347"/>
      <c r="AE400" s="347"/>
      <c r="AF400" s="347"/>
      <c r="AG400" s="579"/>
      <c r="AH400" s="579"/>
      <c r="AI400" s="582"/>
      <c r="AJ400" s="582"/>
      <c r="AK400" s="582"/>
      <c r="AL400" s="582"/>
      <c r="AM400" s="579"/>
      <c r="AN400" s="579"/>
      <c r="AO400" s="347"/>
      <c r="AP400" s="586"/>
      <c r="AQ400" s="596"/>
      <c r="AR400" s="596"/>
      <c r="AS400" s="348"/>
      <c r="AT400" s="348"/>
      <c r="AU400" s="348"/>
      <c r="AV400" s="348"/>
      <c r="AW400" s="348"/>
      <c r="AX400" s="584"/>
      <c r="AY400" s="581"/>
      <c r="AZ400" s="581"/>
      <c r="BA400" s="596"/>
      <c r="BB400" s="596"/>
      <c r="BC400" s="348"/>
      <c r="BD400" s="581"/>
      <c r="BE400" s="581"/>
      <c r="BF400" s="347"/>
      <c r="BG400" s="347"/>
      <c r="BH400" s="347"/>
      <c r="BI400" s="347"/>
      <c r="BJ400" s="586"/>
      <c r="BK400" s="581"/>
      <c r="BL400" s="347"/>
      <c r="BM400" s="347"/>
      <c r="BN400" s="347"/>
      <c r="BO400" s="586"/>
      <c r="BP400" s="584"/>
      <c r="BQ400" s="347"/>
      <c r="BR400" s="586"/>
      <c r="BS400" s="588"/>
      <c r="BT400" s="586"/>
      <c r="BU400" s="589"/>
      <c r="BV400" s="581">
        <f t="shared" si="44"/>
        <v>0</v>
      </c>
      <c r="BW400" s="590"/>
      <c r="BX400" s="347"/>
      <c r="BY400" s="347"/>
      <c r="BZ400" s="347"/>
      <c r="CA400" s="586"/>
      <c r="CB400" s="581"/>
      <c r="CC400" s="581">
        <f t="shared" si="193"/>
        <v>0</v>
      </c>
      <c r="CD400" s="581"/>
      <c r="CE400" s="581"/>
      <c r="CF400" s="581"/>
      <c r="CG400" s="586"/>
      <c r="CH400" s="608"/>
      <c r="CI400" s="603"/>
      <c r="CJ400" s="347"/>
      <c r="CK400" s="347"/>
      <c r="CL400" s="347"/>
      <c r="CM400" s="347"/>
      <c r="CN400" s="347"/>
      <c r="CO400" s="347"/>
      <c r="CP400" s="347"/>
    </row>
    <row r="401">
      <c r="A401" s="574"/>
      <c r="B401" s="574"/>
      <c r="C401" s="347"/>
      <c r="D401" s="574"/>
      <c r="E401" s="347"/>
      <c r="F401" s="596"/>
      <c r="G401" s="596"/>
      <c r="H401" s="347"/>
      <c r="I401" s="347"/>
      <c r="J401" s="596"/>
      <c r="K401" s="609"/>
      <c r="L401" s="1"/>
      <c r="M401" s="347"/>
      <c r="N401" s="347"/>
      <c r="O401" s="579"/>
      <c r="P401" s="579"/>
      <c r="Q401" s="574"/>
      <c r="R401" s="347"/>
      <c r="S401" s="597"/>
      <c r="T401" s="347"/>
      <c r="U401" s="579"/>
      <c r="V401" s="579"/>
      <c r="W401" s="574"/>
      <c r="X401" s="347"/>
      <c r="Y401" s="347"/>
      <c r="Z401" s="347"/>
      <c r="AA401" s="579"/>
      <c r="AB401" s="581"/>
      <c r="AC401" s="347"/>
      <c r="AD401" s="347"/>
      <c r="AE401" s="347"/>
      <c r="AF401" s="347"/>
      <c r="AG401" s="579"/>
      <c r="AH401" s="579"/>
      <c r="AI401" s="582"/>
      <c r="AJ401" s="582"/>
      <c r="AK401" s="582"/>
      <c r="AL401" s="582"/>
      <c r="AM401" s="579"/>
      <c r="AN401" s="579"/>
      <c r="AO401" s="347"/>
      <c r="AP401" s="586"/>
      <c r="AQ401" s="596"/>
      <c r="AR401" s="596"/>
      <c r="AS401" s="348"/>
      <c r="AT401" s="348"/>
      <c r="AU401" s="348"/>
      <c r="AV401" s="348"/>
      <c r="AW401" s="348"/>
      <c r="AX401" s="584"/>
      <c r="AY401" s="581"/>
      <c r="AZ401" s="581"/>
      <c r="BA401" s="596"/>
      <c r="BB401" s="596"/>
      <c r="BC401" s="348"/>
      <c r="BD401" s="581"/>
      <c r="BE401" s="581"/>
      <c r="BF401" s="347"/>
      <c r="BG401" s="347"/>
      <c r="BH401" s="347"/>
      <c r="BI401" s="347"/>
      <c r="BJ401" s="586"/>
      <c r="BK401" s="581"/>
      <c r="BL401" s="347"/>
      <c r="BM401" s="347"/>
      <c r="BN401" s="347"/>
      <c r="BO401" s="586"/>
      <c r="BP401" s="584"/>
      <c r="BQ401" s="347"/>
      <c r="BR401" s="586"/>
      <c r="BS401" s="588"/>
      <c r="BT401" s="586"/>
      <c r="BU401" s="589"/>
      <c r="BV401" s="581">
        <f t="shared" si="44"/>
        <v>0</v>
      </c>
      <c r="BW401" s="590"/>
      <c r="BX401" s="347"/>
      <c r="BY401" s="347"/>
      <c r="BZ401" s="347"/>
      <c r="CA401" s="586"/>
      <c r="CB401" s="581"/>
      <c r="CC401" s="581">
        <f t="shared" si="193"/>
        <v>0</v>
      </c>
      <c r="CD401" s="581"/>
      <c r="CE401" s="581"/>
      <c r="CF401" s="581"/>
      <c r="CG401" s="586"/>
      <c r="CH401" s="608"/>
      <c r="CI401" s="603"/>
      <c r="CJ401" s="347"/>
      <c r="CK401" s="347"/>
      <c r="CL401" s="347"/>
      <c r="CM401" s="347"/>
      <c r="CN401" s="347"/>
      <c r="CO401" s="347"/>
      <c r="CP401" s="347"/>
    </row>
    <row r="402">
      <c r="A402" s="574"/>
      <c r="B402" s="574"/>
      <c r="C402" s="347"/>
      <c r="D402" s="574"/>
      <c r="E402" s="347"/>
      <c r="F402" s="596"/>
      <c r="G402" s="596"/>
      <c r="H402" s="347"/>
      <c r="I402" s="347"/>
      <c r="J402" s="596"/>
      <c r="K402" s="609"/>
      <c r="L402" s="1"/>
      <c r="M402" s="347"/>
      <c r="N402" s="347"/>
      <c r="O402" s="579"/>
      <c r="P402" s="579"/>
      <c r="Q402" s="574"/>
      <c r="R402" s="347"/>
      <c r="S402" s="597"/>
      <c r="T402" s="347"/>
      <c r="U402" s="579"/>
      <c r="V402" s="579"/>
      <c r="W402" s="574"/>
      <c r="X402" s="347"/>
      <c r="Y402" s="347"/>
      <c r="Z402" s="347"/>
      <c r="AA402" s="579"/>
      <c r="AB402" s="581"/>
      <c r="AC402" s="347"/>
      <c r="AD402" s="347"/>
      <c r="AE402" s="347"/>
      <c r="AF402" s="347"/>
      <c r="AG402" s="579"/>
      <c r="AH402" s="579"/>
      <c r="AI402" s="582"/>
      <c r="AJ402" s="582"/>
      <c r="AK402" s="582"/>
      <c r="AL402" s="582"/>
      <c r="AM402" s="579"/>
      <c r="AN402" s="579"/>
      <c r="AO402" s="347"/>
      <c r="AP402" s="586"/>
      <c r="AQ402" s="596"/>
      <c r="AR402" s="596"/>
      <c r="AS402" s="348"/>
      <c r="AT402" s="348"/>
      <c r="AU402" s="348"/>
      <c r="AV402" s="348"/>
      <c r="AW402" s="348"/>
      <c r="AX402" s="584"/>
      <c r="AY402" s="581"/>
      <c r="AZ402" s="581"/>
      <c r="BA402" s="596"/>
      <c r="BB402" s="596"/>
      <c r="BC402" s="348"/>
      <c r="BD402" s="581"/>
      <c r="BE402" s="581"/>
      <c r="BF402" s="347"/>
      <c r="BG402" s="347"/>
      <c r="BH402" s="347"/>
      <c r="BI402" s="347"/>
      <c r="BJ402" s="586"/>
      <c r="BK402" s="581"/>
      <c r="BL402" s="347"/>
      <c r="BM402" s="347"/>
      <c r="BN402" s="347"/>
      <c r="BO402" s="586"/>
      <c r="BP402" s="584"/>
      <c r="BQ402" s="347"/>
      <c r="BR402" s="586"/>
      <c r="BS402" s="588"/>
      <c r="BT402" s="586"/>
      <c r="BU402" s="589"/>
      <c r="BV402" s="581">
        <f t="shared" si="44"/>
        <v>0</v>
      </c>
      <c r="BW402" s="590"/>
      <c r="BX402" s="347"/>
      <c r="BY402" s="347"/>
      <c r="BZ402" s="347"/>
      <c r="CA402" s="586"/>
      <c r="CB402" s="581"/>
      <c r="CC402" s="581">
        <f t="shared" si="193"/>
        <v>0</v>
      </c>
      <c r="CD402" s="581"/>
      <c r="CE402" s="581"/>
      <c r="CF402" s="581"/>
      <c r="CG402" s="586"/>
      <c r="CH402" s="608"/>
      <c r="CI402" s="603"/>
      <c r="CJ402" s="347"/>
      <c r="CK402" s="347"/>
      <c r="CL402" s="347"/>
      <c r="CM402" s="347"/>
      <c r="CN402" s="347"/>
      <c r="CO402" s="347"/>
      <c r="CP402" s="347"/>
    </row>
    <row r="403">
      <c r="A403" s="574"/>
      <c r="B403" s="574"/>
      <c r="C403" s="347"/>
      <c r="D403" s="574"/>
      <c r="E403" s="347"/>
      <c r="F403" s="596"/>
      <c r="G403" s="596"/>
      <c r="H403" s="347"/>
      <c r="I403" s="347"/>
      <c r="J403" s="596"/>
      <c r="K403" s="609"/>
      <c r="L403" s="1"/>
      <c r="M403" s="347"/>
      <c r="N403" s="347"/>
      <c r="O403" s="579"/>
      <c r="P403" s="579"/>
      <c r="Q403" s="574"/>
      <c r="R403" s="347"/>
      <c r="S403" s="597"/>
      <c r="T403" s="347"/>
      <c r="U403" s="579"/>
      <c r="V403" s="579"/>
      <c r="W403" s="574"/>
      <c r="X403" s="347"/>
      <c r="Y403" s="347"/>
      <c r="Z403" s="347"/>
      <c r="AA403" s="579"/>
      <c r="AB403" s="581"/>
      <c r="AC403" s="347"/>
      <c r="AD403" s="347"/>
      <c r="AE403" s="347"/>
      <c r="AF403" s="347"/>
      <c r="AG403" s="579"/>
      <c r="AH403" s="579"/>
      <c r="AI403" s="582"/>
      <c r="AJ403" s="582"/>
      <c r="AK403" s="582"/>
      <c r="AL403" s="582"/>
      <c r="AM403" s="579"/>
      <c r="AN403" s="579"/>
      <c r="AO403" s="347"/>
      <c r="AP403" s="586"/>
      <c r="AQ403" s="596"/>
      <c r="AR403" s="596"/>
      <c r="AS403" s="348"/>
      <c r="AT403" s="348"/>
      <c r="AU403" s="348"/>
      <c r="AV403" s="348"/>
      <c r="AW403" s="348"/>
      <c r="AX403" s="584"/>
      <c r="AY403" s="581"/>
      <c r="AZ403" s="581"/>
      <c r="BA403" s="596"/>
      <c r="BB403" s="596"/>
      <c r="BC403" s="348"/>
      <c r="BD403" s="581"/>
      <c r="BE403" s="581"/>
      <c r="BF403" s="347"/>
      <c r="BG403" s="347"/>
      <c r="BH403" s="347"/>
      <c r="BI403" s="347"/>
      <c r="BJ403" s="586"/>
      <c r="BK403" s="581"/>
      <c r="BL403" s="347"/>
      <c r="BM403" s="347"/>
      <c r="BN403" s="347"/>
      <c r="BO403" s="586"/>
      <c r="BP403" s="584"/>
      <c r="BQ403" s="347"/>
      <c r="BR403" s="586"/>
      <c r="BS403" s="588"/>
      <c r="BT403" s="586"/>
      <c r="BU403" s="589"/>
      <c r="BV403" s="581">
        <f t="shared" si="44"/>
        <v>0</v>
      </c>
      <c r="BW403" s="590"/>
      <c r="BX403" s="347"/>
      <c r="BY403" s="347"/>
      <c r="BZ403" s="347"/>
      <c r="CA403" s="586"/>
      <c r="CB403" s="581"/>
      <c r="CC403" s="581">
        <f t="shared" si="193"/>
        <v>0</v>
      </c>
      <c r="CD403" s="581"/>
      <c r="CE403" s="581"/>
      <c r="CF403" s="581"/>
      <c r="CG403" s="586"/>
      <c r="CH403" s="608"/>
      <c r="CI403" s="603"/>
      <c r="CJ403" s="347"/>
      <c r="CK403" s="347"/>
      <c r="CL403" s="347"/>
      <c r="CM403" s="347"/>
      <c r="CN403" s="347"/>
      <c r="CO403" s="347"/>
      <c r="CP403" s="347"/>
    </row>
    <row r="404">
      <c r="A404" s="574"/>
      <c r="B404" s="574"/>
      <c r="C404" s="347"/>
      <c r="D404" s="574"/>
      <c r="E404" s="347"/>
      <c r="F404" s="596"/>
      <c r="G404" s="596"/>
      <c r="H404" s="347"/>
      <c r="I404" s="347"/>
      <c r="J404" s="596"/>
      <c r="K404" s="609"/>
      <c r="L404" s="1"/>
      <c r="M404" s="347"/>
      <c r="N404" s="347"/>
      <c r="O404" s="579"/>
      <c r="P404" s="579"/>
      <c r="Q404" s="574"/>
      <c r="R404" s="347"/>
      <c r="S404" s="597"/>
      <c r="T404" s="347"/>
      <c r="U404" s="579"/>
      <c r="V404" s="579"/>
      <c r="W404" s="574"/>
      <c r="X404" s="347"/>
      <c r="Y404" s="347"/>
      <c r="Z404" s="347"/>
      <c r="AA404" s="579"/>
      <c r="AB404" s="581"/>
      <c r="AC404" s="347"/>
      <c r="AD404" s="347"/>
      <c r="AE404" s="347"/>
      <c r="AF404" s="347"/>
      <c r="AG404" s="579"/>
      <c r="AH404" s="579"/>
      <c r="AI404" s="582"/>
      <c r="AJ404" s="582"/>
      <c r="AK404" s="582"/>
      <c r="AL404" s="582"/>
      <c r="AM404" s="579"/>
      <c r="AN404" s="579"/>
      <c r="AO404" s="347"/>
      <c r="AP404" s="586"/>
      <c r="AQ404" s="596"/>
      <c r="AR404" s="596"/>
      <c r="AS404" s="348"/>
      <c r="AT404" s="348"/>
      <c r="AU404" s="348"/>
      <c r="AV404" s="348"/>
      <c r="AW404" s="348"/>
      <c r="AX404" s="584"/>
      <c r="AY404" s="581"/>
      <c r="AZ404" s="581"/>
      <c r="BA404" s="596"/>
      <c r="BB404" s="596"/>
      <c r="BC404" s="348"/>
      <c r="BD404" s="581"/>
      <c r="BE404" s="581"/>
      <c r="BF404" s="347"/>
      <c r="BG404" s="347"/>
      <c r="BH404" s="347"/>
      <c r="BI404" s="347"/>
      <c r="BJ404" s="586"/>
      <c r="BK404" s="581"/>
      <c r="BL404" s="347"/>
      <c r="BM404" s="347"/>
      <c r="BN404" s="347"/>
      <c r="BO404" s="586"/>
      <c r="BP404" s="584"/>
      <c r="BQ404" s="347"/>
      <c r="BR404" s="586"/>
      <c r="BS404" s="588"/>
      <c r="BT404" s="586"/>
      <c r="BU404" s="589"/>
      <c r="BV404" s="581">
        <f t="shared" si="44"/>
        <v>0</v>
      </c>
      <c r="BW404" s="590"/>
      <c r="BX404" s="347"/>
      <c r="BY404" s="347"/>
      <c r="BZ404" s="347"/>
      <c r="CA404" s="586"/>
      <c r="CB404" s="581"/>
      <c r="CC404" s="581">
        <f t="shared" si="193"/>
        <v>0</v>
      </c>
      <c r="CD404" s="581"/>
      <c r="CE404" s="581"/>
      <c r="CF404" s="581"/>
      <c r="CG404" s="586"/>
      <c r="CH404" s="608"/>
      <c r="CI404" s="603"/>
      <c r="CJ404" s="347"/>
      <c r="CK404" s="347"/>
      <c r="CL404" s="347"/>
      <c r="CM404" s="347"/>
      <c r="CN404" s="347"/>
      <c r="CO404" s="347"/>
      <c r="CP404" s="347"/>
    </row>
    <row r="405">
      <c r="A405" s="574"/>
      <c r="B405" s="574"/>
      <c r="C405" s="347"/>
      <c r="D405" s="574"/>
      <c r="E405" s="347"/>
      <c r="F405" s="596"/>
      <c r="G405" s="596"/>
      <c r="H405" s="347"/>
      <c r="I405" s="347"/>
      <c r="J405" s="596"/>
      <c r="K405" s="609"/>
      <c r="L405" s="1"/>
      <c r="M405" s="347"/>
      <c r="N405" s="347"/>
      <c r="O405" s="579"/>
      <c r="P405" s="579"/>
      <c r="Q405" s="574"/>
      <c r="R405" s="347"/>
      <c r="S405" s="597"/>
      <c r="T405" s="347"/>
      <c r="U405" s="579"/>
      <c r="V405" s="579"/>
      <c r="W405" s="574"/>
      <c r="X405" s="347"/>
      <c r="Y405" s="347"/>
      <c r="Z405" s="347"/>
      <c r="AA405" s="579"/>
      <c r="AB405" s="581"/>
      <c r="AC405" s="347"/>
      <c r="AD405" s="347"/>
      <c r="AE405" s="347"/>
      <c r="AF405" s="347"/>
      <c r="AG405" s="579"/>
      <c r="AH405" s="579"/>
      <c r="AI405" s="582"/>
      <c r="AJ405" s="582"/>
      <c r="AK405" s="582"/>
      <c r="AL405" s="582"/>
      <c r="AM405" s="579"/>
      <c r="AN405" s="579"/>
      <c r="AO405" s="347"/>
      <c r="AP405" s="586"/>
      <c r="AQ405" s="596"/>
      <c r="AR405" s="596"/>
      <c r="AS405" s="348"/>
      <c r="AT405" s="348"/>
      <c r="AU405" s="348"/>
      <c r="AV405" s="348"/>
      <c r="AW405" s="348"/>
      <c r="AX405" s="584"/>
      <c r="AY405" s="581"/>
      <c r="AZ405" s="581"/>
      <c r="BA405" s="596"/>
      <c r="BB405" s="596"/>
      <c r="BC405" s="348"/>
      <c r="BD405" s="581"/>
      <c r="BE405" s="581"/>
      <c r="BF405" s="347"/>
      <c r="BG405" s="347"/>
      <c r="BH405" s="347"/>
      <c r="BI405" s="347"/>
      <c r="BJ405" s="586"/>
      <c r="BK405" s="581"/>
      <c r="BL405" s="347"/>
      <c r="BM405" s="347"/>
      <c r="BN405" s="347"/>
      <c r="BO405" s="586"/>
      <c r="BP405" s="584"/>
      <c r="BQ405" s="347"/>
      <c r="BR405" s="586"/>
      <c r="BS405" s="588"/>
      <c r="BT405" s="586"/>
      <c r="BU405" s="589"/>
      <c r="BV405" s="581">
        <f t="shared" si="44"/>
        <v>0</v>
      </c>
      <c r="BW405" s="590"/>
      <c r="BX405" s="347"/>
      <c r="BY405" s="347"/>
      <c r="BZ405" s="347"/>
      <c r="CA405" s="586"/>
      <c r="CB405" s="581"/>
      <c r="CC405" s="581">
        <f t="shared" si="193"/>
        <v>0</v>
      </c>
      <c r="CD405" s="581"/>
      <c r="CE405" s="581"/>
      <c r="CF405" s="581"/>
      <c r="CG405" s="586"/>
      <c r="CH405" s="608"/>
      <c r="CI405" s="603"/>
      <c r="CJ405" s="347"/>
      <c r="CK405" s="347"/>
      <c r="CL405" s="347"/>
      <c r="CM405" s="347"/>
      <c r="CN405" s="347"/>
      <c r="CO405" s="347"/>
      <c r="CP405" s="347"/>
    </row>
    <row r="406">
      <c r="A406" s="574"/>
      <c r="B406" s="574"/>
      <c r="C406" s="347"/>
      <c r="D406" s="574"/>
      <c r="E406" s="347"/>
      <c r="F406" s="596"/>
      <c r="G406" s="596"/>
      <c r="H406" s="347"/>
      <c r="I406" s="347"/>
      <c r="J406" s="596"/>
      <c r="K406" s="609"/>
      <c r="L406" s="1"/>
      <c r="M406" s="347"/>
      <c r="N406" s="347"/>
      <c r="O406" s="579"/>
      <c r="P406" s="579"/>
      <c r="Q406" s="574"/>
      <c r="R406" s="347"/>
      <c r="S406" s="597"/>
      <c r="T406" s="347"/>
      <c r="U406" s="579"/>
      <c r="V406" s="579"/>
      <c r="W406" s="574"/>
      <c r="X406" s="347"/>
      <c r="Y406" s="347"/>
      <c r="Z406" s="347"/>
      <c r="AA406" s="579"/>
      <c r="AB406" s="581"/>
      <c r="AC406" s="347"/>
      <c r="AD406" s="347"/>
      <c r="AE406" s="347"/>
      <c r="AF406" s="347"/>
      <c r="AG406" s="579"/>
      <c r="AH406" s="579"/>
      <c r="AI406" s="582"/>
      <c r="AJ406" s="582"/>
      <c r="AK406" s="582"/>
      <c r="AL406" s="582"/>
      <c r="AM406" s="579"/>
      <c r="AN406" s="579"/>
      <c r="AO406" s="347"/>
      <c r="AP406" s="586"/>
      <c r="AQ406" s="596"/>
      <c r="AR406" s="596"/>
      <c r="AS406" s="348"/>
      <c r="AT406" s="348"/>
      <c r="AU406" s="348"/>
      <c r="AV406" s="348"/>
      <c r="AW406" s="348"/>
      <c r="AX406" s="584"/>
      <c r="AY406" s="581"/>
      <c r="AZ406" s="581"/>
      <c r="BA406" s="596"/>
      <c r="BB406" s="596"/>
      <c r="BC406" s="348"/>
      <c r="BD406" s="581"/>
      <c r="BE406" s="581"/>
      <c r="BF406" s="347"/>
      <c r="BG406" s="347"/>
      <c r="BH406" s="347"/>
      <c r="BI406" s="347"/>
      <c r="BJ406" s="586"/>
      <c r="BK406" s="581"/>
      <c r="BL406" s="347"/>
      <c r="BM406" s="347"/>
      <c r="BN406" s="347"/>
      <c r="BO406" s="586"/>
      <c r="BP406" s="584"/>
      <c r="BQ406" s="347"/>
      <c r="BR406" s="586"/>
      <c r="BS406" s="588"/>
      <c r="BT406" s="586"/>
      <c r="BU406" s="589"/>
      <c r="BV406" s="581">
        <f t="shared" si="44"/>
        <v>0</v>
      </c>
      <c r="BW406" s="590"/>
      <c r="BX406" s="347"/>
      <c r="BY406" s="347"/>
      <c r="BZ406" s="347"/>
      <c r="CA406" s="586"/>
      <c r="CB406" s="581"/>
      <c r="CC406" s="581">
        <f t="shared" si="193"/>
        <v>0</v>
      </c>
      <c r="CD406" s="581"/>
      <c r="CE406" s="581"/>
      <c r="CF406" s="581"/>
      <c r="CG406" s="586"/>
      <c r="CH406" s="608"/>
      <c r="CI406" s="603"/>
      <c r="CJ406" s="347"/>
      <c r="CK406" s="347"/>
      <c r="CL406" s="347"/>
      <c r="CM406" s="347"/>
      <c r="CN406" s="347"/>
      <c r="CO406" s="347"/>
      <c r="CP406" s="347"/>
    </row>
    <row r="407">
      <c r="A407" s="574"/>
      <c r="B407" s="574"/>
      <c r="C407" s="347"/>
      <c r="D407" s="574"/>
      <c r="E407" s="347"/>
      <c r="F407" s="596"/>
      <c r="G407" s="596"/>
      <c r="H407" s="347"/>
      <c r="I407" s="347"/>
      <c r="J407" s="596"/>
      <c r="K407" s="609"/>
      <c r="L407" s="1"/>
      <c r="M407" s="347"/>
      <c r="N407" s="347"/>
      <c r="O407" s="579"/>
      <c r="P407" s="579"/>
      <c r="Q407" s="574"/>
      <c r="R407" s="347"/>
      <c r="S407" s="597"/>
      <c r="T407" s="347"/>
      <c r="U407" s="579"/>
      <c r="V407" s="579"/>
      <c r="W407" s="574"/>
      <c r="X407" s="347"/>
      <c r="Y407" s="347"/>
      <c r="Z407" s="347"/>
      <c r="AA407" s="579"/>
      <c r="AB407" s="581"/>
      <c r="AC407" s="347"/>
      <c r="AD407" s="347"/>
      <c r="AE407" s="347"/>
      <c r="AF407" s="347"/>
      <c r="AG407" s="579"/>
      <c r="AH407" s="579"/>
      <c r="AI407" s="582"/>
      <c r="AJ407" s="582"/>
      <c r="AK407" s="582"/>
      <c r="AL407" s="582"/>
      <c r="AM407" s="579"/>
      <c r="AN407" s="579"/>
      <c r="AO407" s="347"/>
      <c r="AP407" s="586"/>
      <c r="AQ407" s="596"/>
      <c r="AR407" s="596"/>
      <c r="AS407" s="348"/>
      <c r="AT407" s="348"/>
      <c r="AU407" s="348"/>
      <c r="AV407" s="348"/>
      <c r="AW407" s="348"/>
      <c r="AX407" s="584"/>
      <c r="AY407" s="581"/>
      <c r="AZ407" s="581"/>
      <c r="BA407" s="596"/>
      <c r="BB407" s="596"/>
      <c r="BC407" s="348"/>
      <c r="BD407" s="581"/>
      <c r="BE407" s="581"/>
      <c r="BF407" s="347"/>
      <c r="BG407" s="347"/>
      <c r="BH407" s="347"/>
      <c r="BI407" s="347"/>
      <c r="BJ407" s="586"/>
      <c r="BK407" s="581"/>
      <c r="BL407" s="347"/>
      <c r="BM407" s="347"/>
      <c r="BN407" s="347"/>
      <c r="BO407" s="586"/>
      <c r="BP407" s="584"/>
      <c r="BQ407" s="347"/>
      <c r="BR407" s="586"/>
      <c r="BS407" s="588"/>
      <c r="BT407" s="586"/>
      <c r="BU407" s="589"/>
      <c r="BV407" s="581">
        <f t="shared" si="44"/>
        <v>0</v>
      </c>
      <c r="BW407" s="590"/>
      <c r="BX407" s="347"/>
      <c r="BY407" s="347"/>
      <c r="BZ407" s="347"/>
      <c r="CA407" s="586"/>
      <c r="CB407" s="581"/>
      <c r="CC407" s="581">
        <f t="shared" si="193"/>
        <v>0</v>
      </c>
      <c r="CD407" s="581"/>
      <c r="CE407" s="581"/>
      <c r="CF407" s="581"/>
      <c r="CG407" s="586"/>
      <c r="CH407" s="608"/>
      <c r="CI407" s="603"/>
      <c r="CJ407" s="347"/>
      <c r="CK407" s="347"/>
      <c r="CL407" s="347"/>
      <c r="CM407" s="347"/>
      <c r="CN407" s="347"/>
      <c r="CO407" s="347"/>
      <c r="CP407" s="347"/>
    </row>
    <row r="408">
      <c r="A408" s="574"/>
      <c r="B408" s="574"/>
      <c r="C408" s="347"/>
      <c r="D408" s="574"/>
      <c r="E408" s="347"/>
      <c r="F408" s="596"/>
      <c r="G408" s="596"/>
      <c r="H408" s="347"/>
      <c r="I408" s="347"/>
      <c r="J408" s="596"/>
      <c r="K408" s="609"/>
      <c r="L408" s="1"/>
      <c r="M408" s="347"/>
      <c r="N408" s="347"/>
      <c r="O408" s="579"/>
      <c r="P408" s="579"/>
      <c r="Q408" s="574"/>
      <c r="R408" s="347"/>
      <c r="S408" s="597"/>
      <c r="T408" s="347"/>
      <c r="U408" s="579"/>
      <c r="V408" s="579"/>
      <c r="W408" s="574"/>
      <c r="X408" s="347"/>
      <c r="Y408" s="347"/>
      <c r="Z408" s="347"/>
      <c r="AA408" s="579"/>
      <c r="AB408" s="581"/>
      <c r="AC408" s="347"/>
      <c r="AD408" s="347"/>
      <c r="AE408" s="347"/>
      <c r="AF408" s="347"/>
      <c r="AG408" s="579"/>
      <c r="AH408" s="579"/>
      <c r="AI408" s="582"/>
      <c r="AJ408" s="582"/>
      <c r="AK408" s="582"/>
      <c r="AL408" s="582"/>
      <c r="AM408" s="579"/>
      <c r="AN408" s="579"/>
      <c r="AO408" s="347"/>
      <c r="AP408" s="586"/>
      <c r="AQ408" s="596"/>
      <c r="AR408" s="596"/>
      <c r="AS408" s="348"/>
      <c r="AT408" s="348"/>
      <c r="AU408" s="348"/>
      <c r="AV408" s="348"/>
      <c r="AW408" s="348"/>
      <c r="AX408" s="584"/>
      <c r="AY408" s="581"/>
      <c r="AZ408" s="581"/>
      <c r="BA408" s="596"/>
      <c r="BB408" s="596"/>
      <c r="BC408" s="348"/>
      <c r="BD408" s="581"/>
      <c r="BE408" s="581"/>
      <c r="BF408" s="347"/>
      <c r="BG408" s="347"/>
      <c r="BH408" s="347"/>
      <c r="BI408" s="347"/>
      <c r="BJ408" s="586"/>
      <c r="BK408" s="581"/>
      <c r="BL408" s="347"/>
      <c r="BM408" s="347"/>
      <c r="BN408" s="347"/>
      <c r="BO408" s="586"/>
      <c r="BP408" s="584"/>
      <c r="BQ408" s="347"/>
      <c r="BR408" s="586"/>
      <c r="BS408" s="588"/>
      <c r="BT408" s="586"/>
      <c r="BU408" s="589"/>
      <c r="BV408" s="581">
        <f t="shared" si="44"/>
        <v>0</v>
      </c>
      <c r="BW408" s="590"/>
      <c r="BX408" s="347"/>
      <c r="BY408" s="347"/>
      <c r="BZ408" s="347"/>
      <c r="CA408" s="586"/>
      <c r="CB408" s="581"/>
      <c r="CC408" s="581">
        <f t="shared" si="193"/>
        <v>0</v>
      </c>
      <c r="CD408" s="581"/>
      <c r="CE408" s="581"/>
      <c r="CF408" s="581"/>
      <c r="CG408" s="586"/>
      <c r="CH408" s="608"/>
      <c r="CI408" s="603"/>
      <c r="CJ408" s="347"/>
      <c r="CK408" s="347"/>
      <c r="CL408" s="347"/>
      <c r="CM408" s="347"/>
      <c r="CN408" s="347"/>
      <c r="CO408" s="347"/>
      <c r="CP408" s="347"/>
    </row>
    <row r="409">
      <c r="A409" s="574"/>
      <c r="B409" s="574"/>
      <c r="C409" s="347"/>
      <c r="D409" s="574"/>
      <c r="E409" s="347"/>
      <c r="F409" s="596"/>
      <c r="G409" s="596"/>
      <c r="H409" s="347"/>
      <c r="I409" s="347"/>
      <c r="J409" s="596"/>
      <c r="K409" s="609"/>
      <c r="L409" s="1"/>
      <c r="M409" s="347"/>
      <c r="N409" s="347"/>
      <c r="O409" s="579"/>
      <c r="P409" s="579"/>
      <c r="Q409" s="574"/>
      <c r="R409" s="347"/>
      <c r="S409" s="597"/>
      <c r="T409" s="347"/>
      <c r="U409" s="579"/>
      <c r="V409" s="579"/>
      <c r="W409" s="574"/>
      <c r="X409" s="347"/>
      <c r="Y409" s="347"/>
      <c r="Z409" s="347"/>
      <c r="AA409" s="579"/>
      <c r="AB409" s="581"/>
      <c r="AC409" s="347"/>
      <c r="AD409" s="347"/>
      <c r="AE409" s="347"/>
      <c r="AF409" s="347"/>
      <c r="AG409" s="579"/>
      <c r="AH409" s="579"/>
      <c r="AI409" s="582"/>
      <c r="AJ409" s="582"/>
      <c r="AK409" s="582"/>
      <c r="AL409" s="582"/>
      <c r="AM409" s="579"/>
      <c r="AN409" s="579"/>
      <c r="AO409" s="347"/>
      <c r="AP409" s="586"/>
      <c r="AQ409" s="596"/>
      <c r="AR409" s="596"/>
      <c r="AS409" s="348"/>
      <c r="AT409" s="348"/>
      <c r="AU409" s="348"/>
      <c r="AV409" s="348"/>
      <c r="AW409" s="348"/>
      <c r="AX409" s="584"/>
      <c r="AY409" s="581"/>
      <c r="AZ409" s="581"/>
      <c r="BA409" s="596"/>
      <c r="BB409" s="596"/>
      <c r="BC409" s="348"/>
      <c r="BD409" s="581"/>
      <c r="BE409" s="581"/>
      <c r="BF409" s="347"/>
      <c r="BG409" s="347"/>
      <c r="BH409" s="347"/>
      <c r="BI409" s="347"/>
      <c r="BJ409" s="586"/>
      <c r="BK409" s="581"/>
      <c r="BL409" s="347"/>
      <c r="BM409" s="347"/>
      <c r="BN409" s="347"/>
      <c r="BO409" s="586"/>
      <c r="BP409" s="584"/>
      <c r="BQ409" s="347"/>
      <c r="BR409" s="586"/>
      <c r="BS409" s="588"/>
      <c r="BT409" s="586"/>
      <c r="BU409" s="589"/>
      <c r="BV409" s="581">
        <f t="shared" si="44"/>
        <v>0</v>
      </c>
      <c r="BW409" s="590"/>
      <c r="BX409" s="347"/>
      <c r="BY409" s="347"/>
      <c r="BZ409" s="347"/>
      <c r="CA409" s="586"/>
      <c r="CB409" s="581"/>
      <c r="CC409" s="581">
        <f t="shared" si="193"/>
        <v>0</v>
      </c>
      <c r="CD409" s="581"/>
      <c r="CE409" s="581"/>
      <c r="CF409" s="581"/>
      <c r="CG409" s="586"/>
      <c r="CH409" s="608"/>
      <c r="CI409" s="603"/>
      <c r="CJ409" s="347"/>
      <c r="CK409" s="347"/>
      <c r="CL409" s="347"/>
      <c r="CM409" s="347"/>
      <c r="CN409" s="347"/>
      <c r="CO409" s="347"/>
      <c r="CP409" s="347"/>
    </row>
    <row r="410">
      <c r="A410" s="574"/>
      <c r="B410" s="574"/>
      <c r="C410" s="347"/>
      <c r="D410" s="574"/>
      <c r="E410" s="347"/>
      <c r="F410" s="596"/>
      <c r="G410" s="596"/>
      <c r="H410" s="347"/>
      <c r="I410" s="347"/>
      <c r="J410" s="596"/>
      <c r="K410" s="609"/>
      <c r="L410" s="1"/>
      <c r="M410" s="347"/>
      <c r="N410" s="347"/>
      <c r="O410" s="579"/>
      <c r="P410" s="579"/>
      <c r="Q410" s="574"/>
      <c r="R410" s="347"/>
      <c r="S410" s="597"/>
      <c r="T410" s="347"/>
      <c r="U410" s="579"/>
      <c r="V410" s="579"/>
      <c r="W410" s="574"/>
      <c r="X410" s="347"/>
      <c r="Y410" s="347"/>
      <c r="Z410" s="347"/>
      <c r="AA410" s="579"/>
      <c r="AB410" s="581"/>
      <c r="AC410" s="347"/>
      <c r="AD410" s="347"/>
      <c r="AE410" s="347"/>
      <c r="AF410" s="347"/>
      <c r="AG410" s="579"/>
      <c r="AH410" s="579"/>
      <c r="AI410" s="582"/>
      <c r="AJ410" s="582"/>
      <c r="AK410" s="582"/>
      <c r="AL410" s="582"/>
      <c r="AM410" s="579"/>
      <c r="AN410" s="579"/>
      <c r="AO410" s="347"/>
      <c r="AP410" s="586"/>
      <c r="AQ410" s="596"/>
      <c r="AR410" s="596"/>
      <c r="AS410" s="348"/>
      <c r="AT410" s="348"/>
      <c r="AU410" s="348"/>
      <c r="AV410" s="348"/>
      <c r="AW410" s="348"/>
      <c r="AX410" s="584"/>
      <c r="AY410" s="581"/>
      <c r="AZ410" s="581"/>
      <c r="BA410" s="596"/>
      <c r="BB410" s="596"/>
      <c r="BC410" s="348"/>
      <c r="BD410" s="581"/>
      <c r="BE410" s="581"/>
      <c r="BF410" s="347"/>
      <c r="BG410" s="347"/>
      <c r="BH410" s="347"/>
      <c r="BI410" s="347"/>
      <c r="BJ410" s="586"/>
      <c r="BK410" s="581"/>
      <c r="BL410" s="347"/>
      <c r="BM410" s="347"/>
      <c r="BN410" s="347"/>
      <c r="BO410" s="586"/>
      <c r="BP410" s="584"/>
      <c r="BQ410" s="347"/>
      <c r="BR410" s="586"/>
      <c r="BS410" s="588"/>
      <c r="BT410" s="586"/>
      <c r="BU410" s="589"/>
      <c r="BV410" s="581">
        <f t="shared" si="44"/>
        <v>0</v>
      </c>
      <c r="BW410" s="590"/>
      <c r="BX410" s="347"/>
      <c r="BY410" s="347"/>
      <c r="BZ410" s="347"/>
      <c r="CA410" s="586"/>
      <c r="CB410" s="581"/>
      <c r="CC410" s="581">
        <f t="shared" si="193"/>
        <v>0</v>
      </c>
      <c r="CD410" s="581"/>
      <c r="CE410" s="581"/>
      <c r="CF410" s="581"/>
      <c r="CG410" s="586"/>
      <c r="CH410" s="608"/>
      <c r="CI410" s="603"/>
      <c r="CJ410" s="347"/>
      <c r="CK410" s="347"/>
      <c r="CL410" s="347"/>
      <c r="CM410" s="347"/>
      <c r="CN410" s="347"/>
      <c r="CO410" s="347"/>
      <c r="CP410" s="347"/>
    </row>
    <row r="411">
      <c r="A411" s="574"/>
      <c r="B411" s="574"/>
      <c r="C411" s="347"/>
      <c r="D411" s="574"/>
      <c r="E411" s="347"/>
      <c r="F411" s="596"/>
      <c r="G411" s="596"/>
      <c r="H411" s="347"/>
      <c r="I411" s="347"/>
      <c r="J411" s="596"/>
      <c r="K411" s="609"/>
      <c r="L411" s="1"/>
      <c r="M411" s="347"/>
      <c r="N411" s="347"/>
      <c r="O411" s="579"/>
      <c r="P411" s="579"/>
      <c r="Q411" s="574"/>
      <c r="R411" s="347"/>
      <c r="S411" s="597"/>
      <c r="T411" s="347"/>
      <c r="U411" s="579"/>
      <c r="V411" s="579"/>
      <c r="W411" s="574"/>
      <c r="X411" s="347"/>
      <c r="Y411" s="347"/>
      <c r="Z411" s="347"/>
      <c r="AA411" s="579"/>
      <c r="AB411" s="581"/>
      <c r="AC411" s="347"/>
      <c r="AD411" s="347"/>
      <c r="AE411" s="347"/>
      <c r="AF411" s="347"/>
      <c r="AG411" s="579"/>
      <c r="AH411" s="579"/>
      <c r="AI411" s="582"/>
      <c r="AJ411" s="582"/>
      <c r="AK411" s="582"/>
      <c r="AL411" s="582"/>
      <c r="AM411" s="579"/>
      <c r="AN411" s="579"/>
      <c r="AO411" s="347"/>
      <c r="AP411" s="586"/>
      <c r="AQ411" s="596"/>
      <c r="AR411" s="596"/>
      <c r="AS411" s="348"/>
      <c r="AT411" s="348"/>
      <c r="AU411" s="348"/>
      <c r="AV411" s="348"/>
      <c r="AW411" s="348"/>
      <c r="AX411" s="584"/>
      <c r="AY411" s="581"/>
      <c r="AZ411" s="581"/>
      <c r="BA411" s="596"/>
      <c r="BB411" s="596"/>
      <c r="BC411" s="348"/>
      <c r="BD411" s="581"/>
      <c r="BE411" s="581"/>
      <c r="BF411" s="347"/>
      <c r="BG411" s="347"/>
      <c r="BH411" s="347"/>
      <c r="BI411" s="347"/>
      <c r="BJ411" s="586"/>
      <c r="BK411" s="581"/>
      <c r="BL411" s="347"/>
      <c r="BM411" s="347"/>
      <c r="BN411" s="347"/>
      <c r="BO411" s="586"/>
      <c r="BP411" s="584"/>
      <c r="BQ411" s="347"/>
      <c r="BR411" s="586"/>
      <c r="BS411" s="588"/>
      <c r="BT411" s="586"/>
      <c r="BU411" s="589"/>
      <c r="BV411" s="581">
        <f t="shared" si="44"/>
        <v>0</v>
      </c>
      <c r="BW411" s="590"/>
      <c r="BX411" s="347"/>
      <c r="BY411" s="347"/>
      <c r="BZ411" s="347"/>
      <c r="CA411" s="586"/>
      <c r="CB411" s="581"/>
      <c r="CC411" s="581">
        <f t="shared" si="193"/>
        <v>0</v>
      </c>
      <c r="CD411" s="581"/>
      <c r="CE411" s="581"/>
      <c r="CF411" s="581"/>
      <c r="CG411" s="586"/>
      <c r="CH411" s="608"/>
      <c r="CI411" s="603"/>
      <c r="CJ411" s="347"/>
      <c r="CK411" s="347"/>
      <c r="CL411" s="347"/>
      <c r="CM411" s="347"/>
      <c r="CN411" s="347"/>
      <c r="CO411" s="347"/>
      <c r="CP411" s="347"/>
    </row>
    <row r="412">
      <c r="A412" s="574"/>
      <c r="B412" s="574"/>
      <c r="C412" s="347"/>
      <c r="D412" s="574"/>
      <c r="E412" s="347"/>
      <c r="F412" s="596"/>
      <c r="G412" s="596"/>
      <c r="H412" s="347"/>
      <c r="I412" s="347"/>
      <c r="J412" s="596"/>
      <c r="K412" s="609"/>
      <c r="L412" s="1"/>
      <c r="M412" s="347"/>
      <c r="N412" s="347"/>
      <c r="O412" s="579"/>
      <c r="P412" s="579"/>
      <c r="Q412" s="574"/>
      <c r="R412" s="347"/>
      <c r="S412" s="597"/>
      <c r="T412" s="347"/>
      <c r="U412" s="579"/>
      <c r="V412" s="579"/>
      <c r="W412" s="574"/>
      <c r="X412" s="347"/>
      <c r="Y412" s="347"/>
      <c r="Z412" s="347"/>
      <c r="AA412" s="579"/>
      <c r="AB412" s="581"/>
      <c r="AC412" s="347"/>
      <c r="AD412" s="347"/>
      <c r="AE412" s="347"/>
      <c r="AF412" s="347"/>
      <c r="AG412" s="579"/>
      <c r="AH412" s="579"/>
      <c r="AI412" s="582"/>
      <c r="AJ412" s="582"/>
      <c r="AK412" s="582"/>
      <c r="AL412" s="582"/>
      <c r="AM412" s="579"/>
      <c r="AN412" s="579"/>
      <c r="AO412" s="347"/>
      <c r="AP412" s="586"/>
      <c r="AQ412" s="596"/>
      <c r="AR412" s="596"/>
      <c r="AS412" s="348"/>
      <c r="AT412" s="348"/>
      <c r="AU412" s="348"/>
      <c r="AV412" s="348"/>
      <c r="AW412" s="348"/>
      <c r="AX412" s="584"/>
      <c r="AY412" s="581"/>
      <c r="AZ412" s="581"/>
      <c r="BA412" s="596"/>
      <c r="BB412" s="596"/>
      <c r="BC412" s="348"/>
      <c r="BD412" s="581"/>
      <c r="BE412" s="581"/>
      <c r="BF412" s="347"/>
      <c r="BG412" s="347"/>
      <c r="BH412" s="347"/>
      <c r="BI412" s="347"/>
      <c r="BJ412" s="586"/>
      <c r="BK412" s="581"/>
      <c r="BL412" s="347"/>
      <c r="BM412" s="347"/>
      <c r="BN412" s="347"/>
      <c r="BO412" s="586"/>
      <c r="BP412" s="584"/>
      <c r="BQ412" s="347"/>
      <c r="BR412" s="586"/>
      <c r="BS412" s="588"/>
      <c r="BT412" s="586"/>
      <c r="BU412" s="589"/>
      <c r="BV412" s="581">
        <f t="shared" si="44"/>
        <v>0</v>
      </c>
      <c r="BW412" s="590"/>
      <c r="BX412" s="347"/>
      <c r="BY412" s="347"/>
      <c r="BZ412" s="347"/>
      <c r="CA412" s="586"/>
      <c r="CB412" s="581"/>
      <c r="CC412" s="581">
        <f t="shared" si="193"/>
        <v>0</v>
      </c>
      <c r="CD412" s="581"/>
      <c r="CE412" s="581"/>
      <c r="CF412" s="581"/>
      <c r="CG412" s="586"/>
      <c r="CH412" s="608"/>
      <c r="CI412" s="603"/>
      <c r="CJ412" s="347"/>
      <c r="CK412" s="347"/>
      <c r="CL412" s="347"/>
      <c r="CM412" s="347"/>
      <c r="CN412" s="347"/>
      <c r="CO412" s="347"/>
      <c r="CP412" s="347"/>
    </row>
    <row r="413">
      <c r="A413" s="574"/>
      <c r="B413" s="574"/>
      <c r="C413" s="347"/>
      <c r="D413" s="574"/>
      <c r="E413" s="347"/>
      <c r="F413" s="596"/>
      <c r="G413" s="596"/>
      <c r="H413" s="347"/>
      <c r="I413" s="347"/>
      <c r="J413" s="596"/>
      <c r="K413" s="609"/>
      <c r="L413" s="1"/>
      <c r="M413" s="347"/>
      <c r="N413" s="347"/>
      <c r="O413" s="579"/>
      <c r="P413" s="579"/>
      <c r="Q413" s="574"/>
      <c r="R413" s="347"/>
      <c r="S413" s="597"/>
      <c r="T413" s="347"/>
      <c r="U413" s="579"/>
      <c r="V413" s="579"/>
      <c r="W413" s="574"/>
      <c r="X413" s="347"/>
      <c r="Y413" s="347"/>
      <c r="Z413" s="347"/>
      <c r="AA413" s="579"/>
      <c r="AB413" s="581"/>
      <c r="AC413" s="347"/>
      <c r="AD413" s="347"/>
      <c r="AE413" s="347"/>
      <c r="AF413" s="347"/>
      <c r="AG413" s="579"/>
      <c r="AH413" s="579"/>
      <c r="AI413" s="582"/>
      <c r="AJ413" s="582"/>
      <c r="AK413" s="582"/>
      <c r="AL413" s="582"/>
      <c r="AM413" s="579"/>
      <c r="AN413" s="579"/>
      <c r="AO413" s="347"/>
      <c r="AP413" s="586"/>
      <c r="AQ413" s="596"/>
      <c r="AR413" s="596"/>
      <c r="AS413" s="348"/>
      <c r="AT413" s="348"/>
      <c r="AU413" s="348"/>
      <c r="AV413" s="348"/>
      <c r="AW413" s="348"/>
      <c r="AX413" s="584"/>
      <c r="AY413" s="581"/>
      <c r="AZ413" s="581"/>
      <c r="BA413" s="596"/>
      <c r="BB413" s="596"/>
      <c r="BC413" s="348"/>
      <c r="BD413" s="581"/>
      <c r="BE413" s="581"/>
      <c r="BF413" s="347"/>
      <c r="BG413" s="347"/>
      <c r="BH413" s="347"/>
      <c r="BI413" s="347"/>
      <c r="BJ413" s="586"/>
      <c r="BK413" s="581"/>
      <c r="BL413" s="347"/>
      <c r="BM413" s="347"/>
      <c r="BN413" s="347"/>
      <c r="BO413" s="586"/>
      <c r="BP413" s="584"/>
      <c r="BQ413" s="347"/>
      <c r="BR413" s="586"/>
      <c r="BS413" s="588"/>
      <c r="BT413" s="586"/>
      <c r="BU413" s="589"/>
      <c r="BV413" s="581">
        <f t="shared" si="44"/>
        <v>0</v>
      </c>
      <c r="BW413" s="590"/>
      <c r="BX413" s="347"/>
      <c r="BY413" s="347"/>
      <c r="BZ413" s="347"/>
      <c r="CA413" s="586"/>
      <c r="CB413" s="581"/>
      <c r="CC413" s="581">
        <f t="shared" si="193"/>
        <v>0</v>
      </c>
      <c r="CD413" s="581"/>
      <c r="CE413" s="581"/>
      <c r="CF413" s="581"/>
      <c r="CG413" s="586"/>
      <c r="CH413" s="608"/>
      <c r="CI413" s="603"/>
      <c r="CJ413" s="347"/>
      <c r="CK413" s="347"/>
      <c r="CL413" s="347"/>
      <c r="CM413" s="347"/>
      <c r="CN413" s="347"/>
      <c r="CO413" s="347"/>
      <c r="CP413" s="347"/>
    </row>
    <row r="414">
      <c r="A414" s="574"/>
      <c r="B414" s="574"/>
      <c r="C414" s="347"/>
      <c r="D414" s="574"/>
      <c r="E414" s="347"/>
      <c r="F414" s="596"/>
      <c r="G414" s="596"/>
      <c r="H414" s="347"/>
      <c r="I414" s="347"/>
      <c r="J414" s="596"/>
      <c r="K414" s="609"/>
      <c r="L414" s="1"/>
      <c r="M414" s="347"/>
      <c r="N414" s="347"/>
      <c r="O414" s="579"/>
      <c r="P414" s="579"/>
      <c r="Q414" s="574"/>
      <c r="R414" s="347"/>
      <c r="S414" s="597"/>
      <c r="T414" s="347"/>
      <c r="U414" s="579"/>
      <c r="V414" s="579"/>
      <c r="W414" s="574"/>
      <c r="X414" s="347"/>
      <c r="Y414" s="347"/>
      <c r="Z414" s="347"/>
      <c r="AA414" s="579"/>
      <c r="AB414" s="581"/>
      <c r="AC414" s="347"/>
      <c r="AD414" s="347"/>
      <c r="AE414" s="347"/>
      <c r="AF414" s="347"/>
      <c r="AG414" s="579"/>
      <c r="AH414" s="579"/>
      <c r="AI414" s="582"/>
      <c r="AJ414" s="582"/>
      <c r="AK414" s="582"/>
      <c r="AL414" s="582"/>
      <c r="AM414" s="579"/>
      <c r="AN414" s="579"/>
      <c r="AO414" s="347"/>
      <c r="AP414" s="586"/>
      <c r="AQ414" s="596"/>
      <c r="AR414" s="596"/>
      <c r="AS414" s="348"/>
      <c r="AT414" s="348"/>
      <c r="AU414" s="348"/>
      <c r="AV414" s="348"/>
      <c r="AW414" s="348"/>
      <c r="AX414" s="584"/>
      <c r="AY414" s="581"/>
      <c r="AZ414" s="581"/>
      <c r="BA414" s="596"/>
      <c r="BB414" s="596"/>
      <c r="BC414" s="348"/>
      <c r="BD414" s="581"/>
      <c r="BE414" s="581"/>
      <c r="BF414" s="347"/>
      <c r="BG414" s="347"/>
      <c r="BH414" s="347"/>
      <c r="BI414" s="347"/>
      <c r="BJ414" s="586"/>
      <c r="BK414" s="581"/>
      <c r="BL414" s="347"/>
      <c r="BM414" s="347"/>
      <c r="BN414" s="347"/>
      <c r="BO414" s="586"/>
      <c r="BP414" s="584"/>
      <c r="BQ414" s="347"/>
      <c r="BR414" s="586"/>
      <c r="BS414" s="588"/>
      <c r="BT414" s="586"/>
      <c r="BU414" s="589"/>
      <c r="BV414" s="581">
        <f t="shared" si="44"/>
        <v>0</v>
      </c>
      <c r="BW414" s="590"/>
      <c r="BX414" s="347"/>
      <c r="BY414" s="347"/>
      <c r="BZ414" s="347"/>
      <c r="CA414" s="586"/>
      <c r="CB414" s="581"/>
      <c r="CC414" s="581">
        <f t="shared" si="193"/>
        <v>0</v>
      </c>
      <c r="CD414" s="581"/>
      <c r="CE414" s="581"/>
      <c r="CF414" s="581"/>
      <c r="CG414" s="586"/>
      <c r="CH414" s="608"/>
      <c r="CI414" s="603"/>
      <c r="CJ414" s="347"/>
      <c r="CK414" s="347"/>
      <c r="CL414" s="347"/>
      <c r="CM414" s="347"/>
      <c r="CN414" s="347"/>
      <c r="CO414" s="347"/>
      <c r="CP414" s="347"/>
    </row>
    <row r="415">
      <c r="A415" s="574"/>
      <c r="B415" s="574"/>
      <c r="C415" s="347"/>
      <c r="D415" s="574"/>
      <c r="E415" s="347"/>
      <c r="F415" s="596"/>
      <c r="G415" s="596"/>
      <c r="H415" s="347"/>
      <c r="I415" s="347"/>
      <c r="J415" s="596"/>
      <c r="K415" s="609"/>
      <c r="L415" s="1"/>
      <c r="M415" s="347"/>
      <c r="N415" s="347"/>
      <c r="O415" s="579"/>
      <c r="P415" s="579"/>
      <c r="Q415" s="574"/>
      <c r="R415" s="347"/>
      <c r="S415" s="597"/>
      <c r="T415" s="347"/>
      <c r="U415" s="579"/>
      <c r="V415" s="579"/>
      <c r="W415" s="574"/>
      <c r="X415" s="347"/>
      <c r="Y415" s="347"/>
      <c r="Z415" s="347"/>
      <c r="AA415" s="579"/>
      <c r="AB415" s="581"/>
      <c r="AC415" s="347"/>
      <c r="AD415" s="347"/>
      <c r="AE415" s="347"/>
      <c r="AF415" s="347"/>
      <c r="AG415" s="579"/>
      <c r="AH415" s="579"/>
      <c r="AI415" s="582"/>
      <c r="AJ415" s="582"/>
      <c r="AK415" s="582"/>
      <c r="AL415" s="582"/>
      <c r="AM415" s="579"/>
      <c r="AN415" s="579"/>
      <c r="AO415" s="347"/>
      <c r="AP415" s="586"/>
      <c r="AQ415" s="596"/>
      <c r="AR415" s="596"/>
      <c r="AS415" s="348"/>
      <c r="AT415" s="348"/>
      <c r="AU415" s="348"/>
      <c r="AV415" s="348"/>
      <c r="AW415" s="348"/>
      <c r="AX415" s="584"/>
      <c r="AY415" s="581"/>
      <c r="AZ415" s="581"/>
      <c r="BA415" s="596"/>
      <c r="BB415" s="596"/>
      <c r="BC415" s="348"/>
      <c r="BD415" s="581"/>
      <c r="BE415" s="581"/>
      <c r="BF415" s="347"/>
      <c r="BG415" s="347"/>
      <c r="BH415" s="347"/>
      <c r="BI415" s="347"/>
      <c r="BJ415" s="586"/>
      <c r="BK415" s="581"/>
      <c r="BL415" s="347"/>
      <c r="BM415" s="347"/>
      <c r="BN415" s="347"/>
      <c r="BO415" s="586"/>
      <c r="BP415" s="584"/>
      <c r="BQ415" s="347"/>
      <c r="BR415" s="586"/>
      <c r="BS415" s="588"/>
      <c r="BT415" s="586"/>
      <c r="BU415" s="589"/>
      <c r="BV415" s="581">
        <f t="shared" si="44"/>
        <v>0</v>
      </c>
      <c r="BW415" s="590"/>
      <c r="BX415" s="347"/>
      <c r="BY415" s="347"/>
      <c r="BZ415" s="347"/>
      <c r="CA415" s="586"/>
      <c r="CB415" s="581"/>
      <c r="CC415" s="581">
        <f t="shared" si="193"/>
        <v>0</v>
      </c>
      <c r="CD415" s="581"/>
      <c r="CE415" s="581"/>
      <c r="CF415" s="581"/>
      <c r="CG415" s="586"/>
      <c r="CH415" s="608"/>
      <c r="CI415" s="603"/>
      <c r="CJ415" s="347"/>
      <c r="CK415" s="347"/>
      <c r="CL415" s="347"/>
      <c r="CM415" s="347"/>
      <c r="CN415" s="347"/>
      <c r="CO415" s="347"/>
      <c r="CP415" s="347"/>
    </row>
    <row r="416">
      <c r="A416" s="574"/>
      <c r="B416" s="574"/>
      <c r="C416" s="347"/>
      <c r="D416" s="574"/>
      <c r="E416" s="347"/>
      <c r="F416" s="596"/>
      <c r="G416" s="596"/>
      <c r="H416" s="347"/>
      <c r="I416" s="347"/>
      <c r="J416" s="596"/>
      <c r="K416" s="609"/>
      <c r="L416" s="1"/>
      <c r="M416" s="347"/>
      <c r="N416" s="347"/>
      <c r="O416" s="579"/>
      <c r="P416" s="579"/>
      <c r="Q416" s="574"/>
      <c r="R416" s="347"/>
      <c r="S416" s="597"/>
      <c r="T416" s="347"/>
      <c r="U416" s="579"/>
      <c r="V416" s="579"/>
      <c r="W416" s="574"/>
      <c r="X416" s="347"/>
      <c r="Y416" s="347"/>
      <c r="Z416" s="347"/>
      <c r="AA416" s="579"/>
      <c r="AB416" s="581"/>
      <c r="AC416" s="347"/>
      <c r="AD416" s="347"/>
      <c r="AE416" s="347"/>
      <c r="AF416" s="347"/>
      <c r="AG416" s="579"/>
      <c r="AH416" s="579"/>
      <c r="AI416" s="582"/>
      <c r="AJ416" s="582"/>
      <c r="AK416" s="582"/>
      <c r="AL416" s="582"/>
      <c r="AM416" s="579"/>
      <c r="AN416" s="579"/>
      <c r="AO416" s="347"/>
      <c r="AP416" s="586"/>
      <c r="AQ416" s="596"/>
      <c r="AR416" s="596"/>
      <c r="AS416" s="348"/>
      <c r="AT416" s="348"/>
      <c r="AU416" s="348"/>
      <c r="AV416" s="348"/>
      <c r="AW416" s="348"/>
      <c r="AX416" s="584"/>
      <c r="AY416" s="581"/>
      <c r="AZ416" s="581"/>
      <c r="BA416" s="596"/>
      <c r="BB416" s="596"/>
      <c r="BC416" s="348"/>
      <c r="BD416" s="581"/>
      <c r="BE416" s="581"/>
      <c r="BF416" s="347"/>
      <c r="BG416" s="347"/>
      <c r="BH416" s="347"/>
      <c r="BI416" s="347"/>
      <c r="BJ416" s="586"/>
      <c r="BK416" s="581"/>
      <c r="BL416" s="347"/>
      <c r="BM416" s="347"/>
      <c r="BN416" s="347"/>
      <c r="BO416" s="586"/>
      <c r="BP416" s="584"/>
      <c r="BQ416" s="347"/>
      <c r="BR416" s="586"/>
      <c r="BS416" s="588"/>
      <c r="BT416" s="586"/>
      <c r="BU416" s="589"/>
      <c r="BV416" s="581">
        <f t="shared" si="44"/>
        <v>0</v>
      </c>
      <c r="BW416" s="590"/>
      <c r="BX416" s="347"/>
      <c r="BY416" s="347"/>
      <c r="BZ416" s="347"/>
      <c r="CA416" s="586"/>
      <c r="CB416" s="581"/>
      <c r="CC416" s="581">
        <f t="shared" si="193"/>
        <v>0</v>
      </c>
      <c r="CD416" s="581"/>
      <c r="CE416" s="581"/>
      <c r="CF416" s="581"/>
      <c r="CG416" s="586"/>
      <c r="CH416" s="608"/>
      <c r="CI416" s="603"/>
      <c r="CJ416" s="347"/>
      <c r="CK416" s="347"/>
      <c r="CL416" s="347"/>
      <c r="CM416" s="347"/>
      <c r="CN416" s="347"/>
      <c r="CO416" s="347"/>
      <c r="CP416" s="347"/>
    </row>
    <row r="417">
      <c r="A417" s="574"/>
      <c r="B417" s="574"/>
      <c r="C417" s="347"/>
      <c r="D417" s="574"/>
      <c r="E417" s="347"/>
      <c r="F417" s="596"/>
      <c r="G417" s="596"/>
      <c r="H417" s="347"/>
      <c r="I417" s="347"/>
      <c r="J417" s="596"/>
      <c r="K417" s="609"/>
      <c r="L417" s="1"/>
      <c r="M417" s="347"/>
      <c r="N417" s="347"/>
      <c r="O417" s="579"/>
      <c r="P417" s="579"/>
      <c r="Q417" s="574"/>
      <c r="R417" s="347"/>
      <c r="S417" s="597"/>
      <c r="T417" s="347"/>
      <c r="U417" s="579"/>
      <c r="V417" s="579"/>
      <c r="W417" s="574"/>
      <c r="X417" s="347"/>
      <c r="Y417" s="347"/>
      <c r="Z417" s="347"/>
      <c r="AA417" s="579"/>
      <c r="AB417" s="581"/>
      <c r="AC417" s="347"/>
      <c r="AD417" s="347"/>
      <c r="AE417" s="347"/>
      <c r="AF417" s="347"/>
      <c r="AG417" s="579"/>
      <c r="AH417" s="579"/>
      <c r="AI417" s="582"/>
      <c r="AJ417" s="582"/>
      <c r="AK417" s="582"/>
      <c r="AL417" s="582"/>
      <c r="AM417" s="579"/>
      <c r="AN417" s="579"/>
      <c r="AO417" s="347"/>
      <c r="AP417" s="586"/>
      <c r="AQ417" s="596"/>
      <c r="AR417" s="596"/>
      <c r="AS417" s="348"/>
      <c r="AT417" s="348"/>
      <c r="AU417" s="348"/>
      <c r="AV417" s="348"/>
      <c r="AW417" s="348"/>
      <c r="AX417" s="584"/>
      <c r="AY417" s="581"/>
      <c r="AZ417" s="581"/>
      <c r="BA417" s="596"/>
      <c r="BB417" s="596"/>
      <c r="BC417" s="348"/>
      <c r="BD417" s="581"/>
      <c r="BE417" s="581"/>
      <c r="BF417" s="347"/>
      <c r="BG417" s="347"/>
      <c r="BH417" s="347"/>
      <c r="BI417" s="347"/>
      <c r="BJ417" s="586"/>
      <c r="BK417" s="581"/>
      <c r="BL417" s="347"/>
      <c r="BM417" s="347"/>
      <c r="BN417" s="347"/>
      <c r="BO417" s="586"/>
      <c r="BP417" s="584"/>
      <c r="BQ417" s="347"/>
      <c r="BR417" s="586"/>
      <c r="BS417" s="588"/>
      <c r="BT417" s="586"/>
      <c r="BU417" s="589"/>
      <c r="BV417" s="581">
        <f t="shared" si="44"/>
        <v>0</v>
      </c>
      <c r="BW417" s="590"/>
      <c r="BX417" s="347"/>
      <c r="BY417" s="347"/>
      <c r="BZ417" s="347"/>
      <c r="CA417" s="586"/>
      <c r="CB417" s="581"/>
      <c r="CC417" s="581">
        <f t="shared" si="193"/>
        <v>0</v>
      </c>
      <c r="CD417" s="581"/>
      <c r="CE417" s="581"/>
      <c r="CF417" s="581"/>
      <c r="CG417" s="586"/>
      <c r="CH417" s="608"/>
      <c r="CI417" s="603"/>
      <c r="CJ417" s="347"/>
      <c r="CK417" s="347"/>
      <c r="CL417" s="347"/>
      <c r="CM417" s="347"/>
      <c r="CN417" s="347"/>
      <c r="CO417" s="347"/>
      <c r="CP417" s="347"/>
    </row>
    <row r="418">
      <c r="A418" s="574"/>
      <c r="B418" s="574"/>
      <c r="C418" s="347"/>
      <c r="D418" s="574"/>
      <c r="E418" s="347"/>
      <c r="F418" s="596"/>
      <c r="G418" s="596"/>
      <c r="H418" s="347"/>
      <c r="I418" s="347"/>
      <c r="J418" s="596"/>
      <c r="K418" s="609"/>
      <c r="L418" s="1"/>
      <c r="M418" s="347"/>
      <c r="N418" s="347"/>
      <c r="O418" s="579"/>
      <c r="P418" s="579"/>
      <c r="Q418" s="574"/>
      <c r="R418" s="347"/>
      <c r="S418" s="597"/>
      <c r="T418" s="347"/>
      <c r="U418" s="579"/>
      <c r="V418" s="579"/>
      <c r="W418" s="574"/>
      <c r="X418" s="347"/>
      <c r="Y418" s="347"/>
      <c r="Z418" s="347"/>
      <c r="AA418" s="579"/>
      <c r="AB418" s="581"/>
      <c r="AC418" s="347"/>
      <c r="AD418" s="347"/>
      <c r="AE418" s="347"/>
      <c r="AF418" s="347"/>
      <c r="AG418" s="579"/>
      <c r="AH418" s="579"/>
      <c r="AI418" s="582"/>
      <c r="AJ418" s="582"/>
      <c r="AK418" s="582"/>
      <c r="AL418" s="582"/>
      <c r="AM418" s="579"/>
      <c r="AN418" s="579"/>
      <c r="AO418" s="347"/>
      <c r="AP418" s="586"/>
      <c r="AQ418" s="596"/>
      <c r="AR418" s="596"/>
      <c r="AS418" s="348"/>
      <c r="AT418" s="348"/>
      <c r="AU418" s="348"/>
      <c r="AV418" s="348"/>
      <c r="AW418" s="348"/>
      <c r="AX418" s="584"/>
      <c r="AY418" s="581"/>
      <c r="AZ418" s="581"/>
      <c r="BA418" s="596"/>
      <c r="BB418" s="596"/>
      <c r="BC418" s="348"/>
      <c r="BD418" s="581"/>
      <c r="BE418" s="581"/>
      <c r="BF418" s="347"/>
      <c r="BG418" s="347"/>
      <c r="BH418" s="347"/>
      <c r="BI418" s="347"/>
      <c r="BJ418" s="586"/>
      <c r="BK418" s="581"/>
      <c r="BL418" s="347"/>
      <c r="BM418" s="347"/>
      <c r="BN418" s="347"/>
      <c r="BO418" s="586"/>
      <c r="BP418" s="584"/>
      <c r="BQ418" s="347"/>
      <c r="BR418" s="586"/>
      <c r="BS418" s="588"/>
      <c r="BT418" s="586"/>
      <c r="BU418" s="589"/>
      <c r="BV418" s="581">
        <f t="shared" si="44"/>
        <v>0</v>
      </c>
      <c r="BW418" s="590"/>
      <c r="BX418" s="347"/>
      <c r="BY418" s="347"/>
      <c r="BZ418" s="347"/>
      <c r="CA418" s="586"/>
      <c r="CB418" s="581"/>
      <c r="CC418" s="581">
        <f t="shared" si="193"/>
        <v>0</v>
      </c>
      <c r="CD418" s="581"/>
      <c r="CE418" s="581"/>
      <c r="CF418" s="581"/>
      <c r="CG418" s="586"/>
      <c r="CH418" s="608"/>
      <c r="CI418" s="603"/>
      <c r="CJ418" s="347"/>
      <c r="CK418" s="347"/>
      <c r="CL418" s="347"/>
      <c r="CM418" s="347"/>
      <c r="CN418" s="347"/>
      <c r="CO418" s="347"/>
      <c r="CP418" s="347"/>
    </row>
    <row r="419">
      <c r="A419" s="574"/>
      <c r="B419" s="574"/>
      <c r="C419" s="347"/>
      <c r="D419" s="574"/>
      <c r="E419" s="347"/>
      <c r="F419" s="596"/>
      <c r="G419" s="596"/>
      <c r="H419" s="347"/>
      <c r="I419" s="347"/>
      <c r="J419" s="596"/>
      <c r="K419" s="609"/>
      <c r="L419" s="1"/>
      <c r="M419" s="347"/>
      <c r="N419" s="347"/>
      <c r="O419" s="579"/>
      <c r="P419" s="579"/>
      <c r="Q419" s="574"/>
      <c r="R419" s="347"/>
      <c r="S419" s="597"/>
      <c r="T419" s="347"/>
      <c r="U419" s="579"/>
      <c r="V419" s="579"/>
      <c r="W419" s="574"/>
      <c r="X419" s="347"/>
      <c r="Y419" s="347"/>
      <c r="Z419" s="347"/>
      <c r="AA419" s="579"/>
      <c r="AB419" s="581"/>
      <c r="AC419" s="347"/>
      <c r="AD419" s="347"/>
      <c r="AE419" s="347"/>
      <c r="AF419" s="347"/>
      <c r="AG419" s="579"/>
      <c r="AH419" s="579"/>
      <c r="AI419" s="582"/>
      <c r="AJ419" s="582"/>
      <c r="AK419" s="582"/>
      <c r="AL419" s="582"/>
      <c r="AM419" s="579"/>
      <c r="AN419" s="579"/>
      <c r="AO419" s="347"/>
      <c r="AP419" s="586"/>
      <c r="AQ419" s="596"/>
      <c r="AR419" s="596"/>
      <c r="AS419" s="348"/>
      <c r="AT419" s="348"/>
      <c r="AU419" s="348"/>
      <c r="AV419" s="348"/>
      <c r="AW419" s="348"/>
      <c r="AX419" s="584"/>
      <c r="AY419" s="581"/>
      <c r="AZ419" s="581"/>
      <c r="BA419" s="596"/>
      <c r="BB419" s="596"/>
      <c r="BC419" s="348"/>
      <c r="BD419" s="581"/>
      <c r="BE419" s="581"/>
      <c r="BF419" s="347"/>
      <c r="BG419" s="347"/>
      <c r="BH419" s="347"/>
      <c r="BI419" s="347"/>
      <c r="BJ419" s="586"/>
      <c r="BK419" s="581"/>
      <c r="BL419" s="347"/>
      <c r="BM419" s="347"/>
      <c r="BN419" s="347"/>
      <c r="BO419" s="586"/>
      <c r="BP419" s="584"/>
      <c r="BQ419" s="347"/>
      <c r="BR419" s="586"/>
      <c r="BS419" s="588"/>
      <c r="BT419" s="586"/>
      <c r="BU419" s="589"/>
      <c r="BV419" s="581">
        <f t="shared" si="44"/>
        <v>0</v>
      </c>
      <c r="BW419" s="590"/>
      <c r="BX419" s="347"/>
      <c r="BY419" s="347"/>
      <c r="BZ419" s="347"/>
      <c r="CA419" s="586"/>
      <c r="CB419" s="581"/>
      <c r="CC419" s="581">
        <f t="shared" si="193"/>
        <v>0</v>
      </c>
      <c r="CD419" s="581"/>
      <c r="CE419" s="581"/>
      <c r="CF419" s="581"/>
      <c r="CG419" s="586"/>
      <c r="CH419" s="608"/>
      <c r="CI419" s="603"/>
      <c r="CJ419" s="347"/>
      <c r="CK419" s="347"/>
      <c r="CL419" s="347"/>
      <c r="CM419" s="347"/>
      <c r="CN419" s="347"/>
      <c r="CO419" s="347"/>
      <c r="CP419" s="347"/>
    </row>
    <row r="420">
      <c r="A420" s="574"/>
      <c r="B420" s="574"/>
      <c r="C420" s="347"/>
      <c r="D420" s="574"/>
      <c r="E420" s="347"/>
      <c r="F420" s="596"/>
      <c r="G420" s="596"/>
      <c r="H420" s="347"/>
      <c r="I420" s="347"/>
      <c r="J420" s="596"/>
      <c r="K420" s="609"/>
      <c r="L420" s="1"/>
      <c r="M420" s="347"/>
      <c r="N420" s="347"/>
      <c r="O420" s="579"/>
      <c r="P420" s="579"/>
      <c r="Q420" s="574"/>
      <c r="R420" s="347"/>
      <c r="S420" s="597"/>
      <c r="T420" s="347"/>
      <c r="U420" s="579"/>
      <c r="V420" s="579"/>
      <c r="W420" s="574"/>
      <c r="X420" s="347"/>
      <c r="Y420" s="347"/>
      <c r="Z420" s="347"/>
      <c r="AA420" s="579"/>
      <c r="AB420" s="581"/>
      <c r="AC420" s="347"/>
      <c r="AD420" s="347"/>
      <c r="AE420" s="347"/>
      <c r="AF420" s="347"/>
      <c r="AG420" s="579"/>
      <c r="AH420" s="579"/>
      <c r="AI420" s="582"/>
      <c r="AJ420" s="582"/>
      <c r="AK420" s="582"/>
      <c r="AL420" s="582"/>
      <c r="AM420" s="579"/>
      <c r="AN420" s="579"/>
      <c r="AO420" s="347"/>
      <c r="AP420" s="586"/>
      <c r="AQ420" s="596"/>
      <c r="AR420" s="596"/>
      <c r="AS420" s="348"/>
      <c r="AT420" s="348"/>
      <c r="AU420" s="348"/>
      <c r="AV420" s="348"/>
      <c r="AW420" s="348"/>
      <c r="AX420" s="584"/>
      <c r="AY420" s="581"/>
      <c r="AZ420" s="581"/>
      <c r="BA420" s="596"/>
      <c r="BB420" s="596"/>
      <c r="BC420" s="348"/>
      <c r="BD420" s="581"/>
      <c r="BE420" s="581"/>
      <c r="BF420" s="347"/>
      <c r="BG420" s="347"/>
      <c r="BH420" s="347"/>
      <c r="BI420" s="347"/>
      <c r="BJ420" s="586"/>
      <c r="BK420" s="581"/>
      <c r="BL420" s="347"/>
      <c r="BM420" s="347"/>
      <c r="BN420" s="347"/>
      <c r="BO420" s="586"/>
      <c r="BP420" s="584"/>
      <c r="BQ420" s="347"/>
      <c r="BR420" s="586"/>
      <c r="BS420" s="588"/>
      <c r="BT420" s="586"/>
      <c r="BU420" s="589"/>
      <c r="BV420" s="581">
        <f t="shared" si="44"/>
        <v>0</v>
      </c>
      <c r="BW420" s="590"/>
      <c r="BX420" s="347"/>
      <c r="BY420" s="347"/>
      <c r="BZ420" s="347"/>
      <c r="CA420" s="586"/>
      <c r="CB420" s="581"/>
      <c r="CC420" s="581">
        <f t="shared" si="193"/>
        <v>0</v>
      </c>
      <c r="CD420" s="581"/>
      <c r="CE420" s="581"/>
      <c r="CF420" s="581"/>
      <c r="CG420" s="586"/>
      <c r="CH420" s="608"/>
      <c r="CI420" s="603"/>
      <c r="CJ420" s="347"/>
      <c r="CK420" s="347"/>
      <c r="CL420" s="347"/>
      <c r="CM420" s="347"/>
      <c r="CN420" s="347"/>
      <c r="CO420" s="347"/>
      <c r="CP420" s="347"/>
    </row>
    <row r="421">
      <c r="A421" s="574"/>
      <c r="B421" s="574"/>
      <c r="C421" s="347"/>
      <c r="D421" s="574"/>
      <c r="E421" s="347"/>
      <c r="F421" s="596"/>
      <c r="G421" s="596"/>
      <c r="H421" s="347"/>
      <c r="I421" s="347"/>
      <c r="J421" s="596"/>
      <c r="K421" s="609"/>
      <c r="L421" s="1"/>
      <c r="M421" s="347"/>
      <c r="N421" s="347"/>
      <c r="O421" s="579"/>
      <c r="P421" s="579"/>
      <c r="Q421" s="574"/>
      <c r="R421" s="347"/>
      <c r="S421" s="597"/>
      <c r="T421" s="347"/>
      <c r="U421" s="579"/>
      <c r="V421" s="579"/>
      <c r="W421" s="574"/>
      <c r="X421" s="347"/>
      <c r="Y421" s="347"/>
      <c r="Z421" s="347"/>
      <c r="AA421" s="579"/>
      <c r="AB421" s="581"/>
      <c r="AC421" s="347"/>
      <c r="AD421" s="347"/>
      <c r="AE421" s="347"/>
      <c r="AF421" s="347"/>
      <c r="AG421" s="579"/>
      <c r="AH421" s="579"/>
      <c r="AI421" s="582"/>
      <c r="AJ421" s="582"/>
      <c r="AK421" s="582"/>
      <c r="AL421" s="582"/>
      <c r="AM421" s="579"/>
      <c r="AN421" s="579"/>
      <c r="AO421" s="347"/>
      <c r="AP421" s="586"/>
      <c r="AQ421" s="596"/>
      <c r="AR421" s="596"/>
      <c r="AS421" s="348"/>
      <c r="AT421" s="348"/>
      <c r="AU421" s="348"/>
      <c r="AV421" s="348"/>
      <c r="AW421" s="348"/>
      <c r="AX421" s="584"/>
      <c r="AY421" s="581"/>
      <c r="AZ421" s="581"/>
      <c r="BA421" s="596"/>
      <c r="BB421" s="596"/>
      <c r="BC421" s="348"/>
      <c r="BD421" s="581"/>
      <c r="BE421" s="581"/>
      <c r="BF421" s="347"/>
      <c r="BG421" s="347"/>
      <c r="BH421" s="347"/>
      <c r="BI421" s="347"/>
      <c r="BJ421" s="586"/>
      <c r="BK421" s="581"/>
      <c r="BL421" s="347"/>
      <c r="BM421" s="347"/>
      <c r="BN421" s="347"/>
      <c r="BO421" s="586"/>
      <c r="BP421" s="584"/>
      <c r="BQ421" s="347"/>
      <c r="BR421" s="586"/>
      <c r="BS421" s="588"/>
      <c r="BT421" s="586"/>
      <c r="BU421" s="589"/>
      <c r="BV421" s="581">
        <f t="shared" si="44"/>
        <v>0</v>
      </c>
      <c r="BW421" s="590"/>
      <c r="BX421" s="347"/>
      <c r="BY421" s="347"/>
      <c r="BZ421" s="347"/>
      <c r="CA421" s="586"/>
      <c r="CB421" s="581"/>
      <c r="CC421" s="581">
        <f t="shared" si="193"/>
        <v>0</v>
      </c>
      <c r="CD421" s="581"/>
      <c r="CE421" s="581"/>
      <c r="CF421" s="581"/>
      <c r="CG421" s="586"/>
      <c r="CH421" s="608"/>
      <c r="CI421" s="603"/>
      <c r="CJ421" s="347"/>
      <c r="CK421" s="347"/>
      <c r="CL421" s="347"/>
      <c r="CM421" s="347"/>
      <c r="CN421" s="347"/>
      <c r="CO421" s="347"/>
      <c r="CP421" s="347"/>
    </row>
    <row r="422">
      <c r="A422" s="574"/>
      <c r="B422" s="574"/>
      <c r="C422" s="347"/>
      <c r="D422" s="574"/>
      <c r="E422" s="347"/>
      <c r="F422" s="596"/>
      <c r="G422" s="596"/>
      <c r="H422" s="347"/>
      <c r="I422" s="347"/>
      <c r="J422" s="596"/>
      <c r="K422" s="609"/>
      <c r="L422" s="1"/>
      <c r="M422" s="347"/>
      <c r="N422" s="347"/>
      <c r="O422" s="579"/>
      <c r="P422" s="579"/>
      <c r="Q422" s="574"/>
      <c r="R422" s="347"/>
      <c r="S422" s="597"/>
      <c r="T422" s="347"/>
      <c r="U422" s="579"/>
      <c r="V422" s="579"/>
      <c r="W422" s="574"/>
      <c r="X422" s="347"/>
      <c r="Y422" s="347"/>
      <c r="Z422" s="347"/>
      <c r="AA422" s="579"/>
      <c r="AB422" s="581"/>
      <c r="AC422" s="347"/>
      <c r="AD422" s="347"/>
      <c r="AE422" s="347"/>
      <c r="AF422" s="347"/>
      <c r="AG422" s="579"/>
      <c r="AH422" s="579"/>
      <c r="AI422" s="582"/>
      <c r="AJ422" s="582"/>
      <c r="AK422" s="582"/>
      <c r="AL422" s="582"/>
      <c r="AM422" s="579"/>
      <c r="AN422" s="579"/>
      <c r="AO422" s="347"/>
      <c r="AP422" s="586"/>
      <c r="AQ422" s="596"/>
      <c r="AR422" s="596"/>
      <c r="AS422" s="348"/>
      <c r="AT422" s="348"/>
      <c r="AU422" s="348"/>
      <c r="AV422" s="348"/>
      <c r="AW422" s="348"/>
      <c r="AX422" s="584"/>
      <c r="AY422" s="581"/>
      <c r="AZ422" s="581"/>
      <c r="BA422" s="596"/>
      <c r="BB422" s="596"/>
      <c r="BC422" s="348"/>
      <c r="BD422" s="581"/>
      <c r="BE422" s="581"/>
      <c r="BF422" s="347"/>
      <c r="BG422" s="347"/>
      <c r="BH422" s="347"/>
      <c r="BI422" s="347"/>
      <c r="BJ422" s="586"/>
      <c r="BK422" s="581"/>
      <c r="BL422" s="347"/>
      <c r="BM422" s="347"/>
      <c r="BN422" s="347"/>
      <c r="BO422" s="586"/>
      <c r="BP422" s="584"/>
      <c r="BQ422" s="347"/>
      <c r="BR422" s="586"/>
      <c r="BS422" s="588"/>
      <c r="BT422" s="586"/>
      <c r="BU422" s="589"/>
      <c r="BV422" s="581">
        <f t="shared" si="44"/>
        <v>0</v>
      </c>
      <c r="BW422" s="590"/>
      <c r="BX422" s="347"/>
      <c r="BY422" s="347"/>
      <c r="BZ422" s="347"/>
      <c r="CA422" s="586"/>
      <c r="CB422" s="581"/>
      <c r="CC422" s="581">
        <f t="shared" si="193"/>
        <v>0</v>
      </c>
      <c r="CD422" s="581"/>
      <c r="CE422" s="581"/>
      <c r="CF422" s="581"/>
      <c r="CG422" s="586"/>
      <c r="CH422" s="608"/>
      <c r="CI422" s="603"/>
      <c r="CJ422" s="347"/>
      <c r="CK422" s="347"/>
      <c r="CL422" s="347"/>
      <c r="CM422" s="347"/>
      <c r="CN422" s="347"/>
      <c r="CO422" s="347"/>
      <c r="CP422" s="347"/>
    </row>
    <row r="423">
      <c r="A423" s="574"/>
      <c r="B423" s="574"/>
      <c r="C423" s="347"/>
      <c r="D423" s="574"/>
      <c r="E423" s="347"/>
      <c r="F423" s="596"/>
      <c r="G423" s="596"/>
      <c r="H423" s="347"/>
      <c r="I423" s="347"/>
      <c r="J423" s="596"/>
      <c r="K423" s="609"/>
      <c r="L423" s="1"/>
      <c r="M423" s="347"/>
      <c r="N423" s="347"/>
      <c r="O423" s="579"/>
      <c r="P423" s="579"/>
      <c r="Q423" s="574"/>
      <c r="R423" s="347"/>
      <c r="S423" s="597"/>
      <c r="T423" s="347"/>
      <c r="U423" s="579"/>
      <c r="V423" s="579"/>
      <c r="W423" s="574"/>
      <c r="X423" s="347"/>
      <c r="Y423" s="347"/>
      <c r="Z423" s="347"/>
      <c r="AA423" s="579"/>
      <c r="AB423" s="581"/>
      <c r="AC423" s="347"/>
      <c r="AD423" s="347"/>
      <c r="AE423" s="347"/>
      <c r="AF423" s="347"/>
      <c r="AG423" s="579"/>
      <c r="AH423" s="579"/>
      <c r="AI423" s="582"/>
      <c r="AJ423" s="582"/>
      <c r="AK423" s="582"/>
      <c r="AL423" s="582"/>
      <c r="AM423" s="579"/>
      <c r="AN423" s="579"/>
      <c r="AO423" s="347"/>
      <c r="AP423" s="586"/>
      <c r="AQ423" s="596"/>
      <c r="AR423" s="596"/>
      <c r="AS423" s="348"/>
      <c r="AT423" s="348"/>
      <c r="AU423" s="348"/>
      <c r="AV423" s="348"/>
      <c r="AW423" s="348"/>
      <c r="AX423" s="584"/>
      <c r="AY423" s="581"/>
      <c r="AZ423" s="581"/>
      <c r="BA423" s="596"/>
      <c r="BB423" s="596"/>
      <c r="BC423" s="348"/>
      <c r="BD423" s="581"/>
      <c r="BE423" s="581"/>
      <c r="BF423" s="347"/>
      <c r="BG423" s="347"/>
      <c r="BH423" s="347"/>
      <c r="BI423" s="347"/>
      <c r="BJ423" s="586"/>
      <c r="BK423" s="581"/>
      <c r="BL423" s="347"/>
      <c r="BM423" s="347"/>
      <c r="BN423" s="347"/>
      <c r="BO423" s="586"/>
      <c r="BP423" s="584"/>
      <c r="BQ423" s="347"/>
      <c r="BR423" s="586"/>
      <c r="BS423" s="588"/>
      <c r="BT423" s="586"/>
      <c r="BU423" s="589"/>
      <c r="BV423" s="581">
        <f t="shared" si="44"/>
        <v>0</v>
      </c>
      <c r="BW423" s="590"/>
      <c r="BX423" s="347"/>
      <c r="BY423" s="347"/>
      <c r="BZ423" s="347"/>
      <c r="CA423" s="586"/>
      <c r="CB423" s="581"/>
      <c r="CC423" s="581">
        <f t="shared" si="193"/>
        <v>0</v>
      </c>
      <c r="CD423" s="581"/>
      <c r="CE423" s="581"/>
      <c r="CF423" s="581"/>
      <c r="CG423" s="586"/>
      <c r="CH423" s="608"/>
      <c r="CI423" s="603"/>
      <c r="CJ423" s="347"/>
      <c r="CK423" s="347"/>
      <c r="CL423" s="347"/>
      <c r="CM423" s="347"/>
      <c r="CN423" s="347"/>
      <c r="CO423" s="347"/>
      <c r="CP423" s="347"/>
    </row>
    <row r="424">
      <c r="A424" s="574"/>
      <c r="B424" s="574"/>
      <c r="C424" s="347"/>
      <c r="D424" s="574"/>
      <c r="E424" s="347"/>
      <c r="F424" s="596"/>
      <c r="G424" s="596"/>
      <c r="H424" s="347"/>
      <c r="I424" s="347"/>
      <c r="J424" s="596"/>
      <c r="K424" s="609"/>
      <c r="L424" s="1"/>
      <c r="M424" s="347"/>
      <c r="N424" s="347"/>
      <c r="O424" s="579"/>
      <c r="P424" s="579"/>
      <c r="Q424" s="574"/>
      <c r="R424" s="347"/>
      <c r="S424" s="597"/>
      <c r="T424" s="347"/>
      <c r="U424" s="579"/>
      <c r="V424" s="579"/>
      <c r="W424" s="574"/>
      <c r="X424" s="347"/>
      <c r="Y424" s="347"/>
      <c r="Z424" s="347"/>
      <c r="AA424" s="579"/>
      <c r="AB424" s="581"/>
      <c r="AC424" s="347"/>
      <c r="AD424" s="347"/>
      <c r="AE424" s="347"/>
      <c r="AF424" s="347"/>
      <c r="AG424" s="579"/>
      <c r="AH424" s="579"/>
      <c r="AI424" s="582"/>
      <c r="AJ424" s="582"/>
      <c r="AK424" s="582"/>
      <c r="AL424" s="582"/>
      <c r="AM424" s="579"/>
      <c r="AN424" s="579"/>
      <c r="AO424" s="347"/>
      <c r="AP424" s="586"/>
      <c r="AQ424" s="596"/>
      <c r="AR424" s="596"/>
      <c r="AS424" s="348"/>
      <c r="AT424" s="348"/>
      <c r="AU424" s="348"/>
      <c r="AV424" s="348"/>
      <c r="AW424" s="348"/>
      <c r="AX424" s="584"/>
      <c r="AY424" s="581"/>
      <c r="AZ424" s="581"/>
      <c r="BA424" s="596"/>
      <c r="BB424" s="596"/>
      <c r="BC424" s="348"/>
      <c r="BD424" s="581"/>
      <c r="BE424" s="581"/>
      <c r="BF424" s="347"/>
      <c r="BG424" s="347"/>
      <c r="BH424" s="347"/>
      <c r="BI424" s="347"/>
      <c r="BJ424" s="586"/>
      <c r="BK424" s="581"/>
      <c r="BL424" s="347"/>
      <c r="BM424" s="347"/>
      <c r="BN424" s="347"/>
      <c r="BO424" s="586"/>
      <c r="BP424" s="584"/>
      <c r="BQ424" s="347"/>
      <c r="BR424" s="586"/>
      <c r="BS424" s="588"/>
      <c r="BT424" s="586"/>
      <c r="BU424" s="589"/>
      <c r="BV424" s="581">
        <f t="shared" si="44"/>
        <v>0</v>
      </c>
      <c r="BW424" s="590"/>
      <c r="BX424" s="347"/>
      <c r="BY424" s="347"/>
      <c r="BZ424" s="347"/>
      <c r="CA424" s="586"/>
      <c r="CB424" s="581"/>
      <c r="CC424" s="581">
        <f t="shared" si="193"/>
        <v>0</v>
      </c>
      <c r="CD424" s="581"/>
      <c r="CE424" s="581"/>
      <c r="CF424" s="581"/>
      <c r="CG424" s="586"/>
      <c r="CH424" s="608"/>
      <c r="CI424" s="603"/>
      <c r="CJ424" s="347"/>
      <c r="CK424" s="347"/>
      <c r="CL424" s="347"/>
      <c r="CM424" s="347"/>
      <c r="CN424" s="347"/>
      <c r="CO424" s="347"/>
      <c r="CP424" s="347"/>
    </row>
    <row r="425">
      <c r="A425" s="574"/>
      <c r="B425" s="574"/>
      <c r="C425" s="347"/>
      <c r="D425" s="574"/>
      <c r="E425" s="347"/>
      <c r="F425" s="596"/>
      <c r="G425" s="596"/>
      <c r="H425" s="347"/>
      <c r="I425" s="347"/>
      <c r="J425" s="596"/>
      <c r="K425" s="609"/>
      <c r="L425" s="1"/>
      <c r="M425" s="347"/>
      <c r="N425" s="347"/>
      <c r="O425" s="579"/>
      <c r="P425" s="579"/>
      <c r="Q425" s="574"/>
      <c r="R425" s="347"/>
      <c r="S425" s="597"/>
      <c r="T425" s="347"/>
      <c r="U425" s="579"/>
      <c r="V425" s="579"/>
      <c r="W425" s="574"/>
      <c r="X425" s="347"/>
      <c r="Y425" s="347"/>
      <c r="Z425" s="347"/>
      <c r="AA425" s="579"/>
      <c r="AB425" s="581"/>
      <c r="AC425" s="347"/>
      <c r="AD425" s="347"/>
      <c r="AE425" s="347"/>
      <c r="AF425" s="347"/>
      <c r="AG425" s="579"/>
      <c r="AH425" s="579"/>
      <c r="AI425" s="582"/>
      <c r="AJ425" s="582"/>
      <c r="AK425" s="582"/>
      <c r="AL425" s="582"/>
      <c r="AM425" s="579"/>
      <c r="AN425" s="579"/>
      <c r="AO425" s="347"/>
      <c r="AP425" s="586"/>
      <c r="AQ425" s="596"/>
      <c r="AR425" s="596"/>
      <c r="AS425" s="348"/>
      <c r="AT425" s="348"/>
      <c r="AU425" s="348"/>
      <c r="AV425" s="348"/>
      <c r="AW425" s="348"/>
      <c r="AX425" s="584"/>
      <c r="AY425" s="581"/>
      <c r="AZ425" s="581"/>
      <c r="BA425" s="596"/>
      <c r="BB425" s="596"/>
      <c r="BC425" s="348"/>
      <c r="BD425" s="581"/>
      <c r="BE425" s="581"/>
      <c r="BF425" s="347"/>
      <c r="BG425" s="347"/>
      <c r="BH425" s="347"/>
      <c r="BI425" s="347"/>
      <c r="BJ425" s="586"/>
      <c r="BK425" s="581"/>
      <c r="BL425" s="347"/>
      <c r="BM425" s="347"/>
      <c r="BN425" s="347"/>
      <c r="BO425" s="586"/>
      <c r="BP425" s="584"/>
      <c r="BQ425" s="347"/>
      <c r="BR425" s="586"/>
      <c r="BS425" s="588"/>
      <c r="BT425" s="586"/>
      <c r="BU425" s="589"/>
      <c r="BV425" s="581">
        <f t="shared" si="44"/>
        <v>0</v>
      </c>
      <c r="BW425" s="590"/>
      <c r="BX425" s="347"/>
      <c r="BY425" s="347"/>
      <c r="BZ425" s="347"/>
      <c r="CA425" s="586"/>
      <c r="CB425" s="581"/>
      <c r="CC425" s="581">
        <f t="shared" si="193"/>
        <v>0</v>
      </c>
      <c r="CD425" s="581"/>
      <c r="CE425" s="581"/>
      <c r="CF425" s="581"/>
      <c r="CG425" s="586"/>
      <c r="CH425" s="608"/>
      <c r="CI425" s="603"/>
      <c r="CJ425" s="347"/>
      <c r="CK425" s="347"/>
      <c r="CL425" s="347"/>
      <c r="CM425" s="347"/>
      <c r="CN425" s="347"/>
      <c r="CO425" s="347"/>
      <c r="CP425" s="347"/>
    </row>
    <row r="426">
      <c r="A426" s="574"/>
      <c r="B426" s="574"/>
      <c r="C426" s="347"/>
      <c r="D426" s="574"/>
      <c r="E426" s="347"/>
      <c r="F426" s="596"/>
      <c r="G426" s="596"/>
      <c r="H426" s="347"/>
      <c r="I426" s="347"/>
      <c r="J426" s="596"/>
      <c r="K426" s="609"/>
      <c r="L426" s="1"/>
      <c r="M426" s="347"/>
      <c r="N426" s="347"/>
      <c r="O426" s="579"/>
      <c r="P426" s="579"/>
      <c r="Q426" s="574"/>
      <c r="R426" s="347"/>
      <c r="S426" s="597"/>
      <c r="T426" s="347"/>
      <c r="U426" s="579"/>
      <c r="V426" s="579"/>
      <c r="W426" s="574"/>
      <c r="X426" s="347"/>
      <c r="Y426" s="347"/>
      <c r="Z426" s="347"/>
      <c r="AA426" s="579"/>
      <c r="AB426" s="581"/>
      <c r="AC426" s="347"/>
      <c r="AD426" s="347"/>
      <c r="AE426" s="347"/>
      <c r="AF426" s="347"/>
      <c r="AG426" s="579"/>
      <c r="AH426" s="579"/>
      <c r="AI426" s="582"/>
      <c r="AJ426" s="582"/>
      <c r="AK426" s="582"/>
      <c r="AL426" s="582"/>
      <c r="AM426" s="579"/>
      <c r="AN426" s="579"/>
      <c r="AO426" s="347"/>
      <c r="AP426" s="586"/>
      <c r="AQ426" s="596"/>
      <c r="AR426" s="596"/>
      <c r="AS426" s="348"/>
      <c r="AT426" s="348"/>
      <c r="AU426" s="348"/>
      <c r="AV426" s="348"/>
      <c r="AW426" s="348"/>
      <c r="AX426" s="584"/>
      <c r="AY426" s="581"/>
      <c r="AZ426" s="581"/>
      <c r="BA426" s="596"/>
      <c r="BB426" s="596"/>
      <c r="BC426" s="348"/>
      <c r="BD426" s="581"/>
      <c r="BE426" s="581"/>
      <c r="BF426" s="347"/>
      <c r="BG426" s="347"/>
      <c r="BH426" s="347"/>
      <c r="BI426" s="347"/>
      <c r="BJ426" s="586"/>
      <c r="BK426" s="581"/>
      <c r="BL426" s="347"/>
      <c r="BM426" s="347"/>
      <c r="BN426" s="347"/>
      <c r="BO426" s="586"/>
      <c r="BP426" s="584"/>
      <c r="BQ426" s="347"/>
      <c r="BR426" s="586"/>
      <c r="BS426" s="588"/>
      <c r="BT426" s="586"/>
      <c r="BU426" s="589"/>
      <c r="BV426" s="581">
        <f t="shared" si="44"/>
        <v>0</v>
      </c>
      <c r="BW426" s="590"/>
      <c r="BX426" s="347"/>
      <c r="BY426" s="347"/>
      <c r="BZ426" s="347"/>
      <c r="CA426" s="586"/>
      <c r="CB426" s="581"/>
      <c r="CC426" s="581">
        <f t="shared" si="193"/>
        <v>0</v>
      </c>
      <c r="CD426" s="581"/>
      <c r="CE426" s="581"/>
      <c r="CF426" s="581"/>
      <c r="CG426" s="586"/>
      <c r="CH426" s="608"/>
      <c r="CI426" s="603"/>
      <c r="CJ426" s="347"/>
      <c r="CK426" s="347"/>
      <c r="CL426" s="347"/>
      <c r="CM426" s="347"/>
      <c r="CN426" s="347"/>
      <c r="CO426" s="347"/>
      <c r="CP426" s="347"/>
    </row>
    <row r="427">
      <c r="A427" s="574"/>
      <c r="B427" s="574"/>
      <c r="C427" s="347"/>
      <c r="D427" s="574"/>
      <c r="E427" s="347"/>
      <c r="F427" s="596"/>
      <c r="G427" s="596"/>
      <c r="H427" s="347"/>
      <c r="I427" s="347"/>
      <c r="J427" s="596"/>
      <c r="K427" s="609"/>
      <c r="L427" s="1"/>
      <c r="M427" s="347"/>
      <c r="N427" s="347"/>
      <c r="O427" s="579"/>
      <c r="P427" s="579"/>
      <c r="Q427" s="574"/>
      <c r="R427" s="347"/>
      <c r="S427" s="597"/>
      <c r="T427" s="347"/>
      <c r="U427" s="579"/>
      <c r="V427" s="579"/>
      <c r="W427" s="574"/>
      <c r="X427" s="347"/>
      <c r="Y427" s="347"/>
      <c r="Z427" s="347"/>
      <c r="AA427" s="579"/>
      <c r="AB427" s="581"/>
      <c r="AC427" s="347"/>
      <c r="AD427" s="347"/>
      <c r="AE427" s="347"/>
      <c r="AF427" s="347"/>
      <c r="AG427" s="579"/>
      <c r="AH427" s="579"/>
      <c r="AI427" s="582"/>
      <c r="AJ427" s="582"/>
      <c r="AK427" s="582"/>
      <c r="AL427" s="582"/>
      <c r="AM427" s="579"/>
      <c r="AN427" s="579"/>
      <c r="AO427" s="347"/>
      <c r="AP427" s="586"/>
      <c r="AQ427" s="596"/>
      <c r="AR427" s="596"/>
      <c r="AS427" s="348"/>
      <c r="AT427" s="348"/>
      <c r="AU427" s="348"/>
      <c r="AV427" s="348"/>
      <c r="AW427" s="348"/>
      <c r="AX427" s="584"/>
      <c r="AY427" s="581"/>
      <c r="AZ427" s="581"/>
      <c r="BA427" s="596"/>
      <c r="BB427" s="596"/>
      <c r="BC427" s="348"/>
      <c r="BD427" s="581"/>
      <c r="BE427" s="581"/>
      <c r="BF427" s="347"/>
      <c r="BG427" s="347"/>
      <c r="BH427" s="347"/>
      <c r="BI427" s="347"/>
      <c r="BJ427" s="586"/>
      <c r="BK427" s="581"/>
      <c r="BL427" s="347"/>
      <c r="BM427" s="347"/>
      <c r="BN427" s="347"/>
      <c r="BO427" s="586"/>
      <c r="BP427" s="584"/>
      <c r="BQ427" s="347"/>
      <c r="BR427" s="586"/>
      <c r="BS427" s="588"/>
      <c r="BT427" s="586"/>
      <c r="BU427" s="589"/>
      <c r="BV427" s="581">
        <f t="shared" si="44"/>
        <v>0</v>
      </c>
      <c r="BW427" s="590"/>
      <c r="BX427" s="347"/>
      <c r="BY427" s="347"/>
      <c r="BZ427" s="347"/>
      <c r="CA427" s="586"/>
      <c r="CB427" s="581"/>
      <c r="CC427" s="581">
        <f t="shared" si="193"/>
        <v>0</v>
      </c>
      <c r="CD427" s="581"/>
      <c r="CE427" s="581"/>
      <c r="CF427" s="581"/>
      <c r="CG427" s="586"/>
      <c r="CH427" s="608"/>
      <c r="CI427" s="603"/>
      <c r="CJ427" s="347"/>
      <c r="CK427" s="347"/>
      <c r="CL427" s="347"/>
      <c r="CM427" s="347"/>
      <c r="CN427" s="347"/>
      <c r="CO427" s="347"/>
      <c r="CP427" s="347"/>
    </row>
    <row r="428">
      <c r="A428" s="574"/>
      <c r="B428" s="574"/>
      <c r="C428" s="347"/>
      <c r="D428" s="574"/>
      <c r="E428" s="347"/>
      <c r="F428" s="596"/>
      <c r="G428" s="596"/>
      <c r="H428" s="347"/>
      <c r="I428" s="347"/>
      <c r="J428" s="596"/>
      <c r="K428" s="609"/>
      <c r="L428" s="1"/>
      <c r="M428" s="347"/>
      <c r="N428" s="347"/>
      <c r="O428" s="579"/>
      <c r="P428" s="579"/>
      <c r="Q428" s="574"/>
      <c r="R428" s="347"/>
      <c r="S428" s="597"/>
      <c r="T428" s="347"/>
      <c r="U428" s="579"/>
      <c r="V428" s="579"/>
      <c r="W428" s="574"/>
      <c r="X428" s="347"/>
      <c r="Y428" s="347"/>
      <c r="Z428" s="347"/>
      <c r="AA428" s="579"/>
      <c r="AB428" s="581"/>
      <c r="AC428" s="347"/>
      <c r="AD428" s="347"/>
      <c r="AE428" s="347"/>
      <c r="AF428" s="347"/>
      <c r="AG428" s="579"/>
      <c r="AH428" s="579"/>
      <c r="AI428" s="582"/>
      <c r="AJ428" s="582"/>
      <c r="AK428" s="582"/>
      <c r="AL428" s="582"/>
      <c r="AM428" s="579"/>
      <c r="AN428" s="579"/>
      <c r="AO428" s="347"/>
      <c r="AP428" s="586"/>
      <c r="AQ428" s="596"/>
      <c r="AR428" s="596"/>
      <c r="AS428" s="348"/>
      <c r="AT428" s="348"/>
      <c r="AU428" s="348"/>
      <c r="AV428" s="348"/>
      <c r="AW428" s="348"/>
      <c r="AX428" s="584"/>
      <c r="AY428" s="581"/>
      <c r="AZ428" s="581"/>
      <c r="BA428" s="596"/>
      <c r="BB428" s="596"/>
      <c r="BC428" s="348"/>
      <c r="BD428" s="581"/>
      <c r="BE428" s="581"/>
      <c r="BF428" s="347"/>
      <c r="BG428" s="347"/>
      <c r="BH428" s="347"/>
      <c r="BI428" s="347"/>
      <c r="BJ428" s="586"/>
      <c r="BK428" s="581"/>
      <c r="BL428" s="347"/>
      <c r="BM428" s="347"/>
      <c r="BN428" s="347"/>
      <c r="BO428" s="586"/>
      <c r="BP428" s="584"/>
      <c r="BQ428" s="347"/>
      <c r="BR428" s="586"/>
      <c r="BS428" s="588"/>
      <c r="BT428" s="586"/>
      <c r="BU428" s="589"/>
      <c r="BV428" s="581">
        <f t="shared" si="44"/>
        <v>0</v>
      </c>
      <c r="BW428" s="590"/>
      <c r="BX428" s="347"/>
      <c r="BY428" s="347"/>
      <c r="BZ428" s="347"/>
      <c r="CA428" s="586"/>
      <c r="CB428" s="581"/>
      <c r="CC428" s="581">
        <f t="shared" si="193"/>
        <v>0</v>
      </c>
      <c r="CD428" s="581"/>
      <c r="CE428" s="581"/>
      <c r="CF428" s="581"/>
      <c r="CG428" s="586"/>
      <c r="CH428" s="608"/>
      <c r="CI428" s="603"/>
      <c r="CJ428" s="347"/>
      <c r="CK428" s="347"/>
      <c r="CL428" s="347"/>
      <c r="CM428" s="347"/>
      <c r="CN428" s="347"/>
      <c r="CO428" s="347"/>
      <c r="CP428" s="347"/>
    </row>
    <row r="429">
      <c r="A429" s="574"/>
      <c r="B429" s="574"/>
      <c r="C429" s="347"/>
      <c r="D429" s="574"/>
      <c r="E429" s="347"/>
      <c r="F429" s="596"/>
      <c r="G429" s="596"/>
      <c r="H429" s="347"/>
      <c r="I429" s="347"/>
      <c r="J429" s="596"/>
      <c r="K429" s="609"/>
      <c r="L429" s="1"/>
      <c r="M429" s="347"/>
      <c r="N429" s="347"/>
      <c r="O429" s="579"/>
      <c r="P429" s="579"/>
      <c r="Q429" s="574"/>
      <c r="R429" s="347"/>
      <c r="S429" s="597"/>
      <c r="T429" s="347"/>
      <c r="U429" s="579"/>
      <c r="V429" s="579"/>
      <c r="W429" s="574"/>
      <c r="X429" s="347"/>
      <c r="Y429" s="347"/>
      <c r="Z429" s="347"/>
      <c r="AA429" s="579"/>
      <c r="AB429" s="581"/>
      <c r="AC429" s="347"/>
      <c r="AD429" s="347"/>
      <c r="AE429" s="347"/>
      <c r="AF429" s="347"/>
      <c r="AG429" s="579"/>
      <c r="AH429" s="579"/>
      <c r="AI429" s="582"/>
      <c r="AJ429" s="582"/>
      <c r="AK429" s="582"/>
      <c r="AL429" s="582"/>
      <c r="AM429" s="579"/>
      <c r="AN429" s="579"/>
      <c r="AO429" s="347"/>
      <c r="AP429" s="586"/>
      <c r="AQ429" s="596"/>
      <c r="AR429" s="596"/>
      <c r="AS429" s="348"/>
      <c r="AT429" s="348"/>
      <c r="AU429" s="348"/>
      <c r="AV429" s="348"/>
      <c r="AW429" s="348"/>
      <c r="AX429" s="584"/>
      <c r="AY429" s="581"/>
      <c r="AZ429" s="581"/>
      <c r="BA429" s="596"/>
      <c r="BB429" s="596"/>
      <c r="BC429" s="348"/>
      <c r="BD429" s="581"/>
      <c r="BE429" s="581"/>
      <c r="BF429" s="347"/>
      <c r="BG429" s="347"/>
      <c r="BH429" s="347"/>
      <c r="BI429" s="347"/>
      <c r="BJ429" s="586"/>
      <c r="BK429" s="581"/>
      <c r="BL429" s="347"/>
      <c r="BM429" s="347"/>
      <c r="BN429" s="347"/>
      <c r="BO429" s="586"/>
      <c r="BP429" s="584"/>
      <c r="BQ429" s="347"/>
      <c r="BR429" s="586"/>
      <c r="BS429" s="588"/>
      <c r="BT429" s="586"/>
      <c r="BU429" s="589"/>
      <c r="BV429" s="581">
        <f t="shared" si="44"/>
        <v>0</v>
      </c>
      <c r="BW429" s="590"/>
      <c r="BX429" s="347"/>
      <c r="BY429" s="347"/>
      <c r="BZ429" s="347"/>
      <c r="CA429" s="586"/>
      <c r="CB429" s="581"/>
      <c r="CC429" s="581">
        <f t="shared" si="193"/>
        <v>0</v>
      </c>
      <c r="CD429" s="581"/>
      <c r="CE429" s="581"/>
      <c r="CF429" s="581"/>
      <c r="CG429" s="586"/>
      <c r="CH429" s="608"/>
      <c r="CI429" s="603"/>
      <c r="CJ429" s="347"/>
      <c r="CK429" s="347"/>
      <c r="CL429" s="347"/>
      <c r="CM429" s="347"/>
      <c r="CN429" s="347"/>
      <c r="CO429" s="347"/>
      <c r="CP429" s="347"/>
    </row>
    <row r="430">
      <c r="A430" s="574"/>
      <c r="B430" s="574"/>
      <c r="C430" s="347"/>
      <c r="D430" s="574"/>
      <c r="E430" s="347"/>
      <c r="F430" s="596"/>
      <c r="G430" s="596"/>
      <c r="H430" s="347"/>
      <c r="I430" s="347"/>
      <c r="J430" s="596"/>
      <c r="K430" s="609"/>
      <c r="L430" s="1"/>
      <c r="M430" s="347"/>
      <c r="N430" s="347"/>
      <c r="O430" s="579"/>
      <c r="P430" s="579"/>
      <c r="Q430" s="574"/>
      <c r="R430" s="347"/>
      <c r="S430" s="597"/>
      <c r="T430" s="347"/>
      <c r="U430" s="579"/>
      <c r="V430" s="579"/>
      <c r="W430" s="574"/>
      <c r="X430" s="347"/>
      <c r="Y430" s="347"/>
      <c r="Z430" s="347"/>
      <c r="AA430" s="579"/>
      <c r="AB430" s="581"/>
      <c r="AC430" s="347"/>
      <c r="AD430" s="347"/>
      <c r="AE430" s="347"/>
      <c r="AF430" s="347"/>
      <c r="AG430" s="579"/>
      <c r="AH430" s="579"/>
      <c r="AI430" s="582"/>
      <c r="AJ430" s="582"/>
      <c r="AK430" s="582"/>
      <c r="AL430" s="582"/>
      <c r="AM430" s="579"/>
      <c r="AN430" s="579"/>
      <c r="AO430" s="347"/>
      <c r="AP430" s="586"/>
      <c r="AQ430" s="596"/>
      <c r="AR430" s="596"/>
      <c r="AS430" s="348"/>
      <c r="AT430" s="348"/>
      <c r="AU430" s="348"/>
      <c r="AV430" s="348"/>
      <c r="AW430" s="348"/>
      <c r="AX430" s="584"/>
      <c r="AY430" s="581"/>
      <c r="AZ430" s="581"/>
      <c r="BA430" s="596"/>
      <c r="BB430" s="596"/>
      <c r="BC430" s="348"/>
      <c r="BD430" s="581"/>
      <c r="BE430" s="581"/>
      <c r="BF430" s="347"/>
      <c r="BG430" s="347"/>
      <c r="BH430" s="347"/>
      <c r="BI430" s="347"/>
      <c r="BJ430" s="586"/>
      <c r="BK430" s="581"/>
      <c r="BL430" s="347"/>
      <c r="BM430" s="347"/>
      <c r="BN430" s="347"/>
      <c r="BO430" s="586"/>
      <c r="BP430" s="584"/>
      <c r="BQ430" s="347"/>
      <c r="BR430" s="586"/>
      <c r="BS430" s="588"/>
      <c r="BT430" s="586"/>
      <c r="BU430" s="589"/>
      <c r="BV430" s="581">
        <f t="shared" si="44"/>
        <v>0</v>
      </c>
      <c r="BW430" s="590"/>
      <c r="BX430" s="347"/>
      <c r="BY430" s="347"/>
      <c r="BZ430" s="347"/>
      <c r="CA430" s="586"/>
      <c r="CB430" s="581"/>
      <c r="CC430" s="581">
        <f t="shared" si="193"/>
        <v>0</v>
      </c>
      <c r="CD430" s="581"/>
      <c r="CE430" s="581"/>
      <c r="CF430" s="581"/>
      <c r="CG430" s="586"/>
      <c r="CH430" s="608"/>
      <c r="CI430" s="603"/>
      <c r="CJ430" s="347"/>
      <c r="CK430" s="347"/>
      <c r="CL430" s="347"/>
      <c r="CM430" s="347"/>
      <c r="CN430" s="347"/>
      <c r="CO430" s="347"/>
      <c r="CP430" s="347"/>
    </row>
    <row r="431">
      <c r="A431" s="574"/>
      <c r="B431" s="574"/>
      <c r="C431" s="347"/>
      <c r="D431" s="574"/>
      <c r="E431" s="347"/>
      <c r="F431" s="596"/>
      <c r="G431" s="596"/>
      <c r="H431" s="347"/>
      <c r="I431" s="347"/>
      <c r="J431" s="596"/>
      <c r="K431" s="609"/>
      <c r="L431" s="1"/>
      <c r="M431" s="347"/>
      <c r="N431" s="347"/>
      <c r="O431" s="579"/>
      <c r="P431" s="579"/>
      <c r="Q431" s="574"/>
      <c r="R431" s="347"/>
      <c r="S431" s="597"/>
      <c r="T431" s="347"/>
      <c r="U431" s="579"/>
      <c r="V431" s="579"/>
      <c r="W431" s="574"/>
      <c r="X431" s="347"/>
      <c r="Y431" s="347"/>
      <c r="Z431" s="347"/>
      <c r="AA431" s="579"/>
      <c r="AB431" s="581"/>
      <c r="AC431" s="347"/>
      <c r="AD431" s="347"/>
      <c r="AE431" s="347"/>
      <c r="AF431" s="347"/>
      <c r="AG431" s="579"/>
      <c r="AH431" s="579"/>
      <c r="AI431" s="582"/>
      <c r="AJ431" s="582"/>
      <c r="AK431" s="582"/>
      <c r="AL431" s="582"/>
      <c r="AM431" s="579"/>
      <c r="AN431" s="579"/>
      <c r="AO431" s="347"/>
      <c r="AP431" s="586"/>
      <c r="AQ431" s="596"/>
      <c r="AR431" s="596"/>
      <c r="AS431" s="348"/>
      <c r="AT431" s="348"/>
      <c r="AU431" s="348"/>
      <c r="AV431" s="348"/>
      <c r="AW431" s="348"/>
      <c r="AX431" s="584"/>
      <c r="AY431" s="581"/>
      <c r="AZ431" s="581"/>
      <c r="BA431" s="596"/>
      <c r="BB431" s="596"/>
      <c r="BC431" s="348"/>
      <c r="BD431" s="581"/>
      <c r="BE431" s="581"/>
      <c r="BF431" s="347"/>
      <c r="BG431" s="347"/>
      <c r="BH431" s="347"/>
      <c r="BI431" s="347"/>
      <c r="BJ431" s="586"/>
      <c r="BK431" s="581"/>
      <c r="BL431" s="347"/>
      <c r="BM431" s="347"/>
      <c r="BN431" s="347"/>
      <c r="BO431" s="586"/>
      <c r="BP431" s="584"/>
      <c r="BQ431" s="347"/>
      <c r="BR431" s="586"/>
      <c r="BS431" s="588"/>
      <c r="BT431" s="586"/>
      <c r="BU431" s="589"/>
      <c r="BV431" s="581">
        <f t="shared" si="44"/>
        <v>0</v>
      </c>
      <c r="BW431" s="590"/>
      <c r="BX431" s="347"/>
      <c r="BY431" s="347"/>
      <c r="BZ431" s="347"/>
      <c r="CA431" s="586"/>
      <c r="CB431" s="581"/>
      <c r="CC431" s="581">
        <f t="shared" si="193"/>
        <v>0</v>
      </c>
      <c r="CD431" s="581"/>
      <c r="CE431" s="581"/>
      <c r="CF431" s="581"/>
      <c r="CG431" s="586"/>
      <c r="CH431" s="608"/>
      <c r="CI431" s="603"/>
      <c r="CJ431" s="347"/>
      <c r="CK431" s="347"/>
      <c r="CL431" s="347"/>
      <c r="CM431" s="347"/>
      <c r="CN431" s="347"/>
      <c r="CO431" s="347"/>
      <c r="CP431" s="347"/>
    </row>
    <row r="432">
      <c r="A432" s="574"/>
      <c r="B432" s="574"/>
      <c r="C432" s="347"/>
      <c r="D432" s="574"/>
      <c r="E432" s="347"/>
      <c r="F432" s="596"/>
      <c r="G432" s="596"/>
      <c r="H432" s="347"/>
      <c r="I432" s="347"/>
      <c r="J432" s="596"/>
      <c r="K432" s="609"/>
      <c r="L432" s="1"/>
      <c r="M432" s="347"/>
      <c r="N432" s="347"/>
      <c r="O432" s="579"/>
      <c r="P432" s="579"/>
      <c r="Q432" s="574"/>
      <c r="R432" s="347"/>
      <c r="S432" s="597"/>
      <c r="T432" s="347"/>
      <c r="U432" s="579"/>
      <c r="V432" s="579"/>
      <c r="W432" s="574"/>
      <c r="X432" s="347"/>
      <c r="Y432" s="347"/>
      <c r="Z432" s="347"/>
      <c r="AA432" s="579"/>
      <c r="AB432" s="581"/>
      <c r="AC432" s="347"/>
      <c r="AD432" s="347"/>
      <c r="AE432" s="347"/>
      <c r="AF432" s="347"/>
      <c r="AG432" s="579"/>
      <c r="AH432" s="579"/>
      <c r="AI432" s="582"/>
      <c r="AJ432" s="582"/>
      <c r="AK432" s="582"/>
      <c r="AL432" s="582"/>
      <c r="AM432" s="579"/>
      <c r="AN432" s="579"/>
      <c r="AO432" s="347"/>
      <c r="AP432" s="586"/>
      <c r="AQ432" s="596"/>
      <c r="AR432" s="596"/>
      <c r="AS432" s="348"/>
      <c r="AT432" s="348"/>
      <c r="AU432" s="348"/>
      <c r="AV432" s="348"/>
      <c r="AW432" s="348"/>
      <c r="AX432" s="584"/>
      <c r="AY432" s="581"/>
      <c r="AZ432" s="581"/>
      <c r="BA432" s="596"/>
      <c r="BB432" s="596"/>
      <c r="BC432" s="348"/>
      <c r="BD432" s="581"/>
      <c r="BE432" s="581"/>
      <c r="BF432" s="347"/>
      <c r="BG432" s="347"/>
      <c r="BH432" s="347"/>
      <c r="BI432" s="347"/>
      <c r="BJ432" s="586"/>
      <c r="BK432" s="581"/>
      <c r="BL432" s="347"/>
      <c r="BM432" s="347"/>
      <c r="BN432" s="347"/>
      <c r="BO432" s="586"/>
      <c r="BP432" s="584"/>
      <c r="BQ432" s="347"/>
      <c r="BR432" s="586"/>
      <c r="BS432" s="588"/>
      <c r="BT432" s="586"/>
      <c r="BU432" s="589"/>
      <c r="BV432" s="581">
        <f t="shared" si="44"/>
        <v>0</v>
      </c>
      <c r="BW432" s="590"/>
      <c r="BX432" s="347"/>
      <c r="BY432" s="347"/>
      <c r="BZ432" s="347"/>
      <c r="CA432" s="586"/>
      <c r="CB432" s="581"/>
      <c r="CC432" s="581">
        <f t="shared" si="193"/>
        <v>0</v>
      </c>
      <c r="CD432" s="581"/>
      <c r="CE432" s="581"/>
      <c r="CF432" s="581"/>
      <c r="CG432" s="586"/>
      <c r="CH432" s="608"/>
      <c r="CI432" s="603"/>
      <c r="CJ432" s="347"/>
      <c r="CK432" s="347"/>
      <c r="CL432" s="347"/>
      <c r="CM432" s="347"/>
      <c r="CN432" s="347"/>
      <c r="CO432" s="347"/>
      <c r="CP432" s="347"/>
    </row>
    <row r="433">
      <c r="A433" s="574"/>
      <c r="B433" s="574"/>
      <c r="C433" s="347"/>
      <c r="D433" s="574"/>
      <c r="E433" s="347"/>
      <c r="F433" s="596"/>
      <c r="G433" s="596"/>
      <c r="H433" s="347"/>
      <c r="I433" s="347"/>
      <c r="J433" s="596"/>
      <c r="K433" s="609"/>
      <c r="L433" s="1"/>
      <c r="M433" s="347"/>
      <c r="N433" s="347"/>
      <c r="O433" s="579"/>
      <c r="P433" s="579"/>
      <c r="Q433" s="574"/>
      <c r="R433" s="347"/>
      <c r="S433" s="597"/>
      <c r="T433" s="347"/>
      <c r="U433" s="579"/>
      <c r="V433" s="579"/>
      <c r="W433" s="574"/>
      <c r="X433" s="347"/>
      <c r="Y433" s="347"/>
      <c r="Z433" s="347"/>
      <c r="AA433" s="579"/>
      <c r="AB433" s="581"/>
      <c r="AC433" s="347"/>
      <c r="AD433" s="347"/>
      <c r="AE433" s="347"/>
      <c r="AF433" s="347"/>
      <c r="AG433" s="579"/>
      <c r="AH433" s="579"/>
      <c r="AI433" s="582"/>
      <c r="AJ433" s="582"/>
      <c r="AK433" s="582"/>
      <c r="AL433" s="582"/>
      <c r="AM433" s="579"/>
      <c r="AN433" s="579"/>
      <c r="AO433" s="347"/>
      <c r="AP433" s="586"/>
      <c r="AQ433" s="596"/>
      <c r="AR433" s="596"/>
      <c r="AS433" s="348"/>
      <c r="AT433" s="348"/>
      <c r="AU433" s="348"/>
      <c r="AV433" s="348"/>
      <c r="AW433" s="348"/>
      <c r="AX433" s="584"/>
      <c r="AY433" s="581"/>
      <c r="AZ433" s="581"/>
      <c r="BA433" s="596"/>
      <c r="BB433" s="596"/>
      <c r="BC433" s="348"/>
      <c r="BD433" s="581"/>
      <c r="BE433" s="581"/>
      <c r="BF433" s="347"/>
      <c r="BG433" s="347"/>
      <c r="BH433" s="347"/>
      <c r="BI433" s="347"/>
      <c r="BJ433" s="586"/>
      <c r="BK433" s="581"/>
      <c r="BL433" s="347"/>
      <c r="BM433" s="347"/>
      <c r="BN433" s="347"/>
      <c r="BO433" s="586"/>
      <c r="BP433" s="584"/>
      <c r="BQ433" s="347"/>
      <c r="BR433" s="586"/>
      <c r="BS433" s="588"/>
      <c r="BT433" s="586"/>
      <c r="BU433" s="589"/>
      <c r="BV433" s="581">
        <f t="shared" si="44"/>
        <v>0</v>
      </c>
      <c r="BW433" s="590"/>
      <c r="BX433" s="347"/>
      <c r="BY433" s="347"/>
      <c r="BZ433" s="347"/>
      <c r="CA433" s="586"/>
      <c r="CB433" s="581"/>
      <c r="CC433" s="581">
        <f t="shared" si="193"/>
        <v>0</v>
      </c>
      <c r="CD433" s="581"/>
      <c r="CE433" s="581"/>
      <c r="CF433" s="581"/>
      <c r="CG433" s="586"/>
      <c r="CH433" s="608"/>
      <c r="CI433" s="603"/>
      <c r="CJ433" s="347"/>
      <c r="CK433" s="347"/>
      <c r="CL433" s="347"/>
      <c r="CM433" s="347"/>
      <c r="CN433" s="347"/>
      <c r="CO433" s="347"/>
      <c r="CP433" s="347"/>
    </row>
    <row r="434">
      <c r="A434" s="574"/>
      <c r="B434" s="574"/>
      <c r="C434" s="347"/>
      <c r="D434" s="574"/>
      <c r="E434" s="347"/>
      <c r="F434" s="596"/>
      <c r="G434" s="596"/>
      <c r="H434" s="347"/>
      <c r="I434" s="347"/>
      <c r="J434" s="596"/>
      <c r="K434" s="609"/>
      <c r="L434" s="1"/>
      <c r="M434" s="347"/>
      <c r="N434" s="347"/>
      <c r="O434" s="579"/>
      <c r="P434" s="579"/>
      <c r="Q434" s="574"/>
      <c r="R434" s="347"/>
      <c r="S434" s="597"/>
      <c r="T434" s="347"/>
      <c r="U434" s="579"/>
      <c r="V434" s="579"/>
      <c r="W434" s="574"/>
      <c r="X434" s="347"/>
      <c r="Y434" s="347"/>
      <c r="Z434" s="347"/>
      <c r="AA434" s="579"/>
      <c r="AB434" s="581"/>
      <c r="AC434" s="347"/>
      <c r="AD434" s="347"/>
      <c r="AE434" s="347"/>
      <c r="AF434" s="347"/>
      <c r="AG434" s="579"/>
      <c r="AH434" s="579"/>
      <c r="AI434" s="582"/>
      <c r="AJ434" s="582"/>
      <c r="AK434" s="582"/>
      <c r="AL434" s="582"/>
      <c r="AM434" s="579"/>
      <c r="AN434" s="579"/>
      <c r="AO434" s="347"/>
      <c r="AP434" s="586"/>
      <c r="AQ434" s="596"/>
      <c r="AR434" s="596"/>
      <c r="AS434" s="348"/>
      <c r="AT434" s="348"/>
      <c r="AU434" s="348"/>
      <c r="AV434" s="348"/>
      <c r="AW434" s="348"/>
      <c r="AX434" s="584"/>
      <c r="AY434" s="581"/>
      <c r="AZ434" s="581"/>
      <c r="BA434" s="596"/>
      <c r="BB434" s="596"/>
      <c r="BC434" s="348"/>
      <c r="BD434" s="581"/>
      <c r="BE434" s="581"/>
      <c r="BF434" s="347"/>
      <c r="BG434" s="347"/>
      <c r="BH434" s="347"/>
      <c r="BI434" s="347"/>
      <c r="BJ434" s="586"/>
      <c r="BK434" s="581"/>
      <c r="BL434" s="347"/>
      <c r="BM434" s="347"/>
      <c r="BN434" s="347"/>
      <c r="BO434" s="586"/>
      <c r="BP434" s="584"/>
      <c r="BQ434" s="347"/>
      <c r="BR434" s="586"/>
      <c r="BS434" s="588"/>
      <c r="BT434" s="586"/>
      <c r="BU434" s="589"/>
      <c r="BV434" s="581">
        <f t="shared" si="44"/>
        <v>0</v>
      </c>
      <c r="BW434" s="590"/>
      <c r="BX434" s="347"/>
      <c r="BY434" s="347"/>
      <c r="BZ434" s="347"/>
      <c r="CA434" s="586"/>
      <c r="CB434" s="581"/>
      <c r="CC434" s="581">
        <f t="shared" si="193"/>
        <v>0</v>
      </c>
      <c r="CD434" s="581"/>
      <c r="CE434" s="581"/>
      <c r="CF434" s="581"/>
      <c r="CG434" s="586"/>
      <c r="CH434" s="608"/>
      <c r="CI434" s="603"/>
      <c r="CJ434" s="347"/>
      <c r="CK434" s="347"/>
      <c r="CL434" s="347"/>
      <c r="CM434" s="347"/>
      <c r="CN434" s="347"/>
      <c r="CO434" s="347"/>
      <c r="CP434" s="347"/>
    </row>
    <row r="435">
      <c r="A435" s="574"/>
      <c r="B435" s="574"/>
      <c r="C435" s="347"/>
      <c r="D435" s="574"/>
      <c r="E435" s="347"/>
      <c r="F435" s="596"/>
      <c r="G435" s="596"/>
      <c r="H435" s="347"/>
      <c r="I435" s="347"/>
      <c r="J435" s="596"/>
      <c r="K435" s="609"/>
      <c r="L435" s="1"/>
      <c r="M435" s="347"/>
      <c r="N435" s="347"/>
      <c r="O435" s="579"/>
      <c r="P435" s="579"/>
      <c r="Q435" s="574"/>
      <c r="R435" s="347"/>
      <c r="S435" s="597"/>
      <c r="T435" s="347"/>
      <c r="U435" s="579"/>
      <c r="V435" s="579"/>
      <c r="W435" s="574"/>
      <c r="X435" s="347"/>
      <c r="Y435" s="347"/>
      <c r="Z435" s="347"/>
      <c r="AA435" s="579"/>
      <c r="AB435" s="581"/>
      <c r="AC435" s="347"/>
      <c r="AD435" s="347"/>
      <c r="AE435" s="347"/>
      <c r="AF435" s="347"/>
      <c r="AG435" s="579"/>
      <c r="AH435" s="579"/>
      <c r="AI435" s="582"/>
      <c r="AJ435" s="582"/>
      <c r="AK435" s="582"/>
      <c r="AL435" s="582"/>
      <c r="AM435" s="579"/>
      <c r="AN435" s="579"/>
      <c r="AO435" s="347"/>
      <c r="AP435" s="586"/>
      <c r="AQ435" s="596"/>
      <c r="AR435" s="596"/>
      <c r="AS435" s="348"/>
      <c r="AT435" s="348"/>
      <c r="AU435" s="348"/>
      <c r="AV435" s="348"/>
      <c r="AW435" s="348"/>
      <c r="AX435" s="584"/>
      <c r="AY435" s="581"/>
      <c r="AZ435" s="581"/>
      <c r="BA435" s="596"/>
      <c r="BB435" s="596"/>
      <c r="BC435" s="348"/>
      <c r="BD435" s="581"/>
      <c r="BE435" s="581"/>
      <c r="BF435" s="347"/>
      <c r="BG435" s="347"/>
      <c r="BH435" s="347"/>
      <c r="BI435" s="347"/>
      <c r="BJ435" s="586"/>
      <c r="BK435" s="581"/>
      <c r="BL435" s="347"/>
      <c r="BM435" s="347"/>
      <c r="BN435" s="347"/>
      <c r="BO435" s="586"/>
      <c r="BP435" s="584"/>
      <c r="BQ435" s="347"/>
      <c r="BR435" s="586"/>
      <c r="BS435" s="588"/>
      <c r="BT435" s="586"/>
      <c r="BU435" s="589"/>
      <c r="BV435" s="581">
        <f t="shared" si="44"/>
        <v>0</v>
      </c>
      <c r="BW435" s="590"/>
      <c r="BX435" s="347"/>
      <c r="BY435" s="347"/>
      <c r="BZ435" s="347"/>
      <c r="CA435" s="586"/>
      <c r="CB435" s="581"/>
      <c r="CC435" s="581">
        <f t="shared" si="193"/>
        <v>0</v>
      </c>
      <c r="CD435" s="581"/>
      <c r="CE435" s="581"/>
      <c r="CF435" s="581"/>
      <c r="CG435" s="586"/>
      <c r="CH435" s="608"/>
      <c r="CI435" s="603"/>
      <c r="CJ435" s="347"/>
      <c r="CK435" s="347"/>
      <c r="CL435" s="347"/>
      <c r="CM435" s="347"/>
      <c r="CN435" s="347"/>
      <c r="CO435" s="347"/>
      <c r="CP435" s="347"/>
    </row>
    <row r="436">
      <c r="A436" s="574"/>
      <c r="B436" s="574"/>
      <c r="C436" s="347"/>
      <c r="D436" s="574"/>
      <c r="E436" s="347"/>
      <c r="F436" s="596"/>
      <c r="G436" s="596"/>
      <c r="H436" s="347"/>
      <c r="I436" s="347"/>
      <c r="J436" s="596"/>
      <c r="K436" s="609"/>
      <c r="L436" s="1"/>
      <c r="M436" s="347"/>
      <c r="N436" s="347"/>
      <c r="O436" s="579"/>
      <c r="P436" s="579"/>
      <c r="Q436" s="574"/>
      <c r="R436" s="347"/>
      <c r="S436" s="597"/>
      <c r="T436" s="347"/>
      <c r="U436" s="579"/>
      <c r="V436" s="579"/>
      <c r="W436" s="574"/>
      <c r="X436" s="347"/>
      <c r="Y436" s="347"/>
      <c r="Z436" s="347"/>
      <c r="AA436" s="579"/>
      <c r="AB436" s="581"/>
      <c r="AC436" s="347"/>
      <c r="AD436" s="347"/>
      <c r="AE436" s="347"/>
      <c r="AF436" s="347"/>
      <c r="AG436" s="579"/>
      <c r="AH436" s="579"/>
      <c r="AI436" s="582"/>
      <c r="AJ436" s="582"/>
      <c r="AK436" s="582"/>
      <c r="AL436" s="582"/>
      <c r="AM436" s="579"/>
      <c r="AN436" s="579"/>
      <c r="AO436" s="347"/>
      <c r="AP436" s="586"/>
      <c r="AQ436" s="596"/>
      <c r="AR436" s="596"/>
      <c r="AS436" s="348"/>
      <c r="AT436" s="348"/>
      <c r="AU436" s="348"/>
      <c r="AV436" s="348"/>
      <c r="AW436" s="348"/>
      <c r="AX436" s="584"/>
      <c r="AY436" s="581"/>
      <c r="AZ436" s="581"/>
      <c r="BA436" s="596"/>
      <c r="BB436" s="596"/>
      <c r="BC436" s="348"/>
      <c r="BD436" s="581"/>
      <c r="BE436" s="581"/>
      <c r="BF436" s="347"/>
      <c r="BG436" s="347"/>
      <c r="BH436" s="347"/>
      <c r="BI436" s="347"/>
      <c r="BJ436" s="586"/>
      <c r="BK436" s="581"/>
      <c r="BL436" s="347"/>
      <c r="BM436" s="347"/>
      <c r="BN436" s="347"/>
      <c r="BO436" s="586"/>
      <c r="BP436" s="584"/>
      <c r="BQ436" s="347"/>
      <c r="BR436" s="586"/>
      <c r="BS436" s="588"/>
      <c r="BT436" s="586"/>
      <c r="BU436" s="589"/>
      <c r="BV436" s="581">
        <f t="shared" si="44"/>
        <v>0</v>
      </c>
      <c r="BW436" s="590"/>
      <c r="BX436" s="347"/>
      <c r="BY436" s="347"/>
      <c r="BZ436" s="347"/>
      <c r="CA436" s="586"/>
      <c r="CB436" s="581"/>
      <c r="CC436" s="581">
        <f t="shared" si="193"/>
        <v>0</v>
      </c>
      <c r="CD436" s="581"/>
      <c r="CE436" s="581"/>
      <c r="CF436" s="581"/>
      <c r="CG436" s="586"/>
      <c r="CH436" s="608"/>
      <c r="CI436" s="603"/>
      <c r="CJ436" s="347"/>
      <c r="CK436" s="347"/>
      <c r="CL436" s="347"/>
      <c r="CM436" s="347"/>
      <c r="CN436" s="347"/>
      <c r="CO436" s="347"/>
      <c r="CP436" s="347"/>
    </row>
    <row r="437">
      <c r="A437" s="574"/>
      <c r="B437" s="574"/>
      <c r="C437" s="347"/>
      <c r="D437" s="574"/>
      <c r="E437" s="347"/>
      <c r="F437" s="596"/>
      <c r="G437" s="596"/>
      <c r="H437" s="347"/>
      <c r="I437" s="347"/>
      <c r="J437" s="596"/>
      <c r="K437" s="609"/>
      <c r="L437" s="1"/>
      <c r="M437" s="347"/>
      <c r="N437" s="347"/>
      <c r="O437" s="579"/>
      <c r="P437" s="579"/>
      <c r="Q437" s="574"/>
      <c r="R437" s="347"/>
      <c r="S437" s="597"/>
      <c r="T437" s="347"/>
      <c r="U437" s="579"/>
      <c r="V437" s="579"/>
      <c r="W437" s="574"/>
      <c r="X437" s="347"/>
      <c r="Y437" s="347"/>
      <c r="Z437" s="347"/>
      <c r="AA437" s="579"/>
      <c r="AB437" s="581"/>
      <c r="AC437" s="347"/>
      <c r="AD437" s="347"/>
      <c r="AE437" s="347"/>
      <c r="AF437" s="347"/>
      <c r="AG437" s="579"/>
      <c r="AH437" s="579"/>
      <c r="AI437" s="582"/>
      <c r="AJ437" s="582"/>
      <c r="AK437" s="582"/>
      <c r="AL437" s="582"/>
      <c r="AM437" s="579"/>
      <c r="AN437" s="579"/>
      <c r="AO437" s="347"/>
      <c r="AP437" s="586"/>
      <c r="AQ437" s="596"/>
      <c r="AR437" s="596"/>
      <c r="AS437" s="348"/>
      <c r="AT437" s="348"/>
      <c r="AU437" s="348"/>
      <c r="AV437" s="348"/>
      <c r="AW437" s="348"/>
      <c r="AX437" s="584"/>
      <c r="AY437" s="581"/>
      <c r="AZ437" s="581"/>
      <c r="BA437" s="596"/>
      <c r="BB437" s="596"/>
      <c r="BC437" s="348"/>
      <c r="BD437" s="581"/>
      <c r="BE437" s="581"/>
      <c r="BF437" s="347"/>
      <c r="BG437" s="347"/>
      <c r="BH437" s="347"/>
      <c r="BI437" s="347"/>
      <c r="BJ437" s="586"/>
      <c r="BK437" s="581"/>
      <c r="BL437" s="347"/>
      <c r="BM437" s="347"/>
      <c r="BN437" s="347"/>
      <c r="BO437" s="586"/>
      <c r="BP437" s="584"/>
      <c r="BQ437" s="347"/>
      <c r="BR437" s="586"/>
      <c r="BS437" s="588"/>
      <c r="BT437" s="586"/>
      <c r="BU437" s="589"/>
      <c r="BV437" s="581">
        <f t="shared" si="44"/>
        <v>0</v>
      </c>
      <c r="BW437" s="590"/>
      <c r="BX437" s="347"/>
      <c r="BY437" s="347"/>
      <c r="BZ437" s="347"/>
      <c r="CA437" s="586"/>
      <c r="CB437" s="581"/>
      <c r="CC437" s="581">
        <f t="shared" si="193"/>
        <v>0</v>
      </c>
      <c r="CD437" s="581"/>
      <c r="CE437" s="581"/>
      <c r="CF437" s="581"/>
      <c r="CG437" s="586"/>
      <c r="CH437" s="608"/>
      <c r="CI437" s="603"/>
      <c r="CJ437" s="347"/>
      <c r="CK437" s="347"/>
      <c r="CL437" s="347"/>
      <c r="CM437" s="347"/>
      <c r="CN437" s="347"/>
      <c r="CO437" s="347"/>
      <c r="CP437" s="347"/>
    </row>
    <row r="438">
      <c r="A438" s="574"/>
      <c r="B438" s="574"/>
      <c r="C438" s="347"/>
      <c r="D438" s="574"/>
      <c r="E438" s="347"/>
      <c r="F438" s="596"/>
      <c r="G438" s="596"/>
      <c r="H438" s="347"/>
      <c r="I438" s="347"/>
      <c r="J438" s="596"/>
      <c r="K438" s="609"/>
      <c r="L438" s="1"/>
      <c r="M438" s="347"/>
      <c r="N438" s="347"/>
      <c r="O438" s="579"/>
      <c r="P438" s="579"/>
      <c r="Q438" s="574"/>
      <c r="R438" s="347"/>
      <c r="S438" s="597"/>
      <c r="T438" s="347"/>
      <c r="U438" s="579"/>
      <c r="V438" s="579"/>
      <c r="W438" s="574"/>
      <c r="X438" s="347"/>
      <c r="Y438" s="347"/>
      <c r="Z438" s="347"/>
      <c r="AA438" s="579"/>
      <c r="AB438" s="581"/>
      <c r="AC438" s="347"/>
      <c r="AD438" s="347"/>
      <c r="AE438" s="347"/>
      <c r="AF438" s="347"/>
      <c r="AG438" s="579"/>
      <c r="AH438" s="579"/>
      <c r="AI438" s="582"/>
      <c r="AJ438" s="582"/>
      <c r="AK438" s="582"/>
      <c r="AL438" s="582"/>
      <c r="AM438" s="579"/>
      <c r="AN438" s="579"/>
      <c r="AO438" s="347"/>
      <c r="AP438" s="586"/>
      <c r="AQ438" s="596"/>
      <c r="AR438" s="596"/>
      <c r="AS438" s="348"/>
      <c r="AT438" s="348"/>
      <c r="AU438" s="348"/>
      <c r="AV438" s="348"/>
      <c r="AW438" s="348"/>
      <c r="AX438" s="584"/>
      <c r="AY438" s="581"/>
      <c r="AZ438" s="581"/>
      <c r="BA438" s="596"/>
      <c r="BB438" s="596"/>
      <c r="BC438" s="348"/>
      <c r="BD438" s="581"/>
      <c r="BE438" s="581"/>
      <c r="BF438" s="347"/>
      <c r="BG438" s="347"/>
      <c r="BH438" s="347"/>
      <c r="BI438" s="347"/>
      <c r="BJ438" s="586"/>
      <c r="BK438" s="581"/>
      <c r="BL438" s="347"/>
      <c r="BM438" s="347"/>
      <c r="BN438" s="347"/>
      <c r="BO438" s="586"/>
      <c r="BP438" s="584"/>
      <c r="BQ438" s="347"/>
      <c r="BR438" s="586"/>
      <c r="BS438" s="588"/>
      <c r="BT438" s="586"/>
      <c r="BU438" s="589"/>
      <c r="BV438" s="581">
        <f t="shared" si="44"/>
        <v>0</v>
      </c>
      <c r="BW438" s="590"/>
      <c r="BX438" s="347"/>
      <c r="BY438" s="347"/>
      <c r="BZ438" s="347"/>
      <c r="CA438" s="586"/>
      <c r="CB438" s="581"/>
      <c r="CC438" s="581">
        <f t="shared" si="193"/>
        <v>0</v>
      </c>
      <c r="CD438" s="581"/>
      <c r="CE438" s="581"/>
      <c r="CF438" s="581"/>
      <c r="CG438" s="586"/>
      <c r="CH438" s="608"/>
      <c r="CI438" s="603"/>
      <c r="CJ438" s="347"/>
      <c r="CK438" s="347"/>
      <c r="CL438" s="347"/>
      <c r="CM438" s="347"/>
      <c r="CN438" s="347"/>
      <c r="CO438" s="347"/>
      <c r="CP438" s="347"/>
    </row>
    <row r="439">
      <c r="A439" s="574"/>
      <c r="B439" s="574"/>
      <c r="C439" s="347"/>
      <c r="D439" s="574"/>
      <c r="E439" s="347"/>
      <c r="F439" s="596"/>
      <c r="G439" s="596"/>
      <c r="H439" s="347"/>
      <c r="I439" s="347"/>
      <c r="J439" s="596"/>
      <c r="K439" s="609"/>
      <c r="L439" s="1"/>
      <c r="M439" s="347"/>
      <c r="N439" s="347"/>
      <c r="O439" s="579"/>
      <c r="P439" s="579"/>
      <c r="Q439" s="574"/>
      <c r="R439" s="347"/>
      <c r="S439" s="597"/>
      <c r="T439" s="347"/>
      <c r="U439" s="579"/>
      <c r="V439" s="579"/>
      <c r="W439" s="574"/>
      <c r="X439" s="347"/>
      <c r="Y439" s="347"/>
      <c r="Z439" s="347"/>
      <c r="AA439" s="579"/>
      <c r="AB439" s="581"/>
      <c r="AC439" s="347"/>
      <c r="AD439" s="347"/>
      <c r="AE439" s="347"/>
      <c r="AF439" s="347"/>
      <c r="AG439" s="579"/>
      <c r="AH439" s="579"/>
      <c r="AI439" s="582"/>
      <c r="AJ439" s="582"/>
      <c r="AK439" s="582"/>
      <c r="AL439" s="582"/>
      <c r="AM439" s="579"/>
      <c r="AN439" s="579"/>
      <c r="AO439" s="347"/>
      <c r="AP439" s="586"/>
      <c r="AQ439" s="596"/>
      <c r="AR439" s="596"/>
      <c r="AS439" s="348"/>
      <c r="AT439" s="348"/>
      <c r="AU439" s="348"/>
      <c r="AV439" s="348"/>
      <c r="AW439" s="348"/>
      <c r="AX439" s="584"/>
      <c r="AY439" s="581"/>
      <c r="AZ439" s="581"/>
      <c r="BA439" s="596"/>
      <c r="BB439" s="596"/>
      <c r="BC439" s="348"/>
      <c r="BD439" s="581"/>
      <c r="BE439" s="581"/>
      <c r="BF439" s="347"/>
      <c r="BG439" s="347"/>
      <c r="BH439" s="347"/>
      <c r="BI439" s="347"/>
      <c r="BJ439" s="586"/>
      <c r="BK439" s="581"/>
      <c r="BL439" s="347"/>
      <c r="BM439" s="347"/>
      <c r="BN439" s="347"/>
      <c r="BO439" s="586"/>
      <c r="BP439" s="584"/>
      <c r="BQ439" s="347"/>
      <c r="BR439" s="586"/>
      <c r="BS439" s="588"/>
      <c r="BT439" s="586"/>
      <c r="BU439" s="589"/>
      <c r="BV439" s="581">
        <f t="shared" si="44"/>
        <v>0</v>
      </c>
      <c r="BW439" s="590"/>
      <c r="BX439" s="347"/>
      <c r="BY439" s="347"/>
      <c r="BZ439" s="347"/>
      <c r="CA439" s="586"/>
      <c r="CB439" s="581"/>
      <c r="CC439" s="581">
        <f t="shared" si="193"/>
        <v>0</v>
      </c>
      <c r="CD439" s="581"/>
      <c r="CE439" s="581"/>
      <c r="CF439" s="581"/>
      <c r="CG439" s="586"/>
      <c r="CH439" s="608"/>
      <c r="CI439" s="603"/>
      <c r="CJ439" s="347"/>
      <c r="CK439" s="347"/>
      <c r="CL439" s="347"/>
      <c r="CM439" s="347"/>
      <c r="CN439" s="347"/>
      <c r="CO439" s="347"/>
      <c r="CP439" s="347"/>
    </row>
    <row r="440">
      <c r="A440" s="574"/>
      <c r="B440" s="574"/>
      <c r="C440" s="347"/>
      <c r="D440" s="574"/>
      <c r="E440" s="347"/>
      <c r="F440" s="596"/>
      <c r="G440" s="596"/>
      <c r="H440" s="347"/>
      <c r="I440" s="347"/>
      <c r="J440" s="596"/>
      <c r="K440" s="609"/>
      <c r="L440" s="1"/>
      <c r="M440" s="347"/>
      <c r="N440" s="347"/>
      <c r="O440" s="579"/>
      <c r="P440" s="579"/>
      <c r="Q440" s="574"/>
      <c r="R440" s="347"/>
      <c r="S440" s="597"/>
      <c r="T440" s="347"/>
      <c r="U440" s="579"/>
      <c r="V440" s="579"/>
      <c r="W440" s="574"/>
      <c r="X440" s="347"/>
      <c r="Y440" s="347"/>
      <c r="Z440" s="347"/>
      <c r="AA440" s="579"/>
      <c r="AB440" s="581"/>
      <c r="AC440" s="347"/>
      <c r="AD440" s="347"/>
      <c r="AE440" s="347"/>
      <c r="AF440" s="347"/>
      <c r="AG440" s="579"/>
      <c r="AH440" s="579"/>
      <c r="AI440" s="582"/>
      <c r="AJ440" s="582"/>
      <c r="AK440" s="582"/>
      <c r="AL440" s="582"/>
      <c r="AM440" s="579"/>
      <c r="AN440" s="579"/>
      <c r="AO440" s="347"/>
      <c r="AP440" s="586"/>
      <c r="AQ440" s="596"/>
      <c r="AR440" s="596"/>
      <c r="AS440" s="348"/>
      <c r="AT440" s="348"/>
      <c r="AU440" s="348"/>
      <c r="AV440" s="348"/>
      <c r="AW440" s="348"/>
      <c r="AX440" s="584"/>
      <c r="AY440" s="581"/>
      <c r="AZ440" s="581"/>
      <c r="BA440" s="596"/>
      <c r="BB440" s="596"/>
      <c r="BC440" s="348"/>
      <c r="BD440" s="581"/>
      <c r="BE440" s="581"/>
      <c r="BF440" s="347"/>
      <c r="BG440" s="347"/>
      <c r="BH440" s="347"/>
      <c r="BI440" s="347"/>
      <c r="BJ440" s="586"/>
      <c r="BK440" s="581"/>
      <c r="BL440" s="347"/>
      <c r="BM440" s="347"/>
      <c r="BN440" s="347"/>
      <c r="BO440" s="586"/>
      <c r="BP440" s="584"/>
      <c r="BQ440" s="347"/>
      <c r="BR440" s="586"/>
      <c r="BS440" s="588"/>
      <c r="BT440" s="586"/>
      <c r="BU440" s="589"/>
      <c r="BV440" s="581">
        <f t="shared" si="44"/>
        <v>0</v>
      </c>
      <c r="BW440" s="590"/>
      <c r="BX440" s="347"/>
      <c r="BY440" s="347"/>
      <c r="BZ440" s="347"/>
      <c r="CA440" s="586"/>
      <c r="CB440" s="581"/>
      <c r="CC440" s="581">
        <f t="shared" si="193"/>
        <v>0</v>
      </c>
      <c r="CD440" s="581"/>
      <c r="CE440" s="581"/>
      <c r="CF440" s="581"/>
      <c r="CG440" s="586"/>
      <c r="CH440" s="608"/>
      <c r="CI440" s="603"/>
      <c r="CJ440" s="347"/>
      <c r="CK440" s="347"/>
      <c r="CL440" s="347"/>
      <c r="CM440" s="347"/>
      <c r="CN440" s="347"/>
      <c r="CO440" s="347"/>
      <c r="CP440" s="347"/>
    </row>
    <row r="441">
      <c r="A441" s="574"/>
      <c r="B441" s="574"/>
      <c r="C441" s="347"/>
      <c r="D441" s="574"/>
      <c r="E441" s="347"/>
      <c r="F441" s="596"/>
      <c r="G441" s="596"/>
      <c r="H441" s="347"/>
      <c r="I441" s="347"/>
      <c r="J441" s="596"/>
      <c r="K441" s="609"/>
      <c r="L441" s="1"/>
      <c r="M441" s="347"/>
      <c r="N441" s="347"/>
      <c r="O441" s="579"/>
      <c r="P441" s="579"/>
      <c r="Q441" s="574"/>
      <c r="R441" s="347"/>
      <c r="S441" s="597"/>
      <c r="T441" s="347"/>
      <c r="U441" s="579"/>
      <c r="V441" s="579"/>
      <c r="W441" s="574"/>
      <c r="X441" s="347"/>
      <c r="Y441" s="347"/>
      <c r="Z441" s="347"/>
      <c r="AA441" s="579"/>
      <c r="AB441" s="581"/>
      <c r="AC441" s="347"/>
      <c r="AD441" s="347"/>
      <c r="AE441" s="347"/>
      <c r="AF441" s="347"/>
      <c r="AG441" s="579"/>
      <c r="AH441" s="579"/>
      <c r="AI441" s="582"/>
      <c r="AJ441" s="582"/>
      <c r="AK441" s="582"/>
      <c r="AL441" s="582"/>
      <c r="AM441" s="579"/>
      <c r="AN441" s="579"/>
      <c r="AO441" s="347"/>
      <c r="AP441" s="586"/>
      <c r="AQ441" s="596"/>
      <c r="AR441" s="596"/>
      <c r="AS441" s="348"/>
      <c r="AT441" s="348"/>
      <c r="AU441" s="348"/>
      <c r="AV441" s="348"/>
      <c r="AW441" s="348"/>
      <c r="AX441" s="584"/>
      <c r="AY441" s="581"/>
      <c r="AZ441" s="581"/>
      <c r="BA441" s="596"/>
      <c r="BB441" s="596"/>
      <c r="BC441" s="348"/>
      <c r="BD441" s="581"/>
      <c r="BE441" s="581"/>
      <c r="BF441" s="347"/>
      <c r="BG441" s="347"/>
      <c r="BH441" s="347"/>
      <c r="BI441" s="347"/>
      <c r="BJ441" s="586"/>
      <c r="BK441" s="581"/>
      <c r="BL441" s="347"/>
      <c r="BM441" s="347"/>
      <c r="BN441" s="347"/>
      <c r="BO441" s="586"/>
      <c r="BP441" s="584"/>
      <c r="BQ441" s="347"/>
      <c r="BR441" s="586"/>
      <c r="BS441" s="588"/>
      <c r="BT441" s="586"/>
      <c r="BU441" s="589"/>
      <c r="BV441" s="581">
        <f t="shared" si="44"/>
        <v>0</v>
      </c>
      <c r="BW441" s="590"/>
      <c r="BX441" s="347"/>
      <c r="BY441" s="347"/>
      <c r="BZ441" s="347"/>
      <c r="CA441" s="586"/>
      <c r="CB441" s="581"/>
      <c r="CC441" s="581">
        <f t="shared" si="193"/>
        <v>0</v>
      </c>
      <c r="CD441" s="581"/>
      <c r="CE441" s="581"/>
      <c r="CF441" s="581"/>
      <c r="CG441" s="586"/>
      <c r="CH441" s="608"/>
      <c r="CI441" s="603"/>
      <c r="CJ441" s="347"/>
      <c r="CK441" s="347"/>
      <c r="CL441" s="347"/>
      <c r="CM441" s="347"/>
      <c r="CN441" s="347"/>
      <c r="CO441" s="347"/>
      <c r="CP441" s="347"/>
    </row>
    <row r="442">
      <c r="A442" s="574"/>
      <c r="B442" s="574"/>
      <c r="C442" s="347"/>
      <c r="D442" s="574"/>
      <c r="E442" s="347"/>
      <c r="F442" s="596"/>
      <c r="G442" s="596"/>
      <c r="H442" s="347"/>
      <c r="I442" s="347"/>
      <c r="J442" s="596"/>
      <c r="K442" s="609"/>
      <c r="L442" s="1"/>
      <c r="M442" s="347"/>
      <c r="N442" s="347"/>
      <c r="O442" s="579"/>
      <c r="P442" s="579"/>
      <c r="Q442" s="574"/>
      <c r="R442" s="347"/>
      <c r="S442" s="597"/>
      <c r="T442" s="347"/>
      <c r="U442" s="579"/>
      <c r="V442" s="579"/>
      <c r="W442" s="574"/>
      <c r="X442" s="347"/>
      <c r="Y442" s="347"/>
      <c r="Z442" s="347"/>
      <c r="AA442" s="579"/>
      <c r="AB442" s="581"/>
      <c r="AC442" s="347"/>
      <c r="AD442" s="347"/>
      <c r="AE442" s="347"/>
      <c r="AF442" s="347"/>
      <c r="AG442" s="579"/>
      <c r="AH442" s="579"/>
      <c r="AI442" s="582"/>
      <c r="AJ442" s="582"/>
      <c r="AK442" s="582"/>
      <c r="AL442" s="582"/>
      <c r="AM442" s="579"/>
      <c r="AN442" s="579"/>
      <c r="AO442" s="347"/>
      <c r="AP442" s="586"/>
      <c r="AQ442" s="596"/>
      <c r="AR442" s="596"/>
      <c r="AS442" s="348"/>
      <c r="AT442" s="348"/>
      <c r="AU442" s="348"/>
      <c r="AV442" s="348"/>
      <c r="AW442" s="348"/>
      <c r="AX442" s="584"/>
      <c r="AY442" s="581"/>
      <c r="AZ442" s="581"/>
      <c r="BA442" s="596"/>
      <c r="BB442" s="596"/>
      <c r="BC442" s="348"/>
      <c r="BD442" s="581"/>
      <c r="BE442" s="581"/>
      <c r="BF442" s="347"/>
      <c r="BG442" s="347"/>
      <c r="BH442" s="347"/>
      <c r="BI442" s="347"/>
      <c r="BJ442" s="586"/>
      <c r="BK442" s="581"/>
      <c r="BL442" s="347"/>
      <c r="BM442" s="347"/>
      <c r="BN442" s="347"/>
      <c r="BO442" s="586"/>
      <c r="BP442" s="584"/>
      <c r="BQ442" s="347"/>
      <c r="BR442" s="586"/>
      <c r="BS442" s="588"/>
      <c r="BT442" s="586"/>
      <c r="BU442" s="589"/>
      <c r="BV442" s="581">
        <f t="shared" si="44"/>
        <v>0</v>
      </c>
      <c r="BW442" s="590"/>
      <c r="BX442" s="347"/>
      <c r="BY442" s="347"/>
      <c r="BZ442" s="347"/>
      <c r="CA442" s="586"/>
      <c r="CB442" s="581"/>
      <c r="CC442" s="581">
        <f t="shared" si="193"/>
        <v>0</v>
      </c>
      <c r="CD442" s="581"/>
      <c r="CE442" s="581"/>
      <c r="CF442" s="581"/>
      <c r="CG442" s="586"/>
      <c r="CH442" s="608"/>
      <c r="CI442" s="603"/>
      <c r="CJ442" s="347"/>
      <c r="CK442" s="347"/>
      <c r="CL442" s="347"/>
      <c r="CM442" s="347"/>
      <c r="CN442" s="347"/>
      <c r="CO442" s="347"/>
      <c r="CP442" s="347"/>
    </row>
    <row r="443">
      <c r="A443" s="574"/>
      <c r="B443" s="574"/>
      <c r="C443" s="347"/>
      <c r="D443" s="574"/>
      <c r="E443" s="347"/>
      <c r="F443" s="596"/>
      <c r="G443" s="596"/>
      <c r="H443" s="347"/>
      <c r="I443" s="347"/>
      <c r="J443" s="596"/>
      <c r="K443" s="609"/>
      <c r="L443" s="1"/>
      <c r="M443" s="347"/>
      <c r="N443" s="347"/>
      <c r="O443" s="579"/>
      <c r="P443" s="579"/>
      <c r="Q443" s="574"/>
      <c r="R443" s="347"/>
      <c r="S443" s="597"/>
      <c r="T443" s="347"/>
      <c r="U443" s="579"/>
      <c r="V443" s="579"/>
      <c r="W443" s="574"/>
      <c r="X443" s="347"/>
      <c r="Y443" s="347"/>
      <c r="Z443" s="347"/>
      <c r="AA443" s="579"/>
      <c r="AB443" s="581"/>
      <c r="AC443" s="347"/>
      <c r="AD443" s="347"/>
      <c r="AE443" s="347"/>
      <c r="AF443" s="347"/>
      <c r="AG443" s="579"/>
      <c r="AH443" s="579"/>
      <c r="AI443" s="582"/>
      <c r="AJ443" s="582"/>
      <c r="AK443" s="582"/>
      <c r="AL443" s="582"/>
      <c r="AM443" s="579"/>
      <c r="AN443" s="579"/>
      <c r="AO443" s="347"/>
      <c r="AP443" s="586"/>
      <c r="AQ443" s="596"/>
      <c r="AR443" s="596"/>
      <c r="AS443" s="348"/>
      <c r="AT443" s="348"/>
      <c r="AU443" s="348"/>
      <c r="AV443" s="348"/>
      <c r="AW443" s="348"/>
      <c r="AX443" s="584"/>
      <c r="AY443" s="581"/>
      <c r="AZ443" s="581"/>
      <c r="BA443" s="596"/>
      <c r="BB443" s="596"/>
      <c r="BC443" s="348"/>
      <c r="BD443" s="581"/>
      <c r="BE443" s="581"/>
      <c r="BF443" s="347"/>
      <c r="BG443" s="347"/>
      <c r="BH443" s="347"/>
      <c r="BI443" s="347"/>
      <c r="BJ443" s="586"/>
      <c r="BK443" s="581"/>
      <c r="BL443" s="347"/>
      <c r="BM443" s="347"/>
      <c r="BN443" s="347"/>
      <c r="BO443" s="586"/>
      <c r="BP443" s="584"/>
      <c r="BQ443" s="347"/>
      <c r="BR443" s="586"/>
      <c r="BS443" s="588"/>
      <c r="BT443" s="586"/>
      <c r="BU443" s="589"/>
      <c r="BV443" s="581">
        <f t="shared" si="44"/>
        <v>0</v>
      </c>
      <c r="BW443" s="590"/>
      <c r="BX443" s="347"/>
      <c r="BY443" s="347"/>
      <c r="BZ443" s="347"/>
      <c r="CA443" s="586"/>
      <c r="CB443" s="581"/>
      <c r="CC443" s="581">
        <f t="shared" si="193"/>
        <v>0</v>
      </c>
      <c r="CD443" s="581"/>
      <c r="CE443" s="581"/>
      <c r="CF443" s="581"/>
      <c r="CG443" s="586"/>
      <c r="CH443" s="608"/>
      <c r="CI443" s="603"/>
      <c r="CJ443" s="347"/>
      <c r="CK443" s="347"/>
      <c r="CL443" s="347"/>
      <c r="CM443" s="347"/>
      <c r="CN443" s="347"/>
      <c r="CO443" s="347"/>
      <c r="CP443" s="347"/>
    </row>
    <row r="444">
      <c r="A444" s="574"/>
      <c r="B444" s="574"/>
      <c r="C444" s="347"/>
      <c r="D444" s="574"/>
      <c r="E444" s="347"/>
      <c r="F444" s="596"/>
      <c r="G444" s="596"/>
      <c r="H444" s="347"/>
      <c r="I444" s="347"/>
      <c r="J444" s="596"/>
      <c r="K444" s="609"/>
      <c r="L444" s="1"/>
      <c r="M444" s="347"/>
      <c r="N444" s="347"/>
      <c r="O444" s="579"/>
      <c r="P444" s="579"/>
      <c r="Q444" s="574"/>
      <c r="R444" s="347"/>
      <c r="S444" s="597"/>
      <c r="T444" s="347"/>
      <c r="U444" s="579"/>
      <c r="V444" s="579"/>
      <c r="W444" s="574"/>
      <c r="X444" s="347"/>
      <c r="Y444" s="347"/>
      <c r="Z444" s="347"/>
      <c r="AA444" s="579"/>
      <c r="AB444" s="581"/>
      <c r="AC444" s="347"/>
      <c r="AD444" s="347"/>
      <c r="AE444" s="347"/>
      <c r="AF444" s="347"/>
      <c r="AG444" s="579"/>
      <c r="AH444" s="579"/>
      <c r="AI444" s="582"/>
      <c r="AJ444" s="582"/>
      <c r="AK444" s="582"/>
      <c r="AL444" s="582"/>
      <c r="AM444" s="579"/>
      <c r="AN444" s="579"/>
      <c r="AO444" s="347"/>
      <c r="AP444" s="586"/>
      <c r="AQ444" s="596"/>
      <c r="AR444" s="596"/>
      <c r="AS444" s="348"/>
      <c r="AT444" s="348"/>
      <c r="AU444" s="348"/>
      <c r="AV444" s="348"/>
      <c r="AW444" s="348"/>
      <c r="AX444" s="584"/>
      <c r="AY444" s="581"/>
      <c r="AZ444" s="581"/>
      <c r="BA444" s="596"/>
      <c r="BB444" s="596"/>
      <c r="BC444" s="348"/>
      <c r="BD444" s="581"/>
      <c r="BE444" s="581"/>
      <c r="BF444" s="347"/>
      <c r="BG444" s="347"/>
      <c r="BH444" s="347"/>
      <c r="BI444" s="347"/>
      <c r="BJ444" s="586"/>
      <c r="BK444" s="581"/>
      <c r="BL444" s="347"/>
      <c r="BM444" s="347"/>
      <c r="BN444" s="347"/>
      <c r="BO444" s="586"/>
      <c r="BP444" s="584"/>
      <c r="BQ444" s="347"/>
      <c r="BR444" s="586"/>
      <c r="BS444" s="588"/>
      <c r="BT444" s="586"/>
      <c r="BU444" s="589"/>
      <c r="BV444" s="581">
        <f t="shared" si="44"/>
        <v>0</v>
      </c>
      <c r="BW444" s="590"/>
      <c r="BX444" s="347"/>
      <c r="BY444" s="347"/>
      <c r="BZ444" s="347"/>
      <c r="CA444" s="586"/>
      <c r="CB444" s="581"/>
      <c r="CC444" s="581">
        <f t="shared" si="193"/>
        <v>0</v>
      </c>
      <c r="CD444" s="581"/>
      <c r="CE444" s="581"/>
      <c r="CF444" s="581"/>
      <c r="CG444" s="586"/>
      <c r="CH444" s="608"/>
      <c r="CI444" s="603"/>
      <c r="CJ444" s="347"/>
      <c r="CK444" s="347"/>
      <c r="CL444" s="347"/>
      <c r="CM444" s="347"/>
      <c r="CN444" s="347"/>
      <c r="CO444" s="347"/>
      <c r="CP444" s="347"/>
    </row>
    <row r="445">
      <c r="A445" s="574"/>
      <c r="B445" s="574"/>
      <c r="C445" s="347"/>
      <c r="D445" s="574"/>
      <c r="E445" s="347"/>
      <c r="F445" s="596"/>
      <c r="G445" s="596"/>
      <c r="H445" s="347"/>
      <c r="I445" s="347"/>
      <c r="J445" s="596"/>
      <c r="K445" s="609"/>
      <c r="L445" s="1"/>
      <c r="M445" s="347"/>
      <c r="N445" s="347"/>
      <c r="O445" s="579"/>
      <c r="P445" s="579"/>
      <c r="Q445" s="574"/>
      <c r="R445" s="347"/>
      <c r="S445" s="597"/>
      <c r="T445" s="347"/>
      <c r="U445" s="579"/>
      <c r="V445" s="579"/>
      <c r="W445" s="574"/>
      <c r="X445" s="347"/>
      <c r="Y445" s="347"/>
      <c r="Z445" s="347"/>
      <c r="AA445" s="579"/>
      <c r="AB445" s="581"/>
      <c r="AC445" s="347"/>
      <c r="AD445" s="347"/>
      <c r="AE445" s="347"/>
      <c r="AF445" s="347"/>
      <c r="AG445" s="579"/>
      <c r="AH445" s="579"/>
      <c r="AI445" s="582"/>
      <c r="AJ445" s="582"/>
      <c r="AK445" s="582"/>
      <c r="AL445" s="582"/>
      <c r="AM445" s="579"/>
      <c r="AN445" s="579"/>
      <c r="AO445" s="347"/>
      <c r="AP445" s="586"/>
      <c r="AQ445" s="596"/>
      <c r="AR445" s="596"/>
      <c r="AS445" s="348"/>
      <c r="AT445" s="348"/>
      <c r="AU445" s="348"/>
      <c r="AV445" s="348"/>
      <c r="AW445" s="348"/>
      <c r="AX445" s="584"/>
      <c r="AY445" s="581"/>
      <c r="AZ445" s="581"/>
      <c r="BA445" s="596"/>
      <c r="BB445" s="596"/>
      <c r="BC445" s="348"/>
      <c r="BD445" s="581"/>
      <c r="BE445" s="581"/>
      <c r="BF445" s="347"/>
      <c r="BG445" s="347"/>
      <c r="BH445" s="347"/>
      <c r="BI445" s="347"/>
      <c r="BJ445" s="586"/>
      <c r="BK445" s="581"/>
      <c r="BL445" s="347"/>
      <c r="BM445" s="347"/>
      <c r="BN445" s="347"/>
      <c r="BO445" s="586"/>
      <c r="BP445" s="584"/>
      <c r="BQ445" s="347"/>
      <c r="BR445" s="586"/>
      <c r="BS445" s="588"/>
      <c r="BT445" s="586"/>
      <c r="BU445" s="589"/>
      <c r="BV445" s="581">
        <f t="shared" si="44"/>
        <v>0</v>
      </c>
      <c r="BW445" s="590"/>
      <c r="BX445" s="347"/>
      <c r="BY445" s="347"/>
      <c r="BZ445" s="347"/>
      <c r="CA445" s="586"/>
      <c r="CB445" s="581"/>
      <c r="CC445" s="581">
        <f t="shared" si="193"/>
        <v>0</v>
      </c>
      <c r="CD445" s="581"/>
      <c r="CE445" s="581"/>
      <c r="CF445" s="581"/>
      <c r="CG445" s="586"/>
      <c r="CH445" s="608"/>
      <c r="CI445" s="603"/>
      <c r="CJ445" s="347"/>
      <c r="CK445" s="347"/>
      <c r="CL445" s="347"/>
      <c r="CM445" s="347"/>
      <c r="CN445" s="347"/>
      <c r="CO445" s="347"/>
      <c r="CP445" s="347"/>
    </row>
    <row r="446">
      <c r="A446" s="574"/>
      <c r="B446" s="574"/>
      <c r="C446" s="347"/>
      <c r="D446" s="574"/>
      <c r="E446" s="347"/>
      <c r="F446" s="596"/>
      <c r="G446" s="596"/>
      <c r="H446" s="347"/>
      <c r="I446" s="347"/>
      <c r="J446" s="596"/>
      <c r="K446" s="609"/>
      <c r="L446" s="1"/>
      <c r="M446" s="347"/>
      <c r="N446" s="347"/>
      <c r="O446" s="579"/>
      <c r="P446" s="579"/>
      <c r="Q446" s="574"/>
      <c r="R446" s="347"/>
      <c r="S446" s="597"/>
      <c r="T446" s="347"/>
      <c r="U446" s="579"/>
      <c r="V446" s="579"/>
      <c r="W446" s="574"/>
      <c r="X446" s="347"/>
      <c r="Y446" s="347"/>
      <c r="Z446" s="347"/>
      <c r="AA446" s="579"/>
      <c r="AB446" s="581"/>
      <c r="AC446" s="347"/>
      <c r="AD446" s="347"/>
      <c r="AE446" s="347"/>
      <c r="AF446" s="347"/>
      <c r="AG446" s="579"/>
      <c r="AH446" s="579"/>
      <c r="AI446" s="582"/>
      <c r="AJ446" s="582"/>
      <c r="AK446" s="582"/>
      <c r="AL446" s="582"/>
      <c r="AM446" s="579"/>
      <c r="AN446" s="579"/>
      <c r="AO446" s="347"/>
      <c r="AP446" s="586"/>
      <c r="AQ446" s="596"/>
      <c r="AR446" s="596"/>
      <c r="AS446" s="348"/>
      <c r="AT446" s="348"/>
      <c r="AU446" s="348"/>
      <c r="AV446" s="348"/>
      <c r="AW446" s="348"/>
      <c r="AX446" s="584"/>
      <c r="AY446" s="581"/>
      <c r="AZ446" s="581"/>
      <c r="BA446" s="596"/>
      <c r="BB446" s="596"/>
      <c r="BC446" s="348"/>
      <c r="BD446" s="581"/>
      <c r="BE446" s="581"/>
      <c r="BF446" s="347"/>
      <c r="BG446" s="347"/>
      <c r="BH446" s="347"/>
      <c r="BI446" s="347"/>
      <c r="BJ446" s="586"/>
      <c r="BK446" s="581"/>
      <c r="BL446" s="347"/>
      <c r="BM446" s="347"/>
      <c r="BN446" s="347"/>
      <c r="BO446" s="586"/>
      <c r="BP446" s="584"/>
      <c r="BQ446" s="347"/>
      <c r="BR446" s="586"/>
      <c r="BS446" s="588"/>
      <c r="BT446" s="586"/>
      <c r="BU446" s="589"/>
      <c r="BV446" s="581">
        <f t="shared" si="44"/>
        <v>0</v>
      </c>
      <c r="BW446" s="590"/>
      <c r="BX446" s="347"/>
      <c r="BY446" s="347"/>
      <c r="BZ446" s="347"/>
      <c r="CA446" s="586"/>
      <c r="CB446" s="581"/>
      <c r="CC446" s="581">
        <f t="shared" si="193"/>
        <v>0</v>
      </c>
      <c r="CD446" s="581"/>
      <c r="CE446" s="581"/>
      <c r="CF446" s="581"/>
      <c r="CG446" s="586"/>
      <c r="CH446" s="608"/>
      <c r="CI446" s="603"/>
      <c r="CJ446" s="347"/>
      <c r="CK446" s="347"/>
      <c r="CL446" s="347"/>
      <c r="CM446" s="347"/>
      <c r="CN446" s="347"/>
      <c r="CO446" s="347"/>
      <c r="CP446" s="347"/>
    </row>
    <row r="447">
      <c r="A447" s="574"/>
      <c r="B447" s="574"/>
      <c r="C447" s="347"/>
      <c r="D447" s="574"/>
      <c r="E447" s="347"/>
      <c r="F447" s="596"/>
      <c r="G447" s="596"/>
      <c r="H447" s="347"/>
      <c r="I447" s="347"/>
      <c r="J447" s="596"/>
      <c r="K447" s="609"/>
      <c r="L447" s="1"/>
      <c r="M447" s="347"/>
      <c r="N447" s="347"/>
      <c r="O447" s="579"/>
      <c r="P447" s="579"/>
      <c r="Q447" s="574"/>
      <c r="R447" s="347"/>
      <c r="S447" s="597"/>
      <c r="T447" s="347"/>
      <c r="U447" s="579"/>
      <c r="V447" s="579"/>
      <c r="W447" s="574"/>
      <c r="X447" s="347"/>
      <c r="Y447" s="347"/>
      <c r="Z447" s="347"/>
      <c r="AA447" s="579"/>
      <c r="AB447" s="581"/>
      <c r="AC447" s="347"/>
      <c r="AD447" s="347"/>
      <c r="AE447" s="347"/>
      <c r="AF447" s="347"/>
      <c r="AG447" s="579"/>
      <c r="AH447" s="579"/>
      <c r="AI447" s="582"/>
      <c r="AJ447" s="582"/>
      <c r="AK447" s="582"/>
      <c r="AL447" s="582"/>
      <c r="AM447" s="579"/>
      <c r="AN447" s="579"/>
      <c r="AO447" s="347"/>
      <c r="AP447" s="586"/>
      <c r="AQ447" s="596"/>
      <c r="AR447" s="596"/>
      <c r="AS447" s="348"/>
      <c r="AT447" s="348"/>
      <c r="AU447" s="348"/>
      <c r="AV447" s="348"/>
      <c r="AW447" s="348"/>
      <c r="AX447" s="584"/>
      <c r="AY447" s="581"/>
      <c r="AZ447" s="581"/>
      <c r="BA447" s="596"/>
      <c r="BB447" s="596"/>
      <c r="BC447" s="348"/>
      <c r="BD447" s="581"/>
      <c r="BE447" s="581"/>
      <c r="BF447" s="347"/>
      <c r="BG447" s="347"/>
      <c r="BH447" s="347"/>
      <c r="BI447" s="347"/>
      <c r="BJ447" s="586"/>
      <c r="BK447" s="581"/>
      <c r="BL447" s="347"/>
      <c r="BM447" s="347"/>
      <c r="BN447" s="347"/>
      <c r="BO447" s="586"/>
      <c r="BP447" s="584"/>
      <c r="BQ447" s="347"/>
      <c r="BR447" s="586"/>
      <c r="BS447" s="588"/>
      <c r="BT447" s="586"/>
      <c r="BU447" s="589"/>
      <c r="BV447" s="581">
        <f t="shared" si="44"/>
        <v>0</v>
      </c>
      <c r="BW447" s="590"/>
      <c r="BX447" s="347"/>
      <c r="BY447" s="347"/>
      <c r="BZ447" s="347"/>
      <c r="CA447" s="586"/>
      <c r="CB447" s="581"/>
      <c r="CC447" s="581">
        <f t="shared" si="193"/>
        <v>0</v>
      </c>
      <c r="CD447" s="581"/>
      <c r="CE447" s="581"/>
      <c r="CF447" s="581"/>
      <c r="CG447" s="586"/>
      <c r="CH447" s="608"/>
      <c r="CI447" s="603"/>
      <c r="CJ447" s="347"/>
      <c r="CK447" s="347"/>
      <c r="CL447" s="347"/>
      <c r="CM447" s="347"/>
      <c r="CN447" s="347"/>
      <c r="CO447" s="347"/>
      <c r="CP447" s="347"/>
    </row>
    <row r="448">
      <c r="A448" s="574"/>
      <c r="B448" s="574"/>
      <c r="C448" s="347"/>
      <c r="D448" s="574"/>
      <c r="E448" s="347"/>
      <c r="F448" s="596"/>
      <c r="G448" s="596"/>
      <c r="H448" s="347"/>
      <c r="I448" s="347"/>
      <c r="J448" s="596"/>
      <c r="K448" s="609"/>
      <c r="L448" s="1"/>
      <c r="M448" s="347"/>
      <c r="N448" s="347"/>
      <c r="O448" s="579"/>
      <c r="P448" s="579"/>
      <c r="Q448" s="574"/>
      <c r="R448" s="347"/>
      <c r="S448" s="597"/>
      <c r="T448" s="347"/>
      <c r="U448" s="579"/>
      <c r="V448" s="579"/>
      <c r="W448" s="574"/>
      <c r="X448" s="347"/>
      <c r="Y448" s="347"/>
      <c r="Z448" s="347"/>
      <c r="AA448" s="579"/>
      <c r="AB448" s="581"/>
      <c r="AC448" s="347"/>
      <c r="AD448" s="347"/>
      <c r="AE448" s="347"/>
      <c r="AF448" s="347"/>
      <c r="AG448" s="579"/>
      <c r="AH448" s="579"/>
      <c r="AI448" s="582"/>
      <c r="AJ448" s="582"/>
      <c r="AK448" s="582"/>
      <c r="AL448" s="582"/>
      <c r="AM448" s="579"/>
      <c r="AN448" s="579"/>
      <c r="AO448" s="347"/>
      <c r="AP448" s="586"/>
      <c r="AQ448" s="596"/>
      <c r="AR448" s="596"/>
      <c r="AS448" s="348"/>
      <c r="AT448" s="348"/>
      <c r="AU448" s="348"/>
      <c r="AV448" s="348"/>
      <c r="AW448" s="348"/>
      <c r="AX448" s="584"/>
      <c r="AY448" s="581"/>
      <c r="AZ448" s="581"/>
      <c r="BA448" s="596"/>
      <c r="BB448" s="596"/>
      <c r="BC448" s="348"/>
      <c r="BD448" s="581"/>
      <c r="BE448" s="581"/>
      <c r="BF448" s="347"/>
      <c r="BG448" s="347"/>
      <c r="BH448" s="347"/>
      <c r="BI448" s="347"/>
      <c r="BJ448" s="586"/>
      <c r="BK448" s="581"/>
      <c r="BL448" s="347"/>
      <c r="BM448" s="347"/>
      <c r="BN448" s="347"/>
      <c r="BO448" s="586"/>
      <c r="BP448" s="584"/>
      <c r="BQ448" s="347"/>
      <c r="BR448" s="586"/>
      <c r="BS448" s="588"/>
      <c r="BT448" s="586"/>
      <c r="BU448" s="589"/>
      <c r="BV448" s="581">
        <f t="shared" si="44"/>
        <v>0</v>
      </c>
      <c r="BW448" s="590"/>
      <c r="BX448" s="347"/>
      <c r="BY448" s="347"/>
      <c r="BZ448" s="347"/>
      <c r="CA448" s="586"/>
      <c r="CB448" s="581"/>
      <c r="CC448" s="581">
        <f t="shared" si="193"/>
        <v>0</v>
      </c>
      <c r="CD448" s="581"/>
      <c r="CE448" s="581"/>
      <c r="CF448" s="581"/>
      <c r="CG448" s="586"/>
      <c r="CH448" s="608"/>
      <c r="CI448" s="603"/>
      <c r="CJ448" s="347"/>
      <c r="CK448" s="347"/>
      <c r="CL448" s="347"/>
      <c r="CM448" s="347"/>
      <c r="CN448" s="347"/>
      <c r="CO448" s="347"/>
      <c r="CP448" s="347"/>
    </row>
    <row r="449">
      <c r="A449" s="574"/>
      <c r="B449" s="574"/>
      <c r="C449" s="347"/>
      <c r="D449" s="574"/>
      <c r="E449" s="347"/>
      <c r="F449" s="596"/>
      <c r="G449" s="596"/>
      <c r="H449" s="347"/>
      <c r="I449" s="347"/>
      <c r="J449" s="596"/>
      <c r="K449" s="609"/>
      <c r="L449" s="1"/>
      <c r="M449" s="347"/>
      <c r="N449" s="347"/>
      <c r="O449" s="579"/>
      <c r="P449" s="579"/>
      <c r="Q449" s="574"/>
      <c r="R449" s="347"/>
      <c r="S449" s="597"/>
      <c r="T449" s="347"/>
      <c r="U449" s="579"/>
      <c r="V449" s="579"/>
      <c r="W449" s="574"/>
      <c r="X449" s="347"/>
      <c r="Y449" s="347"/>
      <c r="Z449" s="347"/>
      <c r="AA449" s="579"/>
      <c r="AB449" s="581"/>
      <c r="AC449" s="347"/>
      <c r="AD449" s="347"/>
      <c r="AE449" s="347"/>
      <c r="AF449" s="347"/>
      <c r="AG449" s="579"/>
      <c r="AH449" s="579"/>
      <c r="AI449" s="582"/>
      <c r="AJ449" s="582"/>
      <c r="AK449" s="582"/>
      <c r="AL449" s="582"/>
      <c r="AM449" s="579"/>
      <c r="AN449" s="579"/>
      <c r="AO449" s="347"/>
      <c r="AP449" s="586"/>
      <c r="AQ449" s="596"/>
      <c r="AR449" s="596"/>
      <c r="AS449" s="348"/>
      <c r="AT449" s="348"/>
      <c r="AU449" s="348"/>
      <c r="AV449" s="348"/>
      <c r="AW449" s="348"/>
      <c r="AX449" s="584"/>
      <c r="AY449" s="581"/>
      <c r="AZ449" s="581"/>
      <c r="BA449" s="596"/>
      <c r="BB449" s="596"/>
      <c r="BC449" s="348"/>
      <c r="BD449" s="581"/>
      <c r="BE449" s="581"/>
      <c r="BF449" s="347"/>
      <c r="BG449" s="347"/>
      <c r="BH449" s="347"/>
      <c r="BI449" s="347"/>
      <c r="BJ449" s="586"/>
      <c r="BK449" s="581"/>
      <c r="BL449" s="347"/>
      <c r="BM449" s="347"/>
      <c r="BN449" s="347"/>
      <c r="BO449" s="586"/>
      <c r="BP449" s="584"/>
      <c r="BQ449" s="347"/>
      <c r="BR449" s="586"/>
      <c r="BS449" s="588"/>
      <c r="BT449" s="586"/>
      <c r="BU449" s="589"/>
      <c r="BV449" s="581">
        <f t="shared" si="44"/>
        <v>0</v>
      </c>
      <c r="BW449" s="590"/>
      <c r="BX449" s="347"/>
      <c r="BY449" s="347"/>
      <c r="BZ449" s="347"/>
      <c r="CA449" s="586"/>
      <c r="CB449" s="581"/>
      <c r="CC449" s="581">
        <f t="shared" si="193"/>
        <v>0</v>
      </c>
      <c r="CD449" s="581"/>
      <c r="CE449" s="581"/>
      <c r="CF449" s="581"/>
      <c r="CG449" s="586"/>
      <c r="CH449" s="608"/>
      <c r="CI449" s="603"/>
      <c r="CJ449" s="347"/>
      <c r="CK449" s="347"/>
      <c r="CL449" s="347"/>
      <c r="CM449" s="347"/>
      <c r="CN449" s="347"/>
      <c r="CO449" s="347"/>
      <c r="CP449" s="347"/>
    </row>
    <row r="450">
      <c r="A450" s="574"/>
      <c r="B450" s="574"/>
      <c r="C450" s="347"/>
      <c r="D450" s="574"/>
      <c r="E450" s="347"/>
      <c r="F450" s="596"/>
      <c r="G450" s="596"/>
      <c r="H450" s="347"/>
      <c r="I450" s="347"/>
      <c r="J450" s="596"/>
      <c r="K450" s="609"/>
      <c r="L450" s="1"/>
      <c r="M450" s="347"/>
      <c r="N450" s="347"/>
      <c r="O450" s="579"/>
      <c r="P450" s="579"/>
      <c r="Q450" s="574"/>
      <c r="R450" s="347"/>
      <c r="S450" s="597"/>
      <c r="T450" s="347"/>
      <c r="U450" s="579"/>
      <c r="V450" s="579"/>
      <c r="W450" s="574"/>
      <c r="X450" s="347"/>
      <c r="Y450" s="347"/>
      <c r="Z450" s="347"/>
      <c r="AA450" s="579"/>
      <c r="AB450" s="581"/>
      <c r="AC450" s="347"/>
      <c r="AD450" s="347"/>
      <c r="AE450" s="347"/>
      <c r="AF450" s="347"/>
      <c r="AG450" s="579"/>
      <c r="AH450" s="579"/>
      <c r="AI450" s="582"/>
      <c r="AJ450" s="582"/>
      <c r="AK450" s="582"/>
      <c r="AL450" s="582"/>
      <c r="AM450" s="579"/>
      <c r="AN450" s="579"/>
      <c r="AO450" s="347"/>
      <c r="AP450" s="586"/>
      <c r="AQ450" s="596"/>
      <c r="AR450" s="596"/>
      <c r="AS450" s="348"/>
      <c r="AT450" s="348"/>
      <c r="AU450" s="348"/>
      <c r="AV450" s="348"/>
      <c r="AW450" s="348"/>
      <c r="AX450" s="584"/>
      <c r="AY450" s="581"/>
      <c r="AZ450" s="581"/>
      <c r="BA450" s="596"/>
      <c r="BB450" s="596"/>
      <c r="BC450" s="348"/>
      <c r="BD450" s="581"/>
      <c r="BE450" s="581"/>
      <c r="BF450" s="347"/>
      <c r="BG450" s="347"/>
      <c r="BH450" s="347"/>
      <c r="BI450" s="347"/>
      <c r="BJ450" s="586"/>
      <c r="BK450" s="581"/>
      <c r="BL450" s="347"/>
      <c r="BM450" s="347"/>
      <c r="BN450" s="347"/>
      <c r="BO450" s="586"/>
      <c r="BP450" s="584"/>
      <c r="BQ450" s="347"/>
      <c r="BR450" s="586"/>
      <c r="BS450" s="588"/>
      <c r="BT450" s="586"/>
      <c r="BU450" s="589"/>
      <c r="BV450" s="581">
        <f t="shared" si="44"/>
        <v>0</v>
      </c>
      <c r="BW450" s="590"/>
      <c r="BX450" s="347"/>
      <c r="BY450" s="347"/>
      <c r="BZ450" s="347"/>
      <c r="CA450" s="586"/>
      <c r="CB450" s="581"/>
      <c r="CC450" s="581">
        <f t="shared" si="193"/>
        <v>0</v>
      </c>
      <c r="CD450" s="581"/>
      <c r="CE450" s="581"/>
      <c r="CF450" s="581"/>
      <c r="CG450" s="586"/>
      <c r="CH450" s="608"/>
      <c r="CI450" s="603"/>
      <c r="CJ450" s="347"/>
      <c r="CK450" s="347"/>
      <c r="CL450" s="347"/>
      <c r="CM450" s="347"/>
      <c r="CN450" s="347"/>
      <c r="CO450" s="347"/>
      <c r="CP450" s="347"/>
    </row>
    <row r="451">
      <c r="A451" s="574"/>
      <c r="B451" s="574"/>
      <c r="C451" s="347"/>
      <c r="D451" s="574"/>
      <c r="E451" s="347"/>
      <c r="F451" s="596"/>
      <c r="G451" s="596"/>
      <c r="H451" s="347"/>
      <c r="I451" s="347"/>
      <c r="J451" s="596"/>
      <c r="K451" s="609"/>
      <c r="L451" s="1"/>
      <c r="M451" s="347"/>
      <c r="N451" s="347"/>
      <c r="O451" s="579"/>
      <c r="P451" s="579"/>
      <c r="Q451" s="574"/>
      <c r="R451" s="347"/>
      <c r="S451" s="597"/>
      <c r="T451" s="347"/>
      <c r="U451" s="579"/>
      <c r="V451" s="579"/>
      <c r="W451" s="574"/>
      <c r="X451" s="347"/>
      <c r="Y451" s="347"/>
      <c r="Z451" s="347"/>
      <c r="AA451" s="579"/>
      <c r="AB451" s="581"/>
      <c r="AC451" s="347"/>
      <c r="AD451" s="347"/>
      <c r="AE451" s="347"/>
      <c r="AF451" s="347"/>
      <c r="AG451" s="579"/>
      <c r="AH451" s="579"/>
      <c r="AI451" s="582"/>
      <c r="AJ451" s="582"/>
      <c r="AK451" s="582"/>
      <c r="AL451" s="582"/>
      <c r="AM451" s="579"/>
      <c r="AN451" s="579"/>
      <c r="AO451" s="347"/>
      <c r="AP451" s="586"/>
      <c r="AQ451" s="596"/>
      <c r="AR451" s="596"/>
      <c r="AS451" s="348"/>
      <c r="AT451" s="348"/>
      <c r="AU451" s="348"/>
      <c r="AV451" s="348"/>
      <c r="AW451" s="348"/>
      <c r="AX451" s="584"/>
      <c r="AY451" s="581"/>
      <c r="AZ451" s="581"/>
      <c r="BA451" s="596"/>
      <c r="BB451" s="596"/>
      <c r="BC451" s="348"/>
      <c r="BD451" s="581"/>
      <c r="BE451" s="581"/>
      <c r="BF451" s="347"/>
      <c r="BG451" s="347"/>
      <c r="BH451" s="347"/>
      <c r="BI451" s="347"/>
      <c r="BJ451" s="586"/>
      <c r="BK451" s="581"/>
      <c r="BL451" s="347"/>
      <c r="BM451" s="347"/>
      <c r="BN451" s="347"/>
      <c r="BO451" s="586"/>
      <c r="BP451" s="584"/>
      <c r="BQ451" s="347"/>
      <c r="BR451" s="586"/>
      <c r="BS451" s="588"/>
      <c r="BT451" s="586"/>
      <c r="BU451" s="589"/>
      <c r="BV451" s="581">
        <f t="shared" si="44"/>
        <v>0</v>
      </c>
      <c r="BW451" s="590"/>
      <c r="BX451" s="347"/>
      <c r="BY451" s="347"/>
      <c r="BZ451" s="347"/>
      <c r="CA451" s="586"/>
      <c r="CB451" s="581"/>
      <c r="CC451" s="581">
        <f t="shared" si="193"/>
        <v>0</v>
      </c>
      <c r="CD451" s="581"/>
      <c r="CE451" s="581"/>
      <c r="CF451" s="581"/>
      <c r="CG451" s="586"/>
      <c r="CH451" s="608"/>
      <c r="CI451" s="603"/>
      <c r="CJ451" s="347"/>
      <c r="CK451" s="347"/>
      <c r="CL451" s="347"/>
      <c r="CM451" s="347"/>
      <c r="CN451" s="347"/>
      <c r="CO451" s="347"/>
      <c r="CP451" s="347"/>
    </row>
    <row r="452">
      <c r="A452" s="574"/>
      <c r="B452" s="574"/>
      <c r="C452" s="347"/>
      <c r="D452" s="574"/>
      <c r="E452" s="347"/>
      <c r="F452" s="596"/>
      <c r="G452" s="596"/>
      <c r="H452" s="347"/>
      <c r="I452" s="347"/>
      <c r="J452" s="596"/>
      <c r="K452" s="609"/>
      <c r="L452" s="1"/>
      <c r="M452" s="347"/>
      <c r="N452" s="347"/>
      <c r="O452" s="579"/>
      <c r="P452" s="579"/>
      <c r="Q452" s="574"/>
      <c r="R452" s="347"/>
      <c r="S452" s="597"/>
      <c r="T452" s="347"/>
      <c r="U452" s="579"/>
      <c r="V452" s="579"/>
      <c r="W452" s="574"/>
      <c r="X452" s="347"/>
      <c r="Y452" s="347"/>
      <c r="Z452" s="347"/>
      <c r="AA452" s="579"/>
      <c r="AB452" s="581"/>
      <c r="AC452" s="347"/>
      <c r="AD452" s="347"/>
      <c r="AE452" s="347"/>
      <c r="AF452" s="347"/>
      <c r="AG452" s="579"/>
      <c r="AH452" s="579"/>
      <c r="AI452" s="582"/>
      <c r="AJ452" s="582"/>
      <c r="AK452" s="582"/>
      <c r="AL452" s="582"/>
      <c r="AM452" s="579"/>
      <c r="AN452" s="579"/>
      <c r="AO452" s="347"/>
      <c r="AP452" s="586"/>
      <c r="AQ452" s="596"/>
      <c r="AR452" s="596"/>
      <c r="AS452" s="348"/>
      <c r="AT452" s="348"/>
      <c r="AU452" s="348"/>
      <c r="AV452" s="348"/>
      <c r="AW452" s="348"/>
      <c r="AX452" s="584"/>
      <c r="AY452" s="581"/>
      <c r="AZ452" s="581"/>
      <c r="BA452" s="596"/>
      <c r="BB452" s="596"/>
      <c r="BC452" s="348"/>
      <c r="BD452" s="581"/>
      <c r="BE452" s="581"/>
      <c r="BF452" s="347"/>
      <c r="BG452" s="347"/>
      <c r="BH452" s="347"/>
      <c r="BI452" s="347"/>
      <c r="BJ452" s="586"/>
      <c r="BK452" s="581"/>
      <c r="BL452" s="347"/>
      <c r="BM452" s="347"/>
      <c r="BN452" s="347"/>
      <c r="BO452" s="586"/>
      <c r="BP452" s="584"/>
      <c r="BQ452" s="347"/>
      <c r="BR452" s="586"/>
      <c r="BS452" s="588"/>
      <c r="BT452" s="586"/>
      <c r="BU452" s="589"/>
      <c r="BV452" s="581">
        <f t="shared" si="44"/>
        <v>0</v>
      </c>
      <c r="BW452" s="590"/>
      <c r="BX452" s="347"/>
      <c r="BY452" s="347"/>
      <c r="BZ452" s="347"/>
      <c r="CA452" s="586"/>
      <c r="CB452" s="581"/>
      <c r="CC452" s="581">
        <f t="shared" si="193"/>
        <v>0</v>
      </c>
      <c r="CD452" s="581"/>
      <c r="CE452" s="581"/>
      <c r="CF452" s="581"/>
      <c r="CG452" s="586"/>
      <c r="CH452" s="608"/>
      <c r="CI452" s="603"/>
      <c r="CJ452" s="347"/>
      <c r="CK452" s="347"/>
      <c r="CL452" s="347"/>
      <c r="CM452" s="347"/>
      <c r="CN452" s="347"/>
      <c r="CO452" s="347"/>
      <c r="CP452" s="347"/>
    </row>
    <row r="453">
      <c r="A453" s="574"/>
      <c r="B453" s="574"/>
      <c r="C453" s="347"/>
      <c r="D453" s="574"/>
      <c r="E453" s="347"/>
      <c r="F453" s="596"/>
      <c r="G453" s="596"/>
      <c r="H453" s="347"/>
      <c r="I453" s="347"/>
      <c r="J453" s="596"/>
      <c r="K453" s="609"/>
      <c r="L453" s="1"/>
      <c r="M453" s="347"/>
      <c r="N453" s="347"/>
      <c r="O453" s="579"/>
      <c r="P453" s="579"/>
      <c r="Q453" s="574"/>
      <c r="R453" s="347"/>
      <c r="S453" s="597"/>
      <c r="T453" s="347"/>
      <c r="U453" s="579"/>
      <c r="V453" s="579"/>
      <c r="W453" s="574"/>
      <c r="X453" s="347"/>
      <c r="Y453" s="347"/>
      <c r="Z453" s="347"/>
      <c r="AA453" s="579"/>
      <c r="AB453" s="581"/>
      <c r="AC453" s="347"/>
      <c r="AD453" s="347"/>
      <c r="AE453" s="347"/>
      <c r="AF453" s="347"/>
      <c r="AG453" s="579"/>
      <c r="AH453" s="579"/>
      <c r="AI453" s="582"/>
      <c r="AJ453" s="582"/>
      <c r="AK453" s="582"/>
      <c r="AL453" s="582"/>
      <c r="AM453" s="579"/>
      <c r="AN453" s="579"/>
      <c r="AO453" s="347"/>
      <c r="AP453" s="586"/>
      <c r="AQ453" s="596"/>
      <c r="AR453" s="596"/>
      <c r="AS453" s="348"/>
      <c r="AT453" s="348"/>
      <c r="AU453" s="348"/>
      <c r="AV453" s="348"/>
      <c r="AW453" s="348"/>
      <c r="AX453" s="584"/>
      <c r="AY453" s="581"/>
      <c r="AZ453" s="581"/>
      <c r="BA453" s="596"/>
      <c r="BB453" s="596"/>
      <c r="BC453" s="348"/>
      <c r="BD453" s="581"/>
      <c r="BE453" s="581"/>
      <c r="BF453" s="347"/>
      <c r="BG453" s="347"/>
      <c r="BH453" s="347"/>
      <c r="BI453" s="347"/>
      <c r="BJ453" s="586"/>
      <c r="BK453" s="581"/>
      <c r="BL453" s="347"/>
      <c r="BM453" s="347"/>
      <c r="BN453" s="347"/>
      <c r="BO453" s="586"/>
      <c r="BP453" s="584"/>
      <c r="BQ453" s="347"/>
      <c r="BR453" s="586"/>
      <c r="BS453" s="588"/>
      <c r="BT453" s="586"/>
      <c r="BU453" s="589"/>
      <c r="BV453" s="581">
        <f t="shared" si="44"/>
        <v>0</v>
      </c>
      <c r="BW453" s="590"/>
      <c r="BX453" s="347"/>
      <c r="BY453" s="347"/>
      <c r="BZ453" s="347"/>
      <c r="CA453" s="586"/>
      <c r="CB453" s="581"/>
      <c r="CC453" s="581">
        <f t="shared" si="193"/>
        <v>0</v>
      </c>
      <c r="CD453" s="581"/>
      <c r="CE453" s="581"/>
      <c r="CF453" s="581"/>
      <c r="CG453" s="586"/>
      <c r="CH453" s="608"/>
      <c r="CI453" s="603"/>
      <c r="CJ453" s="347"/>
      <c r="CK453" s="347"/>
      <c r="CL453" s="347"/>
      <c r="CM453" s="347"/>
      <c r="CN453" s="347"/>
      <c r="CO453" s="347"/>
      <c r="CP453" s="347"/>
    </row>
    <row r="454">
      <c r="A454" s="574"/>
      <c r="B454" s="574"/>
      <c r="C454" s="347"/>
      <c r="D454" s="574"/>
      <c r="E454" s="347"/>
      <c r="F454" s="596"/>
      <c r="G454" s="596"/>
      <c r="H454" s="347"/>
      <c r="I454" s="347"/>
      <c r="J454" s="596"/>
      <c r="K454" s="609"/>
      <c r="L454" s="1"/>
      <c r="M454" s="347"/>
      <c r="N454" s="347"/>
      <c r="O454" s="579"/>
      <c r="P454" s="579"/>
      <c r="Q454" s="574"/>
      <c r="R454" s="347"/>
      <c r="S454" s="597"/>
      <c r="T454" s="347"/>
      <c r="U454" s="579"/>
      <c r="V454" s="579"/>
      <c r="W454" s="574"/>
      <c r="X454" s="347"/>
      <c r="Y454" s="347"/>
      <c r="Z454" s="347"/>
      <c r="AA454" s="579"/>
      <c r="AB454" s="581"/>
      <c r="AC454" s="347"/>
      <c r="AD454" s="347"/>
      <c r="AE454" s="347"/>
      <c r="AF454" s="347"/>
      <c r="AG454" s="579"/>
      <c r="AH454" s="579"/>
      <c r="AI454" s="582"/>
      <c r="AJ454" s="582"/>
      <c r="AK454" s="582"/>
      <c r="AL454" s="582"/>
      <c r="AM454" s="579"/>
      <c r="AN454" s="579"/>
      <c r="AO454" s="347"/>
      <c r="AP454" s="586"/>
      <c r="AQ454" s="596"/>
      <c r="AR454" s="596"/>
      <c r="AS454" s="348"/>
      <c r="AT454" s="348"/>
      <c r="AU454" s="348"/>
      <c r="AV454" s="348"/>
      <c r="AW454" s="348"/>
      <c r="AX454" s="584"/>
      <c r="AY454" s="581"/>
      <c r="AZ454" s="581"/>
      <c r="BA454" s="596"/>
      <c r="BB454" s="596"/>
      <c r="BC454" s="348"/>
      <c r="BD454" s="581"/>
      <c r="BE454" s="581"/>
      <c r="BF454" s="347"/>
      <c r="BG454" s="347"/>
      <c r="BH454" s="347"/>
      <c r="BI454" s="347"/>
      <c r="BJ454" s="586"/>
      <c r="BK454" s="581"/>
      <c r="BL454" s="347"/>
      <c r="BM454" s="347"/>
      <c r="BN454" s="347"/>
      <c r="BO454" s="586"/>
      <c r="BP454" s="584"/>
      <c r="BQ454" s="347"/>
      <c r="BR454" s="586"/>
      <c r="BS454" s="588"/>
      <c r="BT454" s="586"/>
      <c r="BU454" s="589"/>
      <c r="BV454" s="581">
        <f t="shared" si="44"/>
        <v>0</v>
      </c>
      <c r="BW454" s="590"/>
      <c r="BX454" s="347"/>
      <c r="BY454" s="347"/>
      <c r="BZ454" s="347"/>
      <c r="CA454" s="586"/>
      <c r="CB454" s="581"/>
      <c r="CC454" s="581">
        <f t="shared" si="193"/>
        <v>0</v>
      </c>
      <c r="CD454" s="581"/>
      <c r="CE454" s="581"/>
      <c r="CF454" s="581"/>
      <c r="CG454" s="586"/>
      <c r="CH454" s="608"/>
      <c r="CI454" s="603"/>
      <c r="CJ454" s="347"/>
      <c r="CK454" s="347"/>
      <c r="CL454" s="347"/>
      <c r="CM454" s="347"/>
      <c r="CN454" s="347"/>
      <c r="CO454" s="347"/>
      <c r="CP454" s="347"/>
    </row>
    <row r="455">
      <c r="A455" s="574"/>
      <c r="B455" s="574"/>
      <c r="C455" s="347"/>
      <c r="D455" s="574"/>
      <c r="E455" s="347"/>
      <c r="F455" s="596"/>
      <c r="G455" s="596"/>
      <c r="H455" s="347"/>
      <c r="I455" s="347"/>
      <c r="J455" s="596"/>
      <c r="K455" s="609"/>
      <c r="L455" s="1"/>
      <c r="M455" s="347"/>
      <c r="N455" s="347"/>
      <c r="O455" s="579"/>
      <c r="P455" s="579"/>
      <c r="Q455" s="574"/>
      <c r="R455" s="347"/>
      <c r="S455" s="597"/>
      <c r="T455" s="347"/>
      <c r="U455" s="579"/>
      <c r="V455" s="579"/>
      <c r="W455" s="574"/>
      <c r="X455" s="347"/>
      <c r="Y455" s="347"/>
      <c r="Z455" s="347"/>
      <c r="AA455" s="579"/>
      <c r="AB455" s="581"/>
      <c r="AC455" s="347"/>
      <c r="AD455" s="347"/>
      <c r="AE455" s="347"/>
      <c r="AF455" s="347"/>
      <c r="AG455" s="579"/>
      <c r="AH455" s="579"/>
      <c r="AI455" s="582"/>
      <c r="AJ455" s="582"/>
      <c r="AK455" s="582"/>
      <c r="AL455" s="582"/>
      <c r="AM455" s="579"/>
      <c r="AN455" s="579"/>
      <c r="AO455" s="347"/>
      <c r="AP455" s="586"/>
      <c r="AQ455" s="596"/>
      <c r="AR455" s="596"/>
      <c r="AS455" s="348"/>
      <c r="AT455" s="348"/>
      <c r="AU455" s="348"/>
      <c r="AV455" s="348"/>
      <c r="AW455" s="348"/>
      <c r="AX455" s="584"/>
      <c r="AY455" s="581"/>
      <c r="AZ455" s="581"/>
      <c r="BA455" s="596"/>
      <c r="BB455" s="596"/>
      <c r="BC455" s="348"/>
      <c r="BD455" s="581"/>
      <c r="BE455" s="581"/>
      <c r="BF455" s="347"/>
      <c r="BG455" s="347"/>
      <c r="BH455" s="347"/>
      <c r="BI455" s="347"/>
      <c r="BJ455" s="586"/>
      <c r="BK455" s="581"/>
      <c r="BL455" s="347"/>
      <c r="BM455" s="347"/>
      <c r="BN455" s="347"/>
      <c r="BO455" s="586"/>
      <c r="BP455" s="584"/>
      <c r="BQ455" s="347"/>
      <c r="BR455" s="586"/>
      <c r="BS455" s="588"/>
      <c r="BT455" s="586"/>
      <c r="BU455" s="589"/>
      <c r="BV455" s="581">
        <f t="shared" si="44"/>
        <v>0</v>
      </c>
      <c r="BW455" s="590"/>
      <c r="BX455" s="347"/>
      <c r="BY455" s="347"/>
      <c r="BZ455" s="347"/>
      <c r="CA455" s="586"/>
      <c r="CB455" s="581"/>
      <c r="CC455" s="581">
        <f t="shared" si="193"/>
        <v>0</v>
      </c>
      <c r="CD455" s="581"/>
      <c r="CE455" s="581"/>
      <c r="CF455" s="581"/>
      <c r="CG455" s="586"/>
      <c r="CH455" s="608"/>
      <c r="CI455" s="603"/>
      <c r="CJ455" s="347"/>
      <c r="CK455" s="347"/>
      <c r="CL455" s="347"/>
      <c r="CM455" s="347"/>
      <c r="CN455" s="347"/>
      <c r="CO455" s="347"/>
      <c r="CP455" s="347"/>
    </row>
    <row r="456">
      <c r="A456" s="574"/>
      <c r="B456" s="574"/>
      <c r="C456" s="347"/>
      <c r="D456" s="574"/>
      <c r="E456" s="347"/>
      <c r="F456" s="596"/>
      <c r="G456" s="596"/>
      <c r="H456" s="347"/>
      <c r="I456" s="347"/>
      <c r="J456" s="596"/>
      <c r="K456" s="609"/>
      <c r="L456" s="1"/>
      <c r="M456" s="347"/>
      <c r="N456" s="347"/>
      <c r="O456" s="579"/>
      <c r="P456" s="579"/>
      <c r="Q456" s="574"/>
      <c r="R456" s="347"/>
      <c r="S456" s="597"/>
      <c r="T456" s="347"/>
      <c r="U456" s="579"/>
      <c r="V456" s="579"/>
      <c r="W456" s="574"/>
      <c r="X456" s="347"/>
      <c r="Y456" s="347"/>
      <c r="Z456" s="347"/>
      <c r="AA456" s="579"/>
      <c r="AB456" s="581"/>
      <c r="AC456" s="347"/>
      <c r="AD456" s="347"/>
      <c r="AE456" s="347"/>
      <c r="AF456" s="347"/>
      <c r="AG456" s="579"/>
      <c r="AH456" s="579"/>
      <c r="AI456" s="582"/>
      <c r="AJ456" s="582"/>
      <c r="AK456" s="582"/>
      <c r="AL456" s="582"/>
      <c r="AM456" s="579"/>
      <c r="AN456" s="579"/>
      <c r="AO456" s="347"/>
      <c r="AP456" s="586"/>
      <c r="AQ456" s="596"/>
      <c r="AR456" s="596"/>
      <c r="AS456" s="348"/>
      <c r="AT456" s="348"/>
      <c r="AU456" s="348"/>
      <c r="AV456" s="348"/>
      <c r="AW456" s="348"/>
      <c r="AX456" s="584"/>
      <c r="AY456" s="581"/>
      <c r="AZ456" s="581"/>
      <c r="BA456" s="596"/>
      <c r="BB456" s="596"/>
      <c r="BC456" s="348"/>
      <c r="BD456" s="581"/>
      <c r="BE456" s="581"/>
      <c r="BF456" s="347"/>
      <c r="BG456" s="347"/>
      <c r="BH456" s="347"/>
      <c r="BI456" s="347"/>
      <c r="BJ456" s="586"/>
      <c r="BK456" s="581"/>
      <c r="BL456" s="347"/>
      <c r="BM456" s="347"/>
      <c r="BN456" s="347"/>
      <c r="BO456" s="586"/>
      <c r="BP456" s="584"/>
      <c r="BQ456" s="347"/>
      <c r="BR456" s="586"/>
      <c r="BS456" s="588"/>
      <c r="BT456" s="586"/>
      <c r="BU456" s="589"/>
      <c r="BV456" s="581">
        <f t="shared" si="44"/>
        <v>0</v>
      </c>
      <c r="BW456" s="590"/>
      <c r="BX456" s="347"/>
      <c r="BY456" s="347"/>
      <c r="BZ456" s="347"/>
      <c r="CA456" s="586"/>
      <c r="CB456" s="581"/>
      <c r="CC456" s="581">
        <f t="shared" si="193"/>
        <v>0</v>
      </c>
      <c r="CD456" s="581"/>
      <c r="CE456" s="581"/>
      <c r="CF456" s="581"/>
      <c r="CG456" s="586"/>
      <c r="CH456" s="608"/>
      <c r="CI456" s="603"/>
      <c r="CJ456" s="347"/>
      <c r="CK456" s="347"/>
      <c r="CL456" s="347"/>
      <c r="CM456" s="347"/>
      <c r="CN456" s="347"/>
      <c r="CO456" s="347"/>
      <c r="CP456" s="347"/>
    </row>
    <row r="457">
      <c r="A457" s="574"/>
      <c r="B457" s="574"/>
      <c r="C457" s="347"/>
      <c r="D457" s="574"/>
      <c r="E457" s="347"/>
      <c r="F457" s="596"/>
      <c r="G457" s="596"/>
      <c r="H457" s="347"/>
      <c r="I457" s="347"/>
      <c r="J457" s="596"/>
      <c r="K457" s="609"/>
      <c r="L457" s="1"/>
      <c r="M457" s="347"/>
      <c r="N457" s="347"/>
      <c r="O457" s="579"/>
      <c r="P457" s="579"/>
      <c r="Q457" s="574"/>
      <c r="R457" s="347"/>
      <c r="S457" s="597"/>
      <c r="T457" s="347"/>
      <c r="U457" s="579"/>
      <c r="V457" s="579"/>
      <c r="W457" s="574"/>
      <c r="X457" s="347"/>
      <c r="Y457" s="347"/>
      <c r="Z457" s="347"/>
      <c r="AA457" s="579"/>
      <c r="AB457" s="581"/>
      <c r="AC457" s="347"/>
      <c r="AD457" s="347"/>
      <c r="AE457" s="347"/>
      <c r="AF457" s="347"/>
      <c r="AG457" s="579"/>
      <c r="AH457" s="579"/>
      <c r="AI457" s="582"/>
      <c r="AJ457" s="582"/>
      <c r="AK457" s="582"/>
      <c r="AL457" s="582"/>
      <c r="AM457" s="579"/>
      <c r="AN457" s="579"/>
      <c r="AO457" s="347"/>
      <c r="AP457" s="586"/>
      <c r="AQ457" s="596"/>
      <c r="AR457" s="596"/>
      <c r="AS457" s="348"/>
      <c r="AT457" s="348"/>
      <c r="AU457" s="348"/>
      <c r="AV457" s="348"/>
      <c r="AW457" s="348"/>
      <c r="AX457" s="584"/>
      <c r="AY457" s="581"/>
      <c r="AZ457" s="581"/>
      <c r="BA457" s="596"/>
      <c r="BB457" s="596"/>
      <c r="BC457" s="348"/>
      <c r="BD457" s="581"/>
      <c r="BE457" s="581"/>
      <c r="BF457" s="347"/>
      <c r="BG457" s="347"/>
      <c r="BH457" s="347"/>
      <c r="BI457" s="347"/>
      <c r="BJ457" s="586"/>
      <c r="BK457" s="581"/>
      <c r="BL457" s="347"/>
      <c r="BM457" s="347"/>
      <c r="BN457" s="347"/>
      <c r="BO457" s="586"/>
      <c r="BP457" s="584"/>
      <c r="BQ457" s="347"/>
      <c r="BR457" s="586"/>
      <c r="BS457" s="588"/>
      <c r="BT457" s="586"/>
      <c r="BU457" s="589"/>
      <c r="BV457" s="581">
        <f t="shared" si="44"/>
        <v>0</v>
      </c>
      <c r="BW457" s="590"/>
      <c r="BX457" s="347"/>
      <c r="BY457" s="347"/>
      <c r="BZ457" s="347"/>
      <c r="CA457" s="586"/>
      <c r="CB457" s="581"/>
      <c r="CC457" s="581">
        <f t="shared" si="193"/>
        <v>0</v>
      </c>
      <c r="CD457" s="581"/>
      <c r="CE457" s="581"/>
      <c r="CF457" s="581"/>
      <c r="CG457" s="586"/>
      <c r="CH457" s="608"/>
      <c r="CI457" s="603"/>
      <c r="CJ457" s="347"/>
      <c r="CK457" s="347"/>
      <c r="CL457" s="347"/>
      <c r="CM457" s="347"/>
      <c r="CN457" s="347"/>
      <c r="CO457" s="347"/>
      <c r="CP457" s="347"/>
    </row>
    <row r="458">
      <c r="A458" s="574"/>
      <c r="B458" s="574"/>
      <c r="C458" s="347"/>
      <c r="D458" s="574"/>
      <c r="E458" s="347"/>
      <c r="F458" s="596"/>
      <c r="G458" s="596"/>
      <c r="H458" s="347"/>
      <c r="I458" s="347"/>
      <c r="J458" s="596"/>
      <c r="K458" s="609"/>
      <c r="L458" s="1"/>
      <c r="M458" s="347"/>
      <c r="N458" s="347"/>
      <c r="O458" s="579"/>
      <c r="P458" s="579"/>
      <c r="Q458" s="574"/>
      <c r="R458" s="347"/>
      <c r="S458" s="597"/>
      <c r="T458" s="347"/>
      <c r="U458" s="579"/>
      <c r="V458" s="579"/>
      <c r="W458" s="574"/>
      <c r="X458" s="347"/>
      <c r="Y458" s="347"/>
      <c r="Z458" s="347"/>
      <c r="AA458" s="579"/>
      <c r="AB458" s="581"/>
      <c r="AC458" s="347"/>
      <c r="AD458" s="347"/>
      <c r="AE458" s="347"/>
      <c r="AF458" s="347"/>
      <c r="AG458" s="579"/>
      <c r="AH458" s="579"/>
      <c r="AI458" s="582"/>
      <c r="AJ458" s="582"/>
      <c r="AK458" s="582"/>
      <c r="AL458" s="582"/>
      <c r="AM458" s="579"/>
      <c r="AN458" s="579"/>
      <c r="AO458" s="347"/>
      <c r="AP458" s="586"/>
      <c r="AQ458" s="596"/>
      <c r="AR458" s="596"/>
      <c r="AS458" s="348"/>
      <c r="AT458" s="348"/>
      <c r="AU458" s="348"/>
      <c r="AV458" s="348"/>
      <c r="AW458" s="348"/>
      <c r="AX458" s="584"/>
      <c r="AY458" s="581"/>
      <c r="AZ458" s="581"/>
      <c r="BA458" s="596"/>
      <c r="BB458" s="596"/>
      <c r="BC458" s="348"/>
      <c r="BD458" s="581"/>
      <c r="BE458" s="581"/>
      <c r="BF458" s="347"/>
      <c r="BG458" s="347"/>
      <c r="BH458" s="347"/>
      <c r="BI458" s="347"/>
      <c r="BJ458" s="586"/>
      <c r="BK458" s="581"/>
      <c r="BL458" s="347"/>
      <c r="BM458" s="347"/>
      <c r="BN458" s="347"/>
      <c r="BO458" s="586"/>
      <c r="BP458" s="584"/>
      <c r="BQ458" s="347"/>
      <c r="BR458" s="586"/>
      <c r="BS458" s="588"/>
      <c r="BT458" s="586"/>
      <c r="BU458" s="589"/>
      <c r="BV458" s="581">
        <f t="shared" si="44"/>
        <v>0</v>
      </c>
      <c r="BW458" s="590"/>
      <c r="BX458" s="347"/>
      <c r="BY458" s="347"/>
      <c r="BZ458" s="347"/>
      <c r="CA458" s="586"/>
      <c r="CB458" s="581"/>
      <c r="CC458" s="581">
        <f t="shared" si="193"/>
        <v>0</v>
      </c>
      <c r="CD458" s="581"/>
      <c r="CE458" s="581"/>
      <c r="CF458" s="581"/>
      <c r="CG458" s="586"/>
      <c r="CH458" s="608"/>
      <c r="CI458" s="603"/>
      <c r="CJ458" s="347"/>
      <c r="CK458" s="347"/>
      <c r="CL458" s="347"/>
      <c r="CM458" s="347"/>
      <c r="CN458" s="347"/>
      <c r="CO458" s="347"/>
      <c r="CP458" s="347"/>
    </row>
    <row r="459">
      <c r="A459" s="574"/>
      <c r="B459" s="574"/>
      <c r="C459" s="347"/>
      <c r="D459" s="574"/>
      <c r="E459" s="347"/>
      <c r="F459" s="596"/>
      <c r="G459" s="596"/>
      <c r="H459" s="347"/>
      <c r="I459" s="347"/>
      <c r="J459" s="596"/>
      <c r="K459" s="609"/>
      <c r="L459" s="1"/>
      <c r="M459" s="347"/>
      <c r="N459" s="347"/>
      <c r="O459" s="579"/>
      <c r="P459" s="579"/>
      <c r="Q459" s="574"/>
      <c r="R459" s="347"/>
      <c r="S459" s="597"/>
      <c r="T459" s="347"/>
      <c r="U459" s="579"/>
      <c r="V459" s="579"/>
      <c r="W459" s="574"/>
      <c r="X459" s="347"/>
      <c r="Y459" s="347"/>
      <c r="Z459" s="347"/>
      <c r="AA459" s="579"/>
      <c r="AB459" s="581"/>
      <c r="AC459" s="347"/>
      <c r="AD459" s="347"/>
      <c r="AE459" s="347"/>
      <c r="AF459" s="347"/>
      <c r="AG459" s="579"/>
      <c r="AH459" s="579"/>
      <c r="AI459" s="582"/>
      <c r="AJ459" s="582"/>
      <c r="AK459" s="582"/>
      <c r="AL459" s="582"/>
      <c r="AM459" s="579"/>
      <c r="AN459" s="579"/>
      <c r="AO459" s="347"/>
      <c r="AP459" s="586"/>
      <c r="AQ459" s="596"/>
      <c r="AR459" s="596"/>
      <c r="AS459" s="348"/>
      <c r="AT459" s="348"/>
      <c r="AU459" s="348"/>
      <c r="AV459" s="348"/>
      <c r="AW459" s="348"/>
      <c r="AX459" s="584"/>
      <c r="AY459" s="581"/>
      <c r="AZ459" s="581"/>
      <c r="BA459" s="596"/>
      <c r="BB459" s="596"/>
      <c r="BC459" s="348"/>
      <c r="BD459" s="581"/>
      <c r="BE459" s="581"/>
      <c r="BF459" s="347"/>
      <c r="BG459" s="347"/>
      <c r="BH459" s="347"/>
      <c r="BI459" s="347"/>
      <c r="BJ459" s="586"/>
      <c r="BK459" s="581"/>
      <c r="BL459" s="347"/>
      <c r="BM459" s="347"/>
      <c r="BN459" s="347"/>
      <c r="BO459" s="586"/>
      <c r="BP459" s="584"/>
      <c r="BQ459" s="347"/>
      <c r="BR459" s="586"/>
      <c r="BS459" s="588"/>
      <c r="BT459" s="586"/>
      <c r="BU459" s="589"/>
      <c r="BV459" s="581">
        <f t="shared" si="44"/>
        <v>0</v>
      </c>
      <c r="BW459" s="590"/>
      <c r="BX459" s="347"/>
      <c r="BY459" s="347"/>
      <c r="BZ459" s="347"/>
      <c r="CA459" s="586"/>
      <c r="CB459" s="581"/>
      <c r="CC459" s="581">
        <f t="shared" si="193"/>
        <v>0</v>
      </c>
      <c r="CD459" s="581"/>
      <c r="CE459" s="581"/>
      <c r="CF459" s="581"/>
      <c r="CG459" s="586"/>
      <c r="CH459" s="608"/>
      <c r="CI459" s="603"/>
      <c r="CJ459" s="347"/>
      <c r="CK459" s="347"/>
      <c r="CL459" s="347"/>
      <c r="CM459" s="347"/>
      <c r="CN459" s="347"/>
      <c r="CO459" s="347"/>
      <c r="CP459" s="347"/>
    </row>
    <row r="460">
      <c r="A460" s="574"/>
      <c r="B460" s="574"/>
      <c r="C460" s="347"/>
      <c r="D460" s="574"/>
      <c r="E460" s="347"/>
      <c r="F460" s="596"/>
      <c r="G460" s="596"/>
      <c r="H460" s="347"/>
      <c r="I460" s="347"/>
      <c r="J460" s="596"/>
      <c r="K460" s="609"/>
      <c r="L460" s="1"/>
      <c r="M460" s="347"/>
      <c r="N460" s="347"/>
      <c r="O460" s="579"/>
      <c r="P460" s="579"/>
      <c r="Q460" s="574"/>
      <c r="R460" s="347"/>
      <c r="S460" s="597"/>
      <c r="T460" s="347"/>
      <c r="U460" s="579"/>
      <c r="V460" s="579"/>
      <c r="W460" s="574"/>
      <c r="X460" s="347"/>
      <c r="Y460" s="347"/>
      <c r="Z460" s="347"/>
      <c r="AA460" s="579"/>
      <c r="AB460" s="581"/>
      <c r="AC460" s="347"/>
      <c r="AD460" s="347"/>
      <c r="AE460" s="347"/>
      <c r="AF460" s="347"/>
      <c r="AG460" s="579"/>
      <c r="AH460" s="579"/>
      <c r="AI460" s="582"/>
      <c r="AJ460" s="582"/>
      <c r="AK460" s="582"/>
      <c r="AL460" s="582"/>
      <c r="AM460" s="579"/>
      <c r="AN460" s="579"/>
      <c r="AO460" s="347"/>
      <c r="AP460" s="586"/>
      <c r="AQ460" s="596"/>
      <c r="AR460" s="596"/>
      <c r="AS460" s="348"/>
      <c r="AT460" s="348"/>
      <c r="AU460" s="348"/>
      <c r="AV460" s="348"/>
      <c r="AW460" s="348"/>
      <c r="AX460" s="584"/>
      <c r="AY460" s="581"/>
      <c r="AZ460" s="581"/>
      <c r="BA460" s="596"/>
      <c r="BB460" s="596"/>
      <c r="BC460" s="348"/>
      <c r="BD460" s="581"/>
      <c r="BE460" s="581"/>
      <c r="BF460" s="347"/>
      <c r="BG460" s="347"/>
      <c r="BH460" s="347"/>
      <c r="BI460" s="347"/>
      <c r="BJ460" s="586"/>
      <c r="BK460" s="581"/>
      <c r="BL460" s="347"/>
      <c r="BM460" s="347"/>
      <c r="BN460" s="347"/>
      <c r="BO460" s="586"/>
      <c r="BP460" s="584"/>
      <c r="BQ460" s="347"/>
      <c r="BR460" s="586"/>
      <c r="BS460" s="588"/>
      <c r="BT460" s="586"/>
      <c r="BU460" s="589"/>
      <c r="BV460" s="581">
        <f t="shared" si="44"/>
        <v>0</v>
      </c>
      <c r="BW460" s="590"/>
      <c r="BX460" s="347"/>
      <c r="BY460" s="347"/>
      <c r="BZ460" s="347"/>
      <c r="CA460" s="586"/>
      <c r="CB460" s="581"/>
      <c r="CC460" s="581">
        <f t="shared" si="193"/>
        <v>0</v>
      </c>
      <c r="CD460" s="581"/>
      <c r="CE460" s="581"/>
      <c r="CF460" s="581"/>
      <c r="CG460" s="586"/>
      <c r="CH460" s="608"/>
      <c r="CI460" s="603"/>
      <c r="CJ460" s="347"/>
      <c r="CK460" s="347"/>
      <c r="CL460" s="347"/>
      <c r="CM460" s="347"/>
      <c r="CN460" s="347"/>
      <c r="CO460" s="347"/>
      <c r="CP460" s="347"/>
    </row>
    <row r="461">
      <c r="A461" s="574"/>
      <c r="B461" s="574"/>
      <c r="C461" s="347"/>
      <c r="D461" s="574"/>
      <c r="E461" s="347"/>
      <c r="F461" s="596"/>
      <c r="G461" s="596"/>
      <c r="H461" s="347"/>
      <c r="I461" s="347"/>
      <c r="J461" s="596"/>
      <c r="K461" s="609"/>
      <c r="L461" s="1"/>
      <c r="M461" s="347"/>
      <c r="N461" s="347"/>
      <c r="O461" s="579"/>
      <c r="P461" s="579"/>
      <c r="Q461" s="574"/>
      <c r="R461" s="347"/>
      <c r="S461" s="597"/>
      <c r="T461" s="347"/>
      <c r="U461" s="579"/>
      <c r="V461" s="579"/>
      <c r="W461" s="574"/>
      <c r="X461" s="347"/>
      <c r="Y461" s="347"/>
      <c r="Z461" s="347"/>
      <c r="AA461" s="579"/>
      <c r="AB461" s="581"/>
      <c r="AC461" s="347"/>
      <c r="AD461" s="347"/>
      <c r="AE461" s="347"/>
      <c r="AF461" s="347"/>
      <c r="AG461" s="579"/>
      <c r="AH461" s="579"/>
      <c r="AI461" s="582"/>
      <c r="AJ461" s="582"/>
      <c r="AK461" s="582"/>
      <c r="AL461" s="582"/>
      <c r="AM461" s="579"/>
      <c r="AN461" s="579"/>
      <c r="AO461" s="347"/>
      <c r="AP461" s="586"/>
      <c r="AQ461" s="596"/>
      <c r="AR461" s="596"/>
      <c r="AS461" s="348"/>
      <c r="AT461" s="348"/>
      <c r="AU461" s="348"/>
      <c r="AV461" s="348"/>
      <c r="AW461" s="348"/>
      <c r="AX461" s="584"/>
      <c r="AY461" s="581"/>
      <c r="AZ461" s="581"/>
      <c r="BA461" s="596"/>
      <c r="BB461" s="596"/>
      <c r="BC461" s="348"/>
      <c r="BD461" s="581"/>
      <c r="BE461" s="581"/>
      <c r="BF461" s="347"/>
      <c r="BG461" s="347"/>
      <c r="BH461" s="347"/>
      <c r="BI461" s="347"/>
      <c r="BJ461" s="586"/>
      <c r="BK461" s="581"/>
      <c r="BL461" s="347"/>
      <c r="BM461" s="347"/>
      <c r="BN461" s="347"/>
      <c r="BO461" s="586"/>
      <c r="BP461" s="584"/>
      <c r="BQ461" s="347"/>
      <c r="BR461" s="586"/>
      <c r="BS461" s="588"/>
      <c r="BT461" s="586"/>
      <c r="BU461" s="589"/>
      <c r="BV461" s="581">
        <f t="shared" si="44"/>
        <v>0</v>
      </c>
      <c r="BW461" s="590"/>
      <c r="BX461" s="347"/>
      <c r="BY461" s="347"/>
      <c r="BZ461" s="347"/>
      <c r="CA461" s="586"/>
      <c r="CB461" s="581"/>
      <c r="CC461" s="581">
        <f t="shared" si="193"/>
        <v>0</v>
      </c>
      <c r="CD461" s="581"/>
      <c r="CE461" s="581"/>
      <c r="CF461" s="581"/>
      <c r="CG461" s="586"/>
      <c r="CH461" s="608"/>
      <c r="CI461" s="603"/>
      <c r="CJ461" s="347"/>
      <c r="CK461" s="347"/>
      <c r="CL461" s="347"/>
      <c r="CM461" s="347"/>
      <c r="CN461" s="347"/>
      <c r="CO461" s="347"/>
      <c r="CP461" s="347"/>
    </row>
    <row r="462">
      <c r="A462" s="574"/>
      <c r="B462" s="574"/>
      <c r="C462" s="347"/>
      <c r="D462" s="574"/>
      <c r="E462" s="347"/>
      <c r="F462" s="596"/>
      <c r="G462" s="596"/>
      <c r="H462" s="347"/>
      <c r="I462" s="347"/>
      <c r="J462" s="596"/>
      <c r="K462" s="609"/>
      <c r="L462" s="1"/>
      <c r="M462" s="347"/>
      <c r="N462" s="347"/>
      <c r="O462" s="579"/>
      <c r="P462" s="579"/>
      <c r="Q462" s="574"/>
      <c r="R462" s="347"/>
      <c r="S462" s="597"/>
      <c r="T462" s="347"/>
      <c r="U462" s="579"/>
      <c r="V462" s="579"/>
      <c r="W462" s="574"/>
      <c r="X462" s="347"/>
      <c r="Y462" s="347"/>
      <c r="Z462" s="347"/>
      <c r="AA462" s="579"/>
      <c r="AB462" s="581"/>
      <c r="AC462" s="347"/>
      <c r="AD462" s="347"/>
      <c r="AE462" s="347"/>
      <c r="AF462" s="347"/>
      <c r="AG462" s="579"/>
      <c r="AH462" s="579"/>
      <c r="AI462" s="582"/>
      <c r="AJ462" s="582"/>
      <c r="AK462" s="582"/>
      <c r="AL462" s="582"/>
      <c r="AM462" s="579"/>
      <c r="AN462" s="579"/>
      <c r="AO462" s="347"/>
      <c r="AP462" s="586"/>
      <c r="AQ462" s="596"/>
      <c r="AR462" s="596"/>
      <c r="AS462" s="348"/>
      <c r="AT462" s="348"/>
      <c r="AU462" s="348"/>
      <c r="AV462" s="348"/>
      <c r="AW462" s="348"/>
      <c r="AX462" s="584"/>
      <c r="AY462" s="581"/>
      <c r="AZ462" s="581"/>
      <c r="BA462" s="596"/>
      <c r="BB462" s="596"/>
      <c r="BC462" s="348"/>
      <c r="BD462" s="581"/>
      <c r="BE462" s="581"/>
      <c r="BF462" s="347"/>
      <c r="BG462" s="347"/>
      <c r="BH462" s="347"/>
      <c r="BI462" s="347"/>
      <c r="BJ462" s="586"/>
      <c r="BK462" s="581"/>
      <c r="BL462" s="347"/>
      <c r="BM462" s="347"/>
      <c r="BN462" s="347"/>
      <c r="BO462" s="586"/>
      <c r="BP462" s="584"/>
      <c r="BQ462" s="347"/>
      <c r="BR462" s="586"/>
      <c r="BS462" s="588"/>
      <c r="BT462" s="586"/>
      <c r="BU462" s="589"/>
      <c r="BV462" s="581">
        <f t="shared" si="44"/>
        <v>0</v>
      </c>
      <c r="BW462" s="590"/>
      <c r="BX462" s="347"/>
      <c r="BY462" s="347"/>
      <c r="BZ462" s="347"/>
      <c r="CA462" s="586"/>
      <c r="CB462" s="581"/>
      <c r="CC462" s="581">
        <f t="shared" si="193"/>
        <v>0</v>
      </c>
      <c r="CD462" s="581"/>
      <c r="CE462" s="581"/>
      <c r="CF462" s="581"/>
      <c r="CG462" s="586"/>
      <c r="CH462" s="608"/>
      <c r="CI462" s="603"/>
      <c r="CJ462" s="347"/>
      <c r="CK462" s="347"/>
      <c r="CL462" s="347"/>
      <c r="CM462" s="347"/>
      <c r="CN462" s="347"/>
      <c r="CO462" s="347"/>
      <c r="CP462" s="347"/>
    </row>
    <row r="463">
      <c r="A463" s="574"/>
      <c r="B463" s="574"/>
      <c r="C463" s="347"/>
      <c r="D463" s="574"/>
      <c r="E463" s="347"/>
      <c r="F463" s="596"/>
      <c r="G463" s="596"/>
      <c r="H463" s="347"/>
      <c r="I463" s="347"/>
      <c r="J463" s="596"/>
      <c r="K463" s="609"/>
      <c r="L463" s="1"/>
      <c r="M463" s="347"/>
      <c r="N463" s="347"/>
      <c r="O463" s="579"/>
      <c r="P463" s="579"/>
      <c r="Q463" s="574"/>
      <c r="R463" s="347"/>
      <c r="S463" s="597"/>
      <c r="T463" s="347"/>
      <c r="U463" s="579"/>
      <c r="V463" s="579"/>
      <c r="W463" s="574"/>
      <c r="X463" s="347"/>
      <c r="Y463" s="347"/>
      <c r="Z463" s="347"/>
      <c r="AA463" s="579"/>
      <c r="AB463" s="581"/>
      <c r="AC463" s="347"/>
      <c r="AD463" s="347"/>
      <c r="AE463" s="347"/>
      <c r="AF463" s="347"/>
      <c r="AG463" s="579"/>
      <c r="AH463" s="579"/>
      <c r="AI463" s="582"/>
      <c r="AJ463" s="582"/>
      <c r="AK463" s="582"/>
      <c r="AL463" s="582"/>
      <c r="AM463" s="579"/>
      <c r="AN463" s="579"/>
      <c r="AO463" s="347"/>
      <c r="AP463" s="586"/>
      <c r="AQ463" s="596"/>
      <c r="AR463" s="596"/>
      <c r="AS463" s="348"/>
      <c r="AT463" s="348"/>
      <c r="AU463" s="348"/>
      <c r="AV463" s="348"/>
      <c r="AW463" s="348"/>
      <c r="AX463" s="584"/>
      <c r="AY463" s="581"/>
      <c r="AZ463" s="581"/>
      <c r="BA463" s="596"/>
      <c r="BB463" s="596"/>
      <c r="BC463" s="348"/>
      <c r="BD463" s="581"/>
      <c r="BE463" s="581"/>
      <c r="BF463" s="347"/>
      <c r="BG463" s="347"/>
      <c r="BH463" s="347"/>
      <c r="BI463" s="347"/>
      <c r="BJ463" s="586"/>
      <c r="BK463" s="581"/>
      <c r="BL463" s="347"/>
      <c r="BM463" s="347"/>
      <c r="BN463" s="347"/>
      <c r="BO463" s="586"/>
      <c r="BP463" s="584"/>
      <c r="BQ463" s="347"/>
      <c r="BR463" s="586"/>
      <c r="BS463" s="588"/>
      <c r="BT463" s="586"/>
      <c r="BU463" s="589"/>
      <c r="BV463" s="581">
        <f t="shared" si="44"/>
        <v>0</v>
      </c>
      <c r="BW463" s="590"/>
      <c r="BX463" s="347"/>
      <c r="BY463" s="347"/>
      <c r="BZ463" s="347"/>
      <c r="CA463" s="586"/>
      <c r="CB463" s="581"/>
      <c r="CC463" s="581">
        <f t="shared" si="193"/>
        <v>0</v>
      </c>
      <c r="CD463" s="581"/>
      <c r="CE463" s="581"/>
      <c r="CF463" s="581"/>
      <c r="CG463" s="586"/>
      <c r="CH463" s="608"/>
      <c r="CI463" s="603"/>
      <c r="CJ463" s="347"/>
      <c r="CK463" s="347"/>
      <c r="CL463" s="347"/>
      <c r="CM463" s="347"/>
      <c r="CN463" s="347"/>
      <c r="CO463" s="347"/>
      <c r="CP463" s="347"/>
    </row>
    <row r="464">
      <c r="A464" s="574"/>
      <c r="B464" s="574"/>
      <c r="C464" s="347"/>
      <c r="D464" s="574"/>
      <c r="E464" s="347"/>
      <c r="F464" s="596"/>
      <c r="G464" s="596"/>
      <c r="H464" s="347"/>
      <c r="I464" s="347"/>
      <c r="J464" s="596"/>
      <c r="K464" s="609"/>
      <c r="L464" s="1"/>
      <c r="M464" s="347"/>
      <c r="N464" s="347"/>
      <c r="O464" s="579"/>
      <c r="P464" s="579"/>
      <c r="Q464" s="574"/>
      <c r="R464" s="347"/>
      <c r="S464" s="597"/>
      <c r="T464" s="347"/>
      <c r="U464" s="579"/>
      <c r="V464" s="579"/>
      <c r="W464" s="574"/>
      <c r="X464" s="347"/>
      <c r="Y464" s="347"/>
      <c r="Z464" s="347"/>
      <c r="AA464" s="579"/>
      <c r="AB464" s="581"/>
      <c r="AC464" s="347"/>
      <c r="AD464" s="347"/>
      <c r="AE464" s="347"/>
      <c r="AF464" s="347"/>
      <c r="AG464" s="579"/>
      <c r="AH464" s="579"/>
      <c r="AI464" s="582"/>
      <c r="AJ464" s="582"/>
      <c r="AK464" s="582"/>
      <c r="AL464" s="582"/>
      <c r="AM464" s="579"/>
      <c r="AN464" s="579"/>
      <c r="AO464" s="347"/>
      <c r="AP464" s="586"/>
      <c r="AQ464" s="596"/>
      <c r="AR464" s="596"/>
      <c r="AS464" s="348"/>
      <c r="AT464" s="348"/>
      <c r="AU464" s="348"/>
      <c r="AV464" s="348"/>
      <c r="AW464" s="348"/>
      <c r="AX464" s="584"/>
      <c r="AY464" s="581"/>
      <c r="AZ464" s="581"/>
      <c r="BA464" s="596"/>
      <c r="BB464" s="596"/>
      <c r="BC464" s="348"/>
      <c r="BD464" s="581"/>
      <c r="BE464" s="581"/>
      <c r="BF464" s="347"/>
      <c r="BG464" s="347"/>
      <c r="BH464" s="347"/>
      <c r="BI464" s="347"/>
      <c r="BJ464" s="586"/>
      <c r="BK464" s="581"/>
      <c r="BL464" s="347"/>
      <c r="BM464" s="347"/>
      <c r="BN464" s="347"/>
      <c r="BO464" s="586"/>
      <c r="BP464" s="584"/>
      <c r="BQ464" s="347"/>
      <c r="BR464" s="586"/>
      <c r="BS464" s="588"/>
      <c r="BT464" s="586"/>
      <c r="BU464" s="589"/>
      <c r="BV464" s="581">
        <f t="shared" si="44"/>
        <v>0</v>
      </c>
      <c r="BW464" s="590"/>
      <c r="BX464" s="347"/>
      <c r="BY464" s="347"/>
      <c r="BZ464" s="347"/>
      <c r="CA464" s="586"/>
      <c r="CB464" s="581"/>
      <c r="CC464" s="581">
        <f t="shared" si="193"/>
        <v>0</v>
      </c>
      <c r="CD464" s="581"/>
      <c r="CE464" s="581"/>
      <c r="CF464" s="581"/>
      <c r="CG464" s="586"/>
      <c r="CH464" s="608"/>
      <c r="CI464" s="603"/>
      <c r="CJ464" s="347"/>
      <c r="CK464" s="347"/>
      <c r="CL464" s="347"/>
      <c r="CM464" s="347"/>
      <c r="CN464" s="347"/>
      <c r="CO464" s="347"/>
      <c r="CP464" s="347"/>
    </row>
    <row r="465">
      <c r="A465" s="574"/>
      <c r="B465" s="574"/>
      <c r="C465" s="347"/>
      <c r="D465" s="574"/>
      <c r="E465" s="347"/>
      <c r="F465" s="596"/>
      <c r="G465" s="596"/>
      <c r="H465" s="347"/>
      <c r="I465" s="347"/>
      <c r="J465" s="596"/>
      <c r="K465" s="609"/>
      <c r="L465" s="1"/>
      <c r="M465" s="347"/>
      <c r="N465" s="347"/>
      <c r="O465" s="579"/>
      <c r="P465" s="579"/>
      <c r="Q465" s="574"/>
      <c r="R465" s="347"/>
      <c r="S465" s="597"/>
      <c r="T465" s="347"/>
      <c r="U465" s="579"/>
      <c r="V465" s="579"/>
      <c r="W465" s="574"/>
      <c r="X465" s="347"/>
      <c r="Y465" s="347"/>
      <c r="Z465" s="347"/>
      <c r="AA465" s="579"/>
      <c r="AB465" s="581"/>
      <c r="AC465" s="347"/>
      <c r="AD465" s="347"/>
      <c r="AE465" s="347"/>
      <c r="AF465" s="347"/>
      <c r="AG465" s="579"/>
      <c r="AH465" s="579"/>
      <c r="AI465" s="582"/>
      <c r="AJ465" s="582"/>
      <c r="AK465" s="582"/>
      <c r="AL465" s="582"/>
      <c r="AM465" s="579"/>
      <c r="AN465" s="579"/>
      <c r="AO465" s="347"/>
      <c r="AP465" s="586"/>
      <c r="AQ465" s="596"/>
      <c r="AR465" s="596"/>
      <c r="AS465" s="348"/>
      <c r="AT465" s="348"/>
      <c r="AU465" s="348"/>
      <c r="AV465" s="348"/>
      <c r="AW465" s="348"/>
      <c r="AX465" s="584"/>
      <c r="AY465" s="581"/>
      <c r="AZ465" s="581"/>
      <c r="BA465" s="596"/>
      <c r="BB465" s="596"/>
      <c r="BC465" s="348"/>
      <c r="BD465" s="581"/>
      <c r="BE465" s="581"/>
      <c r="BF465" s="347"/>
      <c r="BG465" s="347"/>
      <c r="BH465" s="347"/>
      <c r="BI465" s="347"/>
      <c r="BJ465" s="586"/>
      <c r="BK465" s="581"/>
      <c r="BL465" s="347"/>
      <c r="BM465" s="347"/>
      <c r="BN465" s="347"/>
      <c r="BO465" s="586"/>
      <c r="BP465" s="584"/>
      <c r="BQ465" s="347"/>
      <c r="BR465" s="586"/>
      <c r="BS465" s="588"/>
      <c r="BT465" s="586"/>
      <c r="BU465" s="589"/>
      <c r="BV465" s="581">
        <f t="shared" si="44"/>
        <v>0</v>
      </c>
      <c r="BW465" s="590"/>
      <c r="BX465" s="347"/>
      <c r="BY465" s="347"/>
      <c r="BZ465" s="347"/>
      <c r="CA465" s="586"/>
      <c r="CB465" s="581"/>
      <c r="CC465" s="581">
        <f t="shared" si="193"/>
        <v>0</v>
      </c>
      <c r="CD465" s="581"/>
      <c r="CE465" s="581"/>
      <c r="CF465" s="581"/>
      <c r="CG465" s="586"/>
      <c r="CH465" s="608"/>
      <c r="CI465" s="603"/>
      <c r="CJ465" s="347"/>
      <c r="CK465" s="347"/>
      <c r="CL465" s="347"/>
      <c r="CM465" s="347"/>
      <c r="CN465" s="347"/>
      <c r="CO465" s="347"/>
      <c r="CP465" s="347"/>
    </row>
    <row r="466">
      <c r="A466" s="574"/>
      <c r="B466" s="574"/>
      <c r="C466" s="347"/>
      <c r="D466" s="574"/>
      <c r="E466" s="347"/>
      <c r="F466" s="596"/>
      <c r="G466" s="596"/>
      <c r="H466" s="347"/>
      <c r="I466" s="347"/>
      <c r="J466" s="596"/>
      <c r="K466" s="609"/>
      <c r="L466" s="1"/>
      <c r="M466" s="347"/>
      <c r="N466" s="347"/>
      <c r="O466" s="579"/>
      <c r="P466" s="579"/>
      <c r="Q466" s="574"/>
      <c r="R466" s="347"/>
      <c r="S466" s="597"/>
      <c r="T466" s="347"/>
      <c r="U466" s="579"/>
      <c r="V466" s="579"/>
      <c r="W466" s="574"/>
      <c r="X466" s="347"/>
      <c r="Y466" s="347"/>
      <c r="Z466" s="347"/>
      <c r="AA466" s="579"/>
      <c r="AB466" s="581"/>
      <c r="AC466" s="347"/>
      <c r="AD466" s="347"/>
      <c r="AE466" s="347"/>
      <c r="AF466" s="347"/>
      <c r="AG466" s="579"/>
      <c r="AH466" s="579"/>
      <c r="AI466" s="582"/>
      <c r="AJ466" s="582"/>
      <c r="AK466" s="582"/>
      <c r="AL466" s="582"/>
      <c r="AM466" s="579"/>
      <c r="AN466" s="579"/>
      <c r="AO466" s="347"/>
      <c r="AP466" s="586"/>
      <c r="AQ466" s="596"/>
      <c r="AR466" s="596"/>
      <c r="AS466" s="348"/>
      <c r="AT466" s="348"/>
      <c r="AU466" s="348"/>
      <c r="AV466" s="348"/>
      <c r="AW466" s="348"/>
      <c r="AX466" s="584"/>
      <c r="AY466" s="581"/>
      <c r="AZ466" s="581"/>
      <c r="BA466" s="596"/>
      <c r="BB466" s="596"/>
      <c r="BC466" s="348"/>
      <c r="BD466" s="581"/>
      <c r="BE466" s="581"/>
      <c r="BF466" s="347"/>
      <c r="BG466" s="347"/>
      <c r="BH466" s="347"/>
      <c r="BI466" s="347"/>
      <c r="BJ466" s="586"/>
      <c r="BK466" s="581"/>
      <c r="BL466" s="347"/>
      <c r="BM466" s="347"/>
      <c r="BN466" s="347"/>
      <c r="BO466" s="586"/>
      <c r="BP466" s="584"/>
      <c r="BQ466" s="347"/>
      <c r="BR466" s="586"/>
      <c r="BS466" s="588"/>
      <c r="BT466" s="586"/>
      <c r="BU466" s="589"/>
      <c r="BV466" s="581">
        <f t="shared" si="44"/>
        <v>0</v>
      </c>
      <c r="BW466" s="590"/>
      <c r="BX466" s="347"/>
      <c r="BY466" s="347"/>
      <c r="BZ466" s="347"/>
      <c r="CA466" s="586"/>
      <c r="CB466" s="581"/>
      <c r="CC466" s="581">
        <f t="shared" si="193"/>
        <v>0</v>
      </c>
      <c r="CD466" s="581"/>
      <c r="CE466" s="581"/>
      <c r="CF466" s="581"/>
      <c r="CG466" s="586"/>
      <c r="CH466" s="608"/>
      <c r="CI466" s="603"/>
      <c r="CJ466" s="347"/>
      <c r="CK466" s="347"/>
      <c r="CL466" s="347"/>
      <c r="CM466" s="347"/>
      <c r="CN466" s="347"/>
      <c r="CO466" s="347"/>
      <c r="CP466" s="347"/>
    </row>
    <row r="467">
      <c r="A467" s="574"/>
      <c r="B467" s="574"/>
      <c r="C467" s="347"/>
      <c r="D467" s="574"/>
      <c r="E467" s="347"/>
      <c r="F467" s="596"/>
      <c r="G467" s="596"/>
      <c r="H467" s="347"/>
      <c r="I467" s="347"/>
      <c r="J467" s="596"/>
      <c r="K467" s="609"/>
      <c r="L467" s="1"/>
      <c r="M467" s="347"/>
      <c r="N467" s="347"/>
      <c r="O467" s="579"/>
      <c r="P467" s="579"/>
      <c r="Q467" s="574"/>
      <c r="R467" s="347"/>
      <c r="S467" s="597"/>
      <c r="T467" s="347"/>
      <c r="U467" s="579"/>
      <c r="V467" s="579"/>
      <c r="W467" s="574"/>
      <c r="X467" s="347"/>
      <c r="Y467" s="347"/>
      <c r="Z467" s="347"/>
      <c r="AA467" s="579"/>
      <c r="AB467" s="581"/>
      <c r="AC467" s="347"/>
      <c r="AD467" s="347"/>
      <c r="AE467" s="347"/>
      <c r="AF467" s="347"/>
      <c r="AG467" s="579"/>
      <c r="AH467" s="579"/>
      <c r="AI467" s="582"/>
      <c r="AJ467" s="582"/>
      <c r="AK467" s="582"/>
      <c r="AL467" s="582"/>
      <c r="AM467" s="579"/>
      <c r="AN467" s="579"/>
      <c r="AO467" s="347"/>
      <c r="AP467" s="586"/>
      <c r="AQ467" s="596"/>
      <c r="AR467" s="596"/>
      <c r="AS467" s="348"/>
      <c r="AT467" s="348"/>
      <c r="AU467" s="348"/>
      <c r="AV467" s="348"/>
      <c r="AW467" s="348"/>
      <c r="AX467" s="584"/>
      <c r="AY467" s="581"/>
      <c r="AZ467" s="581"/>
      <c r="BA467" s="596"/>
      <c r="BB467" s="596"/>
      <c r="BC467" s="348"/>
      <c r="BD467" s="581"/>
      <c r="BE467" s="581"/>
      <c r="BF467" s="347"/>
      <c r="BG467" s="347"/>
      <c r="BH467" s="347"/>
      <c r="BI467" s="347"/>
      <c r="BJ467" s="586"/>
      <c r="BK467" s="581"/>
      <c r="BL467" s="347"/>
      <c r="BM467" s="347"/>
      <c r="BN467" s="347"/>
      <c r="BO467" s="586"/>
      <c r="BP467" s="584"/>
      <c r="BQ467" s="347"/>
      <c r="BR467" s="586"/>
      <c r="BS467" s="588"/>
      <c r="BT467" s="586"/>
      <c r="BU467" s="589"/>
      <c r="BV467" s="581">
        <f t="shared" si="44"/>
        <v>0</v>
      </c>
      <c r="BW467" s="590"/>
      <c r="BX467" s="347"/>
      <c r="BY467" s="347"/>
      <c r="BZ467" s="347"/>
      <c r="CA467" s="586"/>
      <c r="CB467" s="581"/>
      <c r="CC467" s="581">
        <f t="shared" si="193"/>
        <v>0</v>
      </c>
      <c r="CD467" s="581"/>
      <c r="CE467" s="581"/>
      <c r="CF467" s="581"/>
      <c r="CG467" s="586"/>
      <c r="CH467" s="608"/>
      <c r="CI467" s="603"/>
      <c r="CJ467" s="347"/>
      <c r="CK467" s="347"/>
      <c r="CL467" s="347"/>
      <c r="CM467" s="347"/>
      <c r="CN467" s="347"/>
      <c r="CO467" s="347"/>
      <c r="CP467" s="347"/>
    </row>
    <row r="468">
      <c r="A468" s="574"/>
      <c r="B468" s="574"/>
      <c r="C468" s="347"/>
      <c r="D468" s="574"/>
      <c r="E468" s="347"/>
      <c r="F468" s="596"/>
      <c r="G468" s="596"/>
      <c r="H468" s="347"/>
      <c r="I468" s="347"/>
      <c r="J468" s="596"/>
      <c r="K468" s="609"/>
      <c r="L468" s="1"/>
      <c r="M468" s="347"/>
      <c r="N468" s="347"/>
      <c r="O468" s="579"/>
      <c r="P468" s="579"/>
      <c r="Q468" s="574"/>
      <c r="R468" s="347"/>
      <c r="S468" s="597"/>
      <c r="T468" s="347"/>
      <c r="U468" s="579"/>
      <c r="V468" s="579"/>
      <c r="W468" s="574"/>
      <c r="X468" s="347"/>
      <c r="Y468" s="347"/>
      <c r="Z468" s="347"/>
      <c r="AA468" s="579"/>
      <c r="AB468" s="581"/>
      <c r="AC468" s="347"/>
      <c r="AD468" s="347"/>
      <c r="AE468" s="347"/>
      <c r="AF468" s="347"/>
      <c r="AG468" s="579"/>
      <c r="AH468" s="579"/>
      <c r="AI468" s="582"/>
      <c r="AJ468" s="582"/>
      <c r="AK468" s="582"/>
      <c r="AL468" s="582"/>
      <c r="AM468" s="579"/>
      <c r="AN468" s="579"/>
      <c r="AO468" s="347"/>
      <c r="AP468" s="586"/>
      <c r="AQ468" s="596"/>
      <c r="AR468" s="596"/>
      <c r="AS468" s="348"/>
      <c r="AT468" s="348"/>
      <c r="AU468" s="348"/>
      <c r="AV468" s="348"/>
      <c r="AW468" s="348"/>
      <c r="AX468" s="584"/>
      <c r="AY468" s="581"/>
      <c r="AZ468" s="581"/>
      <c r="BA468" s="596"/>
      <c r="BB468" s="596"/>
      <c r="BC468" s="348"/>
      <c r="BD468" s="581"/>
      <c r="BE468" s="581"/>
      <c r="BF468" s="347"/>
      <c r="BG468" s="347"/>
      <c r="BH468" s="347"/>
      <c r="BI468" s="347"/>
      <c r="BJ468" s="586"/>
      <c r="BK468" s="581"/>
      <c r="BL468" s="347"/>
      <c r="BM468" s="347"/>
      <c r="BN468" s="347"/>
      <c r="BO468" s="586"/>
      <c r="BP468" s="584"/>
      <c r="BQ468" s="347"/>
      <c r="BR468" s="586"/>
      <c r="BS468" s="588"/>
      <c r="BT468" s="586"/>
      <c r="BU468" s="589"/>
      <c r="BV468" s="581">
        <f t="shared" si="44"/>
        <v>0</v>
      </c>
      <c r="BW468" s="590"/>
      <c r="BX468" s="347"/>
      <c r="BY468" s="347"/>
      <c r="BZ468" s="347"/>
      <c r="CA468" s="586"/>
      <c r="CB468" s="581"/>
      <c r="CC468" s="581">
        <f t="shared" si="193"/>
        <v>0</v>
      </c>
      <c r="CD468" s="581"/>
      <c r="CE468" s="581"/>
      <c r="CF468" s="581"/>
      <c r="CG468" s="586"/>
      <c r="CH468" s="608"/>
      <c r="CI468" s="603"/>
      <c r="CJ468" s="347"/>
      <c r="CK468" s="347"/>
      <c r="CL468" s="347"/>
      <c r="CM468" s="347"/>
      <c r="CN468" s="347"/>
      <c r="CO468" s="347"/>
      <c r="CP468" s="347"/>
    </row>
    <row r="469">
      <c r="A469" s="574"/>
      <c r="B469" s="574"/>
      <c r="C469" s="347"/>
      <c r="D469" s="574"/>
      <c r="E469" s="347"/>
      <c r="F469" s="596"/>
      <c r="G469" s="596"/>
      <c r="H469" s="347"/>
      <c r="I469" s="347"/>
      <c r="J469" s="596"/>
      <c r="K469" s="609"/>
      <c r="L469" s="1"/>
      <c r="M469" s="347"/>
      <c r="N469" s="347"/>
      <c r="O469" s="579"/>
      <c r="P469" s="579"/>
      <c r="Q469" s="574"/>
      <c r="R469" s="347"/>
      <c r="S469" s="597"/>
      <c r="T469" s="347"/>
      <c r="U469" s="579"/>
      <c r="V469" s="579"/>
      <c r="W469" s="574"/>
      <c r="X469" s="347"/>
      <c r="Y469" s="347"/>
      <c r="Z469" s="347"/>
      <c r="AA469" s="579"/>
      <c r="AB469" s="581"/>
      <c r="AC469" s="347"/>
      <c r="AD469" s="347"/>
      <c r="AE469" s="347"/>
      <c r="AF469" s="347"/>
      <c r="AG469" s="579"/>
      <c r="AH469" s="579"/>
      <c r="AI469" s="582"/>
      <c r="AJ469" s="582"/>
      <c r="AK469" s="582"/>
      <c r="AL469" s="582"/>
      <c r="AM469" s="579"/>
      <c r="AN469" s="579"/>
      <c r="AO469" s="347"/>
      <c r="AP469" s="586"/>
      <c r="AQ469" s="596"/>
      <c r="AR469" s="596"/>
      <c r="AS469" s="348"/>
      <c r="AT469" s="348"/>
      <c r="AU469" s="348"/>
      <c r="AV469" s="348"/>
      <c r="AW469" s="348"/>
      <c r="AX469" s="584"/>
      <c r="AY469" s="581"/>
      <c r="AZ469" s="581"/>
      <c r="BA469" s="596"/>
      <c r="BB469" s="596"/>
      <c r="BC469" s="348"/>
      <c r="BD469" s="581"/>
      <c r="BE469" s="581"/>
      <c r="BF469" s="347"/>
      <c r="BG469" s="347"/>
      <c r="BH469" s="347"/>
      <c r="BI469" s="347"/>
      <c r="BJ469" s="586"/>
      <c r="BK469" s="581"/>
      <c r="BL469" s="347"/>
      <c r="BM469" s="347"/>
      <c r="BN469" s="347"/>
      <c r="BO469" s="586"/>
      <c r="BP469" s="584"/>
      <c r="BQ469" s="347"/>
      <c r="BR469" s="586"/>
      <c r="BS469" s="588"/>
      <c r="BT469" s="586"/>
      <c r="BU469" s="589"/>
      <c r="BV469" s="581">
        <f t="shared" si="44"/>
        <v>0</v>
      </c>
      <c r="BW469" s="590"/>
      <c r="BX469" s="347"/>
      <c r="BY469" s="347"/>
      <c r="BZ469" s="347"/>
      <c r="CA469" s="586"/>
      <c r="CB469" s="581"/>
      <c r="CC469" s="581">
        <f t="shared" si="193"/>
        <v>0</v>
      </c>
      <c r="CD469" s="581"/>
      <c r="CE469" s="581"/>
      <c r="CF469" s="581"/>
      <c r="CG469" s="586"/>
      <c r="CH469" s="608"/>
      <c r="CI469" s="603"/>
      <c r="CJ469" s="347"/>
      <c r="CK469" s="347"/>
      <c r="CL469" s="347"/>
      <c r="CM469" s="347"/>
      <c r="CN469" s="347"/>
      <c r="CO469" s="347"/>
      <c r="CP469" s="347"/>
    </row>
    <row r="470">
      <c r="A470" s="574"/>
      <c r="B470" s="574"/>
      <c r="C470" s="347"/>
      <c r="D470" s="574"/>
      <c r="E470" s="347"/>
      <c r="F470" s="596"/>
      <c r="G470" s="596"/>
      <c r="H470" s="347"/>
      <c r="I470" s="347"/>
      <c r="J470" s="596"/>
      <c r="K470" s="609"/>
      <c r="L470" s="1"/>
      <c r="M470" s="347"/>
      <c r="N470" s="347"/>
      <c r="O470" s="579"/>
      <c r="P470" s="579"/>
      <c r="Q470" s="574"/>
      <c r="R470" s="347"/>
      <c r="S470" s="597"/>
      <c r="T470" s="347"/>
      <c r="U470" s="579"/>
      <c r="V470" s="579"/>
      <c r="W470" s="574"/>
      <c r="X470" s="347"/>
      <c r="Y470" s="347"/>
      <c r="Z470" s="347"/>
      <c r="AA470" s="579"/>
      <c r="AB470" s="581"/>
      <c r="AC470" s="347"/>
      <c r="AD470" s="347"/>
      <c r="AE470" s="347"/>
      <c r="AF470" s="347"/>
      <c r="AG470" s="579"/>
      <c r="AH470" s="579"/>
      <c r="AI470" s="582"/>
      <c r="AJ470" s="582"/>
      <c r="AK470" s="582"/>
      <c r="AL470" s="582"/>
      <c r="AM470" s="579"/>
      <c r="AN470" s="579"/>
      <c r="AO470" s="347"/>
      <c r="AP470" s="586"/>
      <c r="AQ470" s="596"/>
      <c r="AR470" s="596"/>
      <c r="AS470" s="348"/>
      <c r="AT470" s="348"/>
      <c r="AU470" s="348"/>
      <c r="AV470" s="348"/>
      <c r="AW470" s="348"/>
      <c r="AX470" s="584"/>
      <c r="AY470" s="581"/>
      <c r="AZ470" s="581"/>
      <c r="BA470" s="596"/>
      <c r="BB470" s="596"/>
      <c r="BC470" s="348"/>
      <c r="BD470" s="581"/>
      <c r="BE470" s="581"/>
      <c r="BF470" s="347"/>
      <c r="BG470" s="347"/>
      <c r="BH470" s="347"/>
      <c r="BI470" s="347"/>
      <c r="BJ470" s="586"/>
      <c r="BK470" s="581"/>
      <c r="BL470" s="347"/>
      <c r="BM470" s="347"/>
      <c r="BN470" s="347"/>
      <c r="BO470" s="586"/>
      <c r="BP470" s="584"/>
      <c r="BQ470" s="347"/>
      <c r="BR470" s="586"/>
      <c r="BS470" s="588"/>
      <c r="BT470" s="586"/>
      <c r="BU470" s="589"/>
      <c r="BV470" s="581">
        <f t="shared" si="44"/>
        <v>0</v>
      </c>
      <c r="BW470" s="590"/>
      <c r="BX470" s="347"/>
      <c r="BY470" s="347"/>
      <c r="BZ470" s="347"/>
      <c r="CA470" s="586"/>
      <c r="CB470" s="581"/>
      <c r="CC470" s="581">
        <f t="shared" si="193"/>
        <v>0</v>
      </c>
      <c r="CD470" s="581"/>
      <c r="CE470" s="581"/>
      <c r="CF470" s="581"/>
      <c r="CG470" s="586"/>
      <c r="CH470" s="608"/>
      <c r="CI470" s="603"/>
      <c r="CJ470" s="347"/>
      <c r="CK470" s="347"/>
      <c r="CL470" s="347"/>
      <c r="CM470" s="347"/>
      <c r="CN470" s="347"/>
      <c r="CO470" s="347"/>
      <c r="CP470" s="347"/>
    </row>
    <row r="471">
      <c r="A471" s="574"/>
      <c r="B471" s="574"/>
      <c r="C471" s="347"/>
      <c r="D471" s="574"/>
      <c r="E471" s="347"/>
      <c r="F471" s="596"/>
      <c r="G471" s="596"/>
      <c r="H471" s="347"/>
      <c r="I471" s="347"/>
      <c r="J471" s="596"/>
      <c r="K471" s="609"/>
      <c r="L471" s="1"/>
      <c r="M471" s="347"/>
      <c r="N471" s="347"/>
      <c r="O471" s="579"/>
      <c r="P471" s="579"/>
      <c r="Q471" s="574"/>
      <c r="R471" s="347"/>
      <c r="S471" s="597"/>
      <c r="T471" s="347"/>
      <c r="U471" s="579"/>
      <c r="V471" s="579"/>
      <c r="W471" s="574"/>
      <c r="X471" s="347"/>
      <c r="Y471" s="347"/>
      <c r="Z471" s="347"/>
      <c r="AA471" s="579"/>
      <c r="AB471" s="581"/>
      <c r="AC471" s="347"/>
      <c r="AD471" s="347"/>
      <c r="AE471" s="347"/>
      <c r="AF471" s="347"/>
      <c r="AG471" s="579"/>
      <c r="AH471" s="579"/>
      <c r="AI471" s="582"/>
      <c r="AJ471" s="582"/>
      <c r="AK471" s="582"/>
      <c r="AL471" s="582"/>
      <c r="AM471" s="579"/>
      <c r="AN471" s="579"/>
      <c r="AO471" s="347"/>
      <c r="AP471" s="586"/>
      <c r="AQ471" s="596"/>
      <c r="AR471" s="596"/>
      <c r="AS471" s="348"/>
      <c r="AT471" s="348"/>
      <c r="AU471" s="348"/>
      <c r="AV471" s="348"/>
      <c r="AW471" s="348"/>
      <c r="AX471" s="584"/>
      <c r="AY471" s="581"/>
      <c r="AZ471" s="581"/>
      <c r="BA471" s="596"/>
      <c r="BB471" s="596"/>
      <c r="BC471" s="348"/>
      <c r="BD471" s="581"/>
      <c r="BE471" s="581"/>
      <c r="BF471" s="347"/>
      <c r="BG471" s="347"/>
      <c r="BH471" s="347"/>
      <c r="BI471" s="347"/>
      <c r="BJ471" s="586"/>
      <c r="BK471" s="581"/>
      <c r="BL471" s="347"/>
      <c r="BM471" s="347"/>
      <c r="BN471" s="347"/>
      <c r="BO471" s="586"/>
      <c r="BP471" s="584"/>
      <c r="BQ471" s="347"/>
      <c r="BR471" s="586"/>
      <c r="BS471" s="588"/>
      <c r="BT471" s="586"/>
      <c r="BU471" s="589"/>
      <c r="BV471" s="581">
        <f t="shared" si="44"/>
        <v>0</v>
      </c>
      <c r="BW471" s="590"/>
      <c r="BX471" s="347"/>
      <c r="BY471" s="347"/>
      <c r="BZ471" s="347"/>
      <c r="CA471" s="586"/>
      <c r="CB471" s="581"/>
      <c r="CC471" s="581">
        <f t="shared" si="193"/>
        <v>0</v>
      </c>
      <c r="CD471" s="581"/>
      <c r="CE471" s="581"/>
      <c r="CF471" s="581"/>
      <c r="CG471" s="586"/>
      <c r="CH471" s="608"/>
      <c r="CI471" s="603"/>
      <c r="CJ471" s="347"/>
      <c r="CK471" s="347"/>
      <c r="CL471" s="347"/>
      <c r="CM471" s="347"/>
      <c r="CN471" s="347"/>
      <c r="CO471" s="347"/>
      <c r="CP471" s="347"/>
    </row>
    <row r="472">
      <c r="A472" s="574"/>
      <c r="B472" s="574"/>
      <c r="C472" s="347"/>
      <c r="D472" s="574"/>
      <c r="E472" s="347"/>
      <c r="F472" s="596"/>
      <c r="G472" s="596"/>
      <c r="H472" s="347"/>
      <c r="I472" s="347"/>
      <c r="J472" s="596"/>
      <c r="K472" s="609"/>
      <c r="L472" s="1"/>
      <c r="M472" s="347"/>
      <c r="N472" s="347"/>
      <c r="O472" s="579"/>
      <c r="P472" s="579"/>
      <c r="Q472" s="574"/>
      <c r="R472" s="347"/>
      <c r="S472" s="597"/>
      <c r="T472" s="347"/>
      <c r="U472" s="579"/>
      <c r="V472" s="579"/>
      <c r="W472" s="574"/>
      <c r="X472" s="347"/>
      <c r="Y472" s="347"/>
      <c r="Z472" s="347"/>
      <c r="AA472" s="579"/>
      <c r="AB472" s="581"/>
      <c r="AC472" s="347"/>
      <c r="AD472" s="347"/>
      <c r="AE472" s="347"/>
      <c r="AF472" s="347"/>
      <c r="AG472" s="579"/>
      <c r="AH472" s="579"/>
      <c r="AI472" s="582"/>
      <c r="AJ472" s="582"/>
      <c r="AK472" s="582"/>
      <c r="AL472" s="582"/>
      <c r="AM472" s="579"/>
      <c r="AN472" s="579"/>
      <c r="AO472" s="347"/>
      <c r="AP472" s="586"/>
      <c r="AQ472" s="596"/>
      <c r="AR472" s="596"/>
      <c r="AS472" s="348"/>
      <c r="AT472" s="348"/>
      <c r="AU472" s="348"/>
      <c r="AV472" s="348"/>
      <c r="AW472" s="348"/>
      <c r="AX472" s="584"/>
      <c r="AY472" s="581"/>
      <c r="AZ472" s="581"/>
      <c r="BA472" s="596"/>
      <c r="BB472" s="596"/>
      <c r="BC472" s="348"/>
      <c r="BD472" s="581"/>
      <c r="BE472" s="581"/>
      <c r="BF472" s="347"/>
      <c r="BG472" s="347"/>
      <c r="BH472" s="347"/>
      <c r="BI472" s="347"/>
      <c r="BJ472" s="586"/>
      <c r="BK472" s="581"/>
      <c r="BL472" s="347"/>
      <c r="BM472" s="347"/>
      <c r="BN472" s="347"/>
      <c r="BO472" s="586"/>
      <c r="BP472" s="584"/>
      <c r="BQ472" s="347"/>
      <c r="BR472" s="586"/>
      <c r="BS472" s="588"/>
      <c r="BT472" s="586"/>
      <c r="BU472" s="589"/>
      <c r="BV472" s="581">
        <f t="shared" si="44"/>
        <v>0</v>
      </c>
      <c r="BW472" s="590"/>
      <c r="BX472" s="347"/>
      <c r="BY472" s="347"/>
      <c r="BZ472" s="347"/>
      <c r="CA472" s="586"/>
      <c r="CB472" s="581"/>
      <c r="CC472" s="581">
        <f t="shared" si="193"/>
        <v>0</v>
      </c>
      <c r="CD472" s="581"/>
      <c r="CE472" s="581"/>
      <c r="CF472" s="581"/>
      <c r="CG472" s="586"/>
      <c r="CH472" s="608"/>
      <c r="CI472" s="603"/>
      <c r="CJ472" s="347"/>
      <c r="CK472" s="347"/>
      <c r="CL472" s="347"/>
      <c r="CM472" s="347"/>
      <c r="CN472" s="347"/>
      <c r="CO472" s="347"/>
      <c r="CP472" s="347"/>
    </row>
    <row r="473">
      <c r="A473" s="574"/>
      <c r="B473" s="574"/>
      <c r="C473" s="347"/>
      <c r="D473" s="574"/>
      <c r="E473" s="347"/>
      <c r="F473" s="596"/>
      <c r="G473" s="596"/>
      <c r="H473" s="347"/>
      <c r="I473" s="347"/>
      <c r="J473" s="596"/>
      <c r="K473" s="609"/>
      <c r="L473" s="1"/>
      <c r="M473" s="347"/>
      <c r="N473" s="347"/>
      <c r="O473" s="579"/>
      <c r="P473" s="579"/>
      <c r="Q473" s="574"/>
      <c r="R473" s="347"/>
      <c r="S473" s="597"/>
      <c r="T473" s="347"/>
      <c r="U473" s="579"/>
      <c r="V473" s="579"/>
      <c r="W473" s="574"/>
      <c r="X473" s="347"/>
      <c r="Y473" s="347"/>
      <c r="Z473" s="347"/>
      <c r="AA473" s="579"/>
      <c r="AB473" s="581"/>
      <c r="AC473" s="347"/>
      <c r="AD473" s="347"/>
      <c r="AE473" s="347"/>
      <c r="AF473" s="347"/>
      <c r="AG473" s="579"/>
      <c r="AH473" s="579"/>
      <c r="AI473" s="582"/>
      <c r="AJ473" s="582"/>
      <c r="AK473" s="582"/>
      <c r="AL473" s="582"/>
      <c r="AM473" s="579"/>
      <c r="AN473" s="579"/>
      <c r="AO473" s="347"/>
      <c r="AP473" s="586"/>
      <c r="AQ473" s="596"/>
      <c r="AR473" s="596"/>
      <c r="AS473" s="348"/>
      <c r="AT473" s="348"/>
      <c r="AU473" s="348"/>
      <c r="AV473" s="348"/>
      <c r="AW473" s="348"/>
      <c r="AX473" s="584"/>
      <c r="AY473" s="581"/>
      <c r="AZ473" s="581"/>
      <c r="BA473" s="596"/>
      <c r="BB473" s="596"/>
      <c r="BC473" s="348"/>
      <c r="BD473" s="581"/>
      <c r="BE473" s="581"/>
      <c r="BF473" s="347"/>
      <c r="BG473" s="347"/>
      <c r="BH473" s="347"/>
      <c r="BI473" s="347"/>
      <c r="BJ473" s="586"/>
      <c r="BK473" s="581"/>
      <c r="BL473" s="347"/>
      <c r="BM473" s="347"/>
      <c r="BN473" s="347"/>
      <c r="BO473" s="586"/>
      <c r="BP473" s="584"/>
      <c r="BQ473" s="347"/>
      <c r="BR473" s="586"/>
      <c r="BS473" s="588"/>
      <c r="BT473" s="586"/>
      <c r="BU473" s="589"/>
      <c r="BV473" s="581">
        <f t="shared" si="44"/>
        <v>0</v>
      </c>
      <c r="BW473" s="590"/>
      <c r="BX473" s="347"/>
      <c r="BY473" s="347"/>
      <c r="BZ473" s="347"/>
      <c r="CA473" s="586"/>
      <c r="CB473" s="581"/>
      <c r="CC473" s="581">
        <f t="shared" si="193"/>
        <v>0</v>
      </c>
      <c r="CD473" s="581"/>
      <c r="CE473" s="581"/>
      <c r="CF473" s="581"/>
      <c r="CG473" s="586"/>
      <c r="CH473" s="608"/>
      <c r="CI473" s="603"/>
      <c r="CJ473" s="347"/>
      <c r="CK473" s="347"/>
      <c r="CL473" s="347"/>
      <c r="CM473" s="347"/>
      <c r="CN473" s="347"/>
      <c r="CO473" s="347"/>
      <c r="CP473" s="347"/>
    </row>
    <row r="474">
      <c r="A474" s="574"/>
      <c r="B474" s="574"/>
      <c r="C474" s="347"/>
      <c r="D474" s="574"/>
      <c r="E474" s="347"/>
      <c r="F474" s="596"/>
      <c r="G474" s="596"/>
      <c r="H474" s="347"/>
      <c r="I474" s="347"/>
      <c r="J474" s="596"/>
      <c r="K474" s="609"/>
      <c r="L474" s="1"/>
      <c r="M474" s="347"/>
      <c r="N474" s="347"/>
      <c r="O474" s="579"/>
      <c r="P474" s="579"/>
      <c r="Q474" s="574"/>
      <c r="R474" s="347"/>
      <c r="S474" s="597"/>
      <c r="T474" s="347"/>
      <c r="U474" s="579"/>
      <c r="V474" s="579"/>
      <c r="W474" s="574"/>
      <c r="X474" s="347"/>
      <c r="Y474" s="347"/>
      <c r="Z474" s="347"/>
      <c r="AA474" s="579"/>
      <c r="AB474" s="581"/>
      <c r="AC474" s="347"/>
      <c r="AD474" s="347"/>
      <c r="AE474" s="347"/>
      <c r="AF474" s="347"/>
      <c r="AG474" s="579"/>
      <c r="AH474" s="579"/>
      <c r="AI474" s="582"/>
      <c r="AJ474" s="582"/>
      <c r="AK474" s="582"/>
      <c r="AL474" s="582"/>
      <c r="AM474" s="579"/>
      <c r="AN474" s="579"/>
      <c r="AO474" s="347"/>
      <c r="AP474" s="586"/>
      <c r="AQ474" s="596"/>
      <c r="AR474" s="596"/>
      <c r="AS474" s="348"/>
      <c r="AT474" s="348"/>
      <c r="AU474" s="348"/>
      <c r="AV474" s="348"/>
      <c r="AW474" s="348"/>
      <c r="AX474" s="584"/>
      <c r="AY474" s="581"/>
      <c r="AZ474" s="581"/>
      <c r="BA474" s="596"/>
      <c r="BB474" s="596"/>
      <c r="BC474" s="348"/>
      <c r="BD474" s="581"/>
      <c r="BE474" s="581"/>
      <c r="BF474" s="347"/>
      <c r="BG474" s="347"/>
      <c r="BH474" s="347"/>
      <c r="BI474" s="347"/>
      <c r="BJ474" s="586"/>
      <c r="BK474" s="581"/>
      <c r="BL474" s="347"/>
      <c r="BM474" s="347"/>
      <c r="BN474" s="347"/>
      <c r="BO474" s="586"/>
      <c r="BP474" s="584"/>
      <c r="BQ474" s="347"/>
      <c r="BR474" s="586"/>
      <c r="BS474" s="588"/>
      <c r="BT474" s="586"/>
      <c r="BU474" s="589"/>
      <c r="BV474" s="581">
        <f t="shared" si="44"/>
        <v>0</v>
      </c>
      <c r="BW474" s="590"/>
      <c r="BX474" s="347"/>
      <c r="BY474" s="347"/>
      <c r="BZ474" s="347"/>
      <c r="CA474" s="586"/>
      <c r="CB474" s="581"/>
      <c r="CC474" s="581">
        <f t="shared" si="193"/>
        <v>0</v>
      </c>
      <c r="CD474" s="581"/>
      <c r="CE474" s="581"/>
      <c r="CF474" s="581"/>
      <c r="CG474" s="586"/>
      <c r="CH474" s="608"/>
      <c r="CI474" s="603"/>
      <c r="CJ474" s="347"/>
      <c r="CK474" s="347"/>
      <c r="CL474" s="347"/>
      <c r="CM474" s="347"/>
      <c r="CN474" s="347"/>
      <c r="CO474" s="347"/>
      <c r="CP474" s="347"/>
    </row>
    <row r="475">
      <c r="A475" s="574"/>
      <c r="B475" s="574"/>
      <c r="C475" s="347"/>
      <c r="D475" s="574"/>
      <c r="E475" s="347"/>
      <c r="F475" s="596"/>
      <c r="G475" s="596"/>
      <c r="H475" s="347"/>
      <c r="I475" s="347"/>
      <c r="J475" s="596"/>
      <c r="K475" s="609"/>
      <c r="L475" s="1"/>
      <c r="M475" s="347"/>
      <c r="N475" s="347"/>
      <c r="O475" s="579"/>
      <c r="P475" s="579"/>
      <c r="Q475" s="574"/>
      <c r="R475" s="347"/>
      <c r="S475" s="597"/>
      <c r="T475" s="347"/>
      <c r="U475" s="579"/>
      <c r="V475" s="579"/>
      <c r="W475" s="574"/>
      <c r="X475" s="347"/>
      <c r="Y475" s="347"/>
      <c r="Z475" s="347"/>
      <c r="AA475" s="579"/>
      <c r="AB475" s="581"/>
      <c r="AC475" s="347"/>
      <c r="AD475" s="347"/>
      <c r="AE475" s="347"/>
      <c r="AF475" s="347"/>
      <c r="AG475" s="579"/>
      <c r="AH475" s="579"/>
      <c r="AI475" s="582"/>
      <c r="AJ475" s="582"/>
      <c r="AK475" s="582"/>
      <c r="AL475" s="582"/>
      <c r="AM475" s="579"/>
      <c r="AN475" s="579"/>
      <c r="AO475" s="347"/>
      <c r="AP475" s="586"/>
      <c r="AQ475" s="596"/>
      <c r="AR475" s="596"/>
      <c r="AS475" s="348"/>
      <c r="AT475" s="348"/>
      <c r="AU475" s="348"/>
      <c r="AV475" s="348"/>
      <c r="AW475" s="348"/>
      <c r="AX475" s="584"/>
      <c r="AY475" s="581"/>
      <c r="AZ475" s="581"/>
      <c r="BA475" s="596"/>
      <c r="BB475" s="596"/>
      <c r="BC475" s="348"/>
      <c r="BD475" s="581"/>
      <c r="BE475" s="581"/>
      <c r="BF475" s="347"/>
      <c r="BG475" s="347"/>
      <c r="BH475" s="347"/>
      <c r="BI475" s="347"/>
      <c r="BJ475" s="586"/>
      <c r="BK475" s="581"/>
      <c r="BL475" s="347"/>
      <c r="BM475" s="347"/>
      <c r="BN475" s="347"/>
      <c r="BO475" s="586"/>
      <c r="BP475" s="584"/>
      <c r="BQ475" s="347"/>
      <c r="BR475" s="586"/>
      <c r="BS475" s="588"/>
      <c r="BT475" s="586"/>
      <c r="BU475" s="589"/>
      <c r="BV475" s="581">
        <f t="shared" si="44"/>
        <v>0</v>
      </c>
      <c r="BW475" s="590"/>
      <c r="BX475" s="347"/>
      <c r="BY475" s="347"/>
      <c r="BZ475" s="347"/>
      <c r="CA475" s="586"/>
      <c r="CB475" s="581"/>
      <c r="CC475" s="581">
        <f t="shared" si="193"/>
        <v>0</v>
      </c>
      <c r="CD475" s="581"/>
      <c r="CE475" s="581"/>
      <c r="CF475" s="581"/>
      <c r="CG475" s="586"/>
      <c r="CH475" s="608"/>
      <c r="CI475" s="603"/>
      <c r="CJ475" s="347"/>
      <c r="CK475" s="347"/>
      <c r="CL475" s="347"/>
      <c r="CM475" s="347"/>
      <c r="CN475" s="347"/>
      <c r="CO475" s="347"/>
      <c r="CP475" s="347"/>
    </row>
    <row r="476">
      <c r="A476" s="574"/>
      <c r="B476" s="574"/>
      <c r="C476" s="347"/>
      <c r="D476" s="574"/>
      <c r="E476" s="347"/>
      <c r="F476" s="596"/>
      <c r="G476" s="596"/>
      <c r="H476" s="347"/>
      <c r="I476" s="347"/>
      <c r="J476" s="596"/>
      <c r="K476" s="609"/>
      <c r="L476" s="1"/>
      <c r="M476" s="347"/>
      <c r="N476" s="347"/>
      <c r="O476" s="579"/>
      <c r="P476" s="579"/>
      <c r="Q476" s="574"/>
      <c r="R476" s="347"/>
      <c r="S476" s="597"/>
      <c r="T476" s="347"/>
      <c r="U476" s="579"/>
      <c r="V476" s="579"/>
      <c r="W476" s="574"/>
      <c r="X476" s="347"/>
      <c r="Y476" s="347"/>
      <c r="Z476" s="347"/>
      <c r="AA476" s="579"/>
      <c r="AB476" s="581"/>
      <c r="AC476" s="347"/>
      <c r="AD476" s="347"/>
      <c r="AE476" s="347"/>
      <c r="AF476" s="347"/>
      <c r="AG476" s="579"/>
      <c r="AH476" s="579"/>
      <c r="AI476" s="582"/>
      <c r="AJ476" s="582"/>
      <c r="AK476" s="582"/>
      <c r="AL476" s="582"/>
      <c r="AM476" s="579"/>
      <c r="AN476" s="579"/>
      <c r="AO476" s="347"/>
      <c r="AP476" s="586"/>
      <c r="AQ476" s="596"/>
      <c r="AR476" s="596"/>
      <c r="AS476" s="348"/>
      <c r="AT476" s="348"/>
      <c r="AU476" s="348"/>
      <c r="AV476" s="348"/>
      <c r="AW476" s="348"/>
      <c r="AX476" s="584"/>
      <c r="AY476" s="581"/>
      <c r="AZ476" s="581"/>
      <c r="BA476" s="596"/>
      <c r="BB476" s="596"/>
      <c r="BC476" s="348"/>
      <c r="BD476" s="581"/>
      <c r="BE476" s="581"/>
      <c r="BF476" s="347"/>
      <c r="BG476" s="347"/>
      <c r="BH476" s="347"/>
      <c r="BI476" s="347"/>
      <c r="BJ476" s="586"/>
      <c r="BK476" s="581"/>
      <c r="BL476" s="347"/>
      <c r="BM476" s="347"/>
      <c r="BN476" s="347"/>
      <c r="BO476" s="586"/>
      <c r="BP476" s="584"/>
      <c r="BQ476" s="347"/>
      <c r="BR476" s="586"/>
      <c r="BS476" s="588"/>
      <c r="BT476" s="586"/>
      <c r="BU476" s="589"/>
      <c r="BV476" s="581">
        <f t="shared" si="44"/>
        <v>0</v>
      </c>
      <c r="BW476" s="590"/>
      <c r="BX476" s="347"/>
      <c r="BY476" s="347"/>
      <c r="BZ476" s="347"/>
      <c r="CA476" s="586"/>
      <c r="CB476" s="581"/>
      <c r="CC476" s="581">
        <f t="shared" si="193"/>
        <v>0</v>
      </c>
      <c r="CD476" s="581"/>
      <c r="CE476" s="581"/>
      <c r="CF476" s="581"/>
      <c r="CG476" s="586"/>
      <c r="CH476" s="608"/>
      <c r="CI476" s="603"/>
      <c r="CJ476" s="347"/>
      <c r="CK476" s="347"/>
      <c r="CL476" s="347"/>
      <c r="CM476" s="347"/>
      <c r="CN476" s="347"/>
      <c r="CO476" s="347"/>
      <c r="CP476" s="347"/>
    </row>
    <row r="477">
      <c r="A477" s="574"/>
      <c r="B477" s="574"/>
      <c r="C477" s="347"/>
      <c r="D477" s="574"/>
      <c r="E477" s="347"/>
      <c r="F477" s="596"/>
      <c r="G477" s="596"/>
      <c r="H477" s="347"/>
      <c r="I477" s="347"/>
      <c r="J477" s="596"/>
      <c r="K477" s="609"/>
      <c r="L477" s="1"/>
      <c r="M477" s="347"/>
      <c r="N477" s="347"/>
      <c r="O477" s="579"/>
      <c r="P477" s="579"/>
      <c r="Q477" s="574"/>
      <c r="R477" s="347"/>
      <c r="S477" s="597"/>
      <c r="T477" s="347"/>
      <c r="U477" s="579"/>
      <c r="V477" s="579"/>
      <c r="W477" s="574"/>
      <c r="X477" s="347"/>
      <c r="Y477" s="347"/>
      <c r="Z477" s="347"/>
      <c r="AA477" s="579"/>
      <c r="AB477" s="581"/>
      <c r="AC477" s="347"/>
      <c r="AD477" s="347"/>
      <c r="AE477" s="347"/>
      <c r="AF477" s="347"/>
      <c r="AG477" s="579"/>
      <c r="AH477" s="579"/>
      <c r="AI477" s="582"/>
      <c r="AJ477" s="582"/>
      <c r="AK477" s="582"/>
      <c r="AL477" s="582"/>
      <c r="AM477" s="579"/>
      <c r="AN477" s="579"/>
      <c r="AO477" s="347"/>
      <c r="AP477" s="586"/>
      <c r="AQ477" s="596"/>
      <c r="AR477" s="596"/>
      <c r="AS477" s="348"/>
      <c r="AT477" s="348"/>
      <c r="AU477" s="348"/>
      <c r="AV477" s="348"/>
      <c r="AW477" s="348"/>
      <c r="AX477" s="584"/>
      <c r="AY477" s="581"/>
      <c r="AZ477" s="581"/>
      <c r="BA477" s="596"/>
      <c r="BB477" s="596"/>
      <c r="BC477" s="348"/>
      <c r="BD477" s="581"/>
      <c r="BE477" s="581"/>
      <c r="BF477" s="347"/>
      <c r="BG477" s="347"/>
      <c r="BH477" s="347"/>
      <c r="BI477" s="347"/>
      <c r="BJ477" s="586"/>
      <c r="BK477" s="581"/>
      <c r="BL477" s="347"/>
      <c r="BM477" s="347"/>
      <c r="BN477" s="347"/>
      <c r="BO477" s="586"/>
      <c r="BP477" s="584"/>
      <c r="BQ477" s="347"/>
      <c r="BR477" s="586"/>
      <c r="BS477" s="588"/>
      <c r="BT477" s="586"/>
      <c r="BU477" s="589"/>
      <c r="BV477" s="581">
        <f t="shared" si="44"/>
        <v>0</v>
      </c>
      <c r="BW477" s="590"/>
      <c r="BX477" s="347"/>
      <c r="BY477" s="347"/>
      <c r="BZ477" s="347"/>
      <c r="CA477" s="586"/>
      <c r="CB477" s="581"/>
      <c r="CC477" s="581">
        <f t="shared" si="193"/>
        <v>0</v>
      </c>
      <c r="CD477" s="581"/>
      <c r="CE477" s="581"/>
      <c r="CF477" s="581"/>
      <c r="CG477" s="586"/>
      <c r="CH477" s="608"/>
      <c r="CI477" s="603"/>
      <c r="CJ477" s="347"/>
      <c r="CK477" s="347"/>
      <c r="CL477" s="347"/>
      <c r="CM477" s="347"/>
      <c r="CN477" s="347"/>
      <c r="CO477" s="347"/>
      <c r="CP477" s="347"/>
    </row>
    <row r="478">
      <c r="A478" s="574"/>
      <c r="B478" s="574"/>
      <c r="C478" s="347"/>
      <c r="D478" s="574"/>
      <c r="E478" s="347"/>
      <c r="F478" s="596"/>
      <c r="G478" s="596"/>
      <c r="H478" s="347"/>
      <c r="I478" s="347"/>
      <c r="J478" s="596"/>
      <c r="K478" s="609"/>
      <c r="L478" s="1"/>
      <c r="M478" s="347"/>
      <c r="N478" s="347"/>
      <c r="O478" s="579"/>
      <c r="P478" s="579"/>
      <c r="Q478" s="574"/>
      <c r="R478" s="347"/>
      <c r="S478" s="597"/>
      <c r="T478" s="347"/>
      <c r="U478" s="579"/>
      <c r="V478" s="579"/>
      <c r="W478" s="574"/>
      <c r="X478" s="347"/>
      <c r="Y478" s="347"/>
      <c r="Z478" s="347"/>
      <c r="AA478" s="579"/>
      <c r="AB478" s="581"/>
      <c r="AC478" s="347"/>
      <c r="AD478" s="347"/>
      <c r="AE478" s="347"/>
      <c r="AF478" s="347"/>
      <c r="AG478" s="579"/>
      <c r="AH478" s="579"/>
      <c r="AI478" s="582"/>
      <c r="AJ478" s="582"/>
      <c r="AK478" s="582"/>
      <c r="AL478" s="582"/>
      <c r="AM478" s="579"/>
      <c r="AN478" s="579"/>
      <c r="AO478" s="347"/>
      <c r="AP478" s="586"/>
      <c r="AQ478" s="596"/>
      <c r="AR478" s="596"/>
      <c r="AS478" s="348"/>
      <c r="AT478" s="348"/>
      <c r="AU478" s="348"/>
      <c r="AV478" s="348"/>
      <c r="AW478" s="348"/>
      <c r="AX478" s="584"/>
      <c r="AY478" s="581"/>
      <c r="AZ478" s="581"/>
      <c r="BA478" s="596"/>
      <c r="BB478" s="596"/>
      <c r="BC478" s="348"/>
      <c r="BD478" s="581"/>
      <c r="BE478" s="581"/>
      <c r="BF478" s="347"/>
      <c r="BG478" s="347"/>
      <c r="BH478" s="347"/>
      <c r="BI478" s="347"/>
      <c r="BJ478" s="586"/>
      <c r="BK478" s="581"/>
      <c r="BL478" s="347"/>
      <c r="BM478" s="347"/>
      <c r="BN478" s="347"/>
      <c r="BO478" s="586"/>
      <c r="BP478" s="584"/>
      <c r="BQ478" s="347"/>
      <c r="BR478" s="586"/>
      <c r="BS478" s="588"/>
      <c r="BT478" s="586"/>
      <c r="BU478" s="589"/>
      <c r="BV478" s="581">
        <f t="shared" si="44"/>
        <v>0</v>
      </c>
      <c r="BW478" s="590"/>
      <c r="BX478" s="347"/>
      <c r="BY478" s="347"/>
      <c r="BZ478" s="347"/>
      <c r="CA478" s="586"/>
      <c r="CB478" s="581"/>
      <c r="CC478" s="581">
        <f t="shared" si="193"/>
        <v>0</v>
      </c>
      <c r="CD478" s="581"/>
      <c r="CE478" s="581"/>
      <c r="CF478" s="581"/>
      <c r="CG478" s="586"/>
      <c r="CH478" s="608"/>
      <c r="CI478" s="603"/>
      <c r="CJ478" s="347"/>
      <c r="CK478" s="347"/>
      <c r="CL478" s="347"/>
      <c r="CM478" s="347"/>
      <c r="CN478" s="347"/>
      <c r="CO478" s="347"/>
      <c r="CP478" s="347"/>
    </row>
    <row r="479">
      <c r="A479" s="574"/>
      <c r="B479" s="574"/>
      <c r="C479" s="347"/>
      <c r="D479" s="574"/>
      <c r="E479" s="347"/>
      <c r="F479" s="596"/>
      <c r="G479" s="596"/>
      <c r="H479" s="347"/>
      <c r="I479" s="347"/>
      <c r="J479" s="596"/>
      <c r="K479" s="609"/>
      <c r="L479" s="1"/>
      <c r="M479" s="347"/>
      <c r="N479" s="347"/>
      <c r="O479" s="579"/>
      <c r="P479" s="579"/>
      <c r="Q479" s="574"/>
      <c r="R479" s="347"/>
      <c r="S479" s="597"/>
      <c r="T479" s="347"/>
      <c r="U479" s="579"/>
      <c r="V479" s="579"/>
      <c r="W479" s="574"/>
      <c r="X479" s="347"/>
      <c r="Y479" s="347"/>
      <c r="Z479" s="347"/>
      <c r="AA479" s="579"/>
      <c r="AB479" s="581"/>
      <c r="AC479" s="347"/>
      <c r="AD479" s="347"/>
      <c r="AE479" s="347"/>
      <c r="AF479" s="347"/>
      <c r="AG479" s="579"/>
      <c r="AH479" s="579"/>
      <c r="AI479" s="582"/>
      <c r="AJ479" s="582"/>
      <c r="AK479" s="582"/>
      <c r="AL479" s="582"/>
      <c r="AM479" s="579"/>
      <c r="AN479" s="579"/>
      <c r="AO479" s="347"/>
      <c r="AP479" s="586"/>
      <c r="AQ479" s="596"/>
      <c r="AR479" s="596"/>
      <c r="AS479" s="348"/>
      <c r="AT479" s="348"/>
      <c r="AU479" s="348"/>
      <c r="AV479" s="348"/>
      <c r="AW479" s="348"/>
      <c r="AX479" s="584"/>
      <c r="AY479" s="581"/>
      <c r="AZ479" s="581"/>
      <c r="BA479" s="596"/>
      <c r="BB479" s="596"/>
      <c r="BC479" s="348"/>
      <c r="BD479" s="581"/>
      <c r="BE479" s="581"/>
      <c r="BF479" s="347"/>
      <c r="BG479" s="347"/>
      <c r="BH479" s="347"/>
      <c r="BI479" s="347"/>
      <c r="BJ479" s="586"/>
      <c r="BK479" s="581"/>
      <c r="BL479" s="347"/>
      <c r="BM479" s="347"/>
      <c r="BN479" s="347"/>
      <c r="BO479" s="586"/>
      <c r="BP479" s="584"/>
      <c r="BQ479" s="347"/>
      <c r="BR479" s="586"/>
      <c r="BS479" s="588"/>
      <c r="BT479" s="586"/>
      <c r="BU479" s="589"/>
      <c r="BV479" s="581">
        <f t="shared" si="44"/>
        <v>0</v>
      </c>
      <c r="BW479" s="590"/>
      <c r="BX479" s="347"/>
      <c r="BY479" s="347"/>
      <c r="BZ479" s="347"/>
      <c r="CA479" s="586"/>
      <c r="CB479" s="581"/>
      <c r="CC479" s="581">
        <f t="shared" si="193"/>
        <v>0</v>
      </c>
      <c r="CD479" s="581"/>
      <c r="CE479" s="581"/>
      <c r="CF479" s="581"/>
      <c r="CG479" s="586"/>
      <c r="CH479" s="608"/>
      <c r="CI479" s="603"/>
      <c r="CJ479" s="347"/>
      <c r="CK479" s="347"/>
      <c r="CL479" s="347"/>
      <c r="CM479" s="347"/>
      <c r="CN479" s="347"/>
      <c r="CO479" s="347"/>
      <c r="CP479" s="347"/>
    </row>
    <row r="480">
      <c r="A480" s="574"/>
      <c r="B480" s="574"/>
      <c r="C480" s="347"/>
      <c r="D480" s="574"/>
      <c r="E480" s="347"/>
      <c r="F480" s="596"/>
      <c r="G480" s="596"/>
      <c r="H480" s="347"/>
      <c r="I480" s="347"/>
      <c r="J480" s="596"/>
      <c r="K480" s="609"/>
      <c r="L480" s="1"/>
      <c r="M480" s="347"/>
      <c r="N480" s="347"/>
      <c r="O480" s="579"/>
      <c r="P480" s="579"/>
      <c r="Q480" s="574"/>
      <c r="R480" s="347"/>
      <c r="S480" s="597"/>
      <c r="T480" s="347"/>
      <c r="U480" s="579"/>
      <c r="V480" s="579"/>
      <c r="W480" s="574"/>
      <c r="X480" s="347"/>
      <c r="Y480" s="347"/>
      <c r="Z480" s="347"/>
      <c r="AA480" s="579"/>
      <c r="AB480" s="581"/>
      <c r="AC480" s="347"/>
      <c r="AD480" s="347"/>
      <c r="AE480" s="347"/>
      <c r="AF480" s="347"/>
      <c r="AG480" s="579"/>
      <c r="AH480" s="579"/>
      <c r="AI480" s="582"/>
      <c r="AJ480" s="582"/>
      <c r="AK480" s="582"/>
      <c r="AL480" s="582"/>
      <c r="AM480" s="579"/>
      <c r="AN480" s="579"/>
      <c r="AO480" s="347"/>
      <c r="AP480" s="586"/>
      <c r="AQ480" s="596"/>
      <c r="AR480" s="596"/>
      <c r="AS480" s="348"/>
      <c r="AT480" s="348"/>
      <c r="AU480" s="348"/>
      <c r="AV480" s="348"/>
      <c r="AW480" s="348"/>
      <c r="AX480" s="584"/>
      <c r="AY480" s="581"/>
      <c r="AZ480" s="581"/>
      <c r="BA480" s="596"/>
      <c r="BB480" s="596"/>
      <c r="BC480" s="348"/>
      <c r="BD480" s="581"/>
      <c r="BE480" s="581"/>
      <c r="BF480" s="347"/>
      <c r="BG480" s="347"/>
      <c r="BH480" s="347"/>
      <c r="BI480" s="347"/>
      <c r="BJ480" s="586"/>
      <c r="BK480" s="581"/>
      <c r="BL480" s="347"/>
      <c r="BM480" s="347"/>
      <c r="BN480" s="347"/>
      <c r="BO480" s="586"/>
      <c r="BP480" s="584"/>
      <c r="BQ480" s="347"/>
      <c r="BR480" s="586"/>
      <c r="BS480" s="588"/>
      <c r="BT480" s="586"/>
      <c r="BU480" s="589"/>
      <c r="BV480" s="581">
        <f t="shared" si="44"/>
        <v>0</v>
      </c>
      <c r="BW480" s="590"/>
      <c r="BX480" s="347"/>
      <c r="BY480" s="347"/>
      <c r="BZ480" s="347"/>
      <c r="CA480" s="586"/>
      <c r="CB480" s="581"/>
      <c r="CC480" s="581">
        <f t="shared" si="193"/>
        <v>0</v>
      </c>
      <c r="CD480" s="581"/>
      <c r="CE480" s="581"/>
      <c r="CF480" s="581"/>
      <c r="CG480" s="586"/>
      <c r="CH480" s="608"/>
      <c r="CI480" s="603"/>
      <c r="CJ480" s="347"/>
      <c r="CK480" s="347"/>
      <c r="CL480" s="347"/>
      <c r="CM480" s="347"/>
      <c r="CN480" s="347"/>
      <c r="CO480" s="347"/>
      <c r="CP480" s="347"/>
    </row>
    <row r="481">
      <c r="A481" s="574"/>
      <c r="B481" s="574"/>
      <c r="C481" s="347"/>
      <c r="D481" s="574"/>
      <c r="E481" s="347"/>
      <c r="F481" s="596"/>
      <c r="G481" s="596"/>
      <c r="H481" s="347"/>
      <c r="I481" s="347"/>
      <c r="J481" s="596"/>
      <c r="K481" s="609"/>
      <c r="L481" s="1"/>
      <c r="M481" s="347"/>
      <c r="N481" s="347"/>
      <c r="O481" s="579"/>
      <c r="P481" s="579"/>
      <c r="Q481" s="574"/>
      <c r="R481" s="347"/>
      <c r="S481" s="597"/>
      <c r="T481" s="347"/>
      <c r="U481" s="579"/>
      <c r="V481" s="579"/>
      <c r="W481" s="574"/>
      <c r="X481" s="347"/>
      <c r="Y481" s="347"/>
      <c r="Z481" s="347"/>
      <c r="AA481" s="579"/>
      <c r="AB481" s="581"/>
      <c r="AC481" s="347"/>
      <c r="AD481" s="347"/>
      <c r="AE481" s="347"/>
      <c r="AF481" s="347"/>
      <c r="AG481" s="579"/>
      <c r="AH481" s="579"/>
      <c r="AI481" s="582"/>
      <c r="AJ481" s="582"/>
      <c r="AK481" s="582"/>
      <c r="AL481" s="582"/>
      <c r="AM481" s="579"/>
      <c r="AN481" s="579"/>
      <c r="AO481" s="347"/>
      <c r="AP481" s="586"/>
      <c r="AQ481" s="596"/>
      <c r="AR481" s="596"/>
      <c r="AS481" s="348"/>
      <c r="AT481" s="348"/>
      <c r="AU481" s="348"/>
      <c r="AV481" s="348"/>
      <c r="AW481" s="348"/>
      <c r="AX481" s="584"/>
      <c r="AY481" s="581"/>
      <c r="AZ481" s="581"/>
      <c r="BA481" s="596"/>
      <c r="BB481" s="596"/>
      <c r="BC481" s="348"/>
      <c r="BD481" s="581"/>
      <c r="BE481" s="581"/>
      <c r="BF481" s="347"/>
      <c r="BG481" s="347"/>
      <c r="BH481" s="347"/>
      <c r="BI481" s="347"/>
      <c r="BJ481" s="586"/>
      <c r="BK481" s="581"/>
      <c r="BL481" s="347"/>
      <c r="BM481" s="347"/>
      <c r="BN481" s="347"/>
      <c r="BO481" s="586"/>
      <c r="BP481" s="584"/>
      <c r="BQ481" s="347"/>
      <c r="BR481" s="586"/>
      <c r="BS481" s="588"/>
      <c r="BT481" s="586"/>
      <c r="BU481" s="589"/>
      <c r="BV481" s="581">
        <f t="shared" si="44"/>
        <v>0</v>
      </c>
      <c r="BW481" s="590"/>
      <c r="BX481" s="347"/>
      <c r="BY481" s="347"/>
      <c r="BZ481" s="347"/>
      <c r="CA481" s="586"/>
      <c r="CB481" s="581"/>
      <c r="CC481" s="581">
        <f t="shared" si="193"/>
        <v>0</v>
      </c>
      <c r="CD481" s="581"/>
      <c r="CE481" s="581"/>
      <c r="CF481" s="581"/>
      <c r="CG481" s="586"/>
      <c r="CH481" s="608"/>
      <c r="CI481" s="603"/>
      <c r="CJ481" s="347"/>
      <c r="CK481" s="347"/>
      <c r="CL481" s="347"/>
      <c r="CM481" s="347"/>
      <c r="CN481" s="347"/>
      <c r="CO481" s="347"/>
      <c r="CP481" s="347"/>
    </row>
    <row r="482">
      <c r="A482" s="574"/>
      <c r="B482" s="574"/>
      <c r="C482" s="347"/>
      <c r="D482" s="574"/>
      <c r="E482" s="347"/>
      <c r="F482" s="596"/>
      <c r="G482" s="596"/>
      <c r="H482" s="347"/>
      <c r="I482" s="347"/>
      <c r="J482" s="596"/>
      <c r="K482" s="609"/>
      <c r="L482" s="1"/>
      <c r="M482" s="347"/>
      <c r="N482" s="347"/>
      <c r="O482" s="579"/>
      <c r="P482" s="579"/>
      <c r="Q482" s="574"/>
      <c r="R482" s="347"/>
      <c r="S482" s="597"/>
      <c r="T482" s="347"/>
      <c r="U482" s="579"/>
      <c r="V482" s="579"/>
      <c r="W482" s="574"/>
      <c r="X482" s="347"/>
      <c r="Y482" s="347"/>
      <c r="Z482" s="347"/>
      <c r="AA482" s="579"/>
      <c r="AB482" s="581"/>
      <c r="AC482" s="347"/>
      <c r="AD482" s="347"/>
      <c r="AE482" s="347"/>
      <c r="AF482" s="347"/>
      <c r="AG482" s="579"/>
      <c r="AH482" s="579"/>
      <c r="AI482" s="582"/>
      <c r="AJ482" s="582"/>
      <c r="AK482" s="582"/>
      <c r="AL482" s="582"/>
      <c r="AM482" s="579"/>
      <c r="AN482" s="579"/>
      <c r="AO482" s="347"/>
      <c r="AP482" s="586"/>
      <c r="AQ482" s="596"/>
      <c r="AR482" s="596"/>
      <c r="AS482" s="348"/>
      <c r="AT482" s="348"/>
      <c r="AU482" s="348"/>
      <c r="AV482" s="348"/>
      <c r="AW482" s="348"/>
      <c r="AX482" s="584"/>
      <c r="AY482" s="581"/>
      <c r="AZ482" s="581"/>
      <c r="BA482" s="596"/>
      <c r="BB482" s="596"/>
      <c r="BC482" s="348"/>
      <c r="BD482" s="581"/>
      <c r="BE482" s="581"/>
      <c r="BF482" s="347"/>
      <c r="BG482" s="347"/>
      <c r="BH482" s="347"/>
      <c r="BI482" s="347"/>
      <c r="BJ482" s="586"/>
      <c r="BK482" s="581"/>
      <c r="BL482" s="347"/>
      <c r="BM482" s="347"/>
      <c r="BN482" s="347"/>
      <c r="BO482" s="586"/>
      <c r="BP482" s="584"/>
      <c r="BQ482" s="347"/>
      <c r="BR482" s="586"/>
      <c r="BS482" s="588"/>
      <c r="BT482" s="586"/>
      <c r="BU482" s="589"/>
      <c r="BV482" s="581">
        <f t="shared" si="44"/>
        <v>0</v>
      </c>
      <c r="BW482" s="590"/>
      <c r="BX482" s="347"/>
      <c r="BY482" s="347"/>
      <c r="BZ482" s="347"/>
      <c r="CA482" s="586"/>
      <c r="CB482" s="581"/>
      <c r="CC482" s="581">
        <f t="shared" si="193"/>
        <v>0</v>
      </c>
      <c r="CD482" s="581"/>
      <c r="CE482" s="581"/>
      <c r="CF482" s="581"/>
      <c r="CG482" s="586"/>
      <c r="CH482" s="608"/>
      <c r="CI482" s="603"/>
      <c r="CJ482" s="347"/>
      <c r="CK482" s="347"/>
      <c r="CL482" s="347"/>
      <c r="CM482" s="347"/>
      <c r="CN482" s="347"/>
      <c r="CO482" s="347"/>
      <c r="CP482" s="347"/>
    </row>
    <row r="483">
      <c r="A483" s="574"/>
      <c r="B483" s="574"/>
      <c r="C483" s="347"/>
      <c r="D483" s="574"/>
      <c r="E483" s="347"/>
      <c r="F483" s="596"/>
      <c r="G483" s="596"/>
      <c r="H483" s="347"/>
      <c r="I483" s="347"/>
      <c r="J483" s="596"/>
      <c r="K483" s="609"/>
      <c r="L483" s="1"/>
      <c r="M483" s="347"/>
      <c r="N483" s="347"/>
      <c r="O483" s="579"/>
      <c r="P483" s="579"/>
      <c r="Q483" s="574"/>
      <c r="R483" s="347"/>
      <c r="S483" s="597"/>
      <c r="T483" s="347"/>
      <c r="U483" s="579"/>
      <c r="V483" s="579"/>
      <c r="W483" s="574"/>
      <c r="X483" s="347"/>
      <c r="Y483" s="347"/>
      <c r="Z483" s="347"/>
      <c r="AA483" s="579"/>
      <c r="AB483" s="581"/>
      <c r="AC483" s="347"/>
      <c r="AD483" s="347"/>
      <c r="AE483" s="347"/>
      <c r="AF483" s="347"/>
      <c r="AG483" s="579"/>
      <c r="AH483" s="579"/>
      <c r="AI483" s="582"/>
      <c r="AJ483" s="582"/>
      <c r="AK483" s="582"/>
      <c r="AL483" s="582"/>
      <c r="AM483" s="579"/>
      <c r="AN483" s="579"/>
      <c r="AO483" s="347"/>
      <c r="AP483" s="586"/>
      <c r="AQ483" s="596"/>
      <c r="AR483" s="596"/>
      <c r="AS483" s="348"/>
      <c r="AT483" s="348"/>
      <c r="AU483" s="348"/>
      <c r="AV483" s="348"/>
      <c r="AW483" s="348"/>
      <c r="AX483" s="584"/>
      <c r="AY483" s="581"/>
      <c r="AZ483" s="581"/>
      <c r="BA483" s="596"/>
      <c r="BB483" s="596"/>
      <c r="BC483" s="348"/>
      <c r="BD483" s="581"/>
      <c r="BE483" s="581"/>
      <c r="BF483" s="347"/>
      <c r="BG483" s="347"/>
      <c r="BH483" s="347"/>
      <c r="BI483" s="347"/>
      <c r="BJ483" s="586"/>
      <c r="BK483" s="581"/>
      <c r="BL483" s="347"/>
      <c r="BM483" s="347"/>
      <c r="BN483" s="347"/>
      <c r="BO483" s="586"/>
      <c r="BP483" s="584"/>
      <c r="BQ483" s="347"/>
      <c r="BR483" s="586"/>
      <c r="BS483" s="588"/>
      <c r="BT483" s="586"/>
      <c r="BU483" s="589"/>
      <c r="BV483" s="581">
        <f t="shared" si="44"/>
        <v>0</v>
      </c>
      <c r="BW483" s="590"/>
      <c r="BX483" s="347"/>
      <c r="BY483" s="347"/>
      <c r="BZ483" s="347"/>
      <c r="CA483" s="586"/>
      <c r="CB483" s="581"/>
      <c r="CC483" s="581">
        <f t="shared" si="193"/>
        <v>0</v>
      </c>
      <c r="CD483" s="581"/>
      <c r="CE483" s="581"/>
      <c r="CF483" s="581"/>
      <c r="CG483" s="586"/>
      <c r="CH483" s="608"/>
      <c r="CI483" s="603"/>
      <c r="CJ483" s="347"/>
      <c r="CK483" s="347"/>
      <c r="CL483" s="347"/>
      <c r="CM483" s="347"/>
      <c r="CN483" s="347"/>
      <c r="CO483" s="347"/>
      <c r="CP483" s="347"/>
    </row>
    <row r="484">
      <c r="A484" s="574"/>
      <c r="B484" s="574"/>
      <c r="C484" s="347"/>
      <c r="D484" s="574"/>
      <c r="E484" s="347"/>
      <c r="F484" s="596"/>
      <c r="G484" s="596"/>
      <c r="H484" s="347"/>
      <c r="I484" s="347"/>
      <c r="J484" s="596"/>
      <c r="K484" s="609"/>
      <c r="L484" s="1"/>
      <c r="M484" s="347"/>
      <c r="N484" s="347"/>
      <c r="O484" s="579"/>
      <c r="P484" s="579"/>
      <c r="Q484" s="574"/>
      <c r="R484" s="347"/>
      <c r="S484" s="597"/>
      <c r="T484" s="347"/>
      <c r="U484" s="579"/>
      <c r="V484" s="579"/>
      <c r="W484" s="574"/>
      <c r="X484" s="347"/>
      <c r="Y484" s="347"/>
      <c r="Z484" s="347"/>
      <c r="AA484" s="579"/>
      <c r="AB484" s="581"/>
      <c r="AC484" s="347"/>
      <c r="AD484" s="347"/>
      <c r="AE484" s="347"/>
      <c r="AF484" s="347"/>
      <c r="AG484" s="579"/>
      <c r="AH484" s="579"/>
      <c r="AI484" s="582"/>
      <c r="AJ484" s="582"/>
      <c r="AK484" s="582"/>
      <c r="AL484" s="582"/>
      <c r="AM484" s="579"/>
      <c r="AN484" s="579"/>
      <c r="AO484" s="347"/>
      <c r="AP484" s="586"/>
      <c r="AQ484" s="596"/>
      <c r="AR484" s="596"/>
      <c r="AS484" s="348"/>
      <c r="AT484" s="348"/>
      <c r="AU484" s="348"/>
      <c r="AV484" s="348"/>
      <c r="AW484" s="348"/>
      <c r="AX484" s="584"/>
      <c r="AY484" s="581"/>
      <c r="AZ484" s="581"/>
      <c r="BA484" s="596"/>
      <c r="BB484" s="596"/>
      <c r="BC484" s="348"/>
      <c r="BD484" s="581"/>
      <c r="BE484" s="581"/>
      <c r="BF484" s="347"/>
      <c r="BG484" s="347"/>
      <c r="BH484" s="347"/>
      <c r="BI484" s="347"/>
      <c r="BJ484" s="586"/>
      <c r="BK484" s="581"/>
      <c r="BL484" s="347"/>
      <c r="BM484" s="347"/>
      <c r="BN484" s="347"/>
      <c r="BO484" s="586"/>
      <c r="BP484" s="584"/>
      <c r="BQ484" s="347"/>
      <c r="BR484" s="586"/>
      <c r="BS484" s="588"/>
      <c r="BT484" s="586"/>
      <c r="BU484" s="589"/>
      <c r="BV484" s="581">
        <f t="shared" si="44"/>
        <v>0</v>
      </c>
      <c r="BW484" s="590"/>
      <c r="BX484" s="347"/>
      <c r="BY484" s="347"/>
      <c r="BZ484" s="347"/>
      <c r="CA484" s="586"/>
      <c r="CB484" s="581"/>
      <c r="CC484" s="581">
        <f t="shared" si="193"/>
        <v>0</v>
      </c>
      <c r="CD484" s="581"/>
      <c r="CE484" s="581"/>
      <c r="CF484" s="581"/>
      <c r="CG484" s="586"/>
      <c r="CH484" s="608"/>
      <c r="CI484" s="603"/>
      <c r="CJ484" s="347"/>
      <c r="CK484" s="347"/>
      <c r="CL484" s="347"/>
      <c r="CM484" s="347"/>
      <c r="CN484" s="347"/>
      <c r="CO484" s="347"/>
      <c r="CP484" s="347"/>
    </row>
    <row r="485">
      <c r="A485" s="574"/>
      <c r="B485" s="574"/>
      <c r="C485" s="347"/>
      <c r="D485" s="574"/>
      <c r="E485" s="347"/>
      <c r="F485" s="596"/>
      <c r="G485" s="596"/>
      <c r="H485" s="347"/>
      <c r="I485" s="347"/>
      <c r="J485" s="596"/>
      <c r="K485" s="609"/>
      <c r="L485" s="1"/>
      <c r="M485" s="347"/>
      <c r="N485" s="347"/>
      <c r="O485" s="579"/>
      <c r="P485" s="579"/>
      <c r="Q485" s="574"/>
      <c r="R485" s="347"/>
      <c r="S485" s="597"/>
      <c r="T485" s="347"/>
      <c r="U485" s="579"/>
      <c r="V485" s="579"/>
      <c r="W485" s="574"/>
      <c r="X485" s="347"/>
      <c r="Y485" s="347"/>
      <c r="Z485" s="347"/>
      <c r="AA485" s="579"/>
      <c r="AB485" s="581"/>
      <c r="AC485" s="347"/>
      <c r="AD485" s="347"/>
      <c r="AE485" s="347"/>
      <c r="AF485" s="347"/>
      <c r="AG485" s="579"/>
      <c r="AH485" s="579"/>
      <c r="AI485" s="582"/>
      <c r="AJ485" s="582"/>
      <c r="AK485" s="582"/>
      <c r="AL485" s="582"/>
      <c r="AM485" s="579"/>
      <c r="AN485" s="579"/>
      <c r="AO485" s="347"/>
      <c r="AP485" s="586"/>
      <c r="AQ485" s="596"/>
      <c r="AR485" s="596"/>
      <c r="AS485" s="348"/>
      <c r="AT485" s="348"/>
      <c r="AU485" s="348"/>
      <c r="AV485" s="348"/>
      <c r="AW485" s="348"/>
      <c r="AX485" s="584"/>
      <c r="AY485" s="581"/>
      <c r="AZ485" s="581"/>
      <c r="BA485" s="596"/>
      <c r="BB485" s="596"/>
      <c r="BC485" s="348"/>
      <c r="BD485" s="581"/>
      <c r="BE485" s="581"/>
      <c r="BF485" s="347"/>
      <c r="BG485" s="347"/>
      <c r="BH485" s="347"/>
      <c r="BI485" s="347"/>
      <c r="BJ485" s="586"/>
      <c r="BK485" s="581"/>
      <c r="BL485" s="347"/>
      <c r="BM485" s="347"/>
      <c r="BN485" s="347"/>
      <c r="BO485" s="586"/>
      <c r="BP485" s="584"/>
      <c r="BQ485" s="347"/>
      <c r="BR485" s="586"/>
      <c r="BS485" s="588"/>
      <c r="BT485" s="586"/>
      <c r="BU485" s="589"/>
      <c r="BV485" s="581">
        <f t="shared" si="44"/>
        <v>0</v>
      </c>
      <c r="BW485" s="590"/>
      <c r="BX485" s="347"/>
      <c r="BY485" s="347"/>
      <c r="BZ485" s="347"/>
      <c r="CA485" s="586"/>
      <c r="CB485" s="581"/>
      <c r="CC485" s="581">
        <f t="shared" si="193"/>
        <v>0</v>
      </c>
      <c r="CD485" s="581"/>
      <c r="CE485" s="581"/>
      <c r="CF485" s="581"/>
      <c r="CG485" s="586"/>
      <c r="CH485" s="608"/>
      <c r="CI485" s="603"/>
      <c r="CJ485" s="347"/>
      <c r="CK485" s="347"/>
      <c r="CL485" s="347"/>
      <c r="CM485" s="347"/>
      <c r="CN485" s="347"/>
      <c r="CO485" s="347"/>
      <c r="CP485" s="347"/>
    </row>
    <row r="486">
      <c r="A486" s="574"/>
      <c r="B486" s="574"/>
      <c r="C486" s="347"/>
      <c r="D486" s="574"/>
      <c r="E486" s="347"/>
      <c r="F486" s="596"/>
      <c r="G486" s="596"/>
      <c r="H486" s="347"/>
      <c r="I486" s="347"/>
      <c r="J486" s="596"/>
      <c r="K486" s="609"/>
      <c r="L486" s="1"/>
      <c r="M486" s="347"/>
      <c r="N486" s="347"/>
      <c r="O486" s="579"/>
      <c r="P486" s="579"/>
      <c r="Q486" s="574"/>
      <c r="R486" s="347"/>
      <c r="S486" s="597"/>
      <c r="T486" s="347"/>
      <c r="U486" s="579"/>
      <c r="V486" s="579"/>
      <c r="W486" s="574"/>
      <c r="X486" s="347"/>
      <c r="Y486" s="347"/>
      <c r="Z486" s="347"/>
      <c r="AA486" s="579"/>
      <c r="AB486" s="581"/>
      <c r="AC486" s="347"/>
      <c r="AD486" s="347"/>
      <c r="AE486" s="347"/>
      <c r="AF486" s="347"/>
      <c r="AG486" s="579"/>
      <c r="AH486" s="579"/>
      <c r="AI486" s="582"/>
      <c r="AJ486" s="582"/>
      <c r="AK486" s="582"/>
      <c r="AL486" s="582"/>
      <c r="AM486" s="579"/>
      <c r="AN486" s="579"/>
      <c r="AO486" s="347"/>
      <c r="AP486" s="586"/>
      <c r="AQ486" s="596"/>
      <c r="AR486" s="596"/>
      <c r="AS486" s="348"/>
      <c r="AT486" s="348"/>
      <c r="AU486" s="348"/>
      <c r="AV486" s="348"/>
      <c r="AW486" s="348"/>
      <c r="AX486" s="584"/>
      <c r="AY486" s="581"/>
      <c r="AZ486" s="581"/>
      <c r="BA486" s="596"/>
      <c r="BB486" s="596"/>
      <c r="BC486" s="348"/>
      <c r="BD486" s="581"/>
      <c r="BE486" s="581"/>
      <c r="BF486" s="347"/>
      <c r="BG486" s="347"/>
      <c r="BH486" s="347"/>
      <c r="BI486" s="347"/>
      <c r="BJ486" s="586"/>
      <c r="BK486" s="581"/>
      <c r="BL486" s="347"/>
      <c r="BM486" s="347"/>
      <c r="BN486" s="347"/>
      <c r="BO486" s="586"/>
      <c r="BP486" s="584"/>
      <c r="BQ486" s="347"/>
      <c r="BR486" s="586"/>
      <c r="BS486" s="588"/>
      <c r="BT486" s="586"/>
      <c r="BU486" s="589"/>
      <c r="BV486" s="581">
        <f t="shared" si="44"/>
        <v>0</v>
      </c>
      <c r="BW486" s="590"/>
      <c r="BX486" s="347"/>
      <c r="BY486" s="347"/>
      <c r="BZ486" s="347"/>
      <c r="CA486" s="586"/>
      <c r="CB486" s="581"/>
      <c r="CC486" s="581">
        <f t="shared" si="193"/>
        <v>0</v>
      </c>
      <c r="CD486" s="581"/>
      <c r="CE486" s="581"/>
      <c r="CF486" s="581"/>
      <c r="CG486" s="586"/>
      <c r="CH486" s="608"/>
      <c r="CI486" s="603"/>
      <c r="CJ486" s="347"/>
      <c r="CK486" s="347"/>
      <c r="CL486" s="347"/>
      <c r="CM486" s="347"/>
      <c r="CN486" s="347"/>
      <c r="CO486" s="347"/>
      <c r="CP486" s="347"/>
    </row>
    <row r="487">
      <c r="A487" s="574"/>
      <c r="B487" s="574"/>
      <c r="C487" s="347"/>
      <c r="D487" s="574"/>
      <c r="E487" s="347"/>
      <c r="F487" s="596"/>
      <c r="G487" s="596"/>
      <c r="H487" s="347"/>
      <c r="I487" s="347"/>
      <c r="J487" s="596"/>
      <c r="K487" s="609"/>
      <c r="L487" s="1"/>
      <c r="M487" s="347"/>
      <c r="N487" s="347"/>
      <c r="O487" s="579"/>
      <c r="P487" s="579"/>
      <c r="Q487" s="574"/>
      <c r="R487" s="347"/>
      <c r="S487" s="597"/>
      <c r="T487" s="347"/>
      <c r="U487" s="579"/>
      <c r="V487" s="579"/>
      <c r="W487" s="574"/>
      <c r="X487" s="347"/>
      <c r="Y487" s="347"/>
      <c r="Z487" s="347"/>
      <c r="AA487" s="579"/>
      <c r="AB487" s="581"/>
      <c r="AC487" s="347"/>
      <c r="AD487" s="347"/>
      <c r="AE487" s="347"/>
      <c r="AF487" s="347"/>
      <c r="AG487" s="579"/>
      <c r="AH487" s="579"/>
      <c r="AI487" s="582"/>
      <c r="AJ487" s="582"/>
      <c r="AK487" s="582"/>
      <c r="AL487" s="582"/>
      <c r="AM487" s="579"/>
      <c r="AN487" s="579"/>
      <c r="AO487" s="347"/>
      <c r="AP487" s="586"/>
      <c r="AQ487" s="596"/>
      <c r="AR487" s="596"/>
      <c r="AS487" s="348"/>
      <c r="AT487" s="348"/>
      <c r="AU487" s="348"/>
      <c r="AV487" s="348"/>
      <c r="AW487" s="348"/>
      <c r="AX487" s="584"/>
      <c r="AY487" s="581"/>
      <c r="AZ487" s="581"/>
      <c r="BA487" s="596"/>
      <c r="BB487" s="596"/>
      <c r="BC487" s="348"/>
      <c r="BD487" s="581"/>
      <c r="BE487" s="581"/>
      <c r="BF487" s="347"/>
      <c r="BG487" s="347"/>
      <c r="BH487" s="347"/>
      <c r="BI487" s="347"/>
      <c r="BJ487" s="586"/>
      <c r="BK487" s="581"/>
      <c r="BL487" s="347"/>
      <c r="BM487" s="347"/>
      <c r="BN487" s="347"/>
      <c r="BO487" s="586"/>
      <c r="BP487" s="584"/>
      <c r="BQ487" s="347"/>
      <c r="BR487" s="586"/>
      <c r="BS487" s="588"/>
      <c r="BT487" s="586"/>
      <c r="BU487" s="589"/>
      <c r="BV487" s="581">
        <f t="shared" si="44"/>
        <v>0</v>
      </c>
      <c r="BW487" s="590"/>
      <c r="BX487" s="347"/>
      <c r="BY487" s="347"/>
      <c r="BZ487" s="347"/>
      <c r="CA487" s="586"/>
      <c r="CB487" s="581"/>
      <c r="CC487" s="581">
        <f t="shared" si="193"/>
        <v>0</v>
      </c>
      <c r="CD487" s="581"/>
      <c r="CE487" s="581"/>
      <c r="CF487" s="581"/>
      <c r="CG487" s="586"/>
      <c r="CH487" s="608"/>
      <c r="CI487" s="603"/>
      <c r="CJ487" s="347"/>
      <c r="CK487" s="347"/>
      <c r="CL487" s="347"/>
      <c r="CM487" s="347"/>
      <c r="CN487" s="347"/>
      <c r="CO487" s="347"/>
      <c r="CP487" s="347"/>
    </row>
    <row r="488">
      <c r="A488" s="574"/>
      <c r="B488" s="574"/>
      <c r="C488" s="347"/>
      <c r="D488" s="574"/>
      <c r="E488" s="347"/>
      <c r="F488" s="596"/>
      <c r="G488" s="596"/>
      <c r="H488" s="347"/>
      <c r="I488" s="347"/>
      <c r="J488" s="596"/>
      <c r="K488" s="609"/>
      <c r="L488" s="1"/>
      <c r="M488" s="347"/>
      <c r="N488" s="347"/>
      <c r="O488" s="579"/>
      <c r="P488" s="579"/>
      <c r="Q488" s="574"/>
      <c r="R488" s="347"/>
      <c r="S488" s="597"/>
      <c r="T488" s="347"/>
      <c r="U488" s="579"/>
      <c r="V488" s="579"/>
      <c r="W488" s="574"/>
      <c r="X488" s="347"/>
      <c r="Y488" s="347"/>
      <c r="Z488" s="347"/>
      <c r="AA488" s="579"/>
      <c r="AB488" s="581"/>
      <c r="AC488" s="347"/>
      <c r="AD488" s="347"/>
      <c r="AE488" s="347"/>
      <c r="AF488" s="347"/>
      <c r="AG488" s="579"/>
      <c r="AH488" s="579"/>
      <c r="AI488" s="582"/>
      <c r="AJ488" s="582"/>
      <c r="AK488" s="582"/>
      <c r="AL488" s="582"/>
      <c r="AM488" s="579"/>
      <c r="AN488" s="579"/>
      <c r="AO488" s="347"/>
      <c r="AP488" s="586"/>
      <c r="AQ488" s="596"/>
      <c r="AR488" s="596"/>
      <c r="AS488" s="348"/>
      <c r="AT488" s="348"/>
      <c r="AU488" s="348"/>
      <c r="AV488" s="348"/>
      <c r="AW488" s="348"/>
      <c r="AX488" s="584"/>
      <c r="AY488" s="581"/>
      <c r="AZ488" s="581"/>
      <c r="BA488" s="596"/>
      <c r="BB488" s="596"/>
      <c r="BC488" s="348"/>
      <c r="BD488" s="581"/>
      <c r="BE488" s="581"/>
      <c r="BF488" s="347"/>
      <c r="BG488" s="347"/>
      <c r="BH488" s="347"/>
      <c r="BI488" s="347"/>
      <c r="BJ488" s="586"/>
      <c r="BK488" s="581"/>
      <c r="BL488" s="347"/>
      <c r="BM488" s="347"/>
      <c r="BN488" s="347"/>
      <c r="BO488" s="586"/>
      <c r="BP488" s="584"/>
      <c r="BQ488" s="347"/>
      <c r="BR488" s="586"/>
      <c r="BS488" s="588"/>
      <c r="BT488" s="586"/>
      <c r="BU488" s="589"/>
      <c r="BV488" s="581">
        <f t="shared" si="44"/>
        <v>0</v>
      </c>
      <c r="BW488" s="590"/>
      <c r="BX488" s="347"/>
      <c r="BY488" s="347"/>
      <c r="BZ488" s="347"/>
      <c r="CA488" s="586"/>
      <c r="CB488" s="581"/>
      <c r="CC488" s="581">
        <f t="shared" si="193"/>
        <v>0</v>
      </c>
      <c r="CD488" s="581"/>
      <c r="CE488" s="581"/>
      <c r="CF488" s="581"/>
      <c r="CG488" s="586"/>
      <c r="CH488" s="608"/>
      <c r="CI488" s="603"/>
      <c r="CJ488" s="347"/>
      <c r="CK488" s="347"/>
      <c r="CL488" s="347"/>
      <c r="CM488" s="347"/>
      <c r="CN488" s="347"/>
      <c r="CO488" s="347"/>
      <c r="CP488" s="347"/>
    </row>
    <row r="489">
      <c r="A489" s="574"/>
      <c r="B489" s="574"/>
      <c r="C489" s="347"/>
      <c r="D489" s="574"/>
      <c r="E489" s="347"/>
      <c r="F489" s="596"/>
      <c r="G489" s="596"/>
      <c r="H489" s="347"/>
      <c r="I489" s="347"/>
      <c r="J489" s="596"/>
      <c r="K489" s="609"/>
      <c r="L489" s="1"/>
      <c r="M489" s="347"/>
      <c r="N489" s="347"/>
      <c r="O489" s="579"/>
      <c r="P489" s="579"/>
      <c r="Q489" s="574"/>
      <c r="R489" s="347"/>
      <c r="S489" s="597"/>
      <c r="T489" s="347"/>
      <c r="U489" s="579"/>
      <c r="V489" s="579"/>
      <c r="W489" s="574"/>
      <c r="X489" s="347"/>
      <c r="Y489" s="347"/>
      <c r="Z489" s="347"/>
      <c r="AA489" s="579"/>
      <c r="AB489" s="581"/>
      <c r="AC489" s="347"/>
      <c r="AD489" s="347"/>
      <c r="AE489" s="347"/>
      <c r="AF489" s="347"/>
      <c r="AG489" s="579"/>
      <c r="AH489" s="579"/>
      <c r="AI489" s="582"/>
      <c r="AJ489" s="582"/>
      <c r="AK489" s="582"/>
      <c r="AL489" s="582"/>
      <c r="AM489" s="579"/>
      <c r="AN489" s="579"/>
      <c r="AO489" s="347"/>
      <c r="AP489" s="586"/>
      <c r="AQ489" s="596"/>
      <c r="AR489" s="596"/>
      <c r="AS489" s="348"/>
      <c r="AT489" s="348"/>
      <c r="AU489" s="348"/>
      <c r="AV489" s="348"/>
      <c r="AW489" s="348"/>
      <c r="AX489" s="584"/>
      <c r="AY489" s="581"/>
      <c r="AZ489" s="581"/>
      <c r="BA489" s="596"/>
      <c r="BB489" s="596"/>
      <c r="BC489" s="348"/>
      <c r="BD489" s="581"/>
      <c r="BE489" s="581"/>
      <c r="BF489" s="347"/>
      <c r="BG489" s="347"/>
      <c r="BH489" s="347"/>
      <c r="BI489" s="347"/>
      <c r="BJ489" s="586"/>
      <c r="BK489" s="581"/>
      <c r="BL489" s="347"/>
      <c r="BM489" s="347"/>
      <c r="BN489" s="347"/>
      <c r="BO489" s="586"/>
      <c r="BP489" s="584"/>
      <c r="BQ489" s="347"/>
      <c r="BR489" s="586"/>
      <c r="BS489" s="588"/>
      <c r="BT489" s="586"/>
      <c r="BU489" s="589"/>
      <c r="BV489" s="581">
        <f t="shared" si="44"/>
        <v>0</v>
      </c>
      <c r="BW489" s="590"/>
      <c r="BX489" s="347"/>
      <c r="BY489" s="347"/>
      <c r="BZ489" s="347"/>
      <c r="CA489" s="586"/>
      <c r="CB489" s="581"/>
      <c r="CC489" s="581">
        <f t="shared" si="193"/>
        <v>0</v>
      </c>
      <c r="CD489" s="581"/>
      <c r="CE489" s="581"/>
      <c r="CF489" s="581"/>
      <c r="CG489" s="586"/>
      <c r="CH489" s="608"/>
      <c r="CI489" s="603"/>
      <c r="CJ489" s="347"/>
      <c r="CK489" s="347"/>
      <c r="CL489" s="347"/>
      <c r="CM489" s="347"/>
      <c r="CN489" s="347"/>
      <c r="CO489" s="347"/>
      <c r="CP489" s="347"/>
    </row>
    <row r="490">
      <c r="A490" s="574"/>
      <c r="B490" s="574"/>
      <c r="C490" s="347"/>
      <c r="D490" s="574"/>
      <c r="E490" s="347"/>
      <c r="F490" s="596"/>
      <c r="G490" s="596"/>
      <c r="H490" s="347"/>
      <c r="I490" s="347"/>
      <c r="J490" s="596"/>
      <c r="K490" s="609"/>
      <c r="L490" s="1"/>
      <c r="M490" s="347"/>
      <c r="N490" s="347"/>
      <c r="O490" s="579"/>
      <c r="P490" s="579"/>
      <c r="Q490" s="574"/>
      <c r="R490" s="347"/>
      <c r="S490" s="597"/>
      <c r="T490" s="347"/>
      <c r="U490" s="579"/>
      <c r="V490" s="579"/>
      <c r="W490" s="574"/>
      <c r="X490" s="347"/>
      <c r="Y490" s="347"/>
      <c r="Z490" s="347"/>
      <c r="AA490" s="579"/>
      <c r="AB490" s="581"/>
      <c r="AC490" s="347"/>
      <c r="AD490" s="347"/>
      <c r="AE490" s="347"/>
      <c r="AF490" s="347"/>
      <c r="AG490" s="579"/>
      <c r="AH490" s="579"/>
      <c r="AI490" s="582"/>
      <c r="AJ490" s="582"/>
      <c r="AK490" s="582"/>
      <c r="AL490" s="582"/>
      <c r="AM490" s="579"/>
      <c r="AN490" s="579"/>
      <c r="AO490" s="347"/>
      <c r="AP490" s="586"/>
      <c r="AQ490" s="596"/>
      <c r="AR490" s="596"/>
      <c r="AS490" s="348"/>
      <c r="AT490" s="348"/>
      <c r="AU490" s="348"/>
      <c r="AV490" s="348"/>
      <c r="AW490" s="348"/>
      <c r="AX490" s="584"/>
      <c r="AY490" s="581"/>
      <c r="AZ490" s="581"/>
      <c r="BA490" s="596"/>
      <c r="BB490" s="596"/>
      <c r="BC490" s="348"/>
      <c r="BD490" s="581"/>
      <c r="BE490" s="581"/>
      <c r="BF490" s="347"/>
      <c r="BG490" s="347"/>
      <c r="BH490" s="347"/>
      <c r="BI490" s="347"/>
      <c r="BJ490" s="586"/>
      <c r="BK490" s="581"/>
      <c r="BL490" s="347"/>
      <c r="BM490" s="347"/>
      <c r="BN490" s="347"/>
      <c r="BO490" s="586"/>
      <c r="BP490" s="584"/>
      <c r="BQ490" s="347"/>
      <c r="BR490" s="586"/>
      <c r="BS490" s="588"/>
      <c r="BT490" s="586"/>
      <c r="BU490" s="589"/>
      <c r="BV490" s="581">
        <f t="shared" si="44"/>
        <v>0</v>
      </c>
      <c r="BW490" s="590"/>
      <c r="BX490" s="347"/>
      <c r="BY490" s="347"/>
      <c r="BZ490" s="347"/>
      <c r="CA490" s="586"/>
      <c r="CB490" s="581"/>
      <c r="CC490" s="581">
        <f t="shared" si="193"/>
        <v>0</v>
      </c>
      <c r="CD490" s="581"/>
      <c r="CE490" s="581"/>
      <c r="CF490" s="581"/>
      <c r="CG490" s="586"/>
      <c r="CH490" s="608"/>
      <c r="CI490" s="603"/>
      <c r="CJ490" s="347"/>
      <c r="CK490" s="347"/>
      <c r="CL490" s="347"/>
      <c r="CM490" s="347"/>
      <c r="CN490" s="347"/>
      <c r="CO490" s="347"/>
      <c r="CP490" s="347"/>
    </row>
    <row r="491">
      <c r="A491" s="574"/>
      <c r="B491" s="574"/>
      <c r="C491" s="347"/>
      <c r="D491" s="574"/>
      <c r="E491" s="347"/>
      <c r="F491" s="596"/>
      <c r="G491" s="596"/>
      <c r="H491" s="347"/>
      <c r="I491" s="347"/>
      <c r="J491" s="596"/>
      <c r="K491" s="609"/>
      <c r="L491" s="1"/>
      <c r="M491" s="347"/>
      <c r="N491" s="347"/>
      <c r="O491" s="579"/>
      <c r="P491" s="579"/>
      <c r="Q491" s="574"/>
      <c r="R491" s="347"/>
      <c r="S491" s="597"/>
      <c r="T491" s="347"/>
      <c r="U491" s="579"/>
      <c r="V491" s="579"/>
      <c r="W491" s="574"/>
      <c r="X491" s="347"/>
      <c r="Y491" s="347"/>
      <c r="Z491" s="347"/>
      <c r="AA491" s="579"/>
      <c r="AB491" s="581"/>
      <c r="AC491" s="347"/>
      <c r="AD491" s="347"/>
      <c r="AE491" s="347"/>
      <c r="AF491" s="347"/>
      <c r="AG491" s="579"/>
      <c r="AH491" s="579"/>
      <c r="AI491" s="582"/>
      <c r="AJ491" s="582"/>
      <c r="AK491" s="582"/>
      <c r="AL491" s="582"/>
      <c r="AM491" s="579"/>
      <c r="AN491" s="579"/>
      <c r="AO491" s="347"/>
      <c r="AP491" s="586"/>
      <c r="AQ491" s="596"/>
      <c r="AR491" s="596"/>
      <c r="AS491" s="348"/>
      <c r="AT491" s="348"/>
      <c r="AU491" s="348"/>
      <c r="AV491" s="348"/>
      <c r="AW491" s="348"/>
      <c r="AX491" s="584"/>
      <c r="AY491" s="581"/>
      <c r="AZ491" s="581"/>
      <c r="BA491" s="596"/>
      <c r="BB491" s="596"/>
      <c r="BC491" s="348"/>
      <c r="BD491" s="581"/>
      <c r="BE491" s="581"/>
      <c r="BF491" s="347"/>
      <c r="BG491" s="347"/>
      <c r="BH491" s="347"/>
      <c r="BI491" s="347"/>
      <c r="BJ491" s="586"/>
      <c r="BK491" s="581"/>
      <c r="BL491" s="347"/>
      <c r="BM491" s="347"/>
      <c r="BN491" s="347"/>
      <c r="BO491" s="586"/>
      <c r="BP491" s="584"/>
      <c r="BQ491" s="347"/>
      <c r="BR491" s="586"/>
      <c r="BS491" s="588"/>
      <c r="BT491" s="586"/>
      <c r="BU491" s="589"/>
      <c r="BV491" s="581">
        <f t="shared" si="44"/>
        <v>0</v>
      </c>
      <c r="BW491" s="590"/>
      <c r="BX491" s="347"/>
      <c r="BY491" s="347"/>
      <c r="BZ491" s="347"/>
      <c r="CA491" s="586"/>
      <c r="CB491" s="581"/>
      <c r="CC491" s="581">
        <f t="shared" si="193"/>
        <v>0</v>
      </c>
      <c r="CD491" s="581"/>
      <c r="CE491" s="581"/>
      <c r="CF491" s="581"/>
      <c r="CG491" s="586"/>
      <c r="CH491" s="608"/>
      <c r="CI491" s="603"/>
      <c r="CJ491" s="347"/>
      <c r="CK491" s="347"/>
      <c r="CL491" s="347"/>
      <c r="CM491" s="347"/>
      <c r="CN491" s="347"/>
      <c r="CO491" s="347"/>
      <c r="CP491" s="347"/>
    </row>
    <row r="492">
      <c r="A492" s="574"/>
      <c r="B492" s="574"/>
      <c r="C492" s="347"/>
      <c r="D492" s="574"/>
      <c r="E492" s="347"/>
      <c r="F492" s="596"/>
      <c r="G492" s="596"/>
      <c r="H492" s="347"/>
      <c r="I492" s="347"/>
      <c r="J492" s="596"/>
      <c r="K492" s="609"/>
      <c r="L492" s="1"/>
      <c r="M492" s="347"/>
      <c r="N492" s="347"/>
      <c r="O492" s="579"/>
      <c r="P492" s="579"/>
      <c r="Q492" s="574"/>
      <c r="R492" s="347"/>
      <c r="S492" s="597"/>
      <c r="T492" s="347"/>
      <c r="U492" s="579"/>
      <c r="V492" s="579"/>
      <c r="W492" s="574"/>
      <c r="X492" s="347"/>
      <c r="Y492" s="347"/>
      <c r="Z492" s="347"/>
      <c r="AA492" s="579"/>
      <c r="AB492" s="581"/>
      <c r="AC492" s="347"/>
      <c r="AD492" s="347"/>
      <c r="AE492" s="347"/>
      <c r="AF492" s="347"/>
      <c r="AG492" s="579"/>
      <c r="AH492" s="579"/>
      <c r="AI492" s="582"/>
      <c r="AJ492" s="582"/>
      <c r="AK492" s="582"/>
      <c r="AL492" s="582"/>
      <c r="AM492" s="579"/>
      <c r="AN492" s="579"/>
      <c r="AO492" s="347"/>
      <c r="AP492" s="586"/>
      <c r="AQ492" s="596"/>
      <c r="AR492" s="596"/>
      <c r="AS492" s="348"/>
      <c r="AT492" s="348"/>
      <c r="AU492" s="348"/>
      <c r="AV492" s="348"/>
      <c r="AW492" s="348"/>
      <c r="AX492" s="584"/>
      <c r="AY492" s="581"/>
      <c r="AZ492" s="581"/>
      <c r="BA492" s="596"/>
      <c r="BB492" s="596"/>
      <c r="BC492" s="348"/>
      <c r="BD492" s="581"/>
      <c r="BE492" s="581"/>
      <c r="BF492" s="347"/>
      <c r="BG492" s="347"/>
      <c r="BH492" s="347"/>
      <c r="BI492" s="347"/>
      <c r="BJ492" s="586"/>
      <c r="BK492" s="581"/>
      <c r="BL492" s="347"/>
      <c r="BM492" s="347"/>
      <c r="BN492" s="347"/>
      <c r="BO492" s="586"/>
      <c r="BP492" s="584"/>
      <c r="BQ492" s="347"/>
      <c r="BR492" s="586"/>
      <c r="BS492" s="588"/>
      <c r="BT492" s="586"/>
      <c r="BU492" s="589"/>
      <c r="BV492" s="581">
        <f t="shared" si="44"/>
        <v>0</v>
      </c>
      <c r="BW492" s="590"/>
      <c r="BX492" s="347"/>
      <c r="BY492" s="347"/>
      <c r="BZ492" s="347"/>
      <c r="CA492" s="586"/>
      <c r="CB492" s="581"/>
      <c r="CC492" s="581">
        <f t="shared" si="193"/>
        <v>0</v>
      </c>
      <c r="CD492" s="581"/>
      <c r="CE492" s="581"/>
      <c r="CF492" s="581"/>
      <c r="CG492" s="586"/>
      <c r="CH492" s="608"/>
      <c r="CI492" s="603"/>
      <c r="CJ492" s="347"/>
      <c r="CK492" s="347"/>
      <c r="CL492" s="347"/>
      <c r="CM492" s="347"/>
      <c r="CN492" s="347"/>
      <c r="CO492" s="347"/>
      <c r="CP492" s="347"/>
    </row>
    <row r="493">
      <c r="A493" s="574"/>
      <c r="B493" s="574"/>
      <c r="C493" s="347"/>
      <c r="D493" s="574"/>
      <c r="E493" s="347"/>
      <c r="F493" s="596"/>
      <c r="G493" s="596"/>
      <c r="H493" s="347"/>
      <c r="I493" s="347"/>
      <c r="J493" s="596"/>
      <c r="K493" s="609"/>
      <c r="L493" s="1"/>
      <c r="M493" s="347"/>
      <c r="N493" s="347"/>
      <c r="O493" s="579"/>
      <c r="P493" s="579"/>
      <c r="Q493" s="574"/>
      <c r="R493" s="347"/>
      <c r="S493" s="597"/>
      <c r="T493" s="347"/>
      <c r="U493" s="579"/>
      <c r="V493" s="579"/>
      <c r="W493" s="574"/>
      <c r="X493" s="347"/>
      <c r="Y493" s="347"/>
      <c r="Z493" s="347"/>
      <c r="AA493" s="579"/>
      <c r="AB493" s="581"/>
      <c r="AC493" s="347"/>
      <c r="AD493" s="347"/>
      <c r="AE493" s="347"/>
      <c r="AF493" s="347"/>
      <c r="AG493" s="579"/>
      <c r="AH493" s="579"/>
      <c r="AI493" s="582"/>
      <c r="AJ493" s="582"/>
      <c r="AK493" s="582"/>
      <c r="AL493" s="582"/>
      <c r="AM493" s="579"/>
      <c r="AN493" s="579"/>
      <c r="AO493" s="347"/>
      <c r="AP493" s="586"/>
      <c r="AQ493" s="596"/>
      <c r="AR493" s="596"/>
      <c r="AS493" s="348"/>
      <c r="AT493" s="348"/>
      <c r="AU493" s="348"/>
      <c r="AV493" s="348"/>
      <c r="AW493" s="348"/>
      <c r="AX493" s="584"/>
      <c r="AY493" s="581"/>
      <c r="AZ493" s="581"/>
      <c r="BA493" s="596"/>
      <c r="BB493" s="596"/>
      <c r="BC493" s="348"/>
      <c r="BD493" s="581"/>
      <c r="BE493" s="581"/>
      <c r="BF493" s="347"/>
      <c r="BG493" s="347"/>
      <c r="BH493" s="347"/>
      <c r="BI493" s="347"/>
      <c r="BJ493" s="586"/>
      <c r="BK493" s="581"/>
      <c r="BL493" s="347"/>
      <c r="BM493" s="347"/>
      <c r="BN493" s="347"/>
      <c r="BO493" s="586"/>
      <c r="BP493" s="584"/>
      <c r="BQ493" s="347"/>
      <c r="BR493" s="586"/>
      <c r="BS493" s="588"/>
      <c r="BT493" s="586"/>
      <c r="BU493" s="589"/>
      <c r="BV493" s="581">
        <f t="shared" si="44"/>
        <v>0</v>
      </c>
      <c r="BW493" s="590"/>
      <c r="BX493" s="347"/>
      <c r="BY493" s="347"/>
      <c r="BZ493" s="347"/>
      <c r="CA493" s="586"/>
      <c r="CB493" s="581"/>
      <c r="CC493" s="581">
        <f t="shared" si="193"/>
        <v>0</v>
      </c>
      <c r="CD493" s="581"/>
      <c r="CE493" s="581"/>
      <c r="CF493" s="581"/>
      <c r="CG493" s="586"/>
      <c r="CH493" s="608"/>
      <c r="CI493" s="603"/>
      <c r="CJ493" s="347"/>
      <c r="CK493" s="347"/>
      <c r="CL493" s="347"/>
      <c r="CM493" s="347"/>
      <c r="CN493" s="347"/>
      <c r="CO493" s="347"/>
      <c r="CP493" s="347"/>
    </row>
    <row r="494">
      <c r="A494" s="574"/>
      <c r="B494" s="574"/>
      <c r="C494" s="347"/>
      <c r="D494" s="574"/>
      <c r="E494" s="347"/>
      <c r="F494" s="596"/>
      <c r="G494" s="596"/>
      <c r="H494" s="347"/>
      <c r="I494" s="347"/>
      <c r="J494" s="596"/>
      <c r="K494" s="609"/>
      <c r="L494" s="1"/>
      <c r="M494" s="347"/>
      <c r="N494" s="347"/>
      <c r="O494" s="579"/>
      <c r="P494" s="579"/>
      <c r="Q494" s="574"/>
      <c r="R494" s="347"/>
      <c r="S494" s="597"/>
      <c r="T494" s="347"/>
      <c r="U494" s="579"/>
      <c r="V494" s="579"/>
      <c r="W494" s="574"/>
      <c r="X494" s="347"/>
      <c r="Y494" s="347"/>
      <c r="Z494" s="347"/>
      <c r="AA494" s="579"/>
      <c r="AB494" s="581"/>
      <c r="AC494" s="347"/>
      <c r="AD494" s="347"/>
      <c r="AE494" s="347"/>
      <c r="AF494" s="347"/>
      <c r="AG494" s="579"/>
      <c r="AH494" s="579"/>
      <c r="AI494" s="582"/>
      <c r="AJ494" s="582"/>
      <c r="AK494" s="582"/>
      <c r="AL494" s="582"/>
      <c r="AM494" s="579"/>
      <c r="AN494" s="579"/>
      <c r="AO494" s="347"/>
      <c r="AP494" s="586"/>
      <c r="AQ494" s="596"/>
      <c r="AR494" s="596"/>
      <c r="AS494" s="348"/>
      <c r="AT494" s="348"/>
      <c r="AU494" s="348"/>
      <c r="AV494" s="348"/>
      <c r="AW494" s="348"/>
      <c r="AX494" s="584"/>
      <c r="AY494" s="581"/>
      <c r="AZ494" s="581"/>
      <c r="BA494" s="596"/>
      <c r="BB494" s="596"/>
      <c r="BC494" s="348"/>
      <c r="BD494" s="581"/>
      <c r="BE494" s="581"/>
      <c r="BF494" s="347"/>
      <c r="BG494" s="347"/>
      <c r="BH494" s="347"/>
      <c r="BI494" s="347"/>
      <c r="BJ494" s="586"/>
      <c r="BK494" s="581"/>
      <c r="BL494" s="347"/>
      <c r="BM494" s="347"/>
      <c r="BN494" s="347"/>
      <c r="BO494" s="586"/>
      <c r="BP494" s="584"/>
      <c r="BQ494" s="347"/>
      <c r="BR494" s="586"/>
      <c r="BS494" s="588"/>
      <c r="BT494" s="586"/>
      <c r="BU494" s="589"/>
      <c r="BV494" s="581">
        <f t="shared" si="44"/>
        <v>0</v>
      </c>
      <c r="BW494" s="590"/>
      <c r="BX494" s="347"/>
      <c r="BY494" s="347"/>
      <c r="BZ494" s="347"/>
      <c r="CA494" s="586"/>
      <c r="CB494" s="581"/>
      <c r="CC494" s="581">
        <f t="shared" si="193"/>
        <v>0</v>
      </c>
      <c r="CD494" s="581"/>
      <c r="CE494" s="581"/>
      <c r="CF494" s="581"/>
      <c r="CG494" s="586"/>
      <c r="CH494" s="608"/>
      <c r="CI494" s="603"/>
      <c r="CJ494" s="347"/>
      <c r="CK494" s="347"/>
      <c r="CL494" s="347"/>
      <c r="CM494" s="347"/>
      <c r="CN494" s="347"/>
      <c r="CO494" s="347"/>
      <c r="CP494" s="347"/>
    </row>
    <row r="495">
      <c r="A495" s="574"/>
      <c r="B495" s="574"/>
      <c r="C495" s="347"/>
      <c r="D495" s="574"/>
      <c r="E495" s="347"/>
      <c r="F495" s="596"/>
      <c r="G495" s="596"/>
      <c r="H495" s="347"/>
      <c r="I495" s="347"/>
      <c r="J495" s="596"/>
      <c r="K495" s="609"/>
      <c r="L495" s="1"/>
      <c r="M495" s="347"/>
      <c r="N495" s="347"/>
      <c r="O495" s="579"/>
      <c r="P495" s="579"/>
      <c r="Q495" s="574"/>
      <c r="R495" s="347"/>
      <c r="S495" s="597"/>
      <c r="T495" s="347"/>
      <c r="U495" s="579"/>
      <c r="V495" s="579"/>
      <c r="W495" s="574"/>
      <c r="X495" s="347"/>
      <c r="Y495" s="347"/>
      <c r="Z495" s="347"/>
      <c r="AA495" s="579"/>
      <c r="AB495" s="581"/>
      <c r="AC495" s="347"/>
      <c r="AD495" s="347"/>
      <c r="AE495" s="347"/>
      <c r="AF495" s="347"/>
      <c r="AG495" s="579"/>
      <c r="AH495" s="579"/>
      <c r="AI495" s="582"/>
      <c r="AJ495" s="582"/>
      <c r="AK495" s="582"/>
      <c r="AL495" s="582"/>
      <c r="AM495" s="579"/>
      <c r="AN495" s="579"/>
      <c r="AO495" s="347"/>
      <c r="AP495" s="586"/>
      <c r="AQ495" s="596"/>
      <c r="AR495" s="596"/>
      <c r="AS495" s="348"/>
      <c r="AT495" s="348"/>
      <c r="AU495" s="348"/>
      <c r="AV495" s="348"/>
      <c r="AW495" s="348"/>
      <c r="AX495" s="584"/>
      <c r="AY495" s="581"/>
      <c r="AZ495" s="581"/>
      <c r="BA495" s="596"/>
      <c r="BB495" s="596"/>
      <c r="BC495" s="348"/>
      <c r="BD495" s="581"/>
      <c r="BE495" s="581"/>
      <c r="BF495" s="347"/>
      <c r="BG495" s="347"/>
      <c r="BH495" s="347"/>
      <c r="BI495" s="347"/>
      <c r="BJ495" s="586"/>
      <c r="BK495" s="581"/>
      <c r="BL495" s="347"/>
      <c r="BM495" s="347"/>
      <c r="BN495" s="347"/>
      <c r="BO495" s="586"/>
      <c r="BP495" s="584"/>
      <c r="BQ495" s="347"/>
      <c r="BR495" s="586"/>
      <c r="BS495" s="588"/>
      <c r="BT495" s="586"/>
      <c r="BU495" s="589"/>
      <c r="BV495" s="581">
        <f t="shared" si="44"/>
        <v>0</v>
      </c>
      <c r="BW495" s="590"/>
      <c r="BX495" s="347"/>
      <c r="BY495" s="347"/>
      <c r="BZ495" s="347"/>
      <c r="CA495" s="586"/>
      <c r="CB495" s="581"/>
      <c r="CC495" s="581">
        <f t="shared" si="193"/>
        <v>0</v>
      </c>
      <c r="CD495" s="581"/>
      <c r="CE495" s="581"/>
      <c r="CF495" s="581"/>
      <c r="CG495" s="586"/>
      <c r="CH495" s="608"/>
      <c r="CI495" s="603"/>
      <c r="CJ495" s="347"/>
      <c r="CK495" s="347"/>
      <c r="CL495" s="347"/>
      <c r="CM495" s="347"/>
      <c r="CN495" s="347"/>
      <c r="CO495" s="347"/>
      <c r="CP495" s="347"/>
    </row>
    <row r="496">
      <c r="A496" s="574"/>
      <c r="B496" s="574"/>
      <c r="C496" s="347"/>
      <c r="D496" s="574"/>
      <c r="E496" s="347"/>
      <c r="F496" s="596"/>
      <c r="G496" s="596"/>
      <c r="H496" s="347"/>
      <c r="I496" s="347"/>
      <c r="J496" s="596"/>
      <c r="K496" s="609"/>
      <c r="L496" s="1"/>
      <c r="M496" s="347"/>
      <c r="N496" s="347"/>
      <c r="O496" s="579"/>
      <c r="P496" s="579"/>
      <c r="Q496" s="574"/>
      <c r="R496" s="347"/>
      <c r="S496" s="597"/>
      <c r="T496" s="347"/>
      <c r="U496" s="579"/>
      <c r="V496" s="579"/>
      <c r="W496" s="574"/>
      <c r="X496" s="347"/>
      <c r="Y496" s="347"/>
      <c r="Z496" s="347"/>
      <c r="AA496" s="579"/>
      <c r="AB496" s="581"/>
      <c r="AC496" s="347"/>
      <c r="AD496" s="347"/>
      <c r="AE496" s="347"/>
      <c r="AF496" s="347"/>
      <c r="AG496" s="579"/>
      <c r="AH496" s="579"/>
      <c r="AI496" s="582"/>
      <c r="AJ496" s="582"/>
      <c r="AK496" s="582"/>
      <c r="AL496" s="582"/>
      <c r="AM496" s="579"/>
      <c r="AN496" s="579"/>
      <c r="AO496" s="347"/>
      <c r="AP496" s="586"/>
      <c r="AQ496" s="596"/>
      <c r="AR496" s="596"/>
      <c r="AS496" s="348"/>
      <c r="AT496" s="348"/>
      <c r="AU496" s="348"/>
      <c r="AV496" s="348"/>
      <c r="AW496" s="348"/>
      <c r="AX496" s="584"/>
      <c r="AY496" s="581"/>
      <c r="AZ496" s="581"/>
      <c r="BA496" s="596"/>
      <c r="BB496" s="596"/>
      <c r="BC496" s="348"/>
      <c r="BD496" s="581"/>
      <c r="BE496" s="581"/>
      <c r="BF496" s="347"/>
      <c r="BG496" s="347"/>
      <c r="BH496" s="347"/>
      <c r="BI496" s="347"/>
      <c r="BJ496" s="586"/>
      <c r="BK496" s="581"/>
      <c r="BL496" s="347"/>
      <c r="BM496" s="347"/>
      <c r="BN496" s="347"/>
      <c r="BO496" s="586"/>
      <c r="BP496" s="584"/>
      <c r="BQ496" s="347"/>
      <c r="BR496" s="586"/>
      <c r="BS496" s="588"/>
      <c r="BT496" s="586"/>
      <c r="BU496" s="589"/>
      <c r="BV496" s="581">
        <f t="shared" si="44"/>
        <v>0</v>
      </c>
      <c r="BW496" s="590"/>
      <c r="BX496" s="347"/>
      <c r="BY496" s="347"/>
      <c r="BZ496" s="347"/>
      <c r="CA496" s="586"/>
      <c r="CB496" s="581"/>
      <c r="CC496" s="581">
        <f t="shared" si="193"/>
        <v>0</v>
      </c>
      <c r="CD496" s="581"/>
      <c r="CE496" s="581"/>
      <c r="CF496" s="581"/>
      <c r="CG496" s="586"/>
      <c r="CH496" s="608"/>
      <c r="CI496" s="603"/>
      <c r="CJ496" s="347"/>
      <c r="CK496" s="347"/>
      <c r="CL496" s="347"/>
      <c r="CM496" s="347"/>
      <c r="CN496" s="347"/>
      <c r="CO496" s="347"/>
      <c r="CP496" s="347"/>
    </row>
    <row r="497">
      <c r="A497" s="574"/>
      <c r="B497" s="574"/>
      <c r="C497" s="347"/>
      <c r="D497" s="574"/>
      <c r="E497" s="347"/>
      <c r="F497" s="596"/>
      <c r="G497" s="596"/>
      <c r="H497" s="347"/>
      <c r="I497" s="347"/>
      <c r="J497" s="596"/>
      <c r="K497" s="609"/>
      <c r="L497" s="1"/>
      <c r="M497" s="347"/>
      <c r="N497" s="347"/>
      <c r="O497" s="579"/>
      <c r="P497" s="579"/>
      <c r="Q497" s="574"/>
      <c r="R497" s="347"/>
      <c r="S497" s="597"/>
      <c r="T497" s="347"/>
      <c r="U497" s="579"/>
      <c r="V497" s="579"/>
      <c r="W497" s="574"/>
      <c r="X497" s="347"/>
      <c r="Y497" s="347"/>
      <c r="Z497" s="347"/>
      <c r="AA497" s="579"/>
      <c r="AB497" s="581"/>
      <c r="AC497" s="347"/>
      <c r="AD497" s="347"/>
      <c r="AE497" s="347"/>
      <c r="AF497" s="347"/>
      <c r="AG497" s="579"/>
      <c r="AH497" s="579"/>
      <c r="AI497" s="582"/>
      <c r="AJ497" s="582"/>
      <c r="AK497" s="582"/>
      <c r="AL497" s="582"/>
      <c r="AM497" s="579"/>
      <c r="AN497" s="579"/>
      <c r="AO497" s="347"/>
      <c r="AP497" s="586"/>
      <c r="AQ497" s="596"/>
      <c r="AR497" s="596"/>
      <c r="AS497" s="348"/>
      <c r="AT497" s="348"/>
      <c r="AU497" s="348"/>
      <c r="AV497" s="348"/>
      <c r="AW497" s="348"/>
      <c r="AX497" s="584"/>
      <c r="AY497" s="581"/>
      <c r="AZ497" s="581"/>
      <c r="BA497" s="596"/>
      <c r="BB497" s="596"/>
      <c r="BC497" s="348"/>
      <c r="BD497" s="581"/>
      <c r="BE497" s="581"/>
      <c r="BF497" s="347"/>
      <c r="BG497" s="347"/>
      <c r="BH497" s="347"/>
      <c r="BI497" s="347"/>
      <c r="BJ497" s="586"/>
      <c r="BK497" s="581"/>
      <c r="BL497" s="347"/>
      <c r="BM497" s="347"/>
      <c r="BN497" s="347"/>
      <c r="BO497" s="586"/>
      <c r="BP497" s="584"/>
      <c r="BQ497" s="347"/>
      <c r="BR497" s="586"/>
      <c r="BS497" s="588"/>
      <c r="BT497" s="586"/>
      <c r="BU497" s="589"/>
      <c r="BV497" s="581">
        <f t="shared" si="44"/>
        <v>0</v>
      </c>
      <c r="BW497" s="590"/>
      <c r="BX497" s="347"/>
      <c r="BY497" s="347"/>
      <c r="BZ497" s="347"/>
      <c r="CA497" s="586"/>
      <c r="CB497" s="581"/>
      <c r="CC497" s="581">
        <f t="shared" si="193"/>
        <v>0</v>
      </c>
      <c r="CD497" s="581"/>
      <c r="CE497" s="581"/>
      <c r="CF497" s="581"/>
      <c r="CG497" s="586"/>
      <c r="CH497" s="608"/>
      <c r="CI497" s="603"/>
      <c r="CJ497" s="347"/>
      <c r="CK497" s="347"/>
      <c r="CL497" s="347"/>
      <c r="CM497" s="347"/>
      <c r="CN497" s="347"/>
      <c r="CO497" s="347"/>
      <c r="CP497" s="347"/>
    </row>
    <row r="498">
      <c r="A498" s="574"/>
      <c r="B498" s="574"/>
      <c r="C498" s="347"/>
      <c r="D498" s="574"/>
      <c r="E498" s="347"/>
      <c r="F498" s="596"/>
      <c r="G498" s="596"/>
      <c r="H498" s="347"/>
      <c r="I498" s="347"/>
      <c r="J498" s="596"/>
      <c r="K498" s="609"/>
      <c r="L498" s="1"/>
      <c r="M498" s="347"/>
      <c r="N498" s="347"/>
      <c r="O498" s="579"/>
      <c r="P498" s="579"/>
      <c r="Q498" s="574"/>
      <c r="R498" s="347"/>
      <c r="S498" s="597"/>
      <c r="T498" s="347"/>
      <c r="U498" s="579"/>
      <c r="V498" s="579"/>
      <c r="W498" s="574"/>
      <c r="X498" s="347"/>
      <c r="Y498" s="347"/>
      <c r="Z498" s="347"/>
      <c r="AA498" s="579"/>
      <c r="AB498" s="581"/>
      <c r="AC498" s="347"/>
      <c r="AD498" s="347"/>
      <c r="AE498" s="347"/>
      <c r="AF498" s="347"/>
      <c r="AG498" s="579"/>
      <c r="AH498" s="579"/>
      <c r="AI498" s="582"/>
      <c r="AJ498" s="582"/>
      <c r="AK498" s="582"/>
      <c r="AL498" s="582"/>
      <c r="AM498" s="579"/>
      <c r="AN498" s="579"/>
      <c r="AO498" s="347"/>
      <c r="AP498" s="586"/>
      <c r="AQ498" s="596"/>
      <c r="AR498" s="596"/>
      <c r="AS498" s="348"/>
      <c r="AT498" s="348"/>
      <c r="AU498" s="348"/>
      <c r="AV498" s="348"/>
      <c r="AW498" s="348"/>
      <c r="AX498" s="584"/>
      <c r="AY498" s="581"/>
      <c r="AZ498" s="581"/>
      <c r="BA498" s="596"/>
      <c r="BB498" s="596"/>
      <c r="BC498" s="348"/>
      <c r="BD498" s="581"/>
      <c r="BE498" s="581"/>
      <c r="BF498" s="347"/>
      <c r="BG498" s="347"/>
      <c r="BH498" s="347"/>
      <c r="BI498" s="347"/>
      <c r="BJ498" s="586"/>
      <c r="BK498" s="581"/>
      <c r="BL498" s="347"/>
      <c r="BM498" s="347"/>
      <c r="BN498" s="347"/>
      <c r="BO498" s="586"/>
      <c r="BP498" s="584"/>
      <c r="BQ498" s="347"/>
      <c r="BR498" s="586"/>
      <c r="BS498" s="588"/>
      <c r="BT498" s="586"/>
      <c r="BU498" s="589"/>
      <c r="BV498" s="581">
        <f t="shared" si="44"/>
        <v>0</v>
      </c>
      <c r="BW498" s="590"/>
      <c r="BX498" s="347"/>
      <c r="BY498" s="347"/>
      <c r="BZ498" s="347"/>
      <c r="CA498" s="586"/>
      <c r="CB498" s="581"/>
      <c r="CC498" s="581">
        <f t="shared" si="193"/>
        <v>0</v>
      </c>
      <c r="CD498" s="581"/>
      <c r="CE498" s="581"/>
      <c r="CF498" s="581"/>
      <c r="CG498" s="586"/>
      <c r="CH498" s="608"/>
      <c r="CI498" s="603"/>
      <c r="CJ498" s="347"/>
      <c r="CK498" s="347"/>
      <c r="CL498" s="347"/>
      <c r="CM498" s="347"/>
      <c r="CN498" s="347"/>
      <c r="CO498" s="347"/>
      <c r="CP498" s="347"/>
    </row>
    <row r="499">
      <c r="A499" s="574"/>
      <c r="B499" s="574"/>
      <c r="C499" s="347"/>
      <c r="D499" s="574"/>
      <c r="E499" s="347"/>
      <c r="F499" s="596"/>
      <c r="G499" s="596"/>
      <c r="H499" s="347"/>
      <c r="I499" s="347"/>
      <c r="J499" s="596"/>
      <c r="K499" s="609"/>
      <c r="L499" s="1"/>
      <c r="M499" s="347"/>
      <c r="N499" s="347"/>
      <c r="O499" s="579"/>
      <c r="P499" s="579"/>
      <c r="Q499" s="574"/>
      <c r="R499" s="347"/>
      <c r="S499" s="597"/>
      <c r="T499" s="347"/>
      <c r="U499" s="579"/>
      <c r="V499" s="579"/>
      <c r="W499" s="574"/>
      <c r="X499" s="347"/>
      <c r="Y499" s="347"/>
      <c r="Z499" s="347"/>
      <c r="AA499" s="579"/>
      <c r="AB499" s="581"/>
      <c r="AC499" s="347"/>
      <c r="AD499" s="347"/>
      <c r="AE499" s="347"/>
      <c r="AF499" s="347"/>
      <c r="AG499" s="579"/>
      <c r="AH499" s="579"/>
      <c r="AI499" s="582"/>
      <c r="AJ499" s="582"/>
      <c r="AK499" s="582"/>
      <c r="AL499" s="582"/>
      <c r="AM499" s="579"/>
      <c r="AN499" s="579"/>
      <c r="AO499" s="347"/>
      <c r="AP499" s="586"/>
      <c r="AQ499" s="596"/>
      <c r="AR499" s="596"/>
      <c r="AS499" s="348"/>
      <c r="AT499" s="348"/>
      <c r="AU499" s="348"/>
      <c r="AV499" s="348"/>
      <c r="AW499" s="348"/>
      <c r="AX499" s="584"/>
      <c r="AY499" s="581"/>
      <c r="AZ499" s="581"/>
      <c r="BA499" s="596"/>
      <c r="BB499" s="596"/>
      <c r="BC499" s="348"/>
      <c r="BD499" s="581"/>
      <c r="BE499" s="581"/>
      <c r="BF499" s="347"/>
      <c r="BG499" s="347"/>
      <c r="BH499" s="347"/>
      <c r="BI499" s="347"/>
      <c r="BJ499" s="586"/>
      <c r="BK499" s="581"/>
      <c r="BL499" s="347"/>
      <c r="BM499" s="347"/>
      <c r="BN499" s="347"/>
      <c r="BO499" s="586"/>
      <c r="BP499" s="584"/>
      <c r="BQ499" s="347"/>
      <c r="BR499" s="586"/>
      <c r="BS499" s="588"/>
      <c r="BT499" s="586"/>
      <c r="BU499" s="589"/>
      <c r="BV499" s="581">
        <f t="shared" si="44"/>
        <v>0</v>
      </c>
      <c r="BW499" s="590"/>
      <c r="BX499" s="347"/>
      <c r="BY499" s="347"/>
      <c r="BZ499" s="347"/>
      <c r="CA499" s="586"/>
      <c r="CB499" s="581"/>
      <c r="CC499" s="581">
        <f t="shared" si="193"/>
        <v>0</v>
      </c>
      <c r="CD499" s="581"/>
      <c r="CE499" s="581"/>
      <c r="CF499" s="581"/>
      <c r="CG499" s="586"/>
      <c r="CH499" s="608"/>
      <c r="CI499" s="603"/>
      <c r="CJ499" s="347"/>
      <c r="CK499" s="347"/>
      <c r="CL499" s="347"/>
      <c r="CM499" s="347"/>
      <c r="CN499" s="347"/>
      <c r="CO499" s="347"/>
      <c r="CP499" s="347"/>
    </row>
    <row r="500">
      <c r="A500" s="574"/>
      <c r="B500" s="574"/>
      <c r="C500" s="347"/>
      <c r="D500" s="574"/>
      <c r="E500" s="347"/>
      <c r="F500" s="596"/>
      <c r="G500" s="596"/>
      <c r="H500" s="347"/>
      <c r="I500" s="347"/>
      <c r="J500" s="596"/>
      <c r="K500" s="609"/>
      <c r="L500" s="1"/>
      <c r="M500" s="347"/>
      <c r="N500" s="347"/>
      <c r="O500" s="579"/>
      <c r="P500" s="579"/>
      <c r="Q500" s="574"/>
      <c r="R500" s="347"/>
      <c r="S500" s="597"/>
      <c r="T500" s="347"/>
      <c r="U500" s="579"/>
      <c r="V500" s="579"/>
      <c r="W500" s="574"/>
      <c r="X500" s="347"/>
      <c r="Y500" s="347"/>
      <c r="Z500" s="347"/>
      <c r="AA500" s="579"/>
      <c r="AB500" s="581"/>
      <c r="AC500" s="347"/>
      <c r="AD500" s="347"/>
      <c r="AE500" s="347"/>
      <c r="AF500" s="347"/>
      <c r="AG500" s="579"/>
      <c r="AH500" s="579"/>
      <c r="AI500" s="582"/>
      <c r="AJ500" s="582"/>
      <c r="AK500" s="582"/>
      <c r="AL500" s="582"/>
      <c r="AM500" s="579"/>
      <c r="AN500" s="579"/>
      <c r="AO500" s="347"/>
      <c r="AP500" s="586"/>
      <c r="AQ500" s="596"/>
      <c r="AR500" s="596"/>
      <c r="AS500" s="348"/>
      <c r="AT500" s="348"/>
      <c r="AU500" s="348"/>
      <c r="AV500" s="348"/>
      <c r="AW500" s="348"/>
      <c r="AX500" s="584"/>
      <c r="AY500" s="581"/>
      <c r="AZ500" s="581"/>
      <c r="BA500" s="596"/>
      <c r="BB500" s="596"/>
      <c r="BC500" s="348"/>
      <c r="BD500" s="581"/>
      <c r="BE500" s="581"/>
      <c r="BF500" s="347"/>
      <c r="BG500" s="347"/>
      <c r="BH500" s="347"/>
      <c r="BI500" s="347"/>
      <c r="BJ500" s="586"/>
      <c r="BK500" s="581"/>
      <c r="BL500" s="347"/>
      <c r="BM500" s="347"/>
      <c r="BN500" s="347"/>
      <c r="BO500" s="586"/>
      <c r="BP500" s="584"/>
      <c r="BQ500" s="347"/>
      <c r="BR500" s="586"/>
      <c r="BS500" s="588"/>
      <c r="BT500" s="586"/>
      <c r="BU500" s="589"/>
      <c r="BV500" s="581">
        <f t="shared" si="44"/>
        <v>0</v>
      </c>
      <c r="BW500" s="590"/>
      <c r="BX500" s="347"/>
      <c r="BY500" s="347"/>
      <c r="BZ500" s="347"/>
      <c r="CA500" s="586"/>
      <c r="CB500" s="581"/>
      <c r="CC500" s="581">
        <f t="shared" si="193"/>
        <v>0</v>
      </c>
      <c r="CD500" s="581"/>
      <c r="CE500" s="581"/>
      <c r="CF500" s="581"/>
      <c r="CG500" s="586"/>
      <c r="CH500" s="608"/>
      <c r="CI500" s="603"/>
      <c r="CJ500" s="347"/>
      <c r="CK500" s="347"/>
      <c r="CL500" s="347"/>
      <c r="CM500" s="347"/>
      <c r="CN500" s="347"/>
      <c r="CO500" s="347"/>
      <c r="CP500" s="347"/>
    </row>
    <row r="501">
      <c r="A501" s="574"/>
      <c r="B501" s="574"/>
      <c r="C501" s="347"/>
      <c r="D501" s="574"/>
      <c r="E501" s="347"/>
      <c r="F501" s="596"/>
      <c r="G501" s="596"/>
      <c r="H501" s="347"/>
      <c r="I501" s="347"/>
      <c r="J501" s="596"/>
      <c r="K501" s="609"/>
      <c r="L501" s="1"/>
      <c r="M501" s="347"/>
      <c r="N501" s="347"/>
      <c r="O501" s="579"/>
      <c r="P501" s="579"/>
      <c r="Q501" s="574"/>
      <c r="R501" s="347"/>
      <c r="S501" s="597"/>
      <c r="T501" s="347"/>
      <c r="U501" s="579"/>
      <c r="V501" s="579"/>
      <c r="W501" s="574"/>
      <c r="X501" s="347"/>
      <c r="Y501" s="347"/>
      <c r="Z501" s="347"/>
      <c r="AA501" s="579"/>
      <c r="AB501" s="581"/>
      <c r="AC501" s="347"/>
      <c r="AD501" s="347"/>
      <c r="AE501" s="347"/>
      <c r="AF501" s="347"/>
      <c r="AG501" s="579"/>
      <c r="AH501" s="579"/>
      <c r="AI501" s="582"/>
      <c r="AJ501" s="582"/>
      <c r="AK501" s="582"/>
      <c r="AL501" s="582"/>
      <c r="AM501" s="579"/>
      <c r="AN501" s="579"/>
      <c r="AO501" s="347"/>
      <c r="AP501" s="586"/>
      <c r="AQ501" s="596"/>
      <c r="AR501" s="596"/>
      <c r="AS501" s="348"/>
      <c r="AT501" s="348"/>
      <c r="AU501" s="348"/>
      <c r="AV501" s="348"/>
      <c r="AW501" s="348"/>
      <c r="AX501" s="584"/>
      <c r="AY501" s="581"/>
      <c r="AZ501" s="581"/>
      <c r="BA501" s="596"/>
      <c r="BB501" s="596"/>
      <c r="BC501" s="348"/>
      <c r="BD501" s="581"/>
      <c r="BE501" s="581"/>
      <c r="BF501" s="347"/>
      <c r="BG501" s="347"/>
      <c r="BH501" s="347"/>
      <c r="BI501" s="347"/>
      <c r="BJ501" s="586"/>
      <c r="BK501" s="581"/>
      <c r="BL501" s="347"/>
      <c r="BM501" s="347"/>
      <c r="BN501" s="347"/>
      <c r="BO501" s="586"/>
      <c r="BP501" s="584"/>
      <c r="BQ501" s="347"/>
      <c r="BR501" s="586"/>
      <c r="BS501" s="588"/>
      <c r="BT501" s="586"/>
      <c r="BU501" s="589"/>
      <c r="BV501" s="581">
        <f t="shared" si="44"/>
        <v>0</v>
      </c>
      <c r="BW501" s="590"/>
      <c r="BX501" s="347"/>
      <c r="BY501" s="347"/>
      <c r="BZ501" s="347"/>
      <c r="CA501" s="586"/>
      <c r="CB501" s="581"/>
      <c r="CC501" s="581">
        <f t="shared" si="193"/>
        <v>0</v>
      </c>
      <c r="CD501" s="581"/>
      <c r="CE501" s="581"/>
      <c r="CF501" s="581"/>
      <c r="CG501" s="586"/>
      <c r="CH501" s="608"/>
      <c r="CI501" s="603"/>
      <c r="CJ501" s="347"/>
      <c r="CK501" s="347"/>
      <c r="CL501" s="347"/>
      <c r="CM501" s="347"/>
      <c r="CN501" s="347"/>
      <c r="CO501" s="347"/>
      <c r="CP501" s="347"/>
    </row>
    <row r="502">
      <c r="A502" s="574"/>
      <c r="B502" s="574"/>
      <c r="C502" s="347"/>
      <c r="D502" s="574"/>
      <c r="E502" s="347"/>
      <c r="F502" s="596"/>
      <c r="G502" s="596"/>
      <c r="H502" s="347"/>
      <c r="I502" s="347"/>
      <c r="J502" s="596"/>
      <c r="K502" s="609"/>
      <c r="L502" s="1"/>
      <c r="M502" s="347"/>
      <c r="N502" s="347"/>
      <c r="O502" s="579"/>
      <c r="P502" s="579"/>
      <c r="Q502" s="574"/>
      <c r="R502" s="347"/>
      <c r="S502" s="597"/>
      <c r="T502" s="347"/>
      <c r="U502" s="579"/>
      <c r="V502" s="579"/>
      <c r="W502" s="574"/>
      <c r="X502" s="347"/>
      <c r="Y502" s="347"/>
      <c r="Z502" s="347"/>
      <c r="AA502" s="579"/>
      <c r="AB502" s="581"/>
      <c r="AC502" s="347"/>
      <c r="AD502" s="347"/>
      <c r="AE502" s="347"/>
      <c r="AF502" s="347"/>
      <c r="AG502" s="579"/>
      <c r="AH502" s="579"/>
      <c r="AI502" s="582"/>
      <c r="AJ502" s="582"/>
      <c r="AK502" s="582"/>
      <c r="AL502" s="582"/>
      <c r="AM502" s="579"/>
      <c r="AN502" s="579"/>
      <c r="AO502" s="347"/>
      <c r="AP502" s="586"/>
      <c r="AQ502" s="596"/>
      <c r="AR502" s="596"/>
      <c r="AS502" s="348"/>
      <c r="AT502" s="348"/>
      <c r="AU502" s="348"/>
      <c r="AV502" s="348"/>
      <c r="AW502" s="348"/>
      <c r="AX502" s="584"/>
      <c r="AY502" s="581"/>
      <c r="AZ502" s="581"/>
      <c r="BA502" s="596"/>
      <c r="BB502" s="596"/>
      <c r="BC502" s="348"/>
      <c r="BD502" s="581"/>
      <c r="BE502" s="581"/>
      <c r="BF502" s="347"/>
      <c r="BG502" s="347"/>
      <c r="BH502" s="347"/>
      <c r="BI502" s="347"/>
      <c r="BJ502" s="586"/>
      <c r="BK502" s="581"/>
      <c r="BL502" s="347"/>
      <c r="BM502" s="347"/>
      <c r="BN502" s="347"/>
      <c r="BO502" s="586"/>
      <c r="BP502" s="584"/>
      <c r="BQ502" s="347"/>
      <c r="BR502" s="586"/>
      <c r="BS502" s="588"/>
      <c r="BT502" s="586"/>
      <c r="BU502" s="589"/>
      <c r="BV502" s="581">
        <f t="shared" si="44"/>
        <v>0</v>
      </c>
      <c r="BW502" s="590"/>
      <c r="BX502" s="347"/>
      <c r="BY502" s="347"/>
      <c r="BZ502" s="347"/>
      <c r="CA502" s="586"/>
      <c r="CB502" s="581"/>
      <c r="CC502" s="581">
        <f t="shared" si="193"/>
        <v>0</v>
      </c>
      <c r="CD502" s="581"/>
      <c r="CE502" s="581"/>
      <c r="CF502" s="581"/>
      <c r="CG502" s="586"/>
      <c r="CH502" s="608"/>
      <c r="CI502" s="603"/>
      <c r="CJ502" s="347"/>
      <c r="CK502" s="347"/>
      <c r="CL502" s="347"/>
      <c r="CM502" s="347"/>
      <c r="CN502" s="347"/>
      <c r="CO502" s="347"/>
      <c r="CP502" s="347"/>
    </row>
    <row r="503">
      <c r="A503" s="574"/>
      <c r="B503" s="574"/>
      <c r="C503" s="347"/>
      <c r="D503" s="574"/>
      <c r="E503" s="347"/>
      <c r="F503" s="596"/>
      <c r="G503" s="596"/>
      <c r="H503" s="347"/>
      <c r="I503" s="347"/>
      <c r="J503" s="596"/>
      <c r="K503" s="609"/>
      <c r="L503" s="1"/>
      <c r="M503" s="347"/>
      <c r="N503" s="347"/>
      <c r="O503" s="579"/>
      <c r="P503" s="579"/>
      <c r="Q503" s="574"/>
      <c r="R503" s="347"/>
      <c r="S503" s="597"/>
      <c r="T503" s="347"/>
      <c r="U503" s="579"/>
      <c r="V503" s="579"/>
      <c r="W503" s="574"/>
      <c r="X503" s="347"/>
      <c r="Y503" s="347"/>
      <c r="Z503" s="347"/>
      <c r="AA503" s="579"/>
      <c r="AB503" s="581"/>
      <c r="AC503" s="347"/>
      <c r="AD503" s="347"/>
      <c r="AE503" s="347"/>
      <c r="AF503" s="347"/>
      <c r="AG503" s="579"/>
      <c r="AH503" s="579"/>
      <c r="AI503" s="582"/>
      <c r="AJ503" s="582"/>
      <c r="AK503" s="582"/>
      <c r="AL503" s="582"/>
      <c r="AM503" s="579"/>
      <c r="AN503" s="579"/>
      <c r="AO503" s="347"/>
      <c r="AP503" s="586"/>
      <c r="AQ503" s="596"/>
      <c r="AR503" s="596"/>
      <c r="AS503" s="348"/>
      <c r="AT503" s="348"/>
      <c r="AU503" s="348"/>
      <c r="AV503" s="348"/>
      <c r="AW503" s="348"/>
      <c r="AX503" s="584"/>
      <c r="AY503" s="581"/>
      <c r="AZ503" s="581"/>
      <c r="BA503" s="596"/>
      <c r="BB503" s="596"/>
      <c r="BC503" s="348"/>
      <c r="BD503" s="581"/>
      <c r="BE503" s="581"/>
      <c r="BF503" s="347"/>
      <c r="BG503" s="347"/>
      <c r="BH503" s="347"/>
      <c r="BI503" s="347"/>
      <c r="BJ503" s="586"/>
      <c r="BK503" s="581"/>
      <c r="BL503" s="347"/>
      <c r="BM503" s="347"/>
      <c r="BN503" s="347"/>
      <c r="BO503" s="586"/>
      <c r="BP503" s="584"/>
      <c r="BQ503" s="347"/>
      <c r="BR503" s="586"/>
      <c r="BS503" s="588"/>
      <c r="BT503" s="586"/>
      <c r="BU503" s="589"/>
      <c r="BV503" s="581">
        <f t="shared" si="44"/>
        <v>0</v>
      </c>
      <c r="BW503" s="590"/>
      <c r="BX503" s="347"/>
      <c r="BY503" s="347"/>
      <c r="BZ503" s="347"/>
      <c r="CA503" s="586"/>
      <c r="CB503" s="581"/>
      <c r="CC503" s="581">
        <f t="shared" si="193"/>
        <v>0</v>
      </c>
      <c r="CD503" s="581"/>
      <c r="CE503" s="581"/>
      <c r="CF503" s="581"/>
      <c r="CG503" s="586"/>
      <c r="CH503" s="608"/>
      <c r="CI503" s="603"/>
      <c r="CJ503" s="347"/>
      <c r="CK503" s="347"/>
      <c r="CL503" s="347"/>
      <c r="CM503" s="347"/>
      <c r="CN503" s="347"/>
      <c r="CO503" s="347"/>
      <c r="CP503" s="347"/>
    </row>
    <row r="504">
      <c r="A504" s="574"/>
      <c r="B504" s="574"/>
      <c r="C504" s="347"/>
      <c r="D504" s="574"/>
      <c r="E504" s="347"/>
      <c r="F504" s="596"/>
      <c r="G504" s="596"/>
      <c r="H504" s="347"/>
      <c r="I504" s="347"/>
      <c r="J504" s="596"/>
      <c r="K504" s="609"/>
      <c r="L504" s="1"/>
      <c r="M504" s="347"/>
      <c r="N504" s="347"/>
      <c r="O504" s="579"/>
      <c r="P504" s="579"/>
      <c r="Q504" s="574"/>
      <c r="R504" s="347"/>
      <c r="S504" s="597"/>
      <c r="T504" s="347"/>
      <c r="U504" s="579"/>
      <c r="V504" s="579"/>
      <c r="W504" s="574"/>
      <c r="X504" s="347"/>
      <c r="Y504" s="347"/>
      <c r="Z504" s="347"/>
      <c r="AA504" s="579"/>
      <c r="AB504" s="581"/>
      <c r="AC504" s="347"/>
      <c r="AD504" s="347"/>
      <c r="AE504" s="347"/>
      <c r="AF504" s="347"/>
      <c r="AG504" s="579"/>
      <c r="AH504" s="579"/>
      <c r="AI504" s="582"/>
      <c r="AJ504" s="582"/>
      <c r="AK504" s="582"/>
      <c r="AL504" s="582"/>
      <c r="AM504" s="579"/>
      <c r="AN504" s="579"/>
      <c r="AO504" s="347"/>
      <c r="AP504" s="586"/>
      <c r="AQ504" s="596"/>
      <c r="AR504" s="596"/>
      <c r="AS504" s="348"/>
      <c r="AT504" s="348"/>
      <c r="AU504" s="348"/>
      <c r="AV504" s="348"/>
      <c r="AW504" s="348"/>
      <c r="AX504" s="584"/>
      <c r="AY504" s="581"/>
      <c r="AZ504" s="581"/>
      <c r="BA504" s="596"/>
      <c r="BB504" s="596"/>
      <c r="BC504" s="348"/>
      <c r="BD504" s="581"/>
      <c r="BE504" s="581"/>
      <c r="BF504" s="347"/>
      <c r="BG504" s="347"/>
      <c r="BH504" s="347"/>
      <c r="BI504" s="347"/>
      <c r="BJ504" s="586"/>
      <c r="BK504" s="581"/>
      <c r="BL504" s="347"/>
      <c r="BM504" s="347"/>
      <c r="BN504" s="347"/>
      <c r="BO504" s="586"/>
      <c r="BP504" s="584"/>
      <c r="BQ504" s="347"/>
      <c r="BR504" s="586"/>
      <c r="BS504" s="588"/>
      <c r="BT504" s="586"/>
      <c r="BU504" s="589"/>
      <c r="BV504" s="581">
        <f t="shared" si="44"/>
        <v>0</v>
      </c>
      <c r="BW504" s="590"/>
      <c r="BX504" s="347"/>
      <c r="BY504" s="347"/>
      <c r="BZ504" s="347"/>
      <c r="CA504" s="586"/>
      <c r="CB504" s="581"/>
      <c r="CC504" s="581">
        <f t="shared" si="193"/>
        <v>0</v>
      </c>
      <c r="CD504" s="581"/>
      <c r="CE504" s="581"/>
      <c r="CF504" s="581"/>
      <c r="CG504" s="586"/>
      <c r="CH504" s="608"/>
      <c r="CI504" s="603"/>
      <c r="CJ504" s="347"/>
      <c r="CK504" s="347"/>
      <c r="CL504" s="347"/>
      <c r="CM504" s="347"/>
      <c r="CN504" s="347"/>
      <c r="CO504" s="347"/>
      <c r="CP504" s="347"/>
    </row>
    <row r="505">
      <c r="A505" s="574"/>
      <c r="B505" s="574"/>
      <c r="C505" s="347"/>
      <c r="D505" s="574"/>
      <c r="E505" s="347"/>
      <c r="F505" s="596"/>
      <c r="G505" s="596"/>
      <c r="H505" s="347"/>
      <c r="I505" s="347"/>
      <c r="J505" s="596"/>
      <c r="K505" s="609"/>
      <c r="L505" s="1"/>
      <c r="M505" s="347"/>
      <c r="N505" s="347"/>
      <c r="O505" s="579"/>
      <c r="P505" s="579"/>
      <c r="Q505" s="574"/>
      <c r="R505" s="347"/>
      <c r="S505" s="597"/>
      <c r="T505" s="347"/>
      <c r="U505" s="579"/>
      <c r="V505" s="579"/>
      <c r="W505" s="574"/>
      <c r="X505" s="347"/>
      <c r="Y505" s="347"/>
      <c r="Z505" s="347"/>
      <c r="AA505" s="579"/>
      <c r="AB505" s="581"/>
      <c r="AC505" s="347"/>
      <c r="AD505" s="347"/>
      <c r="AE505" s="347"/>
      <c r="AF505" s="347"/>
      <c r="AG505" s="579"/>
      <c r="AH505" s="579"/>
      <c r="AI505" s="582"/>
      <c r="AJ505" s="582"/>
      <c r="AK505" s="582"/>
      <c r="AL505" s="582"/>
      <c r="AM505" s="579"/>
      <c r="AN505" s="579"/>
      <c r="AO505" s="347"/>
      <c r="AP505" s="586"/>
      <c r="AQ505" s="596"/>
      <c r="AR505" s="596"/>
      <c r="AS505" s="348"/>
      <c r="AT505" s="348"/>
      <c r="AU505" s="348"/>
      <c r="AV505" s="348"/>
      <c r="AW505" s="348"/>
      <c r="AX505" s="584"/>
      <c r="AY505" s="581"/>
      <c r="AZ505" s="581"/>
      <c r="BA505" s="596"/>
      <c r="BB505" s="596"/>
      <c r="BC505" s="348"/>
      <c r="BD505" s="581"/>
      <c r="BE505" s="581"/>
      <c r="BF505" s="347"/>
      <c r="BG505" s="347"/>
      <c r="BH505" s="347"/>
      <c r="BI505" s="347"/>
      <c r="BJ505" s="586"/>
      <c r="BK505" s="581"/>
      <c r="BL505" s="347"/>
      <c r="BM505" s="347"/>
      <c r="BN505" s="347"/>
      <c r="BO505" s="586"/>
      <c r="BP505" s="584"/>
      <c r="BQ505" s="347"/>
      <c r="BR505" s="586"/>
      <c r="BS505" s="588"/>
      <c r="BT505" s="586"/>
      <c r="BU505" s="589"/>
      <c r="BV505" s="581">
        <f t="shared" si="44"/>
        <v>0</v>
      </c>
      <c r="BW505" s="590"/>
      <c r="BX505" s="347"/>
      <c r="BY505" s="347"/>
      <c r="BZ505" s="347"/>
      <c r="CA505" s="586"/>
      <c r="CB505" s="581"/>
      <c r="CC505" s="581">
        <f t="shared" si="193"/>
        <v>0</v>
      </c>
      <c r="CD505" s="581"/>
      <c r="CE505" s="581"/>
      <c r="CF505" s="581"/>
      <c r="CG505" s="586"/>
      <c r="CH505" s="608"/>
      <c r="CI505" s="603"/>
      <c r="CJ505" s="347"/>
      <c r="CK505" s="347"/>
      <c r="CL505" s="347"/>
      <c r="CM505" s="347"/>
      <c r="CN505" s="347"/>
      <c r="CO505" s="347"/>
      <c r="CP505" s="347"/>
    </row>
    <row r="506">
      <c r="A506" s="574"/>
      <c r="B506" s="574"/>
      <c r="C506" s="347"/>
      <c r="D506" s="574"/>
      <c r="E506" s="347"/>
      <c r="F506" s="596"/>
      <c r="G506" s="596"/>
      <c r="H506" s="347"/>
      <c r="I506" s="347"/>
      <c r="J506" s="596"/>
      <c r="K506" s="609"/>
      <c r="L506" s="1"/>
      <c r="M506" s="347"/>
      <c r="N506" s="347"/>
      <c r="O506" s="579"/>
      <c r="P506" s="579"/>
      <c r="Q506" s="574"/>
      <c r="R506" s="347"/>
      <c r="S506" s="597"/>
      <c r="T506" s="347"/>
      <c r="U506" s="579"/>
      <c r="V506" s="579"/>
      <c r="W506" s="574"/>
      <c r="X506" s="347"/>
      <c r="Y506" s="347"/>
      <c r="Z506" s="347"/>
      <c r="AA506" s="579"/>
      <c r="AB506" s="581"/>
      <c r="AC506" s="347"/>
      <c r="AD506" s="347"/>
      <c r="AE506" s="347"/>
      <c r="AF506" s="347"/>
      <c r="AG506" s="579"/>
      <c r="AH506" s="579"/>
      <c r="AI506" s="582"/>
      <c r="AJ506" s="582"/>
      <c r="AK506" s="582"/>
      <c r="AL506" s="582"/>
      <c r="AM506" s="579"/>
      <c r="AN506" s="579"/>
      <c r="AO506" s="347"/>
      <c r="AP506" s="586"/>
      <c r="AQ506" s="596"/>
      <c r="AR506" s="596"/>
      <c r="AS506" s="348"/>
      <c r="AT506" s="348"/>
      <c r="AU506" s="348"/>
      <c r="AV506" s="348"/>
      <c r="AW506" s="348"/>
      <c r="AX506" s="584"/>
      <c r="AY506" s="581"/>
      <c r="AZ506" s="581"/>
      <c r="BA506" s="596"/>
      <c r="BB506" s="596"/>
      <c r="BC506" s="348"/>
      <c r="BD506" s="581"/>
      <c r="BE506" s="581"/>
      <c r="BF506" s="347"/>
      <c r="BG506" s="347"/>
      <c r="BH506" s="347"/>
      <c r="BI506" s="347"/>
      <c r="BJ506" s="586"/>
      <c r="BK506" s="581"/>
      <c r="BL506" s="347"/>
      <c r="BM506" s="347"/>
      <c r="BN506" s="347"/>
      <c r="BO506" s="586"/>
      <c r="BP506" s="584"/>
      <c r="BQ506" s="347"/>
      <c r="BR506" s="586"/>
      <c r="BS506" s="588"/>
      <c r="BT506" s="586"/>
      <c r="BU506" s="589"/>
      <c r="BV506" s="581">
        <f t="shared" si="44"/>
        <v>0</v>
      </c>
      <c r="BW506" s="590"/>
      <c r="BX506" s="347"/>
      <c r="BY506" s="347"/>
      <c r="BZ506" s="347"/>
      <c r="CA506" s="586"/>
      <c r="CB506" s="581"/>
      <c r="CC506" s="581">
        <f t="shared" si="193"/>
        <v>0</v>
      </c>
      <c r="CD506" s="581"/>
      <c r="CE506" s="581"/>
      <c r="CF506" s="581"/>
      <c r="CG506" s="586"/>
      <c r="CH506" s="608"/>
      <c r="CI506" s="603"/>
      <c r="CJ506" s="347"/>
      <c r="CK506" s="347"/>
      <c r="CL506" s="347"/>
      <c r="CM506" s="347"/>
      <c r="CN506" s="347"/>
      <c r="CO506" s="347"/>
      <c r="CP506" s="347"/>
    </row>
    <row r="507">
      <c r="A507" s="574"/>
      <c r="B507" s="574"/>
      <c r="C507" s="347"/>
      <c r="D507" s="574"/>
      <c r="E507" s="347"/>
      <c r="F507" s="596"/>
      <c r="G507" s="596"/>
      <c r="H507" s="347"/>
      <c r="I507" s="347"/>
      <c r="J507" s="596"/>
      <c r="K507" s="609"/>
      <c r="L507" s="1"/>
      <c r="M507" s="347"/>
      <c r="N507" s="347"/>
      <c r="O507" s="579"/>
      <c r="P507" s="579"/>
      <c r="Q507" s="574"/>
      <c r="R507" s="347"/>
      <c r="S507" s="597"/>
      <c r="T507" s="347"/>
      <c r="U507" s="579"/>
      <c r="V507" s="579"/>
      <c r="W507" s="574"/>
      <c r="X507" s="347"/>
      <c r="Y507" s="347"/>
      <c r="Z507" s="347"/>
      <c r="AA507" s="579"/>
      <c r="AB507" s="581"/>
      <c r="AC507" s="347"/>
      <c r="AD507" s="347"/>
      <c r="AE507" s="347"/>
      <c r="AF507" s="347"/>
      <c r="AG507" s="579"/>
      <c r="AH507" s="579"/>
      <c r="AI507" s="582"/>
      <c r="AJ507" s="582"/>
      <c r="AK507" s="582"/>
      <c r="AL507" s="582"/>
      <c r="AM507" s="579"/>
      <c r="AN507" s="579"/>
      <c r="AO507" s="347"/>
      <c r="AP507" s="586"/>
      <c r="AQ507" s="596"/>
      <c r="AR507" s="596"/>
      <c r="AS507" s="348"/>
      <c r="AT507" s="348"/>
      <c r="AU507" s="348"/>
      <c r="AV507" s="348"/>
      <c r="AW507" s="348"/>
      <c r="AX507" s="584"/>
      <c r="AY507" s="581"/>
      <c r="AZ507" s="581"/>
      <c r="BA507" s="596"/>
      <c r="BB507" s="596"/>
      <c r="BC507" s="348"/>
      <c r="BD507" s="581"/>
      <c r="BE507" s="581"/>
      <c r="BF507" s="347"/>
      <c r="BG507" s="347"/>
      <c r="BH507" s="347"/>
      <c r="BI507" s="347"/>
      <c r="BJ507" s="586"/>
      <c r="BK507" s="581"/>
      <c r="BL507" s="347"/>
      <c r="BM507" s="347"/>
      <c r="BN507" s="347"/>
      <c r="BO507" s="586"/>
      <c r="BP507" s="584"/>
      <c r="BQ507" s="347"/>
      <c r="BR507" s="586"/>
      <c r="BS507" s="588"/>
      <c r="BT507" s="586"/>
      <c r="BU507" s="589"/>
      <c r="BV507" s="581">
        <f t="shared" si="44"/>
        <v>0</v>
      </c>
      <c r="BW507" s="590"/>
      <c r="BX507" s="347"/>
      <c r="BY507" s="347"/>
      <c r="BZ507" s="347"/>
      <c r="CA507" s="586"/>
      <c r="CB507" s="581"/>
      <c r="CC507" s="581">
        <f t="shared" si="193"/>
        <v>0</v>
      </c>
      <c r="CD507" s="581"/>
      <c r="CE507" s="581"/>
      <c r="CF507" s="581"/>
      <c r="CG507" s="586"/>
      <c r="CH507" s="608"/>
      <c r="CI507" s="603"/>
      <c r="CJ507" s="347"/>
      <c r="CK507" s="347"/>
      <c r="CL507" s="347"/>
      <c r="CM507" s="347"/>
      <c r="CN507" s="347"/>
      <c r="CO507" s="347"/>
      <c r="CP507" s="347"/>
    </row>
    <row r="508">
      <c r="A508" s="574"/>
      <c r="B508" s="574"/>
      <c r="C508" s="347"/>
      <c r="D508" s="574"/>
      <c r="E508" s="347"/>
      <c r="F508" s="596"/>
      <c r="G508" s="596"/>
      <c r="H508" s="347"/>
      <c r="I508" s="347"/>
      <c r="J508" s="596"/>
      <c r="K508" s="609"/>
      <c r="L508" s="1"/>
      <c r="M508" s="347"/>
      <c r="N508" s="347"/>
      <c r="O508" s="579"/>
      <c r="P508" s="579"/>
      <c r="Q508" s="574"/>
      <c r="R508" s="347"/>
      <c r="S508" s="597"/>
      <c r="T508" s="347"/>
      <c r="U508" s="579"/>
      <c r="V508" s="579"/>
      <c r="W508" s="574"/>
      <c r="X508" s="347"/>
      <c r="Y508" s="347"/>
      <c r="Z508" s="347"/>
      <c r="AA508" s="579"/>
      <c r="AB508" s="581"/>
      <c r="AC508" s="347"/>
      <c r="AD508" s="347"/>
      <c r="AE508" s="347"/>
      <c r="AF508" s="347"/>
      <c r="AG508" s="579"/>
      <c r="AH508" s="579"/>
      <c r="AI508" s="582"/>
      <c r="AJ508" s="582"/>
      <c r="AK508" s="582"/>
      <c r="AL508" s="582"/>
      <c r="AM508" s="579"/>
      <c r="AN508" s="579"/>
      <c r="AO508" s="347"/>
      <c r="AP508" s="586"/>
      <c r="AQ508" s="596"/>
      <c r="AR508" s="596"/>
      <c r="AS508" s="348"/>
      <c r="AT508" s="348"/>
      <c r="AU508" s="348"/>
      <c r="AV508" s="348"/>
      <c r="AW508" s="348"/>
      <c r="AX508" s="584"/>
      <c r="AY508" s="581"/>
      <c r="AZ508" s="581"/>
      <c r="BA508" s="596"/>
      <c r="BB508" s="596"/>
      <c r="BC508" s="348"/>
      <c r="BD508" s="581"/>
      <c r="BE508" s="581"/>
      <c r="BF508" s="347"/>
      <c r="BG508" s="347"/>
      <c r="BH508" s="347"/>
      <c r="BI508" s="347"/>
      <c r="BJ508" s="586"/>
      <c r="BK508" s="581"/>
      <c r="BL508" s="347"/>
      <c r="BM508" s="347"/>
      <c r="BN508" s="347"/>
      <c r="BO508" s="586"/>
      <c r="BP508" s="584"/>
      <c r="BQ508" s="347"/>
      <c r="BR508" s="586"/>
      <c r="BS508" s="588"/>
      <c r="BT508" s="586"/>
      <c r="BU508" s="589"/>
      <c r="BV508" s="581">
        <f t="shared" si="44"/>
        <v>0</v>
      </c>
      <c r="BW508" s="590"/>
      <c r="BX508" s="347"/>
      <c r="BY508" s="347"/>
      <c r="BZ508" s="347"/>
      <c r="CA508" s="586"/>
      <c r="CB508" s="581"/>
      <c r="CC508" s="581">
        <f t="shared" si="193"/>
        <v>0</v>
      </c>
      <c r="CD508" s="581"/>
      <c r="CE508" s="581"/>
      <c r="CF508" s="581"/>
      <c r="CG508" s="586"/>
      <c r="CH508" s="608"/>
      <c r="CI508" s="603"/>
      <c r="CJ508" s="347"/>
      <c r="CK508" s="347"/>
      <c r="CL508" s="347"/>
      <c r="CM508" s="347"/>
      <c r="CN508" s="347"/>
      <c r="CO508" s="347"/>
      <c r="CP508" s="347"/>
    </row>
    <row r="509">
      <c r="A509" s="574"/>
      <c r="B509" s="574"/>
      <c r="C509" s="347"/>
      <c r="D509" s="574"/>
      <c r="E509" s="347"/>
      <c r="F509" s="596"/>
      <c r="G509" s="596"/>
      <c r="H509" s="347"/>
      <c r="I509" s="347"/>
      <c r="J509" s="596"/>
      <c r="K509" s="609"/>
      <c r="L509" s="1"/>
      <c r="M509" s="347"/>
      <c r="N509" s="347"/>
      <c r="O509" s="579"/>
      <c r="P509" s="579"/>
      <c r="Q509" s="574"/>
      <c r="R509" s="347"/>
      <c r="S509" s="597"/>
      <c r="T509" s="347"/>
      <c r="U509" s="579"/>
      <c r="V509" s="579"/>
      <c r="W509" s="574"/>
      <c r="X509" s="347"/>
      <c r="Y509" s="347"/>
      <c r="Z509" s="347"/>
      <c r="AA509" s="579"/>
      <c r="AB509" s="581"/>
      <c r="AC509" s="347"/>
      <c r="AD509" s="347"/>
      <c r="AE509" s="347"/>
      <c r="AF509" s="347"/>
      <c r="AG509" s="579"/>
      <c r="AH509" s="579"/>
      <c r="AI509" s="582"/>
      <c r="AJ509" s="582"/>
      <c r="AK509" s="582"/>
      <c r="AL509" s="582"/>
      <c r="AM509" s="579"/>
      <c r="AN509" s="579"/>
      <c r="AO509" s="347"/>
      <c r="AP509" s="586"/>
      <c r="AQ509" s="596"/>
      <c r="AR509" s="596"/>
      <c r="AS509" s="348"/>
      <c r="AT509" s="348"/>
      <c r="AU509" s="348"/>
      <c r="AV509" s="348"/>
      <c r="AW509" s="348"/>
      <c r="AX509" s="584"/>
      <c r="AY509" s="581"/>
      <c r="AZ509" s="581"/>
      <c r="BA509" s="596"/>
      <c r="BB509" s="596"/>
      <c r="BC509" s="348"/>
      <c r="BD509" s="581"/>
      <c r="BE509" s="581"/>
      <c r="BF509" s="347"/>
      <c r="BG509" s="347"/>
      <c r="BH509" s="347"/>
      <c r="BI509" s="347"/>
      <c r="BJ509" s="586"/>
      <c r="BK509" s="581"/>
      <c r="BL509" s="347"/>
      <c r="BM509" s="347"/>
      <c r="BN509" s="347"/>
      <c r="BO509" s="586"/>
      <c r="BP509" s="584"/>
      <c r="BQ509" s="347"/>
      <c r="BR509" s="586"/>
      <c r="BS509" s="588"/>
      <c r="BT509" s="586"/>
      <c r="BU509" s="589"/>
      <c r="BV509" s="581">
        <f t="shared" si="44"/>
        <v>0</v>
      </c>
      <c r="BW509" s="590"/>
      <c r="BX509" s="347"/>
      <c r="BY509" s="347"/>
      <c r="BZ509" s="347"/>
      <c r="CA509" s="586"/>
      <c r="CB509" s="581"/>
      <c r="CC509" s="581">
        <f t="shared" si="193"/>
        <v>0</v>
      </c>
      <c r="CD509" s="581"/>
      <c r="CE509" s="581"/>
      <c r="CF509" s="581"/>
      <c r="CG509" s="586"/>
      <c r="CH509" s="608"/>
      <c r="CI509" s="603"/>
      <c r="CJ509" s="347"/>
      <c r="CK509" s="347"/>
      <c r="CL509" s="347"/>
      <c r="CM509" s="347"/>
      <c r="CN509" s="347"/>
      <c r="CO509" s="347"/>
      <c r="CP509" s="347"/>
    </row>
    <row r="510">
      <c r="A510" s="574"/>
      <c r="B510" s="574"/>
      <c r="C510" s="347"/>
      <c r="D510" s="574"/>
      <c r="E510" s="347"/>
      <c r="F510" s="596"/>
      <c r="G510" s="596"/>
      <c r="H510" s="347"/>
      <c r="I510" s="347"/>
      <c r="J510" s="596"/>
      <c r="K510" s="609"/>
      <c r="L510" s="1"/>
      <c r="M510" s="347"/>
      <c r="N510" s="347"/>
      <c r="O510" s="579"/>
      <c r="P510" s="579"/>
      <c r="Q510" s="574"/>
      <c r="R510" s="347"/>
      <c r="S510" s="597"/>
      <c r="T510" s="347"/>
      <c r="U510" s="579"/>
      <c r="V510" s="579"/>
      <c r="W510" s="574"/>
      <c r="X510" s="347"/>
      <c r="Y510" s="347"/>
      <c r="Z510" s="347"/>
      <c r="AA510" s="579"/>
      <c r="AB510" s="581"/>
      <c r="AC510" s="347"/>
      <c r="AD510" s="347"/>
      <c r="AE510" s="347"/>
      <c r="AF510" s="347"/>
      <c r="AG510" s="579"/>
      <c r="AH510" s="579"/>
      <c r="AI510" s="582"/>
      <c r="AJ510" s="582"/>
      <c r="AK510" s="582"/>
      <c r="AL510" s="582"/>
      <c r="AM510" s="579"/>
      <c r="AN510" s="579"/>
      <c r="AO510" s="347"/>
      <c r="AP510" s="586"/>
      <c r="AQ510" s="596"/>
      <c r="AR510" s="596"/>
      <c r="AS510" s="348"/>
      <c r="AT510" s="348"/>
      <c r="AU510" s="348"/>
      <c r="AV510" s="348"/>
      <c r="AW510" s="348"/>
      <c r="AX510" s="584"/>
      <c r="AY510" s="581"/>
      <c r="AZ510" s="581"/>
      <c r="BA510" s="596"/>
      <c r="BB510" s="596"/>
      <c r="BC510" s="348"/>
      <c r="BD510" s="581"/>
      <c r="BE510" s="581"/>
      <c r="BF510" s="347"/>
      <c r="BG510" s="347"/>
      <c r="BH510" s="347"/>
      <c r="BI510" s="347"/>
      <c r="BJ510" s="586"/>
      <c r="BK510" s="581"/>
      <c r="BL510" s="347"/>
      <c r="BM510" s="347"/>
      <c r="BN510" s="347"/>
      <c r="BO510" s="586"/>
      <c r="BP510" s="584"/>
      <c r="BQ510" s="347"/>
      <c r="BR510" s="586"/>
      <c r="BS510" s="588"/>
      <c r="BT510" s="586"/>
      <c r="BU510" s="589"/>
      <c r="BV510" s="581">
        <f t="shared" si="44"/>
        <v>0</v>
      </c>
      <c r="BW510" s="590"/>
      <c r="BX510" s="347"/>
      <c r="BY510" s="347"/>
      <c r="BZ510" s="347"/>
      <c r="CA510" s="586"/>
      <c r="CB510" s="581"/>
      <c r="CC510" s="581">
        <f t="shared" si="193"/>
        <v>0</v>
      </c>
      <c r="CD510" s="581"/>
      <c r="CE510" s="581"/>
      <c r="CF510" s="581"/>
      <c r="CG510" s="586"/>
      <c r="CH510" s="608"/>
      <c r="CI510" s="603"/>
      <c r="CJ510" s="347"/>
      <c r="CK510" s="347"/>
      <c r="CL510" s="347"/>
      <c r="CM510" s="347"/>
      <c r="CN510" s="347"/>
      <c r="CO510" s="347"/>
      <c r="CP510" s="347"/>
    </row>
    <row r="511">
      <c r="A511" s="574"/>
      <c r="B511" s="574"/>
      <c r="C511" s="347"/>
      <c r="D511" s="574"/>
      <c r="E511" s="347"/>
      <c r="F511" s="596"/>
      <c r="G511" s="596"/>
      <c r="H511" s="347"/>
      <c r="I511" s="347"/>
      <c r="J511" s="596"/>
      <c r="K511" s="609"/>
      <c r="L511" s="1"/>
      <c r="M511" s="347"/>
      <c r="N511" s="347"/>
      <c r="O511" s="579"/>
      <c r="P511" s="579"/>
      <c r="Q511" s="574"/>
      <c r="R511" s="347"/>
      <c r="S511" s="597"/>
      <c r="T511" s="347"/>
      <c r="U511" s="579"/>
      <c r="V511" s="579"/>
      <c r="W511" s="574"/>
      <c r="X511" s="347"/>
      <c r="Y511" s="347"/>
      <c r="Z511" s="347"/>
      <c r="AA511" s="579"/>
      <c r="AB511" s="581"/>
      <c r="AC511" s="347"/>
      <c r="AD511" s="347"/>
      <c r="AE511" s="347"/>
      <c r="AF511" s="347"/>
      <c r="AG511" s="579"/>
      <c r="AH511" s="579"/>
      <c r="AI511" s="582"/>
      <c r="AJ511" s="582"/>
      <c r="AK511" s="582"/>
      <c r="AL511" s="582"/>
      <c r="AM511" s="579"/>
      <c r="AN511" s="579"/>
      <c r="AO511" s="347"/>
      <c r="AP511" s="586"/>
      <c r="AQ511" s="596"/>
      <c r="AR511" s="596"/>
      <c r="AS511" s="348"/>
      <c r="AT511" s="348"/>
      <c r="AU511" s="348"/>
      <c r="AV511" s="348"/>
      <c r="AW511" s="348"/>
      <c r="AX511" s="584"/>
      <c r="AY511" s="581"/>
      <c r="AZ511" s="581"/>
      <c r="BA511" s="596"/>
      <c r="BB511" s="596"/>
      <c r="BC511" s="348"/>
      <c r="BD511" s="581"/>
      <c r="BE511" s="581"/>
      <c r="BF511" s="347"/>
      <c r="BG511" s="347"/>
      <c r="BH511" s="347"/>
      <c r="BI511" s="347"/>
      <c r="BJ511" s="586"/>
      <c r="BK511" s="581"/>
      <c r="BL511" s="347"/>
      <c r="BM511" s="347"/>
      <c r="BN511" s="347"/>
      <c r="BO511" s="586"/>
      <c r="BP511" s="584"/>
      <c r="BQ511" s="347"/>
      <c r="BR511" s="586"/>
      <c r="BS511" s="588"/>
      <c r="BT511" s="586"/>
      <c r="BU511" s="589"/>
      <c r="BV511" s="581">
        <f t="shared" si="44"/>
        <v>0</v>
      </c>
      <c r="BW511" s="590"/>
      <c r="BX511" s="347"/>
      <c r="BY511" s="347"/>
      <c r="BZ511" s="347"/>
      <c r="CA511" s="586"/>
      <c r="CB511" s="581"/>
      <c r="CC511" s="581">
        <f t="shared" si="193"/>
        <v>0</v>
      </c>
      <c r="CD511" s="581"/>
      <c r="CE511" s="581"/>
      <c r="CF511" s="581"/>
      <c r="CG511" s="586"/>
      <c r="CH511" s="608"/>
      <c r="CI511" s="603"/>
      <c r="CJ511" s="347"/>
      <c r="CK511" s="347"/>
      <c r="CL511" s="347"/>
      <c r="CM511" s="347"/>
      <c r="CN511" s="347"/>
      <c r="CO511" s="347"/>
      <c r="CP511" s="347"/>
    </row>
    <row r="512">
      <c r="A512" s="574"/>
      <c r="B512" s="574"/>
      <c r="C512" s="347"/>
      <c r="D512" s="574"/>
      <c r="E512" s="347"/>
      <c r="F512" s="596"/>
      <c r="G512" s="596"/>
      <c r="H512" s="347"/>
      <c r="I512" s="347"/>
      <c r="J512" s="596"/>
      <c r="K512" s="609"/>
      <c r="L512" s="1"/>
      <c r="M512" s="347"/>
      <c r="N512" s="347"/>
      <c r="O512" s="579"/>
      <c r="P512" s="579"/>
      <c r="Q512" s="574"/>
      <c r="R512" s="347"/>
      <c r="S512" s="597"/>
      <c r="T512" s="347"/>
      <c r="U512" s="579"/>
      <c r="V512" s="579"/>
      <c r="W512" s="574"/>
      <c r="X512" s="347"/>
      <c r="Y512" s="347"/>
      <c r="Z512" s="347"/>
      <c r="AA512" s="579"/>
      <c r="AB512" s="581"/>
      <c r="AC512" s="347"/>
      <c r="AD512" s="347"/>
      <c r="AE512" s="347"/>
      <c r="AF512" s="347"/>
      <c r="AG512" s="579"/>
      <c r="AH512" s="579"/>
      <c r="AI512" s="582"/>
      <c r="AJ512" s="582"/>
      <c r="AK512" s="582"/>
      <c r="AL512" s="582"/>
      <c r="AM512" s="579"/>
      <c r="AN512" s="579"/>
      <c r="AO512" s="347"/>
      <c r="AP512" s="586"/>
      <c r="AQ512" s="596"/>
      <c r="AR512" s="596"/>
      <c r="AS512" s="348"/>
      <c r="AT512" s="348"/>
      <c r="AU512" s="348"/>
      <c r="AV512" s="348"/>
      <c r="AW512" s="348"/>
      <c r="AX512" s="584"/>
      <c r="AY512" s="581"/>
      <c r="AZ512" s="581"/>
      <c r="BA512" s="596"/>
      <c r="BB512" s="596"/>
      <c r="BC512" s="348"/>
      <c r="BD512" s="581"/>
      <c r="BE512" s="581"/>
      <c r="BF512" s="347"/>
      <c r="BG512" s="347"/>
      <c r="BH512" s="347"/>
      <c r="BI512" s="347"/>
      <c r="BJ512" s="586"/>
      <c r="BK512" s="581"/>
      <c r="BL512" s="347"/>
      <c r="BM512" s="347"/>
      <c r="BN512" s="347"/>
      <c r="BO512" s="586"/>
      <c r="BP512" s="584"/>
      <c r="BQ512" s="347"/>
      <c r="BR512" s="586"/>
      <c r="BS512" s="588"/>
      <c r="BT512" s="586"/>
      <c r="BU512" s="589"/>
      <c r="BV512" s="581">
        <f t="shared" si="44"/>
        <v>0</v>
      </c>
      <c r="BW512" s="590"/>
      <c r="BX512" s="347"/>
      <c r="BY512" s="347"/>
      <c r="BZ512" s="347"/>
      <c r="CA512" s="586"/>
      <c r="CB512" s="581"/>
      <c r="CC512" s="581">
        <f t="shared" si="193"/>
        <v>0</v>
      </c>
      <c r="CD512" s="581"/>
      <c r="CE512" s="581"/>
      <c r="CF512" s="581"/>
      <c r="CG512" s="586"/>
      <c r="CH512" s="608"/>
      <c r="CI512" s="603"/>
      <c r="CJ512" s="347"/>
      <c r="CK512" s="347"/>
      <c r="CL512" s="347"/>
      <c r="CM512" s="347"/>
      <c r="CN512" s="347"/>
      <c r="CO512" s="347"/>
      <c r="CP512" s="347"/>
    </row>
    <row r="513">
      <c r="A513" s="574"/>
      <c r="B513" s="574"/>
      <c r="C513" s="347"/>
      <c r="D513" s="574"/>
      <c r="E513" s="347"/>
      <c r="F513" s="596"/>
      <c r="G513" s="596"/>
      <c r="H513" s="347"/>
      <c r="I513" s="347"/>
      <c r="J513" s="596"/>
      <c r="K513" s="609"/>
      <c r="L513" s="1"/>
      <c r="M513" s="347"/>
      <c r="N513" s="347"/>
      <c r="O513" s="579"/>
      <c r="P513" s="579"/>
      <c r="Q513" s="574"/>
      <c r="R513" s="347"/>
      <c r="S513" s="597"/>
      <c r="T513" s="347"/>
      <c r="U513" s="579"/>
      <c r="V513" s="579"/>
      <c r="W513" s="574"/>
      <c r="X513" s="347"/>
      <c r="Y513" s="347"/>
      <c r="Z513" s="347"/>
      <c r="AA513" s="579"/>
      <c r="AB513" s="581"/>
      <c r="AC513" s="347"/>
      <c r="AD513" s="347"/>
      <c r="AE513" s="347"/>
      <c r="AF513" s="347"/>
      <c r="AG513" s="579"/>
      <c r="AH513" s="579"/>
      <c r="AI513" s="582"/>
      <c r="AJ513" s="582"/>
      <c r="AK513" s="582"/>
      <c r="AL513" s="582"/>
      <c r="AM513" s="579"/>
      <c r="AN513" s="579"/>
      <c r="AO513" s="347"/>
      <c r="AP513" s="586"/>
      <c r="AQ513" s="596"/>
      <c r="AR513" s="596"/>
      <c r="AS513" s="348"/>
      <c r="AT513" s="348"/>
      <c r="AU513" s="348"/>
      <c r="AV513" s="348"/>
      <c r="AW513" s="348"/>
      <c r="AX513" s="584"/>
      <c r="AY513" s="581"/>
      <c r="AZ513" s="581"/>
      <c r="BA513" s="596"/>
      <c r="BB513" s="596"/>
      <c r="BC513" s="348"/>
      <c r="BD513" s="581"/>
      <c r="BE513" s="581"/>
      <c r="BF513" s="347"/>
      <c r="BG513" s="347"/>
      <c r="BH513" s="347"/>
      <c r="BI513" s="347"/>
      <c r="BJ513" s="586"/>
      <c r="BK513" s="581"/>
      <c r="BL513" s="347"/>
      <c r="BM513" s="347"/>
      <c r="BN513" s="347"/>
      <c r="BO513" s="586"/>
      <c r="BP513" s="584"/>
      <c r="BQ513" s="347"/>
      <c r="BR513" s="586"/>
      <c r="BS513" s="588"/>
      <c r="BT513" s="586"/>
      <c r="BU513" s="589"/>
      <c r="BV513" s="581">
        <f t="shared" si="44"/>
        <v>0</v>
      </c>
      <c r="BW513" s="590"/>
      <c r="BX513" s="347"/>
      <c r="BY513" s="347"/>
      <c r="BZ513" s="347"/>
      <c r="CA513" s="586"/>
      <c r="CB513" s="581"/>
      <c r="CC513" s="581">
        <f t="shared" si="193"/>
        <v>0</v>
      </c>
      <c r="CD513" s="581"/>
      <c r="CE513" s="581"/>
      <c r="CF513" s="581"/>
      <c r="CG513" s="586"/>
      <c r="CH513" s="608"/>
      <c r="CI513" s="603"/>
      <c r="CJ513" s="347"/>
      <c r="CK513" s="347"/>
      <c r="CL513" s="347"/>
      <c r="CM513" s="347"/>
      <c r="CN513" s="347"/>
      <c r="CO513" s="347"/>
      <c r="CP513" s="347"/>
    </row>
    <row r="514">
      <c r="A514" s="574"/>
      <c r="B514" s="574"/>
      <c r="C514" s="347"/>
      <c r="D514" s="574"/>
      <c r="E514" s="347"/>
      <c r="F514" s="596"/>
      <c r="G514" s="596"/>
      <c r="H514" s="347"/>
      <c r="I514" s="347"/>
      <c r="J514" s="596"/>
      <c r="K514" s="609"/>
      <c r="L514" s="1"/>
      <c r="M514" s="347"/>
      <c r="N514" s="347"/>
      <c r="O514" s="579"/>
      <c r="P514" s="579"/>
      <c r="Q514" s="574"/>
      <c r="R514" s="347"/>
      <c r="S514" s="597"/>
      <c r="T514" s="347"/>
      <c r="U514" s="579"/>
      <c r="V514" s="579"/>
      <c r="W514" s="574"/>
      <c r="X514" s="347"/>
      <c r="Y514" s="347"/>
      <c r="Z514" s="347"/>
      <c r="AA514" s="579"/>
      <c r="AB514" s="581"/>
      <c r="AC514" s="347"/>
      <c r="AD514" s="347"/>
      <c r="AE514" s="347"/>
      <c r="AF514" s="347"/>
      <c r="AG514" s="579"/>
      <c r="AH514" s="579"/>
      <c r="AI514" s="582"/>
      <c r="AJ514" s="582"/>
      <c r="AK514" s="582"/>
      <c r="AL514" s="582"/>
      <c r="AM514" s="579"/>
      <c r="AN514" s="579"/>
      <c r="AO514" s="347"/>
      <c r="AP514" s="586"/>
      <c r="AQ514" s="596"/>
      <c r="AR514" s="596"/>
      <c r="AS514" s="348"/>
      <c r="AT514" s="348"/>
      <c r="AU514" s="348"/>
      <c r="AV514" s="348"/>
      <c r="AW514" s="348"/>
      <c r="AX514" s="584"/>
      <c r="AY514" s="581"/>
      <c r="AZ514" s="581"/>
      <c r="BA514" s="596"/>
      <c r="BB514" s="596"/>
      <c r="BC514" s="348"/>
      <c r="BD514" s="581"/>
      <c r="BE514" s="581"/>
      <c r="BF514" s="347"/>
      <c r="BG514" s="347"/>
      <c r="BH514" s="347"/>
      <c r="BI514" s="347"/>
      <c r="BJ514" s="586"/>
      <c r="BK514" s="581"/>
      <c r="BL514" s="347"/>
      <c r="BM514" s="347"/>
      <c r="BN514" s="347"/>
      <c r="BO514" s="586"/>
      <c r="BP514" s="584"/>
      <c r="BQ514" s="347"/>
      <c r="BR514" s="586"/>
      <c r="BS514" s="588"/>
      <c r="BT514" s="586"/>
      <c r="BU514" s="589"/>
      <c r="BV514" s="581">
        <f t="shared" si="44"/>
        <v>0</v>
      </c>
      <c r="BW514" s="590"/>
      <c r="BX514" s="347"/>
      <c r="BY514" s="347"/>
      <c r="BZ514" s="347"/>
      <c r="CA514" s="586"/>
      <c r="CB514" s="581"/>
      <c r="CC514" s="581">
        <f t="shared" si="193"/>
        <v>0</v>
      </c>
      <c r="CD514" s="581"/>
      <c r="CE514" s="581"/>
      <c r="CF514" s="581"/>
      <c r="CG514" s="586"/>
      <c r="CH514" s="608"/>
      <c r="CI514" s="603"/>
      <c r="CJ514" s="347"/>
      <c r="CK514" s="347"/>
      <c r="CL514" s="347"/>
      <c r="CM514" s="347"/>
      <c r="CN514" s="347"/>
      <c r="CO514" s="347"/>
      <c r="CP514" s="347"/>
    </row>
    <row r="515">
      <c r="A515" s="574"/>
      <c r="B515" s="574"/>
      <c r="C515" s="347"/>
      <c r="D515" s="574"/>
      <c r="E515" s="347"/>
      <c r="F515" s="596"/>
      <c r="G515" s="596"/>
      <c r="H515" s="347"/>
      <c r="I515" s="347"/>
      <c r="J515" s="596"/>
      <c r="K515" s="609"/>
      <c r="L515" s="1"/>
      <c r="M515" s="347"/>
      <c r="N515" s="347"/>
      <c r="O515" s="579"/>
      <c r="P515" s="579"/>
      <c r="Q515" s="574"/>
      <c r="R515" s="347"/>
      <c r="S515" s="597"/>
      <c r="T515" s="347"/>
      <c r="U515" s="579"/>
      <c r="V515" s="579"/>
      <c r="W515" s="574"/>
      <c r="X515" s="347"/>
      <c r="Y515" s="347"/>
      <c r="Z515" s="347"/>
      <c r="AA515" s="579"/>
      <c r="AB515" s="581"/>
      <c r="AC515" s="347"/>
      <c r="AD515" s="347"/>
      <c r="AE515" s="347"/>
      <c r="AF515" s="347"/>
      <c r="AG515" s="579"/>
      <c r="AH515" s="579"/>
      <c r="AI515" s="582"/>
      <c r="AJ515" s="582"/>
      <c r="AK515" s="582"/>
      <c r="AL515" s="582"/>
      <c r="AM515" s="579"/>
      <c r="AN515" s="579"/>
      <c r="AO515" s="347"/>
      <c r="AP515" s="586"/>
      <c r="AQ515" s="596"/>
      <c r="AR515" s="596"/>
      <c r="AS515" s="348"/>
      <c r="AT515" s="348"/>
      <c r="AU515" s="348"/>
      <c r="AV515" s="348"/>
      <c r="AW515" s="348"/>
      <c r="AX515" s="584"/>
      <c r="AY515" s="581"/>
      <c r="AZ515" s="581"/>
      <c r="BA515" s="596"/>
      <c r="BB515" s="596"/>
      <c r="BC515" s="348"/>
      <c r="BD515" s="581"/>
      <c r="BE515" s="581"/>
      <c r="BF515" s="347"/>
      <c r="BG515" s="347"/>
      <c r="BH515" s="347"/>
      <c r="BI515" s="347"/>
      <c r="BJ515" s="586"/>
      <c r="BK515" s="581"/>
      <c r="BL515" s="347"/>
      <c r="BM515" s="347"/>
      <c r="BN515" s="347"/>
      <c r="BO515" s="586"/>
      <c r="BP515" s="584"/>
      <c r="BQ515" s="347"/>
      <c r="BR515" s="586"/>
      <c r="BS515" s="588"/>
      <c r="BT515" s="586"/>
      <c r="BU515" s="589"/>
      <c r="BV515" s="581">
        <f t="shared" si="44"/>
        <v>0</v>
      </c>
      <c r="BW515" s="590"/>
      <c r="BX515" s="347"/>
      <c r="BY515" s="347"/>
      <c r="BZ515" s="347"/>
      <c r="CA515" s="586"/>
      <c r="CB515" s="581"/>
      <c r="CC515" s="581">
        <f t="shared" si="193"/>
        <v>0</v>
      </c>
      <c r="CD515" s="581"/>
      <c r="CE515" s="581"/>
      <c r="CF515" s="581"/>
      <c r="CG515" s="586"/>
      <c r="CH515" s="608"/>
      <c r="CI515" s="603"/>
      <c r="CJ515" s="347"/>
      <c r="CK515" s="347"/>
      <c r="CL515" s="347"/>
      <c r="CM515" s="347"/>
      <c r="CN515" s="347"/>
      <c r="CO515" s="347"/>
      <c r="CP515" s="347"/>
    </row>
    <row r="516">
      <c r="A516" s="574"/>
      <c r="B516" s="574"/>
      <c r="C516" s="347"/>
      <c r="D516" s="574"/>
      <c r="E516" s="347"/>
      <c r="F516" s="596"/>
      <c r="G516" s="596"/>
      <c r="H516" s="347"/>
      <c r="I516" s="347"/>
      <c r="J516" s="596"/>
      <c r="K516" s="609"/>
      <c r="L516" s="1"/>
      <c r="M516" s="347"/>
      <c r="N516" s="347"/>
      <c r="O516" s="579"/>
      <c r="P516" s="579"/>
      <c r="Q516" s="574"/>
      <c r="R516" s="347"/>
      <c r="S516" s="597"/>
      <c r="T516" s="347"/>
      <c r="U516" s="579"/>
      <c r="V516" s="579"/>
      <c r="W516" s="574"/>
      <c r="X516" s="347"/>
      <c r="Y516" s="347"/>
      <c r="Z516" s="347"/>
      <c r="AA516" s="579"/>
      <c r="AB516" s="581"/>
      <c r="AC516" s="347"/>
      <c r="AD516" s="347"/>
      <c r="AE516" s="347"/>
      <c r="AF516" s="347"/>
      <c r="AG516" s="579"/>
      <c r="AH516" s="579"/>
      <c r="AI516" s="582"/>
      <c r="AJ516" s="582"/>
      <c r="AK516" s="582"/>
      <c r="AL516" s="582"/>
      <c r="AM516" s="579"/>
      <c r="AN516" s="579"/>
      <c r="AO516" s="347"/>
      <c r="AP516" s="586"/>
      <c r="AQ516" s="596"/>
      <c r="AR516" s="596"/>
      <c r="AS516" s="348"/>
      <c r="AT516" s="348"/>
      <c r="AU516" s="348"/>
      <c r="AV516" s="348"/>
      <c r="AW516" s="348"/>
      <c r="AX516" s="584"/>
      <c r="AY516" s="581"/>
      <c r="AZ516" s="581"/>
      <c r="BA516" s="596"/>
      <c r="BB516" s="596"/>
      <c r="BC516" s="348"/>
      <c r="BD516" s="581"/>
      <c r="BE516" s="581"/>
      <c r="BF516" s="347"/>
      <c r="BG516" s="347"/>
      <c r="BH516" s="347"/>
      <c r="BI516" s="347"/>
      <c r="BJ516" s="586"/>
      <c r="BK516" s="581"/>
      <c r="BL516" s="347"/>
      <c r="BM516" s="347"/>
      <c r="BN516" s="347"/>
      <c r="BO516" s="586"/>
      <c r="BP516" s="584"/>
      <c r="BQ516" s="347"/>
      <c r="BR516" s="586"/>
      <c r="BS516" s="588"/>
      <c r="BT516" s="586"/>
      <c r="BU516" s="589"/>
      <c r="BV516" s="581">
        <f t="shared" si="44"/>
        <v>0</v>
      </c>
      <c r="BW516" s="590"/>
      <c r="BX516" s="347"/>
      <c r="BY516" s="347"/>
      <c r="BZ516" s="347"/>
      <c r="CA516" s="586"/>
      <c r="CB516" s="581"/>
      <c r="CC516" s="581">
        <f t="shared" si="193"/>
        <v>0</v>
      </c>
      <c r="CD516" s="581"/>
      <c r="CE516" s="581"/>
      <c r="CF516" s="581"/>
      <c r="CG516" s="586"/>
      <c r="CH516" s="608"/>
      <c r="CI516" s="603"/>
      <c r="CJ516" s="347"/>
      <c r="CK516" s="347"/>
      <c r="CL516" s="347"/>
      <c r="CM516" s="347"/>
      <c r="CN516" s="347"/>
      <c r="CO516" s="347"/>
      <c r="CP516" s="347"/>
    </row>
    <row r="517">
      <c r="A517" s="574"/>
      <c r="B517" s="574"/>
      <c r="C517" s="347"/>
      <c r="D517" s="574"/>
      <c r="E517" s="347"/>
      <c r="F517" s="596"/>
      <c r="G517" s="596"/>
      <c r="H517" s="347"/>
      <c r="I517" s="347"/>
      <c r="J517" s="596"/>
      <c r="K517" s="609"/>
      <c r="L517" s="1"/>
      <c r="M517" s="347"/>
      <c r="N517" s="347"/>
      <c r="O517" s="579"/>
      <c r="P517" s="579"/>
      <c r="Q517" s="574"/>
      <c r="R517" s="347"/>
      <c r="S517" s="597"/>
      <c r="T517" s="347"/>
      <c r="U517" s="579"/>
      <c r="V517" s="579"/>
      <c r="W517" s="574"/>
      <c r="X517" s="347"/>
      <c r="Y517" s="347"/>
      <c r="Z517" s="347"/>
      <c r="AA517" s="579"/>
      <c r="AB517" s="581"/>
      <c r="AC517" s="347"/>
      <c r="AD517" s="347"/>
      <c r="AE517" s="347"/>
      <c r="AF517" s="347"/>
      <c r="AG517" s="579"/>
      <c r="AH517" s="579"/>
      <c r="AI517" s="582"/>
      <c r="AJ517" s="582"/>
      <c r="AK517" s="582"/>
      <c r="AL517" s="582"/>
      <c r="AM517" s="579"/>
      <c r="AN517" s="579"/>
      <c r="AO517" s="347"/>
      <c r="AP517" s="586"/>
      <c r="AQ517" s="596"/>
      <c r="AR517" s="596"/>
      <c r="AS517" s="348"/>
      <c r="AT517" s="348"/>
      <c r="AU517" s="348"/>
      <c r="AV517" s="348"/>
      <c r="AW517" s="348"/>
      <c r="AX517" s="584"/>
      <c r="AY517" s="581"/>
      <c r="AZ517" s="581"/>
      <c r="BA517" s="596"/>
      <c r="BB517" s="596"/>
      <c r="BC517" s="348"/>
      <c r="BD517" s="581"/>
      <c r="BE517" s="581"/>
      <c r="BF517" s="347"/>
      <c r="BG517" s="347"/>
      <c r="BH517" s="347"/>
      <c r="BI517" s="347"/>
      <c r="BJ517" s="586"/>
      <c r="BK517" s="581"/>
      <c r="BL517" s="347"/>
      <c r="BM517" s="347"/>
      <c r="BN517" s="347"/>
      <c r="BO517" s="586"/>
      <c r="BP517" s="584"/>
      <c r="BQ517" s="347"/>
      <c r="BR517" s="586"/>
      <c r="BS517" s="588"/>
      <c r="BT517" s="586"/>
      <c r="BU517" s="589"/>
      <c r="BV517" s="581">
        <f t="shared" si="44"/>
        <v>0</v>
      </c>
      <c r="BW517" s="590"/>
      <c r="BX517" s="347"/>
      <c r="BY517" s="347"/>
      <c r="BZ517" s="347"/>
      <c r="CA517" s="586"/>
      <c r="CB517" s="581"/>
      <c r="CC517" s="581">
        <f t="shared" si="193"/>
        <v>0</v>
      </c>
      <c r="CD517" s="581"/>
      <c r="CE517" s="581"/>
      <c r="CF517" s="581"/>
      <c r="CG517" s="586"/>
      <c r="CH517" s="608"/>
      <c r="CI517" s="603"/>
      <c r="CJ517" s="347"/>
      <c r="CK517" s="347"/>
      <c r="CL517" s="347"/>
      <c r="CM517" s="347"/>
      <c r="CN517" s="347"/>
      <c r="CO517" s="347"/>
      <c r="CP517" s="347"/>
    </row>
    <row r="518">
      <c r="A518" s="574"/>
      <c r="B518" s="574"/>
      <c r="C518" s="347"/>
      <c r="D518" s="574"/>
      <c r="E518" s="347"/>
      <c r="F518" s="596"/>
      <c r="G518" s="596"/>
      <c r="H518" s="347"/>
      <c r="I518" s="347"/>
      <c r="J518" s="596"/>
      <c r="K518" s="609"/>
      <c r="L518" s="1"/>
      <c r="M518" s="347"/>
      <c r="N518" s="347"/>
      <c r="O518" s="579"/>
      <c r="P518" s="579"/>
      <c r="Q518" s="574"/>
      <c r="R518" s="347"/>
      <c r="S518" s="597"/>
      <c r="T518" s="347"/>
      <c r="U518" s="579"/>
      <c r="V518" s="579"/>
      <c r="W518" s="574"/>
      <c r="X518" s="347"/>
      <c r="Y518" s="347"/>
      <c r="Z518" s="347"/>
      <c r="AA518" s="579"/>
      <c r="AB518" s="581"/>
      <c r="AC518" s="347"/>
      <c r="AD518" s="347"/>
      <c r="AE518" s="347"/>
      <c r="AF518" s="347"/>
      <c r="AG518" s="579"/>
      <c r="AH518" s="579"/>
      <c r="AI518" s="582"/>
      <c r="AJ518" s="582"/>
      <c r="AK518" s="582"/>
      <c r="AL518" s="582"/>
      <c r="AM518" s="579"/>
      <c r="AN518" s="579"/>
      <c r="AO518" s="347"/>
      <c r="AP518" s="586"/>
      <c r="AQ518" s="596"/>
      <c r="AR518" s="596"/>
      <c r="AS518" s="348"/>
      <c r="AT518" s="348"/>
      <c r="AU518" s="348"/>
      <c r="AV518" s="348"/>
      <c r="AW518" s="348"/>
      <c r="AX518" s="584"/>
      <c r="AY518" s="581"/>
      <c r="AZ518" s="581"/>
      <c r="BA518" s="596"/>
      <c r="BB518" s="596"/>
      <c r="BC518" s="348"/>
      <c r="BD518" s="581"/>
      <c r="BE518" s="581"/>
      <c r="BF518" s="347"/>
      <c r="BG518" s="347"/>
      <c r="BH518" s="347"/>
      <c r="BI518" s="347"/>
      <c r="BJ518" s="586"/>
      <c r="BK518" s="581"/>
      <c r="BL518" s="347"/>
      <c r="BM518" s="347"/>
      <c r="BN518" s="347"/>
      <c r="BO518" s="586"/>
      <c r="BP518" s="584"/>
      <c r="BQ518" s="347"/>
      <c r="BR518" s="586"/>
      <c r="BS518" s="588"/>
      <c r="BT518" s="586"/>
      <c r="BU518" s="589"/>
      <c r="BV518" s="581">
        <f t="shared" si="44"/>
        <v>0</v>
      </c>
      <c r="BW518" s="590"/>
      <c r="BX518" s="347"/>
      <c r="BY518" s="347"/>
      <c r="BZ518" s="347"/>
      <c r="CA518" s="586"/>
      <c r="CB518" s="581"/>
      <c r="CC518" s="581">
        <f t="shared" si="193"/>
        <v>0</v>
      </c>
      <c r="CD518" s="581"/>
      <c r="CE518" s="581"/>
      <c r="CF518" s="581"/>
      <c r="CG518" s="586"/>
      <c r="CH518" s="608"/>
      <c r="CI518" s="603"/>
      <c r="CJ518" s="347"/>
      <c r="CK518" s="347"/>
      <c r="CL518" s="347"/>
      <c r="CM518" s="347"/>
      <c r="CN518" s="347"/>
      <c r="CO518" s="347"/>
      <c r="CP518" s="347"/>
    </row>
    <row r="519">
      <c r="A519" s="574"/>
      <c r="B519" s="574"/>
      <c r="C519" s="347"/>
      <c r="D519" s="574"/>
      <c r="E519" s="347"/>
      <c r="F519" s="596"/>
      <c r="G519" s="596"/>
      <c r="H519" s="347"/>
      <c r="I519" s="347"/>
      <c r="J519" s="596"/>
      <c r="K519" s="609"/>
      <c r="L519" s="1"/>
      <c r="M519" s="347"/>
      <c r="N519" s="347"/>
      <c r="O519" s="579"/>
      <c r="P519" s="579"/>
      <c r="Q519" s="574"/>
      <c r="R519" s="347"/>
      <c r="S519" s="597"/>
      <c r="T519" s="347"/>
      <c r="U519" s="579"/>
      <c r="V519" s="579"/>
      <c r="W519" s="574"/>
      <c r="X519" s="347"/>
      <c r="Y519" s="347"/>
      <c r="Z519" s="347"/>
      <c r="AA519" s="579"/>
      <c r="AB519" s="581"/>
      <c r="AC519" s="347"/>
      <c r="AD519" s="347"/>
      <c r="AE519" s="347"/>
      <c r="AF519" s="347"/>
      <c r="AG519" s="579"/>
      <c r="AH519" s="579"/>
      <c r="AI519" s="582"/>
      <c r="AJ519" s="582"/>
      <c r="AK519" s="582"/>
      <c r="AL519" s="582"/>
      <c r="AM519" s="579"/>
      <c r="AN519" s="579"/>
      <c r="AO519" s="347"/>
      <c r="AP519" s="586"/>
      <c r="AQ519" s="596"/>
      <c r="AR519" s="596"/>
      <c r="AS519" s="348"/>
      <c r="AT519" s="348"/>
      <c r="AU519" s="348"/>
      <c r="AV519" s="348"/>
      <c r="AW519" s="348"/>
      <c r="AX519" s="584"/>
      <c r="AY519" s="581"/>
      <c r="AZ519" s="581"/>
      <c r="BA519" s="596"/>
      <c r="BB519" s="596"/>
      <c r="BC519" s="348"/>
      <c r="BD519" s="581"/>
      <c r="BE519" s="581"/>
      <c r="BF519" s="347"/>
      <c r="BG519" s="347"/>
      <c r="BH519" s="347"/>
      <c r="BI519" s="347"/>
      <c r="BJ519" s="586"/>
      <c r="BK519" s="581"/>
      <c r="BL519" s="347"/>
      <c r="BM519" s="347"/>
      <c r="BN519" s="347"/>
      <c r="BO519" s="586"/>
      <c r="BP519" s="584"/>
      <c r="BQ519" s="347"/>
      <c r="BR519" s="586"/>
      <c r="BS519" s="588"/>
      <c r="BT519" s="586"/>
      <c r="BU519" s="589"/>
      <c r="BV519" s="581">
        <f t="shared" si="44"/>
        <v>0</v>
      </c>
      <c r="BW519" s="590"/>
      <c r="BX519" s="347"/>
      <c r="BY519" s="347"/>
      <c r="BZ519" s="347"/>
      <c r="CA519" s="586"/>
      <c r="CB519" s="581"/>
      <c r="CC519" s="581">
        <f t="shared" si="193"/>
        <v>0</v>
      </c>
      <c r="CD519" s="581"/>
      <c r="CE519" s="581"/>
      <c r="CF519" s="581"/>
      <c r="CG519" s="586"/>
      <c r="CH519" s="608"/>
      <c r="CI519" s="603"/>
      <c r="CJ519" s="347"/>
      <c r="CK519" s="347"/>
      <c r="CL519" s="347"/>
      <c r="CM519" s="347"/>
      <c r="CN519" s="347"/>
      <c r="CO519" s="347"/>
      <c r="CP519" s="347"/>
    </row>
    <row r="520">
      <c r="A520" s="574"/>
      <c r="B520" s="574"/>
      <c r="C520" s="347"/>
      <c r="D520" s="574"/>
      <c r="E520" s="347"/>
      <c r="F520" s="596"/>
      <c r="G520" s="596"/>
      <c r="H520" s="347"/>
      <c r="I520" s="347"/>
      <c r="J520" s="596"/>
      <c r="K520" s="609"/>
      <c r="L520" s="1"/>
      <c r="M520" s="347"/>
      <c r="N520" s="347"/>
      <c r="O520" s="579"/>
      <c r="P520" s="579"/>
      <c r="Q520" s="574"/>
      <c r="R520" s="347"/>
      <c r="S520" s="597"/>
      <c r="T520" s="347"/>
      <c r="U520" s="579"/>
      <c r="V520" s="579"/>
      <c r="W520" s="574"/>
      <c r="X520" s="347"/>
      <c r="Y520" s="347"/>
      <c r="Z520" s="347"/>
      <c r="AA520" s="579"/>
      <c r="AB520" s="581"/>
      <c r="AC520" s="347"/>
      <c r="AD520" s="347"/>
      <c r="AE520" s="347"/>
      <c r="AF520" s="347"/>
      <c r="AG520" s="579"/>
      <c r="AH520" s="579"/>
      <c r="AI520" s="582"/>
      <c r="AJ520" s="582"/>
      <c r="AK520" s="582"/>
      <c r="AL520" s="582"/>
      <c r="AM520" s="579"/>
      <c r="AN520" s="579"/>
      <c r="AO520" s="347"/>
      <c r="AP520" s="586"/>
      <c r="AQ520" s="596"/>
      <c r="AR520" s="596"/>
      <c r="AS520" s="348"/>
      <c r="AT520" s="348"/>
      <c r="AU520" s="348"/>
      <c r="AV520" s="348"/>
      <c r="AW520" s="348"/>
      <c r="AX520" s="584"/>
      <c r="AY520" s="581"/>
      <c r="AZ520" s="581"/>
      <c r="BA520" s="596"/>
      <c r="BB520" s="596"/>
      <c r="BC520" s="348"/>
      <c r="BD520" s="581"/>
      <c r="BE520" s="581"/>
      <c r="BF520" s="347"/>
      <c r="BG520" s="347"/>
      <c r="BH520" s="347"/>
      <c r="BI520" s="347"/>
      <c r="BJ520" s="586"/>
      <c r="BK520" s="581"/>
      <c r="BL520" s="347"/>
      <c r="BM520" s="347"/>
      <c r="BN520" s="347"/>
      <c r="BO520" s="586"/>
      <c r="BP520" s="584"/>
      <c r="BQ520" s="347"/>
      <c r="BR520" s="586"/>
      <c r="BS520" s="588"/>
      <c r="BT520" s="586"/>
      <c r="BU520" s="589"/>
      <c r="BV520" s="581">
        <f t="shared" si="44"/>
        <v>0</v>
      </c>
      <c r="BW520" s="590"/>
      <c r="BX520" s="347"/>
      <c r="BY520" s="347"/>
      <c r="BZ520" s="347"/>
      <c r="CA520" s="586"/>
      <c r="CB520" s="581"/>
      <c r="CC520" s="581">
        <f t="shared" si="193"/>
        <v>0</v>
      </c>
      <c r="CD520" s="581"/>
      <c r="CE520" s="581"/>
      <c r="CF520" s="581"/>
      <c r="CG520" s="586"/>
      <c r="CH520" s="608"/>
      <c r="CI520" s="603"/>
      <c r="CJ520" s="347"/>
      <c r="CK520" s="347"/>
      <c r="CL520" s="347"/>
      <c r="CM520" s="347"/>
      <c r="CN520" s="347"/>
      <c r="CO520" s="347"/>
      <c r="CP520" s="347"/>
    </row>
    <row r="521">
      <c r="A521" s="574"/>
      <c r="B521" s="574"/>
      <c r="C521" s="347"/>
      <c r="D521" s="574"/>
      <c r="E521" s="347"/>
      <c r="F521" s="596"/>
      <c r="G521" s="596"/>
      <c r="H521" s="347"/>
      <c r="I521" s="347"/>
      <c r="J521" s="596"/>
      <c r="K521" s="609"/>
      <c r="L521" s="1"/>
      <c r="M521" s="347"/>
      <c r="N521" s="347"/>
      <c r="O521" s="579"/>
      <c r="P521" s="579"/>
      <c r="Q521" s="574"/>
      <c r="R521" s="347"/>
      <c r="S521" s="597"/>
      <c r="T521" s="347"/>
      <c r="U521" s="579"/>
      <c r="V521" s="579"/>
      <c r="W521" s="574"/>
      <c r="X521" s="347"/>
      <c r="Y521" s="347"/>
      <c r="Z521" s="347"/>
      <c r="AA521" s="579"/>
      <c r="AB521" s="581"/>
      <c r="AC521" s="347"/>
      <c r="AD521" s="347"/>
      <c r="AE521" s="347"/>
      <c r="AF521" s="347"/>
      <c r="AG521" s="579"/>
      <c r="AH521" s="579"/>
      <c r="AI521" s="582"/>
      <c r="AJ521" s="582"/>
      <c r="AK521" s="582"/>
      <c r="AL521" s="582"/>
      <c r="AM521" s="579"/>
      <c r="AN521" s="579"/>
      <c r="AO521" s="347"/>
      <c r="AP521" s="586"/>
      <c r="AQ521" s="596"/>
      <c r="AR521" s="596"/>
      <c r="AS521" s="348"/>
      <c r="AT521" s="348"/>
      <c r="AU521" s="348"/>
      <c r="AV521" s="348"/>
      <c r="AW521" s="348"/>
      <c r="AX521" s="584"/>
      <c r="AY521" s="581"/>
      <c r="AZ521" s="581"/>
      <c r="BA521" s="596"/>
      <c r="BB521" s="596"/>
      <c r="BC521" s="348"/>
      <c r="BD521" s="581"/>
      <c r="BE521" s="581"/>
      <c r="BF521" s="347"/>
      <c r="BG521" s="347"/>
      <c r="BH521" s="347"/>
      <c r="BI521" s="347"/>
      <c r="BJ521" s="586"/>
      <c r="BK521" s="581"/>
      <c r="BL521" s="347"/>
      <c r="BM521" s="347"/>
      <c r="BN521" s="347"/>
      <c r="BO521" s="586"/>
      <c r="BP521" s="584"/>
      <c r="BQ521" s="347"/>
      <c r="BR521" s="586"/>
      <c r="BS521" s="588"/>
      <c r="BT521" s="586"/>
      <c r="BU521" s="589"/>
      <c r="BV521" s="581">
        <f t="shared" si="44"/>
        <v>0</v>
      </c>
      <c r="BW521" s="590"/>
      <c r="BX521" s="347"/>
      <c r="BY521" s="347"/>
      <c r="BZ521" s="347"/>
      <c r="CA521" s="586"/>
      <c r="CB521" s="581"/>
      <c r="CC521" s="581">
        <f t="shared" si="193"/>
        <v>0</v>
      </c>
      <c r="CD521" s="581"/>
      <c r="CE521" s="581"/>
      <c r="CF521" s="581"/>
      <c r="CG521" s="586"/>
      <c r="CH521" s="608"/>
      <c r="CI521" s="603"/>
      <c r="CJ521" s="347"/>
      <c r="CK521" s="347"/>
      <c r="CL521" s="347"/>
      <c r="CM521" s="347"/>
      <c r="CN521" s="347"/>
      <c r="CO521" s="347"/>
      <c r="CP521" s="347"/>
    </row>
    <row r="522">
      <c r="A522" s="574"/>
      <c r="B522" s="574"/>
      <c r="C522" s="347"/>
      <c r="D522" s="574"/>
      <c r="E522" s="347"/>
      <c r="F522" s="596"/>
      <c r="G522" s="596"/>
      <c r="H522" s="347"/>
      <c r="I522" s="347"/>
      <c r="J522" s="596"/>
      <c r="K522" s="609"/>
      <c r="L522" s="1"/>
      <c r="M522" s="347"/>
      <c r="N522" s="347"/>
      <c r="O522" s="579"/>
      <c r="P522" s="579"/>
      <c r="Q522" s="574"/>
      <c r="R522" s="347"/>
      <c r="S522" s="597"/>
      <c r="T522" s="347"/>
      <c r="U522" s="579"/>
      <c r="V522" s="579"/>
      <c r="W522" s="574"/>
      <c r="X522" s="347"/>
      <c r="Y522" s="347"/>
      <c r="Z522" s="347"/>
      <c r="AA522" s="579"/>
      <c r="AB522" s="581"/>
      <c r="AC522" s="347"/>
      <c r="AD522" s="347"/>
      <c r="AE522" s="347"/>
      <c r="AF522" s="347"/>
      <c r="AG522" s="579"/>
      <c r="AH522" s="579"/>
      <c r="AI522" s="582"/>
      <c r="AJ522" s="582"/>
      <c r="AK522" s="582"/>
      <c r="AL522" s="582"/>
      <c r="AM522" s="579"/>
      <c r="AN522" s="579"/>
      <c r="AO522" s="347"/>
      <c r="AP522" s="586"/>
      <c r="AQ522" s="596"/>
      <c r="AR522" s="596"/>
      <c r="AS522" s="348"/>
      <c r="AT522" s="348"/>
      <c r="AU522" s="348"/>
      <c r="AV522" s="348"/>
      <c r="AW522" s="348"/>
      <c r="AX522" s="584"/>
      <c r="AY522" s="581"/>
      <c r="AZ522" s="581"/>
      <c r="BA522" s="596"/>
      <c r="BB522" s="596"/>
      <c r="BC522" s="348"/>
      <c r="BD522" s="581"/>
      <c r="BE522" s="581"/>
      <c r="BF522" s="347"/>
      <c r="BG522" s="347"/>
      <c r="BH522" s="347"/>
      <c r="BI522" s="347"/>
      <c r="BJ522" s="586"/>
      <c r="BK522" s="581"/>
      <c r="BL522" s="347"/>
      <c r="BM522" s="347"/>
      <c r="BN522" s="347"/>
      <c r="BO522" s="586"/>
      <c r="BP522" s="584"/>
      <c r="BQ522" s="347"/>
      <c r="BR522" s="586"/>
      <c r="BS522" s="588"/>
      <c r="BT522" s="586"/>
      <c r="BU522" s="589"/>
      <c r="BV522" s="581">
        <f t="shared" si="44"/>
        <v>0</v>
      </c>
      <c r="BW522" s="590"/>
      <c r="BX522" s="347"/>
      <c r="BY522" s="347"/>
      <c r="BZ522" s="347"/>
      <c r="CA522" s="586"/>
      <c r="CB522" s="581"/>
      <c r="CC522" s="581">
        <f t="shared" si="193"/>
        <v>0</v>
      </c>
      <c r="CD522" s="581"/>
      <c r="CE522" s="581"/>
      <c r="CF522" s="581"/>
      <c r="CG522" s="586"/>
      <c r="CH522" s="608"/>
      <c r="CI522" s="603"/>
      <c r="CJ522" s="347"/>
      <c r="CK522" s="347"/>
      <c r="CL522" s="347"/>
      <c r="CM522" s="347"/>
      <c r="CN522" s="347"/>
      <c r="CO522" s="347"/>
      <c r="CP522" s="347"/>
    </row>
    <row r="523">
      <c r="A523" s="574"/>
      <c r="B523" s="574"/>
      <c r="C523" s="347"/>
      <c r="D523" s="574"/>
      <c r="E523" s="347"/>
      <c r="F523" s="596"/>
      <c r="G523" s="596"/>
      <c r="H523" s="347"/>
      <c r="I523" s="347"/>
      <c r="J523" s="596"/>
      <c r="K523" s="609"/>
      <c r="L523" s="1"/>
      <c r="M523" s="347"/>
      <c r="N523" s="347"/>
      <c r="O523" s="579"/>
      <c r="P523" s="579"/>
      <c r="Q523" s="574"/>
      <c r="R523" s="347"/>
      <c r="S523" s="597"/>
      <c r="T523" s="347"/>
      <c r="U523" s="579"/>
      <c r="V523" s="579"/>
      <c r="W523" s="574"/>
      <c r="X523" s="347"/>
      <c r="Y523" s="347"/>
      <c r="Z523" s="347"/>
      <c r="AA523" s="579"/>
      <c r="AB523" s="581"/>
      <c r="AC523" s="347"/>
      <c r="AD523" s="347"/>
      <c r="AE523" s="347"/>
      <c r="AF523" s="347"/>
      <c r="AG523" s="579"/>
      <c r="AH523" s="579"/>
      <c r="AI523" s="582"/>
      <c r="AJ523" s="582"/>
      <c r="AK523" s="582"/>
      <c r="AL523" s="582"/>
      <c r="AM523" s="579"/>
      <c r="AN523" s="579"/>
      <c r="AO523" s="347"/>
      <c r="AP523" s="586"/>
      <c r="AQ523" s="596"/>
      <c r="AR523" s="596"/>
      <c r="AS523" s="348"/>
      <c r="AT523" s="348"/>
      <c r="AU523" s="348"/>
      <c r="AV523" s="348"/>
      <c r="AW523" s="348"/>
      <c r="AX523" s="584"/>
      <c r="AY523" s="581"/>
      <c r="AZ523" s="581"/>
      <c r="BA523" s="596"/>
      <c r="BB523" s="596"/>
      <c r="BC523" s="348"/>
      <c r="BD523" s="581"/>
      <c r="BE523" s="581"/>
      <c r="BF523" s="347"/>
      <c r="BG523" s="347"/>
      <c r="BH523" s="347"/>
      <c r="BI523" s="347"/>
      <c r="BJ523" s="586"/>
      <c r="BK523" s="581"/>
      <c r="BL523" s="347"/>
      <c r="BM523" s="347"/>
      <c r="BN523" s="347"/>
      <c r="BO523" s="586"/>
      <c r="BP523" s="584"/>
      <c r="BQ523" s="347"/>
      <c r="BR523" s="586"/>
      <c r="BS523" s="588"/>
      <c r="BT523" s="586"/>
      <c r="BU523" s="589"/>
      <c r="BV523" s="581">
        <f t="shared" si="44"/>
        <v>0</v>
      </c>
      <c r="BW523" s="590"/>
      <c r="BX523" s="347"/>
      <c r="BY523" s="347"/>
      <c r="BZ523" s="347"/>
      <c r="CA523" s="586"/>
      <c r="CB523" s="581"/>
      <c r="CC523" s="581">
        <f t="shared" si="193"/>
        <v>0</v>
      </c>
      <c r="CD523" s="581"/>
      <c r="CE523" s="581"/>
      <c r="CF523" s="581"/>
      <c r="CG523" s="586"/>
      <c r="CH523" s="608"/>
      <c r="CI523" s="603"/>
      <c r="CJ523" s="347"/>
      <c r="CK523" s="347"/>
      <c r="CL523" s="347"/>
      <c r="CM523" s="347"/>
      <c r="CN523" s="347"/>
      <c r="CO523" s="347"/>
      <c r="CP523" s="347"/>
    </row>
    <row r="524">
      <c r="A524" s="574"/>
      <c r="B524" s="574"/>
      <c r="C524" s="347"/>
      <c r="D524" s="574"/>
      <c r="E524" s="347"/>
      <c r="F524" s="596"/>
      <c r="G524" s="596"/>
      <c r="H524" s="347"/>
      <c r="I524" s="347"/>
      <c r="J524" s="596"/>
      <c r="K524" s="609"/>
      <c r="L524" s="1"/>
      <c r="M524" s="347"/>
      <c r="N524" s="347"/>
      <c r="O524" s="579"/>
      <c r="P524" s="579"/>
      <c r="Q524" s="574"/>
      <c r="R524" s="347"/>
      <c r="S524" s="597"/>
      <c r="T524" s="347"/>
      <c r="U524" s="579"/>
      <c r="V524" s="579"/>
      <c r="W524" s="574"/>
      <c r="X524" s="347"/>
      <c r="Y524" s="347"/>
      <c r="Z524" s="347"/>
      <c r="AA524" s="579"/>
      <c r="AB524" s="581"/>
      <c r="AC524" s="347"/>
      <c r="AD524" s="347"/>
      <c r="AE524" s="347"/>
      <c r="AF524" s="347"/>
      <c r="AG524" s="579"/>
      <c r="AH524" s="579"/>
      <c r="AI524" s="582"/>
      <c r="AJ524" s="582"/>
      <c r="AK524" s="582"/>
      <c r="AL524" s="582"/>
      <c r="AM524" s="579"/>
      <c r="AN524" s="579"/>
      <c r="AO524" s="347"/>
      <c r="AP524" s="586"/>
      <c r="AQ524" s="596"/>
      <c r="AR524" s="596"/>
      <c r="AS524" s="348"/>
      <c r="AT524" s="348"/>
      <c r="AU524" s="348"/>
      <c r="AV524" s="348"/>
      <c r="AW524" s="348"/>
      <c r="AX524" s="584"/>
      <c r="AY524" s="581"/>
      <c r="AZ524" s="581"/>
      <c r="BA524" s="596"/>
      <c r="BB524" s="596"/>
      <c r="BC524" s="348"/>
      <c r="BD524" s="581"/>
      <c r="BE524" s="581"/>
      <c r="BF524" s="347"/>
      <c r="BG524" s="347"/>
      <c r="BH524" s="347"/>
      <c r="BI524" s="347"/>
      <c r="BJ524" s="586"/>
      <c r="BK524" s="581"/>
      <c r="BL524" s="347"/>
      <c r="BM524" s="347"/>
      <c r="BN524" s="347"/>
      <c r="BO524" s="586"/>
      <c r="BP524" s="584"/>
      <c r="BQ524" s="347"/>
      <c r="BR524" s="586"/>
      <c r="BS524" s="588"/>
      <c r="BT524" s="586"/>
      <c r="BU524" s="589"/>
      <c r="BV524" s="581">
        <f t="shared" si="44"/>
        <v>0</v>
      </c>
      <c r="BW524" s="590"/>
      <c r="BX524" s="347"/>
      <c r="BY524" s="347"/>
      <c r="BZ524" s="347"/>
      <c r="CA524" s="586"/>
      <c r="CB524" s="581"/>
      <c r="CC524" s="581">
        <f t="shared" si="193"/>
        <v>0</v>
      </c>
      <c r="CD524" s="581"/>
      <c r="CE524" s="581"/>
      <c r="CF524" s="581"/>
      <c r="CG524" s="586"/>
      <c r="CH524" s="608"/>
      <c r="CI524" s="603"/>
      <c r="CJ524" s="347"/>
      <c r="CK524" s="347"/>
      <c r="CL524" s="347"/>
      <c r="CM524" s="347"/>
      <c r="CN524" s="347"/>
      <c r="CO524" s="347"/>
      <c r="CP524" s="347"/>
    </row>
    <row r="525">
      <c r="A525" s="574"/>
      <c r="B525" s="574"/>
      <c r="C525" s="347"/>
      <c r="D525" s="574"/>
      <c r="E525" s="347"/>
      <c r="F525" s="596"/>
      <c r="G525" s="596"/>
      <c r="H525" s="347"/>
      <c r="I525" s="347"/>
      <c r="J525" s="596"/>
      <c r="K525" s="609"/>
      <c r="L525" s="1"/>
      <c r="M525" s="347"/>
      <c r="N525" s="347"/>
      <c r="O525" s="579"/>
      <c r="P525" s="579"/>
      <c r="Q525" s="574"/>
      <c r="R525" s="347"/>
      <c r="S525" s="597"/>
      <c r="T525" s="347"/>
      <c r="U525" s="579"/>
      <c r="V525" s="579"/>
      <c r="W525" s="574"/>
      <c r="X525" s="347"/>
      <c r="Y525" s="347"/>
      <c r="Z525" s="347"/>
      <c r="AA525" s="579"/>
      <c r="AB525" s="581"/>
      <c r="AC525" s="347"/>
      <c r="AD525" s="347"/>
      <c r="AE525" s="347"/>
      <c r="AF525" s="347"/>
      <c r="AG525" s="579"/>
      <c r="AH525" s="579"/>
      <c r="AI525" s="582"/>
      <c r="AJ525" s="582"/>
      <c r="AK525" s="582"/>
      <c r="AL525" s="582"/>
      <c r="AM525" s="579"/>
      <c r="AN525" s="579"/>
      <c r="AO525" s="347"/>
      <c r="AP525" s="586"/>
      <c r="AQ525" s="596"/>
      <c r="AR525" s="596"/>
      <c r="AS525" s="348"/>
      <c r="AT525" s="348"/>
      <c r="AU525" s="348"/>
      <c r="AV525" s="348"/>
      <c r="AW525" s="348"/>
      <c r="AX525" s="584"/>
      <c r="AY525" s="581"/>
      <c r="AZ525" s="581"/>
      <c r="BA525" s="596"/>
      <c r="BB525" s="596"/>
      <c r="BC525" s="348"/>
      <c r="BD525" s="581"/>
      <c r="BE525" s="581"/>
      <c r="BF525" s="347"/>
      <c r="BG525" s="347"/>
      <c r="BH525" s="347"/>
      <c r="BI525" s="347"/>
      <c r="BJ525" s="586"/>
      <c r="BK525" s="581"/>
      <c r="BL525" s="347"/>
      <c r="BM525" s="347"/>
      <c r="BN525" s="347"/>
      <c r="BO525" s="586"/>
      <c r="BP525" s="584"/>
      <c r="BQ525" s="347"/>
      <c r="BR525" s="586"/>
      <c r="BS525" s="588"/>
      <c r="BT525" s="586"/>
      <c r="BU525" s="589"/>
      <c r="BV525" s="581">
        <f t="shared" si="44"/>
        <v>0</v>
      </c>
      <c r="BW525" s="590"/>
      <c r="BX525" s="347"/>
      <c r="BY525" s="347"/>
      <c r="BZ525" s="347"/>
      <c r="CA525" s="586"/>
      <c r="CB525" s="581"/>
      <c r="CC525" s="581">
        <f t="shared" si="193"/>
        <v>0</v>
      </c>
      <c r="CD525" s="581"/>
      <c r="CE525" s="581"/>
      <c r="CF525" s="581"/>
      <c r="CG525" s="586"/>
      <c r="CH525" s="608"/>
      <c r="CI525" s="603"/>
      <c r="CJ525" s="347"/>
      <c r="CK525" s="347"/>
      <c r="CL525" s="347"/>
      <c r="CM525" s="347"/>
      <c r="CN525" s="347"/>
      <c r="CO525" s="347"/>
      <c r="CP525" s="347"/>
    </row>
    <row r="526">
      <c r="A526" s="574"/>
      <c r="B526" s="574"/>
      <c r="C526" s="347"/>
      <c r="D526" s="574"/>
      <c r="E526" s="347"/>
      <c r="F526" s="596"/>
      <c r="G526" s="596"/>
      <c r="H526" s="347"/>
      <c r="I526" s="347"/>
      <c r="J526" s="596"/>
      <c r="K526" s="609"/>
      <c r="L526" s="1"/>
      <c r="M526" s="347"/>
      <c r="N526" s="347"/>
      <c r="O526" s="579"/>
      <c r="P526" s="579"/>
      <c r="Q526" s="574"/>
      <c r="R526" s="347"/>
      <c r="S526" s="597"/>
      <c r="T526" s="347"/>
      <c r="U526" s="579"/>
      <c r="V526" s="579"/>
      <c r="W526" s="574"/>
      <c r="X526" s="347"/>
      <c r="Y526" s="347"/>
      <c r="Z526" s="347"/>
      <c r="AA526" s="579"/>
      <c r="AB526" s="581"/>
      <c r="AC526" s="347"/>
      <c r="AD526" s="347"/>
      <c r="AE526" s="347"/>
      <c r="AF526" s="347"/>
      <c r="AG526" s="579"/>
      <c r="AH526" s="579"/>
      <c r="AI526" s="582"/>
      <c r="AJ526" s="582"/>
      <c r="AK526" s="582"/>
      <c r="AL526" s="582"/>
      <c r="AM526" s="579"/>
      <c r="AN526" s="579"/>
      <c r="AO526" s="347"/>
      <c r="AP526" s="586"/>
      <c r="AQ526" s="596"/>
      <c r="AR526" s="596"/>
      <c r="AS526" s="348"/>
      <c r="AT526" s="348"/>
      <c r="AU526" s="348"/>
      <c r="AV526" s="348"/>
      <c r="AW526" s="348"/>
      <c r="AX526" s="584"/>
      <c r="AY526" s="581"/>
      <c r="AZ526" s="581"/>
      <c r="BA526" s="596"/>
      <c r="BB526" s="596"/>
      <c r="BC526" s="348"/>
      <c r="BD526" s="581"/>
      <c r="BE526" s="581"/>
      <c r="BF526" s="347"/>
      <c r="BG526" s="347"/>
      <c r="BH526" s="347"/>
      <c r="BI526" s="347"/>
      <c r="BJ526" s="586"/>
      <c r="BK526" s="581"/>
      <c r="BL526" s="347"/>
      <c r="BM526" s="347"/>
      <c r="BN526" s="347"/>
      <c r="BO526" s="586"/>
      <c r="BP526" s="584"/>
      <c r="BQ526" s="347"/>
      <c r="BR526" s="586"/>
      <c r="BS526" s="588"/>
      <c r="BT526" s="586"/>
      <c r="BU526" s="589"/>
      <c r="BV526" s="581">
        <f t="shared" si="44"/>
        <v>0</v>
      </c>
      <c r="BW526" s="590"/>
      <c r="BX526" s="347"/>
      <c r="BY526" s="347"/>
      <c r="BZ526" s="347"/>
      <c r="CA526" s="586"/>
      <c r="CB526" s="581"/>
      <c r="CC526" s="581">
        <f t="shared" si="193"/>
        <v>0</v>
      </c>
      <c r="CD526" s="581"/>
      <c r="CE526" s="581"/>
      <c r="CF526" s="581"/>
      <c r="CG526" s="586"/>
      <c r="CH526" s="608"/>
      <c r="CI526" s="603"/>
      <c r="CJ526" s="347"/>
      <c r="CK526" s="347"/>
      <c r="CL526" s="347"/>
      <c r="CM526" s="347"/>
      <c r="CN526" s="347"/>
      <c r="CO526" s="347"/>
      <c r="CP526" s="347"/>
    </row>
    <row r="527">
      <c r="A527" s="574"/>
      <c r="B527" s="574"/>
      <c r="C527" s="347"/>
      <c r="D527" s="574"/>
      <c r="E527" s="347"/>
      <c r="F527" s="596"/>
      <c r="G527" s="596"/>
      <c r="H527" s="347"/>
      <c r="I527" s="347"/>
      <c r="J527" s="596"/>
      <c r="K527" s="609"/>
      <c r="L527" s="1"/>
      <c r="M527" s="347"/>
      <c r="N527" s="347"/>
      <c r="O527" s="579"/>
      <c r="P527" s="579"/>
      <c r="Q527" s="574"/>
      <c r="R527" s="347"/>
      <c r="S527" s="597"/>
      <c r="T527" s="347"/>
      <c r="U527" s="579"/>
      <c r="V527" s="579"/>
      <c r="W527" s="574"/>
      <c r="X527" s="347"/>
      <c r="Y527" s="347"/>
      <c r="Z527" s="347"/>
      <c r="AA527" s="579"/>
      <c r="AB527" s="581"/>
      <c r="AC527" s="347"/>
      <c r="AD527" s="347"/>
      <c r="AE527" s="347"/>
      <c r="AF527" s="347"/>
      <c r="AG527" s="579"/>
      <c r="AH527" s="579"/>
      <c r="AI527" s="582"/>
      <c r="AJ527" s="582"/>
      <c r="AK527" s="582"/>
      <c r="AL527" s="582"/>
      <c r="AM527" s="579"/>
      <c r="AN527" s="579"/>
      <c r="AO527" s="347"/>
      <c r="AP527" s="586"/>
      <c r="AQ527" s="596"/>
      <c r="AR527" s="596"/>
      <c r="AS527" s="348"/>
      <c r="AT527" s="348"/>
      <c r="AU527" s="348"/>
      <c r="AV527" s="348"/>
      <c r="AW527" s="348"/>
      <c r="AX527" s="584"/>
      <c r="AY527" s="581"/>
      <c r="AZ527" s="581"/>
      <c r="BA527" s="596"/>
      <c r="BB527" s="596"/>
      <c r="BC527" s="348"/>
      <c r="BD527" s="581"/>
      <c r="BE527" s="581"/>
      <c r="BF527" s="347"/>
      <c r="BG527" s="347"/>
      <c r="BH527" s="347"/>
      <c r="BI527" s="347"/>
      <c r="BJ527" s="586"/>
      <c r="BK527" s="581"/>
      <c r="BL527" s="347"/>
      <c r="BM527" s="347"/>
      <c r="BN527" s="347"/>
      <c r="BO527" s="586"/>
      <c r="BP527" s="584"/>
      <c r="BQ527" s="347"/>
      <c r="BR527" s="586"/>
      <c r="BS527" s="588"/>
      <c r="BT527" s="586"/>
      <c r="BU527" s="589"/>
      <c r="BV527" s="581">
        <f t="shared" si="44"/>
        <v>0</v>
      </c>
      <c r="BW527" s="590"/>
      <c r="BX527" s="347"/>
      <c r="BY527" s="347"/>
      <c r="BZ527" s="347"/>
      <c r="CA527" s="586"/>
      <c r="CB527" s="581"/>
      <c r="CC527" s="581">
        <f t="shared" si="193"/>
        <v>0</v>
      </c>
      <c r="CD527" s="581"/>
      <c r="CE527" s="581"/>
      <c r="CF527" s="581"/>
      <c r="CG527" s="586"/>
      <c r="CH527" s="608"/>
      <c r="CI527" s="603"/>
      <c r="CJ527" s="347"/>
      <c r="CK527" s="347"/>
      <c r="CL527" s="347"/>
      <c r="CM527" s="347"/>
      <c r="CN527" s="347"/>
      <c r="CO527" s="347"/>
      <c r="CP527" s="347"/>
    </row>
    <row r="528">
      <c r="A528" s="574"/>
      <c r="B528" s="574"/>
      <c r="C528" s="347"/>
      <c r="D528" s="574"/>
      <c r="E528" s="347"/>
      <c r="F528" s="596"/>
      <c r="G528" s="596"/>
      <c r="H528" s="347"/>
      <c r="I528" s="347"/>
      <c r="J528" s="596"/>
      <c r="K528" s="609"/>
      <c r="L528" s="1"/>
      <c r="M528" s="347"/>
      <c r="N528" s="347"/>
      <c r="O528" s="579"/>
      <c r="P528" s="579"/>
      <c r="Q528" s="574"/>
      <c r="R528" s="347"/>
      <c r="S528" s="597"/>
      <c r="T528" s="347"/>
      <c r="U528" s="579"/>
      <c r="V528" s="579"/>
      <c r="W528" s="574"/>
      <c r="X528" s="347"/>
      <c r="Y528" s="347"/>
      <c r="Z528" s="347"/>
      <c r="AA528" s="579"/>
      <c r="AB528" s="581"/>
      <c r="AC528" s="347"/>
      <c r="AD528" s="347"/>
      <c r="AE528" s="347"/>
      <c r="AF528" s="347"/>
      <c r="AG528" s="579"/>
      <c r="AH528" s="579"/>
      <c r="AI528" s="582"/>
      <c r="AJ528" s="582"/>
      <c r="AK528" s="582"/>
      <c r="AL528" s="582"/>
      <c r="AM528" s="579"/>
      <c r="AN528" s="579"/>
      <c r="AO528" s="347"/>
      <c r="AP528" s="586"/>
      <c r="AQ528" s="596"/>
      <c r="AR528" s="596"/>
      <c r="AS528" s="348"/>
      <c r="AT528" s="348"/>
      <c r="AU528" s="348"/>
      <c r="AV528" s="348"/>
      <c r="AW528" s="348"/>
      <c r="AX528" s="584"/>
      <c r="AY528" s="581"/>
      <c r="AZ528" s="581"/>
      <c r="BA528" s="596"/>
      <c r="BB528" s="596"/>
      <c r="BC528" s="348"/>
      <c r="BD528" s="581"/>
      <c r="BE528" s="581"/>
      <c r="BF528" s="347"/>
      <c r="BG528" s="347"/>
      <c r="BH528" s="347"/>
      <c r="BI528" s="347"/>
      <c r="BJ528" s="586"/>
      <c r="BK528" s="581"/>
      <c r="BL528" s="347"/>
      <c r="BM528" s="347"/>
      <c r="BN528" s="347"/>
      <c r="BO528" s="586"/>
      <c r="BP528" s="584"/>
      <c r="BQ528" s="347"/>
      <c r="BR528" s="586"/>
      <c r="BS528" s="588"/>
      <c r="BT528" s="586"/>
      <c r="BU528" s="589"/>
      <c r="BV528" s="581">
        <f t="shared" si="44"/>
        <v>0</v>
      </c>
      <c r="BW528" s="590"/>
      <c r="BX528" s="347"/>
      <c r="BY528" s="347"/>
      <c r="BZ528" s="347"/>
      <c r="CA528" s="586"/>
      <c r="CB528" s="581"/>
      <c r="CC528" s="581">
        <f t="shared" si="193"/>
        <v>0</v>
      </c>
      <c r="CD528" s="581"/>
      <c r="CE528" s="581"/>
      <c r="CF528" s="581"/>
      <c r="CG528" s="586"/>
      <c r="CH528" s="608"/>
      <c r="CI528" s="603"/>
      <c r="CJ528" s="347"/>
      <c r="CK528" s="347"/>
      <c r="CL528" s="347"/>
      <c r="CM528" s="347"/>
      <c r="CN528" s="347"/>
      <c r="CO528" s="347"/>
      <c r="CP528" s="347"/>
    </row>
    <row r="529">
      <c r="A529" s="574"/>
      <c r="B529" s="574"/>
      <c r="C529" s="347"/>
      <c r="D529" s="574"/>
      <c r="E529" s="347"/>
      <c r="F529" s="596"/>
      <c r="G529" s="596"/>
      <c r="H529" s="347"/>
      <c r="I529" s="347"/>
      <c r="J529" s="596"/>
      <c r="K529" s="609"/>
      <c r="L529" s="1"/>
      <c r="M529" s="347"/>
      <c r="N529" s="347"/>
      <c r="O529" s="579"/>
      <c r="P529" s="579"/>
      <c r="Q529" s="574"/>
      <c r="R529" s="347"/>
      <c r="S529" s="597"/>
      <c r="T529" s="347"/>
      <c r="U529" s="579"/>
      <c r="V529" s="579"/>
      <c r="W529" s="574"/>
      <c r="X529" s="347"/>
      <c r="Y529" s="347"/>
      <c r="Z529" s="347"/>
      <c r="AA529" s="579"/>
      <c r="AB529" s="581"/>
      <c r="AC529" s="347"/>
      <c r="AD529" s="347"/>
      <c r="AE529" s="347"/>
      <c r="AF529" s="347"/>
      <c r="AG529" s="579"/>
      <c r="AH529" s="579"/>
      <c r="AI529" s="582"/>
      <c r="AJ529" s="582"/>
      <c r="AK529" s="582"/>
      <c r="AL529" s="582"/>
      <c r="AM529" s="579"/>
      <c r="AN529" s="579"/>
      <c r="AO529" s="347"/>
      <c r="AP529" s="586"/>
      <c r="AQ529" s="596"/>
      <c r="AR529" s="596"/>
      <c r="AS529" s="348"/>
      <c r="AT529" s="348"/>
      <c r="AU529" s="348"/>
      <c r="AV529" s="348"/>
      <c r="AW529" s="348"/>
      <c r="AX529" s="584"/>
      <c r="AY529" s="581"/>
      <c r="AZ529" s="581"/>
      <c r="BA529" s="596"/>
      <c r="BB529" s="596"/>
      <c r="BC529" s="348"/>
      <c r="BD529" s="581"/>
      <c r="BE529" s="581"/>
      <c r="BF529" s="347"/>
      <c r="BG529" s="347"/>
      <c r="BH529" s="347"/>
      <c r="BI529" s="347"/>
      <c r="BJ529" s="586"/>
      <c r="BK529" s="581"/>
      <c r="BL529" s="347"/>
      <c r="BM529" s="347"/>
      <c r="BN529" s="347"/>
      <c r="BO529" s="586"/>
      <c r="BP529" s="584"/>
      <c r="BQ529" s="347"/>
      <c r="BR529" s="586"/>
      <c r="BS529" s="588"/>
      <c r="BT529" s="586"/>
      <c r="BU529" s="589"/>
      <c r="BV529" s="581">
        <f t="shared" si="44"/>
        <v>0</v>
      </c>
      <c r="BW529" s="590"/>
      <c r="BX529" s="347"/>
      <c r="BY529" s="347"/>
      <c r="BZ529" s="347"/>
      <c r="CA529" s="586"/>
      <c r="CB529" s="581"/>
      <c r="CC529" s="581">
        <f t="shared" si="193"/>
        <v>0</v>
      </c>
      <c r="CD529" s="581"/>
      <c r="CE529" s="581"/>
      <c r="CF529" s="581"/>
      <c r="CG529" s="586"/>
      <c r="CH529" s="608"/>
      <c r="CI529" s="603"/>
      <c r="CJ529" s="347"/>
      <c r="CK529" s="347"/>
      <c r="CL529" s="347"/>
      <c r="CM529" s="347"/>
      <c r="CN529" s="347"/>
      <c r="CO529" s="347"/>
      <c r="CP529" s="347"/>
    </row>
    <row r="530">
      <c r="A530" s="574"/>
      <c r="B530" s="574"/>
      <c r="C530" s="347"/>
      <c r="D530" s="574"/>
      <c r="E530" s="347"/>
      <c r="F530" s="596"/>
      <c r="G530" s="596"/>
      <c r="H530" s="347"/>
      <c r="I530" s="347"/>
      <c r="J530" s="596"/>
      <c r="K530" s="609"/>
      <c r="L530" s="1"/>
      <c r="M530" s="347"/>
      <c r="N530" s="347"/>
      <c r="O530" s="579"/>
      <c r="P530" s="579"/>
      <c r="Q530" s="574"/>
      <c r="R530" s="347"/>
      <c r="S530" s="597"/>
      <c r="T530" s="347"/>
      <c r="U530" s="579"/>
      <c r="V530" s="579"/>
      <c r="W530" s="574"/>
      <c r="X530" s="347"/>
      <c r="Y530" s="347"/>
      <c r="Z530" s="347"/>
      <c r="AA530" s="579"/>
      <c r="AB530" s="581"/>
      <c r="AC530" s="347"/>
      <c r="AD530" s="347"/>
      <c r="AE530" s="347"/>
      <c r="AF530" s="347"/>
      <c r="AG530" s="579"/>
      <c r="AH530" s="579"/>
      <c r="AI530" s="582"/>
      <c r="AJ530" s="582"/>
      <c r="AK530" s="582"/>
      <c r="AL530" s="582"/>
      <c r="AM530" s="579"/>
      <c r="AN530" s="579"/>
      <c r="AO530" s="347"/>
      <c r="AP530" s="586"/>
      <c r="AQ530" s="596"/>
      <c r="AR530" s="596"/>
      <c r="AS530" s="348"/>
      <c r="AT530" s="348"/>
      <c r="AU530" s="348"/>
      <c r="AV530" s="348"/>
      <c r="AW530" s="348"/>
      <c r="AX530" s="584"/>
      <c r="AY530" s="581"/>
      <c r="AZ530" s="581"/>
      <c r="BA530" s="596"/>
      <c r="BB530" s="596"/>
      <c r="BC530" s="348"/>
      <c r="BD530" s="581"/>
      <c r="BE530" s="581"/>
      <c r="BF530" s="347"/>
      <c r="BG530" s="347"/>
      <c r="BH530" s="347"/>
      <c r="BI530" s="347"/>
      <c r="BJ530" s="586"/>
      <c r="BK530" s="581"/>
      <c r="BL530" s="347"/>
      <c r="BM530" s="347"/>
      <c r="BN530" s="347"/>
      <c r="BO530" s="586"/>
      <c r="BP530" s="584"/>
      <c r="BQ530" s="347"/>
      <c r="BR530" s="586"/>
      <c r="BS530" s="588"/>
      <c r="BT530" s="586"/>
      <c r="BU530" s="589"/>
      <c r="BV530" s="581">
        <f t="shared" si="44"/>
        <v>0</v>
      </c>
      <c r="BW530" s="590"/>
      <c r="BX530" s="347"/>
      <c r="BY530" s="347"/>
      <c r="BZ530" s="347"/>
      <c r="CA530" s="586"/>
      <c r="CB530" s="581"/>
      <c r="CC530" s="581">
        <f t="shared" si="193"/>
        <v>0</v>
      </c>
      <c r="CD530" s="581"/>
      <c r="CE530" s="581"/>
      <c r="CF530" s="581"/>
      <c r="CG530" s="586"/>
      <c r="CH530" s="608"/>
      <c r="CI530" s="603"/>
      <c r="CJ530" s="347"/>
      <c r="CK530" s="347"/>
      <c r="CL530" s="347"/>
      <c r="CM530" s="347"/>
      <c r="CN530" s="347"/>
      <c r="CO530" s="347"/>
      <c r="CP530" s="347"/>
    </row>
    <row r="531">
      <c r="A531" s="574"/>
      <c r="B531" s="574"/>
      <c r="C531" s="347"/>
      <c r="D531" s="574"/>
      <c r="E531" s="347"/>
      <c r="F531" s="596"/>
      <c r="G531" s="596"/>
      <c r="H531" s="347"/>
      <c r="I531" s="347"/>
      <c r="J531" s="596"/>
      <c r="K531" s="609"/>
      <c r="L531" s="1"/>
      <c r="M531" s="347"/>
      <c r="N531" s="347"/>
      <c r="O531" s="579"/>
      <c r="P531" s="579"/>
      <c r="Q531" s="574"/>
      <c r="R531" s="347"/>
      <c r="S531" s="597"/>
      <c r="T531" s="347"/>
      <c r="U531" s="579"/>
      <c r="V531" s="579"/>
      <c r="W531" s="574"/>
      <c r="X531" s="347"/>
      <c r="Y531" s="347"/>
      <c r="Z531" s="347"/>
      <c r="AA531" s="579"/>
      <c r="AB531" s="581"/>
      <c r="AC531" s="347"/>
      <c r="AD531" s="347"/>
      <c r="AE531" s="347"/>
      <c r="AF531" s="347"/>
      <c r="AG531" s="579"/>
      <c r="AH531" s="579"/>
      <c r="AI531" s="582"/>
      <c r="AJ531" s="582"/>
      <c r="AK531" s="582"/>
      <c r="AL531" s="582"/>
      <c r="AM531" s="579"/>
      <c r="AN531" s="579"/>
      <c r="AO531" s="347"/>
      <c r="AP531" s="586"/>
      <c r="AQ531" s="596"/>
      <c r="AR531" s="596"/>
      <c r="AS531" s="348"/>
      <c r="AT531" s="348"/>
      <c r="AU531" s="348"/>
      <c r="AV531" s="348"/>
      <c r="AW531" s="348"/>
      <c r="AX531" s="584"/>
      <c r="AY531" s="581"/>
      <c r="AZ531" s="581"/>
      <c r="BA531" s="596"/>
      <c r="BB531" s="596"/>
      <c r="BC531" s="348"/>
      <c r="BD531" s="581"/>
      <c r="BE531" s="581"/>
      <c r="BF531" s="347"/>
      <c r="BG531" s="347"/>
      <c r="BH531" s="347"/>
      <c r="BI531" s="347"/>
      <c r="BJ531" s="586"/>
      <c r="BK531" s="581"/>
      <c r="BL531" s="347"/>
      <c r="BM531" s="347"/>
      <c r="BN531" s="347"/>
      <c r="BO531" s="586"/>
      <c r="BP531" s="584"/>
      <c r="BQ531" s="347"/>
      <c r="BR531" s="586"/>
      <c r="BS531" s="588"/>
      <c r="BT531" s="586"/>
      <c r="BU531" s="589"/>
      <c r="BV531" s="581">
        <f t="shared" si="44"/>
        <v>0</v>
      </c>
      <c r="BW531" s="590"/>
      <c r="BX531" s="347"/>
      <c r="BY531" s="347"/>
      <c r="BZ531" s="347"/>
      <c r="CA531" s="586"/>
      <c r="CB531" s="581"/>
      <c r="CC531" s="581">
        <f t="shared" si="193"/>
        <v>0</v>
      </c>
      <c r="CD531" s="581"/>
      <c r="CE531" s="581"/>
      <c r="CF531" s="581"/>
      <c r="CG531" s="586"/>
      <c r="CH531" s="608"/>
      <c r="CI531" s="603"/>
      <c r="CJ531" s="347"/>
      <c r="CK531" s="347"/>
      <c r="CL531" s="347"/>
      <c r="CM531" s="347"/>
      <c r="CN531" s="347"/>
      <c r="CO531" s="347"/>
      <c r="CP531" s="347"/>
    </row>
    <row r="532">
      <c r="A532" s="574"/>
      <c r="B532" s="574"/>
      <c r="C532" s="347"/>
      <c r="D532" s="574"/>
      <c r="E532" s="347"/>
      <c r="F532" s="596"/>
      <c r="G532" s="596"/>
      <c r="H532" s="347"/>
      <c r="I532" s="347"/>
      <c r="J532" s="596"/>
      <c r="K532" s="609"/>
      <c r="L532" s="1"/>
      <c r="M532" s="347"/>
      <c r="N532" s="347"/>
      <c r="O532" s="579"/>
      <c r="P532" s="579"/>
      <c r="Q532" s="574"/>
      <c r="R532" s="347"/>
      <c r="S532" s="597"/>
      <c r="T532" s="347"/>
      <c r="U532" s="579"/>
      <c r="V532" s="579"/>
      <c r="W532" s="574"/>
      <c r="X532" s="347"/>
      <c r="Y532" s="347"/>
      <c r="Z532" s="347"/>
      <c r="AA532" s="579"/>
      <c r="AB532" s="581"/>
      <c r="AC532" s="347"/>
      <c r="AD532" s="347"/>
      <c r="AE532" s="347"/>
      <c r="AF532" s="347"/>
      <c r="AG532" s="579"/>
      <c r="AH532" s="579"/>
      <c r="AI532" s="582"/>
      <c r="AJ532" s="582"/>
      <c r="AK532" s="582"/>
      <c r="AL532" s="582"/>
      <c r="AM532" s="579"/>
      <c r="AN532" s="579"/>
      <c r="AO532" s="347"/>
      <c r="AP532" s="586"/>
      <c r="AQ532" s="596"/>
      <c r="AR532" s="596"/>
      <c r="AS532" s="348"/>
      <c r="AT532" s="348"/>
      <c r="AU532" s="348"/>
      <c r="AV532" s="348"/>
      <c r="AW532" s="348"/>
      <c r="AX532" s="584"/>
      <c r="AY532" s="581"/>
      <c r="AZ532" s="581"/>
      <c r="BA532" s="596"/>
      <c r="BB532" s="596"/>
      <c r="BC532" s="348"/>
      <c r="BD532" s="581"/>
      <c r="BE532" s="581"/>
      <c r="BF532" s="347"/>
      <c r="BG532" s="347"/>
      <c r="BH532" s="347"/>
      <c r="BI532" s="347"/>
      <c r="BJ532" s="586"/>
      <c r="BK532" s="581"/>
      <c r="BL532" s="347"/>
      <c r="BM532" s="347"/>
      <c r="BN532" s="347"/>
      <c r="BO532" s="586"/>
      <c r="BP532" s="584"/>
      <c r="BQ532" s="347"/>
      <c r="BR532" s="586"/>
      <c r="BS532" s="588"/>
      <c r="BT532" s="586"/>
      <c r="BU532" s="589"/>
      <c r="BV532" s="581">
        <f t="shared" si="44"/>
        <v>0</v>
      </c>
      <c r="BW532" s="590"/>
      <c r="BX532" s="347"/>
      <c r="BY532" s="347"/>
      <c r="BZ532" s="347"/>
      <c r="CA532" s="586"/>
      <c r="CB532" s="581"/>
      <c r="CC532" s="581">
        <f t="shared" si="193"/>
        <v>0</v>
      </c>
      <c r="CD532" s="581"/>
      <c r="CE532" s="581"/>
      <c r="CF532" s="581"/>
      <c r="CG532" s="586"/>
      <c r="CH532" s="608"/>
      <c r="CI532" s="603"/>
      <c r="CJ532" s="347"/>
      <c r="CK532" s="347"/>
      <c r="CL532" s="347"/>
      <c r="CM532" s="347"/>
      <c r="CN532" s="347"/>
      <c r="CO532" s="347"/>
      <c r="CP532" s="347"/>
    </row>
    <row r="533">
      <c r="A533" s="574"/>
      <c r="B533" s="574"/>
      <c r="C533" s="347"/>
      <c r="D533" s="574"/>
      <c r="E533" s="347"/>
      <c r="F533" s="596"/>
      <c r="G533" s="596"/>
      <c r="H533" s="347"/>
      <c r="I533" s="347"/>
      <c r="J533" s="596"/>
      <c r="K533" s="609"/>
      <c r="L533" s="1"/>
      <c r="M533" s="347"/>
      <c r="N533" s="347"/>
      <c r="O533" s="579"/>
      <c r="P533" s="579"/>
      <c r="Q533" s="574"/>
      <c r="R533" s="347"/>
      <c r="S533" s="597"/>
      <c r="T533" s="347"/>
      <c r="U533" s="579"/>
      <c r="V533" s="579"/>
      <c r="W533" s="574"/>
      <c r="X533" s="347"/>
      <c r="Y533" s="347"/>
      <c r="Z533" s="347"/>
      <c r="AA533" s="579"/>
      <c r="AB533" s="581"/>
      <c r="AC533" s="347"/>
      <c r="AD533" s="347"/>
      <c r="AE533" s="347"/>
      <c r="AF533" s="347"/>
      <c r="AG533" s="579"/>
      <c r="AH533" s="579"/>
      <c r="AI533" s="582"/>
      <c r="AJ533" s="582"/>
      <c r="AK533" s="582"/>
      <c r="AL533" s="582"/>
      <c r="AM533" s="579"/>
      <c r="AN533" s="579"/>
      <c r="AO533" s="347"/>
      <c r="AP533" s="586"/>
      <c r="AQ533" s="596"/>
      <c r="AR533" s="596"/>
      <c r="AS533" s="348"/>
      <c r="AT533" s="348"/>
      <c r="AU533" s="348"/>
      <c r="AV533" s="348"/>
      <c r="AW533" s="348"/>
      <c r="AX533" s="584"/>
      <c r="AY533" s="581"/>
      <c r="AZ533" s="581"/>
      <c r="BA533" s="596"/>
      <c r="BB533" s="596"/>
      <c r="BC533" s="348"/>
      <c r="BD533" s="581"/>
      <c r="BE533" s="581"/>
      <c r="BF533" s="347"/>
      <c r="BG533" s="347"/>
      <c r="BH533" s="347"/>
      <c r="BI533" s="347"/>
      <c r="BJ533" s="586"/>
      <c r="BK533" s="581"/>
      <c r="BL533" s="347"/>
      <c r="BM533" s="347"/>
      <c r="BN533" s="347"/>
      <c r="BO533" s="586"/>
      <c r="BP533" s="584"/>
      <c r="BQ533" s="347"/>
      <c r="BR533" s="586"/>
      <c r="BS533" s="588"/>
      <c r="BT533" s="586"/>
      <c r="BU533" s="589"/>
      <c r="BV533" s="581">
        <f t="shared" si="44"/>
        <v>0</v>
      </c>
      <c r="BW533" s="590"/>
      <c r="BX533" s="347"/>
      <c r="BY533" s="347"/>
      <c r="BZ533" s="347"/>
      <c r="CA533" s="586"/>
      <c r="CB533" s="581"/>
      <c r="CC533" s="581">
        <f t="shared" si="193"/>
        <v>0</v>
      </c>
      <c r="CD533" s="581"/>
      <c r="CE533" s="581"/>
      <c r="CF533" s="581"/>
      <c r="CG533" s="586"/>
      <c r="CH533" s="608"/>
      <c r="CI533" s="603"/>
      <c r="CJ533" s="347"/>
      <c r="CK533" s="347"/>
      <c r="CL533" s="347"/>
      <c r="CM533" s="347"/>
      <c r="CN533" s="347"/>
      <c r="CO533" s="347"/>
      <c r="CP533" s="347"/>
    </row>
    <row r="534">
      <c r="A534" s="574"/>
      <c r="B534" s="574"/>
      <c r="C534" s="347"/>
      <c r="D534" s="574"/>
      <c r="E534" s="347"/>
      <c r="F534" s="596"/>
      <c r="G534" s="596"/>
      <c r="H534" s="347"/>
      <c r="I534" s="347"/>
      <c r="J534" s="596"/>
      <c r="K534" s="609"/>
      <c r="L534" s="1"/>
      <c r="M534" s="347"/>
      <c r="N534" s="347"/>
      <c r="O534" s="579"/>
      <c r="P534" s="579"/>
      <c r="Q534" s="574"/>
      <c r="R534" s="347"/>
      <c r="S534" s="597"/>
      <c r="T534" s="347"/>
      <c r="U534" s="579"/>
      <c r="V534" s="579"/>
      <c r="W534" s="574"/>
      <c r="X534" s="347"/>
      <c r="Y534" s="347"/>
      <c r="Z534" s="347"/>
      <c r="AA534" s="579"/>
      <c r="AB534" s="581"/>
      <c r="AC534" s="347"/>
      <c r="AD534" s="347"/>
      <c r="AE534" s="347"/>
      <c r="AF534" s="347"/>
      <c r="AG534" s="579"/>
      <c r="AH534" s="579"/>
      <c r="AI534" s="582"/>
      <c r="AJ534" s="582"/>
      <c r="AK534" s="582"/>
      <c r="AL534" s="582"/>
      <c r="AM534" s="579"/>
      <c r="AN534" s="579"/>
      <c r="AO534" s="347"/>
      <c r="AP534" s="586"/>
      <c r="AQ534" s="596"/>
      <c r="AR534" s="596"/>
      <c r="AS534" s="348"/>
      <c r="AT534" s="348"/>
      <c r="AU534" s="348"/>
      <c r="AV534" s="348"/>
      <c r="AW534" s="348"/>
      <c r="AX534" s="584"/>
      <c r="AY534" s="581"/>
      <c r="AZ534" s="581"/>
      <c r="BA534" s="596"/>
      <c r="BB534" s="596"/>
      <c r="BC534" s="348"/>
      <c r="BD534" s="581"/>
      <c r="BE534" s="581"/>
      <c r="BF534" s="347"/>
      <c r="BG534" s="347"/>
      <c r="BH534" s="347"/>
      <c r="BI534" s="347"/>
      <c r="BJ534" s="586"/>
      <c r="BK534" s="581"/>
      <c r="BL534" s="347"/>
      <c r="BM534" s="347"/>
      <c r="BN534" s="347"/>
      <c r="BO534" s="586"/>
      <c r="BP534" s="584"/>
      <c r="BQ534" s="347"/>
      <c r="BR534" s="586"/>
      <c r="BS534" s="588"/>
      <c r="BT534" s="586"/>
      <c r="BU534" s="589"/>
      <c r="BV534" s="581">
        <f t="shared" si="44"/>
        <v>0</v>
      </c>
      <c r="BW534" s="590"/>
      <c r="BX534" s="347"/>
      <c r="BY534" s="347"/>
      <c r="BZ534" s="347"/>
      <c r="CA534" s="586"/>
      <c r="CB534" s="581"/>
      <c r="CC534" s="581">
        <f t="shared" si="193"/>
        <v>0</v>
      </c>
      <c r="CD534" s="581"/>
      <c r="CE534" s="581"/>
      <c r="CF534" s="581"/>
      <c r="CG534" s="586"/>
      <c r="CH534" s="608"/>
      <c r="CI534" s="603"/>
      <c r="CJ534" s="347"/>
      <c r="CK534" s="347"/>
      <c r="CL534" s="347"/>
      <c r="CM534" s="347"/>
      <c r="CN534" s="347"/>
      <c r="CO534" s="347"/>
      <c r="CP534" s="347"/>
    </row>
    <row r="535">
      <c r="A535" s="574"/>
      <c r="B535" s="574"/>
      <c r="C535" s="347"/>
      <c r="D535" s="574"/>
      <c r="E535" s="347"/>
      <c r="F535" s="596"/>
      <c r="G535" s="596"/>
      <c r="H535" s="347"/>
      <c r="I535" s="347"/>
      <c r="J535" s="596"/>
      <c r="K535" s="609"/>
      <c r="L535" s="1"/>
      <c r="M535" s="347"/>
      <c r="N535" s="347"/>
      <c r="O535" s="579"/>
      <c r="P535" s="579"/>
      <c r="Q535" s="574"/>
      <c r="R535" s="347"/>
      <c r="S535" s="597"/>
      <c r="T535" s="347"/>
      <c r="U535" s="579"/>
      <c r="V535" s="579"/>
      <c r="W535" s="574"/>
      <c r="X535" s="347"/>
      <c r="Y535" s="347"/>
      <c r="Z535" s="347"/>
      <c r="AA535" s="579"/>
      <c r="AB535" s="581"/>
      <c r="AC535" s="347"/>
      <c r="AD535" s="347"/>
      <c r="AE535" s="347"/>
      <c r="AF535" s="347"/>
      <c r="AG535" s="579"/>
      <c r="AH535" s="579"/>
      <c r="AI535" s="582"/>
      <c r="AJ535" s="582"/>
      <c r="AK535" s="582"/>
      <c r="AL535" s="582"/>
      <c r="AM535" s="579"/>
      <c r="AN535" s="579"/>
      <c r="AO535" s="347"/>
      <c r="AP535" s="586"/>
      <c r="AQ535" s="596"/>
      <c r="AR535" s="596"/>
      <c r="AS535" s="348"/>
      <c r="AT535" s="348"/>
      <c r="AU535" s="348"/>
      <c r="AV535" s="348"/>
      <c r="AW535" s="348"/>
      <c r="AX535" s="584"/>
      <c r="AY535" s="581"/>
      <c r="AZ535" s="581"/>
      <c r="BA535" s="596"/>
      <c r="BB535" s="596"/>
      <c r="BC535" s="348"/>
      <c r="BD535" s="581"/>
      <c r="BE535" s="581"/>
      <c r="BF535" s="347"/>
      <c r="BG535" s="347"/>
      <c r="BH535" s="347"/>
      <c r="BI535" s="347"/>
      <c r="BJ535" s="586"/>
      <c r="BK535" s="581"/>
      <c r="BL535" s="347"/>
      <c r="BM535" s="347"/>
      <c r="BN535" s="347"/>
      <c r="BO535" s="586"/>
      <c r="BP535" s="584"/>
      <c r="BQ535" s="347"/>
      <c r="BR535" s="586"/>
      <c r="BS535" s="588"/>
      <c r="BT535" s="586"/>
      <c r="BU535" s="589"/>
      <c r="BV535" s="581">
        <f t="shared" si="44"/>
        <v>0</v>
      </c>
      <c r="BW535" s="590"/>
      <c r="BX535" s="347"/>
      <c r="BY535" s="347"/>
      <c r="BZ535" s="347"/>
      <c r="CA535" s="586"/>
      <c r="CB535" s="581"/>
      <c r="CC535" s="581">
        <f t="shared" si="193"/>
        <v>0</v>
      </c>
      <c r="CD535" s="581"/>
      <c r="CE535" s="581"/>
      <c r="CF535" s="581"/>
      <c r="CG535" s="586"/>
      <c r="CH535" s="608"/>
      <c r="CI535" s="603"/>
      <c r="CJ535" s="347"/>
      <c r="CK535" s="347"/>
      <c r="CL535" s="347"/>
      <c r="CM535" s="347"/>
      <c r="CN535" s="347"/>
      <c r="CO535" s="347"/>
      <c r="CP535" s="347"/>
    </row>
    <row r="536">
      <c r="A536" s="574"/>
      <c r="B536" s="574"/>
      <c r="C536" s="347"/>
      <c r="D536" s="574"/>
      <c r="E536" s="347"/>
      <c r="F536" s="596"/>
      <c r="G536" s="596"/>
      <c r="H536" s="347"/>
      <c r="I536" s="347"/>
      <c r="J536" s="596"/>
      <c r="K536" s="609"/>
      <c r="L536" s="1"/>
      <c r="M536" s="347"/>
      <c r="N536" s="347"/>
      <c r="O536" s="579"/>
      <c r="P536" s="579"/>
      <c r="Q536" s="574"/>
      <c r="R536" s="347"/>
      <c r="S536" s="597"/>
      <c r="T536" s="347"/>
      <c r="U536" s="579"/>
      <c r="V536" s="579"/>
      <c r="W536" s="574"/>
      <c r="X536" s="347"/>
      <c r="Y536" s="347"/>
      <c r="Z536" s="347"/>
      <c r="AA536" s="579"/>
      <c r="AB536" s="581"/>
      <c r="AC536" s="347"/>
      <c r="AD536" s="347"/>
      <c r="AE536" s="347"/>
      <c r="AF536" s="347"/>
      <c r="AG536" s="579"/>
      <c r="AH536" s="579"/>
      <c r="AI536" s="582"/>
      <c r="AJ536" s="582"/>
      <c r="AK536" s="582"/>
      <c r="AL536" s="582"/>
      <c r="AM536" s="579"/>
      <c r="AN536" s="579"/>
      <c r="AO536" s="347"/>
      <c r="AP536" s="586"/>
      <c r="AQ536" s="596"/>
      <c r="AR536" s="596"/>
      <c r="AS536" s="348"/>
      <c r="AT536" s="348"/>
      <c r="AU536" s="348"/>
      <c r="AV536" s="348"/>
      <c r="AW536" s="348"/>
      <c r="AX536" s="584"/>
      <c r="AY536" s="581"/>
      <c r="AZ536" s="581"/>
      <c r="BA536" s="596"/>
      <c r="BB536" s="596"/>
      <c r="BC536" s="348"/>
      <c r="BD536" s="581"/>
      <c r="BE536" s="581"/>
      <c r="BF536" s="347"/>
      <c r="BG536" s="347"/>
      <c r="BH536" s="347"/>
      <c r="BI536" s="347"/>
      <c r="BJ536" s="586"/>
      <c r="BK536" s="581"/>
      <c r="BL536" s="347"/>
      <c r="BM536" s="347"/>
      <c r="BN536" s="347"/>
      <c r="BO536" s="586"/>
      <c r="BP536" s="584"/>
      <c r="BQ536" s="347"/>
      <c r="BR536" s="586"/>
      <c r="BS536" s="588"/>
      <c r="BT536" s="586"/>
      <c r="BU536" s="589"/>
      <c r="BV536" s="581">
        <f t="shared" si="44"/>
        <v>0</v>
      </c>
      <c r="BW536" s="590"/>
      <c r="BX536" s="347"/>
      <c r="BY536" s="347"/>
      <c r="BZ536" s="347"/>
      <c r="CA536" s="586"/>
      <c r="CB536" s="581"/>
      <c r="CC536" s="581">
        <f t="shared" si="193"/>
        <v>0</v>
      </c>
      <c r="CD536" s="581"/>
      <c r="CE536" s="581"/>
      <c r="CF536" s="581"/>
      <c r="CG536" s="586"/>
      <c r="CH536" s="608"/>
      <c r="CI536" s="603"/>
      <c r="CJ536" s="347"/>
      <c r="CK536" s="347"/>
      <c r="CL536" s="347"/>
      <c r="CM536" s="347"/>
      <c r="CN536" s="347"/>
      <c r="CO536" s="347"/>
      <c r="CP536" s="347"/>
    </row>
    <row r="537">
      <c r="A537" s="574"/>
      <c r="B537" s="574"/>
      <c r="C537" s="347"/>
      <c r="D537" s="574"/>
      <c r="E537" s="347"/>
      <c r="F537" s="596"/>
      <c r="G537" s="596"/>
      <c r="H537" s="347"/>
      <c r="I537" s="347"/>
      <c r="J537" s="596"/>
      <c r="K537" s="609"/>
      <c r="L537" s="1"/>
      <c r="M537" s="347"/>
      <c r="N537" s="347"/>
      <c r="O537" s="579"/>
      <c r="P537" s="579"/>
      <c r="Q537" s="574"/>
      <c r="R537" s="347"/>
      <c r="S537" s="597"/>
      <c r="T537" s="347"/>
      <c r="U537" s="579"/>
      <c r="V537" s="579"/>
      <c r="W537" s="574"/>
      <c r="X537" s="347"/>
      <c r="Y537" s="347"/>
      <c r="Z537" s="347"/>
      <c r="AA537" s="579"/>
      <c r="AB537" s="581"/>
      <c r="AC537" s="347"/>
      <c r="AD537" s="347"/>
      <c r="AE537" s="347"/>
      <c r="AF537" s="347"/>
      <c r="AG537" s="579"/>
      <c r="AH537" s="579"/>
      <c r="AI537" s="582"/>
      <c r="AJ537" s="582"/>
      <c r="AK537" s="582"/>
      <c r="AL537" s="582"/>
      <c r="AM537" s="579"/>
      <c r="AN537" s="579"/>
      <c r="AO537" s="347"/>
      <c r="AP537" s="586"/>
      <c r="AQ537" s="596"/>
      <c r="AR537" s="596"/>
      <c r="AS537" s="348"/>
      <c r="AT537" s="348"/>
      <c r="AU537" s="348"/>
      <c r="AV537" s="348"/>
      <c r="AW537" s="348"/>
      <c r="AX537" s="584"/>
      <c r="AY537" s="581"/>
      <c r="AZ537" s="581"/>
      <c r="BA537" s="596"/>
      <c r="BB537" s="596"/>
      <c r="BC537" s="348"/>
      <c r="BD537" s="581"/>
      <c r="BE537" s="581"/>
      <c r="BF537" s="347"/>
      <c r="BG537" s="347"/>
      <c r="BH537" s="347"/>
      <c r="BI537" s="347"/>
      <c r="BJ537" s="586"/>
      <c r="BK537" s="581"/>
      <c r="BL537" s="347"/>
      <c r="BM537" s="347"/>
      <c r="BN537" s="347"/>
      <c r="BO537" s="586"/>
      <c r="BP537" s="584"/>
      <c r="BQ537" s="347"/>
      <c r="BR537" s="586"/>
      <c r="BS537" s="588"/>
      <c r="BT537" s="586"/>
      <c r="BU537" s="589"/>
      <c r="BV537" s="581">
        <f t="shared" si="44"/>
        <v>0</v>
      </c>
      <c r="BW537" s="590"/>
      <c r="BX537" s="347"/>
      <c r="BY537" s="347"/>
      <c r="BZ537" s="347"/>
      <c r="CA537" s="586"/>
      <c r="CB537" s="581"/>
      <c r="CC537" s="581">
        <f t="shared" si="193"/>
        <v>0</v>
      </c>
      <c r="CD537" s="581"/>
      <c r="CE537" s="581"/>
      <c r="CF537" s="581"/>
      <c r="CG537" s="586"/>
      <c r="CH537" s="608"/>
      <c r="CI537" s="603"/>
      <c r="CJ537" s="347"/>
      <c r="CK537" s="347"/>
      <c r="CL537" s="347"/>
      <c r="CM537" s="347"/>
      <c r="CN537" s="347"/>
      <c r="CO537" s="347"/>
      <c r="CP537" s="347"/>
    </row>
    <row r="538">
      <c r="A538" s="574"/>
      <c r="B538" s="574"/>
      <c r="C538" s="347"/>
      <c r="D538" s="574"/>
      <c r="E538" s="347"/>
      <c r="F538" s="596"/>
      <c r="G538" s="596"/>
      <c r="H538" s="347"/>
      <c r="I538" s="347"/>
      <c r="J538" s="596"/>
      <c r="K538" s="609"/>
      <c r="L538" s="1"/>
      <c r="M538" s="347"/>
      <c r="N538" s="347"/>
      <c r="O538" s="579"/>
      <c r="P538" s="579"/>
      <c r="Q538" s="574"/>
      <c r="R538" s="347"/>
      <c r="S538" s="597"/>
      <c r="T538" s="347"/>
      <c r="U538" s="579"/>
      <c r="V538" s="579"/>
      <c r="W538" s="574"/>
      <c r="X538" s="347"/>
      <c r="Y538" s="347"/>
      <c r="Z538" s="347"/>
      <c r="AA538" s="579"/>
      <c r="AB538" s="581"/>
      <c r="AC538" s="347"/>
      <c r="AD538" s="347"/>
      <c r="AE538" s="347"/>
      <c r="AF538" s="347"/>
      <c r="AG538" s="579"/>
      <c r="AH538" s="579"/>
      <c r="AI538" s="582"/>
      <c r="AJ538" s="582"/>
      <c r="AK538" s="582"/>
      <c r="AL538" s="582"/>
      <c r="AM538" s="579"/>
      <c r="AN538" s="579"/>
      <c r="AO538" s="347"/>
      <c r="AP538" s="586"/>
      <c r="AQ538" s="596"/>
      <c r="AR538" s="596"/>
      <c r="AS538" s="348"/>
      <c r="AT538" s="348"/>
      <c r="AU538" s="348"/>
      <c r="AV538" s="348"/>
      <c r="AW538" s="348"/>
      <c r="AX538" s="584"/>
      <c r="AY538" s="581"/>
      <c r="AZ538" s="581"/>
      <c r="BA538" s="596"/>
      <c r="BB538" s="596"/>
      <c r="BC538" s="348"/>
      <c r="BD538" s="581"/>
      <c r="BE538" s="581"/>
      <c r="BF538" s="347"/>
      <c r="BG538" s="347"/>
      <c r="BH538" s="347"/>
      <c r="BI538" s="347"/>
      <c r="BJ538" s="586"/>
      <c r="BK538" s="581"/>
      <c r="BL538" s="347"/>
      <c r="BM538" s="347"/>
      <c r="BN538" s="347"/>
      <c r="BO538" s="586"/>
      <c r="BP538" s="584"/>
      <c r="BQ538" s="347"/>
      <c r="BR538" s="586"/>
      <c r="BS538" s="588"/>
      <c r="BT538" s="586"/>
      <c r="BU538" s="589"/>
      <c r="BV538" s="581">
        <f t="shared" si="44"/>
        <v>0</v>
      </c>
      <c r="BW538" s="590"/>
      <c r="BX538" s="347"/>
      <c r="BY538" s="347"/>
      <c r="BZ538" s="347"/>
      <c r="CA538" s="586"/>
      <c r="CB538" s="581"/>
      <c r="CC538" s="581">
        <f t="shared" si="193"/>
        <v>0</v>
      </c>
      <c r="CD538" s="581"/>
      <c r="CE538" s="581"/>
      <c r="CF538" s="581"/>
      <c r="CG538" s="586"/>
      <c r="CH538" s="608"/>
      <c r="CI538" s="603"/>
      <c r="CJ538" s="347"/>
      <c r="CK538" s="347"/>
      <c r="CL538" s="347"/>
      <c r="CM538" s="347"/>
      <c r="CN538" s="347"/>
      <c r="CO538" s="347"/>
      <c r="CP538" s="347"/>
    </row>
    <row r="539">
      <c r="A539" s="574"/>
      <c r="B539" s="574"/>
      <c r="C539" s="347"/>
      <c r="D539" s="574"/>
      <c r="E539" s="347"/>
      <c r="F539" s="596"/>
      <c r="G539" s="596"/>
      <c r="H539" s="347"/>
      <c r="I539" s="347"/>
      <c r="J539" s="596"/>
      <c r="K539" s="609"/>
      <c r="L539" s="1"/>
      <c r="M539" s="347"/>
      <c r="N539" s="347"/>
      <c r="O539" s="579"/>
      <c r="P539" s="579"/>
      <c r="Q539" s="574"/>
      <c r="R539" s="347"/>
      <c r="S539" s="597"/>
      <c r="T539" s="347"/>
      <c r="U539" s="579"/>
      <c r="V539" s="579"/>
      <c r="W539" s="574"/>
      <c r="X539" s="347"/>
      <c r="Y539" s="347"/>
      <c r="Z539" s="347"/>
      <c r="AA539" s="579"/>
      <c r="AB539" s="581"/>
      <c r="AC539" s="347"/>
      <c r="AD539" s="347"/>
      <c r="AE539" s="347"/>
      <c r="AF539" s="347"/>
      <c r="AG539" s="579"/>
      <c r="AH539" s="579"/>
      <c r="AI539" s="582"/>
      <c r="AJ539" s="582"/>
      <c r="AK539" s="582"/>
      <c r="AL539" s="582"/>
      <c r="AM539" s="579"/>
      <c r="AN539" s="579"/>
      <c r="AO539" s="347"/>
      <c r="AP539" s="586"/>
      <c r="AQ539" s="596"/>
      <c r="AR539" s="596"/>
      <c r="AS539" s="348"/>
      <c r="AT539" s="348"/>
      <c r="AU539" s="348"/>
      <c r="AV539" s="348"/>
      <c r="AW539" s="348"/>
      <c r="AX539" s="584"/>
      <c r="AY539" s="581"/>
      <c r="AZ539" s="581"/>
      <c r="BA539" s="596"/>
      <c r="BB539" s="596"/>
      <c r="BC539" s="348"/>
      <c r="BD539" s="581"/>
      <c r="BE539" s="581"/>
      <c r="BF539" s="347"/>
      <c r="BG539" s="347"/>
      <c r="BH539" s="347"/>
      <c r="BI539" s="347"/>
      <c r="BJ539" s="586"/>
      <c r="BK539" s="581"/>
      <c r="BL539" s="347"/>
      <c r="BM539" s="347"/>
      <c r="BN539" s="347"/>
      <c r="BO539" s="586"/>
      <c r="BP539" s="584"/>
      <c r="BQ539" s="347"/>
      <c r="BR539" s="586"/>
      <c r="BS539" s="588"/>
      <c r="BT539" s="586"/>
      <c r="BU539" s="589"/>
      <c r="BV539" s="581">
        <f t="shared" si="44"/>
        <v>0</v>
      </c>
      <c r="BW539" s="590"/>
      <c r="BX539" s="347"/>
      <c r="BY539" s="347"/>
      <c r="BZ539" s="347"/>
      <c r="CA539" s="586"/>
      <c r="CB539" s="581"/>
      <c r="CC539" s="581">
        <f t="shared" si="193"/>
        <v>0</v>
      </c>
      <c r="CD539" s="581"/>
      <c r="CE539" s="581"/>
      <c r="CF539" s="581"/>
      <c r="CG539" s="586"/>
      <c r="CH539" s="608"/>
      <c r="CI539" s="603"/>
      <c r="CJ539" s="347"/>
      <c r="CK539" s="347"/>
      <c r="CL539" s="347"/>
      <c r="CM539" s="347"/>
      <c r="CN539" s="347"/>
      <c r="CO539" s="347"/>
      <c r="CP539" s="347"/>
    </row>
    <row r="540">
      <c r="A540" s="574"/>
      <c r="B540" s="574"/>
      <c r="C540" s="347"/>
      <c r="D540" s="574"/>
      <c r="E540" s="347"/>
      <c r="F540" s="596"/>
      <c r="G540" s="596"/>
      <c r="H540" s="347"/>
      <c r="I540" s="347"/>
      <c r="J540" s="596"/>
      <c r="K540" s="609"/>
      <c r="L540" s="1"/>
      <c r="M540" s="347"/>
      <c r="N540" s="347"/>
      <c r="O540" s="579"/>
      <c r="P540" s="579"/>
      <c r="Q540" s="574"/>
      <c r="R540" s="347"/>
      <c r="S540" s="597"/>
      <c r="T540" s="347"/>
      <c r="U540" s="579"/>
      <c r="V540" s="579"/>
      <c r="W540" s="574"/>
      <c r="X540" s="347"/>
      <c r="Y540" s="347"/>
      <c r="Z540" s="347"/>
      <c r="AA540" s="579"/>
      <c r="AB540" s="581"/>
      <c r="AC540" s="347"/>
      <c r="AD540" s="347"/>
      <c r="AE540" s="347"/>
      <c r="AF540" s="347"/>
      <c r="AG540" s="579"/>
      <c r="AH540" s="579"/>
      <c r="AI540" s="582"/>
      <c r="AJ540" s="582"/>
      <c r="AK540" s="582"/>
      <c r="AL540" s="582"/>
      <c r="AM540" s="579"/>
      <c r="AN540" s="579"/>
      <c r="AO540" s="347"/>
      <c r="AP540" s="586"/>
      <c r="AQ540" s="596"/>
      <c r="AR540" s="596"/>
      <c r="AS540" s="348"/>
      <c r="AT540" s="348"/>
      <c r="AU540" s="348"/>
      <c r="AV540" s="348"/>
      <c r="AW540" s="348"/>
      <c r="AX540" s="584"/>
      <c r="AY540" s="581"/>
      <c r="AZ540" s="581"/>
      <c r="BA540" s="596"/>
      <c r="BB540" s="596"/>
      <c r="BC540" s="348"/>
      <c r="BD540" s="581"/>
      <c r="BE540" s="581"/>
      <c r="BF540" s="347"/>
      <c r="BG540" s="347"/>
      <c r="BH540" s="347"/>
      <c r="BI540" s="347"/>
      <c r="BJ540" s="586"/>
      <c r="BK540" s="581"/>
      <c r="BL540" s="347"/>
      <c r="BM540" s="347"/>
      <c r="BN540" s="347"/>
      <c r="BO540" s="586"/>
      <c r="BP540" s="584"/>
      <c r="BQ540" s="347"/>
      <c r="BR540" s="586"/>
      <c r="BS540" s="588"/>
      <c r="BT540" s="586"/>
      <c r="BU540" s="589"/>
      <c r="BV540" s="581">
        <f t="shared" si="44"/>
        <v>0</v>
      </c>
      <c r="BW540" s="590"/>
      <c r="BX540" s="347"/>
      <c r="BY540" s="347"/>
      <c r="BZ540" s="347"/>
      <c r="CA540" s="586"/>
      <c r="CB540" s="581"/>
      <c r="CC540" s="581">
        <f t="shared" si="193"/>
        <v>0</v>
      </c>
      <c r="CD540" s="581"/>
      <c r="CE540" s="581"/>
      <c r="CF540" s="581"/>
      <c r="CG540" s="586"/>
      <c r="CH540" s="608"/>
      <c r="CI540" s="603"/>
      <c r="CJ540" s="347"/>
      <c r="CK540" s="347"/>
      <c r="CL540" s="347"/>
      <c r="CM540" s="347"/>
      <c r="CN540" s="347"/>
      <c r="CO540" s="347"/>
      <c r="CP540" s="347"/>
    </row>
    <row r="541">
      <c r="A541" s="574"/>
      <c r="B541" s="574"/>
      <c r="C541" s="347"/>
      <c r="D541" s="574"/>
      <c r="E541" s="347"/>
      <c r="F541" s="596"/>
      <c r="G541" s="596"/>
      <c r="H541" s="347"/>
      <c r="I541" s="347"/>
      <c r="J541" s="596"/>
      <c r="K541" s="609"/>
      <c r="L541" s="1"/>
      <c r="M541" s="347"/>
      <c r="N541" s="347"/>
      <c r="O541" s="579"/>
      <c r="P541" s="579"/>
      <c r="Q541" s="574"/>
      <c r="R541" s="347"/>
      <c r="S541" s="597"/>
      <c r="T541" s="347"/>
      <c r="U541" s="579"/>
      <c r="V541" s="579"/>
      <c r="W541" s="574"/>
      <c r="X541" s="347"/>
      <c r="Y541" s="347"/>
      <c r="Z541" s="347"/>
      <c r="AA541" s="579"/>
      <c r="AB541" s="581"/>
      <c r="AC541" s="347"/>
      <c r="AD541" s="347"/>
      <c r="AE541" s="347"/>
      <c r="AF541" s="347"/>
      <c r="AG541" s="579"/>
      <c r="AH541" s="579"/>
      <c r="AI541" s="582"/>
      <c r="AJ541" s="582"/>
      <c r="AK541" s="582"/>
      <c r="AL541" s="582"/>
      <c r="AM541" s="579"/>
      <c r="AN541" s="579"/>
      <c r="AO541" s="347"/>
      <c r="AP541" s="586"/>
      <c r="AQ541" s="596"/>
      <c r="AR541" s="596"/>
      <c r="AS541" s="348"/>
      <c r="AT541" s="348"/>
      <c r="AU541" s="348"/>
      <c r="AV541" s="348"/>
      <c r="AW541" s="348"/>
      <c r="AX541" s="584"/>
      <c r="AY541" s="581"/>
      <c r="AZ541" s="581"/>
      <c r="BA541" s="596"/>
      <c r="BB541" s="596"/>
      <c r="BC541" s="348"/>
      <c r="BD541" s="581"/>
      <c r="BE541" s="581"/>
      <c r="BF541" s="347"/>
      <c r="BG541" s="347"/>
      <c r="BH541" s="347"/>
      <c r="BI541" s="347"/>
      <c r="BJ541" s="586"/>
      <c r="BK541" s="581"/>
      <c r="BL541" s="347"/>
      <c r="BM541" s="347"/>
      <c r="BN541" s="347"/>
      <c r="BO541" s="586"/>
      <c r="BP541" s="584"/>
      <c r="BQ541" s="347"/>
      <c r="BR541" s="586"/>
      <c r="BS541" s="588"/>
      <c r="BT541" s="586"/>
      <c r="BU541" s="589"/>
      <c r="BV541" s="581">
        <f t="shared" si="44"/>
        <v>0</v>
      </c>
      <c r="BW541" s="590"/>
      <c r="BX541" s="347"/>
      <c r="BY541" s="347"/>
      <c r="BZ541" s="347"/>
      <c r="CA541" s="586"/>
      <c r="CB541" s="581"/>
      <c r="CC541" s="581">
        <f t="shared" si="193"/>
        <v>0</v>
      </c>
      <c r="CD541" s="581"/>
      <c r="CE541" s="581"/>
      <c r="CF541" s="581"/>
      <c r="CG541" s="586"/>
      <c r="CH541" s="608"/>
      <c r="CI541" s="603"/>
      <c r="CJ541" s="347"/>
      <c r="CK541" s="347"/>
      <c r="CL541" s="347"/>
      <c r="CM541" s="347"/>
      <c r="CN541" s="347"/>
      <c r="CO541" s="347"/>
      <c r="CP541" s="347"/>
    </row>
    <row r="542">
      <c r="A542" s="574"/>
      <c r="B542" s="574"/>
      <c r="C542" s="347"/>
      <c r="D542" s="574"/>
      <c r="E542" s="347"/>
      <c r="F542" s="596"/>
      <c r="G542" s="596"/>
      <c r="H542" s="347"/>
      <c r="I542" s="347"/>
      <c r="J542" s="596"/>
      <c r="K542" s="609"/>
      <c r="L542" s="1"/>
      <c r="M542" s="347"/>
      <c r="N542" s="347"/>
      <c r="O542" s="579"/>
      <c r="P542" s="579"/>
      <c r="Q542" s="574"/>
      <c r="R542" s="347"/>
      <c r="S542" s="597"/>
      <c r="T542" s="347"/>
      <c r="U542" s="579"/>
      <c r="V542" s="579"/>
      <c r="W542" s="574"/>
      <c r="X542" s="347"/>
      <c r="Y542" s="347"/>
      <c r="Z542" s="347"/>
      <c r="AA542" s="579"/>
      <c r="AB542" s="581"/>
      <c r="AC542" s="347"/>
      <c r="AD542" s="347"/>
      <c r="AE542" s="347"/>
      <c r="AF542" s="347"/>
      <c r="AG542" s="579"/>
      <c r="AH542" s="579"/>
      <c r="AI542" s="582"/>
      <c r="AJ542" s="582"/>
      <c r="AK542" s="582"/>
      <c r="AL542" s="582"/>
      <c r="AM542" s="579"/>
      <c r="AN542" s="579"/>
      <c r="AO542" s="347"/>
      <c r="AP542" s="586"/>
      <c r="AQ542" s="596"/>
      <c r="AR542" s="596"/>
      <c r="AS542" s="348"/>
      <c r="AT542" s="348"/>
      <c r="AU542" s="348"/>
      <c r="AV542" s="348"/>
      <c r="AW542" s="348"/>
      <c r="AX542" s="584"/>
      <c r="AY542" s="581"/>
      <c r="AZ542" s="581"/>
      <c r="BA542" s="596"/>
      <c r="BB542" s="596"/>
      <c r="BC542" s="348"/>
      <c r="BD542" s="581"/>
      <c r="BE542" s="581"/>
      <c r="BF542" s="347"/>
      <c r="BG542" s="347"/>
      <c r="BH542" s="347"/>
      <c r="BI542" s="347"/>
      <c r="BJ542" s="586"/>
      <c r="BK542" s="581"/>
      <c r="BL542" s="347"/>
      <c r="BM542" s="347"/>
      <c r="BN542" s="347"/>
      <c r="BO542" s="586"/>
      <c r="BP542" s="584"/>
      <c r="BQ542" s="347"/>
      <c r="BR542" s="586"/>
      <c r="BS542" s="588"/>
      <c r="BT542" s="586"/>
      <c r="BU542" s="589"/>
      <c r="BV542" s="581">
        <f t="shared" si="44"/>
        <v>0</v>
      </c>
      <c r="BW542" s="590"/>
      <c r="BX542" s="347"/>
      <c r="BY542" s="347"/>
      <c r="BZ542" s="347"/>
      <c r="CA542" s="586"/>
      <c r="CB542" s="581"/>
      <c r="CC542" s="581">
        <f t="shared" si="193"/>
        <v>0</v>
      </c>
      <c r="CD542" s="581"/>
      <c r="CE542" s="581"/>
      <c r="CF542" s="581"/>
      <c r="CG542" s="586"/>
      <c r="CH542" s="608"/>
      <c r="CI542" s="603"/>
      <c r="CJ542" s="347"/>
      <c r="CK542" s="347"/>
      <c r="CL542" s="347"/>
      <c r="CM542" s="347"/>
      <c r="CN542" s="347"/>
      <c r="CO542" s="347"/>
      <c r="CP542" s="347"/>
    </row>
    <row r="543">
      <c r="A543" s="574"/>
      <c r="B543" s="574"/>
      <c r="C543" s="347"/>
      <c r="D543" s="574"/>
      <c r="E543" s="347"/>
      <c r="F543" s="596"/>
      <c r="G543" s="596"/>
      <c r="H543" s="347"/>
      <c r="I543" s="347"/>
      <c r="J543" s="596"/>
      <c r="K543" s="609"/>
      <c r="L543" s="1"/>
      <c r="M543" s="347"/>
      <c r="N543" s="347"/>
      <c r="O543" s="579"/>
      <c r="P543" s="579"/>
      <c r="Q543" s="574"/>
      <c r="R543" s="347"/>
      <c r="S543" s="597"/>
      <c r="T543" s="347"/>
      <c r="U543" s="579"/>
      <c r="V543" s="579"/>
      <c r="W543" s="574"/>
      <c r="X543" s="347"/>
      <c r="Y543" s="347"/>
      <c r="Z543" s="347"/>
      <c r="AA543" s="579"/>
      <c r="AB543" s="581"/>
      <c r="AC543" s="347"/>
      <c r="AD543" s="347"/>
      <c r="AE543" s="347"/>
      <c r="AF543" s="347"/>
      <c r="AG543" s="579"/>
      <c r="AH543" s="579"/>
      <c r="AI543" s="582"/>
      <c r="AJ543" s="582"/>
      <c r="AK543" s="582"/>
      <c r="AL543" s="582"/>
      <c r="AM543" s="579"/>
      <c r="AN543" s="579"/>
      <c r="AO543" s="347"/>
      <c r="AP543" s="586"/>
      <c r="AQ543" s="596"/>
      <c r="AR543" s="596"/>
      <c r="AS543" s="348"/>
      <c r="AT543" s="348"/>
      <c r="AU543" s="348"/>
      <c r="AV543" s="348"/>
      <c r="AW543" s="348"/>
      <c r="AX543" s="584"/>
      <c r="AY543" s="581"/>
      <c r="AZ543" s="581"/>
      <c r="BA543" s="596"/>
      <c r="BB543" s="596"/>
      <c r="BC543" s="348"/>
      <c r="BD543" s="581"/>
      <c r="BE543" s="581"/>
      <c r="BF543" s="347"/>
      <c r="BG543" s="347"/>
      <c r="BH543" s="347"/>
      <c r="BI543" s="347"/>
      <c r="BJ543" s="586"/>
      <c r="BK543" s="581"/>
      <c r="BL543" s="347"/>
      <c r="BM543" s="347"/>
      <c r="BN543" s="347"/>
      <c r="BO543" s="586"/>
      <c r="BP543" s="584"/>
      <c r="BQ543" s="347"/>
      <c r="BR543" s="586"/>
      <c r="BS543" s="588"/>
      <c r="BT543" s="586"/>
      <c r="BU543" s="589"/>
      <c r="BV543" s="581">
        <f t="shared" si="44"/>
        <v>0</v>
      </c>
      <c r="BW543" s="590"/>
      <c r="BX543" s="347"/>
      <c r="BY543" s="347"/>
      <c r="BZ543" s="347"/>
      <c r="CA543" s="586"/>
      <c r="CB543" s="581"/>
      <c r="CC543" s="581">
        <f t="shared" si="193"/>
        <v>0</v>
      </c>
      <c r="CD543" s="581"/>
      <c r="CE543" s="581"/>
      <c r="CF543" s="581"/>
      <c r="CG543" s="586"/>
      <c r="CH543" s="608"/>
      <c r="CI543" s="603"/>
      <c r="CJ543" s="347"/>
      <c r="CK543" s="347"/>
      <c r="CL543" s="347"/>
      <c r="CM543" s="347"/>
      <c r="CN543" s="347"/>
      <c r="CO543" s="347"/>
      <c r="CP543" s="347"/>
    </row>
    <row r="544">
      <c r="A544" s="574"/>
      <c r="B544" s="574"/>
      <c r="C544" s="347"/>
      <c r="D544" s="574"/>
      <c r="E544" s="347"/>
      <c r="F544" s="596"/>
      <c r="G544" s="596"/>
      <c r="H544" s="347"/>
      <c r="I544" s="347"/>
      <c r="J544" s="596"/>
      <c r="K544" s="609"/>
      <c r="L544" s="1"/>
      <c r="M544" s="347"/>
      <c r="N544" s="347"/>
      <c r="O544" s="579"/>
      <c r="P544" s="579"/>
      <c r="Q544" s="574"/>
      <c r="R544" s="347"/>
      <c r="S544" s="597"/>
      <c r="T544" s="347"/>
      <c r="U544" s="579"/>
      <c r="V544" s="579"/>
      <c r="W544" s="574"/>
      <c r="X544" s="347"/>
      <c r="Y544" s="347"/>
      <c r="Z544" s="347"/>
      <c r="AA544" s="579"/>
      <c r="AB544" s="581"/>
      <c r="AC544" s="347"/>
      <c r="AD544" s="347"/>
      <c r="AE544" s="347"/>
      <c r="AF544" s="347"/>
      <c r="AG544" s="579"/>
      <c r="AH544" s="579"/>
      <c r="AI544" s="582"/>
      <c r="AJ544" s="582"/>
      <c r="AK544" s="582"/>
      <c r="AL544" s="582"/>
      <c r="AM544" s="579"/>
      <c r="AN544" s="579"/>
      <c r="AO544" s="347"/>
      <c r="AP544" s="586"/>
      <c r="AQ544" s="596"/>
      <c r="AR544" s="596"/>
      <c r="AS544" s="348"/>
      <c r="AT544" s="348"/>
      <c r="AU544" s="348"/>
      <c r="AV544" s="348"/>
      <c r="AW544" s="348"/>
      <c r="AX544" s="584"/>
      <c r="AY544" s="581"/>
      <c r="AZ544" s="581"/>
      <c r="BA544" s="596"/>
      <c r="BB544" s="596"/>
      <c r="BC544" s="348"/>
      <c r="BD544" s="581"/>
      <c r="BE544" s="581"/>
      <c r="BF544" s="347"/>
      <c r="BG544" s="347"/>
      <c r="BH544" s="347"/>
      <c r="BI544" s="347"/>
      <c r="BJ544" s="586"/>
      <c r="BK544" s="581"/>
      <c r="BL544" s="347"/>
      <c r="BM544" s="347"/>
      <c r="BN544" s="347"/>
      <c r="BO544" s="586"/>
      <c r="BP544" s="584"/>
      <c r="BQ544" s="347"/>
      <c r="BR544" s="586"/>
      <c r="BS544" s="588"/>
      <c r="BT544" s="586"/>
      <c r="BU544" s="589"/>
      <c r="BV544" s="581">
        <f t="shared" si="44"/>
        <v>0</v>
      </c>
      <c r="BW544" s="590"/>
      <c r="BX544" s="347"/>
      <c r="BY544" s="347"/>
      <c r="BZ544" s="347"/>
      <c r="CA544" s="586"/>
      <c r="CB544" s="581"/>
      <c r="CC544" s="581">
        <f t="shared" si="193"/>
        <v>0</v>
      </c>
      <c r="CD544" s="581"/>
      <c r="CE544" s="581"/>
      <c r="CF544" s="581"/>
      <c r="CG544" s="586"/>
      <c r="CH544" s="608"/>
      <c r="CI544" s="603"/>
      <c r="CJ544" s="347"/>
      <c r="CK544" s="347"/>
      <c r="CL544" s="347"/>
      <c r="CM544" s="347"/>
      <c r="CN544" s="347"/>
      <c r="CO544" s="347"/>
      <c r="CP544" s="347"/>
    </row>
    <row r="545">
      <c r="A545" s="574"/>
      <c r="B545" s="574"/>
      <c r="C545" s="347"/>
      <c r="D545" s="574"/>
      <c r="E545" s="347"/>
      <c r="F545" s="596"/>
      <c r="G545" s="596"/>
      <c r="H545" s="347"/>
      <c r="I545" s="347"/>
      <c r="J545" s="596"/>
      <c r="K545" s="609"/>
      <c r="L545" s="1"/>
      <c r="M545" s="347"/>
      <c r="N545" s="347"/>
      <c r="O545" s="579"/>
      <c r="P545" s="579"/>
      <c r="Q545" s="574"/>
      <c r="R545" s="347"/>
      <c r="S545" s="597"/>
      <c r="T545" s="347"/>
      <c r="U545" s="579"/>
      <c r="V545" s="579"/>
      <c r="W545" s="574"/>
      <c r="X545" s="347"/>
      <c r="Y545" s="347"/>
      <c r="Z545" s="347"/>
      <c r="AA545" s="579"/>
      <c r="AB545" s="581"/>
      <c r="AC545" s="347"/>
      <c r="AD545" s="347"/>
      <c r="AE545" s="347"/>
      <c r="AF545" s="347"/>
      <c r="AG545" s="579"/>
      <c r="AH545" s="579"/>
      <c r="AI545" s="582"/>
      <c r="AJ545" s="582"/>
      <c r="AK545" s="582"/>
      <c r="AL545" s="582"/>
      <c r="AM545" s="579"/>
      <c r="AN545" s="579"/>
      <c r="AO545" s="347"/>
      <c r="AP545" s="586"/>
      <c r="AQ545" s="596"/>
      <c r="AR545" s="596"/>
      <c r="AS545" s="348"/>
      <c r="AT545" s="348"/>
      <c r="AU545" s="348"/>
      <c r="AV545" s="348"/>
      <c r="AW545" s="348"/>
      <c r="AX545" s="584"/>
      <c r="AY545" s="581"/>
      <c r="AZ545" s="581"/>
      <c r="BA545" s="596"/>
      <c r="BB545" s="596"/>
      <c r="BC545" s="348"/>
      <c r="BD545" s="581"/>
      <c r="BE545" s="581"/>
      <c r="BF545" s="347"/>
      <c r="BG545" s="347"/>
      <c r="BH545" s="347"/>
      <c r="BI545" s="347"/>
      <c r="BJ545" s="586"/>
      <c r="BK545" s="581"/>
      <c r="BL545" s="347"/>
      <c r="BM545" s="347"/>
      <c r="BN545" s="347"/>
      <c r="BO545" s="586"/>
      <c r="BP545" s="584"/>
      <c r="BQ545" s="347"/>
      <c r="BR545" s="586"/>
      <c r="BS545" s="588"/>
      <c r="BT545" s="586"/>
      <c r="BU545" s="589"/>
      <c r="BV545" s="581">
        <f t="shared" si="44"/>
        <v>0</v>
      </c>
      <c r="BW545" s="590"/>
      <c r="BX545" s="347"/>
      <c r="BY545" s="347"/>
      <c r="BZ545" s="347"/>
      <c r="CA545" s="586"/>
      <c r="CB545" s="581"/>
      <c r="CC545" s="581">
        <f t="shared" si="193"/>
        <v>0</v>
      </c>
      <c r="CD545" s="581"/>
      <c r="CE545" s="581"/>
      <c r="CF545" s="581"/>
      <c r="CG545" s="586"/>
      <c r="CH545" s="608"/>
      <c r="CI545" s="603"/>
      <c r="CJ545" s="347"/>
      <c r="CK545" s="347"/>
      <c r="CL545" s="347"/>
      <c r="CM545" s="347"/>
      <c r="CN545" s="347"/>
      <c r="CO545" s="347"/>
      <c r="CP545" s="347"/>
    </row>
    <row r="546">
      <c r="A546" s="574"/>
      <c r="B546" s="574"/>
      <c r="C546" s="347"/>
      <c r="D546" s="574"/>
      <c r="E546" s="347"/>
      <c r="F546" s="596"/>
      <c r="G546" s="596"/>
      <c r="H546" s="347"/>
      <c r="I546" s="347"/>
      <c r="J546" s="596"/>
      <c r="K546" s="609"/>
      <c r="L546" s="1"/>
      <c r="M546" s="347"/>
      <c r="N546" s="347"/>
      <c r="O546" s="579"/>
      <c r="P546" s="579"/>
      <c r="Q546" s="574"/>
      <c r="R546" s="347"/>
      <c r="S546" s="597"/>
      <c r="T546" s="347"/>
      <c r="U546" s="579"/>
      <c r="V546" s="579"/>
      <c r="W546" s="574"/>
      <c r="X546" s="347"/>
      <c r="Y546" s="347"/>
      <c r="Z546" s="347"/>
      <c r="AA546" s="579"/>
      <c r="AB546" s="581"/>
      <c r="AC546" s="347"/>
      <c r="AD546" s="347"/>
      <c r="AE546" s="347"/>
      <c r="AF546" s="347"/>
      <c r="AG546" s="579"/>
      <c r="AH546" s="579"/>
      <c r="AI546" s="582"/>
      <c r="AJ546" s="582"/>
      <c r="AK546" s="582"/>
      <c r="AL546" s="582"/>
      <c r="AM546" s="579"/>
      <c r="AN546" s="579"/>
      <c r="AO546" s="347"/>
      <c r="AP546" s="586"/>
      <c r="AQ546" s="596"/>
      <c r="AR546" s="596"/>
      <c r="AS546" s="348"/>
      <c r="AT546" s="348"/>
      <c r="AU546" s="348"/>
      <c r="AV546" s="348"/>
      <c r="AW546" s="348"/>
      <c r="AX546" s="584"/>
      <c r="AY546" s="581"/>
      <c r="AZ546" s="581"/>
      <c r="BA546" s="596"/>
      <c r="BB546" s="596"/>
      <c r="BC546" s="348"/>
      <c r="BD546" s="581"/>
      <c r="BE546" s="581"/>
      <c r="BF546" s="347"/>
      <c r="BG546" s="347"/>
      <c r="BH546" s="347"/>
      <c r="BI546" s="347"/>
      <c r="BJ546" s="586"/>
      <c r="BK546" s="581"/>
      <c r="BL546" s="347"/>
      <c r="BM546" s="347"/>
      <c r="BN546" s="347"/>
      <c r="BO546" s="586"/>
      <c r="BP546" s="584"/>
      <c r="BQ546" s="347"/>
      <c r="BR546" s="586"/>
      <c r="BS546" s="588"/>
      <c r="BT546" s="586"/>
      <c r="BU546" s="589"/>
      <c r="BV546" s="581">
        <f t="shared" si="44"/>
        <v>0</v>
      </c>
      <c r="BW546" s="590"/>
      <c r="BX546" s="347"/>
      <c r="BY546" s="347"/>
      <c r="BZ546" s="347"/>
      <c r="CA546" s="586"/>
      <c r="CB546" s="581"/>
      <c r="CC546" s="581">
        <f t="shared" si="193"/>
        <v>0</v>
      </c>
      <c r="CD546" s="581"/>
      <c r="CE546" s="581"/>
      <c r="CF546" s="581"/>
      <c r="CG546" s="586"/>
      <c r="CH546" s="608"/>
      <c r="CI546" s="603"/>
      <c r="CJ546" s="347"/>
      <c r="CK546" s="347"/>
      <c r="CL546" s="347"/>
      <c r="CM546" s="347"/>
      <c r="CN546" s="347"/>
      <c r="CO546" s="347"/>
      <c r="CP546" s="347"/>
    </row>
    <row r="547">
      <c r="A547" s="574"/>
      <c r="B547" s="574"/>
      <c r="C547" s="347"/>
      <c r="D547" s="574"/>
      <c r="E547" s="347"/>
      <c r="F547" s="596"/>
      <c r="G547" s="596"/>
      <c r="H547" s="347"/>
      <c r="I547" s="347"/>
      <c r="J547" s="596"/>
      <c r="K547" s="609"/>
      <c r="L547" s="1"/>
      <c r="M547" s="347"/>
      <c r="N547" s="347"/>
      <c r="O547" s="579"/>
      <c r="P547" s="579"/>
      <c r="Q547" s="574"/>
      <c r="R547" s="347"/>
      <c r="S547" s="597"/>
      <c r="T547" s="347"/>
      <c r="U547" s="579"/>
      <c r="V547" s="579"/>
      <c r="W547" s="574"/>
      <c r="X547" s="347"/>
      <c r="Y547" s="347"/>
      <c r="Z547" s="347"/>
      <c r="AA547" s="579"/>
      <c r="AB547" s="581"/>
      <c r="AC547" s="347"/>
      <c r="AD547" s="347"/>
      <c r="AE547" s="347"/>
      <c r="AF547" s="347"/>
      <c r="AG547" s="579"/>
      <c r="AH547" s="579"/>
      <c r="AI547" s="582"/>
      <c r="AJ547" s="582"/>
      <c r="AK547" s="582"/>
      <c r="AL547" s="582"/>
      <c r="AM547" s="579"/>
      <c r="AN547" s="579"/>
      <c r="AO547" s="347"/>
      <c r="AP547" s="586"/>
      <c r="AQ547" s="596"/>
      <c r="AR547" s="596"/>
      <c r="AS547" s="348"/>
      <c r="AT547" s="348"/>
      <c r="AU547" s="348"/>
      <c r="AV547" s="348"/>
      <c r="AW547" s="348"/>
      <c r="AX547" s="584"/>
      <c r="AY547" s="581"/>
      <c r="AZ547" s="581"/>
      <c r="BA547" s="596"/>
      <c r="BB547" s="596"/>
      <c r="BC547" s="348"/>
      <c r="BD547" s="581"/>
      <c r="BE547" s="581"/>
      <c r="BF547" s="347"/>
      <c r="BG547" s="347"/>
      <c r="BH547" s="347"/>
      <c r="BI547" s="347"/>
      <c r="BJ547" s="586"/>
      <c r="BK547" s="581"/>
      <c r="BL547" s="347"/>
      <c r="BM547" s="347"/>
      <c r="BN547" s="347"/>
      <c r="BO547" s="586"/>
      <c r="BP547" s="584"/>
      <c r="BQ547" s="347"/>
      <c r="BR547" s="586"/>
      <c r="BS547" s="588"/>
      <c r="BT547" s="586"/>
      <c r="BU547" s="589"/>
      <c r="BV547" s="581">
        <f t="shared" si="44"/>
        <v>0</v>
      </c>
      <c r="BW547" s="590"/>
      <c r="BX547" s="347"/>
      <c r="BY547" s="347"/>
      <c r="BZ547" s="347"/>
      <c r="CA547" s="586"/>
      <c r="CB547" s="581"/>
      <c r="CC547" s="581">
        <f t="shared" si="193"/>
        <v>0</v>
      </c>
      <c r="CD547" s="581"/>
      <c r="CE547" s="581"/>
      <c r="CF547" s="581"/>
      <c r="CG547" s="586"/>
      <c r="CH547" s="608"/>
      <c r="CI547" s="603"/>
      <c r="CJ547" s="347"/>
      <c r="CK547" s="347"/>
      <c r="CL547" s="347"/>
      <c r="CM547" s="347"/>
      <c r="CN547" s="347"/>
      <c r="CO547" s="347"/>
      <c r="CP547" s="347"/>
    </row>
    <row r="548">
      <c r="A548" s="574"/>
      <c r="B548" s="574"/>
      <c r="C548" s="347"/>
      <c r="D548" s="574"/>
      <c r="E548" s="347"/>
      <c r="F548" s="596"/>
      <c r="G548" s="596"/>
      <c r="H548" s="347"/>
      <c r="I548" s="347"/>
      <c r="J548" s="596"/>
      <c r="K548" s="609"/>
      <c r="L548" s="1"/>
      <c r="M548" s="347"/>
      <c r="N548" s="347"/>
      <c r="O548" s="579"/>
      <c r="P548" s="579"/>
      <c r="Q548" s="574"/>
      <c r="R548" s="347"/>
      <c r="S548" s="597"/>
      <c r="T548" s="347"/>
      <c r="U548" s="579"/>
      <c r="V548" s="579"/>
      <c r="W548" s="574"/>
      <c r="X548" s="347"/>
      <c r="Y548" s="347"/>
      <c r="Z548" s="347"/>
      <c r="AA548" s="579"/>
      <c r="AB548" s="581"/>
      <c r="AC548" s="347"/>
      <c r="AD548" s="347"/>
      <c r="AE548" s="347"/>
      <c r="AF548" s="347"/>
      <c r="AG548" s="579"/>
      <c r="AH548" s="579"/>
      <c r="AI548" s="582"/>
      <c r="AJ548" s="582"/>
      <c r="AK548" s="582"/>
      <c r="AL548" s="582"/>
      <c r="AM548" s="579"/>
      <c r="AN548" s="579"/>
      <c r="AO548" s="347"/>
      <c r="AP548" s="586"/>
      <c r="AQ548" s="596"/>
      <c r="AR548" s="596"/>
      <c r="AS548" s="348"/>
      <c r="AT548" s="348"/>
      <c r="AU548" s="348"/>
      <c r="AV548" s="348"/>
      <c r="AW548" s="348"/>
      <c r="AX548" s="584"/>
      <c r="AY548" s="581"/>
      <c r="AZ548" s="581"/>
      <c r="BA548" s="596"/>
      <c r="BB548" s="596"/>
      <c r="BC548" s="348"/>
      <c r="BD548" s="581"/>
      <c r="BE548" s="581"/>
      <c r="BF548" s="347"/>
      <c r="BG548" s="347"/>
      <c r="BH548" s="347"/>
      <c r="BI548" s="347"/>
      <c r="BJ548" s="586"/>
      <c r="BK548" s="581"/>
      <c r="BL548" s="347"/>
      <c r="BM548" s="347"/>
      <c r="BN548" s="347"/>
      <c r="BO548" s="586"/>
      <c r="BP548" s="584"/>
      <c r="BQ548" s="347"/>
      <c r="BR548" s="586"/>
      <c r="BS548" s="588"/>
      <c r="BT548" s="586"/>
      <c r="BU548" s="589"/>
      <c r="BV548" s="581">
        <f t="shared" si="44"/>
        <v>0</v>
      </c>
      <c r="BW548" s="590"/>
      <c r="BX548" s="347"/>
      <c r="BY548" s="347"/>
      <c r="BZ548" s="347"/>
      <c r="CA548" s="586"/>
      <c r="CB548" s="581"/>
      <c r="CC548" s="581">
        <f t="shared" si="193"/>
        <v>0</v>
      </c>
      <c r="CD548" s="581"/>
      <c r="CE548" s="581"/>
      <c r="CF548" s="581"/>
      <c r="CG548" s="586"/>
      <c r="CH548" s="608"/>
      <c r="CI548" s="603"/>
      <c r="CJ548" s="347"/>
      <c r="CK548" s="347"/>
      <c r="CL548" s="347"/>
      <c r="CM548" s="347"/>
      <c r="CN548" s="347"/>
      <c r="CO548" s="347"/>
      <c r="CP548" s="347"/>
    </row>
    <row r="549">
      <c r="A549" s="574"/>
      <c r="B549" s="574"/>
      <c r="C549" s="347"/>
      <c r="D549" s="574"/>
      <c r="E549" s="347"/>
      <c r="F549" s="596"/>
      <c r="G549" s="596"/>
      <c r="H549" s="347"/>
      <c r="I549" s="347"/>
      <c r="J549" s="596"/>
      <c r="K549" s="609"/>
      <c r="L549" s="1"/>
      <c r="M549" s="347"/>
      <c r="N549" s="347"/>
      <c r="O549" s="579"/>
      <c r="P549" s="579"/>
      <c r="Q549" s="574"/>
      <c r="R549" s="347"/>
      <c r="S549" s="597"/>
      <c r="T549" s="347"/>
      <c r="U549" s="579"/>
      <c r="V549" s="579"/>
      <c r="W549" s="574"/>
      <c r="X549" s="347"/>
      <c r="Y549" s="347"/>
      <c r="Z549" s="347"/>
      <c r="AA549" s="579"/>
      <c r="AB549" s="581"/>
      <c r="AC549" s="347"/>
      <c r="AD549" s="347"/>
      <c r="AE549" s="347"/>
      <c r="AF549" s="347"/>
      <c r="AG549" s="579"/>
      <c r="AH549" s="579"/>
      <c r="AI549" s="582"/>
      <c r="AJ549" s="582"/>
      <c r="AK549" s="582"/>
      <c r="AL549" s="582"/>
      <c r="AM549" s="579"/>
      <c r="AN549" s="579"/>
      <c r="AO549" s="347"/>
      <c r="AP549" s="586"/>
      <c r="AQ549" s="596"/>
      <c r="AR549" s="596"/>
      <c r="AS549" s="348"/>
      <c r="AT549" s="348"/>
      <c r="AU549" s="348"/>
      <c r="AV549" s="348"/>
      <c r="AW549" s="348"/>
      <c r="AX549" s="584"/>
      <c r="AY549" s="581"/>
      <c r="AZ549" s="581"/>
      <c r="BA549" s="596"/>
      <c r="BB549" s="596"/>
      <c r="BC549" s="348"/>
      <c r="BD549" s="581"/>
      <c r="BE549" s="581"/>
      <c r="BF549" s="347"/>
      <c r="BG549" s="347"/>
      <c r="BH549" s="347"/>
      <c r="BI549" s="347"/>
      <c r="BJ549" s="586"/>
      <c r="BK549" s="581"/>
      <c r="BL549" s="347"/>
      <c r="BM549" s="347"/>
      <c r="BN549" s="347"/>
      <c r="BO549" s="586"/>
      <c r="BP549" s="584"/>
      <c r="BQ549" s="347"/>
      <c r="BR549" s="586"/>
      <c r="BS549" s="588"/>
      <c r="BT549" s="586"/>
      <c r="BU549" s="589"/>
      <c r="BV549" s="581">
        <f t="shared" si="44"/>
        <v>0</v>
      </c>
      <c r="BW549" s="590"/>
      <c r="BX549" s="347"/>
      <c r="BY549" s="347"/>
      <c r="BZ549" s="347"/>
      <c r="CA549" s="586"/>
      <c r="CB549" s="581"/>
      <c r="CC549" s="581">
        <f t="shared" si="193"/>
        <v>0</v>
      </c>
      <c r="CD549" s="581"/>
      <c r="CE549" s="581"/>
      <c r="CF549" s="581"/>
      <c r="CG549" s="586"/>
      <c r="CH549" s="608"/>
      <c r="CI549" s="603"/>
      <c r="CJ549" s="347"/>
      <c r="CK549" s="347"/>
      <c r="CL549" s="347"/>
      <c r="CM549" s="347"/>
      <c r="CN549" s="347"/>
      <c r="CO549" s="347"/>
      <c r="CP549" s="347"/>
    </row>
    <row r="550">
      <c r="A550" s="574"/>
      <c r="B550" s="574"/>
      <c r="C550" s="347"/>
      <c r="D550" s="574"/>
      <c r="E550" s="347"/>
      <c r="F550" s="596"/>
      <c r="G550" s="596"/>
      <c r="H550" s="347"/>
      <c r="I550" s="347"/>
      <c r="J550" s="596"/>
      <c r="K550" s="609"/>
      <c r="L550" s="1"/>
      <c r="M550" s="347"/>
      <c r="N550" s="347"/>
      <c r="O550" s="579"/>
      <c r="P550" s="579"/>
      <c r="Q550" s="574"/>
      <c r="R550" s="347"/>
      <c r="S550" s="597"/>
      <c r="T550" s="347"/>
      <c r="U550" s="579"/>
      <c r="V550" s="579"/>
      <c r="W550" s="574"/>
      <c r="X550" s="347"/>
      <c r="Y550" s="347"/>
      <c r="Z550" s="347"/>
      <c r="AA550" s="579"/>
      <c r="AB550" s="581"/>
      <c r="AC550" s="347"/>
      <c r="AD550" s="347"/>
      <c r="AE550" s="347"/>
      <c r="AF550" s="347"/>
      <c r="AG550" s="579"/>
      <c r="AH550" s="579"/>
      <c r="AI550" s="582"/>
      <c r="AJ550" s="582"/>
      <c r="AK550" s="582"/>
      <c r="AL550" s="582"/>
      <c r="AM550" s="579"/>
      <c r="AN550" s="579"/>
      <c r="AO550" s="347"/>
      <c r="AP550" s="586"/>
      <c r="AQ550" s="596"/>
      <c r="AR550" s="596"/>
      <c r="AS550" s="348"/>
      <c r="AT550" s="348"/>
      <c r="AU550" s="348"/>
      <c r="AV550" s="348"/>
      <c r="AW550" s="348"/>
      <c r="AX550" s="584"/>
      <c r="AY550" s="581"/>
      <c r="AZ550" s="581"/>
      <c r="BA550" s="596"/>
      <c r="BB550" s="596"/>
      <c r="BC550" s="348"/>
      <c r="BD550" s="581"/>
      <c r="BE550" s="581"/>
      <c r="BF550" s="347"/>
      <c r="BG550" s="347"/>
      <c r="BH550" s="347"/>
      <c r="BI550" s="347"/>
      <c r="BJ550" s="586"/>
      <c r="BK550" s="581"/>
      <c r="BL550" s="347"/>
      <c r="BM550" s="347"/>
      <c r="BN550" s="347"/>
      <c r="BO550" s="586"/>
      <c r="BP550" s="584"/>
      <c r="BQ550" s="347"/>
      <c r="BR550" s="586"/>
      <c r="BS550" s="588"/>
      <c r="BT550" s="586"/>
      <c r="BU550" s="589"/>
      <c r="BV550" s="581">
        <f t="shared" si="44"/>
        <v>0</v>
      </c>
      <c r="BW550" s="590"/>
      <c r="BX550" s="347"/>
      <c r="BY550" s="347"/>
      <c r="BZ550" s="347"/>
      <c r="CA550" s="586"/>
      <c r="CB550" s="581"/>
      <c r="CC550" s="581">
        <f t="shared" si="193"/>
        <v>0</v>
      </c>
      <c r="CD550" s="581"/>
      <c r="CE550" s="581"/>
      <c r="CF550" s="581"/>
      <c r="CG550" s="586"/>
      <c r="CH550" s="608"/>
      <c r="CI550" s="603"/>
      <c r="CJ550" s="347"/>
      <c r="CK550" s="347"/>
      <c r="CL550" s="347"/>
      <c r="CM550" s="347"/>
      <c r="CN550" s="347"/>
      <c r="CO550" s="347"/>
      <c r="CP550" s="347"/>
    </row>
    <row r="551">
      <c r="A551" s="574"/>
      <c r="B551" s="574"/>
      <c r="C551" s="347"/>
      <c r="D551" s="574"/>
      <c r="E551" s="347"/>
      <c r="F551" s="596"/>
      <c r="G551" s="596"/>
      <c r="H551" s="347"/>
      <c r="I551" s="347"/>
      <c r="J551" s="596"/>
      <c r="K551" s="609"/>
      <c r="L551" s="1"/>
      <c r="M551" s="347"/>
      <c r="N551" s="347"/>
      <c r="O551" s="579"/>
      <c r="P551" s="579"/>
      <c r="Q551" s="574"/>
      <c r="R551" s="347"/>
      <c r="S551" s="597"/>
      <c r="T551" s="347"/>
      <c r="U551" s="579"/>
      <c r="V551" s="579"/>
      <c r="W551" s="574"/>
      <c r="X551" s="347"/>
      <c r="Y551" s="347"/>
      <c r="Z551" s="347"/>
      <c r="AA551" s="579"/>
      <c r="AB551" s="581"/>
      <c r="AC551" s="347"/>
      <c r="AD551" s="347"/>
      <c r="AE551" s="347"/>
      <c r="AF551" s="347"/>
      <c r="AG551" s="579"/>
      <c r="AH551" s="579"/>
      <c r="AI551" s="582"/>
      <c r="AJ551" s="582"/>
      <c r="AK551" s="582"/>
      <c r="AL551" s="582"/>
      <c r="AM551" s="579"/>
      <c r="AN551" s="579"/>
      <c r="AO551" s="347"/>
      <c r="AP551" s="586"/>
      <c r="AQ551" s="596"/>
      <c r="AR551" s="596"/>
      <c r="AS551" s="348"/>
      <c r="AT551" s="348"/>
      <c r="AU551" s="348"/>
      <c r="AV551" s="348"/>
      <c r="AW551" s="348"/>
      <c r="AX551" s="584"/>
      <c r="AY551" s="581"/>
      <c r="AZ551" s="581"/>
      <c r="BA551" s="596"/>
      <c r="BB551" s="596"/>
      <c r="BC551" s="348"/>
      <c r="BD551" s="581"/>
      <c r="BE551" s="581"/>
      <c r="BF551" s="347"/>
      <c r="BG551" s="347"/>
      <c r="BH551" s="347"/>
      <c r="BI551" s="347"/>
      <c r="BJ551" s="586"/>
      <c r="BK551" s="581"/>
      <c r="BL551" s="347"/>
      <c r="BM551" s="347"/>
      <c r="BN551" s="347"/>
      <c r="BO551" s="586"/>
      <c r="BP551" s="584"/>
      <c r="BQ551" s="347"/>
      <c r="BR551" s="586"/>
      <c r="BS551" s="588"/>
      <c r="BT551" s="586"/>
      <c r="BU551" s="589"/>
      <c r="BV551" s="581">
        <f t="shared" si="44"/>
        <v>0</v>
      </c>
      <c r="BW551" s="590"/>
      <c r="BX551" s="347"/>
      <c r="BY551" s="347"/>
      <c r="BZ551" s="347"/>
      <c r="CA551" s="586"/>
      <c r="CB551" s="581"/>
      <c r="CC551" s="581">
        <f t="shared" si="193"/>
        <v>0</v>
      </c>
      <c r="CD551" s="581"/>
      <c r="CE551" s="581"/>
      <c r="CF551" s="581"/>
      <c r="CG551" s="586"/>
      <c r="CH551" s="608"/>
      <c r="CI551" s="603"/>
      <c r="CJ551" s="347"/>
      <c r="CK551" s="347"/>
      <c r="CL551" s="347"/>
      <c r="CM551" s="347"/>
      <c r="CN551" s="347"/>
      <c r="CO551" s="347"/>
      <c r="CP551" s="347"/>
    </row>
    <row r="552">
      <c r="A552" s="574"/>
      <c r="B552" s="574"/>
      <c r="C552" s="347"/>
      <c r="D552" s="574"/>
      <c r="E552" s="347"/>
      <c r="F552" s="596"/>
      <c r="G552" s="596"/>
      <c r="H552" s="347"/>
      <c r="I552" s="347"/>
      <c r="J552" s="596"/>
      <c r="K552" s="609"/>
      <c r="L552" s="1"/>
      <c r="M552" s="347"/>
      <c r="N552" s="347"/>
      <c r="O552" s="579"/>
      <c r="P552" s="579"/>
      <c r="Q552" s="574"/>
      <c r="R552" s="347"/>
      <c r="S552" s="597"/>
      <c r="T552" s="347"/>
      <c r="U552" s="579"/>
      <c r="V552" s="579"/>
      <c r="W552" s="574"/>
      <c r="X552" s="347"/>
      <c r="Y552" s="347"/>
      <c r="Z552" s="347"/>
      <c r="AA552" s="579"/>
      <c r="AB552" s="581"/>
      <c r="AC552" s="347"/>
      <c r="AD552" s="347"/>
      <c r="AE552" s="347"/>
      <c r="AF552" s="347"/>
      <c r="AG552" s="579"/>
      <c r="AH552" s="579"/>
      <c r="AI552" s="582"/>
      <c r="AJ552" s="582"/>
      <c r="AK552" s="582"/>
      <c r="AL552" s="582"/>
      <c r="AM552" s="579"/>
      <c r="AN552" s="579"/>
      <c r="AO552" s="347"/>
      <c r="AP552" s="586"/>
      <c r="AQ552" s="596"/>
      <c r="AR552" s="596"/>
      <c r="AS552" s="348"/>
      <c r="AT552" s="348"/>
      <c r="AU552" s="348"/>
      <c r="AV552" s="348"/>
      <c r="AW552" s="348"/>
      <c r="AX552" s="584"/>
      <c r="AY552" s="581"/>
      <c r="AZ552" s="581"/>
      <c r="BA552" s="596"/>
      <c r="BB552" s="596"/>
      <c r="BC552" s="348"/>
      <c r="BD552" s="581"/>
      <c r="BE552" s="581"/>
      <c r="BF552" s="347"/>
      <c r="BG552" s="347"/>
      <c r="BH552" s="347"/>
      <c r="BI552" s="347"/>
      <c r="BJ552" s="586"/>
      <c r="BK552" s="581"/>
      <c r="BL552" s="347"/>
      <c r="BM552" s="347"/>
      <c r="BN552" s="347"/>
      <c r="BO552" s="586"/>
      <c r="BP552" s="584"/>
      <c r="BQ552" s="347"/>
      <c r="BR552" s="586"/>
      <c r="BS552" s="588"/>
      <c r="BT552" s="586"/>
      <c r="BU552" s="589"/>
      <c r="BV552" s="581">
        <f t="shared" si="44"/>
        <v>0</v>
      </c>
      <c r="BW552" s="590"/>
      <c r="BX552" s="347"/>
      <c r="BY552" s="347"/>
      <c r="BZ552" s="347"/>
      <c r="CA552" s="586"/>
      <c r="CB552" s="581"/>
      <c r="CC552" s="581">
        <f t="shared" si="193"/>
        <v>0</v>
      </c>
      <c r="CD552" s="581"/>
      <c r="CE552" s="581"/>
      <c r="CF552" s="581"/>
      <c r="CG552" s="586"/>
      <c r="CH552" s="608"/>
      <c r="CI552" s="603"/>
      <c r="CJ552" s="347"/>
      <c r="CK552" s="347"/>
      <c r="CL552" s="347"/>
      <c r="CM552" s="347"/>
      <c r="CN552" s="347"/>
      <c r="CO552" s="347"/>
      <c r="CP552" s="347"/>
    </row>
    <row r="553">
      <c r="A553" s="574"/>
      <c r="B553" s="574"/>
      <c r="C553" s="347"/>
      <c r="D553" s="574"/>
      <c r="E553" s="347"/>
      <c r="F553" s="596"/>
      <c r="G553" s="596"/>
      <c r="H553" s="347"/>
      <c r="I553" s="347"/>
      <c r="J553" s="596"/>
      <c r="K553" s="609"/>
      <c r="L553" s="1"/>
      <c r="M553" s="347"/>
      <c r="N553" s="347"/>
      <c r="O553" s="579"/>
      <c r="P553" s="579"/>
      <c r="Q553" s="574"/>
      <c r="R553" s="347"/>
      <c r="S553" s="597"/>
      <c r="T553" s="347"/>
      <c r="U553" s="579"/>
      <c r="V553" s="579"/>
      <c r="W553" s="574"/>
      <c r="X553" s="347"/>
      <c r="Y553" s="347"/>
      <c r="Z553" s="347"/>
      <c r="AA553" s="579"/>
      <c r="AB553" s="581"/>
      <c r="AC553" s="347"/>
      <c r="AD553" s="347"/>
      <c r="AE553" s="347"/>
      <c r="AF553" s="347"/>
      <c r="AG553" s="579"/>
      <c r="AH553" s="579"/>
      <c r="AI553" s="582"/>
      <c r="AJ553" s="582"/>
      <c r="AK553" s="582"/>
      <c r="AL553" s="582"/>
      <c r="AM553" s="579"/>
      <c r="AN553" s="579"/>
      <c r="AO553" s="347"/>
      <c r="AP553" s="586"/>
      <c r="AQ553" s="596"/>
      <c r="AR553" s="596"/>
      <c r="AS553" s="348"/>
      <c r="AT553" s="348"/>
      <c r="AU553" s="348"/>
      <c r="AV553" s="348"/>
      <c r="AW553" s="348"/>
      <c r="AX553" s="584"/>
      <c r="AY553" s="581"/>
      <c r="AZ553" s="581"/>
      <c r="BA553" s="596"/>
      <c r="BB553" s="596"/>
      <c r="BC553" s="348"/>
      <c r="BD553" s="581"/>
      <c r="BE553" s="581"/>
      <c r="BF553" s="347"/>
      <c r="BG553" s="347"/>
      <c r="BH553" s="347"/>
      <c r="BI553" s="347"/>
      <c r="BJ553" s="586"/>
      <c r="BK553" s="581"/>
      <c r="BL553" s="347"/>
      <c r="BM553" s="347"/>
      <c r="BN553" s="347"/>
      <c r="BO553" s="586"/>
      <c r="BP553" s="584"/>
      <c r="BQ553" s="347"/>
      <c r="BR553" s="586"/>
      <c r="BS553" s="588"/>
      <c r="BT553" s="586"/>
      <c r="BU553" s="589"/>
      <c r="BV553" s="581">
        <f t="shared" si="44"/>
        <v>0</v>
      </c>
      <c r="BW553" s="590"/>
      <c r="BX553" s="347"/>
      <c r="BY553" s="347"/>
      <c r="BZ553" s="347"/>
      <c r="CA553" s="586"/>
      <c r="CB553" s="581"/>
      <c r="CC553" s="581">
        <f t="shared" si="193"/>
        <v>0</v>
      </c>
      <c r="CD553" s="581"/>
      <c r="CE553" s="581"/>
      <c r="CF553" s="581"/>
      <c r="CG553" s="586"/>
      <c r="CH553" s="608"/>
      <c r="CI553" s="603"/>
      <c r="CJ553" s="347"/>
      <c r="CK553" s="347"/>
      <c r="CL553" s="347"/>
      <c r="CM553" s="347"/>
      <c r="CN553" s="347"/>
      <c r="CO553" s="347"/>
      <c r="CP553" s="347"/>
    </row>
    <row r="554">
      <c r="A554" s="574"/>
      <c r="B554" s="574"/>
      <c r="C554" s="347"/>
      <c r="D554" s="574"/>
      <c r="E554" s="347"/>
      <c r="F554" s="596"/>
      <c r="G554" s="596"/>
      <c r="H554" s="347"/>
      <c r="I554" s="347"/>
      <c r="J554" s="596"/>
      <c r="K554" s="609"/>
      <c r="L554" s="1"/>
      <c r="M554" s="347"/>
      <c r="N554" s="347"/>
      <c r="O554" s="579"/>
      <c r="P554" s="579"/>
      <c r="Q554" s="574"/>
      <c r="R554" s="347"/>
      <c r="S554" s="597"/>
      <c r="T554" s="347"/>
      <c r="U554" s="579"/>
      <c r="V554" s="579"/>
      <c r="W554" s="574"/>
      <c r="X554" s="347"/>
      <c r="Y554" s="347"/>
      <c r="Z554" s="347"/>
      <c r="AA554" s="579"/>
      <c r="AB554" s="581"/>
      <c r="AC554" s="347"/>
      <c r="AD554" s="347"/>
      <c r="AE554" s="347"/>
      <c r="AF554" s="347"/>
      <c r="AG554" s="579"/>
      <c r="AH554" s="579"/>
      <c r="AI554" s="582"/>
      <c r="AJ554" s="582"/>
      <c r="AK554" s="582"/>
      <c r="AL554" s="582"/>
      <c r="AM554" s="579"/>
      <c r="AN554" s="579"/>
      <c r="AO554" s="347"/>
      <c r="AP554" s="586"/>
      <c r="AQ554" s="596"/>
      <c r="AR554" s="596"/>
      <c r="AS554" s="348"/>
      <c r="AT554" s="348"/>
      <c r="AU554" s="348"/>
      <c r="AV554" s="348"/>
      <c r="AW554" s="348"/>
      <c r="AX554" s="584"/>
      <c r="AY554" s="581"/>
      <c r="AZ554" s="581"/>
      <c r="BA554" s="596"/>
      <c r="BB554" s="596"/>
      <c r="BC554" s="348"/>
      <c r="BD554" s="581"/>
      <c r="BE554" s="581"/>
      <c r="BF554" s="347"/>
      <c r="BG554" s="347"/>
      <c r="BH554" s="347"/>
      <c r="BI554" s="347"/>
      <c r="BJ554" s="586"/>
      <c r="BK554" s="581"/>
      <c r="BL554" s="347"/>
      <c r="BM554" s="347"/>
      <c r="BN554" s="347"/>
      <c r="BO554" s="586"/>
      <c r="BP554" s="584"/>
      <c r="BQ554" s="347"/>
      <c r="BR554" s="586"/>
      <c r="BS554" s="588"/>
      <c r="BT554" s="586"/>
      <c r="BU554" s="589"/>
      <c r="BV554" s="581">
        <f t="shared" si="44"/>
        <v>0</v>
      </c>
      <c r="BW554" s="590"/>
      <c r="BX554" s="347"/>
      <c r="BY554" s="347"/>
      <c r="BZ554" s="347"/>
      <c r="CA554" s="586"/>
      <c r="CB554" s="581"/>
      <c r="CC554" s="581">
        <f t="shared" si="193"/>
        <v>0</v>
      </c>
      <c r="CD554" s="581"/>
      <c r="CE554" s="581"/>
      <c r="CF554" s="581"/>
      <c r="CG554" s="586"/>
      <c r="CH554" s="608"/>
      <c r="CI554" s="603"/>
      <c r="CJ554" s="347"/>
      <c r="CK554" s="347"/>
      <c r="CL554" s="347"/>
      <c r="CM554" s="347"/>
      <c r="CN554" s="347"/>
      <c r="CO554" s="347"/>
      <c r="CP554" s="347"/>
    </row>
    <row r="555">
      <c r="A555" s="574"/>
      <c r="B555" s="574"/>
      <c r="C555" s="347"/>
      <c r="D555" s="574"/>
      <c r="E555" s="347"/>
      <c r="F555" s="596"/>
      <c r="G555" s="596"/>
      <c r="H555" s="347"/>
      <c r="I555" s="347"/>
      <c r="J555" s="596"/>
      <c r="K555" s="609"/>
      <c r="L555" s="1"/>
      <c r="M555" s="347"/>
      <c r="N555" s="347"/>
      <c r="O555" s="579"/>
      <c r="P555" s="579"/>
      <c r="Q555" s="574"/>
      <c r="R555" s="347"/>
      <c r="S555" s="597"/>
      <c r="T555" s="347"/>
      <c r="U555" s="579"/>
      <c r="V555" s="579"/>
      <c r="W555" s="574"/>
      <c r="X555" s="347"/>
      <c r="Y555" s="347"/>
      <c r="Z555" s="347"/>
      <c r="AA555" s="579"/>
      <c r="AB555" s="581"/>
      <c r="AC555" s="347"/>
      <c r="AD555" s="347"/>
      <c r="AE555" s="347"/>
      <c r="AF555" s="347"/>
      <c r="AG555" s="579"/>
      <c r="AH555" s="579"/>
      <c r="AI555" s="582"/>
      <c r="AJ555" s="582"/>
      <c r="AK555" s="582"/>
      <c r="AL555" s="582"/>
      <c r="AM555" s="579"/>
      <c r="AN555" s="579"/>
      <c r="AO555" s="347"/>
      <c r="AP555" s="586"/>
      <c r="AQ555" s="596"/>
      <c r="AR555" s="596"/>
      <c r="AS555" s="348"/>
      <c r="AT555" s="348"/>
      <c r="AU555" s="348"/>
      <c r="AV555" s="348"/>
      <c r="AW555" s="348"/>
      <c r="AX555" s="584"/>
      <c r="AY555" s="581"/>
      <c r="AZ555" s="581"/>
      <c r="BA555" s="596"/>
      <c r="BB555" s="596"/>
      <c r="BC555" s="348"/>
      <c r="BD555" s="581"/>
      <c r="BE555" s="581"/>
      <c r="BF555" s="347"/>
      <c r="BG555" s="347"/>
      <c r="BH555" s="347"/>
      <c r="BI555" s="347"/>
      <c r="BJ555" s="586"/>
      <c r="BK555" s="581"/>
      <c r="BL555" s="347"/>
      <c r="BM555" s="347"/>
      <c r="BN555" s="347"/>
      <c r="BO555" s="586"/>
      <c r="BP555" s="584"/>
      <c r="BQ555" s="347"/>
      <c r="BR555" s="586"/>
      <c r="BS555" s="588"/>
      <c r="BT555" s="586"/>
      <c r="BU555" s="589"/>
      <c r="BV555" s="581">
        <f t="shared" si="44"/>
        <v>0</v>
      </c>
      <c r="BW555" s="590"/>
      <c r="BX555" s="347"/>
      <c r="BY555" s="347"/>
      <c r="BZ555" s="347"/>
      <c r="CA555" s="586"/>
      <c r="CB555" s="581"/>
      <c r="CC555" s="581">
        <f t="shared" si="193"/>
        <v>0</v>
      </c>
      <c r="CD555" s="581"/>
      <c r="CE555" s="581"/>
      <c r="CF555" s="581"/>
      <c r="CG555" s="586"/>
      <c r="CH555" s="608"/>
      <c r="CI555" s="603"/>
      <c r="CJ555" s="347"/>
      <c r="CK555" s="347"/>
      <c r="CL555" s="347"/>
      <c r="CM555" s="347"/>
      <c r="CN555" s="347"/>
      <c r="CO555" s="347"/>
      <c r="CP555" s="347"/>
    </row>
    <row r="556">
      <c r="A556" s="574"/>
      <c r="B556" s="574"/>
      <c r="C556" s="347"/>
      <c r="D556" s="574"/>
      <c r="E556" s="347"/>
      <c r="F556" s="596"/>
      <c r="G556" s="596"/>
      <c r="H556" s="347"/>
      <c r="I556" s="347"/>
      <c r="J556" s="596"/>
      <c r="K556" s="609"/>
      <c r="L556" s="1"/>
      <c r="M556" s="347"/>
      <c r="N556" s="347"/>
      <c r="O556" s="579"/>
      <c r="P556" s="579"/>
      <c r="Q556" s="574"/>
      <c r="R556" s="347"/>
      <c r="S556" s="597"/>
      <c r="T556" s="347"/>
      <c r="U556" s="579"/>
      <c r="V556" s="579"/>
      <c r="W556" s="574"/>
      <c r="X556" s="347"/>
      <c r="Y556" s="347"/>
      <c r="Z556" s="347"/>
      <c r="AA556" s="579"/>
      <c r="AB556" s="581"/>
      <c r="AC556" s="347"/>
      <c r="AD556" s="347"/>
      <c r="AE556" s="347"/>
      <c r="AF556" s="347"/>
      <c r="AG556" s="579"/>
      <c r="AH556" s="579"/>
      <c r="AI556" s="582"/>
      <c r="AJ556" s="582"/>
      <c r="AK556" s="582"/>
      <c r="AL556" s="582"/>
      <c r="AM556" s="579"/>
      <c r="AN556" s="579"/>
      <c r="AO556" s="347"/>
      <c r="AP556" s="586"/>
      <c r="AQ556" s="596"/>
      <c r="AR556" s="596"/>
      <c r="AS556" s="348"/>
      <c r="AT556" s="348"/>
      <c r="AU556" s="348"/>
      <c r="AV556" s="348"/>
      <c r="AW556" s="348"/>
      <c r="AX556" s="584"/>
      <c r="AY556" s="581"/>
      <c r="AZ556" s="581"/>
      <c r="BA556" s="596"/>
      <c r="BB556" s="596"/>
      <c r="BC556" s="348"/>
      <c r="BD556" s="581"/>
      <c r="BE556" s="581"/>
      <c r="BF556" s="347"/>
      <c r="BG556" s="347"/>
      <c r="BH556" s="347"/>
      <c r="BI556" s="347"/>
      <c r="BJ556" s="586"/>
      <c r="BK556" s="581"/>
      <c r="BL556" s="347"/>
      <c r="BM556" s="347"/>
      <c r="BN556" s="347"/>
      <c r="BO556" s="586"/>
      <c r="BP556" s="584"/>
      <c r="BQ556" s="347"/>
      <c r="BR556" s="586"/>
      <c r="BS556" s="588"/>
      <c r="BT556" s="586"/>
      <c r="BU556" s="589"/>
      <c r="BV556" s="581">
        <f t="shared" si="44"/>
        <v>0</v>
      </c>
      <c r="BW556" s="590"/>
      <c r="BX556" s="347"/>
      <c r="BY556" s="347"/>
      <c r="BZ556" s="347"/>
      <c r="CA556" s="586"/>
      <c r="CB556" s="581"/>
      <c r="CC556" s="581">
        <f t="shared" si="193"/>
        <v>0</v>
      </c>
      <c r="CD556" s="581"/>
      <c r="CE556" s="581"/>
      <c r="CF556" s="581"/>
      <c r="CG556" s="586"/>
      <c r="CH556" s="608"/>
      <c r="CI556" s="603"/>
      <c r="CJ556" s="347"/>
      <c r="CK556" s="347"/>
      <c r="CL556" s="347"/>
      <c r="CM556" s="347"/>
      <c r="CN556" s="347"/>
      <c r="CO556" s="347"/>
      <c r="CP556" s="347"/>
    </row>
    <row r="557">
      <c r="A557" s="574"/>
      <c r="B557" s="574"/>
      <c r="C557" s="347"/>
      <c r="D557" s="574"/>
      <c r="E557" s="347"/>
      <c r="F557" s="596"/>
      <c r="G557" s="596"/>
      <c r="H557" s="347"/>
      <c r="I557" s="347"/>
      <c r="J557" s="596"/>
      <c r="K557" s="609"/>
      <c r="L557" s="1"/>
      <c r="M557" s="347"/>
      <c r="N557" s="347"/>
      <c r="O557" s="579"/>
      <c r="P557" s="579"/>
      <c r="Q557" s="574"/>
      <c r="R557" s="347"/>
      <c r="S557" s="597"/>
      <c r="T557" s="347"/>
      <c r="U557" s="579"/>
      <c r="V557" s="579"/>
      <c r="W557" s="574"/>
      <c r="X557" s="347"/>
      <c r="Y557" s="347"/>
      <c r="Z557" s="347"/>
      <c r="AA557" s="579"/>
      <c r="AB557" s="581"/>
      <c r="AC557" s="347"/>
      <c r="AD557" s="347"/>
      <c r="AE557" s="347"/>
      <c r="AF557" s="347"/>
      <c r="AG557" s="579"/>
      <c r="AH557" s="579"/>
      <c r="AI557" s="582"/>
      <c r="AJ557" s="582"/>
      <c r="AK557" s="582"/>
      <c r="AL557" s="582"/>
      <c r="AM557" s="579"/>
      <c r="AN557" s="579"/>
      <c r="AO557" s="347"/>
      <c r="AP557" s="586"/>
      <c r="AQ557" s="596"/>
      <c r="AR557" s="596"/>
      <c r="AS557" s="348"/>
      <c r="AT557" s="348"/>
      <c r="AU557" s="348"/>
      <c r="AV557" s="348"/>
      <c r="AW557" s="348"/>
      <c r="AX557" s="584"/>
      <c r="AY557" s="581"/>
      <c r="AZ557" s="581"/>
      <c r="BA557" s="596"/>
      <c r="BB557" s="596"/>
      <c r="BC557" s="348"/>
      <c r="BD557" s="581"/>
      <c r="BE557" s="581"/>
      <c r="BF557" s="347"/>
      <c r="BG557" s="347"/>
      <c r="BH557" s="347"/>
      <c r="BI557" s="347"/>
      <c r="BJ557" s="586"/>
      <c r="BK557" s="581"/>
      <c r="BL557" s="347"/>
      <c r="BM557" s="347"/>
      <c r="BN557" s="347"/>
      <c r="BO557" s="586"/>
      <c r="BP557" s="584"/>
      <c r="BQ557" s="347"/>
      <c r="BR557" s="586"/>
      <c r="BS557" s="588"/>
      <c r="BT557" s="586"/>
      <c r="BU557" s="589"/>
      <c r="BV557" s="581">
        <f t="shared" si="44"/>
        <v>0</v>
      </c>
      <c r="BW557" s="590"/>
      <c r="BX557" s="347"/>
      <c r="BY557" s="347"/>
      <c r="BZ557" s="347"/>
      <c r="CA557" s="586"/>
      <c r="CB557" s="581"/>
      <c r="CC557" s="581">
        <f t="shared" si="193"/>
        <v>0</v>
      </c>
      <c r="CD557" s="581"/>
      <c r="CE557" s="581"/>
      <c r="CF557" s="581"/>
      <c r="CG557" s="586"/>
      <c r="CH557" s="608"/>
      <c r="CI557" s="603"/>
      <c r="CJ557" s="347"/>
      <c r="CK557" s="347"/>
      <c r="CL557" s="347"/>
      <c r="CM557" s="347"/>
      <c r="CN557" s="347"/>
      <c r="CO557" s="347"/>
      <c r="CP557" s="347"/>
    </row>
    <row r="558">
      <c r="A558" s="574"/>
      <c r="B558" s="574"/>
      <c r="C558" s="347"/>
      <c r="D558" s="574"/>
      <c r="E558" s="347"/>
      <c r="F558" s="596"/>
      <c r="G558" s="596"/>
      <c r="H558" s="347"/>
      <c r="I558" s="347"/>
      <c r="J558" s="596"/>
      <c r="K558" s="609"/>
      <c r="L558" s="1"/>
      <c r="M558" s="347"/>
      <c r="N558" s="347"/>
      <c r="O558" s="579"/>
      <c r="P558" s="579"/>
      <c r="Q558" s="574"/>
      <c r="R558" s="347"/>
      <c r="S558" s="597"/>
      <c r="T558" s="347"/>
      <c r="U558" s="579"/>
      <c r="V558" s="579"/>
      <c r="W558" s="574"/>
      <c r="X558" s="347"/>
      <c r="Y558" s="347"/>
      <c r="Z558" s="347"/>
      <c r="AA558" s="579"/>
      <c r="AB558" s="581"/>
      <c r="AC558" s="347"/>
      <c r="AD558" s="347"/>
      <c r="AE558" s="347"/>
      <c r="AF558" s="347"/>
      <c r="AG558" s="579"/>
      <c r="AH558" s="579"/>
      <c r="AI558" s="582"/>
      <c r="AJ558" s="582"/>
      <c r="AK558" s="582"/>
      <c r="AL558" s="582"/>
      <c r="AM558" s="579"/>
      <c r="AN558" s="579"/>
      <c r="AO558" s="347"/>
      <c r="AP558" s="586"/>
      <c r="AQ558" s="596"/>
      <c r="AR558" s="596"/>
      <c r="AS558" s="348"/>
      <c r="AT558" s="348"/>
      <c r="AU558" s="348"/>
      <c r="AV558" s="348"/>
      <c r="AW558" s="348"/>
      <c r="AX558" s="584"/>
      <c r="AY558" s="581"/>
      <c r="AZ558" s="581"/>
      <c r="BA558" s="596"/>
      <c r="BB558" s="596"/>
      <c r="BC558" s="348"/>
      <c r="BD558" s="581"/>
      <c r="BE558" s="581"/>
      <c r="BF558" s="347"/>
      <c r="BG558" s="347"/>
      <c r="BH558" s="347"/>
      <c r="BI558" s="347"/>
      <c r="BJ558" s="586"/>
      <c r="BK558" s="581"/>
      <c r="BL558" s="347"/>
      <c r="BM558" s="347"/>
      <c r="BN558" s="347"/>
      <c r="BO558" s="586"/>
      <c r="BP558" s="584"/>
      <c r="BQ558" s="347"/>
      <c r="BR558" s="586"/>
      <c r="BS558" s="588"/>
      <c r="BT558" s="586"/>
      <c r="BU558" s="589"/>
      <c r="BV558" s="581">
        <f t="shared" si="44"/>
        <v>0</v>
      </c>
      <c r="BW558" s="590"/>
      <c r="BX558" s="347"/>
      <c r="BY558" s="347"/>
      <c r="BZ558" s="347"/>
      <c r="CA558" s="586"/>
      <c r="CB558" s="581"/>
      <c r="CC558" s="581">
        <f t="shared" si="193"/>
        <v>0</v>
      </c>
      <c r="CD558" s="581"/>
      <c r="CE558" s="581"/>
      <c r="CF558" s="581"/>
      <c r="CG558" s="586"/>
      <c r="CH558" s="608"/>
      <c r="CI558" s="603"/>
      <c r="CJ558" s="347"/>
      <c r="CK558" s="347"/>
      <c r="CL558" s="347"/>
      <c r="CM558" s="347"/>
      <c r="CN558" s="347"/>
      <c r="CO558" s="347"/>
      <c r="CP558" s="347"/>
    </row>
    <row r="559">
      <c r="A559" s="574"/>
      <c r="B559" s="574"/>
      <c r="C559" s="347"/>
      <c r="D559" s="574"/>
      <c r="E559" s="347"/>
      <c r="F559" s="596"/>
      <c r="G559" s="596"/>
      <c r="H559" s="347"/>
      <c r="I559" s="347"/>
      <c r="J559" s="596"/>
      <c r="K559" s="609"/>
      <c r="L559" s="1"/>
      <c r="M559" s="347"/>
      <c r="N559" s="347"/>
      <c r="O559" s="579"/>
      <c r="P559" s="579"/>
      <c r="Q559" s="574"/>
      <c r="R559" s="347"/>
      <c r="S559" s="597"/>
      <c r="T559" s="347"/>
      <c r="U559" s="579"/>
      <c r="V559" s="579"/>
      <c r="W559" s="574"/>
      <c r="X559" s="347"/>
      <c r="Y559" s="347"/>
      <c r="Z559" s="347"/>
      <c r="AA559" s="579"/>
      <c r="AB559" s="581"/>
      <c r="AC559" s="347"/>
      <c r="AD559" s="347"/>
      <c r="AE559" s="347"/>
      <c r="AF559" s="347"/>
      <c r="AG559" s="579"/>
      <c r="AH559" s="579"/>
      <c r="AI559" s="582"/>
      <c r="AJ559" s="582"/>
      <c r="AK559" s="582"/>
      <c r="AL559" s="582"/>
      <c r="AM559" s="579"/>
      <c r="AN559" s="579"/>
      <c r="AO559" s="347"/>
      <c r="AP559" s="586"/>
      <c r="AQ559" s="596"/>
      <c r="AR559" s="596"/>
      <c r="AS559" s="348"/>
      <c r="AT559" s="348"/>
      <c r="AU559" s="348"/>
      <c r="AV559" s="348"/>
      <c r="AW559" s="348"/>
      <c r="AX559" s="584"/>
      <c r="AY559" s="581"/>
      <c r="AZ559" s="581"/>
      <c r="BA559" s="596"/>
      <c r="BB559" s="596"/>
      <c r="BC559" s="348"/>
      <c r="BD559" s="581"/>
      <c r="BE559" s="581"/>
      <c r="BF559" s="347"/>
      <c r="BG559" s="347"/>
      <c r="BH559" s="347"/>
      <c r="BI559" s="347"/>
      <c r="BJ559" s="586"/>
      <c r="BK559" s="581"/>
      <c r="BL559" s="347"/>
      <c r="BM559" s="347"/>
      <c r="BN559" s="347"/>
      <c r="BO559" s="586"/>
      <c r="BP559" s="584"/>
      <c r="BQ559" s="347"/>
      <c r="BR559" s="586"/>
      <c r="BS559" s="588"/>
      <c r="BT559" s="586"/>
      <c r="BU559" s="589"/>
      <c r="BV559" s="581">
        <f t="shared" si="44"/>
        <v>0</v>
      </c>
      <c r="BW559" s="590"/>
      <c r="BX559" s="347"/>
      <c r="BY559" s="347"/>
      <c r="BZ559" s="347"/>
      <c r="CA559" s="586"/>
      <c r="CB559" s="581"/>
      <c r="CC559" s="581">
        <f t="shared" si="193"/>
        <v>0</v>
      </c>
      <c r="CD559" s="581"/>
      <c r="CE559" s="581"/>
      <c r="CF559" s="581"/>
      <c r="CG559" s="586"/>
      <c r="CH559" s="608"/>
      <c r="CI559" s="603"/>
      <c r="CJ559" s="347"/>
      <c r="CK559" s="347"/>
      <c r="CL559" s="347"/>
      <c r="CM559" s="347"/>
      <c r="CN559" s="347"/>
      <c r="CO559" s="347"/>
      <c r="CP559" s="347"/>
    </row>
    <row r="560">
      <c r="A560" s="574"/>
      <c r="B560" s="574"/>
      <c r="C560" s="347"/>
      <c r="D560" s="574"/>
      <c r="E560" s="347"/>
      <c r="F560" s="596"/>
      <c r="G560" s="596"/>
      <c r="H560" s="347"/>
      <c r="I560" s="347"/>
      <c r="J560" s="596"/>
      <c r="K560" s="609"/>
      <c r="L560" s="1"/>
      <c r="M560" s="347"/>
      <c r="N560" s="347"/>
      <c r="O560" s="579"/>
      <c r="P560" s="579"/>
      <c r="Q560" s="574"/>
      <c r="R560" s="347"/>
      <c r="S560" s="597"/>
      <c r="T560" s="347"/>
      <c r="U560" s="579"/>
      <c r="V560" s="579"/>
      <c r="W560" s="574"/>
      <c r="X560" s="347"/>
      <c r="Y560" s="347"/>
      <c r="Z560" s="347"/>
      <c r="AA560" s="579"/>
      <c r="AB560" s="581"/>
      <c r="AC560" s="347"/>
      <c r="AD560" s="347"/>
      <c r="AE560" s="347"/>
      <c r="AF560" s="347"/>
      <c r="AG560" s="579"/>
      <c r="AH560" s="579"/>
      <c r="AI560" s="582"/>
      <c r="AJ560" s="582"/>
      <c r="AK560" s="582"/>
      <c r="AL560" s="582"/>
      <c r="AM560" s="579"/>
      <c r="AN560" s="579"/>
      <c r="AO560" s="347"/>
      <c r="AP560" s="586"/>
      <c r="AQ560" s="596"/>
      <c r="AR560" s="596"/>
      <c r="AS560" s="348"/>
      <c r="AT560" s="348"/>
      <c r="AU560" s="348"/>
      <c r="AV560" s="348"/>
      <c r="AW560" s="348"/>
      <c r="AX560" s="584"/>
      <c r="AY560" s="581"/>
      <c r="AZ560" s="581"/>
      <c r="BA560" s="596"/>
      <c r="BB560" s="596"/>
      <c r="BC560" s="348"/>
      <c r="BD560" s="581"/>
      <c r="BE560" s="581"/>
      <c r="BF560" s="347"/>
      <c r="BG560" s="347"/>
      <c r="BH560" s="347"/>
      <c r="BI560" s="347"/>
      <c r="BJ560" s="586"/>
      <c r="BK560" s="581"/>
      <c r="BL560" s="347"/>
      <c r="BM560" s="347"/>
      <c r="BN560" s="347"/>
      <c r="BO560" s="586"/>
      <c r="BP560" s="584"/>
      <c r="BQ560" s="347"/>
      <c r="BR560" s="586"/>
      <c r="BS560" s="588"/>
      <c r="BT560" s="586"/>
      <c r="BU560" s="589"/>
      <c r="BV560" s="581">
        <f t="shared" si="44"/>
        <v>0</v>
      </c>
      <c r="BW560" s="590"/>
      <c r="BX560" s="347"/>
      <c r="BY560" s="347"/>
      <c r="BZ560" s="347"/>
      <c r="CA560" s="586"/>
      <c r="CB560" s="581"/>
      <c r="CC560" s="581">
        <f t="shared" si="193"/>
        <v>0</v>
      </c>
      <c r="CD560" s="581"/>
      <c r="CE560" s="581"/>
      <c r="CF560" s="581"/>
      <c r="CG560" s="586"/>
      <c r="CH560" s="608"/>
      <c r="CI560" s="603"/>
      <c r="CJ560" s="347"/>
      <c r="CK560" s="347"/>
      <c r="CL560" s="347"/>
      <c r="CM560" s="347"/>
      <c r="CN560" s="347"/>
      <c r="CO560" s="347"/>
      <c r="CP560" s="347"/>
    </row>
    <row r="561">
      <c r="A561" s="574"/>
      <c r="B561" s="574"/>
      <c r="C561" s="347"/>
      <c r="D561" s="574"/>
      <c r="E561" s="347"/>
      <c r="F561" s="596"/>
      <c r="G561" s="596"/>
      <c r="H561" s="347"/>
      <c r="I561" s="347"/>
      <c r="J561" s="596"/>
      <c r="K561" s="609"/>
      <c r="L561" s="1"/>
      <c r="M561" s="347"/>
      <c r="N561" s="347"/>
      <c r="O561" s="579"/>
      <c r="P561" s="579"/>
      <c r="Q561" s="574"/>
      <c r="R561" s="347"/>
      <c r="S561" s="597"/>
      <c r="T561" s="347"/>
      <c r="U561" s="579"/>
      <c r="V561" s="579"/>
      <c r="W561" s="574"/>
      <c r="X561" s="347"/>
      <c r="Y561" s="347"/>
      <c r="Z561" s="347"/>
      <c r="AA561" s="579"/>
      <c r="AB561" s="581"/>
      <c r="AC561" s="347"/>
      <c r="AD561" s="347"/>
      <c r="AE561" s="347"/>
      <c r="AF561" s="347"/>
      <c r="AG561" s="579"/>
      <c r="AH561" s="579"/>
      <c r="AI561" s="582"/>
      <c r="AJ561" s="582"/>
      <c r="AK561" s="582"/>
      <c r="AL561" s="582"/>
      <c r="AM561" s="579"/>
      <c r="AN561" s="579"/>
      <c r="AO561" s="347"/>
      <c r="AP561" s="586"/>
      <c r="AQ561" s="596"/>
      <c r="AR561" s="596"/>
      <c r="AS561" s="348"/>
      <c r="AT561" s="348"/>
      <c r="AU561" s="348"/>
      <c r="AV561" s="348"/>
      <c r="AW561" s="348"/>
      <c r="AX561" s="584"/>
      <c r="AY561" s="581"/>
      <c r="AZ561" s="581"/>
      <c r="BA561" s="596"/>
      <c r="BB561" s="596"/>
      <c r="BC561" s="348"/>
      <c r="BD561" s="581"/>
      <c r="BE561" s="581"/>
      <c r="BF561" s="347"/>
      <c r="BG561" s="347"/>
      <c r="BH561" s="347"/>
      <c r="BI561" s="347"/>
      <c r="BJ561" s="586"/>
      <c r="BK561" s="581"/>
      <c r="BL561" s="347"/>
      <c r="BM561" s="347"/>
      <c r="BN561" s="347"/>
      <c r="BO561" s="586"/>
      <c r="BP561" s="584"/>
      <c r="BQ561" s="347"/>
      <c r="BR561" s="586"/>
      <c r="BS561" s="588"/>
      <c r="BT561" s="586"/>
      <c r="BU561" s="589"/>
      <c r="BV561" s="581">
        <f t="shared" si="44"/>
        <v>0</v>
      </c>
      <c r="BW561" s="590"/>
      <c r="BX561" s="347"/>
      <c r="BY561" s="347"/>
      <c r="BZ561" s="347"/>
      <c r="CA561" s="586"/>
      <c r="CB561" s="581"/>
      <c r="CC561" s="581">
        <f t="shared" si="193"/>
        <v>0</v>
      </c>
      <c r="CD561" s="581"/>
      <c r="CE561" s="581"/>
      <c r="CF561" s="581"/>
      <c r="CG561" s="586"/>
      <c r="CH561" s="608"/>
      <c r="CI561" s="603"/>
      <c r="CJ561" s="347"/>
      <c r="CK561" s="347"/>
      <c r="CL561" s="347"/>
      <c r="CM561" s="347"/>
      <c r="CN561" s="347"/>
      <c r="CO561" s="347"/>
      <c r="CP561" s="347"/>
    </row>
    <row r="562">
      <c r="A562" s="574"/>
      <c r="B562" s="574"/>
      <c r="C562" s="347"/>
      <c r="D562" s="574"/>
      <c r="E562" s="347"/>
      <c r="F562" s="596"/>
      <c r="G562" s="596"/>
      <c r="H562" s="347"/>
      <c r="I562" s="347"/>
      <c r="J562" s="596"/>
      <c r="K562" s="609"/>
      <c r="L562" s="1"/>
      <c r="M562" s="347"/>
      <c r="N562" s="347"/>
      <c r="O562" s="579"/>
      <c r="P562" s="579"/>
      <c r="Q562" s="574"/>
      <c r="R562" s="347"/>
      <c r="S562" s="597"/>
      <c r="T562" s="347"/>
      <c r="U562" s="579"/>
      <c r="V562" s="579"/>
      <c r="W562" s="574"/>
      <c r="X562" s="347"/>
      <c r="Y562" s="347"/>
      <c r="Z562" s="347"/>
      <c r="AA562" s="579"/>
      <c r="AB562" s="581"/>
      <c r="AC562" s="347"/>
      <c r="AD562" s="347"/>
      <c r="AE562" s="347"/>
      <c r="AF562" s="347"/>
      <c r="AG562" s="579"/>
      <c r="AH562" s="579"/>
      <c r="AI562" s="582"/>
      <c r="AJ562" s="582"/>
      <c r="AK562" s="582"/>
      <c r="AL562" s="582"/>
      <c r="AM562" s="579"/>
      <c r="AN562" s="579"/>
      <c r="AO562" s="347"/>
      <c r="AP562" s="586"/>
      <c r="AQ562" s="596"/>
      <c r="AR562" s="596"/>
      <c r="AS562" s="348"/>
      <c r="AT562" s="348"/>
      <c r="AU562" s="348"/>
      <c r="AV562" s="348"/>
      <c r="AW562" s="348"/>
      <c r="AX562" s="584"/>
      <c r="AY562" s="581"/>
      <c r="AZ562" s="581"/>
      <c r="BA562" s="596"/>
      <c r="BB562" s="596"/>
      <c r="BC562" s="348"/>
      <c r="BD562" s="581"/>
      <c r="BE562" s="581"/>
      <c r="BF562" s="347"/>
      <c r="BG562" s="347"/>
      <c r="BH562" s="347"/>
      <c r="BI562" s="347"/>
      <c r="BJ562" s="586"/>
      <c r="BK562" s="581"/>
      <c r="BL562" s="347"/>
      <c r="BM562" s="347"/>
      <c r="BN562" s="347"/>
      <c r="BO562" s="586"/>
      <c r="BP562" s="584"/>
      <c r="BQ562" s="347"/>
      <c r="BR562" s="586"/>
      <c r="BS562" s="588"/>
      <c r="BT562" s="586"/>
      <c r="BU562" s="589"/>
      <c r="BV562" s="581">
        <f t="shared" si="44"/>
        <v>0</v>
      </c>
      <c r="BW562" s="590"/>
      <c r="BX562" s="347"/>
      <c r="BY562" s="347"/>
      <c r="BZ562" s="347"/>
      <c r="CA562" s="586"/>
      <c r="CB562" s="581"/>
      <c r="CC562" s="581">
        <f t="shared" si="193"/>
        <v>0</v>
      </c>
      <c r="CD562" s="581"/>
      <c r="CE562" s="581"/>
      <c r="CF562" s="581"/>
      <c r="CG562" s="586"/>
      <c r="CH562" s="608"/>
      <c r="CI562" s="603"/>
      <c r="CJ562" s="347"/>
      <c r="CK562" s="347"/>
      <c r="CL562" s="347"/>
      <c r="CM562" s="347"/>
      <c r="CN562" s="347"/>
      <c r="CO562" s="347"/>
      <c r="CP562" s="347"/>
    </row>
    <row r="563">
      <c r="A563" s="574"/>
      <c r="B563" s="574"/>
      <c r="C563" s="347"/>
      <c r="D563" s="574"/>
      <c r="E563" s="347"/>
      <c r="F563" s="596"/>
      <c r="G563" s="596"/>
      <c r="H563" s="347"/>
      <c r="I563" s="347"/>
      <c r="J563" s="596"/>
      <c r="K563" s="609"/>
      <c r="L563" s="1"/>
      <c r="M563" s="347"/>
      <c r="N563" s="347"/>
      <c r="O563" s="579"/>
      <c r="P563" s="579"/>
      <c r="Q563" s="574"/>
      <c r="R563" s="347"/>
      <c r="S563" s="597"/>
      <c r="T563" s="347"/>
      <c r="U563" s="579"/>
      <c r="V563" s="579"/>
      <c r="W563" s="574"/>
      <c r="X563" s="347"/>
      <c r="Y563" s="347"/>
      <c r="Z563" s="347"/>
      <c r="AA563" s="579"/>
      <c r="AB563" s="581"/>
      <c r="AC563" s="347"/>
      <c r="AD563" s="347"/>
      <c r="AE563" s="347"/>
      <c r="AF563" s="347"/>
      <c r="AG563" s="579"/>
      <c r="AH563" s="579"/>
      <c r="AI563" s="582"/>
      <c r="AJ563" s="582"/>
      <c r="AK563" s="582"/>
      <c r="AL563" s="582"/>
      <c r="AM563" s="579"/>
      <c r="AN563" s="579"/>
      <c r="AO563" s="347"/>
      <c r="AP563" s="586"/>
      <c r="AQ563" s="596"/>
      <c r="AR563" s="596"/>
      <c r="AS563" s="348"/>
      <c r="AT563" s="348"/>
      <c r="AU563" s="348"/>
      <c r="AV563" s="348"/>
      <c r="AW563" s="348"/>
      <c r="AX563" s="584"/>
      <c r="AY563" s="581"/>
      <c r="AZ563" s="581"/>
      <c r="BA563" s="596"/>
      <c r="BB563" s="596"/>
      <c r="BC563" s="348"/>
      <c r="BD563" s="581"/>
      <c r="BE563" s="581"/>
      <c r="BF563" s="347"/>
      <c r="BG563" s="347"/>
      <c r="BH563" s="347"/>
      <c r="BI563" s="347"/>
      <c r="BJ563" s="586"/>
      <c r="BK563" s="581"/>
      <c r="BL563" s="347"/>
      <c r="BM563" s="347"/>
      <c r="BN563" s="347"/>
      <c r="BO563" s="586"/>
      <c r="BP563" s="584"/>
      <c r="BQ563" s="347"/>
      <c r="BR563" s="586"/>
      <c r="BS563" s="588"/>
      <c r="BT563" s="586"/>
      <c r="BU563" s="589"/>
      <c r="BV563" s="581">
        <f t="shared" si="44"/>
        <v>0</v>
      </c>
      <c r="BW563" s="590"/>
      <c r="BX563" s="347"/>
      <c r="BY563" s="347"/>
      <c r="BZ563" s="347"/>
      <c r="CA563" s="586"/>
      <c r="CB563" s="581"/>
      <c r="CC563" s="581">
        <f t="shared" si="193"/>
        <v>0</v>
      </c>
      <c r="CD563" s="581"/>
      <c r="CE563" s="581"/>
      <c r="CF563" s="581"/>
      <c r="CG563" s="586"/>
      <c r="CH563" s="608"/>
      <c r="CI563" s="603"/>
      <c r="CJ563" s="347"/>
      <c r="CK563" s="347"/>
      <c r="CL563" s="347"/>
      <c r="CM563" s="347"/>
      <c r="CN563" s="347"/>
      <c r="CO563" s="347"/>
      <c r="CP563" s="347"/>
    </row>
    <row r="564">
      <c r="A564" s="574"/>
      <c r="B564" s="574"/>
      <c r="C564" s="347"/>
      <c r="D564" s="574"/>
      <c r="E564" s="347"/>
      <c r="F564" s="596"/>
      <c r="G564" s="596"/>
      <c r="H564" s="347"/>
      <c r="I564" s="347"/>
      <c r="J564" s="596"/>
      <c r="K564" s="609"/>
      <c r="L564" s="1"/>
      <c r="M564" s="347"/>
      <c r="N564" s="347"/>
      <c r="O564" s="579"/>
      <c r="P564" s="579"/>
      <c r="Q564" s="574"/>
      <c r="R564" s="347"/>
      <c r="S564" s="597"/>
      <c r="T564" s="347"/>
      <c r="U564" s="579"/>
      <c r="V564" s="579"/>
      <c r="W564" s="574"/>
      <c r="X564" s="347"/>
      <c r="Y564" s="347"/>
      <c r="Z564" s="347"/>
      <c r="AA564" s="579"/>
      <c r="AB564" s="581"/>
      <c r="AC564" s="347"/>
      <c r="AD564" s="347"/>
      <c r="AE564" s="347"/>
      <c r="AF564" s="347"/>
      <c r="AG564" s="579"/>
      <c r="AH564" s="579"/>
      <c r="AI564" s="582"/>
      <c r="AJ564" s="582"/>
      <c r="AK564" s="582"/>
      <c r="AL564" s="582"/>
      <c r="AM564" s="579"/>
      <c r="AN564" s="579"/>
      <c r="AO564" s="347"/>
      <c r="AP564" s="586"/>
      <c r="AQ564" s="596"/>
      <c r="AR564" s="596"/>
      <c r="AS564" s="348"/>
      <c r="AT564" s="348"/>
      <c r="AU564" s="348"/>
      <c r="AV564" s="348"/>
      <c r="AW564" s="348"/>
      <c r="AX564" s="584"/>
      <c r="AY564" s="581"/>
      <c r="AZ564" s="581"/>
      <c r="BA564" s="596"/>
      <c r="BB564" s="596"/>
      <c r="BC564" s="348"/>
      <c r="BD564" s="581"/>
      <c r="BE564" s="581"/>
      <c r="BF564" s="347"/>
      <c r="BG564" s="347"/>
      <c r="BH564" s="347"/>
      <c r="BI564" s="347"/>
      <c r="BJ564" s="586"/>
      <c r="BK564" s="581"/>
      <c r="BL564" s="347"/>
      <c r="BM564" s="347"/>
      <c r="BN564" s="347"/>
      <c r="BO564" s="586"/>
      <c r="BP564" s="584"/>
      <c r="BQ564" s="347"/>
      <c r="BR564" s="586"/>
      <c r="BS564" s="588"/>
      <c r="BT564" s="586"/>
      <c r="BU564" s="589"/>
      <c r="BV564" s="581">
        <f t="shared" si="44"/>
        <v>0</v>
      </c>
      <c r="BW564" s="590"/>
      <c r="BX564" s="347"/>
      <c r="BY564" s="347"/>
      <c r="BZ564" s="347"/>
      <c r="CA564" s="586"/>
      <c r="CB564" s="581"/>
      <c r="CC564" s="581">
        <f t="shared" si="193"/>
        <v>0</v>
      </c>
      <c r="CD564" s="581"/>
      <c r="CE564" s="581"/>
      <c r="CF564" s="581"/>
      <c r="CG564" s="586"/>
      <c r="CH564" s="608"/>
      <c r="CI564" s="603"/>
      <c r="CJ564" s="347"/>
      <c r="CK564" s="347"/>
      <c r="CL564" s="347"/>
      <c r="CM564" s="347"/>
      <c r="CN564" s="347"/>
      <c r="CO564" s="347"/>
      <c r="CP564" s="347"/>
    </row>
    <row r="565">
      <c r="A565" s="574"/>
      <c r="B565" s="574"/>
      <c r="C565" s="347"/>
      <c r="D565" s="574"/>
      <c r="E565" s="347"/>
      <c r="F565" s="596"/>
      <c r="G565" s="596"/>
      <c r="H565" s="347"/>
      <c r="I565" s="347"/>
      <c r="J565" s="596"/>
      <c r="K565" s="609"/>
      <c r="L565" s="1"/>
      <c r="M565" s="347"/>
      <c r="N565" s="347"/>
      <c r="O565" s="579"/>
      <c r="P565" s="579"/>
      <c r="Q565" s="574"/>
      <c r="R565" s="347"/>
      <c r="S565" s="597"/>
      <c r="T565" s="347"/>
      <c r="U565" s="579"/>
      <c r="V565" s="579"/>
      <c r="W565" s="574"/>
      <c r="X565" s="347"/>
      <c r="Y565" s="347"/>
      <c r="Z565" s="347"/>
      <c r="AA565" s="579"/>
      <c r="AB565" s="581"/>
      <c r="AC565" s="347"/>
      <c r="AD565" s="347"/>
      <c r="AE565" s="347"/>
      <c r="AF565" s="347"/>
      <c r="AG565" s="579"/>
      <c r="AH565" s="579"/>
      <c r="AI565" s="582"/>
      <c r="AJ565" s="582"/>
      <c r="AK565" s="582"/>
      <c r="AL565" s="582"/>
      <c r="AM565" s="579"/>
      <c r="AN565" s="579"/>
      <c r="AO565" s="347"/>
      <c r="AP565" s="586"/>
      <c r="AQ565" s="596"/>
      <c r="AR565" s="596"/>
      <c r="AS565" s="348"/>
      <c r="AT565" s="348"/>
      <c r="AU565" s="348"/>
      <c r="AV565" s="348"/>
      <c r="AW565" s="348"/>
      <c r="AX565" s="584"/>
      <c r="AY565" s="581"/>
      <c r="AZ565" s="581"/>
      <c r="BA565" s="596"/>
      <c r="BB565" s="596"/>
      <c r="BC565" s="348"/>
      <c r="BD565" s="581"/>
      <c r="BE565" s="581"/>
      <c r="BF565" s="347"/>
      <c r="BG565" s="347"/>
      <c r="BH565" s="347"/>
      <c r="BI565" s="347"/>
      <c r="BJ565" s="586"/>
      <c r="BK565" s="581"/>
      <c r="BL565" s="347"/>
      <c r="BM565" s="347"/>
      <c r="BN565" s="347"/>
      <c r="BO565" s="586"/>
      <c r="BP565" s="584"/>
      <c r="BQ565" s="347"/>
      <c r="BR565" s="586"/>
      <c r="BS565" s="588"/>
      <c r="BT565" s="586"/>
      <c r="BU565" s="589"/>
      <c r="BV565" s="581">
        <f t="shared" si="44"/>
        <v>0</v>
      </c>
      <c r="BW565" s="590"/>
      <c r="BX565" s="347"/>
      <c r="BY565" s="347"/>
      <c r="BZ565" s="347"/>
      <c r="CA565" s="586"/>
      <c r="CB565" s="581"/>
      <c r="CC565" s="581">
        <f t="shared" si="193"/>
        <v>0</v>
      </c>
      <c r="CD565" s="581"/>
      <c r="CE565" s="581"/>
      <c r="CF565" s="581"/>
      <c r="CG565" s="586"/>
      <c r="CH565" s="608"/>
      <c r="CI565" s="603"/>
      <c r="CJ565" s="347"/>
      <c r="CK565" s="347"/>
      <c r="CL565" s="347"/>
      <c r="CM565" s="347"/>
      <c r="CN565" s="347"/>
      <c r="CO565" s="347"/>
      <c r="CP565" s="347"/>
    </row>
    <row r="566">
      <c r="A566" s="574"/>
      <c r="B566" s="574"/>
      <c r="C566" s="347"/>
      <c r="D566" s="574"/>
      <c r="E566" s="347"/>
      <c r="F566" s="596"/>
      <c r="G566" s="596"/>
      <c r="H566" s="347"/>
      <c r="I566" s="347"/>
      <c r="J566" s="596"/>
      <c r="K566" s="609"/>
      <c r="L566" s="1"/>
      <c r="M566" s="347"/>
      <c r="N566" s="347"/>
      <c r="O566" s="579"/>
      <c r="P566" s="579"/>
      <c r="Q566" s="574"/>
      <c r="R566" s="347"/>
      <c r="S566" s="597"/>
      <c r="T566" s="347"/>
      <c r="U566" s="579"/>
      <c r="V566" s="579"/>
      <c r="W566" s="574"/>
      <c r="X566" s="347"/>
      <c r="Y566" s="347"/>
      <c r="Z566" s="347"/>
      <c r="AA566" s="579"/>
      <c r="AB566" s="581"/>
      <c r="AC566" s="347"/>
      <c r="AD566" s="347"/>
      <c r="AE566" s="347"/>
      <c r="AF566" s="347"/>
      <c r="AG566" s="579"/>
      <c r="AH566" s="579"/>
      <c r="AI566" s="582"/>
      <c r="AJ566" s="582"/>
      <c r="AK566" s="582"/>
      <c r="AL566" s="582"/>
      <c r="AM566" s="579"/>
      <c r="AN566" s="579"/>
      <c r="AO566" s="347"/>
      <c r="AP566" s="586"/>
      <c r="AQ566" s="596"/>
      <c r="AR566" s="596"/>
      <c r="AS566" s="348"/>
      <c r="AT566" s="348"/>
      <c r="AU566" s="348"/>
      <c r="AV566" s="348"/>
      <c r="AW566" s="348"/>
      <c r="AX566" s="584"/>
      <c r="AY566" s="581"/>
      <c r="AZ566" s="581"/>
      <c r="BA566" s="596"/>
      <c r="BB566" s="596"/>
      <c r="BC566" s="348"/>
      <c r="BD566" s="581"/>
      <c r="BE566" s="581"/>
      <c r="BF566" s="347"/>
      <c r="BG566" s="347"/>
      <c r="BH566" s="347"/>
      <c r="BI566" s="347"/>
      <c r="BJ566" s="586"/>
      <c r="BK566" s="581"/>
      <c r="BL566" s="347"/>
      <c r="BM566" s="347"/>
      <c r="BN566" s="347"/>
      <c r="BO566" s="586"/>
      <c r="BP566" s="584"/>
      <c r="BQ566" s="347"/>
      <c r="BR566" s="586"/>
      <c r="BS566" s="588"/>
      <c r="BT566" s="586"/>
      <c r="BU566" s="589"/>
      <c r="BV566" s="581">
        <f t="shared" si="44"/>
        <v>0</v>
      </c>
      <c r="BW566" s="590"/>
      <c r="BX566" s="347"/>
      <c r="BY566" s="347"/>
      <c r="BZ566" s="347"/>
      <c r="CA566" s="586"/>
      <c r="CB566" s="581"/>
      <c r="CC566" s="581">
        <f t="shared" si="193"/>
        <v>0</v>
      </c>
      <c r="CD566" s="581"/>
      <c r="CE566" s="581"/>
      <c r="CF566" s="581"/>
      <c r="CG566" s="586"/>
      <c r="CH566" s="608"/>
      <c r="CI566" s="603"/>
      <c r="CJ566" s="347"/>
      <c r="CK566" s="347"/>
      <c r="CL566" s="347"/>
      <c r="CM566" s="347"/>
      <c r="CN566" s="347"/>
      <c r="CO566" s="347"/>
      <c r="CP566" s="347"/>
    </row>
    <row r="567">
      <c r="A567" s="574"/>
      <c r="B567" s="574"/>
      <c r="C567" s="347"/>
      <c r="D567" s="574"/>
      <c r="E567" s="347"/>
      <c r="F567" s="596"/>
      <c r="G567" s="596"/>
      <c r="H567" s="347"/>
      <c r="I567" s="347"/>
      <c r="J567" s="596"/>
      <c r="K567" s="609"/>
      <c r="L567" s="1"/>
      <c r="M567" s="347"/>
      <c r="N567" s="347"/>
      <c r="O567" s="579"/>
      <c r="P567" s="579"/>
      <c r="Q567" s="574"/>
      <c r="R567" s="347"/>
      <c r="S567" s="597"/>
      <c r="T567" s="347"/>
      <c r="U567" s="579"/>
      <c r="V567" s="579"/>
      <c r="W567" s="574"/>
      <c r="X567" s="347"/>
      <c r="Y567" s="347"/>
      <c r="Z567" s="347"/>
      <c r="AA567" s="579"/>
      <c r="AB567" s="581"/>
      <c r="AC567" s="347"/>
      <c r="AD567" s="347"/>
      <c r="AE567" s="347"/>
      <c r="AF567" s="347"/>
      <c r="AG567" s="579"/>
      <c r="AH567" s="579"/>
      <c r="AI567" s="582"/>
      <c r="AJ567" s="582"/>
      <c r="AK567" s="582"/>
      <c r="AL567" s="582"/>
      <c r="AM567" s="579"/>
      <c r="AN567" s="579"/>
      <c r="AO567" s="347"/>
      <c r="AP567" s="586"/>
      <c r="AQ567" s="596"/>
      <c r="AR567" s="596"/>
      <c r="AS567" s="348"/>
      <c r="AT567" s="348"/>
      <c r="AU567" s="348"/>
      <c r="AV567" s="348"/>
      <c r="AW567" s="348"/>
      <c r="AX567" s="584"/>
      <c r="AY567" s="581"/>
      <c r="AZ567" s="581"/>
      <c r="BA567" s="596"/>
      <c r="BB567" s="596"/>
      <c r="BC567" s="348"/>
      <c r="BD567" s="581"/>
      <c r="BE567" s="581"/>
      <c r="BF567" s="347"/>
      <c r="BG567" s="347"/>
      <c r="BH567" s="347"/>
      <c r="BI567" s="347"/>
      <c r="BJ567" s="586"/>
      <c r="BK567" s="581"/>
      <c r="BL567" s="347"/>
      <c r="BM567" s="347"/>
      <c r="BN567" s="347"/>
      <c r="BO567" s="586"/>
      <c r="BP567" s="584"/>
      <c r="BQ567" s="347"/>
      <c r="BR567" s="586"/>
      <c r="BS567" s="588"/>
      <c r="BT567" s="586"/>
      <c r="BU567" s="589"/>
      <c r="BV567" s="581">
        <f t="shared" si="44"/>
        <v>0</v>
      </c>
      <c r="BW567" s="590"/>
      <c r="BX567" s="347"/>
      <c r="BY567" s="347"/>
      <c r="BZ567" s="347"/>
      <c r="CA567" s="586"/>
      <c r="CB567" s="581"/>
      <c r="CC567" s="581">
        <f t="shared" si="193"/>
        <v>0</v>
      </c>
      <c r="CD567" s="581"/>
      <c r="CE567" s="581"/>
      <c r="CF567" s="581"/>
      <c r="CG567" s="586"/>
      <c r="CH567" s="608"/>
      <c r="CI567" s="603"/>
      <c r="CJ567" s="347"/>
      <c r="CK567" s="347"/>
      <c r="CL567" s="347"/>
      <c r="CM567" s="347"/>
      <c r="CN567" s="347"/>
      <c r="CO567" s="347"/>
      <c r="CP567" s="347"/>
    </row>
    <row r="568">
      <c r="A568" s="574"/>
      <c r="B568" s="574"/>
      <c r="C568" s="347"/>
      <c r="D568" s="574"/>
      <c r="E568" s="347"/>
      <c r="F568" s="596"/>
      <c r="G568" s="596"/>
      <c r="H568" s="347"/>
      <c r="I568" s="347"/>
      <c r="J568" s="596"/>
      <c r="K568" s="609"/>
      <c r="L568" s="1"/>
      <c r="M568" s="347"/>
      <c r="N568" s="347"/>
      <c r="O568" s="579"/>
      <c r="P568" s="579"/>
      <c r="Q568" s="574"/>
      <c r="R568" s="347"/>
      <c r="S568" s="597"/>
      <c r="T568" s="347"/>
      <c r="U568" s="579"/>
      <c r="V568" s="579"/>
      <c r="W568" s="574"/>
      <c r="X568" s="347"/>
      <c r="Y568" s="347"/>
      <c r="Z568" s="347"/>
      <c r="AA568" s="579"/>
      <c r="AB568" s="581"/>
      <c r="AC568" s="347"/>
      <c r="AD568" s="347"/>
      <c r="AE568" s="347"/>
      <c r="AF568" s="347"/>
      <c r="AG568" s="579"/>
      <c r="AH568" s="579"/>
      <c r="AI568" s="582"/>
      <c r="AJ568" s="582"/>
      <c r="AK568" s="582"/>
      <c r="AL568" s="582"/>
      <c r="AM568" s="579"/>
      <c r="AN568" s="579"/>
      <c r="AO568" s="347"/>
      <c r="AP568" s="586"/>
      <c r="AQ568" s="596"/>
      <c r="AR568" s="596"/>
      <c r="AS568" s="348"/>
      <c r="AT568" s="348"/>
      <c r="AU568" s="348"/>
      <c r="AV568" s="348"/>
      <c r="AW568" s="348"/>
      <c r="AX568" s="584"/>
      <c r="AY568" s="581"/>
      <c r="AZ568" s="581"/>
      <c r="BA568" s="596"/>
      <c r="BB568" s="596"/>
      <c r="BC568" s="348"/>
      <c r="BD568" s="581"/>
      <c r="BE568" s="581"/>
      <c r="BF568" s="347"/>
      <c r="BG568" s="347"/>
      <c r="BH568" s="347"/>
      <c r="BI568" s="347"/>
      <c r="BJ568" s="586"/>
      <c r="BK568" s="581"/>
      <c r="BL568" s="347"/>
      <c r="BM568" s="347"/>
      <c r="BN568" s="347"/>
      <c r="BO568" s="586"/>
      <c r="BP568" s="584"/>
      <c r="BQ568" s="347"/>
      <c r="BR568" s="586"/>
      <c r="BS568" s="588"/>
      <c r="BT568" s="586"/>
      <c r="BU568" s="589"/>
      <c r="BV568" s="581">
        <f t="shared" si="44"/>
        <v>0</v>
      </c>
      <c r="BW568" s="590"/>
      <c r="BX568" s="347"/>
      <c r="BY568" s="347"/>
      <c r="BZ568" s="347"/>
      <c r="CA568" s="586"/>
      <c r="CB568" s="581"/>
      <c r="CC568" s="581">
        <f t="shared" si="193"/>
        <v>0</v>
      </c>
      <c r="CD568" s="581"/>
      <c r="CE568" s="581"/>
      <c r="CF568" s="581"/>
      <c r="CG568" s="586"/>
      <c r="CH568" s="608"/>
      <c r="CI568" s="603"/>
      <c r="CJ568" s="347"/>
      <c r="CK568" s="347"/>
      <c r="CL568" s="347"/>
      <c r="CM568" s="347"/>
      <c r="CN568" s="347"/>
      <c r="CO568" s="347"/>
      <c r="CP568" s="347"/>
    </row>
    <row r="569">
      <c r="A569" s="574"/>
      <c r="B569" s="574"/>
      <c r="C569" s="347"/>
      <c r="D569" s="574"/>
      <c r="E569" s="347"/>
      <c r="F569" s="596"/>
      <c r="G569" s="596"/>
      <c r="H569" s="347"/>
      <c r="I569" s="347"/>
      <c r="J569" s="596"/>
      <c r="K569" s="609"/>
      <c r="L569" s="1"/>
      <c r="M569" s="347"/>
      <c r="N569" s="347"/>
      <c r="O569" s="579"/>
      <c r="P569" s="579"/>
      <c r="Q569" s="574"/>
      <c r="R569" s="347"/>
      <c r="S569" s="597"/>
      <c r="T569" s="347"/>
      <c r="U569" s="579"/>
      <c r="V569" s="579"/>
      <c r="W569" s="574"/>
      <c r="X569" s="347"/>
      <c r="Y569" s="347"/>
      <c r="Z569" s="347"/>
      <c r="AA569" s="579"/>
      <c r="AB569" s="581"/>
      <c r="AC569" s="347"/>
      <c r="AD569" s="347"/>
      <c r="AE569" s="347"/>
      <c r="AF569" s="347"/>
      <c r="AG569" s="579"/>
      <c r="AH569" s="579"/>
      <c r="AI569" s="582"/>
      <c r="AJ569" s="582"/>
      <c r="AK569" s="582"/>
      <c r="AL569" s="582"/>
      <c r="AM569" s="579"/>
      <c r="AN569" s="579"/>
      <c r="AO569" s="347"/>
      <c r="AP569" s="586"/>
      <c r="AQ569" s="596"/>
      <c r="AR569" s="596"/>
      <c r="AS569" s="348"/>
      <c r="AT569" s="348"/>
      <c r="AU569" s="348"/>
      <c r="AV569" s="348"/>
      <c r="AW569" s="348"/>
      <c r="AX569" s="584"/>
      <c r="AY569" s="581"/>
      <c r="AZ569" s="581"/>
      <c r="BA569" s="596"/>
      <c r="BB569" s="596"/>
      <c r="BC569" s="348"/>
      <c r="BD569" s="581"/>
      <c r="BE569" s="581"/>
      <c r="BF569" s="347"/>
      <c r="BG569" s="347"/>
      <c r="BH569" s="347"/>
      <c r="BI569" s="347"/>
      <c r="BJ569" s="586"/>
      <c r="BK569" s="581"/>
      <c r="BL569" s="347"/>
      <c r="BM569" s="347"/>
      <c r="BN569" s="347"/>
      <c r="BO569" s="586"/>
      <c r="BP569" s="584"/>
      <c r="BQ569" s="347"/>
      <c r="BR569" s="586"/>
      <c r="BS569" s="588"/>
      <c r="BT569" s="586"/>
      <c r="BU569" s="589"/>
      <c r="BV569" s="581">
        <f t="shared" si="44"/>
        <v>0</v>
      </c>
      <c r="BW569" s="590"/>
      <c r="BX569" s="347"/>
      <c r="BY569" s="347"/>
      <c r="BZ569" s="347"/>
      <c r="CA569" s="586"/>
      <c r="CB569" s="581"/>
      <c r="CC569" s="581">
        <f t="shared" si="193"/>
        <v>0</v>
      </c>
      <c r="CD569" s="581"/>
      <c r="CE569" s="581"/>
      <c r="CF569" s="581"/>
      <c r="CG569" s="586"/>
      <c r="CH569" s="608"/>
      <c r="CI569" s="603"/>
      <c r="CJ569" s="347"/>
      <c r="CK569" s="347"/>
      <c r="CL569" s="347"/>
      <c r="CM569" s="347"/>
      <c r="CN569" s="347"/>
      <c r="CO569" s="347"/>
      <c r="CP569" s="347"/>
    </row>
    <row r="570">
      <c r="A570" s="574"/>
      <c r="B570" s="574"/>
      <c r="C570" s="347"/>
      <c r="D570" s="574"/>
      <c r="E570" s="347"/>
      <c r="F570" s="596"/>
      <c r="G570" s="596"/>
      <c r="H570" s="347"/>
      <c r="I570" s="347"/>
      <c r="J570" s="596"/>
      <c r="K570" s="609"/>
      <c r="L570" s="1"/>
      <c r="M570" s="347"/>
      <c r="N570" s="347"/>
      <c r="O570" s="579"/>
      <c r="P570" s="579"/>
      <c r="Q570" s="574"/>
      <c r="R570" s="347"/>
      <c r="S570" s="597"/>
      <c r="T570" s="347"/>
      <c r="U570" s="579"/>
      <c r="V570" s="579"/>
      <c r="W570" s="574"/>
      <c r="X570" s="347"/>
      <c r="Y570" s="347"/>
      <c r="Z570" s="347"/>
      <c r="AA570" s="579"/>
      <c r="AB570" s="581"/>
      <c r="AC570" s="347"/>
      <c r="AD570" s="347"/>
      <c r="AE570" s="347"/>
      <c r="AF570" s="347"/>
      <c r="AG570" s="579"/>
      <c r="AH570" s="579"/>
      <c r="AI570" s="582"/>
      <c r="AJ570" s="582"/>
      <c r="AK570" s="582"/>
      <c r="AL570" s="582"/>
      <c r="AM570" s="579"/>
      <c r="AN570" s="579"/>
      <c r="AO570" s="347"/>
      <c r="AP570" s="586"/>
      <c r="AQ570" s="596"/>
      <c r="AR570" s="596"/>
      <c r="AS570" s="348"/>
      <c r="AT570" s="348"/>
      <c r="AU570" s="348"/>
      <c r="AV570" s="348"/>
      <c r="AW570" s="348"/>
      <c r="AX570" s="584"/>
      <c r="AY570" s="581"/>
      <c r="AZ570" s="581"/>
      <c r="BA570" s="596"/>
      <c r="BB570" s="596"/>
      <c r="BC570" s="348"/>
      <c r="BD570" s="581"/>
      <c r="BE570" s="581"/>
      <c r="BF570" s="347"/>
      <c r="BG570" s="347"/>
      <c r="BH570" s="347"/>
      <c r="BI570" s="347"/>
      <c r="BJ570" s="586"/>
      <c r="BK570" s="581"/>
      <c r="BL570" s="347"/>
      <c r="BM570" s="347"/>
      <c r="BN570" s="347"/>
      <c r="BO570" s="586"/>
      <c r="BP570" s="584"/>
      <c r="BQ570" s="347"/>
      <c r="BR570" s="586"/>
      <c r="BS570" s="588"/>
      <c r="BT570" s="586"/>
      <c r="BU570" s="589"/>
      <c r="BV570" s="581">
        <f t="shared" si="44"/>
        <v>0</v>
      </c>
      <c r="BW570" s="590"/>
      <c r="BX570" s="347"/>
      <c r="BY570" s="347"/>
      <c r="BZ570" s="347"/>
      <c r="CA570" s="586"/>
      <c r="CB570" s="581"/>
      <c r="CC570" s="581">
        <f t="shared" si="193"/>
        <v>0</v>
      </c>
      <c r="CD570" s="581"/>
      <c r="CE570" s="581"/>
      <c r="CF570" s="581"/>
      <c r="CG570" s="586"/>
      <c r="CH570" s="608"/>
      <c r="CI570" s="603"/>
      <c r="CJ570" s="347"/>
      <c r="CK570" s="347"/>
      <c r="CL570" s="347"/>
      <c r="CM570" s="347"/>
      <c r="CN570" s="347"/>
      <c r="CO570" s="347"/>
      <c r="CP570" s="347"/>
    </row>
    <row r="571">
      <c r="A571" s="574"/>
      <c r="B571" s="574"/>
      <c r="C571" s="347"/>
      <c r="D571" s="574"/>
      <c r="E571" s="347"/>
      <c r="F571" s="596"/>
      <c r="G571" s="596"/>
      <c r="H571" s="347"/>
      <c r="I571" s="347"/>
      <c r="J571" s="596"/>
      <c r="K571" s="609"/>
      <c r="L571" s="1"/>
      <c r="M571" s="347"/>
      <c r="N571" s="347"/>
      <c r="O571" s="579"/>
      <c r="P571" s="579"/>
      <c r="Q571" s="574"/>
      <c r="R571" s="347"/>
      <c r="S571" s="597"/>
      <c r="T571" s="347"/>
      <c r="U571" s="579"/>
      <c r="V571" s="579"/>
      <c r="W571" s="574"/>
      <c r="X571" s="347"/>
      <c r="Y571" s="347"/>
      <c r="Z571" s="347"/>
      <c r="AA571" s="579"/>
      <c r="AB571" s="581"/>
      <c r="AC571" s="347"/>
      <c r="AD571" s="347"/>
      <c r="AE571" s="347"/>
      <c r="AF571" s="347"/>
      <c r="AG571" s="579"/>
      <c r="AH571" s="579"/>
      <c r="AI571" s="582"/>
      <c r="AJ571" s="582"/>
      <c r="AK571" s="582"/>
      <c r="AL571" s="582"/>
      <c r="AM571" s="579"/>
      <c r="AN571" s="579"/>
      <c r="AO571" s="347"/>
      <c r="AP571" s="586"/>
      <c r="AQ571" s="596"/>
      <c r="AR571" s="596"/>
      <c r="AS571" s="348"/>
      <c r="AT571" s="348"/>
      <c r="AU571" s="348"/>
      <c r="AV571" s="348"/>
      <c r="AW571" s="348"/>
      <c r="AX571" s="584"/>
      <c r="AY571" s="581"/>
      <c r="AZ571" s="581"/>
      <c r="BA571" s="596"/>
      <c r="BB571" s="596"/>
      <c r="BC571" s="348"/>
      <c r="BD571" s="581"/>
      <c r="BE571" s="581"/>
      <c r="BF571" s="347"/>
      <c r="BG571" s="347"/>
      <c r="BH571" s="347"/>
      <c r="BI571" s="347"/>
      <c r="BJ571" s="586"/>
      <c r="BK571" s="581"/>
      <c r="BL571" s="347"/>
      <c r="BM571" s="347"/>
      <c r="BN571" s="347"/>
      <c r="BO571" s="586"/>
      <c r="BP571" s="584"/>
      <c r="BQ571" s="347"/>
      <c r="BR571" s="586"/>
      <c r="BS571" s="588"/>
      <c r="BT571" s="586"/>
      <c r="BU571" s="589"/>
      <c r="BV571" s="581">
        <f t="shared" si="44"/>
        <v>0</v>
      </c>
      <c r="BW571" s="590"/>
      <c r="BX571" s="347"/>
      <c r="BY571" s="347"/>
      <c r="BZ571" s="347"/>
      <c r="CA571" s="586"/>
      <c r="CB571" s="581"/>
      <c r="CC571" s="581">
        <f t="shared" si="193"/>
        <v>0</v>
      </c>
      <c r="CD571" s="581"/>
      <c r="CE571" s="581"/>
      <c r="CF571" s="581"/>
      <c r="CG571" s="586"/>
      <c r="CH571" s="608"/>
      <c r="CI571" s="603"/>
      <c r="CJ571" s="347"/>
      <c r="CK571" s="347"/>
      <c r="CL571" s="347"/>
      <c r="CM571" s="347"/>
      <c r="CN571" s="347"/>
      <c r="CO571" s="347"/>
      <c r="CP571" s="347"/>
    </row>
    <row r="572">
      <c r="A572" s="574"/>
      <c r="B572" s="574"/>
      <c r="C572" s="347"/>
      <c r="D572" s="574"/>
      <c r="E572" s="347"/>
      <c r="F572" s="596"/>
      <c r="G572" s="596"/>
      <c r="H572" s="347"/>
      <c r="I572" s="347"/>
      <c r="J572" s="596"/>
      <c r="K572" s="609"/>
      <c r="L572" s="1"/>
      <c r="M572" s="347"/>
      <c r="N572" s="347"/>
      <c r="O572" s="579"/>
      <c r="P572" s="579"/>
      <c r="Q572" s="574"/>
      <c r="R572" s="347"/>
      <c r="S572" s="597"/>
      <c r="T572" s="347"/>
      <c r="U572" s="579"/>
      <c r="V572" s="579"/>
      <c r="W572" s="574"/>
      <c r="X572" s="347"/>
      <c r="Y572" s="347"/>
      <c r="Z572" s="347"/>
      <c r="AA572" s="579"/>
      <c r="AB572" s="581"/>
      <c r="AC572" s="347"/>
      <c r="AD572" s="347"/>
      <c r="AE572" s="347"/>
      <c r="AF572" s="347"/>
      <c r="AG572" s="579"/>
      <c r="AH572" s="579"/>
      <c r="AI572" s="582"/>
      <c r="AJ572" s="582"/>
      <c r="AK572" s="582"/>
      <c r="AL572" s="582"/>
      <c r="AM572" s="579"/>
      <c r="AN572" s="579"/>
      <c r="AO572" s="347"/>
      <c r="AP572" s="586"/>
      <c r="AQ572" s="596"/>
      <c r="AR572" s="596"/>
      <c r="AS572" s="348"/>
      <c r="AT572" s="348"/>
      <c r="AU572" s="348"/>
      <c r="AV572" s="348"/>
      <c r="AW572" s="348"/>
      <c r="AX572" s="584"/>
      <c r="AY572" s="581"/>
      <c r="AZ572" s="581"/>
      <c r="BA572" s="596"/>
      <c r="BB572" s="596"/>
      <c r="BC572" s="348"/>
      <c r="BD572" s="581"/>
      <c r="BE572" s="581"/>
      <c r="BF572" s="347"/>
      <c r="BG572" s="347"/>
      <c r="BH572" s="347"/>
      <c r="BI572" s="347"/>
      <c r="BJ572" s="586"/>
      <c r="BK572" s="581"/>
      <c r="BL572" s="347"/>
      <c r="BM572" s="347"/>
      <c r="BN572" s="347"/>
      <c r="BO572" s="586"/>
      <c r="BP572" s="584"/>
      <c r="BQ572" s="347"/>
      <c r="BR572" s="586"/>
      <c r="BS572" s="588"/>
      <c r="BT572" s="586"/>
      <c r="BU572" s="589"/>
      <c r="BV572" s="581">
        <f t="shared" si="44"/>
        <v>0</v>
      </c>
      <c r="BW572" s="590"/>
      <c r="BX572" s="347"/>
      <c r="BY572" s="347"/>
      <c r="BZ572" s="347"/>
      <c r="CA572" s="586"/>
      <c r="CB572" s="581"/>
      <c r="CC572" s="581">
        <f t="shared" si="193"/>
        <v>0</v>
      </c>
      <c r="CD572" s="581"/>
      <c r="CE572" s="581"/>
      <c r="CF572" s="581"/>
      <c r="CG572" s="586"/>
      <c r="CH572" s="608"/>
      <c r="CI572" s="603"/>
      <c r="CJ572" s="347"/>
      <c r="CK572" s="347"/>
      <c r="CL572" s="347"/>
      <c r="CM572" s="347"/>
      <c r="CN572" s="347"/>
      <c r="CO572" s="347"/>
      <c r="CP572" s="347"/>
    </row>
    <row r="573">
      <c r="A573" s="574"/>
      <c r="B573" s="574"/>
      <c r="C573" s="347"/>
      <c r="D573" s="574"/>
      <c r="E573" s="347"/>
      <c r="F573" s="596"/>
      <c r="G573" s="596"/>
      <c r="H573" s="347"/>
      <c r="I573" s="347"/>
      <c r="J573" s="596"/>
      <c r="K573" s="609"/>
      <c r="L573" s="1"/>
      <c r="M573" s="347"/>
      <c r="N573" s="347"/>
      <c r="O573" s="579"/>
      <c r="P573" s="579"/>
      <c r="Q573" s="574"/>
      <c r="R573" s="347"/>
      <c r="S573" s="597"/>
      <c r="T573" s="347"/>
      <c r="U573" s="579"/>
      <c r="V573" s="579"/>
      <c r="W573" s="574"/>
      <c r="X573" s="347"/>
      <c r="Y573" s="347"/>
      <c r="Z573" s="347"/>
      <c r="AA573" s="579"/>
      <c r="AB573" s="581"/>
      <c r="AC573" s="347"/>
      <c r="AD573" s="347"/>
      <c r="AE573" s="347"/>
      <c r="AF573" s="347"/>
      <c r="AG573" s="579"/>
      <c r="AH573" s="579"/>
      <c r="AI573" s="582"/>
      <c r="AJ573" s="582"/>
      <c r="AK573" s="582"/>
      <c r="AL573" s="582"/>
      <c r="AM573" s="579"/>
      <c r="AN573" s="579"/>
      <c r="AO573" s="347"/>
      <c r="AP573" s="586"/>
      <c r="AQ573" s="596"/>
      <c r="AR573" s="596"/>
      <c r="AS573" s="348"/>
      <c r="AT573" s="348"/>
      <c r="AU573" s="348"/>
      <c r="AV573" s="348"/>
      <c r="AW573" s="348"/>
      <c r="AX573" s="584"/>
      <c r="AY573" s="581"/>
      <c r="AZ573" s="581"/>
      <c r="BA573" s="596"/>
      <c r="BB573" s="596"/>
      <c r="BC573" s="348"/>
      <c r="BD573" s="581"/>
      <c r="BE573" s="581"/>
      <c r="BF573" s="347"/>
      <c r="BG573" s="347"/>
      <c r="BH573" s="347"/>
      <c r="BI573" s="347"/>
      <c r="BJ573" s="586"/>
      <c r="BK573" s="581"/>
      <c r="BL573" s="347"/>
      <c r="BM573" s="347"/>
      <c r="BN573" s="347"/>
      <c r="BO573" s="586"/>
      <c r="BP573" s="584"/>
      <c r="BQ573" s="347"/>
      <c r="BR573" s="586"/>
      <c r="BS573" s="588"/>
      <c r="BT573" s="586"/>
      <c r="BU573" s="589"/>
      <c r="BV573" s="581">
        <f t="shared" si="44"/>
        <v>0</v>
      </c>
      <c r="BW573" s="590"/>
      <c r="BX573" s="347"/>
      <c r="BY573" s="347"/>
      <c r="BZ573" s="347"/>
      <c r="CA573" s="586"/>
      <c r="CB573" s="581"/>
      <c r="CC573" s="581">
        <f t="shared" si="193"/>
        <v>0</v>
      </c>
      <c r="CD573" s="581"/>
      <c r="CE573" s="581"/>
      <c r="CF573" s="581"/>
      <c r="CG573" s="586"/>
      <c r="CH573" s="608"/>
      <c r="CI573" s="603"/>
      <c r="CJ573" s="347"/>
      <c r="CK573" s="347"/>
      <c r="CL573" s="347"/>
      <c r="CM573" s="347"/>
      <c r="CN573" s="347"/>
      <c r="CO573" s="347"/>
      <c r="CP573" s="347"/>
    </row>
    <row r="574">
      <c r="A574" s="574"/>
      <c r="B574" s="574"/>
      <c r="C574" s="347"/>
      <c r="D574" s="574"/>
      <c r="E574" s="347"/>
      <c r="F574" s="596"/>
      <c r="G574" s="596"/>
      <c r="H574" s="347"/>
      <c r="I574" s="347"/>
      <c r="J574" s="596"/>
      <c r="K574" s="609"/>
      <c r="L574" s="1"/>
      <c r="M574" s="347"/>
      <c r="N574" s="347"/>
      <c r="O574" s="579"/>
      <c r="P574" s="579"/>
      <c r="Q574" s="574"/>
      <c r="R574" s="347"/>
      <c r="S574" s="597"/>
      <c r="T574" s="347"/>
      <c r="U574" s="579"/>
      <c r="V574" s="579"/>
      <c r="W574" s="574"/>
      <c r="X574" s="347"/>
      <c r="Y574" s="347"/>
      <c r="Z574" s="347"/>
      <c r="AA574" s="579"/>
      <c r="AB574" s="581"/>
      <c r="AC574" s="347"/>
      <c r="AD574" s="347"/>
      <c r="AE574" s="347"/>
      <c r="AF574" s="347"/>
      <c r="AG574" s="579"/>
      <c r="AH574" s="579"/>
      <c r="AI574" s="582"/>
      <c r="AJ574" s="582"/>
      <c r="AK574" s="582"/>
      <c r="AL574" s="582"/>
      <c r="AM574" s="579"/>
      <c r="AN574" s="579"/>
      <c r="AO574" s="347"/>
      <c r="AP574" s="586"/>
      <c r="AQ574" s="596"/>
      <c r="AR574" s="596"/>
      <c r="AS574" s="348"/>
      <c r="AT574" s="348"/>
      <c r="AU574" s="348"/>
      <c r="AV574" s="348"/>
      <c r="AW574" s="348"/>
      <c r="AX574" s="584"/>
      <c r="AY574" s="581"/>
      <c r="AZ574" s="581"/>
      <c r="BA574" s="596"/>
      <c r="BB574" s="596"/>
      <c r="BC574" s="348"/>
      <c r="BD574" s="581"/>
      <c r="BE574" s="581"/>
      <c r="BF574" s="347"/>
      <c r="BG574" s="347"/>
      <c r="BH574" s="347"/>
      <c r="BI574" s="347"/>
      <c r="BJ574" s="586"/>
      <c r="BK574" s="581"/>
      <c r="BL574" s="347"/>
      <c r="BM574" s="347"/>
      <c r="BN574" s="347"/>
      <c r="BO574" s="586"/>
      <c r="BP574" s="584"/>
      <c r="BQ574" s="347"/>
      <c r="BR574" s="586"/>
      <c r="BS574" s="588"/>
      <c r="BT574" s="586"/>
      <c r="BU574" s="589"/>
      <c r="BV574" s="581">
        <f t="shared" si="44"/>
        <v>0</v>
      </c>
      <c r="BW574" s="590"/>
      <c r="BX574" s="347"/>
      <c r="BY574" s="347"/>
      <c r="BZ574" s="347"/>
      <c r="CA574" s="586"/>
      <c r="CB574" s="581"/>
      <c r="CC574" s="581">
        <f t="shared" si="193"/>
        <v>0</v>
      </c>
      <c r="CD574" s="581"/>
      <c r="CE574" s="581"/>
      <c r="CF574" s="581"/>
      <c r="CG574" s="586"/>
      <c r="CH574" s="608"/>
      <c r="CI574" s="603"/>
      <c r="CJ574" s="347"/>
      <c r="CK574" s="347"/>
      <c r="CL574" s="347"/>
      <c r="CM574" s="347"/>
      <c r="CN574" s="347"/>
      <c r="CO574" s="347"/>
      <c r="CP574" s="347"/>
    </row>
    <row r="575">
      <c r="A575" s="574"/>
      <c r="B575" s="574"/>
      <c r="C575" s="347"/>
      <c r="D575" s="574"/>
      <c r="E575" s="347"/>
      <c r="F575" s="596"/>
      <c r="G575" s="596"/>
      <c r="H575" s="347"/>
      <c r="I575" s="347"/>
      <c r="J575" s="596"/>
      <c r="K575" s="609"/>
      <c r="L575" s="1"/>
      <c r="M575" s="347"/>
      <c r="N575" s="347"/>
      <c r="O575" s="579"/>
      <c r="P575" s="579"/>
      <c r="Q575" s="574"/>
      <c r="R575" s="347"/>
      <c r="S575" s="597"/>
      <c r="T575" s="347"/>
      <c r="U575" s="579"/>
      <c r="V575" s="579"/>
      <c r="W575" s="574"/>
      <c r="X575" s="347"/>
      <c r="Y575" s="347"/>
      <c r="Z575" s="347"/>
      <c r="AA575" s="579"/>
      <c r="AB575" s="581"/>
      <c r="AC575" s="347"/>
      <c r="AD575" s="347"/>
      <c r="AE575" s="347"/>
      <c r="AF575" s="347"/>
      <c r="AG575" s="579"/>
      <c r="AH575" s="579"/>
      <c r="AI575" s="582"/>
      <c r="AJ575" s="582"/>
      <c r="AK575" s="582"/>
      <c r="AL575" s="582"/>
      <c r="AM575" s="579"/>
      <c r="AN575" s="579"/>
      <c r="AO575" s="347"/>
      <c r="AP575" s="586"/>
      <c r="AQ575" s="596"/>
      <c r="AR575" s="596"/>
      <c r="AS575" s="348"/>
      <c r="AT575" s="348"/>
      <c r="AU575" s="348"/>
      <c r="AV575" s="348"/>
      <c r="AW575" s="348"/>
      <c r="AX575" s="584"/>
      <c r="AY575" s="581"/>
      <c r="AZ575" s="581"/>
      <c r="BA575" s="596"/>
      <c r="BB575" s="596"/>
      <c r="BC575" s="348"/>
      <c r="BD575" s="581"/>
      <c r="BE575" s="581"/>
      <c r="BF575" s="347"/>
      <c r="BG575" s="347"/>
      <c r="BH575" s="347"/>
      <c r="BI575" s="347"/>
      <c r="BJ575" s="586"/>
      <c r="BK575" s="581"/>
      <c r="BL575" s="347"/>
      <c r="BM575" s="347"/>
      <c r="BN575" s="347"/>
      <c r="BO575" s="586"/>
      <c r="BP575" s="584"/>
      <c r="BQ575" s="347"/>
      <c r="BR575" s="586"/>
      <c r="BS575" s="588"/>
      <c r="BT575" s="586"/>
      <c r="BU575" s="589"/>
      <c r="BV575" s="581">
        <f t="shared" si="44"/>
        <v>0</v>
      </c>
      <c r="BW575" s="590"/>
      <c r="BX575" s="347"/>
      <c r="BY575" s="347"/>
      <c r="BZ575" s="347"/>
      <c r="CA575" s="586"/>
      <c r="CB575" s="581"/>
      <c r="CC575" s="581">
        <f t="shared" si="193"/>
        <v>0</v>
      </c>
      <c r="CD575" s="581"/>
      <c r="CE575" s="581"/>
      <c r="CF575" s="581"/>
      <c r="CG575" s="586"/>
      <c r="CH575" s="608"/>
      <c r="CI575" s="603"/>
      <c r="CJ575" s="347"/>
      <c r="CK575" s="347"/>
      <c r="CL575" s="347"/>
      <c r="CM575" s="347"/>
      <c r="CN575" s="347"/>
      <c r="CO575" s="347"/>
      <c r="CP575" s="347"/>
    </row>
    <row r="576">
      <c r="A576" s="574"/>
      <c r="B576" s="574"/>
      <c r="C576" s="347"/>
      <c r="D576" s="574"/>
      <c r="E576" s="347"/>
      <c r="F576" s="596"/>
      <c r="G576" s="596"/>
      <c r="H576" s="347"/>
      <c r="I576" s="347"/>
      <c r="J576" s="596"/>
      <c r="K576" s="609"/>
      <c r="L576" s="1"/>
      <c r="M576" s="347"/>
      <c r="N576" s="347"/>
      <c r="O576" s="579"/>
      <c r="P576" s="579"/>
      <c r="Q576" s="574"/>
      <c r="R576" s="347"/>
      <c r="S576" s="597"/>
      <c r="T576" s="347"/>
      <c r="U576" s="579"/>
      <c r="V576" s="579"/>
      <c r="W576" s="574"/>
      <c r="X576" s="347"/>
      <c r="Y576" s="347"/>
      <c r="Z576" s="347"/>
      <c r="AA576" s="579"/>
      <c r="AB576" s="581"/>
      <c r="AC576" s="347"/>
      <c r="AD576" s="347"/>
      <c r="AE576" s="347"/>
      <c r="AF576" s="347"/>
      <c r="AG576" s="579"/>
      <c r="AH576" s="579"/>
      <c r="AI576" s="582"/>
      <c r="AJ576" s="582"/>
      <c r="AK576" s="582"/>
      <c r="AL576" s="582"/>
      <c r="AM576" s="579"/>
      <c r="AN576" s="579"/>
      <c r="AO576" s="347"/>
      <c r="AP576" s="586"/>
      <c r="AQ576" s="596"/>
      <c r="AR576" s="596"/>
      <c r="AS576" s="348"/>
      <c r="AT576" s="348"/>
      <c r="AU576" s="348"/>
      <c r="AV576" s="348"/>
      <c r="AW576" s="348"/>
      <c r="AX576" s="584"/>
      <c r="AY576" s="581"/>
      <c r="AZ576" s="581"/>
      <c r="BA576" s="596"/>
      <c r="BB576" s="596"/>
      <c r="BC576" s="348"/>
      <c r="BD576" s="581"/>
      <c r="BE576" s="581"/>
      <c r="BF576" s="347"/>
      <c r="BG576" s="347"/>
      <c r="BH576" s="347"/>
      <c r="BI576" s="347"/>
      <c r="BJ576" s="586"/>
      <c r="BK576" s="581"/>
      <c r="BL576" s="347"/>
      <c r="BM576" s="347"/>
      <c r="BN576" s="347"/>
      <c r="BO576" s="586"/>
      <c r="BP576" s="584"/>
      <c r="BQ576" s="347"/>
      <c r="BR576" s="586"/>
      <c r="BS576" s="588"/>
      <c r="BT576" s="586"/>
      <c r="BU576" s="589"/>
      <c r="BV576" s="581">
        <f t="shared" si="44"/>
        <v>0</v>
      </c>
      <c r="BW576" s="590"/>
      <c r="BX576" s="347"/>
      <c r="BY576" s="347"/>
      <c r="BZ576" s="347"/>
      <c r="CA576" s="586"/>
      <c r="CB576" s="581"/>
      <c r="CC576" s="581">
        <f t="shared" si="193"/>
        <v>0</v>
      </c>
      <c r="CD576" s="581"/>
      <c r="CE576" s="581"/>
      <c r="CF576" s="581"/>
      <c r="CG576" s="586"/>
      <c r="CH576" s="608"/>
      <c r="CI576" s="603"/>
      <c r="CJ576" s="347"/>
      <c r="CK576" s="347"/>
      <c r="CL576" s="347"/>
      <c r="CM576" s="347"/>
      <c r="CN576" s="347"/>
      <c r="CO576" s="347"/>
      <c r="CP576" s="347"/>
    </row>
    <row r="577">
      <c r="A577" s="574"/>
      <c r="B577" s="574"/>
      <c r="C577" s="347"/>
      <c r="D577" s="574"/>
      <c r="E577" s="347"/>
      <c r="F577" s="596"/>
      <c r="G577" s="596"/>
      <c r="H577" s="347"/>
      <c r="I577" s="347"/>
      <c r="J577" s="596"/>
      <c r="K577" s="609"/>
      <c r="L577" s="1"/>
      <c r="M577" s="347"/>
      <c r="N577" s="347"/>
      <c r="O577" s="579"/>
      <c r="P577" s="579"/>
      <c r="Q577" s="574"/>
      <c r="R577" s="347"/>
      <c r="S577" s="597"/>
      <c r="T577" s="347"/>
      <c r="U577" s="579"/>
      <c r="V577" s="579"/>
      <c r="W577" s="574"/>
      <c r="X577" s="347"/>
      <c r="Y577" s="347"/>
      <c r="Z577" s="347"/>
      <c r="AA577" s="579"/>
      <c r="AB577" s="581"/>
      <c r="AC577" s="347"/>
      <c r="AD577" s="347"/>
      <c r="AE577" s="347"/>
      <c r="AF577" s="347"/>
      <c r="AG577" s="579"/>
      <c r="AH577" s="579"/>
      <c r="AI577" s="582"/>
      <c r="AJ577" s="582"/>
      <c r="AK577" s="582"/>
      <c r="AL577" s="582"/>
      <c r="AM577" s="579"/>
      <c r="AN577" s="579"/>
      <c r="AO577" s="347"/>
      <c r="AP577" s="586"/>
      <c r="AQ577" s="596"/>
      <c r="AR577" s="596"/>
      <c r="AS577" s="348"/>
      <c r="AT577" s="348"/>
      <c r="AU577" s="348"/>
      <c r="AV577" s="348"/>
      <c r="AW577" s="348"/>
      <c r="AX577" s="584"/>
      <c r="AY577" s="581"/>
      <c r="AZ577" s="581"/>
      <c r="BA577" s="596"/>
      <c r="BB577" s="596"/>
      <c r="BC577" s="348"/>
      <c r="BD577" s="581"/>
      <c r="BE577" s="581"/>
      <c r="BF577" s="347"/>
      <c r="BG577" s="347"/>
      <c r="BH577" s="347"/>
      <c r="BI577" s="347"/>
      <c r="BJ577" s="586"/>
      <c r="BK577" s="581"/>
      <c r="BL577" s="347"/>
      <c r="BM577" s="347"/>
      <c r="BN577" s="347"/>
      <c r="BO577" s="586"/>
      <c r="BP577" s="584"/>
      <c r="BQ577" s="347"/>
      <c r="BR577" s="586"/>
      <c r="BS577" s="588"/>
      <c r="BT577" s="586"/>
      <c r="BU577" s="589"/>
      <c r="BV577" s="581">
        <f t="shared" si="44"/>
        <v>0</v>
      </c>
      <c r="BW577" s="590"/>
      <c r="BX577" s="347"/>
      <c r="BY577" s="347"/>
      <c r="BZ577" s="347"/>
      <c r="CA577" s="586"/>
      <c r="CB577" s="581"/>
      <c r="CC577" s="581">
        <f t="shared" si="193"/>
        <v>0</v>
      </c>
      <c r="CD577" s="581"/>
      <c r="CE577" s="581"/>
      <c r="CF577" s="581"/>
      <c r="CG577" s="586"/>
      <c r="CH577" s="608"/>
      <c r="CI577" s="603"/>
      <c r="CJ577" s="347"/>
      <c r="CK577" s="347"/>
      <c r="CL577" s="347"/>
      <c r="CM577" s="347"/>
      <c r="CN577" s="347"/>
      <c r="CO577" s="347"/>
      <c r="CP577" s="347"/>
    </row>
    <row r="578">
      <c r="A578" s="574"/>
      <c r="B578" s="574"/>
      <c r="C578" s="347"/>
      <c r="D578" s="574"/>
      <c r="E578" s="347"/>
      <c r="F578" s="596"/>
      <c r="G578" s="596"/>
      <c r="H578" s="347"/>
      <c r="I578" s="347"/>
      <c r="J578" s="596"/>
      <c r="K578" s="609"/>
      <c r="L578" s="1"/>
      <c r="M578" s="347"/>
      <c r="N578" s="347"/>
      <c r="O578" s="579"/>
      <c r="P578" s="579"/>
      <c r="Q578" s="574"/>
      <c r="R578" s="347"/>
      <c r="S578" s="597"/>
      <c r="T578" s="347"/>
      <c r="U578" s="579"/>
      <c r="V578" s="579"/>
      <c r="W578" s="574"/>
      <c r="X578" s="347"/>
      <c r="Y578" s="347"/>
      <c r="Z578" s="347"/>
      <c r="AA578" s="579"/>
      <c r="AB578" s="581"/>
      <c r="AC578" s="347"/>
      <c r="AD578" s="347"/>
      <c r="AE578" s="347"/>
      <c r="AF578" s="347"/>
      <c r="AG578" s="579"/>
      <c r="AH578" s="579"/>
      <c r="AI578" s="582"/>
      <c r="AJ578" s="582"/>
      <c r="AK578" s="582"/>
      <c r="AL578" s="582"/>
      <c r="AM578" s="579"/>
      <c r="AN578" s="579"/>
      <c r="AO578" s="347"/>
      <c r="AP578" s="586"/>
      <c r="AQ578" s="596"/>
      <c r="AR578" s="596"/>
      <c r="AS578" s="348"/>
      <c r="AT578" s="348"/>
      <c r="AU578" s="348"/>
      <c r="AV578" s="348"/>
      <c r="AW578" s="348"/>
      <c r="AX578" s="584"/>
      <c r="AY578" s="581"/>
      <c r="AZ578" s="581"/>
      <c r="BA578" s="596"/>
      <c r="BB578" s="596"/>
      <c r="BC578" s="348"/>
      <c r="BD578" s="581"/>
      <c r="BE578" s="581"/>
      <c r="BF578" s="347"/>
      <c r="BG578" s="347"/>
      <c r="BH578" s="347"/>
      <c r="BI578" s="347"/>
      <c r="BJ578" s="586"/>
      <c r="BK578" s="581"/>
      <c r="BL578" s="347"/>
      <c r="BM578" s="347"/>
      <c r="BN578" s="347"/>
      <c r="BO578" s="586"/>
      <c r="BP578" s="584"/>
      <c r="BQ578" s="347"/>
      <c r="BR578" s="586"/>
      <c r="BS578" s="588"/>
      <c r="BT578" s="586"/>
      <c r="BU578" s="589"/>
      <c r="BV578" s="581">
        <f t="shared" si="44"/>
        <v>0</v>
      </c>
      <c r="BW578" s="590"/>
      <c r="BX578" s="347"/>
      <c r="BY578" s="347"/>
      <c r="BZ578" s="347"/>
      <c r="CA578" s="586"/>
      <c r="CB578" s="581"/>
      <c r="CC578" s="581">
        <f t="shared" si="193"/>
        <v>0</v>
      </c>
      <c r="CD578" s="581"/>
      <c r="CE578" s="581"/>
      <c r="CF578" s="581"/>
      <c r="CG578" s="586"/>
      <c r="CH578" s="608"/>
      <c r="CI578" s="603"/>
      <c r="CJ578" s="347"/>
      <c r="CK578" s="347"/>
      <c r="CL578" s="347"/>
      <c r="CM578" s="347"/>
      <c r="CN578" s="347"/>
      <c r="CO578" s="347"/>
      <c r="CP578" s="347"/>
    </row>
    <row r="579">
      <c r="A579" s="574"/>
      <c r="B579" s="574"/>
      <c r="C579" s="347"/>
      <c r="D579" s="574"/>
      <c r="E579" s="347"/>
      <c r="F579" s="596"/>
      <c r="G579" s="596"/>
      <c r="H579" s="347"/>
      <c r="I579" s="347"/>
      <c r="J579" s="596"/>
      <c r="K579" s="609"/>
      <c r="L579" s="1"/>
      <c r="M579" s="347"/>
      <c r="N579" s="347"/>
      <c r="O579" s="579"/>
      <c r="P579" s="579"/>
      <c r="Q579" s="574"/>
      <c r="R579" s="347"/>
      <c r="S579" s="597"/>
      <c r="T579" s="347"/>
      <c r="U579" s="579"/>
      <c r="V579" s="579"/>
      <c r="W579" s="574"/>
      <c r="X579" s="347"/>
      <c r="Y579" s="347"/>
      <c r="Z579" s="347"/>
      <c r="AA579" s="579"/>
      <c r="AB579" s="581"/>
      <c r="AC579" s="347"/>
      <c r="AD579" s="347"/>
      <c r="AE579" s="347"/>
      <c r="AF579" s="347"/>
      <c r="AG579" s="579"/>
      <c r="AH579" s="579"/>
      <c r="AI579" s="582"/>
      <c r="AJ579" s="582"/>
      <c r="AK579" s="582"/>
      <c r="AL579" s="582"/>
      <c r="AM579" s="579"/>
      <c r="AN579" s="579"/>
      <c r="AO579" s="347"/>
      <c r="AP579" s="586"/>
      <c r="AQ579" s="596"/>
      <c r="AR579" s="596"/>
      <c r="AS579" s="348"/>
      <c r="AT579" s="348"/>
      <c r="AU579" s="348"/>
      <c r="AV579" s="348"/>
      <c r="AW579" s="348"/>
      <c r="AX579" s="584"/>
      <c r="AY579" s="581"/>
      <c r="AZ579" s="581"/>
      <c r="BA579" s="596"/>
      <c r="BB579" s="596"/>
      <c r="BC579" s="348"/>
      <c r="BD579" s="581"/>
      <c r="BE579" s="581"/>
      <c r="BF579" s="347"/>
      <c r="BG579" s="347"/>
      <c r="BH579" s="347"/>
      <c r="BI579" s="347"/>
      <c r="BJ579" s="586"/>
      <c r="BK579" s="581"/>
      <c r="BL579" s="347"/>
      <c r="BM579" s="347"/>
      <c r="BN579" s="347"/>
      <c r="BO579" s="586"/>
      <c r="BP579" s="584"/>
      <c r="BQ579" s="347"/>
      <c r="BR579" s="586"/>
      <c r="BS579" s="588"/>
      <c r="BT579" s="586"/>
      <c r="BU579" s="589"/>
      <c r="BV579" s="581">
        <f t="shared" si="44"/>
        <v>0</v>
      </c>
      <c r="BW579" s="590"/>
      <c r="BX579" s="347"/>
      <c r="BY579" s="347"/>
      <c r="BZ579" s="347"/>
      <c r="CA579" s="586"/>
      <c r="CB579" s="581"/>
      <c r="CC579" s="581">
        <f t="shared" si="193"/>
        <v>0</v>
      </c>
      <c r="CD579" s="581"/>
      <c r="CE579" s="581"/>
      <c r="CF579" s="581"/>
      <c r="CG579" s="586"/>
      <c r="CH579" s="608"/>
      <c r="CI579" s="603"/>
      <c r="CJ579" s="347"/>
      <c r="CK579" s="347"/>
      <c r="CL579" s="347"/>
      <c r="CM579" s="347"/>
      <c r="CN579" s="347"/>
      <c r="CO579" s="347"/>
      <c r="CP579" s="347"/>
    </row>
    <row r="580">
      <c r="A580" s="574"/>
      <c r="B580" s="574"/>
      <c r="C580" s="347"/>
      <c r="D580" s="574"/>
      <c r="E580" s="347"/>
      <c r="F580" s="596"/>
      <c r="G580" s="596"/>
      <c r="H580" s="347"/>
      <c r="I580" s="347"/>
      <c r="J580" s="596"/>
      <c r="K580" s="609"/>
      <c r="L580" s="1"/>
      <c r="M580" s="347"/>
      <c r="N580" s="347"/>
      <c r="O580" s="579"/>
      <c r="P580" s="579"/>
      <c r="Q580" s="574"/>
      <c r="R580" s="347"/>
      <c r="S580" s="597"/>
      <c r="T580" s="347"/>
      <c r="U580" s="579"/>
      <c r="V580" s="579"/>
      <c r="W580" s="574"/>
      <c r="X580" s="347"/>
      <c r="Y580" s="347"/>
      <c r="Z580" s="347"/>
      <c r="AA580" s="579"/>
      <c r="AB580" s="581"/>
      <c r="AC580" s="347"/>
      <c r="AD580" s="347"/>
      <c r="AE580" s="347"/>
      <c r="AF580" s="347"/>
      <c r="AG580" s="579"/>
      <c r="AH580" s="579"/>
      <c r="AI580" s="582"/>
      <c r="AJ580" s="582"/>
      <c r="AK580" s="582"/>
      <c r="AL580" s="582"/>
      <c r="AM580" s="579"/>
      <c r="AN580" s="579"/>
      <c r="AO580" s="347"/>
      <c r="AP580" s="586"/>
      <c r="AQ580" s="596"/>
      <c r="AR580" s="596"/>
      <c r="AS580" s="348"/>
      <c r="AT580" s="348"/>
      <c r="AU580" s="348"/>
      <c r="AV580" s="348"/>
      <c r="AW580" s="348"/>
      <c r="AX580" s="584"/>
      <c r="AY580" s="581"/>
      <c r="AZ580" s="581"/>
      <c r="BA580" s="596"/>
      <c r="BB580" s="596"/>
      <c r="BC580" s="348"/>
      <c r="BD580" s="581"/>
      <c r="BE580" s="581"/>
      <c r="BF580" s="347"/>
      <c r="BG580" s="347"/>
      <c r="BH580" s="347"/>
      <c r="BI580" s="347"/>
      <c r="BJ580" s="586"/>
      <c r="BK580" s="581"/>
      <c r="BL580" s="347"/>
      <c r="BM580" s="347"/>
      <c r="BN580" s="347"/>
      <c r="BO580" s="586"/>
      <c r="BP580" s="584"/>
      <c r="BQ580" s="347"/>
      <c r="BR580" s="586"/>
      <c r="BS580" s="588"/>
      <c r="BT580" s="586"/>
      <c r="BU580" s="589"/>
      <c r="BV580" s="581">
        <f t="shared" si="44"/>
        <v>0</v>
      </c>
      <c r="BW580" s="590"/>
      <c r="BX580" s="347"/>
      <c r="BY580" s="347"/>
      <c r="BZ580" s="347"/>
      <c r="CA580" s="586"/>
      <c r="CB580" s="581"/>
      <c r="CC580" s="581">
        <f t="shared" si="193"/>
        <v>0</v>
      </c>
      <c r="CD580" s="581"/>
      <c r="CE580" s="581"/>
      <c r="CF580" s="581"/>
      <c r="CG580" s="586"/>
      <c r="CH580" s="608"/>
      <c r="CI580" s="603"/>
      <c r="CJ580" s="347"/>
      <c r="CK580" s="347"/>
      <c r="CL580" s="347"/>
      <c r="CM580" s="347"/>
      <c r="CN580" s="347"/>
      <c r="CO580" s="347"/>
      <c r="CP580" s="347"/>
    </row>
    <row r="581">
      <c r="A581" s="574"/>
      <c r="B581" s="574"/>
      <c r="C581" s="347"/>
      <c r="D581" s="574"/>
      <c r="E581" s="347"/>
      <c r="F581" s="596"/>
      <c r="G581" s="596"/>
      <c r="H581" s="347"/>
      <c r="I581" s="347"/>
      <c r="J581" s="596"/>
      <c r="K581" s="609"/>
      <c r="L581" s="1"/>
      <c r="M581" s="347"/>
      <c r="N581" s="347"/>
      <c r="O581" s="579"/>
      <c r="P581" s="579"/>
      <c r="Q581" s="574"/>
      <c r="R581" s="347"/>
      <c r="S581" s="597"/>
      <c r="T581" s="347"/>
      <c r="U581" s="579"/>
      <c r="V581" s="579"/>
      <c r="W581" s="574"/>
      <c r="X581" s="347"/>
      <c r="Y581" s="347"/>
      <c r="Z581" s="347"/>
      <c r="AA581" s="579"/>
      <c r="AB581" s="581"/>
      <c r="AC581" s="347"/>
      <c r="AD581" s="347"/>
      <c r="AE581" s="347"/>
      <c r="AF581" s="347"/>
      <c r="AG581" s="579"/>
      <c r="AH581" s="579"/>
      <c r="AI581" s="582"/>
      <c r="AJ581" s="582"/>
      <c r="AK581" s="582"/>
      <c r="AL581" s="582"/>
      <c r="AM581" s="579"/>
      <c r="AN581" s="579"/>
      <c r="AO581" s="347"/>
      <c r="AP581" s="586"/>
      <c r="AQ581" s="596"/>
      <c r="AR581" s="596"/>
      <c r="AS581" s="348"/>
      <c r="AT581" s="348"/>
      <c r="AU581" s="348"/>
      <c r="AV581" s="348"/>
      <c r="AW581" s="348"/>
      <c r="AX581" s="584"/>
      <c r="AY581" s="581"/>
      <c r="AZ581" s="581"/>
      <c r="BA581" s="596"/>
      <c r="BB581" s="596"/>
      <c r="BC581" s="348"/>
      <c r="BD581" s="581"/>
      <c r="BE581" s="581"/>
      <c r="BF581" s="347"/>
      <c r="BG581" s="347"/>
      <c r="BH581" s="347"/>
      <c r="BI581" s="347"/>
      <c r="BJ581" s="586"/>
      <c r="BK581" s="581"/>
      <c r="BL581" s="347"/>
      <c r="BM581" s="347"/>
      <c r="BN581" s="347"/>
      <c r="BO581" s="586"/>
      <c r="BP581" s="584"/>
      <c r="BQ581" s="347"/>
      <c r="BR581" s="586"/>
      <c r="BS581" s="588"/>
      <c r="BT581" s="586"/>
      <c r="BU581" s="589"/>
      <c r="BV581" s="581">
        <f t="shared" si="44"/>
        <v>0</v>
      </c>
      <c r="BW581" s="590"/>
      <c r="BX581" s="347"/>
      <c r="BY581" s="347"/>
      <c r="BZ581" s="347"/>
      <c r="CA581" s="586"/>
      <c r="CB581" s="581"/>
      <c r="CC581" s="581">
        <f t="shared" si="193"/>
        <v>0</v>
      </c>
      <c r="CD581" s="581"/>
      <c r="CE581" s="581"/>
      <c r="CF581" s="581"/>
      <c r="CG581" s="586"/>
      <c r="CH581" s="608"/>
      <c r="CI581" s="603"/>
      <c r="CJ581" s="347"/>
      <c r="CK581" s="347"/>
      <c r="CL581" s="347"/>
      <c r="CM581" s="347"/>
      <c r="CN581" s="347"/>
      <c r="CO581" s="347"/>
      <c r="CP581" s="347"/>
    </row>
    <row r="582">
      <c r="A582" s="574"/>
      <c r="B582" s="574"/>
      <c r="C582" s="347"/>
      <c r="D582" s="574"/>
      <c r="E582" s="347"/>
      <c r="F582" s="596"/>
      <c r="G582" s="596"/>
      <c r="H582" s="347"/>
      <c r="I582" s="347"/>
      <c r="J582" s="596"/>
      <c r="K582" s="609"/>
      <c r="L582" s="1"/>
      <c r="M582" s="347"/>
      <c r="N582" s="347"/>
      <c r="O582" s="579"/>
      <c r="P582" s="579"/>
      <c r="Q582" s="574"/>
      <c r="R582" s="347"/>
      <c r="S582" s="597"/>
      <c r="T582" s="347"/>
      <c r="U582" s="579"/>
      <c r="V582" s="579"/>
      <c r="W582" s="574"/>
      <c r="X582" s="347"/>
      <c r="Y582" s="347"/>
      <c r="Z582" s="347"/>
      <c r="AA582" s="579"/>
      <c r="AB582" s="581"/>
      <c r="AC582" s="347"/>
      <c r="AD582" s="347"/>
      <c r="AE582" s="347"/>
      <c r="AF582" s="347"/>
      <c r="AG582" s="579"/>
      <c r="AH582" s="579"/>
      <c r="AI582" s="582"/>
      <c r="AJ582" s="582"/>
      <c r="AK582" s="582"/>
      <c r="AL582" s="582"/>
      <c r="AM582" s="579"/>
      <c r="AN582" s="579"/>
      <c r="AO582" s="347"/>
      <c r="AP582" s="586"/>
      <c r="AQ582" s="596"/>
      <c r="AR582" s="596"/>
      <c r="AS582" s="348"/>
      <c r="AT582" s="348"/>
      <c r="AU582" s="348"/>
      <c r="AV582" s="348"/>
      <c r="AW582" s="348"/>
      <c r="AX582" s="584"/>
      <c r="AY582" s="581"/>
      <c r="AZ582" s="581"/>
      <c r="BA582" s="596"/>
      <c r="BB582" s="596"/>
      <c r="BC582" s="348"/>
      <c r="BD582" s="581"/>
      <c r="BE582" s="581"/>
      <c r="BF582" s="347"/>
      <c r="BG582" s="347"/>
      <c r="BH582" s="347"/>
      <c r="BI582" s="347"/>
      <c r="BJ582" s="586"/>
      <c r="BK582" s="581"/>
      <c r="BL582" s="347"/>
      <c r="BM582" s="347"/>
      <c r="BN582" s="347"/>
      <c r="BO582" s="586"/>
      <c r="BP582" s="584"/>
      <c r="BQ582" s="347"/>
      <c r="BR582" s="586"/>
      <c r="BS582" s="588"/>
      <c r="BT582" s="586"/>
      <c r="BU582" s="589"/>
      <c r="BV582" s="581">
        <f t="shared" si="44"/>
        <v>0</v>
      </c>
      <c r="BW582" s="590"/>
      <c r="BX582" s="347"/>
      <c r="BY582" s="347"/>
      <c r="BZ582" s="347"/>
      <c r="CA582" s="586"/>
      <c r="CB582" s="581"/>
      <c r="CC582" s="581">
        <f t="shared" si="193"/>
        <v>0</v>
      </c>
      <c r="CD582" s="581"/>
      <c r="CE582" s="581"/>
      <c r="CF582" s="581"/>
      <c r="CG582" s="586"/>
      <c r="CH582" s="608"/>
      <c r="CI582" s="603"/>
      <c r="CJ582" s="347"/>
      <c r="CK582" s="347"/>
      <c r="CL582" s="347"/>
      <c r="CM582" s="347"/>
      <c r="CN582" s="347"/>
      <c r="CO582" s="347"/>
      <c r="CP582" s="347"/>
    </row>
    <row r="583">
      <c r="A583" s="574"/>
      <c r="B583" s="574"/>
      <c r="C583" s="347"/>
      <c r="D583" s="574"/>
      <c r="E583" s="347"/>
      <c r="F583" s="596"/>
      <c r="G583" s="596"/>
      <c r="H583" s="347"/>
      <c r="I583" s="347"/>
      <c r="J583" s="596"/>
      <c r="K583" s="609"/>
      <c r="L583" s="1"/>
      <c r="M583" s="347"/>
      <c r="N583" s="347"/>
      <c r="O583" s="579"/>
      <c r="P583" s="579"/>
      <c r="Q583" s="574"/>
      <c r="R583" s="347"/>
      <c r="S583" s="597"/>
      <c r="T583" s="347"/>
      <c r="U583" s="579"/>
      <c r="V583" s="579"/>
      <c r="W583" s="574"/>
      <c r="X583" s="347"/>
      <c r="Y583" s="347"/>
      <c r="Z583" s="347"/>
      <c r="AA583" s="579"/>
      <c r="AB583" s="581"/>
      <c r="AC583" s="347"/>
      <c r="AD583" s="347"/>
      <c r="AE583" s="347"/>
      <c r="AF583" s="347"/>
      <c r="AG583" s="579"/>
      <c r="AH583" s="579"/>
      <c r="AI583" s="582"/>
      <c r="AJ583" s="582"/>
      <c r="AK583" s="582"/>
      <c r="AL583" s="582"/>
      <c r="AM583" s="579"/>
      <c r="AN583" s="579"/>
      <c r="AO583" s="347"/>
      <c r="AP583" s="586"/>
      <c r="AQ583" s="596"/>
      <c r="AR583" s="596"/>
      <c r="AS583" s="348"/>
      <c r="AT583" s="348"/>
      <c r="AU583" s="348"/>
      <c r="AV583" s="348"/>
      <c r="AW583" s="348"/>
      <c r="AX583" s="584"/>
      <c r="AY583" s="581"/>
      <c r="AZ583" s="581"/>
      <c r="BA583" s="596"/>
      <c r="BB583" s="596"/>
      <c r="BC583" s="348"/>
      <c r="BD583" s="581"/>
      <c r="BE583" s="581"/>
      <c r="BF583" s="347"/>
      <c r="BG583" s="347"/>
      <c r="BH583" s="347"/>
      <c r="BI583" s="347"/>
      <c r="BJ583" s="586"/>
      <c r="BK583" s="581"/>
      <c r="BL583" s="347"/>
      <c r="BM583" s="347"/>
      <c r="BN583" s="347"/>
      <c r="BO583" s="586"/>
      <c r="BP583" s="584"/>
      <c r="BQ583" s="347"/>
      <c r="BR583" s="586"/>
      <c r="BS583" s="588"/>
      <c r="BT583" s="586"/>
      <c r="BU583" s="589"/>
      <c r="BV583" s="581">
        <f t="shared" si="44"/>
        <v>0</v>
      </c>
      <c r="BW583" s="590"/>
      <c r="BX583" s="347"/>
      <c r="BY583" s="347"/>
      <c r="BZ583" s="347"/>
      <c r="CA583" s="586"/>
      <c r="CB583" s="581"/>
      <c r="CC583" s="581">
        <f t="shared" si="193"/>
        <v>0</v>
      </c>
      <c r="CD583" s="581"/>
      <c r="CE583" s="581"/>
      <c r="CF583" s="581"/>
      <c r="CG583" s="586"/>
      <c r="CH583" s="608"/>
      <c r="CI583" s="603"/>
      <c r="CJ583" s="347"/>
      <c r="CK583" s="347"/>
      <c r="CL583" s="347"/>
      <c r="CM583" s="347"/>
      <c r="CN583" s="347"/>
      <c r="CO583" s="347"/>
      <c r="CP583" s="347"/>
    </row>
    <row r="584">
      <c r="A584" s="574"/>
      <c r="B584" s="574"/>
      <c r="C584" s="347"/>
      <c r="D584" s="574"/>
      <c r="E584" s="347"/>
      <c r="F584" s="596"/>
      <c r="G584" s="596"/>
      <c r="H584" s="347"/>
      <c r="I584" s="347"/>
      <c r="J584" s="596"/>
      <c r="K584" s="609"/>
      <c r="L584" s="1"/>
      <c r="M584" s="347"/>
      <c r="N584" s="347"/>
      <c r="O584" s="579"/>
      <c r="P584" s="579"/>
      <c r="Q584" s="574"/>
      <c r="R584" s="347"/>
      <c r="S584" s="597"/>
      <c r="T584" s="347"/>
      <c r="U584" s="579"/>
      <c r="V584" s="579"/>
      <c r="W584" s="574"/>
      <c r="X584" s="347"/>
      <c r="Y584" s="347"/>
      <c r="Z584" s="347"/>
      <c r="AA584" s="579"/>
      <c r="AB584" s="581"/>
      <c r="AC584" s="347"/>
      <c r="AD584" s="347"/>
      <c r="AE584" s="347"/>
      <c r="AF584" s="347"/>
      <c r="AG584" s="579"/>
      <c r="AH584" s="579"/>
      <c r="AI584" s="582"/>
      <c r="AJ584" s="582"/>
      <c r="AK584" s="582"/>
      <c r="AL584" s="582"/>
      <c r="AM584" s="579"/>
      <c r="AN584" s="579"/>
      <c r="AO584" s="347"/>
      <c r="AP584" s="586"/>
      <c r="AQ584" s="596"/>
      <c r="AR584" s="596"/>
      <c r="AS584" s="348"/>
      <c r="AT584" s="348"/>
      <c r="AU584" s="348"/>
      <c r="AV584" s="348"/>
      <c r="AW584" s="348"/>
      <c r="AX584" s="584"/>
      <c r="AY584" s="581"/>
      <c r="AZ584" s="581"/>
      <c r="BA584" s="596"/>
      <c r="BB584" s="596"/>
      <c r="BC584" s="348"/>
      <c r="BD584" s="581"/>
      <c r="BE584" s="581"/>
      <c r="BF584" s="347"/>
      <c r="BG584" s="347"/>
      <c r="BH584" s="347"/>
      <c r="BI584" s="347"/>
      <c r="BJ584" s="586"/>
      <c r="BK584" s="581"/>
      <c r="BL584" s="347"/>
      <c r="BM584" s="347"/>
      <c r="BN584" s="347"/>
      <c r="BO584" s="586"/>
      <c r="BP584" s="584"/>
      <c r="BQ584" s="347"/>
      <c r="BR584" s="586"/>
      <c r="BS584" s="588"/>
      <c r="BT584" s="586"/>
      <c r="BU584" s="589"/>
      <c r="BV584" s="581">
        <f t="shared" si="44"/>
        <v>0</v>
      </c>
      <c r="BW584" s="590"/>
      <c r="BX584" s="347"/>
      <c r="BY584" s="347"/>
      <c r="BZ584" s="347"/>
      <c r="CA584" s="586"/>
      <c r="CB584" s="581"/>
      <c r="CC584" s="581">
        <f t="shared" si="193"/>
        <v>0</v>
      </c>
      <c r="CD584" s="581"/>
      <c r="CE584" s="581"/>
      <c r="CF584" s="581"/>
      <c r="CG584" s="586"/>
      <c r="CH584" s="608"/>
      <c r="CI584" s="603"/>
      <c r="CJ584" s="347"/>
      <c r="CK584" s="347"/>
      <c r="CL584" s="347"/>
      <c r="CM584" s="347"/>
      <c r="CN584" s="347"/>
      <c r="CO584" s="347"/>
      <c r="CP584" s="347"/>
    </row>
    <row r="585">
      <c r="A585" s="574"/>
      <c r="B585" s="574"/>
      <c r="C585" s="347"/>
      <c r="D585" s="574"/>
      <c r="E585" s="347"/>
      <c r="F585" s="596"/>
      <c r="G585" s="596"/>
      <c r="H585" s="347"/>
      <c r="I585" s="347"/>
      <c r="J585" s="596"/>
      <c r="K585" s="609"/>
      <c r="L585" s="1"/>
      <c r="M585" s="347"/>
      <c r="N585" s="347"/>
      <c r="O585" s="579"/>
      <c r="P585" s="579"/>
      <c r="Q585" s="574"/>
      <c r="R585" s="347"/>
      <c r="S585" s="597"/>
      <c r="T585" s="347"/>
      <c r="U585" s="579"/>
      <c r="V585" s="579"/>
      <c r="W585" s="574"/>
      <c r="X585" s="347"/>
      <c r="Y585" s="347"/>
      <c r="Z585" s="347"/>
      <c r="AA585" s="579"/>
      <c r="AB585" s="581"/>
      <c r="AC585" s="347"/>
      <c r="AD585" s="347"/>
      <c r="AE585" s="347"/>
      <c r="AF585" s="347"/>
      <c r="AG585" s="579"/>
      <c r="AH585" s="579"/>
      <c r="AI585" s="582"/>
      <c r="AJ585" s="582"/>
      <c r="AK585" s="582"/>
      <c r="AL585" s="582"/>
      <c r="AM585" s="579"/>
      <c r="AN585" s="579"/>
      <c r="AO585" s="347"/>
      <c r="AP585" s="586"/>
      <c r="AQ585" s="596"/>
      <c r="AR585" s="596"/>
      <c r="AS585" s="348"/>
      <c r="AT585" s="348"/>
      <c r="AU585" s="348"/>
      <c r="AV585" s="348"/>
      <c r="AW585" s="348"/>
      <c r="AX585" s="584"/>
      <c r="AY585" s="581"/>
      <c r="AZ585" s="581"/>
      <c r="BA585" s="596"/>
      <c r="BB585" s="596"/>
      <c r="BC585" s="348"/>
      <c r="BD585" s="581"/>
      <c r="BE585" s="581"/>
      <c r="BF585" s="347"/>
      <c r="BG585" s="347"/>
      <c r="BH585" s="347"/>
      <c r="BI585" s="347"/>
      <c r="BJ585" s="586"/>
      <c r="BK585" s="581"/>
      <c r="BL585" s="347"/>
      <c r="BM585" s="347"/>
      <c r="BN585" s="347"/>
      <c r="BO585" s="586"/>
      <c r="BP585" s="584"/>
      <c r="BQ585" s="347"/>
      <c r="BR585" s="586"/>
      <c r="BS585" s="588"/>
      <c r="BT585" s="586"/>
      <c r="BU585" s="589"/>
      <c r="BV585" s="581">
        <f t="shared" si="44"/>
        <v>0</v>
      </c>
      <c r="BW585" s="590"/>
      <c r="BX585" s="347"/>
      <c r="BY585" s="347"/>
      <c r="BZ585" s="347"/>
      <c r="CA585" s="586"/>
      <c r="CB585" s="581"/>
      <c r="CC585" s="581">
        <f t="shared" si="193"/>
        <v>0</v>
      </c>
      <c r="CD585" s="581"/>
      <c r="CE585" s="581"/>
      <c r="CF585" s="581"/>
      <c r="CG585" s="586"/>
      <c r="CH585" s="608"/>
      <c r="CI585" s="603"/>
      <c r="CJ585" s="347"/>
      <c r="CK585" s="347"/>
      <c r="CL585" s="347"/>
      <c r="CM585" s="347"/>
      <c r="CN585" s="347"/>
      <c r="CO585" s="347"/>
      <c r="CP585" s="347"/>
    </row>
    <row r="586">
      <c r="A586" s="574"/>
      <c r="B586" s="574"/>
      <c r="C586" s="347"/>
      <c r="D586" s="574"/>
      <c r="E586" s="347"/>
      <c r="F586" s="596"/>
      <c r="G586" s="596"/>
      <c r="H586" s="347"/>
      <c r="I586" s="347"/>
      <c r="J586" s="596"/>
      <c r="K586" s="609"/>
      <c r="L586" s="1"/>
      <c r="M586" s="347"/>
      <c r="N586" s="347"/>
      <c r="O586" s="579"/>
      <c r="P586" s="579"/>
      <c r="Q586" s="574"/>
      <c r="R586" s="347"/>
      <c r="S586" s="597"/>
      <c r="T586" s="347"/>
      <c r="U586" s="579"/>
      <c r="V586" s="579"/>
      <c r="W586" s="574"/>
      <c r="X586" s="347"/>
      <c r="Y586" s="347"/>
      <c r="Z586" s="347"/>
      <c r="AA586" s="579"/>
      <c r="AB586" s="581"/>
      <c r="AC586" s="347"/>
      <c r="AD586" s="347"/>
      <c r="AE586" s="347"/>
      <c r="AF586" s="347"/>
      <c r="AG586" s="579"/>
      <c r="AH586" s="579"/>
      <c r="AI586" s="582"/>
      <c r="AJ586" s="582"/>
      <c r="AK586" s="582"/>
      <c r="AL586" s="582"/>
      <c r="AM586" s="579"/>
      <c r="AN586" s="579"/>
      <c r="AO586" s="347"/>
      <c r="AP586" s="586"/>
      <c r="AQ586" s="596"/>
      <c r="AR586" s="596"/>
      <c r="AS586" s="348"/>
      <c r="AT586" s="348"/>
      <c r="AU586" s="348"/>
      <c r="AV586" s="348"/>
      <c r="AW586" s="348"/>
      <c r="AX586" s="584"/>
      <c r="AY586" s="581"/>
      <c r="AZ586" s="581"/>
      <c r="BA586" s="596"/>
      <c r="BB586" s="596"/>
      <c r="BC586" s="348"/>
      <c r="BD586" s="581"/>
      <c r="BE586" s="581"/>
      <c r="BF586" s="347"/>
      <c r="BG586" s="347"/>
      <c r="BH586" s="347"/>
      <c r="BI586" s="347"/>
      <c r="BJ586" s="586"/>
      <c r="BK586" s="581"/>
      <c r="BL586" s="347"/>
      <c r="BM586" s="347"/>
      <c r="BN586" s="347"/>
      <c r="BO586" s="586"/>
      <c r="BP586" s="584"/>
      <c r="BQ586" s="347"/>
      <c r="BR586" s="586"/>
      <c r="BS586" s="588"/>
      <c r="BT586" s="586"/>
      <c r="BU586" s="589"/>
      <c r="BV586" s="581">
        <f t="shared" si="44"/>
        <v>0</v>
      </c>
      <c r="BW586" s="590"/>
      <c r="BX586" s="347"/>
      <c r="BY586" s="347"/>
      <c r="BZ586" s="347"/>
      <c r="CA586" s="586"/>
      <c r="CB586" s="581"/>
      <c r="CC586" s="581">
        <f t="shared" si="193"/>
        <v>0</v>
      </c>
      <c r="CD586" s="581"/>
      <c r="CE586" s="581"/>
      <c r="CF586" s="581"/>
      <c r="CG586" s="586"/>
      <c r="CH586" s="608"/>
      <c r="CI586" s="603"/>
      <c r="CJ586" s="347"/>
      <c r="CK586" s="347"/>
      <c r="CL586" s="347"/>
      <c r="CM586" s="347"/>
      <c r="CN586" s="347"/>
      <c r="CO586" s="347"/>
      <c r="CP586" s="347"/>
    </row>
    <row r="587">
      <c r="A587" s="574"/>
      <c r="B587" s="574"/>
      <c r="C587" s="347"/>
      <c r="D587" s="574"/>
      <c r="E587" s="347"/>
      <c r="F587" s="596"/>
      <c r="G587" s="596"/>
      <c r="H587" s="347"/>
      <c r="I587" s="347"/>
      <c r="J587" s="596"/>
      <c r="K587" s="609"/>
      <c r="L587" s="1"/>
      <c r="M587" s="347"/>
      <c r="N587" s="347"/>
      <c r="O587" s="579"/>
      <c r="P587" s="579"/>
      <c r="Q587" s="574"/>
      <c r="R587" s="347"/>
      <c r="S587" s="597"/>
      <c r="T587" s="347"/>
      <c r="U587" s="579"/>
      <c r="V587" s="579"/>
      <c r="W587" s="574"/>
      <c r="X587" s="347"/>
      <c r="Y587" s="347"/>
      <c r="Z587" s="347"/>
      <c r="AA587" s="579"/>
      <c r="AB587" s="581"/>
      <c r="AC587" s="347"/>
      <c r="AD587" s="347"/>
      <c r="AE587" s="347"/>
      <c r="AF587" s="347"/>
      <c r="AG587" s="579"/>
      <c r="AH587" s="579"/>
      <c r="AI587" s="582"/>
      <c r="AJ587" s="582"/>
      <c r="AK587" s="582"/>
      <c r="AL587" s="582"/>
      <c r="AM587" s="579"/>
      <c r="AN587" s="579"/>
      <c r="AO587" s="347"/>
      <c r="AP587" s="586"/>
      <c r="AQ587" s="596"/>
      <c r="AR587" s="596"/>
      <c r="AS587" s="348"/>
      <c r="AT587" s="348"/>
      <c r="AU587" s="348"/>
      <c r="AV587" s="348"/>
      <c r="AW587" s="348"/>
      <c r="AX587" s="584"/>
      <c r="AY587" s="581"/>
      <c r="AZ587" s="581"/>
      <c r="BA587" s="596"/>
      <c r="BB587" s="596"/>
      <c r="BC587" s="348"/>
      <c r="BD587" s="581"/>
      <c r="BE587" s="581"/>
      <c r="BF587" s="347"/>
      <c r="BG587" s="347"/>
      <c r="BH587" s="347"/>
      <c r="BI587" s="347"/>
      <c r="BJ587" s="586"/>
      <c r="BK587" s="581"/>
      <c r="BL587" s="347"/>
      <c r="BM587" s="347"/>
      <c r="BN587" s="347"/>
      <c r="BO587" s="586"/>
      <c r="BP587" s="584"/>
      <c r="BQ587" s="347"/>
      <c r="BR587" s="586"/>
      <c r="BS587" s="588"/>
      <c r="BT587" s="586"/>
      <c r="BU587" s="589"/>
      <c r="BV587" s="581">
        <f t="shared" si="44"/>
        <v>0</v>
      </c>
      <c r="BW587" s="590"/>
      <c r="BX587" s="347"/>
      <c r="BY587" s="347"/>
      <c r="BZ587" s="347"/>
      <c r="CA587" s="586"/>
      <c r="CB587" s="581"/>
      <c r="CC587" s="581">
        <f t="shared" si="193"/>
        <v>0</v>
      </c>
      <c r="CD587" s="581"/>
      <c r="CE587" s="581"/>
      <c r="CF587" s="581"/>
      <c r="CG587" s="586"/>
      <c r="CH587" s="608"/>
      <c r="CI587" s="603"/>
      <c r="CJ587" s="347"/>
      <c r="CK587" s="347"/>
      <c r="CL587" s="347"/>
      <c r="CM587" s="347"/>
      <c r="CN587" s="347"/>
      <c r="CO587" s="347"/>
      <c r="CP587" s="347"/>
    </row>
    <row r="588">
      <c r="A588" s="574"/>
      <c r="B588" s="574"/>
      <c r="C588" s="347"/>
      <c r="D588" s="574"/>
      <c r="E588" s="347"/>
      <c r="F588" s="596"/>
      <c r="G588" s="596"/>
      <c r="H588" s="347"/>
      <c r="I588" s="347"/>
      <c r="J588" s="596"/>
      <c r="K588" s="609"/>
      <c r="L588" s="1"/>
      <c r="M588" s="347"/>
      <c r="N588" s="347"/>
      <c r="O588" s="579"/>
      <c r="P588" s="579"/>
      <c r="Q588" s="574"/>
      <c r="R588" s="347"/>
      <c r="S588" s="597"/>
      <c r="T588" s="347"/>
      <c r="U588" s="579"/>
      <c r="V588" s="579"/>
      <c r="W588" s="574"/>
      <c r="X588" s="347"/>
      <c r="Y588" s="347"/>
      <c r="Z588" s="347"/>
      <c r="AA588" s="579"/>
      <c r="AB588" s="581"/>
      <c r="AC588" s="347"/>
      <c r="AD588" s="347"/>
      <c r="AE588" s="347"/>
      <c r="AF588" s="347"/>
      <c r="AG588" s="579"/>
      <c r="AH588" s="579"/>
      <c r="AI588" s="582"/>
      <c r="AJ588" s="582"/>
      <c r="AK588" s="582"/>
      <c r="AL588" s="582"/>
      <c r="AM588" s="579"/>
      <c r="AN588" s="579"/>
      <c r="AO588" s="347"/>
      <c r="AP588" s="586"/>
      <c r="AQ588" s="596"/>
      <c r="AR588" s="596"/>
      <c r="AS588" s="348"/>
      <c r="AT588" s="348"/>
      <c r="AU588" s="348"/>
      <c r="AV588" s="348"/>
      <c r="AW588" s="348"/>
      <c r="AX588" s="584"/>
      <c r="AY588" s="581"/>
      <c r="AZ588" s="581"/>
      <c r="BA588" s="596"/>
      <c r="BB588" s="596"/>
      <c r="BC588" s="348"/>
      <c r="BD588" s="581"/>
      <c r="BE588" s="581"/>
      <c r="BF588" s="347"/>
      <c r="BG588" s="347"/>
      <c r="BH588" s="347"/>
      <c r="BI588" s="347"/>
      <c r="BJ588" s="586"/>
      <c r="BK588" s="581"/>
      <c r="BL588" s="347"/>
      <c r="BM588" s="347"/>
      <c r="BN588" s="347"/>
      <c r="BO588" s="586"/>
      <c r="BP588" s="584"/>
      <c r="BQ588" s="347"/>
      <c r="BR588" s="586"/>
      <c r="BS588" s="588"/>
      <c r="BT588" s="586"/>
      <c r="BU588" s="589"/>
      <c r="BV588" s="581">
        <f t="shared" si="44"/>
        <v>0</v>
      </c>
      <c r="BW588" s="590"/>
      <c r="BX588" s="347"/>
      <c r="BY588" s="347"/>
      <c r="BZ588" s="347"/>
      <c r="CA588" s="586"/>
      <c r="CB588" s="581"/>
      <c r="CC588" s="581">
        <f t="shared" si="193"/>
        <v>0</v>
      </c>
      <c r="CD588" s="581"/>
      <c r="CE588" s="581"/>
      <c r="CF588" s="581"/>
      <c r="CG588" s="586"/>
      <c r="CH588" s="608"/>
      <c r="CI588" s="603"/>
      <c r="CJ588" s="347"/>
      <c r="CK588" s="347"/>
      <c r="CL588" s="347"/>
      <c r="CM588" s="347"/>
      <c r="CN588" s="347"/>
      <c r="CO588" s="347"/>
      <c r="CP588" s="347"/>
    </row>
    <row r="589">
      <c r="A589" s="574"/>
      <c r="B589" s="574"/>
      <c r="C589" s="347"/>
      <c r="D589" s="574"/>
      <c r="E589" s="347"/>
      <c r="F589" s="596"/>
      <c r="G589" s="596"/>
      <c r="H589" s="347"/>
      <c r="I589" s="347"/>
      <c r="J589" s="596"/>
      <c r="K589" s="609"/>
      <c r="L589" s="1"/>
      <c r="M589" s="347"/>
      <c r="N589" s="347"/>
      <c r="O589" s="579"/>
      <c r="P589" s="579"/>
      <c r="Q589" s="574"/>
      <c r="R589" s="347"/>
      <c r="S589" s="597"/>
      <c r="T589" s="347"/>
      <c r="U589" s="579"/>
      <c r="V589" s="579"/>
      <c r="W589" s="574"/>
      <c r="X589" s="347"/>
      <c r="Y589" s="347"/>
      <c r="Z589" s="347"/>
      <c r="AA589" s="579"/>
      <c r="AB589" s="581"/>
      <c r="AC589" s="347"/>
      <c r="AD589" s="347"/>
      <c r="AE589" s="347"/>
      <c r="AF589" s="347"/>
      <c r="AG589" s="579"/>
      <c r="AH589" s="579"/>
      <c r="AI589" s="582"/>
      <c r="AJ589" s="582"/>
      <c r="AK589" s="582"/>
      <c r="AL589" s="582"/>
      <c r="AM589" s="579"/>
      <c r="AN589" s="579"/>
      <c r="AO589" s="347"/>
      <c r="AP589" s="586"/>
      <c r="AQ589" s="596"/>
      <c r="AR589" s="596"/>
      <c r="AS589" s="348"/>
      <c r="AT589" s="348"/>
      <c r="AU589" s="348"/>
      <c r="AV589" s="348"/>
      <c r="AW589" s="348"/>
      <c r="AX589" s="584"/>
      <c r="AY589" s="581"/>
      <c r="AZ589" s="581"/>
      <c r="BA589" s="596"/>
      <c r="BB589" s="596"/>
      <c r="BC589" s="348"/>
      <c r="BD589" s="581"/>
      <c r="BE589" s="581"/>
      <c r="BF589" s="347"/>
      <c r="BG589" s="347"/>
      <c r="BH589" s="347"/>
      <c r="BI589" s="347"/>
      <c r="BJ589" s="586"/>
      <c r="BK589" s="581"/>
      <c r="BL589" s="347"/>
      <c r="BM589" s="347"/>
      <c r="BN589" s="347"/>
      <c r="BO589" s="586"/>
      <c r="BP589" s="584"/>
      <c r="BQ589" s="347"/>
      <c r="BR589" s="586"/>
      <c r="BS589" s="588"/>
      <c r="BT589" s="586"/>
      <c r="BU589" s="589"/>
      <c r="BV589" s="581">
        <f t="shared" si="44"/>
        <v>0</v>
      </c>
      <c r="BW589" s="590"/>
      <c r="BX589" s="347"/>
      <c r="BY589" s="347"/>
      <c r="BZ589" s="347"/>
      <c r="CA589" s="586"/>
      <c r="CB589" s="581"/>
      <c r="CC589" s="581">
        <f t="shared" si="193"/>
        <v>0</v>
      </c>
      <c r="CD589" s="581"/>
      <c r="CE589" s="581"/>
      <c r="CF589" s="581"/>
      <c r="CG589" s="586"/>
      <c r="CH589" s="608"/>
      <c r="CI589" s="603"/>
      <c r="CJ589" s="347"/>
      <c r="CK589" s="347"/>
      <c r="CL589" s="347"/>
      <c r="CM589" s="347"/>
      <c r="CN589" s="347"/>
      <c r="CO589" s="347"/>
      <c r="CP589" s="347"/>
    </row>
    <row r="590">
      <c r="A590" s="574"/>
      <c r="B590" s="574"/>
      <c r="C590" s="347"/>
      <c r="D590" s="574"/>
      <c r="E590" s="347"/>
      <c r="F590" s="596"/>
      <c r="G590" s="596"/>
      <c r="H590" s="347"/>
      <c r="I590" s="347"/>
      <c r="J590" s="596"/>
      <c r="K590" s="609"/>
      <c r="L590" s="1"/>
      <c r="M590" s="347"/>
      <c r="N590" s="347"/>
      <c r="O590" s="579"/>
      <c r="P590" s="579"/>
      <c r="Q590" s="574"/>
      <c r="R590" s="347"/>
      <c r="S590" s="597"/>
      <c r="T590" s="347"/>
      <c r="U590" s="579"/>
      <c r="V590" s="579"/>
      <c r="W590" s="574"/>
      <c r="X590" s="347"/>
      <c r="Y590" s="347"/>
      <c r="Z590" s="347"/>
      <c r="AA590" s="579"/>
      <c r="AB590" s="581"/>
      <c r="AC590" s="347"/>
      <c r="AD590" s="347"/>
      <c r="AE590" s="347"/>
      <c r="AF590" s="347"/>
      <c r="AG590" s="579"/>
      <c r="AH590" s="579"/>
      <c r="AI590" s="582"/>
      <c r="AJ590" s="582"/>
      <c r="AK590" s="582"/>
      <c r="AL590" s="582"/>
      <c r="AM590" s="579"/>
      <c r="AN590" s="579"/>
      <c r="AO590" s="347"/>
      <c r="AP590" s="586"/>
      <c r="AQ590" s="596"/>
      <c r="AR590" s="596"/>
      <c r="AS590" s="348"/>
      <c r="AT590" s="348"/>
      <c r="AU590" s="348"/>
      <c r="AV590" s="348"/>
      <c r="AW590" s="348"/>
      <c r="AX590" s="584"/>
      <c r="AY590" s="581"/>
      <c r="AZ590" s="581"/>
      <c r="BA590" s="596"/>
      <c r="BB590" s="596"/>
      <c r="BC590" s="348"/>
      <c r="BD590" s="581"/>
      <c r="BE590" s="581"/>
      <c r="BF590" s="347"/>
      <c r="BG590" s="347"/>
      <c r="BH590" s="347"/>
      <c r="BI590" s="347"/>
      <c r="BJ590" s="586"/>
      <c r="BK590" s="581"/>
      <c r="BL590" s="347"/>
      <c r="BM590" s="347"/>
      <c r="BN590" s="347"/>
      <c r="BO590" s="586"/>
      <c r="BP590" s="584"/>
      <c r="BQ590" s="347"/>
      <c r="BR590" s="586"/>
      <c r="BS590" s="588"/>
      <c r="BT590" s="586"/>
      <c r="BU590" s="589"/>
      <c r="BV590" s="581">
        <f t="shared" si="44"/>
        <v>0</v>
      </c>
      <c r="BW590" s="590"/>
      <c r="BX590" s="347"/>
      <c r="BY590" s="347"/>
      <c r="BZ590" s="347"/>
      <c r="CA590" s="586"/>
      <c r="CB590" s="581"/>
      <c r="CC590" s="581">
        <f t="shared" si="193"/>
        <v>0</v>
      </c>
      <c r="CD590" s="581"/>
      <c r="CE590" s="581"/>
      <c r="CF590" s="581"/>
      <c r="CG590" s="586"/>
      <c r="CH590" s="608"/>
      <c r="CI590" s="603"/>
      <c r="CJ590" s="347"/>
      <c r="CK590" s="347"/>
      <c r="CL590" s="347"/>
      <c r="CM590" s="347"/>
      <c r="CN590" s="347"/>
      <c r="CO590" s="347"/>
      <c r="CP590" s="347"/>
    </row>
    <row r="591">
      <c r="A591" s="574"/>
      <c r="B591" s="574"/>
      <c r="C591" s="347"/>
      <c r="D591" s="574"/>
      <c r="E591" s="347"/>
      <c r="F591" s="596"/>
      <c r="G591" s="596"/>
      <c r="H591" s="347"/>
      <c r="I591" s="347"/>
      <c r="J591" s="596"/>
      <c r="K591" s="609"/>
      <c r="L591" s="1"/>
      <c r="M591" s="347"/>
      <c r="N591" s="347"/>
      <c r="O591" s="579"/>
      <c r="P591" s="579"/>
      <c r="Q591" s="574"/>
      <c r="R591" s="347"/>
      <c r="S591" s="597"/>
      <c r="T591" s="347"/>
      <c r="U591" s="579"/>
      <c r="V591" s="579"/>
      <c r="W591" s="574"/>
      <c r="X591" s="347"/>
      <c r="Y591" s="347"/>
      <c r="Z591" s="347"/>
      <c r="AA591" s="579"/>
      <c r="AB591" s="581"/>
      <c r="AC591" s="347"/>
      <c r="AD591" s="347"/>
      <c r="AE591" s="347"/>
      <c r="AF591" s="347"/>
      <c r="AG591" s="579"/>
      <c r="AH591" s="579"/>
      <c r="AI591" s="582"/>
      <c r="AJ591" s="582"/>
      <c r="AK591" s="582"/>
      <c r="AL591" s="582"/>
      <c r="AM591" s="579"/>
      <c r="AN591" s="579"/>
      <c r="AO591" s="347"/>
      <c r="AP591" s="586"/>
      <c r="AQ591" s="596"/>
      <c r="AR591" s="596"/>
      <c r="AS591" s="348"/>
      <c r="AT591" s="348"/>
      <c r="AU591" s="348"/>
      <c r="AV591" s="348"/>
      <c r="AW591" s="348"/>
      <c r="AX591" s="584"/>
      <c r="AY591" s="581"/>
      <c r="AZ591" s="581"/>
      <c r="BA591" s="596"/>
      <c r="BB591" s="596"/>
      <c r="BC591" s="348"/>
      <c r="BD591" s="581"/>
      <c r="BE591" s="581"/>
      <c r="BF591" s="347"/>
      <c r="BG591" s="347"/>
      <c r="BH591" s="347"/>
      <c r="BI591" s="347"/>
      <c r="BJ591" s="586"/>
      <c r="BK591" s="581"/>
      <c r="BL591" s="347"/>
      <c r="BM591" s="347"/>
      <c r="BN591" s="347"/>
      <c r="BO591" s="586"/>
      <c r="BP591" s="584"/>
      <c r="BQ591" s="347"/>
      <c r="BR591" s="586"/>
      <c r="BS591" s="588"/>
      <c r="BT591" s="586"/>
      <c r="BU591" s="589"/>
      <c r="BV591" s="581">
        <f t="shared" si="44"/>
        <v>0</v>
      </c>
      <c r="BW591" s="590"/>
      <c r="BX591" s="347"/>
      <c r="BY591" s="347"/>
      <c r="BZ591" s="347"/>
      <c r="CA591" s="586"/>
      <c r="CB591" s="581"/>
      <c r="CC591" s="581">
        <f t="shared" si="193"/>
        <v>0</v>
      </c>
      <c r="CD591" s="581"/>
      <c r="CE591" s="581"/>
      <c r="CF591" s="581"/>
      <c r="CG591" s="586"/>
      <c r="CH591" s="608"/>
      <c r="CI591" s="603"/>
      <c r="CJ591" s="347"/>
      <c r="CK591" s="347"/>
      <c r="CL591" s="347"/>
      <c r="CM591" s="347"/>
      <c r="CN591" s="347"/>
      <c r="CO591" s="347"/>
      <c r="CP591" s="347"/>
    </row>
    <row r="592">
      <c r="A592" s="574"/>
      <c r="B592" s="574"/>
      <c r="C592" s="347"/>
      <c r="D592" s="574"/>
      <c r="E592" s="347"/>
      <c r="F592" s="596"/>
      <c r="G592" s="596"/>
      <c r="H592" s="347"/>
      <c r="I592" s="347"/>
      <c r="J592" s="596"/>
      <c r="K592" s="609"/>
      <c r="L592" s="1"/>
      <c r="M592" s="347"/>
      <c r="N592" s="347"/>
      <c r="O592" s="579"/>
      <c r="P592" s="579"/>
      <c r="Q592" s="574"/>
      <c r="R592" s="347"/>
      <c r="S592" s="597"/>
      <c r="T592" s="347"/>
      <c r="U592" s="579"/>
      <c r="V592" s="579"/>
      <c r="W592" s="574"/>
      <c r="X592" s="347"/>
      <c r="Y592" s="347"/>
      <c r="Z592" s="347"/>
      <c r="AA592" s="579"/>
      <c r="AB592" s="581"/>
      <c r="AC592" s="347"/>
      <c r="AD592" s="347"/>
      <c r="AE592" s="347"/>
      <c r="AF592" s="347"/>
      <c r="AG592" s="579"/>
      <c r="AH592" s="579"/>
      <c r="AI592" s="582"/>
      <c r="AJ592" s="582"/>
      <c r="AK592" s="582"/>
      <c r="AL592" s="582"/>
      <c r="AM592" s="579"/>
      <c r="AN592" s="579"/>
      <c r="AO592" s="347"/>
      <c r="AP592" s="586"/>
      <c r="AQ592" s="596"/>
      <c r="AR592" s="596"/>
      <c r="AS592" s="348"/>
      <c r="AT592" s="348"/>
      <c r="AU592" s="348"/>
      <c r="AV592" s="348"/>
      <c r="AW592" s="348"/>
      <c r="AX592" s="584"/>
      <c r="AY592" s="581"/>
      <c r="AZ592" s="581"/>
      <c r="BA592" s="596"/>
      <c r="BB592" s="596"/>
      <c r="BC592" s="348"/>
      <c r="BD592" s="581"/>
      <c r="BE592" s="581"/>
      <c r="BF592" s="347"/>
      <c r="BG592" s="347"/>
      <c r="BH592" s="347"/>
      <c r="BI592" s="347"/>
      <c r="BJ592" s="586"/>
      <c r="BK592" s="581"/>
      <c r="BL592" s="347"/>
      <c r="BM592" s="347"/>
      <c r="BN592" s="347"/>
      <c r="BO592" s="586"/>
      <c r="BP592" s="584"/>
      <c r="BQ592" s="347"/>
      <c r="BR592" s="586"/>
      <c r="BS592" s="588"/>
      <c r="BT592" s="586"/>
      <c r="BU592" s="589"/>
      <c r="BV592" s="581">
        <f t="shared" si="44"/>
        <v>0</v>
      </c>
      <c r="BW592" s="590"/>
      <c r="BX592" s="347"/>
      <c r="BY592" s="347"/>
      <c r="BZ592" s="347"/>
      <c r="CA592" s="586"/>
      <c r="CB592" s="581"/>
      <c r="CC592" s="581">
        <f t="shared" si="193"/>
        <v>0</v>
      </c>
      <c r="CD592" s="581"/>
      <c r="CE592" s="581"/>
      <c r="CF592" s="581"/>
      <c r="CG592" s="586"/>
      <c r="CH592" s="608"/>
      <c r="CI592" s="603"/>
      <c r="CJ592" s="347"/>
      <c r="CK592" s="347"/>
      <c r="CL592" s="347"/>
      <c r="CM592" s="347"/>
      <c r="CN592" s="347"/>
      <c r="CO592" s="347"/>
      <c r="CP592" s="347"/>
    </row>
    <row r="593">
      <c r="A593" s="574"/>
      <c r="B593" s="574"/>
      <c r="C593" s="347"/>
      <c r="D593" s="574"/>
      <c r="E593" s="347"/>
      <c r="F593" s="596"/>
      <c r="G593" s="596"/>
      <c r="H593" s="347"/>
      <c r="I593" s="347"/>
      <c r="J593" s="596"/>
      <c r="K593" s="609"/>
      <c r="L593" s="1"/>
      <c r="M593" s="347"/>
      <c r="N593" s="347"/>
      <c r="O593" s="579"/>
      <c r="P593" s="579"/>
      <c r="Q593" s="574"/>
      <c r="R593" s="347"/>
      <c r="S593" s="597"/>
      <c r="T593" s="347"/>
      <c r="U593" s="579"/>
      <c r="V593" s="579"/>
      <c r="W593" s="574"/>
      <c r="X593" s="347"/>
      <c r="Y593" s="347"/>
      <c r="Z593" s="347"/>
      <c r="AA593" s="579"/>
      <c r="AB593" s="581"/>
      <c r="AC593" s="347"/>
      <c r="AD593" s="347"/>
      <c r="AE593" s="347"/>
      <c r="AF593" s="347"/>
      <c r="AG593" s="579"/>
      <c r="AH593" s="579"/>
      <c r="AI593" s="582"/>
      <c r="AJ593" s="582"/>
      <c r="AK593" s="582"/>
      <c r="AL593" s="582"/>
      <c r="AM593" s="579"/>
      <c r="AN593" s="579"/>
      <c r="AO593" s="347"/>
      <c r="AP593" s="586"/>
      <c r="AQ593" s="596"/>
      <c r="AR593" s="596"/>
      <c r="AS593" s="348"/>
      <c r="AT593" s="348"/>
      <c r="AU593" s="348"/>
      <c r="AV593" s="348"/>
      <c r="AW593" s="348"/>
      <c r="AX593" s="584"/>
      <c r="AY593" s="581"/>
      <c r="AZ593" s="581"/>
      <c r="BA593" s="596"/>
      <c r="BB593" s="596"/>
      <c r="BC593" s="348"/>
      <c r="BD593" s="581"/>
      <c r="BE593" s="581"/>
      <c r="BF593" s="347"/>
      <c r="BG593" s="347"/>
      <c r="BH593" s="347"/>
      <c r="BI593" s="347"/>
      <c r="BJ593" s="586"/>
      <c r="BK593" s="581"/>
      <c r="BL593" s="347"/>
      <c r="BM593" s="347"/>
      <c r="BN593" s="347"/>
      <c r="BO593" s="586"/>
      <c r="BP593" s="584"/>
      <c r="BQ593" s="347"/>
      <c r="BR593" s="586"/>
      <c r="BS593" s="588"/>
      <c r="BT593" s="586"/>
      <c r="BU593" s="589"/>
      <c r="BV593" s="581">
        <f t="shared" si="44"/>
        <v>0</v>
      </c>
      <c r="BW593" s="590"/>
      <c r="BX593" s="347"/>
      <c r="BY593" s="347"/>
      <c r="BZ593" s="347"/>
      <c r="CA593" s="586"/>
      <c r="CB593" s="581"/>
      <c r="CC593" s="581">
        <f t="shared" si="193"/>
        <v>0</v>
      </c>
      <c r="CD593" s="581"/>
      <c r="CE593" s="581"/>
      <c r="CF593" s="581"/>
      <c r="CG593" s="586"/>
      <c r="CH593" s="608"/>
      <c r="CI593" s="603"/>
      <c r="CJ593" s="347"/>
      <c r="CK593" s="347"/>
      <c r="CL593" s="347"/>
      <c r="CM593" s="347"/>
      <c r="CN593" s="347"/>
      <c r="CO593" s="347"/>
      <c r="CP593" s="347"/>
    </row>
    <row r="594">
      <c r="A594" s="574"/>
      <c r="B594" s="574"/>
      <c r="C594" s="347"/>
      <c r="D594" s="574"/>
      <c r="E594" s="347"/>
      <c r="F594" s="596"/>
      <c r="G594" s="596"/>
      <c r="H594" s="347"/>
      <c r="I594" s="347"/>
      <c r="J594" s="596"/>
      <c r="K594" s="609"/>
      <c r="L594" s="1"/>
      <c r="M594" s="347"/>
      <c r="N594" s="347"/>
      <c r="O594" s="579"/>
      <c r="P594" s="579"/>
      <c r="Q594" s="574"/>
      <c r="R594" s="347"/>
      <c r="S594" s="597"/>
      <c r="T594" s="347"/>
      <c r="U594" s="579"/>
      <c r="V594" s="579"/>
      <c r="W594" s="574"/>
      <c r="X594" s="347"/>
      <c r="Y594" s="347"/>
      <c r="Z594" s="347"/>
      <c r="AA594" s="579"/>
      <c r="AB594" s="581"/>
      <c r="AC594" s="347"/>
      <c r="AD594" s="347"/>
      <c r="AE594" s="347"/>
      <c r="AF594" s="347"/>
      <c r="AG594" s="579"/>
      <c r="AH594" s="579"/>
      <c r="AI594" s="582"/>
      <c r="AJ594" s="582"/>
      <c r="AK594" s="582"/>
      <c r="AL594" s="582"/>
      <c r="AM594" s="579"/>
      <c r="AN594" s="579"/>
      <c r="AO594" s="347"/>
      <c r="AP594" s="586"/>
      <c r="AQ594" s="596"/>
      <c r="AR594" s="596"/>
      <c r="AS594" s="348"/>
      <c r="AT594" s="348"/>
      <c r="AU594" s="348"/>
      <c r="AV594" s="348"/>
      <c r="AW594" s="348"/>
      <c r="AX594" s="584"/>
      <c r="AY594" s="581"/>
      <c r="AZ594" s="581"/>
      <c r="BA594" s="596"/>
      <c r="BB594" s="596"/>
      <c r="BC594" s="348"/>
      <c r="BD594" s="581"/>
      <c r="BE594" s="581"/>
      <c r="BF594" s="347"/>
      <c r="BG594" s="347"/>
      <c r="BH594" s="347"/>
      <c r="BI594" s="347"/>
      <c r="BJ594" s="586"/>
      <c r="BK594" s="581"/>
      <c r="BL594" s="347"/>
      <c r="BM594" s="347"/>
      <c r="BN594" s="347"/>
      <c r="BO594" s="586"/>
      <c r="BP594" s="584"/>
      <c r="BQ594" s="347"/>
      <c r="BR594" s="586"/>
      <c r="BS594" s="588"/>
      <c r="BT594" s="586"/>
      <c r="BU594" s="589"/>
      <c r="BV594" s="581">
        <f t="shared" si="44"/>
        <v>0</v>
      </c>
      <c r="BW594" s="590"/>
      <c r="BX594" s="347"/>
      <c r="BY594" s="347"/>
      <c r="BZ594" s="347"/>
      <c r="CA594" s="586"/>
      <c r="CB594" s="581"/>
      <c r="CC594" s="581">
        <f t="shared" si="193"/>
        <v>0</v>
      </c>
      <c r="CD594" s="581"/>
      <c r="CE594" s="581"/>
      <c r="CF594" s="581"/>
      <c r="CG594" s="586"/>
      <c r="CH594" s="608"/>
      <c r="CI594" s="603"/>
      <c r="CJ594" s="347"/>
      <c r="CK594" s="347"/>
      <c r="CL594" s="347"/>
      <c r="CM594" s="347"/>
      <c r="CN594" s="347"/>
      <c r="CO594" s="347"/>
      <c r="CP594" s="347"/>
    </row>
    <row r="595">
      <c r="A595" s="574"/>
      <c r="B595" s="574"/>
      <c r="C595" s="347"/>
      <c r="D595" s="574"/>
      <c r="E595" s="347"/>
      <c r="F595" s="596"/>
      <c r="G595" s="596"/>
      <c r="H595" s="347"/>
      <c r="I595" s="347"/>
      <c r="J595" s="596"/>
      <c r="K595" s="609"/>
      <c r="L595" s="1"/>
      <c r="M595" s="347"/>
      <c r="N595" s="347"/>
      <c r="O595" s="579"/>
      <c r="P595" s="579"/>
      <c r="Q595" s="574"/>
      <c r="R595" s="347"/>
      <c r="S595" s="597"/>
      <c r="T595" s="347"/>
      <c r="U595" s="579"/>
      <c r="V595" s="579"/>
      <c r="W595" s="574"/>
      <c r="X595" s="347"/>
      <c r="Y595" s="347"/>
      <c r="Z595" s="347"/>
      <c r="AA595" s="579"/>
      <c r="AB595" s="581"/>
      <c r="AC595" s="347"/>
      <c r="AD595" s="347"/>
      <c r="AE595" s="347"/>
      <c r="AF595" s="347"/>
      <c r="AG595" s="579"/>
      <c r="AH595" s="579"/>
      <c r="AI595" s="582"/>
      <c r="AJ595" s="582"/>
      <c r="AK595" s="582"/>
      <c r="AL595" s="582"/>
      <c r="AM595" s="579"/>
      <c r="AN595" s="579"/>
      <c r="AO595" s="347"/>
      <c r="AP595" s="586"/>
      <c r="AQ595" s="596"/>
      <c r="AR595" s="596"/>
      <c r="AS595" s="348"/>
      <c r="AT595" s="348"/>
      <c r="AU595" s="348"/>
      <c r="AV595" s="348"/>
      <c r="AW595" s="348"/>
      <c r="AX595" s="584"/>
      <c r="AY595" s="581"/>
      <c r="AZ595" s="581"/>
      <c r="BA595" s="596"/>
      <c r="BB595" s="596"/>
      <c r="BC595" s="348"/>
      <c r="BD595" s="581"/>
      <c r="BE595" s="581"/>
      <c r="BF595" s="347"/>
      <c r="BG595" s="347"/>
      <c r="BH595" s="347"/>
      <c r="BI595" s="347"/>
      <c r="BJ595" s="586"/>
      <c r="BK595" s="581"/>
      <c r="BL595" s="347"/>
      <c r="BM595" s="347"/>
      <c r="BN595" s="347"/>
      <c r="BO595" s="586"/>
      <c r="BP595" s="584"/>
      <c r="BQ595" s="347"/>
      <c r="BR595" s="586"/>
      <c r="BS595" s="588"/>
      <c r="BT595" s="586"/>
      <c r="BU595" s="589"/>
      <c r="BV595" s="581">
        <f t="shared" si="44"/>
        <v>0</v>
      </c>
      <c r="BW595" s="590"/>
      <c r="BX595" s="347"/>
      <c r="BY595" s="347"/>
      <c r="BZ595" s="347"/>
      <c r="CA595" s="586"/>
      <c r="CB595" s="581"/>
      <c r="CC595" s="581">
        <f t="shared" si="193"/>
        <v>0</v>
      </c>
      <c r="CD595" s="581"/>
      <c r="CE595" s="581"/>
      <c r="CF595" s="581"/>
      <c r="CG595" s="586"/>
      <c r="CH595" s="608"/>
      <c r="CI595" s="603"/>
      <c r="CJ595" s="347"/>
      <c r="CK595" s="347"/>
      <c r="CL595" s="347"/>
      <c r="CM595" s="347"/>
      <c r="CN595" s="347"/>
      <c r="CO595" s="347"/>
      <c r="CP595" s="347"/>
    </row>
    <row r="596">
      <c r="A596" s="574"/>
      <c r="B596" s="574"/>
      <c r="C596" s="347"/>
      <c r="D596" s="574"/>
      <c r="E596" s="347"/>
      <c r="F596" s="596"/>
      <c r="G596" s="596"/>
      <c r="H596" s="347"/>
      <c r="I596" s="347"/>
      <c r="J596" s="596"/>
      <c r="K596" s="609"/>
      <c r="L596" s="1"/>
      <c r="M596" s="347"/>
      <c r="N596" s="347"/>
      <c r="O596" s="579"/>
      <c r="P596" s="579"/>
      <c r="Q596" s="574"/>
      <c r="R596" s="347"/>
      <c r="S596" s="597"/>
      <c r="T596" s="347"/>
      <c r="U596" s="579"/>
      <c r="V596" s="579"/>
      <c r="W596" s="574"/>
      <c r="X596" s="347"/>
      <c r="Y596" s="347"/>
      <c r="Z596" s="347"/>
      <c r="AA596" s="579"/>
      <c r="AB596" s="581"/>
      <c r="AC596" s="347"/>
      <c r="AD596" s="347"/>
      <c r="AE596" s="347"/>
      <c r="AF596" s="347"/>
      <c r="AG596" s="579"/>
      <c r="AH596" s="579"/>
      <c r="AI596" s="582"/>
      <c r="AJ596" s="582"/>
      <c r="AK596" s="582"/>
      <c r="AL596" s="582"/>
      <c r="AM596" s="579"/>
      <c r="AN596" s="579"/>
      <c r="AO596" s="347"/>
      <c r="AP596" s="586"/>
      <c r="AQ596" s="596"/>
      <c r="AR596" s="596"/>
      <c r="AS596" s="348"/>
      <c r="AT596" s="348"/>
      <c r="AU596" s="348"/>
      <c r="AV596" s="348"/>
      <c r="AW596" s="348"/>
      <c r="AX596" s="584"/>
      <c r="AY596" s="581"/>
      <c r="AZ596" s="581"/>
      <c r="BA596" s="596"/>
      <c r="BB596" s="596"/>
      <c r="BC596" s="348"/>
      <c r="BD596" s="581"/>
      <c r="BE596" s="581"/>
      <c r="BF596" s="347"/>
      <c r="BG596" s="347"/>
      <c r="BH596" s="347"/>
      <c r="BI596" s="347"/>
      <c r="BJ596" s="586"/>
      <c r="BK596" s="581"/>
      <c r="BL596" s="347"/>
      <c r="BM596" s="347"/>
      <c r="BN596" s="347"/>
      <c r="BO596" s="586"/>
      <c r="BP596" s="584"/>
      <c r="BQ596" s="347"/>
      <c r="BR596" s="586"/>
      <c r="BS596" s="588"/>
      <c r="BT596" s="586"/>
      <c r="BU596" s="589"/>
      <c r="BV596" s="581">
        <f t="shared" si="44"/>
        <v>0</v>
      </c>
      <c r="BW596" s="590"/>
      <c r="BX596" s="347"/>
      <c r="BY596" s="347"/>
      <c r="BZ596" s="347"/>
      <c r="CA596" s="586"/>
      <c r="CB596" s="581"/>
      <c r="CC596" s="581">
        <f t="shared" si="193"/>
        <v>0</v>
      </c>
      <c r="CD596" s="581"/>
      <c r="CE596" s="581"/>
      <c r="CF596" s="581"/>
      <c r="CG596" s="586"/>
      <c r="CH596" s="608"/>
      <c r="CI596" s="603"/>
      <c r="CJ596" s="347"/>
      <c r="CK596" s="347"/>
      <c r="CL596" s="347"/>
      <c r="CM596" s="347"/>
      <c r="CN596" s="347"/>
      <c r="CO596" s="347"/>
      <c r="CP596" s="347"/>
    </row>
    <row r="597">
      <c r="A597" s="574"/>
      <c r="B597" s="574"/>
      <c r="C597" s="347"/>
      <c r="D597" s="574"/>
      <c r="E597" s="347"/>
      <c r="F597" s="596"/>
      <c r="G597" s="596"/>
      <c r="H597" s="347"/>
      <c r="I597" s="347"/>
      <c r="J597" s="596"/>
      <c r="K597" s="609"/>
      <c r="L597" s="1"/>
      <c r="M597" s="347"/>
      <c r="N597" s="347"/>
      <c r="O597" s="579"/>
      <c r="P597" s="579"/>
      <c r="Q597" s="574"/>
      <c r="R597" s="347"/>
      <c r="S597" s="597"/>
      <c r="T597" s="347"/>
      <c r="U597" s="579"/>
      <c r="V597" s="579"/>
      <c r="W597" s="574"/>
      <c r="X597" s="347"/>
      <c r="Y597" s="347"/>
      <c r="Z597" s="347"/>
      <c r="AA597" s="579"/>
      <c r="AB597" s="581"/>
      <c r="AC597" s="347"/>
      <c r="AD597" s="347"/>
      <c r="AE597" s="347"/>
      <c r="AF597" s="347"/>
      <c r="AG597" s="579"/>
      <c r="AH597" s="579"/>
      <c r="AI597" s="582"/>
      <c r="AJ597" s="582"/>
      <c r="AK597" s="582"/>
      <c r="AL597" s="582"/>
      <c r="AM597" s="579"/>
      <c r="AN597" s="579"/>
      <c r="AO597" s="347"/>
      <c r="AP597" s="586"/>
      <c r="AQ597" s="596"/>
      <c r="AR597" s="596"/>
      <c r="AS597" s="348"/>
      <c r="AT597" s="348"/>
      <c r="AU597" s="348"/>
      <c r="AV597" s="348"/>
      <c r="AW597" s="348"/>
      <c r="AX597" s="584"/>
      <c r="AY597" s="581"/>
      <c r="AZ597" s="581"/>
      <c r="BA597" s="596"/>
      <c r="BB597" s="596"/>
      <c r="BC597" s="348"/>
      <c r="BD597" s="581"/>
      <c r="BE597" s="581"/>
      <c r="BF597" s="347"/>
      <c r="BG597" s="347"/>
      <c r="BH597" s="347"/>
      <c r="BI597" s="347"/>
      <c r="BJ597" s="586"/>
      <c r="BK597" s="581"/>
      <c r="BL597" s="347"/>
      <c r="BM597" s="347"/>
      <c r="BN597" s="347"/>
      <c r="BO597" s="586"/>
      <c r="BP597" s="584"/>
      <c r="BQ597" s="347"/>
      <c r="BR597" s="586"/>
      <c r="BS597" s="588"/>
      <c r="BT597" s="586"/>
      <c r="BU597" s="589"/>
      <c r="BV597" s="581">
        <f t="shared" si="44"/>
        <v>0</v>
      </c>
      <c r="BW597" s="590"/>
      <c r="BX597" s="347"/>
      <c r="BY597" s="347"/>
      <c r="BZ597" s="347"/>
      <c r="CA597" s="586"/>
      <c r="CB597" s="581"/>
      <c r="CC597" s="581">
        <f t="shared" si="193"/>
        <v>0</v>
      </c>
      <c r="CD597" s="581"/>
      <c r="CE597" s="581"/>
      <c r="CF597" s="581"/>
      <c r="CG597" s="586"/>
      <c r="CH597" s="608"/>
      <c r="CI597" s="603"/>
      <c r="CJ597" s="347"/>
      <c r="CK597" s="347"/>
      <c r="CL597" s="347"/>
      <c r="CM597" s="347"/>
      <c r="CN597" s="347"/>
      <c r="CO597" s="347"/>
      <c r="CP597" s="347"/>
    </row>
    <row r="598">
      <c r="A598" s="574"/>
      <c r="B598" s="574"/>
      <c r="C598" s="347"/>
      <c r="D598" s="574"/>
      <c r="E598" s="347"/>
      <c r="F598" s="596"/>
      <c r="G598" s="596"/>
      <c r="H598" s="347"/>
      <c r="I598" s="347"/>
      <c r="J598" s="596"/>
      <c r="K598" s="609"/>
      <c r="L598" s="1"/>
      <c r="M598" s="347"/>
      <c r="N598" s="347"/>
      <c r="O598" s="579"/>
      <c r="P598" s="579"/>
      <c r="Q598" s="574"/>
      <c r="R598" s="347"/>
      <c r="S598" s="597"/>
      <c r="T598" s="347"/>
      <c r="U598" s="579"/>
      <c r="V598" s="579"/>
      <c r="W598" s="574"/>
      <c r="X598" s="347"/>
      <c r="Y598" s="347"/>
      <c r="Z598" s="347"/>
      <c r="AA598" s="579"/>
      <c r="AB598" s="581"/>
      <c r="AC598" s="347"/>
      <c r="AD598" s="347"/>
      <c r="AE598" s="347"/>
      <c r="AF598" s="347"/>
      <c r="AG598" s="579"/>
      <c r="AH598" s="579"/>
      <c r="AI598" s="582"/>
      <c r="AJ598" s="582"/>
      <c r="AK598" s="582"/>
      <c r="AL598" s="582"/>
      <c r="AM598" s="579"/>
      <c r="AN598" s="579"/>
      <c r="AO598" s="347"/>
      <c r="AP598" s="586"/>
      <c r="AQ598" s="596"/>
      <c r="AR598" s="596"/>
      <c r="AS598" s="348"/>
      <c r="AT598" s="348"/>
      <c r="AU598" s="348"/>
      <c r="AV598" s="348"/>
      <c r="AW598" s="348"/>
      <c r="AX598" s="584"/>
      <c r="AY598" s="581"/>
      <c r="AZ598" s="581"/>
      <c r="BA598" s="596"/>
      <c r="BB598" s="596"/>
      <c r="BC598" s="348"/>
      <c r="BD598" s="581"/>
      <c r="BE598" s="581"/>
      <c r="BF598" s="347"/>
      <c r="BG598" s="347"/>
      <c r="BH598" s="347"/>
      <c r="BI598" s="347"/>
      <c r="BJ598" s="586"/>
      <c r="BK598" s="581"/>
      <c r="BL598" s="347"/>
      <c r="BM598" s="347"/>
      <c r="BN598" s="347"/>
      <c r="BO598" s="586"/>
      <c r="BP598" s="584"/>
      <c r="BQ598" s="347"/>
      <c r="BR598" s="586"/>
      <c r="BS598" s="588"/>
      <c r="BT598" s="586"/>
      <c r="BU598" s="589"/>
      <c r="BV598" s="581">
        <f t="shared" si="44"/>
        <v>0</v>
      </c>
      <c r="BW598" s="590"/>
      <c r="BX598" s="347"/>
      <c r="BY598" s="347"/>
      <c r="BZ598" s="347"/>
      <c r="CA598" s="586"/>
      <c r="CB598" s="581"/>
      <c r="CC598" s="581">
        <f t="shared" si="193"/>
        <v>0</v>
      </c>
      <c r="CD598" s="581"/>
      <c r="CE598" s="581"/>
      <c r="CF598" s="581"/>
      <c r="CG598" s="586"/>
      <c r="CH598" s="608"/>
      <c r="CI598" s="603"/>
      <c r="CJ598" s="347"/>
      <c r="CK598" s="347"/>
      <c r="CL598" s="347"/>
      <c r="CM598" s="347"/>
      <c r="CN598" s="347"/>
      <c r="CO598" s="347"/>
      <c r="CP598" s="347"/>
    </row>
    <row r="599">
      <c r="A599" s="574"/>
      <c r="B599" s="574"/>
      <c r="C599" s="347"/>
      <c r="D599" s="574"/>
      <c r="E599" s="347"/>
      <c r="F599" s="596"/>
      <c r="G599" s="596"/>
      <c r="H599" s="347"/>
      <c r="I599" s="347"/>
      <c r="J599" s="596"/>
      <c r="K599" s="609"/>
      <c r="L599" s="1"/>
      <c r="M599" s="347"/>
      <c r="N599" s="347"/>
      <c r="O599" s="579"/>
      <c r="P599" s="579"/>
      <c r="Q599" s="574"/>
      <c r="R599" s="347"/>
      <c r="S599" s="597"/>
      <c r="T599" s="347"/>
      <c r="U599" s="579"/>
      <c r="V599" s="579"/>
      <c r="W599" s="574"/>
      <c r="X599" s="347"/>
      <c r="Y599" s="347"/>
      <c r="Z599" s="347"/>
      <c r="AA599" s="579"/>
      <c r="AB599" s="581"/>
      <c r="AC599" s="347"/>
      <c r="AD599" s="347"/>
      <c r="AE599" s="347"/>
      <c r="AF599" s="347"/>
      <c r="AG599" s="579"/>
      <c r="AH599" s="579"/>
      <c r="AI599" s="582"/>
      <c r="AJ599" s="582"/>
      <c r="AK599" s="582"/>
      <c r="AL599" s="582"/>
      <c r="AM599" s="579"/>
      <c r="AN599" s="579"/>
      <c r="AO599" s="347"/>
      <c r="AP599" s="586"/>
      <c r="AQ599" s="596"/>
      <c r="AR599" s="596"/>
      <c r="AS599" s="348"/>
      <c r="AT599" s="348"/>
      <c r="AU599" s="348"/>
      <c r="AV599" s="348"/>
      <c r="AW599" s="348"/>
      <c r="AX599" s="584"/>
      <c r="AY599" s="581"/>
      <c r="AZ599" s="581"/>
      <c r="BA599" s="596"/>
      <c r="BB599" s="596"/>
      <c r="BC599" s="348"/>
      <c r="BD599" s="581"/>
      <c r="BE599" s="581"/>
      <c r="BF599" s="347"/>
      <c r="BG599" s="347"/>
      <c r="BH599" s="347"/>
      <c r="BI599" s="347"/>
      <c r="BJ599" s="586"/>
      <c r="BK599" s="581"/>
      <c r="BL599" s="347"/>
      <c r="BM599" s="347"/>
      <c r="BN599" s="347"/>
      <c r="BO599" s="586"/>
      <c r="BP599" s="584"/>
      <c r="BQ599" s="347"/>
      <c r="BR599" s="586"/>
      <c r="BS599" s="588"/>
      <c r="BT599" s="586"/>
      <c r="BU599" s="589"/>
      <c r="BV599" s="581">
        <f t="shared" si="44"/>
        <v>0</v>
      </c>
      <c r="BW599" s="590"/>
      <c r="BX599" s="347"/>
      <c r="BY599" s="347"/>
      <c r="BZ599" s="347"/>
      <c r="CA599" s="586"/>
      <c r="CB599" s="581"/>
      <c r="CC599" s="581">
        <f t="shared" si="193"/>
        <v>0</v>
      </c>
      <c r="CD599" s="581"/>
      <c r="CE599" s="581"/>
      <c r="CF599" s="581"/>
      <c r="CG599" s="586"/>
      <c r="CH599" s="608"/>
      <c r="CI599" s="603"/>
      <c r="CJ599" s="347"/>
      <c r="CK599" s="347"/>
      <c r="CL599" s="347"/>
      <c r="CM599" s="347"/>
      <c r="CN599" s="347"/>
      <c r="CO599" s="347"/>
      <c r="CP599" s="347"/>
    </row>
    <row r="600">
      <c r="A600" s="574"/>
      <c r="B600" s="574"/>
      <c r="C600" s="347"/>
      <c r="D600" s="574"/>
      <c r="E600" s="347"/>
      <c r="F600" s="596"/>
      <c r="G600" s="596"/>
      <c r="H600" s="347"/>
      <c r="I600" s="347"/>
      <c r="J600" s="596"/>
      <c r="K600" s="609"/>
      <c r="L600" s="1"/>
      <c r="M600" s="347"/>
      <c r="N600" s="347"/>
      <c r="O600" s="579"/>
      <c r="P600" s="579"/>
      <c r="Q600" s="574"/>
      <c r="R600" s="347"/>
      <c r="S600" s="597"/>
      <c r="T600" s="347"/>
      <c r="U600" s="579"/>
      <c r="V600" s="579"/>
      <c r="W600" s="574"/>
      <c r="X600" s="347"/>
      <c r="Y600" s="347"/>
      <c r="Z600" s="347"/>
      <c r="AA600" s="579"/>
      <c r="AB600" s="581"/>
      <c r="AC600" s="347"/>
      <c r="AD600" s="347"/>
      <c r="AE600" s="347"/>
      <c r="AF600" s="347"/>
      <c r="AG600" s="579"/>
      <c r="AH600" s="579"/>
      <c r="AI600" s="582"/>
      <c r="AJ600" s="582"/>
      <c r="AK600" s="582"/>
      <c r="AL600" s="582"/>
      <c r="AM600" s="579"/>
      <c r="AN600" s="579"/>
      <c r="AO600" s="347"/>
      <c r="AP600" s="586"/>
      <c r="AQ600" s="596"/>
      <c r="AR600" s="596"/>
      <c r="AS600" s="348"/>
      <c r="AT600" s="348"/>
      <c r="AU600" s="348"/>
      <c r="AV600" s="348"/>
      <c r="AW600" s="348"/>
      <c r="AX600" s="584"/>
      <c r="AY600" s="581"/>
      <c r="AZ600" s="581"/>
      <c r="BA600" s="596"/>
      <c r="BB600" s="596"/>
      <c r="BC600" s="348"/>
      <c r="BD600" s="581"/>
      <c r="BE600" s="581"/>
      <c r="BF600" s="347"/>
      <c r="BG600" s="347"/>
      <c r="BH600" s="347"/>
      <c r="BI600" s="347"/>
      <c r="BJ600" s="586"/>
      <c r="BK600" s="581"/>
      <c r="BL600" s="347"/>
      <c r="BM600" s="347"/>
      <c r="BN600" s="347"/>
      <c r="BO600" s="586"/>
      <c r="BP600" s="584"/>
      <c r="BQ600" s="347"/>
      <c r="BR600" s="586"/>
      <c r="BS600" s="588"/>
      <c r="BT600" s="586"/>
      <c r="BU600" s="589"/>
      <c r="BV600" s="581">
        <f t="shared" si="44"/>
        <v>0</v>
      </c>
      <c r="BW600" s="590"/>
      <c r="BX600" s="347"/>
      <c r="BY600" s="347"/>
      <c r="BZ600" s="347"/>
      <c r="CA600" s="586"/>
      <c r="CB600" s="581"/>
      <c r="CC600" s="581">
        <f t="shared" si="193"/>
        <v>0</v>
      </c>
      <c r="CD600" s="581"/>
      <c r="CE600" s="581"/>
      <c r="CF600" s="581"/>
      <c r="CG600" s="586"/>
      <c r="CH600" s="608"/>
      <c r="CI600" s="603"/>
      <c r="CJ600" s="347"/>
      <c r="CK600" s="347"/>
      <c r="CL600" s="347"/>
      <c r="CM600" s="347"/>
      <c r="CN600" s="347"/>
      <c r="CO600" s="347"/>
      <c r="CP600" s="347"/>
    </row>
    <row r="601">
      <c r="A601" s="574"/>
      <c r="B601" s="574"/>
      <c r="C601" s="347"/>
      <c r="D601" s="574"/>
      <c r="E601" s="347"/>
      <c r="F601" s="596"/>
      <c r="G601" s="596"/>
      <c r="H601" s="347"/>
      <c r="I601" s="347"/>
      <c r="J601" s="596"/>
      <c r="K601" s="609"/>
      <c r="L601" s="1"/>
      <c r="M601" s="347"/>
      <c r="N601" s="347"/>
      <c r="O601" s="579"/>
      <c r="P601" s="579"/>
      <c r="Q601" s="574"/>
      <c r="R601" s="347"/>
      <c r="S601" s="597"/>
      <c r="T601" s="347"/>
      <c r="U601" s="579"/>
      <c r="V601" s="579"/>
      <c r="W601" s="574"/>
      <c r="X601" s="347"/>
      <c r="Y601" s="347"/>
      <c r="Z601" s="347"/>
      <c r="AA601" s="579"/>
      <c r="AB601" s="581"/>
      <c r="AC601" s="347"/>
      <c r="AD601" s="347"/>
      <c r="AE601" s="347"/>
      <c r="AF601" s="347"/>
      <c r="AG601" s="579"/>
      <c r="AH601" s="579"/>
      <c r="AI601" s="582"/>
      <c r="AJ601" s="582"/>
      <c r="AK601" s="582"/>
      <c r="AL601" s="582"/>
      <c r="AM601" s="579"/>
      <c r="AN601" s="579"/>
      <c r="AO601" s="347"/>
      <c r="AP601" s="586"/>
      <c r="AQ601" s="596"/>
      <c r="AR601" s="596"/>
      <c r="AS601" s="348"/>
      <c r="AT601" s="348"/>
      <c r="AU601" s="348"/>
      <c r="AV601" s="348"/>
      <c r="AW601" s="348"/>
      <c r="AX601" s="584"/>
      <c r="AY601" s="581"/>
      <c r="AZ601" s="581"/>
      <c r="BA601" s="596"/>
      <c r="BB601" s="596"/>
      <c r="BC601" s="348"/>
      <c r="BD601" s="581"/>
      <c r="BE601" s="581"/>
      <c r="BF601" s="347"/>
      <c r="BG601" s="347"/>
      <c r="BH601" s="347"/>
      <c r="BI601" s="347"/>
      <c r="BJ601" s="586"/>
      <c r="BK601" s="581"/>
      <c r="BL601" s="347"/>
      <c r="BM601" s="347"/>
      <c r="BN601" s="347"/>
      <c r="BO601" s="586"/>
      <c r="BP601" s="584"/>
      <c r="BQ601" s="347"/>
      <c r="BR601" s="586"/>
      <c r="BS601" s="588"/>
      <c r="BT601" s="586"/>
      <c r="BU601" s="589"/>
      <c r="BV601" s="581">
        <f t="shared" si="44"/>
        <v>0</v>
      </c>
      <c r="BW601" s="590"/>
      <c r="BX601" s="347"/>
      <c r="BY601" s="347"/>
      <c r="BZ601" s="347"/>
      <c r="CA601" s="586"/>
      <c r="CB601" s="581"/>
      <c r="CC601" s="581">
        <f t="shared" si="193"/>
        <v>0</v>
      </c>
      <c r="CD601" s="581"/>
      <c r="CE601" s="581"/>
      <c r="CF601" s="581"/>
      <c r="CG601" s="586"/>
      <c r="CH601" s="608"/>
      <c r="CI601" s="603"/>
      <c r="CJ601" s="347"/>
      <c r="CK601" s="347"/>
      <c r="CL601" s="347"/>
      <c r="CM601" s="347"/>
      <c r="CN601" s="347"/>
      <c r="CO601" s="347"/>
      <c r="CP601" s="347"/>
    </row>
    <row r="602">
      <c r="A602" s="574"/>
      <c r="B602" s="574"/>
      <c r="C602" s="347"/>
      <c r="D602" s="574"/>
      <c r="E602" s="347"/>
      <c r="F602" s="596"/>
      <c r="G602" s="596"/>
      <c r="H602" s="347"/>
      <c r="I602" s="347"/>
      <c r="J602" s="596"/>
      <c r="K602" s="609"/>
      <c r="L602" s="1"/>
      <c r="M602" s="347"/>
      <c r="N602" s="347"/>
      <c r="O602" s="579"/>
      <c r="P602" s="579"/>
      <c r="Q602" s="574"/>
      <c r="R602" s="347"/>
      <c r="S602" s="597"/>
      <c r="T602" s="347"/>
      <c r="U602" s="579"/>
      <c r="V602" s="579"/>
      <c r="W602" s="574"/>
      <c r="X602" s="347"/>
      <c r="Y602" s="347"/>
      <c r="Z602" s="347"/>
      <c r="AA602" s="579"/>
      <c r="AB602" s="581"/>
      <c r="AC602" s="347"/>
      <c r="AD602" s="347"/>
      <c r="AE602" s="347"/>
      <c r="AF602" s="347"/>
      <c r="AG602" s="579"/>
      <c r="AH602" s="579"/>
      <c r="AI602" s="582"/>
      <c r="AJ602" s="582"/>
      <c r="AK602" s="582"/>
      <c r="AL602" s="582"/>
      <c r="AM602" s="579"/>
      <c r="AN602" s="579"/>
      <c r="AO602" s="347"/>
      <c r="AP602" s="586"/>
      <c r="AQ602" s="596"/>
      <c r="AR602" s="596"/>
      <c r="AS602" s="348"/>
      <c r="AT602" s="348"/>
      <c r="AU602" s="348"/>
      <c r="AV602" s="348"/>
      <c r="AW602" s="348"/>
      <c r="AX602" s="584"/>
      <c r="AY602" s="581"/>
      <c r="AZ602" s="581"/>
      <c r="BA602" s="596"/>
      <c r="BB602" s="596"/>
      <c r="BC602" s="348"/>
      <c r="BD602" s="581"/>
      <c r="BE602" s="581"/>
      <c r="BF602" s="347"/>
      <c r="BG602" s="347"/>
      <c r="BH602" s="347"/>
      <c r="BI602" s="347"/>
      <c r="BJ602" s="586"/>
      <c r="BK602" s="581"/>
      <c r="BL602" s="347"/>
      <c r="BM602" s="347"/>
      <c r="BN602" s="347"/>
      <c r="BO602" s="586"/>
      <c r="BP602" s="584"/>
      <c r="BQ602" s="347"/>
      <c r="BR602" s="586"/>
      <c r="BS602" s="588"/>
      <c r="BT602" s="586"/>
      <c r="BU602" s="589"/>
      <c r="BV602" s="581">
        <f t="shared" si="44"/>
        <v>0</v>
      </c>
      <c r="BW602" s="590"/>
      <c r="BX602" s="347"/>
      <c r="BY602" s="347"/>
      <c r="BZ602" s="347"/>
      <c r="CA602" s="586"/>
      <c r="CB602" s="581"/>
      <c r="CC602" s="581">
        <f t="shared" si="193"/>
        <v>0</v>
      </c>
      <c r="CD602" s="581"/>
      <c r="CE602" s="581"/>
      <c r="CF602" s="581"/>
      <c r="CG602" s="586"/>
      <c r="CH602" s="608"/>
      <c r="CI602" s="603"/>
      <c r="CJ602" s="347"/>
      <c r="CK602" s="347"/>
      <c r="CL602" s="347"/>
      <c r="CM602" s="347"/>
      <c r="CN602" s="347"/>
      <c r="CO602" s="347"/>
      <c r="CP602" s="347"/>
    </row>
    <row r="603">
      <c r="A603" s="574"/>
      <c r="B603" s="574"/>
      <c r="C603" s="347"/>
      <c r="D603" s="574"/>
      <c r="E603" s="347"/>
      <c r="F603" s="596"/>
      <c r="G603" s="596"/>
      <c r="H603" s="347"/>
      <c r="I603" s="347"/>
      <c r="J603" s="596"/>
      <c r="K603" s="609"/>
      <c r="L603" s="1"/>
      <c r="M603" s="347"/>
      <c r="N603" s="347"/>
      <c r="O603" s="579"/>
      <c r="P603" s="579"/>
      <c r="Q603" s="574"/>
      <c r="R603" s="347"/>
      <c r="S603" s="597"/>
      <c r="T603" s="347"/>
      <c r="U603" s="579"/>
      <c r="V603" s="579"/>
      <c r="W603" s="574"/>
      <c r="X603" s="347"/>
      <c r="Y603" s="347"/>
      <c r="Z603" s="347"/>
      <c r="AA603" s="579"/>
      <c r="AB603" s="581"/>
      <c r="AC603" s="347"/>
      <c r="AD603" s="347"/>
      <c r="AE603" s="347"/>
      <c r="AF603" s="347"/>
      <c r="AG603" s="579"/>
      <c r="AH603" s="579"/>
      <c r="AI603" s="582"/>
      <c r="AJ603" s="582"/>
      <c r="AK603" s="582"/>
      <c r="AL603" s="582"/>
      <c r="AM603" s="579"/>
      <c r="AN603" s="579"/>
      <c r="AO603" s="347"/>
      <c r="AP603" s="586"/>
      <c r="AQ603" s="596"/>
      <c r="AR603" s="596"/>
      <c r="AS603" s="348"/>
      <c r="AT603" s="348"/>
      <c r="AU603" s="348"/>
      <c r="AV603" s="348"/>
      <c r="AW603" s="348"/>
      <c r="AX603" s="584"/>
      <c r="AY603" s="581"/>
      <c r="AZ603" s="581"/>
      <c r="BA603" s="596"/>
      <c r="BB603" s="596"/>
      <c r="BC603" s="348"/>
      <c r="BD603" s="581"/>
      <c r="BE603" s="581"/>
      <c r="BF603" s="347"/>
      <c r="BG603" s="347"/>
      <c r="BH603" s="347"/>
      <c r="BI603" s="347"/>
      <c r="BJ603" s="586"/>
      <c r="BK603" s="581"/>
      <c r="BL603" s="347"/>
      <c r="BM603" s="347"/>
      <c r="BN603" s="347"/>
      <c r="BO603" s="586"/>
      <c r="BP603" s="584"/>
      <c r="BQ603" s="347"/>
      <c r="BR603" s="586"/>
      <c r="BS603" s="588"/>
      <c r="BT603" s="586"/>
      <c r="BU603" s="589"/>
      <c r="BV603" s="581">
        <f t="shared" si="44"/>
        <v>0</v>
      </c>
      <c r="BW603" s="590"/>
      <c r="BX603" s="347"/>
      <c r="BY603" s="347"/>
      <c r="BZ603" s="347"/>
      <c r="CA603" s="586"/>
      <c r="CB603" s="581"/>
      <c r="CC603" s="581">
        <f t="shared" si="193"/>
        <v>0</v>
      </c>
      <c r="CD603" s="581"/>
      <c r="CE603" s="581"/>
      <c r="CF603" s="581"/>
      <c r="CG603" s="586"/>
      <c r="CH603" s="608"/>
      <c r="CI603" s="603"/>
      <c r="CJ603" s="347"/>
      <c r="CK603" s="347"/>
      <c r="CL603" s="347"/>
      <c r="CM603" s="347"/>
      <c r="CN603" s="347"/>
      <c r="CO603" s="347"/>
      <c r="CP603" s="347"/>
    </row>
    <row r="604">
      <c r="A604" s="574"/>
      <c r="B604" s="574"/>
      <c r="C604" s="347"/>
      <c r="D604" s="574"/>
      <c r="E604" s="347"/>
      <c r="F604" s="596"/>
      <c r="G604" s="596"/>
      <c r="H604" s="347"/>
      <c r="I604" s="347"/>
      <c r="J604" s="596"/>
      <c r="K604" s="609"/>
      <c r="L604" s="1"/>
      <c r="M604" s="347"/>
      <c r="N604" s="347"/>
      <c r="O604" s="579"/>
      <c r="P604" s="579"/>
      <c r="Q604" s="574"/>
      <c r="R604" s="347"/>
      <c r="S604" s="597"/>
      <c r="T604" s="347"/>
      <c r="U604" s="579"/>
      <c r="V604" s="579"/>
      <c r="W604" s="574"/>
      <c r="X604" s="347"/>
      <c r="Y604" s="347"/>
      <c r="Z604" s="347"/>
      <c r="AA604" s="579"/>
      <c r="AB604" s="581"/>
      <c r="AC604" s="347"/>
      <c r="AD604" s="347"/>
      <c r="AE604" s="347"/>
      <c r="AF604" s="347"/>
      <c r="AG604" s="579"/>
      <c r="AH604" s="579"/>
      <c r="AI604" s="582"/>
      <c r="AJ604" s="582"/>
      <c r="AK604" s="582"/>
      <c r="AL604" s="582"/>
      <c r="AM604" s="579"/>
      <c r="AN604" s="579"/>
      <c r="AO604" s="347"/>
      <c r="AP604" s="586"/>
      <c r="AQ604" s="596"/>
      <c r="AR604" s="596"/>
      <c r="AS604" s="348"/>
      <c r="AT604" s="348"/>
      <c r="AU604" s="348"/>
      <c r="AV604" s="348"/>
      <c r="AW604" s="348"/>
      <c r="AX604" s="584"/>
      <c r="AY604" s="581"/>
      <c r="AZ604" s="581"/>
      <c r="BA604" s="596"/>
      <c r="BB604" s="596"/>
      <c r="BC604" s="348"/>
      <c r="BD604" s="581"/>
      <c r="BE604" s="581"/>
      <c r="BF604" s="347"/>
      <c r="BG604" s="347"/>
      <c r="BH604" s="347"/>
      <c r="BI604" s="347"/>
      <c r="BJ604" s="586"/>
      <c r="BK604" s="581"/>
      <c r="BL604" s="347"/>
      <c r="BM604" s="347"/>
      <c r="BN604" s="347"/>
      <c r="BO604" s="586"/>
      <c r="BP604" s="584"/>
      <c r="BQ604" s="347"/>
      <c r="BR604" s="586"/>
      <c r="BS604" s="588"/>
      <c r="BT604" s="586"/>
      <c r="BU604" s="589"/>
      <c r="BV604" s="581">
        <f t="shared" si="44"/>
        <v>0</v>
      </c>
      <c r="BW604" s="590"/>
      <c r="BX604" s="347"/>
      <c r="BY604" s="347"/>
      <c r="BZ604" s="347"/>
      <c r="CA604" s="586"/>
      <c r="CB604" s="581"/>
      <c r="CC604" s="581">
        <f t="shared" si="193"/>
        <v>0</v>
      </c>
      <c r="CD604" s="581"/>
      <c r="CE604" s="581"/>
      <c r="CF604" s="581"/>
      <c r="CG604" s="586"/>
      <c r="CH604" s="608"/>
      <c r="CI604" s="603"/>
      <c r="CJ604" s="347"/>
      <c r="CK604" s="347"/>
      <c r="CL604" s="347"/>
      <c r="CM604" s="347"/>
      <c r="CN604" s="347"/>
      <c r="CO604" s="347"/>
      <c r="CP604" s="347"/>
    </row>
    <row r="605">
      <c r="A605" s="574"/>
      <c r="B605" s="574"/>
      <c r="C605" s="347"/>
      <c r="D605" s="574"/>
      <c r="E605" s="347"/>
      <c r="F605" s="596"/>
      <c r="G605" s="596"/>
      <c r="H605" s="347"/>
      <c r="I605" s="347"/>
      <c r="J605" s="596"/>
      <c r="K605" s="609"/>
      <c r="L605" s="1"/>
      <c r="M605" s="347"/>
      <c r="N605" s="347"/>
      <c r="O605" s="579"/>
      <c r="P605" s="579"/>
      <c r="Q605" s="574"/>
      <c r="R605" s="347"/>
      <c r="S605" s="597"/>
      <c r="T605" s="347"/>
      <c r="U605" s="579"/>
      <c r="V605" s="579"/>
      <c r="W605" s="574"/>
      <c r="X605" s="347"/>
      <c r="Y605" s="347"/>
      <c r="Z605" s="347"/>
      <c r="AA605" s="579"/>
      <c r="AB605" s="581"/>
      <c r="AC605" s="347"/>
      <c r="AD605" s="347"/>
      <c r="AE605" s="347"/>
      <c r="AF605" s="347"/>
      <c r="AG605" s="579"/>
      <c r="AH605" s="579"/>
      <c r="AI605" s="582"/>
      <c r="AJ605" s="582"/>
      <c r="AK605" s="582"/>
      <c r="AL605" s="582"/>
      <c r="AM605" s="579"/>
      <c r="AN605" s="579"/>
      <c r="AO605" s="347"/>
      <c r="AP605" s="586"/>
      <c r="AQ605" s="596"/>
      <c r="AR605" s="596"/>
      <c r="AS605" s="348"/>
      <c r="AT605" s="348"/>
      <c r="AU605" s="348"/>
      <c r="AV605" s="348"/>
      <c r="AW605" s="348"/>
      <c r="AX605" s="584"/>
      <c r="AY605" s="581"/>
      <c r="AZ605" s="581"/>
      <c r="BA605" s="596"/>
      <c r="BB605" s="596"/>
      <c r="BC605" s="348"/>
      <c r="BD605" s="581"/>
      <c r="BE605" s="581"/>
      <c r="BF605" s="347"/>
      <c r="BG605" s="347"/>
      <c r="BH605" s="347"/>
      <c r="BI605" s="347"/>
      <c r="BJ605" s="586"/>
      <c r="BK605" s="581"/>
      <c r="BL605" s="347"/>
      <c r="BM605" s="347"/>
      <c r="BN605" s="347"/>
      <c r="BO605" s="586"/>
      <c r="BP605" s="584"/>
      <c r="BQ605" s="347"/>
      <c r="BR605" s="586"/>
      <c r="BS605" s="588"/>
      <c r="BT605" s="586"/>
      <c r="BU605" s="589"/>
      <c r="BV605" s="581">
        <f t="shared" si="44"/>
        <v>0</v>
      </c>
      <c r="BW605" s="590"/>
      <c r="BX605" s="347"/>
      <c r="BY605" s="347"/>
      <c r="BZ605" s="347"/>
      <c r="CA605" s="586"/>
      <c r="CB605" s="581"/>
      <c r="CC605" s="581">
        <f t="shared" si="193"/>
        <v>0</v>
      </c>
      <c r="CD605" s="581"/>
      <c r="CE605" s="581"/>
      <c r="CF605" s="581"/>
      <c r="CG605" s="586"/>
      <c r="CH605" s="608"/>
      <c r="CI605" s="603"/>
      <c r="CJ605" s="347"/>
      <c r="CK605" s="347"/>
      <c r="CL605" s="347"/>
      <c r="CM605" s="347"/>
      <c r="CN605" s="347"/>
      <c r="CO605" s="347"/>
      <c r="CP605" s="347"/>
    </row>
    <row r="606">
      <c r="A606" s="574"/>
      <c r="B606" s="574"/>
      <c r="C606" s="347"/>
      <c r="D606" s="574"/>
      <c r="E606" s="347"/>
      <c r="F606" s="596"/>
      <c r="G606" s="596"/>
      <c r="H606" s="347"/>
      <c r="I606" s="347"/>
      <c r="J606" s="596"/>
      <c r="K606" s="609"/>
      <c r="L606" s="1"/>
      <c r="M606" s="347"/>
      <c r="N606" s="347"/>
      <c r="O606" s="579"/>
      <c r="P606" s="579"/>
      <c r="Q606" s="574"/>
      <c r="R606" s="347"/>
      <c r="S606" s="597"/>
      <c r="T606" s="347"/>
      <c r="U606" s="579"/>
      <c r="V606" s="579"/>
      <c r="W606" s="574"/>
      <c r="X606" s="347"/>
      <c r="Y606" s="347"/>
      <c r="Z606" s="347"/>
      <c r="AA606" s="579"/>
      <c r="AB606" s="581"/>
      <c r="AC606" s="347"/>
      <c r="AD606" s="347"/>
      <c r="AE606" s="347"/>
      <c r="AF606" s="347"/>
      <c r="AG606" s="579"/>
      <c r="AH606" s="579"/>
      <c r="AI606" s="582"/>
      <c r="AJ606" s="582"/>
      <c r="AK606" s="582"/>
      <c r="AL606" s="582"/>
      <c r="AM606" s="579"/>
      <c r="AN606" s="579"/>
      <c r="AO606" s="347"/>
      <c r="AP606" s="586"/>
      <c r="AQ606" s="596"/>
      <c r="AR606" s="596"/>
      <c r="AS606" s="348"/>
      <c r="AT606" s="348"/>
      <c r="AU606" s="348"/>
      <c r="AV606" s="348"/>
      <c r="AW606" s="348"/>
      <c r="AX606" s="584"/>
      <c r="AY606" s="581"/>
      <c r="AZ606" s="581"/>
      <c r="BA606" s="596"/>
      <c r="BB606" s="596"/>
      <c r="BC606" s="348"/>
      <c r="BD606" s="581"/>
      <c r="BE606" s="581"/>
      <c r="BF606" s="347"/>
      <c r="BG606" s="347"/>
      <c r="BH606" s="347"/>
      <c r="BI606" s="347"/>
      <c r="BJ606" s="586"/>
      <c r="BK606" s="581"/>
      <c r="BL606" s="347"/>
      <c r="BM606" s="347"/>
      <c r="BN606" s="347"/>
      <c r="BO606" s="586"/>
      <c r="BP606" s="584"/>
      <c r="BQ606" s="347"/>
      <c r="BR606" s="586"/>
      <c r="BS606" s="588"/>
      <c r="BT606" s="586"/>
      <c r="BU606" s="589"/>
      <c r="BV606" s="581">
        <f t="shared" si="44"/>
        <v>0</v>
      </c>
      <c r="BW606" s="590"/>
      <c r="BX606" s="347"/>
      <c r="BY606" s="347"/>
      <c r="BZ606" s="347"/>
      <c r="CA606" s="586"/>
      <c r="CB606" s="581"/>
      <c r="CC606" s="581">
        <f t="shared" si="193"/>
        <v>0</v>
      </c>
      <c r="CD606" s="581"/>
      <c r="CE606" s="581"/>
      <c r="CF606" s="581"/>
      <c r="CG606" s="586"/>
      <c r="CH606" s="608"/>
      <c r="CI606" s="603"/>
      <c r="CJ606" s="347"/>
      <c r="CK606" s="347"/>
      <c r="CL606" s="347"/>
      <c r="CM606" s="347"/>
      <c r="CN606" s="347"/>
      <c r="CO606" s="347"/>
      <c r="CP606" s="347"/>
    </row>
    <row r="607">
      <c r="A607" s="574"/>
      <c r="B607" s="574"/>
      <c r="C607" s="347"/>
      <c r="D607" s="574"/>
      <c r="E607" s="347"/>
      <c r="F607" s="596"/>
      <c r="G607" s="596"/>
      <c r="H607" s="347"/>
      <c r="I607" s="347"/>
      <c r="J607" s="596"/>
      <c r="K607" s="609"/>
      <c r="L607" s="1"/>
      <c r="M607" s="347"/>
      <c r="N607" s="347"/>
      <c r="O607" s="579"/>
      <c r="P607" s="579"/>
      <c r="Q607" s="574"/>
      <c r="R607" s="347"/>
      <c r="S607" s="597"/>
      <c r="T607" s="347"/>
      <c r="U607" s="579"/>
      <c r="V607" s="579"/>
      <c r="W607" s="574"/>
      <c r="X607" s="347"/>
      <c r="Y607" s="347"/>
      <c r="Z607" s="347"/>
      <c r="AA607" s="579"/>
      <c r="AB607" s="581"/>
      <c r="AC607" s="347"/>
      <c r="AD607" s="347"/>
      <c r="AE607" s="347"/>
      <c r="AF607" s="347"/>
      <c r="AG607" s="579"/>
      <c r="AH607" s="579"/>
      <c r="AI607" s="582"/>
      <c r="AJ607" s="582"/>
      <c r="AK607" s="582"/>
      <c r="AL607" s="582"/>
      <c r="AM607" s="579"/>
      <c r="AN607" s="579"/>
      <c r="AO607" s="347"/>
      <c r="AP607" s="586"/>
      <c r="AQ607" s="596"/>
      <c r="AR607" s="596"/>
      <c r="AS607" s="348"/>
      <c r="AT607" s="348"/>
      <c r="AU607" s="348"/>
      <c r="AV607" s="348"/>
      <c r="AW607" s="348"/>
      <c r="AX607" s="584"/>
      <c r="AY607" s="581"/>
      <c r="AZ607" s="581"/>
      <c r="BA607" s="596"/>
      <c r="BB607" s="596"/>
      <c r="BC607" s="348"/>
      <c r="BD607" s="581"/>
      <c r="BE607" s="581"/>
      <c r="BF607" s="347"/>
      <c r="BG607" s="347"/>
      <c r="BH607" s="347"/>
      <c r="BI607" s="347"/>
      <c r="BJ607" s="586"/>
      <c r="BK607" s="581"/>
      <c r="BL607" s="347"/>
      <c r="BM607" s="347"/>
      <c r="BN607" s="347"/>
      <c r="BO607" s="586"/>
      <c r="BP607" s="584"/>
      <c r="BQ607" s="347"/>
      <c r="BR607" s="586"/>
      <c r="BS607" s="588"/>
      <c r="BT607" s="586"/>
      <c r="BU607" s="589"/>
      <c r="BV607" s="581">
        <f t="shared" si="44"/>
        <v>0</v>
      </c>
      <c r="BW607" s="590"/>
      <c r="BX607" s="347"/>
      <c r="BY607" s="347"/>
      <c r="BZ607" s="347"/>
      <c r="CA607" s="586"/>
      <c r="CB607" s="581"/>
      <c r="CC607" s="581">
        <f t="shared" si="193"/>
        <v>0</v>
      </c>
      <c r="CD607" s="581"/>
      <c r="CE607" s="581"/>
      <c r="CF607" s="581"/>
      <c r="CG607" s="586"/>
      <c r="CH607" s="608"/>
      <c r="CI607" s="603"/>
      <c r="CJ607" s="347"/>
      <c r="CK607" s="347"/>
      <c r="CL607" s="347"/>
      <c r="CM607" s="347"/>
      <c r="CN607" s="347"/>
      <c r="CO607" s="347"/>
      <c r="CP607" s="347"/>
    </row>
    <row r="608">
      <c r="A608" s="574"/>
      <c r="B608" s="574"/>
      <c r="C608" s="347"/>
      <c r="D608" s="574"/>
      <c r="E608" s="347"/>
      <c r="F608" s="596"/>
      <c r="G608" s="596"/>
      <c r="H608" s="347"/>
      <c r="I608" s="347"/>
      <c r="J608" s="596"/>
      <c r="K608" s="609"/>
      <c r="L608" s="1"/>
      <c r="M608" s="347"/>
      <c r="N608" s="347"/>
      <c r="O608" s="579"/>
      <c r="P608" s="579"/>
      <c r="Q608" s="574"/>
      <c r="R608" s="347"/>
      <c r="S608" s="597"/>
      <c r="T608" s="347"/>
      <c r="U608" s="579"/>
      <c r="V608" s="579"/>
      <c r="W608" s="574"/>
      <c r="X608" s="347"/>
      <c r="Y608" s="347"/>
      <c r="Z608" s="347"/>
      <c r="AA608" s="579"/>
      <c r="AB608" s="581"/>
      <c r="AC608" s="347"/>
      <c r="AD608" s="347"/>
      <c r="AE608" s="347"/>
      <c r="AF608" s="347"/>
      <c r="AG608" s="579"/>
      <c r="AH608" s="579"/>
      <c r="AI608" s="582"/>
      <c r="AJ608" s="582"/>
      <c r="AK608" s="582"/>
      <c r="AL608" s="582"/>
      <c r="AM608" s="579"/>
      <c r="AN608" s="579"/>
      <c r="AO608" s="347"/>
      <c r="AP608" s="586"/>
      <c r="AQ608" s="596"/>
      <c r="AR608" s="596"/>
      <c r="AS608" s="348"/>
      <c r="AT608" s="348"/>
      <c r="AU608" s="348"/>
      <c r="AV608" s="348"/>
      <c r="AW608" s="348"/>
      <c r="AX608" s="584"/>
      <c r="AY608" s="581"/>
      <c r="AZ608" s="581"/>
      <c r="BA608" s="596"/>
      <c r="BB608" s="596"/>
      <c r="BC608" s="348"/>
      <c r="BD608" s="581"/>
      <c r="BE608" s="581"/>
      <c r="BF608" s="347"/>
      <c r="BG608" s="347"/>
      <c r="BH608" s="347"/>
      <c r="BI608" s="347"/>
      <c r="BJ608" s="586"/>
      <c r="BK608" s="581"/>
      <c r="BL608" s="347"/>
      <c r="BM608" s="347"/>
      <c r="BN608" s="347"/>
      <c r="BO608" s="586"/>
      <c r="BP608" s="584"/>
      <c r="BQ608" s="347"/>
      <c r="BR608" s="586"/>
      <c r="BS608" s="588"/>
      <c r="BT608" s="586"/>
      <c r="BU608" s="589"/>
      <c r="BV608" s="581">
        <f t="shared" si="44"/>
        <v>0</v>
      </c>
      <c r="BW608" s="590"/>
      <c r="BX608" s="347"/>
      <c r="BY608" s="347"/>
      <c r="BZ608" s="347"/>
      <c r="CA608" s="586"/>
      <c r="CB608" s="581"/>
      <c r="CC608" s="581">
        <f t="shared" si="193"/>
        <v>0</v>
      </c>
      <c r="CD608" s="581"/>
      <c r="CE608" s="581"/>
      <c r="CF608" s="581"/>
      <c r="CG608" s="586"/>
      <c r="CH608" s="608"/>
      <c r="CI608" s="603"/>
      <c r="CJ608" s="347"/>
      <c r="CK608" s="347"/>
      <c r="CL608" s="347"/>
      <c r="CM608" s="347"/>
      <c r="CN608" s="347"/>
      <c r="CO608" s="347"/>
      <c r="CP608" s="347"/>
    </row>
    <row r="609">
      <c r="A609" s="574"/>
      <c r="B609" s="574"/>
      <c r="C609" s="347"/>
      <c r="D609" s="574"/>
      <c r="E609" s="347"/>
      <c r="F609" s="596"/>
      <c r="G609" s="596"/>
      <c r="H609" s="347"/>
      <c r="I609" s="347"/>
      <c r="J609" s="596"/>
      <c r="K609" s="609"/>
      <c r="L609" s="1"/>
      <c r="M609" s="347"/>
      <c r="N609" s="347"/>
      <c r="O609" s="579"/>
      <c r="P609" s="579"/>
      <c r="Q609" s="574"/>
      <c r="R609" s="347"/>
      <c r="S609" s="597"/>
      <c r="T609" s="347"/>
      <c r="U609" s="579"/>
      <c r="V609" s="579"/>
      <c r="W609" s="574"/>
      <c r="X609" s="347"/>
      <c r="Y609" s="347"/>
      <c r="Z609" s="347"/>
      <c r="AA609" s="579"/>
      <c r="AB609" s="581"/>
      <c r="AC609" s="347"/>
      <c r="AD609" s="347"/>
      <c r="AE609" s="347"/>
      <c r="AF609" s="347"/>
      <c r="AG609" s="579"/>
      <c r="AH609" s="579"/>
      <c r="AI609" s="582"/>
      <c r="AJ609" s="582"/>
      <c r="AK609" s="582"/>
      <c r="AL609" s="582"/>
      <c r="AM609" s="579"/>
      <c r="AN609" s="579"/>
      <c r="AO609" s="347"/>
      <c r="AP609" s="586"/>
      <c r="AQ609" s="596"/>
      <c r="AR609" s="596"/>
      <c r="AS609" s="348"/>
      <c r="AT609" s="348"/>
      <c r="AU609" s="348"/>
      <c r="AV609" s="348"/>
      <c r="AW609" s="348"/>
      <c r="AX609" s="584"/>
      <c r="AY609" s="581"/>
      <c r="AZ609" s="581"/>
      <c r="BA609" s="596"/>
      <c r="BB609" s="596"/>
      <c r="BC609" s="348"/>
      <c r="BD609" s="581"/>
      <c r="BE609" s="581"/>
      <c r="BF609" s="347"/>
      <c r="BG609" s="347"/>
      <c r="BH609" s="347"/>
      <c r="BI609" s="347"/>
      <c r="BJ609" s="586"/>
      <c r="BK609" s="581"/>
      <c r="BL609" s="347"/>
      <c r="BM609" s="347"/>
      <c r="BN609" s="347"/>
      <c r="BO609" s="586"/>
      <c r="BP609" s="584"/>
      <c r="BQ609" s="347"/>
      <c r="BR609" s="586"/>
      <c r="BS609" s="588"/>
      <c r="BT609" s="586"/>
      <c r="BU609" s="589"/>
      <c r="BV609" s="581">
        <f t="shared" si="44"/>
        <v>0</v>
      </c>
      <c r="BW609" s="590"/>
      <c r="BX609" s="347"/>
      <c r="BY609" s="347"/>
      <c r="BZ609" s="347"/>
      <c r="CA609" s="586"/>
      <c r="CB609" s="581"/>
      <c r="CC609" s="581">
        <f t="shared" si="193"/>
        <v>0</v>
      </c>
      <c r="CD609" s="581"/>
      <c r="CE609" s="581"/>
      <c r="CF609" s="581"/>
      <c r="CG609" s="586"/>
      <c r="CH609" s="608"/>
      <c r="CI609" s="603"/>
      <c r="CJ609" s="347"/>
      <c r="CK609" s="347"/>
      <c r="CL609" s="347"/>
      <c r="CM609" s="347"/>
      <c r="CN609" s="347"/>
      <c r="CO609" s="347"/>
      <c r="CP609" s="347"/>
    </row>
    <row r="610">
      <c r="A610" s="574"/>
      <c r="B610" s="574"/>
      <c r="C610" s="347"/>
      <c r="D610" s="574"/>
      <c r="E610" s="347"/>
      <c r="F610" s="596"/>
      <c r="G610" s="596"/>
      <c r="H610" s="347"/>
      <c r="I610" s="347"/>
      <c r="J610" s="596"/>
      <c r="K610" s="609"/>
      <c r="L610" s="1"/>
      <c r="M610" s="347"/>
      <c r="N610" s="347"/>
      <c r="O610" s="579"/>
      <c r="P610" s="579"/>
      <c r="Q610" s="574"/>
      <c r="R610" s="347"/>
      <c r="S610" s="597"/>
      <c r="T610" s="347"/>
      <c r="U610" s="579"/>
      <c r="V610" s="579"/>
      <c r="W610" s="574"/>
      <c r="X610" s="347"/>
      <c r="Y610" s="347"/>
      <c r="Z610" s="347"/>
      <c r="AA610" s="579"/>
      <c r="AB610" s="581"/>
      <c r="AC610" s="347"/>
      <c r="AD610" s="347"/>
      <c r="AE610" s="347"/>
      <c r="AF610" s="347"/>
      <c r="AG610" s="579"/>
      <c r="AH610" s="579"/>
      <c r="AI610" s="582"/>
      <c r="AJ610" s="582"/>
      <c r="AK610" s="582"/>
      <c r="AL610" s="582"/>
      <c r="AM610" s="579"/>
      <c r="AN610" s="579"/>
      <c r="AO610" s="347"/>
      <c r="AP610" s="586"/>
      <c r="AQ610" s="596"/>
      <c r="AR610" s="596"/>
      <c r="AS610" s="348"/>
      <c r="AT610" s="348"/>
      <c r="AU610" s="348"/>
      <c r="AV610" s="348"/>
      <c r="AW610" s="348"/>
      <c r="AX610" s="584"/>
      <c r="AY610" s="581"/>
      <c r="AZ610" s="581"/>
      <c r="BA610" s="596"/>
      <c r="BB610" s="596"/>
      <c r="BC610" s="348"/>
      <c r="BD610" s="581"/>
      <c r="BE610" s="581"/>
      <c r="BF610" s="347"/>
      <c r="BG610" s="347"/>
      <c r="BH610" s="347"/>
      <c r="BI610" s="347"/>
      <c r="BJ610" s="586"/>
      <c r="BK610" s="581"/>
      <c r="BL610" s="347"/>
      <c r="BM610" s="347"/>
      <c r="BN610" s="347"/>
      <c r="BO610" s="586"/>
      <c r="BP610" s="584"/>
      <c r="BQ610" s="347"/>
      <c r="BR610" s="586"/>
      <c r="BS610" s="588"/>
      <c r="BT610" s="586"/>
      <c r="BU610" s="589"/>
      <c r="BV610" s="581">
        <f t="shared" si="44"/>
        <v>0</v>
      </c>
      <c r="BW610" s="590"/>
      <c r="BX610" s="347"/>
      <c r="BY610" s="347"/>
      <c r="BZ610" s="347"/>
      <c r="CA610" s="586"/>
      <c r="CB610" s="581"/>
      <c r="CC610" s="581">
        <f t="shared" si="193"/>
        <v>0</v>
      </c>
      <c r="CD610" s="581"/>
      <c r="CE610" s="581"/>
      <c r="CF610" s="581"/>
      <c r="CG610" s="586"/>
      <c r="CH610" s="608"/>
      <c r="CI610" s="603"/>
      <c r="CJ610" s="347"/>
      <c r="CK610" s="347"/>
      <c r="CL610" s="347"/>
      <c r="CM610" s="347"/>
      <c r="CN610" s="347"/>
      <c r="CO610" s="347"/>
      <c r="CP610" s="347"/>
    </row>
    <row r="611">
      <c r="A611" s="574"/>
      <c r="B611" s="574"/>
      <c r="C611" s="347"/>
      <c r="D611" s="574"/>
      <c r="E611" s="347"/>
      <c r="F611" s="596"/>
      <c r="G611" s="596"/>
      <c r="H611" s="347"/>
      <c r="I611" s="347"/>
      <c r="J611" s="596"/>
      <c r="K611" s="609"/>
      <c r="L611" s="1"/>
      <c r="M611" s="347"/>
      <c r="N611" s="347"/>
      <c r="O611" s="579"/>
      <c r="P611" s="579"/>
      <c r="Q611" s="574"/>
      <c r="R611" s="347"/>
      <c r="S611" s="597"/>
      <c r="T611" s="347"/>
      <c r="U611" s="579"/>
      <c r="V611" s="579"/>
      <c r="W611" s="574"/>
      <c r="X611" s="347"/>
      <c r="Y611" s="347"/>
      <c r="Z611" s="347"/>
      <c r="AA611" s="579"/>
      <c r="AB611" s="581"/>
      <c r="AC611" s="347"/>
      <c r="AD611" s="347"/>
      <c r="AE611" s="347"/>
      <c r="AF611" s="347"/>
      <c r="AG611" s="579"/>
      <c r="AH611" s="579"/>
      <c r="AI611" s="582"/>
      <c r="AJ611" s="582"/>
      <c r="AK611" s="582"/>
      <c r="AL611" s="582"/>
      <c r="AM611" s="579"/>
      <c r="AN611" s="579"/>
      <c r="AO611" s="347"/>
      <c r="AP611" s="586"/>
      <c r="AQ611" s="596"/>
      <c r="AR611" s="596"/>
      <c r="AS611" s="348"/>
      <c r="AT611" s="348"/>
      <c r="AU611" s="348"/>
      <c r="AV611" s="348"/>
      <c r="AW611" s="348"/>
      <c r="AX611" s="584"/>
      <c r="AY611" s="581"/>
      <c r="AZ611" s="581"/>
      <c r="BA611" s="596"/>
      <c r="BB611" s="596"/>
      <c r="BC611" s="348"/>
      <c r="BD611" s="581"/>
      <c r="BE611" s="581"/>
      <c r="BF611" s="347"/>
      <c r="BG611" s="347"/>
      <c r="BH611" s="347"/>
      <c r="BI611" s="347"/>
      <c r="BJ611" s="586"/>
      <c r="BK611" s="581"/>
      <c r="BL611" s="347"/>
      <c r="BM611" s="347"/>
      <c r="BN611" s="347"/>
      <c r="BO611" s="586"/>
      <c r="BP611" s="584"/>
      <c r="BQ611" s="347"/>
      <c r="BR611" s="586"/>
      <c r="BS611" s="588"/>
      <c r="BT611" s="586"/>
      <c r="BU611" s="589"/>
      <c r="BV611" s="581">
        <f t="shared" si="44"/>
        <v>0</v>
      </c>
      <c r="BW611" s="590"/>
      <c r="BX611" s="347"/>
      <c r="BY611" s="347"/>
      <c r="BZ611" s="347"/>
      <c r="CA611" s="586"/>
      <c r="CB611" s="581"/>
      <c r="CC611" s="581">
        <f t="shared" si="193"/>
        <v>0</v>
      </c>
      <c r="CD611" s="581"/>
      <c r="CE611" s="581"/>
      <c r="CF611" s="581"/>
      <c r="CG611" s="586"/>
      <c r="CH611" s="608"/>
      <c r="CI611" s="603"/>
      <c r="CJ611" s="347"/>
      <c r="CK611" s="347"/>
      <c r="CL611" s="347"/>
      <c r="CM611" s="347"/>
      <c r="CN611" s="347"/>
      <c r="CO611" s="347"/>
      <c r="CP611" s="347"/>
    </row>
    <row r="612">
      <c r="A612" s="574"/>
      <c r="B612" s="574"/>
      <c r="C612" s="347"/>
      <c r="D612" s="574"/>
      <c r="E612" s="347"/>
      <c r="F612" s="596"/>
      <c r="G612" s="596"/>
      <c r="H612" s="347"/>
      <c r="I612" s="347"/>
      <c r="J612" s="596"/>
      <c r="K612" s="609"/>
      <c r="L612" s="1"/>
      <c r="M612" s="347"/>
      <c r="N612" s="347"/>
      <c r="O612" s="579"/>
      <c r="P612" s="579"/>
      <c r="Q612" s="574"/>
      <c r="R612" s="347"/>
      <c r="S612" s="597"/>
      <c r="T612" s="347"/>
      <c r="U612" s="579"/>
      <c r="V612" s="579"/>
      <c r="W612" s="574"/>
      <c r="X612" s="347"/>
      <c r="Y612" s="347"/>
      <c r="Z612" s="347"/>
      <c r="AA612" s="579"/>
      <c r="AB612" s="581"/>
      <c r="AC612" s="347"/>
      <c r="AD612" s="347"/>
      <c r="AE612" s="347"/>
      <c r="AF612" s="347"/>
      <c r="AG612" s="579"/>
      <c r="AH612" s="579"/>
      <c r="AI612" s="582"/>
      <c r="AJ612" s="582"/>
      <c r="AK612" s="582"/>
      <c r="AL612" s="582"/>
      <c r="AM612" s="579"/>
      <c r="AN612" s="579"/>
      <c r="AO612" s="347"/>
      <c r="AP612" s="586"/>
      <c r="AQ612" s="596"/>
      <c r="AR612" s="596"/>
      <c r="AS612" s="348"/>
      <c r="AT612" s="348"/>
      <c r="AU612" s="348"/>
      <c r="AV612" s="348"/>
      <c r="AW612" s="348"/>
      <c r="AX612" s="584"/>
      <c r="AY612" s="581"/>
      <c r="AZ612" s="581"/>
      <c r="BA612" s="596"/>
      <c r="BB612" s="596"/>
      <c r="BC612" s="348"/>
      <c r="BD612" s="581"/>
      <c r="BE612" s="581"/>
      <c r="BF612" s="347"/>
      <c r="BG612" s="347"/>
      <c r="BH612" s="347"/>
      <c r="BI612" s="347"/>
      <c r="BJ612" s="586"/>
      <c r="BK612" s="581"/>
      <c r="BL612" s="347"/>
      <c r="BM612" s="347"/>
      <c r="BN612" s="347"/>
      <c r="BO612" s="586"/>
      <c r="BP612" s="584"/>
      <c r="BQ612" s="347"/>
      <c r="BR612" s="586"/>
      <c r="BS612" s="588"/>
      <c r="BT612" s="586"/>
      <c r="BU612" s="589"/>
      <c r="BV612" s="581">
        <f t="shared" si="44"/>
        <v>0</v>
      </c>
      <c r="BW612" s="590"/>
      <c r="BX612" s="347"/>
      <c r="BY612" s="347"/>
      <c r="BZ612" s="347"/>
      <c r="CA612" s="586"/>
      <c r="CB612" s="581"/>
      <c r="CC612" s="581">
        <f t="shared" si="193"/>
        <v>0</v>
      </c>
      <c r="CD612" s="581"/>
      <c r="CE612" s="581"/>
      <c r="CF612" s="581"/>
      <c r="CG612" s="586"/>
      <c r="CH612" s="608"/>
      <c r="CI612" s="603"/>
      <c r="CJ612" s="347"/>
      <c r="CK612" s="347"/>
      <c r="CL612" s="347"/>
      <c r="CM612" s="347"/>
      <c r="CN612" s="347"/>
      <c r="CO612" s="347"/>
      <c r="CP612" s="347"/>
    </row>
    <row r="613">
      <c r="A613" s="574"/>
      <c r="B613" s="574"/>
      <c r="C613" s="347"/>
      <c r="D613" s="574"/>
      <c r="E613" s="347"/>
      <c r="F613" s="596"/>
      <c r="G613" s="596"/>
      <c r="H613" s="347"/>
      <c r="I613" s="347"/>
      <c r="J613" s="596"/>
      <c r="K613" s="609"/>
      <c r="L613" s="1"/>
      <c r="M613" s="347"/>
      <c r="N613" s="347"/>
      <c r="O613" s="579"/>
      <c r="P613" s="579"/>
      <c r="Q613" s="574"/>
      <c r="R613" s="347"/>
      <c r="S613" s="597"/>
      <c r="T613" s="347"/>
      <c r="U613" s="579"/>
      <c r="V613" s="579"/>
      <c r="W613" s="574"/>
      <c r="X613" s="347"/>
      <c r="Y613" s="347"/>
      <c r="Z613" s="347"/>
      <c r="AA613" s="579"/>
      <c r="AB613" s="581"/>
      <c r="AC613" s="347"/>
      <c r="AD613" s="347"/>
      <c r="AE613" s="347"/>
      <c r="AF613" s="347"/>
      <c r="AG613" s="579"/>
      <c r="AH613" s="579"/>
      <c r="AI613" s="582"/>
      <c r="AJ613" s="582"/>
      <c r="AK613" s="582"/>
      <c r="AL613" s="582"/>
      <c r="AM613" s="579"/>
      <c r="AN613" s="579"/>
      <c r="AO613" s="347"/>
      <c r="AP613" s="586"/>
      <c r="AQ613" s="596"/>
      <c r="AR613" s="596"/>
      <c r="AS613" s="348"/>
      <c r="AT613" s="348"/>
      <c r="AU613" s="348"/>
      <c r="AV613" s="348"/>
      <c r="AW613" s="348"/>
      <c r="AX613" s="584"/>
      <c r="AY613" s="581"/>
      <c r="AZ613" s="581"/>
      <c r="BA613" s="596"/>
      <c r="BB613" s="596"/>
      <c r="BC613" s="348"/>
      <c r="BD613" s="581"/>
      <c r="BE613" s="581"/>
      <c r="BF613" s="347"/>
      <c r="BG613" s="347"/>
      <c r="BH613" s="347"/>
      <c r="BI613" s="347"/>
      <c r="BJ613" s="586"/>
      <c r="BK613" s="581"/>
      <c r="BL613" s="347"/>
      <c r="BM613" s="347"/>
      <c r="BN613" s="347"/>
      <c r="BO613" s="586"/>
      <c r="BP613" s="584"/>
      <c r="BQ613" s="347"/>
      <c r="BR613" s="586"/>
      <c r="BS613" s="588"/>
      <c r="BT613" s="586"/>
      <c r="BU613" s="589"/>
      <c r="BV613" s="581">
        <f t="shared" si="44"/>
        <v>0</v>
      </c>
      <c r="BW613" s="590"/>
      <c r="BX613" s="347"/>
      <c r="BY613" s="347"/>
      <c r="BZ613" s="347"/>
      <c r="CA613" s="586"/>
      <c r="CB613" s="581"/>
      <c r="CC613" s="581">
        <f t="shared" si="193"/>
        <v>0</v>
      </c>
      <c r="CD613" s="581"/>
      <c r="CE613" s="581"/>
      <c r="CF613" s="581"/>
      <c r="CG613" s="586"/>
      <c r="CH613" s="608"/>
      <c r="CI613" s="603"/>
      <c r="CJ613" s="347"/>
      <c r="CK613" s="347"/>
      <c r="CL613" s="347"/>
      <c r="CM613" s="347"/>
      <c r="CN613" s="347"/>
      <c r="CO613" s="347"/>
      <c r="CP613" s="347"/>
    </row>
    <row r="614">
      <c r="A614" s="574"/>
      <c r="B614" s="574"/>
      <c r="C614" s="347"/>
      <c r="D614" s="574"/>
      <c r="E614" s="347"/>
      <c r="F614" s="596"/>
      <c r="G614" s="596"/>
      <c r="H614" s="347"/>
      <c r="I614" s="347"/>
      <c r="J614" s="596"/>
      <c r="K614" s="609"/>
      <c r="L614" s="1"/>
      <c r="M614" s="347"/>
      <c r="N614" s="347"/>
      <c r="O614" s="579"/>
      <c r="P614" s="579"/>
      <c r="Q614" s="574"/>
      <c r="R614" s="347"/>
      <c r="S614" s="597"/>
      <c r="T614" s="347"/>
      <c r="U614" s="579"/>
      <c r="V614" s="579"/>
      <c r="W614" s="574"/>
      <c r="X614" s="347"/>
      <c r="Y614" s="347"/>
      <c r="Z614" s="347"/>
      <c r="AA614" s="579"/>
      <c r="AB614" s="581"/>
      <c r="AC614" s="347"/>
      <c r="AD614" s="347"/>
      <c r="AE614" s="347"/>
      <c r="AF614" s="347"/>
      <c r="AG614" s="579"/>
      <c r="AH614" s="579"/>
      <c r="AI614" s="582"/>
      <c r="AJ614" s="582"/>
      <c r="AK614" s="582"/>
      <c r="AL614" s="582"/>
      <c r="AM614" s="579"/>
      <c r="AN614" s="579"/>
      <c r="AO614" s="347"/>
      <c r="AP614" s="586"/>
      <c r="AQ614" s="596"/>
      <c r="AR614" s="596"/>
      <c r="AS614" s="348"/>
      <c r="AT614" s="348"/>
      <c r="AU614" s="348"/>
      <c r="AV614" s="348"/>
      <c r="AW614" s="348"/>
      <c r="AX614" s="584"/>
      <c r="AY614" s="581"/>
      <c r="AZ614" s="581"/>
      <c r="BA614" s="596"/>
      <c r="BB614" s="596"/>
      <c r="BC614" s="348"/>
      <c r="BD614" s="581"/>
      <c r="BE614" s="581"/>
      <c r="BF614" s="347"/>
      <c r="BG614" s="347"/>
      <c r="BH614" s="347"/>
      <c r="BI614" s="347"/>
      <c r="BJ614" s="586"/>
      <c r="BK614" s="581"/>
      <c r="BL614" s="347"/>
      <c r="BM614" s="347"/>
      <c r="BN614" s="347"/>
      <c r="BO614" s="586"/>
      <c r="BP614" s="584"/>
      <c r="BQ614" s="347"/>
      <c r="BR614" s="586"/>
      <c r="BS614" s="588"/>
      <c r="BT614" s="586"/>
      <c r="BU614" s="589"/>
      <c r="BV614" s="581">
        <f t="shared" si="44"/>
        <v>0</v>
      </c>
      <c r="BW614" s="590"/>
      <c r="BX614" s="347"/>
      <c r="BY614" s="347"/>
      <c r="BZ614" s="347"/>
      <c r="CA614" s="586"/>
      <c r="CB614" s="581"/>
      <c r="CC614" s="581">
        <f t="shared" si="193"/>
        <v>0</v>
      </c>
      <c r="CD614" s="581"/>
      <c r="CE614" s="581"/>
      <c r="CF614" s="581"/>
      <c r="CG614" s="586"/>
      <c r="CH614" s="608"/>
      <c r="CI614" s="603"/>
      <c r="CJ614" s="347"/>
      <c r="CK614" s="347"/>
      <c r="CL614" s="347"/>
      <c r="CM614" s="347"/>
      <c r="CN614" s="347"/>
      <c r="CO614" s="347"/>
      <c r="CP614" s="347"/>
    </row>
    <row r="615">
      <c r="A615" s="574"/>
      <c r="B615" s="574"/>
      <c r="C615" s="347"/>
      <c r="D615" s="574"/>
      <c r="E615" s="347"/>
      <c r="F615" s="596"/>
      <c r="G615" s="596"/>
      <c r="H615" s="347"/>
      <c r="I615" s="347"/>
      <c r="J615" s="596"/>
      <c r="K615" s="609"/>
      <c r="L615" s="1"/>
      <c r="M615" s="347"/>
      <c r="N615" s="347"/>
      <c r="O615" s="579"/>
      <c r="P615" s="579"/>
      <c r="Q615" s="574"/>
      <c r="R615" s="347"/>
      <c r="S615" s="597"/>
      <c r="T615" s="347"/>
      <c r="U615" s="579"/>
      <c r="V615" s="579"/>
      <c r="W615" s="574"/>
      <c r="X615" s="347"/>
      <c r="Y615" s="347"/>
      <c r="Z615" s="347"/>
      <c r="AA615" s="579"/>
      <c r="AB615" s="581"/>
      <c r="AC615" s="347"/>
      <c r="AD615" s="347"/>
      <c r="AE615" s="347"/>
      <c r="AF615" s="347"/>
      <c r="AG615" s="579"/>
      <c r="AH615" s="579"/>
      <c r="AI615" s="582"/>
      <c r="AJ615" s="582"/>
      <c r="AK615" s="582"/>
      <c r="AL615" s="582"/>
      <c r="AM615" s="579"/>
      <c r="AN615" s="579"/>
      <c r="AO615" s="347"/>
      <c r="AP615" s="586"/>
      <c r="AQ615" s="596"/>
      <c r="AR615" s="596"/>
      <c r="AS615" s="348"/>
      <c r="AT615" s="348"/>
      <c r="AU615" s="348"/>
      <c r="AV615" s="348"/>
      <c r="AW615" s="348"/>
      <c r="AX615" s="584"/>
      <c r="AY615" s="581"/>
      <c r="AZ615" s="581"/>
      <c r="BA615" s="596"/>
      <c r="BB615" s="596"/>
      <c r="BC615" s="348"/>
      <c r="BD615" s="581"/>
      <c r="BE615" s="581"/>
      <c r="BF615" s="347"/>
      <c r="BG615" s="347"/>
      <c r="BH615" s="347"/>
      <c r="BI615" s="347"/>
      <c r="BJ615" s="586"/>
      <c r="BK615" s="581"/>
      <c r="BL615" s="347"/>
      <c r="BM615" s="347"/>
      <c r="BN615" s="347"/>
      <c r="BO615" s="586"/>
      <c r="BP615" s="584"/>
      <c r="BQ615" s="347"/>
      <c r="BR615" s="586"/>
      <c r="BS615" s="588"/>
      <c r="BT615" s="586"/>
      <c r="BU615" s="589"/>
      <c r="BV615" s="581">
        <f t="shared" si="44"/>
        <v>0</v>
      </c>
      <c r="BW615" s="590"/>
      <c r="BX615" s="347"/>
      <c r="BY615" s="347"/>
      <c r="BZ615" s="347"/>
      <c r="CA615" s="586"/>
      <c r="CB615" s="581"/>
      <c r="CC615" s="581">
        <f t="shared" si="193"/>
        <v>0</v>
      </c>
      <c r="CD615" s="581"/>
      <c r="CE615" s="581"/>
      <c r="CF615" s="581"/>
      <c r="CG615" s="586"/>
      <c r="CH615" s="608"/>
      <c r="CI615" s="603"/>
      <c r="CJ615" s="347"/>
      <c r="CK615" s="347"/>
      <c r="CL615" s="347"/>
      <c r="CM615" s="347"/>
      <c r="CN615" s="347"/>
      <c r="CO615" s="347"/>
      <c r="CP615" s="347"/>
    </row>
    <row r="616">
      <c r="A616" s="574"/>
      <c r="B616" s="574"/>
      <c r="C616" s="347"/>
      <c r="D616" s="574"/>
      <c r="E616" s="347"/>
      <c r="F616" s="596"/>
      <c r="G616" s="596"/>
      <c r="H616" s="347"/>
      <c r="I616" s="347"/>
      <c r="J616" s="596"/>
      <c r="K616" s="609"/>
      <c r="L616" s="1"/>
      <c r="M616" s="347"/>
      <c r="N616" s="347"/>
      <c r="O616" s="579"/>
      <c r="P616" s="579"/>
      <c r="Q616" s="574"/>
      <c r="R616" s="347"/>
      <c r="S616" s="597"/>
      <c r="T616" s="347"/>
      <c r="U616" s="579"/>
      <c r="V616" s="579"/>
      <c r="W616" s="574"/>
      <c r="X616" s="347"/>
      <c r="Y616" s="347"/>
      <c r="Z616" s="347"/>
      <c r="AA616" s="579"/>
      <c r="AB616" s="581"/>
      <c r="AC616" s="347"/>
      <c r="AD616" s="347"/>
      <c r="AE616" s="347"/>
      <c r="AF616" s="347"/>
      <c r="AG616" s="579"/>
      <c r="AH616" s="579"/>
      <c r="AI616" s="582"/>
      <c r="AJ616" s="582"/>
      <c r="AK616" s="582"/>
      <c r="AL616" s="582"/>
      <c r="AM616" s="579"/>
      <c r="AN616" s="579"/>
      <c r="AO616" s="347"/>
      <c r="AP616" s="586"/>
      <c r="AQ616" s="596"/>
      <c r="AR616" s="596"/>
      <c r="AS616" s="348"/>
      <c r="AT616" s="348"/>
      <c r="AU616" s="348"/>
      <c r="AV616" s="348"/>
      <c r="AW616" s="348"/>
      <c r="AX616" s="584"/>
      <c r="AY616" s="581"/>
      <c r="AZ616" s="581"/>
      <c r="BA616" s="596"/>
      <c r="BB616" s="596"/>
      <c r="BC616" s="348"/>
      <c r="BD616" s="581"/>
      <c r="BE616" s="581"/>
      <c r="BF616" s="347"/>
      <c r="BG616" s="347"/>
      <c r="BH616" s="347"/>
      <c r="BI616" s="347"/>
      <c r="BJ616" s="586"/>
      <c r="BK616" s="581"/>
      <c r="BL616" s="347"/>
      <c r="BM616" s="347"/>
      <c r="BN616" s="347"/>
      <c r="BO616" s="586"/>
      <c r="BP616" s="584"/>
      <c r="BQ616" s="347"/>
      <c r="BR616" s="586"/>
      <c r="BS616" s="588"/>
      <c r="BT616" s="586"/>
      <c r="BU616" s="589"/>
      <c r="BV616" s="581">
        <f t="shared" si="44"/>
        <v>0</v>
      </c>
      <c r="BW616" s="590"/>
      <c r="BX616" s="347"/>
      <c r="BY616" s="347"/>
      <c r="BZ616" s="347"/>
      <c r="CA616" s="586"/>
      <c r="CB616" s="581"/>
      <c r="CC616" s="581">
        <f t="shared" si="193"/>
        <v>0</v>
      </c>
      <c r="CD616" s="581"/>
      <c r="CE616" s="581"/>
      <c r="CF616" s="581"/>
      <c r="CG616" s="586"/>
      <c r="CH616" s="608"/>
      <c r="CI616" s="603"/>
      <c r="CJ616" s="347"/>
      <c r="CK616" s="347"/>
      <c r="CL616" s="347"/>
      <c r="CM616" s="347"/>
      <c r="CN616" s="347"/>
      <c r="CO616" s="347"/>
      <c r="CP616" s="347"/>
    </row>
    <row r="617">
      <c r="A617" s="574"/>
      <c r="B617" s="574"/>
      <c r="C617" s="347"/>
      <c r="D617" s="574"/>
      <c r="E617" s="347"/>
      <c r="F617" s="596"/>
      <c r="G617" s="596"/>
      <c r="H617" s="347"/>
      <c r="I617" s="347"/>
      <c r="J617" s="596"/>
      <c r="K617" s="609"/>
      <c r="L617" s="1"/>
      <c r="M617" s="347"/>
      <c r="N617" s="347"/>
      <c r="O617" s="579"/>
      <c r="P617" s="579"/>
      <c r="Q617" s="574"/>
      <c r="R617" s="347"/>
      <c r="S617" s="597"/>
      <c r="T617" s="347"/>
      <c r="U617" s="579"/>
      <c r="V617" s="579"/>
      <c r="W617" s="574"/>
      <c r="X617" s="347"/>
      <c r="Y617" s="347"/>
      <c r="Z617" s="347"/>
      <c r="AA617" s="579"/>
      <c r="AB617" s="581"/>
      <c r="AC617" s="347"/>
      <c r="AD617" s="347"/>
      <c r="AE617" s="347"/>
      <c r="AF617" s="347"/>
      <c r="AG617" s="579"/>
      <c r="AH617" s="579"/>
      <c r="AI617" s="582"/>
      <c r="AJ617" s="582"/>
      <c r="AK617" s="582"/>
      <c r="AL617" s="582"/>
      <c r="AM617" s="579"/>
      <c r="AN617" s="579"/>
      <c r="AO617" s="347"/>
      <c r="AP617" s="586"/>
      <c r="AQ617" s="596"/>
      <c r="AR617" s="596"/>
      <c r="AS617" s="348"/>
      <c r="AT617" s="348"/>
      <c r="AU617" s="348"/>
      <c r="AV617" s="348"/>
      <c r="AW617" s="348"/>
      <c r="AX617" s="584"/>
      <c r="AY617" s="581"/>
      <c r="AZ617" s="581"/>
      <c r="BA617" s="596"/>
      <c r="BB617" s="596"/>
      <c r="BC617" s="348"/>
      <c r="BD617" s="581"/>
      <c r="BE617" s="581"/>
      <c r="BF617" s="347"/>
      <c r="BG617" s="347"/>
      <c r="BH617" s="347"/>
      <c r="BI617" s="347"/>
      <c r="BJ617" s="586"/>
      <c r="BK617" s="581"/>
      <c r="BL617" s="347"/>
      <c r="BM617" s="347"/>
      <c r="BN617" s="347"/>
      <c r="BO617" s="586"/>
      <c r="BP617" s="584"/>
      <c r="BQ617" s="347"/>
      <c r="BR617" s="586"/>
      <c r="BS617" s="588"/>
      <c r="BT617" s="586"/>
      <c r="BU617" s="589"/>
      <c r="BV617" s="581">
        <f t="shared" si="44"/>
        <v>0</v>
      </c>
      <c r="BW617" s="590"/>
      <c r="BX617" s="347"/>
      <c r="BY617" s="347"/>
      <c r="BZ617" s="347"/>
      <c r="CA617" s="586"/>
      <c r="CB617" s="581"/>
      <c r="CC617" s="581">
        <f t="shared" si="193"/>
        <v>0</v>
      </c>
      <c r="CD617" s="581"/>
      <c r="CE617" s="581"/>
      <c r="CF617" s="581"/>
      <c r="CG617" s="586"/>
      <c r="CH617" s="608"/>
      <c r="CI617" s="603"/>
      <c r="CJ617" s="347"/>
      <c r="CK617" s="347"/>
      <c r="CL617" s="347"/>
      <c r="CM617" s="347"/>
      <c r="CN617" s="347"/>
      <c r="CO617" s="347"/>
      <c r="CP617" s="347"/>
    </row>
    <row r="618">
      <c r="A618" s="574"/>
      <c r="B618" s="574"/>
      <c r="C618" s="347"/>
      <c r="D618" s="574"/>
      <c r="E618" s="347"/>
      <c r="F618" s="596"/>
      <c r="G618" s="596"/>
      <c r="H618" s="347"/>
      <c r="I618" s="347"/>
      <c r="J618" s="596"/>
      <c r="K618" s="609"/>
      <c r="L618" s="1"/>
      <c r="M618" s="347"/>
      <c r="N618" s="347"/>
      <c r="O618" s="579"/>
      <c r="P618" s="579"/>
      <c r="Q618" s="574"/>
      <c r="R618" s="347"/>
      <c r="S618" s="597"/>
      <c r="T618" s="347"/>
      <c r="U618" s="579"/>
      <c r="V618" s="579"/>
      <c r="W618" s="574"/>
      <c r="X618" s="347"/>
      <c r="Y618" s="347"/>
      <c r="Z618" s="347"/>
      <c r="AA618" s="579"/>
      <c r="AB618" s="581"/>
      <c r="AC618" s="347"/>
      <c r="AD618" s="347"/>
      <c r="AE618" s="347"/>
      <c r="AF618" s="347"/>
      <c r="AG618" s="579"/>
      <c r="AH618" s="579"/>
      <c r="AI618" s="582"/>
      <c r="AJ618" s="582"/>
      <c r="AK618" s="582"/>
      <c r="AL618" s="582"/>
      <c r="AM618" s="579"/>
      <c r="AN618" s="579"/>
      <c r="AO618" s="347"/>
      <c r="AP618" s="586"/>
      <c r="AQ618" s="596"/>
      <c r="AR618" s="596"/>
      <c r="AS618" s="348"/>
      <c r="AT618" s="348"/>
      <c r="AU618" s="348"/>
      <c r="AV618" s="348"/>
      <c r="AW618" s="348"/>
      <c r="AX618" s="584"/>
      <c r="AY618" s="581"/>
      <c r="AZ618" s="581"/>
      <c r="BA618" s="596"/>
      <c r="BB618" s="596"/>
      <c r="BC618" s="348"/>
      <c r="BD618" s="581"/>
      <c r="BE618" s="581"/>
      <c r="BF618" s="347"/>
      <c r="BG618" s="347"/>
      <c r="BH618" s="347"/>
      <c r="BI618" s="347"/>
      <c r="BJ618" s="586"/>
      <c r="BK618" s="581"/>
      <c r="BL618" s="347"/>
      <c r="BM618" s="347"/>
      <c r="BN618" s="347"/>
      <c r="BO618" s="586"/>
      <c r="BP618" s="584"/>
      <c r="BQ618" s="347"/>
      <c r="BR618" s="586"/>
      <c r="BS618" s="588"/>
      <c r="BT618" s="586"/>
      <c r="BU618" s="589"/>
      <c r="BV618" s="581">
        <f t="shared" si="44"/>
        <v>0</v>
      </c>
      <c r="BW618" s="590"/>
      <c r="BX618" s="347"/>
      <c r="BY618" s="347"/>
      <c r="BZ618" s="347"/>
      <c r="CA618" s="586"/>
      <c r="CB618" s="581"/>
      <c r="CC618" s="581">
        <f t="shared" si="193"/>
        <v>0</v>
      </c>
      <c r="CD618" s="581"/>
      <c r="CE618" s="581"/>
      <c r="CF618" s="581"/>
      <c r="CG618" s="586"/>
      <c r="CH618" s="608"/>
      <c r="CI618" s="603"/>
      <c r="CJ618" s="347"/>
      <c r="CK618" s="347"/>
      <c r="CL618" s="347"/>
      <c r="CM618" s="347"/>
      <c r="CN618" s="347"/>
      <c r="CO618" s="347"/>
      <c r="CP618" s="347"/>
    </row>
    <row r="619">
      <c r="A619" s="574"/>
      <c r="B619" s="574"/>
      <c r="C619" s="347"/>
      <c r="D619" s="574"/>
      <c r="E619" s="347"/>
      <c r="F619" s="596"/>
      <c r="G619" s="596"/>
      <c r="H619" s="347"/>
      <c r="I619" s="347"/>
      <c r="J619" s="596"/>
      <c r="K619" s="609"/>
      <c r="L619" s="1"/>
      <c r="M619" s="347"/>
      <c r="N619" s="347"/>
      <c r="O619" s="579"/>
      <c r="P619" s="579"/>
      <c r="Q619" s="574"/>
      <c r="R619" s="347"/>
      <c r="S619" s="597"/>
      <c r="T619" s="347"/>
      <c r="U619" s="579"/>
      <c r="V619" s="579"/>
      <c r="W619" s="574"/>
      <c r="X619" s="347"/>
      <c r="Y619" s="347"/>
      <c r="Z619" s="347"/>
      <c r="AA619" s="579"/>
      <c r="AB619" s="581"/>
      <c r="AC619" s="347"/>
      <c r="AD619" s="347"/>
      <c r="AE619" s="347"/>
      <c r="AF619" s="347"/>
      <c r="AG619" s="579"/>
      <c r="AH619" s="579"/>
      <c r="AI619" s="582"/>
      <c r="AJ619" s="582"/>
      <c r="AK619" s="582"/>
      <c r="AL619" s="582"/>
      <c r="AM619" s="579"/>
      <c r="AN619" s="579"/>
      <c r="AO619" s="347"/>
      <c r="AP619" s="586"/>
      <c r="AQ619" s="596"/>
      <c r="AR619" s="596"/>
      <c r="AS619" s="348"/>
      <c r="AT619" s="348"/>
      <c r="AU619" s="348"/>
      <c r="AV619" s="348"/>
      <c r="AW619" s="348"/>
      <c r="AX619" s="584"/>
      <c r="AY619" s="581"/>
      <c r="AZ619" s="581"/>
      <c r="BA619" s="596"/>
      <c r="BB619" s="596"/>
      <c r="BC619" s="348"/>
      <c r="BD619" s="581"/>
      <c r="BE619" s="581"/>
      <c r="BF619" s="347"/>
      <c r="BG619" s="347"/>
      <c r="BH619" s="347"/>
      <c r="BI619" s="347"/>
      <c r="BJ619" s="586"/>
      <c r="BK619" s="581"/>
      <c r="BL619" s="347"/>
      <c r="BM619" s="347"/>
      <c r="BN619" s="347"/>
      <c r="BO619" s="586"/>
      <c r="BP619" s="584"/>
      <c r="BQ619" s="347"/>
      <c r="BR619" s="586"/>
      <c r="BS619" s="588"/>
      <c r="BT619" s="586"/>
      <c r="BU619" s="589"/>
      <c r="BV619" s="581">
        <f t="shared" si="44"/>
        <v>0</v>
      </c>
      <c r="BW619" s="590"/>
      <c r="BX619" s="347"/>
      <c r="BY619" s="347"/>
      <c r="BZ619" s="347"/>
      <c r="CA619" s="586"/>
      <c r="CB619" s="581"/>
      <c r="CC619" s="581">
        <f t="shared" si="193"/>
        <v>0</v>
      </c>
      <c r="CD619" s="581"/>
      <c r="CE619" s="581"/>
      <c r="CF619" s="581"/>
      <c r="CG619" s="586"/>
      <c r="CH619" s="608"/>
      <c r="CI619" s="603"/>
      <c r="CJ619" s="347"/>
      <c r="CK619" s="347"/>
      <c r="CL619" s="347"/>
      <c r="CM619" s="347"/>
      <c r="CN619" s="347"/>
      <c r="CO619" s="347"/>
      <c r="CP619" s="347"/>
    </row>
    <row r="620">
      <c r="A620" s="574"/>
      <c r="B620" s="574"/>
      <c r="C620" s="347"/>
      <c r="D620" s="574"/>
      <c r="E620" s="347"/>
      <c r="F620" s="596"/>
      <c r="G620" s="596"/>
      <c r="H620" s="347"/>
      <c r="I620" s="347"/>
      <c r="J620" s="596"/>
      <c r="K620" s="609"/>
      <c r="L620" s="1"/>
      <c r="M620" s="347"/>
      <c r="N620" s="347"/>
      <c r="O620" s="579"/>
      <c r="P620" s="579"/>
      <c r="Q620" s="574"/>
      <c r="R620" s="347"/>
      <c r="S620" s="597"/>
      <c r="T620" s="347"/>
      <c r="U620" s="579"/>
      <c r="V620" s="579"/>
      <c r="W620" s="574"/>
      <c r="X620" s="347"/>
      <c r="Y620" s="347"/>
      <c r="Z620" s="347"/>
      <c r="AA620" s="579"/>
      <c r="AB620" s="581"/>
      <c r="AC620" s="347"/>
      <c r="AD620" s="347"/>
      <c r="AE620" s="347"/>
      <c r="AF620" s="347"/>
      <c r="AG620" s="579"/>
      <c r="AH620" s="579"/>
      <c r="AI620" s="582"/>
      <c r="AJ620" s="582"/>
      <c r="AK620" s="582"/>
      <c r="AL620" s="582"/>
      <c r="AM620" s="579"/>
      <c r="AN620" s="579"/>
      <c r="AO620" s="347"/>
      <c r="AP620" s="586"/>
      <c r="AQ620" s="596"/>
      <c r="AR620" s="596"/>
      <c r="AS620" s="348"/>
      <c r="AT620" s="348"/>
      <c r="AU620" s="348"/>
      <c r="AV620" s="348"/>
      <c r="AW620" s="348"/>
      <c r="AX620" s="584"/>
      <c r="AY620" s="581"/>
      <c r="AZ620" s="581"/>
      <c r="BA620" s="596"/>
      <c r="BB620" s="596"/>
      <c r="BC620" s="348"/>
      <c r="BD620" s="581"/>
      <c r="BE620" s="581"/>
      <c r="BF620" s="347"/>
      <c r="BG620" s="347"/>
      <c r="BH620" s="347"/>
      <c r="BI620" s="347"/>
      <c r="BJ620" s="586"/>
      <c r="BK620" s="581"/>
      <c r="BL620" s="347"/>
      <c r="BM620" s="347"/>
      <c r="BN620" s="347"/>
      <c r="BO620" s="586"/>
      <c r="BP620" s="584"/>
      <c r="BQ620" s="347"/>
      <c r="BR620" s="586"/>
      <c r="BS620" s="588"/>
      <c r="BT620" s="586"/>
      <c r="BU620" s="589"/>
      <c r="BV620" s="581">
        <f t="shared" si="44"/>
        <v>0</v>
      </c>
      <c r="BW620" s="590"/>
      <c r="BX620" s="347"/>
      <c r="BY620" s="347"/>
      <c r="BZ620" s="347"/>
      <c r="CA620" s="586"/>
      <c r="CB620" s="581"/>
      <c r="CC620" s="581">
        <f t="shared" si="193"/>
        <v>0</v>
      </c>
      <c r="CD620" s="581"/>
      <c r="CE620" s="581"/>
      <c r="CF620" s="581"/>
      <c r="CG620" s="586"/>
      <c r="CH620" s="608"/>
      <c r="CI620" s="603"/>
      <c r="CJ620" s="347"/>
      <c r="CK620" s="347"/>
      <c r="CL620" s="347"/>
      <c r="CM620" s="347"/>
      <c r="CN620" s="347"/>
      <c r="CO620" s="347"/>
      <c r="CP620" s="347"/>
    </row>
    <row r="621">
      <c r="A621" s="574"/>
      <c r="B621" s="574"/>
      <c r="C621" s="347"/>
      <c r="D621" s="574"/>
      <c r="E621" s="347"/>
      <c r="F621" s="596"/>
      <c r="G621" s="596"/>
      <c r="H621" s="347"/>
      <c r="I621" s="347"/>
      <c r="J621" s="596"/>
      <c r="K621" s="609"/>
      <c r="L621" s="1"/>
      <c r="M621" s="347"/>
      <c r="N621" s="347"/>
      <c r="O621" s="579"/>
      <c r="P621" s="579"/>
      <c r="Q621" s="574"/>
      <c r="R621" s="347"/>
      <c r="S621" s="597"/>
      <c r="T621" s="347"/>
      <c r="U621" s="579"/>
      <c r="V621" s="579"/>
      <c r="W621" s="574"/>
      <c r="X621" s="347"/>
      <c r="Y621" s="347"/>
      <c r="Z621" s="347"/>
      <c r="AA621" s="579"/>
      <c r="AB621" s="581"/>
      <c r="AC621" s="347"/>
      <c r="AD621" s="347"/>
      <c r="AE621" s="347"/>
      <c r="AF621" s="347"/>
      <c r="AG621" s="579"/>
      <c r="AH621" s="579"/>
      <c r="AI621" s="582"/>
      <c r="AJ621" s="582"/>
      <c r="AK621" s="582"/>
      <c r="AL621" s="582"/>
      <c r="AM621" s="579"/>
      <c r="AN621" s="579"/>
      <c r="AO621" s="347"/>
      <c r="AP621" s="586"/>
      <c r="AQ621" s="596"/>
      <c r="AR621" s="596"/>
      <c r="AS621" s="348"/>
      <c r="AT621" s="348"/>
      <c r="AU621" s="348"/>
      <c r="AV621" s="348"/>
      <c r="AW621" s="348"/>
      <c r="AX621" s="584"/>
      <c r="AY621" s="581"/>
      <c r="AZ621" s="581"/>
      <c r="BA621" s="596"/>
      <c r="BB621" s="596"/>
      <c r="BC621" s="348"/>
      <c r="BD621" s="581"/>
      <c r="BE621" s="581"/>
      <c r="BF621" s="347"/>
      <c r="BG621" s="347"/>
      <c r="BH621" s="347"/>
      <c r="BI621" s="347"/>
      <c r="BJ621" s="586"/>
      <c r="BK621" s="581"/>
      <c r="BL621" s="347"/>
      <c r="BM621" s="347"/>
      <c r="BN621" s="347"/>
      <c r="BO621" s="586"/>
      <c r="BP621" s="584"/>
      <c r="BQ621" s="347"/>
      <c r="BR621" s="586"/>
      <c r="BS621" s="588"/>
      <c r="BT621" s="586"/>
      <c r="BU621" s="589"/>
      <c r="BV621" s="581">
        <f t="shared" si="44"/>
        <v>0</v>
      </c>
      <c r="BW621" s="590"/>
      <c r="BX621" s="347"/>
      <c r="BY621" s="347"/>
      <c r="BZ621" s="347"/>
      <c r="CA621" s="586"/>
      <c r="CB621" s="581"/>
      <c r="CC621" s="581">
        <f t="shared" si="193"/>
        <v>0</v>
      </c>
      <c r="CD621" s="581"/>
      <c r="CE621" s="581"/>
      <c r="CF621" s="581"/>
      <c r="CG621" s="586"/>
      <c r="CH621" s="608"/>
      <c r="CI621" s="603"/>
      <c r="CJ621" s="347"/>
      <c r="CK621" s="347"/>
      <c r="CL621" s="347"/>
      <c r="CM621" s="347"/>
      <c r="CN621" s="347"/>
      <c r="CO621" s="347"/>
      <c r="CP621" s="347"/>
    </row>
    <row r="622">
      <c r="A622" s="574"/>
      <c r="B622" s="574"/>
      <c r="C622" s="347"/>
      <c r="D622" s="574"/>
      <c r="E622" s="347"/>
      <c r="F622" s="596"/>
      <c r="G622" s="596"/>
      <c r="H622" s="347"/>
      <c r="I622" s="347"/>
      <c r="J622" s="596"/>
      <c r="K622" s="609"/>
      <c r="L622" s="1"/>
      <c r="M622" s="347"/>
      <c r="N622" s="347"/>
      <c r="O622" s="579"/>
      <c r="P622" s="579"/>
      <c r="Q622" s="574"/>
      <c r="R622" s="347"/>
      <c r="S622" s="597"/>
      <c r="T622" s="347"/>
      <c r="U622" s="579"/>
      <c r="V622" s="579"/>
      <c r="W622" s="574"/>
      <c r="X622" s="347"/>
      <c r="Y622" s="347"/>
      <c r="Z622" s="347"/>
      <c r="AA622" s="579"/>
      <c r="AB622" s="581"/>
      <c r="AC622" s="347"/>
      <c r="AD622" s="347"/>
      <c r="AE622" s="347"/>
      <c r="AF622" s="347"/>
      <c r="AG622" s="579"/>
      <c r="AH622" s="579"/>
      <c r="AI622" s="582"/>
      <c r="AJ622" s="582"/>
      <c r="AK622" s="582"/>
      <c r="AL622" s="582"/>
      <c r="AM622" s="579"/>
      <c r="AN622" s="579"/>
      <c r="AO622" s="347"/>
      <c r="AP622" s="586"/>
      <c r="AQ622" s="596"/>
      <c r="AR622" s="596"/>
      <c r="AS622" s="348"/>
      <c r="AT622" s="348"/>
      <c r="AU622" s="348"/>
      <c r="AV622" s="348"/>
      <c r="AW622" s="348"/>
      <c r="AX622" s="584"/>
      <c r="AY622" s="581"/>
      <c r="AZ622" s="581"/>
      <c r="BA622" s="596"/>
      <c r="BB622" s="596"/>
      <c r="BC622" s="348"/>
      <c r="BD622" s="581"/>
      <c r="BE622" s="581"/>
      <c r="BF622" s="347"/>
      <c r="BG622" s="347"/>
      <c r="BH622" s="347"/>
      <c r="BI622" s="347"/>
      <c r="BJ622" s="586"/>
      <c r="BK622" s="581"/>
      <c r="BL622" s="347"/>
      <c r="BM622" s="347"/>
      <c r="BN622" s="347"/>
      <c r="BO622" s="586"/>
      <c r="BP622" s="584"/>
      <c r="BQ622" s="347"/>
      <c r="BR622" s="586"/>
      <c r="BS622" s="588"/>
      <c r="BT622" s="586"/>
      <c r="BU622" s="589"/>
      <c r="BV622" s="581">
        <f t="shared" si="44"/>
        <v>0</v>
      </c>
      <c r="BW622" s="590"/>
      <c r="BX622" s="347"/>
      <c r="BY622" s="347"/>
      <c r="BZ622" s="347"/>
      <c r="CA622" s="586"/>
      <c r="CB622" s="581"/>
      <c r="CC622" s="581">
        <f t="shared" si="193"/>
        <v>0</v>
      </c>
      <c r="CD622" s="581"/>
      <c r="CE622" s="581"/>
      <c r="CF622" s="581"/>
      <c r="CG622" s="586"/>
      <c r="CH622" s="608"/>
      <c r="CI622" s="603"/>
      <c r="CJ622" s="347"/>
      <c r="CK622" s="347"/>
      <c r="CL622" s="347"/>
      <c r="CM622" s="347"/>
      <c r="CN622" s="347"/>
      <c r="CO622" s="347"/>
      <c r="CP622" s="347"/>
    </row>
    <row r="623">
      <c r="A623" s="574"/>
      <c r="B623" s="574"/>
      <c r="C623" s="347"/>
      <c r="D623" s="574"/>
      <c r="E623" s="347"/>
      <c r="F623" s="596"/>
      <c r="G623" s="596"/>
      <c r="H623" s="347"/>
      <c r="I623" s="347"/>
      <c r="J623" s="596"/>
      <c r="K623" s="609"/>
      <c r="L623" s="1"/>
      <c r="M623" s="347"/>
      <c r="N623" s="347"/>
      <c r="O623" s="579"/>
      <c r="P623" s="579"/>
      <c r="Q623" s="574"/>
      <c r="R623" s="347"/>
      <c r="S623" s="597"/>
      <c r="T623" s="347"/>
      <c r="U623" s="579"/>
      <c r="V623" s="579"/>
      <c r="W623" s="574"/>
      <c r="X623" s="347"/>
      <c r="Y623" s="347"/>
      <c r="Z623" s="347"/>
      <c r="AA623" s="579"/>
      <c r="AB623" s="581"/>
      <c r="AC623" s="347"/>
      <c r="AD623" s="347"/>
      <c r="AE623" s="347"/>
      <c r="AF623" s="347"/>
      <c r="AG623" s="579"/>
      <c r="AH623" s="579"/>
      <c r="AI623" s="582"/>
      <c r="AJ623" s="582"/>
      <c r="AK623" s="582"/>
      <c r="AL623" s="582"/>
      <c r="AM623" s="579"/>
      <c r="AN623" s="579"/>
      <c r="AO623" s="347"/>
      <c r="AP623" s="586"/>
      <c r="AQ623" s="596"/>
      <c r="AR623" s="596"/>
      <c r="AS623" s="348"/>
      <c r="AT623" s="348"/>
      <c r="AU623" s="348"/>
      <c r="AV623" s="348"/>
      <c r="AW623" s="348"/>
      <c r="AX623" s="584"/>
      <c r="AY623" s="581"/>
      <c r="AZ623" s="581"/>
      <c r="BA623" s="596"/>
      <c r="BB623" s="596"/>
      <c r="BC623" s="348"/>
      <c r="BD623" s="581"/>
      <c r="BE623" s="581"/>
      <c r="BF623" s="347"/>
      <c r="BG623" s="347"/>
      <c r="BH623" s="347"/>
      <c r="BI623" s="347"/>
      <c r="BJ623" s="586"/>
      <c r="BK623" s="581"/>
      <c r="BL623" s="347"/>
      <c r="BM623" s="347"/>
      <c r="BN623" s="347"/>
      <c r="BO623" s="586"/>
      <c r="BP623" s="584"/>
      <c r="BQ623" s="347"/>
      <c r="BR623" s="586"/>
      <c r="BS623" s="588"/>
      <c r="BT623" s="586"/>
      <c r="BU623" s="589"/>
      <c r="BV623" s="581">
        <f t="shared" si="44"/>
        <v>0</v>
      </c>
      <c r="BW623" s="590"/>
      <c r="BX623" s="347"/>
      <c r="BY623" s="347"/>
      <c r="BZ623" s="347"/>
      <c r="CA623" s="586"/>
      <c r="CB623" s="581"/>
      <c r="CC623" s="581">
        <f t="shared" si="193"/>
        <v>0</v>
      </c>
      <c r="CD623" s="581"/>
      <c r="CE623" s="581"/>
      <c r="CF623" s="581"/>
      <c r="CG623" s="586"/>
      <c r="CH623" s="608"/>
      <c r="CI623" s="603"/>
      <c r="CJ623" s="347"/>
      <c r="CK623" s="347"/>
      <c r="CL623" s="347"/>
      <c r="CM623" s="347"/>
      <c r="CN623" s="347"/>
      <c r="CO623" s="347"/>
      <c r="CP623" s="347"/>
    </row>
    <row r="624">
      <c r="A624" s="574"/>
      <c r="B624" s="574"/>
      <c r="C624" s="347"/>
      <c r="D624" s="574"/>
      <c r="E624" s="347"/>
      <c r="F624" s="596"/>
      <c r="G624" s="596"/>
      <c r="H624" s="347"/>
      <c r="I624" s="347"/>
      <c r="J624" s="596"/>
      <c r="K624" s="609"/>
      <c r="L624" s="1"/>
      <c r="M624" s="347"/>
      <c r="N624" s="347"/>
      <c r="O624" s="579"/>
      <c r="P624" s="579"/>
      <c r="Q624" s="574"/>
      <c r="R624" s="347"/>
      <c r="S624" s="597"/>
      <c r="T624" s="347"/>
      <c r="U624" s="579"/>
      <c r="V624" s="579"/>
      <c r="W624" s="574"/>
      <c r="X624" s="347"/>
      <c r="Y624" s="347"/>
      <c r="Z624" s="347"/>
      <c r="AA624" s="579"/>
      <c r="AB624" s="581"/>
      <c r="AC624" s="347"/>
      <c r="AD624" s="347"/>
      <c r="AE624" s="347"/>
      <c r="AF624" s="347"/>
      <c r="AG624" s="579"/>
      <c r="AH624" s="579"/>
      <c r="AI624" s="582"/>
      <c r="AJ624" s="582"/>
      <c r="AK624" s="582"/>
      <c r="AL624" s="582"/>
      <c r="AM624" s="579"/>
      <c r="AN624" s="579"/>
      <c r="AO624" s="347"/>
      <c r="AP624" s="586"/>
      <c r="AQ624" s="596"/>
      <c r="AR624" s="596"/>
      <c r="AS624" s="348"/>
      <c r="AT624" s="348"/>
      <c r="AU624" s="348"/>
      <c r="AV624" s="348"/>
      <c r="AW624" s="348"/>
      <c r="AX624" s="584"/>
      <c r="AY624" s="581"/>
      <c r="AZ624" s="581"/>
      <c r="BA624" s="596"/>
      <c r="BB624" s="596"/>
      <c r="BC624" s="348"/>
      <c r="BD624" s="581"/>
      <c r="BE624" s="581"/>
      <c r="BF624" s="347"/>
      <c r="BG624" s="347"/>
      <c r="BH624" s="347"/>
      <c r="BI624" s="347"/>
      <c r="BJ624" s="586"/>
      <c r="BK624" s="581"/>
      <c r="BL624" s="347"/>
      <c r="BM624" s="347"/>
      <c r="BN624" s="347"/>
      <c r="BO624" s="586"/>
      <c r="BP624" s="584"/>
      <c r="BQ624" s="347"/>
      <c r="BR624" s="586"/>
      <c r="BS624" s="588"/>
      <c r="BT624" s="586"/>
      <c r="BU624" s="589"/>
      <c r="BV624" s="581">
        <f t="shared" si="44"/>
        <v>0</v>
      </c>
      <c r="BW624" s="590"/>
      <c r="BX624" s="347"/>
      <c r="BY624" s="347"/>
      <c r="BZ624" s="347"/>
      <c r="CA624" s="586"/>
      <c r="CB624" s="581"/>
      <c r="CC624" s="581">
        <f t="shared" si="193"/>
        <v>0</v>
      </c>
      <c r="CD624" s="581"/>
      <c r="CE624" s="581"/>
      <c r="CF624" s="581"/>
      <c r="CG624" s="586"/>
      <c r="CH624" s="608"/>
      <c r="CI624" s="603"/>
      <c r="CJ624" s="347"/>
      <c r="CK624" s="347"/>
      <c r="CL624" s="347"/>
      <c r="CM624" s="347"/>
      <c r="CN624" s="347"/>
      <c r="CO624" s="347"/>
      <c r="CP624" s="347"/>
    </row>
    <row r="625">
      <c r="A625" s="574"/>
      <c r="B625" s="574"/>
      <c r="C625" s="347"/>
      <c r="D625" s="574"/>
      <c r="E625" s="347"/>
      <c r="F625" s="596"/>
      <c r="G625" s="596"/>
      <c r="H625" s="347"/>
      <c r="I625" s="347"/>
      <c r="J625" s="596"/>
      <c r="K625" s="609"/>
      <c r="L625" s="1"/>
      <c r="M625" s="347"/>
      <c r="N625" s="347"/>
      <c r="O625" s="579"/>
      <c r="P625" s="579"/>
      <c r="Q625" s="574"/>
      <c r="R625" s="347"/>
      <c r="S625" s="597"/>
      <c r="T625" s="347"/>
      <c r="U625" s="579"/>
      <c r="V625" s="579"/>
      <c r="W625" s="574"/>
      <c r="X625" s="347"/>
      <c r="Y625" s="347"/>
      <c r="Z625" s="347"/>
      <c r="AA625" s="579"/>
      <c r="AB625" s="581"/>
      <c r="AC625" s="347"/>
      <c r="AD625" s="347"/>
      <c r="AE625" s="347"/>
      <c r="AF625" s="347"/>
      <c r="AG625" s="579"/>
      <c r="AH625" s="579"/>
      <c r="AI625" s="582"/>
      <c r="AJ625" s="582"/>
      <c r="AK625" s="582"/>
      <c r="AL625" s="582"/>
      <c r="AM625" s="579"/>
      <c r="AN625" s="579"/>
      <c r="AO625" s="347"/>
      <c r="AP625" s="586"/>
      <c r="AQ625" s="596"/>
      <c r="AR625" s="596"/>
      <c r="AS625" s="348"/>
      <c r="AT625" s="348"/>
      <c r="AU625" s="348"/>
      <c r="AV625" s="348"/>
      <c r="AW625" s="348"/>
      <c r="AX625" s="584"/>
      <c r="AY625" s="581"/>
      <c r="AZ625" s="581"/>
      <c r="BA625" s="596"/>
      <c r="BB625" s="596"/>
      <c r="BC625" s="348"/>
      <c r="BD625" s="581"/>
      <c r="BE625" s="581"/>
      <c r="BF625" s="347"/>
      <c r="BG625" s="347"/>
      <c r="BH625" s="347"/>
      <c r="BI625" s="347"/>
      <c r="BJ625" s="586"/>
      <c r="BK625" s="581"/>
      <c r="BL625" s="347"/>
      <c r="BM625" s="347"/>
      <c r="BN625" s="347"/>
      <c r="BO625" s="586"/>
      <c r="BP625" s="584"/>
      <c r="BQ625" s="347"/>
      <c r="BR625" s="586"/>
      <c r="BS625" s="588"/>
      <c r="BT625" s="586"/>
      <c r="BU625" s="589"/>
      <c r="BV625" s="581">
        <f t="shared" si="44"/>
        <v>0</v>
      </c>
      <c r="BW625" s="590"/>
      <c r="BX625" s="347"/>
      <c r="BY625" s="347"/>
      <c r="BZ625" s="347"/>
      <c r="CA625" s="586"/>
      <c r="CB625" s="581"/>
      <c r="CC625" s="581">
        <f t="shared" si="193"/>
        <v>0</v>
      </c>
      <c r="CD625" s="581"/>
      <c r="CE625" s="581"/>
      <c r="CF625" s="581"/>
      <c r="CG625" s="586"/>
      <c r="CH625" s="608"/>
      <c r="CI625" s="603"/>
      <c r="CJ625" s="347"/>
      <c r="CK625" s="347"/>
      <c r="CL625" s="347"/>
      <c r="CM625" s="347"/>
      <c r="CN625" s="347"/>
      <c r="CO625" s="347"/>
      <c r="CP625" s="347"/>
    </row>
    <row r="626">
      <c r="A626" s="574"/>
      <c r="B626" s="574"/>
      <c r="C626" s="347"/>
      <c r="D626" s="574"/>
      <c r="E626" s="347"/>
      <c r="F626" s="596"/>
      <c r="G626" s="596"/>
      <c r="H626" s="347"/>
      <c r="I626" s="347"/>
      <c r="J626" s="596"/>
      <c r="K626" s="609"/>
      <c r="L626" s="1"/>
      <c r="M626" s="347"/>
      <c r="N626" s="347"/>
      <c r="O626" s="579"/>
      <c r="P626" s="579"/>
      <c r="Q626" s="574"/>
      <c r="R626" s="347"/>
      <c r="S626" s="597"/>
      <c r="T626" s="347"/>
      <c r="U626" s="579"/>
      <c r="V626" s="579"/>
      <c r="W626" s="574"/>
      <c r="X626" s="347"/>
      <c r="Y626" s="347"/>
      <c r="Z626" s="347"/>
      <c r="AA626" s="579"/>
      <c r="AB626" s="581"/>
      <c r="AC626" s="347"/>
      <c r="AD626" s="347"/>
      <c r="AE626" s="347"/>
      <c r="AF626" s="347"/>
      <c r="AG626" s="579"/>
      <c r="AH626" s="579"/>
      <c r="AI626" s="582"/>
      <c r="AJ626" s="582"/>
      <c r="AK626" s="582"/>
      <c r="AL626" s="582"/>
      <c r="AM626" s="579"/>
      <c r="AN626" s="579"/>
      <c r="AO626" s="347"/>
      <c r="AP626" s="586"/>
      <c r="AQ626" s="596"/>
      <c r="AR626" s="596"/>
      <c r="AS626" s="348"/>
      <c r="AT626" s="348"/>
      <c r="AU626" s="348"/>
      <c r="AV626" s="348"/>
      <c r="AW626" s="348"/>
      <c r="AX626" s="584"/>
      <c r="AY626" s="581"/>
      <c r="AZ626" s="581"/>
      <c r="BA626" s="596"/>
      <c r="BB626" s="596"/>
      <c r="BC626" s="348"/>
      <c r="BD626" s="581"/>
      <c r="BE626" s="581"/>
      <c r="BF626" s="347"/>
      <c r="BG626" s="347"/>
      <c r="BH626" s="347"/>
      <c r="BI626" s="347"/>
      <c r="BJ626" s="586"/>
      <c r="BK626" s="581"/>
      <c r="BL626" s="347"/>
      <c r="BM626" s="347"/>
      <c r="BN626" s="347"/>
      <c r="BO626" s="586"/>
      <c r="BP626" s="584"/>
      <c r="BQ626" s="347"/>
      <c r="BR626" s="586"/>
      <c r="BS626" s="588"/>
      <c r="BT626" s="586"/>
      <c r="BU626" s="589"/>
      <c r="BV626" s="581">
        <f t="shared" si="44"/>
        <v>0</v>
      </c>
      <c r="BW626" s="590"/>
      <c r="BX626" s="347"/>
      <c r="BY626" s="347"/>
      <c r="BZ626" s="347"/>
      <c r="CA626" s="586"/>
      <c r="CB626" s="581"/>
      <c r="CC626" s="581">
        <f t="shared" si="193"/>
        <v>0</v>
      </c>
      <c r="CD626" s="581"/>
      <c r="CE626" s="581"/>
      <c r="CF626" s="581"/>
      <c r="CG626" s="586"/>
      <c r="CH626" s="608"/>
      <c r="CI626" s="603"/>
      <c r="CJ626" s="347"/>
      <c r="CK626" s="347"/>
      <c r="CL626" s="347"/>
      <c r="CM626" s="347"/>
      <c r="CN626" s="347"/>
      <c r="CO626" s="347"/>
      <c r="CP626" s="347"/>
    </row>
    <row r="627">
      <c r="A627" s="574"/>
      <c r="B627" s="574"/>
      <c r="C627" s="347"/>
      <c r="D627" s="574"/>
      <c r="E627" s="347"/>
      <c r="F627" s="596"/>
      <c r="G627" s="596"/>
      <c r="H627" s="347"/>
      <c r="I627" s="347"/>
      <c r="J627" s="596"/>
      <c r="K627" s="609"/>
      <c r="L627" s="1"/>
      <c r="M627" s="347"/>
      <c r="N627" s="347"/>
      <c r="O627" s="579"/>
      <c r="P627" s="579"/>
      <c r="Q627" s="574"/>
      <c r="R627" s="347"/>
      <c r="S627" s="597"/>
      <c r="T627" s="347"/>
      <c r="U627" s="579"/>
      <c r="V627" s="579"/>
      <c r="W627" s="574"/>
      <c r="X627" s="347"/>
      <c r="Y627" s="347"/>
      <c r="Z627" s="347"/>
      <c r="AA627" s="579"/>
      <c r="AB627" s="581"/>
      <c r="AC627" s="347"/>
      <c r="AD627" s="347"/>
      <c r="AE627" s="347"/>
      <c r="AF627" s="347"/>
      <c r="AG627" s="579"/>
      <c r="AH627" s="579"/>
      <c r="AI627" s="582"/>
      <c r="AJ627" s="582"/>
      <c r="AK627" s="582"/>
      <c r="AL627" s="582"/>
      <c r="AM627" s="579"/>
      <c r="AN627" s="579"/>
      <c r="AO627" s="347"/>
      <c r="AP627" s="586"/>
      <c r="AQ627" s="596"/>
      <c r="AR627" s="596"/>
      <c r="AS627" s="348"/>
      <c r="AT627" s="348"/>
      <c r="AU627" s="348"/>
      <c r="AV627" s="348"/>
      <c r="AW627" s="348"/>
      <c r="AX627" s="584"/>
      <c r="AY627" s="581"/>
      <c r="AZ627" s="581"/>
      <c r="BA627" s="596"/>
      <c r="BB627" s="596"/>
      <c r="BC627" s="348"/>
      <c r="BD627" s="581"/>
      <c r="BE627" s="581"/>
      <c r="BF627" s="347"/>
      <c r="BG627" s="347"/>
      <c r="BH627" s="347"/>
      <c r="BI627" s="347"/>
      <c r="BJ627" s="586"/>
      <c r="BK627" s="581"/>
      <c r="BL627" s="347"/>
      <c r="BM627" s="347"/>
      <c r="BN627" s="347"/>
      <c r="BO627" s="586"/>
      <c r="BP627" s="584"/>
      <c r="BQ627" s="347"/>
      <c r="BR627" s="586"/>
      <c r="BS627" s="588"/>
      <c r="BT627" s="586"/>
      <c r="BU627" s="589"/>
      <c r="BV627" s="581">
        <f t="shared" si="44"/>
        <v>0</v>
      </c>
      <c r="BW627" s="590"/>
      <c r="BX627" s="347"/>
      <c r="BY627" s="347"/>
      <c r="BZ627" s="347"/>
      <c r="CA627" s="586"/>
      <c r="CB627" s="581"/>
      <c r="CC627" s="581">
        <f t="shared" si="193"/>
        <v>0</v>
      </c>
      <c r="CD627" s="581"/>
      <c r="CE627" s="581"/>
      <c r="CF627" s="581"/>
      <c r="CG627" s="586"/>
      <c r="CH627" s="608"/>
      <c r="CI627" s="603"/>
      <c r="CJ627" s="347"/>
      <c r="CK627" s="347"/>
      <c r="CL627" s="347"/>
      <c r="CM627" s="347"/>
      <c r="CN627" s="347"/>
      <c r="CO627" s="347"/>
      <c r="CP627" s="347"/>
    </row>
    <row r="628">
      <c r="A628" s="574"/>
      <c r="B628" s="574"/>
      <c r="C628" s="347"/>
      <c r="D628" s="574"/>
      <c r="E628" s="347"/>
      <c r="F628" s="596"/>
      <c r="G628" s="596"/>
      <c r="H628" s="347"/>
      <c r="I628" s="347"/>
      <c r="J628" s="596"/>
      <c r="K628" s="609"/>
      <c r="L628" s="1"/>
      <c r="M628" s="347"/>
      <c r="N628" s="347"/>
      <c r="O628" s="579"/>
      <c r="P628" s="579"/>
      <c r="Q628" s="574"/>
      <c r="R628" s="347"/>
      <c r="S628" s="597"/>
      <c r="T628" s="347"/>
      <c r="U628" s="579"/>
      <c r="V628" s="579"/>
      <c r="W628" s="574"/>
      <c r="X628" s="347"/>
      <c r="Y628" s="347"/>
      <c r="Z628" s="347"/>
      <c r="AA628" s="579"/>
      <c r="AB628" s="581"/>
      <c r="AC628" s="347"/>
      <c r="AD628" s="347"/>
      <c r="AE628" s="347"/>
      <c r="AF628" s="347"/>
      <c r="AG628" s="579"/>
      <c r="AH628" s="579"/>
      <c r="AI628" s="582"/>
      <c r="AJ628" s="582"/>
      <c r="AK628" s="582"/>
      <c r="AL628" s="582"/>
      <c r="AM628" s="579"/>
      <c r="AN628" s="579"/>
      <c r="AO628" s="347"/>
      <c r="AP628" s="586"/>
      <c r="AQ628" s="596"/>
      <c r="AR628" s="596"/>
      <c r="AS628" s="348"/>
      <c r="AT628" s="348"/>
      <c r="AU628" s="348"/>
      <c r="AV628" s="348"/>
      <c r="AW628" s="348"/>
      <c r="AX628" s="584"/>
      <c r="AY628" s="581"/>
      <c r="AZ628" s="581"/>
      <c r="BA628" s="596"/>
      <c r="BB628" s="596"/>
      <c r="BC628" s="348"/>
      <c r="BD628" s="581"/>
      <c r="BE628" s="581"/>
      <c r="BF628" s="347"/>
      <c r="BG628" s="347"/>
      <c r="BH628" s="347"/>
      <c r="BI628" s="347"/>
      <c r="BJ628" s="586"/>
      <c r="BK628" s="581"/>
      <c r="BL628" s="347"/>
      <c r="BM628" s="347"/>
      <c r="BN628" s="347"/>
      <c r="BO628" s="586"/>
      <c r="BP628" s="584"/>
      <c r="BQ628" s="347"/>
      <c r="BR628" s="586"/>
      <c r="BS628" s="588"/>
      <c r="BT628" s="586"/>
      <c r="BU628" s="589"/>
      <c r="BV628" s="581">
        <f t="shared" si="44"/>
        <v>0</v>
      </c>
      <c r="BW628" s="590"/>
      <c r="BX628" s="347"/>
      <c r="BY628" s="347"/>
      <c r="BZ628" s="347"/>
      <c r="CA628" s="586"/>
      <c r="CB628" s="581"/>
      <c r="CC628" s="581">
        <f t="shared" si="193"/>
        <v>0</v>
      </c>
      <c r="CD628" s="581"/>
      <c r="CE628" s="581"/>
      <c r="CF628" s="581"/>
      <c r="CG628" s="586"/>
      <c r="CH628" s="608"/>
      <c r="CI628" s="603"/>
      <c r="CJ628" s="347"/>
      <c r="CK628" s="347"/>
      <c r="CL628" s="347"/>
      <c r="CM628" s="347"/>
      <c r="CN628" s="347"/>
      <c r="CO628" s="347"/>
      <c r="CP628" s="347"/>
    </row>
    <row r="629">
      <c r="A629" s="574"/>
      <c r="B629" s="574"/>
      <c r="C629" s="347"/>
      <c r="D629" s="574"/>
      <c r="E629" s="347"/>
      <c r="F629" s="596"/>
      <c r="G629" s="596"/>
      <c r="H629" s="347"/>
      <c r="I629" s="347"/>
      <c r="J629" s="596"/>
      <c r="K629" s="609"/>
      <c r="L629" s="1"/>
      <c r="M629" s="347"/>
      <c r="N629" s="347"/>
      <c r="O629" s="579"/>
      <c r="P629" s="579"/>
      <c r="Q629" s="574"/>
      <c r="R629" s="347"/>
      <c r="S629" s="597"/>
      <c r="T629" s="347"/>
      <c r="U629" s="579"/>
      <c r="V629" s="579"/>
      <c r="W629" s="574"/>
      <c r="X629" s="347"/>
      <c r="Y629" s="347"/>
      <c r="Z629" s="347"/>
      <c r="AA629" s="579"/>
      <c r="AB629" s="581"/>
      <c r="AC629" s="347"/>
      <c r="AD629" s="347"/>
      <c r="AE629" s="347"/>
      <c r="AF629" s="347"/>
      <c r="AG629" s="579"/>
      <c r="AH629" s="579"/>
      <c r="AI629" s="582"/>
      <c r="AJ629" s="582"/>
      <c r="AK629" s="582"/>
      <c r="AL629" s="582"/>
      <c r="AM629" s="579"/>
      <c r="AN629" s="579"/>
      <c r="AO629" s="347"/>
      <c r="AP629" s="586"/>
      <c r="AQ629" s="596"/>
      <c r="AR629" s="596"/>
      <c r="AS629" s="348"/>
      <c r="AT629" s="348"/>
      <c r="AU629" s="348"/>
      <c r="AV629" s="348"/>
      <c r="AW629" s="348"/>
      <c r="AX629" s="584"/>
      <c r="AY629" s="581"/>
      <c r="AZ629" s="581"/>
      <c r="BA629" s="596"/>
      <c r="BB629" s="596"/>
      <c r="BC629" s="348"/>
      <c r="BD629" s="581"/>
      <c r="BE629" s="581"/>
      <c r="BF629" s="347"/>
      <c r="BG629" s="347"/>
      <c r="BH629" s="347"/>
      <c r="BI629" s="347"/>
      <c r="BJ629" s="586"/>
      <c r="BK629" s="581"/>
      <c r="BL629" s="347"/>
      <c r="BM629" s="347"/>
      <c r="BN629" s="347"/>
      <c r="BO629" s="586"/>
      <c r="BP629" s="584"/>
      <c r="BQ629" s="347"/>
      <c r="BR629" s="586"/>
      <c r="BS629" s="588"/>
      <c r="BT629" s="586"/>
      <c r="BU629" s="589"/>
      <c r="BV629" s="581">
        <f t="shared" si="44"/>
        <v>0</v>
      </c>
      <c r="BW629" s="590"/>
      <c r="BX629" s="347"/>
      <c r="BY629" s="347"/>
      <c r="BZ629" s="347"/>
      <c r="CA629" s="586"/>
      <c r="CB629" s="581"/>
      <c r="CC629" s="581">
        <f t="shared" si="193"/>
        <v>0</v>
      </c>
      <c r="CD629" s="581"/>
      <c r="CE629" s="581"/>
      <c r="CF629" s="581"/>
      <c r="CG629" s="586"/>
      <c r="CH629" s="608"/>
      <c r="CI629" s="603"/>
      <c r="CJ629" s="347"/>
      <c r="CK629" s="347"/>
      <c r="CL629" s="347"/>
      <c r="CM629" s="347"/>
      <c r="CN629" s="347"/>
      <c r="CO629" s="347"/>
      <c r="CP629" s="347"/>
    </row>
    <row r="630">
      <c r="A630" s="574"/>
      <c r="B630" s="574"/>
      <c r="C630" s="347"/>
      <c r="D630" s="574"/>
      <c r="E630" s="347"/>
      <c r="F630" s="596"/>
      <c r="G630" s="596"/>
      <c r="H630" s="347"/>
      <c r="I630" s="347"/>
      <c r="J630" s="596"/>
      <c r="K630" s="609"/>
      <c r="L630" s="1"/>
      <c r="M630" s="347"/>
      <c r="N630" s="347"/>
      <c r="O630" s="579"/>
      <c r="P630" s="579"/>
      <c r="Q630" s="574"/>
      <c r="R630" s="347"/>
      <c r="S630" s="597"/>
      <c r="T630" s="347"/>
      <c r="U630" s="579"/>
      <c r="V630" s="579"/>
      <c r="W630" s="574"/>
      <c r="X630" s="347"/>
      <c r="Y630" s="347"/>
      <c r="Z630" s="347"/>
      <c r="AA630" s="579"/>
      <c r="AB630" s="581"/>
      <c r="AC630" s="347"/>
      <c r="AD630" s="347"/>
      <c r="AE630" s="347"/>
      <c r="AF630" s="347"/>
      <c r="AG630" s="579"/>
      <c r="AH630" s="579"/>
      <c r="AI630" s="582"/>
      <c r="AJ630" s="582"/>
      <c r="AK630" s="582"/>
      <c r="AL630" s="582"/>
      <c r="AM630" s="579"/>
      <c r="AN630" s="579"/>
      <c r="AO630" s="347"/>
      <c r="AP630" s="586"/>
      <c r="AQ630" s="596"/>
      <c r="AR630" s="596"/>
      <c r="AS630" s="348"/>
      <c r="AT630" s="348"/>
      <c r="AU630" s="348"/>
      <c r="AV630" s="348"/>
      <c r="AW630" s="348"/>
      <c r="AX630" s="584"/>
      <c r="AY630" s="581"/>
      <c r="AZ630" s="581"/>
      <c r="BA630" s="596"/>
      <c r="BB630" s="596"/>
      <c r="BC630" s="348"/>
      <c r="BD630" s="581"/>
      <c r="BE630" s="581"/>
      <c r="BF630" s="347"/>
      <c r="BG630" s="347"/>
      <c r="BH630" s="347"/>
      <c r="BI630" s="347"/>
      <c r="BJ630" s="586"/>
      <c r="BK630" s="581"/>
      <c r="BL630" s="347"/>
      <c r="BM630" s="347"/>
      <c r="BN630" s="347"/>
      <c r="BO630" s="586"/>
      <c r="BP630" s="584"/>
      <c r="BQ630" s="347"/>
      <c r="BR630" s="586"/>
      <c r="BS630" s="588"/>
      <c r="BT630" s="586"/>
      <c r="BU630" s="589"/>
      <c r="BV630" s="581">
        <f t="shared" si="44"/>
        <v>0</v>
      </c>
      <c r="BW630" s="590"/>
      <c r="BX630" s="347"/>
      <c r="BY630" s="347"/>
      <c r="BZ630" s="347"/>
      <c r="CA630" s="586"/>
      <c r="CB630" s="581"/>
      <c r="CC630" s="581">
        <f t="shared" si="193"/>
        <v>0</v>
      </c>
      <c r="CD630" s="581"/>
      <c r="CE630" s="581"/>
      <c r="CF630" s="581"/>
      <c r="CG630" s="586"/>
      <c r="CH630" s="608"/>
      <c r="CI630" s="603"/>
      <c r="CJ630" s="347"/>
      <c r="CK630" s="347"/>
      <c r="CL630" s="347"/>
      <c r="CM630" s="347"/>
      <c r="CN630" s="347"/>
      <c r="CO630" s="347"/>
      <c r="CP630" s="347"/>
    </row>
    <row r="631">
      <c r="A631" s="574"/>
      <c r="B631" s="574"/>
      <c r="C631" s="347"/>
      <c r="D631" s="574"/>
      <c r="E631" s="347"/>
      <c r="F631" s="596"/>
      <c r="G631" s="596"/>
      <c r="H631" s="347"/>
      <c r="I631" s="347"/>
      <c r="J631" s="596"/>
      <c r="K631" s="609"/>
      <c r="L631" s="1"/>
      <c r="M631" s="347"/>
      <c r="N631" s="347"/>
      <c r="O631" s="579"/>
      <c r="P631" s="579"/>
      <c r="Q631" s="574"/>
      <c r="R631" s="347"/>
      <c r="S631" s="597"/>
      <c r="T631" s="347"/>
      <c r="U631" s="579"/>
      <c r="V631" s="579"/>
      <c r="W631" s="574"/>
      <c r="X631" s="347"/>
      <c r="Y631" s="347"/>
      <c r="Z631" s="347"/>
      <c r="AA631" s="579"/>
      <c r="AB631" s="581"/>
      <c r="AC631" s="347"/>
      <c r="AD631" s="347"/>
      <c r="AE631" s="347"/>
      <c r="AF631" s="347"/>
      <c r="AG631" s="579"/>
      <c r="AH631" s="579"/>
      <c r="AI631" s="582"/>
      <c r="AJ631" s="582"/>
      <c r="AK631" s="582"/>
      <c r="AL631" s="582"/>
      <c r="AM631" s="579"/>
      <c r="AN631" s="579"/>
      <c r="AO631" s="347"/>
      <c r="AP631" s="586"/>
      <c r="AQ631" s="596"/>
      <c r="AR631" s="596"/>
      <c r="AS631" s="348"/>
      <c r="AT631" s="348"/>
      <c r="AU631" s="348"/>
      <c r="AV631" s="348"/>
      <c r="AW631" s="348"/>
      <c r="AX631" s="584"/>
      <c r="AY631" s="581"/>
      <c r="AZ631" s="581"/>
      <c r="BA631" s="596"/>
      <c r="BB631" s="596"/>
      <c r="BC631" s="348"/>
      <c r="BD631" s="581"/>
      <c r="BE631" s="581"/>
      <c r="BF631" s="347"/>
      <c r="BG631" s="347"/>
      <c r="BH631" s="347"/>
      <c r="BI631" s="347"/>
      <c r="BJ631" s="586"/>
      <c r="BK631" s="581"/>
      <c r="BL631" s="347"/>
      <c r="BM631" s="347"/>
      <c r="BN631" s="347"/>
      <c r="BO631" s="586"/>
      <c r="BP631" s="584"/>
      <c r="BQ631" s="347"/>
      <c r="BR631" s="586"/>
      <c r="BS631" s="588"/>
      <c r="BT631" s="586"/>
      <c r="BU631" s="589"/>
      <c r="BV631" s="581">
        <f t="shared" si="44"/>
        <v>0</v>
      </c>
      <c r="BW631" s="590"/>
      <c r="BX631" s="347"/>
      <c r="BY631" s="347"/>
      <c r="BZ631" s="347"/>
      <c r="CA631" s="586"/>
      <c r="CB631" s="581"/>
      <c r="CC631" s="581">
        <f t="shared" si="193"/>
        <v>0</v>
      </c>
      <c r="CD631" s="581"/>
      <c r="CE631" s="581"/>
      <c r="CF631" s="581"/>
      <c r="CG631" s="586"/>
      <c r="CH631" s="608"/>
      <c r="CI631" s="603"/>
      <c r="CJ631" s="347"/>
      <c r="CK631" s="347"/>
      <c r="CL631" s="347"/>
      <c r="CM631" s="347"/>
      <c r="CN631" s="347"/>
      <c r="CO631" s="347"/>
      <c r="CP631" s="347"/>
    </row>
    <row r="632">
      <c r="A632" s="574"/>
      <c r="B632" s="574"/>
      <c r="C632" s="347"/>
      <c r="D632" s="574"/>
      <c r="E632" s="347"/>
      <c r="F632" s="596"/>
      <c r="G632" s="596"/>
      <c r="H632" s="347"/>
      <c r="I632" s="347"/>
      <c r="J632" s="596"/>
      <c r="K632" s="609"/>
      <c r="L632" s="1"/>
      <c r="M632" s="347"/>
      <c r="N632" s="347"/>
      <c r="O632" s="579"/>
      <c r="P632" s="579"/>
      <c r="Q632" s="574"/>
      <c r="R632" s="347"/>
      <c r="S632" s="597"/>
      <c r="T632" s="347"/>
      <c r="U632" s="579"/>
      <c r="V632" s="579"/>
      <c r="W632" s="574"/>
      <c r="X632" s="347"/>
      <c r="Y632" s="347"/>
      <c r="Z632" s="347"/>
      <c r="AA632" s="579"/>
      <c r="AB632" s="581"/>
      <c r="AC632" s="347"/>
      <c r="AD632" s="347"/>
      <c r="AE632" s="347"/>
      <c r="AF632" s="347"/>
      <c r="AG632" s="579"/>
      <c r="AH632" s="579"/>
      <c r="AI632" s="582"/>
      <c r="AJ632" s="582"/>
      <c r="AK632" s="582"/>
      <c r="AL632" s="582"/>
      <c r="AM632" s="579"/>
      <c r="AN632" s="579"/>
      <c r="AO632" s="347"/>
      <c r="AP632" s="586"/>
      <c r="AQ632" s="596"/>
      <c r="AR632" s="596"/>
      <c r="AS632" s="348"/>
      <c r="AT632" s="348"/>
      <c r="AU632" s="348"/>
      <c r="AV632" s="348"/>
      <c r="AW632" s="348"/>
      <c r="AX632" s="584"/>
      <c r="AY632" s="581"/>
      <c r="AZ632" s="581"/>
      <c r="BA632" s="596"/>
      <c r="BB632" s="596"/>
      <c r="BC632" s="348"/>
      <c r="BD632" s="581"/>
      <c r="BE632" s="581"/>
      <c r="BF632" s="347"/>
      <c r="BG632" s="347"/>
      <c r="BH632" s="347"/>
      <c r="BI632" s="347"/>
      <c r="BJ632" s="586"/>
      <c r="BK632" s="581"/>
      <c r="BL632" s="347"/>
      <c r="BM632" s="347"/>
      <c r="BN632" s="347"/>
      <c r="BO632" s="586"/>
      <c r="BP632" s="584"/>
      <c r="BQ632" s="347"/>
      <c r="BR632" s="586"/>
      <c r="BS632" s="588"/>
      <c r="BT632" s="586"/>
      <c r="BU632" s="589"/>
      <c r="BV632" s="581">
        <f t="shared" si="44"/>
        <v>0</v>
      </c>
      <c r="BW632" s="590"/>
      <c r="BX632" s="347"/>
      <c r="BY632" s="347"/>
      <c r="BZ632" s="347"/>
      <c r="CA632" s="586"/>
      <c r="CB632" s="581"/>
      <c r="CC632" s="581">
        <f t="shared" si="193"/>
        <v>0</v>
      </c>
      <c r="CD632" s="581"/>
      <c r="CE632" s="581"/>
      <c r="CF632" s="581"/>
      <c r="CG632" s="586"/>
      <c r="CH632" s="608"/>
      <c r="CI632" s="603"/>
      <c r="CJ632" s="347"/>
      <c r="CK632" s="347"/>
      <c r="CL632" s="347"/>
      <c r="CM632" s="347"/>
      <c r="CN632" s="347"/>
      <c r="CO632" s="347"/>
      <c r="CP632" s="347"/>
    </row>
    <row r="633">
      <c r="A633" s="574"/>
      <c r="B633" s="574"/>
      <c r="C633" s="347"/>
      <c r="D633" s="574"/>
      <c r="E633" s="347"/>
      <c r="F633" s="596"/>
      <c r="G633" s="596"/>
      <c r="H633" s="347"/>
      <c r="I633" s="347"/>
      <c r="J633" s="596"/>
      <c r="K633" s="609"/>
      <c r="L633" s="1"/>
      <c r="M633" s="347"/>
      <c r="N633" s="347"/>
      <c r="O633" s="579"/>
      <c r="P633" s="579"/>
      <c r="Q633" s="574"/>
      <c r="R633" s="347"/>
      <c r="S633" s="597"/>
      <c r="T633" s="347"/>
      <c r="U633" s="579"/>
      <c r="V633" s="579"/>
      <c r="W633" s="574"/>
      <c r="X633" s="347"/>
      <c r="Y633" s="347"/>
      <c r="Z633" s="347"/>
      <c r="AA633" s="579"/>
      <c r="AB633" s="581"/>
      <c r="AC633" s="347"/>
      <c r="AD633" s="347"/>
      <c r="AE633" s="347"/>
      <c r="AF633" s="347"/>
      <c r="AG633" s="579"/>
      <c r="AH633" s="579"/>
      <c r="AI633" s="582"/>
      <c r="AJ633" s="582"/>
      <c r="AK633" s="582"/>
      <c r="AL633" s="582"/>
      <c r="AM633" s="579"/>
      <c r="AN633" s="579"/>
      <c r="AO633" s="347"/>
      <c r="AP633" s="586"/>
      <c r="AQ633" s="596"/>
      <c r="AR633" s="596"/>
      <c r="AS633" s="348"/>
      <c r="AT633" s="348"/>
      <c r="AU633" s="348"/>
      <c r="AV633" s="348"/>
      <c r="AW633" s="348"/>
      <c r="AX633" s="584"/>
      <c r="AY633" s="581"/>
      <c r="AZ633" s="581"/>
      <c r="BA633" s="596"/>
      <c r="BB633" s="596"/>
      <c r="BC633" s="348"/>
      <c r="BD633" s="581"/>
      <c r="BE633" s="581"/>
      <c r="BF633" s="347"/>
      <c r="BG633" s="347"/>
      <c r="BH633" s="347"/>
      <c r="BI633" s="347"/>
      <c r="BJ633" s="586"/>
      <c r="BK633" s="581"/>
      <c r="BL633" s="347"/>
      <c r="BM633" s="347"/>
      <c r="BN633" s="347"/>
      <c r="BO633" s="586"/>
      <c r="BP633" s="584"/>
      <c r="BQ633" s="347"/>
      <c r="BR633" s="586"/>
      <c r="BS633" s="588"/>
      <c r="BT633" s="586"/>
      <c r="BU633" s="589"/>
      <c r="BV633" s="581">
        <f t="shared" si="44"/>
        <v>0</v>
      </c>
      <c r="BW633" s="590"/>
      <c r="BX633" s="347"/>
      <c r="BY633" s="347"/>
      <c r="BZ633" s="347"/>
      <c r="CA633" s="586"/>
      <c r="CB633" s="581"/>
      <c r="CC633" s="581">
        <f t="shared" si="193"/>
        <v>0</v>
      </c>
      <c r="CD633" s="581"/>
      <c r="CE633" s="581"/>
      <c r="CF633" s="581"/>
      <c r="CG633" s="586"/>
      <c r="CH633" s="608"/>
      <c r="CI633" s="603"/>
      <c r="CJ633" s="347"/>
      <c r="CK633" s="347"/>
      <c r="CL633" s="347"/>
      <c r="CM633" s="347"/>
      <c r="CN633" s="347"/>
      <c r="CO633" s="347"/>
      <c r="CP633" s="347"/>
    </row>
    <row r="634">
      <c r="A634" s="574"/>
      <c r="B634" s="574"/>
      <c r="C634" s="347"/>
      <c r="D634" s="574"/>
      <c r="E634" s="347"/>
      <c r="F634" s="596"/>
      <c r="G634" s="596"/>
      <c r="H634" s="347"/>
      <c r="I634" s="347"/>
      <c r="J634" s="596"/>
      <c r="K634" s="609"/>
      <c r="L634" s="1"/>
      <c r="M634" s="347"/>
      <c r="N634" s="347"/>
      <c r="O634" s="579"/>
      <c r="P634" s="579"/>
      <c r="Q634" s="574"/>
      <c r="R634" s="347"/>
      <c r="S634" s="597"/>
      <c r="T634" s="347"/>
      <c r="U634" s="579"/>
      <c r="V634" s="579"/>
      <c r="W634" s="574"/>
      <c r="X634" s="347"/>
      <c r="Y634" s="347"/>
      <c r="Z634" s="347"/>
      <c r="AA634" s="579"/>
      <c r="AB634" s="581"/>
      <c r="AC634" s="347"/>
      <c r="AD634" s="347"/>
      <c r="AE634" s="347"/>
      <c r="AF634" s="347"/>
      <c r="AG634" s="579"/>
      <c r="AH634" s="579"/>
      <c r="AI634" s="582"/>
      <c r="AJ634" s="582"/>
      <c r="AK634" s="582"/>
      <c r="AL634" s="582"/>
      <c r="AM634" s="579"/>
      <c r="AN634" s="579"/>
      <c r="AO634" s="347"/>
      <c r="AP634" s="586"/>
      <c r="AQ634" s="596"/>
      <c r="AR634" s="596"/>
      <c r="AS634" s="348"/>
      <c r="AT634" s="348"/>
      <c r="AU634" s="348"/>
      <c r="AV634" s="348"/>
      <c r="AW634" s="348"/>
      <c r="AX634" s="584"/>
      <c r="AY634" s="581"/>
      <c r="AZ634" s="581"/>
      <c r="BA634" s="596"/>
      <c r="BB634" s="596"/>
      <c r="BC634" s="348"/>
      <c r="BD634" s="581"/>
      <c r="BE634" s="581"/>
      <c r="BF634" s="347"/>
      <c r="BG634" s="347"/>
      <c r="BH634" s="347"/>
      <c r="BI634" s="347"/>
      <c r="BJ634" s="586"/>
      <c r="BK634" s="581"/>
      <c r="BL634" s="347"/>
      <c r="BM634" s="347"/>
      <c r="BN634" s="347"/>
      <c r="BO634" s="586"/>
      <c r="BP634" s="584"/>
      <c r="BQ634" s="347"/>
      <c r="BR634" s="586"/>
      <c r="BS634" s="588"/>
      <c r="BT634" s="586"/>
      <c r="BU634" s="589"/>
      <c r="BV634" s="581">
        <f t="shared" si="44"/>
        <v>0</v>
      </c>
      <c r="BW634" s="590"/>
      <c r="BX634" s="347"/>
      <c r="BY634" s="347"/>
      <c r="BZ634" s="347"/>
      <c r="CA634" s="586"/>
      <c r="CB634" s="581"/>
      <c r="CC634" s="581">
        <f t="shared" si="193"/>
        <v>0</v>
      </c>
      <c r="CD634" s="581"/>
      <c r="CE634" s="581"/>
      <c r="CF634" s="581"/>
      <c r="CG634" s="586"/>
      <c r="CH634" s="608"/>
      <c r="CI634" s="603"/>
      <c r="CJ634" s="347"/>
      <c r="CK634" s="347"/>
      <c r="CL634" s="347"/>
      <c r="CM634" s="347"/>
      <c r="CN634" s="347"/>
      <c r="CO634" s="347"/>
      <c r="CP634" s="347"/>
    </row>
    <row r="635">
      <c r="A635" s="574"/>
      <c r="B635" s="574"/>
      <c r="C635" s="347"/>
      <c r="D635" s="574"/>
      <c r="E635" s="347"/>
      <c r="F635" s="596"/>
      <c r="G635" s="596"/>
      <c r="H635" s="347"/>
      <c r="I635" s="347"/>
      <c r="J635" s="596"/>
      <c r="K635" s="609"/>
      <c r="L635" s="1"/>
      <c r="M635" s="347"/>
      <c r="N635" s="347"/>
      <c r="O635" s="579"/>
      <c r="P635" s="579"/>
      <c r="Q635" s="574"/>
      <c r="R635" s="347"/>
      <c r="S635" s="597"/>
      <c r="T635" s="347"/>
      <c r="U635" s="579"/>
      <c r="V635" s="579"/>
      <c r="W635" s="574"/>
      <c r="X635" s="347"/>
      <c r="Y635" s="347"/>
      <c r="Z635" s="347"/>
      <c r="AA635" s="579"/>
      <c r="AB635" s="581"/>
      <c r="AC635" s="347"/>
      <c r="AD635" s="347"/>
      <c r="AE635" s="347"/>
      <c r="AF635" s="347"/>
      <c r="AG635" s="579"/>
      <c r="AH635" s="579"/>
      <c r="AI635" s="582"/>
      <c r="AJ635" s="582"/>
      <c r="AK635" s="582"/>
      <c r="AL635" s="582"/>
      <c r="AM635" s="579"/>
      <c r="AN635" s="579"/>
      <c r="AO635" s="347"/>
      <c r="AP635" s="586"/>
      <c r="AQ635" s="596"/>
      <c r="AR635" s="596"/>
      <c r="AS635" s="348"/>
      <c r="AT635" s="348"/>
      <c r="AU635" s="348"/>
      <c r="AV635" s="348"/>
      <c r="AW635" s="348"/>
      <c r="AX635" s="584"/>
      <c r="AY635" s="581"/>
      <c r="AZ635" s="581"/>
      <c r="BA635" s="596"/>
      <c r="BB635" s="596"/>
      <c r="BC635" s="348"/>
      <c r="BD635" s="581"/>
      <c r="BE635" s="581"/>
      <c r="BF635" s="347"/>
      <c r="BG635" s="347"/>
      <c r="BH635" s="347"/>
      <c r="BI635" s="347"/>
      <c r="BJ635" s="586"/>
      <c r="BK635" s="581"/>
      <c r="BL635" s="347"/>
      <c r="BM635" s="347"/>
      <c r="BN635" s="347"/>
      <c r="BO635" s="586"/>
      <c r="BP635" s="584"/>
      <c r="BQ635" s="347"/>
      <c r="BR635" s="586"/>
      <c r="BS635" s="588"/>
      <c r="BT635" s="586"/>
      <c r="BU635" s="589"/>
      <c r="BV635" s="581">
        <f t="shared" si="44"/>
        <v>0</v>
      </c>
      <c r="BW635" s="590"/>
      <c r="BX635" s="347"/>
      <c r="BY635" s="347"/>
      <c r="BZ635" s="347"/>
      <c r="CA635" s="586"/>
      <c r="CB635" s="581"/>
      <c r="CC635" s="581">
        <f t="shared" si="193"/>
        <v>0</v>
      </c>
      <c r="CD635" s="581"/>
      <c r="CE635" s="581"/>
      <c r="CF635" s="581"/>
      <c r="CG635" s="586"/>
      <c r="CH635" s="608"/>
      <c r="CI635" s="603"/>
      <c r="CJ635" s="347"/>
      <c r="CK635" s="347"/>
      <c r="CL635" s="347"/>
      <c r="CM635" s="347"/>
      <c r="CN635" s="347"/>
      <c r="CO635" s="347"/>
      <c r="CP635" s="347"/>
    </row>
    <row r="636">
      <c r="A636" s="574"/>
      <c r="B636" s="574"/>
      <c r="C636" s="347"/>
      <c r="D636" s="574"/>
      <c r="E636" s="347"/>
      <c r="F636" s="596"/>
      <c r="G636" s="596"/>
      <c r="H636" s="347"/>
      <c r="I636" s="347"/>
      <c r="J636" s="596"/>
      <c r="K636" s="609"/>
      <c r="L636" s="1"/>
      <c r="M636" s="347"/>
      <c r="N636" s="347"/>
      <c r="O636" s="579"/>
      <c r="P636" s="579"/>
      <c r="Q636" s="574"/>
      <c r="R636" s="347"/>
      <c r="S636" s="597"/>
      <c r="T636" s="347"/>
      <c r="U636" s="579"/>
      <c r="V636" s="579"/>
      <c r="W636" s="574"/>
      <c r="X636" s="347"/>
      <c r="Y636" s="347"/>
      <c r="Z636" s="347"/>
      <c r="AA636" s="579"/>
      <c r="AB636" s="581"/>
      <c r="AC636" s="347"/>
      <c r="AD636" s="347"/>
      <c r="AE636" s="347"/>
      <c r="AF636" s="347"/>
      <c r="AG636" s="579"/>
      <c r="AH636" s="579"/>
      <c r="AI636" s="582"/>
      <c r="AJ636" s="582"/>
      <c r="AK636" s="582"/>
      <c r="AL636" s="582"/>
      <c r="AM636" s="579"/>
      <c r="AN636" s="579"/>
      <c r="AO636" s="347"/>
      <c r="AP636" s="586"/>
      <c r="AQ636" s="596"/>
      <c r="AR636" s="596"/>
      <c r="AS636" s="348"/>
      <c r="AT636" s="348"/>
      <c r="AU636" s="348"/>
      <c r="AV636" s="348"/>
      <c r="AW636" s="348"/>
      <c r="AX636" s="584"/>
      <c r="AY636" s="581"/>
      <c r="AZ636" s="581"/>
      <c r="BA636" s="596"/>
      <c r="BB636" s="596"/>
      <c r="BC636" s="348"/>
      <c r="BD636" s="581"/>
      <c r="BE636" s="581"/>
      <c r="BF636" s="347"/>
      <c r="BG636" s="347"/>
      <c r="BH636" s="347"/>
      <c r="BI636" s="347"/>
      <c r="BJ636" s="586"/>
      <c r="BK636" s="581"/>
      <c r="BL636" s="347"/>
      <c r="BM636" s="347"/>
      <c r="BN636" s="347"/>
      <c r="BO636" s="586"/>
      <c r="BP636" s="584"/>
      <c r="BQ636" s="347"/>
      <c r="BR636" s="586"/>
      <c r="BS636" s="588"/>
      <c r="BT636" s="586"/>
      <c r="BU636" s="589"/>
      <c r="BV636" s="581">
        <f t="shared" si="44"/>
        <v>0</v>
      </c>
      <c r="BW636" s="590"/>
      <c r="BX636" s="347"/>
      <c r="BY636" s="347"/>
      <c r="BZ636" s="347"/>
      <c r="CA636" s="586"/>
      <c r="CB636" s="581"/>
      <c r="CC636" s="581">
        <f t="shared" si="193"/>
        <v>0</v>
      </c>
      <c r="CD636" s="581"/>
      <c r="CE636" s="581"/>
      <c r="CF636" s="581"/>
      <c r="CG636" s="586"/>
      <c r="CH636" s="608"/>
      <c r="CI636" s="603"/>
      <c r="CJ636" s="347"/>
      <c r="CK636" s="347"/>
      <c r="CL636" s="347"/>
      <c r="CM636" s="347"/>
      <c r="CN636" s="347"/>
      <c r="CO636" s="347"/>
      <c r="CP636" s="347"/>
    </row>
    <row r="637">
      <c r="A637" s="574"/>
      <c r="B637" s="574"/>
      <c r="C637" s="347"/>
      <c r="D637" s="574"/>
      <c r="E637" s="347"/>
      <c r="F637" s="596"/>
      <c r="G637" s="596"/>
      <c r="H637" s="347"/>
      <c r="I637" s="347"/>
      <c r="J637" s="596"/>
      <c r="K637" s="609"/>
      <c r="L637" s="1"/>
      <c r="M637" s="347"/>
      <c r="N637" s="347"/>
      <c r="O637" s="579"/>
      <c r="P637" s="579"/>
      <c r="Q637" s="574"/>
      <c r="R637" s="347"/>
      <c r="S637" s="597"/>
      <c r="T637" s="347"/>
      <c r="U637" s="579"/>
      <c r="V637" s="579"/>
      <c r="W637" s="574"/>
      <c r="X637" s="347"/>
      <c r="Y637" s="347"/>
      <c r="Z637" s="347"/>
      <c r="AA637" s="579"/>
      <c r="AB637" s="581"/>
      <c r="AC637" s="347"/>
      <c r="AD637" s="347"/>
      <c r="AE637" s="347"/>
      <c r="AF637" s="347"/>
      <c r="AG637" s="579"/>
      <c r="AH637" s="579"/>
      <c r="AI637" s="582"/>
      <c r="AJ637" s="582"/>
      <c r="AK637" s="582"/>
      <c r="AL637" s="582"/>
      <c r="AM637" s="579"/>
      <c r="AN637" s="579"/>
      <c r="AO637" s="347"/>
      <c r="AP637" s="586"/>
      <c r="AQ637" s="596"/>
      <c r="AR637" s="596"/>
      <c r="AS637" s="348"/>
      <c r="AT637" s="348"/>
      <c r="AU637" s="348"/>
      <c r="AV637" s="348"/>
      <c r="AW637" s="348"/>
      <c r="AX637" s="584"/>
      <c r="AY637" s="581"/>
      <c r="AZ637" s="581"/>
      <c r="BA637" s="596"/>
      <c r="BB637" s="596"/>
      <c r="BC637" s="348"/>
      <c r="BD637" s="581"/>
      <c r="BE637" s="581"/>
      <c r="BF637" s="347"/>
      <c r="BG637" s="347"/>
      <c r="BH637" s="347"/>
      <c r="BI637" s="347"/>
      <c r="BJ637" s="586"/>
      <c r="BK637" s="581"/>
      <c r="BL637" s="347"/>
      <c r="BM637" s="347"/>
      <c r="BN637" s="347"/>
      <c r="BO637" s="586"/>
      <c r="BP637" s="584"/>
      <c r="BQ637" s="347"/>
      <c r="BR637" s="586"/>
      <c r="BS637" s="588"/>
      <c r="BT637" s="586"/>
      <c r="BU637" s="589"/>
      <c r="BV637" s="581">
        <f t="shared" si="44"/>
        <v>0</v>
      </c>
      <c r="BW637" s="590"/>
      <c r="BX637" s="347"/>
      <c r="BY637" s="347"/>
      <c r="BZ637" s="347"/>
      <c r="CA637" s="586"/>
      <c r="CB637" s="581"/>
      <c r="CC637" s="581">
        <f t="shared" si="193"/>
        <v>0</v>
      </c>
      <c r="CD637" s="581"/>
      <c r="CE637" s="581"/>
      <c r="CF637" s="581"/>
      <c r="CG637" s="586"/>
      <c r="CH637" s="608"/>
      <c r="CI637" s="603"/>
      <c r="CJ637" s="347"/>
      <c r="CK637" s="347"/>
      <c r="CL637" s="347"/>
      <c r="CM637" s="347"/>
      <c r="CN637" s="347"/>
      <c r="CO637" s="347"/>
      <c r="CP637" s="347"/>
    </row>
    <row r="638">
      <c r="A638" s="574"/>
      <c r="B638" s="574"/>
      <c r="C638" s="347"/>
      <c r="D638" s="574"/>
      <c r="E638" s="347"/>
      <c r="F638" s="596"/>
      <c r="G638" s="596"/>
      <c r="H638" s="347"/>
      <c r="I638" s="347"/>
      <c r="J638" s="596"/>
      <c r="K638" s="609"/>
      <c r="L638" s="1"/>
      <c r="M638" s="347"/>
      <c r="N638" s="347"/>
      <c r="O638" s="579"/>
      <c r="P638" s="579"/>
      <c r="Q638" s="574"/>
      <c r="R638" s="347"/>
      <c r="S638" s="597"/>
      <c r="T638" s="347"/>
      <c r="U638" s="579"/>
      <c r="V638" s="579"/>
      <c r="W638" s="574"/>
      <c r="X638" s="347"/>
      <c r="Y638" s="347"/>
      <c r="Z638" s="347"/>
      <c r="AA638" s="579"/>
      <c r="AB638" s="581"/>
      <c r="AC638" s="347"/>
      <c r="AD638" s="347"/>
      <c r="AE638" s="347"/>
      <c r="AF638" s="347"/>
      <c r="AG638" s="579"/>
      <c r="AH638" s="579"/>
      <c r="AI638" s="582"/>
      <c r="AJ638" s="582"/>
      <c r="AK638" s="582"/>
      <c r="AL638" s="582"/>
      <c r="AM638" s="579"/>
      <c r="AN638" s="579"/>
      <c r="AO638" s="347"/>
      <c r="AP638" s="586"/>
      <c r="AQ638" s="596"/>
      <c r="AR638" s="596"/>
      <c r="AS638" s="348"/>
      <c r="AT638" s="348"/>
      <c r="AU638" s="348"/>
      <c r="AV638" s="348"/>
      <c r="AW638" s="348"/>
      <c r="AX638" s="584"/>
      <c r="AY638" s="581"/>
      <c r="AZ638" s="581"/>
      <c r="BA638" s="596"/>
      <c r="BB638" s="596"/>
      <c r="BC638" s="348"/>
      <c r="BD638" s="581"/>
      <c r="BE638" s="581"/>
      <c r="BF638" s="347"/>
      <c r="BG638" s="347"/>
      <c r="BH638" s="347"/>
      <c r="BI638" s="347"/>
      <c r="BJ638" s="586"/>
      <c r="BK638" s="581"/>
      <c r="BL638" s="347"/>
      <c r="BM638" s="347"/>
      <c r="BN638" s="347"/>
      <c r="BO638" s="586"/>
      <c r="BP638" s="584"/>
      <c r="BQ638" s="347"/>
      <c r="BR638" s="586"/>
      <c r="BS638" s="588"/>
      <c r="BT638" s="586"/>
      <c r="BU638" s="589"/>
      <c r="BV638" s="581">
        <f t="shared" si="44"/>
        <v>0</v>
      </c>
      <c r="BW638" s="590"/>
      <c r="BX638" s="347"/>
      <c r="BY638" s="347"/>
      <c r="BZ638" s="347"/>
      <c r="CA638" s="586"/>
      <c r="CB638" s="581"/>
      <c r="CC638" s="581">
        <f t="shared" si="193"/>
        <v>0</v>
      </c>
      <c r="CD638" s="581"/>
      <c r="CE638" s="581"/>
      <c r="CF638" s="581"/>
      <c r="CG638" s="586"/>
      <c r="CH638" s="608"/>
      <c r="CI638" s="603"/>
      <c r="CJ638" s="347"/>
      <c r="CK638" s="347"/>
      <c r="CL638" s="347"/>
      <c r="CM638" s="347"/>
      <c r="CN638" s="347"/>
      <c r="CO638" s="347"/>
      <c r="CP638" s="347"/>
    </row>
    <row r="639">
      <c r="A639" s="574"/>
      <c r="B639" s="574"/>
      <c r="C639" s="347"/>
      <c r="D639" s="574"/>
      <c r="E639" s="347"/>
      <c r="F639" s="596"/>
      <c r="G639" s="596"/>
      <c r="H639" s="347"/>
      <c r="I639" s="347"/>
      <c r="J639" s="596"/>
      <c r="K639" s="609"/>
      <c r="L639" s="1"/>
      <c r="M639" s="347"/>
      <c r="N639" s="347"/>
      <c r="O639" s="579"/>
      <c r="P639" s="579"/>
      <c r="Q639" s="574"/>
      <c r="R639" s="347"/>
      <c r="S639" s="597"/>
      <c r="T639" s="347"/>
      <c r="U639" s="579"/>
      <c r="V639" s="579"/>
      <c r="W639" s="574"/>
      <c r="X639" s="347"/>
      <c r="Y639" s="347"/>
      <c r="Z639" s="347"/>
      <c r="AA639" s="579"/>
      <c r="AB639" s="581"/>
      <c r="AC639" s="347"/>
      <c r="AD639" s="347"/>
      <c r="AE639" s="347"/>
      <c r="AF639" s="347"/>
      <c r="AG639" s="579"/>
      <c r="AH639" s="579"/>
      <c r="AI639" s="582"/>
      <c r="AJ639" s="582"/>
      <c r="AK639" s="582"/>
      <c r="AL639" s="582"/>
      <c r="AM639" s="579"/>
      <c r="AN639" s="579"/>
      <c r="AO639" s="347"/>
      <c r="AP639" s="586"/>
      <c r="AQ639" s="596"/>
      <c r="AR639" s="596"/>
      <c r="AS639" s="348"/>
      <c r="AT639" s="348"/>
      <c r="AU639" s="348"/>
      <c r="AV639" s="348"/>
      <c r="AW639" s="348"/>
      <c r="AX639" s="584"/>
      <c r="AY639" s="581"/>
      <c r="AZ639" s="581"/>
      <c r="BA639" s="596"/>
      <c r="BB639" s="596"/>
      <c r="BC639" s="348"/>
      <c r="BD639" s="581"/>
      <c r="BE639" s="581"/>
      <c r="BF639" s="347"/>
      <c r="BG639" s="347"/>
      <c r="BH639" s="347"/>
      <c r="BI639" s="347"/>
      <c r="BJ639" s="586"/>
      <c r="BK639" s="581"/>
      <c r="BL639" s="347"/>
      <c r="BM639" s="347"/>
      <c r="BN639" s="347"/>
      <c r="BO639" s="586"/>
      <c r="BP639" s="584"/>
      <c r="BQ639" s="347"/>
      <c r="BR639" s="586"/>
      <c r="BS639" s="588"/>
      <c r="BT639" s="586"/>
      <c r="BU639" s="589"/>
      <c r="BV639" s="581">
        <f t="shared" si="44"/>
        <v>0</v>
      </c>
      <c r="BW639" s="590"/>
      <c r="BX639" s="347"/>
      <c r="BY639" s="347"/>
      <c r="BZ639" s="347"/>
      <c r="CA639" s="586"/>
      <c r="CB639" s="581"/>
      <c r="CC639" s="581">
        <f t="shared" si="193"/>
        <v>0</v>
      </c>
      <c r="CD639" s="581"/>
      <c r="CE639" s="581"/>
      <c r="CF639" s="581"/>
      <c r="CG639" s="586"/>
      <c r="CH639" s="608"/>
      <c r="CI639" s="603"/>
      <c r="CJ639" s="347"/>
      <c r="CK639" s="347"/>
      <c r="CL639" s="347"/>
      <c r="CM639" s="347"/>
      <c r="CN639" s="347"/>
      <c r="CO639" s="347"/>
      <c r="CP639" s="347"/>
    </row>
    <row r="640">
      <c r="A640" s="574"/>
      <c r="B640" s="574"/>
      <c r="C640" s="347"/>
      <c r="D640" s="574"/>
      <c r="E640" s="347"/>
      <c r="F640" s="596"/>
      <c r="G640" s="596"/>
      <c r="H640" s="347"/>
      <c r="I640" s="347"/>
      <c r="J640" s="596"/>
      <c r="K640" s="609"/>
      <c r="L640" s="1"/>
      <c r="M640" s="347"/>
      <c r="N640" s="347"/>
      <c r="O640" s="579"/>
      <c r="P640" s="579"/>
      <c r="Q640" s="574"/>
      <c r="R640" s="347"/>
      <c r="S640" s="597"/>
      <c r="T640" s="347"/>
      <c r="U640" s="579"/>
      <c r="V640" s="579"/>
      <c r="W640" s="574"/>
      <c r="X640" s="347"/>
      <c r="Y640" s="347"/>
      <c r="Z640" s="347"/>
      <c r="AA640" s="579"/>
      <c r="AB640" s="581"/>
      <c r="AC640" s="347"/>
      <c r="AD640" s="347"/>
      <c r="AE640" s="347"/>
      <c r="AF640" s="347"/>
      <c r="AG640" s="579"/>
      <c r="AH640" s="579"/>
      <c r="AI640" s="582"/>
      <c r="AJ640" s="582"/>
      <c r="AK640" s="582"/>
      <c r="AL640" s="582"/>
      <c r="AM640" s="579"/>
      <c r="AN640" s="579"/>
      <c r="AO640" s="347"/>
      <c r="AP640" s="586"/>
      <c r="AQ640" s="596"/>
      <c r="AR640" s="596"/>
      <c r="AS640" s="348"/>
      <c r="AT640" s="348"/>
      <c r="AU640" s="348"/>
      <c r="AV640" s="348"/>
      <c r="AW640" s="348"/>
      <c r="AX640" s="584"/>
      <c r="AY640" s="581"/>
      <c r="AZ640" s="581"/>
      <c r="BA640" s="596"/>
      <c r="BB640" s="596"/>
      <c r="BC640" s="348"/>
      <c r="BD640" s="581"/>
      <c r="BE640" s="581"/>
      <c r="BF640" s="347"/>
      <c r="BG640" s="347"/>
      <c r="BH640" s="347"/>
      <c r="BI640" s="347"/>
      <c r="BJ640" s="586"/>
      <c r="BK640" s="581"/>
      <c r="BL640" s="347"/>
      <c r="BM640" s="347"/>
      <c r="BN640" s="347"/>
      <c r="BO640" s="586"/>
      <c r="BP640" s="584"/>
      <c r="BQ640" s="347"/>
      <c r="BR640" s="586"/>
      <c r="BS640" s="588"/>
      <c r="BT640" s="586"/>
      <c r="BU640" s="589"/>
      <c r="BV640" s="581">
        <f t="shared" si="44"/>
        <v>0</v>
      </c>
      <c r="BW640" s="590"/>
      <c r="BX640" s="347"/>
      <c r="BY640" s="347"/>
      <c r="BZ640" s="347"/>
      <c r="CA640" s="586"/>
      <c r="CB640" s="581"/>
      <c r="CC640" s="581">
        <f t="shared" si="193"/>
        <v>0</v>
      </c>
      <c r="CD640" s="581"/>
      <c r="CE640" s="581"/>
      <c r="CF640" s="581"/>
      <c r="CG640" s="586"/>
      <c r="CH640" s="608"/>
      <c r="CI640" s="603"/>
      <c r="CJ640" s="347"/>
      <c r="CK640" s="347"/>
      <c r="CL640" s="347"/>
      <c r="CM640" s="347"/>
      <c r="CN640" s="347"/>
      <c r="CO640" s="347"/>
      <c r="CP640" s="347"/>
    </row>
    <row r="641">
      <c r="A641" s="574"/>
      <c r="B641" s="574"/>
      <c r="C641" s="347"/>
      <c r="D641" s="574"/>
      <c r="E641" s="347"/>
      <c r="F641" s="596"/>
      <c r="G641" s="596"/>
      <c r="H641" s="347"/>
      <c r="I641" s="347"/>
      <c r="J641" s="596"/>
      <c r="K641" s="609"/>
      <c r="L641" s="1"/>
      <c r="M641" s="347"/>
      <c r="N641" s="347"/>
      <c r="O641" s="579"/>
      <c r="P641" s="579"/>
      <c r="Q641" s="574"/>
      <c r="R641" s="347"/>
      <c r="S641" s="597"/>
      <c r="T641" s="347"/>
      <c r="U641" s="579"/>
      <c r="V641" s="579"/>
      <c r="W641" s="574"/>
      <c r="X641" s="347"/>
      <c r="Y641" s="347"/>
      <c r="Z641" s="347"/>
      <c r="AA641" s="579"/>
      <c r="AB641" s="581"/>
      <c r="AC641" s="347"/>
      <c r="AD641" s="347"/>
      <c r="AE641" s="347"/>
      <c r="AF641" s="347"/>
      <c r="AG641" s="579"/>
      <c r="AH641" s="579"/>
      <c r="AI641" s="582"/>
      <c r="AJ641" s="582"/>
      <c r="AK641" s="582"/>
      <c r="AL641" s="582"/>
      <c r="AM641" s="579"/>
      <c r="AN641" s="579"/>
      <c r="AO641" s="347"/>
      <c r="AP641" s="586"/>
      <c r="AQ641" s="596"/>
      <c r="AR641" s="596"/>
      <c r="AS641" s="348"/>
      <c r="AT641" s="348"/>
      <c r="AU641" s="348"/>
      <c r="AV641" s="348"/>
      <c r="AW641" s="348"/>
      <c r="AX641" s="584"/>
      <c r="AY641" s="581"/>
      <c r="AZ641" s="581"/>
      <c r="BA641" s="596"/>
      <c r="BB641" s="596"/>
      <c r="BC641" s="348"/>
      <c r="BD641" s="581"/>
      <c r="BE641" s="581"/>
      <c r="BF641" s="347"/>
      <c r="BG641" s="347"/>
      <c r="BH641" s="347"/>
      <c r="BI641" s="347"/>
      <c r="BJ641" s="586"/>
      <c r="BK641" s="581"/>
      <c r="BL641" s="347"/>
      <c r="BM641" s="347"/>
      <c r="BN641" s="347"/>
      <c r="BO641" s="586"/>
      <c r="BP641" s="584"/>
      <c r="BQ641" s="347"/>
      <c r="BR641" s="586"/>
      <c r="BS641" s="588"/>
      <c r="BT641" s="586"/>
      <c r="BU641" s="589"/>
      <c r="BV641" s="581">
        <f t="shared" si="44"/>
        <v>0</v>
      </c>
      <c r="BW641" s="590"/>
      <c r="BX641" s="347"/>
      <c r="BY641" s="347"/>
      <c r="BZ641" s="347"/>
      <c r="CA641" s="586"/>
      <c r="CB641" s="581"/>
      <c r="CC641" s="581">
        <f t="shared" si="193"/>
        <v>0</v>
      </c>
      <c r="CD641" s="581"/>
      <c r="CE641" s="581"/>
      <c r="CF641" s="581"/>
      <c r="CG641" s="586"/>
      <c r="CH641" s="608"/>
      <c r="CI641" s="603"/>
      <c r="CJ641" s="347"/>
      <c r="CK641" s="347"/>
      <c r="CL641" s="347"/>
      <c r="CM641" s="347"/>
      <c r="CN641" s="347"/>
      <c r="CO641" s="347"/>
      <c r="CP641" s="347"/>
    </row>
    <row r="642">
      <c r="A642" s="574"/>
      <c r="B642" s="574"/>
      <c r="C642" s="347"/>
      <c r="D642" s="574"/>
      <c r="E642" s="347"/>
      <c r="F642" s="596"/>
      <c r="G642" s="596"/>
      <c r="H642" s="347"/>
      <c r="I642" s="347"/>
      <c r="J642" s="596"/>
      <c r="K642" s="609"/>
      <c r="L642" s="1"/>
      <c r="M642" s="347"/>
      <c r="N642" s="347"/>
      <c r="O642" s="579"/>
      <c r="P642" s="579"/>
      <c r="Q642" s="574"/>
      <c r="R642" s="347"/>
      <c r="S642" s="597"/>
      <c r="T642" s="347"/>
      <c r="U642" s="579"/>
      <c r="V642" s="579"/>
      <c r="W642" s="574"/>
      <c r="X642" s="347"/>
      <c r="Y642" s="347"/>
      <c r="Z642" s="347"/>
      <c r="AA642" s="579"/>
      <c r="AB642" s="581"/>
      <c r="AC642" s="347"/>
      <c r="AD642" s="347"/>
      <c r="AE642" s="347"/>
      <c r="AF642" s="347"/>
      <c r="AG642" s="579"/>
      <c r="AH642" s="579"/>
      <c r="AI642" s="582"/>
      <c r="AJ642" s="582"/>
      <c r="AK642" s="582"/>
      <c r="AL642" s="582"/>
      <c r="AM642" s="579"/>
      <c r="AN642" s="579"/>
      <c r="AO642" s="347"/>
      <c r="AP642" s="586"/>
      <c r="AQ642" s="596"/>
      <c r="AR642" s="596"/>
      <c r="AS642" s="348"/>
      <c r="AT642" s="348"/>
      <c r="AU642" s="348"/>
      <c r="AV642" s="348"/>
      <c r="AW642" s="348"/>
      <c r="AX642" s="584"/>
      <c r="AY642" s="581"/>
      <c r="AZ642" s="581"/>
      <c r="BA642" s="596"/>
      <c r="BB642" s="596"/>
      <c r="BC642" s="348"/>
      <c r="BD642" s="581"/>
      <c r="BE642" s="581"/>
      <c r="BF642" s="347"/>
      <c r="BG642" s="347"/>
      <c r="BH642" s="347"/>
      <c r="BI642" s="347"/>
      <c r="BJ642" s="586"/>
      <c r="BK642" s="581"/>
      <c r="BL642" s="347"/>
      <c r="BM642" s="347"/>
      <c r="BN642" s="347"/>
      <c r="BO642" s="586"/>
      <c r="BP642" s="584"/>
      <c r="BQ642" s="347"/>
      <c r="BR642" s="586"/>
      <c r="BS642" s="588"/>
      <c r="BT642" s="586"/>
      <c r="BU642" s="589"/>
      <c r="BV642" s="581">
        <f t="shared" si="44"/>
        <v>0</v>
      </c>
      <c r="BW642" s="590"/>
      <c r="BX642" s="347"/>
      <c r="BY642" s="347"/>
      <c r="BZ642" s="347"/>
      <c r="CA642" s="586"/>
      <c r="CB642" s="581"/>
      <c r="CC642" s="581">
        <f t="shared" si="193"/>
        <v>0</v>
      </c>
      <c r="CD642" s="581"/>
      <c r="CE642" s="581"/>
      <c r="CF642" s="581"/>
      <c r="CG642" s="586"/>
      <c r="CH642" s="608"/>
      <c r="CI642" s="603"/>
      <c r="CJ642" s="347"/>
      <c r="CK642" s="347"/>
      <c r="CL642" s="347"/>
      <c r="CM642" s="347"/>
      <c r="CN642" s="347"/>
      <c r="CO642" s="347"/>
      <c r="CP642" s="347"/>
    </row>
    <row r="643">
      <c r="A643" s="574"/>
      <c r="B643" s="574"/>
      <c r="C643" s="347"/>
      <c r="D643" s="574"/>
      <c r="E643" s="347"/>
      <c r="F643" s="596"/>
      <c r="G643" s="596"/>
      <c r="H643" s="347"/>
      <c r="I643" s="347"/>
      <c r="J643" s="596"/>
      <c r="K643" s="609"/>
      <c r="L643" s="1"/>
      <c r="M643" s="347"/>
      <c r="N643" s="347"/>
      <c r="O643" s="579"/>
      <c r="P643" s="579"/>
      <c r="Q643" s="574"/>
      <c r="R643" s="347"/>
      <c r="S643" s="597"/>
      <c r="T643" s="347"/>
      <c r="U643" s="579"/>
      <c r="V643" s="579"/>
      <c r="W643" s="574"/>
      <c r="X643" s="347"/>
      <c r="Y643" s="347"/>
      <c r="Z643" s="347"/>
      <c r="AA643" s="579"/>
      <c r="AB643" s="581"/>
      <c r="AC643" s="347"/>
      <c r="AD643" s="347"/>
      <c r="AE643" s="347"/>
      <c r="AF643" s="347"/>
      <c r="AG643" s="579"/>
      <c r="AH643" s="579"/>
      <c r="AI643" s="582"/>
      <c r="AJ643" s="582"/>
      <c r="AK643" s="582"/>
      <c r="AL643" s="582"/>
      <c r="AM643" s="579"/>
      <c r="AN643" s="579"/>
      <c r="AO643" s="347"/>
      <c r="AP643" s="586"/>
      <c r="AQ643" s="596"/>
      <c r="AR643" s="596"/>
      <c r="AS643" s="348"/>
      <c r="AT643" s="348"/>
      <c r="AU643" s="348"/>
      <c r="AV643" s="348"/>
      <c r="AW643" s="348"/>
      <c r="AX643" s="584"/>
      <c r="AY643" s="581"/>
      <c r="AZ643" s="581"/>
      <c r="BA643" s="596"/>
      <c r="BB643" s="596"/>
      <c r="BC643" s="348"/>
      <c r="BD643" s="581"/>
      <c r="BE643" s="581"/>
      <c r="BF643" s="347"/>
      <c r="BG643" s="347"/>
      <c r="BH643" s="347"/>
      <c r="BI643" s="347"/>
      <c r="BJ643" s="586"/>
      <c r="BK643" s="581"/>
      <c r="BL643" s="347"/>
      <c r="BM643" s="347"/>
      <c r="BN643" s="347"/>
      <c r="BO643" s="586"/>
      <c r="BP643" s="584"/>
      <c r="BQ643" s="347"/>
      <c r="BR643" s="586"/>
      <c r="BS643" s="588"/>
      <c r="BT643" s="586"/>
      <c r="BU643" s="589"/>
      <c r="BV643" s="581">
        <f t="shared" si="44"/>
        <v>0</v>
      </c>
      <c r="BW643" s="590"/>
      <c r="BX643" s="347"/>
      <c r="BY643" s="347"/>
      <c r="BZ643" s="347"/>
      <c r="CA643" s="586"/>
      <c r="CB643" s="581"/>
      <c r="CC643" s="581">
        <f t="shared" si="193"/>
        <v>0</v>
      </c>
      <c r="CD643" s="581"/>
      <c r="CE643" s="581"/>
      <c r="CF643" s="581"/>
      <c r="CG643" s="586"/>
      <c r="CH643" s="608"/>
      <c r="CI643" s="603"/>
      <c r="CJ643" s="347"/>
      <c r="CK643" s="347"/>
      <c r="CL643" s="347"/>
      <c r="CM643" s="347"/>
      <c r="CN643" s="347"/>
      <c r="CO643" s="347"/>
      <c r="CP643" s="347"/>
    </row>
    <row r="644">
      <c r="A644" s="574"/>
      <c r="B644" s="574"/>
      <c r="C644" s="347"/>
      <c r="D644" s="574"/>
      <c r="E644" s="347"/>
      <c r="F644" s="596"/>
      <c r="G644" s="596"/>
      <c r="H644" s="347"/>
      <c r="I644" s="347"/>
      <c r="J644" s="596"/>
      <c r="K644" s="609"/>
      <c r="L644" s="1"/>
      <c r="M644" s="347"/>
      <c r="N644" s="347"/>
      <c r="O644" s="579"/>
      <c r="P644" s="579"/>
      <c r="Q644" s="574"/>
      <c r="R644" s="347"/>
      <c r="S644" s="597"/>
      <c r="T644" s="347"/>
      <c r="U644" s="579"/>
      <c r="V644" s="579"/>
      <c r="W644" s="574"/>
      <c r="X644" s="347"/>
      <c r="Y644" s="347"/>
      <c r="Z644" s="347"/>
      <c r="AA644" s="579"/>
      <c r="AB644" s="581"/>
      <c r="AC644" s="347"/>
      <c r="AD644" s="347"/>
      <c r="AE644" s="347"/>
      <c r="AF644" s="347"/>
      <c r="AG644" s="579"/>
      <c r="AH644" s="579"/>
      <c r="AI644" s="582"/>
      <c r="AJ644" s="582"/>
      <c r="AK644" s="582"/>
      <c r="AL644" s="582"/>
      <c r="AM644" s="579"/>
      <c r="AN644" s="579"/>
      <c r="AO644" s="347"/>
      <c r="AP644" s="586"/>
      <c r="AQ644" s="596"/>
      <c r="AR644" s="596"/>
      <c r="AS644" s="348"/>
      <c r="AT644" s="348"/>
      <c r="AU644" s="348"/>
      <c r="AV644" s="348"/>
      <c r="AW644" s="348"/>
      <c r="AX644" s="584"/>
      <c r="AY644" s="581"/>
      <c r="AZ644" s="581"/>
      <c r="BA644" s="596"/>
      <c r="BB644" s="596"/>
      <c r="BC644" s="348"/>
      <c r="BD644" s="581"/>
      <c r="BE644" s="581"/>
      <c r="BF644" s="347"/>
      <c r="BG644" s="347"/>
      <c r="BH644" s="347"/>
      <c r="BI644" s="347"/>
      <c r="BJ644" s="586"/>
      <c r="BK644" s="581"/>
      <c r="BL644" s="347"/>
      <c r="BM644" s="347"/>
      <c r="BN644" s="347"/>
      <c r="BO644" s="586"/>
      <c r="BP644" s="584"/>
      <c r="BQ644" s="347"/>
      <c r="BR644" s="586"/>
      <c r="BS644" s="588"/>
      <c r="BT644" s="586"/>
      <c r="BU644" s="589"/>
      <c r="BV644" s="581">
        <f t="shared" si="44"/>
        <v>0</v>
      </c>
      <c r="BW644" s="590"/>
      <c r="BX644" s="347"/>
      <c r="BY644" s="347"/>
      <c r="BZ644" s="347"/>
      <c r="CA644" s="586"/>
      <c r="CB644" s="581"/>
      <c r="CC644" s="581">
        <f t="shared" si="193"/>
        <v>0</v>
      </c>
      <c r="CD644" s="581"/>
      <c r="CE644" s="581"/>
      <c r="CF644" s="581"/>
      <c r="CG644" s="586"/>
      <c r="CH644" s="608"/>
      <c r="CI644" s="603"/>
      <c r="CJ644" s="347"/>
      <c r="CK644" s="347"/>
      <c r="CL644" s="347"/>
      <c r="CM644" s="347"/>
      <c r="CN644" s="347"/>
      <c r="CO644" s="347"/>
      <c r="CP644" s="347"/>
    </row>
    <row r="645">
      <c r="A645" s="574"/>
      <c r="B645" s="574"/>
      <c r="C645" s="347"/>
      <c r="D645" s="574"/>
      <c r="E645" s="347"/>
      <c r="F645" s="596"/>
      <c r="G645" s="596"/>
      <c r="H645" s="347"/>
      <c r="I645" s="347"/>
      <c r="J645" s="596"/>
      <c r="K645" s="609"/>
      <c r="L645" s="1"/>
      <c r="M645" s="347"/>
      <c r="N645" s="347"/>
      <c r="O645" s="579"/>
      <c r="P645" s="579"/>
      <c r="Q645" s="574"/>
      <c r="R645" s="347"/>
      <c r="S645" s="597"/>
      <c r="T645" s="347"/>
      <c r="U645" s="579"/>
      <c r="V645" s="579"/>
      <c r="W645" s="574"/>
      <c r="X645" s="347"/>
      <c r="Y645" s="347"/>
      <c r="Z645" s="347"/>
      <c r="AA645" s="579"/>
      <c r="AB645" s="581"/>
      <c r="AC645" s="347"/>
      <c r="AD645" s="347"/>
      <c r="AE645" s="347"/>
      <c r="AF645" s="347"/>
      <c r="AG645" s="579"/>
      <c r="AH645" s="579"/>
      <c r="AI645" s="582"/>
      <c r="AJ645" s="582"/>
      <c r="AK645" s="582"/>
      <c r="AL645" s="582"/>
      <c r="AM645" s="579"/>
      <c r="AN645" s="579"/>
      <c r="AO645" s="347"/>
      <c r="AP645" s="586"/>
      <c r="AQ645" s="596"/>
      <c r="AR645" s="596"/>
      <c r="AS645" s="348"/>
      <c r="AT645" s="348"/>
      <c r="AU645" s="348"/>
      <c r="AV645" s="348"/>
      <c r="AW645" s="348"/>
      <c r="AX645" s="584"/>
      <c r="AY645" s="581"/>
      <c r="AZ645" s="581"/>
      <c r="BA645" s="596"/>
      <c r="BB645" s="596"/>
      <c r="BC645" s="348"/>
      <c r="BD645" s="581"/>
      <c r="BE645" s="581"/>
      <c r="BF645" s="347"/>
      <c r="BG645" s="347"/>
      <c r="BH645" s="347"/>
      <c r="BI645" s="347"/>
      <c r="BJ645" s="586"/>
      <c r="BK645" s="581"/>
      <c r="BL645" s="347"/>
      <c r="BM645" s="347"/>
      <c r="BN645" s="347"/>
      <c r="BO645" s="586"/>
      <c r="BP645" s="584"/>
      <c r="BQ645" s="347"/>
      <c r="BR645" s="586"/>
      <c r="BS645" s="588"/>
      <c r="BT645" s="586"/>
      <c r="BU645" s="589"/>
      <c r="BV645" s="581">
        <f t="shared" si="44"/>
        <v>0</v>
      </c>
      <c r="BW645" s="590"/>
      <c r="BX645" s="347"/>
      <c r="BY645" s="347"/>
      <c r="BZ645" s="347"/>
      <c r="CA645" s="586"/>
      <c r="CB645" s="581"/>
      <c r="CC645" s="581">
        <f t="shared" si="193"/>
        <v>0</v>
      </c>
      <c r="CD645" s="581"/>
      <c r="CE645" s="581"/>
      <c r="CF645" s="581"/>
      <c r="CG645" s="586"/>
      <c r="CH645" s="608"/>
      <c r="CI645" s="603"/>
      <c r="CJ645" s="347"/>
      <c r="CK645" s="347"/>
      <c r="CL645" s="347"/>
      <c r="CM645" s="347"/>
      <c r="CN645" s="347"/>
      <c r="CO645" s="347"/>
      <c r="CP645" s="347"/>
    </row>
    <row r="646">
      <c r="A646" s="574"/>
      <c r="B646" s="574"/>
      <c r="C646" s="347"/>
      <c r="D646" s="574"/>
      <c r="E646" s="347"/>
      <c r="F646" s="596"/>
      <c r="G646" s="596"/>
      <c r="H646" s="347"/>
      <c r="I646" s="347"/>
      <c r="J646" s="596"/>
      <c r="K646" s="609"/>
      <c r="L646" s="1"/>
      <c r="M646" s="347"/>
      <c r="N646" s="347"/>
      <c r="O646" s="579"/>
      <c r="P646" s="579"/>
      <c r="Q646" s="574"/>
      <c r="R646" s="347"/>
      <c r="S646" s="597"/>
      <c r="T646" s="347"/>
      <c r="U646" s="579"/>
      <c r="V646" s="579"/>
      <c r="W646" s="574"/>
      <c r="X646" s="347"/>
      <c r="Y646" s="347"/>
      <c r="Z646" s="347"/>
      <c r="AA646" s="579"/>
      <c r="AB646" s="581"/>
      <c r="AC646" s="347"/>
      <c r="AD646" s="347"/>
      <c r="AE646" s="347"/>
      <c r="AF646" s="347"/>
      <c r="AG646" s="579"/>
      <c r="AH646" s="579"/>
      <c r="AI646" s="582"/>
      <c r="AJ646" s="582"/>
      <c r="AK646" s="582"/>
      <c r="AL646" s="582"/>
      <c r="AM646" s="579"/>
      <c r="AN646" s="579"/>
      <c r="AO646" s="347"/>
      <c r="AP646" s="586"/>
      <c r="AQ646" s="596"/>
      <c r="AR646" s="596"/>
      <c r="AS646" s="348"/>
      <c r="AT646" s="348"/>
      <c r="AU646" s="348"/>
      <c r="AV646" s="348"/>
      <c r="AW646" s="348"/>
      <c r="AX646" s="584"/>
      <c r="AY646" s="581"/>
      <c r="AZ646" s="581"/>
      <c r="BA646" s="596"/>
      <c r="BB646" s="596"/>
      <c r="BC646" s="348"/>
      <c r="BD646" s="581"/>
      <c r="BE646" s="581"/>
      <c r="BF646" s="347"/>
      <c r="BG646" s="347"/>
      <c r="BH646" s="347"/>
      <c r="BI646" s="347"/>
      <c r="BJ646" s="586"/>
      <c r="BK646" s="581"/>
      <c r="BL646" s="347"/>
      <c r="BM646" s="347"/>
      <c r="BN646" s="347"/>
      <c r="BO646" s="586"/>
      <c r="BP646" s="584"/>
      <c r="BQ646" s="347"/>
      <c r="BR646" s="586"/>
      <c r="BS646" s="588"/>
      <c r="BT646" s="586"/>
      <c r="BU646" s="589"/>
      <c r="BV646" s="581">
        <f t="shared" si="44"/>
        <v>0</v>
      </c>
      <c r="BW646" s="590"/>
      <c r="BX646" s="347"/>
      <c r="BY646" s="347"/>
      <c r="BZ646" s="347"/>
      <c r="CA646" s="586"/>
      <c r="CB646" s="581"/>
      <c r="CC646" s="581">
        <f t="shared" si="193"/>
        <v>0</v>
      </c>
      <c r="CD646" s="581"/>
      <c r="CE646" s="581"/>
      <c r="CF646" s="581"/>
      <c r="CG646" s="586"/>
      <c r="CH646" s="608"/>
      <c r="CI646" s="603"/>
      <c r="CJ646" s="347"/>
      <c r="CK646" s="347"/>
      <c r="CL646" s="347"/>
      <c r="CM646" s="347"/>
      <c r="CN646" s="347"/>
      <c r="CO646" s="347"/>
      <c r="CP646" s="347"/>
    </row>
    <row r="647">
      <c r="A647" s="574"/>
      <c r="B647" s="574"/>
      <c r="C647" s="347"/>
      <c r="D647" s="574"/>
      <c r="E647" s="347"/>
      <c r="F647" s="596"/>
      <c r="G647" s="596"/>
      <c r="H647" s="347"/>
      <c r="I647" s="347"/>
      <c r="J647" s="596"/>
      <c r="K647" s="609"/>
      <c r="L647" s="1"/>
      <c r="M647" s="347"/>
      <c r="N647" s="347"/>
      <c r="O647" s="579"/>
      <c r="P647" s="579"/>
      <c r="Q647" s="574"/>
      <c r="R647" s="347"/>
      <c r="S647" s="597"/>
      <c r="T647" s="347"/>
      <c r="U647" s="579"/>
      <c r="V647" s="579"/>
      <c r="W647" s="574"/>
      <c r="X647" s="347"/>
      <c r="Y647" s="347"/>
      <c r="Z647" s="347"/>
      <c r="AA647" s="579"/>
      <c r="AB647" s="581"/>
      <c r="AC647" s="347"/>
      <c r="AD647" s="347"/>
      <c r="AE647" s="347"/>
      <c r="AF647" s="347"/>
      <c r="AG647" s="579"/>
      <c r="AH647" s="579"/>
      <c r="AI647" s="582"/>
      <c r="AJ647" s="582"/>
      <c r="AK647" s="582"/>
      <c r="AL647" s="582"/>
      <c r="AM647" s="579"/>
      <c r="AN647" s="579"/>
      <c r="AO647" s="347"/>
      <c r="AP647" s="586"/>
      <c r="AQ647" s="596"/>
      <c r="AR647" s="596"/>
      <c r="AS647" s="348"/>
      <c r="AT647" s="348"/>
      <c r="AU647" s="348"/>
      <c r="AV647" s="348"/>
      <c r="AW647" s="348"/>
      <c r="AX647" s="584"/>
      <c r="AY647" s="581"/>
      <c r="AZ647" s="581"/>
      <c r="BA647" s="596"/>
      <c r="BB647" s="596"/>
      <c r="BC647" s="348"/>
      <c r="BD647" s="581"/>
      <c r="BE647" s="581"/>
      <c r="BF647" s="347"/>
      <c r="BG647" s="347"/>
      <c r="BH647" s="347"/>
      <c r="BI647" s="347"/>
      <c r="BJ647" s="586"/>
      <c r="BK647" s="581"/>
      <c r="BL647" s="347"/>
      <c r="BM647" s="347"/>
      <c r="BN647" s="347"/>
      <c r="BO647" s="586"/>
      <c r="BP647" s="584"/>
      <c r="BQ647" s="347"/>
      <c r="BR647" s="586"/>
      <c r="BS647" s="588"/>
      <c r="BT647" s="586"/>
      <c r="BU647" s="589"/>
      <c r="BV647" s="581">
        <f t="shared" si="44"/>
        <v>0</v>
      </c>
      <c r="BW647" s="590"/>
      <c r="BX647" s="347"/>
      <c r="BY647" s="347"/>
      <c r="BZ647" s="347"/>
      <c r="CA647" s="586"/>
      <c r="CB647" s="581"/>
      <c r="CC647" s="581">
        <f t="shared" si="193"/>
        <v>0</v>
      </c>
      <c r="CD647" s="581"/>
      <c r="CE647" s="581"/>
      <c r="CF647" s="581"/>
      <c r="CG647" s="586"/>
      <c r="CH647" s="608"/>
      <c r="CI647" s="603"/>
      <c r="CJ647" s="347"/>
      <c r="CK647" s="347"/>
      <c r="CL647" s="347"/>
      <c r="CM647" s="347"/>
      <c r="CN647" s="347"/>
      <c r="CO647" s="347"/>
      <c r="CP647" s="347"/>
    </row>
    <row r="648">
      <c r="A648" s="574"/>
      <c r="B648" s="574"/>
      <c r="C648" s="347"/>
      <c r="D648" s="574"/>
      <c r="E648" s="347"/>
      <c r="F648" s="596"/>
      <c r="G648" s="596"/>
      <c r="H648" s="347"/>
      <c r="I648" s="347"/>
      <c r="J648" s="596"/>
      <c r="K648" s="609"/>
      <c r="L648" s="1"/>
      <c r="M648" s="347"/>
      <c r="N648" s="347"/>
      <c r="O648" s="579"/>
      <c r="P648" s="579"/>
      <c r="Q648" s="574"/>
      <c r="R648" s="347"/>
      <c r="S648" s="597"/>
      <c r="T648" s="347"/>
      <c r="U648" s="579"/>
      <c r="V648" s="579"/>
      <c r="W648" s="574"/>
      <c r="X648" s="347"/>
      <c r="Y648" s="347"/>
      <c r="Z648" s="347"/>
      <c r="AA648" s="579"/>
      <c r="AB648" s="581"/>
      <c r="AC648" s="347"/>
      <c r="AD648" s="347"/>
      <c r="AE648" s="347"/>
      <c r="AF648" s="347"/>
      <c r="AG648" s="579"/>
      <c r="AH648" s="579"/>
      <c r="AI648" s="582"/>
      <c r="AJ648" s="582"/>
      <c r="AK648" s="582"/>
      <c r="AL648" s="582"/>
      <c r="AM648" s="579"/>
      <c r="AN648" s="579"/>
      <c r="AO648" s="347"/>
      <c r="AP648" s="586"/>
      <c r="AQ648" s="596"/>
      <c r="AR648" s="596"/>
      <c r="AS648" s="348"/>
      <c r="AT648" s="348"/>
      <c r="AU648" s="348"/>
      <c r="AV648" s="348"/>
      <c r="AW648" s="348"/>
      <c r="AX648" s="584"/>
      <c r="AY648" s="581"/>
      <c r="AZ648" s="581"/>
      <c r="BA648" s="596"/>
      <c r="BB648" s="596"/>
      <c r="BC648" s="348"/>
      <c r="BD648" s="581"/>
      <c r="BE648" s="581"/>
      <c r="BF648" s="347"/>
      <c r="BG648" s="347"/>
      <c r="BH648" s="347"/>
      <c r="BI648" s="347"/>
      <c r="BJ648" s="586"/>
      <c r="BK648" s="581"/>
      <c r="BL648" s="347"/>
      <c r="BM648" s="347"/>
      <c r="BN648" s="347"/>
      <c r="BO648" s="586"/>
      <c r="BP648" s="584"/>
      <c r="BQ648" s="347"/>
      <c r="BR648" s="586"/>
      <c r="BS648" s="588"/>
      <c r="BT648" s="586"/>
      <c r="BU648" s="589"/>
      <c r="BV648" s="581">
        <f t="shared" si="44"/>
        <v>0</v>
      </c>
      <c r="BW648" s="590"/>
      <c r="BX648" s="347"/>
      <c r="BY648" s="347"/>
      <c r="BZ648" s="347"/>
      <c r="CA648" s="586"/>
      <c r="CB648" s="581"/>
      <c r="CC648" s="581">
        <f t="shared" si="193"/>
        <v>0</v>
      </c>
      <c r="CD648" s="581"/>
      <c r="CE648" s="581"/>
      <c r="CF648" s="581"/>
      <c r="CG648" s="586"/>
      <c r="CH648" s="608"/>
      <c r="CI648" s="603"/>
      <c r="CJ648" s="347"/>
      <c r="CK648" s="347"/>
      <c r="CL648" s="347"/>
      <c r="CM648" s="347"/>
      <c r="CN648" s="347"/>
      <c r="CO648" s="347"/>
      <c r="CP648" s="347"/>
    </row>
    <row r="649">
      <c r="A649" s="574"/>
      <c r="B649" s="574"/>
      <c r="C649" s="347"/>
      <c r="D649" s="574"/>
      <c r="E649" s="347"/>
      <c r="F649" s="596"/>
      <c r="G649" s="596"/>
      <c r="H649" s="347"/>
      <c r="I649" s="347"/>
      <c r="J649" s="596"/>
      <c r="K649" s="609"/>
      <c r="L649" s="1"/>
      <c r="M649" s="347"/>
      <c r="N649" s="347"/>
      <c r="O649" s="579"/>
      <c r="P649" s="579"/>
      <c r="Q649" s="574"/>
      <c r="R649" s="347"/>
      <c r="S649" s="597"/>
      <c r="T649" s="347"/>
      <c r="U649" s="579"/>
      <c r="V649" s="579"/>
      <c r="W649" s="574"/>
      <c r="X649" s="347"/>
      <c r="Y649" s="347"/>
      <c r="Z649" s="347"/>
      <c r="AA649" s="579"/>
      <c r="AB649" s="581"/>
      <c r="AC649" s="347"/>
      <c r="AD649" s="347"/>
      <c r="AE649" s="347"/>
      <c r="AF649" s="347"/>
      <c r="AG649" s="579"/>
      <c r="AH649" s="579"/>
      <c r="AI649" s="582"/>
      <c r="AJ649" s="582"/>
      <c r="AK649" s="582"/>
      <c r="AL649" s="582"/>
      <c r="AM649" s="579"/>
      <c r="AN649" s="579"/>
      <c r="AO649" s="347"/>
      <c r="AP649" s="586"/>
      <c r="AQ649" s="596"/>
      <c r="AR649" s="596"/>
      <c r="AS649" s="348"/>
      <c r="AT649" s="348"/>
      <c r="AU649" s="348"/>
      <c r="AV649" s="348"/>
      <c r="AW649" s="348"/>
      <c r="AX649" s="584"/>
      <c r="AY649" s="581"/>
      <c r="AZ649" s="581"/>
      <c r="BA649" s="596"/>
      <c r="BB649" s="596"/>
      <c r="BC649" s="348"/>
      <c r="BD649" s="581"/>
      <c r="BE649" s="581"/>
      <c r="BF649" s="347"/>
      <c r="BG649" s="347"/>
      <c r="BH649" s="347"/>
      <c r="BI649" s="347"/>
      <c r="BJ649" s="586"/>
      <c r="BK649" s="581"/>
      <c r="BL649" s="347"/>
      <c r="BM649" s="347"/>
      <c r="BN649" s="347"/>
      <c r="BO649" s="586"/>
      <c r="BP649" s="584"/>
      <c r="BQ649" s="347"/>
      <c r="BR649" s="586"/>
      <c r="BS649" s="588"/>
      <c r="BT649" s="586"/>
      <c r="BU649" s="589"/>
      <c r="BV649" s="581">
        <f t="shared" si="44"/>
        <v>0</v>
      </c>
      <c r="BW649" s="590"/>
      <c r="BX649" s="347"/>
      <c r="BY649" s="347"/>
      <c r="BZ649" s="347"/>
      <c r="CA649" s="586"/>
      <c r="CB649" s="581"/>
      <c r="CC649" s="581">
        <f t="shared" si="193"/>
        <v>0</v>
      </c>
      <c r="CD649" s="581"/>
      <c r="CE649" s="581"/>
      <c r="CF649" s="581"/>
      <c r="CG649" s="586"/>
      <c r="CH649" s="608"/>
      <c r="CI649" s="603"/>
      <c r="CJ649" s="347"/>
      <c r="CK649" s="347"/>
      <c r="CL649" s="347"/>
      <c r="CM649" s="347"/>
      <c r="CN649" s="347"/>
      <c r="CO649" s="347"/>
      <c r="CP649" s="347"/>
    </row>
    <row r="650">
      <c r="A650" s="574"/>
      <c r="B650" s="574"/>
      <c r="C650" s="347"/>
      <c r="D650" s="574"/>
      <c r="E650" s="347"/>
      <c r="F650" s="596"/>
      <c r="G650" s="596"/>
      <c r="H650" s="347"/>
      <c r="I650" s="347"/>
      <c r="J650" s="596"/>
      <c r="K650" s="609"/>
      <c r="L650" s="1"/>
      <c r="M650" s="347"/>
      <c r="N650" s="347"/>
      <c r="O650" s="579"/>
      <c r="P650" s="579"/>
      <c r="Q650" s="574"/>
      <c r="R650" s="347"/>
      <c r="S650" s="597"/>
      <c r="T650" s="347"/>
      <c r="U650" s="579"/>
      <c r="V650" s="579"/>
      <c r="W650" s="574"/>
      <c r="X650" s="347"/>
      <c r="Y650" s="347"/>
      <c r="Z650" s="347"/>
      <c r="AA650" s="579"/>
      <c r="AB650" s="581"/>
      <c r="AC650" s="347"/>
      <c r="AD650" s="347"/>
      <c r="AE650" s="347"/>
      <c r="AF650" s="347"/>
      <c r="AG650" s="579"/>
      <c r="AH650" s="579"/>
      <c r="AI650" s="582"/>
      <c r="AJ650" s="582"/>
      <c r="AK650" s="582"/>
      <c r="AL650" s="582"/>
      <c r="AM650" s="579"/>
      <c r="AN650" s="579"/>
      <c r="AO650" s="347"/>
      <c r="AP650" s="586"/>
      <c r="AQ650" s="596"/>
      <c r="AR650" s="596"/>
      <c r="AS650" s="348"/>
      <c r="AT650" s="348"/>
      <c r="AU650" s="348"/>
      <c r="AV650" s="348"/>
      <c r="AW650" s="348"/>
      <c r="AX650" s="584"/>
      <c r="AY650" s="581"/>
      <c r="AZ650" s="581"/>
      <c r="BA650" s="596"/>
      <c r="BB650" s="596"/>
      <c r="BC650" s="348"/>
      <c r="BD650" s="581"/>
      <c r="BE650" s="581"/>
      <c r="BF650" s="347"/>
      <c r="BG650" s="347"/>
      <c r="BH650" s="347"/>
      <c r="BI650" s="347"/>
      <c r="BJ650" s="586"/>
      <c r="BK650" s="581"/>
      <c r="BL650" s="347"/>
      <c r="BM650" s="347"/>
      <c r="BN650" s="347"/>
      <c r="BO650" s="586"/>
      <c r="BP650" s="584"/>
      <c r="BQ650" s="347"/>
      <c r="BR650" s="586"/>
      <c r="BS650" s="588"/>
      <c r="BT650" s="586"/>
      <c r="BU650" s="589"/>
      <c r="BV650" s="581">
        <f t="shared" si="44"/>
        <v>0</v>
      </c>
      <c r="BW650" s="590"/>
      <c r="BX650" s="347"/>
      <c r="BY650" s="347"/>
      <c r="BZ650" s="347"/>
      <c r="CA650" s="586"/>
      <c r="CB650" s="581"/>
      <c r="CC650" s="581">
        <f t="shared" si="193"/>
        <v>0</v>
      </c>
      <c r="CD650" s="581"/>
      <c r="CE650" s="581"/>
      <c r="CF650" s="581"/>
      <c r="CG650" s="586"/>
      <c r="CH650" s="608"/>
      <c r="CI650" s="603"/>
      <c r="CJ650" s="347"/>
      <c r="CK650" s="347"/>
      <c r="CL650" s="347"/>
      <c r="CM650" s="347"/>
      <c r="CN650" s="347"/>
      <c r="CO650" s="347"/>
      <c r="CP650" s="347"/>
    </row>
    <row r="651">
      <c r="A651" s="574"/>
      <c r="B651" s="574"/>
      <c r="C651" s="347"/>
      <c r="D651" s="574"/>
      <c r="E651" s="347"/>
      <c r="F651" s="596"/>
      <c r="G651" s="596"/>
      <c r="H651" s="347"/>
      <c r="I651" s="347"/>
      <c r="J651" s="596"/>
      <c r="K651" s="609"/>
      <c r="L651" s="1"/>
      <c r="M651" s="347"/>
      <c r="N651" s="347"/>
      <c r="O651" s="579"/>
      <c r="P651" s="579"/>
      <c r="Q651" s="574"/>
      <c r="R651" s="347"/>
      <c r="S651" s="597"/>
      <c r="T651" s="347"/>
      <c r="U651" s="579"/>
      <c r="V651" s="579"/>
      <c r="W651" s="574"/>
      <c r="X651" s="347"/>
      <c r="Y651" s="347"/>
      <c r="Z651" s="347"/>
      <c r="AA651" s="579"/>
      <c r="AB651" s="581"/>
      <c r="AC651" s="347"/>
      <c r="AD651" s="347"/>
      <c r="AE651" s="347"/>
      <c r="AF651" s="347"/>
      <c r="AG651" s="579"/>
      <c r="AH651" s="579"/>
      <c r="AI651" s="582"/>
      <c r="AJ651" s="582"/>
      <c r="AK651" s="582"/>
      <c r="AL651" s="582"/>
      <c r="AM651" s="579"/>
      <c r="AN651" s="579"/>
      <c r="AO651" s="347"/>
      <c r="AP651" s="586"/>
      <c r="AQ651" s="596"/>
      <c r="AR651" s="596"/>
      <c r="AS651" s="348"/>
      <c r="AT651" s="348"/>
      <c r="AU651" s="348"/>
      <c r="AV651" s="348"/>
      <c r="AW651" s="348"/>
      <c r="AX651" s="584"/>
      <c r="AY651" s="581"/>
      <c r="AZ651" s="581"/>
      <c r="BA651" s="596"/>
      <c r="BB651" s="596"/>
      <c r="BC651" s="348"/>
      <c r="BD651" s="581"/>
      <c r="BE651" s="581"/>
      <c r="BF651" s="347"/>
      <c r="BG651" s="347"/>
      <c r="BH651" s="347"/>
      <c r="BI651" s="347"/>
      <c r="BJ651" s="586"/>
      <c r="BK651" s="581"/>
      <c r="BL651" s="347"/>
      <c r="BM651" s="347"/>
      <c r="BN651" s="347"/>
      <c r="BO651" s="586"/>
      <c r="BP651" s="584"/>
      <c r="BQ651" s="347"/>
      <c r="BR651" s="586"/>
      <c r="BS651" s="588"/>
      <c r="BT651" s="586"/>
      <c r="BU651" s="589"/>
      <c r="BV651" s="581">
        <f t="shared" si="44"/>
        <v>0</v>
      </c>
      <c r="BW651" s="590"/>
      <c r="BX651" s="347"/>
      <c r="BY651" s="347"/>
      <c r="BZ651" s="347"/>
      <c r="CA651" s="586"/>
      <c r="CB651" s="581"/>
      <c r="CC651" s="581">
        <f t="shared" si="193"/>
        <v>0</v>
      </c>
      <c r="CD651" s="581"/>
      <c r="CE651" s="581"/>
      <c r="CF651" s="581"/>
      <c r="CG651" s="586"/>
      <c r="CH651" s="608"/>
      <c r="CI651" s="603"/>
      <c r="CJ651" s="347"/>
      <c r="CK651" s="347"/>
      <c r="CL651" s="347"/>
      <c r="CM651" s="347"/>
      <c r="CN651" s="347"/>
      <c r="CO651" s="347"/>
      <c r="CP651" s="347"/>
    </row>
    <row r="652">
      <c r="A652" s="574"/>
      <c r="B652" s="574"/>
      <c r="C652" s="347"/>
      <c r="D652" s="574"/>
      <c r="E652" s="347"/>
      <c r="F652" s="596"/>
      <c r="G652" s="596"/>
      <c r="H652" s="347"/>
      <c r="I652" s="347"/>
      <c r="J652" s="596"/>
      <c r="K652" s="609"/>
      <c r="L652" s="1"/>
      <c r="M652" s="347"/>
      <c r="N652" s="347"/>
      <c r="O652" s="579"/>
      <c r="P652" s="579"/>
      <c r="Q652" s="574"/>
      <c r="R652" s="347"/>
      <c r="S652" s="597"/>
      <c r="T652" s="347"/>
      <c r="U652" s="579"/>
      <c r="V652" s="579"/>
      <c r="W652" s="574"/>
      <c r="X652" s="347"/>
      <c r="Y652" s="347"/>
      <c r="Z652" s="347"/>
      <c r="AA652" s="579"/>
      <c r="AB652" s="581"/>
      <c r="AC652" s="347"/>
      <c r="AD652" s="347"/>
      <c r="AE652" s="347"/>
      <c r="AF652" s="347"/>
      <c r="AG652" s="579"/>
      <c r="AH652" s="579"/>
      <c r="AI652" s="582"/>
      <c r="AJ652" s="582"/>
      <c r="AK652" s="582"/>
      <c r="AL652" s="582"/>
      <c r="AM652" s="579"/>
      <c r="AN652" s="579"/>
      <c r="AO652" s="347"/>
      <c r="AP652" s="586"/>
      <c r="AQ652" s="596"/>
      <c r="AR652" s="596"/>
      <c r="AS652" s="348"/>
      <c r="AT652" s="348"/>
      <c r="AU652" s="348"/>
      <c r="AV652" s="348"/>
      <c r="AW652" s="348"/>
      <c r="AX652" s="584"/>
      <c r="AY652" s="581"/>
      <c r="AZ652" s="581"/>
      <c r="BA652" s="596"/>
      <c r="BB652" s="596"/>
      <c r="BC652" s="348"/>
      <c r="BD652" s="581"/>
      <c r="BE652" s="581"/>
      <c r="BF652" s="347"/>
      <c r="BG652" s="347"/>
      <c r="BH652" s="347"/>
      <c r="BI652" s="347"/>
      <c r="BJ652" s="586"/>
      <c r="BK652" s="581"/>
      <c r="BL652" s="347"/>
      <c r="BM652" s="347"/>
      <c r="BN652" s="347"/>
      <c r="BO652" s="586"/>
      <c r="BP652" s="584"/>
      <c r="BQ652" s="347"/>
      <c r="BR652" s="586"/>
      <c r="BS652" s="588"/>
      <c r="BT652" s="586"/>
      <c r="BU652" s="589"/>
      <c r="BV652" s="581">
        <f t="shared" si="44"/>
        <v>0</v>
      </c>
      <c r="BW652" s="590"/>
      <c r="BX652" s="347"/>
      <c r="BY652" s="347"/>
      <c r="BZ652" s="347"/>
      <c r="CA652" s="586"/>
      <c r="CB652" s="581"/>
      <c r="CC652" s="581">
        <f t="shared" si="193"/>
        <v>0</v>
      </c>
      <c r="CD652" s="581"/>
      <c r="CE652" s="581"/>
      <c r="CF652" s="581"/>
      <c r="CG652" s="586"/>
      <c r="CH652" s="608"/>
      <c r="CI652" s="603"/>
      <c r="CJ652" s="347"/>
      <c r="CK652" s="347"/>
      <c r="CL652" s="347"/>
      <c r="CM652" s="347"/>
      <c r="CN652" s="347"/>
      <c r="CO652" s="347"/>
      <c r="CP652" s="347"/>
    </row>
    <row r="653">
      <c r="A653" s="574"/>
      <c r="B653" s="574"/>
      <c r="C653" s="347"/>
      <c r="D653" s="574"/>
      <c r="E653" s="347"/>
      <c r="F653" s="596"/>
      <c r="G653" s="596"/>
      <c r="H653" s="347"/>
      <c r="I653" s="347"/>
      <c r="J653" s="596"/>
      <c r="K653" s="609"/>
      <c r="L653" s="1"/>
      <c r="M653" s="347"/>
      <c r="N653" s="347"/>
      <c r="O653" s="579"/>
      <c r="P653" s="579"/>
      <c r="Q653" s="574"/>
      <c r="R653" s="347"/>
      <c r="S653" s="597"/>
      <c r="T653" s="347"/>
      <c r="U653" s="579"/>
      <c r="V653" s="579"/>
      <c r="W653" s="574"/>
      <c r="X653" s="347"/>
      <c r="Y653" s="347"/>
      <c r="Z653" s="347"/>
      <c r="AA653" s="579"/>
      <c r="AB653" s="581"/>
      <c r="AC653" s="347"/>
      <c r="AD653" s="347"/>
      <c r="AE653" s="347"/>
      <c r="AF653" s="347"/>
      <c r="AG653" s="579"/>
      <c r="AH653" s="579"/>
      <c r="AI653" s="582"/>
      <c r="AJ653" s="582"/>
      <c r="AK653" s="582"/>
      <c r="AL653" s="582"/>
      <c r="AM653" s="579"/>
      <c r="AN653" s="579"/>
      <c r="AO653" s="347"/>
      <c r="AP653" s="586"/>
      <c r="AQ653" s="596"/>
      <c r="AR653" s="596"/>
      <c r="AS653" s="348"/>
      <c r="AT653" s="348"/>
      <c r="AU653" s="348"/>
      <c r="AV653" s="348"/>
      <c r="AW653" s="348"/>
      <c r="AX653" s="584"/>
      <c r="AY653" s="581"/>
      <c r="AZ653" s="581"/>
      <c r="BA653" s="596"/>
      <c r="BB653" s="596"/>
      <c r="BC653" s="348"/>
      <c r="BD653" s="581"/>
      <c r="BE653" s="581"/>
      <c r="BF653" s="347"/>
      <c r="BG653" s="347"/>
      <c r="BH653" s="347"/>
      <c r="BI653" s="347"/>
      <c r="BJ653" s="586"/>
      <c r="BK653" s="581"/>
      <c r="BL653" s="347"/>
      <c r="BM653" s="347"/>
      <c r="BN653" s="347"/>
      <c r="BO653" s="586"/>
      <c r="BP653" s="584"/>
      <c r="BQ653" s="347"/>
      <c r="BR653" s="586"/>
      <c r="BS653" s="588"/>
      <c r="BT653" s="586"/>
      <c r="BU653" s="589"/>
      <c r="BV653" s="581">
        <f t="shared" si="44"/>
        <v>0</v>
      </c>
      <c r="BW653" s="590"/>
      <c r="BX653" s="347"/>
      <c r="BY653" s="347"/>
      <c r="BZ653" s="347"/>
      <c r="CA653" s="586"/>
      <c r="CB653" s="581"/>
      <c r="CC653" s="581">
        <f t="shared" si="193"/>
        <v>0</v>
      </c>
      <c r="CD653" s="581"/>
      <c r="CE653" s="581"/>
      <c r="CF653" s="581"/>
      <c r="CG653" s="586"/>
      <c r="CH653" s="608"/>
      <c r="CI653" s="603"/>
      <c r="CJ653" s="347"/>
      <c r="CK653" s="347"/>
      <c r="CL653" s="347"/>
      <c r="CM653" s="347"/>
      <c r="CN653" s="347"/>
      <c r="CO653" s="347"/>
      <c r="CP653" s="347"/>
    </row>
    <row r="654">
      <c r="A654" s="574"/>
      <c r="B654" s="574"/>
      <c r="C654" s="347"/>
      <c r="D654" s="574"/>
      <c r="E654" s="347"/>
      <c r="F654" s="596"/>
      <c r="G654" s="596"/>
      <c r="H654" s="347"/>
      <c r="I654" s="347"/>
      <c r="J654" s="596"/>
      <c r="K654" s="609"/>
      <c r="L654" s="1"/>
      <c r="M654" s="347"/>
      <c r="N654" s="347"/>
      <c r="O654" s="579"/>
      <c r="P654" s="579"/>
      <c r="Q654" s="574"/>
      <c r="R654" s="347"/>
      <c r="S654" s="597"/>
      <c r="T654" s="347"/>
      <c r="U654" s="579"/>
      <c r="V654" s="579"/>
      <c r="W654" s="574"/>
      <c r="X654" s="347"/>
      <c r="Y654" s="347"/>
      <c r="Z654" s="347"/>
      <c r="AA654" s="579"/>
      <c r="AB654" s="581"/>
      <c r="AC654" s="347"/>
      <c r="AD654" s="347"/>
      <c r="AE654" s="347"/>
      <c r="AF654" s="347"/>
      <c r="AG654" s="579"/>
      <c r="AH654" s="579"/>
      <c r="AI654" s="582"/>
      <c r="AJ654" s="582"/>
      <c r="AK654" s="582"/>
      <c r="AL654" s="582"/>
      <c r="AM654" s="579"/>
      <c r="AN654" s="579"/>
      <c r="AO654" s="347"/>
      <c r="AP654" s="586"/>
      <c r="AQ654" s="596"/>
      <c r="AR654" s="596"/>
      <c r="AS654" s="348"/>
      <c r="AT654" s="348"/>
      <c r="AU654" s="348"/>
      <c r="AV654" s="348"/>
      <c r="AW654" s="348"/>
      <c r="AX654" s="584"/>
      <c r="AY654" s="581"/>
      <c r="AZ654" s="581"/>
      <c r="BA654" s="596"/>
      <c r="BB654" s="596"/>
      <c r="BC654" s="348"/>
      <c r="BD654" s="581"/>
      <c r="BE654" s="581"/>
      <c r="BF654" s="347"/>
      <c r="BG654" s="347"/>
      <c r="BH654" s="347"/>
      <c r="BI654" s="347"/>
      <c r="BJ654" s="586"/>
      <c r="BK654" s="581"/>
      <c r="BL654" s="347"/>
      <c r="BM654" s="347"/>
      <c r="BN654" s="347"/>
      <c r="BO654" s="586"/>
      <c r="BP654" s="584"/>
      <c r="BQ654" s="347"/>
      <c r="BR654" s="586"/>
      <c r="BS654" s="588"/>
      <c r="BT654" s="586"/>
      <c r="BU654" s="589"/>
      <c r="BV654" s="581">
        <f t="shared" si="44"/>
        <v>0</v>
      </c>
      <c r="BW654" s="590"/>
      <c r="BX654" s="347"/>
      <c r="BY654" s="347"/>
      <c r="BZ654" s="347"/>
      <c r="CA654" s="586"/>
      <c r="CB654" s="581"/>
      <c r="CC654" s="581">
        <f t="shared" si="193"/>
        <v>0</v>
      </c>
      <c r="CD654" s="581"/>
      <c r="CE654" s="581"/>
      <c r="CF654" s="581"/>
      <c r="CG654" s="586"/>
      <c r="CH654" s="608"/>
      <c r="CI654" s="603"/>
      <c r="CJ654" s="347"/>
      <c r="CK654" s="347"/>
      <c r="CL654" s="347"/>
      <c r="CM654" s="347"/>
      <c r="CN654" s="347"/>
      <c r="CO654" s="347"/>
      <c r="CP654" s="347"/>
    </row>
    <row r="655">
      <c r="A655" s="574"/>
      <c r="B655" s="574"/>
      <c r="C655" s="347"/>
      <c r="D655" s="574"/>
      <c r="E655" s="347"/>
      <c r="F655" s="596"/>
      <c r="G655" s="596"/>
      <c r="H655" s="347"/>
      <c r="I655" s="347"/>
      <c r="J655" s="596"/>
      <c r="K655" s="609"/>
      <c r="L655" s="1"/>
      <c r="M655" s="347"/>
      <c r="N655" s="347"/>
      <c r="O655" s="579"/>
      <c r="P655" s="579"/>
      <c r="Q655" s="574"/>
      <c r="R655" s="347"/>
      <c r="S655" s="597"/>
      <c r="T655" s="347"/>
      <c r="U655" s="579"/>
      <c r="V655" s="579"/>
      <c r="W655" s="574"/>
      <c r="X655" s="347"/>
      <c r="Y655" s="347"/>
      <c r="Z655" s="347"/>
      <c r="AA655" s="579"/>
      <c r="AB655" s="581"/>
      <c r="AC655" s="347"/>
      <c r="AD655" s="347"/>
      <c r="AE655" s="347"/>
      <c r="AF655" s="347"/>
      <c r="AG655" s="579"/>
      <c r="AH655" s="579"/>
      <c r="AI655" s="582"/>
      <c r="AJ655" s="582"/>
      <c r="AK655" s="582"/>
      <c r="AL655" s="582"/>
      <c r="AM655" s="579"/>
      <c r="AN655" s="579"/>
      <c r="AO655" s="347"/>
      <c r="AP655" s="586"/>
      <c r="AQ655" s="596"/>
      <c r="AR655" s="596"/>
      <c r="AS655" s="348"/>
      <c r="AT655" s="348"/>
      <c r="AU655" s="348"/>
      <c r="AV655" s="348"/>
      <c r="AW655" s="348"/>
      <c r="AX655" s="584"/>
      <c r="AY655" s="581"/>
      <c r="AZ655" s="581"/>
      <c r="BA655" s="596"/>
      <c r="BB655" s="596"/>
      <c r="BC655" s="348"/>
      <c r="BD655" s="581"/>
      <c r="BE655" s="581"/>
      <c r="BF655" s="347"/>
      <c r="BG655" s="347"/>
      <c r="BH655" s="347"/>
      <c r="BI655" s="347"/>
      <c r="BJ655" s="586"/>
      <c r="BK655" s="581"/>
      <c r="BL655" s="347"/>
      <c r="BM655" s="347"/>
      <c r="BN655" s="347"/>
      <c r="BO655" s="586"/>
      <c r="BP655" s="584"/>
      <c r="BQ655" s="347"/>
      <c r="BR655" s="586"/>
      <c r="BS655" s="588"/>
      <c r="BT655" s="586"/>
      <c r="BU655" s="589"/>
      <c r="BV655" s="581">
        <f t="shared" si="44"/>
        <v>0</v>
      </c>
      <c r="BW655" s="590"/>
      <c r="BX655" s="347"/>
      <c r="BY655" s="347"/>
      <c r="BZ655" s="347"/>
      <c r="CA655" s="586"/>
      <c r="CB655" s="581"/>
      <c r="CC655" s="581">
        <f t="shared" si="193"/>
        <v>0</v>
      </c>
      <c r="CD655" s="581"/>
      <c r="CE655" s="581"/>
      <c r="CF655" s="581"/>
      <c r="CG655" s="586"/>
      <c r="CH655" s="608"/>
      <c r="CI655" s="603"/>
      <c r="CJ655" s="347"/>
      <c r="CK655" s="347"/>
      <c r="CL655" s="347"/>
      <c r="CM655" s="347"/>
      <c r="CN655" s="347"/>
      <c r="CO655" s="347"/>
      <c r="CP655" s="347"/>
    </row>
    <row r="656">
      <c r="A656" s="574"/>
      <c r="B656" s="574"/>
      <c r="C656" s="347"/>
      <c r="D656" s="574"/>
      <c r="E656" s="347"/>
      <c r="F656" s="596"/>
      <c r="G656" s="596"/>
      <c r="H656" s="347"/>
      <c r="I656" s="347"/>
      <c r="J656" s="596"/>
      <c r="K656" s="609"/>
      <c r="L656" s="1"/>
      <c r="M656" s="347"/>
      <c r="N656" s="347"/>
      <c r="O656" s="579"/>
      <c r="P656" s="579"/>
      <c r="Q656" s="574"/>
      <c r="R656" s="347"/>
      <c r="S656" s="597"/>
      <c r="T656" s="347"/>
      <c r="U656" s="579"/>
      <c r="V656" s="579"/>
      <c r="W656" s="574"/>
      <c r="X656" s="347"/>
      <c r="Y656" s="347"/>
      <c r="Z656" s="347"/>
      <c r="AA656" s="579"/>
      <c r="AB656" s="581"/>
      <c r="AC656" s="347"/>
      <c r="AD656" s="347"/>
      <c r="AE656" s="347"/>
      <c r="AF656" s="347"/>
      <c r="AG656" s="579"/>
      <c r="AH656" s="579"/>
      <c r="AI656" s="582"/>
      <c r="AJ656" s="582"/>
      <c r="AK656" s="582"/>
      <c r="AL656" s="582"/>
      <c r="AM656" s="579"/>
      <c r="AN656" s="579"/>
      <c r="AO656" s="347"/>
      <c r="AP656" s="586"/>
      <c r="AQ656" s="596"/>
      <c r="AR656" s="596"/>
      <c r="AS656" s="348"/>
      <c r="AT656" s="348"/>
      <c r="AU656" s="348"/>
      <c r="AV656" s="348"/>
      <c r="AW656" s="348"/>
      <c r="AX656" s="584"/>
      <c r="AY656" s="581"/>
      <c r="AZ656" s="581"/>
      <c r="BA656" s="596"/>
      <c r="BB656" s="596"/>
      <c r="BC656" s="348"/>
      <c r="BD656" s="581"/>
      <c r="BE656" s="581"/>
      <c r="BF656" s="347"/>
      <c r="BG656" s="347"/>
      <c r="BH656" s="347"/>
      <c r="BI656" s="347"/>
      <c r="BJ656" s="586"/>
      <c r="BK656" s="581"/>
      <c r="BL656" s="347"/>
      <c r="BM656" s="347"/>
      <c r="BN656" s="347"/>
      <c r="BO656" s="586"/>
      <c r="BP656" s="584"/>
      <c r="BQ656" s="347"/>
      <c r="BR656" s="586"/>
      <c r="BS656" s="588"/>
      <c r="BT656" s="586"/>
      <c r="BU656" s="589"/>
      <c r="BV656" s="581">
        <f t="shared" si="44"/>
        <v>0</v>
      </c>
      <c r="BW656" s="590"/>
      <c r="BX656" s="347"/>
      <c r="BY656" s="347"/>
      <c r="BZ656" s="347"/>
      <c r="CA656" s="586"/>
      <c r="CB656" s="581"/>
      <c r="CC656" s="581">
        <f t="shared" si="193"/>
        <v>0</v>
      </c>
      <c r="CD656" s="581"/>
      <c r="CE656" s="581"/>
      <c r="CF656" s="581"/>
      <c r="CG656" s="586"/>
      <c r="CH656" s="608"/>
      <c r="CI656" s="603"/>
      <c r="CJ656" s="347"/>
      <c r="CK656" s="347"/>
      <c r="CL656" s="347"/>
      <c r="CM656" s="347"/>
      <c r="CN656" s="347"/>
      <c r="CO656" s="347"/>
      <c r="CP656" s="347"/>
    </row>
    <row r="657">
      <c r="A657" s="574"/>
      <c r="B657" s="574"/>
      <c r="C657" s="347"/>
      <c r="D657" s="574"/>
      <c r="E657" s="347"/>
      <c r="F657" s="596"/>
      <c r="G657" s="596"/>
      <c r="H657" s="347"/>
      <c r="I657" s="347"/>
      <c r="J657" s="596"/>
      <c r="K657" s="609"/>
      <c r="L657" s="1"/>
      <c r="M657" s="347"/>
      <c r="N657" s="347"/>
      <c r="O657" s="579"/>
      <c r="P657" s="579"/>
      <c r="Q657" s="574"/>
      <c r="R657" s="347"/>
      <c r="S657" s="597"/>
      <c r="T657" s="347"/>
      <c r="U657" s="579"/>
      <c r="V657" s="579"/>
      <c r="W657" s="574"/>
      <c r="X657" s="347"/>
      <c r="Y657" s="347"/>
      <c r="Z657" s="347"/>
      <c r="AA657" s="579"/>
      <c r="AB657" s="581"/>
      <c r="AC657" s="347"/>
      <c r="AD657" s="347"/>
      <c r="AE657" s="347"/>
      <c r="AF657" s="347"/>
      <c r="AG657" s="579"/>
      <c r="AH657" s="579"/>
      <c r="AI657" s="582"/>
      <c r="AJ657" s="582"/>
      <c r="AK657" s="582"/>
      <c r="AL657" s="582"/>
      <c r="AM657" s="579"/>
      <c r="AN657" s="579"/>
      <c r="AO657" s="347"/>
      <c r="AP657" s="586"/>
      <c r="AQ657" s="596"/>
      <c r="AR657" s="596"/>
      <c r="AS657" s="348"/>
      <c r="AT657" s="348"/>
      <c r="AU657" s="348"/>
      <c r="AV657" s="348"/>
      <c r="AW657" s="348"/>
      <c r="AX657" s="584"/>
      <c r="AY657" s="581"/>
      <c r="AZ657" s="581"/>
      <c r="BA657" s="596"/>
      <c r="BB657" s="596"/>
      <c r="BC657" s="348"/>
      <c r="BD657" s="581"/>
      <c r="BE657" s="581"/>
      <c r="BF657" s="347"/>
      <c r="BG657" s="347"/>
      <c r="BH657" s="347"/>
      <c r="BI657" s="347"/>
      <c r="BJ657" s="586"/>
      <c r="BK657" s="581"/>
      <c r="BL657" s="347"/>
      <c r="BM657" s="347"/>
      <c r="BN657" s="347"/>
      <c r="BO657" s="586"/>
      <c r="BP657" s="584"/>
      <c r="BQ657" s="347"/>
      <c r="BR657" s="586"/>
      <c r="BS657" s="588"/>
      <c r="BT657" s="586"/>
      <c r="BU657" s="589"/>
      <c r="BV657" s="581">
        <f t="shared" si="44"/>
        <v>0</v>
      </c>
      <c r="BW657" s="590"/>
      <c r="BX657" s="347"/>
      <c r="BY657" s="347"/>
      <c r="BZ657" s="347"/>
      <c r="CA657" s="586"/>
      <c r="CB657" s="581"/>
      <c r="CC657" s="581">
        <f t="shared" si="193"/>
        <v>0</v>
      </c>
      <c r="CD657" s="581"/>
      <c r="CE657" s="581"/>
      <c r="CF657" s="581"/>
      <c r="CG657" s="586"/>
      <c r="CH657" s="608"/>
      <c r="CI657" s="603"/>
      <c r="CJ657" s="347"/>
      <c r="CK657" s="347"/>
      <c r="CL657" s="347"/>
      <c r="CM657" s="347"/>
      <c r="CN657" s="347"/>
      <c r="CO657" s="347"/>
      <c r="CP657" s="347"/>
    </row>
    <row r="658">
      <c r="A658" s="574"/>
      <c r="B658" s="574"/>
      <c r="C658" s="347"/>
      <c r="D658" s="574"/>
      <c r="E658" s="347"/>
      <c r="F658" s="596"/>
      <c r="G658" s="596"/>
      <c r="H658" s="347"/>
      <c r="I658" s="347"/>
      <c r="J658" s="596"/>
      <c r="K658" s="609"/>
      <c r="L658" s="1"/>
      <c r="M658" s="347"/>
      <c r="N658" s="347"/>
      <c r="O658" s="579"/>
      <c r="P658" s="579"/>
      <c r="Q658" s="574"/>
      <c r="R658" s="347"/>
      <c r="S658" s="597"/>
      <c r="T658" s="347"/>
      <c r="U658" s="579"/>
      <c r="V658" s="579"/>
      <c r="W658" s="574"/>
      <c r="X658" s="347"/>
      <c r="Y658" s="347"/>
      <c r="Z658" s="347"/>
      <c r="AA658" s="579"/>
      <c r="AB658" s="581"/>
      <c r="AC658" s="347"/>
      <c r="AD658" s="347"/>
      <c r="AE658" s="347"/>
      <c r="AF658" s="347"/>
      <c r="AG658" s="579"/>
      <c r="AH658" s="579"/>
      <c r="AI658" s="582"/>
      <c r="AJ658" s="582"/>
      <c r="AK658" s="582"/>
      <c r="AL658" s="582"/>
      <c r="AM658" s="579"/>
      <c r="AN658" s="579"/>
      <c r="AO658" s="347"/>
      <c r="AP658" s="586"/>
      <c r="AQ658" s="596"/>
      <c r="AR658" s="596"/>
      <c r="AS658" s="348"/>
      <c r="AT658" s="348"/>
      <c r="AU658" s="348"/>
      <c r="AV658" s="348"/>
      <c r="AW658" s="348"/>
      <c r="AX658" s="584"/>
      <c r="AY658" s="581"/>
      <c r="AZ658" s="581"/>
      <c r="BA658" s="596"/>
      <c r="BB658" s="596"/>
      <c r="BC658" s="348"/>
      <c r="BD658" s="581"/>
      <c r="BE658" s="581"/>
      <c r="BF658" s="347"/>
      <c r="BG658" s="347"/>
      <c r="BH658" s="347"/>
      <c r="BI658" s="347"/>
      <c r="BJ658" s="586"/>
      <c r="BK658" s="581"/>
      <c r="BL658" s="347"/>
      <c r="BM658" s="347"/>
      <c r="BN658" s="347"/>
      <c r="BO658" s="586"/>
      <c r="BP658" s="584"/>
      <c r="BQ658" s="347"/>
      <c r="BR658" s="586"/>
      <c r="BS658" s="588"/>
      <c r="BT658" s="586"/>
      <c r="BU658" s="589"/>
      <c r="BV658" s="581">
        <f t="shared" si="44"/>
        <v>0</v>
      </c>
      <c r="BW658" s="590"/>
      <c r="BX658" s="347"/>
      <c r="BY658" s="347"/>
      <c r="BZ658" s="347"/>
      <c r="CA658" s="586"/>
      <c r="CB658" s="581"/>
      <c r="CC658" s="581">
        <f t="shared" si="193"/>
        <v>0</v>
      </c>
      <c r="CD658" s="581"/>
      <c r="CE658" s="581"/>
      <c r="CF658" s="581"/>
      <c r="CG658" s="586"/>
      <c r="CH658" s="608"/>
      <c r="CI658" s="603"/>
      <c r="CJ658" s="347"/>
      <c r="CK658" s="347"/>
      <c r="CL658" s="347"/>
      <c r="CM658" s="347"/>
      <c r="CN658" s="347"/>
      <c r="CO658" s="347"/>
      <c r="CP658" s="347"/>
    </row>
    <row r="659">
      <c r="A659" s="574"/>
      <c r="B659" s="574"/>
      <c r="C659" s="347"/>
      <c r="D659" s="574"/>
      <c r="E659" s="347"/>
      <c r="F659" s="596"/>
      <c r="G659" s="596"/>
      <c r="H659" s="347"/>
      <c r="I659" s="347"/>
      <c r="J659" s="596"/>
      <c r="K659" s="609"/>
      <c r="L659" s="1"/>
      <c r="M659" s="347"/>
      <c r="N659" s="347"/>
      <c r="O659" s="579"/>
      <c r="P659" s="579"/>
      <c r="Q659" s="574"/>
      <c r="R659" s="347"/>
      <c r="S659" s="597"/>
      <c r="T659" s="347"/>
      <c r="U659" s="579"/>
      <c r="V659" s="579"/>
      <c r="W659" s="574"/>
      <c r="X659" s="347"/>
      <c r="Y659" s="347"/>
      <c r="Z659" s="347"/>
      <c r="AA659" s="579"/>
      <c r="AB659" s="581"/>
      <c r="AC659" s="347"/>
      <c r="AD659" s="347"/>
      <c r="AE659" s="347"/>
      <c r="AF659" s="347"/>
      <c r="AG659" s="579"/>
      <c r="AH659" s="579"/>
      <c r="AI659" s="582"/>
      <c r="AJ659" s="582"/>
      <c r="AK659" s="582"/>
      <c r="AL659" s="582"/>
      <c r="AM659" s="579"/>
      <c r="AN659" s="579"/>
      <c r="AO659" s="347"/>
      <c r="AP659" s="586"/>
      <c r="AQ659" s="596"/>
      <c r="AR659" s="596"/>
      <c r="AS659" s="348"/>
      <c r="AT659" s="348"/>
      <c r="AU659" s="348"/>
      <c r="AV659" s="348"/>
      <c r="AW659" s="348"/>
      <c r="AX659" s="584"/>
      <c r="AY659" s="581"/>
      <c r="AZ659" s="581"/>
      <c r="BA659" s="596"/>
      <c r="BB659" s="596"/>
      <c r="BC659" s="348"/>
      <c r="BD659" s="581"/>
      <c r="BE659" s="581"/>
      <c r="BF659" s="347"/>
      <c r="BG659" s="347"/>
      <c r="BH659" s="347"/>
      <c r="BI659" s="347"/>
      <c r="BJ659" s="586"/>
      <c r="BK659" s="581"/>
      <c r="BL659" s="347"/>
      <c r="BM659" s="347"/>
      <c r="BN659" s="347"/>
      <c r="BO659" s="586"/>
      <c r="BP659" s="584"/>
      <c r="BQ659" s="347"/>
      <c r="BR659" s="586"/>
      <c r="BS659" s="588"/>
      <c r="BT659" s="586"/>
      <c r="BU659" s="589"/>
      <c r="BV659" s="581">
        <f t="shared" si="44"/>
        <v>0</v>
      </c>
      <c r="BW659" s="590"/>
      <c r="BX659" s="347"/>
      <c r="BY659" s="347"/>
      <c r="BZ659" s="347"/>
      <c r="CA659" s="586"/>
      <c r="CB659" s="581"/>
      <c r="CC659" s="581">
        <f t="shared" si="193"/>
        <v>0</v>
      </c>
      <c r="CD659" s="581"/>
      <c r="CE659" s="581"/>
      <c r="CF659" s="581"/>
      <c r="CG659" s="586"/>
      <c r="CH659" s="608"/>
      <c r="CI659" s="603"/>
      <c r="CJ659" s="347"/>
      <c r="CK659" s="347"/>
      <c r="CL659" s="347"/>
      <c r="CM659" s="347"/>
      <c r="CN659" s="347"/>
      <c r="CO659" s="347"/>
      <c r="CP659" s="347"/>
    </row>
    <row r="660">
      <c r="A660" s="574"/>
      <c r="B660" s="574"/>
      <c r="C660" s="347"/>
      <c r="D660" s="574"/>
      <c r="E660" s="347"/>
      <c r="F660" s="596"/>
      <c r="G660" s="596"/>
      <c r="H660" s="347"/>
      <c r="I660" s="347"/>
      <c r="J660" s="596"/>
      <c r="K660" s="609"/>
      <c r="L660" s="1"/>
      <c r="M660" s="347"/>
      <c r="N660" s="347"/>
      <c r="O660" s="579"/>
      <c r="P660" s="579"/>
      <c r="Q660" s="574"/>
      <c r="R660" s="347"/>
      <c r="S660" s="597"/>
      <c r="T660" s="347"/>
      <c r="U660" s="579"/>
      <c r="V660" s="579"/>
      <c r="W660" s="574"/>
      <c r="X660" s="347"/>
      <c r="Y660" s="347"/>
      <c r="Z660" s="347"/>
      <c r="AA660" s="579"/>
      <c r="AB660" s="581"/>
      <c r="AC660" s="347"/>
      <c r="AD660" s="347"/>
      <c r="AE660" s="347"/>
      <c r="AF660" s="347"/>
      <c r="AG660" s="579"/>
      <c r="AH660" s="579"/>
      <c r="AI660" s="582"/>
      <c r="AJ660" s="582"/>
      <c r="AK660" s="582"/>
      <c r="AL660" s="582"/>
      <c r="AM660" s="579"/>
      <c r="AN660" s="579"/>
      <c r="AO660" s="347"/>
      <c r="AP660" s="586"/>
      <c r="AQ660" s="596"/>
      <c r="AR660" s="596"/>
      <c r="AS660" s="348"/>
      <c r="AT660" s="348"/>
      <c r="AU660" s="348"/>
      <c r="AV660" s="348"/>
      <c r="AW660" s="348"/>
      <c r="AX660" s="584"/>
      <c r="AY660" s="581"/>
      <c r="AZ660" s="581"/>
      <c r="BA660" s="596"/>
      <c r="BB660" s="596"/>
      <c r="BC660" s="348"/>
      <c r="BD660" s="581"/>
      <c r="BE660" s="581"/>
      <c r="BF660" s="347"/>
      <c r="BG660" s="347"/>
      <c r="BH660" s="347"/>
      <c r="BI660" s="347"/>
      <c r="BJ660" s="586"/>
      <c r="BK660" s="581"/>
      <c r="BL660" s="347"/>
      <c r="BM660" s="347"/>
      <c r="BN660" s="347"/>
      <c r="BO660" s="586"/>
      <c r="BP660" s="584"/>
      <c r="BQ660" s="347"/>
      <c r="BR660" s="586"/>
      <c r="BS660" s="588"/>
      <c r="BT660" s="586"/>
      <c r="BU660" s="589"/>
      <c r="BV660" s="581">
        <f t="shared" si="44"/>
        <v>0</v>
      </c>
      <c r="BW660" s="590"/>
      <c r="BX660" s="347"/>
      <c r="BY660" s="347"/>
      <c r="BZ660" s="347"/>
      <c r="CA660" s="586"/>
      <c r="CB660" s="581"/>
      <c r="CC660" s="581">
        <f t="shared" si="193"/>
        <v>0</v>
      </c>
      <c r="CD660" s="581"/>
      <c r="CE660" s="581"/>
      <c r="CF660" s="581"/>
      <c r="CG660" s="586"/>
      <c r="CH660" s="608"/>
      <c r="CI660" s="603"/>
      <c r="CJ660" s="347"/>
      <c r="CK660" s="347"/>
      <c r="CL660" s="347"/>
      <c r="CM660" s="347"/>
      <c r="CN660" s="347"/>
      <c r="CO660" s="347"/>
      <c r="CP660" s="347"/>
    </row>
    <row r="661">
      <c r="A661" s="574"/>
      <c r="B661" s="574"/>
      <c r="C661" s="347"/>
      <c r="D661" s="574"/>
      <c r="E661" s="347"/>
      <c r="F661" s="596"/>
      <c r="G661" s="596"/>
      <c r="H661" s="347"/>
      <c r="I661" s="347"/>
      <c r="J661" s="596"/>
      <c r="K661" s="609"/>
      <c r="L661" s="1"/>
      <c r="M661" s="347"/>
      <c r="N661" s="347"/>
      <c r="O661" s="579"/>
      <c r="P661" s="579"/>
      <c r="Q661" s="574"/>
      <c r="R661" s="347"/>
      <c r="S661" s="597"/>
      <c r="T661" s="347"/>
      <c r="U661" s="579"/>
      <c r="V661" s="579"/>
      <c r="W661" s="574"/>
      <c r="X661" s="347"/>
      <c r="Y661" s="347"/>
      <c r="Z661" s="347"/>
      <c r="AA661" s="579"/>
      <c r="AB661" s="581"/>
      <c r="AC661" s="347"/>
      <c r="AD661" s="347"/>
      <c r="AE661" s="347"/>
      <c r="AF661" s="347"/>
      <c r="AG661" s="579"/>
      <c r="AH661" s="579"/>
      <c r="AI661" s="582"/>
      <c r="AJ661" s="582"/>
      <c r="AK661" s="582"/>
      <c r="AL661" s="582"/>
      <c r="AM661" s="579"/>
      <c r="AN661" s="579"/>
      <c r="AO661" s="347"/>
      <c r="AP661" s="586"/>
      <c r="AQ661" s="596"/>
      <c r="AR661" s="596"/>
      <c r="AS661" s="348"/>
      <c r="AT661" s="348"/>
      <c r="AU661" s="348"/>
      <c r="AV661" s="348"/>
      <c r="AW661" s="348"/>
      <c r="AX661" s="584"/>
      <c r="AY661" s="581"/>
      <c r="AZ661" s="581"/>
      <c r="BA661" s="596"/>
      <c r="BB661" s="596"/>
      <c r="BC661" s="348"/>
      <c r="BD661" s="581"/>
      <c r="BE661" s="581"/>
      <c r="BF661" s="347"/>
      <c r="BG661" s="347"/>
      <c r="BH661" s="347"/>
      <c r="BI661" s="347"/>
      <c r="BJ661" s="586"/>
      <c r="BK661" s="581"/>
      <c r="BL661" s="347"/>
      <c r="BM661" s="347"/>
      <c r="BN661" s="347"/>
      <c r="BO661" s="586"/>
      <c r="BP661" s="584"/>
      <c r="BQ661" s="347"/>
      <c r="BR661" s="586"/>
      <c r="BS661" s="588"/>
      <c r="BT661" s="586"/>
      <c r="BU661" s="589"/>
      <c r="BV661" s="581">
        <f t="shared" si="44"/>
        <v>0</v>
      </c>
      <c r="BW661" s="590"/>
      <c r="BX661" s="347"/>
      <c r="BY661" s="347"/>
      <c r="BZ661" s="347"/>
      <c r="CA661" s="586"/>
      <c r="CB661" s="581"/>
      <c r="CC661" s="581">
        <f t="shared" si="193"/>
        <v>0</v>
      </c>
      <c r="CD661" s="581"/>
      <c r="CE661" s="581"/>
      <c r="CF661" s="581"/>
      <c r="CG661" s="586"/>
      <c r="CH661" s="608"/>
      <c r="CI661" s="603"/>
      <c r="CJ661" s="347"/>
      <c r="CK661" s="347"/>
      <c r="CL661" s="347"/>
      <c r="CM661" s="347"/>
      <c r="CN661" s="347"/>
      <c r="CO661" s="347"/>
      <c r="CP661" s="347"/>
    </row>
    <row r="662">
      <c r="A662" s="574"/>
      <c r="B662" s="574"/>
      <c r="C662" s="347"/>
      <c r="D662" s="574"/>
      <c r="E662" s="347"/>
      <c r="F662" s="596"/>
      <c r="G662" s="596"/>
      <c r="H662" s="347"/>
      <c r="I662" s="347"/>
      <c r="J662" s="596"/>
      <c r="K662" s="609"/>
      <c r="L662" s="1"/>
      <c r="M662" s="347"/>
      <c r="N662" s="347"/>
      <c r="O662" s="579"/>
      <c r="P662" s="579"/>
      <c r="Q662" s="574"/>
      <c r="R662" s="347"/>
      <c r="S662" s="597"/>
      <c r="T662" s="347"/>
      <c r="U662" s="579"/>
      <c r="V662" s="579"/>
      <c r="W662" s="574"/>
      <c r="X662" s="347"/>
      <c r="Y662" s="347"/>
      <c r="Z662" s="347"/>
      <c r="AA662" s="579"/>
      <c r="AB662" s="581"/>
      <c r="AC662" s="347"/>
      <c r="AD662" s="347"/>
      <c r="AE662" s="347"/>
      <c r="AF662" s="347"/>
      <c r="AG662" s="579"/>
      <c r="AH662" s="579"/>
      <c r="AI662" s="582"/>
      <c r="AJ662" s="582"/>
      <c r="AK662" s="582"/>
      <c r="AL662" s="582"/>
      <c r="AM662" s="579"/>
      <c r="AN662" s="579"/>
      <c r="AO662" s="347"/>
      <c r="AP662" s="586"/>
      <c r="AQ662" s="596"/>
      <c r="AR662" s="596"/>
      <c r="AS662" s="348"/>
      <c r="AT662" s="348"/>
      <c r="AU662" s="348"/>
      <c r="AV662" s="348"/>
      <c r="AW662" s="348"/>
      <c r="AX662" s="584"/>
      <c r="AY662" s="581"/>
      <c r="AZ662" s="581"/>
      <c r="BA662" s="596"/>
      <c r="BB662" s="596"/>
      <c r="BC662" s="348"/>
      <c r="BD662" s="581"/>
      <c r="BE662" s="581"/>
      <c r="BF662" s="347"/>
      <c r="BG662" s="347"/>
      <c r="BH662" s="347"/>
      <c r="BI662" s="347"/>
      <c r="BJ662" s="586"/>
      <c r="BK662" s="581"/>
      <c r="BL662" s="347"/>
      <c r="BM662" s="347"/>
      <c r="BN662" s="347"/>
      <c r="BO662" s="586"/>
      <c r="BP662" s="584"/>
      <c r="BQ662" s="347"/>
      <c r="BR662" s="586"/>
      <c r="BS662" s="588"/>
      <c r="BT662" s="586"/>
      <c r="BU662" s="589"/>
      <c r="BV662" s="581">
        <f t="shared" si="44"/>
        <v>0</v>
      </c>
      <c r="BW662" s="590"/>
      <c r="BX662" s="347"/>
      <c r="BY662" s="347"/>
      <c r="BZ662" s="347"/>
      <c r="CA662" s="586"/>
      <c r="CB662" s="581"/>
      <c r="CC662" s="581">
        <f t="shared" si="193"/>
        <v>0</v>
      </c>
      <c r="CD662" s="581"/>
      <c r="CE662" s="581"/>
      <c r="CF662" s="581"/>
      <c r="CG662" s="586"/>
      <c r="CH662" s="608"/>
      <c r="CI662" s="603"/>
      <c r="CJ662" s="347"/>
      <c r="CK662" s="347"/>
      <c r="CL662" s="347"/>
      <c r="CM662" s="347"/>
      <c r="CN662" s="347"/>
      <c r="CO662" s="347"/>
      <c r="CP662" s="347"/>
    </row>
    <row r="663">
      <c r="A663" s="574"/>
      <c r="B663" s="574"/>
      <c r="C663" s="347"/>
      <c r="D663" s="574"/>
      <c r="E663" s="347"/>
      <c r="F663" s="596"/>
      <c r="G663" s="596"/>
      <c r="H663" s="347"/>
      <c r="I663" s="347"/>
      <c r="J663" s="596"/>
      <c r="K663" s="609"/>
      <c r="L663" s="1"/>
      <c r="M663" s="347"/>
      <c r="N663" s="347"/>
      <c r="O663" s="579"/>
      <c r="P663" s="579"/>
      <c r="Q663" s="574"/>
      <c r="R663" s="347"/>
      <c r="S663" s="597"/>
      <c r="T663" s="347"/>
      <c r="U663" s="579"/>
      <c r="V663" s="579"/>
      <c r="W663" s="574"/>
      <c r="X663" s="347"/>
      <c r="Y663" s="347"/>
      <c r="Z663" s="347"/>
      <c r="AA663" s="579"/>
      <c r="AB663" s="581"/>
      <c r="AC663" s="347"/>
      <c r="AD663" s="347"/>
      <c r="AE663" s="347"/>
      <c r="AF663" s="347"/>
      <c r="AG663" s="579"/>
      <c r="AH663" s="579"/>
      <c r="AI663" s="582"/>
      <c r="AJ663" s="582"/>
      <c r="AK663" s="582"/>
      <c r="AL663" s="582"/>
      <c r="AM663" s="579"/>
      <c r="AN663" s="579"/>
      <c r="AO663" s="347"/>
      <c r="AP663" s="586"/>
      <c r="AQ663" s="596"/>
      <c r="AR663" s="596"/>
      <c r="AS663" s="348"/>
      <c r="AT663" s="348"/>
      <c r="AU663" s="348"/>
      <c r="AV663" s="348"/>
      <c r="AW663" s="348"/>
      <c r="AX663" s="584"/>
      <c r="AY663" s="581"/>
      <c r="AZ663" s="581"/>
      <c r="BA663" s="596"/>
      <c r="BB663" s="596"/>
      <c r="BC663" s="348"/>
      <c r="BD663" s="581"/>
      <c r="BE663" s="581"/>
      <c r="BF663" s="347"/>
      <c r="BG663" s="347"/>
      <c r="BH663" s="347"/>
      <c r="BI663" s="347"/>
      <c r="BJ663" s="586"/>
      <c r="BK663" s="581"/>
      <c r="BL663" s="347"/>
      <c r="BM663" s="347"/>
      <c r="BN663" s="347"/>
      <c r="BO663" s="586"/>
      <c r="BP663" s="584"/>
      <c r="BQ663" s="347"/>
      <c r="BR663" s="586"/>
      <c r="BS663" s="588"/>
      <c r="BT663" s="586"/>
      <c r="BU663" s="589"/>
      <c r="BV663" s="581">
        <f t="shared" si="44"/>
        <v>0</v>
      </c>
      <c r="BW663" s="590"/>
      <c r="BX663" s="347"/>
      <c r="BY663" s="347"/>
      <c r="BZ663" s="347"/>
      <c r="CA663" s="586"/>
      <c r="CB663" s="581"/>
      <c r="CC663" s="581">
        <f t="shared" si="193"/>
        <v>0</v>
      </c>
      <c r="CD663" s="581"/>
      <c r="CE663" s="581"/>
      <c r="CF663" s="581"/>
      <c r="CG663" s="586"/>
      <c r="CH663" s="608"/>
      <c r="CI663" s="603"/>
      <c r="CJ663" s="347"/>
      <c r="CK663" s="347"/>
      <c r="CL663" s="347"/>
      <c r="CM663" s="347"/>
      <c r="CN663" s="347"/>
      <c r="CO663" s="347"/>
      <c r="CP663" s="347"/>
    </row>
    <row r="664">
      <c r="A664" s="574"/>
      <c r="B664" s="574"/>
      <c r="C664" s="347"/>
      <c r="D664" s="574"/>
      <c r="E664" s="347"/>
      <c r="F664" s="596"/>
      <c r="G664" s="596"/>
      <c r="H664" s="347"/>
      <c r="I664" s="347"/>
      <c r="J664" s="596"/>
      <c r="K664" s="609"/>
      <c r="L664" s="1"/>
      <c r="M664" s="347"/>
      <c r="N664" s="347"/>
      <c r="O664" s="579"/>
      <c r="P664" s="579"/>
      <c r="Q664" s="574"/>
      <c r="R664" s="347"/>
      <c r="S664" s="597"/>
      <c r="T664" s="347"/>
      <c r="U664" s="579"/>
      <c r="V664" s="579"/>
      <c r="W664" s="574"/>
      <c r="X664" s="347"/>
      <c r="Y664" s="347"/>
      <c r="Z664" s="347"/>
      <c r="AA664" s="579"/>
      <c r="AB664" s="581"/>
      <c r="AC664" s="347"/>
      <c r="AD664" s="347"/>
      <c r="AE664" s="347"/>
      <c r="AF664" s="347"/>
      <c r="AG664" s="579"/>
      <c r="AH664" s="579"/>
      <c r="AI664" s="582"/>
      <c r="AJ664" s="582"/>
      <c r="AK664" s="582"/>
      <c r="AL664" s="582"/>
      <c r="AM664" s="579"/>
      <c r="AN664" s="579"/>
      <c r="AO664" s="347"/>
      <c r="AP664" s="586"/>
      <c r="AQ664" s="596"/>
      <c r="AR664" s="596"/>
      <c r="AS664" s="348"/>
      <c r="AT664" s="348"/>
      <c r="AU664" s="348"/>
      <c r="AV664" s="348"/>
      <c r="AW664" s="348"/>
      <c r="AX664" s="584"/>
      <c r="AY664" s="581"/>
      <c r="AZ664" s="581"/>
      <c r="BA664" s="596"/>
      <c r="BB664" s="596"/>
      <c r="BC664" s="348"/>
      <c r="BD664" s="581"/>
      <c r="BE664" s="581"/>
      <c r="BF664" s="347"/>
      <c r="BG664" s="347"/>
      <c r="BH664" s="347"/>
      <c r="BI664" s="347"/>
      <c r="BJ664" s="586"/>
      <c r="BK664" s="581"/>
      <c r="BL664" s="347"/>
      <c r="BM664" s="347"/>
      <c r="BN664" s="347"/>
      <c r="BO664" s="586"/>
      <c r="BP664" s="584"/>
      <c r="BQ664" s="347"/>
      <c r="BR664" s="586"/>
      <c r="BS664" s="588"/>
      <c r="BT664" s="586"/>
      <c r="BU664" s="589"/>
      <c r="BV664" s="581">
        <f t="shared" si="44"/>
        <v>0</v>
      </c>
      <c r="BW664" s="590"/>
      <c r="BX664" s="347"/>
      <c r="BY664" s="347"/>
      <c r="BZ664" s="347"/>
      <c r="CA664" s="586"/>
      <c r="CB664" s="581"/>
      <c r="CC664" s="581">
        <f t="shared" si="193"/>
        <v>0</v>
      </c>
      <c r="CD664" s="581"/>
      <c r="CE664" s="581"/>
      <c r="CF664" s="581"/>
      <c r="CG664" s="586"/>
      <c r="CH664" s="608"/>
      <c r="CI664" s="603"/>
      <c r="CJ664" s="347"/>
      <c r="CK664" s="347"/>
      <c r="CL664" s="347"/>
      <c r="CM664" s="347"/>
      <c r="CN664" s="347"/>
      <c r="CO664" s="347"/>
      <c r="CP664" s="347"/>
    </row>
    <row r="665">
      <c r="A665" s="574"/>
      <c r="B665" s="574"/>
      <c r="C665" s="347"/>
      <c r="D665" s="574"/>
      <c r="E665" s="347"/>
      <c r="F665" s="596"/>
      <c r="G665" s="596"/>
      <c r="H665" s="347"/>
      <c r="I665" s="347"/>
      <c r="J665" s="596"/>
      <c r="K665" s="609"/>
      <c r="L665" s="1"/>
      <c r="M665" s="347"/>
      <c r="N665" s="347"/>
      <c r="O665" s="579"/>
      <c r="P665" s="579"/>
      <c r="Q665" s="574"/>
      <c r="R665" s="347"/>
      <c r="S665" s="597"/>
      <c r="T665" s="347"/>
      <c r="U665" s="579"/>
      <c r="V665" s="579"/>
      <c r="W665" s="574"/>
      <c r="X665" s="347"/>
      <c r="Y665" s="347"/>
      <c r="Z665" s="347"/>
      <c r="AA665" s="579"/>
      <c r="AB665" s="581"/>
      <c r="AC665" s="347"/>
      <c r="AD665" s="347"/>
      <c r="AE665" s="347"/>
      <c r="AF665" s="347"/>
      <c r="AG665" s="579"/>
      <c r="AH665" s="579"/>
      <c r="AI665" s="582"/>
      <c r="AJ665" s="582"/>
      <c r="AK665" s="582"/>
      <c r="AL665" s="582"/>
      <c r="AM665" s="579"/>
      <c r="AN665" s="579"/>
      <c r="AO665" s="347"/>
      <c r="AP665" s="586"/>
      <c r="AQ665" s="596"/>
      <c r="AR665" s="596"/>
      <c r="AS665" s="348"/>
      <c r="AT665" s="348"/>
      <c r="AU665" s="348"/>
      <c r="AV665" s="348"/>
      <c r="AW665" s="348"/>
      <c r="AX665" s="584"/>
      <c r="AY665" s="581"/>
      <c r="AZ665" s="581"/>
      <c r="BA665" s="596"/>
      <c r="BB665" s="596"/>
      <c r="BC665" s="348"/>
      <c r="BD665" s="581"/>
      <c r="BE665" s="581"/>
      <c r="BF665" s="347"/>
      <c r="BG665" s="347"/>
      <c r="BH665" s="347"/>
      <c r="BI665" s="347"/>
      <c r="BJ665" s="586"/>
      <c r="BK665" s="581"/>
      <c r="BL665" s="347"/>
      <c r="BM665" s="347"/>
      <c r="BN665" s="347"/>
      <c r="BO665" s="586"/>
      <c r="BP665" s="584"/>
      <c r="BQ665" s="347"/>
      <c r="BR665" s="586"/>
      <c r="BS665" s="588"/>
      <c r="BT665" s="586"/>
      <c r="BU665" s="589"/>
      <c r="BV665" s="581">
        <f t="shared" si="44"/>
        <v>0</v>
      </c>
      <c r="BW665" s="590"/>
      <c r="BX665" s="347"/>
      <c r="BY665" s="347"/>
      <c r="BZ665" s="347"/>
      <c r="CA665" s="586"/>
      <c r="CB665" s="581"/>
      <c r="CC665" s="581">
        <f t="shared" si="193"/>
        <v>0</v>
      </c>
      <c r="CD665" s="581"/>
      <c r="CE665" s="581"/>
      <c r="CF665" s="581"/>
      <c r="CG665" s="586"/>
      <c r="CH665" s="608"/>
      <c r="CI665" s="603"/>
      <c r="CJ665" s="347"/>
      <c r="CK665" s="347"/>
      <c r="CL665" s="347"/>
      <c r="CM665" s="347"/>
      <c r="CN665" s="347"/>
      <c r="CO665" s="347"/>
      <c r="CP665" s="347"/>
    </row>
    <row r="666">
      <c r="A666" s="574"/>
      <c r="B666" s="574"/>
      <c r="C666" s="347"/>
      <c r="D666" s="574"/>
      <c r="E666" s="347"/>
      <c r="F666" s="596"/>
      <c r="G666" s="596"/>
      <c r="H666" s="347"/>
      <c r="I666" s="347"/>
      <c r="J666" s="596"/>
      <c r="K666" s="609"/>
      <c r="L666" s="1"/>
      <c r="M666" s="347"/>
      <c r="N666" s="347"/>
      <c r="O666" s="579"/>
      <c r="P666" s="579"/>
      <c r="Q666" s="574"/>
      <c r="R666" s="347"/>
      <c r="S666" s="597"/>
      <c r="T666" s="347"/>
      <c r="U666" s="579"/>
      <c r="V666" s="579"/>
      <c r="W666" s="574"/>
      <c r="X666" s="347"/>
      <c r="Y666" s="347"/>
      <c r="Z666" s="347"/>
      <c r="AA666" s="579"/>
      <c r="AB666" s="581"/>
      <c r="AC666" s="347"/>
      <c r="AD666" s="347"/>
      <c r="AE666" s="347"/>
      <c r="AF666" s="347"/>
      <c r="AG666" s="579"/>
      <c r="AH666" s="579"/>
      <c r="AI666" s="582"/>
      <c r="AJ666" s="582"/>
      <c r="AK666" s="582"/>
      <c r="AL666" s="582"/>
      <c r="AM666" s="579"/>
      <c r="AN666" s="579"/>
      <c r="AO666" s="347"/>
      <c r="AP666" s="586"/>
      <c r="AQ666" s="596"/>
      <c r="AR666" s="596"/>
      <c r="AS666" s="348"/>
      <c r="AT666" s="348"/>
      <c r="AU666" s="348"/>
      <c r="AV666" s="348"/>
      <c r="AW666" s="348"/>
      <c r="AX666" s="584"/>
      <c r="AY666" s="581"/>
      <c r="AZ666" s="581"/>
      <c r="BA666" s="596"/>
      <c r="BB666" s="596"/>
      <c r="BC666" s="348"/>
      <c r="BD666" s="581"/>
      <c r="BE666" s="581"/>
      <c r="BF666" s="347"/>
      <c r="BG666" s="347"/>
      <c r="BH666" s="347"/>
      <c r="BI666" s="347"/>
      <c r="BJ666" s="586"/>
      <c r="BK666" s="581"/>
      <c r="BL666" s="347"/>
      <c r="BM666" s="347"/>
      <c r="BN666" s="347"/>
      <c r="BO666" s="586"/>
      <c r="BP666" s="584"/>
      <c r="BQ666" s="347"/>
      <c r="BR666" s="586"/>
      <c r="BS666" s="588"/>
      <c r="BT666" s="586"/>
      <c r="BU666" s="589"/>
      <c r="BV666" s="581">
        <f t="shared" si="44"/>
        <v>0</v>
      </c>
      <c r="BW666" s="590"/>
      <c r="BX666" s="347"/>
      <c r="BY666" s="347"/>
      <c r="BZ666" s="347"/>
      <c r="CA666" s="586"/>
      <c r="CB666" s="581"/>
      <c r="CC666" s="581">
        <f t="shared" si="193"/>
        <v>0</v>
      </c>
      <c r="CD666" s="581"/>
      <c r="CE666" s="581"/>
      <c r="CF666" s="581"/>
      <c r="CG666" s="586"/>
      <c r="CH666" s="608"/>
      <c r="CI666" s="603"/>
      <c r="CJ666" s="347"/>
      <c r="CK666" s="347"/>
      <c r="CL666" s="347"/>
      <c r="CM666" s="347"/>
      <c r="CN666" s="347"/>
      <c r="CO666" s="347"/>
      <c r="CP666" s="347"/>
    </row>
    <row r="667">
      <c r="A667" s="574"/>
      <c r="B667" s="574"/>
      <c r="C667" s="347"/>
      <c r="D667" s="574"/>
      <c r="E667" s="347"/>
      <c r="F667" s="596"/>
      <c r="G667" s="596"/>
      <c r="H667" s="347"/>
      <c r="I667" s="347"/>
      <c r="J667" s="596"/>
      <c r="K667" s="609"/>
      <c r="L667" s="1"/>
      <c r="M667" s="347"/>
      <c r="N667" s="347"/>
      <c r="O667" s="579"/>
      <c r="P667" s="579"/>
      <c r="Q667" s="574"/>
      <c r="R667" s="347"/>
      <c r="S667" s="597"/>
      <c r="T667" s="347"/>
      <c r="U667" s="579"/>
      <c r="V667" s="579"/>
      <c r="W667" s="574"/>
      <c r="X667" s="347"/>
      <c r="Y667" s="347"/>
      <c r="Z667" s="347"/>
      <c r="AA667" s="579"/>
      <c r="AB667" s="581"/>
      <c r="AC667" s="347"/>
      <c r="AD667" s="347"/>
      <c r="AE667" s="347"/>
      <c r="AF667" s="347"/>
      <c r="AG667" s="579"/>
      <c r="AH667" s="579"/>
      <c r="AI667" s="582"/>
      <c r="AJ667" s="582"/>
      <c r="AK667" s="582"/>
      <c r="AL667" s="582"/>
      <c r="AM667" s="579"/>
      <c r="AN667" s="579"/>
      <c r="AO667" s="347"/>
      <c r="AP667" s="586"/>
      <c r="AQ667" s="596"/>
      <c r="AR667" s="596"/>
      <c r="AS667" s="348"/>
      <c r="AT667" s="348"/>
      <c r="AU667" s="348"/>
      <c r="AV667" s="348"/>
      <c r="AW667" s="348"/>
      <c r="AX667" s="584"/>
      <c r="AY667" s="581"/>
      <c r="AZ667" s="581"/>
      <c r="BA667" s="596"/>
      <c r="BB667" s="596"/>
      <c r="BC667" s="348"/>
      <c r="BD667" s="581"/>
      <c r="BE667" s="581"/>
      <c r="BF667" s="347"/>
      <c r="BG667" s="347"/>
      <c r="BH667" s="347"/>
      <c r="BI667" s="347"/>
      <c r="BJ667" s="586"/>
      <c r="BK667" s="581"/>
      <c r="BL667" s="347"/>
      <c r="BM667" s="347"/>
      <c r="BN667" s="347"/>
      <c r="BO667" s="586"/>
      <c r="BP667" s="584"/>
      <c r="BQ667" s="347"/>
      <c r="BR667" s="586"/>
      <c r="BS667" s="588"/>
      <c r="BT667" s="586"/>
      <c r="BU667" s="589"/>
      <c r="BV667" s="581">
        <f t="shared" si="44"/>
        <v>0</v>
      </c>
      <c r="BW667" s="590"/>
      <c r="BX667" s="347"/>
      <c r="BY667" s="347"/>
      <c r="BZ667" s="347"/>
      <c r="CA667" s="586"/>
      <c r="CB667" s="581"/>
      <c r="CC667" s="581">
        <f t="shared" si="193"/>
        <v>0</v>
      </c>
      <c r="CD667" s="581"/>
      <c r="CE667" s="581"/>
      <c r="CF667" s="581"/>
      <c r="CG667" s="586"/>
      <c r="CH667" s="608"/>
      <c r="CI667" s="603"/>
      <c r="CJ667" s="347"/>
      <c r="CK667" s="347"/>
      <c r="CL667" s="347"/>
      <c r="CM667" s="347"/>
      <c r="CN667" s="347"/>
      <c r="CO667" s="347"/>
      <c r="CP667" s="347"/>
    </row>
    <row r="668">
      <c r="A668" s="574"/>
      <c r="B668" s="574"/>
      <c r="C668" s="347"/>
      <c r="D668" s="574"/>
      <c r="E668" s="347"/>
      <c r="F668" s="596"/>
      <c r="G668" s="596"/>
      <c r="H668" s="347"/>
      <c r="I668" s="347"/>
      <c r="J668" s="596"/>
      <c r="K668" s="609"/>
      <c r="L668" s="1"/>
      <c r="M668" s="347"/>
      <c r="N668" s="347"/>
      <c r="O668" s="579"/>
      <c r="P668" s="579"/>
      <c r="Q668" s="574"/>
      <c r="R668" s="347"/>
      <c r="S668" s="597"/>
      <c r="T668" s="347"/>
      <c r="U668" s="579"/>
      <c r="V668" s="579"/>
      <c r="W668" s="574"/>
      <c r="X668" s="347"/>
      <c r="Y668" s="347"/>
      <c r="Z668" s="347"/>
      <c r="AA668" s="579"/>
      <c r="AB668" s="581"/>
      <c r="AC668" s="347"/>
      <c r="AD668" s="347"/>
      <c r="AE668" s="347"/>
      <c r="AF668" s="347"/>
      <c r="AG668" s="579"/>
      <c r="AH668" s="579"/>
      <c r="AI668" s="582"/>
      <c r="AJ668" s="582"/>
      <c r="AK668" s="582"/>
      <c r="AL668" s="582"/>
      <c r="AM668" s="579"/>
      <c r="AN668" s="579"/>
      <c r="AO668" s="347"/>
      <c r="AP668" s="586"/>
      <c r="AQ668" s="596"/>
      <c r="AR668" s="596"/>
      <c r="AS668" s="348"/>
      <c r="AT668" s="348"/>
      <c r="AU668" s="348"/>
      <c r="AV668" s="348"/>
      <c r="AW668" s="348"/>
      <c r="AX668" s="584"/>
      <c r="AY668" s="581"/>
      <c r="AZ668" s="581"/>
      <c r="BA668" s="596"/>
      <c r="BB668" s="596"/>
      <c r="BC668" s="348"/>
      <c r="BD668" s="581"/>
      <c r="BE668" s="581"/>
      <c r="BF668" s="347"/>
      <c r="BG668" s="347"/>
      <c r="BH668" s="347"/>
      <c r="BI668" s="347"/>
      <c r="BJ668" s="586"/>
      <c r="BK668" s="581"/>
      <c r="BL668" s="347"/>
      <c r="BM668" s="347"/>
      <c r="BN668" s="347"/>
      <c r="BO668" s="586"/>
      <c r="BP668" s="584"/>
      <c r="BQ668" s="347"/>
      <c r="BR668" s="586"/>
      <c r="BS668" s="588"/>
      <c r="BT668" s="586"/>
      <c r="BU668" s="589"/>
      <c r="BV668" s="581">
        <f t="shared" si="44"/>
        <v>0</v>
      </c>
      <c r="BW668" s="590"/>
      <c r="BX668" s="347"/>
      <c r="BY668" s="347"/>
      <c r="BZ668" s="347"/>
      <c r="CA668" s="586"/>
      <c r="CB668" s="581"/>
      <c r="CC668" s="581">
        <f t="shared" si="193"/>
        <v>0</v>
      </c>
      <c r="CD668" s="581"/>
      <c r="CE668" s="581"/>
      <c r="CF668" s="581"/>
      <c r="CG668" s="586"/>
      <c r="CH668" s="608"/>
      <c r="CI668" s="603"/>
      <c r="CJ668" s="347"/>
      <c r="CK668" s="347"/>
      <c r="CL668" s="347"/>
      <c r="CM668" s="347"/>
      <c r="CN668" s="347"/>
      <c r="CO668" s="347"/>
      <c r="CP668" s="347"/>
    </row>
    <row r="669">
      <c r="A669" s="574"/>
      <c r="B669" s="574"/>
      <c r="C669" s="347"/>
      <c r="D669" s="574"/>
      <c r="E669" s="347"/>
      <c r="F669" s="596"/>
      <c r="G669" s="596"/>
      <c r="H669" s="347"/>
      <c r="I669" s="347"/>
      <c r="J669" s="596"/>
      <c r="K669" s="609"/>
      <c r="L669" s="1"/>
      <c r="M669" s="347"/>
      <c r="N669" s="347"/>
      <c r="O669" s="579"/>
      <c r="P669" s="579"/>
      <c r="Q669" s="574"/>
      <c r="R669" s="347"/>
      <c r="S669" s="597"/>
      <c r="T669" s="347"/>
      <c r="U669" s="579"/>
      <c r="V669" s="579"/>
      <c r="W669" s="574"/>
      <c r="X669" s="347"/>
      <c r="Y669" s="347"/>
      <c r="Z669" s="347"/>
      <c r="AA669" s="579"/>
      <c r="AB669" s="581"/>
      <c r="AC669" s="347"/>
      <c r="AD669" s="347"/>
      <c r="AE669" s="347"/>
      <c r="AF669" s="347"/>
      <c r="AG669" s="579"/>
      <c r="AH669" s="579"/>
      <c r="AI669" s="582"/>
      <c r="AJ669" s="582"/>
      <c r="AK669" s="582"/>
      <c r="AL669" s="582"/>
      <c r="AM669" s="579"/>
      <c r="AN669" s="579"/>
      <c r="AO669" s="347"/>
      <c r="AP669" s="586"/>
      <c r="AQ669" s="596"/>
      <c r="AR669" s="596"/>
      <c r="AS669" s="348"/>
      <c r="AT669" s="348"/>
      <c r="AU669" s="348"/>
      <c r="AV669" s="348"/>
      <c r="AW669" s="348"/>
      <c r="AX669" s="584"/>
      <c r="AY669" s="581"/>
      <c r="AZ669" s="581"/>
      <c r="BA669" s="596"/>
      <c r="BB669" s="596"/>
      <c r="BC669" s="348"/>
      <c r="BD669" s="581"/>
      <c r="BE669" s="581"/>
      <c r="BF669" s="347"/>
      <c r="BG669" s="347"/>
      <c r="BH669" s="347"/>
      <c r="BI669" s="347"/>
      <c r="BJ669" s="586"/>
      <c r="BK669" s="581"/>
      <c r="BL669" s="347"/>
      <c r="BM669" s="347"/>
      <c r="BN669" s="347"/>
      <c r="BO669" s="586"/>
      <c r="BP669" s="584"/>
      <c r="BQ669" s="347"/>
      <c r="BR669" s="586"/>
      <c r="BS669" s="588"/>
      <c r="BT669" s="586"/>
      <c r="BU669" s="589"/>
      <c r="BV669" s="581">
        <f t="shared" si="44"/>
        <v>0</v>
      </c>
      <c r="BW669" s="590"/>
      <c r="BX669" s="347"/>
      <c r="BY669" s="347"/>
      <c r="BZ669" s="347"/>
      <c r="CA669" s="586"/>
      <c r="CB669" s="581"/>
      <c r="CC669" s="581">
        <f t="shared" si="193"/>
        <v>0</v>
      </c>
      <c r="CD669" s="581"/>
      <c r="CE669" s="581"/>
      <c r="CF669" s="581"/>
      <c r="CG669" s="586"/>
      <c r="CH669" s="608"/>
      <c r="CI669" s="603"/>
      <c r="CJ669" s="347"/>
      <c r="CK669" s="347"/>
      <c r="CL669" s="347"/>
      <c r="CM669" s="347"/>
      <c r="CN669" s="347"/>
      <c r="CO669" s="347"/>
      <c r="CP669" s="347"/>
    </row>
    <row r="670">
      <c r="A670" s="574"/>
      <c r="B670" s="574"/>
      <c r="C670" s="347"/>
      <c r="D670" s="574"/>
      <c r="E670" s="347"/>
      <c r="F670" s="596"/>
      <c r="G670" s="596"/>
      <c r="H670" s="347"/>
      <c r="I670" s="347"/>
      <c r="J670" s="596"/>
      <c r="K670" s="609"/>
      <c r="L670" s="1"/>
      <c r="M670" s="347"/>
      <c r="N670" s="347"/>
      <c r="O670" s="579"/>
      <c r="P670" s="579"/>
      <c r="Q670" s="574"/>
      <c r="R670" s="347"/>
      <c r="S670" s="597"/>
      <c r="T670" s="347"/>
      <c r="U670" s="579"/>
      <c r="V670" s="579"/>
      <c r="W670" s="574"/>
      <c r="X670" s="347"/>
      <c r="Y670" s="347"/>
      <c r="Z670" s="347"/>
      <c r="AA670" s="579"/>
      <c r="AB670" s="581"/>
      <c r="AC670" s="347"/>
      <c r="AD670" s="347"/>
      <c r="AE670" s="347"/>
      <c r="AF670" s="347"/>
      <c r="AG670" s="579"/>
      <c r="AH670" s="579"/>
      <c r="AI670" s="582"/>
      <c r="AJ670" s="582"/>
      <c r="AK670" s="582"/>
      <c r="AL670" s="582"/>
      <c r="AM670" s="579"/>
      <c r="AN670" s="579"/>
      <c r="AO670" s="347"/>
      <c r="AP670" s="586"/>
      <c r="AQ670" s="596"/>
      <c r="AR670" s="596"/>
      <c r="AS670" s="348"/>
      <c r="AT670" s="348"/>
      <c r="AU670" s="348"/>
      <c r="AV670" s="348"/>
      <c r="AW670" s="348"/>
      <c r="AX670" s="584"/>
      <c r="AY670" s="581"/>
      <c r="AZ670" s="581"/>
      <c r="BA670" s="596"/>
      <c r="BB670" s="596"/>
      <c r="BC670" s="348"/>
      <c r="BD670" s="581"/>
      <c r="BE670" s="581"/>
      <c r="BF670" s="347"/>
      <c r="BG670" s="347"/>
      <c r="BH670" s="347"/>
      <c r="BI670" s="347"/>
      <c r="BJ670" s="586"/>
      <c r="BK670" s="581"/>
      <c r="BL670" s="347"/>
      <c r="BM670" s="347"/>
      <c r="BN670" s="347"/>
      <c r="BO670" s="586"/>
      <c r="BP670" s="584"/>
      <c r="BQ670" s="347"/>
      <c r="BR670" s="586"/>
      <c r="BS670" s="588"/>
      <c r="BT670" s="586"/>
      <c r="BU670" s="589"/>
      <c r="BV670" s="581">
        <f t="shared" si="44"/>
        <v>0</v>
      </c>
      <c r="BW670" s="590"/>
      <c r="BX670" s="347"/>
      <c r="BY670" s="347"/>
      <c r="BZ670" s="347"/>
      <c r="CA670" s="586"/>
      <c r="CB670" s="581"/>
      <c r="CC670" s="581">
        <f t="shared" si="193"/>
        <v>0</v>
      </c>
      <c r="CD670" s="581"/>
      <c r="CE670" s="581"/>
      <c r="CF670" s="581"/>
      <c r="CG670" s="586"/>
      <c r="CH670" s="608"/>
      <c r="CI670" s="603"/>
      <c r="CJ670" s="347"/>
      <c r="CK670" s="347"/>
      <c r="CL670" s="347"/>
      <c r="CM670" s="347"/>
      <c r="CN670" s="347"/>
      <c r="CO670" s="347"/>
      <c r="CP670" s="347"/>
    </row>
    <row r="671">
      <c r="A671" s="574"/>
      <c r="B671" s="574"/>
      <c r="C671" s="347"/>
      <c r="D671" s="574"/>
      <c r="E671" s="347"/>
      <c r="F671" s="596"/>
      <c r="G671" s="596"/>
      <c r="H671" s="347"/>
      <c r="I671" s="347"/>
      <c r="J671" s="596"/>
      <c r="K671" s="609"/>
      <c r="L671" s="1"/>
      <c r="M671" s="347"/>
      <c r="N671" s="347"/>
      <c r="O671" s="579"/>
      <c r="P671" s="579"/>
      <c r="Q671" s="574"/>
      <c r="R671" s="347"/>
      <c r="S671" s="597"/>
      <c r="T671" s="347"/>
      <c r="U671" s="579"/>
      <c r="V671" s="579"/>
      <c r="W671" s="574"/>
      <c r="X671" s="347"/>
      <c r="Y671" s="347"/>
      <c r="Z671" s="347"/>
      <c r="AA671" s="579"/>
      <c r="AB671" s="581"/>
      <c r="AC671" s="347"/>
      <c r="AD671" s="347"/>
      <c r="AE671" s="347"/>
      <c r="AF671" s="347"/>
      <c r="AG671" s="579"/>
      <c r="AH671" s="579"/>
      <c r="AI671" s="582"/>
      <c r="AJ671" s="582"/>
      <c r="AK671" s="582"/>
      <c r="AL671" s="582"/>
      <c r="AM671" s="579"/>
      <c r="AN671" s="579"/>
      <c r="AO671" s="347"/>
      <c r="AP671" s="586"/>
      <c r="AQ671" s="596"/>
      <c r="AR671" s="596"/>
      <c r="AS671" s="348"/>
      <c r="AT671" s="348"/>
      <c r="AU671" s="348"/>
      <c r="AV671" s="348"/>
      <c r="AW671" s="348"/>
      <c r="AX671" s="584"/>
      <c r="AY671" s="581"/>
      <c r="AZ671" s="581"/>
      <c r="BA671" s="596"/>
      <c r="BB671" s="596"/>
      <c r="BC671" s="348"/>
      <c r="BD671" s="581"/>
      <c r="BE671" s="581"/>
      <c r="BF671" s="347"/>
      <c r="BG671" s="347"/>
      <c r="BH671" s="347"/>
      <c r="BI671" s="347"/>
      <c r="BJ671" s="586"/>
      <c r="BK671" s="581"/>
      <c r="BL671" s="347"/>
      <c r="BM671" s="347"/>
      <c r="BN671" s="347"/>
      <c r="BO671" s="586"/>
      <c r="BP671" s="584"/>
      <c r="BQ671" s="347"/>
      <c r="BR671" s="586"/>
      <c r="BS671" s="588"/>
      <c r="BT671" s="586"/>
      <c r="BU671" s="589"/>
      <c r="BV671" s="581">
        <f t="shared" si="44"/>
        <v>0</v>
      </c>
      <c r="BW671" s="590"/>
      <c r="BX671" s="347"/>
      <c r="BY671" s="347"/>
      <c r="BZ671" s="347"/>
      <c r="CA671" s="586"/>
      <c r="CB671" s="581"/>
      <c r="CC671" s="581">
        <f t="shared" si="193"/>
        <v>0</v>
      </c>
      <c r="CD671" s="581"/>
      <c r="CE671" s="581"/>
      <c r="CF671" s="581"/>
      <c r="CG671" s="586"/>
      <c r="CH671" s="608"/>
      <c r="CI671" s="603"/>
      <c r="CJ671" s="347"/>
      <c r="CK671" s="347"/>
      <c r="CL671" s="347"/>
      <c r="CM671" s="347"/>
      <c r="CN671" s="347"/>
      <c r="CO671" s="347"/>
      <c r="CP671" s="347"/>
    </row>
    <row r="672">
      <c r="A672" s="574"/>
      <c r="B672" s="574"/>
      <c r="C672" s="347"/>
      <c r="D672" s="574"/>
      <c r="E672" s="347"/>
      <c r="F672" s="596"/>
      <c r="G672" s="596"/>
      <c r="H672" s="347"/>
      <c r="I672" s="347"/>
      <c r="J672" s="596"/>
      <c r="K672" s="609"/>
      <c r="L672" s="1"/>
      <c r="M672" s="347"/>
      <c r="N672" s="347"/>
      <c r="O672" s="579"/>
      <c r="P672" s="579"/>
      <c r="Q672" s="574"/>
      <c r="R672" s="347"/>
      <c r="S672" s="597"/>
      <c r="T672" s="347"/>
      <c r="U672" s="579"/>
      <c r="V672" s="579"/>
      <c r="W672" s="574"/>
      <c r="X672" s="347"/>
      <c r="Y672" s="347"/>
      <c r="Z672" s="347"/>
      <c r="AA672" s="579"/>
      <c r="AB672" s="581"/>
      <c r="AC672" s="347"/>
      <c r="AD672" s="347"/>
      <c r="AE672" s="347"/>
      <c r="AF672" s="347"/>
      <c r="AG672" s="579"/>
      <c r="AH672" s="579"/>
      <c r="AI672" s="582"/>
      <c r="AJ672" s="582"/>
      <c r="AK672" s="582"/>
      <c r="AL672" s="582"/>
      <c r="AM672" s="579"/>
      <c r="AN672" s="579"/>
      <c r="AO672" s="347"/>
      <c r="AP672" s="586"/>
      <c r="AQ672" s="596"/>
      <c r="AR672" s="596"/>
      <c r="AS672" s="348"/>
      <c r="AT672" s="348"/>
      <c r="AU672" s="348"/>
      <c r="AV672" s="348"/>
      <c r="AW672" s="348"/>
      <c r="AX672" s="584"/>
      <c r="AY672" s="581"/>
      <c r="AZ672" s="581"/>
      <c r="BA672" s="596"/>
      <c r="BB672" s="596"/>
      <c r="BC672" s="348"/>
      <c r="BD672" s="581"/>
      <c r="BE672" s="581"/>
      <c r="BF672" s="347"/>
      <c r="BG672" s="347"/>
      <c r="BH672" s="347"/>
      <c r="BI672" s="347"/>
      <c r="BJ672" s="586"/>
      <c r="BK672" s="581"/>
      <c r="BL672" s="347"/>
      <c r="BM672" s="347"/>
      <c r="BN672" s="347"/>
      <c r="BO672" s="586"/>
      <c r="BP672" s="584"/>
      <c r="BQ672" s="347"/>
      <c r="BR672" s="586"/>
      <c r="BS672" s="588"/>
      <c r="BT672" s="586"/>
      <c r="BU672" s="589"/>
      <c r="BV672" s="581">
        <f t="shared" si="44"/>
        <v>0</v>
      </c>
      <c r="BW672" s="590"/>
      <c r="BX672" s="347"/>
      <c r="BY672" s="347"/>
      <c r="BZ672" s="347"/>
      <c r="CA672" s="586"/>
      <c r="CB672" s="581"/>
      <c r="CC672" s="581">
        <f t="shared" si="193"/>
        <v>0</v>
      </c>
      <c r="CD672" s="581"/>
      <c r="CE672" s="581"/>
      <c r="CF672" s="581"/>
      <c r="CG672" s="586"/>
      <c r="CH672" s="608"/>
      <c r="CI672" s="603"/>
      <c r="CJ672" s="347"/>
      <c r="CK672" s="347"/>
      <c r="CL672" s="347"/>
      <c r="CM672" s="347"/>
      <c r="CN672" s="347"/>
      <c r="CO672" s="347"/>
      <c r="CP672" s="347"/>
    </row>
    <row r="673">
      <c r="A673" s="574"/>
      <c r="B673" s="574"/>
      <c r="C673" s="347"/>
      <c r="D673" s="574"/>
      <c r="E673" s="347"/>
      <c r="F673" s="596"/>
      <c r="G673" s="596"/>
      <c r="H673" s="347"/>
      <c r="I673" s="347"/>
      <c r="J673" s="596"/>
      <c r="K673" s="609"/>
      <c r="L673" s="1"/>
      <c r="M673" s="347"/>
      <c r="N673" s="347"/>
      <c r="O673" s="579"/>
      <c r="P673" s="579"/>
      <c r="Q673" s="574"/>
      <c r="R673" s="347"/>
      <c r="S673" s="597"/>
      <c r="T673" s="347"/>
      <c r="U673" s="579"/>
      <c r="V673" s="579"/>
      <c r="W673" s="574"/>
      <c r="X673" s="347"/>
      <c r="Y673" s="347"/>
      <c r="Z673" s="347"/>
      <c r="AA673" s="579"/>
      <c r="AB673" s="581"/>
      <c r="AC673" s="347"/>
      <c r="AD673" s="347"/>
      <c r="AE673" s="347"/>
      <c r="AF673" s="347"/>
      <c r="AG673" s="579"/>
      <c r="AH673" s="579"/>
      <c r="AI673" s="582"/>
      <c r="AJ673" s="582"/>
      <c r="AK673" s="582"/>
      <c r="AL673" s="582"/>
      <c r="AM673" s="579"/>
      <c r="AN673" s="579"/>
      <c r="AO673" s="347"/>
      <c r="AP673" s="586"/>
      <c r="AQ673" s="596"/>
      <c r="AR673" s="596"/>
      <c r="AS673" s="348"/>
      <c r="AT673" s="348"/>
      <c r="AU673" s="348"/>
      <c r="AV673" s="348"/>
      <c r="AW673" s="348"/>
      <c r="AX673" s="584"/>
      <c r="AY673" s="581"/>
      <c r="AZ673" s="581"/>
      <c r="BA673" s="596"/>
      <c r="BB673" s="596"/>
      <c r="BC673" s="348"/>
      <c r="BD673" s="581"/>
      <c r="BE673" s="581"/>
      <c r="BF673" s="347"/>
      <c r="BG673" s="347"/>
      <c r="BH673" s="347"/>
      <c r="BI673" s="347"/>
      <c r="BJ673" s="586"/>
      <c r="BK673" s="581"/>
      <c r="BL673" s="347"/>
      <c r="BM673" s="347"/>
      <c r="BN673" s="347"/>
      <c r="BO673" s="586"/>
      <c r="BP673" s="584"/>
      <c r="BQ673" s="347"/>
      <c r="BR673" s="586"/>
      <c r="BS673" s="588"/>
      <c r="BT673" s="586"/>
      <c r="BU673" s="589"/>
      <c r="BV673" s="581">
        <f t="shared" si="44"/>
        <v>0</v>
      </c>
      <c r="BW673" s="590"/>
      <c r="BX673" s="347"/>
      <c r="BY673" s="347"/>
      <c r="BZ673" s="347"/>
      <c r="CA673" s="586"/>
      <c r="CB673" s="581"/>
      <c r="CC673" s="581">
        <f t="shared" si="193"/>
        <v>0</v>
      </c>
      <c r="CD673" s="581"/>
      <c r="CE673" s="581"/>
      <c r="CF673" s="581"/>
      <c r="CG673" s="586"/>
      <c r="CH673" s="608"/>
      <c r="CI673" s="603"/>
      <c r="CJ673" s="347"/>
      <c r="CK673" s="347"/>
      <c r="CL673" s="347"/>
      <c r="CM673" s="347"/>
      <c r="CN673" s="347"/>
      <c r="CO673" s="347"/>
      <c r="CP673" s="347"/>
    </row>
    <row r="674">
      <c r="A674" s="574"/>
      <c r="B674" s="574"/>
      <c r="C674" s="347"/>
      <c r="D674" s="574"/>
      <c r="E674" s="347"/>
      <c r="F674" s="596"/>
      <c r="G674" s="596"/>
      <c r="H674" s="347"/>
      <c r="I674" s="347"/>
      <c r="J674" s="596"/>
      <c r="K674" s="609"/>
      <c r="L674" s="1"/>
      <c r="M674" s="347"/>
      <c r="N674" s="347"/>
      <c r="O674" s="579"/>
      <c r="P674" s="579"/>
      <c r="Q674" s="574"/>
      <c r="R674" s="347"/>
      <c r="S674" s="597"/>
      <c r="T674" s="347"/>
      <c r="U674" s="579"/>
      <c r="V674" s="579"/>
      <c r="W674" s="574"/>
      <c r="X674" s="347"/>
      <c r="Y674" s="347"/>
      <c r="Z674" s="347"/>
      <c r="AA674" s="579"/>
      <c r="AB674" s="581"/>
      <c r="AC674" s="347"/>
      <c r="AD674" s="347"/>
      <c r="AE674" s="347"/>
      <c r="AF674" s="347"/>
      <c r="AG674" s="579"/>
      <c r="AH674" s="579"/>
      <c r="AI674" s="582"/>
      <c r="AJ674" s="582"/>
      <c r="AK674" s="582"/>
      <c r="AL674" s="582"/>
      <c r="AM674" s="579"/>
      <c r="AN674" s="579"/>
      <c r="AO674" s="347"/>
      <c r="AP674" s="586"/>
      <c r="AQ674" s="596"/>
      <c r="AR674" s="596"/>
      <c r="AS674" s="348"/>
      <c r="AT674" s="348"/>
      <c r="AU674" s="348"/>
      <c r="AV674" s="348"/>
      <c r="AW674" s="348"/>
      <c r="AX674" s="584"/>
      <c r="AY674" s="581"/>
      <c r="AZ674" s="581"/>
      <c r="BA674" s="596"/>
      <c r="BB674" s="596"/>
      <c r="BC674" s="348"/>
      <c r="BD674" s="581"/>
      <c r="BE674" s="581"/>
      <c r="BF674" s="347"/>
      <c r="BG674" s="347"/>
      <c r="BH674" s="347"/>
      <c r="BI674" s="347"/>
      <c r="BJ674" s="586"/>
      <c r="BK674" s="581"/>
      <c r="BL674" s="347"/>
      <c r="BM674" s="347"/>
      <c r="BN674" s="347"/>
      <c r="BO674" s="586"/>
      <c r="BP674" s="584"/>
      <c r="BQ674" s="347"/>
      <c r="BR674" s="586"/>
      <c r="BS674" s="588"/>
      <c r="BT674" s="586"/>
      <c r="BU674" s="589"/>
      <c r="BV674" s="581">
        <f t="shared" si="44"/>
        <v>0</v>
      </c>
      <c r="BW674" s="590"/>
      <c r="BX674" s="347"/>
      <c r="BY674" s="347"/>
      <c r="BZ674" s="347"/>
      <c r="CA674" s="586"/>
      <c r="CB674" s="581"/>
      <c r="CC674" s="581">
        <f t="shared" si="193"/>
        <v>0</v>
      </c>
      <c r="CD674" s="581"/>
      <c r="CE674" s="581"/>
      <c r="CF674" s="581"/>
      <c r="CG674" s="586"/>
      <c r="CH674" s="608"/>
      <c r="CI674" s="603"/>
      <c r="CJ674" s="347"/>
      <c r="CK674" s="347"/>
      <c r="CL674" s="347"/>
      <c r="CM674" s="347"/>
      <c r="CN674" s="347"/>
      <c r="CO674" s="347"/>
      <c r="CP674" s="347"/>
    </row>
    <row r="675">
      <c r="A675" s="574"/>
      <c r="B675" s="574"/>
      <c r="C675" s="347"/>
      <c r="D675" s="574"/>
      <c r="E675" s="347"/>
      <c r="F675" s="596"/>
      <c r="G675" s="596"/>
      <c r="H675" s="347"/>
      <c r="I675" s="347"/>
      <c r="J675" s="596"/>
      <c r="K675" s="609"/>
      <c r="L675" s="1"/>
      <c r="M675" s="347"/>
      <c r="N675" s="347"/>
      <c r="O675" s="579"/>
      <c r="P675" s="579"/>
      <c r="Q675" s="574"/>
      <c r="R675" s="347"/>
      <c r="S675" s="597"/>
      <c r="T675" s="347"/>
      <c r="U675" s="579"/>
      <c r="V675" s="579"/>
      <c r="W675" s="574"/>
      <c r="X675" s="347"/>
      <c r="Y675" s="347"/>
      <c r="Z675" s="347"/>
      <c r="AA675" s="579"/>
      <c r="AB675" s="581"/>
      <c r="AC675" s="347"/>
      <c r="AD675" s="347"/>
      <c r="AE675" s="347"/>
      <c r="AF675" s="347"/>
      <c r="AG675" s="579"/>
      <c r="AH675" s="579"/>
      <c r="AI675" s="582"/>
      <c r="AJ675" s="582"/>
      <c r="AK675" s="582"/>
      <c r="AL675" s="582"/>
      <c r="AM675" s="579"/>
      <c r="AN675" s="579"/>
      <c r="AO675" s="347"/>
      <c r="AP675" s="586"/>
      <c r="AQ675" s="596"/>
      <c r="AR675" s="596"/>
      <c r="AS675" s="348"/>
      <c r="AT675" s="348"/>
      <c r="AU675" s="348"/>
      <c r="AV675" s="348"/>
      <c r="AW675" s="348"/>
      <c r="AX675" s="584"/>
      <c r="AY675" s="581"/>
      <c r="AZ675" s="581"/>
      <c r="BA675" s="596"/>
      <c r="BB675" s="596"/>
      <c r="BC675" s="348"/>
      <c r="BD675" s="581"/>
      <c r="BE675" s="581"/>
      <c r="BF675" s="347"/>
      <c r="BG675" s="347"/>
      <c r="BH675" s="347"/>
      <c r="BI675" s="347"/>
      <c r="BJ675" s="586"/>
      <c r="BK675" s="581"/>
      <c r="BL675" s="347"/>
      <c r="BM675" s="347"/>
      <c r="BN675" s="347"/>
      <c r="BO675" s="586"/>
      <c r="BP675" s="584"/>
      <c r="BQ675" s="347"/>
      <c r="BR675" s="586"/>
      <c r="BS675" s="588"/>
      <c r="BT675" s="586"/>
      <c r="BU675" s="589"/>
      <c r="BV675" s="581">
        <f t="shared" si="44"/>
        <v>0</v>
      </c>
      <c r="BW675" s="590"/>
      <c r="BX675" s="347"/>
      <c r="BY675" s="347"/>
      <c r="BZ675" s="347"/>
      <c r="CA675" s="586"/>
      <c r="CB675" s="581"/>
      <c r="CC675" s="581">
        <f t="shared" si="193"/>
        <v>0</v>
      </c>
      <c r="CD675" s="581"/>
      <c r="CE675" s="581"/>
      <c r="CF675" s="581"/>
      <c r="CG675" s="586"/>
      <c r="CH675" s="608"/>
      <c r="CI675" s="603"/>
      <c r="CJ675" s="347"/>
      <c r="CK675" s="347"/>
      <c r="CL675" s="347"/>
      <c r="CM675" s="347"/>
      <c r="CN675" s="347"/>
      <c r="CO675" s="347"/>
      <c r="CP675" s="347"/>
    </row>
    <row r="676">
      <c r="A676" s="574"/>
      <c r="B676" s="574"/>
      <c r="C676" s="347"/>
      <c r="D676" s="574"/>
      <c r="E676" s="347"/>
      <c r="F676" s="596"/>
      <c r="G676" s="596"/>
      <c r="H676" s="347"/>
      <c r="I676" s="347"/>
      <c r="J676" s="596"/>
      <c r="K676" s="609"/>
      <c r="L676" s="1"/>
      <c r="M676" s="347"/>
      <c r="N676" s="347"/>
      <c r="O676" s="579"/>
      <c r="P676" s="579"/>
      <c r="Q676" s="574"/>
      <c r="R676" s="347"/>
      <c r="S676" s="597"/>
      <c r="T676" s="347"/>
      <c r="U676" s="579"/>
      <c r="V676" s="579"/>
      <c r="W676" s="574"/>
      <c r="X676" s="347"/>
      <c r="Y676" s="347"/>
      <c r="Z676" s="347"/>
      <c r="AA676" s="579"/>
      <c r="AB676" s="581"/>
      <c r="AC676" s="347"/>
      <c r="AD676" s="347"/>
      <c r="AE676" s="347"/>
      <c r="AF676" s="347"/>
      <c r="AG676" s="579"/>
      <c r="AH676" s="579"/>
      <c r="AI676" s="582"/>
      <c r="AJ676" s="582"/>
      <c r="AK676" s="582"/>
      <c r="AL676" s="582"/>
      <c r="AM676" s="579"/>
      <c r="AN676" s="579"/>
      <c r="AO676" s="347"/>
      <c r="AP676" s="586"/>
      <c r="AQ676" s="596"/>
      <c r="AR676" s="596"/>
      <c r="AS676" s="348"/>
      <c r="AT676" s="348"/>
      <c r="AU676" s="348"/>
      <c r="AV676" s="348"/>
      <c r="AW676" s="348"/>
      <c r="AX676" s="584"/>
      <c r="AY676" s="581"/>
      <c r="AZ676" s="581"/>
      <c r="BA676" s="596"/>
      <c r="BB676" s="596"/>
      <c r="BC676" s="348"/>
      <c r="BD676" s="581"/>
      <c r="BE676" s="581"/>
      <c r="BF676" s="347"/>
      <c r="BG676" s="347"/>
      <c r="BH676" s="347"/>
      <c r="BI676" s="347"/>
      <c r="BJ676" s="586"/>
      <c r="BK676" s="581"/>
      <c r="BL676" s="347"/>
      <c r="BM676" s="347"/>
      <c r="BN676" s="347"/>
      <c r="BO676" s="586"/>
      <c r="BP676" s="584"/>
      <c r="BQ676" s="347"/>
      <c r="BR676" s="586"/>
      <c r="BS676" s="588"/>
      <c r="BT676" s="586"/>
      <c r="BU676" s="589"/>
      <c r="BV676" s="581">
        <f t="shared" si="44"/>
        <v>0</v>
      </c>
      <c r="BW676" s="590"/>
      <c r="BX676" s="347"/>
      <c r="BY676" s="347"/>
      <c r="BZ676" s="347"/>
      <c r="CA676" s="586"/>
      <c r="CB676" s="581"/>
      <c r="CC676" s="581">
        <f t="shared" si="193"/>
        <v>0</v>
      </c>
      <c r="CD676" s="581"/>
      <c r="CE676" s="581"/>
      <c r="CF676" s="581"/>
      <c r="CG676" s="586"/>
      <c r="CH676" s="608"/>
      <c r="CI676" s="603"/>
      <c r="CJ676" s="347"/>
      <c r="CK676" s="347"/>
      <c r="CL676" s="347"/>
      <c r="CM676" s="347"/>
      <c r="CN676" s="347"/>
      <c r="CO676" s="347"/>
      <c r="CP676" s="347"/>
    </row>
    <row r="677">
      <c r="A677" s="574"/>
      <c r="B677" s="574"/>
      <c r="C677" s="347"/>
      <c r="D677" s="574"/>
      <c r="E677" s="347"/>
      <c r="F677" s="596"/>
      <c r="G677" s="596"/>
      <c r="H677" s="347"/>
      <c r="I677" s="347"/>
      <c r="J677" s="596"/>
      <c r="K677" s="609"/>
      <c r="L677" s="1"/>
      <c r="M677" s="347"/>
      <c r="N677" s="347"/>
      <c r="O677" s="579"/>
      <c r="P677" s="579"/>
      <c r="Q677" s="574"/>
      <c r="R677" s="347"/>
      <c r="S677" s="597"/>
      <c r="T677" s="347"/>
      <c r="U677" s="579"/>
      <c r="V677" s="579"/>
      <c r="W677" s="574"/>
      <c r="X677" s="347"/>
      <c r="Y677" s="347"/>
      <c r="Z677" s="347"/>
      <c r="AA677" s="579"/>
      <c r="AB677" s="581"/>
      <c r="AC677" s="347"/>
      <c r="AD677" s="347"/>
      <c r="AE677" s="347"/>
      <c r="AF677" s="347"/>
      <c r="AG677" s="579"/>
      <c r="AH677" s="579"/>
      <c r="AI677" s="582"/>
      <c r="AJ677" s="582"/>
      <c r="AK677" s="582"/>
      <c r="AL677" s="582"/>
      <c r="AM677" s="579"/>
      <c r="AN677" s="579"/>
      <c r="AO677" s="347"/>
      <c r="AP677" s="586"/>
      <c r="AQ677" s="596"/>
      <c r="AR677" s="596"/>
      <c r="AS677" s="348"/>
      <c r="AT677" s="348"/>
      <c r="AU677" s="348"/>
      <c r="AV677" s="348"/>
      <c r="AW677" s="348"/>
      <c r="AX677" s="584"/>
      <c r="AY677" s="581"/>
      <c r="AZ677" s="581"/>
      <c r="BA677" s="596"/>
      <c r="BB677" s="596"/>
      <c r="BC677" s="348"/>
      <c r="BD677" s="581"/>
      <c r="BE677" s="581"/>
      <c r="BF677" s="347"/>
      <c r="BG677" s="347"/>
      <c r="BH677" s="347"/>
      <c r="BI677" s="347"/>
      <c r="BJ677" s="586"/>
      <c r="BK677" s="581"/>
      <c r="BL677" s="347"/>
      <c r="BM677" s="347"/>
      <c r="BN677" s="347"/>
      <c r="BO677" s="586"/>
      <c r="BP677" s="584"/>
      <c r="BQ677" s="347"/>
      <c r="BR677" s="586"/>
      <c r="BS677" s="588"/>
      <c r="BT677" s="586"/>
      <c r="BU677" s="589"/>
      <c r="BV677" s="581">
        <f t="shared" si="44"/>
        <v>0</v>
      </c>
      <c r="BW677" s="590"/>
      <c r="BX677" s="347"/>
      <c r="BY677" s="347"/>
      <c r="BZ677" s="347"/>
      <c r="CA677" s="586"/>
      <c r="CB677" s="581"/>
      <c r="CC677" s="581">
        <f t="shared" si="193"/>
        <v>0</v>
      </c>
      <c r="CD677" s="581"/>
      <c r="CE677" s="581"/>
      <c r="CF677" s="581"/>
      <c r="CG677" s="586"/>
      <c r="CH677" s="608"/>
      <c r="CI677" s="603"/>
      <c r="CJ677" s="347"/>
      <c r="CK677" s="347"/>
      <c r="CL677" s="347"/>
      <c r="CM677" s="347"/>
      <c r="CN677" s="347"/>
      <c r="CO677" s="347"/>
      <c r="CP677" s="347"/>
    </row>
    <row r="678">
      <c r="A678" s="574"/>
      <c r="B678" s="574"/>
      <c r="C678" s="347"/>
      <c r="D678" s="574"/>
      <c r="E678" s="347"/>
      <c r="F678" s="596"/>
      <c r="G678" s="596"/>
      <c r="H678" s="347"/>
      <c r="I678" s="347"/>
      <c r="J678" s="596"/>
      <c r="K678" s="609"/>
      <c r="L678" s="1"/>
      <c r="M678" s="347"/>
      <c r="N678" s="347"/>
      <c r="O678" s="579"/>
      <c r="P678" s="579"/>
      <c r="Q678" s="574"/>
      <c r="R678" s="347"/>
      <c r="S678" s="597"/>
      <c r="T678" s="347"/>
      <c r="U678" s="579"/>
      <c r="V678" s="579"/>
      <c r="W678" s="574"/>
      <c r="X678" s="347"/>
      <c r="Y678" s="347"/>
      <c r="Z678" s="347"/>
      <c r="AA678" s="579"/>
      <c r="AB678" s="581"/>
      <c r="AC678" s="347"/>
      <c r="AD678" s="347"/>
      <c r="AE678" s="347"/>
      <c r="AF678" s="347"/>
      <c r="AG678" s="579"/>
      <c r="AH678" s="579"/>
      <c r="AI678" s="582"/>
      <c r="AJ678" s="582"/>
      <c r="AK678" s="582"/>
      <c r="AL678" s="582"/>
      <c r="AM678" s="579"/>
      <c r="AN678" s="579"/>
      <c r="AO678" s="347"/>
      <c r="AP678" s="586"/>
      <c r="AQ678" s="596"/>
      <c r="AR678" s="596"/>
      <c r="AS678" s="348"/>
      <c r="AT678" s="348"/>
      <c r="AU678" s="348"/>
      <c r="AV678" s="348"/>
      <c r="AW678" s="348"/>
      <c r="AX678" s="584"/>
      <c r="AY678" s="581"/>
      <c r="AZ678" s="581"/>
      <c r="BA678" s="596"/>
      <c r="BB678" s="596"/>
      <c r="BC678" s="348"/>
      <c r="BD678" s="581"/>
      <c r="BE678" s="581"/>
      <c r="BF678" s="347"/>
      <c r="BG678" s="347"/>
      <c r="BH678" s="347"/>
      <c r="BI678" s="347"/>
      <c r="BJ678" s="586"/>
      <c r="BK678" s="581"/>
      <c r="BL678" s="347"/>
      <c r="BM678" s="347"/>
      <c r="BN678" s="347"/>
      <c r="BO678" s="586"/>
      <c r="BP678" s="584"/>
      <c r="BQ678" s="347"/>
      <c r="BR678" s="586"/>
      <c r="BS678" s="588"/>
      <c r="BT678" s="586"/>
      <c r="BU678" s="589"/>
      <c r="BV678" s="581">
        <f t="shared" si="44"/>
        <v>0</v>
      </c>
      <c r="BW678" s="590"/>
      <c r="BX678" s="347"/>
      <c r="BY678" s="347"/>
      <c r="BZ678" s="347"/>
      <c r="CA678" s="586"/>
      <c r="CB678" s="581"/>
      <c r="CC678" s="581">
        <f t="shared" si="193"/>
        <v>0</v>
      </c>
      <c r="CD678" s="581"/>
      <c r="CE678" s="581"/>
      <c r="CF678" s="581"/>
      <c r="CG678" s="586"/>
      <c r="CH678" s="608"/>
      <c r="CI678" s="603"/>
      <c r="CJ678" s="347"/>
      <c r="CK678" s="347"/>
      <c r="CL678" s="347"/>
      <c r="CM678" s="347"/>
      <c r="CN678" s="347"/>
      <c r="CO678" s="347"/>
      <c r="CP678" s="347"/>
    </row>
    <row r="679">
      <c r="A679" s="574"/>
      <c r="B679" s="574"/>
      <c r="C679" s="347"/>
      <c r="D679" s="574"/>
      <c r="E679" s="347"/>
      <c r="F679" s="596"/>
      <c r="G679" s="596"/>
      <c r="H679" s="347"/>
      <c r="I679" s="347"/>
      <c r="J679" s="596"/>
      <c r="K679" s="609"/>
      <c r="L679" s="1"/>
      <c r="M679" s="347"/>
      <c r="N679" s="347"/>
      <c r="O679" s="579"/>
      <c r="P679" s="579"/>
      <c r="Q679" s="574"/>
      <c r="R679" s="347"/>
      <c r="S679" s="597"/>
      <c r="T679" s="347"/>
      <c r="U679" s="579"/>
      <c r="V679" s="579"/>
      <c r="W679" s="574"/>
      <c r="X679" s="347"/>
      <c r="Y679" s="347"/>
      <c r="Z679" s="347"/>
      <c r="AA679" s="579"/>
      <c r="AB679" s="581"/>
      <c r="AC679" s="347"/>
      <c r="AD679" s="347"/>
      <c r="AE679" s="347"/>
      <c r="AF679" s="347"/>
      <c r="AG679" s="579"/>
      <c r="AH679" s="579"/>
      <c r="AI679" s="582"/>
      <c r="AJ679" s="582"/>
      <c r="AK679" s="582"/>
      <c r="AL679" s="582"/>
      <c r="AM679" s="579"/>
      <c r="AN679" s="579"/>
      <c r="AO679" s="347"/>
      <c r="AP679" s="586"/>
      <c r="AQ679" s="596"/>
      <c r="AR679" s="596"/>
      <c r="AS679" s="348"/>
      <c r="AT679" s="348"/>
      <c r="AU679" s="348"/>
      <c r="AV679" s="348"/>
      <c r="AW679" s="348"/>
      <c r="AX679" s="584"/>
      <c r="AY679" s="581"/>
      <c r="AZ679" s="581"/>
      <c r="BA679" s="596"/>
      <c r="BB679" s="596"/>
      <c r="BC679" s="348"/>
      <c r="BD679" s="581"/>
      <c r="BE679" s="581"/>
      <c r="BF679" s="347"/>
      <c r="BG679" s="347"/>
      <c r="BH679" s="347"/>
      <c r="BI679" s="347"/>
      <c r="BJ679" s="586"/>
      <c r="BK679" s="581"/>
      <c r="BL679" s="347"/>
      <c r="BM679" s="347"/>
      <c r="BN679" s="347"/>
      <c r="BO679" s="586"/>
      <c r="BP679" s="584"/>
      <c r="BQ679" s="347"/>
      <c r="BR679" s="586"/>
      <c r="BS679" s="588"/>
      <c r="BT679" s="586"/>
      <c r="BU679" s="589"/>
      <c r="BV679" s="581">
        <f t="shared" si="44"/>
        <v>0</v>
      </c>
      <c r="BW679" s="590"/>
      <c r="BX679" s="347"/>
      <c r="BY679" s="347"/>
      <c r="BZ679" s="347"/>
      <c r="CA679" s="586"/>
      <c r="CB679" s="581"/>
      <c r="CC679" s="581">
        <f t="shared" si="193"/>
        <v>0</v>
      </c>
      <c r="CD679" s="581"/>
      <c r="CE679" s="581"/>
      <c r="CF679" s="581"/>
      <c r="CG679" s="586"/>
      <c r="CH679" s="608"/>
      <c r="CI679" s="603"/>
      <c r="CJ679" s="347"/>
      <c r="CK679" s="347"/>
      <c r="CL679" s="347"/>
      <c r="CM679" s="347"/>
      <c r="CN679" s="347"/>
      <c r="CO679" s="347"/>
      <c r="CP679" s="347"/>
    </row>
    <row r="680">
      <c r="A680" s="574"/>
      <c r="B680" s="574"/>
      <c r="C680" s="347"/>
      <c r="D680" s="574"/>
      <c r="E680" s="347"/>
      <c r="F680" s="596"/>
      <c r="G680" s="596"/>
      <c r="H680" s="347"/>
      <c r="I680" s="347"/>
      <c r="J680" s="596"/>
      <c r="K680" s="609"/>
      <c r="L680" s="1"/>
      <c r="M680" s="347"/>
      <c r="N680" s="347"/>
      <c r="O680" s="579"/>
      <c r="P680" s="579"/>
      <c r="Q680" s="574"/>
      <c r="R680" s="347"/>
      <c r="S680" s="597"/>
      <c r="T680" s="347"/>
      <c r="U680" s="579"/>
      <c r="V680" s="579"/>
      <c r="W680" s="574"/>
      <c r="X680" s="347"/>
      <c r="Y680" s="347"/>
      <c r="Z680" s="347"/>
      <c r="AA680" s="579"/>
      <c r="AB680" s="581"/>
      <c r="AC680" s="347"/>
      <c r="AD680" s="347"/>
      <c r="AE680" s="347"/>
      <c r="AF680" s="347"/>
      <c r="AG680" s="579"/>
      <c r="AH680" s="579"/>
      <c r="AI680" s="582"/>
      <c r="AJ680" s="582"/>
      <c r="AK680" s="582"/>
      <c r="AL680" s="582"/>
      <c r="AM680" s="579"/>
      <c r="AN680" s="579"/>
      <c r="AO680" s="347"/>
      <c r="AP680" s="586"/>
      <c r="AQ680" s="596"/>
      <c r="AR680" s="596"/>
      <c r="AS680" s="348"/>
      <c r="AT680" s="348"/>
      <c r="AU680" s="348"/>
      <c r="AV680" s="348"/>
      <c r="AW680" s="348"/>
      <c r="AX680" s="584"/>
      <c r="AY680" s="581"/>
      <c r="AZ680" s="581"/>
      <c r="BA680" s="596"/>
      <c r="BB680" s="596"/>
      <c r="BC680" s="348"/>
      <c r="BD680" s="581"/>
      <c r="BE680" s="581"/>
      <c r="BF680" s="347"/>
      <c r="BG680" s="347"/>
      <c r="BH680" s="347"/>
      <c r="BI680" s="347"/>
      <c r="BJ680" s="586"/>
      <c r="BK680" s="581"/>
      <c r="BL680" s="347"/>
      <c r="BM680" s="347"/>
      <c r="BN680" s="347"/>
      <c r="BO680" s="586"/>
      <c r="BP680" s="584"/>
      <c r="BQ680" s="347"/>
      <c r="BR680" s="586"/>
      <c r="BS680" s="588"/>
      <c r="BT680" s="586"/>
      <c r="BU680" s="589"/>
      <c r="BV680" s="581">
        <f t="shared" si="44"/>
        <v>0</v>
      </c>
      <c r="BW680" s="590"/>
      <c r="BX680" s="347"/>
      <c r="BY680" s="347"/>
      <c r="BZ680" s="347"/>
      <c r="CA680" s="586"/>
      <c r="CB680" s="581"/>
      <c r="CC680" s="581">
        <f t="shared" si="193"/>
        <v>0</v>
      </c>
      <c r="CD680" s="581"/>
      <c r="CE680" s="581"/>
      <c r="CF680" s="581"/>
      <c r="CG680" s="586"/>
      <c r="CH680" s="608"/>
      <c r="CI680" s="603"/>
      <c r="CJ680" s="347"/>
      <c r="CK680" s="347"/>
      <c r="CL680" s="347"/>
      <c r="CM680" s="347"/>
      <c r="CN680" s="347"/>
      <c r="CO680" s="347"/>
      <c r="CP680" s="347"/>
    </row>
    <row r="681">
      <c r="A681" s="574"/>
      <c r="B681" s="574"/>
      <c r="C681" s="347"/>
      <c r="D681" s="574"/>
      <c r="E681" s="347"/>
      <c r="F681" s="596"/>
      <c r="G681" s="596"/>
      <c r="H681" s="347"/>
      <c r="I681" s="347"/>
      <c r="J681" s="596"/>
      <c r="K681" s="609"/>
      <c r="L681" s="1"/>
      <c r="M681" s="347"/>
      <c r="N681" s="347"/>
      <c r="O681" s="579"/>
      <c r="P681" s="579"/>
      <c r="Q681" s="574"/>
      <c r="R681" s="347"/>
      <c r="S681" s="597"/>
      <c r="T681" s="347"/>
      <c r="U681" s="579"/>
      <c r="V681" s="579"/>
      <c r="W681" s="574"/>
      <c r="X681" s="347"/>
      <c r="Y681" s="347"/>
      <c r="Z681" s="347"/>
      <c r="AA681" s="579"/>
      <c r="AB681" s="581"/>
      <c r="AC681" s="347"/>
      <c r="AD681" s="347"/>
      <c r="AE681" s="347"/>
      <c r="AF681" s="347"/>
      <c r="AG681" s="579"/>
      <c r="AH681" s="579"/>
      <c r="AI681" s="582"/>
      <c r="AJ681" s="582"/>
      <c r="AK681" s="582"/>
      <c r="AL681" s="582"/>
      <c r="AM681" s="579"/>
      <c r="AN681" s="579"/>
      <c r="AO681" s="347"/>
      <c r="AP681" s="586"/>
      <c r="AQ681" s="596"/>
      <c r="AR681" s="596"/>
      <c r="AS681" s="348"/>
      <c r="AT681" s="348"/>
      <c r="AU681" s="348"/>
      <c r="AV681" s="348"/>
      <c r="AW681" s="348"/>
      <c r="AX681" s="584"/>
      <c r="AY681" s="581"/>
      <c r="AZ681" s="581"/>
      <c r="BA681" s="596"/>
      <c r="BB681" s="596"/>
      <c r="BC681" s="348"/>
      <c r="BD681" s="581"/>
      <c r="BE681" s="581"/>
      <c r="BF681" s="347"/>
      <c r="BG681" s="347"/>
      <c r="BH681" s="347"/>
      <c r="BI681" s="347"/>
      <c r="BJ681" s="586"/>
      <c r="BK681" s="581"/>
      <c r="BL681" s="347"/>
      <c r="BM681" s="347"/>
      <c r="BN681" s="347"/>
      <c r="BO681" s="586"/>
      <c r="BP681" s="584"/>
      <c r="BQ681" s="347"/>
      <c r="BR681" s="586"/>
      <c r="BS681" s="588"/>
      <c r="BT681" s="586"/>
      <c r="BU681" s="589"/>
      <c r="BV681" s="581">
        <f t="shared" si="44"/>
        <v>0</v>
      </c>
      <c r="BW681" s="590"/>
      <c r="BX681" s="347"/>
      <c r="BY681" s="347"/>
      <c r="BZ681" s="347"/>
      <c r="CA681" s="586"/>
      <c r="CB681" s="581"/>
      <c r="CC681" s="581">
        <f t="shared" si="193"/>
        <v>0</v>
      </c>
      <c r="CD681" s="581"/>
      <c r="CE681" s="581"/>
      <c r="CF681" s="581"/>
      <c r="CG681" s="586"/>
      <c r="CH681" s="608"/>
      <c r="CI681" s="603"/>
      <c r="CJ681" s="347"/>
      <c r="CK681" s="347"/>
      <c r="CL681" s="347"/>
      <c r="CM681" s="347"/>
      <c r="CN681" s="347"/>
      <c r="CO681" s="347"/>
      <c r="CP681" s="347"/>
    </row>
    <row r="682">
      <c r="A682" s="574"/>
      <c r="B682" s="574"/>
      <c r="C682" s="347"/>
      <c r="D682" s="574"/>
      <c r="E682" s="347"/>
      <c r="F682" s="596"/>
      <c r="G682" s="596"/>
      <c r="H682" s="347"/>
      <c r="I682" s="347"/>
      <c r="J682" s="596"/>
      <c r="K682" s="609"/>
      <c r="L682" s="1"/>
      <c r="M682" s="347"/>
      <c r="N682" s="347"/>
      <c r="O682" s="579"/>
      <c r="P682" s="579"/>
      <c r="Q682" s="574"/>
      <c r="R682" s="347"/>
      <c r="S682" s="597"/>
      <c r="T682" s="347"/>
      <c r="U682" s="579"/>
      <c r="V682" s="579"/>
      <c r="W682" s="574"/>
      <c r="X682" s="347"/>
      <c r="Y682" s="347"/>
      <c r="Z682" s="347"/>
      <c r="AA682" s="579"/>
      <c r="AB682" s="581"/>
      <c r="AC682" s="347"/>
      <c r="AD682" s="347"/>
      <c r="AE682" s="347"/>
      <c r="AF682" s="347"/>
      <c r="AG682" s="579"/>
      <c r="AH682" s="579"/>
      <c r="AI682" s="582"/>
      <c r="AJ682" s="582"/>
      <c r="AK682" s="582"/>
      <c r="AL682" s="582"/>
      <c r="AM682" s="579"/>
      <c r="AN682" s="579"/>
      <c r="AO682" s="347"/>
      <c r="AP682" s="586"/>
      <c r="AQ682" s="596"/>
      <c r="AR682" s="596"/>
      <c r="AS682" s="348"/>
      <c r="AT682" s="348"/>
      <c r="AU682" s="348"/>
      <c r="AV682" s="348"/>
      <c r="AW682" s="348"/>
      <c r="AX682" s="584"/>
      <c r="AY682" s="581"/>
      <c r="AZ682" s="581"/>
      <c r="BA682" s="596"/>
      <c r="BB682" s="596"/>
      <c r="BC682" s="348"/>
      <c r="BD682" s="581"/>
      <c r="BE682" s="581"/>
      <c r="BF682" s="347"/>
      <c r="BG682" s="347"/>
      <c r="BH682" s="347"/>
      <c r="BI682" s="347"/>
      <c r="BJ682" s="586"/>
      <c r="BK682" s="581"/>
      <c r="BL682" s="347"/>
      <c r="BM682" s="347"/>
      <c r="BN682" s="347"/>
      <c r="BO682" s="586"/>
      <c r="BP682" s="584"/>
      <c r="BQ682" s="347"/>
      <c r="BR682" s="586"/>
      <c r="BS682" s="588"/>
      <c r="BT682" s="586"/>
      <c r="BU682" s="589"/>
      <c r="BV682" s="581">
        <f t="shared" si="44"/>
        <v>0</v>
      </c>
      <c r="BW682" s="590"/>
      <c r="BX682" s="347"/>
      <c r="BY682" s="347"/>
      <c r="BZ682" s="347"/>
      <c r="CA682" s="586"/>
      <c r="CB682" s="581"/>
      <c r="CC682" s="581">
        <f t="shared" si="193"/>
        <v>0</v>
      </c>
      <c r="CD682" s="581"/>
      <c r="CE682" s="581"/>
      <c r="CF682" s="581"/>
      <c r="CG682" s="586"/>
      <c r="CH682" s="608"/>
      <c r="CI682" s="603"/>
      <c r="CJ682" s="347"/>
      <c r="CK682" s="347"/>
      <c r="CL682" s="347"/>
      <c r="CM682" s="347"/>
      <c r="CN682" s="347"/>
      <c r="CO682" s="347"/>
      <c r="CP682" s="347"/>
    </row>
    <row r="683">
      <c r="A683" s="574"/>
      <c r="B683" s="574"/>
      <c r="C683" s="347"/>
      <c r="D683" s="574"/>
      <c r="E683" s="347"/>
      <c r="F683" s="596"/>
      <c r="G683" s="596"/>
      <c r="H683" s="347"/>
      <c r="I683" s="347"/>
      <c r="J683" s="596"/>
      <c r="K683" s="609"/>
      <c r="L683" s="1"/>
      <c r="M683" s="347"/>
      <c r="N683" s="347"/>
      <c r="O683" s="579"/>
      <c r="P683" s="579"/>
      <c r="Q683" s="574"/>
      <c r="R683" s="347"/>
      <c r="S683" s="597"/>
      <c r="T683" s="347"/>
      <c r="U683" s="579"/>
      <c r="V683" s="579"/>
      <c r="W683" s="574"/>
      <c r="X683" s="347"/>
      <c r="Y683" s="347"/>
      <c r="Z683" s="347"/>
      <c r="AA683" s="579"/>
      <c r="AB683" s="581"/>
      <c r="AC683" s="347"/>
      <c r="AD683" s="347"/>
      <c r="AE683" s="347"/>
      <c r="AF683" s="347"/>
      <c r="AG683" s="579"/>
      <c r="AH683" s="579"/>
      <c r="AI683" s="582"/>
      <c r="AJ683" s="582"/>
      <c r="AK683" s="582"/>
      <c r="AL683" s="582"/>
      <c r="AM683" s="579"/>
      <c r="AN683" s="579"/>
      <c r="AO683" s="347"/>
      <c r="AP683" s="586"/>
      <c r="AQ683" s="596"/>
      <c r="AR683" s="596"/>
      <c r="AS683" s="348"/>
      <c r="AT683" s="348"/>
      <c r="AU683" s="348"/>
      <c r="AV683" s="348"/>
      <c r="AW683" s="348"/>
      <c r="AX683" s="584"/>
      <c r="AY683" s="581"/>
      <c r="AZ683" s="581"/>
      <c r="BA683" s="596"/>
      <c r="BB683" s="596"/>
      <c r="BC683" s="348"/>
      <c r="BD683" s="581"/>
      <c r="BE683" s="581"/>
      <c r="BF683" s="347"/>
      <c r="BG683" s="347"/>
      <c r="BH683" s="347"/>
      <c r="BI683" s="347"/>
      <c r="BJ683" s="586"/>
      <c r="BK683" s="581"/>
      <c r="BL683" s="347"/>
      <c r="BM683" s="347"/>
      <c r="BN683" s="347"/>
      <c r="BO683" s="586"/>
      <c r="BP683" s="584"/>
      <c r="BQ683" s="347"/>
      <c r="BR683" s="586"/>
      <c r="BS683" s="588"/>
      <c r="BT683" s="586"/>
      <c r="BU683" s="589"/>
      <c r="BV683" s="581">
        <f t="shared" si="44"/>
        <v>0</v>
      </c>
      <c r="BW683" s="590"/>
      <c r="BX683" s="347"/>
      <c r="BY683" s="347"/>
      <c r="BZ683" s="347"/>
      <c r="CA683" s="586"/>
      <c r="CB683" s="581"/>
      <c r="CC683" s="581">
        <f t="shared" si="193"/>
        <v>0</v>
      </c>
      <c r="CD683" s="581"/>
      <c r="CE683" s="581"/>
      <c r="CF683" s="581"/>
      <c r="CG683" s="586"/>
      <c r="CH683" s="608"/>
      <c r="CI683" s="603"/>
      <c r="CJ683" s="347"/>
      <c r="CK683" s="347"/>
      <c r="CL683" s="347"/>
      <c r="CM683" s="347"/>
      <c r="CN683" s="347"/>
      <c r="CO683" s="347"/>
      <c r="CP683" s="347"/>
    </row>
    <row r="684">
      <c r="A684" s="574"/>
      <c r="B684" s="574"/>
      <c r="C684" s="347"/>
      <c r="D684" s="574"/>
      <c r="E684" s="347"/>
      <c r="F684" s="596"/>
      <c r="G684" s="596"/>
      <c r="H684" s="347"/>
      <c r="I684" s="347"/>
      <c r="J684" s="596"/>
      <c r="K684" s="609"/>
      <c r="L684" s="1"/>
      <c r="M684" s="347"/>
      <c r="N684" s="347"/>
      <c r="O684" s="579"/>
      <c r="P684" s="579"/>
      <c r="Q684" s="574"/>
      <c r="R684" s="347"/>
      <c r="S684" s="597"/>
      <c r="T684" s="347"/>
      <c r="U684" s="579"/>
      <c r="V684" s="579"/>
      <c r="W684" s="574"/>
      <c r="X684" s="347"/>
      <c r="Y684" s="347"/>
      <c r="Z684" s="347"/>
      <c r="AA684" s="579"/>
      <c r="AB684" s="581"/>
      <c r="AC684" s="347"/>
      <c r="AD684" s="347"/>
      <c r="AE684" s="347"/>
      <c r="AF684" s="347"/>
      <c r="AG684" s="579"/>
      <c r="AH684" s="579"/>
      <c r="AI684" s="582"/>
      <c r="AJ684" s="582"/>
      <c r="AK684" s="582"/>
      <c r="AL684" s="582"/>
      <c r="AM684" s="579"/>
      <c r="AN684" s="579"/>
      <c r="AO684" s="347"/>
      <c r="AP684" s="586"/>
      <c r="AQ684" s="596"/>
      <c r="AR684" s="596"/>
      <c r="AS684" s="348"/>
      <c r="AT684" s="348"/>
      <c r="AU684" s="348"/>
      <c r="AV684" s="348"/>
      <c r="AW684" s="348"/>
      <c r="AX684" s="584"/>
      <c r="AY684" s="581"/>
      <c r="AZ684" s="581"/>
      <c r="BA684" s="596"/>
      <c r="BB684" s="596"/>
      <c r="BC684" s="348"/>
      <c r="BD684" s="581"/>
      <c r="BE684" s="581"/>
      <c r="BF684" s="347"/>
      <c r="BG684" s="347"/>
      <c r="BH684" s="347"/>
      <c r="BI684" s="347"/>
      <c r="BJ684" s="586"/>
      <c r="BK684" s="581"/>
      <c r="BL684" s="347"/>
      <c r="BM684" s="347"/>
      <c r="BN684" s="347"/>
      <c r="BO684" s="586"/>
      <c r="BP684" s="584"/>
      <c r="BQ684" s="347"/>
      <c r="BR684" s="586"/>
      <c r="BS684" s="588"/>
      <c r="BT684" s="586"/>
      <c r="BU684" s="589"/>
      <c r="BV684" s="581">
        <f t="shared" si="44"/>
        <v>0</v>
      </c>
      <c r="BW684" s="590"/>
      <c r="BX684" s="347"/>
      <c r="BY684" s="347"/>
      <c r="BZ684" s="347"/>
      <c r="CA684" s="586"/>
      <c r="CB684" s="581"/>
      <c r="CC684" s="581">
        <f t="shared" si="193"/>
        <v>0</v>
      </c>
      <c r="CD684" s="581"/>
      <c r="CE684" s="581"/>
      <c r="CF684" s="581"/>
      <c r="CG684" s="586"/>
      <c r="CH684" s="608"/>
      <c r="CI684" s="603"/>
      <c r="CJ684" s="347"/>
      <c r="CK684" s="347"/>
      <c r="CL684" s="347"/>
      <c r="CM684" s="347"/>
      <c r="CN684" s="347"/>
      <c r="CO684" s="347"/>
      <c r="CP684" s="347"/>
    </row>
    <row r="685">
      <c r="A685" s="574"/>
      <c r="B685" s="574"/>
      <c r="C685" s="347"/>
      <c r="D685" s="574"/>
      <c r="E685" s="347"/>
      <c r="F685" s="596"/>
      <c r="G685" s="596"/>
      <c r="H685" s="347"/>
      <c r="I685" s="347"/>
      <c r="J685" s="596"/>
      <c r="K685" s="609"/>
      <c r="L685" s="1"/>
      <c r="M685" s="347"/>
      <c r="N685" s="347"/>
      <c r="O685" s="579"/>
      <c r="P685" s="579"/>
      <c r="Q685" s="574"/>
      <c r="R685" s="347"/>
      <c r="S685" s="597"/>
      <c r="T685" s="347"/>
      <c r="U685" s="579"/>
      <c r="V685" s="579"/>
      <c r="W685" s="574"/>
      <c r="X685" s="347"/>
      <c r="Y685" s="347"/>
      <c r="Z685" s="347"/>
      <c r="AA685" s="579"/>
      <c r="AB685" s="581"/>
      <c r="AC685" s="347"/>
      <c r="AD685" s="347"/>
      <c r="AE685" s="347"/>
      <c r="AF685" s="347"/>
      <c r="AG685" s="579"/>
      <c r="AH685" s="579"/>
      <c r="AI685" s="582"/>
      <c r="AJ685" s="582"/>
      <c r="AK685" s="582"/>
      <c r="AL685" s="582"/>
      <c r="AM685" s="579"/>
      <c r="AN685" s="579"/>
      <c r="AO685" s="347"/>
      <c r="AP685" s="586"/>
      <c r="AQ685" s="596"/>
      <c r="AR685" s="596"/>
      <c r="AS685" s="348"/>
      <c r="AT685" s="348"/>
      <c r="AU685" s="348"/>
      <c r="AV685" s="348"/>
      <c r="AW685" s="348"/>
      <c r="AX685" s="584"/>
      <c r="AY685" s="581"/>
      <c r="AZ685" s="581"/>
      <c r="BA685" s="596"/>
      <c r="BB685" s="596"/>
      <c r="BC685" s="348"/>
      <c r="BD685" s="581"/>
      <c r="BE685" s="581"/>
      <c r="BF685" s="347"/>
      <c r="BG685" s="347"/>
      <c r="BH685" s="347"/>
      <c r="BI685" s="347"/>
      <c r="BJ685" s="586"/>
      <c r="BK685" s="581"/>
      <c r="BL685" s="347"/>
      <c r="BM685" s="347"/>
      <c r="BN685" s="347"/>
      <c r="BO685" s="586"/>
      <c r="BP685" s="584"/>
      <c r="BQ685" s="347"/>
      <c r="BR685" s="586"/>
      <c r="BS685" s="588"/>
      <c r="BT685" s="586"/>
      <c r="BU685" s="589"/>
      <c r="BV685" s="581">
        <f t="shared" si="44"/>
        <v>0</v>
      </c>
      <c r="BW685" s="590"/>
      <c r="BX685" s="347"/>
      <c r="BY685" s="347"/>
      <c r="BZ685" s="347"/>
      <c r="CA685" s="586"/>
      <c r="CB685" s="581"/>
      <c r="CC685" s="581">
        <f t="shared" si="193"/>
        <v>0</v>
      </c>
      <c r="CD685" s="581"/>
      <c r="CE685" s="581"/>
      <c r="CF685" s="581"/>
      <c r="CG685" s="586"/>
      <c r="CH685" s="608"/>
      <c r="CI685" s="603"/>
      <c r="CJ685" s="347"/>
      <c r="CK685" s="347"/>
      <c r="CL685" s="347"/>
      <c r="CM685" s="347"/>
      <c r="CN685" s="347"/>
      <c r="CO685" s="347"/>
      <c r="CP685" s="347"/>
    </row>
    <row r="686">
      <c r="A686" s="574"/>
      <c r="B686" s="574"/>
      <c r="C686" s="347"/>
      <c r="D686" s="574"/>
      <c r="E686" s="347"/>
      <c r="F686" s="596"/>
      <c r="G686" s="596"/>
      <c r="H686" s="347"/>
      <c r="I686" s="347"/>
      <c r="J686" s="596"/>
      <c r="K686" s="609"/>
      <c r="L686" s="1"/>
      <c r="M686" s="347"/>
      <c r="N686" s="347"/>
      <c r="O686" s="579"/>
      <c r="P686" s="579"/>
      <c r="Q686" s="574"/>
      <c r="R686" s="347"/>
      <c r="S686" s="597"/>
      <c r="T686" s="347"/>
      <c r="U686" s="579"/>
      <c r="V686" s="579"/>
      <c r="W686" s="574"/>
      <c r="X686" s="347"/>
      <c r="Y686" s="347"/>
      <c r="Z686" s="347"/>
      <c r="AA686" s="579"/>
      <c r="AB686" s="581"/>
      <c r="AC686" s="347"/>
      <c r="AD686" s="347"/>
      <c r="AE686" s="347"/>
      <c r="AF686" s="347"/>
      <c r="AG686" s="579"/>
      <c r="AH686" s="579"/>
      <c r="AI686" s="582"/>
      <c r="AJ686" s="582"/>
      <c r="AK686" s="582"/>
      <c r="AL686" s="582"/>
      <c r="AM686" s="579"/>
      <c r="AN686" s="579"/>
      <c r="AO686" s="347"/>
      <c r="AP686" s="586"/>
      <c r="AQ686" s="596"/>
      <c r="AR686" s="596"/>
      <c r="AS686" s="348"/>
      <c r="AT686" s="348"/>
      <c r="AU686" s="348"/>
      <c r="AV686" s="348"/>
      <c r="AW686" s="348"/>
      <c r="AX686" s="584"/>
      <c r="AY686" s="581"/>
      <c r="AZ686" s="581"/>
      <c r="BA686" s="596"/>
      <c r="BB686" s="596"/>
      <c r="BC686" s="348"/>
      <c r="BD686" s="581"/>
      <c r="BE686" s="581"/>
      <c r="BF686" s="347"/>
      <c r="BG686" s="347"/>
      <c r="BH686" s="347"/>
      <c r="BI686" s="347"/>
      <c r="BJ686" s="586"/>
      <c r="BK686" s="581"/>
      <c r="BL686" s="347"/>
      <c r="BM686" s="347"/>
      <c r="BN686" s="347"/>
      <c r="BO686" s="586"/>
      <c r="BP686" s="584"/>
      <c r="BQ686" s="347"/>
      <c r="BR686" s="586"/>
      <c r="BS686" s="588"/>
      <c r="BT686" s="586"/>
      <c r="BU686" s="589"/>
      <c r="BV686" s="581">
        <f t="shared" si="44"/>
        <v>0</v>
      </c>
      <c r="BW686" s="590"/>
      <c r="BX686" s="347"/>
      <c r="BY686" s="347"/>
      <c r="BZ686" s="347"/>
      <c r="CA686" s="586"/>
      <c r="CB686" s="581"/>
      <c r="CC686" s="581">
        <f t="shared" si="193"/>
        <v>0</v>
      </c>
      <c r="CD686" s="581"/>
      <c r="CE686" s="581"/>
      <c r="CF686" s="581"/>
      <c r="CG686" s="586"/>
      <c r="CH686" s="608"/>
      <c r="CI686" s="603"/>
      <c r="CJ686" s="347"/>
      <c r="CK686" s="347"/>
      <c r="CL686" s="347"/>
      <c r="CM686" s="347"/>
      <c r="CN686" s="347"/>
      <c r="CO686" s="347"/>
      <c r="CP686" s="347"/>
    </row>
    <row r="687">
      <c r="A687" s="574"/>
      <c r="B687" s="574"/>
      <c r="C687" s="347"/>
      <c r="D687" s="574"/>
      <c r="E687" s="347"/>
      <c r="F687" s="596"/>
      <c r="G687" s="596"/>
      <c r="H687" s="347"/>
      <c r="I687" s="347"/>
      <c r="J687" s="596"/>
      <c r="K687" s="609"/>
      <c r="L687" s="1"/>
      <c r="M687" s="347"/>
      <c r="N687" s="347"/>
      <c r="O687" s="579"/>
      <c r="P687" s="579"/>
      <c r="Q687" s="574"/>
      <c r="R687" s="347"/>
      <c r="S687" s="597"/>
      <c r="T687" s="347"/>
      <c r="U687" s="579"/>
      <c r="V687" s="579"/>
      <c r="W687" s="574"/>
      <c r="X687" s="347"/>
      <c r="Y687" s="347"/>
      <c r="Z687" s="347"/>
      <c r="AA687" s="579"/>
      <c r="AB687" s="581"/>
      <c r="AC687" s="347"/>
      <c r="AD687" s="347"/>
      <c r="AE687" s="347"/>
      <c r="AF687" s="347"/>
      <c r="AG687" s="579"/>
      <c r="AH687" s="579"/>
      <c r="AI687" s="582"/>
      <c r="AJ687" s="582"/>
      <c r="AK687" s="582"/>
      <c r="AL687" s="582"/>
      <c r="AM687" s="579"/>
      <c r="AN687" s="579"/>
      <c r="AO687" s="347"/>
      <c r="AP687" s="586"/>
      <c r="AQ687" s="596"/>
      <c r="AR687" s="596"/>
      <c r="AS687" s="348"/>
      <c r="AT687" s="348"/>
      <c r="AU687" s="348"/>
      <c r="AV687" s="348"/>
      <c r="AW687" s="348"/>
      <c r="AX687" s="584"/>
      <c r="AY687" s="581"/>
      <c r="AZ687" s="581"/>
      <c r="BA687" s="596"/>
      <c r="BB687" s="596"/>
      <c r="BC687" s="348"/>
      <c r="BD687" s="581"/>
      <c r="BE687" s="581"/>
      <c r="BF687" s="347"/>
      <c r="BG687" s="347"/>
      <c r="BH687" s="347"/>
      <c r="BI687" s="347"/>
      <c r="BJ687" s="586"/>
      <c r="BK687" s="581"/>
      <c r="BL687" s="347"/>
      <c r="BM687" s="347"/>
      <c r="BN687" s="347"/>
      <c r="BO687" s="586"/>
      <c r="BP687" s="584"/>
      <c r="BQ687" s="347"/>
      <c r="BR687" s="586"/>
      <c r="BS687" s="588"/>
      <c r="BT687" s="586"/>
      <c r="BU687" s="589"/>
      <c r="BV687" s="581">
        <f t="shared" si="44"/>
        <v>0</v>
      </c>
      <c r="BW687" s="590"/>
      <c r="BX687" s="347"/>
      <c r="BY687" s="347"/>
      <c r="BZ687" s="347"/>
      <c r="CA687" s="586"/>
      <c r="CB687" s="581"/>
      <c r="CC687" s="581">
        <f t="shared" si="193"/>
        <v>0</v>
      </c>
      <c r="CD687" s="581"/>
      <c r="CE687" s="581"/>
      <c r="CF687" s="581"/>
      <c r="CG687" s="586"/>
      <c r="CH687" s="608"/>
      <c r="CI687" s="603"/>
      <c r="CJ687" s="347"/>
      <c r="CK687" s="347"/>
      <c r="CL687" s="347"/>
      <c r="CM687" s="347"/>
      <c r="CN687" s="347"/>
      <c r="CO687" s="347"/>
      <c r="CP687" s="347"/>
    </row>
    <row r="688">
      <c r="A688" s="574"/>
      <c r="B688" s="574"/>
      <c r="C688" s="347"/>
      <c r="D688" s="574"/>
      <c r="E688" s="347"/>
      <c r="F688" s="596"/>
      <c r="G688" s="596"/>
      <c r="H688" s="347"/>
      <c r="I688" s="347"/>
      <c r="J688" s="596"/>
      <c r="K688" s="609"/>
      <c r="L688" s="1"/>
      <c r="M688" s="347"/>
      <c r="N688" s="347"/>
      <c r="O688" s="579"/>
      <c r="P688" s="579"/>
      <c r="Q688" s="574"/>
      <c r="R688" s="347"/>
      <c r="S688" s="597"/>
      <c r="T688" s="347"/>
      <c r="U688" s="579"/>
      <c r="V688" s="579"/>
      <c r="W688" s="574"/>
      <c r="X688" s="347"/>
      <c r="Y688" s="347"/>
      <c r="Z688" s="347"/>
      <c r="AA688" s="579"/>
      <c r="AB688" s="581"/>
      <c r="AC688" s="347"/>
      <c r="AD688" s="347"/>
      <c r="AE688" s="347"/>
      <c r="AF688" s="347"/>
      <c r="AG688" s="579"/>
      <c r="AH688" s="579"/>
      <c r="AI688" s="582"/>
      <c r="AJ688" s="582"/>
      <c r="AK688" s="582"/>
      <c r="AL688" s="582"/>
      <c r="AM688" s="579"/>
      <c r="AN688" s="579"/>
      <c r="AO688" s="347"/>
      <c r="AP688" s="586"/>
      <c r="AQ688" s="596"/>
      <c r="AR688" s="596"/>
      <c r="AS688" s="348"/>
      <c r="AT688" s="348"/>
      <c r="AU688" s="348"/>
      <c r="AV688" s="348"/>
      <c r="AW688" s="348"/>
      <c r="AX688" s="584"/>
      <c r="AY688" s="581"/>
      <c r="AZ688" s="581"/>
      <c r="BA688" s="596"/>
      <c r="BB688" s="596"/>
      <c r="BC688" s="348"/>
      <c r="BD688" s="581"/>
      <c r="BE688" s="581"/>
      <c r="BF688" s="347"/>
      <c r="BG688" s="347"/>
      <c r="BH688" s="347"/>
      <c r="BI688" s="347"/>
      <c r="BJ688" s="586"/>
      <c r="BK688" s="581"/>
      <c r="BL688" s="347"/>
      <c r="BM688" s="347"/>
      <c r="BN688" s="347"/>
      <c r="BO688" s="586"/>
      <c r="BP688" s="584"/>
      <c r="BQ688" s="347"/>
      <c r="BR688" s="586"/>
      <c r="BS688" s="588"/>
      <c r="BT688" s="586"/>
      <c r="BU688" s="589"/>
      <c r="BV688" s="581">
        <f t="shared" si="44"/>
        <v>0</v>
      </c>
      <c r="BW688" s="590"/>
      <c r="BX688" s="347"/>
      <c r="BY688" s="347"/>
      <c r="BZ688" s="347"/>
      <c r="CA688" s="586"/>
      <c r="CB688" s="581"/>
      <c r="CC688" s="581">
        <f t="shared" si="193"/>
        <v>0</v>
      </c>
      <c r="CD688" s="581"/>
      <c r="CE688" s="581"/>
      <c r="CF688" s="581"/>
      <c r="CG688" s="586"/>
      <c r="CH688" s="608"/>
      <c r="CI688" s="603"/>
      <c r="CJ688" s="347"/>
      <c r="CK688" s="347"/>
      <c r="CL688" s="347"/>
      <c r="CM688" s="347"/>
      <c r="CN688" s="347"/>
      <c r="CO688" s="347"/>
      <c r="CP688" s="347"/>
    </row>
    <row r="689">
      <c r="A689" s="574"/>
      <c r="B689" s="574"/>
      <c r="C689" s="347"/>
      <c r="D689" s="574"/>
      <c r="E689" s="347"/>
      <c r="F689" s="596"/>
      <c r="G689" s="596"/>
      <c r="H689" s="347"/>
      <c r="I689" s="347"/>
      <c r="J689" s="596"/>
      <c r="K689" s="609"/>
      <c r="L689" s="1"/>
      <c r="M689" s="347"/>
      <c r="N689" s="347"/>
      <c r="O689" s="579"/>
      <c r="P689" s="579"/>
      <c r="Q689" s="574"/>
      <c r="R689" s="347"/>
      <c r="S689" s="597"/>
      <c r="T689" s="347"/>
      <c r="U689" s="579"/>
      <c r="V689" s="579"/>
      <c r="W689" s="574"/>
      <c r="X689" s="347"/>
      <c r="Y689" s="347"/>
      <c r="Z689" s="347"/>
      <c r="AA689" s="579"/>
      <c r="AB689" s="581"/>
      <c r="AC689" s="347"/>
      <c r="AD689" s="347"/>
      <c r="AE689" s="347"/>
      <c r="AF689" s="347"/>
      <c r="AG689" s="579"/>
      <c r="AH689" s="579"/>
      <c r="AI689" s="582"/>
      <c r="AJ689" s="582"/>
      <c r="AK689" s="582"/>
      <c r="AL689" s="582"/>
      <c r="AM689" s="579"/>
      <c r="AN689" s="579"/>
      <c r="AO689" s="347"/>
      <c r="AP689" s="586"/>
      <c r="AQ689" s="596"/>
      <c r="AR689" s="596"/>
      <c r="AS689" s="348"/>
      <c r="AT689" s="348"/>
      <c r="AU689" s="348"/>
      <c r="AV689" s="348"/>
      <c r="AW689" s="348"/>
      <c r="AX689" s="584"/>
      <c r="AY689" s="581"/>
      <c r="AZ689" s="581"/>
      <c r="BA689" s="596"/>
      <c r="BB689" s="596"/>
      <c r="BC689" s="348"/>
      <c r="BD689" s="581"/>
      <c r="BE689" s="581"/>
      <c r="BF689" s="347"/>
      <c r="BG689" s="347"/>
      <c r="BH689" s="347"/>
      <c r="BI689" s="347"/>
      <c r="BJ689" s="586"/>
      <c r="BK689" s="581"/>
      <c r="BL689" s="347"/>
      <c r="BM689" s="347"/>
      <c r="BN689" s="347"/>
      <c r="BO689" s="586"/>
      <c r="BP689" s="584"/>
      <c r="BQ689" s="347"/>
      <c r="BR689" s="586"/>
      <c r="BS689" s="588"/>
      <c r="BT689" s="586"/>
      <c r="BU689" s="589"/>
      <c r="BV689" s="581">
        <f t="shared" si="44"/>
        <v>0</v>
      </c>
      <c r="BW689" s="590"/>
      <c r="BX689" s="347"/>
      <c r="BY689" s="347"/>
      <c r="BZ689" s="347"/>
      <c r="CA689" s="586"/>
      <c r="CB689" s="581"/>
      <c r="CC689" s="581">
        <f t="shared" si="193"/>
        <v>0</v>
      </c>
      <c r="CD689" s="581"/>
      <c r="CE689" s="581"/>
      <c r="CF689" s="581"/>
      <c r="CG689" s="586"/>
      <c r="CH689" s="608"/>
      <c r="CI689" s="603"/>
      <c r="CJ689" s="347"/>
      <c r="CK689" s="347"/>
      <c r="CL689" s="347"/>
      <c r="CM689" s="347"/>
      <c r="CN689" s="347"/>
      <c r="CO689" s="347"/>
      <c r="CP689" s="347"/>
    </row>
    <row r="690">
      <c r="A690" s="574"/>
      <c r="B690" s="574"/>
      <c r="C690" s="347"/>
      <c r="D690" s="574"/>
      <c r="E690" s="347"/>
      <c r="F690" s="596"/>
      <c r="G690" s="596"/>
      <c r="H690" s="347"/>
      <c r="I690" s="347"/>
      <c r="J690" s="596"/>
      <c r="K690" s="609"/>
      <c r="L690" s="1"/>
      <c r="M690" s="347"/>
      <c r="N690" s="347"/>
      <c r="O690" s="579"/>
      <c r="P690" s="579"/>
      <c r="Q690" s="574"/>
      <c r="R690" s="347"/>
      <c r="S690" s="597"/>
      <c r="T690" s="347"/>
      <c r="U690" s="579"/>
      <c r="V690" s="579"/>
      <c r="W690" s="574"/>
      <c r="X690" s="347"/>
      <c r="Y690" s="347"/>
      <c r="Z690" s="347"/>
      <c r="AA690" s="579"/>
      <c r="AB690" s="581"/>
      <c r="AC690" s="347"/>
      <c r="AD690" s="347"/>
      <c r="AE690" s="347"/>
      <c r="AF690" s="347"/>
      <c r="AG690" s="579"/>
      <c r="AH690" s="579"/>
      <c r="AI690" s="582"/>
      <c r="AJ690" s="582"/>
      <c r="AK690" s="582"/>
      <c r="AL690" s="582"/>
      <c r="AM690" s="579"/>
      <c r="AN690" s="579"/>
      <c r="AO690" s="347"/>
      <c r="AP690" s="586"/>
      <c r="AQ690" s="596"/>
      <c r="AR690" s="596"/>
      <c r="AS690" s="348"/>
      <c r="AT690" s="348"/>
      <c r="AU690" s="348"/>
      <c r="AV690" s="348"/>
      <c r="AW690" s="348"/>
      <c r="AX690" s="584"/>
      <c r="AY690" s="581"/>
      <c r="AZ690" s="581"/>
      <c r="BA690" s="596"/>
      <c r="BB690" s="596"/>
      <c r="BC690" s="348"/>
      <c r="BD690" s="581"/>
      <c r="BE690" s="581"/>
      <c r="BF690" s="347"/>
      <c r="BG690" s="347"/>
      <c r="BH690" s="347"/>
      <c r="BI690" s="347"/>
      <c r="BJ690" s="586"/>
      <c r="BK690" s="581"/>
      <c r="BL690" s="347"/>
      <c r="BM690" s="347"/>
      <c r="BN690" s="347"/>
      <c r="BO690" s="586"/>
      <c r="BP690" s="584"/>
      <c r="BQ690" s="347"/>
      <c r="BR690" s="586"/>
      <c r="BS690" s="588"/>
      <c r="BT690" s="586"/>
      <c r="BU690" s="589"/>
      <c r="BV690" s="581">
        <f t="shared" si="44"/>
        <v>0</v>
      </c>
      <c r="BW690" s="590"/>
      <c r="BX690" s="347"/>
      <c r="BY690" s="347"/>
      <c r="BZ690" s="347"/>
      <c r="CA690" s="586"/>
      <c r="CB690" s="581"/>
      <c r="CC690" s="581">
        <f t="shared" si="193"/>
        <v>0</v>
      </c>
      <c r="CD690" s="581"/>
      <c r="CE690" s="581"/>
      <c r="CF690" s="581"/>
      <c r="CG690" s="586"/>
      <c r="CH690" s="608"/>
      <c r="CI690" s="603"/>
      <c r="CJ690" s="347"/>
      <c r="CK690" s="347"/>
      <c r="CL690" s="347"/>
      <c r="CM690" s="347"/>
      <c r="CN690" s="347"/>
      <c r="CO690" s="347"/>
      <c r="CP690" s="347"/>
    </row>
    <row r="691">
      <c r="A691" s="574"/>
      <c r="B691" s="574"/>
      <c r="C691" s="347"/>
      <c r="D691" s="574"/>
      <c r="E691" s="347"/>
      <c r="F691" s="596"/>
      <c r="G691" s="596"/>
      <c r="H691" s="347"/>
      <c r="I691" s="347"/>
      <c r="J691" s="596"/>
      <c r="K691" s="609"/>
      <c r="L691" s="1"/>
      <c r="M691" s="347"/>
      <c r="N691" s="347"/>
      <c r="O691" s="579"/>
      <c r="P691" s="579"/>
      <c r="Q691" s="574"/>
      <c r="R691" s="347"/>
      <c r="S691" s="597"/>
      <c r="T691" s="347"/>
      <c r="U691" s="579"/>
      <c r="V691" s="579"/>
      <c r="W691" s="574"/>
      <c r="X691" s="347"/>
      <c r="Y691" s="347"/>
      <c r="Z691" s="347"/>
      <c r="AA691" s="579"/>
      <c r="AB691" s="581"/>
      <c r="AC691" s="347"/>
      <c r="AD691" s="347"/>
      <c r="AE691" s="347"/>
      <c r="AF691" s="347"/>
      <c r="AG691" s="579"/>
      <c r="AH691" s="579"/>
      <c r="AI691" s="582"/>
      <c r="AJ691" s="582"/>
      <c r="AK691" s="582"/>
      <c r="AL691" s="582"/>
      <c r="AM691" s="579"/>
      <c r="AN691" s="579"/>
      <c r="AO691" s="347"/>
      <c r="AP691" s="586"/>
      <c r="AQ691" s="596"/>
      <c r="AR691" s="596"/>
      <c r="AS691" s="348"/>
      <c r="AT691" s="348"/>
      <c r="AU691" s="348"/>
      <c r="AV691" s="348"/>
      <c r="AW691" s="348"/>
      <c r="AX691" s="584"/>
      <c r="AY691" s="581"/>
      <c r="AZ691" s="581"/>
      <c r="BA691" s="596"/>
      <c r="BB691" s="596"/>
      <c r="BC691" s="348"/>
      <c r="BD691" s="581"/>
      <c r="BE691" s="581"/>
      <c r="BF691" s="347"/>
      <c r="BG691" s="347"/>
      <c r="BH691" s="347"/>
      <c r="BI691" s="347"/>
      <c r="BJ691" s="586"/>
      <c r="BK691" s="581"/>
      <c r="BL691" s="347"/>
      <c r="BM691" s="347"/>
      <c r="BN691" s="347"/>
      <c r="BO691" s="586"/>
      <c r="BP691" s="584"/>
      <c r="BQ691" s="347"/>
      <c r="BR691" s="586"/>
      <c r="BS691" s="588"/>
      <c r="BT691" s="586"/>
      <c r="BU691" s="589"/>
      <c r="BV691" s="581">
        <f t="shared" si="44"/>
        <v>0</v>
      </c>
      <c r="BW691" s="590"/>
      <c r="BX691" s="347"/>
      <c r="BY691" s="347"/>
      <c r="BZ691" s="347"/>
      <c r="CA691" s="586"/>
      <c r="CB691" s="581"/>
      <c r="CC691" s="581">
        <f t="shared" si="193"/>
        <v>0</v>
      </c>
      <c r="CD691" s="581"/>
      <c r="CE691" s="581"/>
      <c r="CF691" s="581"/>
      <c r="CG691" s="586"/>
      <c r="CH691" s="608"/>
      <c r="CI691" s="603"/>
      <c r="CJ691" s="347"/>
      <c r="CK691" s="347"/>
      <c r="CL691" s="347"/>
      <c r="CM691" s="347"/>
      <c r="CN691" s="347"/>
      <c r="CO691" s="347"/>
      <c r="CP691" s="347"/>
    </row>
    <row r="692">
      <c r="A692" s="574"/>
      <c r="B692" s="574"/>
      <c r="C692" s="347"/>
      <c r="D692" s="574"/>
      <c r="E692" s="347"/>
      <c r="F692" s="596"/>
      <c r="G692" s="596"/>
      <c r="H692" s="347"/>
      <c r="I692" s="347"/>
      <c r="J692" s="596"/>
      <c r="K692" s="609"/>
      <c r="L692" s="1"/>
      <c r="M692" s="347"/>
      <c r="N692" s="347"/>
      <c r="O692" s="579"/>
      <c r="P692" s="579"/>
      <c r="Q692" s="574"/>
      <c r="R692" s="347"/>
      <c r="S692" s="597"/>
      <c r="T692" s="347"/>
      <c r="U692" s="579"/>
      <c r="V692" s="579"/>
      <c r="W692" s="574"/>
      <c r="X692" s="347"/>
      <c r="Y692" s="347"/>
      <c r="Z692" s="347"/>
      <c r="AA692" s="579"/>
      <c r="AB692" s="581"/>
      <c r="AC692" s="347"/>
      <c r="AD692" s="347"/>
      <c r="AE692" s="347"/>
      <c r="AF692" s="347"/>
      <c r="AG692" s="579"/>
      <c r="AH692" s="579"/>
      <c r="AI692" s="582"/>
      <c r="AJ692" s="582"/>
      <c r="AK692" s="582"/>
      <c r="AL692" s="582"/>
      <c r="AM692" s="579"/>
      <c r="AN692" s="579"/>
      <c r="AO692" s="347"/>
      <c r="AP692" s="586"/>
      <c r="AQ692" s="596"/>
      <c r="AR692" s="596"/>
      <c r="AS692" s="348"/>
      <c r="AT692" s="348"/>
      <c r="AU692" s="348"/>
      <c r="AV692" s="348"/>
      <c r="AW692" s="348"/>
      <c r="AX692" s="584"/>
      <c r="AY692" s="581"/>
      <c r="AZ692" s="581"/>
      <c r="BA692" s="596"/>
      <c r="BB692" s="596"/>
      <c r="BC692" s="348"/>
      <c r="BD692" s="581"/>
      <c r="BE692" s="581"/>
      <c r="BF692" s="347"/>
      <c r="BG692" s="347"/>
      <c r="BH692" s="347"/>
      <c r="BI692" s="347"/>
      <c r="BJ692" s="586"/>
      <c r="BK692" s="581"/>
      <c r="BL692" s="347"/>
      <c r="BM692" s="347"/>
      <c r="BN692" s="347"/>
      <c r="BO692" s="586"/>
      <c r="BP692" s="584"/>
      <c r="BQ692" s="347"/>
      <c r="BR692" s="586"/>
      <c r="BS692" s="588"/>
      <c r="BT692" s="586"/>
      <c r="BU692" s="589"/>
      <c r="BV692" s="581">
        <f t="shared" si="44"/>
        <v>0</v>
      </c>
      <c r="BW692" s="590"/>
      <c r="BX692" s="347"/>
      <c r="BY692" s="347"/>
      <c r="BZ692" s="347"/>
      <c r="CA692" s="586"/>
      <c r="CB692" s="581"/>
      <c r="CC692" s="581">
        <f t="shared" si="193"/>
        <v>0</v>
      </c>
      <c r="CD692" s="581"/>
      <c r="CE692" s="581"/>
      <c r="CF692" s="581"/>
      <c r="CG692" s="586"/>
      <c r="CH692" s="608"/>
      <c r="CI692" s="603"/>
      <c r="CJ692" s="347"/>
      <c r="CK692" s="347"/>
      <c r="CL692" s="347"/>
      <c r="CM692" s="347"/>
      <c r="CN692" s="347"/>
      <c r="CO692" s="347"/>
      <c r="CP692" s="347"/>
    </row>
    <row r="693">
      <c r="A693" s="574"/>
      <c r="B693" s="574"/>
      <c r="C693" s="347"/>
      <c r="D693" s="574"/>
      <c r="E693" s="347"/>
      <c r="F693" s="596"/>
      <c r="G693" s="596"/>
      <c r="H693" s="347"/>
      <c r="I693" s="347"/>
      <c r="J693" s="596"/>
      <c r="K693" s="609"/>
      <c r="L693" s="1"/>
      <c r="M693" s="347"/>
      <c r="N693" s="347"/>
      <c r="O693" s="579"/>
      <c r="P693" s="579"/>
      <c r="Q693" s="574"/>
      <c r="R693" s="347"/>
      <c r="S693" s="597"/>
      <c r="T693" s="347"/>
      <c r="U693" s="579"/>
      <c r="V693" s="579"/>
      <c r="W693" s="574"/>
      <c r="X693" s="347"/>
      <c r="Y693" s="347"/>
      <c r="Z693" s="347"/>
      <c r="AA693" s="579"/>
      <c r="AB693" s="581"/>
      <c r="AC693" s="347"/>
      <c r="AD693" s="347"/>
      <c r="AE693" s="347"/>
      <c r="AF693" s="347"/>
      <c r="AG693" s="579"/>
      <c r="AH693" s="579"/>
      <c r="AI693" s="582"/>
      <c r="AJ693" s="582"/>
      <c r="AK693" s="582"/>
      <c r="AL693" s="582"/>
      <c r="AM693" s="579"/>
      <c r="AN693" s="579"/>
      <c r="AO693" s="347"/>
      <c r="AP693" s="586"/>
      <c r="AQ693" s="596"/>
      <c r="AR693" s="596"/>
      <c r="AS693" s="348"/>
      <c r="AT693" s="348"/>
      <c r="AU693" s="348"/>
      <c r="AV693" s="348"/>
      <c r="AW693" s="348"/>
      <c r="AX693" s="584"/>
      <c r="AY693" s="581"/>
      <c r="AZ693" s="581"/>
      <c r="BA693" s="596"/>
      <c r="BB693" s="596"/>
      <c r="BC693" s="348"/>
      <c r="BD693" s="581"/>
      <c r="BE693" s="581"/>
      <c r="BF693" s="347"/>
      <c r="BG693" s="347"/>
      <c r="BH693" s="347"/>
      <c r="BI693" s="347"/>
      <c r="BJ693" s="586"/>
      <c r="BK693" s="581"/>
      <c r="BL693" s="347"/>
      <c r="BM693" s="347"/>
      <c r="BN693" s="347"/>
      <c r="BO693" s="586"/>
      <c r="BP693" s="584"/>
      <c r="BQ693" s="347"/>
      <c r="BR693" s="586"/>
      <c r="BS693" s="588"/>
      <c r="BT693" s="586"/>
      <c r="BU693" s="589"/>
      <c r="BV693" s="581">
        <f t="shared" si="44"/>
        <v>0</v>
      </c>
      <c r="BW693" s="590"/>
      <c r="BX693" s="347"/>
      <c r="BY693" s="347"/>
      <c r="BZ693" s="347"/>
      <c r="CA693" s="586"/>
      <c r="CB693" s="581"/>
      <c r="CC693" s="581">
        <f t="shared" si="193"/>
        <v>0</v>
      </c>
      <c r="CD693" s="581"/>
      <c r="CE693" s="581"/>
      <c r="CF693" s="581"/>
      <c r="CG693" s="586"/>
      <c r="CH693" s="608"/>
      <c r="CI693" s="603"/>
      <c r="CJ693" s="347"/>
      <c r="CK693" s="347"/>
      <c r="CL693" s="347"/>
      <c r="CM693" s="347"/>
      <c r="CN693" s="347"/>
      <c r="CO693" s="347"/>
      <c r="CP693" s="347"/>
    </row>
    <row r="694">
      <c r="A694" s="574"/>
      <c r="B694" s="574"/>
      <c r="C694" s="347"/>
      <c r="D694" s="574"/>
      <c r="E694" s="347"/>
      <c r="F694" s="596"/>
      <c r="G694" s="596"/>
      <c r="H694" s="347"/>
      <c r="I694" s="347"/>
      <c r="J694" s="596"/>
      <c r="K694" s="609"/>
      <c r="L694" s="1"/>
      <c r="M694" s="347"/>
      <c r="N694" s="347"/>
      <c r="O694" s="579"/>
      <c r="P694" s="579"/>
      <c r="Q694" s="574"/>
      <c r="R694" s="347"/>
      <c r="S694" s="597"/>
      <c r="T694" s="347"/>
      <c r="U694" s="579"/>
      <c r="V694" s="579"/>
      <c r="W694" s="574"/>
      <c r="X694" s="347"/>
      <c r="Y694" s="347"/>
      <c r="Z694" s="347"/>
      <c r="AA694" s="579"/>
      <c r="AB694" s="581"/>
      <c r="AC694" s="347"/>
      <c r="AD694" s="347"/>
      <c r="AE694" s="347"/>
      <c r="AF694" s="347"/>
      <c r="AG694" s="579"/>
      <c r="AH694" s="579"/>
      <c r="AI694" s="582"/>
      <c r="AJ694" s="582"/>
      <c r="AK694" s="582"/>
      <c r="AL694" s="582"/>
      <c r="AM694" s="579"/>
      <c r="AN694" s="579"/>
      <c r="AO694" s="347"/>
      <c r="AP694" s="586"/>
      <c r="AQ694" s="596"/>
      <c r="AR694" s="596"/>
      <c r="AS694" s="348"/>
      <c r="AT694" s="348"/>
      <c r="AU694" s="348"/>
      <c r="AV694" s="348"/>
      <c r="AW694" s="348"/>
      <c r="AX694" s="584"/>
      <c r="AY694" s="581"/>
      <c r="AZ694" s="581"/>
      <c r="BA694" s="596"/>
      <c r="BB694" s="596"/>
      <c r="BC694" s="348"/>
      <c r="BD694" s="581"/>
      <c r="BE694" s="581"/>
      <c r="BF694" s="347"/>
      <c r="BG694" s="347"/>
      <c r="BH694" s="347"/>
      <c r="BI694" s="347"/>
      <c r="BJ694" s="586"/>
      <c r="BK694" s="581"/>
      <c r="BL694" s="347"/>
      <c r="BM694" s="347"/>
      <c r="BN694" s="347"/>
      <c r="BO694" s="586"/>
      <c r="BP694" s="584"/>
      <c r="BQ694" s="347"/>
      <c r="BR694" s="586"/>
      <c r="BS694" s="588"/>
      <c r="BT694" s="586"/>
      <c r="BU694" s="589"/>
      <c r="BV694" s="581">
        <f t="shared" si="44"/>
        <v>0</v>
      </c>
      <c r="BW694" s="590"/>
      <c r="BX694" s="347"/>
      <c r="BY694" s="347"/>
      <c r="BZ694" s="347"/>
      <c r="CA694" s="586"/>
      <c r="CB694" s="581"/>
      <c r="CC694" s="581">
        <f t="shared" si="193"/>
        <v>0</v>
      </c>
      <c r="CD694" s="581"/>
      <c r="CE694" s="581"/>
      <c r="CF694" s="581"/>
      <c r="CG694" s="586"/>
      <c r="CH694" s="608"/>
      <c r="CI694" s="603"/>
      <c r="CJ694" s="347"/>
      <c r="CK694" s="347"/>
      <c r="CL694" s="347"/>
      <c r="CM694" s="347"/>
      <c r="CN694" s="347"/>
      <c r="CO694" s="347"/>
      <c r="CP694" s="347"/>
    </row>
    <row r="695">
      <c r="A695" s="574"/>
      <c r="B695" s="574"/>
      <c r="C695" s="347"/>
      <c r="D695" s="574"/>
      <c r="E695" s="347"/>
      <c r="F695" s="596"/>
      <c r="G695" s="596"/>
      <c r="H695" s="347"/>
      <c r="I695" s="347"/>
      <c r="J695" s="596"/>
      <c r="K695" s="609"/>
      <c r="L695" s="1"/>
      <c r="M695" s="347"/>
      <c r="N695" s="347"/>
      <c r="O695" s="579"/>
      <c r="P695" s="579"/>
      <c r="Q695" s="574"/>
      <c r="R695" s="347"/>
      <c r="S695" s="597"/>
      <c r="T695" s="347"/>
      <c r="U695" s="579"/>
      <c r="V695" s="579"/>
      <c r="W695" s="574"/>
      <c r="X695" s="347"/>
      <c r="Y695" s="347"/>
      <c r="Z695" s="347"/>
      <c r="AA695" s="579"/>
      <c r="AB695" s="581"/>
      <c r="AC695" s="347"/>
      <c r="AD695" s="347"/>
      <c r="AE695" s="347"/>
      <c r="AF695" s="347"/>
      <c r="AG695" s="579"/>
      <c r="AH695" s="579"/>
      <c r="AI695" s="582"/>
      <c r="AJ695" s="582"/>
      <c r="AK695" s="582"/>
      <c r="AL695" s="582"/>
      <c r="AM695" s="579"/>
      <c r="AN695" s="579"/>
      <c r="AO695" s="347"/>
      <c r="AP695" s="586"/>
      <c r="AQ695" s="596"/>
      <c r="AR695" s="596"/>
      <c r="AS695" s="348"/>
      <c r="AT695" s="348"/>
      <c r="AU695" s="348"/>
      <c r="AV695" s="348"/>
      <c r="AW695" s="348"/>
      <c r="AX695" s="584"/>
      <c r="AY695" s="581"/>
      <c r="AZ695" s="581"/>
      <c r="BA695" s="596"/>
      <c r="BB695" s="596"/>
      <c r="BC695" s="348"/>
      <c r="BD695" s="581"/>
      <c r="BE695" s="581"/>
      <c r="BF695" s="347"/>
      <c r="BG695" s="347"/>
      <c r="BH695" s="347"/>
      <c r="BI695" s="347"/>
      <c r="BJ695" s="586"/>
      <c r="BK695" s="581"/>
      <c r="BL695" s="347"/>
      <c r="BM695" s="347"/>
      <c r="BN695" s="347"/>
      <c r="BO695" s="586"/>
      <c r="BP695" s="584"/>
      <c r="BQ695" s="347"/>
      <c r="BR695" s="586"/>
      <c r="BS695" s="588"/>
      <c r="BT695" s="586"/>
      <c r="BU695" s="589"/>
      <c r="BV695" s="581">
        <f t="shared" si="44"/>
        <v>0</v>
      </c>
      <c r="BW695" s="590"/>
      <c r="BX695" s="347"/>
      <c r="BY695" s="347"/>
      <c r="BZ695" s="347"/>
      <c r="CA695" s="586"/>
      <c r="CB695" s="581"/>
      <c r="CC695" s="581">
        <f t="shared" si="193"/>
        <v>0</v>
      </c>
      <c r="CD695" s="581"/>
      <c r="CE695" s="581"/>
      <c r="CF695" s="581"/>
      <c r="CG695" s="586"/>
      <c r="CH695" s="608"/>
      <c r="CI695" s="603"/>
      <c r="CJ695" s="347"/>
      <c r="CK695" s="347"/>
      <c r="CL695" s="347"/>
      <c r="CM695" s="347"/>
      <c r="CN695" s="347"/>
      <c r="CO695" s="347"/>
      <c r="CP695" s="347"/>
    </row>
    <row r="696">
      <c r="A696" s="574"/>
      <c r="B696" s="574"/>
      <c r="C696" s="347"/>
      <c r="D696" s="574"/>
      <c r="E696" s="347"/>
      <c r="F696" s="596"/>
      <c r="G696" s="596"/>
      <c r="H696" s="347"/>
      <c r="I696" s="347"/>
      <c r="J696" s="596"/>
      <c r="K696" s="609"/>
      <c r="L696" s="1"/>
      <c r="M696" s="347"/>
      <c r="N696" s="347"/>
      <c r="O696" s="579"/>
      <c r="P696" s="579"/>
      <c r="Q696" s="574"/>
      <c r="R696" s="347"/>
      <c r="S696" s="597"/>
      <c r="T696" s="347"/>
      <c r="U696" s="579"/>
      <c r="V696" s="579"/>
      <c r="W696" s="574"/>
      <c r="X696" s="347"/>
      <c r="Y696" s="347"/>
      <c r="Z696" s="347"/>
      <c r="AA696" s="579"/>
      <c r="AB696" s="581"/>
      <c r="AC696" s="347"/>
      <c r="AD696" s="347"/>
      <c r="AE696" s="347"/>
      <c r="AF696" s="347"/>
      <c r="AG696" s="579"/>
      <c r="AH696" s="579"/>
      <c r="AI696" s="582"/>
      <c r="AJ696" s="582"/>
      <c r="AK696" s="582"/>
      <c r="AL696" s="582"/>
      <c r="AM696" s="579"/>
      <c r="AN696" s="579"/>
      <c r="AO696" s="347"/>
      <c r="AP696" s="586"/>
      <c r="AQ696" s="596"/>
      <c r="AR696" s="596"/>
      <c r="AS696" s="348"/>
      <c r="AT696" s="348"/>
      <c r="AU696" s="348"/>
      <c r="AV696" s="348"/>
      <c r="AW696" s="348"/>
      <c r="AX696" s="584"/>
      <c r="AY696" s="581"/>
      <c r="AZ696" s="581"/>
      <c r="BA696" s="596"/>
      <c r="BB696" s="596"/>
      <c r="BC696" s="348"/>
      <c r="BD696" s="581"/>
      <c r="BE696" s="581"/>
      <c r="BF696" s="347"/>
      <c r="BG696" s="347"/>
      <c r="BH696" s="347"/>
      <c r="BI696" s="347"/>
      <c r="BJ696" s="586"/>
      <c r="BK696" s="581"/>
      <c r="BL696" s="347"/>
      <c r="BM696" s="347"/>
      <c r="BN696" s="347"/>
      <c r="BO696" s="586"/>
      <c r="BP696" s="584"/>
      <c r="BQ696" s="347"/>
      <c r="BR696" s="586"/>
      <c r="BS696" s="588"/>
      <c r="BT696" s="586"/>
      <c r="BU696" s="589"/>
      <c r="BV696" s="581">
        <f t="shared" si="44"/>
        <v>0</v>
      </c>
      <c r="BW696" s="590"/>
      <c r="BX696" s="347"/>
      <c r="BY696" s="347"/>
      <c r="BZ696" s="347"/>
      <c r="CA696" s="586"/>
      <c r="CB696" s="581"/>
      <c r="CC696" s="581">
        <f t="shared" si="193"/>
        <v>0</v>
      </c>
      <c r="CD696" s="581"/>
      <c r="CE696" s="581"/>
      <c r="CF696" s="581"/>
      <c r="CG696" s="586"/>
      <c r="CH696" s="608"/>
      <c r="CI696" s="603"/>
      <c r="CJ696" s="347"/>
      <c r="CK696" s="347"/>
      <c r="CL696" s="347"/>
      <c r="CM696" s="347"/>
      <c r="CN696" s="347"/>
      <c r="CO696" s="347"/>
      <c r="CP696" s="347"/>
    </row>
    <row r="697">
      <c r="A697" s="574"/>
      <c r="B697" s="574"/>
      <c r="C697" s="347"/>
      <c r="D697" s="574"/>
      <c r="E697" s="347"/>
      <c r="F697" s="596"/>
      <c r="G697" s="596"/>
      <c r="H697" s="347"/>
      <c r="I697" s="347"/>
      <c r="J697" s="596"/>
      <c r="K697" s="609"/>
      <c r="L697" s="1"/>
      <c r="M697" s="347"/>
      <c r="N697" s="347"/>
      <c r="O697" s="579"/>
      <c r="P697" s="579"/>
      <c r="Q697" s="574"/>
      <c r="R697" s="347"/>
      <c r="S697" s="597"/>
      <c r="T697" s="347"/>
      <c r="U697" s="579"/>
      <c r="V697" s="579"/>
      <c r="W697" s="574"/>
      <c r="X697" s="347"/>
      <c r="Y697" s="347"/>
      <c r="Z697" s="347"/>
      <c r="AA697" s="579"/>
      <c r="AB697" s="581"/>
      <c r="AC697" s="347"/>
      <c r="AD697" s="347"/>
      <c r="AE697" s="347"/>
      <c r="AF697" s="347"/>
      <c r="AG697" s="579"/>
      <c r="AH697" s="579"/>
      <c r="AI697" s="582"/>
      <c r="AJ697" s="582"/>
      <c r="AK697" s="582"/>
      <c r="AL697" s="582"/>
      <c r="AM697" s="579"/>
      <c r="AN697" s="579"/>
      <c r="AO697" s="347"/>
      <c r="AP697" s="586"/>
      <c r="AQ697" s="596"/>
      <c r="AR697" s="596"/>
      <c r="AS697" s="348"/>
      <c r="AT697" s="348"/>
      <c r="AU697" s="348"/>
      <c r="AV697" s="348"/>
      <c r="AW697" s="348"/>
      <c r="AX697" s="584"/>
      <c r="AY697" s="581"/>
      <c r="AZ697" s="581"/>
      <c r="BA697" s="596"/>
      <c r="BB697" s="596"/>
      <c r="BC697" s="348"/>
      <c r="BD697" s="581"/>
      <c r="BE697" s="581"/>
      <c r="BF697" s="347"/>
      <c r="BG697" s="347"/>
      <c r="BH697" s="347"/>
      <c r="BI697" s="347"/>
      <c r="BJ697" s="586"/>
      <c r="BK697" s="581"/>
      <c r="BL697" s="347"/>
      <c r="BM697" s="347"/>
      <c r="BN697" s="347"/>
      <c r="BO697" s="586"/>
      <c r="BP697" s="584"/>
      <c r="BQ697" s="347"/>
      <c r="BR697" s="586"/>
      <c r="BS697" s="588"/>
      <c r="BT697" s="586"/>
      <c r="BU697" s="589"/>
      <c r="BV697" s="581">
        <f t="shared" si="44"/>
        <v>0</v>
      </c>
      <c r="BW697" s="590"/>
      <c r="BX697" s="347"/>
      <c r="BY697" s="347"/>
      <c r="BZ697" s="347"/>
      <c r="CA697" s="586"/>
      <c r="CB697" s="581"/>
      <c r="CC697" s="581">
        <f t="shared" si="193"/>
        <v>0</v>
      </c>
      <c r="CD697" s="581"/>
      <c r="CE697" s="581"/>
      <c r="CF697" s="581"/>
      <c r="CG697" s="586"/>
      <c r="CH697" s="608"/>
      <c r="CI697" s="603"/>
      <c r="CJ697" s="347"/>
      <c r="CK697" s="347"/>
      <c r="CL697" s="347"/>
      <c r="CM697" s="347"/>
      <c r="CN697" s="347"/>
      <c r="CO697" s="347"/>
      <c r="CP697" s="347"/>
    </row>
    <row r="698">
      <c r="A698" s="574"/>
      <c r="B698" s="574"/>
      <c r="C698" s="347"/>
      <c r="D698" s="574"/>
      <c r="E698" s="347"/>
      <c r="F698" s="596"/>
      <c r="G698" s="596"/>
      <c r="H698" s="347"/>
      <c r="I698" s="347"/>
      <c r="J698" s="596"/>
      <c r="K698" s="609"/>
      <c r="L698" s="1"/>
      <c r="M698" s="347"/>
      <c r="N698" s="347"/>
      <c r="O698" s="579"/>
      <c r="P698" s="579"/>
      <c r="Q698" s="574"/>
      <c r="R698" s="347"/>
      <c r="S698" s="597"/>
      <c r="T698" s="347"/>
      <c r="U698" s="579"/>
      <c r="V698" s="579"/>
      <c r="W698" s="574"/>
      <c r="X698" s="347"/>
      <c r="Y698" s="347"/>
      <c r="Z698" s="347"/>
      <c r="AA698" s="579"/>
      <c r="AB698" s="581"/>
      <c r="AC698" s="347"/>
      <c r="AD698" s="347"/>
      <c r="AE698" s="347"/>
      <c r="AF698" s="347"/>
      <c r="AG698" s="579"/>
      <c r="AH698" s="579"/>
      <c r="AI698" s="582"/>
      <c r="AJ698" s="582"/>
      <c r="AK698" s="582"/>
      <c r="AL698" s="582"/>
      <c r="AM698" s="579"/>
      <c r="AN698" s="579"/>
      <c r="AO698" s="347"/>
      <c r="AP698" s="586"/>
      <c r="AQ698" s="596"/>
      <c r="AR698" s="596"/>
      <c r="AS698" s="348"/>
      <c r="AT698" s="348"/>
      <c r="AU698" s="348"/>
      <c r="AV698" s="348"/>
      <c r="AW698" s="348"/>
      <c r="AX698" s="584"/>
      <c r="AY698" s="581"/>
      <c r="AZ698" s="581"/>
      <c r="BA698" s="596"/>
      <c r="BB698" s="596"/>
      <c r="BC698" s="348"/>
      <c r="BD698" s="581"/>
      <c r="BE698" s="581"/>
      <c r="BF698" s="347"/>
      <c r="BG698" s="347"/>
      <c r="BH698" s="347"/>
      <c r="BI698" s="347"/>
      <c r="BJ698" s="586"/>
      <c r="BK698" s="581"/>
      <c r="BL698" s="347"/>
      <c r="BM698" s="347"/>
      <c r="BN698" s="347"/>
      <c r="BO698" s="586"/>
      <c r="BP698" s="584"/>
      <c r="BQ698" s="347"/>
      <c r="BR698" s="586"/>
      <c r="BS698" s="588"/>
      <c r="BT698" s="586"/>
      <c r="BU698" s="589"/>
      <c r="BV698" s="581">
        <f t="shared" si="44"/>
        <v>0</v>
      </c>
      <c r="BW698" s="590"/>
      <c r="BX698" s="347"/>
      <c r="BY698" s="347"/>
      <c r="BZ698" s="347"/>
      <c r="CA698" s="586"/>
      <c r="CB698" s="581"/>
      <c r="CC698" s="581">
        <f t="shared" si="193"/>
        <v>0</v>
      </c>
      <c r="CD698" s="581"/>
      <c r="CE698" s="581"/>
      <c r="CF698" s="581"/>
      <c r="CG698" s="586"/>
      <c r="CH698" s="608"/>
      <c r="CI698" s="603"/>
      <c r="CJ698" s="347"/>
      <c r="CK698" s="347"/>
      <c r="CL698" s="347"/>
      <c r="CM698" s="347"/>
      <c r="CN698" s="347"/>
      <c r="CO698" s="347"/>
      <c r="CP698" s="347"/>
    </row>
    <row r="699">
      <c r="A699" s="574"/>
      <c r="B699" s="574"/>
      <c r="C699" s="347"/>
      <c r="D699" s="574"/>
      <c r="E699" s="347"/>
      <c r="F699" s="596"/>
      <c r="G699" s="596"/>
      <c r="H699" s="347"/>
      <c r="I699" s="347"/>
      <c r="J699" s="596"/>
      <c r="K699" s="609"/>
      <c r="L699" s="1"/>
      <c r="M699" s="347"/>
      <c r="N699" s="347"/>
      <c r="O699" s="579"/>
      <c r="P699" s="579"/>
      <c r="Q699" s="574"/>
      <c r="R699" s="347"/>
      <c r="S699" s="597"/>
      <c r="T699" s="347"/>
      <c r="U699" s="579"/>
      <c r="V699" s="579"/>
      <c r="W699" s="574"/>
      <c r="X699" s="347"/>
      <c r="Y699" s="347"/>
      <c r="Z699" s="347"/>
      <c r="AA699" s="579"/>
      <c r="AB699" s="581"/>
      <c r="AC699" s="347"/>
      <c r="AD699" s="347"/>
      <c r="AE699" s="347"/>
      <c r="AF699" s="347"/>
      <c r="AG699" s="579"/>
      <c r="AH699" s="579"/>
      <c r="AI699" s="582"/>
      <c r="AJ699" s="582"/>
      <c r="AK699" s="582"/>
      <c r="AL699" s="582"/>
      <c r="AM699" s="579"/>
      <c r="AN699" s="579"/>
      <c r="AO699" s="347"/>
      <c r="AP699" s="586"/>
      <c r="AQ699" s="596"/>
      <c r="AR699" s="596"/>
      <c r="AS699" s="348"/>
      <c r="AT699" s="348"/>
      <c r="AU699" s="348"/>
      <c r="AV699" s="348"/>
      <c r="AW699" s="348"/>
      <c r="AX699" s="584"/>
      <c r="AY699" s="581"/>
      <c r="AZ699" s="581"/>
      <c r="BA699" s="596"/>
      <c r="BB699" s="596"/>
      <c r="BC699" s="348"/>
      <c r="BD699" s="581"/>
      <c r="BE699" s="581"/>
      <c r="BF699" s="347"/>
      <c r="BG699" s="347"/>
      <c r="BH699" s="347"/>
      <c r="BI699" s="347"/>
      <c r="BJ699" s="586"/>
      <c r="BK699" s="581"/>
      <c r="BL699" s="347"/>
      <c r="BM699" s="347"/>
      <c r="BN699" s="347"/>
      <c r="BO699" s="586"/>
      <c r="BP699" s="584"/>
      <c r="BQ699" s="347"/>
      <c r="BR699" s="586"/>
      <c r="BS699" s="588"/>
      <c r="BT699" s="586"/>
      <c r="BU699" s="589"/>
      <c r="BV699" s="581">
        <f t="shared" si="44"/>
        <v>0</v>
      </c>
      <c r="BW699" s="590"/>
      <c r="BX699" s="347"/>
      <c r="BY699" s="347"/>
      <c r="BZ699" s="347"/>
      <c r="CA699" s="586"/>
      <c r="CB699" s="581"/>
      <c r="CC699" s="581">
        <f t="shared" si="193"/>
        <v>0</v>
      </c>
      <c r="CD699" s="581"/>
      <c r="CE699" s="581"/>
      <c r="CF699" s="581"/>
      <c r="CG699" s="586"/>
      <c r="CH699" s="608"/>
      <c r="CI699" s="603"/>
      <c r="CJ699" s="347"/>
      <c r="CK699" s="347"/>
      <c r="CL699" s="347"/>
      <c r="CM699" s="347"/>
      <c r="CN699" s="347"/>
      <c r="CO699" s="347"/>
      <c r="CP699" s="347"/>
    </row>
    <row r="700">
      <c r="A700" s="574"/>
      <c r="B700" s="574"/>
      <c r="C700" s="347"/>
      <c r="D700" s="574"/>
      <c r="E700" s="347"/>
      <c r="F700" s="596"/>
      <c r="G700" s="596"/>
      <c r="H700" s="347"/>
      <c r="I700" s="347"/>
      <c r="J700" s="596"/>
      <c r="K700" s="609"/>
      <c r="L700" s="1"/>
      <c r="M700" s="347"/>
      <c r="N700" s="347"/>
      <c r="O700" s="579"/>
      <c r="P700" s="579"/>
      <c r="Q700" s="574"/>
      <c r="R700" s="347"/>
      <c r="S700" s="597"/>
      <c r="T700" s="347"/>
      <c r="U700" s="579"/>
      <c r="V700" s="579"/>
      <c r="W700" s="574"/>
      <c r="X700" s="347"/>
      <c r="Y700" s="347"/>
      <c r="Z700" s="347"/>
      <c r="AA700" s="579"/>
      <c r="AB700" s="581"/>
      <c r="AC700" s="347"/>
      <c r="AD700" s="347"/>
      <c r="AE700" s="347"/>
      <c r="AF700" s="347"/>
      <c r="AG700" s="579"/>
      <c r="AH700" s="579"/>
      <c r="AI700" s="582"/>
      <c r="AJ700" s="582"/>
      <c r="AK700" s="582"/>
      <c r="AL700" s="582"/>
      <c r="AM700" s="579"/>
      <c r="AN700" s="579"/>
      <c r="AO700" s="347"/>
      <c r="AP700" s="586"/>
      <c r="AQ700" s="596"/>
      <c r="AR700" s="596"/>
      <c r="AS700" s="348"/>
      <c r="AT700" s="348"/>
      <c r="AU700" s="348"/>
      <c r="AV700" s="348"/>
      <c r="AW700" s="348"/>
      <c r="AX700" s="584"/>
      <c r="AY700" s="581"/>
      <c r="AZ700" s="581"/>
      <c r="BA700" s="596"/>
      <c r="BB700" s="596"/>
      <c r="BC700" s="348"/>
      <c r="BD700" s="581"/>
      <c r="BE700" s="581"/>
      <c r="BF700" s="347"/>
      <c r="BG700" s="347"/>
      <c r="BH700" s="347"/>
      <c r="BI700" s="347"/>
      <c r="BJ700" s="586"/>
      <c r="BK700" s="581"/>
      <c r="BL700" s="347"/>
      <c r="BM700" s="347"/>
      <c r="BN700" s="347"/>
      <c r="BO700" s="586"/>
      <c r="BP700" s="584"/>
      <c r="BQ700" s="347"/>
      <c r="BR700" s="586"/>
      <c r="BS700" s="588"/>
      <c r="BT700" s="586"/>
      <c r="BU700" s="589"/>
      <c r="BV700" s="581">
        <f t="shared" si="44"/>
        <v>0</v>
      </c>
      <c r="BW700" s="590"/>
      <c r="BX700" s="347"/>
      <c r="BY700" s="347"/>
      <c r="BZ700" s="347"/>
      <c r="CA700" s="586"/>
      <c r="CB700" s="581"/>
      <c r="CC700" s="581">
        <f t="shared" si="193"/>
        <v>0</v>
      </c>
      <c r="CD700" s="581"/>
      <c r="CE700" s="581"/>
      <c r="CF700" s="581"/>
      <c r="CG700" s="586"/>
      <c r="CH700" s="608"/>
      <c r="CI700" s="603"/>
      <c r="CJ700" s="347"/>
      <c r="CK700" s="347"/>
      <c r="CL700" s="347"/>
      <c r="CM700" s="347"/>
      <c r="CN700" s="347"/>
      <c r="CO700" s="347"/>
      <c r="CP700" s="347"/>
    </row>
    <row r="701">
      <c r="A701" s="574"/>
      <c r="B701" s="574"/>
      <c r="C701" s="347"/>
      <c r="D701" s="574"/>
      <c r="E701" s="347"/>
      <c r="F701" s="596"/>
      <c r="G701" s="596"/>
      <c r="H701" s="347"/>
      <c r="I701" s="347"/>
      <c r="J701" s="596"/>
      <c r="K701" s="609"/>
      <c r="L701" s="1"/>
      <c r="M701" s="347"/>
      <c r="N701" s="347"/>
      <c r="O701" s="579"/>
      <c r="P701" s="579"/>
      <c r="Q701" s="574"/>
      <c r="R701" s="347"/>
      <c r="S701" s="597"/>
      <c r="T701" s="347"/>
      <c r="U701" s="579"/>
      <c r="V701" s="579"/>
      <c r="W701" s="574"/>
      <c r="X701" s="347"/>
      <c r="Y701" s="347"/>
      <c r="Z701" s="347"/>
      <c r="AA701" s="579"/>
      <c r="AB701" s="581"/>
      <c r="AC701" s="347"/>
      <c r="AD701" s="347"/>
      <c r="AE701" s="347"/>
      <c r="AF701" s="347"/>
      <c r="AG701" s="579"/>
      <c r="AH701" s="579"/>
      <c r="AI701" s="582"/>
      <c r="AJ701" s="582"/>
      <c r="AK701" s="582"/>
      <c r="AL701" s="582"/>
      <c r="AM701" s="579"/>
      <c r="AN701" s="579"/>
      <c r="AO701" s="347"/>
      <c r="AP701" s="586"/>
      <c r="AQ701" s="596"/>
      <c r="AR701" s="596"/>
      <c r="AS701" s="348"/>
      <c r="AT701" s="348"/>
      <c r="AU701" s="348"/>
      <c r="AV701" s="348"/>
      <c r="AW701" s="348"/>
      <c r="AX701" s="584"/>
      <c r="AY701" s="581"/>
      <c r="AZ701" s="581"/>
      <c r="BA701" s="596"/>
      <c r="BB701" s="596"/>
      <c r="BC701" s="348"/>
      <c r="BD701" s="581"/>
      <c r="BE701" s="581"/>
      <c r="BF701" s="347"/>
      <c r="BG701" s="347"/>
      <c r="BH701" s="347"/>
      <c r="BI701" s="347"/>
      <c r="BJ701" s="586"/>
      <c r="BK701" s="581"/>
      <c r="BL701" s="347"/>
      <c r="BM701" s="347"/>
      <c r="BN701" s="347"/>
      <c r="BO701" s="586"/>
      <c r="BP701" s="584"/>
      <c r="BQ701" s="347"/>
      <c r="BR701" s="586"/>
      <c r="BS701" s="588"/>
      <c r="BT701" s="586"/>
      <c r="BU701" s="589"/>
      <c r="BV701" s="581">
        <f t="shared" si="44"/>
        <v>0</v>
      </c>
      <c r="BW701" s="590"/>
      <c r="BX701" s="347"/>
      <c r="BY701" s="347"/>
      <c r="BZ701" s="347"/>
      <c r="CA701" s="586"/>
      <c r="CB701" s="581"/>
      <c r="CC701" s="581">
        <f t="shared" si="193"/>
        <v>0</v>
      </c>
      <c r="CD701" s="581"/>
      <c r="CE701" s="581"/>
      <c r="CF701" s="581"/>
      <c r="CG701" s="586"/>
      <c r="CH701" s="608"/>
      <c r="CI701" s="603"/>
      <c r="CJ701" s="347"/>
      <c r="CK701" s="347"/>
      <c r="CL701" s="347"/>
      <c r="CM701" s="347"/>
      <c r="CN701" s="347"/>
      <c r="CO701" s="347"/>
      <c r="CP701" s="347"/>
    </row>
    <row r="702">
      <c r="A702" s="574"/>
      <c r="B702" s="574"/>
      <c r="C702" s="347"/>
      <c r="D702" s="574"/>
      <c r="E702" s="347"/>
      <c r="F702" s="596"/>
      <c r="G702" s="596"/>
      <c r="H702" s="347"/>
      <c r="I702" s="347"/>
      <c r="J702" s="596"/>
      <c r="K702" s="609"/>
      <c r="L702" s="1"/>
      <c r="M702" s="347"/>
      <c r="N702" s="347"/>
      <c r="O702" s="579"/>
      <c r="P702" s="579"/>
      <c r="Q702" s="574"/>
      <c r="R702" s="347"/>
      <c r="S702" s="597"/>
      <c r="T702" s="347"/>
      <c r="U702" s="579"/>
      <c r="V702" s="579"/>
      <c r="W702" s="574"/>
      <c r="X702" s="347"/>
      <c r="Y702" s="347"/>
      <c r="Z702" s="347"/>
      <c r="AA702" s="579"/>
      <c r="AB702" s="581"/>
      <c r="AC702" s="347"/>
      <c r="AD702" s="347"/>
      <c r="AE702" s="347"/>
      <c r="AF702" s="347"/>
      <c r="AG702" s="579"/>
      <c r="AH702" s="579"/>
      <c r="AI702" s="582"/>
      <c r="AJ702" s="582"/>
      <c r="AK702" s="582"/>
      <c r="AL702" s="582"/>
      <c r="AM702" s="579"/>
      <c r="AN702" s="579"/>
      <c r="AO702" s="347"/>
      <c r="AP702" s="586"/>
      <c r="AQ702" s="596"/>
      <c r="AR702" s="596"/>
      <c r="AS702" s="348"/>
      <c r="AT702" s="348"/>
      <c r="AU702" s="348"/>
      <c r="AV702" s="348"/>
      <c r="AW702" s="348"/>
      <c r="AX702" s="584"/>
      <c r="AY702" s="581"/>
      <c r="AZ702" s="581"/>
      <c r="BA702" s="596"/>
      <c r="BB702" s="596"/>
      <c r="BC702" s="348"/>
      <c r="BD702" s="581"/>
      <c r="BE702" s="581"/>
      <c r="BF702" s="347"/>
      <c r="BG702" s="347"/>
      <c r="BH702" s="347"/>
      <c r="BI702" s="347"/>
      <c r="BJ702" s="586"/>
      <c r="BK702" s="581"/>
      <c r="BL702" s="347"/>
      <c r="BM702" s="347"/>
      <c r="BN702" s="347"/>
      <c r="BO702" s="586"/>
      <c r="BP702" s="584"/>
      <c r="BQ702" s="347"/>
      <c r="BR702" s="586"/>
      <c r="BS702" s="588"/>
      <c r="BT702" s="586"/>
      <c r="BU702" s="589"/>
      <c r="BV702" s="581">
        <f t="shared" si="44"/>
        <v>0</v>
      </c>
      <c r="BW702" s="590"/>
      <c r="BX702" s="347"/>
      <c r="BY702" s="347"/>
      <c r="BZ702" s="347"/>
      <c r="CA702" s="586"/>
      <c r="CB702" s="581"/>
      <c r="CC702" s="581">
        <f t="shared" si="193"/>
        <v>0</v>
      </c>
      <c r="CD702" s="581"/>
      <c r="CE702" s="581"/>
      <c r="CF702" s="581"/>
      <c r="CG702" s="586"/>
      <c r="CH702" s="608"/>
      <c r="CI702" s="603"/>
      <c r="CJ702" s="347"/>
      <c r="CK702" s="347"/>
      <c r="CL702" s="347"/>
      <c r="CM702" s="347"/>
      <c r="CN702" s="347"/>
      <c r="CO702" s="347"/>
      <c r="CP702" s="347"/>
    </row>
    <row r="703">
      <c r="A703" s="574"/>
      <c r="B703" s="574"/>
      <c r="C703" s="347"/>
      <c r="D703" s="574"/>
      <c r="E703" s="347"/>
      <c r="F703" s="596"/>
      <c r="G703" s="596"/>
      <c r="H703" s="347"/>
      <c r="I703" s="347"/>
      <c r="J703" s="596"/>
      <c r="K703" s="609"/>
      <c r="L703" s="1"/>
      <c r="M703" s="347"/>
      <c r="N703" s="347"/>
      <c r="O703" s="579"/>
      <c r="P703" s="579"/>
      <c r="Q703" s="574"/>
      <c r="R703" s="347"/>
      <c r="S703" s="597"/>
      <c r="T703" s="347"/>
      <c r="U703" s="579"/>
      <c r="V703" s="579"/>
      <c r="W703" s="574"/>
      <c r="X703" s="347"/>
      <c r="Y703" s="347"/>
      <c r="Z703" s="347"/>
      <c r="AA703" s="579"/>
      <c r="AB703" s="581"/>
      <c r="AC703" s="347"/>
      <c r="AD703" s="347"/>
      <c r="AE703" s="347"/>
      <c r="AF703" s="347"/>
      <c r="AG703" s="579"/>
      <c r="AH703" s="579"/>
      <c r="AI703" s="582"/>
      <c r="AJ703" s="582"/>
      <c r="AK703" s="582"/>
      <c r="AL703" s="582"/>
      <c r="AM703" s="579"/>
      <c r="AN703" s="579"/>
      <c r="AO703" s="347"/>
      <c r="AP703" s="586"/>
      <c r="AQ703" s="596"/>
      <c r="AR703" s="596"/>
      <c r="AS703" s="348"/>
      <c r="AT703" s="348"/>
      <c r="AU703" s="348"/>
      <c r="AV703" s="348"/>
      <c r="AW703" s="348"/>
      <c r="AX703" s="584"/>
      <c r="AY703" s="581"/>
      <c r="AZ703" s="581"/>
      <c r="BA703" s="596"/>
      <c r="BB703" s="596"/>
      <c r="BC703" s="348"/>
      <c r="BD703" s="581"/>
      <c r="BE703" s="581"/>
      <c r="BF703" s="347"/>
      <c r="BG703" s="347"/>
      <c r="BH703" s="347"/>
      <c r="BI703" s="347"/>
      <c r="BJ703" s="586"/>
      <c r="BK703" s="581"/>
      <c r="BL703" s="347"/>
      <c r="BM703" s="347"/>
      <c r="BN703" s="347"/>
      <c r="BO703" s="586"/>
      <c r="BP703" s="584"/>
      <c r="BQ703" s="347"/>
      <c r="BR703" s="586"/>
      <c r="BS703" s="588"/>
      <c r="BT703" s="586"/>
      <c r="BU703" s="589"/>
      <c r="BV703" s="581">
        <f t="shared" si="44"/>
        <v>0</v>
      </c>
      <c r="BW703" s="590"/>
      <c r="BX703" s="347"/>
      <c r="BY703" s="347"/>
      <c r="BZ703" s="347"/>
      <c r="CA703" s="586"/>
      <c r="CB703" s="581"/>
      <c r="CC703" s="581">
        <f t="shared" si="193"/>
        <v>0</v>
      </c>
      <c r="CD703" s="581"/>
      <c r="CE703" s="581"/>
      <c r="CF703" s="581"/>
      <c r="CG703" s="586"/>
      <c r="CH703" s="608"/>
      <c r="CI703" s="603"/>
      <c r="CJ703" s="347"/>
      <c r="CK703" s="347"/>
      <c r="CL703" s="347"/>
      <c r="CM703" s="347"/>
      <c r="CN703" s="347"/>
      <c r="CO703" s="347"/>
      <c r="CP703" s="347"/>
    </row>
    <row r="704">
      <c r="A704" s="574"/>
      <c r="B704" s="574"/>
      <c r="C704" s="347"/>
      <c r="D704" s="574"/>
      <c r="E704" s="347"/>
      <c r="F704" s="596"/>
      <c r="G704" s="596"/>
      <c r="H704" s="347"/>
      <c r="I704" s="347"/>
      <c r="J704" s="596"/>
      <c r="K704" s="609"/>
      <c r="L704" s="1"/>
      <c r="M704" s="347"/>
      <c r="N704" s="347"/>
      <c r="O704" s="579"/>
      <c r="P704" s="579"/>
      <c r="Q704" s="574"/>
      <c r="R704" s="347"/>
      <c r="S704" s="597"/>
      <c r="T704" s="347"/>
      <c r="U704" s="579"/>
      <c r="V704" s="579"/>
      <c r="W704" s="574"/>
      <c r="X704" s="347"/>
      <c r="Y704" s="347"/>
      <c r="Z704" s="347"/>
      <c r="AA704" s="579"/>
      <c r="AB704" s="581"/>
      <c r="AC704" s="347"/>
      <c r="AD704" s="347"/>
      <c r="AE704" s="347"/>
      <c r="AF704" s="347"/>
      <c r="AG704" s="579"/>
      <c r="AH704" s="579"/>
      <c r="AI704" s="582"/>
      <c r="AJ704" s="582"/>
      <c r="AK704" s="582"/>
      <c r="AL704" s="582"/>
      <c r="AM704" s="579"/>
      <c r="AN704" s="579"/>
      <c r="AO704" s="347"/>
      <c r="AP704" s="586"/>
      <c r="AQ704" s="596"/>
      <c r="AR704" s="596"/>
      <c r="AS704" s="348"/>
      <c r="AT704" s="348"/>
      <c r="AU704" s="348"/>
      <c r="AV704" s="348"/>
      <c r="AW704" s="348"/>
      <c r="AX704" s="584"/>
      <c r="AY704" s="581"/>
      <c r="AZ704" s="581"/>
      <c r="BA704" s="596"/>
      <c r="BB704" s="596"/>
      <c r="BC704" s="348"/>
      <c r="BD704" s="581"/>
      <c r="BE704" s="581"/>
      <c r="BF704" s="347"/>
      <c r="BG704" s="347"/>
      <c r="BH704" s="347"/>
      <c r="BI704" s="347"/>
      <c r="BJ704" s="586"/>
      <c r="BK704" s="581"/>
      <c r="BL704" s="347"/>
      <c r="BM704" s="347"/>
      <c r="BN704" s="347"/>
      <c r="BO704" s="586"/>
      <c r="BP704" s="584"/>
      <c r="BQ704" s="347"/>
      <c r="BR704" s="586"/>
      <c r="BS704" s="588"/>
      <c r="BT704" s="586"/>
      <c r="BU704" s="589"/>
      <c r="BV704" s="581">
        <f t="shared" si="44"/>
        <v>0</v>
      </c>
      <c r="BW704" s="590"/>
      <c r="BX704" s="347"/>
      <c r="BY704" s="347"/>
      <c r="BZ704" s="347"/>
      <c r="CA704" s="586"/>
      <c r="CB704" s="581"/>
      <c r="CC704" s="581">
        <f t="shared" si="193"/>
        <v>0</v>
      </c>
      <c r="CD704" s="581"/>
      <c r="CE704" s="581"/>
      <c r="CF704" s="581"/>
      <c r="CG704" s="586"/>
      <c r="CH704" s="608"/>
      <c r="CI704" s="603"/>
      <c r="CJ704" s="347"/>
      <c r="CK704" s="347"/>
      <c r="CL704" s="347"/>
      <c r="CM704" s="347"/>
      <c r="CN704" s="347"/>
      <c r="CO704" s="347"/>
      <c r="CP704" s="347"/>
    </row>
    <row r="705">
      <c r="A705" s="574"/>
      <c r="B705" s="574"/>
      <c r="C705" s="347"/>
      <c r="D705" s="574"/>
      <c r="E705" s="347"/>
      <c r="F705" s="596"/>
      <c r="G705" s="596"/>
      <c r="H705" s="347"/>
      <c r="I705" s="347"/>
      <c r="J705" s="596"/>
      <c r="K705" s="609"/>
      <c r="L705" s="1"/>
      <c r="M705" s="347"/>
      <c r="N705" s="347"/>
      <c r="O705" s="579"/>
      <c r="P705" s="579"/>
      <c r="Q705" s="574"/>
      <c r="R705" s="347"/>
      <c r="S705" s="597"/>
      <c r="T705" s="347"/>
      <c r="U705" s="579"/>
      <c r="V705" s="579"/>
      <c r="W705" s="574"/>
      <c r="X705" s="347"/>
      <c r="Y705" s="347"/>
      <c r="Z705" s="347"/>
      <c r="AA705" s="579"/>
      <c r="AB705" s="581"/>
      <c r="AC705" s="347"/>
      <c r="AD705" s="347"/>
      <c r="AE705" s="347"/>
      <c r="AF705" s="347"/>
      <c r="AG705" s="579"/>
      <c r="AH705" s="579"/>
      <c r="AI705" s="582"/>
      <c r="AJ705" s="582"/>
      <c r="AK705" s="582"/>
      <c r="AL705" s="582"/>
      <c r="AM705" s="579"/>
      <c r="AN705" s="579"/>
      <c r="AO705" s="347"/>
      <c r="AP705" s="586"/>
      <c r="AQ705" s="596"/>
      <c r="AR705" s="596"/>
      <c r="AS705" s="348"/>
      <c r="AT705" s="348"/>
      <c r="AU705" s="348"/>
      <c r="AV705" s="348"/>
      <c r="AW705" s="348"/>
      <c r="AX705" s="584"/>
      <c r="AY705" s="581"/>
      <c r="AZ705" s="581"/>
      <c r="BA705" s="596"/>
      <c r="BB705" s="596"/>
      <c r="BC705" s="348"/>
      <c r="BD705" s="581"/>
      <c r="BE705" s="581"/>
      <c r="BF705" s="347"/>
      <c r="BG705" s="347"/>
      <c r="BH705" s="347"/>
      <c r="BI705" s="347"/>
      <c r="BJ705" s="586"/>
      <c r="BK705" s="581"/>
      <c r="BL705" s="347"/>
      <c r="BM705" s="347"/>
      <c r="BN705" s="347"/>
      <c r="BO705" s="586"/>
      <c r="BP705" s="584"/>
      <c r="BQ705" s="347"/>
      <c r="BR705" s="586"/>
      <c r="BS705" s="588"/>
      <c r="BT705" s="586"/>
      <c r="BU705" s="589"/>
      <c r="BV705" s="581">
        <f t="shared" si="44"/>
        <v>0</v>
      </c>
      <c r="BW705" s="590"/>
      <c r="BX705" s="347"/>
      <c r="BY705" s="347"/>
      <c r="BZ705" s="347"/>
      <c r="CA705" s="586"/>
      <c r="CB705" s="581"/>
      <c r="CC705" s="581">
        <f t="shared" si="193"/>
        <v>0</v>
      </c>
      <c r="CD705" s="581"/>
      <c r="CE705" s="581"/>
      <c r="CF705" s="581"/>
      <c r="CG705" s="586"/>
      <c r="CH705" s="608"/>
      <c r="CI705" s="603"/>
      <c r="CJ705" s="347"/>
      <c r="CK705" s="347"/>
      <c r="CL705" s="347"/>
      <c r="CM705" s="347"/>
      <c r="CN705" s="347"/>
      <c r="CO705" s="347"/>
      <c r="CP705" s="347"/>
    </row>
    <row r="706">
      <c r="A706" s="574"/>
      <c r="B706" s="574"/>
      <c r="C706" s="347"/>
      <c r="D706" s="574"/>
      <c r="E706" s="347"/>
      <c r="F706" s="596"/>
      <c r="G706" s="596"/>
      <c r="H706" s="347"/>
      <c r="I706" s="347"/>
      <c r="J706" s="596"/>
      <c r="K706" s="609"/>
      <c r="L706" s="1"/>
      <c r="M706" s="347"/>
      <c r="N706" s="347"/>
      <c r="O706" s="579"/>
      <c r="P706" s="579"/>
      <c r="Q706" s="574"/>
      <c r="R706" s="347"/>
      <c r="S706" s="597"/>
      <c r="T706" s="347"/>
      <c r="U706" s="579"/>
      <c r="V706" s="579"/>
      <c r="W706" s="574"/>
      <c r="X706" s="347"/>
      <c r="Y706" s="347"/>
      <c r="Z706" s="347"/>
      <c r="AA706" s="579"/>
      <c r="AB706" s="581"/>
      <c r="AC706" s="347"/>
      <c r="AD706" s="347"/>
      <c r="AE706" s="347"/>
      <c r="AF706" s="347"/>
      <c r="AG706" s="579"/>
      <c r="AH706" s="579"/>
      <c r="AI706" s="582"/>
      <c r="AJ706" s="582"/>
      <c r="AK706" s="582"/>
      <c r="AL706" s="582"/>
      <c r="AM706" s="579"/>
      <c r="AN706" s="579"/>
      <c r="AO706" s="347"/>
      <c r="AP706" s="586"/>
      <c r="AQ706" s="596"/>
      <c r="AR706" s="596"/>
      <c r="AS706" s="348"/>
      <c r="AT706" s="348"/>
      <c r="AU706" s="348"/>
      <c r="AV706" s="348"/>
      <c r="AW706" s="348"/>
      <c r="AX706" s="584"/>
      <c r="AY706" s="581"/>
      <c r="AZ706" s="581"/>
      <c r="BA706" s="596"/>
      <c r="BB706" s="596"/>
      <c r="BC706" s="348"/>
      <c r="BD706" s="581"/>
      <c r="BE706" s="581"/>
      <c r="BF706" s="347"/>
      <c r="BG706" s="347"/>
      <c r="BH706" s="347"/>
      <c r="BI706" s="347"/>
      <c r="BJ706" s="586"/>
      <c r="BK706" s="581"/>
      <c r="BL706" s="347"/>
      <c r="BM706" s="347"/>
      <c r="BN706" s="347"/>
      <c r="BO706" s="586"/>
      <c r="BP706" s="584"/>
      <c r="BQ706" s="347"/>
      <c r="BR706" s="586"/>
      <c r="BS706" s="588"/>
      <c r="BT706" s="586"/>
      <c r="BU706" s="589"/>
      <c r="BV706" s="581">
        <f t="shared" si="44"/>
        <v>0</v>
      </c>
      <c r="BW706" s="590"/>
      <c r="BX706" s="347"/>
      <c r="BY706" s="347"/>
      <c r="BZ706" s="347"/>
      <c r="CA706" s="586"/>
      <c r="CB706" s="581"/>
      <c r="CC706" s="581">
        <f t="shared" si="193"/>
        <v>0</v>
      </c>
      <c r="CD706" s="581"/>
      <c r="CE706" s="581"/>
      <c r="CF706" s="581"/>
      <c r="CG706" s="586"/>
      <c r="CH706" s="608"/>
      <c r="CI706" s="603"/>
      <c r="CJ706" s="347"/>
      <c r="CK706" s="347"/>
      <c r="CL706" s="347"/>
      <c r="CM706" s="347"/>
      <c r="CN706" s="347"/>
      <c r="CO706" s="347"/>
      <c r="CP706" s="347"/>
    </row>
    <row r="707">
      <c r="A707" s="574"/>
      <c r="B707" s="574"/>
      <c r="C707" s="347"/>
      <c r="D707" s="574"/>
      <c r="E707" s="347"/>
      <c r="F707" s="596"/>
      <c r="G707" s="596"/>
      <c r="H707" s="347"/>
      <c r="I707" s="347"/>
      <c r="J707" s="596"/>
      <c r="K707" s="609"/>
      <c r="L707" s="1"/>
      <c r="M707" s="347"/>
      <c r="N707" s="347"/>
      <c r="O707" s="579"/>
      <c r="P707" s="579"/>
      <c r="Q707" s="574"/>
      <c r="R707" s="347"/>
      <c r="S707" s="597"/>
      <c r="T707" s="347"/>
      <c r="U707" s="579"/>
      <c r="V707" s="579"/>
      <c r="W707" s="574"/>
      <c r="X707" s="347"/>
      <c r="Y707" s="347"/>
      <c r="Z707" s="347"/>
      <c r="AA707" s="579"/>
      <c r="AB707" s="581"/>
      <c r="AC707" s="347"/>
      <c r="AD707" s="347"/>
      <c r="AE707" s="347"/>
      <c r="AF707" s="347"/>
      <c r="AG707" s="579"/>
      <c r="AH707" s="579"/>
      <c r="AI707" s="582"/>
      <c r="AJ707" s="582"/>
      <c r="AK707" s="582"/>
      <c r="AL707" s="582"/>
      <c r="AM707" s="579"/>
      <c r="AN707" s="579"/>
      <c r="AO707" s="347"/>
      <c r="AP707" s="586"/>
      <c r="AQ707" s="596"/>
      <c r="AR707" s="596"/>
      <c r="AS707" s="348"/>
      <c r="AT707" s="348"/>
      <c r="AU707" s="348"/>
      <c r="AV707" s="348"/>
      <c r="AW707" s="348"/>
      <c r="AX707" s="584"/>
      <c r="AY707" s="581"/>
      <c r="AZ707" s="581"/>
      <c r="BA707" s="596"/>
      <c r="BB707" s="596"/>
      <c r="BC707" s="348"/>
      <c r="BD707" s="581"/>
      <c r="BE707" s="581"/>
      <c r="BF707" s="347"/>
      <c r="BG707" s="347"/>
      <c r="BH707" s="347"/>
      <c r="BI707" s="347"/>
      <c r="BJ707" s="586"/>
      <c r="BK707" s="581"/>
      <c r="BL707" s="347"/>
      <c r="BM707" s="347"/>
      <c r="BN707" s="347"/>
      <c r="BO707" s="586"/>
      <c r="BP707" s="584"/>
      <c r="BQ707" s="347"/>
      <c r="BR707" s="586"/>
      <c r="BS707" s="588"/>
      <c r="BT707" s="586"/>
      <c r="BU707" s="589"/>
      <c r="BV707" s="581">
        <f t="shared" si="44"/>
        <v>0</v>
      </c>
      <c r="BW707" s="590"/>
      <c r="BX707" s="347"/>
      <c r="BY707" s="347"/>
      <c r="BZ707" s="347"/>
      <c r="CA707" s="586"/>
      <c r="CB707" s="581"/>
      <c r="CC707" s="581">
        <f t="shared" si="193"/>
        <v>0</v>
      </c>
      <c r="CD707" s="581"/>
      <c r="CE707" s="581"/>
      <c r="CF707" s="581"/>
      <c r="CG707" s="586"/>
      <c r="CH707" s="608"/>
      <c r="CI707" s="603"/>
      <c r="CJ707" s="347"/>
      <c r="CK707" s="347"/>
      <c r="CL707" s="347"/>
      <c r="CM707" s="347"/>
      <c r="CN707" s="347"/>
      <c r="CO707" s="347"/>
      <c r="CP707" s="347"/>
    </row>
    <row r="708">
      <c r="A708" s="574"/>
      <c r="B708" s="574"/>
      <c r="C708" s="347"/>
      <c r="D708" s="574"/>
      <c r="E708" s="347"/>
      <c r="F708" s="596"/>
      <c r="G708" s="596"/>
      <c r="H708" s="347"/>
      <c r="I708" s="347"/>
      <c r="J708" s="596"/>
      <c r="K708" s="609"/>
      <c r="L708" s="1"/>
      <c r="M708" s="347"/>
      <c r="N708" s="347"/>
      <c r="O708" s="579"/>
      <c r="P708" s="579"/>
      <c r="Q708" s="574"/>
      <c r="R708" s="347"/>
      <c r="S708" s="597"/>
      <c r="T708" s="347"/>
      <c r="U708" s="579"/>
      <c r="V708" s="579"/>
      <c r="W708" s="574"/>
      <c r="X708" s="347"/>
      <c r="Y708" s="347"/>
      <c r="Z708" s="347"/>
      <c r="AA708" s="579"/>
      <c r="AB708" s="581"/>
      <c r="AC708" s="347"/>
      <c r="AD708" s="347"/>
      <c r="AE708" s="347"/>
      <c r="AF708" s="347"/>
      <c r="AG708" s="579"/>
      <c r="AH708" s="579"/>
      <c r="AI708" s="582"/>
      <c r="AJ708" s="582"/>
      <c r="AK708" s="582"/>
      <c r="AL708" s="582"/>
      <c r="AM708" s="579"/>
      <c r="AN708" s="579"/>
      <c r="AO708" s="347"/>
      <c r="AP708" s="586"/>
      <c r="AQ708" s="596"/>
      <c r="AR708" s="596"/>
      <c r="AS708" s="348"/>
      <c r="AT708" s="348"/>
      <c r="AU708" s="348"/>
      <c r="AV708" s="348"/>
      <c r="AW708" s="348"/>
      <c r="AX708" s="584"/>
      <c r="AY708" s="581"/>
      <c r="AZ708" s="581"/>
      <c r="BA708" s="596"/>
      <c r="BB708" s="596"/>
      <c r="BC708" s="348"/>
      <c r="BD708" s="581"/>
      <c r="BE708" s="581"/>
      <c r="BF708" s="347"/>
      <c r="BG708" s="347"/>
      <c r="BH708" s="347"/>
      <c r="BI708" s="347"/>
      <c r="BJ708" s="586"/>
      <c r="BK708" s="581"/>
      <c r="BL708" s="347"/>
      <c r="BM708" s="347"/>
      <c r="BN708" s="347"/>
      <c r="BO708" s="586"/>
      <c r="BP708" s="584"/>
      <c r="BQ708" s="347"/>
      <c r="BR708" s="586"/>
      <c r="BS708" s="588"/>
      <c r="BT708" s="586"/>
      <c r="BU708" s="589"/>
      <c r="BV708" s="581">
        <f t="shared" si="44"/>
        <v>0</v>
      </c>
      <c r="BW708" s="590"/>
      <c r="BX708" s="347"/>
      <c r="BY708" s="347"/>
      <c r="BZ708" s="347"/>
      <c r="CA708" s="586"/>
      <c r="CB708" s="581"/>
      <c r="CC708" s="581">
        <f t="shared" si="193"/>
        <v>0</v>
      </c>
      <c r="CD708" s="581"/>
      <c r="CE708" s="581"/>
      <c r="CF708" s="581"/>
      <c r="CG708" s="586"/>
      <c r="CH708" s="608"/>
      <c r="CI708" s="603"/>
      <c r="CJ708" s="347"/>
      <c r="CK708" s="347"/>
      <c r="CL708" s="347"/>
      <c r="CM708" s="347"/>
      <c r="CN708" s="347"/>
      <c r="CO708" s="347"/>
      <c r="CP708" s="347"/>
    </row>
    <row r="709">
      <c r="A709" s="574"/>
      <c r="B709" s="574"/>
      <c r="C709" s="347"/>
      <c r="D709" s="574"/>
      <c r="E709" s="347"/>
      <c r="F709" s="596"/>
      <c r="G709" s="596"/>
      <c r="H709" s="347"/>
      <c r="I709" s="347"/>
      <c r="J709" s="596"/>
      <c r="K709" s="609"/>
      <c r="L709" s="1"/>
      <c r="M709" s="347"/>
      <c r="N709" s="347"/>
      <c r="O709" s="579"/>
      <c r="P709" s="579"/>
      <c r="Q709" s="574"/>
      <c r="R709" s="347"/>
      <c r="S709" s="597"/>
      <c r="T709" s="347"/>
      <c r="U709" s="579"/>
      <c r="V709" s="579"/>
      <c r="W709" s="574"/>
      <c r="X709" s="347"/>
      <c r="Y709" s="347"/>
      <c r="Z709" s="347"/>
      <c r="AA709" s="579"/>
      <c r="AB709" s="581"/>
      <c r="AC709" s="347"/>
      <c r="AD709" s="347"/>
      <c r="AE709" s="347"/>
      <c r="AF709" s="347"/>
      <c r="AG709" s="579"/>
      <c r="AH709" s="579"/>
      <c r="AI709" s="582"/>
      <c r="AJ709" s="582"/>
      <c r="AK709" s="582"/>
      <c r="AL709" s="582"/>
      <c r="AM709" s="579"/>
      <c r="AN709" s="579"/>
      <c r="AO709" s="347"/>
      <c r="AP709" s="586"/>
      <c r="AQ709" s="596"/>
      <c r="AR709" s="596"/>
      <c r="AS709" s="348"/>
      <c r="AT709" s="348"/>
      <c r="AU709" s="348"/>
      <c r="AV709" s="348"/>
      <c r="AW709" s="348"/>
      <c r="AX709" s="584"/>
      <c r="AY709" s="581"/>
      <c r="AZ709" s="581"/>
      <c r="BA709" s="596"/>
      <c r="BB709" s="596"/>
      <c r="BC709" s="348"/>
      <c r="BD709" s="581"/>
      <c r="BE709" s="581"/>
      <c r="BF709" s="347"/>
      <c r="BG709" s="347"/>
      <c r="BH709" s="347"/>
      <c r="BI709" s="347"/>
      <c r="BJ709" s="586"/>
      <c r="BK709" s="581"/>
      <c r="BL709" s="347"/>
      <c r="BM709" s="347"/>
      <c r="BN709" s="347"/>
      <c r="BO709" s="586"/>
      <c r="BP709" s="584"/>
      <c r="BQ709" s="347"/>
      <c r="BR709" s="586"/>
      <c r="BS709" s="588"/>
      <c r="BT709" s="586"/>
      <c r="BU709" s="589"/>
      <c r="BV709" s="581">
        <f t="shared" si="44"/>
        <v>0</v>
      </c>
      <c r="BW709" s="590"/>
      <c r="BX709" s="347"/>
      <c r="BY709" s="347"/>
      <c r="BZ709" s="347"/>
      <c r="CA709" s="586"/>
      <c r="CB709" s="581"/>
      <c r="CC709" s="581">
        <f t="shared" si="193"/>
        <v>0</v>
      </c>
      <c r="CD709" s="581"/>
      <c r="CE709" s="581"/>
      <c r="CF709" s="581"/>
      <c r="CG709" s="586"/>
      <c r="CH709" s="608"/>
      <c r="CI709" s="603"/>
      <c r="CJ709" s="347"/>
      <c r="CK709" s="347"/>
      <c r="CL709" s="347"/>
      <c r="CM709" s="347"/>
      <c r="CN709" s="347"/>
      <c r="CO709" s="347"/>
      <c r="CP709" s="347"/>
    </row>
    <row r="710">
      <c r="A710" s="574"/>
      <c r="B710" s="574"/>
      <c r="C710" s="347"/>
      <c r="D710" s="574"/>
      <c r="E710" s="347"/>
      <c r="F710" s="596"/>
      <c r="G710" s="596"/>
      <c r="H710" s="347"/>
      <c r="I710" s="347"/>
      <c r="J710" s="596"/>
      <c r="K710" s="609"/>
      <c r="L710" s="1"/>
      <c r="M710" s="347"/>
      <c r="N710" s="347"/>
      <c r="O710" s="579"/>
      <c r="P710" s="579"/>
      <c r="Q710" s="574"/>
      <c r="R710" s="347"/>
      <c r="S710" s="597"/>
      <c r="T710" s="347"/>
      <c r="U710" s="579"/>
      <c r="V710" s="579"/>
      <c r="W710" s="574"/>
      <c r="X710" s="347"/>
      <c r="Y710" s="347"/>
      <c r="Z710" s="347"/>
      <c r="AA710" s="579"/>
      <c r="AB710" s="581"/>
      <c r="AC710" s="347"/>
      <c r="AD710" s="347"/>
      <c r="AE710" s="347"/>
      <c r="AF710" s="347"/>
      <c r="AG710" s="579"/>
      <c r="AH710" s="579"/>
      <c r="AI710" s="582"/>
      <c r="AJ710" s="582"/>
      <c r="AK710" s="582"/>
      <c r="AL710" s="582"/>
      <c r="AM710" s="579"/>
      <c r="AN710" s="579"/>
      <c r="AO710" s="347"/>
      <c r="AP710" s="586"/>
      <c r="AQ710" s="596"/>
      <c r="AR710" s="596"/>
      <c r="AS710" s="348"/>
      <c r="AT710" s="348"/>
      <c r="AU710" s="348"/>
      <c r="AV710" s="348"/>
      <c r="AW710" s="348"/>
      <c r="AX710" s="584"/>
      <c r="AY710" s="581"/>
      <c r="AZ710" s="581"/>
      <c r="BA710" s="596"/>
      <c r="BB710" s="596"/>
      <c r="BC710" s="348"/>
      <c r="BD710" s="581"/>
      <c r="BE710" s="581"/>
      <c r="BF710" s="347"/>
      <c r="BG710" s="347"/>
      <c r="BH710" s="347"/>
      <c r="BI710" s="347"/>
      <c r="BJ710" s="586"/>
      <c r="BK710" s="581"/>
      <c r="BL710" s="347"/>
      <c r="BM710" s="347"/>
      <c r="BN710" s="347"/>
      <c r="BO710" s="586"/>
      <c r="BP710" s="584"/>
      <c r="BQ710" s="347"/>
      <c r="BR710" s="586"/>
      <c r="BS710" s="588"/>
      <c r="BT710" s="586"/>
      <c r="BU710" s="589"/>
      <c r="BV710" s="581">
        <f t="shared" si="44"/>
        <v>0</v>
      </c>
      <c r="BW710" s="590"/>
      <c r="BX710" s="347"/>
      <c r="BY710" s="347"/>
      <c r="BZ710" s="347"/>
      <c r="CA710" s="586"/>
      <c r="CB710" s="581"/>
      <c r="CC710" s="581">
        <f t="shared" si="193"/>
        <v>0</v>
      </c>
      <c r="CD710" s="581"/>
      <c r="CE710" s="581"/>
      <c r="CF710" s="581"/>
      <c r="CG710" s="586"/>
      <c r="CH710" s="608"/>
      <c r="CI710" s="603"/>
      <c r="CJ710" s="347"/>
      <c r="CK710" s="347"/>
      <c r="CL710" s="347"/>
      <c r="CM710" s="347"/>
      <c r="CN710" s="347"/>
      <c r="CO710" s="347"/>
      <c r="CP710" s="347"/>
    </row>
    <row r="711">
      <c r="A711" s="574"/>
      <c r="B711" s="574"/>
      <c r="C711" s="347"/>
      <c r="D711" s="574"/>
      <c r="E711" s="347"/>
      <c r="F711" s="596"/>
      <c r="G711" s="596"/>
      <c r="H711" s="347"/>
      <c r="I711" s="347"/>
      <c r="J711" s="596"/>
      <c r="K711" s="609"/>
      <c r="L711" s="1"/>
      <c r="M711" s="347"/>
      <c r="N711" s="347"/>
      <c r="O711" s="579"/>
      <c r="P711" s="579"/>
      <c r="Q711" s="574"/>
      <c r="R711" s="347"/>
      <c r="S711" s="597"/>
      <c r="T711" s="347"/>
      <c r="U711" s="579"/>
      <c r="V711" s="579"/>
      <c r="W711" s="574"/>
      <c r="X711" s="347"/>
      <c r="Y711" s="347"/>
      <c r="Z711" s="347"/>
      <c r="AA711" s="579"/>
      <c r="AB711" s="581"/>
      <c r="AC711" s="347"/>
      <c r="AD711" s="347"/>
      <c r="AE711" s="347"/>
      <c r="AF711" s="347"/>
      <c r="AG711" s="579"/>
      <c r="AH711" s="579"/>
      <c r="AI711" s="582"/>
      <c r="AJ711" s="582"/>
      <c r="AK711" s="582"/>
      <c r="AL711" s="582"/>
      <c r="AM711" s="579"/>
      <c r="AN711" s="579"/>
      <c r="AO711" s="347"/>
      <c r="AP711" s="586"/>
      <c r="AQ711" s="596"/>
      <c r="AR711" s="596"/>
      <c r="AS711" s="348"/>
      <c r="AT711" s="348"/>
      <c r="AU711" s="348"/>
      <c r="AV711" s="348"/>
      <c r="AW711" s="348"/>
      <c r="AX711" s="584"/>
      <c r="AY711" s="581"/>
      <c r="AZ711" s="581"/>
      <c r="BA711" s="596"/>
      <c r="BB711" s="596"/>
      <c r="BC711" s="348"/>
      <c r="BD711" s="581"/>
      <c r="BE711" s="581"/>
      <c r="BF711" s="347"/>
      <c r="BG711" s="347"/>
      <c r="BH711" s="347"/>
      <c r="BI711" s="347"/>
      <c r="BJ711" s="586"/>
      <c r="BK711" s="581"/>
      <c r="BL711" s="347"/>
      <c r="BM711" s="347"/>
      <c r="BN711" s="347"/>
      <c r="BO711" s="586"/>
      <c r="BP711" s="584"/>
      <c r="BQ711" s="347"/>
      <c r="BR711" s="586"/>
      <c r="BS711" s="588"/>
      <c r="BT711" s="586"/>
      <c r="BU711" s="589"/>
      <c r="BV711" s="581">
        <f t="shared" si="44"/>
        <v>0</v>
      </c>
      <c r="BW711" s="590"/>
      <c r="BX711" s="347"/>
      <c r="BY711" s="347"/>
      <c r="BZ711" s="347"/>
      <c r="CA711" s="586"/>
      <c r="CB711" s="581"/>
      <c r="CC711" s="581">
        <f t="shared" si="193"/>
        <v>0</v>
      </c>
      <c r="CD711" s="581"/>
      <c r="CE711" s="581"/>
      <c r="CF711" s="581"/>
      <c r="CG711" s="586"/>
      <c r="CH711" s="608"/>
      <c r="CI711" s="603"/>
      <c r="CJ711" s="347"/>
      <c r="CK711" s="347"/>
      <c r="CL711" s="347"/>
      <c r="CM711" s="347"/>
      <c r="CN711" s="347"/>
      <c r="CO711" s="347"/>
      <c r="CP711" s="347"/>
    </row>
    <row r="712">
      <c r="A712" s="574"/>
      <c r="B712" s="574"/>
      <c r="C712" s="347"/>
      <c r="D712" s="574"/>
      <c r="E712" s="347"/>
      <c r="F712" s="596"/>
      <c r="G712" s="596"/>
      <c r="H712" s="347"/>
      <c r="I712" s="347"/>
      <c r="J712" s="596"/>
      <c r="K712" s="609"/>
      <c r="L712" s="1"/>
      <c r="M712" s="347"/>
      <c r="N712" s="347"/>
      <c r="O712" s="579"/>
      <c r="P712" s="579"/>
      <c r="Q712" s="574"/>
      <c r="R712" s="347"/>
      <c r="S712" s="597"/>
      <c r="T712" s="347"/>
      <c r="U712" s="579"/>
      <c r="V712" s="579"/>
      <c r="W712" s="574"/>
      <c r="X712" s="347"/>
      <c r="Y712" s="347"/>
      <c r="Z712" s="347"/>
      <c r="AA712" s="579"/>
      <c r="AB712" s="581"/>
      <c r="AC712" s="347"/>
      <c r="AD712" s="347"/>
      <c r="AE712" s="347"/>
      <c r="AF712" s="347"/>
      <c r="AG712" s="579"/>
      <c r="AH712" s="579"/>
      <c r="AI712" s="582"/>
      <c r="AJ712" s="582"/>
      <c r="AK712" s="582"/>
      <c r="AL712" s="582"/>
      <c r="AM712" s="579"/>
      <c r="AN712" s="579"/>
      <c r="AO712" s="347"/>
      <c r="AP712" s="586"/>
      <c r="AQ712" s="596"/>
      <c r="AR712" s="596"/>
      <c r="AS712" s="348"/>
      <c r="AT712" s="348"/>
      <c r="AU712" s="348"/>
      <c r="AV712" s="348"/>
      <c r="AW712" s="348"/>
      <c r="AX712" s="584"/>
      <c r="AY712" s="581"/>
      <c r="AZ712" s="581"/>
      <c r="BA712" s="596"/>
      <c r="BB712" s="596"/>
      <c r="BC712" s="348"/>
      <c r="BD712" s="581"/>
      <c r="BE712" s="581"/>
      <c r="BF712" s="347"/>
      <c r="BG712" s="347"/>
      <c r="BH712" s="347"/>
      <c r="BI712" s="347"/>
      <c r="BJ712" s="586"/>
      <c r="BK712" s="581"/>
      <c r="BL712" s="347"/>
      <c r="BM712" s="347"/>
      <c r="BN712" s="347"/>
      <c r="BO712" s="586"/>
      <c r="BP712" s="584"/>
      <c r="BQ712" s="347"/>
      <c r="BR712" s="586"/>
      <c r="BS712" s="588"/>
      <c r="BT712" s="586"/>
      <c r="BU712" s="589"/>
      <c r="BV712" s="581">
        <f t="shared" si="44"/>
        <v>0</v>
      </c>
      <c r="BW712" s="590"/>
      <c r="BX712" s="347"/>
      <c r="BY712" s="347"/>
      <c r="BZ712" s="347"/>
      <c r="CA712" s="586"/>
      <c r="CB712" s="581"/>
      <c r="CC712" s="581">
        <f t="shared" si="193"/>
        <v>0</v>
      </c>
      <c r="CD712" s="581"/>
      <c r="CE712" s="581"/>
      <c r="CF712" s="581"/>
      <c r="CG712" s="586"/>
      <c r="CH712" s="608"/>
      <c r="CI712" s="603"/>
      <c r="CJ712" s="347"/>
      <c r="CK712" s="347"/>
      <c r="CL712" s="347"/>
      <c r="CM712" s="347"/>
      <c r="CN712" s="347"/>
      <c r="CO712" s="347"/>
      <c r="CP712" s="347"/>
    </row>
    <row r="713">
      <c r="A713" s="574"/>
      <c r="B713" s="574"/>
      <c r="C713" s="347"/>
      <c r="D713" s="574"/>
      <c r="E713" s="347"/>
      <c r="F713" s="596"/>
      <c r="G713" s="596"/>
      <c r="H713" s="347"/>
      <c r="I713" s="347"/>
      <c r="J713" s="596"/>
      <c r="K713" s="609"/>
      <c r="L713" s="1"/>
      <c r="M713" s="347"/>
      <c r="N713" s="347"/>
      <c r="O713" s="579"/>
      <c r="P713" s="579"/>
      <c r="Q713" s="574"/>
      <c r="R713" s="347"/>
      <c r="S713" s="597"/>
      <c r="T713" s="347"/>
      <c r="U713" s="579"/>
      <c r="V713" s="579"/>
      <c r="W713" s="574"/>
      <c r="X713" s="347"/>
      <c r="Y713" s="347"/>
      <c r="Z713" s="347"/>
      <c r="AA713" s="579"/>
      <c r="AB713" s="581"/>
      <c r="AC713" s="347"/>
      <c r="AD713" s="347"/>
      <c r="AE713" s="347"/>
      <c r="AF713" s="347"/>
      <c r="AG713" s="579"/>
      <c r="AH713" s="579"/>
      <c r="AI713" s="582"/>
      <c r="AJ713" s="582"/>
      <c r="AK713" s="582"/>
      <c r="AL713" s="582"/>
      <c r="AM713" s="579"/>
      <c r="AN713" s="579"/>
      <c r="AO713" s="347"/>
      <c r="AP713" s="586"/>
      <c r="AQ713" s="596"/>
      <c r="AR713" s="596"/>
      <c r="AS713" s="348"/>
      <c r="AT713" s="348"/>
      <c r="AU713" s="348"/>
      <c r="AV713" s="348"/>
      <c r="AW713" s="348"/>
      <c r="AX713" s="584"/>
      <c r="AY713" s="581"/>
      <c r="AZ713" s="581"/>
      <c r="BA713" s="596"/>
      <c r="BB713" s="596"/>
      <c r="BC713" s="348"/>
      <c r="BD713" s="581"/>
      <c r="BE713" s="581"/>
      <c r="BF713" s="347"/>
      <c r="BG713" s="347"/>
      <c r="BH713" s="347"/>
      <c r="BI713" s="347"/>
      <c r="BJ713" s="586"/>
      <c r="BK713" s="581"/>
      <c r="BL713" s="347"/>
      <c r="BM713" s="347"/>
      <c r="BN713" s="347"/>
      <c r="BO713" s="586"/>
      <c r="BP713" s="584"/>
      <c r="BQ713" s="347"/>
      <c r="BR713" s="586"/>
      <c r="BS713" s="588"/>
      <c r="BT713" s="586"/>
      <c r="BU713" s="589"/>
      <c r="BV713" s="581">
        <f t="shared" si="44"/>
        <v>0</v>
      </c>
      <c r="BW713" s="590"/>
      <c r="BX713" s="347"/>
      <c r="BY713" s="347"/>
      <c r="BZ713" s="347"/>
      <c r="CA713" s="586"/>
      <c r="CB713" s="581"/>
      <c r="CC713" s="581">
        <f t="shared" si="193"/>
        <v>0</v>
      </c>
      <c r="CD713" s="581"/>
      <c r="CE713" s="581"/>
      <c r="CF713" s="581"/>
      <c r="CG713" s="586"/>
      <c r="CH713" s="608"/>
      <c r="CI713" s="603"/>
      <c r="CJ713" s="347"/>
      <c r="CK713" s="347"/>
      <c r="CL713" s="347"/>
      <c r="CM713" s="347"/>
      <c r="CN713" s="347"/>
      <c r="CO713" s="347"/>
      <c r="CP713" s="347"/>
    </row>
    <row r="714">
      <c r="A714" s="574"/>
      <c r="B714" s="574"/>
      <c r="C714" s="347"/>
      <c r="D714" s="574"/>
      <c r="E714" s="347"/>
      <c r="F714" s="596"/>
      <c r="G714" s="596"/>
      <c r="H714" s="347"/>
      <c r="I714" s="347"/>
      <c r="J714" s="596"/>
      <c r="K714" s="609"/>
      <c r="L714" s="1"/>
      <c r="M714" s="347"/>
      <c r="N714" s="347"/>
      <c r="O714" s="579"/>
      <c r="P714" s="579"/>
      <c r="Q714" s="574"/>
      <c r="R714" s="347"/>
      <c r="S714" s="597"/>
      <c r="T714" s="347"/>
      <c r="U714" s="579"/>
      <c r="V714" s="579"/>
      <c r="W714" s="574"/>
      <c r="X714" s="347"/>
      <c r="Y714" s="347"/>
      <c r="Z714" s="347"/>
      <c r="AA714" s="579"/>
      <c r="AB714" s="581"/>
      <c r="AC714" s="347"/>
      <c r="AD714" s="347"/>
      <c r="AE714" s="347"/>
      <c r="AF714" s="347"/>
      <c r="AG714" s="579"/>
      <c r="AH714" s="579"/>
      <c r="AI714" s="582"/>
      <c r="AJ714" s="582"/>
      <c r="AK714" s="582"/>
      <c r="AL714" s="582"/>
      <c r="AM714" s="579"/>
      <c r="AN714" s="579"/>
      <c r="AO714" s="347"/>
      <c r="AP714" s="586"/>
      <c r="AQ714" s="596"/>
      <c r="AR714" s="596"/>
      <c r="AS714" s="348"/>
      <c r="AT714" s="348"/>
      <c r="AU714" s="348"/>
      <c r="AV714" s="348"/>
      <c r="AW714" s="348"/>
      <c r="AX714" s="584"/>
      <c r="AY714" s="581"/>
      <c r="AZ714" s="581"/>
      <c r="BA714" s="596"/>
      <c r="BB714" s="596"/>
      <c r="BC714" s="348"/>
      <c r="BD714" s="581"/>
      <c r="BE714" s="581"/>
      <c r="BF714" s="347"/>
      <c r="BG714" s="347"/>
      <c r="BH714" s="347"/>
      <c r="BI714" s="347"/>
      <c r="BJ714" s="586"/>
      <c r="BK714" s="581"/>
      <c r="BL714" s="347"/>
      <c r="BM714" s="347"/>
      <c r="BN714" s="347"/>
      <c r="BO714" s="586"/>
      <c r="BP714" s="584"/>
      <c r="BQ714" s="347"/>
      <c r="BR714" s="586"/>
      <c r="BS714" s="588"/>
      <c r="BT714" s="586"/>
      <c r="BU714" s="589"/>
      <c r="BV714" s="581">
        <f t="shared" si="44"/>
        <v>0</v>
      </c>
      <c r="BW714" s="590"/>
      <c r="BX714" s="347"/>
      <c r="BY714" s="347"/>
      <c r="BZ714" s="347"/>
      <c r="CA714" s="586"/>
      <c r="CB714" s="581"/>
      <c r="CC714" s="581">
        <f t="shared" si="193"/>
        <v>0</v>
      </c>
      <c r="CD714" s="581"/>
      <c r="CE714" s="581"/>
      <c r="CF714" s="581"/>
      <c r="CG714" s="586"/>
      <c r="CH714" s="608"/>
      <c r="CI714" s="603"/>
      <c r="CJ714" s="347"/>
      <c r="CK714" s="347"/>
      <c r="CL714" s="347"/>
      <c r="CM714" s="347"/>
      <c r="CN714" s="347"/>
      <c r="CO714" s="347"/>
      <c r="CP714" s="347"/>
    </row>
    <row r="715">
      <c r="A715" s="574"/>
      <c r="B715" s="574"/>
      <c r="C715" s="347"/>
      <c r="D715" s="574"/>
      <c r="E715" s="347"/>
      <c r="F715" s="596"/>
      <c r="G715" s="596"/>
      <c r="H715" s="347"/>
      <c r="I715" s="347"/>
      <c r="J715" s="596"/>
      <c r="K715" s="609"/>
      <c r="L715" s="1"/>
      <c r="M715" s="347"/>
      <c r="N715" s="347"/>
      <c r="O715" s="579"/>
      <c r="P715" s="579"/>
      <c r="Q715" s="574"/>
      <c r="R715" s="347"/>
      <c r="S715" s="597"/>
      <c r="T715" s="347"/>
      <c r="U715" s="579"/>
      <c r="V715" s="579"/>
      <c r="W715" s="574"/>
      <c r="X715" s="347"/>
      <c r="Y715" s="347"/>
      <c r="Z715" s="347"/>
      <c r="AA715" s="579"/>
      <c r="AB715" s="581"/>
      <c r="AC715" s="347"/>
      <c r="AD715" s="347"/>
      <c r="AE715" s="347"/>
      <c r="AF715" s="347"/>
      <c r="AG715" s="579"/>
      <c r="AH715" s="579"/>
      <c r="AI715" s="582"/>
      <c r="AJ715" s="582"/>
      <c r="AK715" s="582"/>
      <c r="AL715" s="582"/>
      <c r="AM715" s="579"/>
      <c r="AN715" s="579"/>
      <c r="AO715" s="347"/>
      <c r="AP715" s="586"/>
      <c r="AQ715" s="596"/>
      <c r="AR715" s="596"/>
      <c r="AS715" s="348"/>
      <c r="AT715" s="348"/>
      <c r="AU715" s="348"/>
      <c r="AV715" s="348"/>
      <c r="AW715" s="348"/>
      <c r="AX715" s="584"/>
      <c r="AY715" s="581"/>
      <c r="AZ715" s="581"/>
      <c r="BA715" s="596"/>
      <c r="BB715" s="596"/>
      <c r="BC715" s="348"/>
      <c r="BD715" s="581"/>
      <c r="BE715" s="581"/>
      <c r="BF715" s="347"/>
      <c r="BG715" s="347"/>
      <c r="BH715" s="347"/>
      <c r="BI715" s="347"/>
      <c r="BJ715" s="586"/>
      <c r="BK715" s="581"/>
      <c r="BL715" s="347"/>
      <c r="BM715" s="347"/>
      <c r="BN715" s="347"/>
      <c r="BO715" s="586"/>
      <c r="BP715" s="584"/>
      <c r="BQ715" s="347"/>
      <c r="BR715" s="586"/>
      <c r="BS715" s="588"/>
      <c r="BT715" s="586"/>
      <c r="BU715" s="589"/>
      <c r="BV715" s="581">
        <f t="shared" si="44"/>
        <v>0</v>
      </c>
      <c r="BW715" s="590"/>
      <c r="BX715" s="347"/>
      <c r="BY715" s="347"/>
      <c r="BZ715" s="347"/>
      <c r="CA715" s="586"/>
      <c r="CB715" s="581"/>
      <c r="CC715" s="581">
        <f t="shared" si="193"/>
        <v>0</v>
      </c>
      <c r="CD715" s="581"/>
      <c r="CE715" s="581"/>
      <c r="CF715" s="581"/>
      <c r="CG715" s="586"/>
      <c r="CH715" s="608"/>
      <c r="CI715" s="603"/>
      <c r="CJ715" s="347"/>
      <c r="CK715" s="347"/>
      <c r="CL715" s="347"/>
      <c r="CM715" s="347"/>
      <c r="CN715" s="347"/>
      <c r="CO715" s="347"/>
      <c r="CP715" s="347"/>
    </row>
    <row r="716">
      <c r="A716" s="574"/>
      <c r="B716" s="574"/>
      <c r="C716" s="347"/>
      <c r="D716" s="574"/>
      <c r="E716" s="347"/>
      <c r="F716" s="596"/>
      <c r="G716" s="596"/>
      <c r="H716" s="347"/>
      <c r="I716" s="347"/>
      <c r="J716" s="596"/>
      <c r="K716" s="609"/>
      <c r="L716" s="1"/>
      <c r="M716" s="347"/>
      <c r="N716" s="347"/>
      <c r="O716" s="579"/>
      <c r="P716" s="579"/>
      <c r="Q716" s="574"/>
      <c r="R716" s="347"/>
      <c r="S716" s="597"/>
      <c r="T716" s="347"/>
      <c r="U716" s="579"/>
      <c r="V716" s="579"/>
      <c r="W716" s="574"/>
      <c r="X716" s="347"/>
      <c r="Y716" s="347"/>
      <c r="Z716" s="347"/>
      <c r="AA716" s="579"/>
      <c r="AB716" s="581"/>
      <c r="AC716" s="347"/>
      <c r="AD716" s="347"/>
      <c r="AE716" s="347"/>
      <c r="AF716" s="347"/>
      <c r="AG716" s="579"/>
      <c r="AH716" s="579"/>
      <c r="AI716" s="582"/>
      <c r="AJ716" s="582"/>
      <c r="AK716" s="582"/>
      <c r="AL716" s="582"/>
      <c r="AM716" s="579"/>
      <c r="AN716" s="579"/>
      <c r="AO716" s="347"/>
      <c r="AP716" s="586"/>
      <c r="AQ716" s="596"/>
      <c r="AR716" s="596"/>
      <c r="AS716" s="348"/>
      <c r="AT716" s="348"/>
      <c r="AU716" s="348"/>
      <c r="AV716" s="348"/>
      <c r="AW716" s="348"/>
      <c r="AX716" s="584"/>
      <c r="AY716" s="581"/>
      <c r="AZ716" s="581"/>
      <c r="BA716" s="596"/>
      <c r="BB716" s="596"/>
      <c r="BC716" s="348"/>
      <c r="BD716" s="581"/>
      <c r="BE716" s="581"/>
      <c r="BF716" s="347"/>
      <c r="BG716" s="347"/>
      <c r="BH716" s="347"/>
      <c r="BI716" s="347"/>
      <c r="BJ716" s="586"/>
      <c r="BK716" s="581"/>
      <c r="BL716" s="347"/>
      <c r="BM716" s="347"/>
      <c r="BN716" s="347"/>
      <c r="BO716" s="586"/>
      <c r="BP716" s="584"/>
      <c r="BQ716" s="347"/>
      <c r="BR716" s="586"/>
      <c r="BS716" s="588"/>
      <c r="BT716" s="586"/>
      <c r="BU716" s="589"/>
      <c r="BV716" s="581">
        <f t="shared" si="44"/>
        <v>0</v>
      </c>
      <c r="BW716" s="590"/>
      <c r="BX716" s="347"/>
      <c r="BY716" s="347"/>
      <c r="BZ716" s="347"/>
      <c r="CA716" s="586"/>
      <c r="CB716" s="581"/>
      <c r="CC716" s="581">
        <f t="shared" si="193"/>
        <v>0</v>
      </c>
      <c r="CD716" s="581"/>
      <c r="CE716" s="581"/>
      <c r="CF716" s="581"/>
      <c r="CG716" s="586"/>
      <c r="CH716" s="608"/>
      <c r="CI716" s="603"/>
      <c r="CJ716" s="347"/>
      <c r="CK716" s="347"/>
      <c r="CL716" s="347"/>
      <c r="CM716" s="347"/>
      <c r="CN716" s="347"/>
      <c r="CO716" s="347"/>
      <c r="CP716" s="347"/>
    </row>
    <row r="717">
      <c r="A717" s="574"/>
      <c r="B717" s="574"/>
      <c r="C717" s="347"/>
      <c r="D717" s="574"/>
      <c r="E717" s="347"/>
      <c r="F717" s="596"/>
      <c r="G717" s="596"/>
      <c r="H717" s="347"/>
      <c r="I717" s="347"/>
      <c r="J717" s="596"/>
      <c r="K717" s="609"/>
      <c r="L717" s="1"/>
      <c r="M717" s="347"/>
      <c r="N717" s="347"/>
      <c r="O717" s="579"/>
      <c r="P717" s="579"/>
      <c r="Q717" s="574"/>
      <c r="R717" s="347"/>
      <c r="S717" s="597"/>
      <c r="T717" s="347"/>
      <c r="U717" s="579"/>
      <c r="V717" s="579"/>
      <c r="W717" s="574"/>
      <c r="X717" s="347"/>
      <c r="Y717" s="347"/>
      <c r="Z717" s="347"/>
      <c r="AA717" s="579"/>
      <c r="AB717" s="581"/>
      <c r="AC717" s="347"/>
      <c r="AD717" s="347"/>
      <c r="AE717" s="347"/>
      <c r="AF717" s="347"/>
      <c r="AG717" s="579"/>
      <c r="AH717" s="579"/>
      <c r="AI717" s="582"/>
      <c r="AJ717" s="582"/>
      <c r="AK717" s="582"/>
      <c r="AL717" s="582"/>
      <c r="AM717" s="579"/>
      <c r="AN717" s="579"/>
      <c r="AO717" s="347"/>
      <c r="AP717" s="586"/>
      <c r="AQ717" s="596"/>
      <c r="AR717" s="596"/>
      <c r="AS717" s="348"/>
      <c r="AT717" s="348"/>
      <c r="AU717" s="348"/>
      <c r="AV717" s="348"/>
      <c r="AW717" s="348"/>
      <c r="AX717" s="584"/>
      <c r="AY717" s="581"/>
      <c r="AZ717" s="581"/>
      <c r="BA717" s="596"/>
      <c r="BB717" s="596"/>
      <c r="BC717" s="348"/>
      <c r="BD717" s="581"/>
      <c r="BE717" s="581"/>
      <c r="BF717" s="347"/>
      <c r="BG717" s="347"/>
      <c r="BH717" s="347"/>
      <c r="BI717" s="347"/>
      <c r="BJ717" s="586"/>
      <c r="BK717" s="581"/>
      <c r="BL717" s="347"/>
      <c r="BM717" s="347"/>
      <c r="BN717" s="347"/>
      <c r="BO717" s="586"/>
      <c r="BP717" s="584"/>
      <c r="BQ717" s="347"/>
      <c r="BR717" s="586"/>
      <c r="BS717" s="588"/>
      <c r="BT717" s="586"/>
      <c r="BU717" s="589"/>
      <c r="BV717" s="581">
        <f t="shared" si="44"/>
        <v>0</v>
      </c>
      <c r="BW717" s="590"/>
      <c r="BX717" s="347"/>
      <c r="BY717" s="347"/>
      <c r="BZ717" s="347"/>
      <c r="CA717" s="586"/>
      <c r="CB717" s="581"/>
      <c r="CC717" s="581">
        <f t="shared" si="193"/>
        <v>0</v>
      </c>
      <c r="CD717" s="581"/>
      <c r="CE717" s="581"/>
      <c r="CF717" s="581"/>
      <c r="CG717" s="586"/>
      <c r="CH717" s="608"/>
      <c r="CI717" s="603"/>
      <c r="CJ717" s="347"/>
      <c r="CK717" s="347"/>
      <c r="CL717" s="347"/>
      <c r="CM717" s="347"/>
      <c r="CN717" s="347"/>
      <c r="CO717" s="347"/>
      <c r="CP717" s="347"/>
    </row>
    <row r="718">
      <c r="A718" s="574"/>
      <c r="B718" s="574"/>
      <c r="C718" s="347"/>
      <c r="D718" s="574"/>
      <c r="E718" s="347"/>
      <c r="F718" s="596"/>
      <c r="G718" s="596"/>
      <c r="H718" s="347"/>
      <c r="I718" s="347"/>
      <c r="J718" s="596"/>
      <c r="K718" s="609"/>
      <c r="L718" s="1"/>
      <c r="M718" s="347"/>
      <c r="N718" s="347"/>
      <c r="O718" s="579"/>
      <c r="P718" s="579"/>
      <c r="Q718" s="574"/>
      <c r="R718" s="347"/>
      <c r="S718" s="597"/>
      <c r="T718" s="347"/>
      <c r="U718" s="579"/>
      <c r="V718" s="579"/>
      <c r="W718" s="574"/>
      <c r="X718" s="347"/>
      <c r="Y718" s="347"/>
      <c r="Z718" s="347"/>
      <c r="AA718" s="579"/>
      <c r="AB718" s="581"/>
      <c r="AC718" s="347"/>
      <c r="AD718" s="347"/>
      <c r="AE718" s="347"/>
      <c r="AF718" s="347"/>
      <c r="AG718" s="579"/>
      <c r="AH718" s="579"/>
      <c r="AI718" s="582"/>
      <c r="AJ718" s="582"/>
      <c r="AK718" s="582"/>
      <c r="AL718" s="582"/>
      <c r="AM718" s="579"/>
      <c r="AN718" s="579"/>
      <c r="AO718" s="347"/>
      <c r="AP718" s="586"/>
      <c r="AQ718" s="596"/>
      <c r="AR718" s="596"/>
      <c r="AS718" s="348"/>
      <c r="AT718" s="348"/>
      <c r="AU718" s="348"/>
      <c r="AV718" s="348"/>
      <c r="AW718" s="348"/>
      <c r="AX718" s="584"/>
      <c r="AY718" s="581"/>
      <c r="AZ718" s="581"/>
      <c r="BA718" s="596"/>
      <c r="BB718" s="596"/>
      <c r="BC718" s="348"/>
      <c r="BD718" s="581"/>
      <c r="BE718" s="581"/>
      <c r="BF718" s="347"/>
      <c r="BG718" s="347"/>
      <c r="BH718" s="347"/>
      <c r="BI718" s="347"/>
      <c r="BJ718" s="586"/>
      <c r="BK718" s="581"/>
      <c r="BL718" s="347"/>
      <c r="BM718" s="347"/>
      <c r="BN718" s="347"/>
      <c r="BO718" s="586"/>
      <c r="BP718" s="584"/>
      <c r="BQ718" s="347"/>
      <c r="BR718" s="586"/>
      <c r="BS718" s="588"/>
      <c r="BT718" s="586"/>
      <c r="BU718" s="589"/>
      <c r="BV718" s="581">
        <f t="shared" si="44"/>
        <v>0</v>
      </c>
      <c r="BW718" s="590"/>
      <c r="BX718" s="347"/>
      <c r="BY718" s="347"/>
      <c r="BZ718" s="347"/>
      <c r="CA718" s="586"/>
      <c r="CB718" s="581"/>
      <c r="CC718" s="581">
        <f t="shared" si="193"/>
        <v>0</v>
      </c>
      <c r="CD718" s="581"/>
      <c r="CE718" s="581"/>
      <c r="CF718" s="581"/>
      <c r="CG718" s="586"/>
      <c r="CH718" s="608"/>
      <c r="CI718" s="603"/>
      <c r="CJ718" s="347"/>
      <c r="CK718" s="347"/>
      <c r="CL718" s="347"/>
      <c r="CM718" s="347"/>
      <c r="CN718" s="347"/>
      <c r="CO718" s="347"/>
      <c r="CP718" s="347"/>
    </row>
    <row r="719">
      <c r="A719" s="574"/>
      <c r="B719" s="574"/>
      <c r="C719" s="347"/>
      <c r="D719" s="574"/>
      <c r="E719" s="347"/>
      <c r="F719" s="596"/>
      <c r="G719" s="596"/>
      <c r="H719" s="347"/>
      <c r="I719" s="347"/>
      <c r="J719" s="596"/>
      <c r="K719" s="609"/>
      <c r="L719" s="1"/>
      <c r="M719" s="347"/>
      <c r="N719" s="347"/>
      <c r="O719" s="579"/>
      <c r="P719" s="579"/>
      <c r="Q719" s="574"/>
      <c r="R719" s="347"/>
      <c r="S719" s="597"/>
      <c r="T719" s="347"/>
      <c r="U719" s="579"/>
      <c r="V719" s="579"/>
      <c r="W719" s="574"/>
      <c r="X719" s="347"/>
      <c r="Y719" s="347"/>
      <c r="Z719" s="347"/>
      <c r="AA719" s="579"/>
      <c r="AB719" s="581"/>
      <c r="AC719" s="347"/>
      <c r="AD719" s="347"/>
      <c r="AE719" s="347"/>
      <c r="AF719" s="347"/>
      <c r="AG719" s="579"/>
      <c r="AH719" s="579"/>
      <c r="AI719" s="582"/>
      <c r="AJ719" s="582"/>
      <c r="AK719" s="582"/>
      <c r="AL719" s="582"/>
      <c r="AM719" s="579"/>
      <c r="AN719" s="579"/>
      <c r="AO719" s="347"/>
      <c r="AP719" s="586"/>
      <c r="AQ719" s="596"/>
      <c r="AR719" s="596"/>
      <c r="AS719" s="348"/>
      <c r="AT719" s="348"/>
      <c r="AU719" s="348"/>
      <c r="AV719" s="348"/>
      <c r="AW719" s="348"/>
      <c r="AX719" s="584"/>
      <c r="AY719" s="581"/>
      <c r="AZ719" s="581"/>
      <c r="BA719" s="596"/>
      <c r="BB719" s="596"/>
      <c r="BC719" s="348"/>
      <c r="BD719" s="581"/>
      <c r="BE719" s="581"/>
      <c r="BF719" s="347"/>
      <c r="BG719" s="347"/>
      <c r="BH719" s="347"/>
      <c r="BI719" s="347"/>
      <c r="BJ719" s="586"/>
      <c r="BK719" s="581"/>
      <c r="BL719" s="347"/>
      <c r="BM719" s="347"/>
      <c r="BN719" s="347"/>
      <c r="BO719" s="586"/>
      <c r="BP719" s="584"/>
      <c r="BQ719" s="347"/>
      <c r="BR719" s="586"/>
      <c r="BS719" s="588"/>
      <c r="BT719" s="586"/>
      <c r="BU719" s="589"/>
      <c r="BV719" s="581">
        <f t="shared" si="44"/>
        <v>0</v>
      </c>
      <c r="BW719" s="590"/>
      <c r="BX719" s="347"/>
      <c r="BY719" s="347"/>
      <c r="BZ719" s="347"/>
      <c r="CA719" s="586"/>
      <c r="CB719" s="581"/>
      <c r="CC719" s="581">
        <f t="shared" si="193"/>
        <v>0</v>
      </c>
      <c r="CD719" s="581"/>
      <c r="CE719" s="581"/>
      <c r="CF719" s="581"/>
      <c r="CG719" s="586"/>
      <c r="CH719" s="608"/>
      <c r="CI719" s="603"/>
      <c r="CJ719" s="347"/>
      <c r="CK719" s="347"/>
      <c r="CL719" s="347"/>
      <c r="CM719" s="347"/>
      <c r="CN719" s="347"/>
      <c r="CO719" s="347"/>
      <c r="CP719" s="347"/>
    </row>
    <row r="720">
      <c r="A720" s="574"/>
      <c r="B720" s="574"/>
      <c r="C720" s="347"/>
      <c r="D720" s="574"/>
      <c r="E720" s="347"/>
      <c r="F720" s="596"/>
      <c r="G720" s="596"/>
      <c r="H720" s="347"/>
      <c r="I720" s="347"/>
      <c r="J720" s="596"/>
      <c r="K720" s="609"/>
      <c r="L720" s="1"/>
      <c r="M720" s="347"/>
      <c r="N720" s="347"/>
      <c r="O720" s="579"/>
      <c r="P720" s="579"/>
      <c r="Q720" s="574"/>
      <c r="R720" s="347"/>
      <c r="S720" s="597"/>
      <c r="T720" s="347"/>
      <c r="U720" s="579"/>
      <c r="V720" s="579"/>
      <c r="W720" s="574"/>
      <c r="X720" s="347"/>
      <c r="Y720" s="347"/>
      <c r="Z720" s="347"/>
      <c r="AA720" s="579"/>
      <c r="AB720" s="581"/>
      <c r="AC720" s="347"/>
      <c r="AD720" s="347"/>
      <c r="AE720" s="347"/>
      <c r="AF720" s="347"/>
      <c r="AG720" s="579"/>
      <c r="AH720" s="579"/>
      <c r="AI720" s="582"/>
      <c r="AJ720" s="582"/>
      <c r="AK720" s="582"/>
      <c r="AL720" s="582"/>
      <c r="AM720" s="579"/>
      <c r="AN720" s="579"/>
      <c r="AO720" s="347"/>
      <c r="AP720" s="586"/>
      <c r="AQ720" s="596"/>
      <c r="AR720" s="596"/>
      <c r="AS720" s="348"/>
      <c r="AT720" s="348"/>
      <c r="AU720" s="348"/>
      <c r="AV720" s="348"/>
      <c r="AW720" s="348"/>
      <c r="AX720" s="584"/>
      <c r="AY720" s="581"/>
      <c r="AZ720" s="581"/>
      <c r="BA720" s="596"/>
      <c r="BB720" s="596"/>
      <c r="BC720" s="348"/>
      <c r="BD720" s="581"/>
      <c r="BE720" s="581"/>
      <c r="BF720" s="347"/>
      <c r="BG720" s="347"/>
      <c r="BH720" s="347"/>
      <c r="BI720" s="347"/>
      <c r="BJ720" s="586"/>
      <c r="BK720" s="581"/>
      <c r="BL720" s="347"/>
      <c r="BM720" s="347"/>
      <c r="BN720" s="347"/>
      <c r="BO720" s="586"/>
      <c r="BP720" s="584"/>
      <c r="BQ720" s="347"/>
      <c r="BR720" s="586"/>
      <c r="BS720" s="588"/>
      <c r="BT720" s="586"/>
      <c r="BU720" s="589"/>
      <c r="BV720" s="581">
        <f t="shared" si="44"/>
        <v>0</v>
      </c>
      <c r="BW720" s="590"/>
      <c r="BX720" s="347"/>
      <c r="BY720" s="347"/>
      <c r="BZ720" s="347"/>
      <c r="CA720" s="586"/>
      <c r="CB720" s="581"/>
      <c r="CC720" s="581">
        <f t="shared" si="193"/>
        <v>0</v>
      </c>
      <c r="CD720" s="581"/>
      <c r="CE720" s="581"/>
      <c r="CF720" s="581"/>
      <c r="CG720" s="586"/>
      <c r="CH720" s="608"/>
      <c r="CI720" s="603"/>
      <c r="CJ720" s="347"/>
      <c r="CK720" s="347"/>
      <c r="CL720" s="347"/>
      <c r="CM720" s="347"/>
      <c r="CN720" s="347"/>
      <c r="CO720" s="347"/>
      <c r="CP720" s="347"/>
    </row>
    <row r="721">
      <c r="A721" s="574"/>
      <c r="B721" s="574"/>
      <c r="C721" s="347"/>
      <c r="D721" s="574"/>
      <c r="E721" s="347"/>
      <c r="F721" s="596"/>
      <c r="G721" s="596"/>
      <c r="H721" s="347"/>
      <c r="I721" s="347"/>
      <c r="J721" s="596"/>
      <c r="K721" s="609"/>
      <c r="L721" s="1"/>
      <c r="M721" s="347"/>
      <c r="N721" s="347"/>
      <c r="O721" s="579"/>
      <c r="P721" s="579"/>
      <c r="Q721" s="574"/>
      <c r="R721" s="347"/>
      <c r="S721" s="597"/>
      <c r="T721" s="347"/>
      <c r="U721" s="579"/>
      <c r="V721" s="579"/>
      <c r="W721" s="574"/>
      <c r="X721" s="347"/>
      <c r="Y721" s="347"/>
      <c r="Z721" s="347"/>
      <c r="AA721" s="579"/>
      <c r="AB721" s="581"/>
      <c r="AC721" s="347"/>
      <c r="AD721" s="347"/>
      <c r="AE721" s="347"/>
      <c r="AF721" s="347"/>
      <c r="AG721" s="579"/>
      <c r="AH721" s="579"/>
      <c r="AI721" s="582"/>
      <c r="AJ721" s="582"/>
      <c r="AK721" s="582"/>
      <c r="AL721" s="582"/>
      <c r="AM721" s="579"/>
      <c r="AN721" s="579"/>
      <c r="AO721" s="347"/>
      <c r="AP721" s="586"/>
      <c r="AQ721" s="596"/>
      <c r="AR721" s="596"/>
      <c r="AS721" s="348"/>
      <c r="AT721" s="348"/>
      <c r="AU721" s="348"/>
      <c r="AV721" s="348"/>
      <c r="AW721" s="348"/>
      <c r="AX721" s="584"/>
      <c r="AY721" s="581"/>
      <c r="AZ721" s="581"/>
      <c r="BA721" s="596"/>
      <c r="BB721" s="596"/>
      <c r="BC721" s="348"/>
      <c r="BD721" s="581"/>
      <c r="BE721" s="581"/>
      <c r="BF721" s="347"/>
      <c r="BG721" s="347"/>
      <c r="BH721" s="347"/>
      <c r="BI721" s="347"/>
      <c r="BJ721" s="586"/>
      <c r="BK721" s="581"/>
      <c r="BL721" s="347"/>
      <c r="BM721" s="347"/>
      <c r="BN721" s="347"/>
      <c r="BO721" s="586"/>
      <c r="BP721" s="584"/>
      <c r="BQ721" s="347"/>
      <c r="BR721" s="586"/>
      <c r="BS721" s="588"/>
      <c r="BT721" s="586"/>
      <c r="BU721" s="589"/>
      <c r="BV721" s="581">
        <f t="shared" si="44"/>
        <v>0</v>
      </c>
      <c r="BW721" s="590"/>
      <c r="BX721" s="347"/>
      <c r="BY721" s="347"/>
      <c r="BZ721" s="347"/>
      <c r="CA721" s="586"/>
      <c r="CB721" s="581"/>
      <c r="CC721" s="581">
        <f t="shared" si="193"/>
        <v>0</v>
      </c>
      <c r="CD721" s="581"/>
      <c r="CE721" s="581"/>
      <c r="CF721" s="581"/>
      <c r="CG721" s="586"/>
      <c r="CH721" s="608"/>
      <c r="CI721" s="603"/>
      <c r="CJ721" s="347"/>
      <c r="CK721" s="347"/>
      <c r="CL721" s="347"/>
      <c r="CM721" s="347"/>
      <c r="CN721" s="347"/>
      <c r="CO721" s="347"/>
      <c r="CP721" s="347"/>
    </row>
    <row r="722">
      <c r="A722" s="574"/>
      <c r="B722" s="574"/>
      <c r="C722" s="347"/>
      <c r="D722" s="574"/>
      <c r="E722" s="347"/>
      <c r="F722" s="596"/>
      <c r="G722" s="596"/>
      <c r="H722" s="347"/>
      <c r="I722" s="347"/>
      <c r="J722" s="596"/>
      <c r="K722" s="609"/>
      <c r="L722" s="1"/>
      <c r="M722" s="347"/>
      <c r="N722" s="347"/>
      <c r="O722" s="579"/>
      <c r="P722" s="579"/>
      <c r="Q722" s="574"/>
      <c r="R722" s="347"/>
      <c r="S722" s="597"/>
      <c r="T722" s="347"/>
      <c r="U722" s="579"/>
      <c r="V722" s="579"/>
      <c r="W722" s="574"/>
      <c r="X722" s="347"/>
      <c r="Y722" s="347"/>
      <c r="Z722" s="347"/>
      <c r="AA722" s="579"/>
      <c r="AB722" s="581"/>
      <c r="AC722" s="347"/>
      <c r="AD722" s="347"/>
      <c r="AE722" s="347"/>
      <c r="AF722" s="347"/>
      <c r="AG722" s="579"/>
      <c r="AH722" s="579"/>
      <c r="AI722" s="582"/>
      <c r="AJ722" s="582"/>
      <c r="AK722" s="582"/>
      <c r="AL722" s="582"/>
      <c r="AM722" s="579"/>
      <c r="AN722" s="579"/>
      <c r="AO722" s="347"/>
      <c r="AP722" s="586"/>
      <c r="AQ722" s="596"/>
      <c r="AR722" s="596"/>
      <c r="AS722" s="348"/>
      <c r="AT722" s="348"/>
      <c r="AU722" s="348"/>
      <c r="AV722" s="348"/>
      <c r="AW722" s="348"/>
      <c r="AX722" s="584"/>
      <c r="AY722" s="581"/>
      <c r="AZ722" s="581"/>
      <c r="BA722" s="596"/>
      <c r="BB722" s="596"/>
      <c r="BC722" s="348"/>
      <c r="BD722" s="581"/>
      <c r="BE722" s="581"/>
      <c r="BF722" s="347"/>
      <c r="BG722" s="347"/>
      <c r="BH722" s="347"/>
      <c r="BI722" s="347"/>
      <c r="BJ722" s="586"/>
      <c r="BK722" s="581"/>
      <c r="BL722" s="347"/>
      <c r="BM722" s="347"/>
      <c r="BN722" s="347"/>
      <c r="BO722" s="586"/>
      <c r="BP722" s="584"/>
      <c r="BQ722" s="347"/>
      <c r="BR722" s="586"/>
      <c r="BS722" s="588"/>
      <c r="BT722" s="586"/>
      <c r="BU722" s="589"/>
      <c r="BV722" s="581">
        <f t="shared" si="44"/>
        <v>0</v>
      </c>
      <c r="BW722" s="590"/>
      <c r="BX722" s="347"/>
      <c r="BY722" s="347"/>
      <c r="BZ722" s="347"/>
      <c r="CA722" s="586"/>
      <c r="CB722" s="581"/>
      <c r="CC722" s="581">
        <f t="shared" si="193"/>
        <v>0</v>
      </c>
      <c r="CD722" s="581"/>
      <c r="CE722" s="581"/>
      <c r="CF722" s="581"/>
      <c r="CG722" s="586"/>
      <c r="CH722" s="608"/>
      <c r="CI722" s="603"/>
      <c r="CJ722" s="347"/>
      <c r="CK722" s="347"/>
      <c r="CL722" s="347"/>
      <c r="CM722" s="347"/>
      <c r="CN722" s="347"/>
      <c r="CO722" s="347"/>
      <c r="CP722" s="347"/>
    </row>
    <row r="723">
      <c r="A723" s="574"/>
      <c r="B723" s="574"/>
      <c r="C723" s="347"/>
      <c r="D723" s="574"/>
      <c r="E723" s="347"/>
      <c r="F723" s="596"/>
      <c r="G723" s="596"/>
      <c r="H723" s="347"/>
      <c r="I723" s="347"/>
      <c r="J723" s="596"/>
      <c r="K723" s="609"/>
      <c r="L723" s="1"/>
      <c r="M723" s="347"/>
      <c r="N723" s="347"/>
      <c r="O723" s="579"/>
      <c r="P723" s="579"/>
      <c r="Q723" s="574"/>
      <c r="R723" s="347"/>
      <c r="S723" s="597"/>
      <c r="T723" s="347"/>
      <c r="U723" s="579"/>
      <c r="V723" s="579"/>
      <c r="W723" s="574"/>
      <c r="X723" s="347"/>
      <c r="Y723" s="347"/>
      <c r="Z723" s="347"/>
      <c r="AA723" s="579"/>
      <c r="AB723" s="581"/>
      <c r="AC723" s="347"/>
      <c r="AD723" s="347"/>
      <c r="AE723" s="347"/>
      <c r="AF723" s="347"/>
      <c r="AG723" s="579"/>
      <c r="AH723" s="579"/>
      <c r="AI723" s="582"/>
      <c r="AJ723" s="582"/>
      <c r="AK723" s="582"/>
      <c r="AL723" s="582"/>
      <c r="AM723" s="579"/>
      <c r="AN723" s="579"/>
      <c r="AO723" s="347"/>
      <c r="AP723" s="586"/>
      <c r="AQ723" s="596"/>
      <c r="AR723" s="596"/>
      <c r="AS723" s="348"/>
      <c r="AT723" s="348"/>
      <c r="AU723" s="348"/>
      <c r="AV723" s="348"/>
      <c r="AW723" s="348"/>
      <c r="AX723" s="584"/>
      <c r="AY723" s="581"/>
      <c r="AZ723" s="581"/>
      <c r="BA723" s="596"/>
      <c r="BB723" s="596"/>
      <c r="BC723" s="348"/>
      <c r="BD723" s="581"/>
      <c r="BE723" s="581"/>
      <c r="BF723" s="347"/>
      <c r="BG723" s="347"/>
      <c r="BH723" s="347"/>
      <c r="BI723" s="347"/>
      <c r="BJ723" s="586"/>
      <c r="BK723" s="581"/>
      <c r="BL723" s="347"/>
      <c r="BM723" s="347"/>
      <c r="BN723" s="347"/>
      <c r="BO723" s="586"/>
      <c r="BP723" s="584"/>
      <c r="BQ723" s="347"/>
      <c r="BR723" s="586"/>
      <c r="BS723" s="588"/>
      <c r="BT723" s="586"/>
      <c r="BU723" s="589"/>
      <c r="BV723" s="581">
        <f t="shared" si="44"/>
        <v>0</v>
      </c>
      <c r="BW723" s="590"/>
      <c r="BX723" s="347"/>
      <c r="BY723" s="347"/>
      <c r="BZ723" s="347"/>
      <c r="CA723" s="586"/>
      <c r="CB723" s="581"/>
      <c r="CC723" s="581">
        <f t="shared" si="193"/>
        <v>0</v>
      </c>
      <c r="CD723" s="581"/>
      <c r="CE723" s="581"/>
      <c r="CF723" s="581"/>
      <c r="CG723" s="586"/>
      <c r="CH723" s="608"/>
      <c r="CI723" s="603"/>
      <c r="CJ723" s="347"/>
      <c r="CK723" s="347"/>
      <c r="CL723" s="347"/>
      <c r="CM723" s="347"/>
      <c r="CN723" s="347"/>
      <c r="CO723" s="347"/>
      <c r="CP723" s="347"/>
    </row>
    <row r="724">
      <c r="A724" s="574"/>
      <c r="B724" s="574"/>
      <c r="C724" s="347"/>
      <c r="D724" s="574"/>
      <c r="E724" s="347"/>
      <c r="F724" s="596"/>
      <c r="G724" s="596"/>
      <c r="H724" s="347"/>
      <c r="I724" s="347"/>
      <c r="J724" s="596"/>
      <c r="K724" s="609"/>
      <c r="L724" s="1"/>
      <c r="M724" s="347"/>
      <c r="N724" s="347"/>
      <c r="O724" s="579"/>
      <c r="P724" s="579"/>
      <c r="Q724" s="574"/>
      <c r="R724" s="347"/>
      <c r="S724" s="597"/>
      <c r="T724" s="347"/>
      <c r="U724" s="579"/>
      <c r="V724" s="579"/>
      <c r="W724" s="574"/>
      <c r="X724" s="347"/>
      <c r="Y724" s="347"/>
      <c r="Z724" s="347"/>
      <c r="AA724" s="579"/>
      <c r="AB724" s="581"/>
      <c r="AC724" s="347"/>
      <c r="AD724" s="347"/>
      <c r="AE724" s="347"/>
      <c r="AF724" s="347"/>
      <c r="AG724" s="579"/>
      <c r="AH724" s="579"/>
      <c r="AI724" s="582"/>
      <c r="AJ724" s="582"/>
      <c r="AK724" s="582"/>
      <c r="AL724" s="582"/>
      <c r="AM724" s="579"/>
      <c r="AN724" s="579"/>
      <c r="AO724" s="347"/>
      <c r="AP724" s="586"/>
      <c r="AQ724" s="596"/>
      <c r="AR724" s="596"/>
      <c r="AS724" s="348"/>
      <c r="AT724" s="348"/>
      <c r="AU724" s="348"/>
      <c r="AV724" s="348"/>
      <c r="AW724" s="348"/>
      <c r="AX724" s="584"/>
      <c r="AY724" s="581"/>
      <c r="AZ724" s="581"/>
      <c r="BA724" s="596"/>
      <c r="BB724" s="596"/>
      <c r="BC724" s="348"/>
      <c r="BD724" s="581"/>
      <c r="BE724" s="581"/>
      <c r="BF724" s="347"/>
      <c r="BG724" s="347"/>
      <c r="BH724" s="347"/>
      <c r="BI724" s="347"/>
      <c r="BJ724" s="586"/>
      <c r="BK724" s="581"/>
      <c r="BL724" s="347"/>
      <c r="BM724" s="347"/>
      <c r="BN724" s="347"/>
      <c r="BO724" s="586"/>
      <c r="BP724" s="584"/>
      <c r="BQ724" s="347"/>
      <c r="BR724" s="586"/>
      <c r="BS724" s="588"/>
      <c r="BT724" s="586"/>
      <c r="BU724" s="589"/>
      <c r="BV724" s="581">
        <f t="shared" si="44"/>
        <v>0</v>
      </c>
      <c r="BW724" s="590"/>
      <c r="BX724" s="347"/>
      <c r="BY724" s="347"/>
      <c r="BZ724" s="347"/>
      <c r="CA724" s="586"/>
      <c r="CB724" s="581"/>
      <c r="CC724" s="581">
        <f t="shared" si="193"/>
        <v>0</v>
      </c>
      <c r="CD724" s="581"/>
      <c r="CE724" s="581"/>
      <c r="CF724" s="581"/>
      <c r="CG724" s="586"/>
      <c r="CH724" s="608"/>
      <c r="CI724" s="603"/>
      <c r="CJ724" s="347"/>
      <c r="CK724" s="347"/>
      <c r="CL724" s="347"/>
      <c r="CM724" s="347"/>
      <c r="CN724" s="347"/>
      <c r="CO724" s="347"/>
      <c r="CP724" s="347"/>
    </row>
    <row r="725">
      <c r="A725" s="574"/>
      <c r="B725" s="574"/>
      <c r="C725" s="347"/>
      <c r="D725" s="574"/>
      <c r="E725" s="347"/>
      <c r="F725" s="596"/>
      <c r="G725" s="596"/>
      <c r="H725" s="347"/>
      <c r="I725" s="347"/>
      <c r="J725" s="596"/>
      <c r="K725" s="609"/>
      <c r="L725" s="1"/>
      <c r="M725" s="347"/>
      <c r="N725" s="347"/>
      <c r="O725" s="579"/>
      <c r="P725" s="579"/>
      <c r="Q725" s="574"/>
      <c r="R725" s="347"/>
      <c r="S725" s="597"/>
      <c r="T725" s="347"/>
      <c r="U725" s="579"/>
      <c r="V725" s="579"/>
      <c r="W725" s="574"/>
      <c r="X725" s="347"/>
      <c r="Y725" s="347"/>
      <c r="Z725" s="347"/>
      <c r="AA725" s="579"/>
      <c r="AB725" s="581"/>
      <c r="AC725" s="347"/>
      <c r="AD725" s="347"/>
      <c r="AE725" s="347"/>
      <c r="AF725" s="347"/>
      <c r="AG725" s="579"/>
      <c r="AH725" s="579"/>
      <c r="AI725" s="582"/>
      <c r="AJ725" s="582"/>
      <c r="AK725" s="582"/>
      <c r="AL725" s="582"/>
      <c r="AM725" s="579"/>
      <c r="AN725" s="579"/>
      <c r="AO725" s="347"/>
      <c r="AP725" s="586"/>
      <c r="AQ725" s="596"/>
      <c r="AR725" s="596"/>
      <c r="AS725" s="348"/>
      <c r="AT725" s="348"/>
      <c r="AU725" s="348"/>
      <c r="AV725" s="348"/>
      <c r="AW725" s="348"/>
      <c r="AX725" s="584"/>
      <c r="AY725" s="581"/>
      <c r="AZ725" s="581"/>
      <c r="BA725" s="596"/>
      <c r="BB725" s="596"/>
      <c r="BC725" s="348"/>
      <c r="BD725" s="581"/>
      <c r="BE725" s="581"/>
      <c r="BF725" s="347"/>
      <c r="BG725" s="347"/>
      <c r="BH725" s="347"/>
      <c r="BI725" s="347"/>
      <c r="BJ725" s="586"/>
      <c r="BK725" s="581"/>
      <c r="BL725" s="347"/>
      <c r="BM725" s="347"/>
      <c r="BN725" s="347"/>
      <c r="BO725" s="586"/>
      <c r="BP725" s="584"/>
      <c r="BQ725" s="347"/>
      <c r="BR725" s="586"/>
      <c r="BS725" s="588"/>
      <c r="BT725" s="586"/>
      <c r="BU725" s="589"/>
      <c r="BV725" s="581">
        <f t="shared" si="44"/>
        <v>0</v>
      </c>
      <c r="BW725" s="590"/>
      <c r="BX725" s="347"/>
      <c r="BY725" s="347"/>
      <c r="BZ725" s="347"/>
      <c r="CA725" s="586"/>
      <c r="CB725" s="581"/>
      <c r="CC725" s="581">
        <f t="shared" si="193"/>
        <v>0</v>
      </c>
      <c r="CD725" s="581"/>
      <c r="CE725" s="581"/>
      <c r="CF725" s="581"/>
      <c r="CG725" s="586"/>
      <c r="CH725" s="608"/>
      <c r="CI725" s="603"/>
      <c r="CJ725" s="347"/>
      <c r="CK725" s="347"/>
      <c r="CL725" s="347"/>
      <c r="CM725" s="347"/>
      <c r="CN725" s="347"/>
      <c r="CO725" s="347"/>
      <c r="CP725" s="347"/>
    </row>
    <row r="726">
      <c r="A726" s="574"/>
      <c r="B726" s="574"/>
      <c r="C726" s="347"/>
      <c r="D726" s="574"/>
      <c r="E726" s="347"/>
      <c r="F726" s="596"/>
      <c r="G726" s="596"/>
      <c r="H726" s="347"/>
      <c r="I726" s="347"/>
      <c r="J726" s="596"/>
      <c r="K726" s="609"/>
      <c r="L726" s="1"/>
      <c r="M726" s="347"/>
      <c r="N726" s="347"/>
      <c r="O726" s="579"/>
      <c r="P726" s="579"/>
      <c r="Q726" s="574"/>
      <c r="R726" s="347"/>
      <c r="S726" s="597"/>
      <c r="T726" s="347"/>
      <c r="U726" s="579"/>
      <c r="V726" s="579"/>
      <c r="W726" s="574"/>
      <c r="X726" s="347"/>
      <c r="Y726" s="347"/>
      <c r="Z726" s="347"/>
      <c r="AA726" s="579"/>
      <c r="AB726" s="581"/>
      <c r="AC726" s="347"/>
      <c r="AD726" s="347"/>
      <c r="AE726" s="347"/>
      <c r="AF726" s="347"/>
      <c r="AG726" s="579"/>
      <c r="AH726" s="579"/>
      <c r="AI726" s="582"/>
      <c r="AJ726" s="582"/>
      <c r="AK726" s="582"/>
      <c r="AL726" s="582"/>
      <c r="AM726" s="579"/>
      <c r="AN726" s="579"/>
      <c r="AO726" s="347"/>
      <c r="AP726" s="586"/>
      <c r="AQ726" s="596"/>
      <c r="AR726" s="596"/>
      <c r="AS726" s="348"/>
      <c r="AT726" s="348"/>
      <c r="AU726" s="348"/>
      <c r="AV726" s="348"/>
      <c r="AW726" s="348"/>
      <c r="AX726" s="584"/>
      <c r="AY726" s="581"/>
      <c r="AZ726" s="581"/>
      <c r="BA726" s="596"/>
      <c r="BB726" s="596"/>
      <c r="BC726" s="348"/>
      <c r="BD726" s="581"/>
      <c r="BE726" s="581"/>
      <c r="BF726" s="347"/>
      <c r="BG726" s="347"/>
      <c r="BH726" s="347"/>
      <c r="BI726" s="347"/>
      <c r="BJ726" s="586"/>
      <c r="BK726" s="581"/>
      <c r="BL726" s="347"/>
      <c r="BM726" s="347"/>
      <c r="BN726" s="347"/>
      <c r="BO726" s="586"/>
      <c r="BP726" s="584"/>
      <c r="BQ726" s="347"/>
      <c r="BR726" s="586"/>
      <c r="BS726" s="588"/>
      <c r="BT726" s="586"/>
      <c r="BU726" s="589"/>
      <c r="BV726" s="581">
        <f t="shared" si="44"/>
        <v>0</v>
      </c>
      <c r="BW726" s="590"/>
      <c r="BX726" s="347"/>
      <c r="BY726" s="347"/>
      <c r="BZ726" s="347"/>
      <c r="CA726" s="586"/>
      <c r="CB726" s="581"/>
      <c r="CC726" s="581">
        <f t="shared" si="193"/>
        <v>0</v>
      </c>
      <c r="CD726" s="581"/>
      <c r="CE726" s="581"/>
      <c r="CF726" s="581"/>
      <c r="CG726" s="586"/>
      <c r="CH726" s="608"/>
      <c r="CI726" s="603"/>
      <c r="CJ726" s="347"/>
      <c r="CK726" s="347"/>
      <c r="CL726" s="347"/>
      <c r="CM726" s="347"/>
      <c r="CN726" s="347"/>
      <c r="CO726" s="347"/>
      <c r="CP726" s="347"/>
    </row>
    <row r="727">
      <c r="A727" s="574"/>
      <c r="B727" s="574"/>
      <c r="C727" s="347"/>
      <c r="D727" s="574"/>
      <c r="E727" s="347"/>
      <c r="F727" s="596"/>
      <c r="G727" s="596"/>
      <c r="H727" s="347"/>
      <c r="I727" s="347"/>
      <c r="J727" s="596"/>
      <c r="K727" s="609"/>
      <c r="L727" s="1"/>
      <c r="M727" s="347"/>
      <c r="N727" s="347"/>
      <c r="O727" s="579"/>
      <c r="P727" s="579"/>
      <c r="Q727" s="574"/>
      <c r="R727" s="347"/>
      <c r="S727" s="597"/>
      <c r="T727" s="347"/>
      <c r="U727" s="579"/>
      <c r="V727" s="579"/>
      <c r="W727" s="574"/>
      <c r="X727" s="347"/>
      <c r="Y727" s="347"/>
      <c r="Z727" s="347"/>
      <c r="AA727" s="579"/>
      <c r="AB727" s="581"/>
      <c r="AC727" s="347"/>
      <c r="AD727" s="347"/>
      <c r="AE727" s="347"/>
      <c r="AF727" s="347"/>
      <c r="AG727" s="579"/>
      <c r="AH727" s="579"/>
      <c r="AI727" s="582"/>
      <c r="AJ727" s="582"/>
      <c r="AK727" s="582"/>
      <c r="AL727" s="582"/>
      <c r="AM727" s="579"/>
      <c r="AN727" s="579"/>
      <c r="AO727" s="347"/>
      <c r="AP727" s="586"/>
      <c r="AQ727" s="596"/>
      <c r="AR727" s="596"/>
      <c r="AS727" s="348"/>
      <c r="AT727" s="348"/>
      <c r="AU727" s="348"/>
      <c r="AV727" s="348"/>
      <c r="AW727" s="348"/>
      <c r="AX727" s="584"/>
      <c r="AY727" s="581"/>
      <c r="AZ727" s="581"/>
      <c r="BA727" s="596"/>
      <c r="BB727" s="596"/>
      <c r="BC727" s="348"/>
      <c r="BD727" s="581"/>
      <c r="BE727" s="581"/>
      <c r="BF727" s="347"/>
      <c r="BG727" s="347"/>
      <c r="BH727" s="347"/>
      <c r="BI727" s="347"/>
      <c r="BJ727" s="586"/>
      <c r="BK727" s="581"/>
      <c r="BL727" s="347"/>
      <c r="BM727" s="347"/>
      <c r="BN727" s="347"/>
      <c r="BO727" s="586"/>
      <c r="BP727" s="584"/>
      <c r="BQ727" s="347"/>
      <c r="BR727" s="586"/>
      <c r="BS727" s="588"/>
      <c r="BT727" s="586"/>
      <c r="BU727" s="589"/>
      <c r="BV727" s="581">
        <f t="shared" si="44"/>
        <v>0</v>
      </c>
      <c r="BW727" s="590"/>
      <c r="BX727" s="347"/>
      <c r="BY727" s="347"/>
      <c r="BZ727" s="347"/>
      <c r="CA727" s="586"/>
      <c r="CB727" s="581"/>
      <c r="CC727" s="581">
        <f t="shared" si="193"/>
        <v>0</v>
      </c>
      <c r="CD727" s="581"/>
      <c r="CE727" s="581"/>
      <c r="CF727" s="581"/>
      <c r="CG727" s="586"/>
      <c r="CH727" s="608"/>
      <c r="CI727" s="603"/>
      <c r="CJ727" s="347"/>
      <c r="CK727" s="347"/>
      <c r="CL727" s="347"/>
      <c r="CM727" s="347"/>
      <c r="CN727" s="347"/>
      <c r="CO727" s="347"/>
      <c r="CP727" s="347"/>
    </row>
    <row r="728">
      <c r="A728" s="574"/>
      <c r="B728" s="574"/>
      <c r="C728" s="347"/>
      <c r="D728" s="574"/>
      <c r="E728" s="347"/>
      <c r="F728" s="596"/>
      <c r="G728" s="596"/>
      <c r="H728" s="347"/>
      <c r="I728" s="347"/>
      <c r="J728" s="596"/>
      <c r="K728" s="609"/>
      <c r="L728" s="1"/>
      <c r="M728" s="347"/>
      <c r="N728" s="347"/>
      <c r="O728" s="579"/>
      <c r="P728" s="579"/>
      <c r="Q728" s="574"/>
      <c r="R728" s="347"/>
      <c r="S728" s="597"/>
      <c r="T728" s="347"/>
      <c r="U728" s="579"/>
      <c r="V728" s="579"/>
      <c r="W728" s="574"/>
      <c r="X728" s="347"/>
      <c r="Y728" s="347"/>
      <c r="Z728" s="347"/>
      <c r="AA728" s="579"/>
      <c r="AB728" s="581"/>
      <c r="AC728" s="347"/>
      <c r="AD728" s="347"/>
      <c r="AE728" s="347"/>
      <c r="AF728" s="347"/>
      <c r="AG728" s="579"/>
      <c r="AH728" s="579"/>
      <c r="AI728" s="582"/>
      <c r="AJ728" s="582"/>
      <c r="AK728" s="582"/>
      <c r="AL728" s="582"/>
      <c r="AM728" s="579"/>
      <c r="AN728" s="579"/>
      <c r="AO728" s="347"/>
      <c r="AP728" s="586"/>
      <c r="AQ728" s="596"/>
      <c r="AR728" s="596"/>
      <c r="AS728" s="348"/>
      <c r="AT728" s="348"/>
      <c r="AU728" s="348"/>
      <c r="AV728" s="348"/>
      <c r="AW728" s="348"/>
      <c r="AX728" s="584"/>
      <c r="AY728" s="581"/>
      <c r="AZ728" s="581"/>
      <c r="BA728" s="596"/>
      <c r="BB728" s="596"/>
      <c r="BC728" s="348"/>
      <c r="BD728" s="581"/>
      <c r="BE728" s="581"/>
      <c r="BF728" s="347"/>
      <c r="BG728" s="347"/>
      <c r="BH728" s="347"/>
      <c r="BI728" s="347"/>
      <c r="BJ728" s="586"/>
      <c r="BK728" s="581"/>
      <c r="BL728" s="347"/>
      <c r="BM728" s="347"/>
      <c r="BN728" s="347"/>
      <c r="BO728" s="586"/>
      <c r="BP728" s="584"/>
      <c r="BQ728" s="347"/>
      <c r="BR728" s="586"/>
      <c r="BS728" s="588"/>
      <c r="BT728" s="586"/>
      <c r="BU728" s="589"/>
      <c r="BV728" s="581">
        <f t="shared" si="44"/>
        <v>0</v>
      </c>
      <c r="BW728" s="590"/>
      <c r="BX728" s="347"/>
      <c r="BY728" s="347"/>
      <c r="BZ728" s="347"/>
      <c r="CA728" s="586"/>
      <c r="CB728" s="581"/>
      <c r="CC728" s="581">
        <f t="shared" si="193"/>
        <v>0</v>
      </c>
      <c r="CD728" s="581"/>
      <c r="CE728" s="581"/>
      <c r="CF728" s="581"/>
      <c r="CG728" s="586"/>
      <c r="CH728" s="608"/>
      <c r="CI728" s="603"/>
      <c r="CJ728" s="347"/>
      <c r="CK728" s="347"/>
      <c r="CL728" s="347"/>
      <c r="CM728" s="347"/>
      <c r="CN728" s="347"/>
      <c r="CO728" s="347"/>
      <c r="CP728" s="347"/>
    </row>
    <row r="729">
      <c r="A729" s="574"/>
      <c r="B729" s="574"/>
      <c r="C729" s="347"/>
      <c r="D729" s="574"/>
      <c r="E729" s="347"/>
      <c r="F729" s="596"/>
      <c r="G729" s="596"/>
      <c r="H729" s="347"/>
      <c r="I729" s="347"/>
      <c r="J729" s="596"/>
      <c r="K729" s="609"/>
      <c r="L729" s="1"/>
      <c r="M729" s="347"/>
      <c r="N729" s="347"/>
      <c r="O729" s="579"/>
      <c r="P729" s="579"/>
      <c r="Q729" s="574"/>
      <c r="R729" s="347"/>
      <c r="S729" s="597"/>
      <c r="T729" s="347"/>
      <c r="U729" s="579"/>
      <c r="V729" s="579"/>
      <c r="W729" s="574"/>
      <c r="X729" s="347"/>
      <c r="Y729" s="347"/>
      <c r="Z729" s="347"/>
      <c r="AA729" s="579"/>
      <c r="AB729" s="581"/>
      <c r="AC729" s="347"/>
      <c r="AD729" s="347"/>
      <c r="AE729" s="347"/>
      <c r="AF729" s="347"/>
      <c r="AG729" s="579"/>
      <c r="AH729" s="579"/>
      <c r="AI729" s="582"/>
      <c r="AJ729" s="582"/>
      <c r="AK729" s="582"/>
      <c r="AL729" s="582"/>
      <c r="AM729" s="579"/>
      <c r="AN729" s="579"/>
      <c r="AO729" s="347"/>
      <c r="AP729" s="586"/>
      <c r="AQ729" s="596"/>
      <c r="AR729" s="596"/>
      <c r="AS729" s="348"/>
      <c r="AT729" s="348"/>
      <c r="AU729" s="348"/>
      <c r="AV729" s="348"/>
      <c r="AW729" s="348"/>
      <c r="AX729" s="584"/>
      <c r="AY729" s="581"/>
      <c r="AZ729" s="581"/>
      <c r="BA729" s="596"/>
      <c r="BB729" s="596"/>
      <c r="BC729" s="348"/>
      <c r="BD729" s="581"/>
      <c r="BE729" s="581"/>
      <c r="BF729" s="347"/>
      <c r="BG729" s="347"/>
      <c r="BH729" s="347"/>
      <c r="BI729" s="347"/>
      <c r="BJ729" s="586"/>
      <c r="BK729" s="581"/>
      <c r="BL729" s="347"/>
      <c r="BM729" s="347"/>
      <c r="BN729" s="347"/>
      <c r="BO729" s="586"/>
      <c r="BP729" s="584"/>
      <c r="BQ729" s="347"/>
      <c r="BR729" s="586"/>
      <c r="BS729" s="588"/>
      <c r="BT729" s="586"/>
      <c r="BU729" s="589"/>
      <c r="BV729" s="581">
        <f t="shared" si="44"/>
        <v>0</v>
      </c>
      <c r="BW729" s="590"/>
      <c r="BX729" s="347"/>
      <c r="BY729" s="347"/>
      <c r="BZ729" s="347"/>
      <c r="CA729" s="586"/>
      <c r="CB729" s="581"/>
      <c r="CC729" s="581">
        <f t="shared" si="193"/>
        <v>0</v>
      </c>
      <c r="CD729" s="581"/>
      <c r="CE729" s="581"/>
      <c r="CF729" s="581"/>
      <c r="CG729" s="586"/>
      <c r="CH729" s="608"/>
      <c r="CI729" s="603"/>
      <c r="CJ729" s="347"/>
      <c r="CK729" s="347"/>
      <c r="CL729" s="347"/>
      <c r="CM729" s="347"/>
      <c r="CN729" s="347"/>
      <c r="CO729" s="347"/>
      <c r="CP729" s="347"/>
    </row>
    <row r="730">
      <c r="A730" s="574"/>
      <c r="B730" s="574"/>
      <c r="C730" s="347"/>
      <c r="D730" s="574"/>
      <c r="E730" s="347"/>
      <c r="F730" s="596"/>
      <c r="G730" s="596"/>
      <c r="H730" s="347"/>
      <c r="I730" s="347"/>
      <c r="J730" s="596"/>
      <c r="K730" s="609"/>
      <c r="L730" s="1"/>
      <c r="M730" s="347"/>
      <c r="N730" s="347"/>
      <c r="O730" s="579"/>
      <c r="P730" s="579"/>
      <c r="Q730" s="574"/>
      <c r="R730" s="347"/>
      <c r="S730" s="597"/>
      <c r="T730" s="347"/>
      <c r="U730" s="579"/>
      <c r="V730" s="579"/>
      <c r="W730" s="574"/>
      <c r="X730" s="347"/>
      <c r="Y730" s="347"/>
      <c r="Z730" s="347"/>
      <c r="AA730" s="579"/>
      <c r="AB730" s="581"/>
      <c r="AC730" s="347"/>
      <c r="AD730" s="347"/>
      <c r="AE730" s="347"/>
      <c r="AF730" s="347"/>
      <c r="AG730" s="579"/>
      <c r="AH730" s="579"/>
      <c r="AI730" s="582"/>
      <c r="AJ730" s="582"/>
      <c r="AK730" s="582"/>
      <c r="AL730" s="582"/>
      <c r="AM730" s="579"/>
      <c r="AN730" s="579"/>
      <c r="AO730" s="347"/>
      <c r="AP730" s="586"/>
      <c r="AQ730" s="596"/>
      <c r="AR730" s="596"/>
      <c r="AS730" s="348"/>
      <c r="AT730" s="348"/>
      <c r="AU730" s="348"/>
      <c r="AV730" s="348"/>
      <c r="AW730" s="348"/>
      <c r="AX730" s="584"/>
      <c r="AY730" s="581"/>
      <c r="AZ730" s="581"/>
      <c r="BA730" s="596"/>
      <c r="BB730" s="596"/>
      <c r="BC730" s="348"/>
      <c r="BD730" s="581"/>
      <c r="BE730" s="581"/>
      <c r="BF730" s="347"/>
      <c r="BG730" s="347"/>
      <c r="BH730" s="347"/>
      <c r="BI730" s="347"/>
      <c r="BJ730" s="586"/>
      <c r="BK730" s="581"/>
      <c r="BL730" s="347"/>
      <c r="BM730" s="347"/>
      <c r="BN730" s="347"/>
      <c r="BO730" s="586"/>
      <c r="BP730" s="584"/>
      <c r="BQ730" s="347"/>
      <c r="BR730" s="586"/>
      <c r="BS730" s="588"/>
      <c r="BT730" s="586"/>
      <c r="BU730" s="589"/>
      <c r="BV730" s="581">
        <f t="shared" si="44"/>
        <v>0</v>
      </c>
      <c r="BW730" s="590"/>
      <c r="BX730" s="347"/>
      <c r="BY730" s="347"/>
      <c r="BZ730" s="347"/>
      <c r="CA730" s="586"/>
      <c r="CB730" s="581"/>
      <c r="CC730" s="581">
        <f t="shared" si="193"/>
        <v>0</v>
      </c>
      <c r="CD730" s="581"/>
      <c r="CE730" s="581"/>
      <c r="CF730" s="581"/>
      <c r="CG730" s="586"/>
      <c r="CH730" s="608"/>
      <c r="CI730" s="603"/>
      <c r="CJ730" s="347"/>
      <c r="CK730" s="347"/>
      <c r="CL730" s="347"/>
      <c r="CM730" s="347"/>
      <c r="CN730" s="347"/>
      <c r="CO730" s="347"/>
      <c r="CP730" s="347"/>
    </row>
    <row r="731">
      <c r="A731" s="574"/>
      <c r="B731" s="574"/>
      <c r="C731" s="347"/>
      <c r="D731" s="574"/>
      <c r="E731" s="347"/>
      <c r="F731" s="596"/>
      <c r="G731" s="596"/>
      <c r="H731" s="347"/>
      <c r="I731" s="347"/>
      <c r="J731" s="596"/>
      <c r="K731" s="609"/>
      <c r="L731" s="1"/>
      <c r="M731" s="347"/>
      <c r="N731" s="347"/>
      <c r="O731" s="579"/>
      <c r="P731" s="579"/>
      <c r="Q731" s="574"/>
      <c r="R731" s="347"/>
      <c r="S731" s="597"/>
      <c r="T731" s="347"/>
      <c r="U731" s="579"/>
      <c r="V731" s="579"/>
      <c r="W731" s="574"/>
      <c r="X731" s="347"/>
      <c r="Y731" s="347"/>
      <c r="Z731" s="347"/>
      <c r="AA731" s="579"/>
      <c r="AB731" s="581"/>
      <c r="AC731" s="347"/>
      <c r="AD731" s="347"/>
      <c r="AE731" s="347"/>
      <c r="AF731" s="347"/>
      <c r="AG731" s="579"/>
      <c r="AH731" s="579"/>
      <c r="AI731" s="582"/>
      <c r="AJ731" s="582"/>
      <c r="AK731" s="582"/>
      <c r="AL731" s="582"/>
      <c r="AM731" s="579"/>
      <c r="AN731" s="579"/>
      <c r="AO731" s="347"/>
      <c r="AP731" s="586"/>
      <c r="AQ731" s="596"/>
      <c r="AR731" s="596"/>
      <c r="AS731" s="348"/>
      <c r="AT731" s="348"/>
      <c r="AU731" s="348"/>
      <c r="AV731" s="348"/>
      <c r="AW731" s="348"/>
      <c r="AX731" s="584"/>
      <c r="AY731" s="581"/>
      <c r="AZ731" s="581"/>
      <c r="BA731" s="596"/>
      <c r="BB731" s="596"/>
      <c r="BC731" s="348"/>
      <c r="BD731" s="581"/>
      <c r="BE731" s="581"/>
      <c r="BF731" s="347"/>
      <c r="BG731" s="347"/>
      <c r="BH731" s="347"/>
      <c r="BI731" s="347"/>
      <c r="BJ731" s="586"/>
      <c r="BK731" s="581"/>
      <c r="BL731" s="347"/>
      <c r="BM731" s="347"/>
      <c r="BN731" s="347"/>
      <c r="BO731" s="586"/>
      <c r="BP731" s="584"/>
      <c r="BQ731" s="347"/>
      <c r="BR731" s="586"/>
      <c r="BS731" s="588"/>
      <c r="BT731" s="586"/>
      <c r="BU731" s="589"/>
      <c r="BV731" s="581">
        <f t="shared" si="44"/>
        <v>0</v>
      </c>
      <c r="BW731" s="590"/>
      <c r="BX731" s="347"/>
      <c r="BY731" s="347"/>
      <c r="BZ731" s="347"/>
      <c r="CA731" s="586"/>
      <c r="CB731" s="581"/>
      <c r="CC731" s="581">
        <f t="shared" si="193"/>
        <v>0</v>
      </c>
      <c r="CD731" s="581"/>
      <c r="CE731" s="581"/>
      <c r="CF731" s="581"/>
      <c r="CG731" s="586"/>
      <c r="CH731" s="608"/>
      <c r="CI731" s="603"/>
      <c r="CJ731" s="347"/>
      <c r="CK731" s="347"/>
      <c r="CL731" s="347"/>
      <c r="CM731" s="347"/>
      <c r="CN731" s="347"/>
      <c r="CO731" s="347"/>
      <c r="CP731" s="347"/>
    </row>
    <row r="732">
      <c r="A732" s="574"/>
      <c r="B732" s="574"/>
      <c r="C732" s="347"/>
      <c r="D732" s="574"/>
      <c r="E732" s="347"/>
      <c r="F732" s="596"/>
      <c r="G732" s="596"/>
      <c r="H732" s="347"/>
      <c r="I732" s="347"/>
      <c r="J732" s="596"/>
      <c r="K732" s="609"/>
      <c r="L732" s="1"/>
      <c r="M732" s="347"/>
      <c r="N732" s="347"/>
      <c r="O732" s="579"/>
      <c r="P732" s="579"/>
      <c r="Q732" s="574"/>
      <c r="R732" s="347"/>
      <c r="S732" s="597"/>
      <c r="T732" s="347"/>
      <c r="U732" s="579"/>
      <c r="V732" s="579"/>
      <c r="W732" s="574"/>
      <c r="X732" s="347"/>
      <c r="Y732" s="347"/>
      <c r="Z732" s="347"/>
      <c r="AA732" s="579"/>
      <c r="AB732" s="581"/>
      <c r="AC732" s="347"/>
      <c r="AD732" s="347"/>
      <c r="AE732" s="347"/>
      <c r="AF732" s="347"/>
      <c r="AG732" s="579"/>
      <c r="AH732" s="579"/>
      <c r="AI732" s="582"/>
      <c r="AJ732" s="582"/>
      <c r="AK732" s="582"/>
      <c r="AL732" s="582"/>
      <c r="AM732" s="579"/>
      <c r="AN732" s="579"/>
      <c r="AO732" s="347"/>
      <c r="AP732" s="586"/>
      <c r="AQ732" s="596"/>
      <c r="AR732" s="596"/>
      <c r="AS732" s="348"/>
      <c r="AT732" s="348"/>
      <c r="AU732" s="348"/>
      <c r="AV732" s="348"/>
      <c r="AW732" s="348"/>
      <c r="AX732" s="584"/>
      <c r="AY732" s="581"/>
      <c r="AZ732" s="581"/>
      <c r="BA732" s="596"/>
      <c r="BB732" s="596"/>
      <c r="BC732" s="348"/>
      <c r="BD732" s="581"/>
      <c r="BE732" s="581"/>
      <c r="BF732" s="347"/>
      <c r="BG732" s="347"/>
      <c r="BH732" s="347"/>
      <c r="BI732" s="347"/>
      <c r="BJ732" s="586"/>
      <c r="BK732" s="581"/>
      <c r="BL732" s="347"/>
      <c r="BM732" s="347"/>
      <c r="BN732" s="347"/>
      <c r="BO732" s="586"/>
      <c r="BP732" s="584"/>
      <c r="BQ732" s="347"/>
      <c r="BR732" s="586"/>
      <c r="BS732" s="588"/>
      <c r="BT732" s="586"/>
      <c r="BU732" s="589"/>
      <c r="BV732" s="581">
        <f t="shared" si="44"/>
        <v>0</v>
      </c>
      <c r="BW732" s="590"/>
      <c r="BX732" s="347"/>
      <c r="BY732" s="347"/>
      <c r="BZ732" s="347"/>
      <c r="CA732" s="586"/>
      <c r="CB732" s="581"/>
      <c r="CC732" s="581">
        <f t="shared" si="193"/>
        <v>0</v>
      </c>
      <c r="CD732" s="581"/>
      <c r="CE732" s="581"/>
      <c r="CF732" s="581"/>
      <c r="CG732" s="586"/>
      <c r="CH732" s="608"/>
      <c r="CI732" s="603"/>
      <c r="CJ732" s="347"/>
      <c r="CK732" s="347"/>
      <c r="CL732" s="347"/>
      <c r="CM732" s="347"/>
      <c r="CN732" s="347"/>
      <c r="CO732" s="347"/>
      <c r="CP732" s="347"/>
    </row>
    <row r="733">
      <c r="A733" s="574"/>
      <c r="B733" s="574"/>
      <c r="C733" s="347"/>
      <c r="D733" s="574"/>
      <c r="E733" s="347"/>
      <c r="F733" s="596"/>
      <c r="G733" s="596"/>
      <c r="H733" s="347"/>
      <c r="I733" s="347"/>
      <c r="J733" s="596"/>
      <c r="K733" s="609"/>
      <c r="L733" s="1"/>
      <c r="M733" s="347"/>
      <c r="N733" s="347"/>
      <c r="O733" s="579"/>
      <c r="P733" s="579"/>
      <c r="Q733" s="574"/>
      <c r="R733" s="347"/>
      <c r="S733" s="597"/>
      <c r="T733" s="347"/>
      <c r="U733" s="579"/>
      <c r="V733" s="579"/>
      <c r="W733" s="574"/>
      <c r="X733" s="347"/>
      <c r="Y733" s="347"/>
      <c r="Z733" s="347"/>
      <c r="AA733" s="579"/>
      <c r="AB733" s="581"/>
      <c r="AC733" s="347"/>
      <c r="AD733" s="347"/>
      <c r="AE733" s="347"/>
      <c r="AF733" s="347"/>
      <c r="AG733" s="579"/>
      <c r="AH733" s="579"/>
      <c r="AI733" s="582"/>
      <c r="AJ733" s="582"/>
      <c r="AK733" s="582"/>
      <c r="AL733" s="582"/>
      <c r="AM733" s="579"/>
      <c r="AN733" s="579"/>
      <c r="AO733" s="347"/>
      <c r="AP733" s="586"/>
      <c r="AQ733" s="596"/>
      <c r="AR733" s="596"/>
      <c r="AS733" s="348"/>
      <c r="AT733" s="348"/>
      <c r="AU733" s="348"/>
      <c r="AV733" s="348"/>
      <c r="AW733" s="348"/>
      <c r="AX733" s="584"/>
      <c r="AY733" s="581"/>
      <c r="AZ733" s="581"/>
      <c r="BA733" s="596"/>
      <c r="BB733" s="596"/>
      <c r="BC733" s="348"/>
      <c r="BD733" s="581"/>
      <c r="BE733" s="581"/>
      <c r="BF733" s="347"/>
      <c r="BG733" s="347"/>
      <c r="BH733" s="347"/>
      <c r="BI733" s="347"/>
      <c r="BJ733" s="586"/>
      <c r="BK733" s="581"/>
      <c r="BL733" s="347"/>
      <c r="BM733" s="347"/>
      <c r="BN733" s="347"/>
      <c r="BO733" s="586"/>
      <c r="BP733" s="584"/>
      <c r="BQ733" s="347"/>
      <c r="BR733" s="586"/>
      <c r="BS733" s="588"/>
      <c r="BT733" s="586"/>
      <c r="BU733" s="589"/>
      <c r="BV733" s="581">
        <f t="shared" si="44"/>
        <v>0</v>
      </c>
      <c r="BW733" s="590"/>
      <c r="BX733" s="347"/>
      <c r="BY733" s="347"/>
      <c r="BZ733" s="347"/>
      <c r="CA733" s="586"/>
      <c r="CB733" s="581"/>
      <c r="CC733" s="581">
        <f t="shared" si="193"/>
        <v>0</v>
      </c>
      <c r="CD733" s="581"/>
      <c r="CE733" s="581"/>
      <c r="CF733" s="581"/>
      <c r="CG733" s="586"/>
      <c r="CH733" s="608"/>
      <c r="CI733" s="603"/>
      <c r="CJ733" s="347"/>
      <c r="CK733" s="347"/>
      <c r="CL733" s="347"/>
      <c r="CM733" s="347"/>
      <c r="CN733" s="347"/>
      <c r="CO733" s="347"/>
      <c r="CP733" s="347"/>
    </row>
    <row r="734">
      <c r="A734" s="574"/>
      <c r="B734" s="574"/>
      <c r="C734" s="347"/>
      <c r="D734" s="574"/>
      <c r="E734" s="347"/>
      <c r="F734" s="596"/>
      <c r="G734" s="596"/>
      <c r="H734" s="347"/>
      <c r="I734" s="347"/>
      <c r="J734" s="596"/>
      <c r="K734" s="609"/>
      <c r="L734" s="1"/>
      <c r="M734" s="347"/>
      <c r="N734" s="347"/>
      <c r="O734" s="579"/>
      <c r="P734" s="579"/>
      <c r="Q734" s="574"/>
      <c r="R734" s="347"/>
      <c r="S734" s="597"/>
      <c r="T734" s="347"/>
      <c r="U734" s="579"/>
      <c r="V734" s="579"/>
      <c r="W734" s="574"/>
      <c r="X734" s="347"/>
      <c r="Y734" s="347"/>
      <c r="Z734" s="347"/>
      <c r="AA734" s="579"/>
      <c r="AB734" s="581"/>
      <c r="AC734" s="347"/>
      <c r="AD734" s="347"/>
      <c r="AE734" s="347"/>
      <c r="AF734" s="347"/>
      <c r="AG734" s="579"/>
      <c r="AH734" s="579"/>
      <c r="AI734" s="582"/>
      <c r="AJ734" s="582"/>
      <c r="AK734" s="582"/>
      <c r="AL734" s="582"/>
      <c r="AM734" s="579"/>
      <c r="AN734" s="579"/>
      <c r="AO734" s="347"/>
      <c r="AP734" s="586"/>
      <c r="AQ734" s="596"/>
      <c r="AR734" s="596"/>
      <c r="AS734" s="348"/>
      <c r="AT734" s="348"/>
      <c r="AU734" s="348"/>
      <c r="AV734" s="348"/>
      <c r="AW734" s="348"/>
      <c r="AX734" s="584"/>
      <c r="AY734" s="581"/>
      <c r="AZ734" s="581"/>
      <c r="BA734" s="596"/>
      <c r="BB734" s="596"/>
      <c r="BC734" s="348"/>
      <c r="BD734" s="581"/>
      <c r="BE734" s="581"/>
      <c r="BF734" s="347"/>
      <c r="BG734" s="347"/>
      <c r="BH734" s="347"/>
      <c r="BI734" s="347"/>
      <c r="BJ734" s="586"/>
      <c r="BK734" s="581"/>
      <c r="BL734" s="347"/>
      <c r="BM734" s="347"/>
      <c r="BN734" s="347"/>
      <c r="BO734" s="586"/>
      <c r="BP734" s="584"/>
      <c r="BQ734" s="347"/>
      <c r="BR734" s="586"/>
      <c r="BS734" s="588"/>
      <c r="BT734" s="586"/>
      <c r="BU734" s="589"/>
      <c r="BV734" s="581">
        <f t="shared" si="44"/>
        <v>0</v>
      </c>
      <c r="BW734" s="590"/>
      <c r="BX734" s="347"/>
      <c r="BY734" s="347"/>
      <c r="BZ734" s="347"/>
      <c r="CA734" s="586"/>
      <c r="CB734" s="581"/>
      <c r="CC734" s="581">
        <f t="shared" si="193"/>
        <v>0</v>
      </c>
      <c r="CD734" s="581"/>
      <c r="CE734" s="581"/>
      <c r="CF734" s="581"/>
      <c r="CG734" s="586"/>
      <c r="CH734" s="608"/>
      <c r="CI734" s="603"/>
      <c r="CJ734" s="347"/>
      <c r="CK734" s="347"/>
      <c r="CL734" s="347"/>
      <c r="CM734" s="347"/>
      <c r="CN734" s="347"/>
      <c r="CO734" s="347"/>
      <c r="CP734" s="347"/>
    </row>
    <row r="735">
      <c r="A735" s="574"/>
      <c r="B735" s="574"/>
      <c r="C735" s="347"/>
      <c r="D735" s="574"/>
      <c r="E735" s="347"/>
      <c r="F735" s="596"/>
      <c r="G735" s="596"/>
      <c r="H735" s="347"/>
      <c r="I735" s="347"/>
      <c r="J735" s="596"/>
      <c r="K735" s="609"/>
      <c r="L735" s="1"/>
      <c r="M735" s="347"/>
      <c r="N735" s="347"/>
      <c r="O735" s="579"/>
      <c r="P735" s="579"/>
      <c r="Q735" s="574"/>
      <c r="R735" s="347"/>
      <c r="S735" s="597"/>
      <c r="T735" s="347"/>
      <c r="U735" s="579"/>
      <c r="V735" s="579"/>
      <c r="W735" s="574"/>
      <c r="X735" s="347"/>
      <c r="Y735" s="347"/>
      <c r="Z735" s="347"/>
      <c r="AA735" s="579"/>
      <c r="AB735" s="581"/>
      <c r="AC735" s="347"/>
      <c r="AD735" s="347"/>
      <c r="AE735" s="347"/>
      <c r="AF735" s="347"/>
      <c r="AG735" s="579"/>
      <c r="AH735" s="579"/>
      <c r="AI735" s="582"/>
      <c r="AJ735" s="582"/>
      <c r="AK735" s="582"/>
      <c r="AL735" s="582"/>
      <c r="AM735" s="579"/>
      <c r="AN735" s="579"/>
      <c r="AO735" s="347"/>
      <c r="AP735" s="586"/>
      <c r="AQ735" s="596"/>
      <c r="AR735" s="596"/>
      <c r="AS735" s="348"/>
      <c r="AT735" s="348"/>
      <c r="AU735" s="348"/>
      <c r="AV735" s="348"/>
      <c r="AW735" s="348"/>
      <c r="AX735" s="584"/>
      <c r="AY735" s="581"/>
      <c r="AZ735" s="581"/>
      <c r="BA735" s="596"/>
      <c r="BB735" s="596"/>
      <c r="BC735" s="348"/>
      <c r="BD735" s="581"/>
      <c r="BE735" s="581"/>
      <c r="BF735" s="347"/>
      <c r="BG735" s="347"/>
      <c r="BH735" s="347"/>
      <c r="BI735" s="347"/>
      <c r="BJ735" s="586"/>
      <c r="BK735" s="581"/>
      <c r="BL735" s="347"/>
      <c r="BM735" s="347"/>
      <c r="BN735" s="347"/>
      <c r="BO735" s="586"/>
      <c r="BP735" s="584"/>
      <c r="BQ735" s="347"/>
      <c r="BR735" s="586"/>
      <c r="BS735" s="588"/>
      <c r="BT735" s="586"/>
      <c r="BU735" s="589"/>
      <c r="BV735" s="581">
        <f t="shared" si="44"/>
        <v>0</v>
      </c>
      <c r="BW735" s="590"/>
      <c r="BX735" s="347"/>
      <c r="BY735" s="347"/>
      <c r="BZ735" s="347"/>
      <c r="CA735" s="586"/>
      <c r="CB735" s="581"/>
      <c r="CC735" s="581">
        <f t="shared" si="193"/>
        <v>0</v>
      </c>
      <c r="CD735" s="581"/>
      <c r="CE735" s="581"/>
      <c r="CF735" s="581"/>
      <c r="CG735" s="586"/>
      <c r="CH735" s="608"/>
      <c r="CI735" s="603"/>
      <c r="CJ735" s="347"/>
      <c r="CK735" s="347"/>
      <c r="CL735" s="347"/>
      <c r="CM735" s="347"/>
      <c r="CN735" s="347"/>
      <c r="CO735" s="347"/>
      <c r="CP735" s="347"/>
    </row>
    <row r="736">
      <c r="A736" s="574"/>
      <c r="B736" s="574"/>
      <c r="C736" s="347"/>
      <c r="D736" s="574"/>
      <c r="E736" s="347"/>
      <c r="F736" s="596"/>
      <c r="G736" s="596"/>
      <c r="H736" s="347"/>
      <c r="I736" s="347"/>
      <c r="J736" s="596"/>
      <c r="K736" s="609"/>
      <c r="L736" s="1"/>
      <c r="M736" s="347"/>
      <c r="N736" s="347"/>
      <c r="O736" s="579"/>
      <c r="P736" s="579"/>
      <c r="Q736" s="574"/>
      <c r="R736" s="347"/>
      <c r="S736" s="597"/>
      <c r="T736" s="347"/>
      <c r="U736" s="579"/>
      <c r="V736" s="579"/>
      <c r="W736" s="574"/>
      <c r="X736" s="347"/>
      <c r="Y736" s="347"/>
      <c r="Z736" s="347"/>
      <c r="AA736" s="579"/>
      <c r="AB736" s="581"/>
      <c r="AC736" s="347"/>
      <c r="AD736" s="347"/>
      <c r="AE736" s="347"/>
      <c r="AF736" s="347"/>
      <c r="AG736" s="579"/>
      <c r="AH736" s="579"/>
      <c r="AI736" s="582"/>
      <c r="AJ736" s="582"/>
      <c r="AK736" s="582"/>
      <c r="AL736" s="582"/>
      <c r="AM736" s="579"/>
      <c r="AN736" s="579"/>
      <c r="AO736" s="347"/>
      <c r="AP736" s="586"/>
      <c r="AQ736" s="596"/>
      <c r="AR736" s="596"/>
      <c r="AS736" s="348"/>
      <c r="AT736" s="348"/>
      <c r="AU736" s="348"/>
      <c r="AV736" s="348"/>
      <c r="AW736" s="348"/>
      <c r="AX736" s="584"/>
      <c r="AY736" s="581"/>
      <c r="AZ736" s="581"/>
      <c r="BA736" s="596"/>
      <c r="BB736" s="596"/>
      <c r="BC736" s="348"/>
      <c r="BD736" s="581"/>
      <c r="BE736" s="581"/>
      <c r="BF736" s="347"/>
      <c r="BG736" s="347"/>
      <c r="BH736" s="347"/>
      <c r="BI736" s="347"/>
      <c r="BJ736" s="586"/>
      <c r="BK736" s="581"/>
      <c r="BL736" s="347"/>
      <c r="BM736" s="347"/>
      <c r="BN736" s="347"/>
      <c r="BO736" s="586"/>
      <c r="BP736" s="584"/>
      <c r="BQ736" s="347"/>
      <c r="BR736" s="586"/>
      <c r="BS736" s="588"/>
      <c r="BT736" s="586"/>
      <c r="BU736" s="589"/>
      <c r="BV736" s="581">
        <f t="shared" si="44"/>
        <v>0</v>
      </c>
      <c r="BW736" s="590"/>
      <c r="BX736" s="347"/>
      <c r="BY736" s="347"/>
      <c r="BZ736" s="347"/>
      <c r="CA736" s="586"/>
      <c r="CB736" s="581"/>
      <c r="CC736" s="581">
        <f t="shared" si="193"/>
        <v>0</v>
      </c>
      <c r="CD736" s="581"/>
      <c r="CE736" s="581"/>
      <c r="CF736" s="581"/>
      <c r="CG736" s="586"/>
      <c r="CH736" s="608"/>
      <c r="CI736" s="603"/>
      <c r="CJ736" s="347"/>
      <c r="CK736" s="347"/>
      <c r="CL736" s="347"/>
      <c r="CM736" s="347"/>
      <c r="CN736" s="347"/>
      <c r="CO736" s="347"/>
      <c r="CP736" s="347"/>
    </row>
    <row r="737">
      <c r="A737" s="574"/>
      <c r="B737" s="574"/>
      <c r="C737" s="347"/>
      <c r="D737" s="574"/>
      <c r="E737" s="347"/>
      <c r="F737" s="596"/>
      <c r="G737" s="596"/>
      <c r="H737" s="347"/>
      <c r="I737" s="347"/>
      <c r="J737" s="596"/>
      <c r="K737" s="609"/>
      <c r="L737" s="1"/>
      <c r="M737" s="347"/>
      <c r="N737" s="347"/>
      <c r="O737" s="579"/>
      <c r="P737" s="579"/>
      <c r="Q737" s="574"/>
      <c r="R737" s="347"/>
      <c r="S737" s="597"/>
      <c r="T737" s="347"/>
      <c r="U737" s="579"/>
      <c r="V737" s="579"/>
      <c r="W737" s="574"/>
      <c r="X737" s="347"/>
      <c r="Y737" s="347"/>
      <c r="Z737" s="347"/>
      <c r="AA737" s="579"/>
      <c r="AB737" s="581"/>
      <c r="AC737" s="347"/>
      <c r="AD737" s="347"/>
      <c r="AE737" s="347"/>
      <c r="AF737" s="347"/>
      <c r="AG737" s="579"/>
      <c r="AH737" s="579"/>
      <c r="AI737" s="582"/>
      <c r="AJ737" s="582"/>
      <c r="AK737" s="582"/>
      <c r="AL737" s="582"/>
      <c r="AM737" s="579"/>
      <c r="AN737" s="579"/>
      <c r="AO737" s="347"/>
      <c r="AP737" s="586"/>
      <c r="AQ737" s="596"/>
      <c r="AR737" s="596"/>
      <c r="AS737" s="348"/>
      <c r="AT737" s="348"/>
      <c r="AU737" s="348"/>
      <c r="AV737" s="348"/>
      <c r="AW737" s="348"/>
      <c r="AX737" s="584"/>
      <c r="AY737" s="581"/>
      <c r="AZ737" s="581"/>
      <c r="BA737" s="596"/>
      <c r="BB737" s="596"/>
      <c r="BC737" s="348"/>
      <c r="BD737" s="581"/>
      <c r="BE737" s="581"/>
      <c r="BF737" s="347"/>
      <c r="BG737" s="347"/>
      <c r="BH737" s="347"/>
      <c r="BI737" s="347"/>
      <c r="BJ737" s="586"/>
      <c r="BK737" s="581"/>
      <c r="BL737" s="347"/>
      <c r="BM737" s="347"/>
      <c r="BN737" s="347"/>
      <c r="BO737" s="586"/>
      <c r="BP737" s="584"/>
      <c r="BQ737" s="347"/>
      <c r="BR737" s="586"/>
      <c r="BS737" s="588"/>
      <c r="BT737" s="586"/>
      <c r="BU737" s="589"/>
      <c r="BV737" s="581">
        <f t="shared" si="44"/>
        <v>0</v>
      </c>
      <c r="BW737" s="590"/>
      <c r="BX737" s="347"/>
      <c r="BY737" s="347"/>
      <c r="BZ737" s="347"/>
      <c r="CA737" s="586"/>
      <c r="CB737" s="581"/>
      <c r="CC737" s="581">
        <f t="shared" si="193"/>
        <v>0</v>
      </c>
      <c r="CD737" s="581"/>
      <c r="CE737" s="581"/>
      <c r="CF737" s="581"/>
      <c r="CG737" s="586"/>
      <c r="CH737" s="608"/>
      <c r="CI737" s="603"/>
      <c r="CJ737" s="347"/>
      <c r="CK737" s="347"/>
      <c r="CL737" s="347"/>
      <c r="CM737" s="347"/>
      <c r="CN737" s="347"/>
      <c r="CO737" s="347"/>
      <c r="CP737" s="347"/>
    </row>
    <row r="738">
      <c r="A738" s="574"/>
      <c r="B738" s="574"/>
      <c r="C738" s="347"/>
      <c r="D738" s="574"/>
      <c r="E738" s="347"/>
      <c r="F738" s="596"/>
      <c r="G738" s="596"/>
      <c r="H738" s="347"/>
      <c r="I738" s="347"/>
      <c r="J738" s="596"/>
      <c r="K738" s="609"/>
      <c r="L738" s="1"/>
      <c r="M738" s="347"/>
      <c r="N738" s="347"/>
      <c r="O738" s="579"/>
      <c r="P738" s="579"/>
      <c r="Q738" s="574"/>
      <c r="R738" s="347"/>
      <c r="S738" s="597"/>
      <c r="T738" s="347"/>
      <c r="U738" s="579"/>
      <c r="V738" s="579"/>
      <c r="W738" s="574"/>
      <c r="X738" s="347"/>
      <c r="Y738" s="347"/>
      <c r="Z738" s="347"/>
      <c r="AA738" s="579"/>
      <c r="AB738" s="581"/>
      <c r="AC738" s="347"/>
      <c r="AD738" s="347"/>
      <c r="AE738" s="347"/>
      <c r="AF738" s="347"/>
      <c r="AG738" s="579"/>
      <c r="AH738" s="579"/>
      <c r="AI738" s="582"/>
      <c r="AJ738" s="582"/>
      <c r="AK738" s="582"/>
      <c r="AL738" s="582"/>
      <c r="AM738" s="579"/>
      <c r="AN738" s="579"/>
      <c r="AO738" s="347"/>
      <c r="AP738" s="586"/>
      <c r="AQ738" s="596"/>
      <c r="AR738" s="596"/>
      <c r="AS738" s="348"/>
      <c r="AT738" s="348"/>
      <c r="AU738" s="348"/>
      <c r="AV738" s="348"/>
      <c r="AW738" s="348"/>
      <c r="AX738" s="584"/>
      <c r="AY738" s="581"/>
      <c r="AZ738" s="581"/>
      <c r="BA738" s="596"/>
      <c r="BB738" s="596"/>
      <c r="BC738" s="348"/>
      <c r="BD738" s="581"/>
      <c r="BE738" s="581"/>
      <c r="BF738" s="347"/>
      <c r="BG738" s="347"/>
      <c r="BH738" s="347"/>
      <c r="BI738" s="347"/>
      <c r="BJ738" s="586"/>
      <c r="BK738" s="581"/>
      <c r="BL738" s="347"/>
      <c r="BM738" s="347"/>
      <c r="BN738" s="347"/>
      <c r="BO738" s="586"/>
      <c r="BP738" s="584"/>
      <c r="BQ738" s="347"/>
      <c r="BR738" s="586"/>
      <c r="BS738" s="588"/>
      <c r="BT738" s="586"/>
      <c r="BU738" s="589"/>
      <c r="BV738" s="581">
        <f t="shared" si="44"/>
        <v>0</v>
      </c>
      <c r="BW738" s="590"/>
      <c r="BX738" s="347"/>
      <c r="BY738" s="347"/>
      <c r="BZ738" s="347"/>
      <c r="CA738" s="586"/>
      <c r="CB738" s="581"/>
      <c r="CC738" s="581">
        <f t="shared" si="193"/>
        <v>0</v>
      </c>
      <c r="CD738" s="581"/>
      <c r="CE738" s="581"/>
      <c r="CF738" s="581"/>
      <c r="CG738" s="586"/>
      <c r="CH738" s="608"/>
      <c r="CI738" s="603"/>
      <c r="CJ738" s="347"/>
      <c r="CK738" s="347"/>
      <c r="CL738" s="347"/>
      <c r="CM738" s="347"/>
      <c r="CN738" s="347"/>
      <c r="CO738" s="347"/>
      <c r="CP738" s="347"/>
    </row>
    <row r="739">
      <c r="A739" s="574"/>
      <c r="B739" s="574"/>
      <c r="C739" s="347"/>
      <c r="D739" s="574"/>
      <c r="E739" s="347"/>
      <c r="F739" s="596"/>
      <c r="G739" s="596"/>
      <c r="H739" s="347"/>
      <c r="I739" s="347"/>
      <c r="J739" s="596"/>
      <c r="K739" s="609"/>
      <c r="L739" s="1"/>
      <c r="M739" s="347"/>
      <c r="N739" s="347"/>
      <c r="O739" s="579"/>
      <c r="P739" s="579"/>
      <c r="Q739" s="574"/>
      <c r="R739" s="347"/>
      <c r="S739" s="597"/>
      <c r="T739" s="347"/>
      <c r="U739" s="579"/>
      <c r="V739" s="579"/>
      <c r="W739" s="574"/>
      <c r="X739" s="347"/>
      <c r="Y739" s="347"/>
      <c r="Z739" s="347"/>
      <c r="AA739" s="579"/>
      <c r="AB739" s="581"/>
      <c r="AC739" s="347"/>
      <c r="AD739" s="347"/>
      <c r="AE739" s="347"/>
      <c r="AF739" s="347"/>
      <c r="AG739" s="579"/>
      <c r="AH739" s="579"/>
      <c r="AI739" s="582"/>
      <c r="AJ739" s="582"/>
      <c r="AK739" s="582"/>
      <c r="AL739" s="582"/>
      <c r="AM739" s="579"/>
      <c r="AN739" s="579"/>
      <c r="AO739" s="347"/>
      <c r="AP739" s="586"/>
      <c r="AQ739" s="596"/>
      <c r="AR739" s="596"/>
      <c r="AS739" s="348"/>
      <c r="AT739" s="348"/>
      <c r="AU739" s="348"/>
      <c r="AV739" s="348"/>
      <c r="AW739" s="348"/>
      <c r="AX739" s="584"/>
      <c r="AY739" s="581"/>
      <c r="AZ739" s="581"/>
      <c r="BA739" s="596"/>
      <c r="BB739" s="596"/>
      <c r="BC739" s="348"/>
      <c r="BD739" s="581"/>
      <c r="BE739" s="581"/>
      <c r="BF739" s="347"/>
      <c r="BG739" s="347"/>
      <c r="BH739" s="347"/>
      <c r="BI739" s="347"/>
      <c r="BJ739" s="586"/>
      <c r="BK739" s="581"/>
      <c r="BL739" s="347"/>
      <c r="BM739" s="347"/>
      <c r="BN739" s="347"/>
      <c r="BO739" s="586"/>
      <c r="BP739" s="584"/>
      <c r="BQ739" s="347"/>
      <c r="BR739" s="586"/>
      <c r="BS739" s="588"/>
      <c r="BT739" s="586"/>
      <c r="BU739" s="589"/>
      <c r="BV739" s="581">
        <f t="shared" si="44"/>
        <v>0</v>
      </c>
      <c r="BW739" s="590"/>
      <c r="BX739" s="347"/>
      <c r="BY739" s="347"/>
      <c r="BZ739" s="347"/>
      <c r="CA739" s="586"/>
      <c r="CB739" s="581"/>
      <c r="CC739" s="581">
        <f t="shared" si="193"/>
        <v>0</v>
      </c>
      <c r="CD739" s="581"/>
      <c r="CE739" s="581"/>
      <c r="CF739" s="581"/>
      <c r="CG739" s="586"/>
      <c r="CH739" s="608"/>
      <c r="CI739" s="603"/>
      <c r="CJ739" s="347"/>
      <c r="CK739" s="347"/>
      <c r="CL739" s="347"/>
      <c r="CM739" s="347"/>
      <c r="CN739" s="347"/>
      <c r="CO739" s="347"/>
      <c r="CP739" s="347"/>
    </row>
    <row r="740">
      <c r="A740" s="574"/>
      <c r="B740" s="574"/>
      <c r="C740" s="347"/>
      <c r="D740" s="574"/>
      <c r="E740" s="347"/>
      <c r="F740" s="596"/>
      <c r="G740" s="596"/>
      <c r="H740" s="347"/>
      <c r="I740" s="347"/>
      <c r="J740" s="596"/>
      <c r="K740" s="609"/>
      <c r="L740" s="1"/>
      <c r="M740" s="347"/>
      <c r="N740" s="347"/>
      <c r="O740" s="579"/>
      <c r="P740" s="579"/>
      <c r="Q740" s="574"/>
      <c r="R740" s="347"/>
      <c r="S740" s="597"/>
      <c r="T740" s="347"/>
      <c r="U740" s="579"/>
      <c r="V740" s="579"/>
      <c r="W740" s="574"/>
      <c r="X740" s="347"/>
      <c r="Y740" s="347"/>
      <c r="Z740" s="347"/>
      <c r="AA740" s="579"/>
      <c r="AB740" s="581"/>
      <c r="AC740" s="347"/>
      <c r="AD740" s="347"/>
      <c r="AE740" s="347"/>
      <c r="AF740" s="347"/>
      <c r="AG740" s="579"/>
      <c r="AH740" s="579"/>
      <c r="AI740" s="582"/>
      <c r="AJ740" s="582"/>
      <c r="AK740" s="582"/>
      <c r="AL740" s="582"/>
      <c r="AM740" s="579"/>
      <c r="AN740" s="579"/>
      <c r="AO740" s="347"/>
      <c r="AP740" s="586"/>
      <c r="AQ740" s="596"/>
      <c r="AR740" s="596"/>
      <c r="AS740" s="348"/>
      <c r="AT740" s="348"/>
      <c r="AU740" s="348"/>
      <c r="AV740" s="348"/>
      <c r="AW740" s="348"/>
      <c r="AX740" s="584"/>
      <c r="AY740" s="581"/>
      <c r="AZ740" s="581"/>
      <c r="BA740" s="596"/>
      <c r="BB740" s="596"/>
      <c r="BC740" s="348"/>
      <c r="BD740" s="581"/>
      <c r="BE740" s="581"/>
      <c r="BF740" s="347"/>
      <c r="BG740" s="347"/>
      <c r="BH740" s="347"/>
      <c r="BI740" s="347"/>
      <c r="BJ740" s="586"/>
      <c r="BK740" s="581"/>
      <c r="BL740" s="347"/>
      <c r="BM740" s="347"/>
      <c r="BN740" s="347"/>
      <c r="BO740" s="586"/>
      <c r="BP740" s="584"/>
      <c r="BQ740" s="347"/>
      <c r="BR740" s="586"/>
      <c r="BS740" s="588"/>
      <c r="BT740" s="586"/>
      <c r="BU740" s="589"/>
      <c r="BV740" s="581">
        <f t="shared" si="44"/>
        <v>0</v>
      </c>
      <c r="BW740" s="590"/>
      <c r="BX740" s="347"/>
      <c r="BY740" s="347"/>
      <c r="BZ740" s="347"/>
      <c r="CA740" s="586"/>
      <c r="CB740" s="581"/>
      <c r="CC740" s="581">
        <f t="shared" si="193"/>
        <v>0</v>
      </c>
      <c r="CD740" s="581"/>
      <c r="CE740" s="581"/>
      <c r="CF740" s="581"/>
      <c r="CG740" s="586"/>
      <c r="CH740" s="608"/>
      <c r="CI740" s="603"/>
      <c r="CJ740" s="347"/>
      <c r="CK740" s="347"/>
      <c r="CL740" s="347"/>
      <c r="CM740" s="347"/>
      <c r="CN740" s="347"/>
      <c r="CO740" s="347"/>
      <c r="CP740" s="347"/>
    </row>
    <row r="741">
      <c r="A741" s="574"/>
      <c r="B741" s="574"/>
      <c r="C741" s="347"/>
      <c r="D741" s="574"/>
      <c r="E741" s="347"/>
      <c r="F741" s="596"/>
      <c r="G741" s="596"/>
      <c r="H741" s="347"/>
      <c r="I741" s="347"/>
      <c r="J741" s="596"/>
      <c r="K741" s="609"/>
      <c r="L741" s="1"/>
      <c r="M741" s="347"/>
      <c r="N741" s="347"/>
      <c r="O741" s="579"/>
      <c r="P741" s="579"/>
      <c r="Q741" s="574"/>
      <c r="R741" s="347"/>
      <c r="S741" s="597"/>
      <c r="T741" s="347"/>
      <c r="U741" s="579"/>
      <c r="V741" s="579"/>
      <c r="W741" s="574"/>
      <c r="X741" s="347"/>
      <c r="Y741" s="347"/>
      <c r="Z741" s="347"/>
      <c r="AA741" s="579"/>
      <c r="AB741" s="581"/>
      <c r="AC741" s="347"/>
      <c r="AD741" s="347"/>
      <c r="AE741" s="347"/>
      <c r="AF741" s="347"/>
      <c r="AG741" s="579"/>
      <c r="AH741" s="579"/>
      <c r="AI741" s="582"/>
      <c r="AJ741" s="582"/>
      <c r="AK741" s="582"/>
      <c r="AL741" s="582"/>
      <c r="AM741" s="579"/>
      <c r="AN741" s="579"/>
      <c r="AO741" s="347"/>
      <c r="AP741" s="586"/>
      <c r="AQ741" s="596"/>
      <c r="AR741" s="596"/>
      <c r="AS741" s="348"/>
      <c r="AT741" s="348"/>
      <c r="AU741" s="348"/>
      <c r="AV741" s="348"/>
      <c r="AW741" s="348"/>
      <c r="AX741" s="584"/>
      <c r="AY741" s="581"/>
      <c r="AZ741" s="581"/>
      <c r="BA741" s="596"/>
      <c r="BB741" s="596"/>
      <c r="BC741" s="348"/>
      <c r="BD741" s="581"/>
      <c r="BE741" s="581"/>
      <c r="BF741" s="347"/>
      <c r="BG741" s="347"/>
      <c r="BH741" s="347"/>
      <c r="BI741" s="347"/>
      <c r="BJ741" s="586"/>
      <c r="BK741" s="581"/>
      <c r="BL741" s="347"/>
      <c r="BM741" s="347"/>
      <c r="BN741" s="347"/>
      <c r="BO741" s="586"/>
      <c r="BP741" s="584"/>
      <c r="BQ741" s="347"/>
      <c r="BR741" s="586"/>
      <c r="BS741" s="588"/>
      <c r="BT741" s="586"/>
      <c r="BU741" s="589"/>
      <c r="BV741" s="581">
        <f t="shared" si="44"/>
        <v>0</v>
      </c>
      <c r="BW741" s="590"/>
      <c r="BX741" s="347"/>
      <c r="BY741" s="347"/>
      <c r="BZ741" s="347"/>
      <c r="CA741" s="586"/>
      <c r="CB741" s="581"/>
      <c r="CC741" s="581">
        <f t="shared" si="193"/>
        <v>0</v>
      </c>
      <c r="CD741" s="581"/>
      <c r="CE741" s="581"/>
      <c r="CF741" s="581"/>
      <c r="CG741" s="586"/>
      <c r="CH741" s="608"/>
      <c r="CI741" s="603"/>
      <c r="CJ741" s="347"/>
      <c r="CK741" s="347"/>
      <c r="CL741" s="347"/>
      <c r="CM741" s="347"/>
      <c r="CN741" s="347"/>
      <c r="CO741" s="347"/>
      <c r="CP741" s="347"/>
    </row>
    <row r="742">
      <c r="A742" s="574"/>
      <c r="B742" s="574"/>
      <c r="C742" s="347"/>
      <c r="D742" s="574"/>
      <c r="E742" s="347"/>
      <c r="F742" s="596"/>
      <c r="G742" s="596"/>
      <c r="H742" s="347"/>
      <c r="I742" s="347"/>
      <c r="J742" s="596"/>
      <c r="K742" s="609"/>
      <c r="L742" s="1"/>
      <c r="M742" s="347"/>
      <c r="N742" s="347"/>
      <c r="O742" s="579"/>
      <c r="P742" s="579"/>
      <c r="Q742" s="574"/>
      <c r="R742" s="347"/>
      <c r="S742" s="597"/>
      <c r="T742" s="347"/>
      <c r="U742" s="579"/>
      <c r="V742" s="579"/>
      <c r="W742" s="574"/>
      <c r="X742" s="347"/>
      <c r="Y742" s="347"/>
      <c r="Z742" s="347"/>
      <c r="AA742" s="579"/>
      <c r="AB742" s="581"/>
      <c r="AC742" s="347"/>
      <c r="AD742" s="347"/>
      <c r="AE742" s="347"/>
      <c r="AF742" s="347"/>
      <c r="AG742" s="579"/>
      <c r="AH742" s="579"/>
      <c r="AI742" s="582"/>
      <c r="AJ742" s="582"/>
      <c r="AK742" s="582"/>
      <c r="AL742" s="582"/>
      <c r="AM742" s="579"/>
      <c r="AN742" s="579"/>
      <c r="AO742" s="347"/>
      <c r="AP742" s="586"/>
      <c r="AQ742" s="596"/>
      <c r="AR742" s="596"/>
      <c r="AS742" s="348"/>
      <c r="AT742" s="348"/>
      <c r="AU742" s="348"/>
      <c r="AV742" s="348"/>
      <c r="AW742" s="348"/>
      <c r="AX742" s="584"/>
      <c r="AY742" s="581"/>
      <c r="AZ742" s="581"/>
      <c r="BA742" s="596"/>
      <c r="BB742" s="596"/>
      <c r="BC742" s="348"/>
      <c r="BD742" s="581"/>
      <c r="BE742" s="581"/>
      <c r="BF742" s="347"/>
      <c r="BG742" s="347"/>
      <c r="BH742" s="347"/>
      <c r="BI742" s="347"/>
      <c r="BJ742" s="586"/>
      <c r="BK742" s="581"/>
      <c r="BL742" s="347"/>
      <c r="BM742" s="347"/>
      <c r="BN742" s="347"/>
      <c r="BO742" s="586"/>
      <c r="BP742" s="584"/>
      <c r="BQ742" s="347"/>
      <c r="BR742" s="586"/>
      <c r="BS742" s="588"/>
      <c r="BT742" s="586"/>
      <c r="BU742" s="589"/>
      <c r="BV742" s="581">
        <f t="shared" si="44"/>
        <v>0</v>
      </c>
      <c r="BW742" s="590"/>
      <c r="BX742" s="347"/>
      <c r="BY742" s="347"/>
      <c r="BZ742" s="347"/>
      <c r="CA742" s="586"/>
      <c r="CB742" s="581"/>
      <c r="CC742" s="581">
        <f t="shared" si="193"/>
        <v>0</v>
      </c>
      <c r="CD742" s="581"/>
      <c r="CE742" s="581"/>
      <c r="CF742" s="581"/>
      <c r="CG742" s="586"/>
      <c r="CH742" s="608"/>
      <c r="CI742" s="603"/>
      <c r="CJ742" s="347"/>
      <c r="CK742" s="347"/>
      <c r="CL742" s="347"/>
      <c r="CM742" s="347"/>
      <c r="CN742" s="347"/>
      <c r="CO742" s="347"/>
      <c r="CP742" s="347"/>
    </row>
    <row r="743">
      <c r="A743" s="574"/>
      <c r="B743" s="574"/>
      <c r="C743" s="347"/>
      <c r="D743" s="574"/>
      <c r="E743" s="347"/>
      <c r="F743" s="596"/>
      <c r="G743" s="596"/>
      <c r="H743" s="347"/>
      <c r="I743" s="347"/>
      <c r="J743" s="596"/>
      <c r="K743" s="609"/>
      <c r="L743" s="1"/>
      <c r="M743" s="347"/>
      <c r="N743" s="347"/>
      <c r="O743" s="579"/>
      <c r="P743" s="579"/>
      <c r="Q743" s="574"/>
      <c r="R743" s="347"/>
      <c r="S743" s="597"/>
      <c r="T743" s="347"/>
      <c r="U743" s="579"/>
      <c r="V743" s="579"/>
      <c r="W743" s="574"/>
      <c r="X743" s="347"/>
      <c r="Y743" s="347"/>
      <c r="Z743" s="347"/>
      <c r="AA743" s="579"/>
      <c r="AB743" s="581"/>
      <c r="AC743" s="347"/>
      <c r="AD743" s="347"/>
      <c r="AE743" s="347"/>
      <c r="AF743" s="347"/>
      <c r="AG743" s="579"/>
      <c r="AH743" s="579"/>
      <c r="AI743" s="582"/>
      <c r="AJ743" s="582"/>
      <c r="AK743" s="582"/>
      <c r="AL743" s="582"/>
      <c r="AM743" s="579"/>
      <c r="AN743" s="579"/>
      <c r="AO743" s="347"/>
      <c r="AP743" s="586"/>
      <c r="AQ743" s="596"/>
      <c r="AR743" s="596"/>
      <c r="AS743" s="348"/>
      <c r="AT743" s="348"/>
      <c r="AU743" s="348"/>
      <c r="AV743" s="348"/>
      <c r="AW743" s="348"/>
      <c r="AX743" s="584"/>
      <c r="AY743" s="581"/>
      <c r="AZ743" s="581"/>
      <c r="BA743" s="596"/>
      <c r="BB743" s="596"/>
      <c r="BC743" s="348"/>
      <c r="BD743" s="581"/>
      <c r="BE743" s="581"/>
      <c r="BF743" s="347"/>
      <c r="BG743" s="347"/>
      <c r="BH743" s="347"/>
      <c r="BI743" s="347"/>
      <c r="BJ743" s="586"/>
      <c r="BK743" s="581"/>
      <c r="BL743" s="347"/>
      <c r="BM743" s="347"/>
      <c r="BN743" s="347"/>
      <c r="BO743" s="586"/>
      <c r="BP743" s="584"/>
      <c r="BQ743" s="347"/>
      <c r="BR743" s="586"/>
      <c r="BS743" s="588"/>
      <c r="BT743" s="586"/>
      <c r="BU743" s="589"/>
      <c r="BV743" s="581">
        <f t="shared" si="44"/>
        <v>0</v>
      </c>
      <c r="BW743" s="590"/>
      <c r="BX743" s="347"/>
      <c r="BY743" s="347"/>
      <c r="BZ743" s="347"/>
      <c r="CA743" s="586"/>
      <c r="CB743" s="581"/>
      <c r="CC743" s="581">
        <f t="shared" si="193"/>
        <v>0</v>
      </c>
      <c r="CD743" s="581"/>
      <c r="CE743" s="581"/>
      <c r="CF743" s="581"/>
      <c r="CG743" s="586"/>
      <c r="CH743" s="608"/>
      <c r="CI743" s="603"/>
      <c r="CJ743" s="347"/>
      <c r="CK743" s="347"/>
      <c r="CL743" s="347"/>
      <c r="CM743" s="347"/>
      <c r="CN743" s="347"/>
      <c r="CO743" s="347"/>
      <c r="CP743" s="347"/>
    </row>
    <row r="744">
      <c r="A744" s="574"/>
      <c r="B744" s="574"/>
      <c r="C744" s="347"/>
      <c r="D744" s="574"/>
      <c r="E744" s="347"/>
      <c r="F744" s="596"/>
      <c r="G744" s="596"/>
      <c r="H744" s="347"/>
      <c r="I744" s="347"/>
      <c r="J744" s="596"/>
      <c r="K744" s="609"/>
      <c r="L744" s="1"/>
      <c r="M744" s="347"/>
      <c r="N744" s="347"/>
      <c r="O744" s="579"/>
      <c r="P744" s="579"/>
      <c r="Q744" s="574"/>
      <c r="R744" s="347"/>
      <c r="S744" s="597"/>
      <c r="T744" s="347"/>
      <c r="U744" s="579"/>
      <c r="V744" s="579"/>
      <c r="W744" s="574"/>
      <c r="X744" s="347"/>
      <c r="Y744" s="347"/>
      <c r="Z744" s="347"/>
      <c r="AA744" s="579"/>
      <c r="AB744" s="581"/>
      <c r="AC744" s="347"/>
      <c r="AD744" s="347"/>
      <c r="AE744" s="347"/>
      <c r="AF744" s="347"/>
      <c r="AG744" s="579"/>
      <c r="AH744" s="579"/>
      <c r="AI744" s="582"/>
      <c r="AJ744" s="582"/>
      <c r="AK744" s="582"/>
      <c r="AL744" s="582"/>
      <c r="AM744" s="579"/>
      <c r="AN744" s="579"/>
      <c r="AO744" s="347"/>
      <c r="AP744" s="586"/>
      <c r="AQ744" s="596"/>
      <c r="AR744" s="596"/>
      <c r="AS744" s="348"/>
      <c r="AT744" s="348"/>
      <c r="AU744" s="348"/>
      <c r="AV744" s="348"/>
      <c r="AW744" s="348"/>
      <c r="AX744" s="584"/>
      <c r="AY744" s="581"/>
      <c r="AZ744" s="581"/>
      <c r="BA744" s="596"/>
      <c r="BB744" s="596"/>
      <c r="BC744" s="348"/>
      <c r="BD744" s="581"/>
      <c r="BE744" s="581"/>
      <c r="BF744" s="347"/>
      <c r="BG744" s="347"/>
      <c r="BH744" s="347"/>
      <c r="BI744" s="347"/>
      <c r="BJ744" s="586"/>
      <c r="BK744" s="581"/>
      <c r="BL744" s="347"/>
      <c r="BM744" s="347"/>
      <c r="BN744" s="347"/>
      <c r="BO744" s="586"/>
      <c r="BP744" s="584"/>
      <c r="BQ744" s="347"/>
      <c r="BR744" s="586"/>
      <c r="BS744" s="588"/>
      <c r="BT744" s="586"/>
      <c r="BU744" s="589"/>
      <c r="BV744" s="581">
        <f t="shared" si="44"/>
        <v>0</v>
      </c>
      <c r="BW744" s="590"/>
      <c r="BX744" s="347"/>
      <c r="BY744" s="347"/>
      <c r="BZ744" s="347"/>
      <c r="CA744" s="586"/>
      <c r="CB744" s="581"/>
      <c r="CC744" s="581">
        <f t="shared" si="193"/>
        <v>0</v>
      </c>
      <c r="CD744" s="581"/>
      <c r="CE744" s="581"/>
      <c r="CF744" s="581"/>
      <c r="CG744" s="586"/>
      <c r="CH744" s="608"/>
      <c r="CI744" s="603"/>
      <c r="CJ744" s="347"/>
      <c r="CK744" s="347"/>
      <c r="CL744" s="347"/>
      <c r="CM744" s="347"/>
      <c r="CN744" s="347"/>
      <c r="CO744" s="347"/>
      <c r="CP744" s="347"/>
    </row>
    <row r="745">
      <c r="A745" s="574"/>
      <c r="B745" s="574"/>
      <c r="C745" s="347"/>
      <c r="D745" s="574"/>
      <c r="E745" s="347"/>
      <c r="F745" s="596"/>
      <c r="G745" s="596"/>
      <c r="H745" s="347"/>
      <c r="I745" s="347"/>
      <c r="J745" s="596"/>
      <c r="K745" s="609"/>
      <c r="L745" s="1"/>
      <c r="M745" s="347"/>
      <c r="N745" s="347"/>
      <c r="O745" s="579"/>
      <c r="P745" s="579"/>
      <c r="Q745" s="574"/>
      <c r="R745" s="347"/>
      <c r="S745" s="597"/>
      <c r="T745" s="347"/>
      <c r="U745" s="579"/>
      <c r="V745" s="579"/>
      <c r="W745" s="574"/>
      <c r="X745" s="347"/>
      <c r="Y745" s="347"/>
      <c r="Z745" s="347"/>
      <c r="AA745" s="579"/>
      <c r="AB745" s="581"/>
      <c r="AC745" s="347"/>
      <c r="AD745" s="347"/>
      <c r="AE745" s="347"/>
      <c r="AF745" s="347"/>
      <c r="AG745" s="579"/>
      <c r="AH745" s="579"/>
      <c r="AI745" s="582"/>
      <c r="AJ745" s="582"/>
      <c r="AK745" s="582"/>
      <c r="AL745" s="582"/>
      <c r="AM745" s="579"/>
      <c r="AN745" s="579"/>
      <c r="AO745" s="347"/>
      <c r="AP745" s="586"/>
      <c r="AQ745" s="596"/>
      <c r="AR745" s="596"/>
      <c r="AS745" s="348"/>
      <c r="AT745" s="348"/>
      <c r="AU745" s="348"/>
      <c r="AV745" s="348"/>
      <c r="AW745" s="348"/>
      <c r="AX745" s="584"/>
      <c r="AY745" s="581"/>
      <c r="AZ745" s="581"/>
      <c r="BA745" s="596"/>
      <c r="BB745" s="596"/>
      <c r="BC745" s="348"/>
      <c r="BD745" s="581"/>
      <c r="BE745" s="581"/>
      <c r="BF745" s="347"/>
      <c r="BG745" s="347"/>
      <c r="BH745" s="347"/>
      <c r="BI745" s="347"/>
      <c r="BJ745" s="586"/>
      <c r="BK745" s="581"/>
      <c r="BL745" s="347"/>
      <c r="BM745" s="347"/>
      <c r="BN745" s="347"/>
      <c r="BO745" s="586"/>
      <c r="BP745" s="584"/>
      <c r="BQ745" s="347"/>
      <c r="BR745" s="586"/>
      <c r="BS745" s="588"/>
      <c r="BT745" s="586"/>
      <c r="BU745" s="589"/>
      <c r="BV745" s="581">
        <f t="shared" si="44"/>
        <v>0</v>
      </c>
      <c r="BW745" s="590"/>
      <c r="BX745" s="347"/>
      <c r="BY745" s="347"/>
      <c r="BZ745" s="347"/>
      <c r="CA745" s="586"/>
      <c r="CB745" s="581"/>
      <c r="CC745" s="581">
        <f t="shared" si="193"/>
        <v>0</v>
      </c>
      <c r="CD745" s="581"/>
      <c r="CE745" s="581"/>
      <c r="CF745" s="581"/>
      <c r="CG745" s="586"/>
      <c r="CH745" s="608"/>
      <c r="CI745" s="603"/>
      <c r="CJ745" s="347"/>
      <c r="CK745" s="347"/>
      <c r="CL745" s="347"/>
      <c r="CM745" s="347"/>
      <c r="CN745" s="347"/>
      <c r="CO745" s="347"/>
      <c r="CP745" s="347"/>
    </row>
    <row r="746">
      <c r="A746" s="574"/>
      <c r="B746" s="574"/>
      <c r="C746" s="347"/>
      <c r="D746" s="574"/>
      <c r="E746" s="347"/>
      <c r="F746" s="596"/>
      <c r="G746" s="596"/>
      <c r="H746" s="347"/>
      <c r="I746" s="347"/>
      <c r="J746" s="596"/>
      <c r="K746" s="609"/>
      <c r="L746" s="1"/>
      <c r="M746" s="347"/>
      <c r="N746" s="347"/>
      <c r="O746" s="579"/>
      <c r="P746" s="579"/>
      <c r="Q746" s="574"/>
      <c r="R746" s="347"/>
      <c r="S746" s="597"/>
      <c r="T746" s="347"/>
      <c r="U746" s="579"/>
      <c r="V746" s="579"/>
      <c r="W746" s="574"/>
      <c r="X746" s="347"/>
      <c r="Y746" s="347"/>
      <c r="Z746" s="347"/>
      <c r="AA746" s="579"/>
      <c r="AB746" s="581"/>
      <c r="AC746" s="347"/>
      <c r="AD746" s="347"/>
      <c r="AE746" s="347"/>
      <c r="AF746" s="347"/>
      <c r="AG746" s="579"/>
      <c r="AH746" s="579"/>
      <c r="AI746" s="582"/>
      <c r="AJ746" s="582"/>
      <c r="AK746" s="582"/>
      <c r="AL746" s="582"/>
      <c r="AM746" s="579"/>
      <c r="AN746" s="579"/>
      <c r="AO746" s="347"/>
      <c r="AP746" s="586"/>
      <c r="AQ746" s="596"/>
      <c r="AR746" s="596"/>
      <c r="AS746" s="348"/>
      <c r="AT746" s="348"/>
      <c r="AU746" s="348"/>
      <c r="AV746" s="348"/>
      <c r="AW746" s="348"/>
      <c r="AX746" s="584"/>
      <c r="AY746" s="581"/>
      <c r="AZ746" s="581"/>
      <c r="BA746" s="596"/>
      <c r="BB746" s="596"/>
      <c r="BC746" s="348"/>
      <c r="BD746" s="581"/>
      <c r="BE746" s="581"/>
      <c r="BF746" s="347"/>
      <c r="BG746" s="347"/>
      <c r="BH746" s="347"/>
      <c r="BI746" s="347"/>
      <c r="BJ746" s="586"/>
      <c r="BK746" s="581"/>
      <c r="BL746" s="347"/>
      <c r="BM746" s="347"/>
      <c r="BN746" s="347"/>
      <c r="BO746" s="586"/>
      <c r="BP746" s="584"/>
      <c r="BQ746" s="347"/>
      <c r="BR746" s="586"/>
      <c r="BS746" s="588"/>
      <c r="BT746" s="586"/>
      <c r="BU746" s="589"/>
      <c r="BV746" s="581">
        <f t="shared" si="44"/>
        <v>0</v>
      </c>
      <c r="BW746" s="590"/>
      <c r="BX746" s="347"/>
      <c r="BY746" s="347"/>
      <c r="BZ746" s="347"/>
      <c r="CA746" s="586"/>
      <c r="CB746" s="581"/>
      <c r="CC746" s="581">
        <f t="shared" si="193"/>
        <v>0</v>
      </c>
      <c r="CD746" s="581"/>
      <c r="CE746" s="581"/>
      <c r="CF746" s="581"/>
      <c r="CG746" s="586"/>
      <c r="CH746" s="608"/>
      <c r="CI746" s="603"/>
      <c r="CJ746" s="347"/>
      <c r="CK746" s="347"/>
      <c r="CL746" s="347"/>
      <c r="CM746" s="347"/>
      <c r="CN746" s="347"/>
      <c r="CO746" s="347"/>
      <c r="CP746" s="347"/>
    </row>
    <row r="747">
      <c r="A747" s="574"/>
      <c r="B747" s="574"/>
      <c r="C747" s="347"/>
      <c r="D747" s="574"/>
      <c r="E747" s="347"/>
      <c r="F747" s="596"/>
      <c r="G747" s="596"/>
      <c r="H747" s="347"/>
      <c r="I747" s="347"/>
      <c r="J747" s="596"/>
      <c r="K747" s="609"/>
      <c r="L747" s="1"/>
      <c r="M747" s="347"/>
      <c r="N747" s="347"/>
      <c r="O747" s="579"/>
      <c r="P747" s="579"/>
      <c r="Q747" s="574"/>
      <c r="R747" s="347"/>
      <c r="S747" s="597"/>
      <c r="T747" s="347"/>
      <c r="U747" s="579"/>
      <c r="V747" s="579"/>
      <c r="W747" s="574"/>
      <c r="X747" s="347"/>
      <c r="Y747" s="347"/>
      <c r="Z747" s="347"/>
      <c r="AA747" s="579"/>
      <c r="AB747" s="581"/>
      <c r="AC747" s="347"/>
      <c r="AD747" s="347"/>
      <c r="AE747" s="347"/>
      <c r="AF747" s="347"/>
      <c r="AG747" s="579"/>
      <c r="AH747" s="579"/>
      <c r="AI747" s="582"/>
      <c r="AJ747" s="582"/>
      <c r="AK747" s="582"/>
      <c r="AL747" s="582"/>
      <c r="AM747" s="579"/>
      <c r="AN747" s="579"/>
      <c r="AO747" s="347"/>
      <c r="AP747" s="586"/>
      <c r="AQ747" s="596"/>
      <c r="AR747" s="596"/>
      <c r="AS747" s="348"/>
      <c r="AT747" s="348"/>
      <c r="AU747" s="348"/>
      <c r="AV747" s="348"/>
      <c r="AW747" s="348"/>
      <c r="AX747" s="584"/>
      <c r="AY747" s="581"/>
      <c r="AZ747" s="581"/>
      <c r="BA747" s="596"/>
      <c r="BB747" s="596"/>
      <c r="BC747" s="348"/>
      <c r="BD747" s="581"/>
      <c r="BE747" s="581"/>
      <c r="BF747" s="347"/>
      <c r="BG747" s="347"/>
      <c r="BH747" s="347"/>
      <c r="BI747" s="347"/>
      <c r="BJ747" s="586"/>
      <c r="BK747" s="581"/>
      <c r="BL747" s="347"/>
      <c r="BM747" s="347"/>
      <c r="BN747" s="347"/>
      <c r="BO747" s="586"/>
      <c r="BP747" s="584"/>
      <c r="BQ747" s="347"/>
      <c r="BR747" s="586"/>
      <c r="BS747" s="588"/>
      <c r="BT747" s="586"/>
      <c r="BU747" s="589"/>
      <c r="BV747" s="581">
        <f t="shared" si="44"/>
        <v>0</v>
      </c>
      <c r="BW747" s="590"/>
      <c r="BX747" s="347"/>
      <c r="BY747" s="347"/>
      <c r="BZ747" s="347"/>
      <c r="CA747" s="586"/>
      <c r="CB747" s="581"/>
      <c r="CC747" s="581">
        <f t="shared" si="193"/>
        <v>0</v>
      </c>
      <c r="CD747" s="581"/>
      <c r="CE747" s="581"/>
      <c r="CF747" s="581"/>
      <c r="CG747" s="586"/>
      <c r="CH747" s="608"/>
      <c r="CI747" s="603"/>
      <c r="CJ747" s="347"/>
      <c r="CK747" s="347"/>
      <c r="CL747" s="347"/>
      <c r="CM747" s="347"/>
      <c r="CN747" s="347"/>
      <c r="CO747" s="347"/>
      <c r="CP747" s="347"/>
    </row>
    <row r="748">
      <c r="A748" s="574"/>
      <c r="B748" s="574"/>
      <c r="C748" s="347"/>
      <c r="D748" s="574"/>
      <c r="E748" s="347"/>
      <c r="F748" s="596"/>
      <c r="G748" s="596"/>
      <c r="H748" s="347"/>
      <c r="I748" s="347"/>
      <c r="J748" s="596"/>
      <c r="K748" s="609"/>
      <c r="L748" s="1"/>
      <c r="M748" s="347"/>
      <c r="N748" s="347"/>
      <c r="O748" s="579"/>
      <c r="P748" s="579"/>
      <c r="Q748" s="574"/>
      <c r="R748" s="347"/>
      <c r="S748" s="597"/>
      <c r="T748" s="347"/>
      <c r="U748" s="579"/>
      <c r="V748" s="579"/>
      <c r="W748" s="574"/>
      <c r="X748" s="347"/>
      <c r="Y748" s="347"/>
      <c r="Z748" s="347"/>
      <c r="AA748" s="579"/>
      <c r="AB748" s="581"/>
      <c r="AC748" s="347"/>
      <c r="AD748" s="347"/>
      <c r="AE748" s="347"/>
      <c r="AF748" s="347"/>
      <c r="AG748" s="579"/>
      <c r="AH748" s="579"/>
      <c r="AI748" s="582"/>
      <c r="AJ748" s="582"/>
      <c r="AK748" s="582"/>
      <c r="AL748" s="582"/>
      <c r="AM748" s="579"/>
      <c r="AN748" s="579"/>
      <c r="AO748" s="347"/>
      <c r="AP748" s="586"/>
      <c r="AQ748" s="596"/>
      <c r="AR748" s="596"/>
      <c r="AS748" s="348"/>
      <c r="AT748" s="348"/>
      <c r="AU748" s="348"/>
      <c r="AV748" s="348"/>
      <c r="AW748" s="348"/>
      <c r="AX748" s="584"/>
      <c r="AY748" s="581"/>
      <c r="AZ748" s="581"/>
      <c r="BA748" s="596"/>
      <c r="BB748" s="596"/>
      <c r="BC748" s="348"/>
      <c r="BD748" s="581"/>
      <c r="BE748" s="581"/>
      <c r="BF748" s="347"/>
      <c r="BG748" s="347"/>
      <c r="BH748" s="347"/>
      <c r="BI748" s="347"/>
      <c r="BJ748" s="586"/>
      <c r="BK748" s="581"/>
      <c r="BL748" s="347"/>
      <c r="BM748" s="347"/>
      <c r="BN748" s="347"/>
      <c r="BO748" s="586"/>
      <c r="BP748" s="584"/>
      <c r="BQ748" s="347"/>
      <c r="BR748" s="586"/>
      <c r="BS748" s="588"/>
      <c r="BT748" s="586"/>
      <c r="BU748" s="589"/>
      <c r="BV748" s="581">
        <f t="shared" si="44"/>
        <v>0</v>
      </c>
      <c r="BW748" s="590"/>
      <c r="BX748" s="347"/>
      <c r="BY748" s="347"/>
      <c r="BZ748" s="347"/>
      <c r="CA748" s="586"/>
      <c r="CB748" s="581"/>
      <c r="CC748" s="581">
        <f t="shared" si="193"/>
        <v>0</v>
      </c>
      <c r="CD748" s="581"/>
      <c r="CE748" s="581"/>
      <c r="CF748" s="581"/>
      <c r="CG748" s="586"/>
      <c r="CH748" s="608"/>
      <c r="CI748" s="603"/>
      <c r="CJ748" s="347"/>
      <c r="CK748" s="347"/>
      <c r="CL748" s="347"/>
      <c r="CM748" s="347"/>
      <c r="CN748" s="347"/>
      <c r="CO748" s="347"/>
      <c r="CP748" s="347"/>
    </row>
    <row r="749">
      <c r="A749" s="574"/>
      <c r="B749" s="574"/>
      <c r="C749" s="347"/>
      <c r="D749" s="574"/>
      <c r="E749" s="347"/>
      <c r="F749" s="596"/>
      <c r="G749" s="596"/>
      <c r="H749" s="347"/>
      <c r="I749" s="347"/>
      <c r="J749" s="596"/>
      <c r="K749" s="609"/>
      <c r="L749" s="1"/>
      <c r="M749" s="347"/>
      <c r="N749" s="347"/>
      <c r="O749" s="579"/>
      <c r="P749" s="579"/>
      <c r="Q749" s="574"/>
      <c r="R749" s="347"/>
      <c r="S749" s="597"/>
      <c r="T749" s="347"/>
      <c r="U749" s="579"/>
      <c r="V749" s="579"/>
      <c r="W749" s="574"/>
      <c r="X749" s="347"/>
      <c r="Y749" s="347"/>
      <c r="Z749" s="347"/>
      <c r="AA749" s="579"/>
      <c r="AB749" s="581"/>
      <c r="AC749" s="347"/>
      <c r="AD749" s="347"/>
      <c r="AE749" s="347"/>
      <c r="AF749" s="347"/>
      <c r="AG749" s="579"/>
      <c r="AH749" s="579"/>
      <c r="AI749" s="582"/>
      <c r="AJ749" s="582"/>
      <c r="AK749" s="582"/>
      <c r="AL749" s="582"/>
      <c r="AM749" s="579"/>
      <c r="AN749" s="579"/>
      <c r="AO749" s="347"/>
      <c r="AP749" s="586"/>
      <c r="AQ749" s="596"/>
      <c r="AR749" s="596"/>
      <c r="AS749" s="348"/>
      <c r="AT749" s="348"/>
      <c r="AU749" s="348"/>
      <c r="AV749" s="348"/>
      <c r="AW749" s="348"/>
      <c r="AX749" s="584"/>
      <c r="AY749" s="581"/>
      <c r="AZ749" s="581"/>
      <c r="BA749" s="596"/>
      <c r="BB749" s="596"/>
      <c r="BC749" s="348"/>
      <c r="BD749" s="581"/>
      <c r="BE749" s="581"/>
      <c r="BF749" s="347"/>
      <c r="BG749" s="347"/>
      <c r="BH749" s="347"/>
      <c r="BI749" s="347"/>
      <c r="BJ749" s="586"/>
      <c r="BK749" s="581"/>
      <c r="BL749" s="347"/>
      <c r="BM749" s="347"/>
      <c r="BN749" s="347"/>
      <c r="BO749" s="586"/>
      <c r="BP749" s="584"/>
      <c r="BQ749" s="347"/>
      <c r="BR749" s="586"/>
      <c r="BS749" s="588"/>
      <c r="BT749" s="586"/>
      <c r="BU749" s="589"/>
      <c r="BV749" s="581">
        <f t="shared" si="44"/>
        <v>0</v>
      </c>
      <c r="BW749" s="590"/>
      <c r="BX749" s="347"/>
      <c r="BY749" s="347"/>
      <c r="BZ749" s="347"/>
      <c r="CA749" s="586"/>
      <c r="CB749" s="581"/>
      <c r="CC749" s="581">
        <f t="shared" si="193"/>
        <v>0</v>
      </c>
      <c r="CD749" s="581"/>
      <c r="CE749" s="581"/>
      <c r="CF749" s="581"/>
      <c r="CG749" s="586"/>
      <c r="CH749" s="608"/>
      <c r="CI749" s="603"/>
      <c r="CJ749" s="347"/>
      <c r="CK749" s="347"/>
      <c r="CL749" s="347"/>
      <c r="CM749" s="347"/>
      <c r="CN749" s="347"/>
      <c r="CO749" s="347"/>
      <c r="CP749" s="347"/>
    </row>
    <row r="750">
      <c r="A750" s="574"/>
      <c r="B750" s="574"/>
      <c r="C750" s="347"/>
      <c r="D750" s="574"/>
      <c r="E750" s="347"/>
      <c r="F750" s="596"/>
      <c r="G750" s="596"/>
      <c r="H750" s="347"/>
      <c r="I750" s="347"/>
      <c r="J750" s="596"/>
      <c r="K750" s="609"/>
      <c r="L750" s="1"/>
      <c r="M750" s="347"/>
      <c r="N750" s="347"/>
      <c r="O750" s="579"/>
      <c r="P750" s="579"/>
      <c r="Q750" s="574"/>
      <c r="R750" s="347"/>
      <c r="S750" s="597"/>
      <c r="T750" s="347"/>
      <c r="U750" s="579"/>
      <c r="V750" s="579"/>
      <c r="W750" s="574"/>
      <c r="X750" s="347"/>
      <c r="Y750" s="347"/>
      <c r="Z750" s="347"/>
      <c r="AA750" s="579"/>
      <c r="AB750" s="581"/>
      <c r="AC750" s="347"/>
      <c r="AD750" s="347"/>
      <c r="AE750" s="347"/>
      <c r="AF750" s="347"/>
      <c r="AG750" s="579"/>
      <c r="AH750" s="579"/>
      <c r="AI750" s="582"/>
      <c r="AJ750" s="582"/>
      <c r="AK750" s="582"/>
      <c r="AL750" s="582"/>
      <c r="AM750" s="579"/>
      <c r="AN750" s="579"/>
      <c r="AO750" s="347"/>
      <c r="AP750" s="586"/>
      <c r="AQ750" s="596"/>
      <c r="AR750" s="596"/>
      <c r="AS750" s="348"/>
      <c r="AT750" s="348"/>
      <c r="AU750" s="348"/>
      <c r="AV750" s="348"/>
      <c r="AW750" s="348"/>
      <c r="AX750" s="584"/>
      <c r="AY750" s="581"/>
      <c r="AZ750" s="581"/>
      <c r="BA750" s="596"/>
      <c r="BB750" s="596"/>
      <c r="BC750" s="348"/>
      <c r="BD750" s="581"/>
      <c r="BE750" s="581"/>
      <c r="BF750" s="347"/>
      <c r="BG750" s="347"/>
      <c r="BH750" s="347"/>
      <c r="BI750" s="347"/>
      <c r="BJ750" s="586"/>
      <c r="BK750" s="581"/>
      <c r="BL750" s="347"/>
      <c r="BM750" s="347"/>
      <c r="BN750" s="347"/>
      <c r="BO750" s="586"/>
      <c r="BP750" s="584"/>
      <c r="BQ750" s="347"/>
      <c r="BR750" s="586"/>
      <c r="BS750" s="588"/>
      <c r="BT750" s="586"/>
      <c r="BU750" s="589"/>
      <c r="BV750" s="581">
        <f t="shared" si="44"/>
        <v>0</v>
      </c>
      <c r="BW750" s="590"/>
      <c r="BX750" s="347"/>
      <c r="BY750" s="347"/>
      <c r="BZ750" s="347"/>
      <c r="CA750" s="586"/>
      <c r="CB750" s="581"/>
      <c r="CC750" s="581">
        <f t="shared" si="193"/>
        <v>0</v>
      </c>
      <c r="CD750" s="581"/>
      <c r="CE750" s="581"/>
      <c r="CF750" s="581"/>
      <c r="CG750" s="586"/>
      <c r="CH750" s="608"/>
      <c r="CI750" s="603"/>
      <c r="CJ750" s="347"/>
      <c r="CK750" s="347"/>
      <c r="CL750" s="347"/>
      <c r="CM750" s="347"/>
      <c r="CN750" s="347"/>
      <c r="CO750" s="347"/>
      <c r="CP750" s="347"/>
    </row>
    <row r="751">
      <c r="A751" s="574"/>
      <c r="B751" s="574"/>
      <c r="C751" s="347"/>
      <c r="D751" s="574"/>
      <c r="E751" s="347"/>
      <c r="F751" s="596"/>
      <c r="G751" s="596"/>
      <c r="H751" s="347"/>
      <c r="I751" s="347"/>
      <c r="J751" s="596"/>
      <c r="K751" s="609"/>
      <c r="L751" s="1"/>
      <c r="M751" s="347"/>
      <c r="N751" s="347"/>
      <c r="O751" s="579"/>
      <c r="P751" s="579"/>
      <c r="Q751" s="574"/>
      <c r="R751" s="347"/>
      <c r="S751" s="597"/>
      <c r="T751" s="347"/>
      <c r="U751" s="579"/>
      <c r="V751" s="579"/>
      <c r="W751" s="574"/>
      <c r="X751" s="347"/>
      <c r="Y751" s="347"/>
      <c r="Z751" s="347"/>
      <c r="AA751" s="579"/>
      <c r="AB751" s="581"/>
      <c r="AC751" s="347"/>
      <c r="AD751" s="347"/>
      <c r="AE751" s="347"/>
      <c r="AF751" s="347"/>
      <c r="AG751" s="579"/>
      <c r="AH751" s="579"/>
      <c r="AI751" s="582"/>
      <c r="AJ751" s="582"/>
      <c r="AK751" s="582"/>
      <c r="AL751" s="582"/>
      <c r="AM751" s="579"/>
      <c r="AN751" s="579"/>
      <c r="AO751" s="347"/>
      <c r="AP751" s="586"/>
      <c r="AQ751" s="596"/>
      <c r="AR751" s="596"/>
      <c r="AS751" s="348"/>
      <c r="AT751" s="348"/>
      <c r="AU751" s="348"/>
      <c r="AV751" s="348"/>
      <c r="AW751" s="348"/>
      <c r="AX751" s="584"/>
      <c r="AY751" s="581"/>
      <c r="AZ751" s="581"/>
      <c r="BA751" s="596"/>
      <c r="BB751" s="596"/>
      <c r="BC751" s="348"/>
      <c r="BD751" s="581"/>
      <c r="BE751" s="581"/>
      <c r="BF751" s="347"/>
      <c r="BG751" s="347"/>
      <c r="BH751" s="347"/>
      <c r="BI751" s="347"/>
      <c r="BJ751" s="586"/>
      <c r="BK751" s="581"/>
      <c r="BL751" s="347"/>
      <c r="BM751" s="347"/>
      <c r="BN751" s="347"/>
      <c r="BO751" s="586"/>
      <c r="BP751" s="584"/>
      <c r="BQ751" s="347"/>
      <c r="BR751" s="586"/>
      <c r="BS751" s="588"/>
      <c r="BT751" s="586"/>
      <c r="BU751" s="589"/>
      <c r="BV751" s="581">
        <f t="shared" si="44"/>
        <v>0</v>
      </c>
      <c r="BW751" s="590"/>
      <c r="BX751" s="347"/>
      <c r="BY751" s="347"/>
      <c r="BZ751" s="347"/>
      <c r="CA751" s="586"/>
      <c r="CB751" s="581"/>
      <c r="CC751" s="581">
        <f t="shared" si="193"/>
        <v>0</v>
      </c>
      <c r="CD751" s="581"/>
      <c r="CE751" s="581"/>
      <c r="CF751" s="581"/>
      <c r="CG751" s="586"/>
      <c r="CH751" s="608"/>
      <c r="CI751" s="603"/>
      <c r="CJ751" s="347"/>
      <c r="CK751" s="347"/>
      <c r="CL751" s="347"/>
      <c r="CM751" s="347"/>
      <c r="CN751" s="347"/>
      <c r="CO751" s="347"/>
      <c r="CP751" s="347"/>
    </row>
    <row r="752">
      <c r="A752" s="574"/>
      <c r="B752" s="574"/>
      <c r="C752" s="347"/>
      <c r="D752" s="574"/>
      <c r="E752" s="347"/>
      <c r="F752" s="596"/>
      <c r="G752" s="596"/>
      <c r="H752" s="347"/>
      <c r="I752" s="347"/>
      <c r="J752" s="596"/>
      <c r="K752" s="609"/>
      <c r="L752" s="1"/>
      <c r="M752" s="347"/>
      <c r="N752" s="347"/>
      <c r="O752" s="579"/>
      <c r="P752" s="579"/>
      <c r="Q752" s="574"/>
      <c r="R752" s="347"/>
      <c r="S752" s="597"/>
      <c r="T752" s="347"/>
      <c r="U752" s="579"/>
      <c r="V752" s="579"/>
      <c r="W752" s="574"/>
      <c r="X752" s="347"/>
      <c r="Y752" s="347"/>
      <c r="Z752" s="347"/>
      <c r="AA752" s="579"/>
      <c r="AB752" s="581"/>
      <c r="AC752" s="347"/>
      <c r="AD752" s="347"/>
      <c r="AE752" s="347"/>
      <c r="AF752" s="347"/>
      <c r="AG752" s="579"/>
      <c r="AH752" s="579"/>
      <c r="AI752" s="582"/>
      <c r="AJ752" s="582"/>
      <c r="AK752" s="582"/>
      <c r="AL752" s="582"/>
      <c r="AM752" s="579"/>
      <c r="AN752" s="579"/>
      <c r="AO752" s="347"/>
      <c r="AP752" s="586"/>
      <c r="AQ752" s="596"/>
      <c r="AR752" s="596"/>
      <c r="AS752" s="348"/>
      <c r="AT752" s="348"/>
      <c r="AU752" s="348"/>
      <c r="AV752" s="348"/>
      <c r="AW752" s="348"/>
      <c r="AX752" s="584"/>
      <c r="AY752" s="581"/>
      <c r="AZ752" s="581"/>
      <c r="BA752" s="596"/>
      <c r="BB752" s="596"/>
      <c r="BC752" s="348"/>
      <c r="BD752" s="581"/>
      <c r="BE752" s="581"/>
      <c r="BF752" s="347"/>
      <c r="BG752" s="347"/>
      <c r="BH752" s="347"/>
      <c r="BI752" s="347"/>
      <c r="BJ752" s="586"/>
      <c r="BK752" s="581"/>
      <c r="BL752" s="347"/>
      <c r="BM752" s="347"/>
      <c r="BN752" s="347"/>
      <c r="BO752" s="586"/>
      <c r="BP752" s="584"/>
      <c r="BQ752" s="347"/>
      <c r="BR752" s="586"/>
      <c r="BS752" s="588"/>
      <c r="BT752" s="586"/>
      <c r="BU752" s="589"/>
      <c r="BV752" s="581">
        <f t="shared" si="44"/>
        <v>0</v>
      </c>
      <c r="BW752" s="590"/>
      <c r="BX752" s="347"/>
      <c r="BY752" s="347"/>
      <c r="BZ752" s="347"/>
      <c r="CA752" s="586"/>
      <c r="CB752" s="581"/>
      <c r="CC752" s="581">
        <f t="shared" si="193"/>
        <v>0</v>
      </c>
      <c r="CD752" s="581"/>
      <c r="CE752" s="581"/>
      <c r="CF752" s="581"/>
      <c r="CG752" s="586"/>
      <c r="CH752" s="608"/>
      <c r="CI752" s="603"/>
      <c r="CJ752" s="347"/>
      <c r="CK752" s="347"/>
      <c r="CL752" s="347"/>
      <c r="CM752" s="347"/>
      <c r="CN752" s="347"/>
      <c r="CO752" s="347"/>
      <c r="CP752" s="347"/>
    </row>
    <row r="753">
      <c r="A753" s="574"/>
      <c r="B753" s="574"/>
      <c r="C753" s="347"/>
      <c r="D753" s="574"/>
      <c r="E753" s="347"/>
      <c r="F753" s="596"/>
      <c r="G753" s="596"/>
      <c r="H753" s="347"/>
      <c r="I753" s="347"/>
      <c r="J753" s="596"/>
      <c r="K753" s="609"/>
      <c r="L753" s="1"/>
      <c r="M753" s="347"/>
      <c r="N753" s="347"/>
      <c r="O753" s="579"/>
      <c r="P753" s="579"/>
      <c r="Q753" s="574"/>
      <c r="R753" s="347"/>
      <c r="S753" s="597"/>
      <c r="T753" s="347"/>
      <c r="U753" s="579"/>
      <c r="V753" s="579"/>
      <c r="W753" s="574"/>
      <c r="X753" s="347"/>
      <c r="Y753" s="347"/>
      <c r="Z753" s="347"/>
      <c r="AA753" s="579"/>
      <c r="AB753" s="581"/>
      <c r="AC753" s="347"/>
      <c r="AD753" s="347"/>
      <c r="AE753" s="347"/>
      <c r="AF753" s="347"/>
      <c r="AG753" s="579"/>
      <c r="AH753" s="579"/>
      <c r="AI753" s="582"/>
      <c r="AJ753" s="582"/>
      <c r="AK753" s="582"/>
      <c r="AL753" s="582"/>
      <c r="AM753" s="579"/>
      <c r="AN753" s="579"/>
      <c r="AO753" s="347"/>
      <c r="AP753" s="586"/>
      <c r="AQ753" s="596"/>
      <c r="AR753" s="596"/>
      <c r="AS753" s="348"/>
      <c r="AT753" s="348"/>
      <c r="AU753" s="348"/>
      <c r="AV753" s="348"/>
      <c r="AW753" s="348"/>
      <c r="AX753" s="584"/>
      <c r="AY753" s="581"/>
      <c r="AZ753" s="581"/>
      <c r="BA753" s="596"/>
      <c r="BB753" s="596"/>
      <c r="BC753" s="348"/>
      <c r="BD753" s="581"/>
      <c r="BE753" s="581"/>
      <c r="BF753" s="347"/>
      <c r="BG753" s="347"/>
      <c r="BH753" s="347"/>
      <c r="BI753" s="347"/>
      <c r="BJ753" s="586"/>
      <c r="BK753" s="581"/>
      <c r="BL753" s="347"/>
      <c r="BM753" s="347"/>
      <c r="BN753" s="347"/>
      <c r="BO753" s="586"/>
      <c r="BP753" s="584"/>
      <c r="BQ753" s="347"/>
      <c r="BR753" s="586"/>
      <c r="BS753" s="588"/>
      <c r="BT753" s="586"/>
      <c r="BU753" s="589"/>
      <c r="BV753" s="581">
        <f t="shared" si="44"/>
        <v>0</v>
      </c>
      <c r="BW753" s="590"/>
      <c r="BX753" s="347"/>
      <c r="BY753" s="347"/>
      <c r="BZ753" s="347"/>
      <c r="CA753" s="586"/>
      <c r="CB753" s="581"/>
      <c r="CC753" s="581">
        <f t="shared" si="193"/>
        <v>0</v>
      </c>
      <c r="CD753" s="581"/>
      <c r="CE753" s="581"/>
      <c r="CF753" s="581"/>
      <c r="CG753" s="586"/>
      <c r="CH753" s="608"/>
      <c r="CI753" s="603"/>
      <c r="CJ753" s="347"/>
      <c r="CK753" s="347"/>
      <c r="CL753" s="347"/>
      <c r="CM753" s="347"/>
      <c r="CN753" s="347"/>
      <c r="CO753" s="347"/>
      <c r="CP753" s="347"/>
    </row>
    <row r="754">
      <c r="A754" s="574"/>
      <c r="B754" s="574"/>
      <c r="C754" s="347"/>
      <c r="D754" s="574"/>
      <c r="E754" s="347"/>
      <c r="F754" s="596"/>
      <c r="G754" s="596"/>
      <c r="H754" s="347"/>
      <c r="I754" s="347"/>
      <c r="J754" s="596"/>
      <c r="K754" s="609"/>
      <c r="L754" s="1"/>
      <c r="M754" s="347"/>
      <c r="N754" s="347"/>
      <c r="O754" s="579"/>
      <c r="P754" s="579"/>
      <c r="Q754" s="574"/>
      <c r="R754" s="347"/>
      <c r="S754" s="597"/>
      <c r="T754" s="347"/>
      <c r="U754" s="579"/>
      <c r="V754" s="579"/>
      <c r="W754" s="574"/>
      <c r="X754" s="347"/>
      <c r="Y754" s="347"/>
      <c r="Z754" s="347"/>
      <c r="AA754" s="579"/>
      <c r="AB754" s="581"/>
      <c r="AC754" s="347"/>
      <c r="AD754" s="347"/>
      <c r="AE754" s="347"/>
      <c r="AF754" s="347"/>
      <c r="AG754" s="579"/>
      <c r="AH754" s="579"/>
      <c r="AI754" s="582"/>
      <c r="AJ754" s="582"/>
      <c r="AK754" s="582"/>
      <c r="AL754" s="582"/>
      <c r="AM754" s="579"/>
      <c r="AN754" s="579"/>
      <c r="AO754" s="347"/>
      <c r="AP754" s="586"/>
      <c r="AQ754" s="596"/>
      <c r="AR754" s="596"/>
      <c r="AS754" s="348"/>
      <c r="AT754" s="348"/>
      <c r="AU754" s="348"/>
      <c r="AV754" s="348"/>
      <c r="AW754" s="348"/>
      <c r="AX754" s="584"/>
      <c r="AY754" s="581"/>
      <c r="AZ754" s="581"/>
      <c r="BA754" s="596"/>
      <c r="BB754" s="596"/>
      <c r="BC754" s="348"/>
      <c r="BD754" s="581"/>
      <c r="BE754" s="581"/>
      <c r="BF754" s="347"/>
      <c r="BG754" s="347"/>
      <c r="BH754" s="347"/>
      <c r="BI754" s="347"/>
      <c r="BJ754" s="586"/>
      <c r="BK754" s="581"/>
      <c r="BL754" s="347"/>
      <c r="BM754" s="347"/>
      <c r="BN754" s="347"/>
      <c r="BO754" s="586"/>
      <c r="BP754" s="584"/>
      <c r="BQ754" s="347"/>
      <c r="BR754" s="586"/>
      <c r="BS754" s="588"/>
      <c r="BT754" s="586"/>
      <c r="BU754" s="589"/>
      <c r="BV754" s="581">
        <f t="shared" si="44"/>
        <v>0</v>
      </c>
      <c r="BW754" s="590"/>
      <c r="BX754" s="347"/>
      <c r="BY754" s="347"/>
      <c r="BZ754" s="347"/>
      <c r="CA754" s="586"/>
      <c r="CB754" s="581"/>
      <c r="CC754" s="581">
        <f t="shared" si="193"/>
        <v>0</v>
      </c>
      <c r="CD754" s="581"/>
      <c r="CE754" s="581"/>
      <c r="CF754" s="581"/>
      <c r="CG754" s="586"/>
      <c r="CH754" s="608"/>
      <c r="CI754" s="603"/>
      <c r="CJ754" s="347"/>
      <c r="CK754" s="347"/>
      <c r="CL754" s="347"/>
      <c r="CM754" s="347"/>
      <c r="CN754" s="347"/>
      <c r="CO754" s="347"/>
      <c r="CP754" s="347"/>
    </row>
    <row r="755">
      <c r="A755" s="574"/>
      <c r="B755" s="574"/>
      <c r="C755" s="347"/>
      <c r="D755" s="574"/>
      <c r="E755" s="347"/>
      <c r="F755" s="596"/>
      <c r="G755" s="596"/>
      <c r="H755" s="347"/>
      <c r="I755" s="347"/>
      <c r="J755" s="596"/>
      <c r="K755" s="609"/>
      <c r="L755" s="1"/>
      <c r="M755" s="347"/>
      <c r="N755" s="347"/>
      <c r="O755" s="579"/>
      <c r="P755" s="579"/>
      <c r="Q755" s="574"/>
      <c r="R755" s="347"/>
      <c r="S755" s="597"/>
      <c r="T755" s="347"/>
      <c r="U755" s="579"/>
      <c r="V755" s="579"/>
      <c r="W755" s="574"/>
      <c r="X755" s="347"/>
      <c r="Y755" s="347"/>
      <c r="Z755" s="347"/>
      <c r="AA755" s="579"/>
      <c r="AB755" s="581"/>
      <c r="AC755" s="347"/>
      <c r="AD755" s="347"/>
      <c r="AE755" s="347"/>
      <c r="AF755" s="347"/>
      <c r="AG755" s="579"/>
      <c r="AH755" s="579"/>
      <c r="AI755" s="582"/>
      <c r="AJ755" s="582"/>
      <c r="AK755" s="582"/>
      <c r="AL755" s="582"/>
      <c r="AM755" s="579"/>
      <c r="AN755" s="579"/>
      <c r="AO755" s="347"/>
      <c r="AP755" s="586"/>
      <c r="AQ755" s="596"/>
      <c r="AR755" s="596"/>
      <c r="AS755" s="348"/>
      <c r="AT755" s="348"/>
      <c r="AU755" s="348"/>
      <c r="AV755" s="348"/>
      <c r="AW755" s="348"/>
      <c r="AX755" s="584"/>
      <c r="AY755" s="581"/>
      <c r="AZ755" s="581"/>
      <c r="BA755" s="596"/>
      <c r="BB755" s="596"/>
      <c r="BC755" s="348"/>
      <c r="BD755" s="581"/>
      <c r="BE755" s="581"/>
      <c r="BF755" s="347"/>
      <c r="BG755" s="347"/>
      <c r="BH755" s="347"/>
      <c r="BI755" s="347"/>
      <c r="BJ755" s="586"/>
      <c r="BK755" s="581"/>
      <c r="BL755" s="347"/>
      <c r="BM755" s="347"/>
      <c r="BN755" s="347"/>
      <c r="BO755" s="586"/>
      <c r="BP755" s="584"/>
      <c r="BQ755" s="347"/>
      <c r="BR755" s="586"/>
      <c r="BS755" s="588"/>
      <c r="BT755" s="586"/>
      <c r="BU755" s="589"/>
      <c r="BV755" s="581">
        <f t="shared" si="44"/>
        <v>0</v>
      </c>
      <c r="BW755" s="590"/>
      <c r="BX755" s="347"/>
      <c r="BY755" s="347"/>
      <c r="BZ755" s="347"/>
      <c r="CA755" s="586"/>
      <c r="CB755" s="581"/>
      <c r="CC755" s="581">
        <f t="shared" si="193"/>
        <v>0</v>
      </c>
      <c r="CD755" s="581"/>
      <c r="CE755" s="581"/>
      <c r="CF755" s="581"/>
      <c r="CG755" s="586"/>
      <c r="CH755" s="608"/>
      <c r="CI755" s="603"/>
      <c r="CJ755" s="347"/>
      <c r="CK755" s="347"/>
      <c r="CL755" s="347"/>
      <c r="CM755" s="347"/>
      <c r="CN755" s="347"/>
      <c r="CO755" s="347"/>
      <c r="CP755" s="347"/>
    </row>
    <row r="756">
      <c r="A756" s="574"/>
      <c r="B756" s="574"/>
      <c r="C756" s="347"/>
      <c r="D756" s="574"/>
      <c r="E756" s="347"/>
      <c r="F756" s="596"/>
      <c r="G756" s="596"/>
      <c r="H756" s="347"/>
      <c r="I756" s="347"/>
      <c r="J756" s="596"/>
      <c r="K756" s="609"/>
      <c r="L756" s="1"/>
      <c r="M756" s="347"/>
      <c r="N756" s="347"/>
      <c r="O756" s="579"/>
      <c r="P756" s="579"/>
      <c r="Q756" s="574"/>
      <c r="R756" s="347"/>
      <c r="S756" s="597"/>
      <c r="T756" s="347"/>
      <c r="U756" s="579"/>
      <c r="V756" s="579"/>
      <c r="W756" s="574"/>
      <c r="X756" s="347"/>
      <c r="Y756" s="347"/>
      <c r="Z756" s="347"/>
      <c r="AA756" s="579"/>
      <c r="AB756" s="581"/>
      <c r="AC756" s="347"/>
      <c r="AD756" s="347"/>
      <c r="AE756" s="347"/>
      <c r="AF756" s="347"/>
      <c r="AG756" s="579"/>
      <c r="AH756" s="579"/>
      <c r="AI756" s="582"/>
      <c r="AJ756" s="582"/>
      <c r="AK756" s="582"/>
      <c r="AL756" s="582"/>
      <c r="AM756" s="579"/>
      <c r="AN756" s="579"/>
      <c r="AO756" s="347"/>
      <c r="AP756" s="586"/>
      <c r="AQ756" s="596"/>
      <c r="AR756" s="596"/>
      <c r="AS756" s="348"/>
      <c r="AT756" s="348"/>
      <c r="AU756" s="348"/>
      <c r="AV756" s="348"/>
      <c r="AW756" s="348"/>
      <c r="AX756" s="584"/>
      <c r="AY756" s="581"/>
      <c r="AZ756" s="581"/>
      <c r="BA756" s="596"/>
      <c r="BB756" s="596"/>
      <c r="BC756" s="348"/>
      <c r="BD756" s="581"/>
      <c r="BE756" s="581"/>
      <c r="BF756" s="347"/>
      <c r="BG756" s="347"/>
      <c r="BH756" s="347"/>
      <c r="BI756" s="347"/>
      <c r="BJ756" s="586"/>
      <c r="BK756" s="581"/>
      <c r="BL756" s="347"/>
      <c r="BM756" s="347"/>
      <c r="BN756" s="347"/>
      <c r="BO756" s="586"/>
      <c r="BP756" s="584"/>
      <c r="BQ756" s="347"/>
      <c r="BR756" s="586"/>
      <c r="BS756" s="588"/>
      <c r="BT756" s="586"/>
      <c r="BU756" s="589"/>
      <c r="BV756" s="581">
        <f t="shared" si="44"/>
        <v>0</v>
      </c>
      <c r="BW756" s="590"/>
      <c r="BX756" s="347"/>
      <c r="BY756" s="347"/>
      <c r="BZ756" s="347"/>
      <c r="CA756" s="586"/>
      <c r="CB756" s="581"/>
      <c r="CC756" s="581">
        <f t="shared" si="193"/>
        <v>0</v>
      </c>
      <c r="CD756" s="581"/>
      <c r="CE756" s="581"/>
      <c r="CF756" s="581"/>
      <c r="CG756" s="586"/>
      <c r="CH756" s="608"/>
      <c r="CI756" s="603"/>
      <c r="CJ756" s="347"/>
      <c r="CK756" s="347"/>
      <c r="CL756" s="347"/>
      <c r="CM756" s="347"/>
      <c r="CN756" s="347"/>
      <c r="CO756" s="347"/>
      <c r="CP756" s="347"/>
    </row>
    <row r="757">
      <c r="A757" s="574"/>
      <c r="B757" s="574"/>
      <c r="C757" s="347"/>
      <c r="D757" s="574"/>
      <c r="E757" s="347"/>
      <c r="F757" s="596"/>
      <c r="G757" s="596"/>
      <c r="H757" s="347"/>
      <c r="I757" s="347"/>
      <c r="J757" s="596"/>
      <c r="K757" s="609"/>
      <c r="L757" s="1"/>
      <c r="M757" s="347"/>
      <c r="N757" s="347"/>
      <c r="O757" s="579"/>
      <c r="P757" s="579"/>
      <c r="Q757" s="574"/>
      <c r="R757" s="347"/>
      <c r="S757" s="597"/>
      <c r="T757" s="347"/>
      <c r="U757" s="579"/>
      <c r="V757" s="579"/>
      <c r="W757" s="574"/>
      <c r="X757" s="347"/>
      <c r="Y757" s="347"/>
      <c r="Z757" s="347"/>
      <c r="AA757" s="579"/>
      <c r="AB757" s="581"/>
      <c r="AC757" s="347"/>
      <c r="AD757" s="347"/>
      <c r="AE757" s="347"/>
      <c r="AF757" s="347"/>
      <c r="AG757" s="579"/>
      <c r="AH757" s="579"/>
      <c r="AI757" s="582"/>
      <c r="AJ757" s="582"/>
      <c r="AK757" s="582"/>
      <c r="AL757" s="582"/>
      <c r="AM757" s="579"/>
      <c r="AN757" s="579"/>
      <c r="AO757" s="347"/>
      <c r="AP757" s="586"/>
      <c r="AQ757" s="596"/>
      <c r="AR757" s="596"/>
      <c r="AS757" s="348"/>
      <c r="AT757" s="348"/>
      <c r="AU757" s="348"/>
      <c r="AV757" s="348"/>
      <c r="AW757" s="348"/>
      <c r="AX757" s="584"/>
      <c r="AY757" s="581"/>
      <c r="AZ757" s="581"/>
      <c r="BA757" s="596"/>
      <c r="BB757" s="596"/>
      <c r="BC757" s="348"/>
      <c r="BD757" s="581"/>
      <c r="BE757" s="581"/>
      <c r="BF757" s="347"/>
      <c r="BG757" s="347"/>
      <c r="BH757" s="347"/>
      <c r="BI757" s="347"/>
      <c r="BJ757" s="586"/>
      <c r="BK757" s="581"/>
      <c r="BL757" s="347"/>
      <c r="BM757" s="347"/>
      <c r="BN757" s="347"/>
      <c r="BO757" s="586"/>
      <c r="BP757" s="584"/>
      <c r="BQ757" s="347"/>
      <c r="BR757" s="586"/>
      <c r="BS757" s="588"/>
      <c r="BT757" s="586"/>
      <c r="BU757" s="589"/>
      <c r="BV757" s="581">
        <f t="shared" si="44"/>
        <v>0</v>
      </c>
      <c r="BW757" s="590"/>
      <c r="BX757" s="347"/>
      <c r="BY757" s="347"/>
      <c r="BZ757" s="347"/>
      <c r="CA757" s="586"/>
      <c r="CB757" s="581"/>
      <c r="CC757" s="581">
        <f t="shared" si="193"/>
        <v>0</v>
      </c>
      <c r="CD757" s="581"/>
      <c r="CE757" s="581"/>
      <c r="CF757" s="581"/>
      <c r="CG757" s="586"/>
      <c r="CH757" s="608"/>
      <c r="CI757" s="603"/>
      <c r="CJ757" s="347"/>
      <c r="CK757" s="347"/>
      <c r="CL757" s="347"/>
      <c r="CM757" s="347"/>
      <c r="CN757" s="347"/>
      <c r="CO757" s="347"/>
      <c r="CP757" s="347"/>
    </row>
    <row r="758">
      <c r="A758" s="574"/>
      <c r="B758" s="574"/>
      <c r="C758" s="347"/>
      <c r="D758" s="574"/>
      <c r="E758" s="347"/>
      <c r="F758" s="596"/>
      <c r="G758" s="596"/>
      <c r="H758" s="347"/>
      <c r="I758" s="347"/>
      <c r="J758" s="596"/>
      <c r="K758" s="609"/>
      <c r="L758" s="1"/>
      <c r="M758" s="347"/>
      <c r="N758" s="347"/>
      <c r="O758" s="579"/>
      <c r="P758" s="579"/>
      <c r="Q758" s="574"/>
      <c r="R758" s="347"/>
      <c r="S758" s="597"/>
      <c r="T758" s="347"/>
      <c r="U758" s="579"/>
      <c r="V758" s="579"/>
      <c r="W758" s="574"/>
      <c r="X758" s="347"/>
      <c r="Y758" s="347"/>
      <c r="Z758" s="347"/>
      <c r="AA758" s="579"/>
      <c r="AB758" s="581"/>
      <c r="AC758" s="347"/>
      <c r="AD758" s="347"/>
      <c r="AE758" s="347"/>
      <c r="AF758" s="347"/>
      <c r="AG758" s="579"/>
      <c r="AH758" s="579"/>
      <c r="AI758" s="582"/>
      <c r="AJ758" s="582"/>
      <c r="AK758" s="582"/>
      <c r="AL758" s="582"/>
      <c r="AM758" s="579"/>
      <c r="AN758" s="579"/>
      <c r="AO758" s="347"/>
      <c r="AP758" s="586"/>
      <c r="AQ758" s="596"/>
      <c r="AR758" s="596"/>
      <c r="AS758" s="348"/>
      <c r="AT758" s="348"/>
      <c r="AU758" s="348"/>
      <c r="AV758" s="348"/>
      <c r="AW758" s="348"/>
      <c r="AX758" s="584"/>
      <c r="AY758" s="581"/>
      <c r="AZ758" s="581"/>
      <c r="BA758" s="596"/>
      <c r="BB758" s="596"/>
      <c r="BC758" s="348"/>
      <c r="BD758" s="581"/>
      <c r="BE758" s="581"/>
      <c r="BF758" s="347"/>
      <c r="BG758" s="347"/>
      <c r="BH758" s="347"/>
      <c r="BI758" s="347"/>
      <c r="BJ758" s="586"/>
      <c r="BK758" s="581"/>
      <c r="BL758" s="347"/>
      <c r="BM758" s="347"/>
      <c r="BN758" s="347"/>
      <c r="BO758" s="586"/>
      <c r="BP758" s="584"/>
      <c r="BQ758" s="347"/>
      <c r="BR758" s="586"/>
      <c r="BS758" s="588"/>
      <c r="BT758" s="586"/>
      <c r="BU758" s="589"/>
      <c r="BV758" s="581">
        <f t="shared" si="44"/>
        <v>0</v>
      </c>
      <c r="BW758" s="590"/>
      <c r="BX758" s="347"/>
      <c r="BY758" s="347"/>
      <c r="BZ758" s="347"/>
      <c r="CA758" s="586"/>
      <c r="CB758" s="581"/>
      <c r="CC758" s="581">
        <f t="shared" si="193"/>
        <v>0</v>
      </c>
      <c r="CD758" s="581"/>
      <c r="CE758" s="581"/>
      <c r="CF758" s="581"/>
      <c r="CG758" s="586"/>
      <c r="CH758" s="608"/>
      <c r="CI758" s="603"/>
      <c r="CJ758" s="347"/>
      <c r="CK758" s="347"/>
      <c r="CL758" s="347"/>
      <c r="CM758" s="347"/>
      <c r="CN758" s="347"/>
      <c r="CO758" s="347"/>
      <c r="CP758" s="347"/>
    </row>
    <row r="759">
      <c r="A759" s="574"/>
      <c r="B759" s="574"/>
      <c r="C759" s="347"/>
      <c r="D759" s="574"/>
      <c r="E759" s="347"/>
      <c r="F759" s="596"/>
      <c r="G759" s="596"/>
      <c r="H759" s="347"/>
      <c r="I759" s="347"/>
      <c r="J759" s="596"/>
      <c r="K759" s="609"/>
      <c r="L759" s="1"/>
      <c r="M759" s="347"/>
      <c r="N759" s="347"/>
      <c r="O759" s="579"/>
      <c r="P759" s="579"/>
      <c r="Q759" s="574"/>
      <c r="R759" s="347"/>
      <c r="S759" s="597"/>
      <c r="T759" s="347"/>
      <c r="U759" s="579"/>
      <c r="V759" s="579"/>
      <c r="W759" s="574"/>
      <c r="X759" s="347"/>
      <c r="Y759" s="347"/>
      <c r="Z759" s="347"/>
      <c r="AA759" s="579"/>
      <c r="AB759" s="581"/>
      <c r="AC759" s="347"/>
      <c r="AD759" s="347"/>
      <c r="AE759" s="347"/>
      <c r="AF759" s="347"/>
      <c r="AG759" s="579"/>
      <c r="AH759" s="579"/>
      <c r="AI759" s="582"/>
      <c r="AJ759" s="582"/>
      <c r="AK759" s="582"/>
      <c r="AL759" s="582"/>
      <c r="AM759" s="579"/>
      <c r="AN759" s="579"/>
      <c r="AO759" s="347"/>
      <c r="AP759" s="586"/>
      <c r="AQ759" s="596"/>
      <c r="AR759" s="596"/>
      <c r="AS759" s="348"/>
      <c r="AT759" s="348"/>
      <c r="AU759" s="348"/>
      <c r="AV759" s="348"/>
      <c r="AW759" s="348"/>
      <c r="AX759" s="584"/>
      <c r="AY759" s="581"/>
      <c r="AZ759" s="581"/>
      <c r="BA759" s="596"/>
      <c r="BB759" s="596"/>
      <c r="BC759" s="348"/>
      <c r="BD759" s="581"/>
      <c r="BE759" s="581"/>
      <c r="BF759" s="347"/>
      <c r="BG759" s="347"/>
      <c r="BH759" s="347"/>
      <c r="BI759" s="347"/>
      <c r="BJ759" s="586"/>
      <c r="BK759" s="581"/>
      <c r="BL759" s="347"/>
      <c r="BM759" s="347"/>
      <c r="BN759" s="347"/>
      <c r="BO759" s="586"/>
      <c r="BP759" s="584"/>
      <c r="BQ759" s="347"/>
      <c r="BR759" s="586"/>
      <c r="BS759" s="588"/>
      <c r="BT759" s="586"/>
      <c r="BU759" s="589"/>
      <c r="BV759" s="581">
        <f t="shared" si="44"/>
        <v>0</v>
      </c>
      <c r="BW759" s="590"/>
      <c r="BX759" s="347"/>
      <c r="BY759" s="347"/>
      <c r="BZ759" s="347"/>
      <c r="CA759" s="586"/>
      <c r="CB759" s="581"/>
      <c r="CC759" s="581">
        <f t="shared" si="193"/>
        <v>0</v>
      </c>
      <c r="CD759" s="581"/>
      <c r="CE759" s="581"/>
      <c r="CF759" s="581"/>
      <c r="CG759" s="586"/>
      <c r="CH759" s="608"/>
      <c r="CI759" s="603"/>
      <c r="CJ759" s="347"/>
      <c r="CK759" s="347"/>
      <c r="CL759" s="347"/>
      <c r="CM759" s="347"/>
      <c r="CN759" s="347"/>
      <c r="CO759" s="347"/>
      <c r="CP759" s="347"/>
    </row>
    <row r="760">
      <c r="A760" s="574"/>
      <c r="B760" s="574"/>
      <c r="C760" s="347"/>
      <c r="D760" s="574"/>
      <c r="E760" s="347"/>
      <c r="F760" s="596"/>
      <c r="G760" s="596"/>
      <c r="H760" s="347"/>
      <c r="I760" s="347"/>
      <c r="J760" s="596"/>
      <c r="K760" s="609"/>
      <c r="L760" s="1"/>
      <c r="M760" s="347"/>
      <c r="N760" s="347"/>
      <c r="O760" s="579"/>
      <c r="P760" s="579"/>
      <c r="Q760" s="574"/>
      <c r="R760" s="347"/>
      <c r="S760" s="597"/>
      <c r="T760" s="347"/>
      <c r="U760" s="579"/>
      <c r="V760" s="579"/>
      <c r="W760" s="574"/>
      <c r="X760" s="347"/>
      <c r="Y760" s="347"/>
      <c r="Z760" s="347"/>
      <c r="AA760" s="579"/>
      <c r="AB760" s="581"/>
      <c r="AC760" s="347"/>
      <c r="AD760" s="347"/>
      <c r="AE760" s="347"/>
      <c r="AF760" s="347"/>
      <c r="AG760" s="579"/>
      <c r="AH760" s="579"/>
      <c r="AI760" s="582"/>
      <c r="AJ760" s="582"/>
      <c r="AK760" s="582"/>
      <c r="AL760" s="582"/>
      <c r="AM760" s="579"/>
      <c r="AN760" s="579"/>
      <c r="AO760" s="347"/>
      <c r="AP760" s="586"/>
      <c r="AQ760" s="596"/>
      <c r="AR760" s="596"/>
      <c r="AS760" s="348"/>
      <c r="AT760" s="348"/>
      <c r="AU760" s="348"/>
      <c r="AV760" s="348"/>
      <c r="AW760" s="348"/>
      <c r="AX760" s="584"/>
      <c r="AY760" s="581"/>
      <c r="AZ760" s="581"/>
      <c r="BA760" s="596"/>
      <c r="BB760" s="596"/>
      <c r="BC760" s="348"/>
      <c r="BD760" s="581"/>
      <c r="BE760" s="581"/>
      <c r="BF760" s="347"/>
      <c r="BG760" s="347"/>
      <c r="BH760" s="347"/>
      <c r="BI760" s="347"/>
      <c r="BJ760" s="586"/>
      <c r="BK760" s="581"/>
      <c r="BL760" s="347"/>
      <c r="BM760" s="347"/>
      <c r="BN760" s="347"/>
      <c r="BO760" s="586"/>
      <c r="BP760" s="584"/>
      <c r="BQ760" s="347"/>
      <c r="BR760" s="586"/>
      <c r="BS760" s="588"/>
      <c r="BT760" s="586"/>
      <c r="BU760" s="589"/>
      <c r="BV760" s="581">
        <f t="shared" si="44"/>
        <v>0</v>
      </c>
      <c r="BW760" s="590"/>
      <c r="BX760" s="347"/>
      <c r="BY760" s="347"/>
      <c r="BZ760" s="347"/>
      <c r="CA760" s="586"/>
      <c r="CB760" s="581"/>
      <c r="CC760" s="581">
        <f t="shared" si="193"/>
        <v>0</v>
      </c>
      <c r="CD760" s="581"/>
      <c r="CE760" s="581"/>
      <c r="CF760" s="581"/>
      <c r="CG760" s="586"/>
      <c r="CH760" s="608"/>
      <c r="CI760" s="603"/>
      <c r="CJ760" s="347"/>
      <c r="CK760" s="347"/>
      <c r="CL760" s="347"/>
      <c r="CM760" s="347"/>
      <c r="CN760" s="347"/>
      <c r="CO760" s="347"/>
      <c r="CP760" s="347"/>
    </row>
    <row r="761">
      <c r="A761" s="574"/>
      <c r="B761" s="574"/>
      <c r="C761" s="347"/>
      <c r="D761" s="574"/>
      <c r="E761" s="347"/>
      <c r="F761" s="596"/>
      <c r="G761" s="596"/>
      <c r="H761" s="347"/>
      <c r="I761" s="347"/>
      <c r="J761" s="596"/>
      <c r="K761" s="609"/>
      <c r="L761" s="1"/>
      <c r="M761" s="347"/>
      <c r="N761" s="347"/>
      <c r="O761" s="579"/>
      <c r="P761" s="579"/>
      <c r="Q761" s="574"/>
      <c r="R761" s="347"/>
      <c r="S761" s="597"/>
      <c r="T761" s="347"/>
      <c r="U761" s="579"/>
      <c r="V761" s="579"/>
      <c r="W761" s="574"/>
      <c r="X761" s="347"/>
      <c r="Y761" s="347"/>
      <c r="Z761" s="347"/>
      <c r="AA761" s="579"/>
      <c r="AB761" s="581"/>
      <c r="AC761" s="347"/>
      <c r="AD761" s="347"/>
      <c r="AE761" s="347"/>
      <c r="AF761" s="347"/>
      <c r="AG761" s="579"/>
      <c r="AH761" s="579"/>
      <c r="AI761" s="582"/>
      <c r="AJ761" s="582"/>
      <c r="AK761" s="582"/>
      <c r="AL761" s="582"/>
      <c r="AM761" s="579"/>
      <c r="AN761" s="579"/>
      <c r="AO761" s="347"/>
      <c r="AP761" s="586"/>
      <c r="AQ761" s="596"/>
      <c r="AR761" s="596"/>
      <c r="AS761" s="348"/>
      <c r="AT761" s="348"/>
      <c r="AU761" s="348"/>
      <c r="AV761" s="348"/>
      <c r="AW761" s="348"/>
      <c r="AX761" s="584"/>
      <c r="AY761" s="581"/>
      <c r="AZ761" s="581"/>
      <c r="BA761" s="596"/>
      <c r="BB761" s="596"/>
      <c r="BC761" s="348"/>
      <c r="BD761" s="581"/>
      <c r="BE761" s="581"/>
      <c r="BF761" s="347"/>
      <c r="BG761" s="347"/>
      <c r="BH761" s="347"/>
      <c r="BI761" s="347"/>
      <c r="BJ761" s="586"/>
      <c r="BK761" s="581"/>
      <c r="BL761" s="347"/>
      <c r="BM761" s="347"/>
      <c r="BN761" s="347"/>
      <c r="BO761" s="586"/>
      <c r="BP761" s="584"/>
      <c r="BQ761" s="347"/>
      <c r="BR761" s="586"/>
      <c r="BS761" s="588"/>
      <c r="BT761" s="586"/>
      <c r="BU761" s="589"/>
      <c r="BV761" s="581">
        <f t="shared" si="44"/>
        <v>0</v>
      </c>
      <c r="BW761" s="590"/>
      <c r="BX761" s="347"/>
      <c r="BY761" s="347"/>
      <c r="BZ761" s="347"/>
      <c r="CA761" s="586"/>
      <c r="CB761" s="581"/>
      <c r="CC761" s="581">
        <f t="shared" si="193"/>
        <v>0</v>
      </c>
      <c r="CD761" s="581"/>
      <c r="CE761" s="581"/>
      <c r="CF761" s="581"/>
      <c r="CG761" s="586"/>
      <c r="CH761" s="608"/>
      <c r="CI761" s="603"/>
      <c r="CJ761" s="347"/>
      <c r="CK761" s="347"/>
      <c r="CL761" s="347"/>
      <c r="CM761" s="347"/>
      <c r="CN761" s="347"/>
      <c r="CO761" s="347"/>
      <c r="CP761" s="347"/>
    </row>
    <row r="762">
      <c r="A762" s="574"/>
      <c r="B762" s="574"/>
      <c r="C762" s="347"/>
      <c r="D762" s="574"/>
      <c r="E762" s="347"/>
      <c r="F762" s="596"/>
      <c r="G762" s="596"/>
      <c r="H762" s="347"/>
      <c r="I762" s="347"/>
      <c r="J762" s="596"/>
      <c r="K762" s="609"/>
      <c r="L762" s="1"/>
      <c r="M762" s="347"/>
      <c r="N762" s="347"/>
      <c r="O762" s="579"/>
      <c r="P762" s="579"/>
      <c r="Q762" s="574"/>
      <c r="R762" s="347"/>
      <c r="S762" s="597"/>
      <c r="T762" s="347"/>
      <c r="U762" s="579"/>
      <c r="V762" s="579"/>
      <c r="W762" s="574"/>
      <c r="X762" s="347"/>
      <c r="Y762" s="347"/>
      <c r="Z762" s="347"/>
      <c r="AA762" s="579"/>
      <c r="AB762" s="581"/>
      <c r="AC762" s="347"/>
      <c r="AD762" s="347"/>
      <c r="AE762" s="347"/>
      <c r="AF762" s="347"/>
      <c r="AG762" s="579"/>
      <c r="AH762" s="579"/>
      <c r="AI762" s="582"/>
      <c r="AJ762" s="582"/>
      <c r="AK762" s="582"/>
      <c r="AL762" s="582"/>
      <c r="AM762" s="579"/>
      <c r="AN762" s="579"/>
      <c r="AO762" s="347"/>
      <c r="AP762" s="586"/>
      <c r="AQ762" s="596"/>
      <c r="AR762" s="596"/>
      <c r="AS762" s="348"/>
      <c r="AT762" s="348"/>
      <c r="AU762" s="348"/>
      <c r="AV762" s="348"/>
      <c r="AW762" s="348"/>
      <c r="AX762" s="584"/>
      <c r="AY762" s="581"/>
      <c r="AZ762" s="581"/>
      <c r="BA762" s="596"/>
      <c r="BB762" s="596"/>
      <c r="BC762" s="348"/>
      <c r="BD762" s="581"/>
      <c r="BE762" s="581"/>
      <c r="BF762" s="347"/>
      <c r="BG762" s="347"/>
      <c r="BH762" s="347"/>
      <c r="BI762" s="347"/>
      <c r="BJ762" s="586"/>
      <c r="BK762" s="581"/>
      <c r="BL762" s="347"/>
      <c r="BM762" s="347"/>
      <c r="BN762" s="347"/>
      <c r="BO762" s="586"/>
      <c r="BP762" s="584"/>
      <c r="BQ762" s="347"/>
      <c r="BR762" s="586"/>
      <c r="BS762" s="588"/>
      <c r="BT762" s="586"/>
      <c r="BU762" s="589"/>
      <c r="BV762" s="581">
        <f t="shared" si="44"/>
        <v>0</v>
      </c>
      <c r="BW762" s="590"/>
      <c r="BX762" s="347"/>
      <c r="BY762" s="347"/>
      <c r="BZ762" s="347"/>
      <c r="CA762" s="586"/>
      <c r="CB762" s="581"/>
      <c r="CC762" s="581">
        <f t="shared" si="193"/>
        <v>0</v>
      </c>
      <c r="CD762" s="581"/>
      <c r="CE762" s="581"/>
      <c r="CF762" s="581"/>
      <c r="CG762" s="586"/>
      <c r="CH762" s="608"/>
      <c r="CI762" s="603"/>
      <c r="CJ762" s="347"/>
      <c r="CK762" s="347"/>
      <c r="CL762" s="347"/>
      <c r="CM762" s="347"/>
      <c r="CN762" s="347"/>
      <c r="CO762" s="347"/>
      <c r="CP762" s="347"/>
    </row>
    <row r="763">
      <c r="A763" s="574"/>
      <c r="B763" s="574"/>
      <c r="C763" s="347"/>
      <c r="D763" s="574"/>
      <c r="E763" s="347"/>
      <c r="F763" s="596"/>
      <c r="G763" s="596"/>
      <c r="H763" s="347"/>
      <c r="I763" s="347"/>
      <c r="J763" s="596"/>
      <c r="K763" s="609"/>
      <c r="L763" s="1"/>
      <c r="M763" s="347"/>
      <c r="N763" s="347"/>
      <c r="O763" s="579"/>
      <c r="P763" s="579"/>
      <c r="Q763" s="574"/>
      <c r="R763" s="347"/>
      <c r="S763" s="597"/>
      <c r="T763" s="347"/>
      <c r="U763" s="579"/>
      <c r="V763" s="579"/>
      <c r="W763" s="574"/>
      <c r="X763" s="347"/>
      <c r="Y763" s="347"/>
      <c r="Z763" s="347"/>
      <c r="AA763" s="579"/>
      <c r="AB763" s="581"/>
      <c r="AC763" s="347"/>
      <c r="AD763" s="347"/>
      <c r="AE763" s="347"/>
      <c r="AF763" s="347"/>
      <c r="AG763" s="579"/>
      <c r="AH763" s="579"/>
      <c r="AI763" s="582"/>
      <c r="AJ763" s="582"/>
      <c r="AK763" s="582"/>
      <c r="AL763" s="582"/>
      <c r="AM763" s="579"/>
      <c r="AN763" s="579"/>
      <c r="AO763" s="347"/>
      <c r="AP763" s="586"/>
      <c r="AQ763" s="596"/>
      <c r="AR763" s="596"/>
      <c r="AS763" s="348"/>
      <c r="AT763" s="348"/>
      <c r="AU763" s="348"/>
      <c r="AV763" s="348"/>
      <c r="AW763" s="348"/>
      <c r="AX763" s="584"/>
      <c r="AY763" s="581"/>
      <c r="AZ763" s="581"/>
      <c r="BA763" s="596"/>
      <c r="BB763" s="596"/>
      <c r="BC763" s="348"/>
      <c r="BD763" s="581"/>
      <c r="BE763" s="581"/>
      <c r="BF763" s="347"/>
      <c r="BG763" s="347"/>
      <c r="BH763" s="347"/>
      <c r="BI763" s="347"/>
      <c r="BJ763" s="586"/>
      <c r="BK763" s="581"/>
      <c r="BL763" s="347"/>
      <c r="BM763" s="347"/>
      <c r="BN763" s="347"/>
      <c r="BO763" s="586"/>
      <c r="BP763" s="584"/>
      <c r="BQ763" s="347"/>
      <c r="BR763" s="586"/>
      <c r="BS763" s="588"/>
      <c r="BT763" s="586"/>
      <c r="BU763" s="589"/>
      <c r="BV763" s="581">
        <f t="shared" si="44"/>
        <v>0</v>
      </c>
      <c r="BW763" s="590"/>
      <c r="BX763" s="347"/>
      <c r="BY763" s="347"/>
      <c r="BZ763" s="347"/>
      <c r="CA763" s="586"/>
      <c r="CB763" s="581"/>
      <c r="CC763" s="581">
        <f t="shared" si="193"/>
        <v>0</v>
      </c>
      <c r="CD763" s="581"/>
      <c r="CE763" s="581"/>
      <c r="CF763" s="581"/>
      <c r="CG763" s="586"/>
      <c r="CH763" s="608"/>
      <c r="CI763" s="603"/>
      <c r="CJ763" s="347"/>
      <c r="CK763" s="347"/>
      <c r="CL763" s="347"/>
      <c r="CM763" s="347"/>
      <c r="CN763" s="347"/>
      <c r="CO763" s="347"/>
      <c r="CP763" s="347"/>
    </row>
    <row r="764">
      <c r="A764" s="574"/>
      <c r="B764" s="574"/>
      <c r="C764" s="347"/>
      <c r="D764" s="574"/>
      <c r="E764" s="347"/>
      <c r="F764" s="596"/>
      <c r="G764" s="596"/>
      <c r="H764" s="347"/>
      <c r="I764" s="347"/>
      <c r="J764" s="596"/>
      <c r="K764" s="609"/>
      <c r="L764" s="1"/>
      <c r="M764" s="347"/>
      <c r="N764" s="347"/>
      <c r="O764" s="579"/>
      <c r="P764" s="579"/>
      <c r="Q764" s="574"/>
      <c r="R764" s="347"/>
      <c r="S764" s="597"/>
      <c r="T764" s="347"/>
      <c r="U764" s="579"/>
      <c r="V764" s="579"/>
      <c r="W764" s="574"/>
      <c r="X764" s="347"/>
      <c r="Y764" s="347"/>
      <c r="Z764" s="347"/>
      <c r="AA764" s="579"/>
      <c r="AB764" s="581"/>
      <c r="AC764" s="347"/>
      <c r="AD764" s="347"/>
      <c r="AE764" s="347"/>
      <c r="AF764" s="347"/>
      <c r="AG764" s="579"/>
      <c r="AH764" s="579"/>
      <c r="AI764" s="582"/>
      <c r="AJ764" s="582"/>
      <c r="AK764" s="582"/>
      <c r="AL764" s="582"/>
      <c r="AM764" s="579"/>
      <c r="AN764" s="579"/>
      <c r="AO764" s="347"/>
      <c r="AP764" s="586"/>
      <c r="AQ764" s="596"/>
      <c r="AR764" s="596"/>
      <c r="AS764" s="348"/>
      <c r="AT764" s="348"/>
      <c r="AU764" s="348"/>
      <c r="AV764" s="348"/>
      <c r="AW764" s="348"/>
      <c r="AX764" s="584"/>
      <c r="AY764" s="581"/>
      <c r="AZ764" s="581"/>
      <c r="BA764" s="596"/>
      <c r="BB764" s="596"/>
      <c r="BC764" s="348"/>
      <c r="BD764" s="581"/>
      <c r="BE764" s="581"/>
      <c r="BF764" s="347"/>
      <c r="BG764" s="347"/>
      <c r="BH764" s="347"/>
      <c r="BI764" s="347"/>
      <c r="BJ764" s="586"/>
      <c r="BK764" s="581"/>
      <c r="BL764" s="347"/>
      <c r="BM764" s="347"/>
      <c r="BN764" s="347"/>
      <c r="BO764" s="586"/>
      <c r="BP764" s="584"/>
      <c r="BQ764" s="347"/>
      <c r="BR764" s="586"/>
      <c r="BS764" s="588"/>
      <c r="BT764" s="586"/>
      <c r="BU764" s="589"/>
      <c r="BV764" s="581">
        <f t="shared" si="44"/>
        <v>0</v>
      </c>
      <c r="BW764" s="590"/>
      <c r="BX764" s="347"/>
      <c r="BY764" s="347"/>
      <c r="BZ764" s="347"/>
      <c r="CA764" s="586"/>
      <c r="CB764" s="581"/>
      <c r="CC764" s="581">
        <f t="shared" si="193"/>
        <v>0</v>
      </c>
      <c r="CD764" s="581"/>
      <c r="CE764" s="581"/>
      <c r="CF764" s="581"/>
      <c r="CG764" s="586"/>
      <c r="CH764" s="608"/>
      <c r="CI764" s="603"/>
      <c r="CJ764" s="347"/>
      <c r="CK764" s="347"/>
      <c r="CL764" s="347"/>
      <c r="CM764" s="347"/>
      <c r="CN764" s="347"/>
      <c r="CO764" s="347"/>
      <c r="CP764" s="347"/>
    </row>
    <row r="765">
      <c r="A765" s="574"/>
      <c r="B765" s="574"/>
      <c r="C765" s="347"/>
      <c r="D765" s="574"/>
      <c r="E765" s="347"/>
      <c r="F765" s="596"/>
      <c r="G765" s="596"/>
      <c r="H765" s="347"/>
      <c r="I765" s="347"/>
      <c r="J765" s="596"/>
      <c r="K765" s="609"/>
      <c r="L765" s="1"/>
      <c r="M765" s="347"/>
      <c r="N765" s="347"/>
      <c r="O765" s="579"/>
      <c r="P765" s="579"/>
      <c r="Q765" s="574"/>
      <c r="R765" s="347"/>
      <c r="S765" s="597"/>
      <c r="T765" s="347"/>
      <c r="U765" s="579"/>
      <c r="V765" s="579"/>
      <c r="W765" s="574"/>
      <c r="X765" s="347"/>
      <c r="Y765" s="347"/>
      <c r="Z765" s="347"/>
      <c r="AA765" s="579"/>
      <c r="AB765" s="581"/>
      <c r="AC765" s="347"/>
      <c r="AD765" s="347"/>
      <c r="AE765" s="347"/>
      <c r="AF765" s="347"/>
      <c r="AG765" s="579"/>
      <c r="AH765" s="579"/>
      <c r="AI765" s="582"/>
      <c r="AJ765" s="582"/>
      <c r="AK765" s="582"/>
      <c r="AL765" s="582"/>
      <c r="AM765" s="579"/>
      <c r="AN765" s="579"/>
      <c r="AO765" s="347"/>
      <c r="AP765" s="586"/>
      <c r="AQ765" s="596"/>
      <c r="AR765" s="596"/>
      <c r="AS765" s="348"/>
      <c r="AT765" s="348"/>
      <c r="AU765" s="348"/>
      <c r="AV765" s="348"/>
      <c r="AW765" s="348"/>
      <c r="AX765" s="584"/>
      <c r="AY765" s="581"/>
      <c r="AZ765" s="581"/>
      <c r="BA765" s="596"/>
      <c r="BB765" s="596"/>
      <c r="BC765" s="348"/>
      <c r="BD765" s="581"/>
      <c r="BE765" s="581"/>
      <c r="BF765" s="347"/>
      <c r="BG765" s="347"/>
      <c r="BH765" s="347"/>
      <c r="BI765" s="347"/>
      <c r="BJ765" s="586"/>
      <c r="BK765" s="581"/>
      <c r="BL765" s="347"/>
      <c r="BM765" s="347"/>
      <c r="BN765" s="347"/>
      <c r="BO765" s="586"/>
      <c r="BP765" s="584"/>
      <c r="BQ765" s="347"/>
      <c r="BR765" s="586"/>
      <c r="BS765" s="588"/>
      <c r="BT765" s="586"/>
      <c r="BU765" s="589"/>
      <c r="BV765" s="581">
        <f t="shared" si="44"/>
        <v>0</v>
      </c>
      <c r="BW765" s="590"/>
      <c r="BX765" s="347"/>
      <c r="BY765" s="347"/>
      <c r="BZ765" s="347"/>
      <c r="CA765" s="586"/>
      <c r="CB765" s="581"/>
      <c r="CC765" s="581">
        <f t="shared" si="193"/>
        <v>0</v>
      </c>
      <c r="CD765" s="581"/>
      <c r="CE765" s="581"/>
      <c r="CF765" s="581"/>
      <c r="CG765" s="586"/>
      <c r="CH765" s="608"/>
      <c r="CI765" s="603"/>
      <c r="CJ765" s="347"/>
      <c r="CK765" s="347"/>
      <c r="CL765" s="347"/>
      <c r="CM765" s="347"/>
      <c r="CN765" s="347"/>
      <c r="CO765" s="347"/>
      <c r="CP765" s="347"/>
    </row>
    <row r="766">
      <c r="A766" s="574"/>
      <c r="B766" s="574"/>
      <c r="C766" s="347"/>
      <c r="D766" s="574"/>
      <c r="E766" s="347"/>
      <c r="F766" s="596"/>
      <c r="G766" s="596"/>
      <c r="H766" s="347"/>
      <c r="I766" s="347"/>
      <c r="J766" s="596"/>
      <c r="K766" s="609"/>
      <c r="L766" s="1"/>
      <c r="M766" s="347"/>
      <c r="N766" s="347"/>
      <c r="O766" s="579"/>
      <c r="P766" s="579"/>
      <c r="Q766" s="574"/>
      <c r="R766" s="347"/>
      <c r="S766" s="597"/>
      <c r="T766" s="347"/>
      <c r="U766" s="579"/>
      <c r="V766" s="579"/>
      <c r="W766" s="574"/>
      <c r="X766" s="347"/>
      <c r="Y766" s="347"/>
      <c r="Z766" s="347"/>
      <c r="AA766" s="579"/>
      <c r="AB766" s="581"/>
      <c r="AC766" s="347"/>
      <c r="AD766" s="347"/>
      <c r="AE766" s="347"/>
      <c r="AF766" s="347"/>
      <c r="AG766" s="579"/>
      <c r="AH766" s="579"/>
      <c r="AI766" s="582"/>
      <c r="AJ766" s="582"/>
      <c r="AK766" s="582"/>
      <c r="AL766" s="582"/>
      <c r="AM766" s="579"/>
      <c r="AN766" s="579"/>
      <c r="AO766" s="347"/>
      <c r="AP766" s="586"/>
      <c r="AQ766" s="596"/>
      <c r="AR766" s="596"/>
      <c r="AS766" s="348"/>
      <c r="AT766" s="348"/>
      <c r="AU766" s="348"/>
      <c r="AV766" s="348"/>
      <c r="AW766" s="348"/>
      <c r="AX766" s="584"/>
      <c r="AY766" s="581"/>
      <c r="AZ766" s="581"/>
      <c r="BA766" s="596"/>
      <c r="BB766" s="596"/>
      <c r="BC766" s="348"/>
      <c r="BD766" s="581"/>
      <c r="BE766" s="581"/>
      <c r="BF766" s="347"/>
      <c r="BG766" s="347"/>
      <c r="BH766" s="347"/>
      <c r="BI766" s="347"/>
      <c r="BJ766" s="586"/>
      <c r="BK766" s="581"/>
      <c r="BL766" s="347"/>
      <c r="BM766" s="347"/>
      <c r="BN766" s="347"/>
      <c r="BO766" s="586"/>
      <c r="BP766" s="584"/>
      <c r="BQ766" s="347"/>
      <c r="BR766" s="586"/>
      <c r="BS766" s="588"/>
      <c r="BT766" s="586"/>
      <c r="BU766" s="589"/>
      <c r="BV766" s="581">
        <f t="shared" si="44"/>
        <v>0</v>
      </c>
      <c r="BW766" s="590"/>
      <c r="BX766" s="347"/>
      <c r="BY766" s="347"/>
      <c r="BZ766" s="347"/>
      <c r="CA766" s="586"/>
      <c r="CB766" s="581"/>
      <c r="CC766" s="581">
        <f t="shared" si="193"/>
        <v>0</v>
      </c>
      <c r="CD766" s="581"/>
      <c r="CE766" s="581"/>
      <c r="CF766" s="581"/>
      <c r="CG766" s="586"/>
      <c r="CH766" s="608"/>
      <c r="CI766" s="603"/>
      <c r="CJ766" s="347"/>
      <c r="CK766" s="347"/>
      <c r="CL766" s="347"/>
      <c r="CM766" s="347"/>
      <c r="CN766" s="347"/>
      <c r="CO766" s="347"/>
      <c r="CP766" s="347"/>
    </row>
    <row r="767">
      <c r="A767" s="574"/>
      <c r="B767" s="574"/>
      <c r="C767" s="347"/>
      <c r="D767" s="574"/>
      <c r="E767" s="347"/>
      <c r="F767" s="596"/>
      <c r="G767" s="596"/>
      <c r="H767" s="347"/>
      <c r="I767" s="347"/>
      <c r="J767" s="596"/>
      <c r="K767" s="609"/>
      <c r="L767" s="1"/>
      <c r="M767" s="347"/>
      <c r="N767" s="347"/>
      <c r="O767" s="579"/>
      <c r="P767" s="579"/>
      <c r="Q767" s="574"/>
      <c r="R767" s="347"/>
      <c r="S767" s="597"/>
      <c r="T767" s="347"/>
      <c r="U767" s="579"/>
      <c r="V767" s="579"/>
      <c r="W767" s="574"/>
      <c r="X767" s="347"/>
      <c r="Y767" s="347"/>
      <c r="Z767" s="347"/>
      <c r="AA767" s="579"/>
      <c r="AB767" s="581"/>
      <c r="AC767" s="347"/>
      <c r="AD767" s="347"/>
      <c r="AE767" s="347"/>
      <c r="AF767" s="347"/>
      <c r="AG767" s="579"/>
      <c r="AH767" s="579"/>
      <c r="AI767" s="582"/>
      <c r="AJ767" s="582"/>
      <c r="AK767" s="582"/>
      <c r="AL767" s="582"/>
      <c r="AM767" s="579"/>
      <c r="AN767" s="579"/>
      <c r="AO767" s="347"/>
      <c r="AP767" s="586"/>
      <c r="AQ767" s="596"/>
      <c r="AR767" s="596"/>
      <c r="AS767" s="348"/>
      <c r="AT767" s="348"/>
      <c r="AU767" s="348"/>
      <c r="AV767" s="348"/>
      <c r="AW767" s="348"/>
      <c r="AX767" s="584"/>
      <c r="AY767" s="581"/>
      <c r="AZ767" s="581"/>
      <c r="BA767" s="596"/>
      <c r="BB767" s="596"/>
      <c r="BC767" s="348"/>
      <c r="BD767" s="581"/>
      <c r="BE767" s="581"/>
      <c r="BF767" s="347"/>
      <c r="BG767" s="347"/>
      <c r="BH767" s="347"/>
      <c r="BI767" s="347"/>
      <c r="BJ767" s="586"/>
      <c r="BK767" s="581"/>
      <c r="BL767" s="347"/>
      <c r="BM767" s="347"/>
      <c r="BN767" s="347"/>
      <c r="BO767" s="586"/>
      <c r="BP767" s="584"/>
      <c r="BQ767" s="347"/>
      <c r="BR767" s="586"/>
      <c r="BS767" s="588"/>
      <c r="BT767" s="586"/>
      <c r="BU767" s="589"/>
      <c r="BV767" s="581">
        <f t="shared" si="44"/>
        <v>0</v>
      </c>
      <c r="BW767" s="590"/>
      <c r="BX767" s="347"/>
      <c r="BY767" s="347"/>
      <c r="BZ767" s="347"/>
      <c r="CA767" s="586"/>
      <c r="CB767" s="581"/>
      <c r="CC767" s="581">
        <f t="shared" si="193"/>
        <v>0</v>
      </c>
      <c r="CD767" s="581"/>
      <c r="CE767" s="581"/>
      <c r="CF767" s="581"/>
      <c r="CG767" s="586"/>
      <c r="CH767" s="608"/>
      <c r="CI767" s="603"/>
      <c r="CJ767" s="347"/>
      <c r="CK767" s="347"/>
      <c r="CL767" s="347"/>
      <c r="CM767" s="347"/>
      <c r="CN767" s="347"/>
      <c r="CO767" s="347"/>
      <c r="CP767" s="347"/>
    </row>
    <row r="768">
      <c r="A768" s="574"/>
      <c r="B768" s="574"/>
      <c r="C768" s="347"/>
      <c r="D768" s="574"/>
      <c r="E768" s="347"/>
      <c r="F768" s="596"/>
      <c r="G768" s="596"/>
      <c r="H768" s="347"/>
      <c r="I768" s="347"/>
      <c r="J768" s="596"/>
      <c r="K768" s="609"/>
      <c r="L768" s="1"/>
      <c r="M768" s="347"/>
      <c r="N768" s="347"/>
      <c r="O768" s="579"/>
      <c r="P768" s="579"/>
      <c r="Q768" s="574"/>
      <c r="R768" s="347"/>
      <c r="S768" s="597"/>
      <c r="T768" s="347"/>
      <c r="U768" s="579"/>
      <c r="V768" s="579"/>
      <c r="W768" s="574"/>
      <c r="X768" s="347"/>
      <c r="Y768" s="347"/>
      <c r="Z768" s="347"/>
      <c r="AA768" s="579"/>
      <c r="AB768" s="581"/>
      <c r="AC768" s="347"/>
      <c r="AD768" s="347"/>
      <c r="AE768" s="347"/>
      <c r="AF768" s="347"/>
      <c r="AG768" s="579"/>
      <c r="AH768" s="579"/>
      <c r="AI768" s="582"/>
      <c r="AJ768" s="582"/>
      <c r="AK768" s="582"/>
      <c r="AL768" s="582"/>
      <c r="AM768" s="579"/>
      <c r="AN768" s="579"/>
      <c r="AO768" s="347"/>
      <c r="AP768" s="586"/>
      <c r="AQ768" s="596"/>
      <c r="AR768" s="596"/>
      <c r="AS768" s="348"/>
      <c r="AT768" s="348"/>
      <c r="AU768" s="348"/>
      <c r="AV768" s="348"/>
      <c r="AW768" s="348"/>
      <c r="AX768" s="584"/>
      <c r="AY768" s="581"/>
      <c r="AZ768" s="581"/>
      <c r="BA768" s="596"/>
      <c r="BB768" s="596"/>
      <c r="BC768" s="348"/>
      <c r="BD768" s="581"/>
      <c r="BE768" s="581"/>
      <c r="BF768" s="347"/>
      <c r="BG768" s="347"/>
      <c r="BH768" s="347"/>
      <c r="BI768" s="347"/>
      <c r="BJ768" s="586"/>
      <c r="BK768" s="581"/>
      <c r="BL768" s="347"/>
      <c r="BM768" s="347"/>
      <c r="BN768" s="347"/>
      <c r="BO768" s="586"/>
      <c r="BP768" s="584"/>
      <c r="BQ768" s="347"/>
      <c r="BR768" s="586"/>
      <c r="BS768" s="588"/>
      <c r="BT768" s="586"/>
      <c r="BU768" s="589"/>
      <c r="BV768" s="581">
        <f t="shared" si="44"/>
        <v>0</v>
      </c>
      <c r="BW768" s="590"/>
      <c r="BX768" s="347"/>
      <c r="BY768" s="347"/>
      <c r="BZ768" s="347"/>
      <c r="CA768" s="586"/>
      <c r="CB768" s="581"/>
      <c r="CC768" s="581">
        <f t="shared" si="193"/>
        <v>0</v>
      </c>
      <c r="CD768" s="581"/>
      <c r="CE768" s="581"/>
      <c r="CF768" s="581"/>
      <c r="CG768" s="586"/>
      <c r="CH768" s="608"/>
      <c r="CI768" s="603"/>
      <c r="CJ768" s="347"/>
      <c r="CK768" s="347"/>
      <c r="CL768" s="347"/>
      <c r="CM768" s="347"/>
      <c r="CN768" s="347"/>
      <c r="CO768" s="347"/>
      <c r="CP768" s="347"/>
    </row>
    <row r="769">
      <c r="A769" s="574"/>
      <c r="B769" s="574"/>
      <c r="C769" s="347"/>
      <c r="D769" s="574"/>
      <c r="E769" s="347"/>
      <c r="F769" s="596"/>
      <c r="G769" s="596"/>
      <c r="H769" s="347"/>
      <c r="I769" s="347"/>
      <c r="J769" s="596"/>
      <c r="K769" s="609"/>
      <c r="L769" s="1"/>
      <c r="M769" s="347"/>
      <c r="N769" s="347"/>
      <c r="O769" s="579"/>
      <c r="P769" s="579"/>
      <c r="Q769" s="574"/>
      <c r="R769" s="347"/>
      <c r="S769" s="597"/>
      <c r="T769" s="347"/>
      <c r="U769" s="579"/>
      <c r="V769" s="579"/>
      <c r="W769" s="574"/>
      <c r="X769" s="347"/>
      <c r="Y769" s="347"/>
      <c r="Z769" s="347"/>
      <c r="AA769" s="579"/>
      <c r="AB769" s="581"/>
      <c r="AC769" s="347"/>
      <c r="AD769" s="347"/>
      <c r="AE769" s="347"/>
      <c r="AF769" s="347"/>
      <c r="AG769" s="579"/>
      <c r="AH769" s="579"/>
      <c r="AI769" s="582"/>
      <c r="AJ769" s="582"/>
      <c r="AK769" s="582"/>
      <c r="AL769" s="582"/>
      <c r="AM769" s="579"/>
      <c r="AN769" s="579"/>
      <c r="AO769" s="347"/>
      <c r="AP769" s="586"/>
      <c r="AQ769" s="596"/>
      <c r="AR769" s="596"/>
      <c r="AS769" s="348"/>
      <c r="AT769" s="348"/>
      <c r="AU769" s="348"/>
      <c r="AV769" s="348"/>
      <c r="AW769" s="348"/>
      <c r="AX769" s="584"/>
      <c r="AY769" s="581"/>
      <c r="AZ769" s="581"/>
      <c r="BA769" s="596"/>
      <c r="BB769" s="596"/>
      <c r="BC769" s="348"/>
      <c r="BD769" s="581"/>
      <c r="BE769" s="581"/>
      <c r="BF769" s="347"/>
      <c r="BG769" s="347"/>
      <c r="BH769" s="347"/>
      <c r="BI769" s="347"/>
      <c r="BJ769" s="586"/>
      <c r="BK769" s="581"/>
      <c r="BL769" s="347"/>
      <c r="BM769" s="347"/>
      <c r="BN769" s="347"/>
      <c r="BO769" s="586"/>
      <c r="BP769" s="584"/>
      <c r="BQ769" s="347"/>
      <c r="BR769" s="586"/>
      <c r="BS769" s="588"/>
      <c r="BT769" s="586"/>
      <c r="BU769" s="589"/>
      <c r="BV769" s="581">
        <f t="shared" si="44"/>
        <v>0</v>
      </c>
      <c r="BW769" s="590"/>
      <c r="BX769" s="347"/>
      <c r="BY769" s="347"/>
      <c r="BZ769" s="347"/>
      <c r="CA769" s="586"/>
      <c r="CB769" s="581"/>
      <c r="CC769" s="581">
        <f t="shared" si="193"/>
        <v>0</v>
      </c>
      <c r="CD769" s="581"/>
      <c r="CE769" s="581"/>
      <c r="CF769" s="581"/>
      <c r="CG769" s="586"/>
      <c r="CH769" s="608"/>
      <c r="CI769" s="603"/>
      <c r="CJ769" s="347"/>
      <c r="CK769" s="347"/>
      <c r="CL769" s="347"/>
      <c r="CM769" s="347"/>
      <c r="CN769" s="347"/>
      <c r="CO769" s="347"/>
      <c r="CP769" s="347"/>
    </row>
    <row r="770">
      <c r="A770" s="574"/>
      <c r="B770" s="574"/>
      <c r="C770" s="347"/>
      <c r="D770" s="574"/>
      <c r="E770" s="347"/>
      <c r="F770" s="596"/>
      <c r="G770" s="596"/>
      <c r="H770" s="347"/>
      <c r="I770" s="347"/>
      <c r="J770" s="596"/>
      <c r="K770" s="609"/>
      <c r="L770" s="1"/>
      <c r="M770" s="347"/>
      <c r="N770" s="347"/>
      <c r="O770" s="579"/>
      <c r="P770" s="579"/>
      <c r="Q770" s="574"/>
      <c r="R770" s="347"/>
      <c r="S770" s="597"/>
      <c r="T770" s="347"/>
      <c r="U770" s="579"/>
      <c r="V770" s="579"/>
      <c r="W770" s="574"/>
      <c r="X770" s="347"/>
      <c r="Y770" s="347"/>
      <c r="Z770" s="347"/>
      <c r="AA770" s="579"/>
      <c r="AB770" s="581"/>
      <c r="AC770" s="347"/>
      <c r="AD770" s="347"/>
      <c r="AE770" s="347"/>
      <c r="AF770" s="347"/>
      <c r="AG770" s="579"/>
      <c r="AH770" s="579"/>
      <c r="AI770" s="582"/>
      <c r="AJ770" s="582"/>
      <c r="AK770" s="582"/>
      <c r="AL770" s="582"/>
      <c r="AM770" s="579"/>
      <c r="AN770" s="579"/>
      <c r="AO770" s="347"/>
      <c r="AP770" s="586"/>
      <c r="AQ770" s="596"/>
      <c r="AR770" s="596"/>
      <c r="AS770" s="348"/>
      <c r="AT770" s="348"/>
      <c r="AU770" s="348"/>
      <c r="AV770" s="348"/>
      <c r="AW770" s="348"/>
      <c r="AX770" s="584"/>
      <c r="AY770" s="581"/>
      <c r="AZ770" s="581"/>
      <c r="BA770" s="596"/>
      <c r="BB770" s="596"/>
      <c r="BC770" s="348"/>
      <c r="BD770" s="581"/>
      <c r="BE770" s="581"/>
      <c r="BF770" s="347"/>
      <c r="BG770" s="347"/>
      <c r="BH770" s="347"/>
      <c r="BI770" s="347"/>
      <c r="BJ770" s="586"/>
      <c r="BK770" s="581"/>
      <c r="BL770" s="347"/>
      <c r="BM770" s="347"/>
      <c r="BN770" s="347"/>
      <c r="BO770" s="586"/>
      <c r="BP770" s="584"/>
      <c r="BQ770" s="347"/>
      <c r="BR770" s="586"/>
      <c r="BS770" s="588"/>
      <c r="BT770" s="586"/>
      <c r="BU770" s="589"/>
      <c r="BV770" s="581">
        <f t="shared" si="44"/>
        <v>0</v>
      </c>
      <c r="BW770" s="590"/>
      <c r="BX770" s="347"/>
      <c r="BY770" s="347"/>
      <c r="BZ770" s="347"/>
      <c r="CA770" s="586"/>
      <c r="CB770" s="581"/>
      <c r="CC770" s="581">
        <f t="shared" si="193"/>
        <v>0</v>
      </c>
      <c r="CD770" s="581"/>
      <c r="CE770" s="581"/>
      <c r="CF770" s="581"/>
      <c r="CG770" s="586"/>
      <c r="CH770" s="608"/>
      <c r="CI770" s="603"/>
      <c r="CJ770" s="347"/>
      <c r="CK770" s="347"/>
      <c r="CL770" s="347"/>
      <c r="CM770" s="347"/>
      <c r="CN770" s="347"/>
      <c r="CO770" s="347"/>
      <c r="CP770" s="347"/>
    </row>
    <row r="771">
      <c r="A771" s="574"/>
      <c r="B771" s="574"/>
      <c r="C771" s="347"/>
      <c r="D771" s="574"/>
      <c r="E771" s="347"/>
      <c r="F771" s="596"/>
      <c r="G771" s="596"/>
      <c r="H771" s="347"/>
      <c r="I771" s="347"/>
      <c r="J771" s="596"/>
      <c r="K771" s="609"/>
      <c r="L771" s="1"/>
      <c r="M771" s="347"/>
      <c r="N771" s="347"/>
      <c r="O771" s="579"/>
      <c r="P771" s="579"/>
      <c r="Q771" s="574"/>
      <c r="R771" s="347"/>
      <c r="S771" s="597"/>
      <c r="T771" s="347"/>
      <c r="U771" s="579"/>
      <c r="V771" s="579"/>
      <c r="W771" s="574"/>
      <c r="X771" s="347"/>
      <c r="Y771" s="347"/>
      <c r="Z771" s="347"/>
      <c r="AA771" s="579"/>
      <c r="AB771" s="581"/>
      <c r="AC771" s="347"/>
      <c r="AD771" s="347"/>
      <c r="AE771" s="347"/>
      <c r="AF771" s="347"/>
      <c r="AG771" s="579"/>
      <c r="AH771" s="579"/>
      <c r="AI771" s="582"/>
      <c r="AJ771" s="582"/>
      <c r="AK771" s="582"/>
      <c r="AL771" s="582"/>
      <c r="AM771" s="579"/>
      <c r="AN771" s="579"/>
      <c r="AO771" s="347"/>
      <c r="AP771" s="586"/>
      <c r="AQ771" s="596"/>
      <c r="AR771" s="596"/>
      <c r="AS771" s="348"/>
      <c r="AT771" s="348"/>
      <c r="AU771" s="348"/>
      <c r="AV771" s="348"/>
      <c r="AW771" s="348"/>
      <c r="AX771" s="584"/>
      <c r="AY771" s="581"/>
      <c r="AZ771" s="581"/>
      <c r="BA771" s="596"/>
      <c r="BB771" s="596"/>
      <c r="BC771" s="348"/>
      <c r="BD771" s="581"/>
      <c r="BE771" s="581"/>
      <c r="BF771" s="347"/>
      <c r="BG771" s="347"/>
      <c r="BH771" s="347"/>
      <c r="BI771" s="347"/>
      <c r="BJ771" s="586"/>
      <c r="BK771" s="581"/>
      <c r="BL771" s="347"/>
      <c r="BM771" s="347"/>
      <c r="BN771" s="347"/>
      <c r="BO771" s="586"/>
      <c r="BP771" s="584"/>
      <c r="BQ771" s="347"/>
      <c r="BR771" s="586"/>
      <c r="BS771" s="588"/>
      <c r="BT771" s="586"/>
      <c r="BU771" s="589"/>
      <c r="BV771" s="581">
        <f t="shared" si="44"/>
        <v>0</v>
      </c>
      <c r="BW771" s="590"/>
      <c r="BX771" s="347"/>
      <c r="BY771" s="347"/>
      <c r="BZ771" s="347"/>
      <c r="CA771" s="586"/>
      <c r="CB771" s="581"/>
      <c r="CC771" s="581">
        <f t="shared" si="193"/>
        <v>0</v>
      </c>
      <c r="CD771" s="581"/>
      <c r="CE771" s="581"/>
      <c r="CF771" s="581"/>
      <c r="CG771" s="586"/>
      <c r="CH771" s="608"/>
      <c r="CI771" s="603"/>
      <c r="CJ771" s="347"/>
      <c r="CK771" s="347"/>
      <c r="CL771" s="347"/>
      <c r="CM771" s="347"/>
      <c r="CN771" s="347"/>
      <c r="CO771" s="347"/>
      <c r="CP771" s="347"/>
    </row>
    <row r="772">
      <c r="A772" s="574"/>
      <c r="B772" s="574"/>
      <c r="C772" s="347"/>
      <c r="D772" s="574"/>
      <c r="E772" s="347"/>
      <c r="F772" s="596"/>
      <c r="G772" s="596"/>
      <c r="H772" s="347"/>
      <c r="I772" s="347"/>
      <c r="J772" s="596"/>
      <c r="K772" s="609"/>
      <c r="L772" s="1"/>
      <c r="M772" s="347"/>
      <c r="N772" s="347"/>
      <c r="O772" s="579"/>
      <c r="P772" s="579"/>
      <c r="Q772" s="574"/>
      <c r="R772" s="347"/>
      <c r="S772" s="597"/>
      <c r="T772" s="347"/>
      <c r="U772" s="579"/>
      <c r="V772" s="579"/>
      <c r="W772" s="574"/>
      <c r="X772" s="347"/>
      <c r="Y772" s="347"/>
      <c r="Z772" s="347"/>
      <c r="AA772" s="579"/>
      <c r="AB772" s="581"/>
      <c r="AC772" s="347"/>
      <c r="AD772" s="347"/>
      <c r="AE772" s="347"/>
      <c r="AF772" s="347"/>
      <c r="AG772" s="579"/>
      <c r="AH772" s="579"/>
      <c r="AI772" s="582"/>
      <c r="AJ772" s="582"/>
      <c r="AK772" s="582"/>
      <c r="AL772" s="582"/>
      <c r="AM772" s="579"/>
      <c r="AN772" s="579"/>
      <c r="AO772" s="347"/>
      <c r="AP772" s="586"/>
      <c r="AQ772" s="596"/>
      <c r="AR772" s="596"/>
      <c r="AS772" s="348"/>
      <c r="AT772" s="348"/>
      <c r="AU772" s="348"/>
      <c r="AV772" s="348"/>
      <c r="AW772" s="348"/>
      <c r="AX772" s="584"/>
      <c r="AY772" s="581"/>
      <c r="AZ772" s="581"/>
      <c r="BA772" s="596"/>
      <c r="BB772" s="596"/>
      <c r="BC772" s="348"/>
      <c r="BD772" s="581"/>
      <c r="BE772" s="581"/>
      <c r="BF772" s="347"/>
      <c r="BG772" s="347"/>
      <c r="BH772" s="347"/>
      <c r="BI772" s="347"/>
      <c r="BJ772" s="586"/>
      <c r="BK772" s="581"/>
      <c r="BL772" s="347"/>
      <c r="BM772" s="347"/>
      <c r="BN772" s="347"/>
      <c r="BO772" s="586"/>
      <c r="BP772" s="584"/>
      <c r="BQ772" s="347"/>
      <c r="BR772" s="586"/>
      <c r="BS772" s="588"/>
      <c r="BT772" s="586"/>
      <c r="BU772" s="589"/>
      <c r="BV772" s="581">
        <f t="shared" si="44"/>
        <v>0</v>
      </c>
      <c r="BW772" s="590"/>
      <c r="BX772" s="347"/>
      <c r="BY772" s="347"/>
      <c r="BZ772" s="347"/>
      <c r="CA772" s="586"/>
      <c r="CB772" s="581"/>
      <c r="CC772" s="581">
        <f t="shared" si="193"/>
        <v>0</v>
      </c>
      <c r="CD772" s="581"/>
      <c r="CE772" s="581"/>
      <c r="CF772" s="581"/>
      <c r="CG772" s="586"/>
      <c r="CH772" s="608"/>
      <c r="CI772" s="603"/>
      <c r="CJ772" s="347"/>
      <c r="CK772" s="347"/>
      <c r="CL772" s="347"/>
      <c r="CM772" s="347"/>
      <c r="CN772" s="347"/>
      <c r="CO772" s="347"/>
      <c r="CP772" s="347"/>
    </row>
    <row r="773">
      <c r="A773" s="574"/>
      <c r="B773" s="574"/>
      <c r="C773" s="347"/>
      <c r="D773" s="574"/>
      <c r="E773" s="347"/>
      <c r="F773" s="596"/>
      <c r="G773" s="596"/>
      <c r="H773" s="347"/>
      <c r="I773" s="347"/>
      <c r="J773" s="596"/>
      <c r="K773" s="609"/>
      <c r="L773" s="1"/>
      <c r="M773" s="347"/>
      <c r="N773" s="347"/>
      <c r="O773" s="579"/>
      <c r="P773" s="579"/>
      <c r="Q773" s="574"/>
      <c r="R773" s="347"/>
      <c r="S773" s="597"/>
      <c r="T773" s="347"/>
      <c r="U773" s="579"/>
      <c r="V773" s="579"/>
      <c r="W773" s="574"/>
      <c r="X773" s="347"/>
      <c r="Y773" s="347"/>
      <c r="Z773" s="347"/>
      <c r="AA773" s="579"/>
      <c r="AB773" s="581"/>
      <c r="AC773" s="347"/>
      <c r="AD773" s="347"/>
      <c r="AE773" s="347"/>
      <c r="AF773" s="347"/>
      <c r="AG773" s="579"/>
      <c r="AH773" s="579"/>
      <c r="AI773" s="582"/>
      <c r="AJ773" s="582"/>
      <c r="AK773" s="582"/>
      <c r="AL773" s="582"/>
      <c r="AM773" s="579"/>
      <c r="AN773" s="579"/>
      <c r="AO773" s="347"/>
      <c r="AP773" s="586"/>
      <c r="AQ773" s="596"/>
      <c r="AR773" s="596"/>
      <c r="AS773" s="348"/>
      <c r="AT773" s="348"/>
      <c r="AU773" s="348"/>
      <c r="AV773" s="348"/>
      <c r="AW773" s="348"/>
      <c r="AX773" s="584"/>
      <c r="AY773" s="581"/>
      <c r="AZ773" s="581"/>
      <c r="BA773" s="596"/>
      <c r="BB773" s="596"/>
      <c r="BC773" s="348"/>
      <c r="BD773" s="581"/>
      <c r="BE773" s="581"/>
      <c r="BF773" s="347"/>
      <c r="BG773" s="347"/>
      <c r="BH773" s="347"/>
      <c r="BI773" s="347"/>
      <c r="BJ773" s="586"/>
      <c r="BK773" s="581"/>
      <c r="BL773" s="347"/>
      <c r="BM773" s="347"/>
      <c r="BN773" s="347"/>
      <c r="BO773" s="586"/>
      <c r="BP773" s="584"/>
      <c r="BQ773" s="347"/>
      <c r="BR773" s="586"/>
      <c r="BS773" s="588"/>
      <c r="BT773" s="586"/>
      <c r="BU773" s="589"/>
      <c r="BV773" s="581">
        <f t="shared" si="44"/>
        <v>0</v>
      </c>
      <c r="BW773" s="590"/>
      <c r="BX773" s="347"/>
      <c r="BY773" s="347"/>
      <c r="BZ773" s="347"/>
      <c r="CA773" s="586"/>
      <c r="CB773" s="581"/>
      <c r="CC773" s="581">
        <f t="shared" si="193"/>
        <v>0</v>
      </c>
      <c r="CD773" s="581"/>
      <c r="CE773" s="581"/>
      <c r="CF773" s="581"/>
      <c r="CG773" s="586"/>
      <c r="CH773" s="608"/>
      <c r="CI773" s="603"/>
      <c r="CJ773" s="347"/>
      <c r="CK773" s="347"/>
      <c r="CL773" s="347"/>
      <c r="CM773" s="347"/>
      <c r="CN773" s="347"/>
      <c r="CO773" s="347"/>
      <c r="CP773" s="347"/>
    </row>
    <row r="774">
      <c r="A774" s="574"/>
      <c r="B774" s="574"/>
      <c r="C774" s="347"/>
      <c r="D774" s="574"/>
      <c r="E774" s="347"/>
      <c r="F774" s="596"/>
      <c r="G774" s="596"/>
      <c r="H774" s="347"/>
      <c r="I774" s="347"/>
      <c r="J774" s="596"/>
      <c r="K774" s="609"/>
      <c r="L774" s="1"/>
      <c r="M774" s="347"/>
      <c r="N774" s="347"/>
      <c r="O774" s="579"/>
      <c r="P774" s="579"/>
      <c r="Q774" s="574"/>
      <c r="R774" s="347"/>
      <c r="S774" s="597"/>
      <c r="T774" s="347"/>
      <c r="U774" s="579"/>
      <c r="V774" s="579"/>
      <c r="W774" s="574"/>
      <c r="X774" s="347"/>
      <c r="Y774" s="347"/>
      <c r="Z774" s="347"/>
      <c r="AA774" s="579"/>
      <c r="AB774" s="581"/>
      <c r="AC774" s="347"/>
      <c r="AD774" s="347"/>
      <c r="AE774" s="347"/>
      <c r="AF774" s="347"/>
      <c r="AG774" s="579"/>
      <c r="AH774" s="579"/>
      <c r="AI774" s="582"/>
      <c r="AJ774" s="582"/>
      <c r="AK774" s="582"/>
      <c r="AL774" s="582"/>
      <c r="AM774" s="579"/>
      <c r="AN774" s="579"/>
      <c r="AO774" s="347"/>
      <c r="AP774" s="586"/>
      <c r="AQ774" s="596"/>
      <c r="AR774" s="596"/>
      <c r="AS774" s="348"/>
      <c r="AT774" s="348"/>
      <c r="AU774" s="348"/>
      <c r="AV774" s="348"/>
      <c r="AW774" s="348"/>
      <c r="AX774" s="584"/>
      <c r="AY774" s="581"/>
      <c r="AZ774" s="581"/>
      <c r="BA774" s="596"/>
      <c r="BB774" s="596"/>
      <c r="BC774" s="348"/>
      <c r="BD774" s="581"/>
      <c r="BE774" s="581"/>
      <c r="BF774" s="347"/>
      <c r="BG774" s="347"/>
      <c r="BH774" s="347"/>
      <c r="BI774" s="347"/>
      <c r="BJ774" s="586"/>
      <c r="BK774" s="581"/>
      <c r="BL774" s="347"/>
      <c r="BM774" s="347"/>
      <c r="BN774" s="347"/>
      <c r="BO774" s="586"/>
      <c r="BP774" s="584"/>
      <c r="BQ774" s="347"/>
      <c r="BR774" s="586"/>
      <c r="BS774" s="588"/>
      <c r="BT774" s="586"/>
      <c r="BU774" s="589"/>
      <c r="BV774" s="581">
        <f t="shared" si="44"/>
        <v>0</v>
      </c>
      <c r="BW774" s="590"/>
      <c r="BX774" s="347"/>
      <c r="BY774" s="347"/>
      <c r="BZ774" s="347"/>
      <c r="CA774" s="586"/>
      <c r="CB774" s="581"/>
      <c r="CC774" s="581">
        <f t="shared" si="193"/>
        <v>0</v>
      </c>
      <c r="CD774" s="581"/>
      <c r="CE774" s="581"/>
      <c r="CF774" s="581"/>
      <c r="CG774" s="586"/>
      <c r="CH774" s="608"/>
      <c r="CI774" s="603"/>
      <c r="CJ774" s="347"/>
      <c r="CK774" s="347"/>
      <c r="CL774" s="347"/>
      <c r="CM774" s="347"/>
      <c r="CN774" s="347"/>
      <c r="CO774" s="347"/>
      <c r="CP774" s="347"/>
    </row>
    <row r="775">
      <c r="A775" s="574"/>
      <c r="B775" s="574"/>
      <c r="C775" s="347"/>
      <c r="D775" s="574"/>
      <c r="E775" s="347"/>
      <c r="F775" s="596"/>
      <c r="G775" s="596"/>
      <c r="H775" s="347"/>
      <c r="I775" s="347"/>
      <c r="J775" s="596"/>
      <c r="K775" s="609"/>
      <c r="L775" s="1"/>
      <c r="M775" s="347"/>
      <c r="N775" s="347"/>
      <c r="O775" s="579"/>
      <c r="P775" s="579"/>
      <c r="Q775" s="574"/>
      <c r="R775" s="347"/>
      <c r="S775" s="597"/>
      <c r="T775" s="347"/>
      <c r="U775" s="579"/>
      <c r="V775" s="579"/>
      <c r="W775" s="574"/>
      <c r="X775" s="347"/>
      <c r="Y775" s="347"/>
      <c r="Z775" s="347"/>
      <c r="AA775" s="579"/>
      <c r="AB775" s="581"/>
      <c r="AC775" s="347"/>
      <c r="AD775" s="347"/>
      <c r="AE775" s="347"/>
      <c r="AF775" s="347"/>
      <c r="AG775" s="579"/>
      <c r="AH775" s="579"/>
      <c r="AI775" s="582"/>
      <c r="AJ775" s="582"/>
      <c r="AK775" s="582"/>
      <c r="AL775" s="582"/>
      <c r="AM775" s="579"/>
      <c r="AN775" s="579"/>
      <c r="AO775" s="347"/>
      <c r="AP775" s="586"/>
      <c r="AQ775" s="596"/>
      <c r="AR775" s="596"/>
      <c r="AS775" s="348"/>
      <c r="AT775" s="348"/>
      <c r="AU775" s="348"/>
      <c r="AV775" s="348"/>
      <c r="AW775" s="348"/>
      <c r="AX775" s="584"/>
      <c r="AY775" s="581"/>
      <c r="AZ775" s="581"/>
      <c r="BA775" s="596"/>
      <c r="BB775" s="596"/>
      <c r="BC775" s="348"/>
      <c r="BD775" s="581"/>
      <c r="BE775" s="581"/>
      <c r="BF775" s="347"/>
      <c r="BG775" s="347"/>
      <c r="BH775" s="347"/>
      <c r="BI775" s="347"/>
      <c r="BJ775" s="586"/>
      <c r="BK775" s="581"/>
      <c r="BL775" s="347"/>
      <c r="BM775" s="347"/>
      <c r="BN775" s="347"/>
      <c r="BO775" s="586"/>
      <c r="BP775" s="584"/>
      <c r="BQ775" s="347"/>
      <c r="BR775" s="586"/>
      <c r="BS775" s="588"/>
      <c r="BT775" s="586"/>
      <c r="BU775" s="589"/>
      <c r="BV775" s="581">
        <f t="shared" si="44"/>
        <v>0</v>
      </c>
      <c r="BW775" s="590"/>
      <c r="BX775" s="347"/>
      <c r="BY775" s="347"/>
      <c r="BZ775" s="347"/>
      <c r="CA775" s="586"/>
      <c r="CB775" s="581"/>
      <c r="CC775" s="581">
        <f t="shared" si="193"/>
        <v>0</v>
      </c>
      <c r="CD775" s="581"/>
      <c r="CE775" s="581"/>
      <c r="CF775" s="581"/>
      <c r="CG775" s="586"/>
      <c r="CH775" s="608"/>
      <c r="CI775" s="603"/>
      <c r="CJ775" s="347"/>
      <c r="CK775" s="347"/>
      <c r="CL775" s="347"/>
      <c r="CM775" s="347"/>
      <c r="CN775" s="347"/>
      <c r="CO775" s="347"/>
      <c r="CP775" s="347"/>
    </row>
    <row r="776">
      <c r="A776" s="574"/>
      <c r="B776" s="574"/>
      <c r="C776" s="347"/>
      <c r="D776" s="574"/>
      <c r="E776" s="347"/>
      <c r="F776" s="596"/>
      <c r="G776" s="596"/>
      <c r="H776" s="347"/>
      <c r="I776" s="347"/>
      <c r="J776" s="596"/>
      <c r="K776" s="609"/>
      <c r="L776" s="1"/>
      <c r="M776" s="347"/>
      <c r="N776" s="347"/>
      <c r="O776" s="579"/>
      <c r="P776" s="579"/>
      <c r="Q776" s="574"/>
      <c r="R776" s="347"/>
      <c r="S776" s="597"/>
      <c r="T776" s="347"/>
      <c r="U776" s="579"/>
      <c r="V776" s="579"/>
      <c r="W776" s="574"/>
      <c r="X776" s="347"/>
      <c r="Y776" s="347"/>
      <c r="Z776" s="347"/>
      <c r="AA776" s="579"/>
      <c r="AB776" s="581"/>
      <c r="AC776" s="347"/>
      <c r="AD776" s="347"/>
      <c r="AE776" s="347"/>
      <c r="AF776" s="347"/>
      <c r="AG776" s="579"/>
      <c r="AH776" s="579"/>
      <c r="AI776" s="582"/>
      <c r="AJ776" s="582"/>
      <c r="AK776" s="582"/>
      <c r="AL776" s="582"/>
      <c r="AM776" s="579"/>
      <c r="AN776" s="579"/>
      <c r="AO776" s="347"/>
      <c r="AP776" s="586"/>
      <c r="AQ776" s="596"/>
      <c r="AR776" s="596"/>
      <c r="AS776" s="348"/>
      <c r="AT776" s="348"/>
      <c r="AU776" s="348"/>
      <c r="AV776" s="348"/>
      <c r="AW776" s="348"/>
      <c r="AX776" s="584"/>
      <c r="AY776" s="581"/>
      <c r="AZ776" s="581"/>
      <c r="BA776" s="596"/>
      <c r="BB776" s="596"/>
      <c r="BC776" s="348"/>
      <c r="BD776" s="581"/>
      <c r="BE776" s="581"/>
      <c r="BF776" s="347"/>
      <c r="BG776" s="347"/>
      <c r="BH776" s="347"/>
      <c r="BI776" s="347"/>
      <c r="BJ776" s="586"/>
      <c r="BK776" s="581"/>
      <c r="BL776" s="347"/>
      <c r="BM776" s="347"/>
      <c r="BN776" s="347"/>
      <c r="BO776" s="586"/>
      <c r="BP776" s="584"/>
      <c r="BQ776" s="347"/>
      <c r="BR776" s="586"/>
      <c r="BS776" s="588"/>
      <c r="BT776" s="586"/>
      <c r="BU776" s="589"/>
      <c r="BV776" s="581">
        <f t="shared" si="44"/>
        <v>0</v>
      </c>
      <c r="BW776" s="590"/>
      <c r="BX776" s="347"/>
      <c r="BY776" s="347"/>
      <c r="BZ776" s="347"/>
      <c r="CA776" s="586"/>
      <c r="CB776" s="581"/>
      <c r="CC776" s="581">
        <f t="shared" si="193"/>
        <v>0</v>
      </c>
      <c r="CD776" s="581"/>
      <c r="CE776" s="581"/>
      <c r="CF776" s="581"/>
      <c r="CG776" s="586"/>
      <c r="CH776" s="608"/>
      <c r="CI776" s="603"/>
      <c r="CJ776" s="347"/>
      <c r="CK776" s="347"/>
      <c r="CL776" s="347"/>
      <c r="CM776" s="347"/>
      <c r="CN776" s="347"/>
      <c r="CO776" s="347"/>
      <c r="CP776" s="347"/>
    </row>
    <row r="777">
      <c r="A777" s="574"/>
      <c r="B777" s="574"/>
      <c r="C777" s="347"/>
      <c r="D777" s="574"/>
      <c r="E777" s="347"/>
      <c r="F777" s="596"/>
      <c r="G777" s="596"/>
      <c r="H777" s="347"/>
      <c r="I777" s="347"/>
      <c r="J777" s="596"/>
      <c r="K777" s="609"/>
      <c r="L777" s="1"/>
      <c r="M777" s="347"/>
      <c r="N777" s="347"/>
      <c r="O777" s="579"/>
      <c r="P777" s="579"/>
      <c r="Q777" s="574"/>
      <c r="R777" s="347"/>
      <c r="S777" s="597"/>
      <c r="T777" s="347"/>
      <c r="U777" s="579"/>
      <c r="V777" s="579"/>
      <c r="W777" s="574"/>
      <c r="X777" s="347"/>
      <c r="Y777" s="347"/>
      <c r="Z777" s="347"/>
      <c r="AA777" s="579"/>
      <c r="AB777" s="581"/>
      <c r="AC777" s="347"/>
      <c r="AD777" s="347"/>
      <c r="AE777" s="347"/>
      <c r="AF777" s="347"/>
      <c r="AG777" s="579"/>
      <c r="AH777" s="579"/>
      <c r="AI777" s="582"/>
      <c r="AJ777" s="582"/>
      <c r="AK777" s="582"/>
      <c r="AL777" s="582"/>
      <c r="AM777" s="579"/>
      <c r="AN777" s="579"/>
      <c r="AO777" s="347"/>
      <c r="AP777" s="586"/>
      <c r="AQ777" s="596"/>
      <c r="AR777" s="596"/>
      <c r="AS777" s="348"/>
      <c r="AT777" s="348"/>
      <c r="AU777" s="348"/>
      <c r="AV777" s="348"/>
      <c r="AW777" s="348"/>
      <c r="AX777" s="584"/>
      <c r="AY777" s="581"/>
      <c r="AZ777" s="581"/>
      <c r="BA777" s="596"/>
      <c r="BB777" s="596"/>
      <c r="BC777" s="348"/>
      <c r="BD777" s="581"/>
      <c r="BE777" s="581"/>
      <c r="BF777" s="347"/>
      <c r="BG777" s="347"/>
      <c r="BH777" s="347"/>
      <c r="BI777" s="347"/>
      <c r="BJ777" s="586"/>
      <c r="BK777" s="581"/>
      <c r="BL777" s="347"/>
      <c r="BM777" s="347"/>
      <c r="BN777" s="347"/>
      <c r="BO777" s="586"/>
      <c r="BP777" s="584"/>
      <c r="BQ777" s="347"/>
      <c r="BR777" s="586"/>
      <c r="BS777" s="588"/>
      <c r="BT777" s="586"/>
      <c r="BU777" s="589"/>
      <c r="BV777" s="581">
        <f t="shared" si="44"/>
        <v>0</v>
      </c>
      <c r="BW777" s="590"/>
      <c r="BX777" s="347"/>
      <c r="BY777" s="347"/>
      <c r="BZ777" s="347"/>
      <c r="CA777" s="586"/>
      <c r="CB777" s="581"/>
      <c r="CC777" s="581">
        <f t="shared" si="193"/>
        <v>0</v>
      </c>
      <c r="CD777" s="581"/>
      <c r="CE777" s="581"/>
      <c r="CF777" s="581"/>
      <c r="CG777" s="586"/>
      <c r="CH777" s="608"/>
      <c r="CI777" s="603"/>
      <c r="CJ777" s="347"/>
      <c r="CK777" s="347"/>
      <c r="CL777" s="347"/>
      <c r="CM777" s="347"/>
      <c r="CN777" s="347"/>
      <c r="CO777" s="347"/>
      <c r="CP777" s="347"/>
    </row>
    <row r="778">
      <c r="A778" s="574"/>
      <c r="B778" s="574"/>
      <c r="C778" s="347"/>
      <c r="D778" s="574"/>
      <c r="E778" s="347"/>
      <c r="F778" s="596"/>
      <c r="G778" s="596"/>
      <c r="H778" s="347"/>
      <c r="I778" s="347"/>
      <c r="J778" s="596"/>
      <c r="K778" s="609"/>
      <c r="L778" s="1"/>
      <c r="M778" s="347"/>
      <c r="N778" s="347"/>
      <c r="O778" s="579"/>
      <c r="P778" s="579"/>
      <c r="Q778" s="574"/>
      <c r="R778" s="347"/>
      <c r="S778" s="597"/>
      <c r="T778" s="347"/>
      <c r="U778" s="579"/>
      <c r="V778" s="579"/>
      <c r="W778" s="574"/>
      <c r="X778" s="347"/>
      <c r="Y778" s="347"/>
      <c r="Z778" s="347"/>
      <c r="AA778" s="579"/>
      <c r="AB778" s="581"/>
      <c r="AC778" s="347"/>
      <c r="AD778" s="347"/>
      <c r="AE778" s="347"/>
      <c r="AF778" s="347"/>
      <c r="AG778" s="579"/>
      <c r="AH778" s="579"/>
      <c r="AI778" s="582"/>
      <c r="AJ778" s="582"/>
      <c r="AK778" s="582"/>
      <c r="AL778" s="582"/>
      <c r="AM778" s="579"/>
      <c r="AN778" s="579"/>
      <c r="AO778" s="347"/>
      <c r="AP778" s="586"/>
      <c r="AQ778" s="596"/>
      <c r="AR778" s="596"/>
      <c r="AS778" s="348"/>
      <c r="AT778" s="348"/>
      <c r="AU778" s="348"/>
      <c r="AV778" s="348"/>
      <c r="AW778" s="348"/>
      <c r="AX778" s="584"/>
      <c r="AY778" s="581"/>
      <c r="AZ778" s="581"/>
      <c r="BA778" s="596"/>
      <c r="BB778" s="596"/>
      <c r="BC778" s="348"/>
      <c r="BD778" s="581"/>
      <c r="BE778" s="581"/>
      <c r="BF778" s="347"/>
      <c r="BG778" s="347"/>
      <c r="BH778" s="347"/>
      <c r="BI778" s="347"/>
      <c r="BJ778" s="586"/>
      <c r="BK778" s="581"/>
      <c r="BL778" s="347"/>
      <c r="BM778" s="347"/>
      <c r="BN778" s="347"/>
      <c r="BO778" s="586"/>
      <c r="BP778" s="584"/>
      <c r="BQ778" s="347"/>
      <c r="BR778" s="586"/>
      <c r="BS778" s="588"/>
      <c r="BT778" s="586"/>
      <c r="BU778" s="589"/>
      <c r="BV778" s="581">
        <f t="shared" si="44"/>
        <v>0</v>
      </c>
      <c r="BW778" s="590"/>
      <c r="BX778" s="347"/>
      <c r="BY778" s="347"/>
      <c r="BZ778" s="347"/>
      <c r="CA778" s="586"/>
      <c r="CB778" s="581"/>
      <c r="CC778" s="581">
        <f t="shared" si="193"/>
        <v>0</v>
      </c>
      <c r="CD778" s="581"/>
      <c r="CE778" s="581"/>
      <c r="CF778" s="581"/>
      <c r="CG778" s="586"/>
      <c r="CH778" s="608"/>
      <c r="CI778" s="603"/>
      <c r="CJ778" s="347"/>
      <c r="CK778" s="347"/>
      <c r="CL778" s="347"/>
      <c r="CM778" s="347"/>
      <c r="CN778" s="347"/>
      <c r="CO778" s="347"/>
      <c r="CP778" s="347"/>
    </row>
    <row r="779">
      <c r="A779" s="574"/>
      <c r="B779" s="574"/>
      <c r="C779" s="347"/>
      <c r="D779" s="574"/>
      <c r="E779" s="347"/>
      <c r="F779" s="596"/>
      <c r="G779" s="596"/>
      <c r="H779" s="347"/>
      <c r="I779" s="347"/>
      <c r="J779" s="596"/>
      <c r="K779" s="609"/>
      <c r="L779" s="1"/>
      <c r="M779" s="347"/>
      <c r="N779" s="347"/>
      <c r="O779" s="579"/>
      <c r="P779" s="579"/>
      <c r="Q779" s="574"/>
      <c r="R779" s="347"/>
      <c r="S779" s="597"/>
      <c r="T779" s="347"/>
      <c r="U779" s="579"/>
      <c r="V779" s="579"/>
      <c r="W779" s="574"/>
      <c r="X779" s="347"/>
      <c r="Y779" s="347"/>
      <c r="Z779" s="347"/>
      <c r="AA779" s="579"/>
      <c r="AB779" s="581"/>
      <c r="AC779" s="347"/>
      <c r="AD779" s="347"/>
      <c r="AE779" s="347"/>
      <c r="AF779" s="347"/>
      <c r="AG779" s="579"/>
      <c r="AH779" s="579"/>
      <c r="AI779" s="582"/>
      <c r="AJ779" s="582"/>
      <c r="AK779" s="582"/>
      <c r="AL779" s="582"/>
      <c r="AM779" s="579"/>
      <c r="AN779" s="579"/>
      <c r="AO779" s="347"/>
      <c r="AP779" s="586"/>
      <c r="AQ779" s="596"/>
      <c r="AR779" s="596"/>
      <c r="AS779" s="348"/>
      <c r="AT779" s="348"/>
      <c r="AU779" s="348"/>
      <c r="AV779" s="348"/>
      <c r="AW779" s="348"/>
      <c r="AX779" s="584"/>
      <c r="AY779" s="581"/>
      <c r="AZ779" s="581"/>
      <c r="BA779" s="596"/>
      <c r="BB779" s="596"/>
      <c r="BC779" s="348"/>
      <c r="BD779" s="581"/>
      <c r="BE779" s="581"/>
      <c r="BF779" s="347"/>
      <c r="BG779" s="347"/>
      <c r="BH779" s="347"/>
      <c r="BI779" s="347"/>
      <c r="BJ779" s="586"/>
      <c r="BK779" s="581"/>
      <c r="BL779" s="347"/>
      <c r="BM779" s="347"/>
      <c r="BN779" s="347"/>
      <c r="BO779" s="586"/>
      <c r="BP779" s="584"/>
      <c r="BQ779" s="347"/>
      <c r="BR779" s="586"/>
      <c r="BS779" s="588"/>
      <c r="BT779" s="586"/>
      <c r="BU779" s="589"/>
      <c r="BV779" s="581">
        <f t="shared" si="44"/>
        <v>0</v>
      </c>
      <c r="BW779" s="590"/>
      <c r="BX779" s="347"/>
      <c r="BY779" s="347"/>
      <c r="BZ779" s="347"/>
      <c r="CA779" s="586"/>
      <c r="CB779" s="581"/>
      <c r="CC779" s="581">
        <f t="shared" si="193"/>
        <v>0</v>
      </c>
      <c r="CD779" s="581"/>
      <c r="CE779" s="581"/>
      <c r="CF779" s="581"/>
      <c r="CG779" s="586"/>
      <c r="CH779" s="608"/>
      <c r="CI779" s="603"/>
      <c r="CJ779" s="347"/>
      <c r="CK779" s="347"/>
      <c r="CL779" s="347"/>
      <c r="CM779" s="347"/>
      <c r="CN779" s="347"/>
      <c r="CO779" s="347"/>
      <c r="CP779" s="347"/>
    </row>
    <row r="780">
      <c r="A780" s="574"/>
      <c r="B780" s="574"/>
      <c r="C780" s="347"/>
      <c r="D780" s="574"/>
      <c r="E780" s="347"/>
      <c r="F780" s="596"/>
      <c r="G780" s="596"/>
      <c r="H780" s="347"/>
      <c r="I780" s="347"/>
      <c r="J780" s="596"/>
      <c r="K780" s="609"/>
      <c r="L780" s="1"/>
      <c r="M780" s="347"/>
      <c r="N780" s="347"/>
      <c r="O780" s="579"/>
      <c r="P780" s="579"/>
      <c r="Q780" s="574"/>
      <c r="R780" s="347"/>
      <c r="S780" s="597"/>
      <c r="T780" s="347"/>
      <c r="U780" s="579"/>
      <c r="V780" s="579"/>
      <c r="W780" s="574"/>
      <c r="X780" s="347"/>
      <c r="Y780" s="347"/>
      <c r="Z780" s="347"/>
      <c r="AA780" s="579"/>
      <c r="AB780" s="581"/>
      <c r="AC780" s="347"/>
      <c r="AD780" s="347"/>
      <c r="AE780" s="347"/>
      <c r="AF780" s="347"/>
      <c r="AG780" s="579"/>
      <c r="AH780" s="579"/>
      <c r="AI780" s="582"/>
      <c r="AJ780" s="582"/>
      <c r="AK780" s="582"/>
      <c r="AL780" s="582"/>
      <c r="AM780" s="579"/>
      <c r="AN780" s="579"/>
      <c r="AO780" s="347"/>
      <c r="AP780" s="586"/>
      <c r="AQ780" s="596"/>
      <c r="AR780" s="596"/>
      <c r="AS780" s="348"/>
      <c r="AT780" s="348"/>
      <c r="AU780" s="348"/>
      <c r="AV780" s="348"/>
      <c r="AW780" s="348"/>
      <c r="AX780" s="584"/>
      <c r="AY780" s="581"/>
      <c r="AZ780" s="581"/>
      <c r="BA780" s="596"/>
      <c r="BB780" s="596"/>
      <c r="BC780" s="348"/>
      <c r="BD780" s="581"/>
      <c r="BE780" s="581"/>
      <c r="BF780" s="347"/>
      <c r="BG780" s="347"/>
      <c r="BH780" s="347"/>
      <c r="BI780" s="347"/>
      <c r="BJ780" s="586"/>
      <c r="BK780" s="581"/>
      <c r="BL780" s="347"/>
      <c r="BM780" s="347"/>
      <c r="BN780" s="347"/>
      <c r="BO780" s="586"/>
      <c r="BP780" s="584"/>
      <c r="BQ780" s="347"/>
      <c r="BR780" s="586"/>
      <c r="BS780" s="588"/>
      <c r="BT780" s="586"/>
      <c r="BU780" s="589"/>
      <c r="BV780" s="581">
        <f t="shared" si="44"/>
        <v>0</v>
      </c>
      <c r="BW780" s="590"/>
      <c r="BX780" s="347"/>
      <c r="BY780" s="347"/>
      <c r="BZ780" s="347"/>
      <c r="CA780" s="586"/>
      <c r="CB780" s="581"/>
      <c r="CC780" s="581">
        <f t="shared" si="193"/>
        <v>0</v>
      </c>
      <c r="CD780" s="581"/>
      <c r="CE780" s="581"/>
      <c r="CF780" s="581"/>
      <c r="CG780" s="586"/>
      <c r="CH780" s="608"/>
      <c r="CI780" s="603"/>
      <c r="CJ780" s="347"/>
      <c r="CK780" s="347"/>
      <c r="CL780" s="347"/>
      <c r="CM780" s="347"/>
      <c r="CN780" s="347"/>
      <c r="CO780" s="347"/>
      <c r="CP780" s="347"/>
    </row>
    <row r="781">
      <c r="A781" s="574"/>
      <c r="B781" s="574"/>
      <c r="C781" s="347"/>
      <c r="D781" s="574"/>
      <c r="E781" s="347"/>
      <c r="F781" s="596"/>
      <c r="G781" s="596"/>
      <c r="H781" s="347"/>
      <c r="I781" s="347"/>
      <c r="J781" s="596"/>
      <c r="K781" s="609"/>
      <c r="L781" s="1"/>
      <c r="M781" s="347"/>
      <c r="N781" s="347"/>
      <c r="O781" s="579"/>
      <c r="P781" s="579"/>
      <c r="Q781" s="574"/>
      <c r="R781" s="347"/>
      <c r="S781" s="597"/>
      <c r="T781" s="347"/>
      <c r="U781" s="579"/>
      <c r="V781" s="579"/>
      <c r="W781" s="574"/>
      <c r="X781" s="347"/>
      <c r="Y781" s="347"/>
      <c r="Z781" s="347"/>
      <c r="AA781" s="579"/>
      <c r="AB781" s="581"/>
      <c r="AC781" s="347"/>
      <c r="AD781" s="347"/>
      <c r="AE781" s="347"/>
      <c r="AF781" s="347"/>
      <c r="AG781" s="579"/>
      <c r="AH781" s="579"/>
      <c r="AI781" s="582"/>
      <c r="AJ781" s="582"/>
      <c r="AK781" s="582"/>
      <c r="AL781" s="582"/>
      <c r="AM781" s="579"/>
      <c r="AN781" s="579"/>
      <c r="AO781" s="347"/>
      <c r="AP781" s="586"/>
      <c r="AQ781" s="596"/>
      <c r="AR781" s="596"/>
      <c r="AS781" s="348"/>
      <c r="AT781" s="348"/>
      <c r="AU781" s="348"/>
      <c r="AV781" s="348"/>
      <c r="AW781" s="348"/>
      <c r="AX781" s="584"/>
      <c r="AY781" s="581"/>
      <c r="AZ781" s="581"/>
      <c r="BA781" s="596"/>
      <c r="BB781" s="596"/>
      <c r="BC781" s="348"/>
      <c r="BD781" s="581"/>
      <c r="BE781" s="581"/>
      <c r="BF781" s="347"/>
      <c r="BG781" s="347"/>
      <c r="BH781" s="347"/>
      <c r="BI781" s="347"/>
      <c r="BJ781" s="586"/>
      <c r="BK781" s="581"/>
      <c r="BL781" s="347"/>
      <c r="BM781" s="347"/>
      <c r="BN781" s="347"/>
      <c r="BO781" s="586"/>
      <c r="BP781" s="584"/>
      <c r="BQ781" s="347"/>
      <c r="BR781" s="586"/>
      <c r="BS781" s="588"/>
      <c r="BT781" s="586"/>
      <c r="BU781" s="589"/>
      <c r="BV781" s="581">
        <f t="shared" si="44"/>
        <v>0</v>
      </c>
      <c r="BW781" s="590"/>
      <c r="BX781" s="347"/>
      <c r="BY781" s="347"/>
      <c r="BZ781" s="347"/>
      <c r="CA781" s="586"/>
      <c r="CB781" s="581"/>
      <c r="CC781" s="581">
        <f t="shared" si="193"/>
        <v>0</v>
      </c>
      <c r="CD781" s="581"/>
      <c r="CE781" s="581"/>
      <c r="CF781" s="581"/>
      <c r="CG781" s="586"/>
      <c r="CH781" s="608"/>
      <c r="CI781" s="603"/>
      <c r="CJ781" s="347"/>
      <c r="CK781" s="347"/>
      <c r="CL781" s="347"/>
      <c r="CM781" s="347"/>
      <c r="CN781" s="347"/>
      <c r="CO781" s="347"/>
      <c r="CP781" s="347"/>
    </row>
    <row r="782">
      <c r="A782" s="574"/>
      <c r="B782" s="574"/>
      <c r="C782" s="347"/>
      <c r="D782" s="574"/>
      <c r="E782" s="347"/>
      <c r="F782" s="596"/>
      <c r="G782" s="596"/>
      <c r="H782" s="347"/>
      <c r="I782" s="347"/>
      <c r="J782" s="596"/>
      <c r="K782" s="609"/>
      <c r="L782" s="1"/>
      <c r="M782" s="347"/>
      <c r="N782" s="347"/>
      <c r="O782" s="579"/>
      <c r="P782" s="579"/>
      <c r="Q782" s="574"/>
      <c r="R782" s="347"/>
      <c r="S782" s="597"/>
      <c r="T782" s="347"/>
      <c r="U782" s="579"/>
      <c r="V782" s="579"/>
      <c r="W782" s="574"/>
      <c r="X782" s="347"/>
      <c r="Y782" s="347"/>
      <c r="Z782" s="347"/>
      <c r="AA782" s="579"/>
      <c r="AB782" s="581"/>
      <c r="AC782" s="347"/>
      <c r="AD782" s="347"/>
      <c r="AE782" s="347"/>
      <c r="AF782" s="347"/>
      <c r="AG782" s="579"/>
      <c r="AH782" s="579"/>
      <c r="AI782" s="582"/>
      <c r="AJ782" s="582"/>
      <c r="AK782" s="582"/>
      <c r="AL782" s="582"/>
      <c r="AM782" s="579"/>
      <c r="AN782" s="579"/>
      <c r="AO782" s="347"/>
      <c r="AP782" s="586"/>
      <c r="AQ782" s="596"/>
      <c r="AR782" s="596"/>
      <c r="AS782" s="348"/>
      <c r="AT782" s="348"/>
      <c r="AU782" s="348"/>
      <c r="AV782" s="348"/>
      <c r="AW782" s="348"/>
      <c r="AX782" s="584"/>
      <c r="AY782" s="581"/>
      <c r="AZ782" s="581"/>
      <c r="BA782" s="596"/>
      <c r="BB782" s="596"/>
      <c r="BC782" s="348"/>
      <c r="BD782" s="581"/>
      <c r="BE782" s="581"/>
      <c r="BF782" s="347"/>
      <c r="BG782" s="347"/>
      <c r="BH782" s="347"/>
      <c r="BI782" s="347"/>
      <c r="BJ782" s="586"/>
      <c r="BK782" s="581"/>
      <c r="BL782" s="347"/>
      <c r="BM782" s="347"/>
      <c r="BN782" s="347"/>
      <c r="BO782" s="586"/>
      <c r="BP782" s="584"/>
      <c r="BQ782" s="347"/>
      <c r="BR782" s="586"/>
      <c r="BS782" s="588"/>
      <c r="BT782" s="586"/>
      <c r="BU782" s="589"/>
      <c r="BV782" s="581">
        <f t="shared" si="44"/>
        <v>0</v>
      </c>
      <c r="BW782" s="590"/>
      <c r="BX782" s="347"/>
      <c r="BY782" s="347"/>
      <c r="BZ782" s="347"/>
      <c r="CA782" s="586"/>
      <c r="CB782" s="581"/>
      <c r="CC782" s="581">
        <f t="shared" si="193"/>
        <v>0</v>
      </c>
      <c r="CD782" s="581"/>
      <c r="CE782" s="581"/>
      <c r="CF782" s="581"/>
      <c r="CG782" s="586"/>
      <c r="CH782" s="608"/>
      <c r="CI782" s="603"/>
      <c r="CJ782" s="347"/>
      <c r="CK782" s="347"/>
      <c r="CL782" s="347"/>
      <c r="CM782" s="347"/>
      <c r="CN782" s="347"/>
      <c r="CO782" s="347"/>
      <c r="CP782" s="347"/>
    </row>
    <row r="783">
      <c r="A783" s="574"/>
      <c r="B783" s="574"/>
      <c r="C783" s="347"/>
      <c r="D783" s="574"/>
      <c r="E783" s="347"/>
      <c r="F783" s="596"/>
      <c r="G783" s="596"/>
      <c r="H783" s="347"/>
      <c r="I783" s="347"/>
      <c r="J783" s="596"/>
      <c r="K783" s="609"/>
      <c r="L783" s="1"/>
      <c r="M783" s="347"/>
      <c r="N783" s="347"/>
      <c r="O783" s="579"/>
      <c r="P783" s="579"/>
      <c r="Q783" s="574"/>
      <c r="R783" s="347"/>
      <c r="S783" s="597"/>
      <c r="T783" s="347"/>
      <c r="U783" s="579"/>
      <c r="V783" s="579"/>
      <c r="W783" s="574"/>
      <c r="X783" s="347"/>
      <c r="Y783" s="347"/>
      <c r="Z783" s="347"/>
      <c r="AA783" s="579"/>
      <c r="AB783" s="581"/>
      <c r="AC783" s="347"/>
      <c r="AD783" s="347"/>
      <c r="AE783" s="347"/>
      <c r="AF783" s="347"/>
      <c r="AG783" s="579"/>
      <c r="AH783" s="579"/>
      <c r="AI783" s="582"/>
      <c r="AJ783" s="582"/>
      <c r="AK783" s="582"/>
      <c r="AL783" s="582"/>
      <c r="AM783" s="579"/>
      <c r="AN783" s="579"/>
      <c r="AO783" s="347"/>
      <c r="AP783" s="586"/>
      <c r="AQ783" s="596"/>
      <c r="AR783" s="596"/>
      <c r="AS783" s="348"/>
      <c r="AT783" s="348"/>
      <c r="AU783" s="348"/>
      <c r="AV783" s="348"/>
      <c r="AW783" s="348"/>
      <c r="AX783" s="584"/>
      <c r="AY783" s="581"/>
      <c r="AZ783" s="581"/>
      <c r="BA783" s="596"/>
      <c r="BB783" s="596"/>
      <c r="BC783" s="348"/>
      <c r="BD783" s="581"/>
      <c r="BE783" s="581"/>
      <c r="BF783" s="347"/>
      <c r="BG783" s="347"/>
      <c r="BH783" s="347"/>
      <c r="BI783" s="347"/>
      <c r="BJ783" s="586"/>
      <c r="BK783" s="581"/>
      <c r="BL783" s="347"/>
      <c r="BM783" s="347"/>
      <c r="BN783" s="347"/>
      <c r="BO783" s="586"/>
      <c r="BP783" s="584"/>
      <c r="BQ783" s="347"/>
      <c r="BR783" s="586"/>
      <c r="BS783" s="588"/>
      <c r="BT783" s="586"/>
      <c r="BU783" s="589"/>
      <c r="BV783" s="581">
        <f t="shared" si="44"/>
        <v>0</v>
      </c>
      <c r="BW783" s="590"/>
      <c r="BX783" s="347"/>
      <c r="BY783" s="347"/>
      <c r="BZ783" s="347"/>
      <c r="CA783" s="586"/>
      <c r="CB783" s="581"/>
      <c r="CC783" s="581">
        <f t="shared" si="193"/>
        <v>0</v>
      </c>
      <c r="CD783" s="581"/>
      <c r="CE783" s="581"/>
      <c r="CF783" s="581"/>
      <c r="CG783" s="586"/>
      <c r="CH783" s="608"/>
      <c r="CI783" s="603"/>
      <c r="CJ783" s="347"/>
      <c r="CK783" s="347"/>
      <c r="CL783" s="347"/>
      <c r="CM783" s="347"/>
      <c r="CN783" s="347"/>
      <c r="CO783" s="347"/>
      <c r="CP783" s="347"/>
    </row>
    <row r="784">
      <c r="A784" s="574"/>
      <c r="B784" s="574"/>
      <c r="C784" s="347"/>
      <c r="D784" s="574"/>
      <c r="E784" s="347"/>
      <c r="F784" s="596"/>
      <c r="G784" s="596"/>
      <c r="H784" s="347"/>
      <c r="I784" s="347"/>
      <c r="J784" s="596"/>
      <c r="K784" s="609"/>
      <c r="L784" s="1"/>
      <c r="M784" s="347"/>
      <c r="N784" s="347"/>
      <c r="O784" s="579"/>
      <c r="P784" s="579"/>
      <c r="Q784" s="574"/>
      <c r="R784" s="347"/>
      <c r="S784" s="597"/>
      <c r="T784" s="347"/>
      <c r="U784" s="579"/>
      <c r="V784" s="579"/>
      <c r="W784" s="574"/>
      <c r="X784" s="347"/>
      <c r="Y784" s="347"/>
      <c r="Z784" s="347"/>
      <c r="AA784" s="579"/>
      <c r="AB784" s="581"/>
      <c r="AC784" s="347"/>
      <c r="AD784" s="347"/>
      <c r="AE784" s="347"/>
      <c r="AF784" s="347"/>
      <c r="AG784" s="579"/>
      <c r="AH784" s="579"/>
      <c r="AI784" s="582"/>
      <c r="AJ784" s="582"/>
      <c r="AK784" s="582"/>
      <c r="AL784" s="582"/>
      <c r="AM784" s="579"/>
      <c r="AN784" s="579"/>
      <c r="AO784" s="347"/>
      <c r="AP784" s="586"/>
      <c r="AQ784" s="596"/>
      <c r="AR784" s="596"/>
      <c r="AS784" s="348"/>
      <c r="AT784" s="348"/>
      <c r="AU784" s="348"/>
      <c r="AV784" s="348"/>
      <c r="AW784" s="348"/>
      <c r="AX784" s="584"/>
      <c r="AY784" s="581"/>
      <c r="AZ784" s="581"/>
      <c r="BA784" s="596"/>
      <c r="BB784" s="596"/>
      <c r="BC784" s="348"/>
      <c r="BD784" s="581"/>
      <c r="BE784" s="581"/>
      <c r="BF784" s="347"/>
      <c r="BG784" s="347"/>
      <c r="BH784" s="347"/>
      <c r="BI784" s="347"/>
      <c r="BJ784" s="586"/>
      <c r="BK784" s="581"/>
      <c r="BL784" s="347"/>
      <c r="BM784" s="347"/>
      <c r="BN784" s="347"/>
      <c r="BO784" s="586"/>
      <c r="BP784" s="584"/>
      <c r="BQ784" s="347"/>
      <c r="BR784" s="586"/>
      <c r="BS784" s="588"/>
      <c r="BT784" s="586"/>
      <c r="BU784" s="589"/>
      <c r="BV784" s="581">
        <f t="shared" si="44"/>
        <v>0</v>
      </c>
      <c r="BW784" s="590"/>
      <c r="BX784" s="347"/>
      <c r="BY784" s="347"/>
      <c r="BZ784" s="347"/>
      <c r="CA784" s="586"/>
      <c r="CB784" s="581"/>
      <c r="CC784" s="581">
        <f t="shared" si="193"/>
        <v>0</v>
      </c>
      <c r="CD784" s="581"/>
      <c r="CE784" s="581"/>
      <c r="CF784" s="581"/>
      <c r="CG784" s="586"/>
      <c r="CH784" s="608"/>
      <c r="CI784" s="603"/>
      <c r="CJ784" s="347"/>
      <c r="CK784" s="347"/>
      <c r="CL784" s="347"/>
      <c r="CM784" s="347"/>
      <c r="CN784" s="347"/>
      <c r="CO784" s="347"/>
      <c r="CP784" s="347"/>
    </row>
    <row r="785">
      <c r="A785" s="574"/>
      <c r="B785" s="574"/>
      <c r="C785" s="347"/>
      <c r="D785" s="574"/>
      <c r="E785" s="347"/>
      <c r="F785" s="596"/>
      <c r="G785" s="596"/>
      <c r="H785" s="347"/>
      <c r="I785" s="347"/>
      <c r="J785" s="596"/>
      <c r="K785" s="609"/>
      <c r="L785" s="1"/>
      <c r="M785" s="347"/>
      <c r="N785" s="347"/>
      <c r="O785" s="579"/>
      <c r="P785" s="579"/>
      <c r="Q785" s="574"/>
      <c r="R785" s="347"/>
      <c r="S785" s="597"/>
      <c r="T785" s="347"/>
      <c r="U785" s="579"/>
      <c r="V785" s="579"/>
      <c r="W785" s="574"/>
      <c r="X785" s="347"/>
      <c r="Y785" s="347"/>
      <c r="Z785" s="347"/>
      <c r="AA785" s="579"/>
      <c r="AB785" s="581"/>
      <c r="AC785" s="347"/>
      <c r="AD785" s="347"/>
      <c r="AE785" s="347"/>
      <c r="AF785" s="347"/>
      <c r="AG785" s="579"/>
      <c r="AH785" s="579"/>
      <c r="AI785" s="582"/>
      <c r="AJ785" s="582"/>
      <c r="AK785" s="582"/>
      <c r="AL785" s="582"/>
      <c r="AM785" s="579"/>
      <c r="AN785" s="579"/>
      <c r="AO785" s="347"/>
      <c r="AP785" s="586"/>
      <c r="AQ785" s="596"/>
      <c r="AR785" s="596"/>
      <c r="AS785" s="348"/>
      <c r="AT785" s="348"/>
      <c r="AU785" s="348"/>
      <c r="AV785" s="348"/>
      <c r="AW785" s="348"/>
      <c r="AX785" s="584"/>
      <c r="AY785" s="581"/>
      <c r="AZ785" s="581"/>
      <c r="BA785" s="596"/>
      <c r="BB785" s="596"/>
      <c r="BC785" s="348"/>
      <c r="BD785" s="581"/>
      <c r="BE785" s="581"/>
      <c r="BF785" s="347"/>
      <c r="BG785" s="347"/>
      <c r="BH785" s="347"/>
      <c r="BI785" s="347"/>
      <c r="BJ785" s="586"/>
      <c r="BK785" s="581"/>
      <c r="BL785" s="347"/>
      <c r="BM785" s="347"/>
      <c r="BN785" s="347"/>
      <c r="BO785" s="586"/>
      <c r="BP785" s="584"/>
      <c r="BQ785" s="347"/>
      <c r="BR785" s="586"/>
      <c r="BS785" s="588"/>
      <c r="BT785" s="586"/>
      <c r="BU785" s="589"/>
      <c r="BV785" s="581">
        <f t="shared" si="44"/>
        <v>0</v>
      </c>
      <c r="BW785" s="590"/>
      <c r="BX785" s="347"/>
      <c r="BY785" s="347"/>
      <c r="BZ785" s="347"/>
      <c r="CA785" s="586"/>
      <c r="CB785" s="581"/>
      <c r="CC785" s="581">
        <f t="shared" si="193"/>
        <v>0</v>
      </c>
      <c r="CD785" s="581"/>
      <c r="CE785" s="581"/>
      <c r="CF785" s="581"/>
      <c r="CG785" s="586"/>
      <c r="CH785" s="608"/>
      <c r="CI785" s="603"/>
      <c r="CJ785" s="347"/>
      <c r="CK785" s="347"/>
      <c r="CL785" s="347"/>
      <c r="CM785" s="347"/>
      <c r="CN785" s="347"/>
      <c r="CO785" s="347"/>
      <c r="CP785" s="347"/>
    </row>
    <row r="786">
      <c r="A786" s="574"/>
      <c r="B786" s="574"/>
      <c r="C786" s="347"/>
      <c r="D786" s="574"/>
      <c r="E786" s="347"/>
      <c r="F786" s="596"/>
      <c r="G786" s="596"/>
      <c r="H786" s="347"/>
      <c r="I786" s="347"/>
      <c r="J786" s="596"/>
      <c r="K786" s="609"/>
      <c r="L786" s="1"/>
      <c r="M786" s="347"/>
      <c r="N786" s="347"/>
      <c r="O786" s="579"/>
      <c r="P786" s="579"/>
      <c r="Q786" s="574"/>
      <c r="R786" s="347"/>
      <c r="S786" s="597"/>
      <c r="T786" s="347"/>
      <c r="U786" s="579"/>
      <c r="V786" s="579"/>
      <c r="W786" s="574"/>
      <c r="X786" s="347"/>
      <c r="Y786" s="347"/>
      <c r="Z786" s="347"/>
      <c r="AA786" s="579"/>
      <c r="AB786" s="581"/>
      <c r="AC786" s="347"/>
      <c r="AD786" s="347"/>
      <c r="AE786" s="347"/>
      <c r="AF786" s="347"/>
      <c r="AG786" s="579"/>
      <c r="AH786" s="579"/>
      <c r="AI786" s="582"/>
      <c r="AJ786" s="582"/>
      <c r="AK786" s="582"/>
      <c r="AL786" s="582"/>
      <c r="AM786" s="579"/>
      <c r="AN786" s="579"/>
      <c r="AO786" s="347"/>
      <c r="AP786" s="586"/>
      <c r="AQ786" s="596"/>
      <c r="AR786" s="596"/>
      <c r="AS786" s="348"/>
      <c r="AT786" s="348"/>
      <c r="AU786" s="348"/>
      <c r="AV786" s="348"/>
      <c r="AW786" s="348"/>
      <c r="AX786" s="584"/>
      <c r="AY786" s="581"/>
      <c r="AZ786" s="581"/>
      <c r="BA786" s="596"/>
      <c r="BB786" s="596"/>
      <c r="BC786" s="348"/>
      <c r="BD786" s="581"/>
      <c r="BE786" s="581"/>
      <c r="BF786" s="347"/>
      <c r="BG786" s="347"/>
      <c r="BH786" s="347"/>
      <c r="BI786" s="347"/>
      <c r="BJ786" s="586"/>
      <c r="BK786" s="581"/>
      <c r="BL786" s="347"/>
      <c r="BM786" s="347"/>
      <c r="BN786" s="347"/>
      <c r="BO786" s="586"/>
      <c r="BP786" s="584"/>
      <c r="BQ786" s="347"/>
      <c r="BR786" s="586"/>
      <c r="BS786" s="588"/>
      <c r="BT786" s="586"/>
      <c r="BU786" s="589"/>
      <c r="BV786" s="581">
        <f t="shared" si="44"/>
        <v>0</v>
      </c>
      <c r="BW786" s="590"/>
      <c r="BX786" s="347"/>
      <c r="BY786" s="347"/>
      <c r="BZ786" s="347"/>
      <c r="CA786" s="586"/>
      <c r="CB786" s="581"/>
      <c r="CC786" s="581">
        <f t="shared" si="193"/>
        <v>0</v>
      </c>
      <c r="CD786" s="581"/>
      <c r="CE786" s="581"/>
      <c r="CF786" s="581"/>
      <c r="CG786" s="586"/>
      <c r="CH786" s="608"/>
      <c r="CI786" s="603"/>
      <c r="CJ786" s="347"/>
      <c r="CK786" s="347"/>
      <c r="CL786" s="347"/>
      <c r="CM786" s="347"/>
      <c r="CN786" s="347"/>
      <c r="CO786" s="347"/>
      <c r="CP786" s="347"/>
    </row>
    <row r="787">
      <c r="A787" s="574"/>
      <c r="B787" s="574"/>
      <c r="C787" s="347"/>
      <c r="D787" s="574"/>
      <c r="E787" s="347"/>
      <c r="F787" s="596"/>
      <c r="G787" s="596"/>
      <c r="H787" s="347"/>
      <c r="I787" s="347"/>
      <c r="J787" s="596"/>
      <c r="K787" s="609"/>
      <c r="L787" s="1"/>
      <c r="M787" s="347"/>
      <c r="N787" s="347"/>
      <c r="O787" s="579"/>
      <c r="P787" s="579"/>
      <c r="Q787" s="574"/>
      <c r="R787" s="347"/>
      <c r="S787" s="597"/>
      <c r="T787" s="347"/>
      <c r="U787" s="579"/>
      <c r="V787" s="579"/>
      <c r="W787" s="574"/>
      <c r="X787" s="347"/>
      <c r="Y787" s="347"/>
      <c r="Z787" s="347"/>
      <c r="AA787" s="579"/>
      <c r="AB787" s="581"/>
      <c r="AC787" s="347"/>
      <c r="AD787" s="347"/>
      <c r="AE787" s="347"/>
      <c r="AF787" s="347"/>
      <c r="AG787" s="579"/>
      <c r="AH787" s="579"/>
      <c r="AI787" s="582"/>
      <c r="AJ787" s="582"/>
      <c r="AK787" s="582"/>
      <c r="AL787" s="582"/>
      <c r="AM787" s="579"/>
      <c r="AN787" s="579"/>
      <c r="AO787" s="347"/>
      <c r="AP787" s="586"/>
      <c r="AQ787" s="596"/>
      <c r="AR787" s="596"/>
      <c r="AS787" s="348"/>
      <c r="AT787" s="348"/>
      <c r="AU787" s="348"/>
      <c r="AV787" s="348"/>
      <c r="AW787" s="348"/>
      <c r="AX787" s="584"/>
      <c r="AY787" s="581"/>
      <c r="AZ787" s="581"/>
      <c r="BA787" s="596"/>
      <c r="BB787" s="596"/>
      <c r="BC787" s="348"/>
      <c r="BD787" s="581"/>
      <c r="BE787" s="581"/>
      <c r="BF787" s="347"/>
      <c r="BG787" s="347"/>
      <c r="BH787" s="347"/>
      <c r="BI787" s="347"/>
      <c r="BJ787" s="586"/>
      <c r="BK787" s="581"/>
      <c r="BL787" s="347"/>
      <c r="BM787" s="347"/>
      <c r="BN787" s="347"/>
      <c r="BO787" s="586"/>
      <c r="BP787" s="584"/>
      <c r="BQ787" s="347"/>
      <c r="BR787" s="586"/>
      <c r="BS787" s="588"/>
      <c r="BT787" s="586"/>
      <c r="BU787" s="589"/>
      <c r="BV787" s="581">
        <f t="shared" si="44"/>
        <v>0</v>
      </c>
      <c r="BW787" s="590"/>
      <c r="BX787" s="347"/>
      <c r="BY787" s="347"/>
      <c r="BZ787" s="347"/>
      <c r="CA787" s="586"/>
      <c r="CB787" s="581"/>
      <c r="CC787" s="581">
        <f t="shared" si="193"/>
        <v>0</v>
      </c>
      <c r="CD787" s="581"/>
      <c r="CE787" s="581"/>
      <c r="CF787" s="581"/>
      <c r="CG787" s="586"/>
      <c r="CH787" s="608"/>
      <c r="CI787" s="603"/>
      <c r="CJ787" s="347"/>
      <c r="CK787" s="347"/>
      <c r="CL787" s="347"/>
      <c r="CM787" s="347"/>
      <c r="CN787" s="347"/>
      <c r="CO787" s="347"/>
      <c r="CP787" s="347"/>
    </row>
    <row r="788">
      <c r="A788" s="574"/>
      <c r="B788" s="574"/>
      <c r="C788" s="347"/>
      <c r="D788" s="574"/>
      <c r="E788" s="347"/>
      <c r="F788" s="596"/>
      <c r="G788" s="596"/>
      <c r="H788" s="347"/>
      <c r="I788" s="347"/>
      <c r="J788" s="596"/>
      <c r="K788" s="609"/>
      <c r="L788" s="1"/>
      <c r="M788" s="347"/>
      <c r="N788" s="347"/>
      <c r="O788" s="579"/>
      <c r="P788" s="579"/>
      <c r="Q788" s="574"/>
      <c r="R788" s="347"/>
      <c r="S788" s="597"/>
      <c r="T788" s="347"/>
      <c r="U788" s="579"/>
      <c r="V788" s="579"/>
      <c r="W788" s="574"/>
      <c r="X788" s="347"/>
      <c r="Y788" s="347"/>
      <c r="Z788" s="347"/>
      <c r="AA788" s="579"/>
      <c r="AB788" s="581"/>
      <c r="AC788" s="347"/>
      <c r="AD788" s="347"/>
      <c r="AE788" s="347"/>
      <c r="AF788" s="347"/>
      <c r="AG788" s="579"/>
      <c r="AH788" s="579"/>
      <c r="AI788" s="582"/>
      <c r="AJ788" s="582"/>
      <c r="AK788" s="582"/>
      <c r="AL788" s="582"/>
      <c r="AM788" s="579"/>
      <c r="AN788" s="579"/>
      <c r="AO788" s="347"/>
      <c r="AP788" s="586"/>
      <c r="AQ788" s="596"/>
      <c r="AR788" s="596"/>
      <c r="AS788" s="348"/>
      <c r="AT788" s="348"/>
      <c r="AU788" s="348"/>
      <c r="AV788" s="348"/>
      <c r="AW788" s="348"/>
      <c r="AX788" s="584"/>
      <c r="AY788" s="581"/>
      <c r="AZ788" s="581"/>
      <c r="BA788" s="596"/>
      <c r="BB788" s="596"/>
      <c r="BC788" s="348"/>
      <c r="BD788" s="581"/>
      <c r="BE788" s="581"/>
      <c r="BF788" s="347"/>
      <c r="BG788" s="347"/>
      <c r="BH788" s="347"/>
      <c r="BI788" s="347"/>
      <c r="BJ788" s="586"/>
      <c r="BK788" s="581"/>
      <c r="BL788" s="347"/>
      <c r="BM788" s="347"/>
      <c r="BN788" s="347"/>
      <c r="BO788" s="586"/>
      <c r="BP788" s="584"/>
      <c r="BQ788" s="347"/>
      <c r="BR788" s="586"/>
      <c r="BS788" s="588"/>
      <c r="BT788" s="586"/>
      <c r="BU788" s="589"/>
      <c r="BV788" s="581">
        <f t="shared" si="44"/>
        <v>0</v>
      </c>
      <c r="BW788" s="590"/>
      <c r="BX788" s="347"/>
      <c r="BY788" s="347"/>
      <c r="BZ788" s="347"/>
      <c r="CA788" s="586"/>
      <c r="CB788" s="581"/>
      <c r="CC788" s="581">
        <f t="shared" si="193"/>
        <v>0</v>
      </c>
      <c r="CD788" s="581"/>
      <c r="CE788" s="581"/>
      <c r="CF788" s="581"/>
      <c r="CG788" s="586"/>
      <c r="CH788" s="608"/>
      <c r="CI788" s="603"/>
      <c r="CJ788" s="347"/>
      <c r="CK788" s="347"/>
      <c r="CL788" s="347"/>
      <c r="CM788" s="347"/>
      <c r="CN788" s="347"/>
      <c r="CO788" s="347"/>
      <c r="CP788" s="347"/>
    </row>
    <row r="789">
      <c r="A789" s="574"/>
      <c r="B789" s="574"/>
      <c r="C789" s="347"/>
      <c r="D789" s="574"/>
      <c r="E789" s="347"/>
      <c r="F789" s="596"/>
      <c r="G789" s="596"/>
      <c r="H789" s="347"/>
      <c r="I789" s="347"/>
      <c r="J789" s="596"/>
      <c r="K789" s="609"/>
      <c r="L789" s="1"/>
      <c r="M789" s="347"/>
      <c r="N789" s="347"/>
      <c r="O789" s="579"/>
      <c r="P789" s="579"/>
      <c r="Q789" s="574"/>
      <c r="R789" s="347"/>
      <c r="S789" s="597"/>
      <c r="T789" s="347"/>
      <c r="U789" s="579"/>
      <c r="V789" s="579"/>
      <c r="W789" s="574"/>
      <c r="X789" s="347"/>
      <c r="Y789" s="347"/>
      <c r="Z789" s="347"/>
      <c r="AA789" s="579"/>
      <c r="AB789" s="581"/>
      <c r="AC789" s="347"/>
      <c r="AD789" s="347"/>
      <c r="AE789" s="347"/>
      <c r="AF789" s="347"/>
      <c r="AG789" s="579"/>
      <c r="AH789" s="579"/>
      <c r="AI789" s="582"/>
      <c r="AJ789" s="582"/>
      <c r="AK789" s="582"/>
      <c r="AL789" s="582"/>
      <c r="AM789" s="579"/>
      <c r="AN789" s="579"/>
      <c r="AO789" s="347"/>
      <c r="AP789" s="586"/>
      <c r="AQ789" s="596"/>
      <c r="AR789" s="596"/>
      <c r="AS789" s="348"/>
      <c r="AT789" s="348"/>
      <c r="AU789" s="348"/>
      <c r="AV789" s="348"/>
      <c r="AW789" s="348"/>
      <c r="AX789" s="584"/>
      <c r="AY789" s="581"/>
      <c r="AZ789" s="581"/>
      <c r="BA789" s="596"/>
      <c r="BB789" s="596"/>
      <c r="BC789" s="348"/>
      <c r="BD789" s="581"/>
      <c r="BE789" s="581"/>
      <c r="BF789" s="347"/>
      <c r="BG789" s="347"/>
      <c r="BH789" s="347"/>
      <c r="BI789" s="347"/>
      <c r="BJ789" s="586"/>
      <c r="BK789" s="581"/>
      <c r="BL789" s="347"/>
      <c r="BM789" s="347"/>
      <c r="BN789" s="347"/>
      <c r="BO789" s="586"/>
      <c r="BP789" s="584"/>
      <c r="BQ789" s="347"/>
      <c r="BR789" s="586"/>
      <c r="BS789" s="588"/>
      <c r="BT789" s="586"/>
      <c r="BU789" s="589"/>
      <c r="BV789" s="581">
        <f t="shared" si="44"/>
        <v>0</v>
      </c>
      <c r="BW789" s="590"/>
      <c r="BX789" s="347"/>
      <c r="BY789" s="347"/>
      <c r="BZ789" s="347"/>
      <c r="CA789" s="586"/>
      <c r="CB789" s="581"/>
      <c r="CC789" s="581">
        <f t="shared" si="193"/>
        <v>0</v>
      </c>
      <c r="CD789" s="581"/>
      <c r="CE789" s="581"/>
      <c r="CF789" s="581"/>
      <c r="CG789" s="586"/>
      <c r="CH789" s="608"/>
      <c r="CI789" s="603"/>
      <c r="CJ789" s="347"/>
      <c r="CK789" s="347"/>
      <c r="CL789" s="347"/>
      <c r="CM789" s="347"/>
      <c r="CN789" s="347"/>
      <c r="CO789" s="347"/>
      <c r="CP789" s="347"/>
    </row>
    <row r="790">
      <c r="A790" s="574"/>
      <c r="B790" s="574"/>
      <c r="C790" s="347"/>
      <c r="D790" s="574"/>
      <c r="E790" s="347"/>
      <c r="F790" s="596"/>
      <c r="G790" s="596"/>
      <c r="H790" s="347"/>
      <c r="I790" s="347"/>
      <c r="J790" s="596"/>
      <c r="K790" s="609"/>
      <c r="L790" s="1"/>
      <c r="M790" s="347"/>
      <c r="N790" s="347"/>
      <c r="O790" s="579"/>
      <c r="P790" s="579"/>
      <c r="Q790" s="574"/>
      <c r="R790" s="347"/>
      <c r="S790" s="597"/>
      <c r="T790" s="347"/>
      <c r="U790" s="579"/>
      <c r="V790" s="579"/>
      <c r="W790" s="574"/>
      <c r="X790" s="347"/>
      <c r="Y790" s="347"/>
      <c r="Z790" s="347"/>
      <c r="AA790" s="579"/>
      <c r="AB790" s="581"/>
      <c r="AC790" s="347"/>
      <c r="AD790" s="347"/>
      <c r="AE790" s="347"/>
      <c r="AF790" s="347"/>
      <c r="AG790" s="579"/>
      <c r="AH790" s="579"/>
      <c r="AI790" s="582"/>
      <c r="AJ790" s="582"/>
      <c r="AK790" s="582"/>
      <c r="AL790" s="582"/>
      <c r="AM790" s="579"/>
      <c r="AN790" s="579"/>
      <c r="AO790" s="347"/>
      <c r="AP790" s="586"/>
      <c r="AQ790" s="596"/>
      <c r="AR790" s="596"/>
      <c r="AS790" s="348"/>
      <c r="AT790" s="348"/>
      <c r="AU790" s="348"/>
      <c r="AV790" s="348"/>
      <c r="AW790" s="348"/>
      <c r="AX790" s="584"/>
      <c r="AY790" s="581"/>
      <c r="AZ790" s="581"/>
      <c r="BA790" s="596"/>
      <c r="BB790" s="596"/>
      <c r="BC790" s="348"/>
      <c r="BD790" s="581"/>
      <c r="BE790" s="581"/>
      <c r="BF790" s="347"/>
      <c r="BG790" s="347"/>
      <c r="BH790" s="347"/>
      <c r="BI790" s="347"/>
      <c r="BJ790" s="586"/>
      <c r="BK790" s="581"/>
      <c r="BL790" s="347"/>
      <c r="BM790" s="347"/>
      <c r="BN790" s="347"/>
      <c r="BO790" s="586"/>
      <c r="BP790" s="584"/>
      <c r="BQ790" s="347"/>
      <c r="BR790" s="586"/>
      <c r="BS790" s="588"/>
      <c r="BT790" s="586"/>
      <c r="BU790" s="589"/>
      <c r="BV790" s="581">
        <f t="shared" si="44"/>
        <v>0</v>
      </c>
      <c r="BW790" s="590"/>
      <c r="BX790" s="347"/>
      <c r="BY790" s="347"/>
      <c r="BZ790" s="347"/>
      <c r="CA790" s="586"/>
      <c r="CB790" s="581"/>
      <c r="CC790" s="581">
        <f t="shared" si="193"/>
        <v>0</v>
      </c>
      <c r="CD790" s="581"/>
      <c r="CE790" s="581"/>
      <c r="CF790" s="581"/>
      <c r="CG790" s="586"/>
      <c r="CH790" s="608"/>
      <c r="CI790" s="603"/>
      <c r="CJ790" s="347"/>
      <c r="CK790" s="347"/>
      <c r="CL790" s="347"/>
      <c r="CM790" s="347"/>
      <c r="CN790" s="347"/>
      <c r="CO790" s="347"/>
      <c r="CP790" s="347"/>
    </row>
    <row r="791">
      <c r="A791" s="574"/>
      <c r="B791" s="574"/>
      <c r="C791" s="347"/>
      <c r="D791" s="574"/>
      <c r="E791" s="347"/>
      <c r="F791" s="596"/>
      <c r="G791" s="596"/>
      <c r="H791" s="347"/>
      <c r="I791" s="347"/>
      <c r="J791" s="596"/>
      <c r="K791" s="609"/>
      <c r="L791" s="1"/>
      <c r="M791" s="347"/>
      <c r="N791" s="347"/>
      <c r="O791" s="579"/>
      <c r="P791" s="579"/>
      <c r="Q791" s="574"/>
      <c r="R791" s="347"/>
      <c r="S791" s="597"/>
      <c r="T791" s="347"/>
      <c r="U791" s="579"/>
      <c r="V791" s="579"/>
      <c r="W791" s="574"/>
      <c r="X791" s="347"/>
      <c r="Y791" s="347"/>
      <c r="Z791" s="347"/>
      <c r="AA791" s="579"/>
      <c r="AB791" s="581"/>
      <c r="AC791" s="347"/>
      <c r="AD791" s="347"/>
      <c r="AE791" s="347"/>
      <c r="AF791" s="347"/>
      <c r="AG791" s="579"/>
      <c r="AH791" s="579"/>
      <c r="AI791" s="582"/>
      <c r="AJ791" s="582"/>
      <c r="AK791" s="582"/>
      <c r="AL791" s="582"/>
      <c r="AM791" s="579"/>
      <c r="AN791" s="579"/>
      <c r="AO791" s="347"/>
      <c r="AP791" s="586"/>
      <c r="AQ791" s="596"/>
      <c r="AR791" s="596"/>
      <c r="AS791" s="348"/>
      <c r="AT791" s="348"/>
      <c r="AU791" s="348"/>
      <c r="AV791" s="348"/>
      <c r="AW791" s="348"/>
      <c r="AX791" s="584"/>
      <c r="AY791" s="581"/>
      <c r="AZ791" s="581"/>
      <c r="BA791" s="596"/>
      <c r="BB791" s="596"/>
      <c r="BC791" s="348"/>
      <c r="BD791" s="581"/>
      <c r="BE791" s="581"/>
      <c r="BF791" s="347"/>
      <c r="BG791" s="347"/>
      <c r="BH791" s="347"/>
      <c r="BI791" s="347"/>
      <c r="BJ791" s="586"/>
      <c r="BK791" s="581"/>
      <c r="BL791" s="347"/>
      <c r="BM791" s="347"/>
      <c r="BN791" s="347"/>
      <c r="BO791" s="586"/>
      <c r="BP791" s="584"/>
      <c r="BQ791" s="347"/>
      <c r="BR791" s="586"/>
      <c r="BS791" s="588"/>
      <c r="BT791" s="586"/>
      <c r="BU791" s="589"/>
      <c r="BV791" s="581">
        <f t="shared" si="44"/>
        <v>0</v>
      </c>
      <c r="BW791" s="590"/>
      <c r="BX791" s="347"/>
      <c r="BY791" s="347"/>
      <c r="BZ791" s="347"/>
      <c r="CA791" s="586"/>
      <c r="CB791" s="581"/>
      <c r="CC791" s="581">
        <f t="shared" si="193"/>
        <v>0</v>
      </c>
      <c r="CD791" s="581"/>
      <c r="CE791" s="581"/>
      <c r="CF791" s="581"/>
      <c r="CG791" s="586"/>
      <c r="CH791" s="608"/>
      <c r="CI791" s="603"/>
      <c r="CJ791" s="347"/>
      <c r="CK791" s="347"/>
      <c r="CL791" s="347"/>
      <c r="CM791" s="347"/>
      <c r="CN791" s="347"/>
      <c r="CO791" s="347"/>
      <c r="CP791" s="347"/>
    </row>
    <row r="792">
      <c r="A792" s="574"/>
      <c r="B792" s="574"/>
      <c r="C792" s="347"/>
      <c r="D792" s="574"/>
      <c r="E792" s="347"/>
      <c r="F792" s="596"/>
      <c r="G792" s="596"/>
      <c r="H792" s="347"/>
      <c r="I792" s="347"/>
      <c r="J792" s="596"/>
      <c r="K792" s="609"/>
      <c r="L792" s="1"/>
      <c r="M792" s="347"/>
      <c r="N792" s="347"/>
      <c r="O792" s="579"/>
      <c r="P792" s="579"/>
      <c r="Q792" s="574"/>
      <c r="R792" s="347"/>
      <c r="S792" s="597"/>
      <c r="T792" s="347"/>
      <c r="U792" s="579"/>
      <c r="V792" s="579"/>
      <c r="W792" s="574"/>
      <c r="X792" s="347"/>
      <c r="Y792" s="347"/>
      <c r="Z792" s="347"/>
      <c r="AA792" s="579"/>
      <c r="AB792" s="581"/>
      <c r="AC792" s="347"/>
      <c r="AD792" s="347"/>
      <c r="AE792" s="347"/>
      <c r="AF792" s="347"/>
      <c r="AG792" s="579"/>
      <c r="AH792" s="579"/>
      <c r="AI792" s="582"/>
      <c r="AJ792" s="582"/>
      <c r="AK792" s="582"/>
      <c r="AL792" s="582"/>
      <c r="AM792" s="579"/>
      <c r="AN792" s="579"/>
      <c r="AO792" s="347"/>
      <c r="AP792" s="586"/>
      <c r="AQ792" s="596"/>
      <c r="AR792" s="596"/>
      <c r="AS792" s="348"/>
      <c r="AT792" s="348"/>
      <c r="AU792" s="348"/>
      <c r="AV792" s="348"/>
      <c r="AW792" s="348"/>
      <c r="AX792" s="584"/>
      <c r="AY792" s="581"/>
      <c r="AZ792" s="581"/>
      <c r="BA792" s="596"/>
      <c r="BB792" s="596"/>
      <c r="BC792" s="348"/>
      <c r="BD792" s="581"/>
      <c r="BE792" s="581"/>
      <c r="BF792" s="347"/>
      <c r="BG792" s="347"/>
      <c r="BH792" s="347"/>
      <c r="BI792" s="347"/>
      <c r="BJ792" s="586"/>
      <c r="BK792" s="581"/>
      <c r="BL792" s="347"/>
      <c r="BM792" s="347"/>
      <c r="BN792" s="347"/>
      <c r="BO792" s="586"/>
      <c r="BP792" s="584"/>
      <c r="BQ792" s="347"/>
      <c r="BR792" s="586"/>
      <c r="BS792" s="588"/>
      <c r="BT792" s="586"/>
      <c r="BU792" s="589"/>
      <c r="BV792" s="581">
        <f t="shared" si="44"/>
        <v>0</v>
      </c>
      <c r="BW792" s="590"/>
      <c r="BX792" s="347"/>
      <c r="BY792" s="347"/>
      <c r="BZ792" s="347"/>
      <c r="CA792" s="586"/>
      <c r="CB792" s="581"/>
      <c r="CC792" s="581">
        <f t="shared" si="193"/>
        <v>0</v>
      </c>
      <c r="CD792" s="581"/>
      <c r="CE792" s="581"/>
      <c r="CF792" s="581"/>
      <c r="CG792" s="586"/>
      <c r="CH792" s="608"/>
      <c r="CI792" s="603"/>
      <c r="CJ792" s="347"/>
      <c r="CK792" s="347"/>
      <c r="CL792" s="347"/>
      <c r="CM792" s="347"/>
      <c r="CN792" s="347"/>
      <c r="CO792" s="347"/>
      <c r="CP792" s="347"/>
    </row>
    <row r="793">
      <c r="A793" s="574"/>
      <c r="B793" s="574"/>
      <c r="C793" s="347"/>
      <c r="D793" s="574"/>
      <c r="E793" s="347"/>
      <c r="F793" s="596"/>
      <c r="G793" s="596"/>
      <c r="H793" s="347"/>
      <c r="I793" s="347"/>
      <c r="J793" s="596"/>
      <c r="K793" s="609"/>
      <c r="L793" s="1"/>
      <c r="M793" s="347"/>
      <c r="N793" s="347"/>
      <c r="O793" s="579"/>
      <c r="P793" s="579"/>
      <c r="Q793" s="574"/>
      <c r="R793" s="347"/>
      <c r="S793" s="597"/>
      <c r="T793" s="347"/>
      <c r="U793" s="579"/>
      <c r="V793" s="579"/>
      <c r="W793" s="574"/>
      <c r="X793" s="347"/>
      <c r="Y793" s="347"/>
      <c r="Z793" s="347"/>
      <c r="AA793" s="579"/>
      <c r="AB793" s="581"/>
      <c r="AC793" s="347"/>
      <c r="AD793" s="347"/>
      <c r="AE793" s="347"/>
      <c r="AF793" s="347"/>
      <c r="AG793" s="579"/>
      <c r="AH793" s="579"/>
      <c r="AI793" s="582"/>
      <c r="AJ793" s="582"/>
      <c r="AK793" s="582"/>
      <c r="AL793" s="582"/>
      <c r="AM793" s="579"/>
      <c r="AN793" s="579"/>
      <c r="AO793" s="347"/>
      <c r="AP793" s="586"/>
      <c r="AQ793" s="596"/>
      <c r="AR793" s="596"/>
      <c r="AS793" s="348"/>
      <c r="AT793" s="348"/>
      <c r="AU793" s="348"/>
      <c r="AV793" s="348"/>
      <c r="AW793" s="348"/>
      <c r="AX793" s="584"/>
      <c r="AY793" s="581"/>
      <c r="AZ793" s="581"/>
      <c r="BA793" s="596"/>
      <c r="BB793" s="596"/>
      <c r="BC793" s="348"/>
      <c r="BD793" s="581"/>
      <c r="BE793" s="581"/>
      <c r="BF793" s="347"/>
      <c r="BG793" s="347"/>
      <c r="BH793" s="347"/>
      <c r="BI793" s="347"/>
      <c r="BJ793" s="586"/>
      <c r="BK793" s="581"/>
      <c r="BL793" s="347"/>
      <c r="BM793" s="347"/>
      <c r="BN793" s="347"/>
      <c r="BO793" s="586"/>
      <c r="BP793" s="584"/>
      <c r="BQ793" s="347"/>
      <c r="BR793" s="586"/>
      <c r="BS793" s="588"/>
      <c r="BT793" s="586"/>
      <c r="BU793" s="589"/>
      <c r="BV793" s="581">
        <f t="shared" si="44"/>
        <v>0</v>
      </c>
      <c r="BW793" s="590"/>
      <c r="BX793" s="347"/>
      <c r="BY793" s="347"/>
      <c r="BZ793" s="347"/>
      <c r="CA793" s="586"/>
      <c r="CB793" s="581"/>
      <c r="CC793" s="581">
        <f t="shared" si="193"/>
        <v>0</v>
      </c>
      <c r="CD793" s="581"/>
      <c r="CE793" s="581"/>
      <c r="CF793" s="581"/>
      <c r="CG793" s="586"/>
      <c r="CH793" s="608"/>
      <c r="CI793" s="603"/>
      <c r="CJ793" s="347"/>
      <c r="CK793" s="347"/>
      <c r="CL793" s="347"/>
      <c r="CM793" s="347"/>
      <c r="CN793" s="347"/>
      <c r="CO793" s="347"/>
      <c r="CP793" s="347"/>
    </row>
    <row r="794">
      <c r="A794" s="574"/>
      <c r="B794" s="574"/>
      <c r="C794" s="347"/>
      <c r="D794" s="574"/>
      <c r="E794" s="347"/>
      <c r="F794" s="596"/>
      <c r="G794" s="596"/>
      <c r="H794" s="347"/>
      <c r="I794" s="347"/>
      <c r="J794" s="596"/>
      <c r="K794" s="609"/>
      <c r="L794" s="1"/>
      <c r="M794" s="347"/>
      <c r="N794" s="347"/>
      <c r="O794" s="579"/>
      <c r="P794" s="579"/>
      <c r="Q794" s="574"/>
      <c r="R794" s="347"/>
      <c r="S794" s="597"/>
      <c r="T794" s="347"/>
      <c r="U794" s="579"/>
      <c r="V794" s="579"/>
      <c r="W794" s="574"/>
      <c r="X794" s="347"/>
      <c r="Y794" s="347"/>
      <c r="Z794" s="347"/>
      <c r="AA794" s="579"/>
      <c r="AB794" s="581"/>
      <c r="AC794" s="347"/>
      <c r="AD794" s="347"/>
      <c r="AE794" s="347"/>
      <c r="AF794" s="347"/>
      <c r="AG794" s="579"/>
      <c r="AH794" s="579"/>
      <c r="AI794" s="582"/>
      <c r="AJ794" s="582"/>
      <c r="AK794" s="582"/>
      <c r="AL794" s="582"/>
      <c r="AM794" s="579"/>
      <c r="AN794" s="579"/>
      <c r="AO794" s="347"/>
      <c r="AP794" s="586"/>
      <c r="AQ794" s="596"/>
      <c r="AR794" s="596"/>
      <c r="AS794" s="348"/>
      <c r="AT794" s="348"/>
      <c r="AU794" s="348"/>
      <c r="AV794" s="348"/>
      <c r="AW794" s="348"/>
      <c r="AX794" s="584"/>
      <c r="AY794" s="581"/>
      <c r="AZ794" s="581"/>
      <c r="BA794" s="596"/>
      <c r="BB794" s="596"/>
      <c r="BC794" s="348"/>
      <c r="BD794" s="581"/>
      <c r="BE794" s="581"/>
      <c r="BF794" s="347"/>
      <c r="BG794" s="347"/>
      <c r="BH794" s="347"/>
      <c r="BI794" s="347"/>
      <c r="BJ794" s="586"/>
      <c r="BK794" s="581"/>
      <c r="BL794" s="347"/>
      <c r="BM794" s="347"/>
      <c r="BN794" s="347"/>
      <c r="BO794" s="586"/>
      <c r="BP794" s="584"/>
      <c r="BQ794" s="347"/>
      <c r="BR794" s="586"/>
      <c r="BS794" s="588"/>
      <c r="BT794" s="586"/>
      <c r="BU794" s="589"/>
      <c r="BV794" s="581">
        <f t="shared" si="44"/>
        <v>0</v>
      </c>
      <c r="BW794" s="590"/>
      <c r="BX794" s="347"/>
      <c r="BY794" s="347"/>
      <c r="BZ794" s="347"/>
      <c r="CA794" s="586"/>
      <c r="CB794" s="581"/>
      <c r="CC794" s="581">
        <f t="shared" si="193"/>
        <v>0</v>
      </c>
      <c r="CD794" s="581"/>
      <c r="CE794" s="581"/>
      <c r="CF794" s="581"/>
      <c r="CG794" s="586"/>
      <c r="CH794" s="608"/>
      <c r="CI794" s="603"/>
      <c r="CJ794" s="347"/>
      <c r="CK794" s="347"/>
      <c r="CL794" s="347"/>
      <c r="CM794" s="347"/>
      <c r="CN794" s="347"/>
      <c r="CO794" s="347"/>
      <c r="CP794" s="347"/>
    </row>
    <row r="795">
      <c r="A795" s="574"/>
      <c r="B795" s="574"/>
      <c r="C795" s="347"/>
      <c r="D795" s="574"/>
      <c r="E795" s="347"/>
      <c r="F795" s="596"/>
      <c r="G795" s="596"/>
      <c r="H795" s="347"/>
      <c r="I795" s="347"/>
      <c r="J795" s="596"/>
      <c r="K795" s="609"/>
      <c r="L795" s="1"/>
      <c r="M795" s="347"/>
      <c r="N795" s="347"/>
      <c r="O795" s="579"/>
      <c r="P795" s="579"/>
      <c r="Q795" s="574"/>
      <c r="R795" s="347"/>
      <c r="S795" s="597"/>
      <c r="T795" s="347"/>
      <c r="U795" s="579"/>
      <c r="V795" s="579"/>
      <c r="W795" s="574"/>
      <c r="X795" s="347"/>
      <c r="Y795" s="347"/>
      <c r="Z795" s="347"/>
      <c r="AA795" s="579"/>
      <c r="AB795" s="581"/>
      <c r="AC795" s="347"/>
      <c r="AD795" s="347"/>
      <c r="AE795" s="347"/>
      <c r="AF795" s="347"/>
      <c r="AG795" s="579"/>
      <c r="AH795" s="579"/>
      <c r="AI795" s="582"/>
      <c r="AJ795" s="582"/>
      <c r="AK795" s="582"/>
      <c r="AL795" s="582"/>
      <c r="AM795" s="579"/>
      <c r="AN795" s="579"/>
      <c r="AO795" s="347"/>
      <c r="AP795" s="586"/>
      <c r="AQ795" s="596"/>
      <c r="AR795" s="596"/>
      <c r="AS795" s="348"/>
      <c r="AT795" s="348"/>
      <c r="AU795" s="348"/>
      <c r="AV795" s="348"/>
      <c r="AW795" s="348"/>
      <c r="AX795" s="584"/>
      <c r="AY795" s="581"/>
      <c r="AZ795" s="581"/>
      <c r="BA795" s="596"/>
      <c r="BB795" s="596"/>
      <c r="BC795" s="348"/>
      <c r="BD795" s="581"/>
      <c r="BE795" s="581"/>
      <c r="BF795" s="347"/>
      <c r="BG795" s="347"/>
      <c r="BH795" s="347"/>
      <c r="BI795" s="347"/>
      <c r="BJ795" s="586"/>
      <c r="BK795" s="581"/>
      <c r="BL795" s="347"/>
      <c r="BM795" s="347"/>
      <c r="BN795" s="347"/>
      <c r="BO795" s="586"/>
      <c r="BP795" s="584"/>
      <c r="BQ795" s="347"/>
      <c r="BR795" s="586"/>
      <c r="BS795" s="588"/>
      <c r="BT795" s="586"/>
      <c r="BU795" s="589"/>
      <c r="BV795" s="581">
        <f t="shared" si="44"/>
        <v>0</v>
      </c>
      <c r="BW795" s="590"/>
      <c r="BX795" s="347"/>
      <c r="BY795" s="347"/>
      <c r="BZ795" s="347"/>
      <c r="CA795" s="586"/>
      <c r="CB795" s="581"/>
      <c r="CC795" s="581">
        <f t="shared" si="193"/>
        <v>0</v>
      </c>
      <c r="CD795" s="581"/>
      <c r="CE795" s="581"/>
      <c r="CF795" s="581"/>
      <c r="CG795" s="586"/>
      <c r="CH795" s="608"/>
      <c r="CI795" s="603"/>
      <c r="CJ795" s="347"/>
      <c r="CK795" s="347"/>
      <c r="CL795" s="347"/>
      <c r="CM795" s="347"/>
      <c r="CN795" s="347"/>
      <c r="CO795" s="347"/>
      <c r="CP795" s="347"/>
    </row>
    <row r="796">
      <c r="A796" s="574"/>
      <c r="B796" s="574"/>
      <c r="C796" s="347"/>
      <c r="D796" s="574"/>
      <c r="E796" s="347"/>
      <c r="F796" s="596"/>
      <c r="G796" s="596"/>
      <c r="H796" s="347"/>
      <c r="I796" s="347"/>
      <c r="J796" s="596"/>
      <c r="K796" s="609"/>
      <c r="L796" s="1"/>
      <c r="M796" s="347"/>
      <c r="N796" s="347"/>
      <c r="O796" s="579"/>
      <c r="P796" s="579"/>
      <c r="Q796" s="574"/>
      <c r="R796" s="347"/>
      <c r="S796" s="597"/>
      <c r="T796" s="347"/>
      <c r="U796" s="579"/>
      <c r="V796" s="579"/>
      <c r="W796" s="574"/>
      <c r="X796" s="347"/>
      <c r="Y796" s="347"/>
      <c r="Z796" s="347"/>
      <c r="AA796" s="579"/>
      <c r="AB796" s="581"/>
      <c r="AC796" s="347"/>
      <c r="AD796" s="347"/>
      <c r="AE796" s="347"/>
      <c r="AF796" s="347"/>
      <c r="AG796" s="579"/>
      <c r="AH796" s="579"/>
      <c r="AI796" s="582"/>
      <c r="AJ796" s="582"/>
      <c r="AK796" s="582"/>
      <c r="AL796" s="582"/>
      <c r="AM796" s="579"/>
      <c r="AN796" s="579"/>
      <c r="AO796" s="347"/>
      <c r="AP796" s="586"/>
      <c r="AQ796" s="596"/>
      <c r="AR796" s="596"/>
      <c r="AS796" s="348"/>
      <c r="AT796" s="348"/>
      <c r="AU796" s="348"/>
      <c r="AV796" s="348"/>
      <c r="AW796" s="348"/>
      <c r="AX796" s="584"/>
      <c r="AY796" s="581"/>
      <c r="AZ796" s="581"/>
      <c r="BA796" s="596"/>
      <c r="BB796" s="596"/>
      <c r="BC796" s="348"/>
      <c r="BD796" s="581"/>
      <c r="BE796" s="581"/>
      <c r="BF796" s="347"/>
      <c r="BG796" s="347"/>
      <c r="BH796" s="347"/>
      <c r="BI796" s="347"/>
      <c r="BJ796" s="586"/>
      <c r="BK796" s="581"/>
      <c r="BL796" s="347"/>
      <c r="BM796" s="347"/>
      <c r="BN796" s="347"/>
      <c r="BO796" s="586"/>
      <c r="BP796" s="584"/>
      <c r="BQ796" s="347"/>
      <c r="BR796" s="586"/>
      <c r="BS796" s="588"/>
      <c r="BT796" s="586"/>
      <c r="BU796" s="589"/>
      <c r="BV796" s="581">
        <f t="shared" si="44"/>
        <v>0</v>
      </c>
      <c r="BW796" s="590"/>
      <c r="BX796" s="347"/>
      <c r="BY796" s="347"/>
      <c r="BZ796" s="347"/>
      <c r="CA796" s="586"/>
      <c r="CB796" s="581"/>
      <c r="CC796" s="581">
        <f t="shared" si="193"/>
        <v>0</v>
      </c>
      <c r="CD796" s="581"/>
      <c r="CE796" s="581"/>
      <c r="CF796" s="581"/>
      <c r="CG796" s="586"/>
      <c r="CH796" s="608"/>
      <c r="CI796" s="603"/>
      <c r="CJ796" s="347"/>
      <c r="CK796" s="347"/>
      <c r="CL796" s="347"/>
      <c r="CM796" s="347"/>
      <c r="CN796" s="347"/>
      <c r="CO796" s="347"/>
      <c r="CP796" s="347"/>
    </row>
    <row r="797">
      <c r="A797" s="574"/>
      <c r="B797" s="574"/>
      <c r="C797" s="347"/>
      <c r="D797" s="574"/>
      <c r="E797" s="347"/>
      <c r="F797" s="596"/>
      <c r="G797" s="596"/>
      <c r="H797" s="347"/>
      <c r="I797" s="347"/>
      <c r="J797" s="596"/>
      <c r="K797" s="609"/>
      <c r="L797" s="1"/>
      <c r="M797" s="347"/>
      <c r="N797" s="347"/>
      <c r="O797" s="579"/>
      <c r="P797" s="579"/>
      <c r="Q797" s="574"/>
      <c r="R797" s="347"/>
      <c r="S797" s="597"/>
      <c r="T797" s="347"/>
      <c r="U797" s="579"/>
      <c r="V797" s="579"/>
      <c r="W797" s="574"/>
      <c r="X797" s="347"/>
      <c r="Y797" s="347"/>
      <c r="Z797" s="347"/>
      <c r="AA797" s="579"/>
      <c r="AB797" s="581"/>
      <c r="AC797" s="347"/>
      <c r="AD797" s="347"/>
      <c r="AE797" s="347"/>
      <c r="AF797" s="347"/>
      <c r="AG797" s="579"/>
      <c r="AH797" s="579"/>
      <c r="AI797" s="582"/>
      <c r="AJ797" s="582"/>
      <c r="AK797" s="582"/>
      <c r="AL797" s="582"/>
      <c r="AM797" s="579"/>
      <c r="AN797" s="579"/>
      <c r="AO797" s="347"/>
      <c r="AP797" s="586"/>
      <c r="AQ797" s="596"/>
      <c r="AR797" s="596"/>
      <c r="AS797" s="348"/>
      <c r="AT797" s="348"/>
      <c r="AU797" s="348"/>
      <c r="AV797" s="348"/>
      <c r="AW797" s="348"/>
      <c r="AX797" s="584"/>
      <c r="AY797" s="581"/>
      <c r="AZ797" s="581"/>
      <c r="BA797" s="596"/>
      <c r="BB797" s="596"/>
      <c r="BC797" s="348"/>
      <c r="BD797" s="581"/>
      <c r="BE797" s="581"/>
      <c r="BF797" s="347"/>
      <c r="BG797" s="347"/>
      <c r="BH797" s="347"/>
      <c r="BI797" s="347"/>
      <c r="BJ797" s="586"/>
      <c r="BK797" s="581"/>
      <c r="BL797" s="347"/>
      <c r="BM797" s="347"/>
      <c r="BN797" s="347"/>
      <c r="BO797" s="586"/>
      <c r="BP797" s="584"/>
      <c r="BQ797" s="347"/>
      <c r="BR797" s="586"/>
      <c r="BS797" s="588"/>
      <c r="BT797" s="586"/>
      <c r="BU797" s="589"/>
      <c r="BV797" s="581">
        <f t="shared" si="44"/>
        <v>0</v>
      </c>
      <c r="BW797" s="590"/>
      <c r="BX797" s="347"/>
      <c r="BY797" s="347"/>
      <c r="BZ797" s="347"/>
      <c r="CA797" s="586"/>
      <c r="CB797" s="581"/>
      <c r="CC797" s="581">
        <f t="shared" si="193"/>
        <v>0</v>
      </c>
      <c r="CD797" s="581"/>
      <c r="CE797" s="581"/>
      <c r="CF797" s="581"/>
      <c r="CG797" s="586"/>
      <c r="CH797" s="608"/>
      <c r="CI797" s="603"/>
      <c r="CJ797" s="347"/>
      <c r="CK797" s="347"/>
      <c r="CL797" s="347"/>
      <c r="CM797" s="347"/>
      <c r="CN797" s="347"/>
      <c r="CO797" s="347"/>
      <c r="CP797" s="347"/>
    </row>
    <row r="798">
      <c r="A798" s="574"/>
      <c r="B798" s="574"/>
      <c r="C798" s="347"/>
      <c r="D798" s="574"/>
      <c r="E798" s="347"/>
      <c r="F798" s="596"/>
      <c r="G798" s="596"/>
      <c r="H798" s="347"/>
      <c r="I798" s="347"/>
      <c r="J798" s="596"/>
      <c r="K798" s="609"/>
      <c r="L798" s="1"/>
      <c r="M798" s="347"/>
      <c r="N798" s="347"/>
      <c r="O798" s="579"/>
      <c r="P798" s="579"/>
      <c r="Q798" s="574"/>
      <c r="R798" s="347"/>
      <c r="S798" s="597"/>
      <c r="T798" s="347"/>
      <c r="U798" s="579"/>
      <c r="V798" s="579"/>
      <c r="W798" s="574"/>
      <c r="X798" s="347"/>
      <c r="Y798" s="347"/>
      <c r="Z798" s="347"/>
      <c r="AA798" s="579"/>
      <c r="AB798" s="581"/>
      <c r="AC798" s="347"/>
      <c r="AD798" s="347"/>
      <c r="AE798" s="347"/>
      <c r="AF798" s="347"/>
      <c r="AG798" s="579"/>
      <c r="AH798" s="579"/>
      <c r="AI798" s="582"/>
      <c r="AJ798" s="582"/>
      <c r="AK798" s="582"/>
      <c r="AL798" s="582"/>
      <c r="AM798" s="579"/>
      <c r="AN798" s="579"/>
      <c r="AO798" s="347"/>
      <c r="AP798" s="586"/>
      <c r="AQ798" s="596"/>
      <c r="AR798" s="596"/>
      <c r="AS798" s="348"/>
      <c r="AT798" s="348"/>
      <c r="AU798" s="348"/>
      <c r="AV798" s="348"/>
      <c r="AW798" s="348"/>
      <c r="AX798" s="584"/>
      <c r="AY798" s="581"/>
      <c r="AZ798" s="581"/>
      <c r="BA798" s="596"/>
      <c r="BB798" s="596"/>
      <c r="BC798" s="348"/>
      <c r="BD798" s="581"/>
      <c r="BE798" s="581"/>
      <c r="BF798" s="347"/>
      <c r="BG798" s="347"/>
      <c r="BH798" s="347"/>
      <c r="BI798" s="347"/>
      <c r="BJ798" s="586"/>
      <c r="BK798" s="581"/>
      <c r="BL798" s="347"/>
      <c r="BM798" s="347"/>
      <c r="BN798" s="347"/>
      <c r="BO798" s="586"/>
      <c r="BP798" s="584"/>
      <c r="BQ798" s="347"/>
      <c r="BR798" s="586"/>
      <c r="BS798" s="588"/>
      <c r="BT798" s="586"/>
      <c r="BU798" s="589"/>
      <c r="BV798" s="581">
        <f t="shared" si="44"/>
        <v>0</v>
      </c>
      <c r="BW798" s="590"/>
      <c r="BX798" s="347"/>
      <c r="BY798" s="347"/>
      <c r="BZ798" s="347"/>
      <c r="CA798" s="586"/>
      <c r="CB798" s="581"/>
      <c r="CC798" s="581">
        <f t="shared" si="193"/>
        <v>0</v>
      </c>
      <c r="CD798" s="581"/>
      <c r="CE798" s="581"/>
      <c r="CF798" s="581"/>
      <c r="CG798" s="586"/>
      <c r="CH798" s="608"/>
      <c r="CI798" s="603"/>
      <c r="CJ798" s="347"/>
      <c r="CK798" s="347"/>
      <c r="CL798" s="347"/>
      <c r="CM798" s="347"/>
      <c r="CN798" s="347"/>
      <c r="CO798" s="347"/>
      <c r="CP798" s="347"/>
    </row>
    <row r="799">
      <c r="A799" s="574"/>
      <c r="B799" s="574"/>
      <c r="C799" s="347"/>
      <c r="D799" s="574"/>
      <c r="E799" s="347"/>
      <c r="F799" s="596"/>
      <c r="G799" s="596"/>
      <c r="H799" s="347"/>
      <c r="I799" s="347"/>
      <c r="J799" s="596"/>
      <c r="K799" s="609"/>
      <c r="L799" s="1"/>
      <c r="M799" s="347"/>
      <c r="N799" s="347"/>
      <c r="O799" s="579"/>
      <c r="P799" s="579"/>
      <c r="Q799" s="574"/>
      <c r="R799" s="347"/>
      <c r="S799" s="597"/>
      <c r="T799" s="347"/>
      <c r="U799" s="579"/>
      <c r="V799" s="579"/>
      <c r="W799" s="574"/>
      <c r="X799" s="347"/>
      <c r="Y799" s="347"/>
      <c r="Z799" s="347"/>
      <c r="AA799" s="579"/>
      <c r="AB799" s="581"/>
      <c r="AC799" s="347"/>
      <c r="AD799" s="347"/>
      <c r="AE799" s="347"/>
      <c r="AF799" s="347"/>
      <c r="AG799" s="579"/>
      <c r="AH799" s="579"/>
      <c r="AI799" s="582"/>
      <c r="AJ799" s="582"/>
      <c r="AK799" s="582"/>
      <c r="AL799" s="582"/>
      <c r="AM799" s="579"/>
      <c r="AN799" s="579"/>
      <c r="AO799" s="347"/>
      <c r="AP799" s="586"/>
      <c r="AQ799" s="596"/>
      <c r="AR799" s="596"/>
      <c r="AS799" s="348"/>
      <c r="AT799" s="348"/>
      <c r="AU799" s="348"/>
      <c r="AV799" s="348"/>
      <c r="AW799" s="348"/>
      <c r="AX799" s="584"/>
      <c r="AY799" s="581"/>
      <c r="AZ799" s="581"/>
      <c r="BA799" s="596"/>
      <c r="BB799" s="596"/>
      <c r="BC799" s="348"/>
      <c r="BD799" s="581"/>
      <c r="BE799" s="581"/>
      <c r="BF799" s="347"/>
      <c r="BG799" s="347"/>
      <c r="BH799" s="347"/>
      <c r="BI799" s="347"/>
      <c r="BJ799" s="586"/>
      <c r="BK799" s="581"/>
      <c r="BL799" s="347"/>
      <c r="BM799" s="347"/>
      <c r="BN799" s="347"/>
      <c r="BO799" s="586"/>
      <c r="BP799" s="584"/>
      <c r="BQ799" s="347"/>
      <c r="BR799" s="586"/>
      <c r="BS799" s="588"/>
      <c r="BT799" s="586"/>
      <c r="BU799" s="589"/>
      <c r="BV799" s="581">
        <f t="shared" si="44"/>
        <v>0</v>
      </c>
      <c r="BW799" s="590"/>
      <c r="BX799" s="347"/>
      <c r="BY799" s="347"/>
      <c r="BZ799" s="347"/>
      <c r="CA799" s="586"/>
      <c r="CB799" s="581"/>
      <c r="CC799" s="581">
        <f t="shared" si="193"/>
        <v>0</v>
      </c>
      <c r="CD799" s="581"/>
      <c r="CE799" s="581"/>
      <c r="CF799" s="581"/>
      <c r="CG799" s="586"/>
      <c r="CH799" s="608"/>
      <c r="CI799" s="603"/>
      <c r="CJ799" s="347"/>
      <c r="CK799" s="347"/>
      <c r="CL799" s="347"/>
      <c r="CM799" s="347"/>
      <c r="CN799" s="347"/>
      <c r="CO799" s="347"/>
      <c r="CP799" s="347"/>
    </row>
    <row r="800">
      <c r="A800" s="574"/>
      <c r="B800" s="574"/>
      <c r="C800" s="347"/>
      <c r="D800" s="574"/>
      <c r="E800" s="347"/>
      <c r="F800" s="596"/>
      <c r="G800" s="596"/>
      <c r="H800" s="347"/>
      <c r="I800" s="347"/>
      <c r="J800" s="596"/>
      <c r="K800" s="609"/>
      <c r="L800" s="1"/>
      <c r="M800" s="347"/>
      <c r="N800" s="347"/>
      <c r="O800" s="579"/>
      <c r="P800" s="579"/>
      <c r="Q800" s="574"/>
      <c r="R800" s="347"/>
      <c r="S800" s="597"/>
      <c r="T800" s="347"/>
      <c r="U800" s="579"/>
      <c r="V800" s="579"/>
      <c r="W800" s="574"/>
      <c r="X800" s="347"/>
      <c r="Y800" s="347"/>
      <c r="Z800" s="347"/>
      <c r="AA800" s="579"/>
      <c r="AB800" s="581"/>
      <c r="AC800" s="347"/>
      <c r="AD800" s="347"/>
      <c r="AE800" s="347"/>
      <c r="AF800" s="347"/>
      <c r="AG800" s="579"/>
      <c r="AH800" s="579"/>
      <c r="AI800" s="582"/>
      <c r="AJ800" s="582"/>
      <c r="AK800" s="582"/>
      <c r="AL800" s="582"/>
      <c r="AM800" s="579"/>
      <c r="AN800" s="579"/>
      <c r="AO800" s="347"/>
      <c r="AP800" s="586"/>
      <c r="AQ800" s="596"/>
      <c r="AR800" s="596"/>
      <c r="AS800" s="348"/>
      <c r="AT800" s="348"/>
      <c r="AU800" s="348"/>
      <c r="AV800" s="348"/>
      <c r="AW800" s="348"/>
      <c r="AX800" s="584"/>
      <c r="AY800" s="581"/>
      <c r="AZ800" s="581"/>
      <c r="BA800" s="596"/>
      <c r="BB800" s="596"/>
      <c r="BC800" s="348"/>
      <c r="BD800" s="581"/>
      <c r="BE800" s="581"/>
      <c r="BF800" s="347"/>
      <c r="BG800" s="347"/>
      <c r="BH800" s="347"/>
      <c r="BI800" s="347"/>
      <c r="BJ800" s="586"/>
      <c r="BK800" s="581"/>
      <c r="BL800" s="347"/>
      <c r="BM800" s="347"/>
      <c r="BN800" s="347"/>
      <c r="BO800" s="586"/>
      <c r="BP800" s="584"/>
      <c r="BQ800" s="347"/>
      <c r="BR800" s="586"/>
      <c r="BS800" s="588"/>
      <c r="BT800" s="586"/>
      <c r="BU800" s="589"/>
      <c r="BV800" s="581">
        <f t="shared" si="44"/>
        <v>0</v>
      </c>
      <c r="BW800" s="590"/>
      <c r="BX800" s="347"/>
      <c r="BY800" s="347"/>
      <c r="BZ800" s="347"/>
      <c r="CA800" s="586"/>
      <c r="CB800" s="581"/>
      <c r="CC800" s="581">
        <f t="shared" si="193"/>
        <v>0</v>
      </c>
      <c r="CD800" s="581"/>
      <c r="CE800" s="581"/>
      <c r="CF800" s="581"/>
      <c r="CG800" s="586"/>
      <c r="CH800" s="608"/>
      <c r="CI800" s="603"/>
      <c r="CJ800" s="347"/>
      <c r="CK800" s="347"/>
      <c r="CL800" s="347"/>
      <c r="CM800" s="347"/>
      <c r="CN800" s="347"/>
      <c r="CO800" s="347"/>
      <c r="CP800" s="347"/>
    </row>
    <row r="801">
      <c r="A801" s="574"/>
      <c r="B801" s="574"/>
      <c r="C801" s="347"/>
      <c r="D801" s="574"/>
      <c r="E801" s="347"/>
      <c r="F801" s="596"/>
      <c r="G801" s="596"/>
      <c r="H801" s="347"/>
      <c r="I801" s="347"/>
      <c r="J801" s="596"/>
      <c r="K801" s="609"/>
      <c r="L801" s="1"/>
      <c r="M801" s="347"/>
      <c r="N801" s="347"/>
      <c r="O801" s="579"/>
      <c r="P801" s="579"/>
      <c r="Q801" s="574"/>
      <c r="R801" s="347"/>
      <c r="S801" s="597"/>
      <c r="T801" s="347"/>
      <c r="U801" s="579"/>
      <c r="V801" s="579"/>
      <c r="W801" s="574"/>
      <c r="X801" s="347"/>
      <c r="Y801" s="347"/>
      <c r="Z801" s="347"/>
      <c r="AA801" s="579"/>
      <c r="AB801" s="581"/>
      <c r="AC801" s="347"/>
      <c r="AD801" s="347"/>
      <c r="AE801" s="347"/>
      <c r="AF801" s="347"/>
      <c r="AG801" s="579"/>
      <c r="AH801" s="579"/>
      <c r="AI801" s="582"/>
      <c r="AJ801" s="582"/>
      <c r="AK801" s="582"/>
      <c r="AL801" s="582"/>
      <c r="AM801" s="579"/>
      <c r="AN801" s="579"/>
      <c r="AO801" s="347"/>
      <c r="AP801" s="586"/>
      <c r="AQ801" s="596"/>
      <c r="AR801" s="596"/>
      <c r="AS801" s="348"/>
      <c r="AT801" s="348"/>
      <c r="AU801" s="348"/>
      <c r="AV801" s="348"/>
      <c r="AW801" s="348"/>
      <c r="AX801" s="584"/>
      <c r="AY801" s="581"/>
      <c r="AZ801" s="581"/>
      <c r="BA801" s="596"/>
      <c r="BB801" s="596"/>
      <c r="BC801" s="348"/>
      <c r="BD801" s="581"/>
      <c r="BE801" s="581"/>
      <c r="BF801" s="347"/>
      <c r="BG801" s="347"/>
      <c r="BH801" s="347"/>
      <c r="BI801" s="347"/>
      <c r="BJ801" s="586"/>
      <c r="BK801" s="581"/>
      <c r="BL801" s="347"/>
      <c r="BM801" s="347"/>
      <c r="BN801" s="347"/>
      <c r="BO801" s="586"/>
      <c r="BP801" s="584"/>
      <c r="BQ801" s="347"/>
      <c r="BR801" s="586"/>
      <c r="BS801" s="588"/>
      <c r="BT801" s="586"/>
      <c r="BU801" s="589"/>
      <c r="BV801" s="581">
        <f t="shared" si="44"/>
        <v>0</v>
      </c>
      <c r="BW801" s="590"/>
      <c r="BX801" s="347"/>
      <c r="BY801" s="347"/>
      <c r="BZ801" s="347"/>
      <c r="CA801" s="586"/>
      <c r="CB801" s="581"/>
      <c r="CC801" s="581">
        <f t="shared" si="193"/>
        <v>0</v>
      </c>
      <c r="CD801" s="581"/>
      <c r="CE801" s="581"/>
      <c r="CF801" s="581"/>
      <c r="CG801" s="586"/>
      <c r="CH801" s="608"/>
      <c r="CI801" s="603"/>
      <c r="CJ801" s="347"/>
      <c r="CK801" s="347"/>
      <c r="CL801" s="347"/>
      <c r="CM801" s="347"/>
      <c r="CN801" s="347"/>
      <c r="CO801" s="347"/>
      <c r="CP801" s="347"/>
    </row>
    <row r="802">
      <c r="A802" s="574"/>
      <c r="B802" s="574"/>
      <c r="C802" s="347"/>
      <c r="D802" s="574"/>
      <c r="E802" s="347"/>
      <c r="F802" s="596"/>
      <c r="G802" s="596"/>
      <c r="H802" s="347"/>
      <c r="I802" s="347"/>
      <c r="J802" s="596"/>
      <c r="K802" s="609"/>
      <c r="L802" s="1"/>
      <c r="M802" s="347"/>
      <c r="N802" s="347"/>
      <c r="O802" s="579"/>
      <c r="P802" s="579"/>
      <c r="Q802" s="574"/>
      <c r="R802" s="347"/>
      <c r="S802" s="597"/>
      <c r="T802" s="347"/>
      <c r="U802" s="579"/>
      <c r="V802" s="579"/>
      <c r="W802" s="574"/>
      <c r="X802" s="347"/>
      <c r="Y802" s="347"/>
      <c r="Z802" s="347"/>
      <c r="AA802" s="579"/>
      <c r="AB802" s="581"/>
      <c r="AC802" s="347"/>
      <c r="AD802" s="347"/>
      <c r="AE802" s="347"/>
      <c r="AF802" s="347"/>
      <c r="AG802" s="579"/>
      <c r="AH802" s="579"/>
      <c r="AI802" s="582"/>
      <c r="AJ802" s="582"/>
      <c r="AK802" s="582"/>
      <c r="AL802" s="582"/>
      <c r="AM802" s="579"/>
      <c r="AN802" s="579"/>
      <c r="AO802" s="347"/>
      <c r="AP802" s="586"/>
      <c r="AQ802" s="596"/>
      <c r="AR802" s="596"/>
      <c r="AS802" s="348"/>
      <c r="AT802" s="348"/>
      <c r="AU802" s="348"/>
      <c r="AV802" s="348"/>
      <c r="AW802" s="348"/>
      <c r="AX802" s="584"/>
      <c r="AY802" s="581"/>
      <c r="AZ802" s="581"/>
      <c r="BA802" s="596"/>
      <c r="BB802" s="596"/>
      <c r="BC802" s="348"/>
      <c r="BD802" s="581"/>
      <c r="BE802" s="581"/>
      <c r="BF802" s="347"/>
      <c r="BG802" s="347"/>
      <c r="BH802" s="347"/>
      <c r="BI802" s="347"/>
      <c r="BJ802" s="586"/>
      <c r="BK802" s="581"/>
      <c r="BL802" s="347"/>
      <c r="BM802" s="347"/>
      <c r="BN802" s="347"/>
      <c r="BO802" s="586"/>
      <c r="BP802" s="584"/>
      <c r="BQ802" s="347"/>
      <c r="BR802" s="586"/>
      <c r="BS802" s="588"/>
      <c r="BT802" s="586"/>
      <c r="BU802" s="589"/>
      <c r="BV802" s="581">
        <f t="shared" si="44"/>
        <v>0</v>
      </c>
      <c r="BW802" s="590"/>
      <c r="BX802" s="347"/>
      <c r="BY802" s="347"/>
      <c r="BZ802" s="347"/>
      <c r="CA802" s="586"/>
      <c r="CB802" s="581"/>
      <c r="CC802" s="581">
        <f t="shared" si="193"/>
        <v>0</v>
      </c>
      <c r="CD802" s="581"/>
      <c r="CE802" s="581"/>
      <c r="CF802" s="581"/>
      <c r="CG802" s="586"/>
      <c r="CH802" s="608"/>
      <c r="CI802" s="603"/>
      <c r="CJ802" s="347"/>
      <c r="CK802" s="347"/>
      <c r="CL802" s="347"/>
      <c r="CM802" s="347"/>
      <c r="CN802" s="347"/>
      <c r="CO802" s="347"/>
      <c r="CP802" s="347"/>
    </row>
    <row r="803">
      <c r="A803" s="574"/>
      <c r="B803" s="574"/>
      <c r="C803" s="347"/>
      <c r="D803" s="574"/>
      <c r="E803" s="347"/>
      <c r="F803" s="596"/>
      <c r="G803" s="596"/>
      <c r="H803" s="347"/>
      <c r="I803" s="347"/>
      <c r="J803" s="596"/>
      <c r="K803" s="609"/>
      <c r="L803" s="1"/>
      <c r="M803" s="347"/>
      <c r="N803" s="347"/>
      <c r="O803" s="579"/>
      <c r="P803" s="579"/>
      <c r="Q803" s="574"/>
      <c r="R803" s="347"/>
      <c r="S803" s="597"/>
      <c r="T803" s="347"/>
      <c r="U803" s="579"/>
      <c r="V803" s="579"/>
      <c r="W803" s="574"/>
      <c r="X803" s="347"/>
      <c r="Y803" s="347"/>
      <c r="Z803" s="347"/>
      <c r="AA803" s="579"/>
      <c r="AB803" s="581"/>
      <c r="AC803" s="347"/>
      <c r="AD803" s="347"/>
      <c r="AE803" s="347"/>
      <c r="AF803" s="347"/>
      <c r="AG803" s="579"/>
      <c r="AH803" s="579"/>
      <c r="AI803" s="582"/>
      <c r="AJ803" s="582"/>
      <c r="AK803" s="582"/>
      <c r="AL803" s="582"/>
      <c r="AM803" s="579"/>
      <c r="AN803" s="579"/>
      <c r="AO803" s="347"/>
      <c r="AP803" s="586"/>
      <c r="AQ803" s="596"/>
      <c r="AR803" s="596"/>
      <c r="AS803" s="348"/>
      <c r="AT803" s="348"/>
      <c r="AU803" s="348"/>
      <c r="AV803" s="348"/>
      <c r="AW803" s="348"/>
      <c r="AX803" s="584"/>
      <c r="AY803" s="581"/>
      <c r="AZ803" s="581"/>
      <c r="BA803" s="596"/>
      <c r="BB803" s="596"/>
      <c r="BC803" s="348"/>
      <c r="BD803" s="581"/>
      <c r="BE803" s="581"/>
      <c r="BF803" s="347"/>
      <c r="BG803" s="347"/>
      <c r="BH803" s="347"/>
      <c r="BI803" s="347"/>
      <c r="BJ803" s="586"/>
      <c r="BK803" s="581"/>
      <c r="BL803" s="347"/>
      <c r="BM803" s="347"/>
      <c r="BN803" s="347"/>
      <c r="BO803" s="586"/>
      <c r="BP803" s="584"/>
      <c r="BQ803" s="347"/>
      <c r="BR803" s="586"/>
      <c r="BS803" s="588"/>
      <c r="BT803" s="586"/>
      <c r="BU803" s="589"/>
      <c r="BV803" s="581">
        <f t="shared" si="44"/>
        <v>0</v>
      </c>
      <c r="BW803" s="590"/>
      <c r="BX803" s="347"/>
      <c r="BY803" s="347"/>
      <c r="BZ803" s="347"/>
      <c r="CA803" s="586"/>
      <c r="CB803" s="581"/>
      <c r="CC803" s="581">
        <f t="shared" si="193"/>
        <v>0</v>
      </c>
      <c r="CD803" s="581"/>
      <c r="CE803" s="581"/>
      <c r="CF803" s="581"/>
      <c r="CG803" s="586"/>
      <c r="CH803" s="608"/>
      <c r="CI803" s="603"/>
      <c r="CJ803" s="347"/>
      <c r="CK803" s="347"/>
      <c r="CL803" s="347"/>
      <c r="CM803" s="347"/>
      <c r="CN803" s="347"/>
      <c r="CO803" s="347"/>
      <c r="CP803" s="347"/>
    </row>
    <row r="804">
      <c r="A804" s="574"/>
      <c r="B804" s="574"/>
      <c r="C804" s="347"/>
      <c r="D804" s="574"/>
      <c r="E804" s="347"/>
      <c r="F804" s="596"/>
      <c r="G804" s="596"/>
      <c r="H804" s="347"/>
      <c r="I804" s="347"/>
      <c r="J804" s="596"/>
      <c r="K804" s="609"/>
      <c r="L804" s="1"/>
      <c r="M804" s="347"/>
      <c r="N804" s="347"/>
      <c r="O804" s="579"/>
      <c r="P804" s="579"/>
      <c r="Q804" s="574"/>
      <c r="R804" s="347"/>
      <c r="S804" s="597"/>
      <c r="T804" s="347"/>
      <c r="U804" s="579"/>
      <c r="V804" s="579"/>
      <c r="W804" s="574"/>
      <c r="X804" s="347"/>
      <c r="Y804" s="347"/>
      <c r="Z804" s="347"/>
      <c r="AA804" s="579"/>
      <c r="AB804" s="581"/>
      <c r="AC804" s="347"/>
      <c r="AD804" s="347"/>
      <c r="AE804" s="347"/>
      <c r="AF804" s="347"/>
      <c r="AG804" s="579"/>
      <c r="AH804" s="579"/>
      <c r="AI804" s="582"/>
      <c r="AJ804" s="582"/>
      <c r="AK804" s="582"/>
      <c r="AL804" s="582"/>
      <c r="AM804" s="579"/>
      <c r="AN804" s="579"/>
      <c r="AO804" s="347"/>
      <c r="AP804" s="586"/>
      <c r="AQ804" s="596"/>
      <c r="AR804" s="596"/>
      <c r="AS804" s="348"/>
      <c r="AT804" s="348"/>
      <c r="AU804" s="348"/>
      <c r="AV804" s="348"/>
      <c r="AW804" s="348"/>
      <c r="AX804" s="584"/>
      <c r="AY804" s="581"/>
      <c r="AZ804" s="581"/>
      <c r="BA804" s="596"/>
      <c r="BB804" s="596"/>
      <c r="BC804" s="348"/>
      <c r="BD804" s="581"/>
      <c r="BE804" s="581"/>
      <c r="BF804" s="347"/>
      <c r="BG804" s="347"/>
      <c r="BH804" s="347"/>
      <c r="BI804" s="347"/>
      <c r="BJ804" s="586"/>
      <c r="BK804" s="581"/>
      <c r="BL804" s="347"/>
      <c r="BM804" s="347"/>
      <c r="BN804" s="347"/>
      <c r="BO804" s="586"/>
      <c r="BP804" s="584"/>
      <c r="BQ804" s="347"/>
      <c r="BR804" s="586"/>
      <c r="BS804" s="588"/>
      <c r="BT804" s="586"/>
      <c r="BU804" s="589"/>
      <c r="BV804" s="581">
        <f t="shared" si="44"/>
        <v>0</v>
      </c>
      <c r="BW804" s="590"/>
      <c r="BX804" s="347"/>
      <c r="BY804" s="347"/>
      <c r="BZ804" s="347"/>
      <c r="CA804" s="586"/>
      <c r="CB804" s="581"/>
      <c r="CC804" s="581">
        <f t="shared" si="193"/>
        <v>0</v>
      </c>
      <c r="CD804" s="581"/>
      <c r="CE804" s="581"/>
      <c r="CF804" s="581"/>
      <c r="CG804" s="586"/>
      <c r="CH804" s="608"/>
      <c r="CI804" s="603"/>
      <c r="CJ804" s="347"/>
      <c r="CK804" s="347"/>
      <c r="CL804" s="347"/>
      <c r="CM804" s="347"/>
      <c r="CN804" s="347"/>
      <c r="CO804" s="347"/>
      <c r="CP804" s="347"/>
    </row>
    <row r="805">
      <c r="A805" s="574"/>
      <c r="B805" s="574"/>
      <c r="C805" s="347"/>
      <c r="D805" s="574"/>
      <c r="E805" s="347"/>
      <c r="F805" s="596"/>
      <c r="G805" s="596"/>
      <c r="H805" s="347"/>
      <c r="I805" s="347"/>
      <c r="J805" s="596"/>
      <c r="K805" s="609"/>
      <c r="L805" s="1"/>
      <c r="M805" s="347"/>
      <c r="N805" s="347"/>
      <c r="O805" s="579"/>
      <c r="P805" s="579"/>
      <c r="Q805" s="574"/>
      <c r="R805" s="347"/>
      <c r="S805" s="597"/>
      <c r="T805" s="347"/>
      <c r="U805" s="579"/>
      <c r="V805" s="579"/>
      <c r="W805" s="574"/>
      <c r="X805" s="347"/>
      <c r="Y805" s="347"/>
      <c r="Z805" s="347"/>
      <c r="AA805" s="579"/>
      <c r="AB805" s="581"/>
      <c r="AC805" s="347"/>
      <c r="AD805" s="347"/>
      <c r="AE805" s="347"/>
      <c r="AF805" s="347"/>
      <c r="AG805" s="579"/>
      <c r="AH805" s="579"/>
      <c r="AI805" s="582"/>
      <c r="AJ805" s="582"/>
      <c r="AK805" s="582"/>
      <c r="AL805" s="582"/>
      <c r="AM805" s="579"/>
      <c r="AN805" s="579"/>
      <c r="AO805" s="347"/>
      <c r="AP805" s="586"/>
      <c r="AQ805" s="596"/>
      <c r="AR805" s="596"/>
      <c r="AS805" s="348"/>
      <c r="AT805" s="348"/>
      <c r="AU805" s="348"/>
      <c r="AV805" s="348"/>
      <c r="AW805" s="348"/>
      <c r="AX805" s="584"/>
      <c r="AY805" s="581"/>
      <c r="AZ805" s="581"/>
      <c r="BA805" s="596"/>
      <c r="BB805" s="596"/>
      <c r="BC805" s="348"/>
      <c r="BD805" s="581"/>
      <c r="BE805" s="581"/>
      <c r="BF805" s="347"/>
      <c r="BG805" s="347"/>
      <c r="BH805" s="347"/>
      <c r="BI805" s="347"/>
      <c r="BJ805" s="586"/>
      <c r="BK805" s="581"/>
      <c r="BL805" s="347"/>
      <c r="BM805" s="347"/>
      <c r="BN805" s="347"/>
      <c r="BO805" s="586"/>
      <c r="BP805" s="584"/>
      <c r="BQ805" s="347"/>
      <c r="BR805" s="586"/>
      <c r="BS805" s="588"/>
      <c r="BT805" s="586"/>
      <c r="BU805" s="589"/>
      <c r="BV805" s="581">
        <f t="shared" si="44"/>
        <v>0</v>
      </c>
      <c r="BW805" s="590"/>
      <c r="BX805" s="347"/>
      <c r="BY805" s="347"/>
      <c r="BZ805" s="347"/>
      <c r="CA805" s="586"/>
      <c r="CB805" s="581"/>
      <c r="CC805" s="581">
        <f t="shared" si="193"/>
        <v>0</v>
      </c>
      <c r="CD805" s="581"/>
      <c r="CE805" s="581"/>
      <c r="CF805" s="581"/>
      <c r="CG805" s="586"/>
      <c r="CH805" s="608"/>
      <c r="CI805" s="603"/>
      <c r="CJ805" s="347"/>
      <c r="CK805" s="347"/>
      <c r="CL805" s="347"/>
      <c r="CM805" s="347"/>
      <c r="CN805" s="347"/>
      <c r="CO805" s="347"/>
      <c r="CP805" s="347"/>
    </row>
    <row r="806">
      <c r="A806" s="574"/>
      <c r="B806" s="574"/>
      <c r="C806" s="347"/>
      <c r="D806" s="574"/>
      <c r="E806" s="347"/>
      <c r="F806" s="596"/>
      <c r="G806" s="596"/>
      <c r="H806" s="347"/>
      <c r="I806" s="347"/>
      <c r="J806" s="596"/>
      <c r="K806" s="609"/>
      <c r="L806" s="1"/>
      <c r="M806" s="347"/>
      <c r="N806" s="347"/>
      <c r="O806" s="579"/>
      <c r="P806" s="579"/>
      <c r="Q806" s="574"/>
      <c r="R806" s="347"/>
      <c r="S806" s="597"/>
      <c r="T806" s="347"/>
      <c r="U806" s="579"/>
      <c r="V806" s="579"/>
      <c r="W806" s="574"/>
      <c r="X806" s="347"/>
      <c r="Y806" s="347"/>
      <c r="Z806" s="347"/>
      <c r="AA806" s="579"/>
      <c r="AB806" s="581"/>
      <c r="AC806" s="347"/>
      <c r="AD806" s="347"/>
      <c r="AE806" s="347"/>
      <c r="AF806" s="347"/>
      <c r="AG806" s="579"/>
      <c r="AH806" s="579"/>
      <c r="AI806" s="582"/>
      <c r="AJ806" s="582"/>
      <c r="AK806" s="582"/>
      <c r="AL806" s="582"/>
      <c r="AM806" s="579"/>
      <c r="AN806" s="579"/>
      <c r="AO806" s="347"/>
      <c r="AP806" s="586"/>
      <c r="AQ806" s="596"/>
      <c r="AR806" s="596"/>
      <c r="AS806" s="348"/>
      <c r="AT806" s="348"/>
      <c r="AU806" s="348"/>
      <c r="AV806" s="348"/>
      <c r="AW806" s="348"/>
      <c r="AX806" s="584"/>
      <c r="AY806" s="581"/>
      <c r="AZ806" s="581"/>
      <c r="BA806" s="596"/>
      <c r="BB806" s="596"/>
      <c r="BC806" s="348"/>
      <c r="BD806" s="581"/>
      <c r="BE806" s="581"/>
      <c r="BF806" s="347"/>
      <c r="BG806" s="347"/>
      <c r="BH806" s="347"/>
      <c r="BI806" s="347"/>
      <c r="BJ806" s="586"/>
      <c r="BK806" s="581"/>
      <c r="BL806" s="347"/>
      <c r="BM806" s="347"/>
      <c r="BN806" s="347"/>
      <c r="BO806" s="586"/>
      <c r="BP806" s="584"/>
      <c r="BQ806" s="347"/>
      <c r="BR806" s="586"/>
      <c r="BS806" s="588"/>
      <c r="BT806" s="586"/>
      <c r="BU806" s="589"/>
      <c r="BV806" s="581">
        <f t="shared" si="44"/>
        <v>0</v>
      </c>
      <c r="BW806" s="590"/>
      <c r="BX806" s="347"/>
      <c r="BY806" s="347"/>
      <c r="BZ806" s="347"/>
      <c r="CA806" s="586"/>
      <c r="CB806" s="581"/>
      <c r="CC806" s="581">
        <f t="shared" si="193"/>
        <v>0</v>
      </c>
      <c r="CD806" s="581"/>
      <c r="CE806" s="581"/>
      <c r="CF806" s="581"/>
      <c r="CG806" s="586"/>
      <c r="CH806" s="608"/>
      <c r="CI806" s="603"/>
      <c r="CJ806" s="347"/>
      <c r="CK806" s="347"/>
      <c r="CL806" s="347"/>
      <c r="CM806" s="347"/>
      <c r="CN806" s="347"/>
      <c r="CO806" s="347"/>
      <c r="CP806" s="347"/>
    </row>
    <row r="807">
      <c r="A807" s="574"/>
      <c r="B807" s="574"/>
      <c r="C807" s="347"/>
      <c r="D807" s="574"/>
      <c r="E807" s="347"/>
      <c r="F807" s="596"/>
      <c r="G807" s="596"/>
      <c r="H807" s="347"/>
      <c r="I807" s="347"/>
      <c r="J807" s="596"/>
      <c r="K807" s="609"/>
      <c r="L807" s="1"/>
      <c r="M807" s="347"/>
      <c r="N807" s="347"/>
      <c r="O807" s="579"/>
      <c r="P807" s="579"/>
      <c r="Q807" s="574"/>
      <c r="R807" s="347"/>
      <c r="S807" s="597"/>
      <c r="T807" s="347"/>
      <c r="U807" s="579"/>
      <c r="V807" s="579"/>
      <c r="W807" s="574"/>
      <c r="X807" s="347"/>
      <c r="Y807" s="347"/>
      <c r="Z807" s="347"/>
      <c r="AA807" s="579"/>
      <c r="AB807" s="581"/>
      <c r="AC807" s="347"/>
      <c r="AD807" s="347"/>
      <c r="AE807" s="347"/>
      <c r="AF807" s="347"/>
      <c r="AG807" s="579"/>
      <c r="AH807" s="579"/>
      <c r="AI807" s="582"/>
      <c r="AJ807" s="582"/>
      <c r="AK807" s="582"/>
      <c r="AL807" s="582"/>
      <c r="AM807" s="579"/>
      <c r="AN807" s="579"/>
      <c r="AO807" s="347"/>
      <c r="AP807" s="586"/>
      <c r="AQ807" s="596"/>
      <c r="AR807" s="596"/>
      <c r="AS807" s="348"/>
      <c r="AT807" s="348"/>
      <c r="AU807" s="348"/>
      <c r="AV807" s="348"/>
      <c r="AW807" s="348"/>
      <c r="AX807" s="584"/>
      <c r="AY807" s="581"/>
      <c r="AZ807" s="581"/>
      <c r="BA807" s="596"/>
      <c r="BB807" s="596"/>
      <c r="BC807" s="348"/>
      <c r="BD807" s="581"/>
      <c r="BE807" s="581"/>
      <c r="BF807" s="347"/>
      <c r="BG807" s="347"/>
      <c r="BH807" s="347"/>
      <c r="BI807" s="347"/>
      <c r="BJ807" s="586"/>
      <c r="BK807" s="581"/>
      <c r="BL807" s="347"/>
      <c r="BM807" s="347"/>
      <c r="BN807" s="347"/>
      <c r="BO807" s="586"/>
      <c r="BP807" s="584"/>
      <c r="BQ807" s="347"/>
      <c r="BR807" s="586"/>
      <c r="BS807" s="588"/>
      <c r="BT807" s="586"/>
      <c r="BU807" s="589"/>
      <c r="BV807" s="581">
        <f t="shared" si="44"/>
        <v>0</v>
      </c>
      <c r="BW807" s="590"/>
      <c r="BX807" s="347"/>
      <c r="BY807" s="347"/>
      <c r="BZ807" s="347"/>
      <c r="CA807" s="586"/>
      <c r="CB807" s="581"/>
      <c r="CC807" s="581">
        <f t="shared" si="193"/>
        <v>0</v>
      </c>
      <c r="CD807" s="581"/>
      <c r="CE807" s="581"/>
      <c r="CF807" s="581"/>
      <c r="CG807" s="586"/>
      <c r="CH807" s="608"/>
      <c r="CI807" s="603"/>
      <c r="CJ807" s="347"/>
      <c r="CK807" s="347"/>
      <c r="CL807" s="347"/>
      <c r="CM807" s="347"/>
      <c r="CN807" s="347"/>
      <c r="CO807" s="347"/>
      <c r="CP807" s="347"/>
    </row>
    <row r="808">
      <c r="A808" s="574"/>
      <c r="B808" s="574"/>
      <c r="C808" s="347"/>
      <c r="D808" s="574"/>
      <c r="E808" s="347"/>
      <c r="F808" s="596"/>
      <c r="G808" s="596"/>
      <c r="H808" s="347"/>
      <c r="I808" s="347"/>
      <c r="J808" s="596"/>
      <c r="K808" s="609"/>
      <c r="L808" s="1"/>
      <c r="M808" s="347"/>
      <c r="N808" s="347"/>
      <c r="O808" s="579"/>
      <c r="P808" s="579"/>
      <c r="Q808" s="574"/>
      <c r="R808" s="347"/>
      <c r="S808" s="597"/>
      <c r="T808" s="347"/>
      <c r="U808" s="579"/>
      <c r="V808" s="579"/>
      <c r="W808" s="574"/>
      <c r="X808" s="347"/>
      <c r="Y808" s="347"/>
      <c r="Z808" s="347"/>
      <c r="AA808" s="579"/>
      <c r="AB808" s="581"/>
      <c r="AC808" s="347"/>
      <c r="AD808" s="347"/>
      <c r="AE808" s="347"/>
      <c r="AF808" s="347"/>
      <c r="AG808" s="579"/>
      <c r="AH808" s="579"/>
      <c r="AI808" s="582"/>
      <c r="AJ808" s="582"/>
      <c r="AK808" s="582"/>
      <c r="AL808" s="582"/>
      <c r="AM808" s="579"/>
      <c r="AN808" s="579"/>
      <c r="AO808" s="347"/>
      <c r="AP808" s="586"/>
      <c r="AQ808" s="596"/>
      <c r="AR808" s="596"/>
      <c r="AS808" s="348"/>
      <c r="AT808" s="348"/>
      <c r="AU808" s="348"/>
      <c r="AV808" s="348"/>
      <c r="AW808" s="348"/>
      <c r="AX808" s="584"/>
      <c r="AY808" s="581"/>
      <c r="AZ808" s="581"/>
      <c r="BA808" s="596"/>
      <c r="BB808" s="596"/>
      <c r="BC808" s="348"/>
      <c r="BD808" s="581"/>
      <c r="BE808" s="581"/>
      <c r="BF808" s="347"/>
      <c r="BG808" s="347"/>
      <c r="BH808" s="347"/>
      <c r="BI808" s="347"/>
      <c r="BJ808" s="586"/>
      <c r="BK808" s="581"/>
      <c r="BL808" s="347"/>
      <c r="BM808" s="347"/>
      <c r="BN808" s="347"/>
      <c r="BO808" s="586"/>
      <c r="BP808" s="584"/>
      <c r="BQ808" s="347"/>
      <c r="BR808" s="586"/>
      <c r="BS808" s="588"/>
      <c r="BT808" s="586"/>
      <c r="BU808" s="589"/>
      <c r="BV808" s="581">
        <f t="shared" si="44"/>
        <v>0</v>
      </c>
      <c r="BW808" s="590"/>
      <c r="BX808" s="347"/>
      <c r="BY808" s="347"/>
      <c r="BZ808" s="347"/>
      <c r="CA808" s="586"/>
      <c r="CB808" s="581"/>
      <c r="CC808" s="581">
        <f t="shared" si="193"/>
        <v>0</v>
      </c>
      <c r="CD808" s="581"/>
      <c r="CE808" s="581"/>
      <c r="CF808" s="581"/>
      <c r="CG808" s="586"/>
      <c r="CH808" s="608"/>
      <c r="CI808" s="603"/>
      <c r="CJ808" s="347"/>
      <c r="CK808" s="347"/>
      <c r="CL808" s="347"/>
      <c r="CM808" s="347"/>
      <c r="CN808" s="347"/>
      <c r="CO808" s="347"/>
      <c r="CP808" s="347"/>
    </row>
    <row r="809">
      <c r="A809" s="574"/>
      <c r="B809" s="574"/>
      <c r="C809" s="347"/>
      <c r="D809" s="574"/>
      <c r="E809" s="347"/>
      <c r="F809" s="596"/>
      <c r="G809" s="596"/>
      <c r="H809" s="347"/>
      <c r="I809" s="347"/>
      <c r="J809" s="596"/>
      <c r="K809" s="609"/>
      <c r="L809" s="1"/>
      <c r="M809" s="347"/>
      <c r="N809" s="347"/>
      <c r="O809" s="579"/>
      <c r="P809" s="579"/>
      <c r="Q809" s="574"/>
      <c r="R809" s="347"/>
      <c r="S809" s="597"/>
      <c r="T809" s="347"/>
      <c r="U809" s="579"/>
      <c r="V809" s="579"/>
      <c r="W809" s="574"/>
      <c r="X809" s="347"/>
      <c r="Y809" s="347"/>
      <c r="Z809" s="347"/>
      <c r="AA809" s="579"/>
      <c r="AB809" s="581"/>
      <c r="AC809" s="347"/>
      <c r="AD809" s="347"/>
      <c r="AE809" s="347"/>
      <c r="AF809" s="347"/>
      <c r="AG809" s="579"/>
      <c r="AH809" s="579"/>
      <c r="AI809" s="582"/>
      <c r="AJ809" s="582"/>
      <c r="AK809" s="582"/>
      <c r="AL809" s="582"/>
      <c r="AM809" s="579"/>
      <c r="AN809" s="579"/>
      <c r="AO809" s="347"/>
      <c r="AP809" s="586"/>
      <c r="AQ809" s="596"/>
      <c r="AR809" s="596"/>
      <c r="AS809" s="348"/>
      <c r="AT809" s="348"/>
      <c r="AU809" s="348"/>
      <c r="AV809" s="348"/>
      <c r="AW809" s="348"/>
      <c r="AX809" s="584"/>
      <c r="AY809" s="581"/>
      <c r="AZ809" s="581"/>
      <c r="BA809" s="596"/>
      <c r="BB809" s="596"/>
      <c r="BC809" s="348"/>
      <c r="BD809" s="581"/>
      <c r="BE809" s="581"/>
      <c r="BF809" s="347"/>
      <c r="BG809" s="347"/>
      <c r="BH809" s="347"/>
      <c r="BI809" s="347"/>
      <c r="BJ809" s="586"/>
      <c r="BK809" s="581"/>
      <c r="BL809" s="347"/>
      <c r="BM809" s="347"/>
      <c r="BN809" s="347"/>
      <c r="BO809" s="586"/>
      <c r="BP809" s="584"/>
      <c r="BQ809" s="347"/>
      <c r="BR809" s="586"/>
      <c r="BS809" s="588"/>
      <c r="BT809" s="586"/>
      <c r="BU809" s="589"/>
      <c r="BV809" s="581">
        <f t="shared" si="44"/>
        <v>0</v>
      </c>
      <c r="BW809" s="590"/>
      <c r="BX809" s="347"/>
      <c r="BY809" s="347"/>
      <c r="BZ809" s="347"/>
      <c r="CA809" s="586"/>
      <c r="CB809" s="581"/>
      <c r="CC809" s="581">
        <f t="shared" si="193"/>
        <v>0</v>
      </c>
      <c r="CD809" s="581"/>
      <c r="CE809" s="581"/>
      <c r="CF809" s="581"/>
      <c r="CG809" s="586"/>
      <c r="CH809" s="608"/>
      <c r="CI809" s="603"/>
      <c r="CJ809" s="347"/>
      <c r="CK809" s="347"/>
      <c r="CL809" s="347"/>
      <c r="CM809" s="347"/>
      <c r="CN809" s="347"/>
      <c r="CO809" s="347"/>
      <c r="CP809" s="347"/>
    </row>
    <row r="810">
      <c r="A810" s="574"/>
      <c r="B810" s="574"/>
      <c r="C810" s="347"/>
      <c r="D810" s="574"/>
      <c r="E810" s="347"/>
      <c r="F810" s="596"/>
      <c r="G810" s="596"/>
      <c r="H810" s="347"/>
      <c r="I810" s="347"/>
      <c r="J810" s="596"/>
      <c r="K810" s="609"/>
      <c r="L810" s="1"/>
      <c r="M810" s="347"/>
      <c r="N810" s="347"/>
      <c r="O810" s="579"/>
      <c r="P810" s="579"/>
      <c r="Q810" s="574"/>
      <c r="R810" s="347"/>
      <c r="S810" s="597"/>
      <c r="T810" s="347"/>
      <c r="U810" s="579"/>
      <c r="V810" s="579"/>
      <c r="W810" s="574"/>
      <c r="X810" s="347"/>
      <c r="Y810" s="347"/>
      <c r="Z810" s="347"/>
      <c r="AA810" s="579"/>
      <c r="AB810" s="581"/>
      <c r="AC810" s="347"/>
      <c r="AD810" s="347"/>
      <c r="AE810" s="347"/>
      <c r="AF810" s="347"/>
      <c r="AG810" s="579"/>
      <c r="AH810" s="579"/>
      <c r="AI810" s="582"/>
      <c r="AJ810" s="582"/>
      <c r="AK810" s="582"/>
      <c r="AL810" s="582"/>
      <c r="AM810" s="579"/>
      <c r="AN810" s="579"/>
      <c r="AO810" s="347"/>
      <c r="AP810" s="586"/>
      <c r="AQ810" s="596"/>
      <c r="AR810" s="596"/>
      <c r="AS810" s="348"/>
      <c r="AT810" s="348"/>
      <c r="AU810" s="348"/>
      <c r="AV810" s="348"/>
      <c r="AW810" s="348"/>
      <c r="AX810" s="584"/>
      <c r="AY810" s="581"/>
      <c r="AZ810" s="581"/>
      <c r="BA810" s="596"/>
      <c r="BB810" s="596"/>
      <c r="BC810" s="348"/>
      <c r="BD810" s="581"/>
      <c r="BE810" s="581"/>
      <c r="BF810" s="347"/>
      <c r="BG810" s="347"/>
      <c r="BH810" s="347"/>
      <c r="BI810" s="347"/>
      <c r="BJ810" s="586"/>
      <c r="BK810" s="581"/>
      <c r="BL810" s="347"/>
      <c r="BM810" s="347"/>
      <c r="BN810" s="347"/>
      <c r="BO810" s="586"/>
      <c r="BP810" s="584"/>
      <c r="BQ810" s="347"/>
      <c r="BR810" s="586"/>
      <c r="BS810" s="588"/>
      <c r="BT810" s="586"/>
      <c r="BU810" s="589"/>
      <c r="BV810" s="581">
        <f t="shared" si="44"/>
        <v>0</v>
      </c>
      <c r="BW810" s="590"/>
      <c r="BX810" s="347"/>
      <c r="BY810" s="347"/>
      <c r="BZ810" s="347"/>
      <c r="CA810" s="586"/>
      <c r="CB810" s="581"/>
      <c r="CC810" s="581">
        <f t="shared" si="193"/>
        <v>0</v>
      </c>
      <c r="CD810" s="581"/>
      <c r="CE810" s="581"/>
      <c r="CF810" s="581"/>
      <c r="CG810" s="586"/>
      <c r="CH810" s="608"/>
      <c r="CI810" s="603"/>
      <c r="CJ810" s="347"/>
      <c r="CK810" s="347"/>
      <c r="CL810" s="347"/>
      <c r="CM810" s="347"/>
      <c r="CN810" s="347"/>
      <c r="CO810" s="347"/>
      <c r="CP810" s="347"/>
    </row>
    <row r="811">
      <c r="A811" s="574"/>
      <c r="B811" s="574"/>
      <c r="C811" s="347"/>
      <c r="D811" s="574"/>
      <c r="E811" s="347"/>
      <c r="F811" s="596"/>
      <c r="G811" s="596"/>
      <c r="H811" s="347"/>
      <c r="I811" s="347"/>
      <c r="J811" s="596"/>
      <c r="K811" s="609"/>
      <c r="L811" s="1"/>
      <c r="M811" s="347"/>
      <c r="N811" s="347"/>
      <c r="O811" s="579"/>
      <c r="P811" s="579"/>
      <c r="Q811" s="574"/>
      <c r="R811" s="347"/>
      <c r="S811" s="597"/>
      <c r="T811" s="347"/>
      <c r="U811" s="579"/>
      <c r="V811" s="579"/>
      <c r="W811" s="574"/>
      <c r="X811" s="347"/>
      <c r="Y811" s="347"/>
      <c r="Z811" s="347"/>
      <c r="AA811" s="579"/>
      <c r="AB811" s="581"/>
      <c r="AC811" s="347"/>
      <c r="AD811" s="347"/>
      <c r="AE811" s="347"/>
      <c r="AF811" s="347"/>
      <c r="AG811" s="579"/>
      <c r="AH811" s="579"/>
      <c r="AI811" s="582"/>
      <c r="AJ811" s="582"/>
      <c r="AK811" s="582"/>
      <c r="AL811" s="582"/>
      <c r="AM811" s="579"/>
      <c r="AN811" s="579"/>
      <c r="AO811" s="347"/>
      <c r="AP811" s="586"/>
      <c r="AQ811" s="596"/>
      <c r="AR811" s="596"/>
      <c r="AS811" s="348"/>
      <c r="AT811" s="348"/>
      <c r="AU811" s="348"/>
      <c r="AV811" s="348"/>
      <c r="AW811" s="348"/>
      <c r="AX811" s="584"/>
      <c r="AY811" s="581"/>
      <c r="AZ811" s="581"/>
      <c r="BA811" s="596"/>
      <c r="BB811" s="596"/>
      <c r="BC811" s="348"/>
      <c r="BD811" s="581"/>
      <c r="BE811" s="581"/>
      <c r="BF811" s="347"/>
      <c r="BG811" s="347"/>
      <c r="BH811" s="347"/>
      <c r="BI811" s="347"/>
      <c r="BJ811" s="586"/>
      <c r="BK811" s="581"/>
      <c r="BL811" s="347"/>
      <c r="BM811" s="347"/>
      <c r="BN811" s="347"/>
      <c r="BO811" s="586"/>
      <c r="BP811" s="584"/>
      <c r="BQ811" s="347"/>
      <c r="BR811" s="586"/>
      <c r="BS811" s="588"/>
      <c r="BT811" s="586"/>
      <c r="BU811" s="589"/>
      <c r="BV811" s="581">
        <f t="shared" si="44"/>
        <v>0</v>
      </c>
      <c r="BW811" s="590"/>
      <c r="BX811" s="347"/>
      <c r="BY811" s="347"/>
      <c r="BZ811" s="347"/>
      <c r="CA811" s="586"/>
      <c r="CB811" s="581"/>
      <c r="CC811" s="581">
        <f t="shared" si="193"/>
        <v>0</v>
      </c>
      <c r="CD811" s="581"/>
      <c r="CE811" s="581"/>
      <c r="CF811" s="581"/>
      <c r="CG811" s="586"/>
      <c r="CH811" s="608"/>
      <c r="CI811" s="603"/>
      <c r="CJ811" s="347"/>
      <c r="CK811" s="347"/>
      <c r="CL811" s="347"/>
      <c r="CM811" s="347"/>
      <c r="CN811" s="347"/>
      <c r="CO811" s="347"/>
      <c r="CP811" s="347"/>
    </row>
    <row r="812">
      <c r="A812" s="574"/>
      <c r="B812" s="574"/>
      <c r="C812" s="347"/>
      <c r="D812" s="574"/>
      <c r="E812" s="347"/>
      <c r="F812" s="596"/>
      <c r="G812" s="596"/>
      <c r="H812" s="347"/>
      <c r="I812" s="347"/>
      <c r="J812" s="596"/>
      <c r="K812" s="609"/>
      <c r="L812" s="1"/>
      <c r="M812" s="347"/>
      <c r="N812" s="347"/>
      <c r="O812" s="579"/>
      <c r="P812" s="579"/>
      <c r="Q812" s="574"/>
      <c r="R812" s="347"/>
      <c r="S812" s="597"/>
      <c r="T812" s="347"/>
      <c r="U812" s="579"/>
      <c r="V812" s="579"/>
      <c r="W812" s="574"/>
      <c r="X812" s="347"/>
      <c r="Y812" s="347"/>
      <c r="Z812" s="347"/>
      <c r="AA812" s="579"/>
      <c r="AB812" s="581"/>
      <c r="AC812" s="347"/>
      <c r="AD812" s="347"/>
      <c r="AE812" s="347"/>
      <c r="AF812" s="347"/>
      <c r="AG812" s="579"/>
      <c r="AH812" s="579"/>
      <c r="AI812" s="582"/>
      <c r="AJ812" s="582"/>
      <c r="AK812" s="582"/>
      <c r="AL812" s="582"/>
      <c r="AM812" s="579"/>
      <c r="AN812" s="579"/>
      <c r="AO812" s="347"/>
      <c r="AP812" s="586"/>
      <c r="AQ812" s="596"/>
      <c r="AR812" s="596"/>
      <c r="AS812" s="348"/>
      <c r="AT812" s="348"/>
      <c r="AU812" s="348"/>
      <c r="AV812" s="348"/>
      <c r="AW812" s="348"/>
      <c r="AX812" s="584"/>
      <c r="AY812" s="581"/>
      <c r="AZ812" s="581"/>
      <c r="BA812" s="596"/>
      <c r="BB812" s="596"/>
      <c r="BC812" s="348"/>
      <c r="BD812" s="581"/>
      <c r="BE812" s="581"/>
      <c r="BF812" s="347"/>
      <c r="BG812" s="347"/>
      <c r="BH812" s="347"/>
      <c r="BI812" s="347"/>
      <c r="BJ812" s="586"/>
      <c r="BK812" s="581"/>
      <c r="BL812" s="347"/>
      <c r="BM812" s="347"/>
      <c r="BN812" s="347"/>
      <c r="BO812" s="586"/>
      <c r="BP812" s="584"/>
      <c r="BQ812" s="347"/>
      <c r="BR812" s="586"/>
      <c r="BS812" s="588"/>
      <c r="BT812" s="586"/>
      <c r="BU812" s="589"/>
      <c r="BV812" s="581">
        <f t="shared" si="44"/>
        <v>0</v>
      </c>
      <c r="BW812" s="590"/>
      <c r="BX812" s="347"/>
      <c r="BY812" s="347"/>
      <c r="BZ812" s="347"/>
      <c r="CA812" s="586"/>
      <c r="CB812" s="581"/>
      <c r="CC812" s="581">
        <f t="shared" si="193"/>
        <v>0</v>
      </c>
      <c r="CD812" s="581"/>
      <c r="CE812" s="581"/>
      <c r="CF812" s="581"/>
      <c r="CG812" s="586"/>
      <c r="CH812" s="608"/>
      <c r="CI812" s="603"/>
      <c r="CJ812" s="347"/>
      <c r="CK812" s="347"/>
      <c r="CL812" s="347"/>
      <c r="CM812" s="347"/>
      <c r="CN812" s="347"/>
      <c r="CO812" s="347"/>
      <c r="CP812" s="347"/>
    </row>
    <row r="813">
      <c r="A813" s="574"/>
      <c r="B813" s="574"/>
      <c r="C813" s="347"/>
      <c r="D813" s="574"/>
      <c r="E813" s="347"/>
      <c r="F813" s="596"/>
      <c r="G813" s="596"/>
      <c r="H813" s="347"/>
      <c r="I813" s="347"/>
      <c r="J813" s="596"/>
      <c r="K813" s="609"/>
      <c r="L813" s="1"/>
      <c r="M813" s="347"/>
      <c r="N813" s="347"/>
      <c r="O813" s="579"/>
      <c r="P813" s="579"/>
      <c r="Q813" s="574"/>
      <c r="R813" s="347"/>
      <c r="S813" s="597"/>
      <c r="T813" s="347"/>
      <c r="U813" s="579"/>
      <c r="V813" s="579"/>
      <c r="W813" s="574"/>
      <c r="X813" s="347"/>
      <c r="Y813" s="347"/>
      <c r="Z813" s="347"/>
      <c r="AA813" s="579"/>
      <c r="AB813" s="581"/>
      <c r="AC813" s="347"/>
      <c r="AD813" s="347"/>
      <c r="AE813" s="347"/>
      <c r="AF813" s="347"/>
      <c r="AG813" s="579"/>
      <c r="AH813" s="579"/>
      <c r="AI813" s="582"/>
      <c r="AJ813" s="582"/>
      <c r="AK813" s="582"/>
      <c r="AL813" s="582"/>
      <c r="AM813" s="579"/>
      <c r="AN813" s="579"/>
      <c r="AO813" s="347"/>
      <c r="AP813" s="586"/>
      <c r="AQ813" s="596"/>
      <c r="AR813" s="596"/>
      <c r="AS813" s="348"/>
      <c r="AT813" s="348"/>
      <c r="AU813" s="348"/>
      <c r="AV813" s="348"/>
      <c r="AW813" s="348"/>
      <c r="AX813" s="584"/>
      <c r="AY813" s="581"/>
      <c r="AZ813" s="581"/>
      <c r="BA813" s="596"/>
      <c r="BB813" s="596"/>
      <c r="BC813" s="348"/>
      <c r="BD813" s="581"/>
      <c r="BE813" s="581"/>
      <c r="BF813" s="347"/>
      <c r="BG813" s="347"/>
      <c r="BH813" s="347"/>
      <c r="BI813" s="347"/>
      <c r="BJ813" s="586"/>
      <c r="BK813" s="581"/>
      <c r="BL813" s="347"/>
      <c r="BM813" s="347"/>
      <c r="BN813" s="347"/>
      <c r="BO813" s="586"/>
      <c r="BP813" s="584"/>
      <c r="BQ813" s="347"/>
      <c r="BR813" s="586"/>
      <c r="BS813" s="588"/>
      <c r="BT813" s="586"/>
      <c r="BU813" s="589"/>
      <c r="BV813" s="581">
        <f t="shared" si="44"/>
        <v>0</v>
      </c>
      <c r="BW813" s="590"/>
      <c r="BX813" s="347"/>
      <c r="BY813" s="347"/>
      <c r="BZ813" s="347"/>
      <c r="CA813" s="586"/>
      <c r="CB813" s="581"/>
      <c r="CC813" s="581">
        <f t="shared" si="193"/>
        <v>0</v>
      </c>
      <c r="CD813" s="581"/>
      <c r="CE813" s="581"/>
      <c r="CF813" s="581"/>
      <c r="CG813" s="586"/>
      <c r="CH813" s="608"/>
      <c r="CI813" s="603"/>
      <c r="CJ813" s="347"/>
      <c r="CK813" s="347"/>
      <c r="CL813" s="347"/>
      <c r="CM813" s="347"/>
      <c r="CN813" s="347"/>
      <c r="CO813" s="347"/>
      <c r="CP813" s="347"/>
    </row>
    <row r="814">
      <c r="A814" s="574"/>
      <c r="B814" s="574"/>
      <c r="C814" s="347"/>
      <c r="D814" s="574"/>
      <c r="E814" s="347"/>
      <c r="F814" s="596"/>
      <c r="G814" s="596"/>
      <c r="H814" s="347"/>
      <c r="I814" s="347"/>
      <c r="J814" s="596"/>
      <c r="K814" s="609"/>
      <c r="L814" s="1"/>
      <c r="M814" s="347"/>
      <c r="N814" s="347"/>
      <c r="O814" s="579"/>
      <c r="P814" s="579"/>
      <c r="Q814" s="574"/>
      <c r="R814" s="347"/>
      <c r="S814" s="597"/>
      <c r="T814" s="347"/>
      <c r="U814" s="579"/>
      <c r="V814" s="579"/>
      <c r="W814" s="574"/>
      <c r="X814" s="347"/>
      <c r="Y814" s="347"/>
      <c r="Z814" s="347"/>
      <c r="AA814" s="579"/>
      <c r="AB814" s="581"/>
      <c r="AC814" s="347"/>
      <c r="AD814" s="347"/>
      <c r="AE814" s="347"/>
      <c r="AF814" s="347"/>
      <c r="AG814" s="579"/>
      <c r="AH814" s="579"/>
      <c r="AI814" s="582"/>
      <c r="AJ814" s="582"/>
      <c r="AK814" s="582"/>
      <c r="AL814" s="582"/>
      <c r="AM814" s="579"/>
      <c r="AN814" s="579"/>
      <c r="AO814" s="347"/>
      <c r="AP814" s="586"/>
      <c r="AQ814" s="596"/>
      <c r="AR814" s="596"/>
      <c r="AS814" s="348"/>
      <c r="AT814" s="348"/>
      <c r="AU814" s="348"/>
      <c r="AV814" s="348"/>
      <c r="AW814" s="348"/>
      <c r="AX814" s="584"/>
      <c r="AY814" s="581"/>
      <c r="AZ814" s="581"/>
      <c r="BA814" s="596"/>
      <c r="BB814" s="596"/>
      <c r="BC814" s="348"/>
      <c r="BD814" s="581"/>
      <c r="BE814" s="581"/>
      <c r="BF814" s="347"/>
      <c r="BG814" s="347"/>
      <c r="BH814" s="347"/>
      <c r="BI814" s="347"/>
      <c r="BJ814" s="586"/>
      <c r="BK814" s="581"/>
      <c r="BL814" s="347"/>
      <c r="BM814" s="347"/>
      <c r="BN814" s="347"/>
      <c r="BO814" s="586"/>
      <c r="BP814" s="584"/>
      <c r="BQ814" s="347"/>
      <c r="BR814" s="586"/>
      <c r="BS814" s="588"/>
      <c r="BT814" s="586"/>
      <c r="BU814" s="589"/>
      <c r="BV814" s="581">
        <f t="shared" si="44"/>
        <v>0</v>
      </c>
      <c r="BW814" s="590"/>
      <c r="BX814" s="347"/>
      <c r="BY814" s="347"/>
      <c r="BZ814" s="347"/>
      <c r="CA814" s="586"/>
      <c r="CB814" s="581"/>
      <c r="CC814" s="581">
        <f t="shared" si="193"/>
        <v>0</v>
      </c>
      <c r="CD814" s="581"/>
      <c r="CE814" s="581"/>
      <c r="CF814" s="581"/>
      <c r="CG814" s="586"/>
      <c r="CH814" s="608"/>
      <c r="CI814" s="603"/>
      <c r="CJ814" s="347"/>
      <c r="CK814" s="347"/>
      <c r="CL814" s="347"/>
      <c r="CM814" s="347"/>
      <c r="CN814" s="347"/>
      <c r="CO814" s="347"/>
      <c r="CP814" s="347"/>
    </row>
    <row r="815">
      <c r="A815" s="574"/>
      <c r="B815" s="574"/>
      <c r="C815" s="347"/>
      <c r="D815" s="574"/>
      <c r="E815" s="347"/>
      <c r="F815" s="596"/>
      <c r="G815" s="596"/>
      <c r="H815" s="347"/>
      <c r="I815" s="347"/>
      <c r="J815" s="596"/>
      <c r="K815" s="609"/>
      <c r="L815" s="1"/>
      <c r="M815" s="347"/>
      <c r="N815" s="347"/>
      <c r="O815" s="579"/>
      <c r="P815" s="579"/>
      <c r="Q815" s="574"/>
      <c r="R815" s="347"/>
      <c r="S815" s="597"/>
      <c r="T815" s="347"/>
      <c r="U815" s="579"/>
      <c r="V815" s="579"/>
      <c r="W815" s="574"/>
      <c r="X815" s="347"/>
      <c r="Y815" s="347"/>
      <c r="Z815" s="347"/>
      <c r="AA815" s="579"/>
      <c r="AB815" s="581"/>
      <c r="AC815" s="347"/>
      <c r="AD815" s="347"/>
      <c r="AE815" s="347"/>
      <c r="AF815" s="347"/>
      <c r="AG815" s="579"/>
      <c r="AH815" s="579"/>
      <c r="AI815" s="582"/>
      <c r="AJ815" s="582"/>
      <c r="AK815" s="582"/>
      <c r="AL815" s="582"/>
      <c r="AM815" s="579"/>
      <c r="AN815" s="579"/>
      <c r="AO815" s="347"/>
      <c r="AP815" s="586"/>
      <c r="AQ815" s="596"/>
      <c r="AR815" s="596"/>
      <c r="AS815" s="348"/>
      <c r="AT815" s="348"/>
      <c r="AU815" s="348"/>
      <c r="AV815" s="348"/>
      <c r="AW815" s="348"/>
      <c r="AX815" s="584"/>
      <c r="AY815" s="581"/>
      <c r="AZ815" s="581"/>
      <c r="BA815" s="596"/>
      <c r="BB815" s="596"/>
      <c r="BC815" s="348"/>
      <c r="BD815" s="581"/>
      <c r="BE815" s="581"/>
      <c r="BF815" s="347"/>
      <c r="BG815" s="347"/>
      <c r="BH815" s="347"/>
      <c r="BI815" s="347"/>
      <c r="BJ815" s="586"/>
      <c r="BK815" s="581"/>
      <c r="BL815" s="347"/>
      <c r="BM815" s="347"/>
      <c r="BN815" s="347"/>
      <c r="BO815" s="586"/>
      <c r="BP815" s="584"/>
      <c r="BQ815" s="347"/>
      <c r="BR815" s="586"/>
      <c r="BS815" s="588"/>
      <c r="BT815" s="586"/>
      <c r="BU815" s="589"/>
      <c r="BV815" s="581">
        <f t="shared" si="44"/>
        <v>0</v>
      </c>
      <c r="BW815" s="590"/>
      <c r="BX815" s="347"/>
      <c r="BY815" s="347"/>
      <c r="BZ815" s="347"/>
      <c r="CA815" s="586"/>
      <c r="CB815" s="581"/>
      <c r="CC815" s="581">
        <f t="shared" si="193"/>
        <v>0</v>
      </c>
      <c r="CD815" s="581"/>
      <c r="CE815" s="581"/>
      <c r="CF815" s="581"/>
      <c r="CG815" s="586"/>
      <c r="CH815" s="608"/>
      <c r="CI815" s="603"/>
      <c r="CJ815" s="347"/>
      <c r="CK815" s="347"/>
      <c r="CL815" s="347"/>
      <c r="CM815" s="347"/>
      <c r="CN815" s="347"/>
      <c r="CO815" s="347"/>
      <c r="CP815" s="347"/>
    </row>
    <row r="816">
      <c r="A816" s="574"/>
      <c r="B816" s="574"/>
      <c r="C816" s="347"/>
      <c r="D816" s="574"/>
      <c r="E816" s="347"/>
      <c r="F816" s="596"/>
      <c r="G816" s="596"/>
      <c r="H816" s="347"/>
      <c r="I816" s="347"/>
      <c r="J816" s="596"/>
      <c r="K816" s="609"/>
      <c r="L816" s="1"/>
      <c r="M816" s="347"/>
      <c r="N816" s="347"/>
      <c r="O816" s="579"/>
      <c r="P816" s="579"/>
      <c r="Q816" s="574"/>
      <c r="R816" s="347"/>
      <c r="S816" s="597"/>
      <c r="T816" s="347"/>
      <c r="U816" s="579"/>
      <c r="V816" s="579"/>
      <c r="W816" s="574"/>
      <c r="X816" s="347"/>
      <c r="Y816" s="347"/>
      <c r="Z816" s="347"/>
      <c r="AA816" s="579"/>
      <c r="AB816" s="581"/>
      <c r="AC816" s="347"/>
      <c r="AD816" s="347"/>
      <c r="AE816" s="347"/>
      <c r="AF816" s="347"/>
      <c r="AG816" s="579"/>
      <c r="AH816" s="579"/>
      <c r="AI816" s="582"/>
      <c r="AJ816" s="582"/>
      <c r="AK816" s="582"/>
      <c r="AL816" s="582"/>
      <c r="AM816" s="579"/>
      <c r="AN816" s="579"/>
      <c r="AO816" s="347"/>
      <c r="AP816" s="586"/>
      <c r="AQ816" s="596"/>
      <c r="AR816" s="596"/>
      <c r="AS816" s="348"/>
      <c r="AT816" s="348"/>
      <c r="AU816" s="348"/>
      <c r="AV816" s="348"/>
      <c r="AW816" s="348"/>
      <c r="AX816" s="584"/>
      <c r="AY816" s="581"/>
      <c r="AZ816" s="581"/>
      <c r="BA816" s="596"/>
      <c r="BB816" s="596"/>
      <c r="BC816" s="348"/>
      <c r="BD816" s="581"/>
      <c r="BE816" s="581"/>
      <c r="BF816" s="347"/>
      <c r="BG816" s="347"/>
      <c r="BH816" s="347"/>
      <c r="BI816" s="347"/>
      <c r="BJ816" s="586"/>
      <c r="BK816" s="581"/>
      <c r="BL816" s="347"/>
      <c r="BM816" s="347"/>
      <c r="BN816" s="347"/>
      <c r="BO816" s="586"/>
      <c r="BP816" s="584"/>
      <c r="BQ816" s="347"/>
      <c r="BR816" s="586"/>
      <c r="BS816" s="588"/>
      <c r="BT816" s="586"/>
      <c r="BU816" s="589"/>
      <c r="BV816" s="581">
        <f t="shared" si="44"/>
        <v>0</v>
      </c>
      <c r="BW816" s="590"/>
      <c r="BX816" s="347"/>
      <c r="BY816" s="347"/>
      <c r="BZ816" s="347"/>
      <c r="CA816" s="586"/>
      <c r="CB816" s="581"/>
      <c r="CC816" s="581">
        <f t="shared" si="193"/>
        <v>0</v>
      </c>
      <c r="CD816" s="581"/>
      <c r="CE816" s="581"/>
      <c r="CF816" s="581"/>
      <c r="CG816" s="586"/>
      <c r="CH816" s="608"/>
      <c r="CI816" s="603"/>
      <c r="CJ816" s="347"/>
      <c r="CK816" s="347"/>
      <c r="CL816" s="347"/>
      <c r="CM816" s="347"/>
      <c r="CN816" s="347"/>
      <c r="CO816" s="347"/>
      <c r="CP816" s="347"/>
    </row>
    <row r="817">
      <c r="A817" s="574"/>
      <c r="B817" s="574"/>
      <c r="C817" s="347"/>
      <c r="D817" s="574"/>
      <c r="E817" s="347"/>
      <c r="F817" s="596"/>
      <c r="G817" s="596"/>
      <c r="H817" s="347"/>
      <c r="I817" s="347"/>
      <c r="J817" s="596"/>
      <c r="K817" s="609"/>
      <c r="L817" s="1"/>
      <c r="M817" s="347"/>
      <c r="N817" s="347"/>
      <c r="O817" s="579"/>
      <c r="P817" s="579"/>
      <c r="Q817" s="574"/>
      <c r="R817" s="347"/>
      <c r="S817" s="597"/>
      <c r="T817" s="347"/>
      <c r="U817" s="579"/>
      <c r="V817" s="579"/>
      <c r="W817" s="574"/>
      <c r="X817" s="347"/>
      <c r="Y817" s="347"/>
      <c r="Z817" s="347"/>
      <c r="AA817" s="579"/>
      <c r="AB817" s="581"/>
      <c r="AC817" s="347"/>
      <c r="AD817" s="347"/>
      <c r="AE817" s="347"/>
      <c r="AF817" s="347"/>
      <c r="AG817" s="579"/>
      <c r="AH817" s="579"/>
      <c r="AI817" s="582"/>
      <c r="AJ817" s="582"/>
      <c r="AK817" s="582"/>
      <c r="AL817" s="582"/>
      <c r="AM817" s="579"/>
      <c r="AN817" s="579"/>
      <c r="AO817" s="347"/>
      <c r="AP817" s="586"/>
      <c r="AQ817" s="596"/>
      <c r="AR817" s="596"/>
      <c r="AS817" s="348"/>
      <c r="AT817" s="348"/>
      <c r="AU817" s="348"/>
      <c r="AV817" s="348"/>
      <c r="AW817" s="348"/>
      <c r="AX817" s="584"/>
      <c r="AY817" s="581"/>
      <c r="AZ817" s="581"/>
      <c r="BA817" s="596"/>
      <c r="BB817" s="596"/>
      <c r="BC817" s="348"/>
      <c r="BD817" s="581"/>
      <c r="BE817" s="581"/>
      <c r="BF817" s="347"/>
      <c r="BG817" s="347"/>
      <c r="BH817" s="347"/>
      <c r="BI817" s="347"/>
      <c r="BJ817" s="586"/>
      <c r="BK817" s="581"/>
      <c r="BL817" s="347"/>
      <c r="BM817" s="347"/>
      <c r="BN817" s="347"/>
      <c r="BO817" s="586"/>
      <c r="BP817" s="584"/>
      <c r="BQ817" s="347"/>
      <c r="BR817" s="586"/>
      <c r="BS817" s="588"/>
      <c r="BT817" s="586"/>
      <c r="BU817" s="589"/>
      <c r="BV817" s="581">
        <f t="shared" si="44"/>
        <v>0</v>
      </c>
      <c r="BW817" s="590"/>
      <c r="BX817" s="347"/>
      <c r="BY817" s="347"/>
      <c r="BZ817" s="347"/>
      <c r="CA817" s="586"/>
      <c r="CB817" s="581"/>
      <c r="CC817" s="581">
        <f t="shared" si="193"/>
        <v>0</v>
      </c>
      <c r="CD817" s="581"/>
      <c r="CE817" s="581"/>
      <c r="CF817" s="581"/>
      <c r="CG817" s="586"/>
      <c r="CH817" s="608"/>
      <c r="CI817" s="603"/>
      <c r="CJ817" s="347"/>
      <c r="CK817" s="347"/>
      <c r="CL817" s="347"/>
      <c r="CM817" s="347"/>
      <c r="CN817" s="347"/>
      <c r="CO817" s="347"/>
      <c r="CP817" s="347"/>
    </row>
    <row r="818">
      <c r="A818" s="574"/>
      <c r="B818" s="574"/>
      <c r="C818" s="347"/>
      <c r="D818" s="574"/>
      <c r="E818" s="347"/>
      <c r="F818" s="596"/>
      <c r="G818" s="596"/>
      <c r="H818" s="347"/>
      <c r="I818" s="347"/>
      <c r="J818" s="596"/>
      <c r="K818" s="609"/>
      <c r="L818" s="1"/>
      <c r="M818" s="347"/>
      <c r="N818" s="347"/>
      <c r="O818" s="579"/>
      <c r="P818" s="579"/>
      <c r="Q818" s="574"/>
      <c r="R818" s="347"/>
      <c r="S818" s="597"/>
      <c r="T818" s="347"/>
      <c r="U818" s="579"/>
      <c r="V818" s="579"/>
      <c r="W818" s="574"/>
      <c r="X818" s="347"/>
      <c r="Y818" s="347"/>
      <c r="Z818" s="347"/>
      <c r="AA818" s="579"/>
      <c r="AB818" s="581"/>
      <c r="AC818" s="347"/>
      <c r="AD818" s="347"/>
      <c r="AE818" s="347"/>
      <c r="AF818" s="347"/>
      <c r="AG818" s="579"/>
      <c r="AH818" s="579"/>
      <c r="AI818" s="582"/>
      <c r="AJ818" s="582"/>
      <c r="AK818" s="582"/>
      <c r="AL818" s="582"/>
      <c r="AM818" s="579"/>
      <c r="AN818" s="579"/>
      <c r="AO818" s="347"/>
      <c r="AP818" s="586"/>
      <c r="AQ818" s="596"/>
      <c r="AR818" s="596"/>
      <c r="AS818" s="348"/>
      <c r="AT818" s="348"/>
      <c r="AU818" s="348"/>
      <c r="AV818" s="348"/>
      <c r="AW818" s="348"/>
      <c r="AX818" s="584"/>
      <c r="AY818" s="581"/>
      <c r="AZ818" s="581"/>
      <c r="BA818" s="596"/>
      <c r="BB818" s="596"/>
      <c r="BC818" s="348"/>
      <c r="BD818" s="581"/>
      <c r="BE818" s="581"/>
      <c r="BF818" s="347"/>
      <c r="BG818" s="347"/>
      <c r="BH818" s="347"/>
      <c r="BI818" s="347"/>
      <c r="BJ818" s="586"/>
      <c r="BK818" s="581"/>
      <c r="BL818" s="347"/>
      <c r="BM818" s="347"/>
      <c r="BN818" s="347"/>
      <c r="BO818" s="586"/>
      <c r="BP818" s="584"/>
      <c r="BQ818" s="347"/>
      <c r="BR818" s="586"/>
      <c r="BS818" s="588"/>
      <c r="BT818" s="586"/>
      <c r="BU818" s="589"/>
      <c r="BV818" s="581">
        <f t="shared" si="44"/>
        <v>0</v>
      </c>
      <c r="BW818" s="590"/>
      <c r="BX818" s="347"/>
      <c r="BY818" s="347"/>
      <c r="BZ818" s="347"/>
      <c r="CA818" s="586"/>
      <c r="CB818" s="581"/>
      <c r="CC818" s="581">
        <f t="shared" si="193"/>
        <v>0</v>
      </c>
      <c r="CD818" s="581"/>
      <c r="CE818" s="581"/>
      <c r="CF818" s="581"/>
      <c r="CG818" s="586"/>
      <c r="CH818" s="608"/>
      <c r="CI818" s="603"/>
      <c r="CJ818" s="347"/>
      <c r="CK818" s="347"/>
      <c r="CL818" s="347"/>
      <c r="CM818" s="347"/>
      <c r="CN818" s="347"/>
      <c r="CO818" s="347"/>
      <c r="CP818" s="347"/>
    </row>
    <row r="819">
      <c r="A819" s="574"/>
      <c r="B819" s="574"/>
      <c r="C819" s="347"/>
      <c r="D819" s="574"/>
      <c r="E819" s="347"/>
      <c r="F819" s="596"/>
      <c r="G819" s="596"/>
      <c r="H819" s="347"/>
      <c r="I819" s="347"/>
      <c r="J819" s="596"/>
      <c r="K819" s="609"/>
      <c r="L819" s="1"/>
      <c r="M819" s="347"/>
      <c r="N819" s="347"/>
      <c r="O819" s="579"/>
      <c r="P819" s="579"/>
      <c r="Q819" s="574"/>
      <c r="R819" s="347"/>
      <c r="S819" s="597"/>
      <c r="T819" s="347"/>
      <c r="U819" s="579"/>
      <c r="V819" s="579"/>
      <c r="W819" s="574"/>
      <c r="X819" s="347"/>
      <c r="Y819" s="347"/>
      <c r="Z819" s="347"/>
      <c r="AA819" s="579"/>
      <c r="AB819" s="581"/>
      <c r="AC819" s="347"/>
      <c r="AD819" s="347"/>
      <c r="AE819" s="347"/>
      <c r="AF819" s="347"/>
      <c r="AG819" s="579"/>
      <c r="AH819" s="579"/>
      <c r="AI819" s="582"/>
      <c r="AJ819" s="582"/>
      <c r="AK819" s="582"/>
      <c r="AL819" s="582"/>
      <c r="AM819" s="579"/>
      <c r="AN819" s="579"/>
      <c r="AO819" s="347"/>
      <c r="AP819" s="586"/>
      <c r="AQ819" s="596"/>
      <c r="AR819" s="596"/>
      <c r="AS819" s="348"/>
      <c r="AT819" s="348"/>
      <c r="AU819" s="348"/>
      <c r="AV819" s="348"/>
      <c r="AW819" s="348"/>
      <c r="AX819" s="584"/>
      <c r="AY819" s="581"/>
      <c r="AZ819" s="581"/>
      <c r="BA819" s="596"/>
      <c r="BB819" s="596"/>
      <c r="BC819" s="348"/>
      <c r="BD819" s="581"/>
      <c r="BE819" s="581"/>
      <c r="BF819" s="347"/>
      <c r="BG819" s="347"/>
      <c r="BH819" s="347"/>
      <c r="BI819" s="347"/>
      <c r="BJ819" s="586"/>
      <c r="BK819" s="581"/>
      <c r="BL819" s="347"/>
      <c r="BM819" s="347"/>
      <c r="BN819" s="347"/>
      <c r="BO819" s="586"/>
      <c r="BP819" s="584"/>
      <c r="BQ819" s="347"/>
      <c r="BR819" s="586"/>
      <c r="BS819" s="588"/>
      <c r="BT819" s="586"/>
      <c r="BU819" s="589"/>
      <c r="BV819" s="581">
        <f t="shared" si="44"/>
        <v>0</v>
      </c>
      <c r="BW819" s="590"/>
      <c r="BX819" s="347"/>
      <c r="BY819" s="347"/>
      <c r="BZ819" s="347"/>
      <c r="CA819" s="586"/>
      <c r="CB819" s="581"/>
      <c r="CC819" s="581">
        <f t="shared" si="193"/>
        <v>0</v>
      </c>
      <c r="CD819" s="581"/>
      <c r="CE819" s="581"/>
      <c r="CF819" s="581"/>
      <c r="CG819" s="586"/>
      <c r="CH819" s="608"/>
      <c r="CI819" s="603"/>
      <c r="CJ819" s="347"/>
      <c r="CK819" s="347"/>
      <c r="CL819" s="347"/>
      <c r="CM819" s="347"/>
      <c r="CN819" s="347"/>
      <c r="CO819" s="347"/>
      <c r="CP819" s="347"/>
    </row>
    <row r="820">
      <c r="A820" s="574"/>
      <c r="B820" s="574"/>
      <c r="C820" s="347"/>
      <c r="D820" s="574"/>
      <c r="E820" s="347"/>
      <c r="F820" s="596"/>
      <c r="G820" s="596"/>
      <c r="H820" s="347"/>
      <c r="I820" s="347"/>
      <c r="J820" s="596"/>
      <c r="K820" s="609"/>
      <c r="L820" s="1"/>
      <c r="M820" s="347"/>
      <c r="N820" s="347"/>
      <c r="O820" s="579"/>
      <c r="P820" s="579"/>
      <c r="Q820" s="574"/>
      <c r="R820" s="347"/>
      <c r="S820" s="597"/>
      <c r="T820" s="347"/>
      <c r="U820" s="579"/>
      <c r="V820" s="579"/>
      <c r="W820" s="574"/>
      <c r="X820" s="347"/>
      <c r="Y820" s="347"/>
      <c r="Z820" s="347"/>
      <c r="AA820" s="579"/>
      <c r="AB820" s="581"/>
      <c r="AC820" s="347"/>
      <c r="AD820" s="347"/>
      <c r="AE820" s="347"/>
      <c r="AF820" s="347"/>
      <c r="AG820" s="579"/>
      <c r="AH820" s="579"/>
      <c r="AI820" s="582"/>
      <c r="AJ820" s="582"/>
      <c r="AK820" s="582"/>
      <c r="AL820" s="582"/>
      <c r="AM820" s="579"/>
      <c r="AN820" s="579"/>
      <c r="AO820" s="347"/>
      <c r="AP820" s="586"/>
      <c r="AQ820" s="596"/>
      <c r="AR820" s="596"/>
      <c r="AS820" s="348"/>
      <c r="AT820" s="348"/>
      <c r="AU820" s="348"/>
      <c r="AV820" s="348"/>
      <c r="AW820" s="348"/>
      <c r="AX820" s="584"/>
      <c r="AY820" s="581"/>
      <c r="AZ820" s="581"/>
      <c r="BA820" s="596"/>
      <c r="BB820" s="596"/>
      <c r="BC820" s="348"/>
      <c r="BD820" s="581"/>
      <c r="BE820" s="581"/>
      <c r="BF820" s="347"/>
      <c r="BG820" s="347"/>
      <c r="BH820" s="347"/>
      <c r="BI820" s="347"/>
      <c r="BJ820" s="586"/>
      <c r="BK820" s="581"/>
      <c r="BL820" s="347"/>
      <c r="BM820" s="347"/>
      <c r="BN820" s="347"/>
      <c r="BO820" s="586"/>
      <c r="BP820" s="584"/>
      <c r="BQ820" s="347"/>
      <c r="BR820" s="586"/>
      <c r="BS820" s="588"/>
      <c r="BT820" s="586"/>
      <c r="BU820" s="589"/>
      <c r="BV820" s="581">
        <f t="shared" si="44"/>
        <v>0</v>
      </c>
      <c r="BW820" s="590"/>
      <c r="BX820" s="347"/>
      <c r="BY820" s="347"/>
      <c r="BZ820" s="347"/>
      <c r="CA820" s="586"/>
      <c r="CB820" s="581"/>
      <c r="CC820" s="581">
        <f t="shared" si="193"/>
        <v>0</v>
      </c>
      <c r="CD820" s="581"/>
      <c r="CE820" s="581"/>
      <c r="CF820" s="581"/>
      <c r="CG820" s="586"/>
      <c r="CH820" s="608"/>
      <c r="CI820" s="603"/>
      <c r="CJ820" s="347"/>
      <c r="CK820" s="347"/>
      <c r="CL820" s="347"/>
      <c r="CM820" s="347"/>
      <c r="CN820" s="347"/>
      <c r="CO820" s="347"/>
      <c r="CP820" s="347"/>
    </row>
    <row r="821">
      <c r="A821" s="574"/>
      <c r="B821" s="574"/>
      <c r="C821" s="347"/>
      <c r="D821" s="574"/>
      <c r="E821" s="347"/>
      <c r="F821" s="596"/>
      <c r="G821" s="596"/>
      <c r="H821" s="347"/>
      <c r="I821" s="347"/>
      <c r="J821" s="596"/>
      <c r="K821" s="609"/>
      <c r="L821" s="1"/>
      <c r="M821" s="347"/>
      <c r="N821" s="347"/>
      <c r="O821" s="579"/>
      <c r="P821" s="579"/>
      <c r="Q821" s="574"/>
      <c r="R821" s="347"/>
      <c r="S821" s="597"/>
      <c r="T821" s="347"/>
      <c r="U821" s="579"/>
      <c r="V821" s="579"/>
      <c r="W821" s="574"/>
      <c r="X821" s="347"/>
      <c r="Y821" s="347"/>
      <c r="Z821" s="347"/>
      <c r="AA821" s="579"/>
      <c r="AB821" s="581"/>
      <c r="AC821" s="347"/>
      <c r="AD821" s="347"/>
      <c r="AE821" s="347"/>
      <c r="AF821" s="347"/>
      <c r="AG821" s="579"/>
      <c r="AH821" s="579"/>
      <c r="AI821" s="582"/>
      <c r="AJ821" s="582"/>
      <c r="AK821" s="582"/>
      <c r="AL821" s="582"/>
      <c r="AM821" s="579"/>
      <c r="AN821" s="579"/>
      <c r="AO821" s="347"/>
      <c r="AP821" s="586"/>
      <c r="AQ821" s="596"/>
      <c r="AR821" s="596"/>
      <c r="AS821" s="348"/>
      <c r="AT821" s="348"/>
      <c r="AU821" s="348"/>
      <c r="AV821" s="348"/>
      <c r="AW821" s="348"/>
      <c r="AX821" s="584"/>
      <c r="AY821" s="581"/>
      <c r="AZ821" s="581"/>
      <c r="BA821" s="596"/>
      <c r="BB821" s="596"/>
      <c r="BC821" s="348"/>
      <c r="BD821" s="581"/>
      <c r="BE821" s="581"/>
      <c r="BF821" s="347"/>
      <c r="BG821" s="347"/>
      <c r="BH821" s="347"/>
      <c r="BI821" s="347"/>
      <c r="BJ821" s="586"/>
      <c r="BK821" s="581"/>
      <c r="BL821" s="347"/>
      <c r="BM821" s="347"/>
      <c r="BN821" s="347"/>
      <c r="BO821" s="586"/>
      <c r="BP821" s="584"/>
      <c r="BQ821" s="347"/>
      <c r="BR821" s="586"/>
      <c r="BS821" s="588"/>
      <c r="BT821" s="586"/>
      <c r="BU821" s="589"/>
      <c r="BV821" s="581">
        <f t="shared" si="44"/>
        <v>0</v>
      </c>
      <c r="BW821" s="590"/>
      <c r="BX821" s="347"/>
      <c r="BY821" s="347"/>
      <c r="BZ821" s="347"/>
      <c r="CA821" s="586"/>
      <c r="CB821" s="581"/>
      <c r="CC821" s="581">
        <f t="shared" si="193"/>
        <v>0</v>
      </c>
      <c r="CD821" s="581"/>
      <c r="CE821" s="581"/>
      <c r="CF821" s="581"/>
      <c r="CG821" s="586"/>
      <c r="CH821" s="608"/>
      <c r="CI821" s="603"/>
      <c r="CJ821" s="347"/>
      <c r="CK821" s="347"/>
      <c r="CL821" s="347"/>
      <c r="CM821" s="347"/>
      <c r="CN821" s="347"/>
      <c r="CO821" s="347"/>
      <c r="CP821" s="347"/>
    </row>
    <row r="822">
      <c r="A822" s="574"/>
      <c r="B822" s="574"/>
      <c r="C822" s="347"/>
      <c r="D822" s="574"/>
      <c r="E822" s="347"/>
      <c r="F822" s="596"/>
      <c r="G822" s="596"/>
      <c r="H822" s="347"/>
      <c r="I822" s="347"/>
      <c r="J822" s="596"/>
      <c r="K822" s="609"/>
      <c r="L822" s="1"/>
      <c r="M822" s="347"/>
      <c r="N822" s="347"/>
      <c r="O822" s="579"/>
      <c r="P822" s="579"/>
      <c r="Q822" s="574"/>
      <c r="R822" s="347"/>
      <c r="S822" s="597"/>
      <c r="T822" s="347"/>
      <c r="U822" s="579"/>
      <c r="V822" s="579"/>
      <c r="W822" s="574"/>
      <c r="X822" s="347"/>
      <c r="Y822" s="347"/>
      <c r="Z822" s="347"/>
      <c r="AA822" s="579"/>
      <c r="AB822" s="581"/>
      <c r="AC822" s="347"/>
      <c r="AD822" s="347"/>
      <c r="AE822" s="347"/>
      <c r="AF822" s="347"/>
      <c r="AG822" s="579"/>
      <c r="AH822" s="579"/>
      <c r="AI822" s="582"/>
      <c r="AJ822" s="582"/>
      <c r="AK822" s="582"/>
      <c r="AL822" s="582"/>
      <c r="AM822" s="579"/>
      <c r="AN822" s="579"/>
      <c r="AO822" s="347"/>
      <c r="AP822" s="586"/>
      <c r="AQ822" s="596"/>
      <c r="AR822" s="596"/>
      <c r="AS822" s="348"/>
      <c r="AT822" s="348"/>
      <c r="AU822" s="348"/>
      <c r="AV822" s="348"/>
      <c r="AW822" s="348"/>
      <c r="AX822" s="584"/>
      <c r="AY822" s="581"/>
      <c r="AZ822" s="581"/>
      <c r="BA822" s="596"/>
      <c r="BB822" s="596"/>
      <c r="BC822" s="348"/>
      <c r="BD822" s="581"/>
      <c r="BE822" s="581"/>
      <c r="BF822" s="347"/>
      <c r="BG822" s="347"/>
      <c r="BH822" s="347"/>
      <c r="BI822" s="347"/>
      <c r="BJ822" s="586"/>
      <c r="BK822" s="581"/>
      <c r="BL822" s="347"/>
      <c r="BM822" s="347"/>
      <c r="BN822" s="347"/>
      <c r="BO822" s="586"/>
      <c r="BP822" s="584"/>
      <c r="BQ822" s="347"/>
      <c r="BR822" s="586"/>
      <c r="BS822" s="588"/>
      <c r="BT822" s="586"/>
      <c r="BU822" s="589"/>
      <c r="BV822" s="581">
        <f t="shared" si="44"/>
        <v>0</v>
      </c>
      <c r="BW822" s="590"/>
      <c r="BX822" s="347"/>
      <c r="BY822" s="347"/>
      <c r="BZ822" s="347"/>
      <c r="CA822" s="586"/>
      <c r="CB822" s="581"/>
      <c r="CC822" s="581">
        <f t="shared" si="193"/>
        <v>0</v>
      </c>
      <c r="CD822" s="581"/>
      <c r="CE822" s="581"/>
      <c r="CF822" s="581"/>
      <c r="CG822" s="586"/>
      <c r="CH822" s="608"/>
      <c r="CI822" s="603"/>
      <c r="CJ822" s="347"/>
      <c r="CK822" s="347"/>
      <c r="CL822" s="347"/>
      <c r="CM822" s="347"/>
      <c r="CN822" s="347"/>
      <c r="CO822" s="347"/>
      <c r="CP822" s="347"/>
    </row>
    <row r="823">
      <c r="A823" s="574"/>
      <c r="B823" s="574"/>
      <c r="C823" s="347"/>
      <c r="D823" s="574"/>
      <c r="E823" s="347"/>
      <c r="F823" s="596"/>
      <c r="G823" s="596"/>
      <c r="H823" s="347"/>
      <c r="I823" s="347"/>
      <c r="J823" s="596"/>
      <c r="K823" s="609"/>
      <c r="L823" s="1"/>
      <c r="M823" s="347"/>
      <c r="N823" s="347"/>
      <c r="O823" s="579"/>
      <c r="P823" s="579"/>
      <c r="Q823" s="574"/>
      <c r="R823" s="347"/>
      <c r="S823" s="597"/>
      <c r="T823" s="347"/>
      <c r="U823" s="579"/>
      <c r="V823" s="579"/>
      <c r="W823" s="574"/>
      <c r="X823" s="347"/>
      <c r="Y823" s="347"/>
      <c r="Z823" s="347"/>
      <c r="AA823" s="579"/>
      <c r="AB823" s="581"/>
      <c r="AC823" s="347"/>
      <c r="AD823" s="347"/>
      <c r="AE823" s="347"/>
      <c r="AF823" s="347"/>
      <c r="AG823" s="579"/>
      <c r="AH823" s="579"/>
      <c r="AI823" s="582"/>
      <c r="AJ823" s="582"/>
      <c r="AK823" s="582"/>
      <c r="AL823" s="582"/>
      <c r="AM823" s="579"/>
      <c r="AN823" s="579"/>
      <c r="AO823" s="347"/>
      <c r="AP823" s="586"/>
      <c r="AQ823" s="596"/>
      <c r="AR823" s="596"/>
      <c r="AS823" s="348"/>
      <c r="AT823" s="348"/>
      <c r="AU823" s="348"/>
      <c r="AV823" s="348"/>
      <c r="AW823" s="348"/>
      <c r="AX823" s="584"/>
      <c r="AY823" s="581"/>
      <c r="AZ823" s="581"/>
      <c r="BA823" s="596"/>
      <c r="BB823" s="596"/>
      <c r="BC823" s="348"/>
      <c r="BD823" s="581"/>
      <c r="BE823" s="581"/>
      <c r="BF823" s="347"/>
      <c r="BG823" s="347"/>
      <c r="BH823" s="347"/>
      <c r="BI823" s="347"/>
      <c r="BJ823" s="586"/>
      <c r="BK823" s="581"/>
      <c r="BL823" s="347"/>
      <c r="BM823" s="347"/>
      <c r="BN823" s="347"/>
      <c r="BO823" s="586"/>
      <c r="BP823" s="584"/>
      <c r="BQ823" s="347"/>
      <c r="BR823" s="586"/>
      <c r="BS823" s="588"/>
      <c r="BT823" s="586"/>
      <c r="BU823" s="589"/>
      <c r="BV823" s="581">
        <f t="shared" si="44"/>
        <v>0</v>
      </c>
      <c r="BW823" s="590"/>
      <c r="BX823" s="347"/>
      <c r="BY823" s="347"/>
      <c r="BZ823" s="347"/>
      <c r="CA823" s="586"/>
      <c r="CB823" s="581"/>
      <c r="CC823" s="581">
        <f t="shared" si="193"/>
        <v>0</v>
      </c>
      <c r="CD823" s="581"/>
      <c r="CE823" s="581"/>
      <c r="CF823" s="581"/>
      <c r="CG823" s="586"/>
      <c r="CH823" s="608"/>
      <c r="CI823" s="603"/>
      <c r="CJ823" s="347"/>
      <c r="CK823" s="347"/>
      <c r="CL823" s="347"/>
      <c r="CM823" s="347"/>
      <c r="CN823" s="347"/>
      <c r="CO823" s="347"/>
      <c r="CP823" s="347"/>
    </row>
    <row r="824">
      <c r="A824" s="574"/>
      <c r="B824" s="574"/>
      <c r="C824" s="347"/>
      <c r="D824" s="574"/>
      <c r="E824" s="347"/>
      <c r="F824" s="596"/>
      <c r="G824" s="596"/>
      <c r="H824" s="347"/>
      <c r="I824" s="347"/>
      <c r="J824" s="596"/>
      <c r="K824" s="609"/>
      <c r="L824" s="1"/>
      <c r="M824" s="347"/>
      <c r="N824" s="347"/>
      <c r="O824" s="579"/>
      <c r="P824" s="579"/>
      <c r="Q824" s="574"/>
      <c r="R824" s="347"/>
      <c r="S824" s="597"/>
      <c r="T824" s="347"/>
      <c r="U824" s="579"/>
      <c r="V824" s="579"/>
      <c r="W824" s="574"/>
      <c r="X824" s="347"/>
      <c r="Y824" s="347"/>
      <c r="Z824" s="347"/>
      <c r="AA824" s="579"/>
      <c r="AB824" s="581"/>
      <c r="AC824" s="347"/>
      <c r="AD824" s="347"/>
      <c r="AE824" s="347"/>
      <c r="AF824" s="347"/>
      <c r="AG824" s="579"/>
      <c r="AH824" s="579"/>
      <c r="AI824" s="582"/>
      <c r="AJ824" s="582"/>
      <c r="AK824" s="582"/>
      <c r="AL824" s="582"/>
      <c r="AM824" s="579"/>
      <c r="AN824" s="579"/>
      <c r="AO824" s="347"/>
      <c r="AP824" s="586"/>
      <c r="AQ824" s="596"/>
      <c r="AR824" s="596"/>
      <c r="AS824" s="348"/>
      <c r="AT824" s="348"/>
      <c r="AU824" s="348"/>
      <c r="AV824" s="348"/>
      <c r="AW824" s="348"/>
      <c r="AX824" s="584"/>
      <c r="AY824" s="581"/>
      <c r="AZ824" s="581"/>
      <c r="BA824" s="596"/>
      <c r="BB824" s="596"/>
      <c r="BC824" s="348"/>
      <c r="BD824" s="581"/>
      <c r="BE824" s="581"/>
      <c r="BF824" s="347"/>
      <c r="BG824" s="347"/>
      <c r="BH824" s="347"/>
      <c r="BI824" s="347"/>
      <c r="BJ824" s="586"/>
      <c r="BK824" s="581"/>
      <c r="BL824" s="347"/>
      <c r="BM824" s="347"/>
      <c r="BN824" s="347"/>
      <c r="BO824" s="586"/>
      <c r="BP824" s="584"/>
      <c r="BQ824" s="347"/>
      <c r="BR824" s="586"/>
      <c r="BS824" s="588"/>
      <c r="BT824" s="586"/>
      <c r="BU824" s="589"/>
      <c r="BV824" s="581">
        <f t="shared" si="44"/>
        <v>0</v>
      </c>
      <c r="BW824" s="590"/>
      <c r="BX824" s="347"/>
      <c r="BY824" s="347"/>
      <c r="BZ824" s="347"/>
      <c r="CA824" s="586"/>
      <c r="CB824" s="581"/>
      <c r="CC824" s="581">
        <f t="shared" si="193"/>
        <v>0</v>
      </c>
      <c r="CD824" s="581"/>
      <c r="CE824" s="581"/>
      <c r="CF824" s="581"/>
      <c r="CG824" s="586"/>
      <c r="CH824" s="608"/>
      <c r="CI824" s="603"/>
      <c r="CJ824" s="347"/>
      <c r="CK824" s="347"/>
      <c r="CL824" s="347"/>
      <c r="CM824" s="347"/>
      <c r="CN824" s="347"/>
      <c r="CO824" s="347"/>
      <c r="CP824" s="347"/>
    </row>
    <row r="825">
      <c r="A825" s="574"/>
      <c r="B825" s="574"/>
      <c r="C825" s="347"/>
      <c r="D825" s="574"/>
      <c r="E825" s="347"/>
      <c r="F825" s="596"/>
      <c r="G825" s="596"/>
      <c r="H825" s="347"/>
      <c r="I825" s="347"/>
      <c r="J825" s="596"/>
      <c r="K825" s="609"/>
      <c r="L825" s="1"/>
      <c r="M825" s="347"/>
      <c r="N825" s="347"/>
      <c r="O825" s="579"/>
      <c r="P825" s="579"/>
      <c r="Q825" s="574"/>
      <c r="R825" s="347"/>
      <c r="S825" s="597"/>
      <c r="T825" s="347"/>
      <c r="U825" s="579"/>
      <c r="V825" s="579"/>
      <c r="W825" s="574"/>
      <c r="X825" s="347"/>
      <c r="Y825" s="347"/>
      <c r="Z825" s="347"/>
      <c r="AA825" s="579"/>
      <c r="AB825" s="581"/>
      <c r="AC825" s="347"/>
      <c r="AD825" s="347"/>
      <c r="AE825" s="347"/>
      <c r="AF825" s="347"/>
      <c r="AG825" s="579"/>
      <c r="AH825" s="579"/>
      <c r="AI825" s="582"/>
      <c r="AJ825" s="582"/>
      <c r="AK825" s="582"/>
      <c r="AL825" s="582"/>
      <c r="AM825" s="579"/>
      <c r="AN825" s="579"/>
      <c r="AO825" s="347"/>
      <c r="AP825" s="586"/>
      <c r="AQ825" s="596"/>
      <c r="AR825" s="596"/>
      <c r="AS825" s="348"/>
      <c r="AT825" s="348"/>
      <c r="AU825" s="348"/>
      <c r="AV825" s="348"/>
      <c r="AW825" s="348"/>
      <c r="AX825" s="584"/>
      <c r="AY825" s="581"/>
      <c r="AZ825" s="581"/>
      <c r="BA825" s="596"/>
      <c r="BB825" s="596"/>
      <c r="BC825" s="348"/>
      <c r="BD825" s="581"/>
      <c r="BE825" s="581"/>
      <c r="BF825" s="347"/>
      <c r="BG825" s="347"/>
      <c r="BH825" s="347"/>
      <c r="BI825" s="347"/>
      <c r="BJ825" s="586"/>
      <c r="BK825" s="581"/>
      <c r="BL825" s="347"/>
      <c r="BM825" s="347"/>
      <c r="BN825" s="347"/>
      <c r="BO825" s="586"/>
      <c r="BP825" s="584"/>
      <c r="BQ825" s="347"/>
      <c r="BR825" s="586"/>
      <c r="BS825" s="588"/>
      <c r="BT825" s="586"/>
      <c r="BU825" s="589"/>
      <c r="BV825" s="581">
        <f t="shared" si="44"/>
        <v>0</v>
      </c>
      <c r="BW825" s="590"/>
      <c r="BX825" s="347"/>
      <c r="BY825" s="347"/>
      <c r="BZ825" s="347"/>
      <c r="CA825" s="586"/>
      <c r="CB825" s="581"/>
      <c r="CC825" s="581">
        <f t="shared" si="193"/>
        <v>0</v>
      </c>
      <c r="CD825" s="581"/>
      <c r="CE825" s="581"/>
      <c r="CF825" s="581"/>
      <c r="CG825" s="586"/>
      <c r="CH825" s="608"/>
      <c r="CI825" s="603"/>
      <c r="CJ825" s="347"/>
      <c r="CK825" s="347"/>
      <c r="CL825" s="347"/>
      <c r="CM825" s="347"/>
      <c r="CN825" s="347"/>
      <c r="CO825" s="347"/>
      <c r="CP825" s="347"/>
    </row>
    <row r="826">
      <c r="A826" s="574"/>
      <c r="B826" s="574"/>
      <c r="C826" s="347"/>
      <c r="D826" s="574"/>
      <c r="E826" s="347"/>
      <c r="F826" s="596"/>
      <c r="G826" s="596"/>
      <c r="H826" s="347"/>
      <c r="I826" s="347"/>
      <c r="J826" s="596"/>
      <c r="K826" s="609"/>
      <c r="L826" s="1"/>
      <c r="M826" s="347"/>
      <c r="N826" s="347"/>
      <c r="O826" s="579"/>
      <c r="P826" s="579"/>
      <c r="Q826" s="574"/>
      <c r="R826" s="347"/>
      <c r="S826" s="597"/>
      <c r="T826" s="347"/>
      <c r="U826" s="579"/>
      <c r="V826" s="579"/>
      <c r="W826" s="574"/>
      <c r="X826" s="347"/>
      <c r="Y826" s="347"/>
      <c r="Z826" s="347"/>
      <c r="AA826" s="579"/>
      <c r="AB826" s="581"/>
      <c r="AC826" s="347"/>
      <c r="AD826" s="347"/>
      <c r="AE826" s="347"/>
      <c r="AF826" s="347"/>
      <c r="AG826" s="579"/>
      <c r="AH826" s="579"/>
      <c r="AI826" s="582"/>
      <c r="AJ826" s="582"/>
      <c r="AK826" s="582"/>
      <c r="AL826" s="582"/>
      <c r="AM826" s="579"/>
      <c r="AN826" s="579"/>
      <c r="AO826" s="347"/>
      <c r="AP826" s="586"/>
      <c r="AQ826" s="596"/>
      <c r="AR826" s="596"/>
      <c r="AS826" s="348"/>
      <c r="AT826" s="348"/>
      <c r="AU826" s="348"/>
      <c r="AV826" s="348"/>
      <c r="AW826" s="348"/>
      <c r="AX826" s="584"/>
      <c r="AY826" s="581"/>
      <c r="AZ826" s="581"/>
      <c r="BA826" s="596"/>
      <c r="BB826" s="596"/>
      <c r="BC826" s="348"/>
      <c r="BD826" s="581"/>
      <c r="BE826" s="581"/>
      <c r="BF826" s="347"/>
      <c r="BG826" s="347"/>
      <c r="BH826" s="347"/>
      <c r="BI826" s="347"/>
      <c r="BJ826" s="586"/>
      <c r="BK826" s="581"/>
      <c r="BL826" s="347"/>
      <c r="BM826" s="347"/>
      <c r="BN826" s="347"/>
      <c r="BO826" s="586"/>
      <c r="BP826" s="584"/>
      <c r="BQ826" s="347"/>
      <c r="BR826" s="586"/>
      <c r="BS826" s="588"/>
      <c r="BT826" s="586"/>
      <c r="BU826" s="589"/>
      <c r="BV826" s="581">
        <f t="shared" si="44"/>
        <v>0</v>
      </c>
      <c r="BW826" s="590"/>
      <c r="BX826" s="347"/>
      <c r="BY826" s="347"/>
      <c r="BZ826" s="347"/>
      <c r="CA826" s="586"/>
      <c r="CB826" s="581"/>
      <c r="CC826" s="581">
        <f t="shared" si="193"/>
        <v>0</v>
      </c>
      <c r="CD826" s="581"/>
      <c r="CE826" s="581"/>
      <c r="CF826" s="581"/>
      <c r="CG826" s="586"/>
      <c r="CH826" s="608"/>
      <c r="CI826" s="603"/>
      <c r="CJ826" s="347"/>
      <c r="CK826" s="347"/>
      <c r="CL826" s="347"/>
      <c r="CM826" s="347"/>
      <c r="CN826" s="347"/>
      <c r="CO826" s="347"/>
      <c r="CP826" s="347"/>
    </row>
    <row r="827">
      <c r="A827" s="574"/>
      <c r="B827" s="574"/>
      <c r="C827" s="347"/>
      <c r="D827" s="574"/>
      <c r="E827" s="347"/>
      <c r="F827" s="596"/>
      <c r="G827" s="596"/>
      <c r="H827" s="347"/>
      <c r="I827" s="347"/>
      <c r="J827" s="596"/>
      <c r="K827" s="609"/>
      <c r="L827" s="1"/>
      <c r="M827" s="347"/>
      <c r="N827" s="347"/>
      <c r="O827" s="579"/>
      <c r="P827" s="579"/>
      <c r="Q827" s="574"/>
      <c r="R827" s="347"/>
      <c r="S827" s="597"/>
      <c r="T827" s="347"/>
      <c r="U827" s="579"/>
      <c r="V827" s="579"/>
      <c r="W827" s="574"/>
      <c r="X827" s="347"/>
      <c r="Y827" s="347"/>
      <c r="Z827" s="347"/>
      <c r="AA827" s="579"/>
      <c r="AB827" s="581"/>
      <c r="AC827" s="347"/>
      <c r="AD827" s="347"/>
      <c r="AE827" s="347"/>
      <c r="AF827" s="347"/>
      <c r="AG827" s="579"/>
      <c r="AH827" s="579"/>
      <c r="AI827" s="582"/>
      <c r="AJ827" s="582"/>
      <c r="AK827" s="582"/>
      <c r="AL827" s="582"/>
      <c r="AM827" s="579"/>
      <c r="AN827" s="579"/>
      <c r="AO827" s="347"/>
      <c r="AP827" s="586"/>
      <c r="AQ827" s="596"/>
      <c r="AR827" s="596"/>
      <c r="AS827" s="348"/>
      <c r="AT827" s="348"/>
      <c r="AU827" s="348"/>
      <c r="AV827" s="348"/>
      <c r="AW827" s="348"/>
      <c r="AX827" s="584"/>
      <c r="AY827" s="581"/>
      <c r="AZ827" s="581"/>
      <c r="BA827" s="596"/>
      <c r="BB827" s="596"/>
      <c r="BC827" s="348"/>
      <c r="BD827" s="581"/>
      <c r="BE827" s="581"/>
      <c r="BF827" s="347"/>
      <c r="BG827" s="347"/>
      <c r="BH827" s="347"/>
      <c r="BI827" s="347"/>
      <c r="BJ827" s="586"/>
      <c r="BK827" s="581"/>
      <c r="BL827" s="347"/>
      <c r="BM827" s="347"/>
      <c r="BN827" s="347"/>
      <c r="BO827" s="586"/>
      <c r="BP827" s="584"/>
      <c r="BQ827" s="347"/>
      <c r="BR827" s="586"/>
      <c r="BS827" s="588"/>
      <c r="BT827" s="586"/>
      <c r="BU827" s="589"/>
      <c r="BV827" s="581">
        <f t="shared" si="44"/>
        <v>0</v>
      </c>
      <c r="BW827" s="590"/>
      <c r="BX827" s="347"/>
      <c r="BY827" s="347"/>
      <c r="BZ827" s="347"/>
      <c r="CA827" s="586"/>
      <c r="CB827" s="581"/>
      <c r="CC827" s="581">
        <f t="shared" si="193"/>
        <v>0</v>
      </c>
      <c r="CD827" s="581"/>
      <c r="CE827" s="581"/>
      <c r="CF827" s="581"/>
      <c r="CG827" s="586"/>
      <c r="CH827" s="608"/>
      <c r="CI827" s="603"/>
      <c r="CJ827" s="347"/>
      <c r="CK827" s="347"/>
      <c r="CL827" s="347"/>
      <c r="CM827" s="347"/>
      <c r="CN827" s="347"/>
      <c r="CO827" s="347"/>
      <c r="CP827" s="347"/>
    </row>
    <row r="828">
      <c r="A828" s="574"/>
      <c r="B828" s="574"/>
      <c r="C828" s="347"/>
      <c r="D828" s="574"/>
      <c r="E828" s="347"/>
      <c r="F828" s="596"/>
      <c r="G828" s="596"/>
      <c r="H828" s="347"/>
      <c r="I828" s="347"/>
      <c r="J828" s="596"/>
      <c r="K828" s="609"/>
      <c r="L828" s="1"/>
      <c r="M828" s="347"/>
      <c r="N828" s="347"/>
      <c r="O828" s="579"/>
      <c r="P828" s="579"/>
      <c r="Q828" s="574"/>
      <c r="R828" s="347"/>
      <c r="S828" s="597"/>
      <c r="T828" s="347"/>
      <c r="U828" s="579"/>
      <c r="V828" s="579"/>
      <c r="W828" s="574"/>
      <c r="X828" s="347"/>
      <c r="Y828" s="347"/>
      <c r="Z828" s="347"/>
      <c r="AA828" s="579"/>
      <c r="AB828" s="581"/>
      <c r="AC828" s="347"/>
      <c r="AD828" s="347"/>
      <c r="AE828" s="347"/>
      <c r="AF828" s="347"/>
      <c r="AG828" s="579"/>
      <c r="AH828" s="579"/>
      <c r="AI828" s="582"/>
      <c r="AJ828" s="582"/>
      <c r="AK828" s="582"/>
      <c r="AL828" s="582"/>
      <c r="AM828" s="579"/>
      <c r="AN828" s="579"/>
      <c r="AO828" s="347"/>
      <c r="AP828" s="586"/>
      <c r="AQ828" s="596"/>
      <c r="AR828" s="596"/>
      <c r="AS828" s="348"/>
      <c r="AT828" s="348"/>
      <c r="AU828" s="348"/>
      <c r="AV828" s="348"/>
      <c r="AW828" s="348"/>
      <c r="AX828" s="584"/>
      <c r="AY828" s="581"/>
      <c r="AZ828" s="581"/>
      <c r="BA828" s="596"/>
      <c r="BB828" s="596"/>
      <c r="BC828" s="348"/>
      <c r="BD828" s="581"/>
      <c r="BE828" s="581"/>
      <c r="BF828" s="347"/>
      <c r="BG828" s="347"/>
      <c r="BH828" s="347"/>
      <c r="BI828" s="347"/>
      <c r="BJ828" s="586"/>
      <c r="BK828" s="581"/>
      <c r="BL828" s="347"/>
      <c r="BM828" s="347"/>
      <c r="BN828" s="347"/>
      <c r="BO828" s="586"/>
      <c r="BP828" s="584"/>
      <c r="BQ828" s="347"/>
      <c r="BR828" s="586"/>
      <c r="BS828" s="588"/>
      <c r="BT828" s="586"/>
      <c r="BU828" s="589"/>
      <c r="BV828" s="581">
        <f t="shared" si="44"/>
        <v>0</v>
      </c>
      <c r="BW828" s="590"/>
      <c r="BX828" s="347"/>
      <c r="BY828" s="347"/>
      <c r="BZ828" s="347"/>
      <c r="CA828" s="586"/>
      <c r="CB828" s="581"/>
      <c r="CC828" s="581">
        <f t="shared" si="193"/>
        <v>0</v>
      </c>
      <c r="CD828" s="581"/>
      <c r="CE828" s="581"/>
      <c r="CF828" s="581"/>
      <c r="CG828" s="586"/>
      <c r="CH828" s="608"/>
      <c r="CI828" s="603"/>
      <c r="CJ828" s="347"/>
      <c r="CK828" s="347"/>
      <c r="CL828" s="347"/>
      <c r="CM828" s="347"/>
      <c r="CN828" s="347"/>
      <c r="CO828" s="347"/>
      <c r="CP828" s="347"/>
    </row>
    <row r="829">
      <c r="A829" s="574"/>
      <c r="B829" s="574"/>
      <c r="C829" s="347"/>
      <c r="D829" s="574"/>
      <c r="E829" s="347"/>
      <c r="F829" s="596"/>
      <c r="G829" s="596"/>
      <c r="H829" s="347"/>
      <c r="I829" s="347"/>
      <c r="J829" s="596"/>
      <c r="K829" s="609"/>
      <c r="L829" s="1"/>
      <c r="M829" s="347"/>
      <c r="N829" s="347"/>
      <c r="O829" s="579"/>
      <c r="P829" s="579"/>
      <c r="Q829" s="574"/>
      <c r="R829" s="347"/>
      <c r="S829" s="597"/>
      <c r="T829" s="347"/>
      <c r="U829" s="579"/>
      <c r="V829" s="579"/>
      <c r="W829" s="574"/>
      <c r="X829" s="347"/>
      <c r="Y829" s="347"/>
      <c r="Z829" s="347"/>
      <c r="AA829" s="579"/>
      <c r="AB829" s="581"/>
      <c r="AC829" s="347"/>
      <c r="AD829" s="347"/>
      <c r="AE829" s="347"/>
      <c r="AF829" s="347"/>
      <c r="AG829" s="579"/>
      <c r="AH829" s="579"/>
      <c r="AI829" s="582"/>
      <c r="AJ829" s="582"/>
      <c r="AK829" s="582"/>
      <c r="AL829" s="582"/>
      <c r="AM829" s="579"/>
      <c r="AN829" s="579"/>
      <c r="AO829" s="347"/>
      <c r="AP829" s="586"/>
      <c r="AQ829" s="596"/>
      <c r="AR829" s="596"/>
      <c r="AS829" s="348"/>
      <c r="AT829" s="348"/>
      <c r="AU829" s="348"/>
      <c r="AV829" s="348"/>
      <c r="AW829" s="348"/>
      <c r="AX829" s="584"/>
      <c r="AY829" s="581"/>
      <c r="AZ829" s="581"/>
      <c r="BA829" s="596"/>
      <c r="BB829" s="596"/>
      <c r="BC829" s="348"/>
      <c r="BD829" s="581"/>
      <c r="BE829" s="581"/>
      <c r="BF829" s="347"/>
      <c r="BG829" s="347"/>
      <c r="BH829" s="347"/>
      <c r="BI829" s="347"/>
      <c r="BJ829" s="586"/>
      <c r="BK829" s="581"/>
      <c r="BL829" s="347"/>
      <c r="BM829" s="347"/>
      <c r="BN829" s="347"/>
      <c r="BO829" s="586"/>
      <c r="BP829" s="584"/>
      <c r="BQ829" s="347"/>
      <c r="BR829" s="586"/>
      <c r="BS829" s="588"/>
      <c r="BT829" s="586"/>
      <c r="BU829" s="589"/>
      <c r="BV829" s="581">
        <f t="shared" si="44"/>
        <v>0</v>
      </c>
      <c r="BW829" s="590"/>
      <c r="BX829" s="347"/>
      <c r="BY829" s="347"/>
      <c r="BZ829" s="347"/>
      <c r="CA829" s="586"/>
      <c r="CB829" s="581"/>
      <c r="CC829" s="581">
        <f t="shared" si="193"/>
        <v>0</v>
      </c>
      <c r="CD829" s="581"/>
      <c r="CE829" s="581"/>
      <c r="CF829" s="581"/>
      <c r="CG829" s="586"/>
      <c r="CH829" s="608"/>
      <c r="CI829" s="603"/>
      <c r="CJ829" s="347"/>
      <c r="CK829" s="347"/>
      <c r="CL829" s="347"/>
      <c r="CM829" s="347"/>
      <c r="CN829" s="347"/>
      <c r="CO829" s="347"/>
      <c r="CP829" s="347"/>
    </row>
    <row r="830">
      <c r="A830" s="574"/>
      <c r="B830" s="574"/>
      <c r="C830" s="347"/>
      <c r="D830" s="574"/>
      <c r="E830" s="347"/>
      <c r="F830" s="596"/>
      <c r="G830" s="596"/>
      <c r="H830" s="347"/>
      <c r="I830" s="347"/>
      <c r="J830" s="596"/>
      <c r="K830" s="609"/>
      <c r="L830" s="1"/>
      <c r="M830" s="347"/>
      <c r="N830" s="347"/>
      <c r="O830" s="579"/>
      <c r="P830" s="579"/>
      <c r="Q830" s="574"/>
      <c r="R830" s="347"/>
      <c r="S830" s="597"/>
      <c r="T830" s="347"/>
      <c r="U830" s="579"/>
      <c r="V830" s="579"/>
      <c r="W830" s="574"/>
      <c r="X830" s="347"/>
      <c r="Y830" s="347"/>
      <c r="Z830" s="347"/>
      <c r="AA830" s="579"/>
      <c r="AB830" s="581"/>
      <c r="AC830" s="347"/>
      <c r="AD830" s="347"/>
      <c r="AE830" s="347"/>
      <c r="AF830" s="347"/>
      <c r="AG830" s="579"/>
      <c r="AH830" s="579"/>
      <c r="AI830" s="582"/>
      <c r="AJ830" s="582"/>
      <c r="AK830" s="582"/>
      <c r="AL830" s="582"/>
      <c r="AM830" s="579"/>
      <c r="AN830" s="579"/>
      <c r="AO830" s="347"/>
      <c r="AP830" s="586"/>
      <c r="AQ830" s="596"/>
      <c r="AR830" s="596"/>
      <c r="AS830" s="348"/>
      <c r="AT830" s="348"/>
      <c r="AU830" s="348"/>
      <c r="AV830" s="348"/>
      <c r="AW830" s="348"/>
      <c r="AX830" s="584"/>
      <c r="AY830" s="581"/>
      <c r="AZ830" s="581"/>
      <c r="BA830" s="596"/>
      <c r="BB830" s="596"/>
      <c r="BC830" s="348"/>
      <c r="BD830" s="581"/>
      <c r="BE830" s="581"/>
      <c r="BF830" s="347"/>
      <c r="BG830" s="347"/>
      <c r="BH830" s="347"/>
      <c r="BI830" s="347"/>
      <c r="BJ830" s="586"/>
      <c r="BK830" s="581"/>
      <c r="BL830" s="347"/>
      <c r="BM830" s="347"/>
      <c r="BN830" s="347"/>
      <c r="BO830" s="586"/>
      <c r="BP830" s="584"/>
      <c r="BQ830" s="347"/>
      <c r="BR830" s="586"/>
      <c r="BS830" s="588"/>
      <c r="BT830" s="586"/>
      <c r="BU830" s="589"/>
      <c r="BV830" s="581">
        <f t="shared" si="44"/>
        <v>0</v>
      </c>
      <c r="BW830" s="590"/>
      <c r="BX830" s="347"/>
      <c r="BY830" s="347"/>
      <c r="BZ830" s="347"/>
      <c r="CA830" s="586"/>
      <c r="CB830" s="581"/>
      <c r="CC830" s="581">
        <f t="shared" si="193"/>
        <v>0</v>
      </c>
      <c r="CD830" s="581"/>
      <c r="CE830" s="581"/>
      <c r="CF830" s="581"/>
      <c r="CG830" s="586"/>
      <c r="CH830" s="608"/>
      <c r="CI830" s="603"/>
      <c r="CJ830" s="347"/>
      <c r="CK830" s="347"/>
      <c r="CL830" s="347"/>
      <c r="CM830" s="347"/>
      <c r="CN830" s="347"/>
      <c r="CO830" s="347"/>
      <c r="CP830" s="347"/>
    </row>
    <row r="831">
      <c r="A831" s="574"/>
      <c r="B831" s="574"/>
      <c r="C831" s="347"/>
      <c r="D831" s="574"/>
      <c r="E831" s="347"/>
      <c r="F831" s="596"/>
      <c r="G831" s="596"/>
      <c r="H831" s="347"/>
      <c r="I831" s="347"/>
      <c r="J831" s="596"/>
      <c r="K831" s="609"/>
      <c r="L831" s="1"/>
      <c r="M831" s="347"/>
      <c r="N831" s="347"/>
      <c r="O831" s="579"/>
      <c r="P831" s="579"/>
      <c r="Q831" s="574"/>
      <c r="R831" s="347"/>
      <c r="S831" s="597"/>
      <c r="T831" s="347"/>
      <c r="U831" s="579"/>
      <c r="V831" s="579"/>
      <c r="W831" s="574"/>
      <c r="X831" s="347"/>
      <c r="Y831" s="347"/>
      <c r="Z831" s="347"/>
      <c r="AA831" s="579"/>
      <c r="AB831" s="581"/>
      <c r="AC831" s="347"/>
      <c r="AD831" s="347"/>
      <c r="AE831" s="347"/>
      <c r="AF831" s="347"/>
      <c r="AG831" s="579"/>
      <c r="AH831" s="579"/>
      <c r="AI831" s="582"/>
      <c r="AJ831" s="582"/>
      <c r="AK831" s="582"/>
      <c r="AL831" s="582"/>
      <c r="AM831" s="579"/>
      <c r="AN831" s="579"/>
      <c r="AO831" s="347"/>
      <c r="AP831" s="586"/>
      <c r="AQ831" s="596"/>
      <c r="AR831" s="596"/>
      <c r="AS831" s="348"/>
      <c r="AT831" s="348"/>
      <c r="AU831" s="348"/>
      <c r="AV831" s="348"/>
      <c r="AW831" s="348"/>
      <c r="AX831" s="584"/>
      <c r="AY831" s="581"/>
      <c r="AZ831" s="581"/>
      <c r="BA831" s="596"/>
      <c r="BB831" s="596"/>
      <c r="BC831" s="348"/>
      <c r="BD831" s="581"/>
      <c r="BE831" s="581"/>
      <c r="BF831" s="347"/>
      <c r="BG831" s="347"/>
      <c r="BH831" s="347"/>
      <c r="BI831" s="347"/>
      <c r="BJ831" s="586"/>
      <c r="BK831" s="581"/>
      <c r="BL831" s="347"/>
      <c r="BM831" s="347"/>
      <c r="BN831" s="347"/>
      <c r="BO831" s="586"/>
      <c r="BP831" s="584"/>
      <c r="BQ831" s="347"/>
      <c r="BR831" s="586"/>
      <c r="BS831" s="588"/>
      <c r="BT831" s="586"/>
      <c r="BU831" s="589"/>
      <c r="BV831" s="581">
        <f t="shared" si="44"/>
        <v>0</v>
      </c>
      <c r="BW831" s="590"/>
      <c r="BX831" s="347"/>
      <c r="BY831" s="347"/>
      <c r="BZ831" s="347"/>
      <c r="CA831" s="586"/>
      <c r="CB831" s="581"/>
      <c r="CC831" s="581">
        <f t="shared" si="193"/>
        <v>0</v>
      </c>
      <c r="CD831" s="581"/>
      <c r="CE831" s="581"/>
      <c r="CF831" s="581"/>
      <c r="CG831" s="586"/>
      <c r="CH831" s="608"/>
      <c r="CI831" s="603"/>
      <c r="CJ831" s="347"/>
      <c r="CK831" s="347"/>
      <c r="CL831" s="347"/>
      <c r="CM831" s="347"/>
      <c r="CN831" s="347"/>
      <c r="CO831" s="347"/>
      <c r="CP831" s="347"/>
    </row>
    <row r="832">
      <c r="A832" s="574"/>
      <c r="B832" s="574"/>
      <c r="C832" s="347"/>
      <c r="D832" s="574"/>
      <c r="E832" s="347"/>
      <c r="F832" s="596"/>
      <c r="G832" s="596"/>
      <c r="H832" s="347"/>
      <c r="I832" s="347"/>
      <c r="J832" s="596"/>
      <c r="K832" s="609"/>
      <c r="L832" s="1"/>
      <c r="M832" s="347"/>
      <c r="N832" s="347"/>
      <c r="O832" s="579"/>
      <c r="P832" s="579"/>
      <c r="Q832" s="574"/>
      <c r="R832" s="347"/>
      <c r="S832" s="597"/>
      <c r="T832" s="347"/>
      <c r="U832" s="579"/>
      <c r="V832" s="579"/>
      <c r="W832" s="574"/>
      <c r="X832" s="347"/>
      <c r="Y832" s="347"/>
      <c r="Z832" s="347"/>
      <c r="AA832" s="579"/>
      <c r="AB832" s="581"/>
      <c r="AC832" s="347"/>
      <c r="AD832" s="347"/>
      <c r="AE832" s="347"/>
      <c r="AF832" s="347"/>
      <c r="AG832" s="579"/>
      <c r="AH832" s="579"/>
      <c r="AI832" s="582"/>
      <c r="AJ832" s="582"/>
      <c r="AK832" s="582"/>
      <c r="AL832" s="582"/>
      <c r="AM832" s="579"/>
      <c r="AN832" s="579"/>
      <c r="AO832" s="347"/>
      <c r="AP832" s="586"/>
      <c r="AQ832" s="596"/>
      <c r="AR832" s="596"/>
      <c r="AS832" s="348"/>
      <c r="AT832" s="348"/>
      <c r="AU832" s="348"/>
      <c r="AV832" s="348"/>
      <c r="AW832" s="348"/>
      <c r="AX832" s="584"/>
      <c r="AY832" s="581"/>
      <c r="AZ832" s="581"/>
      <c r="BA832" s="596"/>
      <c r="BB832" s="596"/>
      <c r="BC832" s="348"/>
      <c r="BD832" s="581"/>
      <c r="BE832" s="581"/>
      <c r="BF832" s="347"/>
      <c r="BG832" s="347"/>
      <c r="BH832" s="347"/>
      <c r="BI832" s="347"/>
      <c r="BJ832" s="586"/>
      <c r="BK832" s="581"/>
      <c r="BL832" s="347"/>
      <c r="BM832" s="347"/>
      <c r="BN832" s="347"/>
      <c r="BO832" s="586"/>
      <c r="BP832" s="584"/>
      <c r="BQ832" s="347"/>
      <c r="BR832" s="586"/>
      <c r="BS832" s="588"/>
      <c r="BT832" s="586"/>
      <c r="BU832" s="589"/>
      <c r="BV832" s="581">
        <f t="shared" si="44"/>
        <v>0</v>
      </c>
      <c r="BW832" s="590"/>
      <c r="BX832" s="347"/>
      <c r="BY832" s="347"/>
      <c r="BZ832" s="347"/>
      <c r="CA832" s="586"/>
      <c r="CB832" s="581"/>
      <c r="CC832" s="581">
        <f t="shared" si="193"/>
        <v>0</v>
      </c>
      <c r="CD832" s="581"/>
      <c r="CE832" s="581"/>
      <c r="CF832" s="581"/>
      <c r="CG832" s="586"/>
      <c r="CH832" s="608"/>
      <c r="CI832" s="603"/>
      <c r="CJ832" s="347"/>
      <c r="CK832" s="347"/>
      <c r="CL832" s="347"/>
      <c r="CM832" s="347"/>
      <c r="CN832" s="347"/>
      <c r="CO832" s="347"/>
      <c r="CP832" s="347"/>
    </row>
    <row r="833">
      <c r="A833" s="574"/>
      <c r="B833" s="574"/>
      <c r="C833" s="347"/>
      <c r="D833" s="574"/>
      <c r="E833" s="347"/>
      <c r="F833" s="596"/>
      <c r="G833" s="596"/>
      <c r="H833" s="347"/>
      <c r="I833" s="347"/>
      <c r="J833" s="596"/>
      <c r="K833" s="609"/>
      <c r="L833" s="1"/>
      <c r="M833" s="347"/>
      <c r="N833" s="347"/>
      <c r="O833" s="579"/>
      <c r="P833" s="579"/>
      <c r="Q833" s="574"/>
      <c r="R833" s="347"/>
      <c r="S833" s="597"/>
      <c r="T833" s="347"/>
      <c r="U833" s="579"/>
      <c r="V833" s="579"/>
      <c r="W833" s="574"/>
      <c r="X833" s="347"/>
      <c r="Y833" s="347"/>
      <c r="Z833" s="347"/>
      <c r="AA833" s="579"/>
      <c r="AB833" s="581"/>
      <c r="AC833" s="347"/>
      <c r="AD833" s="347"/>
      <c r="AE833" s="347"/>
      <c r="AF833" s="347"/>
      <c r="AG833" s="579"/>
      <c r="AH833" s="579"/>
      <c r="AI833" s="582"/>
      <c r="AJ833" s="582"/>
      <c r="AK833" s="582"/>
      <c r="AL833" s="582"/>
      <c r="AM833" s="579"/>
      <c r="AN833" s="579"/>
      <c r="AO833" s="347"/>
      <c r="AP833" s="586"/>
      <c r="AQ833" s="596"/>
      <c r="AR833" s="596"/>
      <c r="AS833" s="348"/>
      <c r="AT833" s="348"/>
      <c r="AU833" s="348"/>
      <c r="AV833" s="348"/>
      <c r="AW833" s="348"/>
      <c r="AX833" s="584"/>
      <c r="AY833" s="581"/>
      <c r="AZ833" s="581"/>
      <c r="BA833" s="596"/>
      <c r="BB833" s="596"/>
      <c r="BC833" s="348"/>
      <c r="BD833" s="581"/>
      <c r="BE833" s="581"/>
      <c r="BF833" s="347"/>
      <c r="BG833" s="347"/>
      <c r="BH833" s="347"/>
      <c r="BI833" s="347"/>
      <c r="BJ833" s="586"/>
      <c r="BK833" s="581"/>
      <c r="BL833" s="347"/>
      <c r="BM833" s="347"/>
      <c r="BN833" s="347"/>
      <c r="BO833" s="586"/>
      <c r="BP833" s="584"/>
      <c r="BQ833" s="347"/>
      <c r="BR833" s="586"/>
      <c r="BS833" s="588"/>
      <c r="BT833" s="586"/>
      <c r="BU833" s="589"/>
      <c r="BV833" s="581">
        <f t="shared" si="44"/>
        <v>0</v>
      </c>
      <c r="BW833" s="590"/>
      <c r="BX833" s="347"/>
      <c r="BY833" s="347"/>
      <c r="BZ833" s="347"/>
      <c r="CA833" s="586"/>
      <c r="CB833" s="581"/>
      <c r="CC833" s="581">
        <f t="shared" si="193"/>
        <v>0</v>
      </c>
      <c r="CD833" s="581"/>
      <c r="CE833" s="581"/>
      <c r="CF833" s="581"/>
      <c r="CG833" s="586"/>
      <c r="CH833" s="608"/>
      <c r="CI833" s="603"/>
      <c r="CJ833" s="347"/>
      <c r="CK833" s="347"/>
      <c r="CL833" s="347"/>
      <c r="CM833" s="347"/>
      <c r="CN833" s="347"/>
      <c r="CO833" s="347"/>
      <c r="CP833" s="347"/>
    </row>
    <row r="834">
      <c r="A834" s="574"/>
      <c r="B834" s="574"/>
      <c r="C834" s="347"/>
      <c r="D834" s="574"/>
      <c r="E834" s="347"/>
      <c r="F834" s="596"/>
      <c r="G834" s="596"/>
      <c r="H834" s="347"/>
      <c r="I834" s="347"/>
      <c r="J834" s="596"/>
      <c r="K834" s="609"/>
      <c r="L834" s="1"/>
      <c r="M834" s="347"/>
      <c r="N834" s="347"/>
      <c r="O834" s="579"/>
      <c r="P834" s="579"/>
      <c r="Q834" s="574"/>
      <c r="R834" s="347"/>
      <c r="S834" s="597"/>
      <c r="T834" s="347"/>
      <c r="U834" s="579"/>
      <c r="V834" s="579"/>
      <c r="W834" s="574"/>
      <c r="X834" s="347"/>
      <c r="Y834" s="347"/>
      <c r="Z834" s="347"/>
      <c r="AA834" s="579"/>
      <c r="AB834" s="581"/>
      <c r="AC834" s="347"/>
      <c r="AD834" s="347"/>
      <c r="AE834" s="347"/>
      <c r="AF834" s="347"/>
      <c r="AG834" s="579"/>
      <c r="AH834" s="579"/>
      <c r="AI834" s="582"/>
      <c r="AJ834" s="582"/>
      <c r="AK834" s="582"/>
      <c r="AL834" s="582"/>
      <c r="AM834" s="579"/>
      <c r="AN834" s="579"/>
      <c r="AO834" s="347"/>
      <c r="AP834" s="586"/>
      <c r="AQ834" s="596"/>
      <c r="AR834" s="596"/>
      <c r="AS834" s="348"/>
      <c r="AT834" s="348"/>
      <c r="AU834" s="348"/>
      <c r="AV834" s="348"/>
      <c r="AW834" s="348"/>
      <c r="AX834" s="584"/>
      <c r="AY834" s="581"/>
      <c r="AZ834" s="581"/>
      <c r="BA834" s="596"/>
      <c r="BB834" s="596"/>
      <c r="BC834" s="348"/>
      <c r="BD834" s="581"/>
      <c r="BE834" s="581"/>
      <c r="BF834" s="347"/>
      <c r="BG834" s="347"/>
      <c r="BH834" s="347"/>
      <c r="BI834" s="347"/>
      <c r="BJ834" s="586"/>
      <c r="BK834" s="581"/>
      <c r="BL834" s="347"/>
      <c r="BM834" s="347"/>
      <c r="BN834" s="347"/>
      <c r="BO834" s="586"/>
      <c r="BP834" s="584"/>
      <c r="BQ834" s="347"/>
      <c r="BR834" s="586"/>
      <c r="BS834" s="588"/>
      <c r="BT834" s="586"/>
      <c r="BU834" s="589"/>
      <c r="BV834" s="581">
        <f t="shared" si="44"/>
        <v>0</v>
      </c>
      <c r="BW834" s="590"/>
      <c r="BX834" s="347"/>
      <c r="BY834" s="347"/>
      <c r="BZ834" s="347"/>
      <c r="CA834" s="586"/>
      <c r="CB834" s="581"/>
      <c r="CC834" s="581">
        <f t="shared" si="193"/>
        <v>0</v>
      </c>
      <c r="CD834" s="581"/>
      <c r="CE834" s="581"/>
      <c r="CF834" s="581"/>
      <c r="CG834" s="586"/>
      <c r="CH834" s="608"/>
      <c r="CI834" s="603"/>
      <c r="CJ834" s="347"/>
      <c r="CK834" s="347"/>
      <c r="CL834" s="347"/>
      <c r="CM834" s="347"/>
      <c r="CN834" s="347"/>
      <c r="CO834" s="347"/>
      <c r="CP834" s="347"/>
    </row>
    <row r="835">
      <c r="A835" s="574"/>
      <c r="B835" s="574"/>
      <c r="C835" s="347"/>
      <c r="D835" s="574"/>
      <c r="E835" s="347"/>
      <c r="F835" s="596"/>
      <c r="G835" s="596"/>
      <c r="H835" s="347"/>
      <c r="I835" s="347"/>
      <c r="J835" s="596"/>
      <c r="K835" s="609"/>
      <c r="L835" s="1"/>
      <c r="M835" s="347"/>
      <c r="N835" s="347"/>
      <c r="O835" s="579"/>
      <c r="P835" s="579"/>
      <c r="Q835" s="574"/>
      <c r="R835" s="347"/>
      <c r="S835" s="597"/>
      <c r="T835" s="347"/>
      <c r="U835" s="579"/>
      <c r="V835" s="579"/>
      <c r="W835" s="574"/>
      <c r="X835" s="347"/>
      <c r="Y835" s="347"/>
      <c r="Z835" s="347"/>
      <c r="AA835" s="579"/>
      <c r="AB835" s="581"/>
      <c r="AC835" s="347"/>
      <c r="AD835" s="347"/>
      <c r="AE835" s="347"/>
      <c r="AF835" s="347"/>
      <c r="AG835" s="579"/>
      <c r="AH835" s="579"/>
      <c r="AI835" s="582"/>
      <c r="AJ835" s="582"/>
      <c r="AK835" s="582"/>
      <c r="AL835" s="582"/>
      <c r="AM835" s="579"/>
      <c r="AN835" s="579"/>
      <c r="AO835" s="347"/>
      <c r="AP835" s="586"/>
      <c r="AQ835" s="596"/>
      <c r="AR835" s="596"/>
      <c r="AS835" s="348"/>
      <c r="AT835" s="348"/>
      <c r="AU835" s="348"/>
      <c r="AV835" s="348"/>
      <c r="AW835" s="348"/>
      <c r="AX835" s="584"/>
      <c r="AY835" s="581"/>
      <c r="AZ835" s="581"/>
      <c r="BA835" s="596"/>
      <c r="BB835" s="596"/>
      <c r="BC835" s="348"/>
      <c r="BD835" s="581"/>
      <c r="BE835" s="581"/>
      <c r="BF835" s="347"/>
      <c r="BG835" s="347"/>
      <c r="BH835" s="347"/>
      <c r="BI835" s="347"/>
      <c r="BJ835" s="586"/>
      <c r="BK835" s="581"/>
      <c r="BL835" s="347"/>
      <c r="BM835" s="347"/>
      <c r="BN835" s="347"/>
      <c r="BO835" s="586"/>
      <c r="BP835" s="584"/>
      <c r="BQ835" s="347"/>
      <c r="BR835" s="586"/>
      <c r="BS835" s="588"/>
      <c r="BT835" s="586"/>
      <c r="BU835" s="589"/>
      <c r="BV835" s="581">
        <f t="shared" si="44"/>
        <v>0</v>
      </c>
      <c r="BW835" s="590"/>
      <c r="BX835" s="347"/>
      <c r="BY835" s="347"/>
      <c r="BZ835" s="347"/>
      <c r="CA835" s="586"/>
      <c r="CB835" s="581"/>
      <c r="CC835" s="581">
        <f t="shared" si="193"/>
        <v>0</v>
      </c>
      <c r="CD835" s="581"/>
      <c r="CE835" s="581"/>
      <c r="CF835" s="581"/>
      <c r="CG835" s="586"/>
      <c r="CH835" s="608"/>
      <c r="CI835" s="603"/>
      <c r="CJ835" s="347"/>
      <c r="CK835" s="347"/>
      <c r="CL835" s="347"/>
      <c r="CM835" s="347"/>
      <c r="CN835" s="347"/>
      <c r="CO835" s="347"/>
      <c r="CP835" s="347"/>
    </row>
    <row r="836">
      <c r="A836" s="574"/>
      <c r="B836" s="574"/>
      <c r="C836" s="347"/>
      <c r="D836" s="574"/>
      <c r="E836" s="347"/>
      <c r="F836" s="596"/>
      <c r="G836" s="596"/>
      <c r="H836" s="347"/>
      <c r="I836" s="347"/>
      <c r="J836" s="596"/>
      <c r="K836" s="609"/>
      <c r="L836" s="1"/>
      <c r="M836" s="347"/>
      <c r="N836" s="347"/>
      <c r="O836" s="579"/>
      <c r="P836" s="579"/>
      <c r="Q836" s="574"/>
      <c r="R836" s="347"/>
      <c r="S836" s="597"/>
      <c r="T836" s="347"/>
      <c r="U836" s="579"/>
      <c r="V836" s="579"/>
      <c r="W836" s="574"/>
      <c r="X836" s="347"/>
      <c r="Y836" s="347"/>
      <c r="Z836" s="347"/>
      <c r="AA836" s="579"/>
      <c r="AB836" s="581"/>
      <c r="AC836" s="347"/>
      <c r="AD836" s="347"/>
      <c r="AE836" s="347"/>
      <c r="AF836" s="347"/>
      <c r="AG836" s="579"/>
      <c r="AH836" s="579"/>
      <c r="AI836" s="582"/>
      <c r="AJ836" s="582"/>
      <c r="AK836" s="582"/>
      <c r="AL836" s="582"/>
      <c r="AM836" s="579"/>
      <c r="AN836" s="579"/>
      <c r="AO836" s="347"/>
      <c r="AP836" s="586"/>
      <c r="AQ836" s="596"/>
      <c r="AR836" s="596"/>
      <c r="AS836" s="348"/>
      <c r="AT836" s="348"/>
      <c r="AU836" s="348"/>
      <c r="AV836" s="348"/>
      <c r="AW836" s="348"/>
      <c r="AX836" s="584"/>
      <c r="AY836" s="581"/>
      <c r="AZ836" s="581"/>
      <c r="BA836" s="596"/>
      <c r="BB836" s="596"/>
      <c r="BC836" s="348"/>
      <c r="BD836" s="581"/>
      <c r="BE836" s="581"/>
      <c r="BF836" s="347"/>
      <c r="BG836" s="347"/>
      <c r="BH836" s="347"/>
      <c r="BI836" s="347"/>
      <c r="BJ836" s="586"/>
      <c r="BK836" s="581"/>
      <c r="BL836" s="347"/>
      <c r="BM836" s="347"/>
      <c r="BN836" s="347"/>
      <c r="BO836" s="586"/>
      <c r="BP836" s="584"/>
      <c r="BQ836" s="347"/>
      <c r="BR836" s="586"/>
      <c r="BS836" s="588"/>
      <c r="BT836" s="586"/>
      <c r="BU836" s="589"/>
      <c r="BV836" s="581">
        <f t="shared" si="44"/>
        <v>0</v>
      </c>
      <c r="BW836" s="590"/>
      <c r="BX836" s="347"/>
      <c r="BY836" s="347"/>
      <c r="BZ836" s="347"/>
      <c r="CA836" s="586"/>
      <c r="CB836" s="581"/>
      <c r="CC836" s="581">
        <f t="shared" si="193"/>
        <v>0</v>
      </c>
      <c r="CD836" s="581"/>
      <c r="CE836" s="581"/>
      <c r="CF836" s="581"/>
      <c r="CG836" s="586"/>
      <c r="CH836" s="608"/>
      <c r="CI836" s="603"/>
      <c r="CJ836" s="347"/>
      <c r="CK836" s="347"/>
      <c r="CL836" s="347"/>
      <c r="CM836" s="347"/>
      <c r="CN836" s="347"/>
      <c r="CO836" s="347"/>
      <c r="CP836" s="347"/>
    </row>
    <row r="837">
      <c r="A837" s="574"/>
      <c r="B837" s="574"/>
      <c r="C837" s="347"/>
      <c r="D837" s="574"/>
      <c r="E837" s="347"/>
      <c r="F837" s="596"/>
      <c r="G837" s="596"/>
      <c r="H837" s="347"/>
      <c r="I837" s="347"/>
      <c r="J837" s="596"/>
      <c r="K837" s="609"/>
      <c r="L837" s="1"/>
      <c r="M837" s="347"/>
      <c r="N837" s="347"/>
      <c r="O837" s="579"/>
      <c r="P837" s="579"/>
      <c r="Q837" s="574"/>
      <c r="R837" s="347"/>
      <c r="S837" s="597"/>
      <c r="T837" s="347"/>
      <c r="U837" s="579"/>
      <c r="V837" s="579"/>
      <c r="W837" s="574"/>
      <c r="X837" s="347"/>
      <c r="Y837" s="347"/>
      <c r="Z837" s="347"/>
      <c r="AA837" s="579"/>
      <c r="AB837" s="581"/>
      <c r="AC837" s="347"/>
      <c r="AD837" s="347"/>
      <c r="AE837" s="347"/>
      <c r="AF837" s="347"/>
      <c r="AG837" s="579"/>
      <c r="AH837" s="579"/>
      <c r="AI837" s="582"/>
      <c r="AJ837" s="582"/>
      <c r="AK837" s="582"/>
      <c r="AL837" s="582"/>
      <c r="AM837" s="579"/>
      <c r="AN837" s="579"/>
      <c r="AO837" s="347"/>
      <c r="AP837" s="586"/>
      <c r="AQ837" s="596"/>
      <c r="AR837" s="596"/>
      <c r="AS837" s="348"/>
      <c r="AT837" s="348"/>
      <c r="AU837" s="348"/>
      <c r="AV837" s="348"/>
      <c r="AW837" s="348"/>
      <c r="AX837" s="584"/>
      <c r="AY837" s="581"/>
      <c r="AZ837" s="581"/>
      <c r="BA837" s="596"/>
      <c r="BB837" s="596"/>
      <c r="BC837" s="348"/>
      <c r="BD837" s="581"/>
      <c r="BE837" s="581"/>
      <c r="BF837" s="347"/>
      <c r="BG837" s="347"/>
      <c r="BH837" s="347"/>
      <c r="BI837" s="347"/>
      <c r="BJ837" s="586"/>
      <c r="BK837" s="581"/>
      <c r="BL837" s="347"/>
      <c r="BM837" s="347"/>
      <c r="BN837" s="347"/>
      <c r="BO837" s="586"/>
      <c r="BP837" s="584"/>
      <c r="BQ837" s="347"/>
      <c r="BR837" s="586"/>
      <c r="BS837" s="588"/>
      <c r="BT837" s="586"/>
      <c r="BU837" s="589"/>
      <c r="BV837" s="581">
        <f t="shared" si="44"/>
        <v>0</v>
      </c>
      <c r="BW837" s="590"/>
      <c r="BX837" s="347"/>
      <c r="BY837" s="347"/>
      <c r="BZ837" s="347"/>
      <c r="CA837" s="586"/>
      <c r="CB837" s="581"/>
      <c r="CC837" s="581">
        <f t="shared" si="193"/>
        <v>0</v>
      </c>
      <c r="CD837" s="581"/>
      <c r="CE837" s="581"/>
      <c r="CF837" s="581"/>
      <c r="CG837" s="586"/>
      <c r="CH837" s="608"/>
      <c r="CI837" s="603"/>
      <c r="CJ837" s="347"/>
      <c r="CK837" s="347"/>
      <c r="CL837" s="347"/>
      <c r="CM837" s="347"/>
      <c r="CN837" s="347"/>
      <c r="CO837" s="347"/>
      <c r="CP837" s="347"/>
    </row>
    <row r="838">
      <c r="A838" s="574"/>
      <c r="B838" s="574"/>
      <c r="C838" s="347"/>
      <c r="D838" s="574"/>
      <c r="E838" s="347"/>
      <c r="F838" s="596"/>
      <c r="G838" s="596"/>
      <c r="H838" s="347"/>
      <c r="I838" s="347"/>
      <c r="J838" s="596"/>
      <c r="K838" s="609"/>
      <c r="L838" s="1"/>
      <c r="M838" s="347"/>
      <c r="N838" s="347"/>
      <c r="O838" s="579"/>
      <c r="P838" s="579"/>
      <c r="Q838" s="574"/>
      <c r="R838" s="347"/>
      <c r="S838" s="597"/>
      <c r="T838" s="347"/>
      <c r="U838" s="579"/>
      <c r="V838" s="579"/>
      <c r="W838" s="574"/>
      <c r="X838" s="347"/>
      <c r="Y838" s="347"/>
      <c r="Z838" s="347"/>
      <c r="AA838" s="579"/>
      <c r="AB838" s="581"/>
      <c r="AC838" s="347"/>
      <c r="AD838" s="347"/>
      <c r="AE838" s="347"/>
      <c r="AF838" s="347"/>
      <c r="AG838" s="579"/>
      <c r="AH838" s="579"/>
      <c r="AI838" s="582"/>
      <c r="AJ838" s="582"/>
      <c r="AK838" s="582"/>
      <c r="AL838" s="582"/>
      <c r="AM838" s="579"/>
      <c r="AN838" s="579"/>
      <c r="AO838" s="347"/>
      <c r="AP838" s="586"/>
      <c r="AQ838" s="596"/>
      <c r="AR838" s="596"/>
      <c r="AS838" s="348"/>
      <c r="AT838" s="348"/>
      <c r="AU838" s="348"/>
      <c r="AV838" s="348"/>
      <c r="AW838" s="348"/>
      <c r="AX838" s="584"/>
      <c r="AY838" s="581"/>
      <c r="AZ838" s="581"/>
      <c r="BA838" s="596"/>
      <c r="BB838" s="596"/>
      <c r="BC838" s="348"/>
      <c r="BD838" s="581"/>
      <c r="BE838" s="581"/>
      <c r="BF838" s="347"/>
      <c r="BG838" s="347"/>
      <c r="BH838" s="347"/>
      <c r="BI838" s="347"/>
      <c r="BJ838" s="586"/>
      <c r="BK838" s="581"/>
      <c r="BL838" s="347"/>
      <c r="BM838" s="347"/>
      <c r="BN838" s="347"/>
      <c r="BO838" s="586"/>
      <c r="BP838" s="584"/>
      <c r="BQ838" s="347"/>
      <c r="BR838" s="586"/>
      <c r="BS838" s="588"/>
      <c r="BT838" s="586"/>
      <c r="BU838" s="589"/>
      <c r="BV838" s="581">
        <f t="shared" si="44"/>
        <v>0</v>
      </c>
      <c r="BW838" s="590"/>
      <c r="BX838" s="347"/>
      <c r="BY838" s="347"/>
      <c r="BZ838" s="347"/>
      <c r="CA838" s="586"/>
      <c r="CB838" s="581"/>
      <c r="CC838" s="581">
        <f t="shared" si="193"/>
        <v>0</v>
      </c>
      <c r="CD838" s="581"/>
      <c r="CE838" s="581"/>
      <c r="CF838" s="581"/>
      <c r="CG838" s="586"/>
      <c r="CH838" s="608"/>
      <c r="CI838" s="603"/>
      <c r="CJ838" s="347"/>
      <c r="CK838" s="347"/>
      <c r="CL838" s="347"/>
      <c r="CM838" s="347"/>
      <c r="CN838" s="347"/>
      <c r="CO838" s="347"/>
      <c r="CP838" s="347"/>
    </row>
    <row r="839">
      <c r="A839" s="574"/>
      <c r="B839" s="574"/>
      <c r="C839" s="347"/>
      <c r="D839" s="574"/>
      <c r="E839" s="347"/>
      <c r="F839" s="596"/>
      <c r="G839" s="596"/>
      <c r="H839" s="347"/>
      <c r="I839" s="347"/>
      <c r="J839" s="596"/>
      <c r="K839" s="609"/>
      <c r="L839" s="1"/>
      <c r="M839" s="347"/>
      <c r="N839" s="347"/>
      <c r="O839" s="579"/>
      <c r="P839" s="579"/>
      <c r="Q839" s="574"/>
      <c r="R839" s="347"/>
      <c r="S839" s="597"/>
      <c r="T839" s="347"/>
      <c r="U839" s="579"/>
      <c r="V839" s="579"/>
      <c r="W839" s="574"/>
      <c r="X839" s="347"/>
      <c r="Y839" s="347"/>
      <c r="Z839" s="347"/>
      <c r="AA839" s="579"/>
      <c r="AB839" s="581"/>
      <c r="AC839" s="347"/>
      <c r="AD839" s="347"/>
      <c r="AE839" s="347"/>
      <c r="AF839" s="347"/>
      <c r="AG839" s="579"/>
      <c r="AH839" s="579"/>
      <c r="AI839" s="582"/>
      <c r="AJ839" s="582"/>
      <c r="AK839" s="582"/>
      <c r="AL839" s="582"/>
      <c r="AM839" s="579"/>
      <c r="AN839" s="579"/>
      <c r="AO839" s="347"/>
      <c r="AP839" s="586"/>
      <c r="AQ839" s="596"/>
      <c r="AR839" s="596"/>
      <c r="AS839" s="348"/>
      <c r="AT839" s="348"/>
      <c r="AU839" s="348"/>
      <c r="AV839" s="348"/>
      <c r="AW839" s="348"/>
      <c r="AX839" s="584"/>
      <c r="AY839" s="581"/>
      <c r="AZ839" s="581"/>
      <c r="BA839" s="596"/>
      <c r="BB839" s="596"/>
      <c r="BC839" s="348"/>
      <c r="BD839" s="581"/>
      <c r="BE839" s="581"/>
      <c r="BF839" s="347"/>
      <c r="BG839" s="347"/>
      <c r="BH839" s="347"/>
      <c r="BI839" s="347"/>
      <c r="BJ839" s="586"/>
      <c r="BK839" s="581"/>
      <c r="BL839" s="347"/>
      <c r="BM839" s="347"/>
      <c r="BN839" s="347"/>
      <c r="BO839" s="586"/>
      <c r="BP839" s="584"/>
      <c r="BQ839" s="347"/>
      <c r="BR839" s="586"/>
      <c r="BS839" s="588"/>
      <c r="BT839" s="586"/>
      <c r="BU839" s="589"/>
      <c r="BV839" s="581">
        <f t="shared" si="44"/>
        <v>0</v>
      </c>
      <c r="BW839" s="590"/>
      <c r="BX839" s="347"/>
      <c r="BY839" s="347"/>
      <c r="BZ839" s="347"/>
      <c r="CA839" s="586"/>
      <c r="CB839" s="581"/>
      <c r="CC839" s="581">
        <f t="shared" si="193"/>
        <v>0</v>
      </c>
      <c r="CD839" s="581"/>
      <c r="CE839" s="581"/>
      <c r="CF839" s="581"/>
      <c r="CG839" s="586"/>
      <c r="CH839" s="608"/>
      <c r="CI839" s="603"/>
      <c r="CJ839" s="347"/>
      <c r="CK839" s="347"/>
      <c r="CL839" s="347"/>
      <c r="CM839" s="347"/>
      <c r="CN839" s="347"/>
      <c r="CO839" s="347"/>
      <c r="CP839" s="347"/>
    </row>
    <row r="840">
      <c r="A840" s="574"/>
      <c r="B840" s="574"/>
      <c r="C840" s="347"/>
      <c r="D840" s="574"/>
      <c r="E840" s="347"/>
      <c r="F840" s="596"/>
      <c r="G840" s="596"/>
      <c r="H840" s="347"/>
      <c r="I840" s="347"/>
      <c r="J840" s="596"/>
      <c r="K840" s="609"/>
      <c r="L840" s="1"/>
      <c r="M840" s="347"/>
      <c r="N840" s="347"/>
      <c r="O840" s="579"/>
      <c r="P840" s="579"/>
      <c r="Q840" s="574"/>
      <c r="R840" s="347"/>
      <c r="S840" s="597"/>
      <c r="T840" s="347"/>
      <c r="U840" s="579"/>
      <c r="V840" s="579"/>
      <c r="W840" s="574"/>
      <c r="X840" s="347"/>
      <c r="Y840" s="347"/>
      <c r="Z840" s="347"/>
      <c r="AA840" s="579"/>
      <c r="AB840" s="581"/>
      <c r="AC840" s="347"/>
      <c r="AD840" s="347"/>
      <c r="AE840" s="347"/>
      <c r="AF840" s="347"/>
      <c r="AG840" s="579"/>
      <c r="AH840" s="579"/>
      <c r="AI840" s="582"/>
      <c r="AJ840" s="582"/>
      <c r="AK840" s="582"/>
      <c r="AL840" s="582"/>
      <c r="AM840" s="579"/>
      <c r="AN840" s="579"/>
      <c r="AO840" s="347"/>
      <c r="AP840" s="586"/>
      <c r="AQ840" s="596"/>
      <c r="AR840" s="596"/>
      <c r="AS840" s="348"/>
      <c r="AT840" s="348"/>
      <c r="AU840" s="348"/>
      <c r="AV840" s="348"/>
      <c r="AW840" s="348"/>
      <c r="AX840" s="584"/>
      <c r="AY840" s="581"/>
      <c r="AZ840" s="581"/>
      <c r="BA840" s="596"/>
      <c r="BB840" s="596"/>
      <c r="BC840" s="348"/>
      <c r="BD840" s="581"/>
      <c r="BE840" s="581"/>
      <c r="BF840" s="347"/>
      <c r="BG840" s="347"/>
      <c r="BH840" s="347"/>
      <c r="BI840" s="347"/>
      <c r="BJ840" s="586"/>
      <c r="BK840" s="581"/>
      <c r="BL840" s="347"/>
      <c r="BM840" s="347"/>
      <c r="BN840" s="347"/>
      <c r="BO840" s="586"/>
      <c r="BP840" s="584"/>
      <c r="BQ840" s="347"/>
      <c r="BR840" s="586"/>
      <c r="BS840" s="588"/>
      <c r="BT840" s="586"/>
      <c r="BU840" s="589"/>
      <c r="BV840" s="581">
        <f t="shared" si="44"/>
        <v>0</v>
      </c>
      <c r="BW840" s="590"/>
      <c r="BX840" s="347"/>
      <c r="BY840" s="347"/>
      <c r="BZ840" s="347"/>
      <c r="CA840" s="586"/>
      <c r="CB840" s="581"/>
      <c r="CC840" s="581">
        <f t="shared" si="193"/>
        <v>0</v>
      </c>
      <c r="CD840" s="581"/>
      <c r="CE840" s="581"/>
      <c r="CF840" s="581"/>
      <c r="CG840" s="586"/>
      <c r="CH840" s="608"/>
      <c r="CI840" s="603"/>
      <c r="CJ840" s="347"/>
      <c r="CK840" s="347"/>
      <c r="CL840" s="347"/>
      <c r="CM840" s="347"/>
      <c r="CN840" s="347"/>
      <c r="CO840" s="347"/>
      <c r="CP840" s="347"/>
    </row>
    <row r="841">
      <c r="A841" s="574"/>
      <c r="B841" s="574"/>
      <c r="C841" s="347"/>
      <c r="D841" s="574"/>
      <c r="E841" s="347"/>
      <c r="F841" s="596"/>
      <c r="G841" s="596"/>
      <c r="H841" s="347"/>
      <c r="I841" s="347"/>
      <c r="J841" s="596"/>
      <c r="K841" s="609"/>
      <c r="L841" s="1"/>
      <c r="M841" s="347"/>
      <c r="N841" s="347"/>
      <c r="O841" s="579"/>
      <c r="P841" s="579"/>
      <c r="Q841" s="574"/>
      <c r="R841" s="347"/>
      <c r="S841" s="597"/>
      <c r="T841" s="347"/>
      <c r="U841" s="579"/>
      <c r="V841" s="579"/>
      <c r="W841" s="574"/>
      <c r="X841" s="347"/>
      <c r="Y841" s="347"/>
      <c r="Z841" s="347"/>
      <c r="AA841" s="579"/>
      <c r="AB841" s="581"/>
      <c r="AC841" s="347"/>
      <c r="AD841" s="347"/>
      <c r="AE841" s="347"/>
      <c r="AF841" s="347"/>
      <c r="AG841" s="579"/>
      <c r="AH841" s="579"/>
      <c r="AI841" s="582"/>
      <c r="AJ841" s="582"/>
      <c r="AK841" s="582"/>
      <c r="AL841" s="582"/>
      <c r="AM841" s="579"/>
      <c r="AN841" s="579"/>
      <c r="AO841" s="347"/>
      <c r="AP841" s="586"/>
      <c r="AQ841" s="596"/>
      <c r="AR841" s="596"/>
      <c r="AS841" s="348"/>
      <c r="AT841" s="348"/>
      <c r="AU841" s="348"/>
      <c r="AV841" s="348"/>
      <c r="AW841" s="348"/>
      <c r="AX841" s="584"/>
      <c r="AY841" s="581"/>
      <c r="AZ841" s="581"/>
      <c r="BA841" s="596"/>
      <c r="BB841" s="596"/>
      <c r="BC841" s="348"/>
      <c r="BD841" s="581"/>
      <c r="BE841" s="581"/>
      <c r="BF841" s="347"/>
      <c r="BG841" s="347"/>
      <c r="BH841" s="347"/>
      <c r="BI841" s="347"/>
      <c r="BJ841" s="586"/>
      <c r="BK841" s="581"/>
      <c r="BL841" s="347"/>
      <c r="BM841" s="347"/>
      <c r="BN841" s="347"/>
      <c r="BO841" s="586"/>
      <c r="BP841" s="584"/>
      <c r="BQ841" s="347"/>
      <c r="BR841" s="586"/>
      <c r="BS841" s="588"/>
      <c r="BT841" s="586"/>
      <c r="BU841" s="589"/>
      <c r="BV841" s="581">
        <f t="shared" si="44"/>
        <v>0</v>
      </c>
      <c r="BW841" s="590"/>
      <c r="BX841" s="347"/>
      <c r="BY841" s="347"/>
      <c r="BZ841" s="347"/>
      <c r="CA841" s="586"/>
      <c r="CB841" s="581"/>
      <c r="CC841" s="581">
        <f t="shared" si="193"/>
        <v>0</v>
      </c>
      <c r="CD841" s="581"/>
      <c r="CE841" s="581"/>
      <c r="CF841" s="581"/>
      <c r="CG841" s="586"/>
      <c r="CH841" s="608"/>
      <c r="CI841" s="603"/>
      <c r="CJ841" s="347"/>
      <c r="CK841" s="347"/>
      <c r="CL841" s="347"/>
      <c r="CM841" s="347"/>
      <c r="CN841" s="347"/>
      <c r="CO841" s="347"/>
      <c r="CP841" s="347"/>
    </row>
    <row r="842">
      <c r="A842" s="574"/>
      <c r="B842" s="574"/>
      <c r="C842" s="347"/>
      <c r="D842" s="574"/>
      <c r="E842" s="347"/>
      <c r="F842" s="596"/>
      <c r="G842" s="596"/>
      <c r="H842" s="347"/>
      <c r="I842" s="347"/>
      <c r="J842" s="596"/>
      <c r="K842" s="609"/>
      <c r="L842" s="1"/>
      <c r="M842" s="347"/>
      <c r="N842" s="347"/>
      <c r="O842" s="579"/>
      <c r="P842" s="579"/>
      <c r="Q842" s="574"/>
      <c r="R842" s="347"/>
      <c r="S842" s="597"/>
      <c r="T842" s="347"/>
      <c r="U842" s="579"/>
      <c r="V842" s="579"/>
      <c r="W842" s="574"/>
      <c r="X842" s="347"/>
      <c r="Y842" s="347"/>
      <c r="Z842" s="347"/>
      <c r="AA842" s="579"/>
      <c r="AB842" s="581"/>
      <c r="AC842" s="347"/>
      <c r="AD842" s="347"/>
      <c r="AE842" s="347"/>
      <c r="AF842" s="347"/>
      <c r="AG842" s="579"/>
      <c r="AH842" s="579"/>
      <c r="AI842" s="582"/>
      <c r="AJ842" s="582"/>
      <c r="AK842" s="582"/>
      <c r="AL842" s="582"/>
      <c r="AM842" s="579"/>
      <c r="AN842" s="579"/>
      <c r="AO842" s="347"/>
      <c r="AP842" s="586"/>
      <c r="AQ842" s="596"/>
      <c r="AR842" s="596"/>
      <c r="AS842" s="348"/>
      <c r="AT842" s="348"/>
      <c r="AU842" s="348"/>
      <c r="AV842" s="348"/>
      <c r="AW842" s="348"/>
      <c r="AX842" s="584"/>
      <c r="AY842" s="581"/>
      <c r="AZ842" s="581"/>
      <c r="BA842" s="596"/>
      <c r="BB842" s="596"/>
      <c r="BC842" s="348"/>
      <c r="BD842" s="581"/>
      <c r="BE842" s="581"/>
      <c r="BF842" s="347"/>
      <c r="BG842" s="347"/>
      <c r="BH842" s="347"/>
      <c r="BI842" s="347"/>
      <c r="BJ842" s="586"/>
      <c r="BK842" s="581"/>
      <c r="BL842" s="347"/>
      <c r="BM842" s="347"/>
      <c r="BN842" s="347"/>
      <c r="BO842" s="586"/>
      <c r="BP842" s="584"/>
      <c r="BQ842" s="347"/>
      <c r="BR842" s="586"/>
      <c r="BS842" s="588"/>
      <c r="BT842" s="586"/>
      <c r="BU842" s="589"/>
      <c r="BV842" s="581">
        <f t="shared" si="44"/>
        <v>0</v>
      </c>
      <c r="BW842" s="590"/>
      <c r="BX842" s="347"/>
      <c r="BY842" s="347"/>
      <c r="BZ842" s="347"/>
      <c r="CA842" s="586"/>
      <c r="CB842" s="581"/>
      <c r="CC842" s="581">
        <f t="shared" si="193"/>
        <v>0</v>
      </c>
      <c r="CD842" s="581"/>
      <c r="CE842" s="581"/>
      <c r="CF842" s="581"/>
      <c r="CG842" s="586"/>
      <c r="CH842" s="608"/>
      <c r="CI842" s="603"/>
      <c r="CJ842" s="347"/>
      <c r="CK842" s="347"/>
      <c r="CL842" s="347"/>
      <c r="CM842" s="347"/>
      <c r="CN842" s="347"/>
      <c r="CO842" s="347"/>
      <c r="CP842" s="347"/>
    </row>
    <row r="843">
      <c r="A843" s="574"/>
      <c r="B843" s="574"/>
      <c r="C843" s="347"/>
      <c r="D843" s="574"/>
      <c r="E843" s="347"/>
      <c r="F843" s="596"/>
      <c r="G843" s="596"/>
      <c r="H843" s="347"/>
      <c r="I843" s="347"/>
      <c r="J843" s="596"/>
      <c r="K843" s="609"/>
      <c r="L843" s="1"/>
      <c r="M843" s="347"/>
      <c r="N843" s="347"/>
      <c r="O843" s="579"/>
      <c r="P843" s="579"/>
      <c r="Q843" s="574"/>
      <c r="R843" s="347"/>
      <c r="S843" s="597"/>
      <c r="T843" s="347"/>
      <c r="U843" s="579"/>
      <c r="V843" s="579"/>
      <c r="W843" s="574"/>
      <c r="X843" s="347"/>
      <c r="Y843" s="347"/>
      <c r="Z843" s="347"/>
      <c r="AA843" s="579"/>
      <c r="AB843" s="581"/>
      <c r="AC843" s="347"/>
      <c r="AD843" s="347"/>
      <c r="AE843" s="347"/>
      <c r="AF843" s="347"/>
      <c r="AG843" s="579"/>
      <c r="AH843" s="579"/>
      <c r="AI843" s="582"/>
      <c r="AJ843" s="582"/>
      <c r="AK843" s="582"/>
      <c r="AL843" s="582"/>
      <c r="AM843" s="579"/>
      <c r="AN843" s="579"/>
      <c r="AO843" s="347"/>
      <c r="AP843" s="586"/>
      <c r="AQ843" s="596"/>
      <c r="AR843" s="596"/>
      <c r="AS843" s="348"/>
      <c r="AT843" s="348"/>
      <c r="AU843" s="348"/>
      <c r="AV843" s="348"/>
      <c r="AW843" s="348"/>
      <c r="AX843" s="584"/>
      <c r="AY843" s="581"/>
      <c r="AZ843" s="581"/>
      <c r="BA843" s="596"/>
      <c r="BB843" s="596"/>
      <c r="BC843" s="348"/>
      <c r="BD843" s="581"/>
      <c r="BE843" s="581"/>
      <c r="BF843" s="347"/>
      <c r="BG843" s="347"/>
      <c r="BH843" s="347"/>
      <c r="BI843" s="347"/>
      <c r="BJ843" s="586"/>
      <c r="BK843" s="581"/>
      <c r="BL843" s="347"/>
      <c r="BM843" s="347"/>
      <c r="BN843" s="347"/>
      <c r="BO843" s="586"/>
      <c r="BP843" s="584"/>
      <c r="BQ843" s="347"/>
      <c r="BR843" s="586"/>
      <c r="BS843" s="588"/>
      <c r="BT843" s="586"/>
      <c r="BU843" s="589"/>
      <c r="BV843" s="581">
        <f t="shared" si="44"/>
        <v>0</v>
      </c>
      <c r="BW843" s="590"/>
      <c r="BX843" s="347"/>
      <c r="BY843" s="347"/>
      <c r="BZ843" s="347"/>
      <c r="CA843" s="586"/>
      <c r="CB843" s="581"/>
      <c r="CC843" s="581">
        <f t="shared" si="193"/>
        <v>0</v>
      </c>
      <c r="CD843" s="581"/>
      <c r="CE843" s="581"/>
      <c r="CF843" s="581"/>
      <c r="CG843" s="586"/>
      <c r="CH843" s="608"/>
      <c r="CI843" s="603"/>
      <c r="CJ843" s="347"/>
      <c r="CK843" s="347"/>
      <c r="CL843" s="347"/>
      <c r="CM843" s="347"/>
      <c r="CN843" s="347"/>
      <c r="CO843" s="347"/>
      <c r="CP843" s="347"/>
    </row>
    <row r="844">
      <c r="A844" s="574"/>
      <c r="B844" s="574"/>
      <c r="C844" s="347"/>
      <c r="D844" s="574"/>
      <c r="E844" s="347"/>
      <c r="F844" s="596"/>
      <c r="G844" s="596"/>
      <c r="H844" s="347"/>
      <c r="I844" s="347"/>
      <c r="J844" s="596"/>
      <c r="K844" s="609"/>
      <c r="L844" s="1"/>
      <c r="M844" s="347"/>
      <c r="N844" s="347"/>
      <c r="O844" s="579"/>
      <c r="P844" s="579"/>
      <c r="Q844" s="574"/>
      <c r="R844" s="347"/>
      <c r="S844" s="597"/>
      <c r="T844" s="347"/>
      <c r="U844" s="579"/>
      <c r="V844" s="579"/>
      <c r="W844" s="574"/>
      <c r="X844" s="347"/>
      <c r="Y844" s="347"/>
      <c r="Z844" s="347"/>
      <c r="AA844" s="579"/>
      <c r="AB844" s="581"/>
      <c r="AC844" s="347"/>
      <c r="AD844" s="347"/>
      <c r="AE844" s="347"/>
      <c r="AF844" s="347"/>
      <c r="AG844" s="579"/>
      <c r="AH844" s="579"/>
      <c r="AI844" s="582"/>
      <c r="AJ844" s="582"/>
      <c r="AK844" s="582"/>
      <c r="AL844" s="582"/>
      <c r="AM844" s="579"/>
      <c r="AN844" s="579"/>
      <c r="AO844" s="347"/>
      <c r="AP844" s="586"/>
      <c r="AQ844" s="596"/>
      <c r="AR844" s="596"/>
      <c r="AS844" s="348"/>
      <c r="AT844" s="348"/>
      <c r="AU844" s="348"/>
      <c r="AV844" s="348"/>
      <c r="AW844" s="348"/>
      <c r="AX844" s="584"/>
      <c r="AY844" s="581"/>
      <c r="AZ844" s="581"/>
      <c r="BA844" s="596"/>
      <c r="BB844" s="596"/>
      <c r="BC844" s="348"/>
      <c r="BD844" s="581"/>
      <c r="BE844" s="581"/>
      <c r="BF844" s="347"/>
      <c r="BG844" s="347"/>
      <c r="BH844" s="347"/>
      <c r="BI844" s="347"/>
      <c r="BJ844" s="586"/>
      <c r="BK844" s="581"/>
      <c r="BL844" s="347"/>
      <c r="BM844" s="347"/>
      <c r="BN844" s="347"/>
      <c r="BO844" s="586"/>
      <c r="BP844" s="584"/>
      <c r="BQ844" s="347"/>
      <c r="BR844" s="586"/>
      <c r="BS844" s="588"/>
      <c r="BT844" s="586"/>
      <c r="BU844" s="589"/>
      <c r="BV844" s="581">
        <f t="shared" si="44"/>
        <v>0</v>
      </c>
      <c r="BW844" s="590"/>
      <c r="BX844" s="347"/>
      <c r="BY844" s="347"/>
      <c r="BZ844" s="347"/>
      <c r="CA844" s="586"/>
      <c r="CB844" s="581"/>
      <c r="CC844" s="581">
        <f t="shared" si="193"/>
        <v>0</v>
      </c>
      <c r="CD844" s="581"/>
      <c r="CE844" s="581"/>
      <c r="CF844" s="581"/>
      <c r="CG844" s="586"/>
      <c r="CH844" s="608"/>
      <c r="CI844" s="603"/>
      <c r="CJ844" s="347"/>
      <c r="CK844" s="347"/>
      <c r="CL844" s="347"/>
      <c r="CM844" s="347"/>
      <c r="CN844" s="347"/>
      <c r="CO844" s="347"/>
      <c r="CP844" s="347"/>
    </row>
    <row r="845">
      <c r="A845" s="574"/>
      <c r="B845" s="574"/>
      <c r="C845" s="347"/>
      <c r="D845" s="574"/>
      <c r="E845" s="347"/>
      <c r="F845" s="596"/>
      <c r="G845" s="596"/>
      <c r="H845" s="347"/>
      <c r="I845" s="347"/>
      <c r="J845" s="596"/>
      <c r="K845" s="609"/>
      <c r="L845" s="1"/>
      <c r="M845" s="347"/>
      <c r="N845" s="347"/>
      <c r="O845" s="579"/>
      <c r="P845" s="579"/>
      <c r="Q845" s="574"/>
      <c r="R845" s="347"/>
      <c r="S845" s="597"/>
      <c r="T845" s="347"/>
      <c r="U845" s="579"/>
      <c r="V845" s="579"/>
      <c r="W845" s="574"/>
      <c r="X845" s="347"/>
      <c r="Y845" s="347"/>
      <c r="Z845" s="347"/>
      <c r="AA845" s="579"/>
      <c r="AB845" s="581"/>
      <c r="AC845" s="347"/>
      <c r="AD845" s="347"/>
      <c r="AE845" s="347"/>
      <c r="AF845" s="347"/>
      <c r="AG845" s="579"/>
      <c r="AH845" s="579"/>
      <c r="AI845" s="582"/>
      <c r="AJ845" s="582"/>
      <c r="AK845" s="582"/>
      <c r="AL845" s="582"/>
      <c r="AM845" s="579"/>
      <c r="AN845" s="579"/>
      <c r="AO845" s="347"/>
      <c r="AP845" s="586"/>
      <c r="AQ845" s="596"/>
      <c r="AR845" s="596"/>
      <c r="AS845" s="348"/>
      <c r="AT845" s="348"/>
      <c r="AU845" s="348"/>
      <c r="AV845" s="348"/>
      <c r="AW845" s="348"/>
      <c r="AX845" s="584"/>
      <c r="AY845" s="581"/>
      <c r="AZ845" s="581"/>
      <c r="BA845" s="596"/>
      <c r="BB845" s="596"/>
      <c r="BC845" s="348"/>
      <c r="BD845" s="581"/>
      <c r="BE845" s="581"/>
      <c r="BF845" s="347"/>
      <c r="BG845" s="347"/>
      <c r="BH845" s="347"/>
      <c r="BI845" s="347"/>
      <c r="BJ845" s="586"/>
      <c r="BK845" s="581"/>
      <c r="BL845" s="347"/>
      <c r="BM845" s="347"/>
      <c r="BN845" s="347"/>
      <c r="BO845" s="586"/>
      <c r="BP845" s="584"/>
      <c r="BQ845" s="347"/>
      <c r="BR845" s="586"/>
      <c r="BS845" s="588"/>
      <c r="BT845" s="586"/>
      <c r="BU845" s="589"/>
      <c r="BV845" s="581">
        <f t="shared" si="44"/>
        <v>0</v>
      </c>
      <c r="BW845" s="590"/>
      <c r="BX845" s="347"/>
      <c r="BY845" s="347"/>
      <c r="BZ845" s="347"/>
      <c r="CA845" s="586"/>
      <c r="CB845" s="581"/>
      <c r="CC845" s="581">
        <f t="shared" si="193"/>
        <v>0</v>
      </c>
      <c r="CD845" s="581"/>
      <c r="CE845" s="581"/>
      <c r="CF845" s="581"/>
      <c r="CG845" s="586"/>
      <c r="CH845" s="608"/>
      <c r="CI845" s="603"/>
      <c r="CJ845" s="347"/>
      <c r="CK845" s="347"/>
      <c r="CL845" s="347"/>
      <c r="CM845" s="347"/>
      <c r="CN845" s="347"/>
      <c r="CO845" s="347"/>
      <c r="CP845" s="347"/>
    </row>
    <row r="846">
      <c r="A846" s="574"/>
      <c r="B846" s="574"/>
      <c r="C846" s="347"/>
      <c r="D846" s="574"/>
      <c r="E846" s="347"/>
      <c r="F846" s="596"/>
      <c r="G846" s="596"/>
      <c r="H846" s="347"/>
      <c r="I846" s="347"/>
      <c r="J846" s="596"/>
      <c r="K846" s="609"/>
      <c r="L846" s="1"/>
      <c r="M846" s="347"/>
      <c r="N846" s="347"/>
      <c r="O846" s="579"/>
      <c r="P846" s="579"/>
      <c r="Q846" s="574"/>
      <c r="R846" s="347"/>
      <c r="S846" s="597"/>
      <c r="T846" s="347"/>
      <c r="U846" s="579"/>
      <c r="V846" s="579"/>
      <c r="W846" s="574"/>
      <c r="X846" s="347"/>
      <c r="Y846" s="347"/>
      <c r="Z846" s="347"/>
      <c r="AA846" s="579"/>
      <c r="AB846" s="581"/>
      <c r="AC846" s="347"/>
      <c r="AD846" s="347"/>
      <c r="AE846" s="347"/>
      <c r="AF846" s="347"/>
      <c r="AG846" s="579"/>
      <c r="AH846" s="579"/>
      <c r="AI846" s="582"/>
      <c r="AJ846" s="582"/>
      <c r="AK846" s="582"/>
      <c r="AL846" s="582"/>
      <c r="AM846" s="579"/>
      <c r="AN846" s="579"/>
      <c r="AO846" s="347"/>
      <c r="AP846" s="586"/>
      <c r="AQ846" s="596"/>
      <c r="AR846" s="596"/>
      <c r="AS846" s="348"/>
      <c r="AT846" s="348"/>
      <c r="AU846" s="348"/>
      <c r="AV846" s="348"/>
      <c r="AW846" s="348"/>
      <c r="AX846" s="584"/>
      <c r="AY846" s="581"/>
      <c r="AZ846" s="581"/>
      <c r="BA846" s="596"/>
      <c r="BB846" s="596"/>
      <c r="BC846" s="348"/>
      <c r="BD846" s="581"/>
      <c r="BE846" s="581"/>
      <c r="BF846" s="347"/>
      <c r="BG846" s="347"/>
      <c r="BH846" s="347"/>
      <c r="BI846" s="347"/>
      <c r="BJ846" s="586"/>
      <c r="BK846" s="581"/>
      <c r="BL846" s="347"/>
      <c r="BM846" s="347"/>
      <c r="BN846" s="347"/>
      <c r="BO846" s="586"/>
      <c r="BP846" s="584"/>
      <c r="BQ846" s="347"/>
      <c r="BR846" s="586"/>
      <c r="BS846" s="588"/>
      <c r="BT846" s="586"/>
      <c r="BU846" s="589"/>
      <c r="BV846" s="581">
        <f t="shared" si="44"/>
        <v>0</v>
      </c>
      <c r="BW846" s="590"/>
      <c r="BX846" s="347"/>
      <c r="BY846" s="347"/>
      <c r="BZ846" s="347"/>
      <c r="CA846" s="586"/>
      <c r="CB846" s="581"/>
      <c r="CC846" s="581">
        <f t="shared" si="193"/>
        <v>0</v>
      </c>
      <c r="CD846" s="581"/>
      <c r="CE846" s="581"/>
      <c r="CF846" s="581"/>
      <c r="CG846" s="586"/>
      <c r="CH846" s="608"/>
      <c r="CI846" s="603"/>
      <c r="CJ846" s="347"/>
      <c r="CK846" s="347"/>
      <c r="CL846" s="347"/>
      <c r="CM846" s="347"/>
      <c r="CN846" s="347"/>
      <c r="CO846" s="347"/>
      <c r="CP846" s="347"/>
    </row>
    <row r="847">
      <c r="A847" s="574"/>
      <c r="B847" s="574"/>
      <c r="C847" s="347"/>
      <c r="D847" s="574"/>
      <c r="E847" s="347"/>
      <c r="F847" s="596"/>
      <c r="G847" s="596"/>
      <c r="H847" s="347"/>
      <c r="I847" s="347"/>
      <c r="J847" s="596"/>
      <c r="K847" s="609"/>
      <c r="L847" s="1"/>
      <c r="M847" s="347"/>
      <c r="N847" s="347"/>
      <c r="O847" s="579"/>
      <c r="P847" s="579"/>
      <c r="Q847" s="574"/>
      <c r="R847" s="347"/>
      <c r="S847" s="597"/>
      <c r="T847" s="347"/>
      <c r="U847" s="579"/>
      <c r="V847" s="579"/>
      <c r="W847" s="574"/>
      <c r="X847" s="347"/>
      <c r="Y847" s="347"/>
      <c r="Z847" s="347"/>
      <c r="AA847" s="579"/>
      <c r="AB847" s="581"/>
      <c r="AC847" s="347"/>
      <c r="AD847" s="347"/>
      <c r="AE847" s="347"/>
      <c r="AF847" s="347"/>
      <c r="AG847" s="579"/>
      <c r="AH847" s="579"/>
      <c r="AI847" s="582"/>
      <c r="AJ847" s="582"/>
      <c r="AK847" s="582"/>
      <c r="AL847" s="582"/>
      <c r="AM847" s="579"/>
      <c r="AN847" s="579"/>
      <c r="AO847" s="347"/>
      <c r="AP847" s="586"/>
      <c r="AQ847" s="596"/>
      <c r="AR847" s="596"/>
      <c r="AS847" s="348"/>
      <c r="AT847" s="348"/>
      <c r="AU847" s="348"/>
      <c r="AV847" s="348"/>
      <c r="AW847" s="348"/>
      <c r="AX847" s="584"/>
      <c r="AY847" s="581"/>
      <c r="AZ847" s="581"/>
      <c r="BA847" s="596"/>
      <c r="BB847" s="596"/>
      <c r="BC847" s="348"/>
      <c r="BD847" s="581"/>
      <c r="BE847" s="581"/>
      <c r="BF847" s="347"/>
      <c r="BG847" s="347"/>
      <c r="BH847" s="347"/>
      <c r="BI847" s="347"/>
      <c r="BJ847" s="586"/>
      <c r="BK847" s="581"/>
      <c r="BL847" s="347"/>
      <c r="BM847" s="347"/>
      <c r="BN847" s="347"/>
      <c r="BO847" s="586"/>
      <c r="BP847" s="584"/>
      <c r="BQ847" s="347"/>
      <c r="BR847" s="586"/>
      <c r="BS847" s="588"/>
      <c r="BT847" s="586"/>
      <c r="BU847" s="589"/>
      <c r="BV847" s="581">
        <f t="shared" si="44"/>
        <v>0</v>
      </c>
      <c r="BW847" s="590"/>
      <c r="BX847" s="347"/>
      <c r="BY847" s="347"/>
      <c r="BZ847" s="347"/>
      <c r="CA847" s="586"/>
      <c r="CB847" s="581"/>
      <c r="CC847" s="581">
        <f t="shared" si="193"/>
        <v>0</v>
      </c>
      <c r="CD847" s="581"/>
      <c r="CE847" s="581"/>
      <c r="CF847" s="581"/>
      <c r="CG847" s="586"/>
      <c r="CH847" s="608"/>
      <c r="CI847" s="603"/>
      <c r="CJ847" s="347"/>
      <c r="CK847" s="347"/>
      <c r="CL847" s="347"/>
      <c r="CM847" s="347"/>
      <c r="CN847" s="347"/>
      <c r="CO847" s="347"/>
      <c r="CP847" s="347"/>
    </row>
    <row r="848">
      <c r="A848" s="574"/>
      <c r="B848" s="574"/>
      <c r="C848" s="347"/>
      <c r="D848" s="574"/>
      <c r="E848" s="347"/>
      <c r="F848" s="596"/>
      <c r="G848" s="596"/>
      <c r="H848" s="347"/>
      <c r="I848" s="347"/>
      <c r="J848" s="596"/>
      <c r="K848" s="609"/>
      <c r="L848" s="1"/>
      <c r="M848" s="347"/>
      <c r="N848" s="347"/>
      <c r="O848" s="579"/>
      <c r="P848" s="579"/>
      <c r="Q848" s="574"/>
      <c r="R848" s="347"/>
      <c r="S848" s="597"/>
      <c r="T848" s="347"/>
      <c r="U848" s="579"/>
      <c r="V848" s="579"/>
      <c r="W848" s="574"/>
      <c r="X848" s="347"/>
      <c r="Y848" s="347"/>
      <c r="Z848" s="347"/>
      <c r="AA848" s="579"/>
      <c r="AB848" s="581"/>
      <c r="AC848" s="347"/>
      <c r="AD848" s="347"/>
      <c r="AE848" s="347"/>
      <c r="AF848" s="347"/>
      <c r="AG848" s="579"/>
      <c r="AH848" s="579"/>
      <c r="AI848" s="582"/>
      <c r="AJ848" s="582"/>
      <c r="AK848" s="582"/>
      <c r="AL848" s="582"/>
      <c r="AM848" s="579"/>
      <c r="AN848" s="579"/>
      <c r="AO848" s="347"/>
      <c r="AP848" s="586"/>
      <c r="AQ848" s="596"/>
      <c r="AR848" s="596"/>
      <c r="AS848" s="348"/>
      <c r="AT848" s="348"/>
      <c r="AU848" s="348"/>
      <c r="AV848" s="348"/>
      <c r="AW848" s="348"/>
      <c r="AX848" s="584"/>
      <c r="AY848" s="581"/>
      <c r="AZ848" s="581"/>
      <c r="BA848" s="596"/>
      <c r="BB848" s="596"/>
      <c r="BC848" s="348"/>
      <c r="BD848" s="581"/>
      <c r="BE848" s="581"/>
      <c r="BF848" s="347"/>
      <c r="BG848" s="347"/>
      <c r="BH848" s="347"/>
      <c r="BI848" s="347"/>
      <c r="BJ848" s="586"/>
      <c r="BK848" s="581"/>
      <c r="BL848" s="347"/>
      <c r="BM848" s="347"/>
      <c r="BN848" s="347"/>
      <c r="BO848" s="586"/>
      <c r="BP848" s="584"/>
      <c r="BQ848" s="347"/>
      <c r="BR848" s="586"/>
      <c r="BS848" s="588"/>
      <c r="BT848" s="586"/>
      <c r="BU848" s="589"/>
      <c r="BV848" s="581">
        <f t="shared" si="44"/>
        <v>0</v>
      </c>
      <c r="BW848" s="590"/>
      <c r="BX848" s="347"/>
      <c r="BY848" s="347"/>
      <c r="BZ848" s="347"/>
      <c r="CA848" s="586"/>
      <c r="CB848" s="581"/>
      <c r="CC848" s="581">
        <f t="shared" si="193"/>
        <v>0</v>
      </c>
      <c r="CD848" s="581"/>
      <c r="CE848" s="581"/>
      <c r="CF848" s="581"/>
      <c r="CG848" s="586"/>
      <c r="CH848" s="608"/>
      <c r="CI848" s="603"/>
      <c r="CJ848" s="347"/>
      <c r="CK848" s="347"/>
      <c r="CL848" s="347"/>
      <c r="CM848" s="347"/>
      <c r="CN848" s="347"/>
      <c r="CO848" s="347"/>
      <c r="CP848" s="347"/>
    </row>
    <row r="849">
      <c r="A849" s="574"/>
      <c r="B849" s="574"/>
      <c r="C849" s="347"/>
      <c r="D849" s="574"/>
      <c r="E849" s="347"/>
      <c r="F849" s="596"/>
      <c r="G849" s="596"/>
      <c r="H849" s="347"/>
      <c r="I849" s="347"/>
      <c r="J849" s="596"/>
      <c r="K849" s="609"/>
      <c r="L849" s="1"/>
      <c r="M849" s="347"/>
      <c r="N849" s="347"/>
      <c r="O849" s="579"/>
      <c r="P849" s="579"/>
      <c r="Q849" s="574"/>
      <c r="R849" s="347"/>
      <c r="S849" s="597"/>
      <c r="T849" s="347"/>
      <c r="U849" s="579"/>
      <c r="V849" s="579"/>
      <c r="W849" s="574"/>
      <c r="X849" s="347"/>
      <c r="Y849" s="347"/>
      <c r="Z849" s="347"/>
      <c r="AA849" s="579"/>
      <c r="AB849" s="581"/>
      <c r="AC849" s="347"/>
      <c r="AD849" s="347"/>
      <c r="AE849" s="347"/>
      <c r="AF849" s="347"/>
      <c r="AG849" s="579"/>
      <c r="AH849" s="579"/>
      <c r="AI849" s="582"/>
      <c r="AJ849" s="582"/>
      <c r="AK849" s="582"/>
      <c r="AL849" s="582"/>
      <c r="AM849" s="579"/>
      <c r="AN849" s="579"/>
      <c r="AO849" s="347"/>
      <c r="AP849" s="586"/>
      <c r="AQ849" s="596"/>
      <c r="AR849" s="596"/>
      <c r="AS849" s="348"/>
      <c r="AT849" s="348"/>
      <c r="AU849" s="348"/>
      <c r="AV849" s="348"/>
      <c r="AW849" s="348"/>
      <c r="AX849" s="584"/>
      <c r="AY849" s="581"/>
      <c r="AZ849" s="581"/>
      <c r="BA849" s="596"/>
      <c r="BB849" s="596"/>
      <c r="BC849" s="348"/>
      <c r="BD849" s="581"/>
      <c r="BE849" s="581"/>
      <c r="BF849" s="347"/>
      <c r="BG849" s="347"/>
      <c r="BH849" s="347"/>
      <c r="BI849" s="347"/>
      <c r="BJ849" s="586"/>
      <c r="BK849" s="581"/>
      <c r="BL849" s="347"/>
      <c r="BM849" s="347"/>
      <c r="BN849" s="347"/>
      <c r="BO849" s="586"/>
      <c r="BP849" s="584"/>
      <c r="BQ849" s="347"/>
      <c r="BR849" s="586"/>
      <c r="BS849" s="588"/>
      <c r="BT849" s="586"/>
      <c r="BU849" s="589"/>
      <c r="BV849" s="581">
        <f t="shared" si="44"/>
        <v>0</v>
      </c>
      <c r="BW849" s="590"/>
      <c r="BX849" s="347"/>
      <c r="BY849" s="347"/>
      <c r="BZ849" s="347"/>
      <c r="CA849" s="586"/>
      <c r="CB849" s="581"/>
      <c r="CC849" s="581">
        <f t="shared" si="193"/>
        <v>0</v>
      </c>
      <c r="CD849" s="581"/>
      <c r="CE849" s="581"/>
      <c r="CF849" s="581"/>
      <c r="CG849" s="586"/>
      <c r="CH849" s="608"/>
      <c r="CI849" s="603"/>
      <c r="CJ849" s="347"/>
      <c r="CK849" s="347"/>
      <c r="CL849" s="347"/>
      <c r="CM849" s="347"/>
      <c r="CN849" s="347"/>
      <c r="CO849" s="347"/>
      <c r="CP849" s="347"/>
    </row>
    <row r="850">
      <c r="A850" s="574"/>
      <c r="B850" s="574"/>
      <c r="C850" s="347"/>
      <c r="D850" s="574"/>
      <c r="E850" s="347"/>
      <c r="F850" s="596"/>
      <c r="G850" s="596"/>
      <c r="H850" s="347"/>
      <c r="I850" s="347"/>
      <c r="J850" s="596"/>
      <c r="K850" s="609"/>
      <c r="L850" s="1"/>
      <c r="M850" s="347"/>
      <c r="N850" s="347"/>
      <c r="O850" s="579"/>
      <c r="P850" s="579"/>
      <c r="Q850" s="574"/>
      <c r="R850" s="347"/>
      <c r="S850" s="597"/>
      <c r="T850" s="347"/>
      <c r="U850" s="579"/>
      <c r="V850" s="579"/>
      <c r="W850" s="574"/>
      <c r="X850" s="347"/>
      <c r="Y850" s="347"/>
      <c r="Z850" s="347"/>
      <c r="AA850" s="579"/>
      <c r="AB850" s="581"/>
      <c r="AC850" s="347"/>
      <c r="AD850" s="347"/>
      <c r="AE850" s="347"/>
      <c r="AF850" s="347"/>
      <c r="AG850" s="579"/>
      <c r="AH850" s="579"/>
      <c r="AI850" s="582"/>
      <c r="AJ850" s="582"/>
      <c r="AK850" s="582"/>
      <c r="AL850" s="582"/>
      <c r="AM850" s="579"/>
      <c r="AN850" s="579"/>
      <c r="AO850" s="347"/>
      <c r="AP850" s="586"/>
      <c r="AQ850" s="596"/>
      <c r="AR850" s="596"/>
      <c r="AS850" s="348"/>
      <c r="AT850" s="348"/>
      <c r="AU850" s="348"/>
      <c r="AV850" s="348"/>
      <c r="AW850" s="348"/>
      <c r="AX850" s="584"/>
      <c r="AY850" s="581"/>
      <c r="AZ850" s="581"/>
      <c r="BA850" s="596"/>
      <c r="BB850" s="596"/>
      <c r="BC850" s="348"/>
      <c r="BD850" s="581"/>
      <c r="BE850" s="581"/>
      <c r="BF850" s="347"/>
      <c r="BG850" s="347"/>
      <c r="BH850" s="347"/>
      <c r="BI850" s="347"/>
      <c r="BJ850" s="586"/>
      <c r="BK850" s="581"/>
      <c r="BL850" s="347"/>
      <c r="BM850" s="347"/>
      <c r="BN850" s="347"/>
      <c r="BO850" s="586"/>
      <c r="BP850" s="584"/>
      <c r="BQ850" s="347"/>
      <c r="BR850" s="586"/>
      <c r="BS850" s="588"/>
      <c r="BT850" s="586"/>
      <c r="BU850" s="589"/>
      <c r="BV850" s="581">
        <f t="shared" si="44"/>
        <v>0</v>
      </c>
      <c r="BW850" s="590"/>
      <c r="BX850" s="347"/>
      <c r="BY850" s="347"/>
      <c r="BZ850" s="347"/>
      <c r="CA850" s="586"/>
      <c r="CB850" s="581"/>
      <c r="CC850" s="581">
        <f t="shared" si="193"/>
        <v>0</v>
      </c>
      <c r="CD850" s="581"/>
      <c r="CE850" s="581"/>
      <c r="CF850" s="581"/>
      <c r="CG850" s="586"/>
      <c r="CH850" s="608"/>
      <c r="CI850" s="603"/>
      <c r="CJ850" s="347"/>
      <c r="CK850" s="347"/>
      <c r="CL850" s="347"/>
      <c r="CM850" s="347"/>
      <c r="CN850" s="347"/>
      <c r="CO850" s="347"/>
      <c r="CP850" s="347"/>
    </row>
    <row r="851">
      <c r="A851" s="574"/>
      <c r="B851" s="574"/>
      <c r="C851" s="347"/>
      <c r="D851" s="574"/>
      <c r="E851" s="347"/>
      <c r="F851" s="596"/>
      <c r="G851" s="596"/>
      <c r="H851" s="347"/>
      <c r="I851" s="347"/>
      <c r="J851" s="596"/>
      <c r="K851" s="609"/>
      <c r="L851" s="1"/>
      <c r="M851" s="347"/>
      <c r="N851" s="347"/>
      <c r="O851" s="579"/>
      <c r="P851" s="579"/>
      <c r="Q851" s="574"/>
      <c r="R851" s="347"/>
      <c r="S851" s="597"/>
      <c r="T851" s="347"/>
      <c r="U851" s="579"/>
      <c r="V851" s="579"/>
      <c r="W851" s="574"/>
      <c r="X851" s="347"/>
      <c r="Y851" s="347"/>
      <c r="Z851" s="347"/>
      <c r="AA851" s="579"/>
      <c r="AB851" s="581"/>
      <c r="AC851" s="347"/>
      <c r="AD851" s="347"/>
      <c r="AE851" s="347"/>
      <c r="AF851" s="347"/>
      <c r="AG851" s="579"/>
      <c r="AH851" s="579"/>
      <c r="AI851" s="582"/>
      <c r="AJ851" s="582"/>
      <c r="AK851" s="582"/>
      <c r="AL851" s="582"/>
      <c r="AM851" s="579"/>
      <c r="AN851" s="579"/>
      <c r="AO851" s="347"/>
      <c r="AP851" s="586"/>
      <c r="AQ851" s="596"/>
      <c r="AR851" s="596"/>
      <c r="AS851" s="348"/>
      <c r="AT851" s="348"/>
      <c r="AU851" s="348"/>
      <c r="AV851" s="348"/>
      <c r="AW851" s="348"/>
      <c r="AX851" s="584"/>
      <c r="AY851" s="581"/>
      <c r="AZ851" s="581"/>
      <c r="BA851" s="596"/>
      <c r="BB851" s="596"/>
      <c r="BC851" s="348"/>
      <c r="BD851" s="581"/>
      <c r="BE851" s="581"/>
      <c r="BF851" s="347"/>
      <c r="BG851" s="347"/>
      <c r="BH851" s="347"/>
      <c r="BI851" s="347"/>
      <c r="BJ851" s="586"/>
      <c r="BK851" s="581"/>
      <c r="BL851" s="347"/>
      <c r="BM851" s="347"/>
      <c r="BN851" s="347"/>
      <c r="BO851" s="586"/>
      <c r="BP851" s="584"/>
      <c r="BQ851" s="347"/>
      <c r="BR851" s="586"/>
      <c r="BS851" s="588"/>
      <c r="BT851" s="586"/>
      <c r="BU851" s="589"/>
      <c r="BV851" s="581">
        <f t="shared" si="44"/>
        <v>0</v>
      </c>
      <c r="BW851" s="590"/>
      <c r="BX851" s="347"/>
      <c r="BY851" s="347"/>
      <c r="BZ851" s="347"/>
      <c r="CA851" s="586"/>
      <c r="CB851" s="581"/>
      <c r="CC851" s="581">
        <f t="shared" si="193"/>
        <v>0</v>
      </c>
      <c r="CD851" s="581"/>
      <c r="CE851" s="581"/>
      <c r="CF851" s="581"/>
      <c r="CG851" s="586"/>
      <c r="CH851" s="608"/>
      <c r="CI851" s="603"/>
      <c r="CJ851" s="347"/>
      <c r="CK851" s="347"/>
      <c r="CL851" s="347"/>
      <c r="CM851" s="347"/>
      <c r="CN851" s="347"/>
      <c r="CO851" s="347"/>
      <c r="CP851" s="347"/>
    </row>
    <row r="852">
      <c r="A852" s="574"/>
      <c r="B852" s="574"/>
      <c r="C852" s="347"/>
      <c r="D852" s="574"/>
      <c r="E852" s="347"/>
      <c r="F852" s="596"/>
      <c r="G852" s="596"/>
      <c r="H852" s="347"/>
      <c r="I852" s="347"/>
      <c r="J852" s="596"/>
      <c r="K852" s="609"/>
      <c r="L852" s="1"/>
      <c r="M852" s="347"/>
      <c r="N852" s="347"/>
      <c r="O852" s="579"/>
      <c r="P852" s="579"/>
      <c r="Q852" s="574"/>
      <c r="R852" s="347"/>
      <c r="S852" s="597"/>
      <c r="T852" s="347"/>
      <c r="U852" s="579"/>
      <c r="V852" s="579"/>
      <c r="W852" s="574"/>
      <c r="X852" s="347"/>
      <c r="Y852" s="347"/>
      <c r="Z852" s="347"/>
      <c r="AA852" s="579"/>
      <c r="AB852" s="581"/>
      <c r="AC852" s="347"/>
      <c r="AD852" s="347"/>
      <c r="AE852" s="347"/>
      <c r="AF852" s="347"/>
      <c r="AG852" s="579"/>
      <c r="AH852" s="579"/>
      <c r="AI852" s="582"/>
      <c r="AJ852" s="582"/>
      <c r="AK852" s="582"/>
      <c r="AL852" s="582"/>
      <c r="AM852" s="579"/>
      <c r="AN852" s="579"/>
      <c r="AO852" s="347"/>
      <c r="AP852" s="586"/>
      <c r="AQ852" s="596"/>
      <c r="AR852" s="596"/>
      <c r="AS852" s="348"/>
      <c r="AT852" s="348"/>
      <c r="AU852" s="348"/>
      <c r="AV852" s="348"/>
      <c r="AW852" s="348"/>
      <c r="AX852" s="584"/>
      <c r="AY852" s="581"/>
      <c r="AZ852" s="581"/>
      <c r="BA852" s="596"/>
      <c r="BB852" s="596"/>
      <c r="BC852" s="348"/>
      <c r="BD852" s="581"/>
      <c r="BE852" s="581"/>
      <c r="BF852" s="347"/>
      <c r="BG852" s="347"/>
      <c r="BH852" s="347"/>
      <c r="BI852" s="347"/>
      <c r="BJ852" s="586"/>
      <c r="BK852" s="581"/>
      <c r="BL852" s="347"/>
      <c r="BM852" s="347"/>
      <c r="BN852" s="347"/>
      <c r="BO852" s="586"/>
      <c r="BP852" s="584"/>
      <c r="BQ852" s="347"/>
      <c r="BR852" s="586"/>
      <c r="BS852" s="588"/>
      <c r="BT852" s="586"/>
      <c r="BU852" s="589"/>
      <c r="BV852" s="581">
        <f t="shared" si="44"/>
        <v>0</v>
      </c>
      <c r="BW852" s="590"/>
      <c r="BX852" s="347"/>
      <c r="BY852" s="347"/>
      <c r="BZ852" s="347"/>
      <c r="CA852" s="586"/>
      <c r="CB852" s="581"/>
      <c r="CC852" s="581">
        <f t="shared" si="193"/>
        <v>0</v>
      </c>
      <c r="CD852" s="581"/>
      <c r="CE852" s="581"/>
      <c r="CF852" s="581"/>
      <c r="CG852" s="586"/>
      <c r="CH852" s="608"/>
      <c r="CI852" s="603"/>
      <c r="CJ852" s="347"/>
      <c r="CK852" s="347"/>
      <c r="CL852" s="347"/>
      <c r="CM852" s="347"/>
      <c r="CN852" s="347"/>
      <c r="CO852" s="347"/>
      <c r="CP852" s="347"/>
    </row>
    <row r="853">
      <c r="A853" s="574"/>
      <c r="B853" s="574"/>
      <c r="C853" s="347"/>
      <c r="D853" s="574"/>
      <c r="E853" s="347"/>
      <c r="F853" s="596"/>
      <c r="G853" s="596"/>
      <c r="H853" s="347"/>
      <c r="I853" s="347"/>
      <c r="J853" s="596"/>
      <c r="K853" s="609"/>
      <c r="L853" s="1"/>
      <c r="M853" s="347"/>
      <c r="N853" s="347"/>
      <c r="O853" s="579"/>
      <c r="P853" s="579"/>
      <c r="Q853" s="574"/>
      <c r="R853" s="347"/>
      <c r="S853" s="597"/>
      <c r="T853" s="347"/>
      <c r="U853" s="579"/>
      <c r="V853" s="579"/>
      <c r="W853" s="574"/>
      <c r="X853" s="347"/>
      <c r="Y853" s="347"/>
      <c r="Z853" s="347"/>
      <c r="AA853" s="579"/>
      <c r="AB853" s="581"/>
      <c r="AC853" s="347"/>
      <c r="AD853" s="347"/>
      <c r="AE853" s="347"/>
      <c r="AF853" s="347"/>
      <c r="AG853" s="579"/>
      <c r="AH853" s="579"/>
      <c r="AI853" s="582"/>
      <c r="AJ853" s="582"/>
      <c r="AK853" s="582"/>
      <c r="AL853" s="582"/>
      <c r="AM853" s="579"/>
      <c r="AN853" s="579"/>
      <c r="AO853" s="347"/>
      <c r="AP853" s="586"/>
      <c r="AQ853" s="596"/>
      <c r="AR853" s="596"/>
      <c r="AS853" s="348"/>
      <c r="AT853" s="348"/>
      <c r="AU853" s="348"/>
      <c r="AV853" s="348"/>
      <c r="AW853" s="348"/>
      <c r="AX853" s="584"/>
      <c r="AY853" s="581"/>
      <c r="AZ853" s="581"/>
      <c r="BA853" s="596"/>
      <c r="BB853" s="596"/>
      <c r="BC853" s="348"/>
      <c r="BD853" s="581"/>
      <c r="BE853" s="581"/>
      <c r="BF853" s="347"/>
      <c r="BG853" s="347"/>
      <c r="BH853" s="347"/>
      <c r="BI853" s="347"/>
      <c r="BJ853" s="586"/>
      <c r="BK853" s="581"/>
      <c r="BL853" s="347"/>
      <c r="BM853" s="347"/>
      <c r="BN853" s="347"/>
      <c r="BO853" s="586"/>
      <c r="BP853" s="584"/>
      <c r="BQ853" s="347"/>
      <c r="BR853" s="586"/>
      <c r="BS853" s="588"/>
      <c r="BT853" s="586"/>
      <c r="BU853" s="589"/>
      <c r="BV853" s="581">
        <f t="shared" si="44"/>
        <v>0</v>
      </c>
      <c r="BW853" s="590"/>
      <c r="BX853" s="347"/>
      <c r="BY853" s="347"/>
      <c r="BZ853" s="347"/>
      <c r="CA853" s="586"/>
      <c r="CB853" s="581"/>
      <c r="CC853" s="581">
        <f t="shared" si="193"/>
        <v>0</v>
      </c>
      <c r="CD853" s="581"/>
      <c r="CE853" s="581"/>
      <c r="CF853" s="581"/>
      <c r="CG853" s="586"/>
      <c r="CH853" s="608"/>
      <c r="CI853" s="603"/>
      <c r="CJ853" s="347"/>
      <c r="CK853" s="347"/>
      <c r="CL853" s="347"/>
      <c r="CM853" s="347"/>
      <c r="CN853" s="347"/>
      <c r="CO853" s="347"/>
      <c r="CP853" s="347"/>
    </row>
    <row r="854">
      <c r="A854" s="574"/>
      <c r="B854" s="574"/>
      <c r="C854" s="347"/>
      <c r="D854" s="574"/>
      <c r="E854" s="347"/>
      <c r="F854" s="596"/>
      <c r="G854" s="596"/>
      <c r="H854" s="347"/>
      <c r="I854" s="347"/>
      <c r="J854" s="596"/>
      <c r="K854" s="609"/>
      <c r="L854" s="1"/>
      <c r="M854" s="347"/>
      <c r="N854" s="347"/>
      <c r="O854" s="579"/>
      <c r="P854" s="579"/>
      <c r="Q854" s="574"/>
      <c r="R854" s="347"/>
      <c r="S854" s="597"/>
      <c r="T854" s="347"/>
      <c r="U854" s="579"/>
      <c r="V854" s="579"/>
      <c r="W854" s="574"/>
      <c r="X854" s="347"/>
      <c r="Y854" s="347"/>
      <c r="Z854" s="347"/>
      <c r="AA854" s="579"/>
      <c r="AB854" s="581"/>
      <c r="AC854" s="347"/>
      <c r="AD854" s="347"/>
      <c r="AE854" s="347"/>
      <c r="AF854" s="347"/>
      <c r="AG854" s="579"/>
      <c r="AH854" s="579"/>
      <c r="AI854" s="582"/>
      <c r="AJ854" s="582"/>
      <c r="AK854" s="582"/>
      <c r="AL854" s="582"/>
      <c r="AM854" s="579"/>
      <c r="AN854" s="579"/>
      <c r="AO854" s="347"/>
      <c r="AP854" s="586"/>
      <c r="AQ854" s="596"/>
      <c r="AR854" s="596"/>
      <c r="AS854" s="348"/>
      <c r="AT854" s="348"/>
      <c r="AU854" s="348"/>
      <c r="AV854" s="348"/>
      <c r="AW854" s="348"/>
      <c r="AX854" s="584"/>
      <c r="AY854" s="581"/>
      <c r="AZ854" s="581"/>
      <c r="BA854" s="596"/>
      <c r="BB854" s="596"/>
      <c r="BC854" s="348"/>
      <c r="BD854" s="581"/>
      <c r="BE854" s="581"/>
      <c r="BF854" s="347"/>
      <c r="BG854" s="347"/>
      <c r="BH854" s="347"/>
      <c r="BI854" s="347"/>
      <c r="BJ854" s="586"/>
      <c r="BK854" s="581"/>
      <c r="BL854" s="347"/>
      <c r="BM854" s="347"/>
      <c r="BN854" s="347"/>
      <c r="BO854" s="586"/>
      <c r="BP854" s="584"/>
      <c r="BQ854" s="347"/>
      <c r="BR854" s="586"/>
      <c r="BS854" s="588"/>
      <c r="BT854" s="586"/>
      <c r="BU854" s="589"/>
      <c r="BV854" s="581">
        <f t="shared" si="44"/>
        <v>0</v>
      </c>
      <c r="BW854" s="590"/>
      <c r="BX854" s="347"/>
      <c r="BY854" s="347"/>
      <c r="BZ854" s="347"/>
      <c r="CA854" s="586"/>
      <c r="CB854" s="581"/>
      <c r="CC854" s="581">
        <f t="shared" si="193"/>
        <v>0</v>
      </c>
      <c r="CD854" s="581"/>
      <c r="CE854" s="581"/>
      <c r="CF854" s="581"/>
      <c r="CG854" s="586"/>
      <c r="CH854" s="608"/>
      <c r="CI854" s="603"/>
      <c r="CJ854" s="347"/>
      <c r="CK854" s="347"/>
      <c r="CL854" s="347"/>
      <c r="CM854" s="347"/>
      <c r="CN854" s="347"/>
      <c r="CO854" s="347"/>
      <c r="CP854" s="347"/>
    </row>
    <row r="855">
      <c r="A855" s="574"/>
      <c r="B855" s="574"/>
      <c r="C855" s="347"/>
      <c r="D855" s="574"/>
      <c r="E855" s="347"/>
      <c r="F855" s="596"/>
      <c r="G855" s="596"/>
      <c r="H855" s="347"/>
      <c r="I855" s="347"/>
      <c r="J855" s="596"/>
      <c r="K855" s="609"/>
      <c r="L855" s="1"/>
      <c r="M855" s="347"/>
      <c r="N855" s="347"/>
      <c r="O855" s="579"/>
      <c r="P855" s="579"/>
      <c r="Q855" s="574"/>
      <c r="R855" s="347"/>
      <c r="S855" s="597"/>
      <c r="T855" s="347"/>
      <c r="U855" s="579"/>
      <c r="V855" s="579"/>
      <c r="W855" s="574"/>
      <c r="X855" s="347"/>
      <c r="Y855" s="347"/>
      <c r="Z855" s="347"/>
      <c r="AA855" s="579"/>
      <c r="AB855" s="581"/>
      <c r="AC855" s="347"/>
      <c r="AD855" s="347"/>
      <c r="AE855" s="347"/>
      <c r="AF855" s="347"/>
      <c r="AG855" s="579"/>
      <c r="AH855" s="579"/>
      <c r="AI855" s="582"/>
      <c r="AJ855" s="582"/>
      <c r="AK855" s="582"/>
      <c r="AL855" s="582"/>
      <c r="AM855" s="579"/>
      <c r="AN855" s="579"/>
      <c r="AO855" s="347"/>
      <c r="AP855" s="586"/>
      <c r="AQ855" s="596"/>
      <c r="AR855" s="596"/>
      <c r="AS855" s="348"/>
      <c r="AT855" s="348"/>
      <c r="AU855" s="348"/>
      <c r="AV855" s="348"/>
      <c r="AW855" s="348"/>
      <c r="AX855" s="584"/>
      <c r="AY855" s="581"/>
      <c r="AZ855" s="581"/>
      <c r="BA855" s="596"/>
      <c r="BB855" s="596"/>
      <c r="BC855" s="348"/>
      <c r="BD855" s="581"/>
      <c r="BE855" s="581"/>
      <c r="BF855" s="347"/>
      <c r="BG855" s="347"/>
      <c r="BH855" s="347"/>
      <c r="BI855" s="347"/>
      <c r="BJ855" s="586"/>
      <c r="BK855" s="581"/>
      <c r="BL855" s="347"/>
      <c r="BM855" s="347"/>
      <c r="BN855" s="347"/>
      <c r="BO855" s="586"/>
      <c r="BP855" s="584"/>
      <c r="BQ855" s="347"/>
      <c r="BR855" s="586"/>
      <c r="BS855" s="588"/>
      <c r="BT855" s="586"/>
      <c r="BU855" s="589"/>
      <c r="BV855" s="581">
        <f t="shared" si="44"/>
        <v>0</v>
      </c>
      <c r="BW855" s="590"/>
      <c r="BX855" s="347"/>
      <c r="BY855" s="347"/>
      <c r="BZ855" s="347"/>
      <c r="CA855" s="586"/>
      <c r="CB855" s="581"/>
      <c r="CC855" s="581">
        <f t="shared" si="193"/>
        <v>0</v>
      </c>
      <c r="CD855" s="581"/>
      <c r="CE855" s="581"/>
      <c r="CF855" s="581"/>
      <c r="CG855" s="586"/>
      <c r="CH855" s="608"/>
      <c r="CI855" s="603"/>
      <c r="CJ855" s="347"/>
      <c r="CK855" s="347"/>
      <c r="CL855" s="347"/>
      <c r="CM855" s="347"/>
      <c r="CN855" s="347"/>
      <c r="CO855" s="347"/>
      <c r="CP855" s="347"/>
    </row>
    <row r="856">
      <c r="A856" s="574"/>
      <c r="B856" s="574"/>
      <c r="C856" s="347"/>
      <c r="D856" s="574"/>
      <c r="E856" s="347"/>
      <c r="F856" s="596"/>
      <c r="G856" s="596"/>
      <c r="H856" s="347"/>
      <c r="I856" s="347"/>
      <c r="J856" s="596"/>
      <c r="K856" s="609"/>
      <c r="L856" s="1"/>
      <c r="M856" s="347"/>
      <c r="N856" s="347"/>
      <c r="O856" s="579"/>
      <c r="P856" s="579"/>
      <c r="Q856" s="574"/>
      <c r="R856" s="347"/>
      <c r="S856" s="597"/>
      <c r="T856" s="347"/>
      <c r="U856" s="579"/>
      <c r="V856" s="579"/>
      <c r="W856" s="574"/>
      <c r="X856" s="347"/>
      <c r="Y856" s="347"/>
      <c r="Z856" s="347"/>
      <c r="AA856" s="579"/>
      <c r="AB856" s="581"/>
      <c r="AC856" s="347"/>
      <c r="AD856" s="347"/>
      <c r="AE856" s="347"/>
      <c r="AF856" s="347"/>
      <c r="AG856" s="579"/>
      <c r="AH856" s="579"/>
      <c r="AI856" s="582"/>
      <c r="AJ856" s="582"/>
      <c r="AK856" s="582"/>
      <c r="AL856" s="582"/>
      <c r="AM856" s="579"/>
      <c r="AN856" s="579"/>
      <c r="AO856" s="347"/>
      <c r="AP856" s="586"/>
      <c r="AQ856" s="596"/>
      <c r="AR856" s="596"/>
      <c r="AS856" s="348"/>
      <c r="AT856" s="348"/>
      <c r="AU856" s="348"/>
      <c r="AV856" s="348"/>
      <c r="AW856" s="348"/>
      <c r="AX856" s="584"/>
      <c r="AY856" s="581"/>
      <c r="AZ856" s="581"/>
      <c r="BA856" s="596"/>
      <c r="BB856" s="596"/>
      <c r="BC856" s="348"/>
      <c r="BD856" s="581"/>
      <c r="BE856" s="581"/>
      <c r="BF856" s="347"/>
      <c r="BG856" s="347"/>
      <c r="BH856" s="347"/>
      <c r="BI856" s="347"/>
      <c r="BJ856" s="586"/>
      <c r="BK856" s="581"/>
      <c r="BL856" s="347"/>
      <c r="BM856" s="347"/>
      <c r="BN856" s="347"/>
      <c r="BO856" s="586"/>
      <c r="BP856" s="584"/>
      <c r="BQ856" s="347"/>
      <c r="BR856" s="586"/>
      <c r="BS856" s="588"/>
      <c r="BT856" s="586"/>
      <c r="BU856" s="589"/>
      <c r="BV856" s="581">
        <f t="shared" si="44"/>
        <v>0</v>
      </c>
      <c r="BW856" s="590"/>
      <c r="BX856" s="347"/>
      <c r="BY856" s="347"/>
      <c r="BZ856" s="347"/>
      <c r="CA856" s="586"/>
      <c r="CB856" s="581"/>
      <c r="CC856" s="581">
        <f t="shared" si="193"/>
        <v>0</v>
      </c>
      <c r="CD856" s="581"/>
      <c r="CE856" s="581"/>
      <c r="CF856" s="581"/>
      <c r="CG856" s="586"/>
      <c r="CH856" s="608"/>
      <c r="CI856" s="603"/>
      <c r="CJ856" s="347"/>
      <c r="CK856" s="347"/>
      <c r="CL856" s="347"/>
      <c r="CM856" s="347"/>
      <c r="CN856" s="347"/>
      <c r="CO856" s="347"/>
      <c r="CP856" s="347"/>
    </row>
    <row r="857">
      <c r="A857" s="574"/>
      <c r="B857" s="574"/>
      <c r="C857" s="347"/>
      <c r="D857" s="574"/>
      <c r="E857" s="347"/>
      <c r="F857" s="596"/>
      <c r="G857" s="596"/>
      <c r="H857" s="347"/>
      <c r="I857" s="347"/>
      <c r="J857" s="596"/>
      <c r="K857" s="609"/>
      <c r="L857" s="1"/>
      <c r="M857" s="347"/>
      <c r="N857" s="347"/>
      <c r="O857" s="579"/>
      <c r="P857" s="579"/>
      <c r="Q857" s="574"/>
      <c r="R857" s="347"/>
      <c r="S857" s="597"/>
      <c r="T857" s="347"/>
      <c r="U857" s="579"/>
      <c r="V857" s="579"/>
      <c r="W857" s="574"/>
      <c r="X857" s="347"/>
      <c r="Y857" s="347"/>
      <c r="Z857" s="347"/>
      <c r="AA857" s="579"/>
      <c r="AB857" s="581"/>
      <c r="AC857" s="347"/>
      <c r="AD857" s="347"/>
      <c r="AE857" s="347"/>
      <c r="AF857" s="347"/>
      <c r="AG857" s="579"/>
      <c r="AH857" s="579"/>
      <c r="AI857" s="582"/>
      <c r="AJ857" s="582"/>
      <c r="AK857" s="582"/>
      <c r="AL857" s="582"/>
      <c r="AM857" s="579"/>
      <c r="AN857" s="579"/>
      <c r="AO857" s="347"/>
      <c r="AP857" s="586"/>
      <c r="AQ857" s="596"/>
      <c r="AR857" s="596"/>
      <c r="AS857" s="348"/>
      <c r="AT857" s="348"/>
      <c r="AU857" s="348"/>
      <c r="AV857" s="348"/>
      <c r="AW857" s="348"/>
      <c r="AX857" s="584"/>
      <c r="AY857" s="581"/>
      <c r="AZ857" s="581"/>
      <c r="BA857" s="596"/>
      <c r="BB857" s="596"/>
      <c r="BC857" s="348"/>
      <c r="BD857" s="581"/>
      <c r="BE857" s="581"/>
      <c r="BF857" s="347"/>
      <c r="BG857" s="347"/>
      <c r="BH857" s="347"/>
      <c r="BI857" s="347"/>
      <c r="BJ857" s="586"/>
      <c r="BK857" s="581"/>
      <c r="BL857" s="347"/>
      <c r="BM857" s="347"/>
      <c r="BN857" s="347"/>
      <c r="BO857" s="586"/>
      <c r="BP857" s="584"/>
      <c r="BQ857" s="347"/>
      <c r="BR857" s="586"/>
      <c r="BS857" s="588"/>
      <c r="BT857" s="586"/>
      <c r="BU857" s="589"/>
      <c r="BV857" s="581">
        <f t="shared" si="44"/>
        <v>0</v>
      </c>
      <c r="BW857" s="590"/>
      <c r="BX857" s="347"/>
      <c r="BY857" s="347"/>
      <c r="BZ857" s="347"/>
      <c r="CA857" s="586"/>
      <c r="CB857" s="581"/>
      <c r="CC857" s="581">
        <f t="shared" si="193"/>
        <v>0</v>
      </c>
      <c r="CD857" s="581"/>
      <c r="CE857" s="581"/>
      <c r="CF857" s="581"/>
      <c r="CG857" s="586"/>
      <c r="CH857" s="608"/>
      <c r="CI857" s="603"/>
      <c r="CJ857" s="347"/>
      <c r="CK857" s="347"/>
      <c r="CL857" s="347"/>
      <c r="CM857" s="347"/>
      <c r="CN857" s="347"/>
      <c r="CO857" s="347"/>
      <c r="CP857" s="347"/>
    </row>
    <row r="858">
      <c r="A858" s="574"/>
      <c r="B858" s="574"/>
      <c r="C858" s="347"/>
      <c r="D858" s="574"/>
      <c r="E858" s="347"/>
      <c r="F858" s="596"/>
      <c r="G858" s="596"/>
      <c r="H858" s="347"/>
      <c r="I858" s="347"/>
      <c r="J858" s="596"/>
      <c r="K858" s="609"/>
      <c r="L858" s="1"/>
      <c r="M858" s="347"/>
      <c r="N858" s="347"/>
      <c r="O858" s="579"/>
      <c r="P858" s="579"/>
      <c r="Q858" s="574"/>
      <c r="R858" s="347"/>
      <c r="S858" s="597"/>
      <c r="T858" s="347"/>
      <c r="U858" s="579"/>
      <c r="V858" s="579"/>
      <c r="W858" s="574"/>
      <c r="X858" s="347"/>
      <c r="Y858" s="347"/>
      <c r="Z858" s="347"/>
      <c r="AA858" s="579"/>
      <c r="AB858" s="581"/>
      <c r="AC858" s="347"/>
      <c r="AD858" s="347"/>
      <c r="AE858" s="347"/>
      <c r="AF858" s="347"/>
      <c r="AG858" s="579"/>
      <c r="AH858" s="579"/>
      <c r="AI858" s="582"/>
      <c r="AJ858" s="582"/>
      <c r="AK858" s="582"/>
      <c r="AL858" s="582"/>
      <c r="AM858" s="579"/>
      <c r="AN858" s="579"/>
      <c r="AO858" s="347"/>
      <c r="AP858" s="586"/>
      <c r="AQ858" s="596"/>
      <c r="AR858" s="596"/>
      <c r="AS858" s="348"/>
      <c r="AT858" s="348"/>
      <c r="AU858" s="348"/>
      <c r="AV858" s="348"/>
      <c r="AW858" s="348"/>
      <c r="AX858" s="584"/>
      <c r="AY858" s="581"/>
      <c r="AZ858" s="581"/>
      <c r="BA858" s="596"/>
      <c r="BB858" s="596"/>
      <c r="BC858" s="348"/>
      <c r="BD858" s="581"/>
      <c r="BE858" s="581"/>
      <c r="BF858" s="347"/>
      <c r="BG858" s="347"/>
      <c r="BH858" s="347"/>
      <c r="BI858" s="347"/>
      <c r="BJ858" s="586"/>
      <c r="BK858" s="581"/>
      <c r="BL858" s="347"/>
      <c r="BM858" s="347"/>
      <c r="BN858" s="347"/>
      <c r="BO858" s="586"/>
      <c r="BP858" s="584"/>
      <c r="BQ858" s="347"/>
      <c r="BR858" s="586"/>
      <c r="BS858" s="588"/>
      <c r="BT858" s="586"/>
      <c r="BU858" s="589"/>
      <c r="BV858" s="581">
        <f t="shared" si="44"/>
        <v>0</v>
      </c>
      <c r="BW858" s="590"/>
      <c r="BX858" s="347"/>
      <c r="BY858" s="347"/>
      <c r="BZ858" s="347"/>
      <c r="CA858" s="586"/>
      <c r="CB858" s="581"/>
      <c r="CC858" s="581">
        <f t="shared" si="193"/>
        <v>0</v>
      </c>
      <c r="CD858" s="581"/>
      <c r="CE858" s="581"/>
      <c r="CF858" s="581"/>
      <c r="CG858" s="586"/>
      <c r="CH858" s="608"/>
      <c r="CI858" s="603"/>
      <c r="CJ858" s="347"/>
      <c r="CK858" s="347"/>
      <c r="CL858" s="347"/>
      <c r="CM858" s="347"/>
      <c r="CN858" s="347"/>
      <c r="CO858" s="347"/>
      <c r="CP858" s="347"/>
    </row>
    <row r="859">
      <c r="A859" s="574"/>
      <c r="B859" s="574"/>
      <c r="C859" s="347"/>
      <c r="D859" s="574"/>
      <c r="E859" s="347"/>
      <c r="F859" s="596"/>
      <c r="G859" s="596"/>
      <c r="H859" s="347"/>
      <c r="I859" s="347"/>
      <c r="J859" s="596"/>
      <c r="K859" s="609"/>
      <c r="L859" s="1"/>
      <c r="M859" s="347"/>
      <c r="N859" s="347"/>
      <c r="O859" s="579"/>
      <c r="P859" s="579"/>
      <c r="Q859" s="574"/>
      <c r="R859" s="347"/>
      <c r="S859" s="597"/>
      <c r="T859" s="347"/>
      <c r="U859" s="579"/>
      <c r="V859" s="579"/>
      <c r="W859" s="574"/>
      <c r="X859" s="347"/>
      <c r="Y859" s="347"/>
      <c r="Z859" s="347"/>
      <c r="AA859" s="579"/>
      <c r="AB859" s="581"/>
      <c r="AC859" s="347"/>
      <c r="AD859" s="347"/>
      <c r="AE859" s="347"/>
      <c r="AF859" s="347"/>
      <c r="AG859" s="579"/>
      <c r="AH859" s="579"/>
      <c r="AI859" s="582"/>
      <c r="AJ859" s="582"/>
      <c r="AK859" s="582"/>
      <c r="AL859" s="582"/>
      <c r="AM859" s="579"/>
      <c r="AN859" s="579"/>
      <c r="AO859" s="347"/>
      <c r="AP859" s="586"/>
      <c r="AQ859" s="596"/>
      <c r="AR859" s="596"/>
      <c r="AS859" s="348"/>
      <c r="AT859" s="348"/>
      <c r="AU859" s="348"/>
      <c r="AV859" s="348"/>
      <c r="AW859" s="348"/>
      <c r="AX859" s="584"/>
      <c r="AY859" s="581"/>
      <c r="AZ859" s="581"/>
      <c r="BA859" s="596"/>
      <c r="BB859" s="596"/>
      <c r="BC859" s="348"/>
      <c r="BD859" s="581"/>
      <c r="BE859" s="581"/>
      <c r="BF859" s="347"/>
      <c r="BG859" s="347"/>
      <c r="BH859" s="347"/>
      <c r="BI859" s="347"/>
      <c r="BJ859" s="586"/>
      <c r="BK859" s="581"/>
      <c r="BL859" s="347"/>
      <c r="BM859" s="347"/>
      <c r="BN859" s="347"/>
      <c r="BO859" s="586"/>
      <c r="BP859" s="584"/>
      <c r="BQ859" s="347"/>
      <c r="BR859" s="586"/>
      <c r="BS859" s="588"/>
      <c r="BT859" s="586"/>
      <c r="BU859" s="589"/>
      <c r="BV859" s="581">
        <f t="shared" si="44"/>
        <v>0</v>
      </c>
      <c r="BW859" s="590"/>
      <c r="BX859" s="347"/>
      <c r="BY859" s="347"/>
      <c r="BZ859" s="347"/>
      <c r="CA859" s="586"/>
      <c r="CB859" s="581"/>
      <c r="CC859" s="581">
        <f t="shared" si="193"/>
        <v>0</v>
      </c>
      <c r="CD859" s="581"/>
      <c r="CE859" s="581"/>
      <c r="CF859" s="581"/>
      <c r="CG859" s="586"/>
      <c r="CH859" s="608"/>
      <c r="CI859" s="603"/>
      <c r="CJ859" s="347"/>
      <c r="CK859" s="347"/>
      <c r="CL859" s="347"/>
      <c r="CM859" s="347"/>
      <c r="CN859" s="347"/>
      <c r="CO859" s="347"/>
      <c r="CP859" s="347"/>
    </row>
    <row r="860">
      <c r="A860" s="574"/>
      <c r="B860" s="574"/>
      <c r="C860" s="347"/>
      <c r="D860" s="574"/>
      <c r="E860" s="347"/>
      <c r="F860" s="596"/>
      <c r="G860" s="596"/>
      <c r="H860" s="347"/>
      <c r="I860" s="347"/>
      <c r="J860" s="596"/>
      <c r="K860" s="609"/>
      <c r="L860" s="1"/>
      <c r="M860" s="347"/>
      <c r="N860" s="347"/>
      <c r="O860" s="579"/>
      <c r="P860" s="579"/>
      <c r="Q860" s="574"/>
      <c r="R860" s="347"/>
      <c r="S860" s="597"/>
      <c r="T860" s="347"/>
      <c r="U860" s="579"/>
      <c r="V860" s="579"/>
      <c r="W860" s="574"/>
      <c r="X860" s="347"/>
      <c r="Y860" s="347"/>
      <c r="Z860" s="347"/>
      <c r="AA860" s="579"/>
      <c r="AB860" s="581"/>
      <c r="AC860" s="347"/>
      <c r="AD860" s="347"/>
      <c r="AE860" s="347"/>
      <c r="AF860" s="347"/>
      <c r="AG860" s="579"/>
      <c r="AH860" s="579"/>
      <c r="AI860" s="582"/>
      <c r="AJ860" s="582"/>
      <c r="AK860" s="582"/>
      <c r="AL860" s="582"/>
      <c r="AM860" s="579"/>
      <c r="AN860" s="579"/>
      <c r="AO860" s="347"/>
      <c r="AP860" s="586"/>
      <c r="AQ860" s="596"/>
      <c r="AR860" s="596"/>
      <c r="AS860" s="348"/>
      <c r="AT860" s="348"/>
      <c r="AU860" s="348"/>
      <c r="AV860" s="348"/>
      <c r="AW860" s="348"/>
      <c r="AX860" s="584"/>
      <c r="AY860" s="581"/>
      <c r="AZ860" s="581"/>
      <c r="BA860" s="596"/>
      <c r="BB860" s="596"/>
      <c r="BC860" s="348"/>
      <c r="BD860" s="581"/>
      <c r="BE860" s="581"/>
      <c r="BF860" s="347"/>
      <c r="BG860" s="347"/>
      <c r="BH860" s="347"/>
      <c r="BI860" s="347"/>
      <c r="BJ860" s="586"/>
      <c r="BK860" s="581"/>
      <c r="BL860" s="347"/>
      <c r="BM860" s="347"/>
      <c r="BN860" s="347"/>
      <c r="BO860" s="586"/>
      <c r="BP860" s="584"/>
      <c r="BQ860" s="347"/>
      <c r="BR860" s="586"/>
      <c r="BS860" s="588"/>
      <c r="BT860" s="586"/>
      <c r="BU860" s="589"/>
      <c r="BV860" s="581">
        <f t="shared" si="44"/>
        <v>0</v>
      </c>
      <c r="BW860" s="590"/>
      <c r="BX860" s="347"/>
      <c r="BY860" s="347"/>
      <c r="BZ860" s="347"/>
      <c r="CA860" s="586"/>
      <c r="CB860" s="581"/>
      <c r="CC860" s="581">
        <f t="shared" si="193"/>
        <v>0</v>
      </c>
      <c r="CD860" s="581"/>
      <c r="CE860" s="581"/>
      <c r="CF860" s="581"/>
      <c r="CG860" s="586"/>
      <c r="CH860" s="608"/>
      <c r="CI860" s="603"/>
      <c r="CJ860" s="347"/>
      <c r="CK860" s="347"/>
      <c r="CL860" s="347"/>
      <c r="CM860" s="347"/>
      <c r="CN860" s="347"/>
      <c r="CO860" s="347"/>
      <c r="CP860" s="347"/>
    </row>
    <row r="861">
      <c r="A861" s="574"/>
      <c r="B861" s="574"/>
      <c r="C861" s="347"/>
      <c r="D861" s="574"/>
      <c r="E861" s="347"/>
      <c r="F861" s="596"/>
      <c r="G861" s="596"/>
      <c r="H861" s="347"/>
      <c r="I861" s="347"/>
      <c r="J861" s="596"/>
      <c r="K861" s="609"/>
      <c r="L861" s="1"/>
      <c r="M861" s="347"/>
      <c r="N861" s="347"/>
      <c r="O861" s="579"/>
      <c r="P861" s="579"/>
      <c r="Q861" s="574"/>
      <c r="R861" s="347"/>
      <c r="S861" s="597"/>
      <c r="T861" s="347"/>
      <c r="U861" s="579"/>
      <c r="V861" s="579"/>
      <c r="W861" s="574"/>
      <c r="X861" s="347"/>
      <c r="Y861" s="347"/>
      <c r="Z861" s="347"/>
      <c r="AA861" s="579"/>
      <c r="AB861" s="581"/>
      <c r="AC861" s="347"/>
      <c r="AD861" s="347"/>
      <c r="AE861" s="347"/>
      <c r="AF861" s="347"/>
      <c r="AG861" s="579"/>
      <c r="AH861" s="579"/>
      <c r="AI861" s="582"/>
      <c r="AJ861" s="582"/>
      <c r="AK861" s="582"/>
      <c r="AL861" s="582"/>
      <c r="AM861" s="579"/>
      <c r="AN861" s="579"/>
      <c r="AO861" s="347"/>
      <c r="AP861" s="586"/>
      <c r="AQ861" s="596"/>
      <c r="AR861" s="596"/>
      <c r="AS861" s="348"/>
      <c r="AT861" s="348"/>
      <c r="AU861" s="348"/>
      <c r="AV861" s="348"/>
      <c r="AW861" s="348"/>
      <c r="AX861" s="584"/>
      <c r="AY861" s="581"/>
      <c r="AZ861" s="581"/>
      <c r="BA861" s="596"/>
      <c r="BB861" s="596"/>
      <c r="BC861" s="348"/>
      <c r="BD861" s="581"/>
      <c r="BE861" s="581"/>
      <c r="BF861" s="347"/>
      <c r="BG861" s="347"/>
      <c r="BH861" s="347"/>
      <c r="BI861" s="347"/>
      <c r="BJ861" s="586"/>
      <c r="BK861" s="581"/>
      <c r="BL861" s="347"/>
      <c r="BM861" s="347"/>
      <c r="BN861" s="347"/>
      <c r="BO861" s="586"/>
      <c r="BP861" s="584"/>
      <c r="BQ861" s="347"/>
      <c r="BR861" s="586"/>
      <c r="BS861" s="588"/>
      <c r="BT861" s="586"/>
      <c r="BU861" s="589"/>
      <c r="BV861" s="581">
        <f t="shared" si="44"/>
        <v>0</v>
      </c>
      <c r="BW861" s="590"/>
      <c r="BX861" s="347"/>
      <c r="BY861" s="347"/>
      <c r="BZ861" s="347"/>
      <c r="CA861" s="586"/>
      <c r="CB861" s="581"/>
      <c r="CC861" s="581">
        <f t="shared" si="193"/>
        <v>0</v>
      </c>
      <c r="CD861" s="581"/>
      <c r="CE861" s="581"/>
      <c r="CF861" s="581"/>
      <c r="CG861" s="586"/>
      <c r="CH861" s="608"/>
      <c r="CI861" s="603"/>
      <c r="CJ861" s="347"/>
      <c r="CK861" s="347"/>
      <c r="CL861" s="347"/>
      <c r="CM861" s="347"/>
      <c r="CN861" s="347"/>
      <c r="CO861" s="347"/>
      <c r="CP861" s="347"/>
    </row>
    <row r="862">
      <c r="A862" s="574"/>
      <c r="B862" s="574"/>
      <c r="C862" s="347"/>
      <c r="D862" s="574"/>
      <c r="E862" s="347"/>
      <c r="F862" s="596"/>
      <c r="G862" s="596"/>
      <c r="H862" s="347"/>
      <c r="I862" s="347"/>
      <c r="J862" s="596"/>
      <c r="K862" s="609"/>
      <c r="L862" s="1"/>
      <c r="M862" s="347"/>
      <c r="N862" s="347"/>
      <c r="O862" s="579"/>
      <c r="P862" s="579"/>
      <c r="Q862" s="574"/>
      <c r="R862" s="347"/>
      <c r="S862" s="597"/>
      <c r="T862" s="347"/>
      <c r="U862" s="579"/>
      <c r="V862" s="579"/>
      <c r="W862" s="574"/>
      <c r="X862" s="347"/>
      <c r="Y862" s="347"/>
      <c r="Z862" s="347"/>
      <c r="AA862" s="579"/>
      <c r="AB862" s="581"/>
      <c r="AC862" s="347"/>
      <c r="AD862" s="347"/>
      <c r="AE862" s="347"/>
      <c r="AF862" s="347"/>
      <c r="AG862" s="579"/>
      <c r="AH862" s="579"/>
      <c r="AI862" s="582"/>
      <c r="AJ862" s="582"/>
      <c r="AK862" s="582"/>
      <c r="AL862" s="582"/>
      <c r="AM862" s="579"/>
      <c r="AN862" s="579"/>
      <c r="AO862" s="347"/>
      <c r="AP862" s="586"/>
      <c r="AQ862" s="596"/>
      <c r="AR862" s="596"/>
      <c r="AS862" s="348"/>
      <c r="AT862" s="348"/>
      <c r="AU862" s="348"/>
      <c r="AV862" s="348"/>
      <c r="AW862" s="348"/>
      <c r="AX862" s="584"/>
      <c r="AY862" s="581"/>
      <c r="AZ862" s="581"/>
      <c r="BA862" s="596"/>
      <c r="BB862" s="596"/>
      <c r="BC862" s="348"/>
      <c r="BD862" s="581"/>
      <c r="BE862" s="581"/>
      <c r="BF862" s="347"/>
      <c r="BG862" s="347"/>
      <c r="BH862" s="347"/>
      <c r="BI862" s="347"/>
      <c r="BJ862" s="586"/>
      <c r="BK862" s="581"/>
      <c r="BL862" s="347"/>
      <c r="BM862" s="347"/>
      <c r="BN862" s="347"/>
      <c r="BO862" s="586"/>
      <c r="BP862" s="584"/>
      <c r="BQ862" s="347"/>
      <c r="BR862" s="586"/>
      <c r="BS862" s="588"/>
      <c r="BT862" s="586"/>
      <c r="BU862" s="589"/>
      <c r="BV862" s="581">
        <f t="shared" si="44"/>
        <v>0</v>
      </c>
      <c r="BW862" s="590"/>
      <c r="BX862" s="347"/>
      <c r="BY862" s="347"/>
      <c r="BZ862" s="347"/>
      <c r="CA862" s="586"/>
      <c r="CB862" s="581"/>
      <c r="CC862" s="581">
        <f t="shared" si="193"/>
        <v>0</v>
      </c>
      <c r="CD862" s="581"/>
      <c r="CE862" s="581"/>
      <c r="CF862" s="581"/>
      <c r="CG862" s="586"/>
      <c r="CH862" s="608"/>
      <c r="CI862" s="603"/>
      <c r="CJ862" s="347"/>
      <c r="CK862" s="347"/>
      <c r="CL862" s="347"/>
      <c r="CM862" s="347"/>
      <c r="CN862" s="347"/>
      <c r="CO862" s="347"/>
      <c r="CP862" s="347"/>
    </row>
    <row r="863">
      <c r="A863" s="574"/>
      <c r="B863" s="574"/>
      <c r="C863" s="347"/>
      <c r="D863" s="574"/>
      <c r="E863" s="347"/>
      <c r="F863" s="596"/>
      <c r="G863" s="596"/>
      <c r="H863" s="347"/>
      <c r="I863" s="347"/>
      <c r="J863" s="596"/>
      <c r="K863" s="609"/>
      <c r="L863" s="1"/>
      <c r="M863" s="347"/>
      <c r="N863" s="347"/>
      <c r="O863" s="579"/>
      <c r="P863" s="579"/>
      <c r="Q863" s="574"/>
      <c r="R863" s="347"/>
      <c r="S863" s="597"/>
      <c r="T863" s="347"/>
      <c r="U863" s="579"/>
      <c r="V863" s="579"/>
      <c r="W863" s="574"/>
      <c r="X863" s="347"/>
      <c r="Y863" s="347"/>
      <c r="Z863" s="347"/>
      <c r="AA863" s="579"/>
      <c r="AB863" s="581"/>
      <c r="AC863" s="347"/>
      <c r="AD863" s="347"/>
      <c r="AE863" s="347"/>
      <c r="AF863" s="347"/>
      <c r="AG863" s="579"/>
      <c r="AH863" s="579"/>
      <c r="AI863" s="582"/>
      <c r="AJ863" s="582"/>
      <c r="AK863" s="582"/>
      <c r="AL863" s="582"/>
      <c r="AM863" s="579"/>
      <c r="AN863" s="579"/>
      <c r="AO863" s="347"/>
      <c r="AP863" s="586"/>
      <c r="AQ863" s="596"/>
      <c r="AR863" s="596"/>
      <c r="AS863" s="348"/>
      <c r="AT863" s="348"/>
      <c r="AU863" s="348"/>
      <c r="AV863" s="348"/>
      <c r="AW863" s="348"/>
      <c r="AX863" s="584"/>
      <c r="AY863" s="581"/>
      <c r="AZ863" s="581"/>
      <c r="BA863" s="596"/>
      <c r="BB863" s="596"/>
      <c r="BC863" s="348"/>
      <c r="BD863" s="581"/>
      <c r="BE863" s="581"/>
      <c r="BF863" s="347"/>
      <c r="BG863" s="347"/>
      <c r="BH863" s="347"/>
      <c r="BI863" s="347"/>
      <c r="BJ863" s="586"/>
      <c r="BK863" s="581"/>
      <c r="BL863" s="347"/>
      <c r="BM863" s="347"/>
      <c r="BN863" s="347"/>
      <c r="BO863" s="586"/>
      <c r="BP863" s="584"/>
      <c r="BQ863" s="347"/>
      <c r="BR863" s="586"/>
      <c r="BS863" s="588"/>
      <c r="BT863" s="586"/>
      <c r="BU863" s="589"/>
      <c r="BV863" s="581">
        <f t="shared" si="44"/>
        <v>0</v>
      </c>
      <c r="BW863" s="590"/>
      <c r="BX863" s="347"/>
      <c r="BY863" s="347"/>
      <c r="BZ863" s="347"/>
      <c r="CA863" s="586"/>
      <c r="CB863" s="581"/>
      <c r="CC863" s="581">
        <f t="shared" si="193"/>
        <v>0</v>
      </c>
      <c r="CD863" s="581"/>
      <c r="CE863" s="581"/>
      <c r="CF863" s="581"/>
      <c r="CG863" s="586"/>
      <c r="CH863" s="608"/>
      <c r="CI863" s="603"/>
      <c r="CJ863" s="347"/>
      <c r="CK863" s="347"/>
      <c r="CL863" s="347"/>
      <c r="CM863" s="347"/>
      <c r="CN863" s="347"/>
      <c r="CO863" s="347"/>
      <c r="CP863" s="347"/>
    </row>
    <row r="864">
      <c r="A864" s="574"/>
      <c r="B864" s="574"/>
      <c r="C864" s="347"/>
      <c r="D864" s="574"/>
      <c r="E864" s="347"/>
      <c r="F864" s="596"/>
      <c r="G864" s="596"/>
      <c r="H864" s="347"/>
      <c r="I864" s="347"/>
      <c r="J864" s="596"/>
      <c r="K864" s="609"/>
      <c r="L864" s="1"/>
      <c r="M864" s="347"/>
      <c r="N864" s="347"/>
      <c r="O864" s="579"/>
      <c r="P864" s="579"/>
      <c r="Q864" s="574"/>
      <c r="R864" s="347"/>
      <c r="S864" s="597"/>
      <c r="T864" s="347"/>
      <c r="U864" s="579"/>
      <c r="V864" s="579"/>
      <c r="W864" s="574"/>
      <c r="X864" s="347"/>
      <c r="Y864" s="347"/>
      <c r="Z864" s="347"/>
      <c r="AA864" s="579"/>
      <c r="AB864" s="581"/>
      <c r="AC864" s="347"/>
      <c r="AD864" s="347"/>
      <c r="AE864" s="347"/>
      <c r="AF864" s="347"/>
      <c r="AG864" s="579"/>
      <c r="AH864" s="579"/>
      <c r="AI864" s="582"/>
      <c r="AJ864" s="582"/>
      <c r="AK864" s="582"/>
      <c r="AL864" s="582"/>
      <c r="AM864" s="579"/>
      <c r="AN864" s="579"/>
      <c r="AO864" s="347"/>
      <c r="AP864" s="586"/>
      <c r="AQ864" s="596"/>
      <c r="AR864" s="596"/>
      <c r="AS864" s="348"/>
      <c r="AT864" s="348"/>
      <c r="AU864" s="348"/>
      <c r="AV864" s="348"/>
      <c r="AW864" s="348"/>
      <c r="AX864" s="584"/>
      <c r="AY864" s="581"/>
      <c r="AZ864" s="581"/>
      <c r="BA864" s="596"/>
      <c r="BB864" s="596"/>
      <c r="BC864" s="348"/>
      <c r="BD864" s="581"/>
      <c r="BE864" s="581"/>
      <c r="BF864" s="347"/>
      <c r="BG864" s="347"/>
      <c r="BH864" s="347"/>
      <c r="BI864" s="347"/>
      <c r="BJ864" s="586"/>
      <c r="BK864" s="581"/>
      <c r="BL864" s="347"/>
      <c r="BM864" s="347"/>
      <c r="BN864" s="347"/>
      <c r="BO864" s="586"/>
      <c r="BP864" s="584"/>
      <c r="BQ864" s="347"/>
      <c r="BR864" s="586"/>
      <c r="BS864" s="588"/>
      <c r="BT864" s="586"/>
      <c r="BU864" s="589"/>
      <c r="BV864" s="581">
        <f t="shared" si="44"/>
        <v>0</v>
      </c>
      <c r="BW864" s="590"/>
      <c r="BX864" s="347"/>
      <c r="BY864" s="347"/>
      <c r="BZ864" s="347"/>
      <c r="CA864" s="586"/>
      <c r="CB864" s="581"/>
      <c r="CC864" s="581">
        <f t="shared" si="193"/>
        <v>0</v>
      </c>
      <c r="CD864" s="581"/>
      <c r="CE864" s="581"/>
      <c r="CF864" s="581"/>
      <c r="CG864" s="586"/>
      <c r="CH864" s="608"/>
      <c r="CI864" s="603"/>
      <c r="CJ864" s="347"/>
      <c r="CK864" s="347"/>
      <c r="CL864" s="347"/>
      <c r="CM864" s="347"/>
      <c r="CN864" s="347"/>
      <c r="CO864" s="347"/>
      <c r="CP864" s="347"/>
    </row>
    <row r="865">
      <c r="A865" s="574"/>
      <c r="B865" s="574"/>
      <c r="C865" s="347"/>
      <c r="D865" s="574"/>
      <c r="E865" s="347"/>
      <c r="F865" s="596"/>
      <c r="G865" s="596"/>
      <c r="H865" s="347"/>
      <c r="I865" s="347"/>
      <c r="J865" s="596"/>
      <c r="K865" s="609"/>
      <c r="L865" s="1"/>
      <c r="M865" s="347"/>
      <c r="N865" s="347"/>
      <c r="O865" s="579"/>
      <c r="P865" s="579"/>
      <c r="Q865" s="574"/>
      <c r="R865" s="347"/>
      <c r="S865" s="597"/>
      <c r="T865" s="347"/>
      <c r="U865" s="579"/>
      <c r="V865" s="579"/>
      <c r="W865" s="574"/>
      <c r="X865" s="347"/>
      <c r="Y865" s="347"/>
      <c r="Z865" s="347"/>
      <c r="AA865" s="579"/>
      <c r="AB865" s="581"/>
      <c r="AC865" s="347"/>
      <c r="AD865" s="347"/>
      <c r="AE865" s="347"/>
      <c r="AF865" s="347"/>
      <c r="AG865" s="579"/>
      <c r="AH865" s="579"/>
      <c r="AI865" s="582"/>
      <c r="AJ865" s="582"/>
      <c r="AK865" s="582"/>
      <c r="AL865" s="582"/>
      <c r="AM865" s="579"/>
      <c r="AN865" s="579"/>
      <c r="AO865" s="347"/>
      <c r="AP865" s="586"/>
      <c r="AQ865" s="596"/>
      <c r="AR865" s="596"/>
      <c r="AS865" s="348"/>
      <c r="AT865" s="348"/>
      <c r="AU865" s="348"/>
      <c r="AV865" s="348"/>
      <c r="AW865" s="348"/>
      <c r="AX865" s="584"/>
      <c r="AY865" s="581"/>
      <c r="AZ865" s="581"/>
      <c r="BA865" s="596"/>
      <c r="BB865" s="596"/>
      <c r="BC865" s="348"/>
      <c r="BD865" s="581"/>
      <c r="BE865" s="581"/>
      <c r="BF865" s="347"/>
      <c r="BG865" s="347"/>
      <c r="BH865" s="347"/>
      <c r="BI865" s="347"/>
      <c r="BJ865" s="586"/>
      <c r="BK865" s="581"/>
      <c r="BL865" s="347"/>
      <c r="BM865" s="347"/>
      <c r="BN865" s="347"/>
      <c r="BO865" s="586"/>
      <c r="BP865" s="584"/>
      <c r="BQ865" s="347"/>
      <c r="BR865" s="586"/>
      <c r="BS865" s="588"/>
      <c r="BT865" s="586"/>
      <c r="BU865" s="589"/>
      <c r="BV865" s="581">
        <f t="shared" si="44"/>
        <v>0</v>
      </c>
      <c r="BW865" s="590"/>
      <c r="BX865" s="347"/>
      <c r="BY865" s="347"/>
      <c r="BZ865" s="347"/>
      <c r="CA865" s="586"/>
      <c r="CB865" s="581"/>
      <c r="CC865" s="581">
        <f t="shared" si="193"/>
        <v>0</v>
      </c>
      <c r="CD865" s="581"/>
      <c r="CE865" s="581"/>
      <c r="CF865" s="581"/>
      <c r="CG865" s="586"/>
      <c r="CH865" s="608"/>
      <c r="CI865" s="603"/>
      <c r="CJ865" s="347"/>
      <c r="CK865" s="347"/>
      <c r="CL865" s="347"/>
      <c r="CM865" s="347"/>
      <c r="CN865" s="347"/>
      <c r="CO865" s="347"/>
      <c r="CP865" s="347"/>
    </row>
    <row r="866">
      <c r="A866" s="574"/>
      <c r="B866" s="574"/>
      <c r="C866" s="347"/>
      <c r="D866" s="574"/>
      <c r="E866" s="347"/>
      <c r="F866" s="596"/>
      <c r="G866" s="596"/>
      <c r="H866" s="347"/>
      <c r="I866" s="347"/>
      <c r="J866" s="596"/>
      <c r="K866" s="609"/>
      <c r="L866" s="1"/>
      <c r="M866" s="347"/>
      <c r="N866" s="347"/>
      <c r="O866" s="579"/>
      <c r="P866" s="579"/>
      <c r="Q866" s="574"/>
      <c r="R866" s="347"/>
      <c r="S866" s="597"/>
      <c r="T866" s="347"/>
      <c r="U866" s="579"/>
      <c r="V866" s="579"/>
      <c r="W866" s="574"/>
      <c r="X866" s="347"/>
      <c r="Y866" s="347"/>
      <c r="Z866" s="347"/>
      <c r="AA866" s="579"/>
      <c r="AB866" s="581"/>
      <c r="AC866" s="347"/>
      <c r="AD866" s="347"/>
      <c r="AE866" s="347"/>
      <c r="AF866" s="347"/>
      <c r="AG866" s="579"/>
      <c r="AH866" s="579"/>
      <c r="AI866" s="582"/>
      <c r="AJ866" s="582"/>
      <c r="AK866" s="582"/>
      <c r="AL866" s="582"/>
      <c r="AM866" s="579"/>
      <c r="AN866" s="579"/>
      <c r="AO866" s="347"/>
      <c r="AP866" s="586"/>
      <c r="AQ866" s="596"/>
      <c r="AR866" s="596"/>
      <c r="AS866" s="348"/>
      <c r="AT866" s="348"/>
      <c r="AU866" s="348"/>
      <c r="AV866" s="348"/>
      <c r="AW866" s="348"/>
      <c r="AX866" s="584"/>
      <c r="AY866" s="581"/>
      <c r="AZ866" s="581"/>
      <c r="BA866" s="596"/>
      <c r="BB866" s="596"/>
      <c r="BC866" s="348"/>
      <c r="BD866" s="581"/>
      <c r="BE866" s="581"/>
      <c r="BF866" s="347"/>
      <c r="BG866" s="347"/>
      <c r="BH866" s="347"/>
      <c r="BI866" s="347"/>
      <c r="BJ866" s="586"/>
      <c r="BK866" s="581"/>
      <c r="BL866" s="347"/>
      <c r="BM866" s="347"/>
      <c r="BN866" s="347"/>
      <c r="BO866" s="586"/>
      <c r="BP866" s="584"/>
      <c r="BQ866" s="347"/>
      <c r="BR866" s="586"/>
      <c r="BS866" s="588"/>
      <c r="BT866" s="586"/>
      <c r="BU866" s="589"/>
      <c r="BV866" s="581">
        <f t="shared" si="44"/>
        <v>0</v>
      </c>
      <c r="BW866" s="590"/>
      <c r="BX866" s="347"/>
      <c r="BY866" s="347"/>
      <c r="BZ866" s="347"/>
      <c r="CA866" s="586"/>
      <c r="CB866" s="581"/>
      <c r="CC866" s="581">
        <f t="shared" si="193"/>
        <v>0</v>
      </c>
      <c r="CD866" s="581"/>
      <c r="CE866" s="581"/>
      <c r="CF866" s="581"/>
      <c r="CG866" s="586"/>
      <c r="CH866" s="608"/>
      <c r="CI866" s="603"/>
      <c r="CJ866" s="347"/>
      <c r="CK866" s="347"/>
      <c r="CL866" s="347"/>
      <c r="CM866" s="347"/>
      <c r="CN866" s="347"/>
      <c r="CO866" s="347"/>
      <c r="CP866" s="347"/>
    </row>
    <row r="867">
      <c r="A867" s="574"/>
      <c r="B867" s="574"/>
      <c r="C867" s="347"/>
      <c r="D867" s="574"/>
      <c r="E867" s="347"/>
      <c r="F867" s="596"/>
      <c r="G867" s="596"/>
      <c r="H867" s="347"/>
      <c r="I867" s="347"/>
      <c r="J867" s="596"/>
      <c r="K867" s="609"/>
      <c r="L867" s="1"/>
      <c r="M867" s="347"/>
      <c r="N867" s="347"/>
      <c r="O867" s="579"/>
      <c r="P867" s="579"/>
      <c r="Q867" s="574"/>
      <c r="R867" s="347"/>
      <c r="S867" s="597"/>
      <c r="T867" s="347"/>
      <c r="U867" s="579"/>
      <c r="V867" s="579"/>
      <c r="W867" s="574"/>
      <c r="X867" s="347"/>
      <c r="Y867" s="347"/>
      <c r="Z867" s="347"/>
      <c r="AA867" s="579"/>
      <c r="AB867" s="581"/>
      <c r="AC867" s="347"/>
      <c r="AD867" s="347"/>
      <c r="AE867" s="347"/>
      <c r="AF867" s="347"/>
      <c r="AG867" s="579"/>
      <c r="AH867" s="579"/>
      <c r="AI867" s="582"/>
      <c r="AJ867" s="582"/>
      <c r="AK867" s="582"/>
      <c r="AL867" s="582"/>
      <c r="AM867" s="579"/>
      <c r="AN867" s="579"/>
      <c r="AO867" s="347"/>
      <c r="AP867" s="586"/>
      <c r="AQ867" s="596"/>
      <c r="AR867" s="596"/>
      <c r="AS867" s="348"/>
      <c r="AT867" s="348"/>
      <c r="AU867" s="348"/>
      <c r="AV867" s="348"/>
      <c r="AW867" s="348"/>
      <c r="AX867" s="584"/>
      <c r="AY867" s="581"/>
      <c r="AZ867" s="581"/>
      <c r="BA867" s="596"/>
      <c r="BB867" s="596"/>
      <c r="BC867" s="348"/>
      <c r="BD867" s="581"/>
      <c r="BE867" s="581"/>
      <c r="BF867" s="347"/>
      <c r="BG867" s="347"/>
      <c r="BH867" s="347"/>
      <c r="BI867" s="347"/>
      <c r="BJ867" s="586"/>
      <c r="BK867" s="581"/>
      <c r="BL867" s="347"/>
      <c r="BM867" s="347"/>
      <c r="BN867" s="347"/>
      <c r="BO867" s="586"/>
      <c r="BP867" s="584"/>
      <c r="BQ867" s="347"/>
      <c r="BR867" s="586"/>
      <c r="BS867" s="588"/>
      <c r="BT867" s="586"/>
      <c r="BU867" s="589"/>
      <c r="BV867" s="581">
        <f t="shared" si="44"/>
        <v>0</v>
      </c>
      <c r="BW867" s="590"/>
      <c r="BX867" s="347"/>
      <c r="BY867" s="347"/>
      <c r="BZ867" s="347"/>
      <c r="CA867" s="586"/>
      <c r="CB867" s="581"/>
      <c r="CC867" s="581">
        <f t="shared" si="193"/>
        <v>0</v>
      </c>
      <c r="CD867" s="581"/>
      <c r="CE867" s="581"/>
      <c r="CF867" s="581"/>
      <c r="CG867" s="586"/>
      <c r="CH867" s="608"/>
      <c r="CI867" s="603"/>
      <c r="CJ867" s="347"/>
      <c r="CK867" s="347"/>
      <c r="CL867" s="347"/>
      <c r="CM867" s="347"/>
      <c r="CN867" s="347"/>
      <c r="CO867" s="347"/>
      <c r="CP867" s="347"/>
    </row>
    <row r="868">
      <c r="A868" s="574"/>
      <c r="B868" s="574"/>
      <c r="C868" s="347"/>
      <c r="D868" s="574"/>
      <c r="E868" s="347"/>
      <c r="F868" s="596"/>
      <c r="G868" s="596"/>
      <c r="H868" s="347"/>
      <c r="I868" s="347"/>
      <c r="J868" s="596"/>
      <c r="K868" s="609"/>
      <c r="L868" s="1"/>
      <c r="M868" s="347"/>
      <c r="N868" s="347"/>
      <c r="O868" s="579"/>
      <c r="P868" s="579"/>
      <c r="Q868" s="574"/>
      <c r="R868" s="347"/>
      <c r="S868" s="597"/>
      <c r="T868" s="347"/>
      <c r="U868" s="579"/>
      <c r="V868" s="579"/>
      <c r="W868" s="574"/>
      <c r="X868" s="347"/>
      <c r="Y868" s="347"/>
      <c r="Z868" s="347"/>
      <c r="AA868" s="579"/>
      <c r="AB868" s="581"/>
      <c r="AC868" s="347"/>
      <c r="AD868" s="347"/>
      <c r="AE868" s="347"/>
      <c r="AF868" s="347"/>
      <c r="AG868" s="579"/>
      <c r="AH868" s="579"/>
      <c r="AI868" s="582"/>
      <c r="AJ868" s="582"/>
      <c r="AK868" s="582"/>
      <c r="AL868" s="582"/>
      <c r="AM868" s="579"/>
      <c r="AN868" s="579"/>
      <c r="AO868" s="347"/>
      <c r="AP868" s="586"/>
      <c r="AQ868" s="596"/>
      <c r="AR868" s="596"/>
      <c r="AS868" s="348"/>
      <c r="AT868" s="348"/>
      <c r="AU868" s="348"/>
      <c r="AV868" s="348"/>
      <c r="AW868" s="348"/>
      <c r="AX868" s="584"/>
      <c r="AY868" s="581"/>
      <c r="AZ868" s="581"/>
      <c r="BA868" s="596"/>
      <c r="BB868" s="596"/>
      <c r="BC868" s="348"/>
      <c r="BD868" s="581"/>
      <c r="BE868" s="581"/>
      <c r="BF868" s="347"/>
      <c r="BG868" s="347"/>
      <c r="BH868" s="347"/>
      <c r="BI868" s="347"/>
      <c r="BJ868" s="586"/>
      <c r="BK868" s="581"/>
      <c r="BL868" s="347"/>
      <c r="BM868" s="347"/>
      <c r="BN868" s="347"/>
      <c r="BO868" s="586"/>
      <c r="BP868" s="584"/>
      <c r="BQ868" s="347"/>
      <c r="BR868" s="586"/>
      <c r="BS868" s="588"/>
      <c r="BT868" s="586"/>
      <c r="BU868" s="589"/>
      <c r="BV868" s="581">
        <f t="shared" si="44"/>
        <v>0</v>
      </c>
      <c r="BW868" s="590"/>
      <c r="BX868" s="347"/>
      <c r="BY868" s="347"/>
      <c r="BZ868" s="347"/>
      <c r="CA868" s="586"/>
      <c r="CB868" s="581"/>
      <c r="CC868" s="581">
        <f t="shared" si="193"/>
        <v>0</v>
      </c>
      <c r="CD868" s="581"/>
      <c r="CE868" s="581"/>
      <c r="CF868" s="581"/>
      <c r="CG868" s="586"/>
      <c r="CH868" s="608"/>
      <c r="CI868" s="603"/>
      <c r="CJ868" s="347"/>
      <c r="CK868" s="347"/>
      <c r="CL868" s="347"/>
      <c r="CM868" s="347"/>
      <c r="CN868" s="347"/>
      <c r="CO868" s="347"/>
      <c r="CP868" s="347"/>
    </row>
    <row r="869">
      <c r="A869" s="574"/>
      <c r="B869" s="574"/>
      <c r="C869" s="347"/>
      <c r="D869" s="574"/>
      <c r="E869" s="347"/>
      <c r="F869" s="596"/>
      <c r="G869" s="596"/>
      <c r="H869" s="347"/>
      <c r="I869" s="347"/>
      <c r="J869" s="596"/>
      <c r="K869" s="609"/>
      <c r="L869" s="1"/>
      <c r="M869" s="347"/>
      <c r="N869" s="347"/>
      <c r="O869" s="579"/>
      <c r="P869" s="579"/>
      <c r="Q869" s="574"/>
      <c r="R869" s="347"/>
      <c r="S869" s="597"/>
      <c r="T869" s="347"/>
      <c r="U869" s="579"/>
      <c r="V869" s="579"/>
      <c r="W869" s="574"/>
      <c r="X869" s="347"/>
      <c r="Y869" s="347"/>
      <c r="Z869" s="347"/>
      <c r="AA869" s="579"/>
      <c r="AB869" s="581"/>
      <c r="AC869" s="347"/>
      <c r="AD869" s="347"/>
      <c r="AE869" s="347"/>
      <c r="AF869" s="347"/>
      <c r="AG869" s="579"/>
      <c r="AH869" s="579"/>
      <c r="AI869" s="582"/>
      <c r="AJ869" s="582"/>
      <c r="AK869" s="582"/>
      <c r="AL869" s="582"/>
      <c r="AM869" s="579"/>
      <c r="AN869" s="579"/>
      <c r="AO869" s="347"/>
      <c r="AP869" s="586"/>
      <c r="AQ869" s="596"/>
      <c r="AR869" s="596"/>
      <c r="AS869" s="348"/>
      <c r="AT869" s="348"/>
      <c r="AU869" s="348"/>
      <c r="AV869" s="348"/>
      <c r="AW869" s="348"/>
      <c r="AX869" s="584"/>
      <c r="AY869" s="581"/>
      <c r="AZ869" s="581"/>
      <c r="BA869" s="596"/>
      <c r="BB869" s="596"/>
      <c r="BC869" s="348"/>
      <c r="BD869" s="581"/>
      <c r="BE869" s="581"/>
      <c r="BF869" s="347"/>
      <c r="BG869" s="347"/>
      <c r="BH869" s="347"/>
      <c r="BI869" s="347"/>
      <c r="BJ869" s="586"/>
      <c r="BK869" s="581"/>
      <c r="BL869" s="347"/>
      <c r="BM869" s="347"/>
      <c r="BN869" s="347"/>
      <c r="BO869" s="586"/>
      <c r="BP869" s="584"/>
      <c r="BQ869" s="347"/>
      <c r="BR869" s="586"/>
      <c r="BS869" s="588"/>
      <c r="BT869" s="586"/>
      <c r="BU869" s="589"/>
      <c r="BV869" s="581">
        <f t="shared" si="44"/>
        <v>0</v>
      </c>
      <c r="BW869" s="590"/>
      <c r="BX869" s="347"/>
      <c r="BY869" s="347"/>
      <c r="BZ869" s="347"/>
      <c r="CA869" s="586"/>
      <c r="CB869" s="581"/>
      <c r="CC869" s="581">
        <f t="shared" si="193"/>
        <v>0</v>
      </c>
      <c r="CD869" s="581"/>
      <c r="CE869" s="581"/>
      <c r="CF869" s="581"/>
      <c r="CG869" s="586"/>
      <c r="CH869" s="608"/>
      <c r="CI869" s="603"/>
      <c r="CJ869" s="347"/>
      <c r="CK869" s="347"/>
      <c r="CL869" s="347"/>
      <c r="CM869" s="347"/>
      <c r="CN869" s="347"/>
      <c r="CO869" s="347"/>
      <c r="CP869" s="347"/>
    </row>
    <row r="870">
      <c r="A870" s="574"/>
      <c r="B870" s="574"/>
      <c r="C870" s="347"/>
      <c r="D870" s="574"/>
      <c r="E870" s="347"/>
      <c r="F870" s="596"/>
      <c r="G870" s="596"/>
      <c r="H870" s="347"/>
      <c r="I870" s="347"/>
      <c r="J870" s="596"/>
      <c r="K870" s="609"/>
      <c r="L870" s="1"/>
      <c r="M870" s="347"/>
      <c r="N870" s="347"/>
      <c r="O870" s="579"/>
      <c r="P870" s="579"/>
      <c r="Q870" s="574"/>
      <c r="R870" s="347"/>
      <c r="S870" s="597"/>
      <c r="T870" s="347"/>
      <c r="U870" s="579"/>
      <c r="V870" s="579"/>
      <c r="W870" s="574"/>
      <c r="X870" s="347"/>
      <c r="Y870" s="347"/>
      <c r="Z870" s="347"/>
      <c r="AA870" s="579"/>
      <c r="AB870" s="581"/>
      <c r="AC870" s="347"/>
      <c r="AD870" s="347"/>
      <c r="AE870" s="347"/>
      <c r="AF870" s="347"/>
      <c r="AG870" s="579"/>
      <c r="AH870" s="579"/>
      <c r="AI870" s="582"/>
      <c r="AJ870" s="582"/>
      <c r="AK870" s="582"/>
      <c r="AL870" s="582"/>
      <c r="AM870" s="579"/>
      <c r="AN870" s="579"/>
      <c r="AO870" s="347"/>
      <c r="AP870" s="586"/>
      <c r="AQ870" s="596"/>
      <c r="AR870" s="596"/>
      <c r="AS870" s="348"/>
      <c r="AT870" s="348"/>
      <c r="AU870" s="348"/>
      <c r="AV870" s="348"/>
      <c r="AW870" s="348"/>
      <c r="AX870" s="584"/>
      <c r="AY870" s="581"/>
      <c r="AZ870" s="581"/>
      <c r="BA870" s="596"/>
      <c r="BB870" s="596"/>
      <c r="BC870" s="348"/>
      <c r="BD870" s="581"/>
      <c r="BE870" s="581"/>
      <c r="BF870" s="347"/>
      <c r="BG870" s="347"/>
      <c r="BH870" s="347"/>
      <c r="BI870" s="347"/>
      <c r="BJ870" s="586"/>
      <c r="BK870" s="581"/>
      <c r="BL870" s="347"/>
      <c r="BM870" s="347"/>
      <c r="BN870" s="347"/>
      <c r="BO870" s="586"/>
      <c r="BP870" s="584"/>
      <c r="BQ870" s="347"/>
      <c r="BR870" s="586"/>
      <c r="BS870" s="588"/>
      <c r="BT870" s="586"/>
      <c r="BU870" s="589"/>
      <c r="BV870" s="581">
        <f t="shared" si="44"/>
        <v>0</v>
      </c>
      <c r="BW870" s="590"/>
      <c r="BX870" s="347"/>
      <c r="BY870" s="347"/>
      <c r="BZ870" s="347"/>
      <c r="CA870" s="586"/>
      <c r="CB870" s="581"/>
      <c r="CC870" s="581">
        <f t="shared" si="193"/>
        <v>0</v>
      </c>
      <c r="CD870" s="581"/>
      <c r="CE870" s="581"/>
      <c r="CF870" s="581"/>
      <c r="CG870" s="586"/>
      <c r="CH870" s="608"/>
      <c r="CI870" s="603"/>
      <c r="CJ870" s="347"/>
      <c r="CK870" s="347"/>
      <c r="CL870" s="347"/>
      <c r="CM870" s="347"/>
      <c r="CN870" s="347"/>
      <c r="CO870" s="347"/>
      <c r="CP870" s="347"/>
    </row>
    <row r="871">
      <c r="A871" s="574"/>
      <c r="B871" s="574"/>
      <c r="C871" s="347"/>
      <c r="D871" s="574"/>
      <c r="E871" s="347"/>
      <c r="F871" s="596"/>
      <c r="G871" s="596"/>
      <c r="H871" s="347"/>
      <c r="I871" s="347"/>
      <c r="J871" s="596"/>
      <c r="K871" s="609"/>
      <c r="L871" s="1"/>
      <c r="M871" s="347"/>
      <c r="N871" s="347"/>
      <c r="O871" s="579"/>
      <c r="P871" s="579"/>
      <c r="Q871" s="574"/>
      <c r="R871" s="347"/>
      <c r="S871" s="597"/>
      <c r="T871" s="347"/>
      <c r="U871" s="579"/>
      <c r="V871" s="579"/>
      <c r="W871" s="574"/>
      <c r="X871" s="347"/>
      <c r="Y871" s="347"/>
      <c r="Z871" s="347"/>
      <c r="AA871" s="579"/>
      <c r="AB871" s="581"/>
      <c r="AC871" s="347"/>
      <c r="AD871" s="347"/>
      <c r="AE871" s="347"/>
      <c r="AF871" s="347"/>
      <c r="AG871" s="579"/>
      <c r="AH871" s="579"/>
      <c r="AI871" s="582"/>
      <c r="AJ871" s="582"/>
      <c r="AK871" s="582"/>
      <c r="AL871" s="582"/>
      <c r="AM871" s="579"/>
      <c r="AN871" s="579"/>
      <c r="AO871" s="347"/>
      <c r="AP871" s="586"/>
      <c r="AQ871" s="596"/>
      <c r="AR871" s="596"/>
      <c r="AS871" s="348"/>
      <c r="AT871" s="348"/>
      <c r="AU871" s="348"/>
      <c r="AV871" s="348"/>
      <c r="AW871" s="348"/>
      <c r="AX871" s="584"/>
      <c r="AY871" s="581"/>
      <c r="AZ871" s="581"/>
      <c r="BA871" s="596"/>
      <c r="BB871" s="596"/>
      <c r="BC871" s="348"/>
      <c r="BD871" s="581"/>
      <c r="BE871" s="581"/>
      <c r="BF871" s="347"/>
      <c r="BG871" s="347"/>
      <c r="BH871" s="347"/>
      <c r="BI871" s="347"/>
      <c r="BJ871" s="586"/>
      <c r="BK871" s="581"/>
      <c r="BL871" s="347"/>
      <c r="BM871" s="347"/>
      <c r="BN871" s="347"/>
      <c r="BO871" s="586"/>
      <c r="BP871" s="584"/>
      <c r="BQ871" s="347"/>
      <c r="BR871" s="586"/>
      <c r="BS871" s="588"/>
      <c r="BT871" s="586"/>
      <c r="BU871" s="589"/>
      <c r="BV871" s="581">
        <f t="shared" si="44"/>
        <v>0</v>
      </c>
      <c r="BW871" s="590"/>
      <c r="BX871" s="347"/>
      <c r="BY871" s="347"/>
      <c r="BZ871" s="347"/>
      <c r="CA871" s="586"/>
      <c r="CB871" s="581"/>
      <c r="CC871" s="581">
        <f t="shared" si="193"/>
        <v>0</v>
      </c>
      <c r="CD871" s="581"/>
      <c r="CE871" s="581"/>
      <c r="CF871" s="581"/>
      <c r="CG871" s="586"/>
      <c r="CH871" s="608"/>
      <c r="CI871" s="603"/>
      <c r="CJ871" s="347"/>
      <c r="CK871" s="347"/>
      <c r="CL871" s="347"/>
      <c r="CM871" s="347"/>
      <c r="CN871" s="347"/>
      <c r="CO871" s="347"/>
      <c r="CP871" s="347"/>
    </row>
    <row r="872">
      <c r="A872" s="574"/>
      <c r="B872" s="574"/>
      <c r="C872" s="347"/>
      <c r="D872" s="574"/>
      <c r="E872" s="347"/>
      <c r="F872" s="596"/>
      <c r="G872" s="596"/>
      <c r="H872" s="347"/>
      <c r="I872" s="347"/>
      <c r="J872" s="596"/>
      <c r="K872" s="609"/>
      <c r="L872" s="1"/>
      <c r="M872" s="347"/>
      <c r="N872" s="347"/>
      <c r="O872" s="579"/>
      <c r="P872" s="579"/>
      <c r="Q872" s="574"/>
      <c r="R872" s="347"/>
      <c r="S872" s="597"/>
      <c r="T872" s="347"/>
      <c r="U872" s="579"/>
      <c r="V872" s="579"/>
      <c r="W872" s="574"/>
      <c r="X872" s="347"/>
      <c r="Y872" s="347"/>
      <c r="Z872" s="347"/>
      <c r="AA872" s="579"/>
      <c r="AB872" s="581"/>
      <c r="AC872" s="347"/>
      <c r="AD872" s="347"/>
      <c r="AE872" s="347"/>
      <c r="AF872" s="347"/>
      <c r="AG872" s="579"/>
      <c r="AH872" s="579"/>
      <c r="AI872" s="582"/>
      <c r="AJ872" s="582"/>
      <c r="AK872" s="582"/>
      <c r="AL872" s="582"/>
      <c r="AM872" s="579"/>
      <c r="AN872" s="579"/>
      <c r="AO872" s="347"/>
      <c r="AP872" s="586"/>
      <c r="AQ872" s="596"/>
      <c r="AR872" s="596"/>
      <c r="AS872" s="348"/>
      <c r="AT872" s="348"/>
      <c r="AU872" s="348"/>
      <c r="AV872" s="348"/>
      <c r="AW872" s="348"/>
      <c r="AX872" s="584"/>
      <c r="AY872" s="581"/>
      <c r="AZ872" s="581"/>
      <c r="BA872" s="596"/>
      <c r="BB872" s="596"/>
      <c r="BC872" s="348"/>
      <c r="BD872" s="581"/>
      <c r="BE872" s="581"/>
      <c r="BF872" s="347"/>
      <c r="BG872" s="347"/>
      <c r="BH872" s="347"/>
      <c r="BI872" s="347"/>
      <c r="BJ872" s="586"/>
      <c r="BK872" s="581"/>
      <c r="BL872" s="347"/>
      <c r="BM872" s="347"/>
      <c r="BN872" s="347"/>
      <c r="BO872" s="586"/>
      <c r="BP872" s="584"/>
      <c r="BQ872" s="347"/>
      <c r="BR872" s="586"/>
      <c r="BS872" s="588"/>
      <c r="BT872" s="586"/>
      <c r="BU872" s="589"/>
      <c r="BV872" s="581">
        <f t="shared" si="44"/>
        <v>0</v>
      </c>
      <c r="BW872" s="590"/>
      <c r="BX872" s="347"/>
      <c r="BY872" s="347"/>
      <c r="BZ872" s="347"/>
      <c r="CA872" s="586"/>
      <c r="CB872" s="581"/>
      <c r="CC872" s="581">
        <f t="shared" si="193"/>
        <v>0</v>
      </c>
      <c r="CD872" s="581"/>
      <c r="CE872" s="581"/>
      <c r="CF872" s="581"/>
      <c r="CG872" s="586"/>
      <c r="CH872" s="608"/>
      <c r="CI872" s="603"/>
      <c r="CJ872" s="347"/>
      <c r="CK872" s="347"/>
      <c r="CL872" s="347"/>
      <c r="CM872" s="347"/>
      <c r="CN872" s="347"/>
      <c r="CO872" s="347"/>
      <c r="CP872" s="347"/>
    </row>
    <row r="873">
      <c r="A873" s="574"/>
      <c r="B873" s="574"/>
      <c r="C873" s="347"/>
      <c r="D873" s="574"/>
      <c r="E873" s="347"/>
      <c r="F873" s="596"/>
      <c r="G873" s="596"/>
      <c r="H873" s="347"/>
      <c r="I873" s="347"/>
      <c r="J873" s="596"/>
      <c r="K873" s="609"/>
      <c r="L873" s="1"/>
      <c r="M873" s="347"/>
      <c r="N873" s="347"/>
      <c r="O873" s="579"/>
      <c r="P873" s="579"/>
      <c r="Q873" s="574"/>
      <c r="R873" s="347"/>
      <c r="S873" s="597"/>
      <c r="T873" s="347"/>
      <c r="U873" s="579"/>
      <c r="V873" s="579"/>
      <c r="W873" s="574"/>
      <c r="X873" s="347"/>
      <c r="Y873" s="347"/>
      <c r="Z873" s="347"/>
      <c r="AA873" s="579"/>
      <c r="AB873" s="581"/>
      <c r="AC873" s="347"/>
      <c r="AD873" s="347"/>
      <c r="AE873" s="347"/>
      <c r="AF873" s="347"/>
      <c r="AG873" s="579"/>
      <c r="AH873" s="579"/>
      <c r="AI873" s="582"/>
      <c r="AJ873" s="582"/>
      <c r="AK873" s="582"/>
      <c r="AL873" s="582"/>
      <c r="AM873" s="579"/>
      <c r="AN873" s="579"/>
      <c r="AO873" s="347"/>
      <c r="AP873" s="586"/>
      <c r="AQ873" s="596"/>
      <c r="AR873" s="596"/>
      <c r="AS873" s="348"/>
      <c r="AT873" s="348"/>
      <c r="AU873" s="348"/>
      <c r="AV873" s="348"/>
      <c r="AW873" s="348"/>
      <c r="AX873" s="584"/>
      <c r="AY873" s="581"/>
      <c r="AZ873" s="581"/>
      <c r="BA873" s="596"/>
      <c r="BB873" s="596"/>
      <c r="BC873" s="348"/>
      <c r="BD873" s="581"/>
      <c r="BE873" s="581"/>
      <c r="BF873" s="347"/>
      <c r="BG873" s="347"/>
      <c r="BH873" s="347"/>
      <c r="BI873" s="347"/>
      <c r="BJ873" s="586"/>
      <c r="BK873" s="581"/>
      <c r="BL873" s="347"/>
      <c r="BM873" s="347"/>
      <c r="BN873" s="347"/>
      <c r="BO873" s="586"/>
      <c r="BP873" s="584"/>
      <c r="BQ873" s="347"/>
      <c r="BR873" s="586"/>
      <c r="BS873" s="588"/>
      <c r="BT873" s="586"/>
      <c r="BU873" s="589"/>
      <c r="BV873" s="581">
        <f t="shared" si="44"/>
        <v>0</v>
      </c>
      <c r="BW873" s="590"/>
      <c r="BX873" s="347"/>
      <c r="BY873" s="347"/>
      <c r="BZ873" s="347"/>
      <c r="CA873" s="586"/>
      <c r="CB873" s="581"/>
      <c r="CC873" s="581">
        <f t="shared" si="193"/>
        <v>0</v>
      </c>
      <c r="CD873" s="581"/>
      <c r="CE873" s="581"/>
      <c r="CF873" s="581"/>
      <c r="CG873" s="586"/>
      <c r="CH873" s="608"/>
      <c r="CI873" s="603"/>
      <c r="CJ873" s="347"/>
      <c r="CK873" s="347"/>
      <c r="CL873" s="347"/>
      <c r="CM873" s="347"/>
      <c r="CN873" s="347"/>
      <c r="CO873" s="347"/>
      <c r="CP873" s="347"/>
    </row>
    <row r="874">
      <c r="A874" s="574"/>
      <c r="B874" s="574"/>
      <c r="C874" s="347"/>
      <c r="D874" s="574"/>
      <c r="E874" s="347"/>
      <c r="F874" s="596"/>
      <c r="G874" s="596"/>
      <c r="H874" s="347"/>
      <c r="I874" s="347"/>
      <c r="J874" s="596"/>
      <c r="K874" s="609"/>
      <c r="L874" s="1"/>
      <c r="M874" s="347"/>
      <c r="N874" s="347"/>
      <c r="O874" s="579"/>
      <c r="P874" s="579"/>
      <c r="Q874" s="574"/>
      <c r="R874" s="347"/>
      <c r="S874" s="597"/>
      <c r="T874" s="347"/>
      <c r="U874" s="579"/>
      <c r="V874" s="579"/>
      <c r="W874" s="574"/>
      <c r="X874" s="347"/>
      <c r="Y874" s="347"/>
      <c r="Z874" s="347"/>
      <c r="AA874" s="579"/>
      <c r="AB874" s="581"/>
      <c r="AC874" s="347"/>
      <c r="AD874" s="347"/>
      <c r="AE874" s="347"/>
      <c r="AF874" s="347"/>
      <c r="AG874" s="579"/>
      <c r="AH874" s="579"/>
      <c r="AI874" s="582"/>
      <c r="AJ874" s="582"/>
      <c r="AK874" s="582"/>
      <c r="AL874" s="582"/>
      <c r="AM874" s="579"/>
      <c r="AN874" s="579"/>
      <c r="AO874" s="347"/>
      <c r="AP874" s="586"/>
      <c r="AQ874" s="596"/>
      <c r="AR874" s="596"/>
      <c r="AS874" s="348"/>
      <c r="AT874" s="348"/>
      <c r="AU874" s="348"/>
      <c r="AV874" s="348"/>
      <c r="AW874" s="348"/>
      <c r="AX874" s="584"/>
      <c r="AY874" s="581"/>
      <c r="AZ874" s="581"/>
      <c r="BA874" s="596"/>
      <c r="BB874" s="596"/>
      <c r="BC874" s="348"/>
      <c r="BD874" s="581"/>
      <c r="BE874" s="581"/>
      <c r="BF874" s="347"/>
      <c r="BG874" s="347"/>
      <c r="BH874" s="347"/>
      <c r="BI874" s="347"/>
      <c r="BJ874" s="586"/>
      <c r="BK874" s="581"/>
      <c r="BL874" s="347"/>
      <c r="BM874" s="347"/>
      <c r="BN874" s="347"/>
      <c r="BO874" s="586"/>
      <c r="BP874" s="584"/>
      <c r="BQ874" s="347"/>
      <c r="BR874" s="586"/>
      <c r="BS874" s="588"/>
      <c r="BT874" s="586"/>
      <c r="BU874" s="589"/>
      <c r="BV874" s="581">
        <f t="shared" si="44"/>
        <v>0</v>
      </c>
      <c r="BW874" s="590"/>
      <c r="BX874" s="347"/>
      <c r="BY874" s="347"/>
      <c r="BZ874" s="347"/>
      <c r="CA874" s="586"/>
      <c r="CB874" s="581"/>
      <c r="CC874" s="581">
        <f t="shared" si="193"/>
        <v>0</v>
      </c>
      <c r="CD874" s="581"/>
      <c r="CE874" s="581"/>
      <c r="CF874" s="581"/>
      <c r="CG874" s="586"/>
      <c r="CH874" s="608"/>
      <c r="CI874" s="603"/>
      <c r="CJ874" s="347"/>
      <c r="CK874" s="347"/>
      <c r="CL874" s="347"/>
      <c r="CM874" s="347"/>
      <c r="CN874" s="347"/>
      <c r="CO874" s="347"/>
      <c r="CP874" s="347"/>
    </row>
    <row r="875">
      <c r="A875" s="574"/>
      <c r="B875" s="574"/>
      <c r="C875" s="347"/>
      <c r="D875" s="574"/>
      <c r="E875" s="347"/>
      <c r="F875" s="596"/>
      <c r="G875" s="596"/>
      <c r="H875" s="347"/>
      <c r="I875" s="347"/>
      <c r="J875" s="596"/>
      <c r="K875" s="609"/>
      <c r="L875" s="1"/>
      <c r="M875" s="347"/>
      <c r="N875" s="347"/>
      <c r="O875" s="579"/>
      <c r="P875" s="579"/>
      <c r="Q875" s="574"/>
      <c r="R875" s="347"/>
      <c r="S875" s="597"/>
      <c r="T875" s="347"/>
      <c r="U875" s="579"/>
      <c r="V875" s="579"/>
      <c r="W875" s="574"/>
      <c r="X875" s="347"/>
      <c r="Y875" s="347"/>
      <c r="Z875" s="347"/>
      <c r="AA875" s="579"/>
      <c r="AB875" s="581"/>
      <c r="AC875" s="347"/>
      <c r="AD875" s="347"/>
      <c r="AE875" s="347"/>
      <c r="AF875" s="347"/>
      <c r="AG875" s="579"/>
      <c r="AH875" s="579"/>
      <c r="AI875" s="582"/>
      <c r="AJ875" s="582"/>
      <c r="AK875" s="582"/>
      <c r="AL875" s="582"/>
      <c r="AM875" s="579"/>
      <c r="AN875" s="579"/>
      <c r="AO875" s="347"/>
      <c r="AP875" s="586"/>
      <c r="AQ875" s="596"/>
      <c r="AR875" s="596"/>
      <c r="AS875" s="348"/>
      <c r="AT875" s="348"/>
      <c r="AU875" s="348"/>
      <c r="AV875" s="348"/>
      <c r="AW875" s="348"/>
      <c r="AX875" s="584"/>
      <c r="AY875" s="581"/>
      <c r="AZ875" s="581"/>
      <c r="BA875" s="596"/>
      <c r="BB875" s="596"/>
      <c r="BC875" s="348"/>
      <c r="BD875" s="581"/>
      <c r="BE875" s="581"/>
      <c r="BF875" s="347"/>
      <c r="BG875" s="347"/>
      <c r="BH875" s="347"/>
      <c r="BI875" s="347"/>
      <c r="BJ875" s="586"/>
      <c r="BK875" s="581"/>
      <c r="BL875" s="347"/>
      <c r="BM875" s="347"/>
      <c r="BN875" s="347"/>
      <c r="BO875" s="586"/>
      <c r="BP875" s="584"/>
      <c r="BQ875" s="347"/>
      <c r="BR875" s="586"/>
      <c r="BS875" s="588"/>
      <c r="BT875" s="586"/>
      <c r="BU875" s="589"/>
      <c r="BV875" s="581">
        <f t="shared" si="44"/>
        <v>0</v>
      </c>
      <c r="BW875" s="590"/>
      <c r="BX875" s="347"/>
      <c r="BY875" s="347"/>
      <c r="BZ875" s="347"/>
      <c r="CA875" s="586"/>
      <c r="CB875" s="581"/>
      <c r="CC875" s="581">
        <f t="shared" si="193"/>
        <v>0</v>
      </c>
      <c r="CD875" s="581"/>
      <c r="CE875" s="581"/>
      <c r="CF875" s="581"/>
      <c r="CG875" s="586"/>
      <c r="CH875" s="608"/>
      <c r="CI875" s="603"/>
      <c r="CJ875" s="347"/>
      <c r="CK875" s="347"/>
      <c r="CL875" s="347"/>
      <c r="CM875" s="347"/>
      <c r="CN875" s="347"/>
      <c r="CO875" s="347"/>
      <c r="CP875" s="347"/>
    </row>
    <row r="876">
      <c r="A876" s="574"/>
      <c r="B876" s="574"/>
      <c r="C876" s="347"/>
      <c r="D876" s="574"/>
      <c r="E876" s="347"/>
      <c r="F876" s="596"/>
      <c r="G876" s="596"/>
      <c r="H876" s="347"/>
      <c r="I876" s="347"/>
      <c r="J876" s="596"/>
      <c r="K876" s="609"/>
      <c r="L876" s="1"/>
      <c r="M876" s="347"/>
      <c r="N876" s="347"/>
      <c r="O876" s="579"/>
      <c r="P876" s="579"/>
      <c r="Q876" s="574"/>
      <c r="R876" s="347"/>
      <c r="S876" s="597"/>
      <c r="T876" s="347"/>
      <c r="U876" s="579"/>
      <c r="V876" s="579"/>
      <c r="W876" s="574"/>
      <c r="X876" s="347"/>
      <c r="Y876" s="347"/>
      <c r="Z876" s="347"/>
      <c r="AA876" s="579"/>
      <c r="AB876" s="581"/>
      <c r="AC876" s="347"/>
      <c r="AD876" s="347"/>
      <c r="AE876" s="347"/>
      <c r="AF876" s="347"/>
      <c r="AG876" s="579"/>
      <c r="AH876" s="579"/>
      <c r="AI876" s="582"/>
      <c r="AJ876" s="582"/>
      <c r="AK876" s="582"/>
      <c r="AL876" s="582"/>
      <c r="AM876" s="579"/>
      <c r="AN876" s="579"/>
      <c r="AO876" s="347"/>
      <c r="AP876" s="586"/>
      <c r="AQ876" s="596"/>
      <c r="AR876" s="596"/>
      <c r="AS876" s="348"/>
      <c r="AT876" s="348"/>
      <c r="AU876" s="348"/>
      <c r="AV876" s="348"/>
      <c r="AW876" s="348"/>
      <c r="AX876" s="584"/>
      <c r="AY876" s="581"/>
      <c r="AZ876" s="581"/>
      <c r="BA876" s="596"/>
      <c r="BB876" s="596"/>
      <c r="BC876" s="348"/>
      <c r="BD876" s="581"/>
      <c r="BE876" s="581"/>
      <c r="BF876" s="347"/>
      <c r="BG876" s="347"/>
      <c r="BH876" s="347"/>
      <c r="BI876" s="347"/>
      <c r="BJ876" s="586"/>
      <c r="BK876" s="581"/>
      <c r="BL876" s="347"/>
      <c r="BM876" s="347"/>
      <c r="BN876" s="347"/>
      <c r="BO876" s="586"/>
      <c r="BP876" s="584"/>
      <c r="BQ876" s="347"/>
      <c r="BR876" s="586"/>
      <c r="BS876" s="588"/>
      <c r="BT876" s="586"/>
      <c r="BU876" s="589"/>
      <c r="BV876" s="581">
        <f t="shared" si="44"/>
        <v>0</v>
      </c>
      <c r="BW876" s="590"/>
      <c r="BX876" s="347"/>
      <c r="BY876" s="347"/>
      <c r="BZ876" s="347"/>
      <c r="CA876" s="586"/>
      <c r="CB876" s="581"/>
      <c r="CC876" s="581">
        <f t="shared" si="193"/>
        <v>0</v>
      </c>
      <c r="CD876" s="581"/>
      <c r="CE876" s="581"/>
      <c r="CF876" s="581"/>
      <c r="CG876" s="586"/>
      <c r="CH876" s="608"/>
      <c r="CI876" s="603"/>
      <c r="CJ876" s="347"/>
      <c r="CK876" s="347"/>
      <c r="CL876" s="347"/>
      <c r="CM876" s="347"/>
      <c r="CN876" s="347"/>
      <c r="CO876" s="347"/>
      <c r="CP876" s="347"/>
    </row>
    <row r="877">
      <c r="A877" s="574"/>
      <c r="B877" s="574"/>
      <c r="C877" s="347"/>
      <c r="D877" s="574"/>
      <c r="E877" s="347"/>
      <c r="F877" s="596"/>
      <c r="G877" s="596"/>
      <c r="H877" s="347"/>
      <c r="I877" s="347"/>
      <c r="J877" s="596"/>
      <c r="K877" s="609"/>
      <c r="L877" s="1"/>
      <c r="M877" s="347"/>
      <c r="N877" s="347"/>
      <c r="O877" s="579"/>
      <c r="P877" s="579"/>
      <c r="Q877" s="574"/>
      <c r="R877" s="347"/>
      <c r="S877" s="597"/>
      <c r="T877" s="347"/>
      <c r="U877" s="579"/>
      <c r="V877" s="579"/>
      <c r="W877" s="574"/>
      <c r="X877" s="347"/>
      <c r="Y877" s="347"/>
      <c r="Z877" s="347"/>
      <c r="AA877" s="579"/>
      <c r="AB877" s="581"/>
      <c r="AC877" s="347"/>
      <c r="AD877" s="347"/>
      <c r="AE877" s="347"/>
      <c r="AF877" s="347"/>
      <c r="AG877" s="579"/>
      <c r="AH877" s="579"/>
      <c r="AI877" s="582"/>
      <c r="AJ877" s="582"/>
      <c r="AK877" s="582"/>
      <c r="AL877" s="582"/>
      <c r="AM877" s="579"/>
      <c r="AN877" s="579"/>
      <c r="AO877" s="347"/>
      <c r="AP877" s="586"/>
      <c r="AQ877" s="596"/>
      <c r="AR877" s="596"/>
      <c r="AS877" s="348"/>
      <c r="AT877" s="348"/>
      <c r="AU877" s="348"/>
      <c r="AV877" s="348"/>
      <c r="AW877" s="348"/>
      <c r="AX877" s="584"/>
      <c r="AY877" s="581"/>
      <c r="AZ877" s="581"/>
      <c r="BA877" s="596"/>
      <c r="BB877" s="596"/>
      <c r="BC877" s="348"/>
      <c r="BD877" s="581"/>
      <c r="BE877" s="581"/>
      <c r="BF877" s="347"/>
      <c r="BG877" s="347"/>
      <c r="BH877" s="347"/>
      <c r="BI877" s="347"/>
      <c r="BJ877" s="586"/>
      <c r="BK877" s="581"/>
      <c r="BL877" s="347"/>
      <c r="BM877" s="347"/>
      <c r="BN877" s="347"/>
      <c r="BO877" s="586"/>
      <c r="BP877" s="584"/>
      <c r="BQ877" s="347"/>
      <c r="BR877" s="586"/>
      <c r="BS877" s="588"/>
      <c r="BT877" s="586"/>
      <c r="BU877" s="589"/>
      <c r="BV877" s="581">
        <f t="shared" si="44"/>
        <v>0</v>
      </c>
      <c r="BW877" s="590"/>
      <c r="BX877" s="347"/>
      <c r="BY877" s="347"/>
      <c r="BZ877" s="347"/>
      <c r="CA877" s="586"/>
      <c r="CB877" s="581"/>
      <c r="CC877" s="581">
        <f t="shared" si="193"/>
        <v>0</v>
      </c>
      <c r="CD877" s="581"/>
      <c r="CE877" s="581"/>
      <c r="CF877" s="581"/>
      <c r="CG877" s="586"/>
      <c r="CH877" s="608"/>
      <c r="CI877" s="603"/>
      <c r="CJ877" s="347"/>
      <c r="CK877" s="347"/>
      <c r="CL877" s="347"/>
      <c r="CM877" s="347"/>
      <c r="CN877" s="347"/>
      <c r="CO877" s="347"/>
      <c r="CP877" s="347"/>
    </row>
    <row r="878">
      <c r="A878" s="574"/>
      <c r="B878" s="574"/>
      <c r="C878" s="347"/>
      <c r="D878" s="574"/>
      <c r="E878" s="347"/>
      <c r="F878" s="596"/>
      <c r="G878" s="596"/>
      <c r="H878" s="347"/>
      <c r="I878" s="347"/>
      <c r="J878" s="596"/>
      <c r="K878" s="609"/>
      <c r="L878" s="1"/>
      <c r="M878" s="347"/>
      <c r="N878" s="347"/>
      <c r="O878" s="579"/>
      <c r="P878" s="579"/>
      <c r="Q878" s="574"/>
      <c r="R878" s="347"/>
      <c r="S878" s="597"/>
      <c r="T878" s="347"/>
      <c r="U878" s="579"/>
      <c r="V878" s="579"/>
      <c r="W878" s="574"/>
      <c r="X878" s="347"/>
      <c r="Y878" s="347"/>
      <c r="Z878" s="347"/>
      <c r="AA878" s="579"/>
      <c r="AB878" s="581"/>
      <c r="AC878" s="347"/>
      <c r="AD878" s="347"/>
      <c r="AE878" s="347"/>
      <c r="AF878" s="347"/>
      <c r="AG878" s="579"/>
      <c r="AH878" s="579"/>
      <c r="AI878" s="582"/>
      <c r="AJ878" s="582"/>
      <c r="AK878" s="582"/>
      <c r="AL878" s="582"/>
      <c r="AM878" s="579"/>
      <c r="AN878" s="579"/>
      <c r="AO878" s="347"/>
      <c r="AP878" s="586"/>
      <c r="AQ878" s="596"/>
      <c r="AR878" s="596"/>
      <c r="AS878" s="348"/>
      <c r="AT878" s="348"/>
      <c r="AU878" s="348"/>
      <c r="AV878" s="348"/>
      <c r="AW878" s="348"/>
      <c r="AX878" s="584"/>
      <c r="AY878" s="581"/>
      <c r="AZ878" s="581"/>
      <c r="BA878" s="596"/>
      <c r="BB878" s="596"/>
      <c r="BC878" s="348"/>
      <c r="BD878" s="581"/>
      <c r="BE878" s="581"/>
      <c r="BF878" s="347"/>
      <c r="BG878" s="347"/>
      <c r="BH878" s="347"/>
      <c r="BI878" s="347"/>
      <c r="BJ878" s="586"/>
      <c r="BK878" s="581"/>
      <c r="BL878" s="347"/>
      <c r="BM878" s="347"/>
      <c r="BN878" s="347"/>
      <c r="BO878" s="586"/>
      <c r="BP878" s="584"/>
      <c r="BQ878" s="347"/>
      <c r="BR878" s="586"/>
      <c r="BS878" s="588"/>
      <c r="BT878" s="586"/>
      <c r="BU878" s="589"/>
      <c r="BV878" s="581">
        <f t="shared" si="44"/>
        <v>0</v>
      </c>
      <c r="BW878" s="590"/>
      <c r="BX878" s="347"/>
      <c r="BY878" s="347"/>
      <c r="BZ878" s="347"/>
      <c r="CA878" s="586"/>
      <c r="CB878" s="581"/>
      <c r="CC878" s="581">
        <f t="shared" si="193"/>
        <v>0</v>
      </c>
      <c r="CD878" s="581"/>
      <c r="CE878" s="581"/>
      <c r="CF878" s="581"/>
      <c r="CG878" s="586"/>
      <c r="CH878" s="608"/>
      <c r="CI878" s="603"/>
      <c r="CJ878" s="347"/>
      <c r="CK878" s="347"/>
      <c r="CL878" s="347"/>
      <c r="CM878" s="347"/>
      <c r="CN878" s="347"/>
      <c r="CO878" s="347"/>
      <c r="CP878" s="347"/>
    </row>
    <row r="879">
      <c r="A879" s="574"/>
      <c r="B879" s="574"/>
      <c r="C879" s="347"/>
      <c r="D879" s="574"/>
      <c r="E879" s="347"/>
      <c r="F879" s="596"/>
      <c r="G879" s="596"/>
      <c r="H879" s="347"/>
      <c r="I879" s="347"/>
      <c r="J879" s="596"/>
      <c r="K879" s="609"/>
      <c r="L879" s="1"/>
      <c r="M879" s="347"/>
      <c r="N879" s="347"/>
      <c r="O879" s="579"/>
      <c r="P879" s="579"/>
      <c r="Q879" s="574"/>
      <c r="R879" s="347"/>
      <c r="S879" s="597"/>
      <c r="T879" s="347"/>
      <c r="U879" s="579"/>
      <c r="V879" s="579"/>
      <c r="W879" s="574"/>
      <c r="X879" s="347"/>
      <c r="Y879" s="347"/>
      <c r="Z879" s="347"/>
      <c r="AA879" s="579"/>
      <c r="AB879" s="581"/>
      <c r="AC879" s="347"/>
      <c r="AD879" s="347"/>
      <c r="AE879" s="347"/>
      <c r="AF879" s="347"/>
      <c r="AG879" s="579"/>
      <c r="AH879" s="579"/>
      <c r="AI879" s="582"/>
      <c r="AJ879" s="582"/>
      <c r="AK879" s="582"/>
      <c r="AL879" s="582"/>
      <c r="AM879" s="579"/>
      <c r="AN879" s="579"/>
      <c r="AO879" s="347"/>
      <c r="AP879" s="586"/>
      <c r="AQ879" s="596"/>
      <c r="AR879" s="596"/>
      <c r="AS879" s="348"/>
      <c r="AT879" s="348"/>
      <c r="AU879" s="348"/>
      <c r="AV879" s="348"/>
      <c r="AW879" s="348"/>
      <c r="AX879" s="584"/>
      <c r="AY879" s="581"/>
      <c r="AZ879" s="581"/>
      <c r="BA879" s="596"/>
      <c r="BB879" s="596"/>
      <c r="BC879" s="348"/>
      <c r="BD879" s="581"/>
      <c r="BE879" s="581"/>
      <c r="BF879" s="347"/>
      <c r="BG879" s="347"/>
      <c r="BH879" s="347"/>
      <c r="BI879" s="347"/>
      <c r="BJ879" s="586"/>
      <c r="BK879" s="581"/>
      <c r="BL879" s="347"/>
      <c r="BM879" s="347"/>
      <c r="BN879" s="347"/>
      <c r="BO879" s="586"/>
      <c r="BP879" s="584"/>
      <c r="BQ879" s="347"/>
      <c r="BR879" s="586"/>
      <c r="BS879" s="588"/>
      <c r="BT879" s="586"/>
      <c r="BU879" s="589"/>
      <c r="BV879" s="581">
        <f t="shared" si="44"/>
        <v>0</v>
      </c>
      <c r="BW879" s="590"/>
      <c r="BX879" s="347"/>
      <c r="BY879" s="347"/>
      <c r="BZ879" s="347"/>
      <c r="CA879" s="586"/>
      <c r="CB879" s="581"/>
      <c r="CC879" s="581">
        <f t="shared" si="193"/>
        <v>0</v>
      </c>
      <c r="CD879" s="581"/>
      <c r="CE879" s="581"/>
      <c r="CF879" s="581"/>
      <c r="CG879" s="586"/>
      <c r="CH879" s="608"/>
      <c r="CI879" s="603"/>
      <c r="CJ879" s="347"/>
      <c r="CK879" s="347"/>
      <c r="CL879" s="347"/>
      <c r="CM879" s="347"/>
      <c r="CN879" s="347"/>
      <c r="CO879" s="347"/>
      <c r="CP879" s="347"/>
    </row>
    <row r="880">
      <c r="A880" s="574"/>
      <c r="B880" s="574"/>
      <c r="C880" s="347"/>
      <c r="D880" s="574"/>
      <c r="E880" s="347"/>
      <c r="F880" s="596"/>
      <c r="G880" s="596"/>
      <c r="H880" s="347"/>
      <c r="I880" s="347"/>
      <c r="J880" s="596"/>
      <c r="K880" s="609"/>
      <c r="L880" s="1"/>
      <c r="M880" s="347"/>
      <c r="N880" s="347"/>
      <c r="O880" s="579"/>
      <c r="P880" s="579"/>
      <c r="Q880" s="574"/>
      <c r="R880" s="347"/>
      <c r="S880" s="597"/>
      <c r="T880" s="347"/>
      <c r="U880" s="579"/>
      <c r="V880" s="579"/>
      <c r="W880" s="574"/>
      <c r="X880" s="347"/>
      <c r="Y880" s="347"/>
      <c r="Z880" s="347"/>
      <c r="AA880" s="579"/>
      <c r="AB880" s="581"/>
      <c r="AC880" s="347"/>
      <c r="AD880" s="347"/>
      <c r="AE880" s="347"/>
      <c r="AF880" s="347"/>
      <c r="AG880" s="579"/>
      <c r="AH880" s="579"/>
      <c r="AI880" s="582"/>
      <c r="AJ880" s="582"/>
      <c r="AK880" s="582"/>
      <c r="AL880" s="582"/>
      <c r="AM880" s="579"/>
      <c r="AN880" s="579"/>
      <c r="AO880" s="347"/>
      <c r="AP880" s="586"/>
      <c r="AQ880" s="596"/>
      <c r="AR880" s="596"/>
      <c r="AS880" s="348"/>
      <c r="AT880" s="348"/>
      <c r="AU880" s="348"/>
      <c r="AV880" s="348"/>
      <c r="AW880" s="348"/>
      <c r="AX880" s="584"/>
      <c r="AY880" s="581"/>
      <c r="AZ880" s="581"/>
      <c r="BA880" s="596"/>
      <c r="BB880" s="596"/>
      <c r="BC880" s="348"/>
      <c r="BD880" s="581"/>
      <c r="BE880" s="581"/>
      <c r="BF880" s="347"/>
      <c r="BG880" s="347"/>
      <c r="BH880" s="347"/>
      <c r="BI880" s="347"/>
      <c r="BJ880" s="586"/>
      <c r="BK880" s="581"/>
      <c r="BL880" s="347"/>
      <c r="BM880" s="347"/>
      <c r="BN880" s="347"/>
      <c r="BO880" s="586"/>
      <c r="BP880" s="584"/>
      <c r="BQ880" s="347"/>
      <c r="BR880" s="586"/>
      <c r="BS880" s="588"/>
      <c r="BT880" s="586"/>
      <c r="BU880" s="589"/>
      <c r="BV880" s="581">
        <f t="shared" si="44"/>
        <v>0</v>
      </c>
      <c r="BW880" s="590"/>
      <c r="BX880" s="347"/>
      <c r="BY880" s="347"/>
      <c r="BZ880" s="347"/>
      <c r="CA880" s="586"/>
      <c r="CB880" s="581"/>
      <c r="CC880" s="581">
        <f t="shared" si="193"/>
        <v>0</v>
      </c>
      <c r="CD880" s="581"/>
      <c r="CE880" s="581"/>
      <c r="CF880" s="581"/>
      <c r="CG880" s="586"/>
      <c r="CH880" s="608"/>
      <c r="CI880" s="603"/>
      <c r="CJ880" s="347"/>
      <c r="CK880" s="347"/>
      <c r="CL880" s="347"/>
      <c r="CM880" s="347"/>
      <c r="CN880" s="347"/>
      <c r="CO880" s="347"/>
      <c r="CP880" s="347"/>
    </row>
    <row r="881">
      <c r="A881" s="574"/>
      <c r="B881" s="574"/>
      <c r="C881" s="347"/>
      <c r="D881" s="574"/>
      <c r="E881" s="347"/>
      <c r="F881" s="596"/>
      <c r="G881" s="596"/>
      <c r="H881" s="347"/>
      <c r="I881" s="347"/>
      <c r="J881" s="596"/>
      <c r="K881" s="609"/>
      <c r="L881" s="1"/>
      <c r="M881" s="347"/>
      <c r="N881" s="347"/>
      <c r="O881" s="579"/>
      <c r="P881" s="579"/>
      <c r="Q881" s="574"/>
      <c r="R881" s="347"/>
      <c r="S881" s="597"/>
      <c r="T881" s="347"/>
      <c r="U881" s="579"/>
      <c r="V881" s="579"/>
      <c r="W881" s="574"/>
      <c r="X881" s="347"/>
      <c r="Y881" s="347"/>
      <c r="Z881" s="347"/>
      <c r="AA881" s="579"/>
      <c r="AB881" s="581"/>
      <c r="AC881" s="347"/>
      <c r="AD881" s="347"/>
      <c r="AE881" s="347"/>
      <c r="AF881" s="347"/>
      <c r="AG881" s="579"/>
      <c r="AH881" s="579"/>
      <c r="AI881" s="582"/>
      <c r="AJ881" s="582"/>
      <c r="AK881" s="582"/>
      <c r="AL881" s="582"/>
      <c r="AM881" s="579"/>
      <c r="AN881" s="579"/>
      <c r="AO881" s="347"/>
      <c r="AP881" s="586"/>
      <c r="AQ881" s="596"/>
      <c r="AR881" s="596"/>
      <c r="AS881" s="348"/>
      <c r="AT881" s="348"/>
      <c r="AU881" s="348"/>
      <c r="AV881" s="348"/>
      <c r="AW881" s="348"/>
      <c r="AX881" s="584"/>
      <c r="AY881" s="581"/>
      <c r="AZ881" s="581"/>
      <c r="BA881" s="596"/>
      <c r="BB881" s="596"/>
      <c r="BC881" s="348"/>
      <c r="BD881" s="581"/>
      <c r="BE881" s="581"/>
      <c r="BF881" s="347"/>
      <c r="BG881" s="347"/>
      <c r="BH881" s="347"/>
      <c r="BI881" s="347"/>
      <c r="BJ881" s="586"/>
      <c r="BK881" s="581"/>
      <c r="BL881" s="347"/>
      <c r="BM881" s="347"/>
      <c r="BN881" s="347"/>
      <c r="BO881" s="586"/>
      <c r="BP881" s="584"/>
      <c r="BQ881" s="347"/>
      <c r="BR881" s="586"/>
      <c r="BS881" s="588"/>
      <c r="BT881" s="586"/>
      <c r="BU881" s="589"/>
      <c r="BV881" s="581">
        <f t="shared" si="44"/>
        <v>0</v>
      </c>
      <c r="BW881" s="590"/>
      <c r="BX881" s="347"/>
      <c r="BY881" s="347"/>
      <c r="BZ881" s="347"/>
      <c r="CA881" s="586"/>
      <c r="CB881" s="581"/>
      <c r="CC881" s="581">
        <f t="shared" si="193"/>
        <v>0</v>
      </c>
      <c r="CD881" s="581"/>
      <c r="CE881" s="581"/>
      <c r="CF881" s="581"/>
      <c r="CG881" s="586"/>
      <c r="CH881" s="608"/>
      <c r="CI881" s="603"/>
      <c r="CJ881" s="347"/>
      <c r="CK881" s="347"/>
      <c r="CL881" s="347"/>
      <c r="CM881" s="347"/>
      <c r="CN881" s="347"/>
      <c r="CO881" s="347"/>
      <c r="CP881" s="347"/>
    </row>
    <row r="882">
      <c r="A882" s="574"/>
      <c r="B882" s="574"/>
      <c r="C882" s="347"/>
      <c r="D882" s="574"/>
      <c r="E882" s="347"/>
      <c r="F882" s="596"/>
      <c r="G882" s="596"/>
      <c r="H882" s="347"/>
      <c r="I882" s="347"/>
      <c r="J882" s="596"/>
      <c r="K882" s="609"/>
      <c r="L882" s="1"/>
      <c r="M882" s="347"/>
      <c r="N882" s="347"/>
      <c r="O882" s="579"/>
      <c r="P882" s="579"/>
      <c r="Q882" s="574"/>
      <c r="R882" s="347"/>
      <c r="S882" s="597"/>
      <c r="T882" s="347"/>
      <c r="U882" s="579"/>
      <c r="V882" s="579"/>
      <c r="W882" s="574"/>
      <c r="X882" s="347"/>
      <c r="Y882" s="347"/>
      <c r="Z882" s="347"/>
      <c r="AA882" s="579"/>
      <c r="AB882" s="581"/>
      <c r="AC882" s="347"/>
      <c r="AD882" s="347"/>
      <c r="AE882" s="347"/>
      <c r="AF882" s="347"/>
      <c r="AG882" s="579"/>
      <c r="AH882" s="579"/>
      <c r="AI882" s="582"/>
      <c r="AJ882" s="582"/>
      <c r="AK882" s="582"/>
      <c r="AL882" s="582"/>
      <c r="AM882" s="579"/>
      <c r="AN882" s="579"/>
      <c r="AO882" s="347"/>
      <c r="AP882" s="586"/>
      <c r="AQ882" s="596"/>
      <c r="AR882" s="596"/>
      <c r="AS882" s="348"/>
      <c r="AT882" s="348"/>
      <c r="AU882" s="348"/>
      <c r="AV882" s="348"/>
      <c r="AW882" s="348"/>
      <c r="AX882" s="584"/>
      <c r="AY882" s="581"/>
      <c r="AZ882" s="581"/>
      <c r="BA882" s="596"/>
      <c r="BB882" s="596"/>
      <c r="BC882" s="348"/>
      <c r="BD882" s="581"/>
      <c r="BE882" s="581"/>
      <c r="BF882" s="347"/>
      <c r="BG882" s="347"/>
      <c r="BH882" s="347"/>
      <c r="BI882" s="347"/>
      <c r="BJ882" s="586"/>
      <c r="BK882" s="581"/>
      <c r="BL882" s="347"/>
      <c r="BM882" s="347"/>
      <c r="BN882" s="347"/>
      <c r="BO882" s="586"/>
      <c r="BP882" s="584"/>
      <c r="BQ882" s="347"/>
      <c r="BR882" s="586"/>
      <c r="BS882" s="588"/>
      <c r="BT882" s="586"/>
      <c r="BU882" s="589"/>
      <c r="BV882" s="581">
        <f t="shared" si="44"/>
        <v>0</v>
      </c>
      <c r="BW882" s="590"/>
      <c r="BX882" s="347"/>
      <c r="BY882" s="347"/>
      <c r="BZ882" s="347"/>
      <c r="CA882" s="586"/>
      <c r="CB882" s="581"/>
      <c r="CC882" s="581">
        <f t="shared" si="193"/>
        <v>0</v>
      </c>
      <c r="CD882" s="581"/>
      <c r="CE882" s="581"/>
      <c r="CF882" s="581"/>
      <c r="CG882" s="586"/>
      <c r="CH882" s="608"/>
      <c r="CI882" s="603"/>
      <c r="CJ882" s="347"/>
      <c r="CK882" s="347"/>
      <c r="CL882" s="347"/>
      <c r="CM882" s="347"/>
      <c r="CN882" s="347"/>
      <c r="CO882" s="347"/>
      <c r="CP882" s="347"/>
    </row>
    <row r="883">
      <c r="A883" s="574"/>
      <c r="B883" s="574"/>
      <c r="C883" s="347"/>
      <c r="D883" s="574"/>
      <c r="E883" s="347"/>
      <c r="F883" s="596"/>
      <c r="G883" s="596"/>
      <c r="H883" s="347"/>
      <c r="I883" s="347"/>
      <c r="J883" s="596"/>
      <c r="K883" s="609"/>
      <c r="L883" s="1"/>
      <c r="M883" s="347"/>
      <c r="N883" s="347"/>
      <c r="O883" s="579"/>
      <c r="P883" s="579"/>
      <c r="Q883" s="574"/>
      <c r="R883" s="347"/>
      <c r="S883" s="597"/>
      <c r="T883" s="347"/>
      <c r="U883" s="579"/>
      <c r="V883" s="579"/>
      <c r="W883" s="574"/>
      <c r="X883" s="347"/>
      <c r="Y883" s="347"/>
      <c r="Z883" s="347"/>
      <c r="AA883" s="579"/>
      <c r="AB883" s="581"/>
      <c r="AC883" s="347"/>
      <c r="AD883" s="347"/>
      <c r="AE883" s="347"/>
      <c r="AF883" s="347"/>
      <c r="AG883" s="579"/>
      <c r="AH883" s="579"/>
      <c r="AI883" s="582"/>
      <c r="AJ883" s="582"/>
      <c r="AK883" s="582"/>
      <c r="AL883" s="582"/>
      <c r="AM883" s="579"/>
      <c r="AN883" s="579"/>
      <c r="AO883" s="347"/>
      <c r="AP883" s="586"/>
      <c r="AQ883" s="596"/>
      <c r="AR883" s="596"/>
      <c r="AS883" s="348"/>
      <c r="AT883" s="348"/>
      <c r="AU883" s="348"/>
      <c r="AV883" s="348"/>
      <c r="AW883" s="348"/>
      <c r="AX883" s="584"/>
      <c r="AY883" s="581"/>
      <c r="AZ883" s="581"/>
      <c r="BA883" s="596"/>
      <c r="BB883" s="596"/>
      <c r="BC883" s="348"/>
      <c r="BD883" s="581"/>
      <c r="BE883" s="581"/>
      <c r="BF883" s="347"/>
      <c r="BG883" s="347"/>
      <c r="BH883" s="347"/>
      <c r="BI883" s="347"/>
      <c r="BJ883" s="586"/>
      <c r="BK883" s="581"/>
      <c r="BL883" s="347"/>
      <c r="BM883" s="347"/>
      <c r="BN883" s="347"/>
      <c r="BO883" s="586"/>
      <c r="BP883" s="584"/>
      <c r="BQ883" s="347"/>
      <c r="BR883" s="586"/>
      <c r="BS883" s="588"/>
      <c r="BT883" s="586"/>
      <c r="BU883" s="589"/>
      <c r="BV883" s="581">
        <f t="shared" si="44"/>
        <v>0</v>
      </c>
      <c r="BW883" s="590"/>
      <c r="BX883" s="347"/>
      <c r="BY883" s="347"/>
      <c r="BZ883" s="347"/>
      <c r="CA883" s="586"/>
      <c r="CB883" s="581"/>
      <c r="CC883" s="581">
        <f t="shared" si="193"/>
        <v>0</v>
      </c>
      <c r="CD883" s="581"/>
      <c r="CE883" s="581"/>
      <c r="CF883" s="581"/>
      <c r="CG883" s="586"/>
      <c r="CH883" s="608"/>
      <c r="CI883" s="603"/>
      <c r="CJ883" s="347"/>
      <c r="CK883" s="347"/>
      <c r="CL883" s="347"/>
      <c r="CM883" s="347"/>
      <c r="CN883" s="347"/>
      <c r="CO883" s="347"/>
      <c r="CP883" s="347"/>
    </row>
    <row r="884">
      <c r="A884" s="574"/>
      <c r="B884" s="574"/>
      <c r="C884" s="347"/>
      <c r="D884" s="574"/>
      <c r="E884" s="347"/>
      <c r="F884" s="596"/>
      <c r="G884" s="596"/>
      <c r="H884" s="347"/>
      <c r="I884" s="347"/>
      <c r="J884" s="596"/>
      <c r="K884" s="609"/>
      <c r="L884" s="1"/>
      <c r="M884" s="347"/>
      <c r="N884" s="347"/>
      <c r="O884" s="579"/>
      <c r="P884" s="579"/>
      <c r="Q884" s="574"/>
      <c r="R884" s="347"/>
      <c r="S884" s="597"/>
      <c r="T884" s="347"/>
      <c r="U884" s="579"/>
      <c r="V884" s="579"/>
      <c r="W884" s="574"/>
      <c r="X884" s="347"/>
      <c r="Y884" s="347"/>
      <c r="Z884" s="347"/>
      <c r="AA884" s="579"/>
      <c r="AB884" s="581"/>
      <c r="AC884" s="347"/>
      <c r="AD884" s="347"/>
      <c r="AE884" s="347"/>
      <c r="AF884" s="347"/>
      <c r="AG884" s="579"/>
      <c r="AH884" s="579"/>
      <c r="AI884" s="582"/>
      <c r="AJ884" s="582"/>
      <c r="AK884" s="582"/>
      <c r="AL884" s="582"/>
      <c r="AM884" s="579"/>
      <c r="AN884" s="579"/>
      <c r="AO884" s="347"/>
      <c r="AP884" s="586"/>
      <c r="AQ884" s="596"/>
      <c r="AR884" s="596"/>
      <c r="AS884" s="348"/>
      <c r="AT884" s="348"/>
      <c r="AU884" s="348"/>
      <c r="AV884" s="348"/>
      <c r="AW884" s="348"/>
      <c r="AX884" s="584"/>
      <c r="AY884" s="581"/>
      <c r="AZ884" s="581"/>
      <c r="BA884" s="596"/>
      <c r="BB884" s="596"/>
      <c r="BC884" s="348"/>
      <c r="BD884" s="581"/>
      <c r="BE884" s="581"/>
      <c r="BF884" s="347"/>
      <c r="BG884" s="347"/>
      <c r="BH884" s="347"/>
      <c r="BI884" s="347"/>
      <c r="BJ884" s="586"/>
      <c r="BK884" s="581"/>
      <c r="BL884" s="347"/>
      <c r="BM884" s="347"/>
      <c r="BN884" s="347"/>
      <c r="BO884" s="586"/>
      <c r="BP884" s="584"/>
      <c r="BQ884" s="347"/>
      <c r="BR884" s="586"/>
      <c r="BS884" s="588"/>
      <c r="BT884" s="586"/>
      <c r="BU884" s="589"/>
      <c r="BV884" s="581">
        <f t="shared" si="44"/>
        <v>0</v>
      </c>
      <c r="BW884" s="590"/>
      <c r="BX884" s="347"/>
      <c r="BY884" s="347"/>
      <c r="BZ884" s="347"/>
      <c r="CA884" s="586"/>
      <c r="CB884" s="581"/>
      <c r="CC884" s="581">
        <f t="shared" si="193"/>
        <v>0</v>
      </c>
      <c r="CD884" s="581"/>
      <c r="CE884" s="581"/>
      <c r="CF884" s="581"/>
      <c r="CG884" s="586"/>
      <c r="CH884" s="608"/>
      <c r="CI884" s="603"/>
      <c r="CJ884" s="347"/>
      <c r="CK884" s="347"/>
      <c r="CL884" s="347"/>
      <c r="CM884" s="347"/>
      <c r="CN884" s="347"/>
      <c r="CO884" s="347"/>
      <c r="CP884" s="347"/>
    </row>
    <row r="885">
      <c r="A885" s="574"/>
      <c r="B885" s="574"/>
      <c r="C885" s="347"/>
      <c r="D885" s="574"/>
      <c r="E885" s="347"/>
      <c r="F885" s="596"/>
      <c r="G885" s="596"/>
      <c r="H885" s="347"/>
      <c r="I885" s="347"/>
      <c r="J885" s="596"/>
      <c r="K885" s="609"/>
      <c r="L885" s="1"/>
      <c r="M885" s="347"/>
      <c r="N885" s="347"/>
      <c r="O885" s="579"/>
      <c r="P885" s="579"/>
      <c r="Q885" s="574"/>
      <c r="R885" s="347"/>
      <c r="S885" s="597"/>
      <c r="T885" s="347"/>
      <c r="U885" s="579"/>
      <c r="V885" s="579"/>
      <c r="W885" s="574"/>
      <c r="X885" s="347"/>
      <c r="Y885" s="347"/>
      <c r="Z885" s="347"/>
      <c r="AA885" s="579"/>
      <c r="AB885" s="581"/>
      <c r="AC885" s="347"/>
      <c r="AD885" s="347"/>
      <c r="AE885" s="347"/>
      <c r="AF885" s="347"/>
      <c r="AG885" s="579"/>
      <c r="AH885" s="579"/>
      <c r="AI885" s="582"/>
      <c r="AJ885" s="582"/>
      <c r="AK885" s="582"/>
      <c r="AL885" s="582"/>
      <c r="AM885" s="579"/>
      <c r="AN885" s="579"/>
      <c r="AO885" s="347"/>
      <c r="AP885" s="586"/>
      <c r="AQ885" s="596"/>
      <c r="AR885" s="596"/>
      <c r="AS885" s="348"/>
      <c r="AT885" s="348"/>
      <c r="AU885" s="348"/>
      <c r="AV885" s="348"/>
      <c r="AW885" s="348"/>
      <c r="AX885" s="584"/>
      <c r="AY885" s="581"/>
      <c r="AZ885" s="581"/>
      <c r="BA885" s="596"/>
      <c r="BB885" s="596"/>
      <c r="BC885" s="348"/>
      <c r="BD885" s="581"/>
      <c r="BE885" s="581"/>
      <c r="BF885" s="347"/>
      <c r="BG885" s="347"/>
      <c r="BH885" s="347"/>
      <c r="BI885" s="347"/>
      <c r="BJ885" s="586"/>
      <c r="BK885" s="581"/>
      <c r="BL885" s="347"/>
      <c r="BM885" s="347"/>
      <c r="BN885" s="347"/>
      <c r="BO885" s="586"/>
      <c r="BP885" s="584"/>
      <c r="BQ885" s="347"/>
      <c r="BR885" s="586"/>
      <c r="BS885" s="588"/>
      <c r="BT885" s="586"/>
      <c r="BU885" s="589"/>
      <c r="BV885" s="581">
        <f t="shared" si="44"/>
        <v>0</v>
      </c>
      <c r="BW885" s="590"/>
      <c r="BX885" s="347"/>
      <c r="BY885" s="347"/>
      <c r="BZ885" s="347"/>
      <c r="CA885" s="586"/>
      <c r="CB885" s="581"/>
      <c r="CC885" s="581">
        <f t="shared" si="193"/>
        <v>0</v>
      </c>
      <c r="CD885" s="581"/>
      <c r="CE885" s="581"/>
      <c r="CF885" s="581"/>
      <c r="CG885" s="586"/>
      <c r="CH885" s="608"/>
      <c r="CI885" s="603"/>
      <c r="CJ885" s="347"/>
      <c r="CK885" s="347"/>
      <c r="CL885" s="347"/>
      <c r="CM885" s="347"/>
      <c r="CN885" s="347"/>
      <c r="CO885" s="347"/>
      <c r="CP885" s="347"/>
    </row>
    <row r="886">
      <c r="A886" s="574"/>
      <c r="B886" s="574"/>
      <c r="C886" s="347"/>
      <c r="D886" s="574"/>
      <c r="E886" s="347"/>
      <c r="F886" s="596"/>
      <c r="G886" s="596"/>
      <c r="H886" s="347"/>
      <c r="I886" s="347"/>
      <c r="J886" s="596"/>
      <c r="K886" s="609"/>
      <c r="L886" s="1"/>
      <c r="M886" s="347"/>
      <c r="N886" s="347"/>
      <c r="O886" s="579"/>
      <c r="P886" s="579"/>
      <c r="Q886" s="574"/>
      <c r="R886" s="347"/>
      <c r="S886" s="597"/>
      <c r="T886" s="347"/>
      <c r="U886" s="579"/>
      <c r="V886" s="579"/>
      <c r="W886" s="574"/>
      <c r="X886" s="347"/>
      <c r="Y886" s="347"/>
      <c r="Z886" s="347"/>
      <c r="AA886" s="579"/>
      <c r="AB886" s="581"/>
      <c r="AC886" s="347"/>
      <c r="AD886" s="347"/>
      <c r="AE886" s="347"/>
      <c r="AF886" s="347"/>
      <c r="AG886" s="579"/>
      <c r="AH886" s="579"/>
      <c r="AI886" s="582"/>
      <c r="AJ886" s="582"/>
      <c r="AK886" s="582"/>
      <c r="AL886" s="582"/>
      <c r="AM886" s="579"/>
      <c r="AN886" s="579"/>
      <c r="AO886" s="347"/>
      <c r="AP886" s="586"/>
      <c r="AQ886" s="596"/>
      <c r="AR886" s="596"/>
      <c r="AS886" s="348"/>
      <c r="AT886" s="348"/>
      <c r="AU886" s="348"/>
      <c r="AV886" s="348"/>
      <c r="AW886" s="348"/>
      <c r="AX886" s="584"/>
      <c r="AY886" s="581"/>
      <c r="AZ886" s="581"/>
      <c r="BA886" s="596"/>
      <c r="BB886" s="596"/>
      <c r="BC886" s="348"/>
      <c r="BD886" s="581"/>
      <c r="BE886" s="581"/>
      <c r="BF886" s="347"/>
      <c r="BG886" s="347"/>
      <c r="BH886" s="347"/>
      <c r="BI886" s="347"/>
      <c r="BJ886" s="586"/>
      <c r="BK886" s="581"/>
      <c r="BL886" s="347"/>
      <c r="BM886" s="347"/>
      <c r="BN886" s="347"/>
      <c r="BO886" s="586"/>
      <c r="BP886" s="584"/>
      <c r="BQ886" s="347"/>
      <c r="BR886" s="586"/>
      <c r="BS886" s="588"/>
      <c r="BT886" s="586"/>
      <c r="BU886" s="589"/>
      <c r="BV886" s="581">
        <f t="shared" si="44"/>
        <v>0</v>
      </c>
      <c r="BW886" s="590"/>
      <c r="BX886" s="347"/>
      <c r="BY886" s="347"/>
      <c r="BZ886" s="347"/>
      <c r="CA886" s="586"/>
      <c r="CB886" s="581"/>
      <c r="CC886" s="581">
        <f t="shared" si="193"/>
        <v>0</v>
      </c>
      <c r="CD886" s="581"/>
      <c r="CE886" s="581"/>
      <c r="CF886" s="581"/>
      <c r="CG886" s="586"/>
      <c r="CH886" s="608"/>
      <c r="CI886" s="603"/>
      <c r="CJ886" s="347"/>
      <c r="CK886" s="347"/>
      <c r="CL886" s="347"/>
      <c r="CM886" s="347"/>
      <c r="CN886" s="347"/>
      <c r="CO886" s="347"/>
      <c r="CP886" s="347"/>
    </row>
    <row r="887">
      <c r="A887" s="574"/>
      <c r="B887" s="574"/>
      <c r="C887" s="347"/>
      <c r="D887" s="574"/>
      <c r="E887" s="347"/>
      <c r="F887" s="596"/>
      <c r="G887" s="596"/>
      <c r="H887" s="347"/>
      <c r="I887" s="347"/>
      <c r="J887" s="596"/>
      <c r="K887" s="609"/>
      <c r="L887" s="1"/>
      <c r="M887" s="347"/>
      <c r="N887" s="347"/>
      <c r="O887" s="579"/>
      <c r="P887" s="579"/>
      <c r="Q887" s="574"/>
      <c r="R887" s="347"/>
      <c r="S887" s="597"/>
      <c r="T887" s="347"/>
      <c r="U887" s="579"/>
      <c r="V887" s="579"/>
      <c r="W887" s="574"/>
      <c r="X887" s="347"/>
      <c r="Y887" s="347"/>
      <c r="Z887" s="347"/>
      <c r="AA887" s="579"/>
      <c r="AB887" s="581"/>
      <c r="AC887" s="347"/>
      <c r="AD887" s="347"/>
      <c r="AE887" s="347"/>
      <c r="AF887" s="347"/>
      <c r="AG887" s="579"/>
      <c r="AH887" s="579"/>
      <c r="AI887" s="582"/>
      <c r="AJ887" s="582"/>
      <c r="AK887" s="582"/>
      <c r="AL887" s="582"/>
      <c r="AM887" s="579"/>
      <c r="AN887" s="579"/>
      <c r="AO887" s="347"/>
      <c r="AP887" s="586"/>
      <c r="AQ887" s="596"/>
      <c r="AR887" s="596"/>
      <c r="AS887" s="348"/>
      <c r="AT887" s="348"/>
      <c r="AU887" s="348"/>
      <c r="AV887" s="348"/>
      <c r="AW887" s="348"/>
      <c r="AX887" s="584"/>
      <c r="AY887" s="581"/>
      <c r="AZ887" s="581"/>
      <c r="BA887" s="596"/>
      <c r="BB887" s="596"/>
      <c r="BC887" s="348"/>
      <c r="BD887" s="581"/>
      <c r="BE887" s="581"/>
      <c r="BF887" s="347"/>
      <c r="BG887" s="347"/>
      <c r="BH887" s="347"/>
      <c r="BI887" s="347"/>
      <c r="BJ887" s="586"/>
      <c r="BK887" s="581"/>
      <c r="BL887" s="347"/>
      <c r="BM887" s="347"/>
      <c r="BN887" s="347"/>
      <c r="BO887" s="586"/>
      <c r="BP887" s="584"/>
      <c r="BQ887" s="347"/>
      <c r="BR887" s="586"/>
      <c r="BS887" s="588"/>
      <c r="BT887" s="586"/>
      <c r="BU887" s="589"/>
      <c r="BV887" s="581">
        <f t="shared" si="44"/>
        <v>0</v>
      </c>
      <c r="BW887" s="590"/>
      <c r="BX887" s="347"/>
      <c r="BY887" s="347"/>
      <c r="BZ887" s="347"/>
      <c r="CA887" s="586"/>
      <c r="CB887" s="581"/>
      <c r="CC887" s="581">
        <f t="shared" si="193"/>
        <v>0</v>
      </c>
      <c r="CD887" s="581"/>
      <c r="CE887" s="581"/>
      <c r="CF887" s="581"/>
      <c r="CG887" s="586"/>
      <c r="CH887" s="608"/>
      <c r="CI887" s="603"/>
      <c r="CJ887" s="347"/>
      <c r="CK887" s="347"/>
      <c r="CL887" s="347"/>
      <c r="CM887" s="347"/>
      <c r="CN887" s="347"/>
      <c r="CO887" s="347"/>
      <c r="CP887" s="347"/>
    </row>
    <row r="888">
      <c r="A888" s="574"/>
      <c r="B888" s="574"/>
      <c r="C888" s="347"/>
      <c r="D888" s="574"/>
      <c r="E888" s="347"/>
      <c r="F888" s="596"/>
      <c r="G888" s="596"/>
      <c r="H888" s="347"/>
      <c r="I888" s="347"/>
      <c r="J888" s="596"/>
      <c r="K888" s="609"/>
      <c r="L888" s="1"/>
      <c r="M888" s="347"/>
      <c r="N888" s="347"/>
      <c r="O888" s="579"/>
      <c r="P888" s="579"/>
      <c r="Q888" s="574"/>
      <c r="R888" s="347"/>
      <c r="S888" s="597"/>
      <c r="T888" s="347"/>
      <c r="U888" s="579"/>
      <c r="V888" s="579"/>
      <c r="W888" s="574"/>
      <c r="X888" s="347"/>
      <c r="Y888" s="347"/>
      <c r="Z888" s="347"/>
      <c r="AA888" s="579"/>
      <c r="AB888" s="581"/>
      <c r="AC888" s="347"/>
      <c r="AD888" s="347"/>
      <c r="AE888" s="347"/>
      <c r="AF888" s="347"/>
      <c r="AG888" s="579"/>
      <c r="AH888" s="579"/>
      <c r="AI888" s="582"/>
      <c r="AJ888" s="582"/>
      <c r="AK888" s="582"/>
      <c r="AL888" s="582"/>
      <c r="AM888" s="579"/>
      <c r="AN888" s="579"/>
      <c r="AO888" s="347"/>
      <c r="AP888" s="586"/>
      <c r="AQ888" s="596"/>
      <c r="AR888" s="596"/>
      <c r="AS888" s="348"/>
      <c r="AT888" s="348"/>
      <c r="AU888" s="348"/>
      <c r="AV888" s="348"/>
      <c r="AW888" s="348"/>
      <c r="AX888" s="584"/>
      <c r="AY888" s="581"/>
      <c r="AZ888" s="581"/>
      <c r="BA888" s="596"/>
      <c r="BB888" s="596"/>
      <c r="BC888" s="348"/>
      <c r="BD888" s="581"/>
      <c r="BE888" s="581"/>
      <c r="BF888" s="347"/>
      <c r="BG888" s="347"/>
      <c r="BH888" s="347"/>
      <c r="BI888" s="347"/>
      <c r="BJ888" s="586"/>
      <c r="BK888" s="581"/>
      <c r="BL888" s="347"/>
      <c r="BM888" s="347"/>
      <c r="BN888" s="347"/>
      <c r="BO888" s="586"/>
      <c r="BP888" s="584"/>
      <c r="BQ888" s="347"/>
      <c r="BR888" s="586"/>
      <c r="BS888" s="588"/>
      <c r="BT888" s="586"/>
      <c r="BU888" s="589"/>
      <c r="BV888" s="581">
        <f t="shared" si="44"/>
        <v>0</v>
      </c>
      <c r="BW888" s="590"/>
      <c r="BX888" s="347"/>
      <c r="BY888" s="347"/>
      <c r="BZ888" s="347"/>
      <c r="CA888" s="586"/>
      <c r="CB888" s="581"/>
      <c r="CC888" s="581">
        <f t="shared" si="193"/>
        <v>0</v>
      </c>
      <c r="CD888" s="581"/>
      <c r="CE888" s="581"/>
      <c r="CF888" s="581"/>
      <c r="CG888" s="586"/>
      <c r="CH888" s="608"/>
      <c r="CI888" s="603"/>
      <c r="CJ888" s="347"/>
      <c r="CK888" s="347"/>
      <c r="CL888" s="347"/>
      <c r="CM888" s="347"/>
      <c r="CN888" s="347"/>
      <c r="CO888" s="347"/>
      <c r="CP888" s="347"/>
    </row>
    <row r="889">
      <c r="A889" s="574"/>
      <c r="B889" s="574"/>
      <c r="C889" s="347"/>
      <c r="D889" s="574"/>
      <c r="E889" s="347"/>
      <c r="F889" s="596"/>
      <c r="G889" s="596"/>
      <c r="H889" s="347"/>
      <c r="I889" s="347"/>
      <c r="J889" s="596"/>
      <c r="K889" s="609"/>
      <c r="L889" s="1"/>
      <c r="M889" s="347"/>
      <c r="N889" s="347"/>
      <c r="O889" s="579"/>
      <c r="P889" s="579"/>
      <c r="Q889" s="574"/>
      <c r="R889" s="347"/>
      <c r="S889" s="597"/>
      <c r="T889" s="347"/>
      <c r="U889" s="579"/>
      <c r="V889" s="579"/>
      <c r="W889" s="574"/>
      <c r="X889" s="347"/>
      <c r="Y889" s="347"/>
      <c r="Z889" s="347"/>
      <c r="AA889" s="579"/>
      <c r="AB889" s="581"/>
      <c r="AC889" s="347"/>
      <c r="AD889" s="347"/>
      <c r="AE889" s="347"/>
      <c r="AF889" s="347"/>
      <c r="AG889" s="579"/>
      <c r="AH889" s="579"/>
      <c r="AI889" s="582"/>
      <c r="AJ889" s="582"/>
      <c r="AK889" s="582"/>
      <c r="AL889" s="582"/>
      <c r="AM889" s="579"/>
      <c r="AN889" s="579"/>
      <c r="AO889" s="347"/>
      <c r="AP889" s="586"/>
      <c r="AQ889" s="596"/>
      <c r="AR889" s="596"/>
      <c r="AS889" s="348"/>
      <c r="AT889" s="348"/>
      <c r="AU889" s="348"/>
      <c r="AV889" s="348"/>
      <c r="AW889" s="348"/>
      <c r="AX889" s="584"/>
      <c r="AY889" s="581"/>
      <c r="AZ889" s="581"/>
      <c r="BA889" s="596"/>
      <c r="BB889" s="596"/>
      <c r="BC889" s="348"/>
      <c r="BD889" s="581"/>
      <c r="BE889" s="581"/>
      <c r="BF889" s="347"/>
      <c r="BG889" s="347"/>
      <c r="BH889" s="347"/>
      <c r="BI889" s="347"/>
      <c r="BJ889" s="586"/>
      <c r="BK889" s="581"/>
      <c r="BL889" s="347"/>
      <c r="BM889" s="347"/>
      <c r="BN889" s="347"/>
      <c r="BO889" s="586"/>
      <c r="BP889" s="584"/>
      <c r="BQ889" s="347"/>
      <c r="BR889" s="586"/>
      <c r="BS889" s="588"/>
      <c r="BT889" s="586"/>
      <c r="BU889" s="589"/>
      <c r="BV889" s="581">
        <f t="shared" si="44"/>
        <v>0</v>
      </c>
      <c r="BW889" s="590"/>
      <c r="BX889" s="347"/>
      <c r="BY889" s="347"/>
      <c r="BZ889" s="347"/>
      <c r="CA889" s="586"/>
      <c r="CB889" s="581"/>
      <c r="CC889" s="581">
        <f t="shared" si="193"/>
        <v>0</v>
      </c>
      <c r="CD889" s="581"/>
      <c r="CE889" s="581"/>
      <c r="CF889" s="581"/>
      <c r="CG889" s="586"/>
      <c r="CH889" s="608"/>
      <c r="CI889" s="603"/>
      <c r="CJ889" s="347"/>
      <c r="CK889" s="347"/>
      <c r="CL889" s="347"/>
      <c r="CM889" s="347"/>
      <c r="CN889" s="347"/>
      <c r="CO889" s="347"/>
      <c r="CP889" s="347"/>
    </row>
    <row r="890">
      <c r="A890" s="574"/>
      <c r="B890" s="574"/>
      <c r="C890" s="347"/>
      <c r="D890" s="574"/>
      <c r="E890" s="347"/>
      <c r="F890" s="596"/>
      <c r="G890" s="596"/>
      <c r="H890" s="347"/>
      <c r="I890" s="347"/>
      <c r="J890" s="596"/>
      <c r="K890" s="609"/>
      <c r="L890" s="1"/>
      <c r="M890" s="347"/>
      <c r="N890" s="347"/>
      <c r="O890" s="579"/>
      <c r="P890" s="579"/>
      <c r="Q890" s="574"/>
      <c r="R890" s="347"/>
      <c r="S890" s="597"/>
      <c r="T890" s="347"/>
      <c r="U890" s="579"/>
      <c r="V890" s="579"/>
      <c r="W890" s="574"/>
      <c r="X890" s="347"/>
      <c r="Y890" s="347"/>
      <c r="Z890" s="347"/>
      <c r="AA890" s="579"/>
      <c r="AB890" s="581"/>
      <c r="AC890" s="347"/>
      <c r="AD890" s="347"/>
      <c r="AE890" s="347"/>
      <c r="AF890" s="347"/>
      <c r="AG890" s="579"/>
      <c r="AH890" s="579"/>
      <c r="AI890" s="582"/>
      <c r="AJ890" s="582"/>
      <c r="AK890" s="582"/>
      <c r="AL890" s="582"/>
      <c r="AM890" s="579"/>
      <c r="AN890" s="579"/>
      <c r="AO890" s="347"/>
      <c r="AP890" s="586"/>
      <c r="AQ890" s="596"/>
      <c r="AR890" s="596"/>
      <c r="AS890" s="348"/>
      <c r="AT890" s="348"/>
      <c r="AU890" s="348"/>
      <c r="AV890" s="348"/>
      <c r="AW890" s="348"/>
      <c r="AX890" s="584"/>
      <c r="AY890" s="581"/>
      <c r="AZ890" s="581"/>
      <c r="BA890" s="596"/>
      <c r="BB890" s="596"/>
      <c r="BC890" s="348"/>
      <c r="BD890" s="581"/>
      <c r="BE890" s="581"/>
      <c r="BF890" s="347"/>
      <c r="BG890" s="347"/>
      <c r="BH890" s="347"/>
      <c r="BI890" s="347"/>
      <c r="BJ890" s="586"/>
      <c r="BK890" s="581"/>
      <c r="BL890" s="347"/>
      <c r="BM890" s="347"/>
      <c r="BN890" s="347"/>
      <c r="BO890" s="586"/>
      <c r="BP890" s="584"/>
      <c r="BQ890" s="347"/>
      <c r="BR890" s="586"/>
      <c r="BS890" s="588"/>
      <c r="BT890" s="586"/>
      <c r="BU890" s="589"/>
      <c r="BV890" s="581">
        <f t="shared" si="44"/>
        <v>0</v>
      </c>
      <c r="BW890" s="590"/>
      <c r="BX890" s="347"/>
      <c r="BY890" s="347"/>
      <c r="BZ890" s="347"/>
      <c r="CA890" s="586"/>
      <c r="CB890" s="581"/>
      <c r="CC890" s="581">
        <f t="shared" si="193"/>
        <v>0</v>
      </c>
      <c r="CD890" s="581"/>
      <c r="CE890" s="581"/>
      <c r="CF890" s="581"/>
      <c r="CG890" s="586"/>
      <c r="CH890" s="608"/>
      <c r="CI890" s="603"/>
      <c r="CJ890" s="347"/>
      <c r="CK890" s="347"/>
      <c r="CL890" s="347"/>
      <c r="CM890" s="347"/>
      <c r="CN890" s="347"/>
      <c r="CO890" s="347"/>
      <c r="CP890" s="347"/>
    </row>
    <row r="891">
      <c r="A891" s="574"/>
      <c r="B891" s="574"/>
      <c r="C891" s="347"/>
      <c r="D891" s="574"/>
      <c r="E891" s="347"/>
      <c r="F891" s="596"/>
      <c r="G891" s="596"/>
      <c r="H891" s="347"/>
      <c r="I891" s="347"/>
      <c r="J891" s="596"/>
      <c r="K891" s="609"/>
      <c r="L891" s="1"/>
      <c r="M891" s="347"/>
      <c r="N891" s="347"/>
      <c r="O891" s="579"/>
      <c r="P891" s="579"/>
      <c r="Q891" s="574"/>
      <c r="R891" s="347"/>
      <c r="S891" s="597"/>
      <c r="T891" s="347"/>
      <c r="U891" s="579"/>
      <c r="V891" s="579"/>
      <c r="W891" s="574"/>
      <c r="X891" s="347"/>
      <c r="Y891" s="347"/>
      <c r="Z891" s="347"/>
      <c r="AA891" s="579"/>
      <c r="AB891" s="581"/>
      <c r="AC891" s="347"/>
      <c r="AD891" s="347"/>
      <c r="AE891" s="347"/>
      <c r="AF891" s="347"/>
      <c r="AG891" s="579"/>
      <c r="AH891" s="579"/>
      <c r="AI891" s="582"/>
      <c r="AJ891" s="582"/>
      <c r="AK891" s="582"/>
      <c r="AL891" s="582"/>
      <c r="AM891" s="579"/>
      <c r="AN891" s="579"/>
      <c r="AO891" s="347"/>
      <c r="AP891" s="586"/>
      <c r="AQ891" s="596"/>
      <c r="AR891" s="596"/>
      <c r="AS891" s="348"/>
      <c r="AT891" s="348"/>
      <c r="AU891" s="348"/>
      <c r="AV891" s="348"/>
      <c r="AW891" s="348"/>
      <c r="AX891" s="584"/>
      <c r="AY891" s="581"/>
      <c r="AZ891" s="581"/>
      <c r="BA891" s="596"/>
      <c r="BB891" s="596"/>
      <c r="BC891" s="348"/>
      <c r="BD891" s="581"/>
      <c r="BE891" s="581"/>
      <c r="BF891" s="347"/>
      <c r="BG891" s="347"/>
      <c r="BH891" s="347"/>
      <c r="BI891" s="347"/>
      <c r="BJ891" s="586"/>
      <c r="BK891" s="581"/>
      <c r="BL891" s="347"/>
      <c r="BM891" s="347"/>
      <c r="BN891" s="347"/>
      <c r="BO891" s="586"/>
      <c r="BP891" s="584"/>
      <c r="BQ891" s="347"/>
      <c r="BR891" s="586"/>
      <c r="BS891" s="588"/>
      <c r="BT891" s="586"/>
      <c r="BU891" s="589"/>
      <c r="BV891" s="581">
        <f t="shared" si="44"/>
        <v>0</v>
      </c>
      <c r="BW891" s="590"/>
      <c r="BX891" s="347"/>
      <c r="BY891" s="347"/>
      <c r="BZ891" s="347"/>
      <c r="CA891" s="586"/>
      <c r="CB891" s="581"/>
      <c r="CC891" s="581">
        <f t="shared" si="193"/>
        <v>0</v>
      </c>
      <c r="CD891" s="581"/>
      <c r="CE891" s="581"/>
      <c r="CF891" s="581"/>
      <c r="CG891" s="586"/>
      <c r="CH891" s="608"/>
      <c r="CI891" s="603"/>
      <c r="CJ891" s="347"/>
      <c r="CK891" s="347"/>
      <c r="CL891" s="347"/>
      <c r="CM891" s="347"/>
      <c r="CN891" s="347"/>
      <c r="CO891" s="347"/>
      <c r="CP891" s="347"/>
    </row>
    <row r="892">
      <c r="A892" s="574"/>
      <c r="B892" s="574"/>
      <c r="C892" s="347"/>
      <c r="D892" s="574"/>
      <c r="E892" s="347"/>
      <c r="F892" s="596"/>
      <c r="G892" s="596"/>
      <c r="H892" s="347"/>
      <c r="I892" s="347"/>
      <c r="J892" s="596"/>
      <c r="K892" s="609"/>
      <c r="L892" s="1"/>
      <c r="M892" s="347"/>
      <c r="N892" s="347"/>
      <c r="O892" s="579"/>
      <c r="P892" s="579"/>
      <c r="Q892" s="574"/>
      <c r="R892" s="347"/>
      <c r="S892" s="597"/>
      <c r="T892" s="347"/>
      <c r="U892" s="579"/>
      <c r="V892" s="579"/>
      <c r="W892" s="574"/>
      <c r="X892" s="347"/>
      <c r="Y892" s="347"/>
      <c r="Z892" s="347"/>
      <c r="AA892" s="579"/>
      <c r="AB892" s="581"/>
      <c r="AC892" s="347"/>
      <c r="AD892" s="347"/>
      <c r="AE892" s="347"/>
      <c r="AF892" s="347"/>
      <c r="AG892" s="579"/>
      <c r="AH892" s="579"/>
      <c r="AI892" s="582"/>
      <c r="AJ892" s="582"/>
      <c r="AK892" s="582"/>
      <c r="AL892" s="582"/>
      <c r="AM892" s="579"/>
      <c r="AN892" s="579"/>
      <c r="AO892" s="347"/>
      <c r="AP892" s="586"/>
      <c r="AQ892" s="596"/>
      <c r="AR892" s="596"/>
      <c r="AS892" s="348"/>
      <c r="AT892" s="348"/>
      <c r="AU892" s="348"/>
      <c r="AV892" s="348"/>
      <c r="AW892" s="348"/>
      <c r="AX892" s="584"/>
      <c r="AY892" s="581"/>
      <c r="AZ892" s="581"/>
      <c r="BA892" s="596"/>
      <c r="BB892" s="596"/>
      <c r="BC892" s="348"/>
      <c r="BD892" s="581"/>
      <c r="BE892" s="581"/>
      <c r="BF892" s="347"/>
      <c r="BG892" s="347"/>
      <c r="BH892" s="347"/>
      <c r="BI892" s="347"/>
      <c r="BJ892" s="586"/>
      <c r="BK892" s="581"/>
      <c r="BL892" s="347"/>
      <c r="BM892" s="347"/>
      <c r="BN892" s="347"/>
      <c r="BO892" s="586"/>
      <c r="BP892" s="584"/>
      <c r="BQ892" s="347"/>
      <c r="BR892" s="586"/>
      <c r="BS892" s="588"/>
      <c r="BT892" s="586"/>
      <c r="BU892" s="589"/>
      <c r="BV892" s="581">
        <f t="shared" si="44"/>
        <v>0</v>
      </c>
      <c r="BW892" s="590"/>
      <c r="BX892" s="347"/>
      <c r="BY892" s="347"/>
      <c r="BZ892" s="347"/>
      <c r="CA892" s="586"/>
      <c r="CB892" s="581"/>
      <c r="CC892" s="581">
        <f t="shared" si="193"/>
        <v>0</v>
      </c>
      <c r="CD892" s="581"/>
      <c r="CE892" s="581"/>
      <c r="CF892" s="581"/>
      <c r="CG892" s="586"/>
      <c r="CH892" s="608"/>
      <c r="CI892" s="603"/>
      <c r="CJ892" s="347"/>
      <c r="CK892" s="347"/>
      <c r="CL892" s="347"/>
      <c r="CM892" s="347"/>
      <c r="CN892" s="347"/>
      <c r="CO892" s="347"/>
      <c r="CP892" s="347"/>
    </row>
    <row r="893">
      <c r="A893" s="574"/>
      <c r="B893" s="574"/>
      <c r="C893" s="347"/>
      <c r="D893" s="574"/>
      <c r="E893" s="347"/>
      <c r="F893" s="596"/>
      <c r="G893" s="596"/>
      <c r="H893" s="347"/>
      <c r="I893" s="347"/>
      <c r="J893" s="596"/>
      <c r="K893" s="609"/>
      <c r="L893" s="1"/>
      <c r="M893" s="347"/>
      <c r="N893" s="347"/>
      <c r="O893" s="579"/>
      <c r="P893" s="579"/>
      <c r="Q893" s="574"/>
      <c r="R893" s="347"/>
      <c r="S893" s="597"/>
      <c r="T893" s="347"/>
      <c r="U893" s="579"/>
      <c r="V893" s="579"/>
      <c r="W893" s="574"/>
      <c r="X893" s="347"/>
      <c r="Y893" s="347"/>
      <c r="Z893" s="347"/>
      <c r="AA893" s="579"/>
      <c r="AB893" s="581"/>
      <c r="AC893" s="347"/>
      <c r="AD893" s="347"/>
      <c r="AE893" s="347"/>
      <c r="AF893" s="347"/>
      <c r="AG893" s="579"/>
      <c r="AH893" s="579"/>
      <c r="AI893" s="582"/>
      <c r="AJ893" s="582"/>
      <c r="AK893" s="582"/>
      <c r="AL893" s="582"/>
      <c r="AM893" s="579"/>
      <c r="AN893" s="579"/>
      <c r="AO893" s="347"/>
      <c r="AP893" s="586"/>
      <c r="AQ893" s="596"/>
      <c r="AR893" s="596"/>
      <c r="AS893" s="348"/>
      <c r="AT893" s="348"/>
      <c r="AU893" s="348"/>
      <c r="AV893" s="348"/>
      <c r="AW893" s="348"/>
      <c r="AX893" s="584"/>
      <c r="AY893" s="581"/>
      <c r="AZ893" s="581"/>
      <c r="BA893" s="596"/>
      <c r="BB893" s="596"/>
      <c r="BC893" s="348"/>
      <c r="BD893" s="581"/>
      <c r="BE893" s="581"/>
      <c r="BF893" s="347"/>
      <c r="BG893" s="347"/>
      <c r="BH893" s="347"/>
      <c r="BI893" s="347"/>
      <c r="BJ893" s="586"/>
      <c r="BK893" s="581"/>
      <c r="BL893" s="347"/>
      <c r="BM893" s="347"/>
      <c r="BN893" s="347"/>
      <c r="BO893" s="586"/>
      <c r="BP893" s="584"/>
      <c r="BQ893" s="347"/>
      <c r="BR893" s="586"/>
      <c r="BS893" s="588"/>
      <c r="BT893" s="586"/>
      <c r="BU893" s="589"/>
      <c r="BV893" s="581">
        <f t="shared" si="44"/>
        <v>0</v>
      </c>
      <c r="BW893" s="590"/>
      <c r="BX893" s="347"/>
      <c r="BY893" s="347"/>
      <c r="BZ893" s="347"/>
      <c r="CA893" s="586"/>
      <c r="CB893" s="581"/>
      <c r="CC893" s="581">
        <f t="shared" si="193"/>
        <v>0</v>
      </c>
      <c r="CD893" s="581"/>
      <c r="CE893" s="581"/>
      <c r="CF893" s="581"/>
      <c r="CG893" s="586"/>
      <c r="CH893" s="608"/>
      <c r="CI893" s="603"/>
      <c r="CJ893" s="347"/>
      <c r="CK893" s="347"/>
      <c r="CL893" s="347"/>
      <c r="CM893" s="347"/>
      <c r="CN893" s="347"/>
      <c r="CO893" s="347"/>
      <c r="CP893" s="347"/>
    </row>
    <row r="894">
      <c r="A894" s="574"/>
      <c r="B894" s="574"/>
      <c r="C894" s="347"/>
      <c r="D894" s="574"/>
      <c r="E894" s="347"/>
      <c r="F894" s="596"/>
      <c r="G894" s="596"/>
      <c r="H894" s="347"/>
      <c r="I894" s="347"/>
      <c r="J894" s="596"/>
      <c r="K894" s="609"/>
      <c r="L894" s="1"/>
      <c r="M894" s="347"/>
      <c r="N894" s="347"/>
      <c r="O894" s="579"/>
      <c r="P894" s="579"/>
      <c r="Q894" s="574"/>
      <c r="R894" s="347"/>
      <c r="S894" s="597"/>
      <c r="T894" s="347"/>
      <c r="U894" s="579"/>
      <c r="V894" s="579"/>
      <c r="W894" s="574"/>
      <c r="X894" s="347"/>
      <c r="Y894" s="347"/>
      <c r="Z894" s="347"/>
      <c r="AA894" s="579"/>
      <c r="AB894" s="581"/>
      <c r="AC894" s="347"/>
      <c r="AD894" s="347"/>
      <c r="AE894" s="347"/>
      <c r="AF894" s="347"/>
      <c r="AG894" s="579"/>
      <c r="AH894" s="579"/>
      <c r="AI894" s="582"/>
      <c r="AJ894" s="582"/>
      <c r="AK894" s="582"/>
      <c r="AL894" s="582"/>
      <c r="AM894" s="579"/>
      <c r="AN894" s="579"/>
      <c r="AO894" s="347"/>
      <c r="AP894" s="586"/>
      <c r="AQ894" s="596"/>
      <c r="AR894" s="596"/>
      <c r="AS894" s="348"/>
      <c r="AT894" s="348"/>
      <c r="AU894" s="348"/>
      <c r="AV894" s="348"/>
      <c r="AW894" s="348"/>
      <c r="AX894" s="584"/>
      <c r="AY894" s="581"/>
      <c r="AZ894" s="581"/>
      <c r="BA894" s="596"/>
      <c r="BB894" s="596"/>
      <c r="BC894" s="348"/>
      <c r="BD894" s="581"/>
      <c r="BE894" s="581"/>
      <c r="BF894" s="347"/>
      <c r="BG894" s="347"/>
      <c r="BH894" s="347"/>
      <c r="BI894" s="347"/>
      <c r="BJ894" s="586"/>
      <c r="BK894" s="581"/>
      <c r="BL894" s="347"/>
      <c r="BM894" s="347"/>
      <c r="BN894" s="347"/>
      <c r="BO894" s="586"/>
      <c r="BP894" s="584"/>
      <c r="BQ894" s="347"/>
      <c r="BR894" s="586"/>
      <c r="BS894" s="588"/>
      <c r="BT894" s="586"/>
      <c r="BU894" s="589"/>
      <c r="BV894" s="581">
        <f t="shared" si="44"/>
        <v>0</v>
      </c>
      <c r="BW894" s="590"/>
      <c r="BX894" s="347"/>
      <c r="BY894" s="347"/>
      <c r="BZ894" s="347"/>
      <c r="CA894" s="586"/>
      <c r="CB894" s="581"/>
      <c r="CC894" s="581">
        <f t="shared" si="193"/>
        <v>0</v>
      </c>
      <c r="CD894" s="581"/>
      <c r="CE894" s="581"/>
      <c r="CF894" s="581"/>
      <c r="CG894" s="586"/>
      <c r="CH894" s="608"/>
      <c r="CI894" s="603"/>
      <c r="CJ894" s="347"/>
      <c r="CK894" s="347"/>
      <c r="CL894" s="347"/>
      <c r="CM894" s="347"/>
      <c r="CN894" s="347"/>
      <c r="CO894" s="347"/>
      <c r="CP894" s="347"/>
    </row>
    <row r="895">
      <c r="A895" s="574"/>
      <c r="B895" s="574"/>
      <c r="C895" s="347"/>
      <c r="D895" s="574"/>
      <c r="E895" s="347"/>
      <c r="F895" s="596"/>
      <c r="G895" s="596"/>
      <c r="H895" s="347"/>
      <c r="I895" s="347"/>
      <c r="J895" s="596"/>
      <c r="K895" s="609"/>
      <c r="L895" s="1"/>
      <c r="M895" s="347"/>
      <c r="N895" s="347"/>
      <c r="O895" s="579"/>
      <c r="P895" s="579"/>
      <c r="Q895" s="574"/>
      <c r="R895" s="347"/>
      <c r="S895" s="597"/>
      <c r="T895" s="347"/>
      <c r="U895" s="579"/>
      <c r="V895" s="579"/>
      <c r="W895" s="574"/>
      <c r="X895" s="347"/>
      <c r="Y895" s="347"/>
      <c r="Z895" s="347"/>
      <c r="AA895" s="579"/>
      <c r="AB895" s="581"/>
      <c r="AC895" s="347"/>
      <c r="AD895" s="347"/>
      <c r="AE895" s="347"/>
      <c r="AF895" s="347"/>
      <c r="AG895" s="579"/>
      <c r="AH895" s="579"/>
      <c r="AI895" s="582"/>
      <c r="AJ895" s="582"/>
      <c r="AK895" s="582"/>
      <c r="AL895" s="582"/>
      <c r="AM895" s="579"/>
      <c r="AN895" s="579"/>
      <c r="AO895" s="347"/>
      <c r="AP895" s="586"/>
      <c r="AQ895" s="596"/>
      <c r="AR895" s="596"/>
      <c r="AS895" s="348"/>
      <c r="AT895" s="348"/>
      <c r="AU895" s="348"/>
      <c r="AV895" s="348"/>
      <c r="AW895" s="348"/>
      <c r="AX895" s="584"/>
      <c r="AY895" s="581"/>
      <c r="AZ895" s="581"/>
      <c r="BA895" s="596"/>
      <c r="BB895" s="596"/>
      <c r="BC895" s="348"/>
      <c r="BD895" s="581"/>
      <c r="BE895" s="581"/>
      <c r="BF895" s="347"/>
      <c r="BG895" s="347"/>
      <c r="BH895" s="347"/>
      <c r="BI895" s="347"/>
      <c r="BJ895" s="586"/>
      <c r="BK895" s="581"/>
      <c r="BL895" s="347"/>
      <c r="BM895" s="347"/>
      <c r="BN895" s="347"/>
      <c r="BO895" s="586"/>
      <c r="BP895" s="584"/>
      <c r="BQ895" s="347"/>
      <c r="BR895" s="586"/>
      <c r="BS895" s="588"/>
      <c r="BT895" s="586"/>
      <c r="BU895" s="589"/>
      <c r="BV895" s="581">
        <f t="shared" si="44"/>
        <v>0</v>
      </c>
      <c r="BW895" s="590"/>
      <c r="BX895" s="347"/>
      <c r="BY895" s="347"/>
      <c r="BZ895" s="347"/>
      <c r="CA895" s="586"/>
      <c r="CB895" s="581"/>
      <c r="CC895" s="581">
        <f t="shared" si="193"/>
        <v>0</v>
      </c>
      <c r="CD895" s="581"/>
      <c r="CE895" s="581"/>
      <c r="CF895" s="581"/>
      <c r="CG895" s="586"/>
      <c r="CH895" s="608"/>
      <c r="CI895" s="603"/>
      <c r="CJ895" s="347"/>
      <c r="CK895" s="347"/>
      <c r="CL895" s="347"/>
      <c r="CM895" s="347"/>
      <c r="CN895" s="347"/>
      <c r="CO895" s="347"/>
      <c r="CP895" s="347"/>
    </row>
    <row r="896">
      <c r="A896" s="574"/>
      <c r="B896" s="574"/>
      <c r="C896" s="347"/>
      <c r="D896" s="574"/>
      <c r="E896" s="347"/>
      <c r="F896" s="596"/>
      <c r="G896" s="596"/>
      <c r="H896" s="347"/>
      <c r="I896" s="347"/>
      <c r="J896" s="596"/>
      <c r="K896" s="609"/>
      <c r="L896" s="1"/>
      <c r="M896" s="347"/>
      <c r="N896" s="347"/>
      <c r="O896" s="579"/>
      <c r="P896" s="579"/>
      <c r="Q896" s="574"/>
      <c r="R896" s="347"/>
      <c r="S896" s="597"/>
      <c r="T896" s="347"/>
      <c r="U896" s="579"/>
      <c r="V896" s="579"/>
      <c r="W896" s="574"/>
      <c r="X896" s="347"/>
      <c r="Y896" s="347"/>
      <c r="Z896" s="347"/>
      <c r="AA896" s="579"/>
      <c r="AB896" s="581"/>
      <c r="AC896" s="347"/>
      <c r="AD896" s="347"/>
      <c r="AE896" s="347"/>
      <c r="AF896" s="347"/>
      <c r="AG896" s="579"/>
      <c r="AH896" s="579"/>
      <c r="AI896" s="582"/>
      <c r="AJ896" s="582"/>
      <c r="AK896" s="582"/>
      <c r="AL896" s="582"/>
      <c r="AM896" s="579"/>
      <c r="AN896" s="579"/>
      <c r="AO896" s="347"/>
      <c r="AP896" s="586"/>
      <c r="AQ896" s="596"/>
      <c r="AR896" s="596"/>
      <c r="AS896" s="348"/>
      <c r="AT896" s="348"/>
      <c r="AU896" s="348"/>
      <c r="AV896" s="348"/>
      <c r="AW896" s="348"/>
      <c r="AX896" s="584"/>
      <c r="AY896" s="581"/>
      <c r="AZ896" s="581"/>
      <c r="BA896" s="596"/>
      <c r="BB896" s="596"/>
      <c r="BC896" s="348"/>
      <c r="BD896" s="581"/>
      <c r="BE896" s="581"/>
      <c r="BF896" s="347"/>
      <c r="BG896" s="347"/>
      <c r="BH896" s="347"/>
      <c r="BI896" s="347"/>
      <c r="BJ896" s="586"/>
      <c r="BK896" s="581"/>
      <c r="BL896" s="347"/>
      <c r="BM896" s="347"/>
      <c r="BN896" s="347"/>
      <c r="BO896" s="586"/>
      <c r="BP896" s="584"/>
      <c r="BQ896" s="347"/>
      <c r="BR896" s="586"/>
      <c r="BS896" s="588"/>
      <c r="BT896" s="586"/>
      <c r="BU896" s="589"/>
      <c r="BV896" s="581">
        <f t="shared" si="44"/>
        <v>0</v>
      </c>
      <c r="BW896" s="590"/>
      <c r="BX896" s="347"/>
      <c r="BY896" s="347"/>
      <c r="BZ896" s="347"/>
      <c r="CA896" s="586"/>
      <c r="CB896" s="581"/>
      <c r="CC896" s="581">
        <f t="shared" si="193"/>
        <v>0</v>
      </c>
      <c r="CD896" s="581"/>
      <c r="CE896" s="581"/>
      <c r="CF896" s="581"/>
      <c r="CG896" s="586"/>
      <c r="CH896" s="608"/>
      <c r="CI896" s="603"/>
      <c r="CJ896" s="347"/>
      <c r="CK896" s="347"/>
      <c r="CL896" s="347"/>
      <c r="CM896" s="347"/>
      <c r="CN896" s="347"/>
      <c r="CO896" s="347"/>
      <c r="CP896" s="347"/>
    </row>
    <row r="897">
      <c r="A897" s="574"/>
      <c r="B897" s="574"/>
      <c r="C897" s="347"/>
      <c r="D897" s="574"/>
      <c r="E897" s="347"/>
      <c r="F897" s="596"/>
      <c r="G897" s="596"/>
      <c r="H897" s="347"/>
      <c r="I897" s="347"/>
      <c r="J897" s="596"/>
      <c r="K897" s="609"/>
      <c r="L897" s="1"/>
      <c r="M897" s="347"/>
      <c r="N897" s="347"/>
      <c r="O897" s="579"/>
      <c r="P897" s="579"/>
      <c r="Q897" s="574"/>
      <c r="R897" s="347"/>
      <c r="S897" s="597"/>
      <c r="T897" s="347"/>
      <c r="U897" s="579"/>
      <c r="V897" s="579"/>
      <c r="W897" s="574"/>
      <c r="X897" s="347"/>
      <c r="Y897" s="347"/>
      <c r="Z897" s="347"/>
      <c r="AA897" s="579"/>
      <c r="AB897" s="581"/>
      <c r="AC897" s="347"/>
      <c r="AD897" s="347"/>
      <c r="AE897" s="347"/>
      <c r="AF897" s="347"/>
      <c r="AG897" s="579"/>
      <c r="AH897" s="579"/>
      <c r="AI897" s="582"/>
      <c r="AJ897" s="582"/>
      <c r="AK897" s="582"/>
      <c r="AL897" s="582"/>
      <c r="AM897" s="579"/>
      <c r="AN897" s="579"/>
      <c r="AO897" s="347"/>
      <c r="AP897" s="586"/>
      <c r="AQ897" s="596"/>
      <c r="AR897" s="596"/>
      <c r="AS897" s="348"/>
      <c r="AT897" s="348"/>
      <c r="AU897" s="348"/>
      <c r="AV897" s="348"/>
      <c r="AW897" s="348"/>
      <c r="AX897" s="584"/>
      <c r="AY897" s="581"/>
      <c r="AZ897" s="581"/>
      <c r="BA897" s="596"/>
      <c r="BB897" s="596"/>
      <c r="BC897" s="348"/>
      <c r="BD897" s="581"/>
      <c r="BE897" s="581"/>
      <c r="BF897" s="347"/>
      <c r="BG897" s="347"/>
      <c r="BH897" s="347"/>
      <c r="BI897" s="347"/>
      <c r="BJ897" s="586"/>
      <c r="BK897" s="581"/>
      <c r="BL897" s="347"/>
      <c r="BM897" s="347"/>
      <c r="BN897" s="347"/>
      <c r="BO897" s="586"/>
      <c r="BP897" s="584"/>
      <c r="BQ897" s="347"/>
      <c r="BR897" s="586"/>
      <c r="BS897" s="588"/>
      <c r="BT897" s="586"/>
      <c r="BU897" s="589"/>
      <c r="BV897" s="581">
        <f t="shared" si="44"/>
        <v>0</v>
      </c>
      <c r="BW897" s="590"/>
      <c r="BX897" s="347"/>
      <c r="BY897" s="347"/>
      <c r="BZ897" s="347"/>
      <c r="CA897" s="586"/>
      <c r="CB897" s="581"/>
      <c r="CC897" s="581">
        <f t="shared" si="193"/>
        <v>0</v>
      </c>
      <c r="CD897" s="581"/>
      <c r="CE897" s="581"/>
      <c r="CF897" s="581"/>
      <c r="CG897" s="586"/>
      <c r="CH897" s="608"/>
      <c r="CI897" s="603"/>
      <c r="CJ897" s="347"/>
      <c r="CK897" s="347"/>
      <c r="CL897" s="347"/>
      <c r="CM897" s="347"/>
      <c r="CN897" s="347"/>
      <c r="CO897" s="347"/>
      <c r="CP897" s="347"/>
    </row>
    <row r="898">
      <c r="A898" s="574"/>
      <c r="B898" s="574"/>
      <c r="C898" s="347"/>
      <c r="D898" s="574"/>
      <c r="E898" s="347"/>
      <c r="F898" s="596"/>
      <c r="G898" s="596"/>
      <c r="H898" s="347"/>
      <c r="I898" s="347"/>
      <c r="J898" s="596"/>
      <c r="K898" s="609"/>
      <c r="L898" s="1"/>
      <c r="M898" s="347"/>
      <c r="N898" s="347"/>
      <c r="O898" s="579"/>
      <c r="P898" s="579"/>
      <c r="Q898" s="574"/>
      <c r="R898" s="347"/>
      <c r="S898" s="597"/>
      <c r="T898" s="347"/>
      <c r="U898" s="579"/>
      <c r="V898" s="579"/>
      <c r="W898" s="574"/>
      <c r="X898" s="347"/>
      <c r="Y898" s="347"/>
      <c r="Z898" s="347"/>
      <c r="AA898" s="579"/>
      <c r="AB898" s="581"/>
      <c r="AC898" s="347"/>
      <c r="AD898" s="347"/>
      <c r="AE898" s="347"/>
      <c r="AF898" s="347"/>
      <c r="AG898" s="579"/>
      <c r="AH898" s="579"/>
      <c r="AI898" s="582"/>
      <c r="AJ898" s="582"/>
      <c r="AK898" s="582"/>
      <c r="AL898" s="582"/>
      <c r="AM898" s="579"/>
      <c r="AN898" s="579"/>
      <c r="AO898" s="347"/>
      <c r="AP898" s="586"/>
      <c r="AQ898" s="596"/>
      <c r="AR898" s="596"/>
      <c r="AS898" s="348"/>
      <c r="AT898" s="348"/>
      <c r="AU898" s="348"/>
      <c r="AV898" s="348"/>
      <c r="AW898" s="348"/>
      <c r="AX898" s="584"/>
      <c r="AY898" s="581"/>
      <c r="AZ898" s="581"/>
      <c r="BA898" s="596"/>
      <c r="BB898" s="596"/>
      <c r="BC898" s="348"/>
      <c r="BD898" s="581"/>
      <c r="BE898" s="581"/>
      <c r="BF898" s="347"/>
      <c r="BG898" s="347"/>
      <c r="BH898" s="347"/>
      <c r="BI898" s="347"/>
      <c r="BJ898" s="586"/>
      <c r="BK898" s="581"/>
      <c r="BL898" s="347"/>
      <c r="BM898" s="347"/>
      <c r="BN898" s="347"/>
      <c r="BO898" s="586"/>
      <c r="BP898" s="584"/>
      <c r="BQ898" s="347"/>
      <c r="BR898" s="586"/>
      <c r="BS898" s="588"/>
      <c r="BT898" s="586"/>
      <c r="BU898" s="589"/>
      <c r="BV898" s="581">
        <f t="shared" si="44"/>
        <v>0</v>
      </c>
      <c r="BW898" s="590"/>
      <c r="BX898" s="347"/>
      <c r="BY898" s="347"/>
      <c r="BZ898" s="347"/>
      <c r="CA898" s="586"/>
      <c r="CB898" s="581"/>
      <c r="CC898" s="581">
        <f t="shared" si="193"/>
        <v>0</v>
      </c>
      <c r="CD898" s="581"/>
      <c r="CE898" s="581"/>
      <c r="CF898" s="581"/>
      <c r="CG898" s="586"/>
      <c r="CH898" s="608"/>
      <c r="CI898" s="603"/>
      <c r="CJ898" s="347"/>
      <c r="CK898" s="347"/>
      <c r="CL898" s="347"/>
      <c r="CM898" s="347"/>
      <c r="CN898" s="347"/>
      <c r="CO898" s="347"/>
      <c r="CP898" s="347"/>
    </row>
    <row r="899">
      <c r="A899" s="574"/>
      <c r="B899" s="574"/>
      <c r="C899" s="347"/>
      <c r="D899" s="574"/>
      <c r="E899" s="347"/>
      <c r="F899" s="596"/>
      <c r="G899" s="596"/>
      <c r="H899" s="347"/>
      <c r="I899" s="347"/>
      <c r="J899" s="596"/>
      <c r="K899" s="609"/>
      <c r="L899" s="1"/>
      <c r="M899" s="347"/>
      <c r="N899" s="347"/>
      <c r="O899" s="579"/>
      <c r="P899" s="579"/>
      <c r="Q899" s="574"/>
      <c r="R899" s="347"/>
      <c r="S899" s="597"/>
      <c r="T899" s="347"/>
      <c r="U899" s="579"/>
      <c r="V899" s="579"/>
      <c r="W899" s="574"/>
      <c r="X899" s="347"/>
      <c r="Y899" s="347"/>
      <c r="Z899" s="347"/>
      <c r="AA899" s="579"/>
      <c r="AB899" s="581"/>
      <c r="AC899" s="347"/>
      <c r="AD899" s="347"/>
      <c r="AE899" s="347"/>
      <c r="AF899" s="347"/>
      <c r="AG899" s="579"/>
      <c r="AH899" s="579"/>
      <c r="AI899" s="582"/>
      <c r="AJ899" s="582"/>
      <c r="AK899" s="582"/>
      <c r="AL899" s="582"/>
      <c r="AM899" s="579"/>
      <c r="AN899" s="579"/>
      <c r="AO899" s="347"/>
      <c r="AP899" s="586"/>
      <c r="AQ899" s="596"/>
      <c r="AR899" s="596"/>
      <c r="AS899" s="348"/>
      <c r="AT899" s="348"/>
      <c r="AU899" s="348"/>
      <c r="AV899" s="348"/>
      <c r="AW899" s="348"/>
      <c r="AX899" s="584"/>
      <c r="AY899" s="581"/>
      <c r="AZ899" s="581"/>
      <c r="BA899" s="596"/>
      <c r="BB899" s="596"/>
      <c r="BC899" s="348"/>
      <c r="BD899" s="581"/>
      <c r="BE899" s="581"/>
      <c r="BF899" s="347"/>
      <c r="BG899" s="347"/>
      <c r="BH899" s="347"/>
      <c r="BI899" s="347"/>
      <c r="BJ899" s="586"/>
      <c r="BK899" s="581"/>
      <c r="BL899" s="347"/>
      <c r="BM899" s="347"/>
      <c r="BN899" s="347"/>
      <c r="BO899" s="586"/>
      <c r="BP899" s="584"/>
      <c r="BQ899" s="347"/>
      <c r="BR899" s="586"/>
      <c r="BS899" s="588"/>
      <c r="BT899" s="586"/>
      <c r="BU899" s="589"/>
      <c r="BV899" s="581">
        <f t="shared" si="44"/>
        <v>0</v>
      </c>
      <c r="BW899" s="590"/>
      <c r="BX899" s="347"/>
      <c r="BY899" s="347"/>
      <c r="BZ899" s="347"/>
      <c r="CA899" s="586"/>
      <c r="CB899" s="581"/>
      <c r="CC899" s="581">
        <f t="shared" si="193"/>
        <v>0</v>
      </c>
      <c r="CD899" s="581"/>
      <c r="CE899" s="581"/>
      <c r="CF899" s="581"/>
      <c r="CG899" s="586"/>
      <c r="CH899" s="608"/>
      <c r="CI899" s="603"/>
      <c r="CJ899" s="347"/>
      <c r="CK899" s="347"/>
      <c r="CL899" s="347"/>
      <c r="CM899" s="347"/>
      <c r="CN899" s="347"/>
      <c r="CO899" s="347"/>
      <c r="CP899" s="347"/>
    </row>
    <row r="900">
      <c r="A900" s="574"/>
      <c r="B900" s="574"/>
      <c r="C900" s="347"/>
      <c r="D900" s="574"/>
      <c r="E900" s="347"/>
      <c r="F900" s="596"/>
      <c r="G900" s="596"/>
      <c r="H900" s="347"/>
      <c r="I900" s="347"/>
      <c r="J900" s="596"/>
      <c r="K900" s="609"/>
      <c r="L900" s="1"/>
      <c r="M900" s="347"/>
      <c r="N900" s="347"/>
      <c r="O900" s="579"/>
      <c r="P900" s="579"/>
      <c r="Q900" s="574"/>
      <c r="R900" s="347"/>
      <c r="S900" s="597"/>
      <c r="T900" s="347"/>
      <c r="U900" s="579"/>
      <c r="V900" s="579"/>
      <c r="W900" s="574"/>
      <c r="X900" s="347"/>
      <c r="Y900" s="347"/>
      <c r="Z900" s="347"/>
      <c r="AA900" s="579"/>
      <c r="AB900" s="581"/>
      <c r="AC900" s="347"/>
      <c r="AD900" s="347"/>
      <c r="AE900" s="347"/>
      <c r="AF900" s="347"/>
      <c r="AG900" s="579"/>
      <c r="AH900" s="579"/>
      <c r="AI900" s="582"/>
      <c r="AJ900" s="582"/>
      <c r="AK900" s="582"/>
      <c r="AL900" s="582"/>
      <c r="AM900" s="579"/>
      <c r="AN900" s="579"/>
      <c r="AO900" s="347"/>
      <c r="AP900" s="586"/>
      <c r="AQ900" s="596"/>
      <c r="AR900" s="596"/>
      <c r="AS900" s="348"/>
      <c r="AT900" s="348"/>
      <c r="AU900" s="348"/>
      <c r="AV900" s="348"/>
      <c r="AW900" s="348"/>
      <c r="AX900" s="584"/>
      <c r="AY900" s="581"/>
      <c r="AZ900" s="581"/>
      <c r="BA900" s="596"/>
      <c r="BB900" s="596"/>
      <c r="BC900" s="348"/>
      <c r="BD900" s="581"/>
      <c r="BE900" s="581"/>
      <c r="BF900" s="347"/>
      <c r="BG900" s="347"/>
      <c r="BH900" s="347"/>
      <c r="BI900" s="347"/>
      <c r="BJ900" s="586"/>
      <c r="BK900" s="581"/>
      <c r="BL900" s="347"/>
      <c r="BM900" s="347"/>
      <c r="BN900" s="347"/>
      <c r="BO900" s="586"/>
      <c r="BP900" s="584"/>
      <c r="BQ900" s="347"/>
      <c r="BR900" s="586"/>
      <c r="BS900" s="588"/>
      <c r="BT900" s="586"/>
      <c r="BU900" s="589"/>
      <c r="BV900" s="581">
        <f t="shared" si="44"/>
        <v>0</v>
      </c>
      <c r="BW900" s="590"/>
      <c r="BX900" s="347"/>
      <c r="BY900" s="347"/>
      <c r="BZ900" s="347"/>
      <c r="CA900" s="586"/>
      <c r="CB900" s="581"/>
      <c r="CC900" s="581">
        <f t="shared" si="193"/>
        <v>0</v>
      </c>
      <c r="CD900" s="581"/>
      <c r="CE900" s="581"/>
      <c r="CF900" s="581"/>
      <c r="CG900" s="586"/>
      <c r="CH900" s="608"/>
      <c r="CI900" s="603"/>
      <c r="CJ900" s="347"/>
      <c r="CK900" s="347"/>
      <c r="CL900" s="347"/>
      <c r="CM900" s="347"/>
      <c r="CN900" s="347"/>
      <c r="CO900" s="347"/>
      <c r="CP900" s="347"/>
    </row>
    <row r="901">
      <c r="A901" s="574"/>
      <c r="B901" s="574"/>
      <c r="C901" s="347"/>
      <c r="D901" s="574"/>
      <c r="E901" s="347"/>
      <c r="F901" s="596"/>
      <c r="G901" s="596"/>
      <c r="H901" s="347"/>
      <c r="I901" s="347"/>
      <c r="J901" s="596"/>
      <c r="K901" s="609"/>
      <c r="L901" s="1"/>
      <c r="M901" s="347"/>
      <c r="N901" s="347"/>
      <c r="O901" s="579"/>
      <c r="P901" s="579"/>
      <c r="Q901" s="574"/>
      <c r="R901" s="347"/>
      <c r="S901" s="597"/>
      <c r="T901" s="347"/>
      <c r="U901" s="579"/>
      <c r="V901" s="579"/>
      <c r="W901" s="574"/>
      <c r="X901" s="347"/>
      <c r="Y901" s="347"/>
      <c r="Z901" s="347"/>
      <c r="AA901" s="579"/>
      <c r="AB901" s="581"/>
      <c r="AC901" s="347"/>
      <c r="AD901" s="347"/>
      <c r="AE901" s="347"/>
      <c r="AF901" s="347"/>
      <c r="AG901" s="579"/>
      <c r="AH901" s="579"/>
      <c r="AI901" s="582"/>
      <c r="AJ901" s="582"/>
      <c r="AK901" s="582"/>
      <c r="AL901" s="582"/>
      <c r="AM901" s="579"/>
      <c r="AN901" s="579"/>
      <c r="AO901" s="347"/>
      <c r="AP901" s="586"/>
      <c r="AQ901" s="596"/>
      <c r="AR901" s="596"/>
      <c r="AS901" s="348"/>
      <c r="AT901" s="348"/>
      <c r="AU901" s="348"/>
      <c r="AV901" s="348"/>
      <c r="AW901" s="348"/>
      <c r="AX901" s="584"/>
      <c r="AY901" s="581"/>
      <c r="AZ901" s="581"/>
      <c r="BA901" s="596"/>
      <c r="BB901" s="596"/>
      <c r="BC901" s="348"/>
      <c r="BD901" s="581"/>
      <c r="BE901" s="581"/>
      <c r="BF901" s="347"/>
      <c r="BG901" s="347"/>
      <c r="BH901" s="347"/>
      <c r="BI901" s="347"/>
      <c r="BJ901" s="586"/>
      <c r="BK901" s="581"/>
      <c r="BL901" s="347"/>
      <c r="BM901" s="347"/>
      <c r="BN901" s="347"/>
      <c r="BO901" s="586"/>
      <c r="BP901" s="584"/>
      <c r="BQ901" s="347"/>
      <c r="BR901" s="586"/>
      <c r="BS901" s="588"/>
      <c r="BT901" s="586"/>
      <c r="BU901" s="589"/>
      <c r="BV901" s="581">
        <f t="shared" si="44"/>
        <v>0</v>
      </c>
      <c r="BW901" s="590"/>
      <c r="BX901" s="347"/>
      <c r="BY901" s="347"/>
      <c r="BZ901" s="347"/>
      <c r="CA901" s="586"/>
      <c r="CB901" s="581"/>
      <c r="CC901" s="581">
        <f t="shared" si="193"/>
        <v>0</v>
      </c>
      <c r="CD901" s="581"/>
      <c r="CE901" s="581"/>
      <c r="CF901" s="581"/>
      <c r="CG901" s="586"/>
      <c r="CH901" s="608"/>
      <c r="CI901" s="603"/>
      <c r="CJ901" s="347"/>
      <c r="CK901" s="347"/>
      <c r="CL901" s="347"/>
      <c r="CM901" s="347"/>
      <c r="CN901" s="347"/>
      <c r="CO901" s="347"/>
      <c r="CP901" s="347"/>
    </row>
    <row r="902">
      <c r="A902" s="574"/>
      <c r="B902" s="574"/>
      <c r="C902" s="347"/>
      <c r="D902" s="574"/>
      <c r="E902" s="347"/>
      <c r="F902" s="596"/>
      <c r="G902" s="596"/>
      <c r="H902" s="347"/>
      <c r="I902" s="347"/>
      <c r="J902" s="596"/>
      <c r="K902" s="609"/>
      <c r="L902" s="1"/>
      <c r="M902" s="347"/>
      <c r="N902" s="347"/>
      <c r="O902" s="579"/>
      <c r="P902" s="579"/>
      <c r="Q902" s="574"/>
      <c r="R902" s="347"/>
      <c r="S902" s="597"/>
      <c r="T902" s="347"/>
      <c r="U902" s="579"/>
      <c r="V902" s="579"/>
      <c r="W902" s="574"/>
      <c r="X902" s="347"/>
      <c r="Y902" s="347"/>
      <c r="Z902" s="347"/>
      <c r="AA902" s="579"/>
      <c r="AB902" s="581"/>
      <c r="AC902" s="347"/>
      <c r="AD902" s="347"/>
      <c r="AE902" s="347"/>
      <c r="AF902" s="347"/>
      <c r="AG902" s="579"/>
      <c r="AH902" s="579"/>
      <c r="AI902" s="582"/>
      <c r="AJ902" s="582"/>
      <c r="AK902" s="582"/>
      <c r="AL902" s="582"/>
      <c r="AM902" s="579"/>
      <c r="AN902" s="579"/>
      <c r="AO902" s="347"/>
      <c r="AP902" s="586"/>
      <c r="AQ902" s="596"/>
      <c r="AR902" s="596"/>
      <c r="AS902" s="348"/>
      <c r="AT902" s="348"/>
      <c r="AU902" s="348"/>
      <c r="AV902" s="348"/>
      <c r="AW902" s="348"/>
      <c r="AX902" s="584"/>
      <c r="AY902" s="581"/>
      <c r="AZ902" s="581"/>
      <c r="BA902" s="596"/>
      <c r="BB902" s="596"/>
      <c r="BC902" s="348"/>
      <c r="BD902" s="581"/>
      <c r="BE902" s="581"/>
      <c r="BF902" s="347"/>
      <c r="BG902" s="347"/>
      <c r="BH902" s="347"/>
      <c r="BI902" s="347"/>
      <c r="BJ902" s="586"/>
      <c r="BK902" s="581"/>
      <c r="BL902" s="347"/>
      <c r="BM902" s="347"/>
      <c r="BN902" s="347"/>
      <c r="BO902" s="586"/>
      <c r="BP902" s="584"/>
      <c r="BQ902" s="347"/>
      <c r="BR902" s="586"/>
      <c r="BS902" s="588"/>
      <c r="BT902" s="586"/>
      <c r="BU902" s="589"/>
      <c r="BV902" s="581">
        <f t="shared" si="44"/>
        <v>0</v>
      </c>
      <c r="BW902" s="590"/>
      <c r="BX902" s="347"/>
      <c r="BY902" s="347"/>
      <c r="BZ902" s="347"/>
      <c r="CA902" s="586"/>
      <c r="CB902" s="581"/>
      <c r="CC902" s="581">
        <f t="shared" si="193"/>
        <v>0</v>
      </c>
      <c r="CD902" s="581"/>
      <c r="CE902" s="581"/>
      <c r="CF902" s="581"/>
      <c r="CG902" s="586"/>
      <c r="CH902" s="608"/>
      <c r="CI902" s="603"/>
      <c r="CJ902" s="347"/>
      <c r="CK902" s="347"/>
      <c r="CL902" s="347"/>
      <c r="CM902" s="347"/>
      <c r="CN902" s="347"/>
      <c r="CO902" s="347"/>
      <c r="CP902" s="347"/>
    </row>
    <row r="903">
      <c r="A903" s="574"/>
      <c r="B903" s="574"/>
      <c r="C903" s="347"/>
      <c r="D903" s="574"/>
      <c r="E903" s="347"/>
      <c r="F903" s="596"/>
      <c r="G903" s="596"/>
      <c r="H903" s="347"/>
      <c r="I903" s="347"/>
      <c r="J903" s="596"/>
      <c r="K903" s="609"/>
      <c r="L903" s="1"/>
      <c r="M903" s="347"/>
      <c r="N903" s="347"/>
      <c r="O903" s="579"/>
      <c r="P903" s="579"/>
      <c r="Q903" s="574"/>
      <c r="R903" s="347"/>
      <c r="S903" s="597"/>
      <c r="T903" s="347"/>
      <c r="U903" s="579"/>
      <c r="V903" s="579"/>
      <c r="W903" s="574"/>
      <c r="X903" s="347"/>
      <c r="Y903" s="347"/>
      <c r="Z903" s="347"/>
      <c r="AA903" s="579"/>
      <c r="AB903" s="581"/>
      <c r="AC903" s="347"/>
      <c r="AD903" s="347"/>
      <c r="AE903" s="347"/>
      <c r="AF903" s="347"/>
      <c r="AG903" s="579"/>
      <c r="AH903" s="579"/>
      <c r="AI903" s="582"/>
      <c r="AJ903" s="582"/>
      <c r="AK903" s="582"/>
      <c r="AL903" s="582"/>
      <c r="AM903" s="579"/>
      <c r="AN903" s="579"/>
      <c r="AO903" s="347"/>
      <c r="AP903" s="586"/>
      <c r="AQ903" s="596"/>
      <c r="AR903" s="596"/>
      <c r="AS903" s="348"/>
      <c r="AT903" s="348"/>
      <c r="AU903" s="348"/>
      <c r="AV903" s="348"/>
      <c r="AW903" s="348"/>
      <c r="AX903" s="584"/>
      <c r="AY903" s="581"/>
      <c r="AZ903" s="581"/>
      <c r="BA903" s="596"/>
      <c r="BB903" s="596"/>
      <c r="BC903" s="348"/>
      <c r="BD903" s="581"/>
      <c r="BE903" s="581"/>
      <c r="BF903" s="347"/>
      <c r="BG903" s="347"/>
      <c r="BH903" s="347"/>
      <c r="BI903" s="347"/>
      <c r="BJ903" s="586"/>
      <c r="BK903" s="581"/>
      <c r="BL903" s="347"/>
      <c r="BM903" s="347"/>
      <c r="BN903" s="347"/>
      <c r="BO903" s="586"/>
      <c r="BP903" s="584"/>
      <c r="BQ903" s="347"/>
      <c r="BR903" s="586"/>
      <c r="BS903" s="588"/>
      <c r="BT903" s="586"/>
      <c r="BU903" s="589"/>
      <c r="BV903" s="581">
        <f t="shared" si="44"/>
        <v>0</v>
      </c>
      <c r="BW903" s="590"/>
      <c r="BX903" s="347"/>
      <c r="BY903" s="347"/>
      <c r="BZ903" s="347"/>
      <c r="CA903" s="586"/>
      <c r="CB903" s="581"/>
      <c r="CC903" s="581">
        <f t="shared" si="193"/>
        <v>0</v>
      </c>
      <c r="CD903" s="581"/>
      <c r="CE903" s="581"/>
      <c r="CF903" s="581"/>
      <c r="CG903" s="586"/>
      <c r="CH903" s="608"/>
      <c r="CI903" s="603"/>
      <c r="CJ903" s="347"/>
      <c r="CK903" s="347"/>
      <c r="CL903" s="347"/>
      <c r="CM903" s="347"/>
      <c r="CN903" s="347"/>
      <c r="CO903" s="347"/>
      <c r="CP903" s="347"/>
    </row>
    <row r="904">
      <c r="A904" s="574"/>
      <c r="B904" s="574"/>
      <c r="C904" s="347"/>
      <c r="D904" s="574"/>
      <c r="E904" s="347"/>
      <c r="F904" s="596"/>
      <c r="G904" s="596"/>
      <c r="H904" s="347"/>
      <c r="I904" s="347"/>
      <c r="J904" s="596"/>
      <c r="K904" s="609"/>
      <c r="L904" s="1"/>
      <c r="M904" s="347"/>
      <c r="N904" s="347"/>
      <c r="O904" s="579"/>
      <c r="P904" s="579"/>
      <c r="Q904" s="574"/>
      <c r="R904" s="347"/>
      <c r="S904" s="597"/>
      <c r="T904" s="347"/>
      <c r="U904" s="579"/>
      <c r="V904" s="579"/>
      <c r="W904" s="574"/>
      <c r="X904" s="347"/>
      <c r="Y904" s="347"/>
      <c r="Z904" s="347"/>
      <c r="AA904" s="579"/>
      <c r="AB904" s="581"/>
      <c r="AC904" s="347"/>
      <c r="AD904" s="347"/>
      <c r="AE904" s="347"/>
      <c r="AF904" s="347"/>
      <c r="AG904" s="579"/>
      <c r="AH904" s="579"/>
      <c r="AI904" s="582"/>
      <c r="AJ904" s="582"/>
      <c r="AK904" s="582"/>
      <c r="AL904" s="582"/>
      <c r="AM904" s="579"/>
      <c r="AN904" s="579"/>
      <c r="AO904" s="347"/>
      <c r="AP904" s="586"/>
      <c r="AQ904" s="596"/>
      <c r="AR904" s="596"/>
      <c r="AS904" s="348"/>
      <c r="AT904" s="348"/>
      <c r="AU904" s="348"/>
      <c r="AV904" s="348"/>
      <c r="AW904" s="348"/>
      <c r="AX904" s="584"/>
      <c r="AY904" s="581"/>
      <c r="AZ904" s="581"/>
      <c r="BA904" s="596"/>
      <c r="BB904" s="596"/>
      <c r="BC904" s="348"/>
      <c r="BD904" s="581"/>
      <c r="BE904" s="581"/>
      <c r="BF904" s="347"/>
      <c r="BG904" s="347"/>
      <c r="BH904" s="347"/>
      <c r="BI904" s="347"/>
      <c r="BJ904" s="586"/>
      <c r="BK904" s="581"/>
      <c r="BL904" s="347"/>
      <c r="BM904" s="347"/>
      <c r="BN904" s="347"/>
      <c r="BO904" s="586"/>
      <c r="BP904" s="584"/>
      <c r="BQ904" s="347"/>
      <c r="BR904" s="586"/>
      <c r="BS904" s="588"/>
      <c r="BT904" s="586"/>
      <c r="BU904" s="589"/>
      <c r="BV904" s="581">
        <f t="shared" si="44"/>
        <v>0</v>
      </c>
      <c r="BW904" s="590"/>
      <c r="BX904" s="347"/>
      <c r="BY904" s="347"/>
      <c r="BZ904" s="347"/>
      <c r="CA904" s="586"/>
      <c r="CB904" s="581"/>
      <c r="CC904" s="581">
        <f t="shared" si="193"/>
        <v>0</v>
      </c>
      <c r="CD904" s="581"/>
      <c r="CE904" s="581"/>
      <c r="CF904" s="581"/>
      <c r="CG904" s="586"/>
      <c r="CH904" s="608"/>
      <c r="CI904" s="603"/>
      <c r="CJ904" s="347"/>
      <c r="CK904" s="347"/>
      <c r="CL904" s="347"/>
      <c r="CM904" s="347"/>
      <c r="CN904" s="347"/>
      <c r="CO904" s="347"/>
      <c r="CP904" s="347"/>
    </row>
    <row r="905">
      <c r="A905" s="574"/>
      <c r="B905" s="574"/>
      <c r="C905" s="347"/>
      <c r="D905" s="574"/>
      <c r="E905" s="347"/>
      <c r="F905" s="596"/>
      <c r="G905" s="596"/>
      <c r="H905" s="347"/>
      <c r="I905" s="347"/>
      <c r="J905" s="596"/>
      <c r="K905" s="609"/>
      <c r="L905" s="1"/>
      <c r="M905" s="347"/>
      <c r="N905" s="347"/>
      <c r="O905" s="579"/>
      <c r="P905" s="579"/>
      <c r="Q905" s="574"/>
      <c r="R905" s="347"/>
      <c r="S905" s="597"/>
      <c r="T905" s="347"/>
      <c r="U905" s="579"/>
      <c r="V905" s="579"/>
      <c r="W905" s="574"/>
      <c r="X905" s="347"/>
      <c r="Y905" s="347"/>
      <c r="Z905" s="347"/>
      <c r="AA905" s="579"/>
      <c r="AB905" s="581"/>
      <c r="AC905" s="347"/>
      <c r="AD905" s="347"/>
      <c r="AE905" s="347"/>
      <c r="AF905" s="347"/>
      <c r="AG905" s="579"/>
      <c r="AH905" s="579"/>
      <c r="AI905" s="582"/>
      <c r="AJ905" s="582"/>
      <c r="AK905" s="582"/>
      <c r="AL905" s="582"/>
      <c r="AM905" s="579"/>
      <c r="AN905" s="579"/>
      <c r="AO905" s="347"/>
      <c r="AP905" s="586"/>
      <c r="AQ905" s="596"/>
      <c r="AR905" s="596"/>
      <c r="AS905" s="348"/>
      <c r="AT905" s="348"/>
      <c r="AU905" s="348"/>
      <c r="AV905" s="348"/>
      <c r="AW905" s="348"/>
      <c r="AX905" s="584"/>
      <c r="AY905" s="581"/>
      <c r="AZ905" s="581"/>
      <c r="BA905" s="596"/>
      <c r="BB905" s="596"/>
      <c r="BC905" s="348"/>
      <c r="BD905" s="581"/>
      <c r="BE905" s="581"/>
      <c r="BF905" s="347"/>
      <c r="BG905" s="347"/>
      <c r="BH905" s="347"/>
      <c r="BI905" s="347"/>
      <c r="BJ905" s="586"/>
      <c r="BK905" s="581"/>
      <c r="BL905" s="347"/>
      <c r="BM905" s="347"/>
      <c r="BN905" s="347"/>
      <c r="BO905" s="586"/>
      <c r="BP905" s="584"/>
      <c r="BQ905" s="347"/>
      <c r="BR905" s="586"/>
      <c r="BS905" s="588"/>
      <c r="BT905" s="586"/>
      <c r="BU905" s="589"/>
      <c r="BV905" s="581">
        <f t="shared" si="44"/>
        <v>0</v>
      </c>
      <c r="BW905" s="590"/>
      <c r="BX905" s="347"/>
      <c r="BY905" s="347"/>
      <c r="BZ905" s="347"/>
      <c r="CA905" s="586"/>
      <c r="CB905" s="581"/>
      <c r="CC905" s="581">
        <f t="shared" si="193"/>
        <v>0</v>
      </c>
      <c r="CD905" s="581"/>
      <c r="CE905" s="581"/>
      <c r="CF905" s="581"/>
      <c r="CG905" s="586"/>
      <c r="CH905" s="608"/>
      <c r="CI905" s="603"/>
      <c r="CJ905" s="347"/>
      <c r="CK905" s="347"/>
      <c r="CL905" s="347"/>
      <c r="CM905" s="347"/>
      <c r="CN905" s="347"/>
      <c r="CO905" s="347"/>
      <c r="CP905" s="347"/>
    </row>
    <row r="906">
      <c r="A906" s="574"/>
      <c r="B906" s="574"/>
      <c r="C906" s="347"/>
      <c r="D906" s="574"/>
      <c r="E906" s="347"/>
      <c r="F906" s="596"/>
      <c r="G906" s="596"/>
      <c r="H906" s="347"/>
      <c r="I906" s="347"/>
      <c r="J906" s="596"/>
      <c r="K906" s="609"/>
      <c r="L906" s="1"/>
      <c r="M906" s="347"/>
      <c r="N906" s="347"/>
      <c r="O906" s="579"/>
      <c r="P906" s="579"/>
      <c r="Q906" s="574"/>
      <c r="R906" s="347"/>
      <c r="S906" s="597"/>
      <c r="T906" s="347"/>
      <c r="U906" s="579"/>
      <c r="V906" s="579"/>
      <c r="W906" s="574"/>
      <c r="X906" s="347"/>
      <c r="Y906" s="347"/>
      <c r="Z906" s="347"/>
      <c r="AA906" s="579"/>
      <c r="AB906" s="581"/>
      <c r="AC906" s="347"/>
      <c r="AD906" s="347"/>
      <c r="AE906" s="347"/>
      <c r="AF906" s="347"/>
      <c r="AG906" s="579"/>
      <c r="AH906" s="579"/>
      <c r="AI906" s="582"/>
      <c r="AJ906" s="582"/>
      <c r="AK906" s="582"/>
      <c r="AL906" s="582"/>
      <c r="AM906" s="579"/>
      <c r="AN906" s="579"/>
      <c r="AO906" s="347"/>
      <c r="AP906" s="586"/>
      <c r="AQ906" s="596"/>
      <c r="AR906" s="596"/>
      <c r="AS906" s="348"/>
      <c r="AT906" s="348"/>
      <c r="AU906" s="348"/>
      <c r="AV906" s="348"/>
      <c r="AW906" s="348"/>
      <c r="AX906" s="584"/>
      <c r="AY906" s="581"/>
      <c r="AZ906" s="581"/>
      <c r="BA906" s="596"/>
      <c r="BB906" s="596"/>
      <c r="BC906" s="348"/>
      <c r="BD906" s="581"/>
      <c r="BE906" s="581"/>
      <c r="BF906" s="347"/>
      <c r="BG906" s="347"/>
      <c r="BH906" s="347"/>
      <c r="BI906" s="347"/>
      <c r="BJ906" s="586"/>
      <c r="BK906" s="581"/>
      <c r="BL906" s="347"/>
      <c r="BM906" s="347"/>
      <c r="BN906" s="347"/>
      <c r="BO906" s="586"/>
      <c r="BP906" s="584"/>
      <c r="BQ906" s="347"/>
      <c r="BR906" s="586"/>
      <c r="BS906" s="588"/>
      <c r="BT906" s="586"/>
      <c r="BU906" s="589"/>
      <c r="BV906" s="581">
        <f t="shared" si="44"/>
        <v>0</v>
      </c>
      <c r="BW906" s="590"/>
      <c r="BX906" s="347"/>
      <c r="BY906" s="347"/>
      <c r="BZ906" s="347"/>
      <c r="CA906" s="586"/>
      <c r="CB906" s="581"/>
      <c r="CC906" s="581">
        <f t="shared" si="193"/>
        <v>0</v>
      </c>
      <c r="CD906" s="581"/>
      <c r="CE906" s="581"/>
      <c r="CF906" s="581"/>
      <c r="CG906" s="586"/>
      <c r="CH906" s="608"/>
      <c r="CI906" s="603"/>
      <c r="CJ906" s="347"/>
      <c r="CK906" s="347"/>
      <c r="CL906" s="347"/>
      <c r="CM906" s="347"/>
      <c r="CN906" s="347"/>
      <c r="CO906" s="347"/>
      <c r="CP906" s="347"/>
    </row>
    <row r="907">
      <c r="A907" s="574"/>
      <c r="B907" s="574"/>
      <c r="C907" s="347"/>
      <c r="D907" s="574"/>
      <c r="E907" s="347"/>
      <c r="F907" s="596"/>
      <c r="G907" s="596"/>
      <c r="H907" s="347"/>
      <c r="I907" s="347"/>
      <c r="J907" s="596"/>
      <c r="K907" s="609"/>
      <c r="L907" s="1"/>
      <c r="M907" s="347"/>
      <c r="N907" s="347"/>
      <c r="O907" s="579"/>
      <c r="P907" s="579"/>
      <c r="Q907" s="574"/>
      <c r="R907" s="347"/>
      <c r="S907" s="597"/>
      <c r="T907" s="347"/>
      <c r="U907" s="579"/>
      <c r="V907" s="579"/>
      <c r="W907" s="574"/>
      <c r="X907" s="347"/>
      <c r="Y907" s="347"/>
      <c r="Z907" s="347"/>
      <c r="AA907" s="579"/>
      <c r="AB907" s="581"/>
      <c r="AC907" s="347"/>
      <c r="AD907" s="347"/>
      <c r="AE907" s="347"/>
      <c r="AF907" s="347"/>
      <c r="AG907" s="579"/>
      <c r="AH907" s="579"/>
      <c r="AI907" s="582"/>
      <c r="AJ907" s="582"/>
      <c r="AK907" s="582"/>
      <c r="AL907" s="582"/>
      <c r="AM907" s="579"/>
      <c r="AN907" s="579"/>
      <c r="AO907" s="347"/>
      <c r="AP907" s="586"/>
      <c r="AQ907" s="596"/>
      <c r="AR907" s="596"/>
      <c r="AS907" s="348"/>
      <c r="AT907" s="348"/>
      <c r="AU907" s="348"/>
      <c r="AV907" s="348"/>
      <c r="AW907" s="348"/>
      <c r="AX907" s="584"/>
      <c r="AY907" s="581"/>
      <c r="AZ907" s="581"/>
      <c r="BA907" s="596"/>
      <c r="BB907" s="596"/>
      <c r="BC907" s="348"/>
      <c r="BD907" s="581"/>
      <c r="BE907" s="581"/>
      <c r="BF907" s="347"/>
      <c r="BG907" s="347"/>
      <c r="BH907" s="347"/>
      <c r="BI907" s="347"/>
      <c r="BJ907" s="586"/>
      <c r="BK907" s="581"/>
      <c r="BL907" s="347"/>
      <c r="BM907" s="347"/>
      <c r="BN907" s="347"/>
      <c r="BO907" s="586"/>
      <c r="BP907" s="584"/>
      <c r="BQ907" s="347"/>
      <c r="BR907" s="586"/>
      <c r="BS907" s="588"/>
      <c r="BT907" s="586"/>
      <c r="BU907" s="589"/>
      <c r="BV907" s="581">
        <f t="shared" si="44"/>
        <v>0</v>
      </c>
      <c r="BW907" s="590"/>
      <c r="BX907" s="347"/>
      <c r="BY907" s="347"/>
      <c r="BZ907" s="347"/>
      <c r="CA907" s="586"/>
      <c r="CB907" s="581"/>
      <c r="CC907" s="581">
        <f t="shared" si="193"/>
        <v>0</v>
      </c>
      <c r="CD907" s="581"/>
      <c r="CE907" s="581"/>
      <c r="CF907" s="581"/>
      <c r="CG907" s="586"/>
      <c r="CH907" s="608"/>
      <c r="CI907" s="603"/>
      <c r="CJ907" s="347"/>
      <c r="CK907" s="347"/>
      <c r="CL907" s="347"/>
      <c r="CM907" s="347"/>
      <c r="CN907" s="347"/>
      <c r="CO907" s="347"/>
      <c r="CP907" s="347"/>
    </row>
    <row r="908">
      <c r="A908" s="574"/>
      <c r="B908" s="574"/>
      <c r="C908" s="347"/>
      <c r="D908" s="574"/>
      <c r="E908" s="347"/>
      <c r="F908" s="596"/>
      <c r="G908" s="596"/>
      <c r="H908" s="347"/>
      <c r="I908" s="347"/>
      <c r="J908" s="596"/>
      <c r="K908" s="609"/>
      <c r="L908" s="1"/>
      <c r="M908" s="347"/>
      <c r="N908" s="347"/>
      <c r="O908" s="579"/>
      <c r="P908" s="579"/>
      <c r="Q908" s="574"/>
      <c r="R908" s="347"/>
      <c r="S908" s="597"/>
      <c r="T908" s="347"/>
      <c r="U908" s="579"/>
      <c r="V908" s="579"/>
      <c r="W908" s="574"/>
      <c r="X908" s="347"/>
      <c r="Y908" s="347"/>
      <c r="Z908" s="347"/>
      <c r="AA908" s="579"/>
      <c r="AB908" s="581"/>
      <c r="AC908" s="347"/>
      <c r="AD908" s="347"/>
      <c r="AE908" s="347"/>
      <c r="AF908" s="347"/>
      <c r="AG908" s="579"/>
      <c r="AH908" s="579"/>
      <c r="AI908" s="582"/>
      <c r="AJ908" s="582"/>
      <c r="AK908" s="582"/>
      <c r="AL908" s="582"/>
      <c r="AM908" s="579"/>
      <c r="AN908" s="579"/>
      <c r="AO908" s="347"/>
      <c r="AP908" s="586"/>
      <c r="AQ908" s="596"/>
      <c r="AR908" s="596"/>
      <c r="AS908" s="348"/>
      <c r="AT908" s="348"/>
      <c r="AU908" s="348"/>
      <c r="AV908" s="348"/>
      <c r="AW908" s="348"/>
      <c r="AX908" s="584"/>
      <c r="AY908" s="581"/>
      <c r="AZ908" s="581"/>
      <c r="BA908" s="596"/>
      <c r="BB908" s="596"/>
      <c r="BC908" s="348"/>
      <c r="BD908" s="581"/>
      <c r="BE908" s="581"/>
      <c r="BF908" s="347"/>
      <c r="BG908" s="347"/>
      <c r="BH908" s="347"/>
      <c r="BI908" s="347"/>
      <c r="BJ908" s="586"/>
      <c r="BK908" s="581"/>
      <c r="BL908" s="347"/>
      <c r="BM908" s="347"/>
      <c r="BN908" s="347"/>
      <c r="BO908" s="586"/>
      <c r="BP908" s="584"/>
      <c r="BQ908" s="347"/>
      <c r="BR908" s="586"/>
      <c r="BS908" s="588"/>
      <c r="BT908" s="586"/>
      <c r="BU908" s="589"/>
      <c r="BV908" s="581">
        <f t="shared" si="44"/>
        <v>0</v>
      </c>
      <c r="BW908" s="590"/>
      <c r="BX908" s="347"/>
      <c r="BY908" s="347"/>
      <c r="BZ908" s="347"/>
      <c r="CA908" s="586"/>
      <c r="CB908" s="581"/>
      <c r="CC908" s="581">
        <f t="shared" si="193"/>
        <v>0</v>
      </c>
      <c r="CD908" s="581"/>
      <c r="CE908" s="581"/>
      <c r="CF908" s="581"/>
      <c r="CG908" s="586"/>
      <c r="CH908" s="608"/>
      <c r="CI908" s="603"/>
      <c r="CJ908" s="347"/>
      <c r="CK908" s="347"/>
      <c r="CL908" s="347"/>
      <c r="CM908" s="347"/>
      <c r="CN908" s="347"/>
      <c r="CO908" s="347"/>
      <c r="CP908" s="347"/>
    </row>
    <row r="909">
      <c r="A909" s="574"/>
      <c r="B909" s="574"/>
      <c r="C909" s="347"/>
      <c r="D909" s="574"/>
      <c r="E909" s="347"/>
      <c r="F909" s="596"/>
      <c r="G909" s="596"/>
      <c r="H909" s="347"/>
      <c r="I909" s="347"/>
      <c r="J909" s="596"/>
      <c r="K909" s="609"/>
      <c r="L909" s="1"/>
      <c r="M909" s="347"/>
      <c r="N909" s="347"/>
      <c r="O909" s="579"/>
      <c r="P909" s="579"/>
      <c r="Q909" s="574"/>
      <c r="R909" s="347"/>
      <c r="S909" s="597"/>
      <c r="T909" s="347"/>
      <c r="U909" s="579"/>
      <c r="V909" s="579"/>
      <c r="W909" s="574"/>
      <c r="X909" s="347"/>
      <c r="Y909" s="347"/>
      <c r="Z909" s="347"/>
      <c r="AA909" s="579"/>
      <c r="AB909" s="581"/>
      <c r="AC909" s="347"/>
      <c r="AD909" s="347"/>
      <c r="AE909" s="347"/>
      <c r="AF909" s="347"/>
      <c r="AG909" s="579"/>
      <c r="AH909" s="579"/>
      <c r="AI909" s="582"/>
      <c r="AJ909" s="582"/>
      <c r="AK909" s="582"/>
      <c r="AL909" s="582"/>
      <c r="AM909" s="579"/>
      <c r="AN909" s="579"/>
      <c r="AO909" s="347"/>
      <c r="AP909" s="586"/>
      <c r="AQ909" s="596"/>
      <c r="AR909" s="596"/>
      <c r="AS909" s="348"/>
      <c r="AT909" s="348"/>
      <c r="AU909" s="348"/>
      <c r="AV909" s="348"/>
      <c r="AW909" s="348"/>
      <c r="AX909" s="584"/>
      <c r="AY909" s="581"/>
      <c r="AZ909" s="581"/>
      <c r="BA909" s="596"/>
      <c r="BB909" s="596"/>
      <c r="BC909" s="348"/>
      <c r="BD909" s="581"/>
      <c r="BE909" s="581"/>
      <c r="BF909" s="347"/>
      <c r="BG909" s="347"/>
      <c r="BH909" s="347"/>
      <c r="BI909" s="347"/>
      <c r="BJ909" s="586"/>
      <c r="BK909" s="581"/>
      <c r="BL909" s="347"/>
      <c r="BM909" s="347"/>
      <c r="BN909" s="347"/>
      <c r="BO909" s="586"/>
      <c r="BP909" s="584"/>
      <c r="BQ909" s="347"/>
      <c r="BR909" s="586"/>
      <c r="BS909" s="588"/>
      <c r="BT909" s="586"/>
      <c r="BU909" s="589"/>
      <c r="BV909" s="581">
        <f t="shared" si="44"/>
        <v>0</v>
      </c>
      <c r="BW909" s="590"/>
      <c r="BX909" s="347"/>
      <c r="BY909" s="347"/>
      <c r="BZ909" s="347"/>
      <c r="CA909" s="586"/>
      <c r="CB909" s="581"/>
      <c r="CC909" s="581">
        <f t="shared" si="193"/>
        <v>0</v>
      </c>
      <c r="CD909" s="581"/>
      <c r="CE909" s="581"/>
      <c r="CF909" s="581"/>
      <c r="CG909" s="586"/>
      <c r="CH909" s="608"/>
      <c r="CI909" s="603"/>
      <c r="CJ909" s="347"/>
      <c r="CK909" s="347"/>
      <c r="CL909" s="347"/>
      <c r="CM909" s="347"/>
      <c r="CN909" s="347"/>
      <c r="CO909" s="347"/>
      <c r="CP909" s="347"/>
    </row>
    <row r="910">
      <c r="A910" s="574"/>
      <c r="B910" s="574"/>
      <c r="C910" s="347"/>
      <c r="D910" s="574"/>
      <c r="E910" s="347"/>
      <c r="F910" s="596"/>
      <c r="G910" s="596"/>
      <c r="H910" s="347"/>
      <c r="I910" s="347"/>
      <c r="J910" s="596"/>
      <c r="K910" s="609"/>
      <c r="L910" s="1"/>
      <c r="M910" s="347"/>
      <c r="N910" s="347"/>
      <c r="O910" s="579"/>
      <c r="P910" s="579"/>
      <c r="Q910" s="574"/>
      <c r="R910" s="347"/>
      <c r="S910" s="597"/>
      <c r="T910" s="347"/>
      <c r="U910" s="579"/>
      <c r="V910" s="579"/>
      <c r="W910" s="574"/>
      <c r="X910" s="347"/>
      <c r="Y910" s="347"/>
      <c r="Z910" s="347"/>
      <c r="AA910" s="579"/>
      <c r="AB910" s="581"/>
      <c r="AC910" s="347"/>
      <c r="AD910" s="347"/>
      <c r="AE910" s="347"/>
      <c r="AF910" s="347"/>
      <c r="AG910" s="579"/>
      <c r="AH910" s="579"/>
      <c r="AI910" s="582"/>
      <c r="AJ910" s="582"/>
      <c r="AK910" s="582"/>
      <c r="AL910" s="582"/>
      <c r="AM910" s="579"/>
      <c r="AN910" s="579"/>
      <c r="AO910" s="347"/>
      <c r="AP910" s="586"/>
      <c r="AQ910" s="596"/>
      <c r="AR910" s="596"/>
      <c r="AS910" s="348"/>
      <c r="AT910" s="348"/>
      <c r="AU910" s="348"/>
      <c r="AV910" s="348"/>
      <c r="AW910" s="348"/>
      <c r="AX910" s="584"/>
      <c r="AY910" s="581"/>
      <c r="AZ910" s="581"/>
      <c r="BA910" s="596"/>
      <c r="BB910" s="596"/>
      <c r="BC910" s="348"/>
      <c r="BD910" s="581"/>
      <c r="BE910" s="581"/>
      <c r="BF910" s="347"/>
      <c r="BG910" s="347"/>
      <c r="BH910" s="347"/>
      <c r="BI910" s="347"/>
      <c r="BJ910" s="586"/>
      <c r="BK910" s="581"/>
      <c r="BL910" s="347"/>
      <c r="BM910" s="347"/>
      <c r="BN910" s="347"/>
      <c r="BO910" s="586"/>
      <c r="BP910" s="584"/>
      <c r="BQ910" s="347"/>
      <c r="BR910" s="586"/>
      <c r="BS910" s="588"/>
      <c r="BT910" s="586"/>
      <c r="BU910" s="589"/>
      <c r="BV910" s="581">
        <f t="shared" si="44"/>
        <v>0</v>
      </c>
      <c r="BW910" s="590"/>
      <c r="BX910" s="347"/>
      <c r="BY910" s="347"/>
      <c r="BZ910" s="347"/>
      <c r="CA910" s="586"/>
      <c r="CB910" s="581"/>
      <c r="CC910" s="581">
        <f t="shared" si="193"/>
        <v>0</v>
      </c>
      <c r="CD910" s="581"/>
      <c r="CE910" s="581"/>
      <c r="CF910" s="581"/>
      <c r="CG910" s="586"/>
      <c r="CH910" s="608"/>
      <c r="CI910" s="603"/>
      <c r="CJ910" s="347"/>
      <c r="CK910" s="347"/>
      <c r="CL910" s="347"/>
      <c r="CM910" s="347"/>
      <c r="CN910" s="347"/>
      <c r="CO910" s="347"/>
      <c r="CP910" s="347"/>
    </row>
    <row r="911">
      <c r="A911" s="574"/>
      <c r="B911" s="574"/>
      <c r="C911" s="347"/>
      <c r="D911" s="574"/>
      <c r="E911" s="347"/>
      <c r="F911" s="596"/>
      <c r="G911" s="596"/>
      <c r="H911" s="347"/>
      <c r="I911" s="347"/>
      <c r="J911" s="596"/>
      <c r="K911" s="609"/>
      <c r="L911" s="1"/>
      <c r="M911" s="347"/>
      <c r="N911" s="347"/>
      <c r="O911" s="579"/>
      <c r="P911" s="579"/>
      <c r="Q911" s="574"/>
      <c r="R911" s="347"/>
      <c r="S911" s="597"/>
      <c r="T911" s="347"/>
      <c r="U911" s="579"/>
      <c r="V911" s="579"/>
      <c r="W911" s="574"/>
      <c r="X911" s="347"/>
      <c r="Y911" s="347"/>
      <c r="Z911" s="347"/>
      <c r="AA911" s="579"/>
      <c r="AB911" s="581"/>
      <c r="AC911" s="347"/>
      <c r="AD911" s="347"/>
      <c r="AE911" s="347"/>
      <c r="AF911" s="347"/>
      <c r="AG911" s="579"/>
      <c r="AH911" s="579"/>
      <c r="AI911" s="582"/>
      <c r="AJ911" s="582"/>
      <c r="AK911" s="582"/>
      <c r="AL911" s="582"/>
      <c r="AM911" s="579"/>
      <c r="AN911" s="579"/>
      <c r="AO911" s="347"/>
      <c r="AP911" s="586"/>
      <c r="AQ911" s="596"/>
      <c r="AR911" s="596"/>
      <c r="AS911" s="348"/>
      <c r="AT911" s="348"/>
      <c r="AU911" s="348"/>
      <c r="AV911" s="348"/>
      <c r="AW911" s="348"/>
      <c r="AX911" s="584"/>
      <c r="AY911" s="581"/>
      <c r="AZ911" s="581"/>
      <c r="BA911" s="596"/>
      <c r="BB911" s="596"/>
      <c r="BC911" s="348"/>
      <c r="BD911" s="581"/>
      <c r="BE911" s="581"/>
      <c r="BF911" s="347"/>
      <c r="BG911" s="347"/>
      <c r="BH911" s="347"/>
      <c r="BI911" s="347"/>
      <c r="BJ911" s="586"/>
      <c r="BK911" s="581"/>
      <c r="BL911" s="347"/>
      <c r="BM911" s="347"/>
      <c r="BN911" s="347"/>
      <c r="BO911" s="586"/>
      <c r="BP911" s="584"/>
      <c r="BQ911" s="347"/>
      <c r="BR911" s="586"/>
      <c r="BS911" s="588"/>
      <c r="BT911" s="586"/>
      <c r="BU911" s="589"/>
      <c r="BV911" s="581">
        <f t="shared" si="44"/>
        <v>0</v>
      </c>
      <c r="BW911" s="590"/>
      <c r="BX911" s="347"/>
      <c r="BY911" s="347"/>
      <c r="BZ911" s="347"/>
      <c r="CA911" s="586"/>
      <c r="CB911" s="581"/>
      <c r="CC911" s="581">
        <f t="shared" si="193"/>
        <v>0</v>
      </c>
      <c r="CD911" s="581"/>
      <c r="CE911" s="581"/>
      <c r="CF911" s="581"/>
      <c r="CG911" s="586"/>
      <c r="CH911" s="608"/>
      <c r="CI911" s="603"/>
      <c r="CJ911" s="347"/>
      <c r="CK911" s="347"/>
      <c r="CL911" s="347"/>
      <c r="CM911" s="347"/>
      <c r="CN911" s="347"/>
      <c r="CO911" s="347"/>
      <c r="CP911" s="347"/>
    </row>
    <row r="912">
      <c r="A912" s="574"/>
      <c r="B912" s="574"/>
      <c r="C912" s="347"/>
      <c r="D912" s="574"/>
      <c r="E912" s="347"/>
      <c r="F912" s="596"/>
      <c r="G912" s="596"/>
      <c r="H912" s="347"/>
      <c r="I912" s="347"/>
      <c r="J912" s="596"/>
      <c r="K912" s="609"/>
      <c r="L912" s="1"/>
      <c r="M912" s="347"/>
      <c r="N912" s="347"/>
      <c r="O912" s="579"/>
      <c r="P912" s="579"/>
      <c r="Q912" s="574"/>
      <c r="R912" s="347"/>
      <c r="S912" s="597"/>
      <c r="T912" s="347"/>
      <c r="U912" s="579"/>
      <c r="V912" s="579"/>
      <c r="W912" s="574"/>
      <c r="X912" s="347"/>
      <c r="Y912" s="347"/>
      <c r="Z912" s="347"/>
      <c r="AA912" s="579"/>
      <c r="AB912" s="581"/>
      <c r="AC912" s="347"/>
      <c r="AD912" s="347"/>
      <c r="AE912" s="347"/>
      <c r="AF912" s="347"/>
      <c r="AG912" s="579"/>
      <c r="AH912" s="579"/>
      <c r="AI912" s="582"/>
      <c r="AJ912" s="582"/>
      <c r="AK912" s="582"/>
      <c r="AL912" s="582"/>
      <c r="AM912" s="579"/>
      <c r="AN912" s="579"/>
      <c r="AO912" s="347"/>
      <c r="AP912" s="586"/>
      <c r="AQ912" s="596"/>
      <c r="AR912" s="596"/>
      <c r="AS912" s="348"/>
      <c r="AT912" s="348"/>
      <c r="AU912" s="348"/>
      <c r="AV912" s="348"/>
      <c r="AW912" s="348"/>
      <c r="AX912" s="584"/>
      <c r="AY912" s="581"/>
      <c r="AZ912" s="581"/>
      <c r="BA912" s="596"/>
      <c r="BB912" s="596"/>
      <c r="BC912" s="348"/>
      <c r="BD912" s="581"/>
      <c r="BE912" s="581"/>
      <c r="BF912" s="347"/>
      <c r="BG912" s="347"/>
      <c r="BH912" s="347"/>
      <c r="BI912" s="347"/>
      <c r="BJ912" s="586"/>
      <c r="BK912" s="581"/>
      <c r="BL912" s="347"/>
      <c r="BM912" s="347"/>
      <c r="BN912" s="347"/>
      <c r="BO912" s="586"/>
      <c r="BP912" s="584"/>
      <c r="BQ912" s="347"/>
      <c r="BR912" s="586"/>
      <c r="BS912" s="588"/>
      <c r="BT912" s="586"/>
      <c r="BU912" s="589"/>
      <c r="BV912" s="581">
        <f t="shared" si="44"/>
        <v>0</v>
      </c>
      <c r="BW912" s="590"/>
      <c r="BX912" s="347"/>
      <c r="BY912" s="347"/>
      <c r="BZ912" s="347"/>
      <c r="CA912" s="586"/>
      <c r="CB912" s="581"/>
      <c r="CC912" s="581">
        <f t="shared" si="193"/>
        <v>0</v>
      </c>
      <c r="CD912" s="581"/>
      <c r="CE912" s="581"/>
      <c r="CF912" s="581"/>
      <c r="CG912" s="586"/>
      <c r="CH912" s="608"/>
      <c r="CI912" s="603"/>
      <c r="CJ912" s="347"/>
      <c r="CK912" s="347"/>
      <c r="CL912" s="347"/>
      <c r="CM912" s="347"/>
      <c r="CN912" s="347"/>
      <c r="CO912" s="347"/>
      <c r="CP912" s="347"/>
    </row>
    <row r="913">
      <c r="A913" s="574"/>
      <c r="B913" s="574"/>
      <c r="C913" s="347"/>
      <c r="D913" s="574"/>
      <c r="E913" s="347"/>
      <c r="F913" s="596"/>
      <c r="G913" s="596"/>
      <c r="H913" s="347"/>
      <c r="I913" s="347"/>
      <c r="J913" s="596"/>
      <c r="K913" s="609"/>
      <c r="L913" s="1"/>
      <c r="M913" s="347"/>
      <c r="N913" s="347"/>
      <c r="O913" s="579"/>
      <c r="P913" s="579"/>
      <c r="Q913" s="574"/>
      <c r="R913" s="347"/>
      <c r="S913" s="597"/>
      <c r="T913" s="347"/>
      <c r="U913" s="579"/>
      <c r="V913" s="579"/>
      <c r="W913" s="574"/>
      <c r="X913" s="347"/>
      <c r="Y913" s="347"/>
      <c r="Z913" s="347"/>
      <c r="AA913" s="579"/>
      <c r="AB913" s="581"/>
      <c r="AC913" s="347"/>
      <c r="AD913" s="347"/>
      <c r="AE913" s="347"/>
      <c r="AF913" s="347"/>
      <c r="AG913" s="579"/>
      <c r="AH913" s="579"/>
      <c r="AI913" s="582"/>
      <c r="AJ913" s="582"/>
      <c r="AK913" s="582"/>
      <c r="AL913" s="582"/>
      <c r="AM913" s="579"/>
      <c r="AN913" s="579"/>
      <c r="AO913" s="347"/>
      <c r="AP913" s="586"/>
      <c r="AQ913" s="596"/>
      <c r="AR913" s="596"/>
      <c r="AS913" s="348"/>
      <c r="AT913" s="348"/>
      <c r="AU913" s="348"/>
      <c r="AV913" s="348"/>
      <c r="AW913" s="348"/>
      <c r="AX913" s="584"/>
      <c r="AY913" s="581"/>
      <c r="AZ913" s="581"/>
      <c r="BA913" s="596"/>
      <c r="BB913" s="596"/>
      <c r="BC913" s="348"/>
      <c r="BD913" s="581"/>
      <c r="BE913" s="581"/>
      <c r="BF913" s="347"/>
      <c r="BG913" s="347"/>
      <c r="BH913" s="347"/>
      <c r="BI913" s="347"/>
      <c r="BJ913" s="586"/>
      <c r="BK913" s="581"/>
      <c r="BL913" s="347"/>
      <c r="BM913" s="347"/>
      <c r="BN913" s="347"/>
      <c r="BO913" s="586"/>
      <c r="BP913" s="584"/>
      <c r="BQ913" s="347"/>
      <c r="BR913" s="586"/>
      <c r="BS913" s="588"/>
      <c r="BT913" s="586"/>
      <c r="BU913" s="589"/>
      <c r="BV913" s="581">
        <f t="shared" si="44"/>
        <v>0</v>
      </c>
      <c r="BW913" s="590"/>
      <c r="BX913" s="347"/>
      <c r="BY913" s="347"/>
      <c r="BZ913" s="347"/>
      <c r="CA913" s="586"/>
      <c r="CB913" s="581"/>
      <c r="CC913" s="581">
        <f t="shared" si="193"/>
        <v>0</v>
      </c>
      <c r="CD913" s="581"/>
      <c r="CE913" s="581"/>
      <c r="CF913" s="581"/>
      <c r="CG913" s="586"/>
      <c r="CH913" s="608"/>
      <c r="CI913" s="603"/>
      <c r="CJ913" s="347"/>
      <c r="CK913" s="347"/>
      <c r="CL913" s="347"/>
      <c r="CM913" s="347"/>
      <c r="CN913" s="347"/>
      <c r="CO913" s="347"/>
      <c r="CP913" s="347"/>
    </row>
    <row r="914">
      <c r="A914" s="574"/>
      <c r="B914" s="574"/>
      <c r="C914" s="347"/>
      <c r="D914" s="574"/>
      <c r="E914" s="347"/>
      <c r="F914" s="596"/>
      <c r="G914" s="596"/>
      <c r="H914" s="347"/>
      <c r="I914" s="347"/>
      <c r="J914" s="596"/>
      <c r="K914" s="609"/>
      <c r="L914" s="1"/>
      <c r="M914" s="347"/>
      <c r="N914" s="347"/>
      <c r="O914" s="579"/>
      <c r="P914" s="579"/>
      <c r="Q914" s="574"/>
      <c r="R914" s="347"/>
      <c r="S914" s="597"/>
      <c r="T914" s="347"/>
      <c r="U914" s="579"/>
      <c r="V914" s="579"/>
      <c r="W914" s="574"/>
      <c r="X914" s="347"/>
      <c r="Y914" s="347"/>
      <c r="Z914" s="347"/>
      <c r="AA914" s="579"/>
      <c r="AB914" s="581"/>
      <c r="AC914" s="347"/>
      <c r="AD914" s="347"/>
      <c r="AE914" s="347"/>
      <c r="AF914" s="347"/>
      <c r="AG914" s="579"/>
      <c r="AH914" s="579"/>
      <c r="AI914" s="582"/>
      <c r="AJ914" s="582"/>
      <c r="AK914" s="582"/>
      <c r="AL914" s="582"/>
      <c r="AM914" s="579"/>
      <c r="AN914" s="579"/>
      <c r="AO914" s="347"/>
      <c r="AP914" s="586"/>
      <c r="AQ914" s="596"/>
      <c r="AR914" s="596"/>
      <c r="AS914" s="348"/>
      <c r="AT914" s="348"/>
      <c r="AU914" s="348"/>
      <c r="AV914" s="348"/>
      <c r="AW914" s="348"/>
      <c r="AX914" s="584"/>
      <c r="AY914" s="581"/>
      <c r="AZ914" s="581"/>
      <c r="BA914" s="596"/>
      <c r="BB914" s="596"/>
      <c r="BC914" s="348"/>
      <c r="BD914" s="581"/>
      <c r="BE914" s="581"/>
      <c r="BF914" s="347"/>
      <c r="BG914" s="347"/>
      <c r="BH914" s="347"/>
      <c r="BI914" s="347"/>
      <c r="BJ914" s="586"/>
      <c r="BK914" s="581"/>
      <c r="BL914" s="347"/>
      <c r="BM914" s="347"/>
      <c r="BN914" s="347"/>
      <c r="BO914" s="586"/>
      <c r="BP914" s="584"/>
      <c r="BQ914" s="347"/>
      <c r="BR914" s="586"/>
      <c r="BS914" s="588"/>
      <c r="BT914" s="586"/>
      <c r="BU914" s="589"/>
      <c r="BV914" s="581">
        <f t="shared" si="44"/>
        <v>0</v>
      </c>
      <c r="BW914" s="590"/>
      <c r="BX914" s="347"/>
      <c r="BY914" s="347"/>
      <c r="BZ914" s="347"/>
      <c r="CA914" s="586"/>
      <c r="CB914" s="581"/>
      <c r="CC914" s="581">
        <f t="shared" si="193"/>
        <v>0</v>
      </c>
      <c r="CD914" s="581"/>
      <c r="CE914" s="581"/>
      <c r="CF914" s="581"/>
      <c r="CG914" s="586"/>
      <c r="CH914" s="608"/>
      <c r="CI914" s="603"/>
      <c r="CJ914" s="347"/>
      <c r="CK914" s="347"/>
      <c r="CL914" s="347"/>
      <c r="CM914" s="347"/>
      <c r="CN914" s="347"/>
      <c r="CO914" s="347"/>
      <c r="CP914" s="347"/>
    </row>
    <row r="915">
      <c r="A915" s="574"/>
      <c r="B915" s="574"/>
      <c r="C915" s="347"/>
      <c r="D915" s="574"/>
      <c r="E915" s="347"/>
      <c r="F915" s="596"/>
      <c r="G915" s="596"/>
      <c r="H915" s="347"/>
      <c r="I915" s="347"/>
      <c r="J915" s="596"/>
      <c r="K915" s="609"/>
      <c r="L915" s="1"/>
      <c r="M915" s="347"/>
      <c r="N915" s="347"/>
      <c r="O915" s="579"/>
      <c r="P915" s="579"/>
      <c r="Q915" s="574"/>
      <c r="R915" s="347"/>
      <c r="S915" s="597"/>
      <c r="T915" s="347"/>
      <c r="U915" s="579"/>
      <c r="V915" s="579"/>
      <c r="W915" s="574"/>
      <c r="X915" s="347"/>
      <c r="Y915" s="347"/>
      <c r="Z915" s="347"/>
      <c r="AA915" s="579"/>
      <c r="AB915" s="581"/>
      <c r="AC915" s="347"/>
      <c r="AD915" s="347"/>
      <c r="AE915" s="347"/>
      <c r="AF915" s="347"/>
      <c r="AG915" s="579"/>
      <c r="AH915" s="579"/>
      <c r="AI915" s="582"/>
      <c r="AJ915" s="582"/>
      <c r="AK915" s="582"/>
      <c r="AL915" s="582"/>
      <c r="AM915" s="579"/>
      <c r="AN915" s="579"/>
      <c r="AO915" s="347"/>
      <c r="AP915" s="586"/>
      <c r="AQ915" s="596"/>
      <c r="AR915" s="596"/>
      <c r="AS915" s="348"/>
      <c r="AT915" s="348"/>
      <c r="AU915" s="348"/>
      <c r="AV915" s="348"/>
      <c r="AW915" s="348"/>
      <c r="AX915" s="584"/>
      <c r="AY915" s="581"/>
      <c r="AZ915" s="581"/>
      <c r="BA915" s="596"/>
      <c r="BB915" s="596"/>
      <c r="BC915" s="348"/>
      <c r="BD915" s="581"/>
      <c r="BE915" s="581"/>
      <c r="BF915" s="347"/>
      <c r="BG915" s="347"/>
      <c r="BH915" s="347"/>
      <c r="BI915" s="347"/>
      <c r="BJ915" s="586"/>
      <c r="BK915" s="581"/>
      <c r="BL915" s="347"/>
      <c r="BM915" s="347"/>
      <c r="BN915" s="347"/>
      <c r="BO915" s="586"/>
      <c r="BP915" s="584"/>
      <c r="BQ915" s="347"/>
      <c r="BR915" s="586"/>
      <c r="BS915" s="588"/>
      <c r="BT915" s="586"/>
      <c r="BU915" s="589"/>
      <c r="BV915" s="581">
        <f t="shared" si="44"/>
        <v>0</v>
      </c>
      <c r="BW915" s="590"/>
      <c r="BX915" s="347"/>
      <c r="BY915" s="347"/>
      <c r="BZ915" s="347"/>
      <c r="CA915" s="586"/>
      <c r="CB915" s="581"/>
      <c r="CC915" s="581">
        <f t="shared" si="193"/>
        <v>0</v>
      </c>
      <c r="CD915" s="581"/>
      <c r="CE915" s="581"/>
      <c r="CF915" s="581"/>
      <c r="CG915" s="586"/>
      <c r="CH915" s="608"/>
      <c r="CI915" s="603"/>
      <c r="CJ915" s="347"/>
      <c r="CK915" s="347"/>
      <c r="CL915" s="347"/>
      <c r="CM915" s="347"/>
      <c r="CN915" s="347"/>
      <c r="CO915" s="347"/>
      <c r="CP915" s="347"/>
    </row>
    <row r="916">
      <c r="A916" s="574"/>
      <c r="B916" s="574"/>
      <c r="C916" s="347"/>
      <c r="D916" s="574"/>
      <c r="E916" s="347"/>
      <c r="F916" s="596"/>
      <c r="G916" s="596"/>
      <c r="H916" s="347"/>
      <c r="I916" s="347"/>
      <c r="J916" s="596"/>
      <c r="K916" s="609"/>
      <c r="L916" s="1"/>
      <c r="M916" s="347"/>
      <c r="N916" s="347"/>
      <c r="O916" s="579"/>
      <c r="P916" s="579"/>
      <c r="Q916" s="574"/>
      <c r="R916" s="347"/>
      <c r="S916" s="597"/>
      <c r="T916" s="347"/>
      <c r="U916" s="579"/>
      <c r="V916" s="579"/>
      <c r="W916" s="574"/>
      <c r="X916" s="347"/>
      <c r="Y916" s="347"/>
      <c r="Z916" s="347"/>
      <c r="AA916" s="579"/>
      <c r="AB916" s="581"/>
      <c r="AC916" s="347"/>
      <c r="AD916" s="347"/>
      <c r="AE916" s="347"/>
      <c r="AF916" s="347"/>
      <c r="AG916" s="579"/>
      <c r="AH916" s="579"/>
      <c r="AI916" s="582"/>
      <c r="AJ916" s="582"/>
      <c r="AK916" s="582"/>
      <c r="AL916" s="582"/>
      <c r="AM916" s="579"/>
      <c r="AN916" s="579"/>
      <c r="AO916" s="347"/>
      <c r="AP916" s="586"/>
      <c r="AQ916" s="596"/>
      <c r="AR916" s="596"/>
      <c r="AS916" s="348"/>
      <c r="AT916" s="348"/>
      <c r="AU916" s="348"/>
      <c r="AV916" s="348"/>
      <c r="AW916" s="348"/>
      <c r="AX916" s="584"/>
      <c r="AY916" s="581"/>
      <c r="AZ916" s="581"/>
      <c r="BA916" s="596"/>
      <c r="BB916" s="596"/>
      <c r="BC916" s="348"/>
      <c r="BD916" s="581"/>
      <c r="BE916" s="581"/>
      <c r="BF916" s="347"/>
      <c r="BG916" s="347"/>
      <c r="BH916" s="347"/>
      <c r="BI916" s="347"/>
      <c r="BJ916" s="586"/>
      <c r="BK916" s="581"/>
      <c r="BL916" s="347"/>
      <c r="BM916" s="347"/>
      <c r="BN916" s="347"/>
      <c r="BO916" s="586"/>
      <c r="BP916" s="584"/>
      <c r="BQ916" s="347"/>
      <c r="BR916" s="586"/>
      <c r="BS916" s="588"/>
      <c r="BT916" s="586"/>
      <c r="BU916" s="589"/>
      <c r="BV916" s="581">
        <f t="shared" si="44"/>
        <v>0</v>
      </c>
      <c r="BW916" s="590"/>
      <c r="BX916" s="347"/>
      <c r="BY916" s="347"/>
      <c r="BZ916" s="347"/>
      <c r="CA916" s="586"/>
      <c r="CB916" s="581"/>
      <c r="CC916" s="581">
        <f t="shared" si="193"/>
        <v>0</v>
      </c>
      <c r="CD916" s="581"/>
      <c r="CE916" s="581"/>
      <c r="CF916" s="581"/>
      <c r="CG916" s="586"/>
      <c r="CH916" s="608"/>
      <c r="CI916" s="603"/>
      <c r="CJ916" s="347"/>
      <c r="CK916" s="347"/>
      <c r="CL916" s="347"/>
      <c r="CM916" s="347"/>
      <c r="CN916" s="347"/>
      <c r="CO916" s="347"/>
      <c r="CP916" s="347"/>
    </row>
    <row r="917">
      <c r="A917" s="574"/>
      <c r="B917" s="574"/>
      <c r="C917" s="347"/>
      <c r="D917" s="574"/>
      <c r="E917" s="347"/>
      <c r="F917" s="596"/>
      <c r="G917" s="596"/>
      <c r="H917" s="347"/>
      <c r="I917" s="347"/>
      <c r="J917" s="596"/>
      <c r="K917" s="609"/>
      <c r="L917" s="1"/>
      <c r="M917" s="347"/>
      <c r="N917" s="347"/>
      <c r="O917" s="579"/>
      <c r="P917" s="579"/>
      <c r="Q917" s="574"/>
      <c r="R917" s="347"/>
      <c r="S917" s="597"/>
      <c r="T917" s="347"/>
      <c r="U917" s="579"/>
      <c r="V917" s="579"/>
      <c r="W917" s="574"/>
      <c r="X917" s="347"/>
      <c r="Y917" s="347"/>
      <c r="Z917" s="347"/>
      <c r="AA917" s="579"/>
      <c r="AB917" s="581"/>
      <c r="AC917" s="347"/>
      <c r="AD917" s="347"/>
      <c r="AE917" s="347"/>
      <c r="AF917" s="347"/>
      <c r="AG917" s="579"/>
      <c r="AH917" s="579"/>
      <c r="AI917" s="582"/>
      <c r="AJ917" s="582"/>
      <c r="AK917" s="582"/>
      <c r="AL917" s="582"/>
      <c r="AM917" s="579"/>
      <c r="AN917" s="579"/>
      <c r="AO917" s="347"/>
      <c r="AP917" s="586"/>
      <c r="AQ917" s="596"/>
      <c r="AR917" s="596"/>
      <c r="AS917" s="348"/>
      <c r="AT917" s="348"/>
      <c r="AU917" s="348"/>
      <c r="AV917" s="348"/>
      <c r="AW917" s="348"/>
      <c r="AX917" s="584"/>
      <c r="AY917" s="581"/>
      <c r="AZ917" s="581"/>
      <c r="BA917" s="596"/>
      <c r="BB917" s="596"/>
      <c r="BC917" s="348"/>
      <c r="BD917" s="581"/>
      <c r="BE917" s="581"/>
      <c r="BF917" s="347"/>
      <c r="BG917" s="347"/>
      <c r="BH917" s="347"/>
      <c r="BI917" s="347"/>
      <c r="BJ917" s="586"/>
      <c r="BK917" s="581"/>
      <c r="BL917" s="347"/>
      <c r="BM917" s="347"/>
      <c r="BN917" s="347"/>
      <c r="BO917" s="586"/>
      <c r="BP917" s="584"/>
      <c r="BQ917" s="347"/>
      <c r="BR917" s="586"/>
      <c r="BS917" s="588"/>
      <c r="BT917" s="586"/>
      <c r="BU917" s="589"/>
      <c r="BV917" s="581">
        <f t="shared" si="44"/>
        <v>0</v>
      </c>
      <c r="BW917" s="590"/>
      <c r="BX917" s="347"/>
      <c r="BY917" s="347"/>
      <c r="BZ917" s="347"/>
      <c r="CA917" s="586"/>
      <c r="CB917" s="581"/>
      <c r="CC917" s="581">
        <f t="shared" si="193"/>
        <v>0</v>
      </c>
      <c r="CD917" s="581"/>
      <c r="CE917" s="581"/>
      <c r="CF917" s="581"/>
      <c r="CG917" s="586"/>
      <c r="CH917" s="608"/>
      <c r="CI917" s="603"/>
      <c r="CJ917" s="347"/>
      <c r="CK917" s="347"/>
      <c r="CL917" s="347"/>
      <c r="CM917" s="347"/>
      <c r="CN917" s="347"/>
      <c r="CO917" s="347"/>
      <c r="CP917" s="347"/>
    </row>
    <row r="918">
      <c r="A918" s="574"/>
      <c r="B918" s="574"/>
      <c r="C918" s="347"/>
      <c r="D918" s="574"/>
      <c r="E918" s="347"/>
      <c r="F918" s="596"/>
      <c r="G918" s="596"/>
      <c r="H918" s="347"/>
      <c r="I918" s="347"/>
      <c r="J918" s="596"/>
      <c r="K918" s="609"/>
      <c r="L918" s="1"/>
      <c r="M918" s="347"/>
      <c r="N918" s="347"/>
      <c r="O918" s="579"/>
      <c r="P918" s="579"/>
      <c r="Q918" s="574"/>
      <c r="R918" s="347"/>
      <c r="S918" s="597"/>
      <c r="T918" s="347"/>
      <c r="U918" s="579"/>
      <c r="V918" s="579"/>
      <c r="W918" s="574"/>
      <c r="X918" s="347"/>
      <c r="Y918" s="347"/>
      <c r="Z918" s="347"/>
      <c r="AA918" s="579"/>
      <c r="AB918" s="581"/>
      <c r="AC918" s="347"/>
      <c r="AD918" s="347"/>
      <c r="AE918" s="347"/>
      <c r="AF918" s="347"/>
      <c r="AG918" s="579"/>
      <c r="AH918" s="579"/>
      <c r="AI918" s="582"/>
      <c r="AJ918" s="582"/>
      <c r="AK918" s="582"/>
      <c r="AL918" s="582"/>
      <c r="AM918" s="579"/>
      <c r="AN918" s="579"/>
      <c r="AO918" s="347"/>
      <c r="AP918" s="586"/>
      <c r="AQ918" s="596"/>
      <c r="AR918" s="596"/>
      <c r="AS918" s="348"/>
      <c r="AT918" s="348"/>
      <c r="AU918" s="348"/>
      <c r="AV918" s="348"/>
      <c r="AW918" s="348"/>
      <c r="AX918" s="584"/>
      <c r="AY918" s="581"/>
      <c r="AZ918" s="581"/>
      <c r="BA918" s="596"/>
      <c r="BB918" s="596"/>
      <c r="BC918" s="348"/>
      <c r="BD918" s="581"/>
      <c r="BE918" s="581"/>
      <c r="BF918" s="347"/>
      <c r="BG918" s="347"/>
      <c r="BH918" s="347"/>
      <c r="BI918" s="347"/>
      <c r="BJ918" s="586"/>
      <c r="BK918" s="581"/>
      <c r="BL918" s="347"/>
      <c r="BM918" s="347"/>
      <c r="BN918" s="347"/>
      <c r="BO918" s="586"/>
      <c r="BP918" s="584"/>
      <c r="BQ918" s="347"/>
      <c r="BR918" s="586"/>
      <c r="BS918" s="588"/>
      <c r="BT918" s="586"/>
      <c r="BU918" s="589"/>
      <c r="BV918" s="581">
        <f t="shared" si="44"/>
        <v>0</v>
      </c>
      <c r="BW918" s="590"/>
      <c r="BX918" s="347"/>
      <c r="BY918" s="347"/>
      <c r="BZ918" s="347"/>
      <c r="CA918" s="586"/>
      <c r="CB918" s="581"/>
      <c r="CC918" s="581">
        <f t="shared" si="193"/>
        <v>0</v>
      </c>
      <c r="CD918" s="581"/>
      <c r="CE918" s="581"/>
      <c r="CF918" s="581"/>
      <c r="CG918" s="586"/>
      <c r="CH918" s="608"/>
      <c r="CI918" s="603"/>
      <c r="CJ918" s="347"/>
      <c r="CK918" s="347"/>
      <c r="CL918" s="347"/>
      <c r="CM918" s="347"/>
      <c r="CN918" s="347"/>
      <c r="CO918" s="347"/>
      <c r="CP918" s="347"/>
    </row>
    <row r="919">
      <c r="A919" s="574"/>
      <c r="B919" s="574"/>
      <c r="C919" s="347"/>
      <c r="D919" s="574"/>
      <c r="E919" s="347"/>
      <c r="F919" s="596"/>
      <c r="G919" s="596"/>
      <c r="H919" s="347"/>
      <c r="I919" s="347"/>
      <c r="J919" s="596"/>
      <c r="K919" s="609"/>
      <c r="L919" s="1"/>
      <c r="M919" s="347"/>
      <c r="N919" s="347"/>
      <c r="O919" s="579"/>
      <c r="P919" s="579"/>
      <c r="Q919" s="574"/>
      <c r="R919" s="347"/>
      <c r="S919" s="597"/>
      <c r="T919" s="347"/>
      <c r="U919" s="579"/>
      <c r="V919" s="579"/>
      <c r="W919" s="574"/>
      <c r="X919" s="347"/>
      <c r="Y919" s="347"/>
      <c r="Z919" s="347"/>
      <c r="AA919" s="579"/>
      <c r="AB919" s="581"/>
      <c r="AC919" s="347"/>
      <c r="AD919" s="347"/>
      <c r="AE919" s="347"/>
      <c r="AF919" s="347"/>
      <c r="AG919" s="579"/>
      <c r="AH919" s="579"/>
      <c r="AI919" s="582"/>
      <c r="AJ919" s="582"/>
      <c r="AK919" s="582"/>
      <c r="AL919" s="582"/>
      <c r="AM919" s="579"/>
      <c r="AN919" s="579"/>
      <c r="AO919" s="347"/>
      <c r="AP919" s="586"/>
      <c r="AQ919" s="596"/>
      <c r="AR919" s="596"/>
      <c r="AS919" s="348"/>
      <c r="AT919" s="348"/>
      <c r="AU919" s="348"/>
      <c r="AV919" s="348"/>
      <c r="AW919" s="348"/>
      <c r="AX919" s="584"/>
      <c r="AY919" s="581"/>
      <c r="AZ919" s="581"/>
      <c r="BA919" s="596"/>
      <c r="BB919" s="596"/>
      <c r="BC919" s="348"/>
      <c r="BD919" s="581"/>
      <c r="BE919" s="581"/>
      <c r="BF919" s="347"/>
      <c r="BG919" s="347"/>
      <c r="BH919" s="347"/>
      <c r="BI919" s="347"/>
      <c r="BJ919" s="586"/>
      <c r="BK919" s="581"/>
      <c r="BL919" s="347"/>
      <c r="BM919" s="347"/>
      <c r="BN919" s="347"/>
      <c r="BO919" s="586"/>
      <c r="BP919" s="584"/>
      <c r="BQ919" s="347"/>
      <c r="BR919" s="586"/>
      <c r="BS919" s="588"/>
      <c r="BT919" s="586"/>
      <c r="BU919" s="589"/>
      <c r="BV919" s="581">
        <f t="shared" si="44"/>
        <v>0</v>
      </c>
      <c r="BW919" s="590"/>
      <c r="BX919" s="347"/>
      <c r="BY919" s="347"/>
      <c r="BZ919" s="347"/>
      <c r="CA919" s="586"/>
      <c r="CB919" s="581"/>
      <c r="CC919" s="581">
        <f t="shared" si="193"/>
        <v>0</v>
      </c>
      <c r="CD919" s="581"/>
      <c r="CE919" s="581"/>
      <c r="CF919" s="581"/>
      <c r="CG919" s="586"/>
      <c r="CH919" s="608"/>
      <c r="CI919" s="603"/>
      <c r="CJ919" s="347"/>
      <c r="CK919" s="347"/>
      <c r="CL919" s="347"/>
      <c r="CM919" s="347"/>
      <c r="CN919" s="347"/>
      <c r="CO919" s="347"/>
      <c r="CP919" s="347"/>
    </row>
    <row r="920">
      <c r="A920" s="574"/>
      <c r="B920" s="574"/>
      <c r="C920" s="347"/>
      <c r="D920" s="574"/>
      <c r="E920" s="347"/>
      <c r="F920" s="596"/>
      <c r="G920" s="596"/>
      <c r="H920" s="347"/>
      <c r="I920" s="347"/>
      <c r="J920" s="596"/>
      <c r="K920" s="609"/>
      <c r="L920" s="1"/>
      <c r="M920" s="347"/>
      <c r="N920" s="347"/>
      <c r="O920" s="579"/>
      <c r="P920" s="579"/>
      <c r="Q920" s="574"/>
      <c r="R920" s="347"/>
      <c r="S920" s="597"/>
      <c r="T920" s="347"/>
      <c r="U920" s="579"/>
      <c r="V920" s="579"/>
      <c r="W920" s="574"/>
      <c r="X920" s="347"/>
      <c r="Y920" s="347"/>
      <c r="Z920" s="347"/>
      <c r="AA920" s="579"/>
      <c r="AB920" s="581"/>
      <c r="AC920" s="347"/>
      <c r="AD920" s="347"/>
      <c r="AE920" s="347"/>
      <c r="AF920" s="347"/>
      <c r="AG920" s="579"/>
      <c r="AH920" s="579"/>
      <c r="AI920" s="582"/>
      <c r="AJ920" s="582"/>
      <c r="AK920" s="582"/>
      <c r="AL920" s="582"/>
      <c r="AM920" s="579"/>
      <c r="AN920" s="579"/>
      <c r="AO920" s="347"/>
      <c r="AP920" s="586"/>
      <c r="AQ920" s="596"/>
      <c r="AR920" s="596"/>
      <c r="AS920" s="348"/>
      <c r="AT920" s="348"/>
      <c r="AU920" s="348"/>
      <c r="AV920" s="348"/>
      <c r="AW920" s="348"/>
      <c r="AX920" s="584"/>
      <c r="AY920" s="581"/>
      <c r="AZ920" s="581"/>
      <c r="BA920" s="596"/>
      <c r="BB920" s="596"/>
      <c r="BC920" s="348"/>
      <c r="BD920" s="581"/>
      <c r="BE920" s="581"/>
      <c r="BF920" s="347"/>
      <c r="BG920" s="347"/>
      <c r="BH920" s="347"/>
      <c r="BI920" s="347"/>
      <c r="BJ920" s="586"/>
      <c r="BK920" s="581"/>
      <c r="BL920" s="347"/>
      <c r="BM920" s="347"/>
      <c r="BN920" s="347"/>
      <c r="BO920" s="586"/>
      <c r="BP920" s="584"/>
      <c r="BQ920" s="347"/>
      <c r="BR920" s="586"/>
      <c r="BS920" s="588"/>
      <c r="BT920" s="586"/>
      <c r="BU920" s="589"/>
      <c r="BV920" s="581">
        <f t="shared" si="44"/>
        <v>0</v>
      </c>
      <c r="BW920" s="590"/>
      <c r="BX920" s="347"/>
      <c r="BY920" s="347"/>
      <c r="BZ920" s="347"/>
      <c r="CA920" s="586"/>
      <c r="CB920" s="581"/>
      <c r="CC920" s="581">
        <f t="shared" si="193"/>
        <v>0</v>
      </c>
      <c r="CD920" s="581"/>
      <c r="CE920" s="581"/>
      <c r="CF920" s="581"/>
      <c r="CG920" s="586"/>
      <c r="CH920" s="608"/>
      <c r="CI920" s="603"/>
      <c r="CJ920" s="347"/>
      <c r="CK920" s="347"/>
      <c r="CL920" s="347"/>
      <c r="CM920" s="347"/>
      <c r="CN920" s="347"/>
      <c r="CO920" s="347"/>
      <c r="CP920" s="347"/>
    </row>
    <row r="921">
      <c r="A921" s="574"/>
      <c r="B921" s="574"/>
      <c r="C921" s="347"/>
      <c r="D921" s="574"/>
      <c r="E921" s="347"/>
      <c r="F921" s="596"/>
      <c r="G921" s="596"/>
      <c r="H921" s="347"/>
      <c r="I921" s="347"/>
      <c r="J921" s="596"/>
      <c r="K921" s="609"/>
      <c r="L921" s="1"/>
      <c r="M921" s="347"/>
      <c r="N921" s="347"/>
      <c r="O921" s="579"/>
      <c r="P921" s="579"/>
      <c r="Q921" s="574"/>
      <c r="R921" s="347"/>
      <c r="S921" s="597"/>
      <c r="T921" s="347"/>
      <c r="U921" s="579"/>
      <c r="V921" s="579"/>
      <c r="W921" s="574"/>
      <c r="X921" s="347"/>
      <c r="Y921" s="347"/>
      <c r="Z921" s="347"/>
      <c r="AA921" s="579"/>
      <c r="AB921" s="581"/>
      <c r="AC921" s="347"/>
      <c r="AD921" s="347"/>
      <c r="AE921" s="347"/>
      <c r="AF921" s="347"/>
      <c r="AG921" s="579"/>
      <c r="AH921" s="579"/>
      <c r="AI921" s="582"/>
      <c r="AJ921" s="582"/>
      <c r="AK921" s="582"/>
      <c r="AL921" s="582"/>
      <c r="AM921" s="579"/>
      <c r="AN921" s="579"/>
      <c r="AO921" s="347"/>
      <c r="AP921" s="586"/>
      <c r="AQ921" s="596"/>
      <c r="AR921" s="596"/>
      <c r="AS921" s="348"/>
      <c r="AT921" s="348"/>
      <c r="AU921" s="348"/>
      <c r="AV921" s="348"/>
      <c r="AW921" s="348"/>
      <c r="AX921" s="584"/>
      <c r="AY921" s="581"/>
      <c r="AZ921" s="581"/>
      <c r="BA921" s="596"/>
      <c r="BB921" s="596"/>
      <c r="BC921" s="348"/>
      <c r="BD921" s="581"/>
      <c r="BE921" s="581"/>
      <c r="BF921" s="347"/>
      <c r="BG921" s="347"/>
      <c r="BH921" s="347"/>
      <c r="BI921" s="347"/>
      <c r="BJ921" s="586"/>
      <c r="BK921" s="581"/>
      <c r="BL921" s="347"/>
      <c r="BM921" s="347"/>
      <c r="BN921" s="347"/>
      <c r="BO921" s="586"/>
      <c r="BP921" s="584"/>
      <c r="BQ921" s="347"/>
      <c r="BR921" s="586"/>
      <c r="BS921" s="588"/>
      <c r="BT921" s="586"/>
      <c r="BU921" s="589"/>
      <c r="BV921" s="581">
        <f t="shared" si="44"/>
        <v>0</v>
      </c>
      <c r="BW921" s="590"/>
      <c r="BX921" s="347"/>
      <c r="BY921" s="347"/>
      <c r="BZ921" s="347"/>
      <c r="CA921" s="586"/>
      <c r="CB921" s="581"/>
      <c r="CC921" s="581">
        <f t="shared" si="193"/>
        <v>0</v>
      </c>
      <c r="CD921" s="581"/>
      <c r="CE921" s="581"/>
      <c r="CF921" s="581"/>
      <c r="CG921" s="586"/>
      <c r="CH921" s="608"/>
      <c r="CI921" s="603"/>
      <c r="CJ921" s="347"/>
      <c r="CK921" s="347"/>
      <c r="CL921" s="347"/>
      <c r="CM921" s="347"/>
      <c r="CN921" s="347"/>
      <c r="CO921" s="347"/>
      <c r="CP921" s="347"/>
    </row>
    <row r="922">
      <c r="A922" s="574"/>
      <c r="B922" s="574"/>
      <c r="C922" s="347"/>
      <c r="D922" s="574"/>
      <c r="E922" s="347"/>
      <c r="F922" s="596"/>
      <c r="G922" s="596"/>
      <c r="H922" s="347"/>
      <c r="I922" s="347"/>
      <c r="J922" s="596"/>
      <c r="K922" s="609"/>
      <c r="L922" s="1"/>
      <c r="M922" s="347"/>
      <c r="N922" s="347"/>
      <c r="O922" s="579"/>
      <c r="P922" s="579"/>
      <c r="Q922" s="574"/>
      <c r="R922" s="347"/>
      <c r="S922" s="597"/>
      <c r="T922" s="347"/>
      <c r="U922" s="579"/>
      <c r="V922" s="579"/>
      <c r="W922" s="574"/>
      <c r="X922" s="347"/>
      <c r="Y922" s="347"/>
      <c r="Z922" s="347"/>
      <c r="AA922" s="579"/>
      <c r="AB922" s="581"/>
      <c r="AC922" s="347"/>
      <c r="AD922" s="347"/>
      <c r="AE922" s="347"/>
      <c r="AF922" s="347"/>
      <c r="AG922" s="579"/>
      <c r="AH922" s="579"/>
      <c r="AI922" s="582"/>
      <c r="AJ922" s="582"/>
      <c r="AK922" s="582"/>
      <c r="AL922" s="582"/>
      <c r="AM922" s="579"/>
      <c r="AN922" s="579"/>
      <c r="AO922" s="347"/>
      <c r="AP922" s="586"/>
      <c r="AQ922" s="596"/>
      <c r="AR922" s="596"/>
      <c r="AS922" s="348"/>
      <c r="AT922" s="348"/>
      <c r="AU922" s="348"/>
      <c r="AV922" s="348"/>
      <c r="AW922" s="348"/>
      <c r="AX922" s="584"/>
      <c r="AY922" s="581"/>
      <c r="AZ922" s="581"/>
      <c r="BA922" s="596"/>
      <c r="BB922" s="596"/>
      <c r="BC922" s="348"/>
      <c r="BD922" s="581"/>
      <c r="BE922" s="581"/>
      <c r="BF922" s="347"/>
      <c r="BG922" s="347"/>
      <c r="BH922" s="347"/>
      <c r="BI922" s="347"/>
      <c r="BJ922" s="586"/>
      <c r="BK922" s="581"/>
      <c r="BL922" s="347"/>
      <c r="BM922" s="347"/>
      <c r="BN922" s="347"/>
      <c r="BO922" s="586"/>
      <c r="BP922" s="584"/>
      <c r="BQ922" s="347"/>
      <c r="BR922" s="586"/>
      <c r="BS922" s="588"/>
      <c r="BT922" s="586"/>
      <c r="BU922" s="589"/>
      <c r="BV922" s="581">
        <f t="shared" si="44"/>
        <v>0</v>
      </c>
      <c r="BW922" s="590"/>
      <c r="BX922" s="347"/>
      <c r="BY922" s="347"/>
      <c r="BZ922" s="347"/>
      <c r="CA922" s="586"/>
      <c r="CB922" s="581"/>
      <c r="CC922" s="581">
        <f t="shared" si="193"/>
        <v>0</v>
      </c>
      <c r="CD922" s="581"/>
      <c r="CE922" s="581"/>
      <c r="CF922" s="581"/>
      <c r="CG922" s="586"/>
      <c r="CH922" s="608"/>
      <c r="CI922" s="603"/>
      <c r="CJ922" s="347"/>
      <c r="CK922" s="347"/>
      <c r="CL922" s="347"/>
      <c r="CM922" s="347"/>
      <c r="CN922" s="347"/>
      <c r="CO922" s="347"/>
      <c r="CP922" s="347"/>
    </row>
    <row r="923">
      <c r="A923" s="574"/>
      <c r="B923" s="574"/>
      <c r="C923" s="347"/>
      <c r="D923" s="574"/>
      <c r="E923" s="347"/>
      <c r="F923" s="596"/>
      <c r="G923" s="596"/>
      <c r="H923" s="347"/>
      <c r="I923" s="347"/>
      <c r="J923" s="596"/>
      <c r="K923" s="609"/>
      <c r="L923" s="1"/>
      <c r="M923" s="347"/>
      <c r="N923" s="347"/>
      <c r="O923" s="579"/>
      <c r="P923" s="579"/>
      <c r="Q923" s="574"/>
      <c r="R923" s="347"/>
      <c r="S923" s="597"/>
      <c r="T923" s="347"/>
      <c r="U923" s="579"/>
      <c r="V923" s="579"/>
      <c r="W923" s="574"/>
      <c r="X923" s="347"/>
      <c r="Y923" s="347"/>
      <c r="Z923" s="347"/>
      <c r="AA923" s="579"/>
      <c r="AB923" s="581"/>
      <c r="AC923" s="347"/>
      <c r="AD923" s="347"/>
      <c r="AE923" s="347"/>
      <c r="AF923" s="347"/>
      <c r="AG923" s="579"/>
      <c r="AH923" s="579"/>
      <c r="AI923" s="582"/>
      <c r="AJ923" s="582"/>
      <c r="AK923" s="582"/>
      <c r="AL923" s="582"/>
      <c r="AM923" s="579"/>
      <c r="AN923" s="579"/>
      <c r="AO923" s="347"/>
      <c r="AP923" s="586"/>
      <c r="AQ923" s="596"/>
      <c r="AR923" s="596"/>
      <c r="AS923" s="348"/>
      <c r="AT923" s="348"/>
      <c r="AU923" s="348"/>
      <c r="AV923" s="348"/>
      <c r="AW923" s="348"/>
      <c r="AX923" s="584"/>
      <c r="AY923" s="581"/>
      <c r="AZ923" s="581"/>
      <c r="BA923" s="596"/>
      <c r="BB923" s="596"/>
      <c r="BC923" s="348"/>
      <c r="BD923" s="581"/>
      <c r="BE923" s="581"/>
      <c r="BF923" s="347"/>
      <c r="BG923" s="347"/>
      <c r="BH923" s="347"/>
      <c r="BI923" s="347"/>
      <c r="BJ923" s="586"/>
      <c r="BK923" s="581"/>
      <c r="BL923" s="347"/>
      <c r="BM923" s="347"/>
      <c r="BN923" s="347"/>
      <c r="BO923" s="586"/>
      <c r="BP923" s="584"/>
      <c r="BQ923" s="347"/>
      <c r="BR923" s="586"/>
      <c r="BS923" s="588"/>
      <c r="BT923" s="586"/>
      <c r="BU923" s="589"/>
      <c r="BV923" s="581">
        <f t="shared" si="44"/>
        <v>0</v>
      </c>
      <c r="BW923" s="590"/>
      <c r="BX923" s="347"/>
      <c r="BY923" s="347"/>
      <c r="BZ923" s="347"/>
      <c r="CA923" s="586"/>
      <c r="CB923" s="581"/>
      <c r="CC923" s="581">
        <f t="shared" si="193"/>
        <v>0</v>
      </c>
      <c r="CD923" s="581"/>
      <c r="CE923" s="581"/>
      <c r="CF923" s="581"/>
      <c r="CG923" s="586"/>
      <c r="CH923" s="608"/>
      <c r="CI923" s="603"/>
      <c r="CJ923" s="347"/>
      <c r="CK923" s="347"/>
      <c r="CL923" s="347"/>
      <c r="CM923" s="347"/>
      <c r="CN923" s="347"/>
      <c r="CO923" s="347"/>
      <c r="CP923" s="347"/>
    </row>
    <row r="924">
      <c r="A924" s="574"/>
      <c r="B924" s="574"/>
      <c r="C924" s="347"/>
      <c r="D924" s="574"/>
      <c r="E924" s="347"/>
      <c r="F924" s="596"/>
      <c r="G924" s="596"/>
      <c r="H924" s="347"/>
      <c r="I924" s="347"/>
      <c r="J924" s="596"/>
      <c r="K924" s="609"/>
      <c r="L924" s="1"/>
      <c r="M924" s="347"/>
      <c r="N924" s="347"/>
      <c r="O924" s="579"/>
      <c r="P924" s="579"/>
      <c r="Q924" s="574"/>
      <c r="R924" s="347"/>
      <c r="S924" s="597"/>
      <c r="T924" s="347"/>
      <c r="U924" s="579"/>
      <c r="V924" s="579"/>
      <c r="W924" s="574"/>
      <c r="X924" s="347"/>
      <c r="Y924" s="347"/>
      <c r="Z924" s="347"/>
      <c r="AA924" s="579"/>
      <c r="AB924" s="581"/>
      <c r="AC924" s="347"/>
      <c r="AD924" s="347"/>
      <c r="AE924" s="347"/>
      <c r="AF924" s="347"/>
      <c r="AG924" s="579"/>
      <c r="AH924" s="579"/>
      <c r="AI924" s="582"/>
      <c r="AJ924" s="582"/>
      <c r="AK924" s="582"/>
      <c r="AL924" s="582"/>
      <c r="AM924" s="579"/>
      <c r="AN924" s="579"/>
      <c r="AO924" s="347"/>
      <c r="AP924" s="586"/>
      <c r="AQ924" s="596"/>
      <c r="AR924" s="596"/>
      <c r="AS924" s="348"/>
      <c r="AT924" s="348"/>
      <c r="AU924" s="348"/>
      <c r="AV924" s="348"/>
      <c r="AW924" s="348"/>
      <c r="AX924" s="584"/>
      <c r="AY924" s="581"/>
      <c r="AZ924" s="581"/>
      <c r="BA924" s="596"/>
      <c r="BB924" s="596"/>
      <c r="BC924" s="348"/>
      <c r="BD924" s="581"/>
      <c r="BE924" s="581"/>
      <c r="BF924" s="347"/>
      <c r="BG924" s="347"/>
      <c r="BH924" s="347"/>
      <c r="BI924" s="347"/>
      <c r="BJ924" s="586"/>
      <c r="BK924" s="581"/>
      <c r="BL924" s="347"/>
      <c r="BM924" s="347"/>
      <c r="BN924" s="347"/>
      <c r="BO924" s="586"/>
      <c r="BP924" s="584"/>
      <c r="BQ924" s="347"/>
      <c r="BR924" s="586"/>
      <c r="BS924" s="588"/>
      <c r="BT924" s="586"/>
      <c r="BU924" s="589"/>
      <c r="BV924" s="581">
        <f t="shared" si="44"/>
        <v>0</v>
      </c>
      <c r="BW924" s="590"/>
      <c r="BX924" s="347"/>
      <c r="BY924" s="347"/>
      <c r="BZ924" s="347"/>
      <c r="CA924" s="586"/>
      <c r="CB924" s="581"/>
      <c r="CC924" s="581">
        <f t="shared" si="193"/>
        <v>0</v>
      </c>
      <c r="CD924" s="581"/>
      <c r="CE924" s="581"/>
      <c r="CF924" s="581"/>
      <c r="CG924" s="586"/>
      <c r="CH924" s="608"/>
      <c r="CI924" s="603"/>
      <c r="CJ924" s="347"/>
      <c r="CK924" s="347"/>
      <c r="CL924" s="347"/>
      <c r="CM924" s="347"/>
      <c r="CN924" s="347"/>
      <c r="CO924" s="347"/>
      <c r="CP924" s="347"/>
    </row>
    <row r="925">
      <c r="A925" s="574"/>
      <c r="B925" s="574"/>
      <c r="C925" s="347"/>
      <c r="D925" s="574"/>
      <c r="E925" s="347"/>
      <c r="F925" s="596"/>
      <c r="G925" s="596"/>
      <c r="H925" s="347"/>
      <c r="I925" s="347"/>
      <c r="J925" s="596"/>
      <c r="K925" s="609"/>
      <c r="L925" s="1"/>
      <c r="M925" s="347"/>
      <c r="N925" s="347"/>
      <c r="O925" s="579"/>
      <c r="P925" s="579"/>
      <c r="Q925" s="574"/>
      <c r="R925" s="347"/>
      <c r="S925" s="597"/>
      <c r="T925" s="347"/>
      <c r="U925" s="579"/>
      <c r="V925" s="579"/>
      <c r="W925" s="574"/>
      <c r="X925" s="347"/>
      <c r="Y925" s="347"/>
      <c r="Z925" s="347"/>
      <c r="AA925" s="579"/>
      <c r="AB925" s="581"/>
      <c r="AC925" s="347"/>
      <c r="AD925" s="347"/>
      <c r="AE925" s="347"/>
      <c r="AF925" s="347"/>
      <c r="AG925" s="579"/>
      <c r="AH925" s="579"/>
      <c r="AI925" s="582"/>
      <c r="AJ925" s="582"/>
      <c r="AK925" s="582"/>
      <c r="AL925" s="582"/>
      <c r="AM925" s="579"/>
      <c r="AN925" s="579"/>
      <c r="AO925" s="347"/>
      <c r="AP925" s="586"/>
      <c r="AQ925" s="596"/>
      <c r="AR925" s="596"/>
      <c r="AS925" s="348"/>
      <c r="AT925" s="348"/>
      <c r="AU925" s="348"/>
      <c r="AV925" s="348"/>
      <c r="AW925" s="348"/>
      <c r="AX925" s="584"/>
      <c r="AY925" s="581"/>
      <c r="AZ925" s="581"/>
      <c r="BA925" s="596"/>
      <c r="BB925" s="596"/>
      <c r="BC925" s="348"/>
      <c r="BD925" s="581"/>
      <c r="BE925" s="581"/>
      <c r="BF925" s="347"/>
      <c r="BG925" s="347"/>
      <c r="BH925" s="347"/>
      <c r="BI925" s="347"/>
      <c r="BJ925" s="586"/>
      <c r="BK925" s="581"/>
      <c r="BL925" s="347"/>
      <c r="BM925" s="347"/>
      <c r="BN925" s="347"/>
      <c r="BO925" s="586"/>
      <c r="BP925" s="584"/>
      <c r="BQ925" s="347"/>
      <c r="BR925" s="586"/>
      <c r="BS925" s="588"/>
      <c r="BT925" s="586"/>
      <c r="BU925" s="589"/>
      <c r="BV925" s="581">
        <f t="shared" si="44"/>
        <v>0</v>
      </c>
      <c r="BW925" s="590"/>
      <c r="BX925" s="347"/>
      <c r="BY925" s="347"/>
      <c r="BZ925" s="347"/>
      <c r="CA925" s="586"/>
      <c r="CB925" s="581"/>
      <c r="CC925" s="581">
        <f t="shared" si="193"/>
        <v>0</v>
      </c>
      <c r="CD925" s="581"/>
      <c r="CE925" s="581"/>
      <c r="CF925" s="581"/>
      <c r="CG925" s="586"/>
      <c r="CH925" s="608"/>
      <c r="CI925" s="603"/>
      <c r="CJ925" s="347"/>
      <c r="CK925" s="347"/>
      <c r="CL925" s="347"/>
      <c r="CM925" s="347"/>
      <c r="CN925" s="347"/>
      <c r="CO925" s="347"/>
      <c r="CP925" s="347"/>
    </row>
    <row r="926">
      <c r="A926" s="574"/>
      <c r="B926" s="574"/>
      <c r="C926" s="347"/>
      <c r="D926" s="574"/>
      <c r="E926" s="347"/>
      <c r="F926" s="596"/>
      <c r="G926" s="596"/>
      <c r="H926" s="347"/>
      <c r="I926" s="347"/>
      <c r="J926" s="596"/>
      <c r="K926" s="609"/>
      <c r="L926" s="1"/>
      <c r="M926" s="347"/>
      <c r="N926" s="347"/>
      <c r="O926" s="579"/>
      <c r="P926" s="579"/>
      <c r="Q926" s="574"/>
      <c r="R926" s="347"/>
      <c r="S926" s="597"/>
      <c r="T926" s="347"/>
      <c r="U926" s="579"/>
      <c r="V926" s="579"/>
      <c r="W926" s="574"/>
      <c r="X926" s="347"/>
      <c r="Y926" s="347"/>
      <c r="Z926" s="347"/>
      <c r="AA926" s="579"/>
      <c r="AB926" s="581"/>
      <c r="AC926" s="347"/>
      <c r="AD926" s="347"/>
      <c r="AE926" s="347"/>
      <c r="AF926" s="347"/>
      <c r="AG926" s="579"/>
      <c r="AH926" s="579"/>
      <c r="AI926" s="582"/>
      <c r="AJ926" s="582"/>
      <c r="AK926" s="582"/>
      <c r="AL926" s="582"/>
      <c r="AM926" s="579"/>
      <c r="AN926" s="579"/>
      <c r="AO926" s="347"/>
      <c r="AP926" s="586"/>
      <c r="AQ926" s="596"/>
      <c r="AR926" s="596"/>
      <c r="AS926" s="348"/>
      <c r="AT926" s="348"/>
      <c r="AU926" s="348"/>
      <c r="AV926" s="348"/>
      <c r="AW926" s="348"/>
      <c r="AX926" s="584"/>
      <c r="AY926" s="581"/>
      <c r="AZ926" s="581"/>
      <c r="BA926" s="596"/>
      <c r="BB926" s="596"/>
      <c r="BC926" s="348"/>
      <c r="BD926" s="581"/>
      <c r="BE926" s="581"/>
      <c r="BF926" s="347"/>
      <c r="BG926" s="347"/>
      <c r="BH926" s="347"/>
      <c r="BI926" s="347"/>
      <c r="BJ926" s="586"/>
      <c r="BK926" s="581"/>
      <c r="BL926" s="347"/>
      <c r="BM926" s="347"/>
      <c r="BN926" s="347"/>
      <c r="BO926" s="586"/>
      <c r="BP926" s="584"/>
      <c r="BQ926" s="347"/>
      <c r="BR926" s="586"/>
      <c r="BS926" s="588"/>
      <c r="BT926" s="586"/>
      <c r="BU926" s="589"/>
      <c r="BV926" s="581">
        <f t="shared" si="44"/>
        <v>0</v>
      </c>
      <c r="BW926" s="590"/>
      <c r="BX926" s="347"/>
      <c r="BY926" s="347"/>
      <c r="BZ926" s="347"/>
      <c r="CA926" s="586"/>
      <c r="CB926" s="581"/>
      <c r="CC926" s="581">
        <f t="shared" si="193"/>
        <v>0</v>
      </c>
      <c r="CD926" s="581"/>
      <c r="CE926" s="581"/>
      <c r="CF926" s="581"/>
      <c r="CG926" s="586"/>
      <c r="CH926" s="608"/>
      <c r="CI926" s="603"/>
      <c r="CJ926" s="347"/>
      <c r="CK926" s="347"/>
      <c r="CL926" s="347"/>
      <c r="CM926" s="347"/>
      <c r="CN926" s="347"/>
      <c r="CO926" s="347"/>
      <c r="CP926" s="347"/>
    </row>
    <row r="927">
      <c r="A927" s="574"/>
      <c r="B927" s="574"/>
      <c r="C927" s="347"/>
      <c r="D927" s="574"/>
      <c r="E927" s="347"/>
      <c r="F927" s="596"/>
      <c r="G927" s="596"/>
      <c r="H927" s="347"/>
      <c r="I927" s="347"/>
      <c r="J927" s="596"/>
      <c r="K927" s="609"/>
      <c r="L927" s="1"/>
      <c r="M927" s="347"/>
      <c r="N927" s="347"/>
      <c r="O927" s="579"/>
      <c r="P927" s="579"/>
      <c r="Q927" s="574"/>
      <c r="R927" s="347"/>
      <c r="S927" s="597"/>
      <c r="T927" s="347"/>
      <c r="U927" s="579"/>
      <c r="V927" s="579"/>
      <c r="W927" s="574"/>
      <c r="X927" s="347"/>
      <c r="Y927" s="347"/>
      <c r="Z927" s="347"/>
      <c r="AA927" s="579"/>
      <c r="AB927" s="581"/>
      <c r="AC927" s="347"/>
      <c r="AD927" s="347"/>
      <c r="AE927" s="347"/>
      <c r="AF927" s="347"/>
      <c r="AG927" s="579"/>
      <c r="AH927" s="579"/>
      <c r="AI927" s="582"/>
      <c r="AJ927" s="582"/>
      <c r="AK927" s="582"/>
      <c r="AL927" s="582"/>
      <c r="AM927" s="579"/>
      <c r="AN927" s="579"/>
      <c r="AO927" s="347"/>
      <c r="AP927" s="586"/>
      <c r="AQ927" s="596"/>
      <c r="AR927" s="596"/>
      <c r="AS927" s="348"/>
      <c r="AT927" s="348"/>
      <c r="AU927" s="348"/>
      <c r="AV927" s="348"/>
      <c r="AW927" s="348"/>
      <c r="AX927" s="584"/>
      <c r="AY927" s="581"/>
      <c r="AZ927" s="581"/>
      <c r="BA927" s="596"/>
      <c r="BB927" s="596"/>
      <c r="BC927" s="348"/>
      <c r="BD927" s="581"/>
      <c r="BE927" s="581"/>
      <c r="BF927" s="347"/>
      <c r="BG927" s="347"/>
      <c r="BH927" s="347"/>
      <c r="BI927" s="347"/>
      <c r="BJ927" s="586"/>
      <c r="BK927" s="581"/>
      <c r="BL927" s="347"/>
      <c r="BM927" s="347"/>
      <c r="BN927" s="347"/>
      <c r="BO927" s="586"/>
      <c r="BP927" s="584"/>
      <c r="BQ927" s="347"/>
      <c r="BR927" s="586"/>
      <c r="BS927" s="588"/>
      <c r="BT927" s="586"/>
      <c r="BU927" s="589"/>
      <c r="BV927" s="581">
        <f t="shared" si="44"/>
        <v>0</v>
      </c>
      <c r="BW927" s="590"/>
      <c r="BX927" s="347"/>
      <c r="BY927" s="347"/>
      <c r="BZ927" s="347"/>
      <c r="CA927" s="586"/>
      <c r="CB927" s="581"/>
      <c r="CC927" s="581">
        <f t="shared" si="193"/>
        <v>0</v>
      </c>
      <c r="CD927" s="581"/>
      <c r="CE927" s="581"/>
      <c r="CF927" s="581"/>
      <c r="CG927" s="586"/>
      <c r="CH927" s="608"/>
      <c r="CI927" s="603"/>
      <c r="CJ927" s="347"/>
      <c r="CK927" s="347"/>
      <c r="CL927" s="347"/>
      <c r="CM927" s="347"/>
      <c r="CN927" s="347"/>
      <c r="CO927" s="347"/>
      <c r="CP927" s="347"/>
    </row>
    <row r="928">
      <c r="A928" s="574"/>
      <c r="B928" s="574"/>
      <c r="C928" s="347"/>
      <c r="D928" s="574"/>
      <c r="E928" s="347"/>
      <c r="F928" s="596"/>
      <c r="G928" s="596"/>
      <c r="H928" s="347"/>
      <c r="I928" s="347"/>
      <c r="J928" s="596"/>
      <c r="K928" s="609"/>
      <c r="L928" s="1"/>
      <c r="M928" s="347"/>
      <c r="N928" s="347"/>
      <c r="O928" s="579"/>
      <c r="P928" s="579"/>
      <c r="Q928" s="574"/>
      <c r="R928" s="347"/>
      <c r="S928" s="597"/>
      <c r="T928" s="347"/>
      <c r="U928" s="579"/>
      <c r="V928" s="579"/>
      <c r="W928" s="574"/>
      <c r="X928" s="347"/>
      <c r="Y928" s="347"/>
      <c r="Z928" s="347"/>
      <c r="AA928" s="579"/>
      <c r="AB928" s="581"/>
      <c r="AC928" s="347"/>
      <c r="AD928" s="347"/>
      <c r="AE928" s="347"/>
      <c r="AF928" s="347"/>
      <c r="AG928" s="579"/>
      <c r="AH928" s="579"/>
      <c r="AI928" s="582"/>
      <c r="AJ928" s="582"/>
      <c r="AK928" s="582"/>
      <c r="AL928" s="582"/>
      <c r="AM928" s="579"/>
      <c r="AN928" s="579"/>
      <c r="AO928" s="347"/>
      <c r="AP928" s="586"/>
      <c r="AQ928" s="596"/>
      <c r="AR928" s="596"/>
      <c r="AS928" s="348"/>
      <c r="AT928" s="348"/>
      <c r="AU928" s="348"/>
      <c r="AV928" s="348"/>
      <c r="AW928" s="348"/>
      <c r="AX928" s="584"/>
      <c r="AY928" s="581"/>
      <c r="AZ928" s="581"/>
      <c r="BA928" s="596"/>
      <c r="BB928" s="596"/>
      <c r="BC928" s="348"/>
      <c r="BD928" s="581"/>
      <c r="BE928" s="581"/>
      <c r="BF928" s="347"/>
      <c r="BG928" s="347"/>
      <c r="BH928" s="347"/>
      <c r="BI928" s="347"/>
      <c r="BJ928" s="586"/>
      <c r="BK928" s="581"/>
      <c r="BL928" s="347"/>
      <c r="BM928" s="347"/>
      <c r="BN928" s="347"/>
      <c r="BO928" s="586"/>
      <c r="BP928" s="584"/>
      <c r="BQ928" s="347"/>
      <c r="BR928" s="586"/>
      <c r="BS928" s="588"/>
      <c r="BT928" s="586"/>
      <c r="BU928" s="589"/>
      <c r="BV928" s="581">
        <f t="shared" si="44"/>
        <v>0</v>
      </c>
      <c r="BW928" s="590"/>
      <c r="BX928" s="347"/>
      <c r="BY928" s="347"/>
      <c r="BZ928" s="347"/>
      <c r="CA928" s="586"/>
      <c r="CB928" s="581"/>
      <c r="CC928" s="581">
        <f t="shared" si="193"/>
        <v>0</v>
      </c>
      <c r="CD928" s="581"/>
      <c r="CE928" s="581"/>
      <c r="CF928" s="581"/>
      <c r="CG928" s="586"/>
      <c r="CH928" s="608"/>
      <c r="CI928" s="603"/>
      <c r="CJ928" s="347"/>
      <c r="CK928" s="347"/>
      <c r="CL928" s="347"/>
      <c r="CM928" s="347"/>
      <c r="CN928" s="347"/>
      <c r="CO928" s="347"/>
      <c r="CP928" s="347"/>
    </row>
    <row r="929">
      <c r="A929" s="574"/>
      <c r="B929" s="574"/>
      <c r="C929" s="347"/>
      <c r="D929" s="574"/>
      <c r="E929" s="347"/>
      <c r="F929" s="596"/>
      <c r="G929" s="596"/>
      <c r="H929" s="347"/>
      <c r="I929" s="347"/>
      <c r="J929" s="596"/>
      <c r="K929" s="609"/>
      <c r="L929" s="1"/>
      <c r="M929" s="347"/>
      <c r="N929" s="347"/>
      <c r="O929" s="579"/>
      <c r="P929" s="579"/>
      <c r="Q929" s="574"/>
      <c r="R929" s="347"/>
      <c r="S929" s="597"/>
      <c r="T929" s="347"/>
      <c r="U929" s="579"/>
      <c r="V929" s="579"/>
      <c r="W929" s="574"/>
      <c r="X929" s="347"/>
      <c r="Y929" s="347"/>
      <c r="Z929" s="347"/>
      <c r="AA929" s="579"/>
      <c r="AB929" s="581"/>
      <c r="AC929" s="347"/>
      <c r="AD929" s="347"/>
      <c r="AE929" s="347"/>
      <c r="AF929" s="347"/>
      <c r="AG929" s="579"/>
      <c r="AH929" s="579"/>
      <c r="AI929" s="582"/>
      <c r="AJ929" s="582"/>
      <c r="AK929" s="582"/>
      <c r="AL929" s="582"/>
      <c r="AM929" s="579"/>
      <c r="AN929" s="579"/>
      <c r="AO929" s="347"/>
      <c r="AP929" s="586"/>
      <c r="AQ929" s="596"/>
      <c r="AR929" s="596"/>
      <c r="AS929" s="348"/>
      <c r="AT929" s="348"/>
      <c r="AU929" s="348"/>
      <c r="AV929" s="348"/>
      <c r="AW929" s="348"/>
      <c r="AX929" s="584"/>
      <c r="AY929" s="581"/>
      <c r="AZ929" s="581"/>
      <c r="BA929" s="596"/>
      <c r="BB929" s="596"/>
      <c r="BC929" s="348"/>
      <c r="BD929" s="581"/>
      <c r="BE929" s="581"/>
      <c r="BF929" s="347"/>
      <c r="BG929" s="347"/>
      <c r="BH929" s="347"/>
      <c r="BI929" s="347"/>
      <c r="BJ929" s="586"/>
      <c r="BK929" s="581"/>
      <c r="BL929" s="347"/>
      <c r="BM929" s="347"/>
      <c r="BN929" s="347"/>
      <c r="BO929" s="586"/>
      <c r="BP929" s="584"/>
      <c r="BQ929" s="347"/>
      <c r="BR929" s="586"/>
      <c r="BS929" s="588"/>
      <c r="BT929" s="586"/>
      <c r="BU929" s="589"/>
      <c r="BV929" s="581">
        <f t="shared" si="44"/>
        <v>0</v>
      </c>
      <c r="BW929" s="590"/>
      <c r="BX929" s="347"/>
      <c r="BY929" s="347"/>
      <c r="BZ929" s="347"/>
      <c r="CA929" s="586"/>
      <c r="CB929" s="581"/>
      <c r="CC929" s="581">
        <f t="shared" si="193"/>
        <v>0</v>
      </c>
      <c r="CD929" s="581"/>
      <c r="CE929" s="581"/>
      <c r="CF929" s="581"/>
      <c r="CG929" s="586"/>
      <c r="CH929" s="608"/>
      <c r="CI929" s="603"/>
      <c r="CJ929" s="347"/>
      <c r="CK929" s="347"/>
      <c r="CL929" s="347"/>
      <c r="CM929" s="347"/>
      <c r="CN929" s="347"/>
      <c r="CO929" s="347"/>
      <c r="CP929" s="347"/>
    </row>
    <row r="930">
      <c r="A930" s="574"/>
      <c r="B930" s="574"/>
      <c r="C930" s="347"/>
      <c r="D930" s="574"/>
      <c r="E930" s="347"/>
      <c r="F930" s="596"/>
      <c r="G930" s="596"/>
      <c r="H930" s="347"/>
      <c r="I930" s="347"/>
      <c r="J930" s="596"/>
      <c r="K930" s="609"/>
      <c r="L930" s="1"/>
      <c r="M930" s="347"/>
      <c r="N930" s="347"/>
      <c r="O930" s="579"/>
      <c r="P930" s="579"/>
      <c r="Q930" s="574"/>
      <c r="R930" s="347"/>
      <c r="S930" s="597"/>
      <c r="T930" s="347"/>
      <c r="U930" s="579"/>
      <c r="V930" s="579"/>
      <c r="W930" s="574"/>
      <c r="X930" s="347"/>
      <c r="Y930" s="347"/>
      <c r="Z930" s="347"/>
      <c r="AA930" s="579"/>
      <c r="AB930" s="581"/>
      <c r="AC930" s="347"/>
      <c r="AD930" s="347"/>
      <c r="AE930" s="347"/>
      <c r="AF930" s="347"/>
      <c r="AG930" s="579"/>
      <c r="AH930" s="579"/>
      <c r="AI930" s="582"/>
      <c r="AJ930" s="582"/>
      <c r="AK930" s="582"/>
      <c r="AL930" s="582"/>
      <c r="AM930" s="579"/>
      <c r="AN930" s="579"/>
      <c r="AO930" s="347"/>
      <c r="AP930" s="586"/>
      <c r="AQ930" s="596"/>
      <c r="AR930" s="596"/>
      <c r="AS930" s="348"/>
      <c r="AT930" s="348"/>
      <c r="AU930" s="348"/>
      <c r="AV930" s="348"/>
      <c r="AW930" s="348"/>
      <c r="AX930" s="584"/>
      <c r="AY930" s="581"/>
      <c r="AZ930" s="581"/>
      <c r="BA930" s="596"/>
      <c r="BB930" s="596"/>
      <c r="BC930" s="348"/>
      <c r="BD930" s="581"/>
      <c r="BE930" s="581"/>
      <c r="BF930" s="347"/>
      <c r="BG930" s="347"/>
      <c r="BH930" s="347"/>
      <c r="BI930" s="347"/>
      <c r="BJ930" s="586"/>
      <c r="BK930" s="581"/>
      <c r="BL930" s="347"/>
      <c r="BM930" s="347"/>
      <c r="BN930" s="347"/>
      <c r="BO930" s="586"/>
      <c r="BP930" s="584"/>
      <c r="BQ930" s="347"/>
      <c r="BR930" s="586"/>
      <c r="BS930" s="588"/>
      <c r="BT930" s="586"/>
      <c r="BU930" s="589"/>
      <c r="BV930" s="581">
        <f t="shared" si="44"/>
        <v>0</v>
      </c>
      <c r="BW930" s="590"/>
      <c r="BX930" s="347"/>
      <c r="BY930" s="347"/>
      <c r="BZ930" s="347"/>
      <c r="CA930" s="586"/>
      <c r="CB930" s="581"/>
      <c r="CC930" s="581">
        <f t="shared" si="193"/>
        <v>0</v>
      </c>
      <c r="CD930" s="581"/>
      <c r="CE930" s="581"/>
      <c r="CF930" s="581"/>
      <c r="CG930" s="586"/>
      <c r="CH930" s="608"/>
      <c r="CI930" s="603"/>
      <c r="CJ930" s="347"/>
      <c r="CK930" s="347"/>
      <c r="CL930" s="347"/>
      <c r="CM930" s="347"/>
      <c r="CN930" s="347"/>
      <c r="CO930" s="347"/>
      <c r="CP930" s="347"/>
    </row>
    <row r="931">
      <c r="A931" s="574"/>
      <c r="B931" s="574"/>
      <c r="C931" s="347"/>
      <c r="D931" s="574"/>
      <c r="E931" s="347"/>
      <c r="F931" s="596"/>
      <c r="G931" s="596"/>
      <c r="H931" s="347"/>
      <c r="I931" s="347"/>
      <c r="J931" s="596"/>
      <c r="K931" s="609"/>
      <c r="L931" s="1"/>
      <c r="M931" s="347"/>
      <c r="N931" s="347"/>
      <c r="O931" s="579"/>
      <c r="P931" s="579"/>
      <c r="Q931" s="574"/>
      <c r="R931" s="347"/>
      <c r="S931" s="597"/>
      <c r="T931" s="347"/>
      <c r="U931" s="579"/>
      <c r="V931" s="579"/>
      <c r="W931" s="574"/>
      <c r="X931" s="347"/>
      <c r="Y931" s="347"/>
      <c r="Z931" s="347"/>
      <c r="AA931" s="579"/>
      <c r="AB931" s="581"/>
      <c r="AC931" s="347"/>
      <c r="AD931" s="347"/>
      <c r="AE931" s="347"/>
      <c r="AF931" s="347"/>
      <c r="AG931" s="579"/>
      <c r="AH931" s="579"/>
      <c r="AI931" s="582"/>
      <c r="AJ931" s="582"/>
      <c r="AK931" s="582"/>
      <c r="AL931" s="582"/>
      <c r="AM931" s="579"/>
      <c r="AN931" s="579"/>
      <c r="AO931" s="347"/>
      <c r="AP931" s="586"/>
      <c r="AQ931" s="596"/>
      <c r="AR931" s="596"/>
      <c r="AS931" s="348"/>
      <c r="AT931" s="348"/>
      <c r="AU931" s="348"/>
      <c r="AV931" s="348"/>
      <c r="AW931" s="348"/>
      <c r="AX931" s="584"/>
      <c r="AY931" s="581"/>
      <c r="AZ931" s="581"/>
      <c r="BA931" s="596"/>
      <c r="BB931" s="596"/>
      <c r="BC931" s="348"/>
      <c r="BD931" s="581"/>
      <c r="BE931" s="581"/>
      <c r="BF931" s="347"/>
      <c r="BG931" s="347"/>
      <c r="BH931" s="347"/>
      <c r="BI931" s="347"/>
      <c r="BJ931" s="586"/>
      <c r="BK931" s="581"/>
      <c r="BL931" s="347"/>
      <c r="BM931" s="347"/>
      <c r="BN931" s="347"/>
      <c r="BO931" s="586"/>
      <c r="BP931" s="584"/>
      <c r="BQ931" s="347"/>
      <c r="BR931" s="586"/>
      <c r="BS931" s="588"/>
      <c r="BT931" s="586"/>
      <c r="BU931" s="589"/>
      <c r="BV931" s="581">
        <f t="shared" si="44"/>
        <v>0</v>
      </c>
      <c r="BW931" s="590"/>
      <c r="BX931" s="347"/>
      <c r="BY931" s="347"/>
      <c r="BZ931" s="347"/>
      <c r="CA931" s="586"/>
      <c r="CB931" s="581"/>
      <c r="CC931" s="581">
        <f t="shared" si="193"/>
        <v>0</v>
      </c>
      <c r="CD931" s="581"/>
      <c r="CE931" s="581"/>
      <c r="CF931" s="581"/>
      <c r="CG931" s="586"/>
      <c r="CH931" s="608"/>
      <c r="CI931" s="603"/>
      <c r="CJ931" s="347"/>
      <c r="CK931" s="347"/>
      <c r="CL931" s="347"/>
      <c r="CM931" s="347"/>
      <c r="CN931" s="347"/>
      <c r="CO931" s="347"/>
      <c r="CP931" s="347"/>
    </row>
    <row r="932">
      <c r="A932" s="574"/>
      <c r="B932" s="574"/>
      <c r="C932" s="347"/>
      <c r="D932" s="574"/>
      <c r="E932" s="347"/>
      <c r="F932" s="596"/>
      <c r="G932" s="596"/>
      <c r="H932" s="347"/>
      <c r="I932" s="347"/>
      <c r="J932" s="596"/>
      <c r="K932" s="609"/>
      <c r="L932" s="1"/>
      <c r="M932" s="347"/>
      <c r="N932" s="347"/>
      <c r="O932" s="579"/>
      <c r="P932" s="579"/>
      <c r="Q932" s="574"/>
      <c r="R932" s="347"/>
      <c r="S932" s="597"/>
      <c r="T932" s="347"/>
      <c r="U932" s="579"/>
      <c r="V932" s="579"/>
      <c r="W932" s="574"/>
      <c r="X932" s="347"/>
      <c r="Y932" s="347"/>
      <c r="Z932" s="347"/>
      <c r="AA932" s="579"/>
      <c r="AB932" s="581"/>
      <c r="AC932" s="347"/>
      <c r="AD932" s="347"/>
      <c r="AE932" s="347"/>
      <c r="AF932" s="347"/>
      <c r="AG932" s="579"/>
      <c r="AH932" s="579"/>
      <c r="AI932" s="582"/>
      <c r="AJ932" s="582"/>
      <c r="AK932" s="582"/>
      <c r="AL932" s="582"/>
      <c r="AM932" s="579"/>
      <c r="AN932" s="579"/>
      <c r="AO932" s="347"/>
      <c r="AP932" s="586"/>
      <c r="AQ932" s="596"/>
      <c r="AR932" s="596"/>
      <c r="AS932" s="348"/>
      <c r="AT932" s="348"/>
      <c r="AU932" s="348"/>
      <c r="AV932" s="348"/>
      <c r="AW932" s="348"/>
      <c r="AX932" s="584"/>
      <c r="AY932" s="581"/>
      <c r="AZ932" s="581"/>
      <c r="BA932" s="596"/>
      <c r="BB932" s="596"/>
      <c r="BC932" s="348"/>
      <c r="BD932" s="581"/>
      <c r="BE932" s="581"/>
      <c r="BF932" s="347"/>
      <c r="BG932" s="347"/>
      <c r="BH932" s="347"/>
      <c r="BI932" s="347"/>
      <c r="BJ932" s="586"/>
      <c r="BK932" s="581"/>
      <c r="BL932" s="347"/>
      <c r="BM932" s="347"/>
      <c r="BN932" s="347"/>
      <c r="BO932" s="586"/>
      <c r="BP932" s="584"/>
      <c r="BQ932" s="347"/>
      <c r="BR932" s="586"/>
      <c r="BS932" s="588"/>
      <c r="BT932" s="586"/>
      <c r="BU932" s="589"/>
      <c r="BV932" s="581">
        <f t="shared" si="44"/>
        <v>0</v>
      </c>
      <c r="BW932" s="590"/>
      <c r="BX932" s="347"/>
      <c r="BY932" s="347"/>
      <c r="BZ932" s="347"/>
      <c r="CA932" s="586"/>
      <c r="CB932" s="581"/>
      <c r="CC932" s="581">
        <f t="shared" si="193"/>
        <v>0</v>
      </c>
      <c r="CD932" s="581"/>
      <c r="CE932" s="581"/>
      <c r="CF932" s="581"/>
      <c r="CG932" s="586"/>
      <c r="CH932" s="608"/>
      <c r="CI932" s="603"/>
      <c r="CJ932" s="347"/>
      <c r="CK932" s="347"/>
      <c r="CL932" s="347"/>
      <c r="CM932" s="347"/>
      <c r="CN932" s="347"/>
      <c r="CO932" s="347"/>
      <c r="CP932" s="347"/>
    </row>
    <row r="933">
      <c r="A933" s="574"/>
      <c r="B933" s="574"/>
      <c r="C933" s="347"/>
      <c r="D933" s="574"/>
      <c r="E933" s="347"/>
      <c r="F933" s="596"/>
      <c r="G933" s="596"/>
      <c r="H933" s="347"/>
      <c r="I933" s="347"/>
      <c r="J933" s="596"/>
      <c r="K933" s="609"/>
      <c r="L933" s="1"/>
      <c r="M933" s="347"/>
      <c r="N933" s="347"/>
      <c r="O933" s="579"/>
      <c r="P933" s="579"/>
      <c r="Q933" s="574"/>
      <c r="R933" s="347"/>
      <c r="S933" s="597"/>
      <c r="T933" s="347"/>
      <c r="U933" s="579"/>
      <c r="V933" s="579"/>
      <c r="W933" s="574"/>
      <c r="X933" s="347"/>
      <c r="Y933" s="347"/>
      <c r="Z933" s="347"/>
      <c r="AA933" s="579"/>
      <c r="AB933" s="581"/>
      <c r="AC933" s="347"/>
      <c r="AD933" s="347"/>
      <c r="AE933" s="347"/>
      <c r="AF933" s="347"/>
      <c r="AG933" s="579"/>
      <c r="AH933" s="579"/>
      <c r="AI933" s="582"/>
      <c r="AJ933" s="582"/>
      <c r="AK933" s="582"/>
      <c r="AL933" s="582"/>
      <c r="AM933" s="579"/>
      <c r="AN933" s="579"/>
      <c r="AO933" s="347"/>
      <c r="AP933" s="586"/>
      <c r="AQ933" s="596"/>
      <c r="AR933" s="596"/>
      <c r="AS933" s="348"/>
      <c r="AT933" s="348"/>
      <c r="AU933" s="348"/>
      <c r="AV933" s="348"/>
      <c r="AW933" s="348"/>
      <c r="AX933" s="584"/>
      <c r="AY933" s="581"/>
      <c r="AZ933" s="581"/>
      <c r="BA933" s="596"/>
      <c r="BB933" s="596"/>
      <c r="BC933" s="348"/>
      <c r="BD933" s="581"/>
      <c r="BE933" s="581"/>
      <c r="BF933" s="347"/>
      <c r="BG933" s="347"/>
      <c r="BH933" s="347"/>
      <c r="BI933" s="347"/>
      <c r="BJ933" s="586"/>
      <c r="BK933" s="581"/>
      <c r="BL933" s="347"/>
      <c r="BM933" s="347"/>
      <c r="BN933" s="347"/>
      <c r="BO933" s="586"/>
      <c r="BP933" s="584"/>
      <c r="BQ933" s="347"/>
      <c r="BR933" s="586"/>
      <c r="BS933" s="588"/>
      <c r="BT933" s="586"/>
      <c r="BU933" s="589"/>
      <c r="BV933" s="581">
        <f t="shared" si="44"/>
        <v>0</v>
      </c>
      <c r="BW933" s="590"/>
      <c r="BX933" s="347"/>
      <c r="BY933" s="347"/>
      <c r="BZ933" s="347"/>
      <c r="CA933" s="586"/>
      <c r="CB933" s="581"/>
      <c r="CC933" s="581">
        <f t="shared" si="193"/>
        <v>0</v>
      </c>
      <c r="CD933" s="581"/>
      <c r="CE933" s="581"/>
      <c r="CF933" s="581"/>
      <c r="CG933" s="586"/>
      <c r="CH933" s="608"/>
      <c r="CI933" s="603"/>
      <c r="CJ933" s="347"/>
      <c r="CK933" s="347"/>
      <c r="CL933" s="347"/>
      <c r="CM933" s="347"/>
      <c r="CN933" s="347"/>
      <c r="CO933" s="347"/>
      <c r="CP933" s="347"/>
    </row>
    <row r="934">
      <c r="A934" s="574"/>
      <c r="B934" s="574"/>
      <c r="C934" s="347"/>
      <c r="D934" s="574"/>
      <c r="E934" s="347"/>
      <c r="F934" s="596"/>
      <c r="G934" s="596"/>
      <c r="H934" s="347"/>
      <c r="I934" s="347"/>
      <c r="J934" s="596"/>
      <c r="K934" s="609"/>
      <c r="L934" s="1"/>
      <c r="M934" s="347"/>
      <c r="N934" s="347"/>
      <c r="O934" s="579"/>
      <c r="P934" s="579"/>
      <c r="Q934" s="574"/>
      <c r="R934" s="347"/>
      <c r="S934" s="597"/>
      <c r="T934" s="347"/>
      <c r="U934" s="579"/>
      <c r="V934" s="579"/>
      <c r="W934" s="574"/>
      <c r="X934" s="347"/>
      <c r="Y934" s="347"/>
      <c r="Z934" s="347"/>
      <c r="AA934" s="579"/>
      <c r="AB934" s="581"/>
      <c r="AC934" s="347"/>
      <c r="AD934" s="347"/>
      <c r="AE934" s="347"/>
      <c r="AF934" s="347"/>
      <c r="AG934" s="579"/>
      <c r="AH934" s="579"/>
      <c r="AI934" s="582"/>
      <c r="AJ934" s="582"/>
      <c r="AK934" s="582"/>
      <c r="AL934" s="582"/>
      <c r="AM934" s="579"/>
      <c r="AN934" s="579"/>
      <c r="AO934" s="347"/>
      <c r="AP934" s="586"/>
      <c r="AQ934" s="596"/>
      <c r="AR934" s="596"/>
      <c r="AS934" s="348"/>
      <c r="AT934" s="348"/>
      <c r="AU934" s="348"/>
      <c r="AV934" s="348"/>
      <c r="AW934" s="348"/>
      <c r="AX934" s="584"/>
      <c r="AY934" s="581"/>
      <c r="AZ934" s="581"/>
      <c r="BA934" s="596"/>
      <c r="BB934" s="596"/>
      <c r="BC934" s="348"/>
      <c r="BD934" s="581"/>
      <c r="BE934" s="581"/>
      <c r="BF934" s="347"/>
      <c r="BG934" s="347"/>
      <c r="BH934" s="347"/>
      <c r="BI934" s="347"/>
      <c r="BJ934" s="586"/>
      <c r="BK934" s="581"/>
      <c r="BL934" s="347"/>
      <c r="BM934" s="347"/>
      <c r="BN934" s="347"/>
      <c r="BO934" s="586"/>
      <c r="BP934" s="584"/>
      <c r="BQ934" s="347"/>
      <c r="BR934" s="586"/>
      <c r="BS934" s="588"/>
      <c r="BT934" s="586"/>
      <c r="BU934" s="589"/>
      <c r="BV934" s="581">
        <f t="shared" si="44"/>
        <v>0</v>
      </c>
      <c r="BW934" s="590"/>
      <c r="BX934" s="347"/>
      <c r="BY934" s="347"/>
      <c r="BZ934" s="347"/>
      <c r="CA934" s="586"/>
      <c r="CB934" s="581"/>
      <c r="CC934" s="581">
        <f t="shared" si="193"/>
        <v>0</v>
      </c>
      <c r="CD934" s="581"/>
      <c r="CE934" s="581"/>
      <c r="CF934" s="581"/>
      <c r="CG934" s="586"/>
      <c r="CH934" s="608"/>
      <c r="CI934" s="603"/>
      <c r="CJ934" s="347"/>
      <c r="CK934" s="347"/>
      <c r="CL934" s="347"/>
      <c r="CM934" s="347"/>
      <c r="CN934" s="347"/>
      <c r="CO934" s="347"/>
      <c r="CP934" s="347"/>
    </row>
    <row r="935">
      <c r="A935" s="574"/>
      <c r="B935" s="574"/>
      <c r="C935" s="347"/>
      <c r="D935" s="574"/>
      <c r="E935" s="347"/>
      <c r="F935" s="596"/>
      <c r="G935" s="596"/>
      <c r="H935" s="347"/>
      <c r="I935" s="347"/>
      <c r="J935" s="596"/>
      <c r="K935" s="609"/>
      <c r="L935" s="1"/>
      <c r="M935" s="347"/>
      <c r="N935" s="347"/>
      <c r="O935" s="579"/>
      <c r="P935" s="579"/>
      <c r="Q935" s="574"/>
      <c r="R935" s="347"/>
      <c r="S935" s="597"/>
      <c r="T935" s="347"/>
      <c r="U935" s="579"/>
      <c r="V935" s="579"/>
      <c r="W935" s="574"/>
      <c r="X935" s="347"/>
      <c r="Y935" s="347"/>
      <c r="Z935" s="347"/>
      <c r="AA935" s="579"/>
      <c r="AB935" s="581"/>
      <c r="AC935" s="347"/>
      <c r="AD935" s="347"/>
      <c r="AE935" s="347"/>
      <c r="AF935" s="347"/>
      <c r="AG935" s="579"/>
      <c r="AH935" s="579"/>
      <c r="AI935" s="582"/>
      <c r="AJ935" s="582"/>
      <c r="AK935" s="582"/>
      <c r="AL935" s="582"/>
      <c r="AM935" s="579"/>
      <c r="AN935" s="579"/>
      <c r="AO935" s="347"/>
      <c r="AP935" s="586"/>
      <c r="AQ935" s="596"/>
      <c r="AR935" s="596"/>
      <c r="AS935" s="348"/>
      <c r="AT935" s="348"/>
      <c r="AU935" s="348"/>
      <c r="AV935" s="348"/>
      <c r="AW935" s="348"/>
      <c r="AX935" s="584"/>
      <c r="AY935" s="581"/>
      <c r="AZ935" s="581"/>
      <c r="BA935" s="596"/>
      <c r="BB935" s="596"/>
      <c r="BC935" s="348"/>
      <c r="BD935" s="581"/>
      <c r="BE935" s="581"/>
      <c r="BF935" s="347"/>
      <c r="BG935" s="347"/>
      <c r="BH935" s="347"/>
      <c r="BI935" s="347"/>
      <c r="BJ935" s="586"/>
      <c r="BK935" s="581"/>
      <c r="BL935" s="347"/>
      <c r="BM935" s="347"/>
      <c r="BN935" s="347"/>
      <c r="BO935" s="586"/>
      <c r="BP935" s="584"/>
      <c r="BQ935" s="347"/>
      <c r="BR935" s="586"/>
      <c r="BS935" s="588"/>
      <c r="BT935" s="586"/>
      <c r="BU935" s="589"/>
      <c r="BV935" s="581">
        <f t="shared" si="44"/>
        <v>0</v>
      </c>
      <c r="BW935" s="590"/>
      <c r="BX935" s="347"/>
      <c r="BY935" s="347"/>
      <c r="BZ935" s="347"/>
      <c r="CA935" s="586"/>
      <c r="CB935" s="581"/>
      <c r="CC935" s="581">
        <f t="shared" si="193"/>
        <v>0</v>
      </c>
      <c r="CD935" s="581"/>
      <c r="CE935" s="581"/>
      <c r="CF935" s="581"/>
      <c r="CG935" s="586"/>
      <c r="CH935" s="608"/>
      <c r="CI935" s="603"/>
      <c r="CJ935" s="347"/>
      <c r="CK935" s="347"/>
      <c r="CL935" s="347"/>
      <c r="CM935" s="347"/>
      <c r="CN935" s="347"/>
      <c r="CO935" s="347"/>
      <c r="CP935" s="347"/>
    </row>
    <row r="936">
      <c r="A936" s="574"/>
      <c r="B936" s="574"/>
      <c r="C936" s="347"/>
      <c r="D936" s="574"/>
      <c r="E936" s="347"/>
      <c r="F936" s="596"/>
      <c r="G936" s="596"/>
      <c r="H936" s="347"/>
      <c r="I936" s="347"/>
      <c r="J936" s="596"/>
      <c r="K936" s="609"/>
      <c r="L936" s="1"/>
      <c r="M936" s="347"/>
      <c r="N936" s="347"/>
      <c r="O936" s="579"/>
      <c r="P936" s="579"/>
      <c r="Q936" s="574"/>
      <c r="R936" s="347"/>
      <c r="S936" s="597"/>
      <c r="T936" s="347"/>
      <c r="U936" s="579"/>
      <c r="V936" s="579"/>
      <c r="W936" s="574"/>
      <c r="X936" s="347"/>
      <c r="Y936" s="347"/>
      <c r="Z936" s="347"/>
      <c r="AA936" s="579"/>
      <c r="AB936" s="581"/>
      <c r="AC936" s="347"/>
      <c r="AD936" s="347"/>
      <c r="AE936" s="347"/>
      <c r="AF936" s="347"/>
      <c r="AG936" s="579"/>
      <c r="AH936" s="579"/>
      <c r="AI936" s="582"/>
      <c r="AJ936" s="582"/>
      <c r="AK936" s="582"/>
      <c r="AL936" s="582"/>
      <c r="AM936" s="579"/>
      <c r="AN936" s="579"/>
      <c r="AO936" s="347"/>
      <c r="AP936" s="586"/>
      <c r="AQ936" s="596"/>
      <c r="AR936" s="596"/>
      <c r="AS936" s="348"/>
      <c r="AT936" s="348"/>
      <c r="AU936" s="348"/>
      <c r="AV936" s="348"/>
      <c r="AW936" s="348"/>
      <c r="AX936" s="584"/>
      <c r="AY936" s="581"/>
      <c r="AZ936" s="581"/>
      <c r="BA936" s="596"/>
      <c r="BB936" s="596"/>
      <c r="BC936" s="348"/>
      <c r="BD936" s="581"/>
      <c r="BE936" s="581"/>
      <c r="BF936" s="347"/>
      <c r="BG936" s="347"/>
      <c r="BH936" s="347"/>
      <c r="BI936" s="347"/>
      <c r="BJ936" s="586"/>
      <c r="BK936" s="581"/>
      <c r="BL936" s="347"/>
      <c r="BM936" s="347"/>
      <c r="BN936" s="347"/>
      <c r="BO936" s="586"/>
      <c r="BP936" s="584"/>
      <c r="BQ936" s="347"/>
      <c r="BR936" s="586"/>
      <c r="BS936" s="588"/>
      <c r="BT936" s="586"/>
      <c r="BU936" s="589"/>
      <c r="BV936" s="581">
        <f t="shared" si="44"/>
        <v>0</v>
      </c>
      <c r="BW936" s="590"/>
      <c r="BX936" s="347"/>
      <c r="BY936" s="347"/>
      <c r="BZ936" s="347"/>
      <c r="CA936" s="586"/>
      <c r="CB936" s="581"/>
      <c r="CC936" s="581">
        <f t="shared" si="193"/>
        <v>0</v>
      </c>
      <c r="CD936" s="581"/>
      <c r="CE936" s="581"/>
      <c r="CF936" s="581"/>
      <c r="CG936" s="586"/>
      <c r="CH936" s="608"/>
      <c r="CI936" s="603"/>
      <c r="CJ936" s="347"/>
      <c r="CK936" s="347"/>
      <c r="CL936" s="347"/>
      <c r="CM936" s="347"/>
      <c r="CN936" s="347"/>
      <c r="CO936" s="347"/>
      <c r="CP936" s="347"/>
    </row>
    <row r="937">
      <c r="A937" s="574"/>
      <c r="B937" s="574"/>
      <c r="C937" s="347"/>
      <c r="D937" s="574"/>
      <c r="E937" s="347"/>
      <c r="F937" s="596"/>
      <c r="G937" s="596"/>
      <c r="H937" s="347"/>
      <c r="I937" s="347"/>
      <c r="J937" s="596"/>
      <c r="K937" s="609"/>
      <c r="L937" s="1"/>
      <c r="M937" s="347"/>
      <c r="N937" s="347"/>
      <c r="O937" s="579"/>
      <c r="P937" s="579"/>
      <c r="Q937" s="574"/>
      <c r="R937" s="347"/>
      <c r="S937" s="597"/>
      <c r="T937" s="347"/>
      <c r="U937" s="579"/>
      <c r="V937" s="579"/>
      <c r="W937" s="574"/>
      <c r="X937" s="347"/>
      <c r="Y937" s="347"/>
      <c r="Z937" s="347"/>
      <c r="AA937" s="579"/>
      <c r="AB937" s="581"/>
      <c r="AC937" s="347"/>
      <c r="AD937" s="347"/>
      <c r="AE937" s="347"/>
      <c r="AF937" s="347"/>
      <c r="AG937" s="579"/>
      <c r="AH937" s="579"/>
      <c r="AI937" s="582"/>
      <c r="AJ937" s="582"/>
      <c r="AK937" s="582"/>
      <c r="AL937" s="582"/>
      <c r="AM937" s="579"/>
      <c r="AN937" s="579"/>
      <c r="AO937" s="347"/>
      <c r="AP937" s="586"/>
      <c r="AQ937" s="596"/>
      <c r="AR937" s="596"/>
      <c r="AS937" s="348"/>
      <c r="AT937" s="348"/>
      <c r="AU937" s="348"/>
      <c r="AV937" s="348"/>
      <c r="AW937" s="348"/>
      <c r="AX937" s="584"/>
      <c r="AY937" s="581"/>
      <c r="AZ937" s="581"/>
      <c r="BA937" s="596"/>
      <c r="BB937" s="596"/>
      <c r="BC937" s="348"/>
      <c r="BD937" s="581"/>
      <c r="BE937" s="581"/>
      <c r="BF937" s="347"/>
      <c r="BG937" s="347"/>
      <c r="BH937" s="347"/>
      <c r="BI937" s="347"/>
      <c r="BJ937" s="586"/>
      <c r="BK937" s="581"/>
      <c r="BL937" s="347"/>
      <c r="BM937" s="347"/>
      <c r="BN937" s="347"/>
      <c r="BO937" s="586"/>
      <c r="BP937" s="584"/>
      <c r="BQ937" s="347"/>
      <c r="BR937" s="586"/>
      <c r="BS937" s="588"/>
      <c r="BT937" s="586"/>
      <c r="BU937" s="589"/>
      <c r="BV937" s="581">
        <f t="shared" si="44"/>
        <v>0</v>
      </c>
      <c r="BW937" s="590"/>
      <c r="BX937" s="347"/>
      <c r="BY937" s="347"/>
      <c r="BZ937" s="347"/>
      <c r="CA937" s="586"/>
      <c r="CB937" s="581"/>
      <c r="CC937" s="581">
        <f t="shared" si="193"/>
        <v>0</v>
      </c>
      <c r="CD937" s="581"/>
      <c r="CE937" s="581"/>
      <c r="CF937" s="581"/>
      <c r="CG937" s="586"/>
      <c r="CH937" s="608"/>
      <c r="CI937" s="603"/>
      <c r="CJ937" s="347"/>
      <c r="CK937" s="347"/>
      <c r="CL937" s="347"/>
      <c r="CM937" s="347"/>
      <c r="CN937" s="347"/>
      <c r="CO937" s="347"/>
      <c r="CP937" s="347"/>
    </row>
    <row r="938">
      <c r="A938" s="574"/>
      <c r="B938" s="574"/>
      <c r="C938" s="347"/>
      <c r="D938" s="574"/>
      <c r="E938" s="347"/>
      <c r="F938" s="596"/>
      <c r="G938" s="596"/>
      <c r="H938" s="347"/>
      <c r="I938" s="347"/>
      <c r="J938" s="596"/>
      <c r="K938" s="609"/>
      <c r="L938" s="1"/>
      <c r="M938" s="347"/>
      <c r="N938" s="347"/>
      <c r="O938" s="579"/>
      <c r="P938" s="579"/>
      <c r="Q938" s="574"/>
      <c r="R938" s="347"/>
      <c r="S938" s="597"/>
      <c r="T938" s="347"/>
      <c r="U938" s="579"/>
      <c r="V938" s="579"/>
      <c r="W938" s="574"/>
      <c r="X938" s="347"/>
      <c r="Y938" s="347"/>
      <c r="Z938" s="347"/>
      <c r="AA938" s="579"/>
      <c r="AB938" s="581"/>
      <c r="AC938" s="347"/>
      <c r="AD938" s="347"/>
      <c r="AE938" s="347"/>
      <c r="AF938" s="347"/>
      <c r="AG938" s="579"/>
      <c r="AH938" s="579"/>
      <c r="AI938" s="582"/>
      <c r="AJ938" s="582"/>
      <c r="AK938" s="582"/>
      <c r="AL938" s="582"/>
      <c r="AM938" s="579"/>
      <c r="AN938" s="579"/>
      <c r="AO938" s="347"/>
      <c r="AP938" s="586"/>
      <c r="AQ938" s="596"/>
      <c r="AR938" s="596"/>
      <c r="AS938" s="348"/>
      <c r="AT938" s="348"/>
      <c r="AU938" s="348"/>
      <c r="AV938" s="348"/>
      <c r="AW938" s="348"/>
      <c r="AX938" s="584"/>
      <c r="AY938" s="581"/>
      <c r="AZ938" s="581"/>
      <c r="BA938" s="596"/>
      <c r="BB938" s="596"/>
      <c r="BC938" s="348"/>
      <c r="BD938" s="581"/>
      <c r="BE938" s="581"/>
      <c r="BF938" s="347"/>
      <c r="BG938" s="347"/>
      <c r="BH938" s="347"/>
      <c r="BI938" s="347"/>
      <c r="BJ938" s="586"/>
      <c r="BK938" s="581"/>
      <c r="BL938" s="347"/>
      <c r="BM938" s="347"/>
      <c r="BN938" s="347"/>
      <c r="BO938" s="586"/>
      <c r="BP938" s="584"/>
      <c r="BQ938" s="347"/>
      <c r="BR938" s="586"/>
      <c r="BS938" s="588"/>
      <c r="BT938" s="586"/>
      <c r="BU938" s="589"/>
      <c r="BV938" s="581">
        <f t="shared" si="44"/>
        <v>0</v>
      </c>
      <c r="BW938" s="590"/>
      <c r="BX938" s="347"/>
      <c r="BY938" s="347"/>
      <c r="BZ938" s="347"/>
      <c r="CA938" s="586"/>
      <c r="CB938" s="581"/>
      <c r="CC938" s="581">
        <f t="shared" si="193"/>
        <v>0</v>
      </c>
      <c r="CD938" s="581"/>
      <c r="CE938" s="581"/>
      <c r="CF938" s="581"/>
      <c r="CG938" s="586"/>
      <c r="CH938" s="608"/>
      <c r="CI938" s="603"/>
      <c r="CJ938" s="347"/>
      <c r="CK938" s="347"/>
      <c r="CL938" s="347"/>
      <c r="CM938" s="347"/>
      <c r="CN938" s="347"/>
      <c r="CO938" s="347"/>
      <c r="CP938" s="347"/>
    </row>
    <row r="939">
      <c r="A939" s="574"/>
      <c r="B939" s="574"/>
      <c r="C939" s="347"/>
      <c r="D939" s="574"/>
      <c r="E939" s="347"/>
      <c r="F939" s="596"/>
      <c r="G939" s="596"/>
      <c r="H939" s="347"/>
      <c r="I939" s="347"/>
      <c r="J939" s="596"/>
      <c r="K939" s="609"/>
      <c r="L939" s="1"/>
      <c r="M939" s="347"/>
      <c r="N939" s="347"/>
      <c r="O939" s="579"/>
      <c r="P939" s="579"/>
      <c r="Q939" s="574"/>
      <c r="R939" s="347"/>
      <c r="S939" s="597"/>
      <c r="T939" s="347"/>
      <c r="U939" s="579"/>
      <c r="V939" s="579"/>
      <c r="W939" s="574"/>
      <c r="X939" s="347"/>
      <c r="Y939" s="347"/>
      <c r="Z939" s="347"/>
      <c r="AA939" s="579"/>
      <c r="AB939" s="581"/>
      <c r="AC939" s="347"/>
      <c r="AD939" s="347"/>
      <c r="AE939" s="347"/>
      <c r="AF939" s="347"/>
      <c r="AG939" s="579"/>
      <c r="AH939" s="579"/>
      <c r="AI939" s="582"/>
      <c r="AJ939" s="582"/>
      <c r="AK939" s="582"/>
      <c r="AL939" s="582"/>
      <c r="AM939" s="579"/>
      <c r="AN939" s="579"/>
      <c r="AO939" s="347"/>
      <c r="AP939" s="586"/>
      <c r="AQ939" s="596"/>
      <c r="AR939" s="596"/>
      <c r="AS939" s="348"/>
      <c r="AT939" s="348"/>
      <c r="AU939" s="348"/>
      <c r="AV939" s="348"/>
      <c r="AW939" s="348"/>
      <c r="AX939" s="584"/>
      <c r="AY939" s="581"/>
      <c r="AZ939" s="581"/>
      <c r="BA939" s="596"/>
      <c r="BB939" s="596"/>
      <c r="BC939" s="348"/>
      <c r="BD939" s="581"/>
      <c r="BE939" s="581"/>
      <c r="BF939" s="347"/>
      <c r="BG939" s="347"/>
      <c r="BH939" s="347"/>
      <c r="BI939" s="347"/>
      <c r="BJ939" s="586"/>
      <c r="BK939" s="581"/>
      <c r="BL939" s="347"/>
      <c r="BM939" s="347"/>
      <c r="BN939" s="347"/>
      <c r="BO939" s="586"/>
      <c r="BP939" s="584"/>
      <c r="BQ939" s="347"/>
      <c r="BR939" s="586"/>
      <c r="BS939" s="588"/>
      <c r="BT939" s="586"/>
      <c r="BU939" s="589"/>
      <c r="BV939" s="581">
        <f t="shared" si="44"/>
        <v>0</v>
      </c>
      <c r="BW939" s="590"/>
      <c r="BX939" s="347"/>
      <c r="BY939" s="347"/>
      <c r="BZ939" s="347"/>
      <c r="CA939" s="586"/>
      <c r="CB939" s="581"/>
      <c r="CC939" s="581">
        <f t="shared" si="193"/>
        <v>0</v>
      </c>
      <c r="CD939" s="581"/>
      <c r="CE939" s="581"/>
      <c r="CF939" s="581"/>
      <c r="CG939" s="586"/>
      <c r="CH939" s="608"/>
      <c r="CI939" s="603"/>
      <c r="CJ939" s="347"/>
      <c r="CK939" s="347"/>
      <c r="CL939" s="347"/>
      <c r="CM939" s="347"/>
      <c r="CN939" s="347"/>
      <c r="CO939" s="347"/>
      <c r="CP939" s="347"/>
    </row>
    <row r="940">
      <c r="A940" s="574"/>
      <c r="B940" s="574"/>
      <c r="C940" s="347"/>
      <c r="D940" s="574"/>
      <c r="E940" s="347"/>
      <c r="F940" s="596"/>
      <c r="G940" s="596"/>
      <c r="H940" s="347"/>
      <c r="I940" s="347"/>
      <c r="J940" s="596"/>
      <c r="K940" s="609"/>
      <c r="L940" s="1"/>
      <c r="M940" s="347"/>
      <c r="N940" s="347"/>
      <c r="O940" s="579"/>
      <c r="P940" s="579"/>
      <c r="Q940" s="574"/>
      <c r="R940" s="347"/>
      <c r="S940" s="597"/>
      <c r="T940" s="347"/>
      <c r="U940" s="579"/>
      <c r="V940" s="579"/>
      <c r="W940" s="574"/>
      <c r="X940" s="347"/>
      <c r="Y940" s="347"/>
      <c r="Z940" s="347"/>
      <c r="AA940" s="579"/>
      <c r="AB940" s="581"/>
      <c r="AC940" s="347"/>
      <c r="AD940" s="347"/>
      <c r="AE940" s="347"/>
      <c r="AF940" s="347"/>
      <c r="AG940" s="579"/>
      <c r="AH940" s="579"/>
      <c r="AI940" s="582"/>
      <c r="AJ940" s="582"/>
      <c r="AK940" s="582"/>
      <c r="AL940" s="582"/>
      <c r="AM940" s="579"/>
      <c r="AN940" s="579"/>
      <c r="AO940" s="347"/>
      <c r="AP940" s="586"/>
      <c r="AQ940" s="596"/>
      <c r="AR940" s="596"/>
      <c r="AS940" s="348"/>
      <c r="AT940" s="348"/>
      <c r="AU940" s="348"/>
      <c r="AV940" s="348"/>
      <c r="AW940" s="348"/>
      <c r="AX940" s="584"/>
      <c r="AY940" s="581"/>
      <c r="AZ940" s="581"/>
      <c r="BA940" s="596"/>
      <c r="BB940" s="596"/>
      <c r="BC940" s="348"/>
      <c r="BD940" s="581"/>
      <c r="BE940" s="581"/>
      <c r="BF940" s="347"/>
      <c r="BG940" s="347"/>
      <c r="BH940" s="347"/>
      <c r="BI940" s="347"/>
      <c r="BJ940" s="586"/>
      <c r="BK940" s="581"/>
      <c r="BL940" s="347"/>
      <c r="BM940" s="347"/>
      <c r="BN940" s="347"/>
      <c r="BO940" s="586"/>
      <c r="BP940" s="584"/>
      <c r="BQ940" s="347"/>
      <c r="BR940" s="586"/>
      <c r="BS940" s="588"/>
      <c r="BT940" s="586"/>
      <c r="BU940" s="589"/>
      <c r="BV940" s="581">
        <f t="shared" si="44"/>
        <v>0</v>
      </c>
      <c r="BW940" s="590"/>
      <c r="BX940" s="347"/>
      <c r="BY940" s="347"/>
      <c r="BZ940" s="347"/>
      <c r="CA940" s="586"/>
      <c r="CB940" s="581"/>
      <c r="CC940" s="581">
        <f t="shared" si="193"/>
        <v>0</v>
      </c>
      <c r="CD940" s="581"/>
      <c r="CE940" s="581"/>
      <c r="CF940" s="581"/>
      <c r="CG940" s="586"/>
      <c r="CH940" s="608"/>
      <c r="CI940" s="603"/>
      <c r="CJ940" s="347"/>
      <c r="CK940" s="347"/>
      <c r="CL940" s="347"/>
      <c r="CM940" s="347"/>
      <c r="CN940" s="347"/>
      <c r="CO940" s="347"/>
      <c r="CP940" s="347"/>
    </row>
    <row r="941">
      <c r="A941" s="574"/>
      <c r="B941" s="574"/>
      <c r="C941" s="347"/>
      <c r="D941" s="574"/>
      <c r="E941" s="347"/>
      <c r="F941" s="596"/>
      <c r="G941" s="596"/>
      <c r="H941" s="347"/>
      <c r="I941" s="347"/>
      <c r="J941" s="596"/>
      <c r="K941" s="609"/>
      <c r="L941" s="1"/>
      <c r="M941" s="347"/>
      <c r="N941" s="347"/>
      <c r="O941" s="579"/>
      <c r="P941" s="579"/>
      <c r="Q941" s="574"/>
      <c r="R941" s="347"/>
      <c r="S941" s="597"/>
      <c r="T941" s="347"/>
      <c r="U941" s="579"/>
      <c r="V941" s="579"/>
      <c r="W941" s="574"/>
      <c r="X941" s="347"/>
      <c r="Y941" s="347"/>
      <c r="Z941" s="347"/>
      <c r="AA941" s="579"/>
      <c r="AB941" s="581"/>
      <c r="AC941" s="347"/>
      <c r="AD941" s="347"/>
      <c r="AE941" s="347"/>
      <c r="AF941" s="347"/>
      <c r="AG941" s="579"/>
      <c r="AH941" s="579"/>
      <c r="AI941" s="582"/>
      <c r="AJ941" s="582"/>
      <c r="AK941" s="582"/>
      <c r="AL941" s="582"/>
      <c r="AM941" s="579"/>
      <c r="AN941" s="579"/>
      <c r="AO941" s="347"/>
      <c r="AP941" s="586"/>
      <c r="AQ941" s="596"/>
      <c r="AR941" s="596"/>
      <c r="AS941" s="348"/>
      <c r="AT941" s="348"/>
      <c r="AU941" s="348"/>
      <c r="AV941" s="348"/>
      <c r="AW941" s="348"/>
      <c r="AX941" s="584"/>
      <c r="AY941" s="581"/>
      <c r="AZ941" s="581"/>
      <c r="BA941" s="596"/>
      <c r="BB941" s="596"/>
      <c r="BC941" s="348"/>
      <c r="BD941" s="581"/>
      <c r="BE941" s="581"/>
      <c r="BF941" s="347"/>
      <c r="BG941" s="347"/>
      <c r="BH941" s="347"/>
      <c r="BI941" s="347"/>
      <c r="BJ941" s="586"/>
      <c r="BK941" s="581"/>
      <c r="BL941" s="347"/>
      <c r="BM941" s="347"/>
      <c r="BN941" s="347"/>
      <c r="BO941" s="586"/>
      <c r="BP941" s="584"/>
      <c r="BQ941" s="347"/>
      <c r="BR941" s="586"/>
      <c r="BS941" s="588"/>
      <c r="BT941" s="586"/>
      <c r="BU941" s="589"/>
      <c r="BV941" s="581">
        <f t="shared" si="44"/>
        <v>0</v>
      </c>
      <c r="BW941" s="590"/>
      <c r="BX941" s="347"/>
      <c r="BY941" s="347"/>
      <c r="BZ941" s="347"/>
      <c r="CA941" s="586"/>
      <c r="CB941" s="581"/>
      <c r="CC941" s="581">
        <f t="shared" si="193"/>
        <v>0</v>
      </c>
      <c r="CD941" s="581"/>
      <c r="CE941" s="581"/>
      <c r="CF941" s="581"/>
      <c r="CG941" s="586"/>
      <c r="CH941" s="608"/>
      <c r="CI941" s="603"/>
      <c r="CJ941" s="347"/>
      <c r="CK941" s="347"/>
      <c r="CL941" s="347"/>
      <c r="CM941" s="347"/>
      <c r="CN941" s="347"/>
      <c r="CO941" s="347"/>
      <c r="CP941" s="347"/>
    </row>
    <row r="942">
      <c r="A942" s="574"/>
      <c r="B942" s="574"/>
      <c r="C942" s="347"/>
      <c r="D942" s="574"/>
      <c r="E942" s="347"/>
      <c r="F942" s="596"/>
      <c r="G942" s="596"/>
      <c r="H942" s="347"/>
      <c r="I942" s="347"/>
      <c r="J942" s="596"/>
      <c r="K942" s="609"/>
      <c r="L942" s="1"/>
      <c r="M942" s="347"/>
      <c r="N942" s="347"/>
      <c r="O942" s="579"/>
      <c r="P942" s="579"/>
      <c r="Q942" s="574"/>
      <c r="R942" s="347"/>
      <c r="S942" s="597"/>
      <c r="T942" s="347"/>
      <c r="U942" s="579"/>
      <c r="V942" s="579"/>
      <c r="W942" s="574"/>
      <c r="X942" s="347"/>
      <c r="Y942" s="347"/>
      <c r="Z942" s="347"/>
      <c r="AA942" s="579"/>
      <c r="AB942" s="581"/>
      <c r="AC942" s="347"/>
      <c r="AD942" s="347"/>
      <c r="AE942" s="347"/>
      <c r="AF942" s="347"/>
      <c r="AG942" s="579"/>
      <c r="AH942" s="579"/>
      <c r="AI942" s="582"/>
      <c r="AJ942" s="582"/>
      <c r="AK942" s="582"/>
      <c r="AL942" s="582"/>
      <c r="AM942" s="579"/>
      <c r="AN942" s="579"/>
      <c r="AO942" s="347"/>
      <c r="AP942" s="586"/>
      <c r="AQ942" s="596"/>
      <c r="AR942" s="596"/>
      <c r="AS942" s="348"/>
      <c r="AT942" s="348"/>
      <c r="AU942" s="348"/>
      <c r="AV942" s="348"/>
      <c r="AW942" s="348"/>
      <c r="AX942" s="584"/>
      <c r="AY942" s="581"/>
      <c r="AZ942" s="581"/>
      <c r="BA942" s="596"/>
      <c r="BB942" s="596"/>
      <c r="BC942" s="348"/>
      <c r="BD942" s="581"/>
      <c r="BE942" s="581"/>
      <c r="BF942" s="347"/>
      <c r="BG942" s="347"/>
      <c r="BH942" s="347"/>
      <c r="BI942" s="347"/>
      <c r="BJ942" s="586"/>
      <c r="BK942" s="581"/>
      <c r="BL942" s="347"/>
      <c r="BM942" s="347"/>
      <c r="BN942" s="347"/>
      <c r="BO942" s="586"/>
      <c r="BP942" s="584"/>
      <c r="BQ942" s="347"/>
      <c r="BR942" s="586"/>
      <c r="BS942" s="588"/>
      <c r="BT942" s="586"/>
      <c r="BU942" s="589"/>
      <c r="BV942" s="581">
        <f t="shared" si="44"/>
        <v>0</v>
      </c>
      <c r="BW942" s="590"/>
      <c r="BX942" s="347"/>
      <c r="BY942" s="347"/>
      <c r="BZ942" s="347"/>
      <c r="CA942" s="586"/>
      <c r="CB942" s="581"/>
      <c r="CC942" s="581">
        <f t="shared" si="193"/>
        <v>0</v>
      </c>
      <c r="CD942" s="581"/>
      <c r="CE942" s="581"/>
      <c r="CF942" s="581"/>
      <c r="CG942" s="586"/>
      <c r="CH942" s="608"/>
      <c r="CI942" s="603"/>
      <c r="CJ942" s="347"/>
      <c r="CK942" s="347"/>
      <c r="CL942" s="347"/>
      <c r="CM942" s="347"/>
      <c r="CN942" s="347"/>
      <c r="CO942" s="347"/>
      <c r="CP942" s="347"/>
    </row>
    <row r="943">
      <c r="A943" s="574"/>
      <c r="B943" s="574"/>
      <c r="C943" s="347"/>
      <c r="D943" s="574"/>
      <c r="E943" s="347"/>
      <c r="F943" s="596"/>
      <c r="G943" s="596"/>
      <c r="H943" s="347"/>
      <c r="I943" s="347"/>
      <c r="J943" s="596"/>
      <c r="K943" s="609"/>
      <c r="L943" s="1"/>
      <c r="M943" s="347"/>
      <c r="N943" s="347"/>
      <c r="O943" s="579"/>
      <c r="P943" s="579"/>
      <c r="Q943" s="574"/>
      <c r="R943" s="347"/>
      <c r="S943" s="597"/>
      <c r="T943" s="347"/>
      <c r="U943" s="579"/>
      <c r="V943" s="579"/>
      <c r="W943" s="574"/>
      <c r="X943" s="347"/>
      <c r="Y943" s="347"/>
      <c r="Z943" s="347"/>
      <c r="AA943" s="579"/>
      <c r="AB943" s="581"/>
      <c r="AC943" s="347"/>
      <c r="AD943" s="347"/>
      <c r="AE943" s="347"/>
      <c r="AF943" s="347"/>
      <c r="AG943" s="579"/>
      <c r="AH943" s="579"/>
      <c r="AI943" s="582"/>
      <c r="AJ943" s="582"/>
      <c r="AK943" s="582"/>
      <c r="AL943" s="582"/>
      <c r="AM943" s="579"/>
      <c r="AN943" s="579"/>
      <c r="AO943" s="347"/>
      <c r="AP943" s="586"/>
      <c r="AQ943" s="596"/>
      <c r="AR943" s="596"/>
      <c r="AS943" s="348"/>
      <c r="AT943" s="348"/>
      <c r="AU943" s="348"/>
      <c r="AV943" s="348"/>
      <c r="AW943" s="348"/>
      <c r="AX943" s="584"/>
      <c r="AY943" s="581"/>
      <c r="AZ943" s="581"/>
      <c r="BA943" s="596"/>
      <c r="BB943" s="596"/>
      <c r="BC943" s="348"/>
      <c r="BD943" s="581"/>
      <c r="BE943" s="581"/>
      <c r="BF943" s="347"/>
      <c r="BG943" s="347"/>
      <c r="BH943" s="347"/>
      <c r="BI943" s="347"/>
      <c r="BJ943" s="586"/>
      <c r="BK943" s="581"/>
      <c r="BL943" s="347"/>
      <c r="BM943" s="347"/>
      <c r="BN943" s="347"/>
      <c r="BO943" s="586"/>
      <c r="BP943" s="584"/>
      <c r="BQ943" s="347"/>
      <c r="BR943" s="586"/>
      <c r="BS943" s="588"/>
      <c r="BT943" s="586"/>
      <c r="BU943" s="589"/>
      <c r="BV943" s="581">
        <f t="shared" si="44"/>
        <v>0</v>
      </c>
      <c r="BW943" s="590"/>
      <c r="BX943" s="347"/>
      <c r="BY943" s="347"/>
      <c r="BZ943" s="347"/>
      <c r="CA943" s="586"/>
      <c r="CB943" s="581"/>
      <c r="CC943" s="581">
        <f t="shared" si="193"/>
        <v>0</v>
      </c>
      <c r="CD943" s="581"/>
      <c r="CE943" s="581"/>
      <c r="CF943" s="581"/>
      <c r="CG943" s="586"/>
      <c r="CH943" s="608"/>
      <c r="CI943" s="603"/>
      <c r="CJ943" s="347"/>
      <c r="CK943" s="347"/>
      <c r="CL943" s="347"/>
      <c r="CM943" s="347"/>
      <c r="CN943" s="347"/>
      <c r="CO943" s="347"/>
      <c r="CP943" s="347"/>
    </row>
    <row r="944">
      <c r="A944" s="574"/>
      <c r="B944" s="574"/>
      <c r="C944" s="347"/>
      <c r="D944" s="574"/>
      <c r="E944" s="347"/>
      <c r="F944" s="596"/>
      <c r="G944" s="596"/>
      <c r="H944" s="347"/>
      <c r="I944" s="347"/>
      <c r="J944" s="596"/>
      <c r="K944" s="609"/>
      <c r="L944" s="1"/>
      <c r="M944" s="347"/>
      <c r="N944" s="347"/>
      <c r="O944" s="579"/>
      <c r="P944" s="579"/>
      <c r="Q944" s="574"/>
      <c r="R944" s="347"/>
      <c r="S944" s="597"/>
      <c r="T944" s="347"/>
      <c r="U944" s="579"/>
      <c r="V944" s="579"/>
      <c r="W944" s="574"/>
      <c r="X944" s="347"/>
      <c r="Y944" s="347"/>
      <c r="Z944" s="347"/>
      <c r="AA944" s="579"/>
      <c r="AB944" s="581"/>
      <c r="AC944" s="347"/>
      <c r="AD944" s="347"/>
      <c r="AE944" s="347"/>
      <c r="AF944" s="347"/>
      <c r="AG944" s="579"/>
      <c r="AH944" s="579"/>
      <c r="AI944" s="582"/>
      <c r="AJ944" s="582"/>
      <c r="AK944" s="582"/>
      <c r="AL944" s="582"/>
      <c r="AM944" s="579"/>
      <c r="AN944" s="579"/>
      <c r="AO944" s="347"/>
      <c r="AP944" s="586"/>
      <c r="AQ944" s="596"/>
      <c r="AR944" s="596"/>
      <c r="AS944" s="348"/>
      <c r="AT944" s="348"/>
      <c r="AU944" s="348"/>
      <c r="AV944" s="348"/>
      <c r="AW944" s="348"/>
      <c r="AX944" s="584"/>
      <c r="AY944" s="581"/>
      <c r="AZ944" s="581"/>
      <c r="BA944" s="596"/>
      <c r="BB944" s="596"/>
      <c r="BC944" s="348"/>
      <c r="BD944" s="581"/>
      <c r="BE944" s="581"/>
      <c r="BF944" s="347"/>
      <c r="BG944" s="347"/>
      <c r="BH944" s="347"/>
      <c r="BI944" s="347"/>
      <c r="BJ944" s="586"/>
      <c r="BK944" s="581"/>
      <c r="BL944" s="347"/>
      <c r="BM944" s="347"/>
      <c r="BN944" s="347"/>
      <c r="BO944" s="586"/>
      <c r="BP944" s="584"/>
      <c r="BQ944" s="347"/>
      <c r="BR944" s="586"/>
      <c r="BS944" s="588"/>
      <c r="BT944" s="586"/>
      <c r="BU944" s="589"/>
      <c r="BV944" s="581">
        <f t="shared" si="44"/>
        <v>0</v>
      </c>
      <c r="BW944" s="590"/>
      <c r="BX944" s="347"/>
      <c r="BY944" s="347"/>
      <c r="BZ944" s="347"/>
      <c r="CA944" s="586"/>
      <c r="CB944" s="581"/>
      <c r="CC944" s="581">
        <f t="shared" si="193"/>
        <v>0</v>
      </c>
      <c r="CD944" s="581"/>
      <c r="CE944" s="581"/>
      <c r="CF944" s="581"/>
      <c r="CG944" s="586"/>
      <c r="CH944" s="608"/>
      <c r="CI944" s="603"/>
      <c r="CJ944" s="347"/>
      <c r="CK944" s="347"/>
      <c r="CL944" s="347"/>
      <c r="CM944" s="347"/>
      <c r="CN944" s="347"/>
      <c r="CO944" s="347"/>
      <c r="CP944" s="347"/>
    </row>
    <row r="945">
      <c r="A945" s="574"/>
      <c r="B945" s="574"/>
      <c r="C945" s="347"/>
      <c r="D945" s="574"/>
      <c r="E945" s="347"/>
      <c r="F945" s="596"/>
      <c r="G945" s="596"/>
      <c r="H945" s="347"/>
      <c r="I945" s="347"/>
      <c r="J945" s="596"/>
      <c r="K945" s="609"/>
      <c r="L945" s="1"/>
      <c r="M945" s="347"/>
      <c r="N945" s="347"/>
      <c r="O945" s="579"/>
      <c r="P945" s="579"/>
      <c r="Q945" s="574"/>
      <c r="R945" s="347"/>
      <c r="S945" s="597"/>
      <c r="T945" s="347"/>
      <c r="U945" s="579"/>
      <c r="V945" s="579"/>
      <c r="W945" s="574"/>
      <c r="X945" s="347"/>
      <c r="Y945" s="347"/>
      <c r="Z945" s="347"/>
      <c r="AA945" s="579"/>
      <c r="AB945" s="581"/>
      <c r="AC945" s="347"/>
      <c r="AD945" s="347"/>
      <c r="AE945" s="347"/>
      <c r="AF945" s="347"/>
      <c r="AG945" s="579"/>
      <c r="AH945" s="579"/>
      <c r="AI945" s="582"/>
      <c r="AJ945" s="582"/>
      <c r="AK945" s="582"/>
      <c r="AL945" s="582"/>
      <c r="AM945" s="579"/>
      <c r="AN945" s="579"/>
      <c r="AO945" s="347"/>
      <c r="AP945" s="586"/>
      <c r="AQ945" s="596"/>
      <c r="AR945" s="596"/>
      <c r="AS945" s="348"/>
      <c r="AT945" s="348"/>
      <c r="AU945" s="348"/>
      <c r="AV945" s="348"/>
      <c r="AW945" s="348"/>
      <c r="AX945" s="584"/>
      <c r="AY945" s="581"/>
      <c r="AZ945" s="581"/>
      <c r="BA945" s="596"/>
      <c r="BB945" s="596"/>
      <c r="BC945" s="348"/>
      <c r="BD945" s="581"/>
      <c r="BE945" s="581"/>
      <c r="BF945" s="347"/>
      <c r="BG945" s="347"/>
      <c r="BH945" s="347"/>
      <c r="BI945" s="347"/>
      <c r="BJ945" s="586"/>
      <c r="BK945" s="581"/>
      <c r="BL945" s="347"/>
      <c r="BM945" s="347"/>
      <c r="BN945" s="347"/>
      <c r="BO945" s="586"/>
      <c r="BP945" s="584"/>
      <c r="BQ945" s="347"/>
      <c r="BR945" s="586"/>
      <c r="BS945" s="588"/>
      <c r="BT945" s="586"/>
      <c r="BU945" s="589"/>
      <c r="BV945" s="581">
        <f t="shared" si="44"/>
        <v>0</v>
      </c>
      <c r="BW945" s="590"/>
      <c r="BX945" s="347"/>
      <c r="BY945" s="347"/>
      <c r="BZ945" s="347"/>
      <c r="CA945" s="586"/>
      <c r="CB945" s="581"/>
      <c r="CC945" s="581">
        <f t="shared" si="193"/>
        <v>0</v>
      </c>
      <c r="CD945" s="581"/>
      <c r="CE945" s="581"/>
      <c r="CF945" s="581"/>
      <c r="CG945" s="586"/>
      <c r="CH945" s="608"/>
      <c r="CI945" s="603"/>
      <c r="CJ945" s="347"/>
      <c r="CK945" s="347"/>
      <c r="CL945" s="347"/>
      <c r="CM945" s="347"/>
      <c r="CN945" s="347"/>
      <c r="CO945" s="347"/>
      <c r="CP945" s="347"/>
    </row>
    <row r="946">
      <c r="A946" s="574"/>
      <c r="B946" s="574"/>
      <c r="C946" s="347"/>
      <c r="D946" s="574"/>
      <c r="E946" s="347"/>
      <c r="F946" s="596"/>
      <c r="G946" s="596"/>
      <c r="H946" s="347"/>
      <c r="I946" s="347"/>
      <c r="J946" s="596"/>
      <c r="K946" s="609"/>
      <c r="L946" s="1"/>
      <c r="M946" s="347"/>
      <c r="N946" s="347"/>
      <c r="O946" s="579"/>
      <c r="P946" s="579"/>
      <c r="Q946" s="574"/>
      <c r="R946" s="347"/>
      <c r="S946" s="597"/>
      <c r="T946" s="347"/>
      <c r="U946" s="579"/>
      <c r="V946" s="579"/>
      <c r="W946" s="574"/>
      <c r="X946" s="347"/>
      <c r="Y946" s="347"/>
      <c r="Z946" s="347"/>
      <c r="AA946" s="579"/>
      <c r="AB946" s="581"/>
      <c r="AC946" s="347"/>
      <c r="AD946" s="347"/>
      <c r="AE946" s="347"/>
      <c r="AF946" s="347"/>
      <c r="AG946" s="579"/>
      <c r="AH946" s="579"/>
      <c r="AI946" s="582"/>
      <c r="AJ946" s="582"/>
      <c r="AK946" s="582"/>
      <c r="AL946" s="582"/>
      <c r="AM946" s="579"/>
      <c r="AN946" s="579"/>
      <c r="AO946" s="347"/>
      <c r="AP946" s="586"/>
      <c r="AQ946" s="596"/>
      <c r="AR946" s="596"/>
      <c r="AS946" s="348"/>
      <c r="AT946" s="348"/>
      <c r="AU946" s="348"/>
      <c r="AV946" s="348"/>
      <c r="AW946" s="348"/>
      <c r="AX946" s="584"/>
      <c r="AY946" s="581"/>
      <c r="AZ946" s="581"/>
      <c r="BA946" s="596"/>
      <c r="BB946" s="596"/>
      <c r="BC946" s="348"/>
      <c r="BD946" s="581"/>
      <c r="BE946" s="581"/>
      <c r="BF946" s="347"/>
      <c r="BG946" s="347"/>
      <c r="BH946" s="347"/>
      <c r="BI946" s="347"/>
      <c r="BJ946" s="586"/>
      <c r="BK946" s="581"/>
      <c r="BL946" s="347"/>
      <c r="BM946" s="347"/>
      <c r="BN946" s="347"/>
      <c r="BO946" s="586"/>
      <c r="BP946" s="584"/>
      <c r="BQ946" s="347"/>
      <c r="BR946" s="586"/>
      <c r="BS946" s="588"/>
      <c r="BT946" s="586"/>
      <c r="BU946" s="589"/>
      <c r="BV946" s="581">
        <f t="shared" si="44"/>
        <v>0</v>
      </c>
      <c r="BW946" s="590"/>
      <c r="BX946" s="347"/>
      <c r="BY946" s="347"/>
      <c r="BZ946" s="347"/>
      <c r="CA946" s="586"/>
      <c r="CB946" s="581"/>
      <c r="CC946" s="581">
        <f t="shared" si="193"/>
        <v>0</v>
      </c>
      <c r="CD946" s="581"/>
      <c r="CE946" s="581"/>
      <c r="CF946" s="581"/>
      <c r="CG946" s="586"/>
      <c r="CH946" s="608"/>
      <c r="CI946" s="603"/>
      <c r="CJ946" s="347"/>
      <c r="CK946" s="347"/>
      <c r="CL946" s="347"/>
      <c r="CM946" s="347"/>
      <c r="CN946" s="347"/>
      <c r="CO946" s="347"/>
      <c r="CP946" s="347"/>
    </row>
    <row r="947">
      <c r="A947" s="574"/>
      <c r="B947" s="574"/>
      <c r="C947" s="347"/>
      <c r="D947" s="574"/>
      <c r="E947" s="347"/>
      <c r="F947" s="596"/>
      <c r="G947" s="596"/>
      <c r="H947" s="347"/>
      <c r="I947" s="347"/>
      <c r="J947" s="596"/>
      <c r="K947" s="609"/>
      <c r="L947" s="1"/>
      <c r="M947" s="347"/>
      <c r="N947" s="347"/>
      <c r="O947" s="579"/>
      <c r="P947" s="579"/>
      <c r="Q947" s="574"/>
      <c r="R947" s="347"/>
      <c r="S947" s="597"/>
      <c r="T947" s="347"/>
      <c r="U947" s="579"/>
      <c r="V947" s="579"/>
      <c r="W947" s="574"/>
      <c r="X947" s="347"/>
      <c r="Y947" s="347"/>
      <c r="Z947" s="347"/>
      <c r="AA947" s="579"/>
      <c r="AB947" s="581"/>
      <c r="AC947" s="347"/>
      <c r="AD947" s="347"/>
      <c r="AE947" s="347"/>
      <c r="AF947" s="347"/>
      <c r="AG947" s="579"/>
      <c r="AH947" s="579"/>
      <c r="AI947" s="582"/>
      <c r="AJ947" s="582"/>
      <c r="AK947" s="582"/>
      <c r="AL947" s="582"/>
      <c r="AM947" s="579"/>
      <c r="AN947" s="579"/>
      <c r="AO947" s="347"/>
      <c r="AP947" s="586"/>
      <c r="AQ947" s="596"/>
      <c r="AR947" s="596"/>
      <c r="AS947" s="348"/>
      <c r="AT947" s="348"/>
      <c r="AU947" s="348"/>
      <c r="AV947" s="348"/>
      <c r="AW947" s="348"/>
      <c r="AX947" s="584"/>
      <c r="AY947" s="581"/>
      <c r="AZ947" s="581"/>
      <c r="BA947" s="596"/>
      <c r="BB947" s="596"/>
      <c r="BC947" s="348"/>
      <c r="BD947" s="581"/>
      <c r="BE947" s="581"/>
      <c r="BF947" s="347"/>
      <c r="BG947" s="347"/>
      <c r="BH947" s="347"/>
      <c r="BI947" s="347"/>
      <c r="BJ947" s="586"/>
      <c r="BK947" s="581"/>
      <c r="BL947" s="347"/>
      <c r="BM947" s="347"/>
      <c r="BN947" s="347"/>
      <c r="BO947" s="586"/>
      <c r="BP947" s="584"/>
      <c r="BQ947" s="347"/>
      <c r="BR947" s="586"/>
      <c r="BS947" s="588"/>
      <c r="BT947" s="586"/>
      <c r="BU947" s="589"/>
      <c r="BV947" s="581">
        <f t="shared" si="44"/>
        <v>0</v>
      </c>
      <c r="BW947" s="590"/>
      <c r="BX947" s="347"/>
      <c r="BY947" s="347"/>
      <c r="BZ947" s="347"/>
      <c r="CA947" s="586"/>
      <c r="CB947" s="581"/>
      <c r="CC947" s="581">
        <f t="shared" si="193"/>
        <v>0</v>
      </c>
      <c r="CD947" s="581"/>
      <c r="CE947" s="581"/>
      <c r="CF947" s="581"/>
      <c r="CG947" s="586"/>
      <c r="CH947" s="608"/>
      <c r="CI947" s="603"/>
      <c r="CJ947" s="347"/>
      <c r="CK947" s="347"/>
      <c r="CL947" s="347"/>
      <c r="CM947" s="347"/>
      <c r="CN947" s="347"/>
      <c r="CO947" s="347"/>
      <c r="CP947" s="347"/>
    </row>
    <row r="948">
      <c r="A948" s="574"/>
      <c r="B948" s="574"/>
      <c r="C948" s="347"/>
      <c r="D948" s="574"/>
      <c r="E948" s="347"/>
      <c r="F948" s="596"/>
      <c r="G948" s="596"/>
      <c r="H948" s="347"/>
      <c r="I948" s="347"/>
      <c r="J948" s="596"/>
      <c r="K948" s="609"/>
      <c r="L948" s="1"/>
      <c r="M948" s="347"/>
      <c r="N948" s="347"/>
      <c r="O948" s="579"/>
      <c r="P948" s="579"/>
      <c r="Q948" s="574"/>
      <c r="R948" s="347"/>
      <c r="S948" s="597"/>
      <c r="T948" s="347"/>
      <c r="U948" s="579"/>
      <c r="V948" s="579"/>
      <c r="W948" s="574"/>
      <c r="X948" s="347"/>
      <c r="Y948" s="347"/>
      <c r="Z948" s="347"/>
      <c r="AA948" s="579"/>
      <c r="AB948" s="581"/>
      <c r="AC948" s="347"/>
      <c r="AD948" s="347"/>
      <c r="AE948" s="347"/>
      <c r="AF948" s="347"/>
      <c r="AG948" s="579"/>
      <c r="AH948" s="579"/>
      <c r="AI948" s="582"/>
      <c r="AJ948" s="582"/>
      <c r="AK948" s="582"/>
      <c r="AL948" s="582"/>
      <c r="AM948" s="579"/>
      <c r="AN948" s="579"/>
      <c r="AO948" s="347"/>
      <c r="AP948" s="586"/>
      <c r="AQ948" s="596"/>
      <c r="AR948" s="596"/>
      <c r="AS948" s="348"/>
      <c r="AT948" s="348"/>
      <c r="AU948" s="348"/>
      <c r="AV948" s="348"/>
      <c r="AW948" s="348"/>
      <c r="AX948" s="584"/>
      <c r="AY948" s="581"/>
      <c r="AZ948" s="581"/>
      <c r="BA948" s="596"/>
      <c r="BB948" s="596"/>
      <c r="BC948" s="348"/>
      <c r="BD948" s="581"/>
      <c r="BE948" s="581"/>
      <c r="BF948" s="347"/>
      <c r="BG948" s="347"/>
      <c r="BH948" s="347"/>
      <c r="BI948" s="347"/>
      <c r="BJ948" s="586"/>
      <c r="BK948" s="581"/>
      <c r="BL948" s="347"/>
      <c r="BM948" s="347"/>
      <c r="BN948" s="347"/>
      <c r="BO948" s="586"/>
      <c r="BP948" s="584"/>
      <c r="BQ948" s="347"/>
      <c r="BR948" s="586"/>
      <c r="BS948" s="588"/>
      <c r="BT948" s="586"/>
      <c r="BU948" s="589"/>
      <c r="BV948" s="581">
        <f t="shared" si="44"/>
        <v>0</v>
      </c>
      <c r="BW948" s="590"/>
      <c r="BX948" s="347"/>
      <c r="BY948" s="347"/>
      <c r="BZ948" s="347"/>
      <c r="CA948" s="586"/>
      <c r="CB948" s="581"/>
      <c r="CC948" s="581">
        <f t="shared" si="193"/>
        <v>0</v>
      </c>
      <c r="CD948" s="581"/>
      <c r="CE948" s="581"/>
      <c r="CF948" s="581"/>
      <c r="CG948" s="586"/>
      <c r="CH948" s="608"/>
      <c r="CI948" s="603"/>
      <c r="CJ948" s="347"/>
      <c r="CK948" s="347"/>
      <c r="CL948" s="347"/>
      <c r="CM948" s="347"/>
      <c r="CN948" s="347"/>
      <c r="CO948" s="347"/>
      <c r="CP948" s="347"/>
    </row>
    <row r="949">
      <c r="A949" s="574"/>
      <c r="B949" s="574"/>
      <c r="C949" s="347"/>
      <c r="D949" s="574"/>
      <c r="E949" s="347"/>
      <c r="F949" s="596"/>
      <c r="G949" s="596"/>
      <c r="H949" s="347"/>
      <c r="I949" s="347"/>
      <c r="J949" s="596"/>
      <c r="K949" s="609"/>
      <c r="L949" s="1"/>
      <c r="M949" s="347"/>
      <c r="N949" s="347"/>
      <c r="O949" s="579"/>
      <c r="P949" s="579"/>
      <c r="Q949" s="574"/>
      <c r="R949" s="347"/>
      <c r="S949" s="597"/>
      <c r="T949" s="347"/>
      <c r="U949" s="579"/>
      <c r="V949" s="579"/>
      <c r="W949" s="574"/>
      <c r="X949" s="347"/>
      <c r="Y949" s="347"/>
      <c r="Z949" s="347"/>
      <c r="AA949" s="579"/>
      <c r="AB949" s="581"/>
      <c r="AC949" s="347"/>
      <c r="AD949" s="347"/>
      <c r="AE949" s="347"/>
      <c r="AF949" s="347"/>
      <c r="AG949" s="579"/>
      <c r="AH949" s="579"/>
      <c r="AI949" s="582"/>
      <c r="AJ949" s="582"/>
      <c r="AK949" s="582"/>
      <c r="AL949" s="582"/>
      <c r="AM949" s="579"/>
      <c r="AN949" s="579"/>
      <c r="AO949" s="347"/>
      <c r="AP949" s="586"/>
      <c r="AQ949" s="596"/>
      <c r="AR949" s="596"/>
      <c r="AS949" s="348"/>
      <c r="AT949" s="348"/>
      <c r="AU949" s="348"/>
      <c r="AV949" s="348"/>
      <c r="AW949" s="348"/>
      <c r="AX949" s="584"/>
      <c r="AY949" s="581"/>
      <c r="AZ949" s="581"/>
      <c r="BA949" s="596"/>
      <c r="BB949" s="596"/>
      <c r="BC949" s="348"/>
      <c r="BD949" s="581"/>
      <c r="BE949" s="581"/>
      <c r="BF949" s="347"/>
      <c r="BG949" s="347"/>
      <c r="BH949" s="347"/>
      <c r="BI949" s="347"/>
      <c r="BJ949" s="586"/>
      <c r="BK949" s="581"/>
      <c r="BL949" s="347"/>
      <c r="BM949" s="347"/>
      <c r="BN949" s="347"/>
      <c r="BO949" s="586"/>
      <c r="BP949" s="584"/>
      <c r="BQ949" s="347"/>
      <c r="BR949" s="586"/>
      <c r="BS949" s="588"/>
      <c r="BT949" s="586"/>
      <c r="BU949" s="589"/>
      <c r="BV949" s="581">
        <f t="shared" si="44"/>
        <v>0</v>
      </c>
      <c r="BW949" s="590"/>
      <c r="BX949" s="347"/>
      <c r="BY949" s="347"/>
      <c r="BZ949" s="347"/>
      <c r="CA949" s="586"/>
      <c r="CB949" s="581"/>
      <c r="CC949" s="581">
        <f t="shared" si="193"/>
        <v>0</v>
      </c>
      <c r="CD949" s="581"/>
      <c r="CE949" s="581"/>
      <c r="CF949" s="581"/>
      <c r="CG949" s="586"/>
      <c r="CH949" s="608"/>
      <c r="CI949" s="603"/>
      <c r="CJ949" s="347"/>
      <c r="CK949" s="347"/>
      <c r="CL949" s="347"/>
      <c r="CM949" s="347"/>
      <c r="CN949" s="347"/>
      <c r="CO949" s="347"/>
      <c r="CP949" s="347"/>
    </row>
    <row r="950">
      <c r="A950" s="574"/>
      <c r="B950" s="574"/>
      <c r="C950" s="347"/>
      <c r="D950" s="574"/>
      <c r="E950" s="347"/>
      <c r="F950" s="596"/>
      <c r="G950" s="596"/>
      <c r="H950" s="347"/>
      <c r="I950" s="347"/>
      <c r="J950" s="596"/>
      <c r="K950" s="609"/>
      <c r="L950" s="1"/>
      <c r="M950" s="347"/>
      <c r="N950" s="347"/>
      <c r="O950" s="579"/>
      <c r="P950" s="579"/>
      <c r="Q950" s="574"/>
      <c r="R950" s="347"/>
      <c r="S950" s="597"/>
      <c r="T950" s="347"/>
      <c r="U950" s="579"/>
      <c r="V950" s="579"/>
      <c r="W950" s="574"/>
      <c r="X950" s="347"/>
      <c r="Y950" s="347"/>
      <c r="Z950" s="347"/>
      <c r="AA950" s="579"/>
      <c r="AB950" s="581"/>
      <c r="AC950" s="347"/>
      <c r="AD950" s="347"/>
      <c r="AE950" s="347"/>
      <c r="AF950" s="347"/>
      <c r="AG950" s="579"/>
      <c r="AH950" s="579"/>
      <c r="AI950" s="582"/>
      <c r="AJ950" s="582"/>
      <c r="AK950" s="582"/>
      <c r="AL950" s="582"/>
      <c r="AM950" s="579"/>
      <c r="AN950" s="579"/>
      <c r="AO950" s="347"/>
      <c r="AP950" s="586"/>
      <c r="AQ950" s="596"/>
      <c r="AR950" s="596"/>
      <c r="AS950" s="348"/>
      <c r="AT950" s="348"/>
      <c r="AU950" s="348"/>
      <c r="AV950" s="348"/>
      <c r="AW950" s="348"/>
      <c r="AX950" s="584"/>
      <c r="AY950" s="581"/>
      <c r="AZ950" s="581"/>
      <c r="BA950" s="596"/>
      <c r="BB950" s="596"/>
      <c r="BC950" s="348"/>
      <c r="BD950" s="581"/>
      <c r="BE950" s="581"/>
      <c r="BF950" s="347"/>
      <c r="BG950" s="347"/>
      <c r="BH950" s="347"/>
      <c r="BI950" s="347"/>
      <c r="BJ950" s="586"/>
      <c r="BK950" s="581"/>
      <c r="BL950" s="347"/>
      <c r="BM950" s="347"/>
      <c r="BN950" s="347"/>
      <c r="BO950" s="586"/>
      <c r="BP950" s="584"/>
      <c r="BQ950" s="347"/>
      <c r="BR950" s="586"/>
      <c r="BS950" s="588"/>
      <c r="BT950" s="586"/>
      <c r="BU950" s="589"/>
      <c r="BV950" s="581">
        <f t="shared" si="44"/>
        <v>0</v>
      </c>
      <c r="BW950" s="590"/>
      <c r="BX950" s="347"/>
      <c r="BY950" s="347"/>
      <c r="BZ950" s="347"/>
      <c r="CA950" s="586"/>
      <c r="CB950" s="581"/>
      <c r="CC950" s="581">
        <f t="shared" si="193"/>
        <v>0</v>
      </c>
      <c r="CD950" s="581"/>
      <c r="CE950" s="581"/>
      <c r="CF950" s="581"/>
      <c r="CG950" s="586"/>
      <c r="CH950" s="608"/>
      <c r="CI950" s="603"/>
      <c r="CJ950" s="347"/>
      <c r="CK950" s="347"/>
      <c r="CL950" s="347"/>
      <c r="CM950" s="347"/>
      <c r="CN950" s="347"/>
      <c r="CO950" s="347"/>
      <c r="CP950" s="347"/>
    </row>
    <row r="951">
      <c r="A951" s="574"/>
      <c r="B951" s="574"/>
      <c r="C951" s="347"/>
      <c r="D951" s="574"/>
      <c r="E951" s="347"/>
      <c r="F951" s="596"/>
      <c r="G951" s="596"/>
      <c r="H951" s="347"/>
      <c r="I951" s="347"/>
      <c r="J951" s="596"/>
      <c r="K951" s="609"/>
      <c r="L951" s="1"/>
      <c r="M951" s="347"/>
      <c r="N951" s="347"/>
      <c r="O951" s="579"/>
      <c r="P951" s="579"/>
      <c r="Q951" s="574"/>
      <c r="R951" s="347"/>
      <c r="S951" s="597"/>
      <c r="T951" s="347"/>
      <c r="U951" s="579"/>
      <c r="V951" s="579"/>
      <c r="W951" s="574"/>
      <c r="X951" s="347"/>
      <c r="Y951" s="347"/>
      <c r="Z951" s="347"/>
      <c r="AA951" s="579"/>
      <c r="AB951" s="581"/>
      <c r="AC951" s="347"/>
      <c r="AD951" s="347"/>
      <c r="AE951" s="347"/>
      <c r="AF951" s="347"/>
      <c r="AG951" s="579"/>
      <c r="AH951" s="579"/>
      <c r="AI951" s="582"/>
      <c r="AJ951" s="582"/>
      <c r="AK951" s="582"/>
      <c r="AL951" s="582"/>
      <c r="AM951" s="579"/>
      <c r="AN951" s="579"/>
      <c r="AO951" s="347"/>
      <c r="AP951" s="586"/>
      <c r="AQ951" s="596"/>
      <c r="AR951" s="596"/>
      <c r="AS951" s="348"/>
      <c r="AT951" s="348"/>
      <c r="AU951" s="348"/>
      <c r="AV951" s="348"/>
      <c r="AW951" s="348"/>
      <c r="AX951" s="584"/>
      <c r="AY951" s="581"/>
      <c r="AZ951" s="581"/>
      <c r="BA951" s="596"/>
      <c r="BB951" s="596"/>
      <c r="BC951" s="348"/>
      <c r="BD951" s="581"/>
      <c r="BE951" s="581"/>
      <c r="BF951" s="347"/>
      <c r="BG951" s="347"/>
      <c r="BH951" s="347"/>
      <c r="BI951" s="347"/>
      <c r="BJ951" s="586"/>
      <c r="BK951" s="581"/>
      <c r="BL951" s="347"/>
      <c r="BM951" s="347"/>
      <c r="BN951" s="347"/>
      <c r="BO951" s="586"/>
      <c r="BP951" s="584"/>
      <c r="BQ951" s="347"/>
      <c r="BR951" s="586"/>
      <c r="BS951" s="588"/>
      <c r="BT951" s="586"/>
      <c r="BU951" s="589"/>
      <c r="BV951" s="581">
        <f t="shared" si="44"/>
        <v>0</v>
      </c>
      <c r="BW951" s="590"/>
      <c r="BX951" s="347"/>
      <c r="BY951" s="347"/>
      <c r="BZ951" s="347"/>
      <c r="CA951" s="586"/>
      <c r="CB951" s="581"/>
      <c r="CC951" s="581">
        <f t="shared" si="193"/>
        <v>0</v>
      </c>
      <c r="CD951" s="581"/>
      <c r="CE951" s="581"/>
      <c r="CF951" s="581"/>
      <c r="CG951" s="586"/>
      <c r="CH951" s="608"/>
      <c r="CI951" s="603"/>
      <c r="CJ951" s="347"/>
      <c r="CK951" s="347"/>
      <c r="CL951" s="347"/>
      <c r="CM951" s="347"/>
      <c r="CN951" s="347"/>
      <c r="CO951" s="347"/>
      <c r="CP951" s="347"/>
    </row>
    <row r="952">
      <c r="A952" s="574"/>
      <c r="B952" s="574"/>
      <c r="C952" s="347"/>
      <c r="D952" s="574"/>
      <c r="E952" s="347"/>
      <c r="F952" s="596"/>
      <c r="G952" s="596"/>
      <c r="H952" s="347"/>
      <c r="I952" s="347"/>
      <c r="J952" s="596"/>
      <c r="K952" s="609"/>
      <c r="L952" s="1"/>
      <c r="M952" s="347"/>
      <c r="N952" s="347"/>
      <c r="O952" s="579"/>
      <c r="P952" s="579"/>
      <c r="Q952" s="574"/>
      <c r="R952" s="347"/>
      <c r="S952" s="597"/>
      <c r="T952" s="347"/>
      <c r="U952" s="579"/>
      <c r="V952" s="579"/>
      <c r="W952" s="574"/>
      <c r="X952" s="347"/>
      <c r="Y952" s="347"/>
      <c r="Z952" s="347"/>
      <c r="AA952" s="579"/>
      <c r="AB952" s="581"/>
      <c r="AC952" s="347"/>
      <c r="AD952" s="347"/>
      <c r="AE952" s="347"/>
      <c r="AF952" s="347"/>
      <c r="AG952" s="579"/>
      <c r="AH952" s="579"/>
      <c r="AI952" s="582"/>
      <c r="AJ952" s="582"/>
      <c r="AK952" s="582"/>
      <c r="AL952" s="582"/>
      <c r="AM952" s="579"/>
      <c r="AN952" s="579"/>
      <c r="AO952" s="347"/>
      <c r="AP952" s="586"/>
      <c r="AQ952" s="596"/>
      <c r="AR952" s="596"/>
      <c r="AS952" s="348"/>
      <c r="AT952" s="348"/>
      <c r="AU952" s="348"/>
      <c r="AV952" s="348"/>
      <c r="AW952" s="348"/>
      <c r="AX952" s="584"/>
      <c r="AY952" s="581"/>
      <c r="AZ952" s="581"/>
      <c r="BA952" s="596"/>
      <c r="BB952" s="596"/>
      <c r="BC952" s="348"/>
      <c r="BD952" s="581"/>
      <c r="BE952" s="581"/>
      <c r="BF952" s="347"/>
      <c r="BG952" s="347"/>
      <c r="BH952" s="347"/>
      <c r="BI952" s="347"/>
      <c r="BJ952" s="586"/>
      <c r="BK952" s="581"/>
      <c r="BL952" s="347"/>
      <c r="BM952" s="347"/>
      <c r="BN952" s="347"/>
      <c r="BO952" s="586"/>
      <c r="BP952" s="584"/>
      <c r="BQ952" s="347"/>
      <c r="BR952" s="586"/>
      <c r="BS952" s="588"/>
      <c r="BT952" s="586"/>
      <c r="BU952" s="589"/>
      <c r="BV952" s="581">
        <f t="shared" si="44"/>
        <v>0</v>
      </c>
      <c r="BW952" s="590"/>
      <c r="BX952" s="347"/>
      <c r="BY952" s="347"/>
      <c r="BZ952" s="347"/>
      <c r="CA952" s="586"/>
      <c r="CB952" s="581"/>
      <c r="CC952" s="581">
        <f t="shared" si="193"/>
        <v>0</v>
      </c>
      <c r="CD952" s="581"/>
      <c r="CE952" s="581"/>
      <c r="CF952" s="581"/>
      <c r="CG952" s="586"/>
      <c r="CH952" s="608"/>
      <c r="CI952" s="603"/>
      <c r="CJ952" s="347"/>
      <c r="CK952" s="347"/>
      <c r="CL952" s="347"/>
      <c r="CM952" s="347"/>
      <c r="CN952" s="347"/>
      <c r="CO952" s="347"/>
      <c r="CP952" s="347"/>
    </row>
    <row r="953">
      <c r="A953" s="574"/>
      <c r="B953" s="574"/>
      <c r="C953" s="347"/>
      <c r="D953" s="574"/>
      <c r="E953" s="347"/>
      <c r="F953" s="596"/>
      <c r="G953" s="596"/>
      <c r="H953" s="347"/>
      <c r="I953" s="347"/>
      <c r="J953" s="596"/>
      <c r="K953" s="609"/>
      <c r="L953" s="1"/>
      <c r="M953" s="347"/>
      <c r="N953" s="347"/>
      <c r="O953" s="579"/>
      <c r="P953" s="579"/>
      <c r="Q953" s="574"/>
      <c r="R953" s="347"/>
      <c r="S953" s="597"/>
      <c r="T953" s="347"/>
      <c r="U953" s="579"/>
      <c r="V953" s="579"/>
      <c r="W953" s="574"/>
      <c r="X953" s="347"/>
      <c r="Y953" s="347"/>
      <c r="Z953" s="347"/>
      <c r="AA953" s="579"/>
      <c r="AB953" s="581"/>
      <c r="AC953" s="347"/>
      <c r="AD953" s="347"/>
      <c r="AE953" s="347"/>
      <c r="AF953" s="347"/>
      <c r="AG953" s="579"/>
      <c r="AH953" s="579"/>
      <c r="AI953" s="582"/>
      <c r="AJ953" s="582"/>
      <c r="AK953" s="582"/>
      <c r="AL953" s="582"/>
      <c r="AM953" s="579"/>
      <c r="AN953" s="579"/>
      <c r="AO953" s="347"/>
      <c r="AP953" s="586"/>
      <c r="AQ953" s="596"/>
      <c r="AR953" s="596"/>
      <c r="AS953" s="348"/>
      <c r="AT953" s="348"/>
      <c r="AU953" s="348"/>
      <c r="AV953" s="348"/>
      <c r="AW953" s="348"/>
      <c r="AX953" s="584"/>
      <c r="AY953" s="581"/>
      <c r="AZ953" s="581"/>
      <c r="BA953" s="596"/>
      <c r="BB953" s="596"/>
      <c r="BC953" s="348"/>
      <c r="BD953" s="581"/>
      <c r="BE953" s="581"/>
      <c r="BF953" s="347"/>
      <c r="BG953" s="347"/>
      <c r="BH953" s="347"/>
      <c r="BI953" s="347"/>
      <c r="BJ953" s="586"/>
      <c r="BK953" s="581"/>
      <c r="BL953" s="347"/>
      <c r="BM953" s="347"/>
      <c r="BN953" s="347"/>
      <c r="BO953" s="586"/>
      <c r="BP953" s="584"/>
      <c r="BQ953" s="347"/>
      <c r="BR953" s="586"/>
      <c r="BS953" s="588"/>
      <c r="BT953" s="586"/>
      <c r="BU953" s="589"/>
      <c r="BV953" s="581">
        <f t="shared" si="44"/>
        <v>0</v>
      </c>
      <c r="BW953" s="590"/>
      <c r="BX953" s="347"/>
      <c r="BY953" s="347"/>
      <c r="BZ953" s="347"/>
      <c r="CA953" s="586"/>
      <c r="CB953" s="581"/>
      <c r="CC953" s="581">
        <f t="shared" si="193"/>
        <v>0</v>
      </c>
      <c r="CD953" s="581"/>
      <c r="CE953" s="581"/>
      <c r="CF953" s="581"/>
      <c r="CG953" s="586"/>
      <c r="CH953" s="608"/>
      <c r="CI953" s="603"/>
      <c r="CJ953" s="347"/>
      <c r="CK953" s="347"/>
      <c r="CL953" s="347"/>
      <c r="CM953" s="347"/>
      <c r="CN953" s="347"/>
      <c r="CO953" s="347"/>
      <c r="CP953" s="347"/>
    </row>
    <row r="954">
      <c r="A954" s="574"/>
      <c r="B954" s="574"/>
      <c r="C954" s="347"/>
      <c r="D954" s="574"/>
      <c r="E954" s="347"/>
      <c r="F954" s="596"/>
      <c r="G954" s="596"/>
      <c r="H954" s="347"/>
      <c r="I954" s="347"/>
      <c r="J954" s="596"/>
      <c r="K954" s="609"/>
      <c r="L954" s="1"/>
      <c r="M954" s="347"/>
      <c r="N954" s="347"/>
      <c r="O954" s="579"/>
      <c r="P954" s="579"/>
      <c r="Q954" s="574"/>
      <c r="R954" s="347"/>
      <c r="S954" s="597"/>
      <c r="T954" s="347"/>
      <c r="U954" s="579"/>
      <c r="V954" s="579"/>
      <c r="W954" s="574"/>
      <c r="X954" s="347"/>
      <c r="Y954" s="347"/>
      <c r="Z954" s="347"/>
      <c r="AA954" s="579"/>
      <c r="AB954" s="581"/>
      <c r="AC954" s="347"/>
      <c r="AD954" s="347"/>
      <c r="AE954" s="347"/>
      <c r="AF954" s="347"/>
      <c r="AG954" s="579"/>
      <c r="AH954" s="579"/>
      <c r="AI954" s="582"/>
      <c r="AJ954" s="582"/>
      <c r="AK954" s="582"/>
      <c r="AL954" s="582"/>
      <c r="AM954" s="579"/>
      <c r="AN954" s="579"/>
      <c r="AO954" s="347"/>
      <c r="AP954" s="586"/>
      <c r="AQ954" s="596"/>
      <c r="AR954" s="596"/>
      <c r="AS954" s="348"/>
      <c r="AT954" s="348"/>
      <c r="AU954" s="348"/>
      <c r="AV954" s="348"/>
      <c r="AW954" s="348"/>
      <c r="AX954" s="584"/>
      <c r="AY954" s="581"/>
      <c r="AZ954" s="581"/>
      <c r="BA954" s="596"/>
      <c r="BB954" s="596"/>
      <c r="BC954" s="348"/>
      <c r="BD954" s="581"/>
      <c r="BE954" s="581"/>
      <c r="BF954" s="347"/>
      <c r="BG954" s="347"/>
      <c r="BH954" s="347"/>
      <c r="BI954" s="347"/>
      <c r="BJ954" s="586"/>
      <c r="BK954" s="581"/>
      <c r="BL954" s="347"/>
      <c r="BM954" s="347"/>
      <c r="BN954" s="347"/>
      <c r="BO954" s="586"/>
      <c r="BP954" s="584"/>
      <c r="BQ954" s="347"/>
      <c r="BR954" s="586"/>
      <c r="BS954" s="588"/>
      <c r="BT954" s="586"/>
      <c r="BU954" s="589"/>
      <c r="BV954" s="581">
        <f t="shared" si="44"/>
        <v>0</v>
      </c>
      <c r="BW954" s="590"/>
      <c r="BX954" s="347"/>
      <c r="BY954" s="347"/>
      <c r="BZ954" s="347"/>
      <c r="CA954" s="586"/>
      <c r="CB954" s="581"/>
      <c r="CC954" s="581">
        <f t="shared" si="193"/>
        <v>0</v>
      </c>
      <c r="CD954" s="581"/>
      <c r="CE954" s="581"/>
      <c r="CF954" s="581"/>
      <c r="CG954" s="586"/>
      <c r="CH954" s="608"/>
      <c r="CI954" s="603"/>
      <c r="CJ954" s="347"/>
      <c r="CK954" s="347"/>
      <c r="CL954" s="347"/>
      <c r="CM954" s="347"/>
      <c r="CN954" s="347"/>
      <c r="CO954" s="347"/>
      <c r="CP954" s="347"/>
    </row>
    <row r="955">
      <c r="A955" s="574"/>
      <c r="B955" s="574"/>
      <c r="C955" s="347"/>
      <c r="D955" s="574"/>
      <c r="E955" s="347"/>
      <c r="F955" s="596"/>
      <c r="G955" s="596"/>
      <c r="H955" s="347"/>
      <c r="I955" s="347"/>
      <c r="J955" s="596"/>
      <c r="K955" s="609"/>
      <c r="L955" s="1"/>
      <c r="M955" s="347"/>
      <c r="N955" s="347"/>
      <c r="O955" s="579"/>
      <c r="P955" s="579"/>
      <c r="Q955" s="574"/>
      <c r="R955" s="347"/>
      <c r="S955" s="597"/>
      <c r="T955" s="347"/>
      <c r="U955" s="579"/>
      <c r="V955" s="579"/>
      <c r="W955" s="574"/>
      <c r="X955" s="347"/>
      <c r="Y955" s="347"/>
      <c r="Z955" s="347"/>
      <c r="AA955" s="579"/>
      <c r="AB955" s="581"/>
      <c r="AC955" s="347"/>
      <c r="AD955" s="347"/>
      <c r="AE955" s="347"/>
      <c r="AF955" s="347"/>
      <c r="AG955" s="579"/>
      <c r="AH955" s="579"/>
      <c r="AI955" s="582"/>
      <c r="AJ955" s="582"/>
      <c r="AK955" s="582"/>
      <c r="AL955" s="582"/>
      <c r="AM955" s="579"/>
      <c r="AN955" s="579"/>
      <c r="AO955" s="347"/>
      <c r="AP955" s="586"/>
      <c r="AQ955" s="596"/>
      <c r="AR955" s="596"/>
      <c r="AS955" s="348"/>
      <c r="AT955" s="348"/>
      <c r="AU955" s="348"/>
      <c r="AV955" s="348"/>
      <c r="AW955" s="348"/>
      <c r="AX955" s="584"/>
      <c r="AY955" s="581"/>
      <c r="AZ955" s="581"/>
      <c r="BA955" s="596"/>
      <c r="BB955" s="596"/>
      <c r="BC955" s="348"/>
      <c r="BD955" s="581"/>
      <c r="BE955" s="581"/>
      <c r="BF955" s="347"/>
      <c r="BG955" s="347"/>
      <c r="BH955" s="347"/>
      <c r="BI955" s="347"/>
      <c r="BJ955" s="586"/>
      <c r="BK955" s="581"/>
      <c r="BL955" s="347"/>
      <c r="BM955" s="347"/>
      <c r="BN955" s="347"/>
      <c r="BO955" s="586"/>
      <c r="BP955" s="584"/>
      <c r="BQ955" s="347"/>
      <c r="BR955" s="586"/>
      <c r="BS955" s="588"/>
      <c r="BT955" s="586"/>
      <c r="BU955" s="589"/>
      <c r="BV955" s="581">
        <f t="shared" si="44"/>
        <v>0</v>
      </c>
      <c r="BW955" s="590"/>
      <c r="BX955" s="347"/>
      <c r="BY955" s="347"/>
      <c r="BZ955" s="347"/>
      <c r="CA955" s="586"/>
      <c r="CB955" s="581"/>
      <c r="CC955" s="581">
        <f t="shared" si="193"/>
        <v>0</v>
      </c>
      <c r="CD955" s="581"/>
      <c r="CE955" s="581"/>
      <c r="CF955" s="581"/>
      <c r="CG955" s="586"/>
      <c r="CH955" s="608"/>
      <c r="CI955" s="603"/>
      <c r="CJ955" s="347"/>
      <c r="CK955" s="347"/>
      <c r="CL955" s="347"/>
      <c r="CM955" s="347"/>
      <c r="CN955" s="347"/>
      <c r="CO955" s="347"/>
      <c r="CP955" s="347"/>
    </row>
    <row r="956">
      <c r="A956" s="574"/>
      <c r="B956" s="574"/>
      <c r="C956" s="347"/>
      <c r="D956" s="574"/>
      <c r="E956" s="347"/>
      <c r="F956" s="596"/>
      <c r="G956" s="596"/>
      <c r="H956" s="347"/>
      <c r="I956" s="347"/>
      <c r="J956" s="596"/>
      <c r="K956" s="609"/>
      <c r="L956" s="1"/>
      <c r="M956" s="347"/>
      <c r="N956" s="347"/>
      <c r="O956" s="579"/>
      <c r="P956" s="579"/>
      <c r="Q956" s="574"/>
      <c r="R956" s="347"/>
      <c r="S956" s="597"/>
      <c r="T956" s="347"/>
      <c r="U956" s="579"/>
      <c r="V956" s="579"/>
      <c r="W956" s="574"/>
      <c r="X956" s="347"/>
      <c r="Y956" s="347"/>
      <c r="Z956" s="347"/>
      <c r="AA956" s="579"/>
      <c r="AB956" s="581"/>
      <c r="AC956" s="347"/>
      <c r="AD956" s="347"/>
      <c r="AE956" s="347"/>
      <c r="AF956" s="347"/>
      <c r="AG956" s="579"/>
      <c r="AH956" s="579"/>
      <c r="AI956" s="582"/>
      <c r="AJ956" s="582"/>
      <c r="AK956" s="582"/>
      <c r="AL956" s="582"/>
      <c r="AM956" s="579"/>
      <c r="AN956" s="579"/>
      <c r="AO956" s="347"/>
      <c r="AP956" s="586"/>
      <c r="AQ956" s="596"/>
      <c r="AR956" s="596"/>
      <c r="AS956" s="348"/>
      <c r="AT956" s="348"/>
      <c r="AU956" s="348"/>
      <c r="AV956" s="348"/>
      <c r="AW956" s="348"/>
      <c r="AX956" s="584"/>
      <c r="AY956" s="581"/>
      <c r="AZ956" s="581"/>
      <c r="BA956" s="596"/>
      <c r="BB956" s="596"/>
      <c r="BC956" s="348"/>
      <c r="BD956" s="581"/>
      <c r="BE956" s="581"/>
      <c r="BF956" s="347"/>
      <c r="BG956" s="347"/>
      <c r="BH956" s="347"/>
      <c r="BI956" s="347"/>
      <c r="BJ956" s="586"/>
      <c r="BK956" s="581"/>
      <c r="BL956" s="347"/>
      <c r="BM956" s="347"/>
      <c r="BN956" s="347"/>
      <c r="BO956" s="586"/>
      <c r="BP956" s="584"/>
      <c r="BQ956" s="347"/>
      <c r="BR956" s="586"/>
      <c r="BS956" s="588"/>
      <c r="BT956" s="586"/>
      <c r="BU956" s="589"/>
      <c r="BV956" s="581">
        <f t="shared" si="44"/>
        <v>0</v>
      </c>
      <c r="BW956" s="590"/>
      <c r="BX956" s="347"/>
      <c r="BY956" s="347"/>
      <c r="BZ956" s="347"/>
      <c r="CA956" s="586"/>
      <c r="CB956" s="581"/>
      <c r="CC956" s="581">
        <f t="shared" si="193"/>
        <v>0</v>
      </c>
      <c r="CD956" s="581"/>
      <c r="CE956" s="581"/>
      <c r="CF956" s="581"/>
      <c r="CG956" s="586"/>
      <c r="CH956" s="608"/>
      <c r="CI956" s="603"/>
      <c r="CJ956" s="347"/>
      <c r="CK956" s="347"/>
      <c r="CL956" s="347"/>
      <c r="CM956" s="347"/>
      <c r="CN956" s="347"/>
      <c r="CO956" s="347"/>
      <c r="CP956" s="347"/>
    </row>
    <row r="957">
      <c r="A957" s="574"/>
      <c r="B957" s="574"/>
      <c r="C957" s="347"/>
      <c r="D957" s="574"/>
      <c r="E957" s="347"/>
      <c r="F957" s="596"/>
      <c r="G957" s="596"/>
      <c r="H957" s="347"/>
      <c r="I957" s="347"/>
      <c r="J957" s="596"/>
      <c r="K957" s="609"/>
      <c r="L957" s="1"/>
      <c r="M957" s="347"/>
      <c r="N957" s="347"/>
      <c r="O957" s="579"/>
      <c r="P957" s="579"/>
      <c r="Q957" s="574"/>
      <c r="R957" s="347"/>
      <c r="S957" s="597"/>
      <c r="T957" s="347"/>
      <c r="U957" s="579"/>
      <c r="V957" s="579"/>
      <c r="W957" s="574"/>
      <c r="X957" s="347"/>
      <c r="Y957" s="347"/>
      <c r="Z957" s="347"/>
      <c r="AA957" s="579"/>
      <c r="AB957" s="581"/>
      <c r="AC957" s="347"/>
      <c r="AD957" s="347"/>
      <c r="AE957" s="347"/>
      <c r="AF957" s="347"/>
      <c r="AG957" s="579"/>
      <c r="AH957" s="579"/>
      <c r="AI957" s="582"/>
      <c r="AJ957" s="582"/>
      <c r="AK957" s="582"/>
      <c r="AL957" s="582"/>
      <c r="AM957" s="579"/>
      <c r="AN957" s="579"/>
      <c r="AO957" s="347"/>
      <c r="AP957" s="586"/>
      <c r="AQ957" s="596"/>
      <c r="AR957" s="596"/>
      <c r="AS957" s="348"/>
      <c r="AT957" s="348"/>
      <c r="AU957" s="348"/>
      <c r="AV957" s="348"/>
      <c r="AW957" s="348"/>
      <c r="AX957" s="584"/>
      <c r="AY957" s="581"/>
      <c r="AZ957" s="581"/>
      <c r="BA957" s="596"/>
      <c r="BB957" s="596"/>
      <c r="BC957" s="348"/>
      <c r="BD957" s="581"/>
      <c r="BE957" s="581"/>
      <c r="BF957" s="347"/>
      <c r="BG957" s="347"/>
      <c r="BH957" s="347"/>
      <c r="BI957" s="347"/>
      <c r="BJ957" s="586"/>
      <c r="BK957" s="581"/>
      <c r="BL957" s="347"/>
      <c r="BM957" s="347"/>
      <c r="BN957" s="347"/>
      <c r="BO957" s="586"/>
      <c r="BP957" s="584"/>
      <c r="BQ957" s="347"/>
      <c r="BR957" s="586"/>
      <c r="BS957" s="588"/>
      <c r="BT957" s="586"/>
      <c r="BU957" s="589"/>
      <c r="BV957" s="581">
        <f t="shared" si="44"/>
        <v>0</v>
      </c>
      <c r="BW957" s="590"/>
      <c r="BX957" s="347"/>
      <c r="BY957" s="347"/>
      <c r="BZ957" s="347"/>
      <c r="CA957" s="586"/>
      <c r="CB957" s="581"/>
      <c r="CC957" s="581">
        <f t="shared" si="193"/>
        <v>0</v>
      </c>
      <c r="CD957" s="581"/>
      <c r="CE957" s="581"/>
      <c r="CF957" s="581"/>
      <c r="CG957" s="586"/>
      <c r="CH957" s="608"/>
      <c r="CI957" s="603"/>
      <c r="CJ957" s="347"/>
      <c r="CK957" s="347"/>
      <c r="CL957" s="347"/>
      <c r="CM957" s="347"/>
      <c r="CN957" s="347"/>
      <c r="CO957" s="347"/>
      <c r="CP957" s="347"/>
    </row>
    <row r="958">
      <c r="A958" s="574"/>
      <c r="B958" s="574"/>
      <c r="C958" s="347"/>
      <c r="D958" s="574"/>
      <c r="E958" s="347"/>
      <c r="F958" s="596"/>
      <c r="G958" s="596"/>
      <c r="H958" s="347"/>
      <c r="I958" s="347"/>
      <c r="J958" s="596"/>
      <c r="K958" s="609"/>
      <c r="L958" s="1"/>
      <c r="M958" s="347"/>
      <c r="N958" s="347"/>
      <c r="O958" s="579"/>
      <c r="P958" s="579"/>
      <c r="Q958" s="574"/>
      <c r="R958" s="347"/>
      <c r="S958" s="597"/>
      <c r="T958" s="347"/>
      <c r="U958" s="579"/>
      <c r="V958" s="579"/>
      <c r="W958" s="574"/>
      <c r="X958" s="347"/>
      <c r="Y958" s="347"/>
      <c r="Z958" s="347"/>
      <c r="AA958" s="579"/>
      <c r="AB958" s="581"/>
      <c r="AC958" s="347"/>
      <c r="AD958" s="347"/>
      <c r="AE958" s="347"/>
      <c r="AF958" s="347"/>
      <c r="AG958" s="579"/>
      <c r="AH958" s="579"/>
      <c r="AI958" s="582"/>
      <c r="AJ958" s="582"/>
      <c r="AK958" s="582"/>
      <c r="AL958" s="582"/>
      <c r="AM958" s="579"/>
      <c r="AN958" s="579"/>
      <c r="AO958" s="347"/>
      <c r="AP958" s="586"/>
      <c r="AQ958" s="596"/>
      <c r="AR958" s="596"/>
      <c r="AS958" s="348"/>
      <c r="AT958" s="348"/>
      <c r="AU958" s="348"/>
      <c r="AV958" s="348"/>
      <c r="AW958" s="348"/>
      <c r="AX958" s="584"/>
      <c r="AY958" s="581"/>
      <c r="AZ958" s="581"/>
      <c r="BA958" s="596"/>
      <c r="BB958" s="596"/>
      <c r="BC958" s="348"/>
      <c r="BD958" s="581"/>
      <c r="BE958" s="581"/>
      <c r="BF958" s="347"/>
      <c r="BG958" s="347"/>
      <c r="BH958" s="347"/>
      <c r="BI958" s="347"/>
      <c r="BJ958" s="586"/>
      <c r="BK958" s="581"/>
      <c r="BL958" s="347"/>
      <c r="BM958" s="347"/>
      <c r="BN958" s="347"/>
      <c r="BO958" s="586"/>
      <c r="BP958" s="584"/>
      <c r="BQ958" s="347"/>
      <c r="BR958" s="586"/>
      <c r="BS958" s="588"/>
      <c r="BT958" s="586"/>
      <c r="BU958" s="589"/>
      <c r="BV958" s="581">
        <f t="shared" si="44"/>
        <v>0</v>
      </c>
      <c r="BW958" s="590"/>
      <c r="BX958" s="347"/>
      <c r="BY958" s="347"/>
      <c r="BZ958" s="347"/>
      <c r="CA958" s="586"/>
      <c r="CB958" s="581"/>
      <c r="CC958" s="581">
        <f t="shared" si="193"/>
        <v>0</v>
      </c>
      <c r="CD958" s="581"/>
      <c r="CE958" s="581"/>
      <c r="CF958" s="581"/>
      <c r="CG958" s="586"/>
      <c r="CH958" s="608"/>
      <c r="CI958" s="603"/>
      <c r="CJ958" s="347"/>
      <c r="CK958" s="347"/>
      <c r="CL958" s="347"/>
      <c r="CM958" s="347"/>
      <c r="CN958" s="347"/>
      <c r="CO958" s="347"/>
      <c r="CP958" s="347"/>
    </row>
    <row r="959">
      <c r="A959" s="574"/>
      <c r="B959" s="574"/>
      <c r="C959" s="347"/>
      <c r="D959" s="574"/>
      <c r="E959" s="347"/>
      <c r="F959" s="596"/>
      <c r="G959" s="596"/>
      <c r="H959" s="347"/>
      <c r="I959" s="347"/>
      <c r="J959" s="596"/>
      <c r="K959" s="609"/>
      <c r="L959" s="1"/>
      <c r="M959" s="347"/>
      <c r="N959" s="347"/>
      <c r="O959" s="579"/>
      <c r="P959" s="579"/>
      <c r="Q959" s="574"/>
      <c r="R959" s="347"/>
      <c r="S959" s="597"/>
      <c r="T959" s="347"/>
      <c r="U959" s="579"/>
      <c r="V959" s="579"/>
      <c r="W959" s="574"/>
      <c r="X959" s="347"/>
      <c r="Y959" s="347"/>
      <c r="Z959" s="347"/>
      <c r="AA959" s="579"/>
      <c r="AB959" s="581"/>
      <c r="AC959" s="347"/>
      <c r="AD959" s="347"/>
      <c r="AE959" s="347"/>
      <c r="AF959" s="347"/>
      <c r="AG959" s="579"/>
      <c r="AH959" s="579"/>
      <c r="AI959" s="582"/>
      <c r="AJ959" s="582"/>
      <c r="AK959" s="582"/>
      <c r="AL959" s="582"/>
      <c r="AM959" s="579"/>
      <c r="AN959" s="579"/>
      <c r="AO959" s="347"/>
      <c r="AP959" s="586"/>
      <c r="AQ959" s="596"/>
      <c r="AR959" s="596"/>
      <c r="AS959" s="348"/>
      <c r="AT959" s="348"/>
      <c r="AU959" s="348"/>
      <c r="AV959" s="348"/>
      <c r="AW959" s="348"/>
      <c r="AX959" s="584"/>
      <c r="AY959" s="581"/>
      <c r="AZ959" s="581"/>
      <c r="BA959" s="596"/>
      <c r="BB959" s="596"/>
      <c r="BC959" s="348"/>
      <c r="BD959" s="581"/>
      <c r="BE959" s="581"/>
      <c r="BF959" s="347"/>
      <c r="BG959" s="347"/>
      <c r="BH959" s="347"/>
      <c r="BI959" s="347"/>
      <c r="BJ959" s="586"/>
      <c r="BK959" s="581"/>
      <c r="BL959" s="347"/>
      <c r="BM959" s="347"/>
      <c r="BN959" s="347"/>
      <c r="BO959" s="586"/>
      <c r="BP959" s="584"/>
      <c r="BQ959" s="347"/>
      <c r="BR959" s="586"/>
      <c r="BS959" s="588"/>
      <c r="BT959" s="586"/>
      <c r="BU959" s="589"/>
      <c r="BV959" s="581">
        <f t="shared" si="44"/>
        <v>0</v>
      </c>
      <c r="BW959" s="590"/>
      <c r="BX959" s="347"/>
      <c r="BY959" s="347"/>
      <c r="BZ959" s="347"/>
      <c r="CA959" s="586"/>
      <c r="CB959" s="581"/>
      <c r="CC959" s="581">
        <f t="shared" si="193"/>
        <v>0</v>
      </c>
      <c r="CD959" s="581"/>
      <c r="CE959" s="581"/>
      <c r="CF959" s="581"/>
      <c r="CG959" s="586"/>
      <c r="CH959" s="608"/>
      <c r="CI959" s="603"/>
      <c r="CJ959" s="347"/>
      <c r="CK959" s="347"/>
      <c r="CL959" s="347"/>
      <c r="CM959" s="347"/>
      <c r="CN959" s="347"/>
      <c r="CO959" s="347"/>
      <c r="CP959" s="347"/>
    </row>
    <row r="960">
      <c r="A960" s="574"/>
      <c r="B960" s="574"/>
      <c r="C960" s="347"/>
      <c r="D960" s="574"/>
      <c r="E960" s="347"/>
      <c r="F960" s="596"/>
      <c r="G960" s="596"/>
      <c r="H960" s="347"/>
      <c r="I960" s="347"/>
      <c r="J960" s="596"/>
      <c r="K960" s="609"/>
      <c r="L960" s="1"/>
      <c r="M960" s="347"/>
      <c r="N960" s="347"/>
      <c r="O960" s="579"/>
      <c r="P960" s="579"/>
      <c r="Q960" s="574"/>
      <c r="R960" s="347"/>
      <c r="S960" s="597"/>
      <c r="T960" s="347"/>
      <c r="U960" s="579"/>
      <c r="V960" s="579"/>
      <c r="W960" s="574"/>
      <c r="X960" s="347"/>
      <c r="Y960" s="347"/>
      <c r="Z960" s="347"/>
      <c r="AA960" s="579"/>
      <c r="AB960" s="581"/>
      <c r="AC960" s="347"/>
      <c r="AD960" s="347"/>
      <c r="AE960" s="347"/>
      <c r="AF960" s="347"/>
      <c r="AG960" s="579"/>
      <c r="AH960" s="579"/>
      <c r="AI960" s="582"/>
      <c r="AJ960" s="582"/>
      <c r="AK960" s="582"/>
      <c r="AL960" s="582"/>
      <c r="AM960" s="579"/>
      <c r="AN960" s="579"/>
      <c r="AO960" s="347"/>
      <c r="AP960" s="586"/>
      <c r="AQ960" s="596"/>
      <c r="AR960" s="596"/>
      <c r="AS960" s="348"/>
      <c r="AT960" s="348"/>
      <c r="AU960" s="348"/>
      <c r="AV960" s="348"/>
      <c r="AW960" s="348"/>
      <c r="AX960" s="584"/>
      <c r="AY960" s="581"/>
      <c r="AZ960" s="581"/>
      <c r="BA960" s="596"/>
      <c r="BB960" s="596"/>
      <c r="BC960" s="348"/>
      <c r="BD960" s="581"/>
      <c r="BE960" s="581"/>
      <c r="BF960" s="347"/>
      <c r="BG960" s="347"/>
      <c r="BH960" s="347"/>
      <c r="BI960" s="347"/>
      <c r="BJ960" s="586"/>
      <c r="BK960" s="581"/>
      <c r="BL960" s="347"/>
      <c r="BM960" s="347"/>
      <c r="BN960" s="347"/>
      <c r="BO960" s="586"/>
      <c r="BP960" s="584"/>
      <c r="BQ960" s="347"/>
      <c r="BR960" s="586"/>
      <c r="BS960" s="588"/>
      <c r="BT960" s="586"/>
      <c r="BU960" s="589"/>
      <c r="BV960" s="581">
        <f t="shared" si="44"/>
        <v>0</v>
      </c>
      <c r="BW960" s="590"/>
      <c r="BX960" s="347"/>
      <c r="BY960" s="347"/>
      <c r="BZ960" s="347"/>
      <c r="CA960" s="586"/>
      <c r="CB960" s="581"/>
      <c r="CC960" s="581">
        <f t="shared" si="193"/>
        <v>0</v>
      </c>
      <c r="CD960" s="581"/>
      <c r="CE960" s="581"/>
      <c r="CF960" s="581"/>
      <c r="CG960" s="586"/>
      <c r="CH960" s="608"/>
      <c r="CI960" s="603"/>
      <c r="CJ960" s="347"/>
      <c r="CK960" s="347"/>
      <c r="CL960" s="347"/>
      <c r="CM960" s="347"/>
      <c r="CN960" s="347"/>
      <c r="CO960" s="347"/>
      <c r="CP960" s="347"/>
    </row>
    <row r="961">
      <c r="A961" s="574"/>
      <c r="B961" s="574"/>
      <c r="C961" s="347"/>
      <c r="D961" s="574"/>
      <c r="E961" s="347"/>
      <c r="F961" s="596"/>
      <c r="G961" s="596"/>
      <c r="H961" s="347"/>
      <c r="I961" s="347"/>
      <c r="J961" s="596"/>
      <c r="K961" s="609"/>
      <c r="L961" s="1"/>
      <c r="M961" s="347"/>
      <c r="N961" s="347"/>
      <c r="O961" s="579"/>
      <c r="P961" s="579"/>
      <c r="Q961" s="574"/>
      <c r="R961" s="347"/>
      <c r="S961" s="597"/>
      <c r="T961" s="347"/>
      <c r="U961" s="579"/>
      <c r="V961" s="579"/>
      <c r="W961" s="574"/>
      <c r="X961" s="347"/>
      <c r="Y961" s="347"/>
      <c r="Z961" s="347"/>
      <c r="AA961" s="579"/>
      <c r="AB961" s="581"/>
      <c r="AC961" s="347"/>
      <c r="AD961" s="347"/>
      <c r="AE961" s="347"/>
      <c r="AF961" s="347"/>
      <c r="AG961" s="579"/>
      <c r="AH961" s="579"/>
      <c r="AI961" s="582"/>
      <c r="AJ961" s="582"/>
      <c r="AK961" s="582"/>
      <c r="AL961" s="582"/>
      <c r="AM961" s="579"/>
      <c r="AN961" s="579"/>
      <c r="AO961" s="347"/>
      <c r="AP961" s="586"/>
      <c r="AQ961" s="596"/>
      <c r="AR961" s="596"/>
      <c r="AS961" s="348"/>
      <c r="AT961" s="348"/>
      <c r="AU961" s="348"/>
      <c r="AV961" s="348"/>
      <c r="AW961" s="348"/>
      <c r="AX961" s="584"/>
      <c r="AY961" s="581"/>
      <c r="AZ961" s="581"/>
      <c r="BA961" s="596"/>
      <c r="BB961" s="596"/>
      <c r="BC961" s="348"/>
      <c r="BD961" s="581"/>
      <c r="BE961" s="581"/>
      <c r="BF961" s="347"/>
      <c r="BG961" s="347"/>
      <c r="BH961" s="347"/>
      <c r="BI961" s="347"/>
      <c r="BJ961" s="586"/>
      <c r="BK961" s="581"/>
      <c r="BL961" s="347"/>
      <c r="BM961" s="347"/>
      <c r="BN961" s="347"/>
      <c r="BO961" s="586"/>
      <c r="BP961" s="584"/>
      <c r="BQ961" s="347"/>
      <c r="BR961" s="586"/>
      <c r="BS961" s="588"/>
      <c r="BT961" s="586"/>
      <c r="BU961" s="589"/>
      <c r="BV961" s="581">
        <f t="shared" si="44"/>
        <v>0</v>
      </c>
      <c r="BW961" s="590"/>
      <c r="BX961" s="347"/>
      <c r="BY961" s="347"/>
      <c r="BZ961" s="347"/>
      <c r="CA961" s="586"/>
      <c r="CB961" s="581"/>
      <c r="CC961" s="581">
        <f t="shared" si="193"/>
        <v>0</v>
      </c>
      <c r="CD961" s="581"/>
      <c r="CE961" s="581"/>
      <c r="CF961" s="581"/>
      <c r="CG961" s="586"/>
      <c r="CH961" s="608"/>
      <c r="CI961" s="603"/>
      <c r="CJ961" s="347"/>
      <c r="CK961" s="347"/>
      <c r="CL961" s="347"/>
      <c r="CM961" s="347"/>
      <c r="CN961" s="347"/>
      <c r="CO961" s="347"/>
      <c r="CP961" s="347"/>
    </row>
    <row r="962">
      <c r="A962" s="574"/>
      <c r="B962" s="574"/>
      <c r="C962" s="347"/>
      <c r="D962" s="574"/>
      <c r="E962" s="347"/>
      <c r="F962" s="596"/>
      <c r="G962" s="596"/>
      <c r="H962" s="347"/>
      <c r="I962" s="347"/>
      <c r="J962" s="596"/>
      <c r="K962" s="609"/>
      <c r="L962" s="1"/>
      <c r="M962" s="347"/>
      <c r="N962" s="347"/>
      <c r="O962" s="579"/>
      <c r="P962" s="579"/>
      <c r="Q962" s="574"/>
      <c r="R962" s="347"/>
      <c r="S962" s="597"/>
      <c r="T962" s="347"/>
      <c r="U962" s="579"/>
      <c r="V962" s="579"/>
      <c r="W962" s="574"/>
      <c r="X962" s="347"/>
      <c r="Y962" s="347"/>
      <c r="Z962" s="347"/>
      <c r="AA962" s="579"/>
      <c r="AB962" s="581"/>
      <c r="AC962" s="347"/>
      <c r="AD962" s="347"/>
      <c r="AE962" s="347"/>
      <c r="AF962" s="347"/>
      <c r="AG962" s="579"/>
      <c r="AH962" s="579"/>
      <c r="AI962" s="582"/>
      <c r="AJ962" s="582"/>
      <c r="AK962" s="582"/>
      <c r="AL962" s="582"/>
      <c r="AM962" s="579"/>
      <c r="AN962" s="579"/>
      <c r="AO962" s="347"/>
      <c r="AP962" s="586"/>
      <c r="AQ962" s="596"/>
      <c r="AR962" s="596"/>
      <c r="AS962" s="348"/>
      <c r="AT962" s="348"/>
      <c r="AU962" s="348"/>
      <c r="AV962" s="348"/>
      <c r="AW962" s="348"/>
      <c r="AX962" s="584"/>
      <c r="AY962" s="581"/>
      <c r="AZ962" s="581"/>
      <c r="BA962" s="596"/>
      <c r="BB962" s="596"/>
      <c r="BC962" s="348"/>
      <c r="BD962" s="581"/>
      <c r="BE962" s="581"/>
      <c r="BF962" s="347"/>
      <c r="BG962" s="347"/>
      <c r="BH962" s="347"/>
      <c r="BI962" s="347"/>
      <c r="BJ962" s="586"/>
      <c r="BK962" s="581"/>
      <c r="BL962" s="347"/>
      <c r="BM962" s="347"/>
      <c r="BN962" s="347"/>
      <c r="BO962" s="586"/>
      <c r="BP962" s="584"/>
      <c r="BQ962" s="347"/>
      <c r="BR962" s="586"/>
      <c r="BS962" s="588"/>
      <c r="BT962" s="586"/>
      <c r="BU962" s="589"/>
      <c r="BV962" s="581">
        <f t="shared" si="44"/>
        <v>0</v>
      </c>
      <c r="BW962" s="590"/>
      <c r="BX962" s="347"/>
      <c r="BY962" s="347"/>
      <c r="BZ962" s="347"/>
      <c r="CA962" s="586"/>
      <c r="CB962" s="581"/>
      <c r="CC962" s="581">
        <f t="shared" si="193"/>
        <v>0</v>
      </c>
      <c r="CD962" s="581"/>
      <c r="CE962" s="581"/>
      <c r="CF962" s="581"/>
      <c r="CG962" s="586"/>
      <c r="CH962" s="608"/>
      <c r="CI962" s="603"/>
      <c r="CJ962" s="347"/>
      <c r="CK962" s="347"/>
      <c r="CL962" s="347"/>
      <c r="CM962" s="347"/>
      <c r="CN962" s="347"/>
      <c r="CO962" s="347"/>
      <c r="CP962" s="347"/>
    </row>
    <row r="963">
      <c r="A963" s="574"/>
      <c r="B963" s="574"/>
      <c r="C963" s="347"/>
      <c r="D963" s="574"/>
      <c r="E963" s="347"/>
      <c r="F963" s="596"/>
      <c r="G963" s="596"/>
      <c r="H963" s="347"/>
      <c r="I963" s="347"/>
      <c r="J963" s="596"/>
      <c r="K963" s="609"/>
      <c r="L963" s="1"/>
      <c r="M963" s="347"/>
      <c r="N963" s="347"/>
      <c r="O963" s="579"/>
      <c r="P963" s="579"/>
      <c r="Q963" s="574"/>
      <c r="R963" s="347"/>
      <c r="S963" s="597"/>
      <c r="T963" s="347"/>
      <c r="U963" s="579"/>
      <c r="V963" s="579"/>
      <c r="W963" s="574"/>
      <c r="X963" s="347"/>
      <c r="Y963" s="347"/>
      <c r="Z963" s="347"/>
      <c r="AA963" s="579"/>
      <c r="AB963" s="581"/>
      <c r="AC963" s="347"/>
      <c r="AD963" s="347"/>
      <c r="AE963" s="347"/>
      <c r="AF963" s="347"/>
      <c r="AG963" s="579"/>
      <c r="AH963" s="579"/>
      <c r="AI963" s="582"/>
      <c r="AJ963" s="582"/>
      <c r="AK963" s="582"/>
      <c r="AL963" s="582"/>
      <c r="AM963" s="579"/>
      <c r="AN963" s="579"/>
      <c r="AO963" s="347"/>
      <c r="AP963" s="586"/>
      <c r="AQ963" s="596"/>
      <c r="AR963" s="596"/>
      <c r="AS963" s="348"/>
      <c r="AT963" s="348"/>
      <c r="AU963" s="348"/>
      <c r="AV963" s="348"/>
      <c r="AW963" s="348"/>
      <c r="AX963" s="584"/>
      <c r="AY963" s="581"/>
      <c r="AZ963" s="581"/>
      <c r="BA963" s="596"/>
      <c r="BB963" s="596"/>
      <c r="BC963" s="348"/>
      <c r="BD963" s="581"/>
      <c r="BE963" s="581"/>
      <c r="BF963" s="347"/>
      <c r="BG963" s="347"/>
      <c r="BH963" s="347"/>
      <c r="BI963" s="347"/>
      <c r="BJ963" s="586"/>
      <c r="BK963" s="581"/>
      <c r="BL963" s="347"/>
      <c r="BM963" s="347"/>
      <c r="BN963" s="347"/>
      <c r="BO963" s="586"/>
      <c r="BP963" s="584"/>
      <c r="BQ963" s="347"/>
      <c r="BR963" s="586"/>
      <c r="BS963" s="588"/>
      <c r="BT963" s="586"/>
      <c r="BU963" s="589"/>
      <c r="BV963" s="581">
        <f t="shared" si="44"/>
        <v>0</v>
      </c>
      <c r="BW963" s="590"/>
      <c r="BX963" s="347"/>
      <c r="BY963" s="347"/>
      <c r="BZ963" s="347"/>
      <c r="CA963" s="586"/>
      <c r="CB963" s="581"/>
      <c r="CC963" s="581">
        <f t="shared" si="193"/>
        <v>0</v>
      </c>
      <c r="CD963" s="581"/>
      <c r="CE963" s="581"/>
      <c r="CF963" s="581"/>
      <c r="CG963" s="586"/>
      <c r="CH963" s="608"/>
      <c r="CI963" s="603"/>
      <c r="CJ963" s="347"/>
      <c r="CK963" s="347"/>
      <c r="CL963" s="347"/>
      <c r="CM963" s="347"/>
      <c r="CN963" s="347"/>
      <c r="CO963" s="347"/>
      <c r="CP963" s="347"/>
    </row>
    <row r="964">
      <c r="A964" s="574"/>
      <c r="B964" s="574"/>
      <c r="C964" s="347"/>
      <c r="D964" s="574"/>
      <c r="E964" s="347"/>
      <c r="F964" s="596"/>
      <c r="G964" s="596"/>
      <c r="H964" s="347"/>
      <c r="I964" s="347"/>
      <c r="J964" s="596"/>
      <c r="K964" s="609"/>
      <c r="L964" s="1"/>
      <c r="M964" s="347"/>
      <c r="N964" s="347"/>
      <c r="O964" s="579"/>
      <c r="P964" s="579"/>
      <c r="Q964" s="574"/>
      <c r="R964" s="347"/>
      <c r="S964" s="597"/>
      <c r="T964" s="347"/>
      <c r="U964" s="579"/>
      <c r="V964" s="579"/>
      <c r="W964" s="574"/>
      <c r="X964" s="347"/>
      <c r="Y964" s="347"/>
      <c r="Z964" s="347"/>
      <c r="AA964" s="579"/>
      <c r="AB964" s="581"/>
      <c r="AC964" s="347"/>
      <c r="AD964" s="347"/>
      <c r="AE964" s="347"/>
      <c r="AF964" s="347"/>
      <c r="AG964" s="579"/>
      <c r="AH964" s="579"/>
      <c r="AI964" s="582"/>
      <c r="AJ964" s="582"/>
      <c r="AK964" s="582"/>
      <c r="AL964" s="582"/>
      <c r="AM964" s="579"/>
      <c r="AN964" s="579"/>
      <c r="AO964" s="347"/>
      <c r="AP964" s="586"/>
      <c r="AQ964" s="596"/>
      <c r="AR964" s="596"/>
      <c r="AS964" s="348"/>
      <c r="AT964" s="348"/>
      <c r="AU964" s="348"/>
      <c r="AV964" s="348"/>
      <c r="AW964" s="348"/>
      <c r="AX964" s="584"/>
      <c r="AY964" s="581"/>
      <c r="AZ964" s="581"/>
      <c r="BA964" s="596"/>
      <c r="BB964" s="596"/>
      <c r="BC964" s="348"/>
      <c r="BD964" s="581"/>
      <c r="BE964" s="581"/>
      <c r="BF964" s="347"/>
      <c r="BG964" s="347"/>
      <c r="BH964" s="347"/>
      <c r="BI964" s="347"/>
      <c r="BJ964" s="586"/>
      <c r="BK964" s="581"/>
      <c r="BL964" s="347"/>
      <c r="BM964" s="347"/>
      <c r="BN964" s="347"/>
      <c r="BO964" s="586"/>
      <c r="BP964" s="584"/>
      <c r="BQ964" s="347"/>
      <c r="BR964" s="586"/>
      <c r="BS964" s="588"/>
      <c r="BT964" s="586"/>
      <c r="BU964" s="589"/>
      <c r="BV964" s="581">
        <f t="shared" si="44"/>
        <v>0</v>
      </c>
      <c r="BW964" s="590"/>
      <c r="BX964" s="347"/>
      <c r="BY964" s="347"/>
      <c r="BZ964" s="347"/>
      <c r="CA964" s="586"/>
      <c r="CB964" s="581"/>
      <c r="CC964" s="581">
        <f t="shared" si="193"/>
        <v>0</v>
      </c>
      <c r="CD964" s="581"/>
      <c r="CE964" s="581"/>
      <c r="CF964" s="581"/>
      <c r="CG964" s="586"/>
      <c r="CH964" s="608"/>
      <c r="CI964" s="603"/>
      <c r="CJ964" s="347"/>
      <c r="CK964" s="347"/>
      <c r="CL964" s="347"/>
      <c r="CM964" s="347"/>
      <c r="CN964" s="347"/>
      <c r="CO964" s="347"/>
      <c r="CP964" s="347"/>
    </row>
    <row r="965">
      <c r="A965" s="574"/>
      <c r="B965" s="574"/>
      <c r="C965" s="347"/>
      <c r="D965" s="574"/>
      <c r="E965" s="347"/>
      <c r="F965" s="596"/>
      <c r="G965" s="596"/>
      <c r="H965" s="347"/>
      <c r="I965" s="347"/>
      <c r="J965" s="596"/>
      <c r="K965" s="609"/>
      <c r="L965" s="1"/>
      <c r="M965" s="347"/>
      <c r="N965" s="347"/>
      <c r="O965" s="579"/>
      <c r="P965" s="579"/>
      <c r="Q965" s="574"/>
      <c r="R965" s="347"/>
      <c r="S965" s="597"/>
      <c r="T965" s="347"/>
      <c r="U965" s="579"/>
      <c r="V965" s="579"/>
      <c r="W965" s="574"/>
      <c r="X965" s="347"/>
      <c r="Y965" s="347"/>
      <c r="Z965" s="347"/>
      <c r="AA965" s="579"/>
      <c r="AB965" s="581"/>
      <c r="AC965" s="347"/>
      <c r="AD965" s="347"/>
      <c r="AE965" s="347"/>
      <c r="AF965" s="347"/>
      <c r="AG965" s="579"/>
      <c r="AH965" s="579"/>
      <c r="AI965" s="582"/>
      <c r="AJ965" s="582"/>
      <c r="AK965" s="582"/>
      <c r="AL965" s="582"/>
      <c r="AM965" s="579"/>
      <c r="AN965" s="579"/>
      <c r="AO965" s="347"/>
      <c r="AP965" s="586"/>
      <c r="AQ965" s="596"/>
      <c r="AR965" s="596"/>
      <c r="AS965" s="348"/>
      <c r="AT965" s="348"/>
      <c r="AU965" s="348"/>
      <c r="AV965" s="348"/>
      <c r="AW965" s="348"/>
      <c r="AX965" s="584"/>
      <c r="AY965" s="581"/>
      <c r="AZ965" s="581"/>
      <c r="BA965" s="596"/>
      <c r="BB965" s="596"/>
      <c r="BC965" s="348"/>
      <c r="BD965" s="581"/>
      <c r="BE965" s="581"/>
      <c r="BF965" s="347"/>
      <c r="BG965" s="347"/>
      <c r="BH965" s="347"/>
      <c r="BI965" s="347"/>
      <c r="BJ965" s="586"/>
      <c r="BK965" s="581"/>
      <c r="BL965" s="347"/>
      <c r="BM965" s="347"/>
      <c r="BN965" s="347"/>
      <c r="BO965" s="586"/>
      <c r="BP965" s="584"/>
      <c r="BQ965" s="347"/>
      <c r="BR965" s="586"/>
      <c r="BS965" s="588"/>
      <c r="BT965" s="586"/>
      <c r="BU965" s="589"/>
      <c r="BV965" s="581">
        <f t="shared" si="44"/>
        <v>0</v>
      </c>
      <c r="BW965" s="590"/>
      <c r="BX965" s="347"/>
      <c r="BY965" s="347"/>
      <c r="BZ965" s="347"/>
      <c r="CA965" s="586"/>
      <c r="CB965" s="581"/>
      <c r="CC965" s="581">
        <f t="shared" si="193"/>
        <v>0</v>
      </c>
      <c r="CD965" s="581"/>
      <c r="CE965" s="581"/>
      <c r="CF965" s="581"/>
      <c r="CG965" s="586"/>
      <c r="CH965" s="608"/>
      <c r="CI965" s="603"/>
      <c r="CJ965" s="347"/>
      <c r="CK965" s="347"/>
      <c r="CL965" s="347"/>
      <c r="CM965" s="347"/>
      <c r="CN965" s="347"/>
      <c r="CO965" s="347"/>
      <c r="CP965" s="347"/>
    </row>
    <row r="966">
      <c r="A966" s="574"/>
      <c r="B966" s="574"/>
      <c r="C966" s="347"/>
      <c r="D966" s="574"/>
      <c r="E966" s="347"/>
      <c r="F966" s="596"/>
      <c r="G966" s="596"/>
      <c r="H966" s="347"/>
      <c r="I966" s="347"/>
      <c r="J966" s="596"/>
      <c r="K966" s="609"/>
      <c r="L966" s="1"/>
      <c r="M966" s="347"/>
      <c r="N966" s="347"/>
      <c r="O966" s="579"/>
      <c r="P966" s="579"/>
      <c r="Q966" s="574"/>
      <c r="R966" s="347"/>
      <c r="S966" s="597"/>
      <c r="T966" s="347"/>
      <c r="U966" s="579"/>
      <c r="V966" s="579"/>
      <c r="W966" s="574"/>
      <c r="X966" s="347"/>
      <c r="Y966" s="347"/>
      <c r="Z966" s="347"/>
      <c r="AA966" s="579"/>
      <c r="AB966" s="581"/>
      <c r="AC966" s="347"/>
      <c r="AD966" s="347"/>
      <c r="AE966" s="347"/>
      <c r="AF966" s="347"/>
      <c r="AG966" s="579"/>
      <c r="AH966" s="579"/>
      <c r="AI966" s="582"/>
      <c r="AJ966" s="582"/>
      <c r="AK966" s="582"/>
      <c r="AL966" s="582"/>
      <c r="AM966" s="579"/>
      <c r="AN966" s="579"/>
      <c r="AO966" s="347"/>
      <c r="AP966" s="586"/>
      <c r="AQ966" s="596"/>
      <c r="AR966" s="596"/>
      <c r="AS966" s="348"/>
      <c r="AT966" s="348"/>
      <c r="AU966" s="348"/>
      <c r="AV966" s="348"/>
      <c r="AW966" s="348"/>
      <c r="AX966" s="584"/>
      <c r="AY966" s="581"/>
      <c r="AZ966" s="581"/>
      <c r="BA966" s="596"/>
      <c r="BB966" s="596"/>
      <c r="BC966" s="348"/>
      <c r="BD966" s="581"/>
      <c r="BE966" s="581"/>
      <c r="BF966" s="347"/>
      <c r="BG966" s="347"/>
      <c r="BH966" s="347"/>
      <c r="BI966" s="347"/>
      <c r="BJ966" s="586"/>
      <c r="BK966" s="581"/>
      <c r="BL966" s="347"/>
      <c r="BM966" s="347"/>
      <c r="BN966" s="347"/>
      <c r="BO966" s="586"/>
      <c r="BP966" s="584"/>
      <c r="BQ966" s="347"/>
      <c r="BR966" s="586"/>
      <c r="BS966" s="588"/>
      <c r="BT966" s="586"/>
      <c r="BU966" s="589"/>
      <c r="BV966" s="581">
        <f t="shared" si="44"/>
        <v>0</v>
      </c>
      <c r="BW966" s="590"/>
      <c r="BX966" s="347"/>
      <c r="BY966" s="347"/>
      <c r="BZ966" s="347"/>
      <c r="CA966" s="586"/>
      <c r="CB966" s="581"/>
      <c r="CC966" s="581">
        <f t="shared" si="193"/>
        <v>0</v>
      </c>
      <c r="CD966" s="581"/>
      <c r="CE966" s="581"/>
      <c r="CF966" s="581"/>
      <c r="CG966" s="586"/>
      <c r="CH966" s="608"/>
      <c r="CI966" s="603"/>
      <c r="CJ966" s="347"/>
      <c r="CK966" s="347"/>
      <c r="CL966" s="347"/>
      <c r="CM966" s="347"/>
      <c r="CN966" s="347"/>
      <c r="CO966" s="347"/>
      <c r="CP966" s="347"/>
    </row>
    <row r="967">
      <c r="A967" s="574"/>
      <c r="B967" s="574"/>
      <c r="C967" s="347"/>
      <c r="D967" s="574"/>
      <c r="E967" s="347"/>
      <c r="F967" s="596"/>
      <c r="G967" s="596"/>
      <c r="H967" s="347"/>
      <c r="I967" s="347"/>
      <c r="J967" s="596"/>
      <c r="K967" s="609"/>
      <c r="L967" s="1"/>
      <c r="M967" s="347"/>
      <c r="N967" s="347"/>
      <c r="O967" s="579"/>
      <c r="P967" s="579"/>
      <c r="Q967" s="574"/>
      <c r="R967" s="347"/>
      <c r="S967" s="597"/>
      <c r="T967" s="347"/>
      <c r="U967" s="579"/>
      <c r="V967" s="579"/>
      <c r="W967" s="574"/>
      <c r="X967" s="347"/>
      <c r="Y967" s="347"/>
      <c r="Z967" s="347"/>
      <c r="AA967" s="579"/>
      <c r="AB967" s="581"/>
      <c r="AC967" s="347"/>
      <c r="AD967" s="347"/>
      <c r="AE967" s="347"/>
      <c r="AF967" s="347"/>
      <c r="AG967" s="579"/>
      <c r="AH967" s="579"/>
      <c r="AI967" s="582"/>
      <c r="AJ967" s="582"/>
      <c r="AK967" s="582"/>
      <c r="AL967" s="582"/>
      <c r="AM967" s="579"/>
      <c r="AN967" s="579"/>
      <c r="AO967" s="347"/>
      <c r="AP967" s="586"/>
      <c r="AQ967" s="596"/>
      <c r="AR967" s="596"/>
      <c r="AS967" s="348"/>
      <c r="AT967" s="348"/>
      <c r="AU967" s="348"/>
      <c r="AV967" s="348"/>
      <c r="AW967" s="348"/>
      <c r="AX967" s="584"/>
      <c r="AY967" s="581"/>
      <c r="AZ967" s="581"/>
      <c r="BA967" s="596"/>
      <c r="BB967" s="596"/>
      <c r="BC967" s="348"/>
      <c r="BD967" s="581"/>
      <c r="BE967" s="581"/>
      <c r="BF967" s="347"/>
      <c r="BG967" s="347"/>
      <c r="BH967" s="347"/>
      <c r="BI967" s="347"/>
      <c r="BJ967" s="586"/>
      <c r="BK967" s="581"/>
      <c r="BL967" s="347"/>
      <c r="BM967" s="347"/>
      <c r="BN967" s="347"/>
      <c r="BO967" s="586"/>
      <c r="BP967" s="584"/>
      <c r="BQ967" s="347"/>
      <c r="BR967" s="586"/>
      <c r="BS967" s="588"/>
      <c r="BT967" s="586"/>
      <c r="BU967" s="589"/>
      <c r="BV967" s="581">
        <f t="shared" si="44"/>
        <v>0</v>
      </c>
      <c r="BW967" s="590"/>
      <c r="BX967" s="347"/>
      <c r="BY967" s="347"/>
      <c r="BZ967" s="347"/>
      <c r="CA967" s="586"/>
      <c r="CB967" s="581"/>
      <c r="CC967" s="581">
        <f t="shared" si="193"/>
        <v>0</v>
      </c>
      <c r="CD967" s="581"/>
      <c r="CE967" s="581"/>
      <c r="CF967" s="581"/>
      <c r="CG967" s="586"/>
      <c r="CH967" s="608"/>
      <c r="CI967" s="603"/>
      <c r="CJ967" s="347"/>
      <c r="CK967" s="347"/>
      <c r="CL967" s="347"/>
      <c r="CM967" s="347"/>
      <c r="CN967" s="347"/>
      <c r="CO967" s="347"/>
      <c r="CP967" s="347"/>
    </row>
    <row r="968">
      <c r="A968" s="574"/>
      <c r="B968" s="574"/>
      <c r="C968" s="347"/>
      <c r="D968" s="574"/>
      <c r="E968" s="347"/>
      <c r="F968" s="596"/>
      <c r="G968" s="596"/>
      <c r="H968" s="347"/>
      <c r="I968" s="347"/>
      <c r="J968" s="596"/>
      <c r="K968" s="609"/>
      <c r="L968" s="1"/>
      <c r="M968" s="347"/>
      <c r="N968" s="347"/>
      <c r="O968" s="579"/>
      <c r="P968" s="579"/>
      <c r="Q968" s="574"/>
      <c r="R968" s="347"/>
      <c r="S968" s="597"/>
      <c r="T968" s="347"/>
      <c r="U968" s="579"/>
      <c r="V968" s="579"/>
      <c r="W968" s="574"/>
      <c r="X968" s="347"/>
      <c r="Y968" s="347"/>
      <c r="Z968" s="347"/>
      <c r="AA968" s="579"/>
      <c r="AB968" s="581"/>
      <c r="AC968" s="347"/>
      <c r="AD968" s="347"/>
      <c r="AE968" s="347"/>
      <c r="AF968" s="347"/>
      <c r="AG968" s="579"/>
      <c r="AH968" s="579"/>
      <c r="AI968" s="582"/>
      <c r="AJ968" s="582"/>
      <c r="AK968" s="582"/>
      <c r="AL968" s="582"/>
      <c r="AM968" s="579"/>
      <c r="AN968" s="579"/>
      <c r="AO968" s="347"/>
      <c r="AP968" s="586"/>
      <c r="AQ968" s="596"/>
      <c r="AR968" s="596"/>
      <c r="AS968" s="348"/>
      <c r="AT968" s="348"/>
      <c r="AU968" s="348"/>
      <c r="AV968" s="348"/>
      <c r="AW968" s="348"/>
      <c r="AX968" s="584"/>
      <c r="AY968" s="581"/>
      <c r="AZ968" s="581"/>
      <c r="BA968" s="596"/>
      <c r="BB968" s="596"/>
      <c r="BC968" s="348"/>
      <c r="BD968" s="581"/>
      <c r="BE968" s="581"/>
      <c r="BF968" s="347"/>
      <c r="BG968" s="347"/>
      <c r="BH968" s="347"/>
      <c r="BI968" s="347"/>
      <c r="BJ968" s="586"/>
      <c r="BK968" s="581"/>
      <c r="BL968" s="347"/>
      <c r="BM968" s="347"/>
      <c r="BN968" s="347"/>
      <c r="BO968" s="586"/>
      <c r="BP968" s="584"/>
      <c r="BQ968" s="347"/>
      <c r="BR968" s="586"/>
      <c r="BS968" s="588"/>
      <c r="BT968" s="586"/>
      <c r="BU968" s="589"/>
      <c r="BV968" s="581">
        <f t="shared" si="44"/>
        <v>0</v>
      </c>
      <c r="BW968" s="590"/>
      <c r="BX968" s="347"/>
      <c r="BY968" s="347"/>
      <c r="BZ968" s="347"/>
      <c r="CA968" s="586"/>
      <c r="CB968" s="581"/>
      <c r="CC968" s="581">
        <f t="shared" si="193"/>
        <v>0</v>
      </c>
      <c r="CD968" s="581"/>
      <c r="CE968" s="581"/>
      <c r="CF968" s="581"/>
      <c r="CG968" s="586"/>
      <c r="CH968" s="608"/>
      <c r="CI968" s="603"/>
      <c r="CJ968" s="347"/>
      <c r="CK968" s="347"/>
      <c r="CL968" s="347"/>
      <c r="CM968" s="347"/>
      <c r="CN968" s="347"/>
      <c r="CO968" s="347"/>
      <c r="CP968" s="347"/>
    </row>
    <row r="969">
      <c r="A969" s="574"/>
      <c r="B969" s="574"/>
      <c r="C969" s="347"/>
      <c r="D969" s="574"/>
      <c r="E969" s="347"/>
      <c r="F969" s="596"/>
      <c r="G969" s="596"/>
      <c r="H969" s="347"/>
      <c r="I969" s="347"/>
      <c r="J969" s="596"/>
      <c r="K969" s="609"/>
      <c r="L969" s="1"/>
      <c r="M969" s="347"/>
      <c r="N969" s="347"/>
      <c r="O969" s="579"/>
      <c r="P969" s="579"/>
      <c r="Q969" s="574"/>
      <c r="R969" s="347"/>
      <c r="S969" s="597"/>
      <c r="T969" s="347"/>
      <c r="U969" s="579"/>
      <c r="V969" s="579"/>
      <c r="W969" s="574"/>
      <c r="X969" s="347"/>
      <c r="Y969" s="347"/>
      <c r="Z969" s="347"/>
      <c r="AA969" s="579"/>
      <c r="AB969" s="581"/>
      <c r="AC969" s="347"/>
      <c r="AD969" s="347"/>
      <c r="AE969" s="347"/>
      <c r="AF969" s="347"/>
      <c r="AG969" s="579"/>
      <c r="AH969" s="579"/>
      <c r="AI969" s="582"/>
      <c r="AJ969" s="582"/>
      <c r="AK969" s="582"/>
      <c r="AL969" s="582"/>
      <c r="AM969" s="579"/>
      <c r="AN969" s="579"/>
      <c r="AO969" s="347"/>
      <c r="AP969" s="586"/>
      <c r="AQ969" s="596"/>
      <c r="AR969" s="596"/>
      <c r="AS969" s="348"/>
      <c r="AT969" s="348"/>
      <c r="AU969" s="348"/>
      <c r="AV969" s="348"/>
      <c r="AW969" s="348"/>
      <c r="AX969" s="584"/>
      <c r="AY969" s="581"/>
      <c r="AZ969" s="581"/>
      <c r="BA969" s="596"/>
      <c r="BB969" s="596"/>
      <c r="BC969" s="348"/>
      <c r="BD969" s="581"/>
      <c r="BE969" s="581"/>
      <c r="BF969" s="347"/>
      <c r="BG969" s="347"/>
      <c r="BH969" s="347"/>
      <c r="BI969" s="347"/>
      <c r="BJ969" s="586"/>
      <c r="BK969" s="581"/>
      <c r="BL969" s="347"/>
      <c r="BM969" s="347"/>
      <c r="BN969" s="347"/>
      <c r="BO969" s="586"/>
      <c r="BP969" s="584"/>
      <c r="BQ969" s="347"/>
      <c r="BR969" s="586"/>
      <c r="BS969" s="588"/>
      <c r="BT969" s="586"/>
      <c r="BU969" s="589"/>
      <c r="BV969" s="581">
        <f t="shared" si="44"/>
        <v>0</v>
      </c>
      <c r="BW969" s="590"/>
      <c r="BX969" s="347"/>
      <c r="BY969" s="347"/>
      <c r="BZ969" s="347"/>
      <c r="CA969" s="586"/>
      <c r="CB969" s="581"/>
      <c r="CC969" s="581">
        <f t="shared" si="193"/>
        <v>0</v>
      </c>
      <c r="CD969" s="581"/>
      <c r="CE969" s="581"/>
      <c r="CF969" s="581"/>
      <c r="CG969" s="586"/>
      <c r="CH969" s="608"/>
      <c r="CI969" s="603"/>
      <c r="CJ969" s="347"/>
      <c r="CK969" s="347"/>
      <c r="CL969" s="347"/>
      <c r="CM969" s="347"/>
      <c r="CN969" s="347"/>
      <c r="CO969" s="347"/>
      <c r="CP969" s="347"/>
    </row>
    <row r="970">
      <c r="A970" s="574"/>
      <c r="B970" s="574"/>
      <c r="C970" s="347"/>
      <c r="D970" s="574"/>
      <c r="E970" s="347"/>
      <c r="F970" s="596"/>
      <c r="G970" s="596"/>
      <c r="H970" s="347"/>
      <c r="I970" s="347"/>
      <c r="J970" s="596"/>
      <c r="K970" s="609"/>
      <c r="L970" s="1"/>
      <c r="M970" s="347"/>
      <c r="N970" s="347"/>
      <c r="O970" s="579"/>
      <c r="P970" s="579"/>
      <c r="Q970" s="574"/>
      <c r="R970" s="347"/>
      <c r="S970" s="597"/>
      <c r="T970" s="347"/>
      <c r="U970" s="579"/>
      <c r="V970" s="579"/>
      <c r="W970" s="574"/>
      <c r="X970" s="347"/>
      <c r="Y970" s="347"/>
      <c r="Z970" s="347"/>
      <c r="AA970" s="579"/>
      <c r="AB970" s="581"/>
      <c r="AC970" s="347"/>
      <c r="AD970" s="347"/>
      <c r="AE970" s="347"/>
      <c r="AF970" s="347"/>
      <c r="AG970" s="579"/>
      <c r="AH970" s="579"/>
      <c r="AI970" s="582"/>
      <c r="AJ970" s="582"/>
      <c r="AK970" s="582"/>
      <c r="AL970" s="582"/>
      <c r="AM970" s="579"/>
      <c r="AN970" s="579"/>
      <c r="AO970" s="347"/>
      <c r="AP970" s="586"/>
      <c r="AQ970" s="596"/>
      <c r="AR970" s="596"/>
      <c r="AS970" s="348"/>
      <c r="AT970" s="348"/>
      <c r="AU970" s="348"/>
      <c r="AV970" s="348"/>
      <c r="AW970" s="348"/>
      <c r="AX970" s="584"/>
      <c r="AY970" s="581"/>
      <c r="AZ970" s="581"/>
      <c r="BA970" s="596"/>
      <c r="BB970" s="596"/>
      <c r="BC970" s="348"/>
      <c r="BD970" s="581"/>
      <c r="BE970" s="581"/>
      <c r="BF970" s="347"/>
      <c r="BG970" s="347"/>
      <c r="BH970" s="347"/>
      <c r="BI970" s="347"/>
      <c r="BJ970" s="586"/>
      <c r="BK970" s="581"/>
      <c r="BL970" s="347"/>
      <c r="BM970" s="347"/>
      <c r="BN970" s="347"/>
      <c r="BO970" s="586"/>
      <c r="BP970" s="584"/>
      <c r="BQ970" s="347"/>
      <c r="BR970" s="586"/>
      <c r="BS970" s="588"/>
      <c r="BT970" s="586"/>
      <c r="BU970" s="589"/>
      <c r="BV970" s="581">
        <f t="shared" si="44"/>
        <v>0</v>
      </c>
      <c r="BW970" s="590"/>
      <c r="BX970" s="347"/>
      <c r="BY970" s="347"/>
      <c r="BZ970" s="347"/>
      <c r="CA970" s="586"/>
      <c r="CB970" s="581"/>
      <c r="CC970" s="581">
        <f t="shared" si="193"/>
        <v>0</v>
      </c>
      <c r="CD970" s="581"/>
      <c r="CE970" s="581"/>
      <c r="CF970" s="581"/>
      <c r="CG970" s="586"/>
      <c r="CH970" s="608"/>
      <c r="CI970" s="603"/>
      <c r="CJ970" s="347"/>
      <c r="CK970" s="347"/>
      <c r="CL970" s="347"/>
      <c r="CM970" s="347"/>
      <c r="CN970" s="347"/>
      <c r="CO970" s="347"/>
      <c r="CP970" s="347"/>
    </row>
    <row r="971">
      <c r="A971" s="574"/>
      <c r="B971" s="574"/>
      <c r="C971" s="347"/>
      <c r="D971" s="574"/>
      <c r="E971" s="347"/>
      <c r="F971" s="596"/>
      <c r="G971" s="596"/>
      <c r="H971" s="347"/>
      <c r="I971" s="347"/>
      <c r="J971" s="596"/>
      <c r="K971" s="609"/>
      <c r="L971" s="1"/>
      <c r="M971" s="347"/>
      <c r="N971" s="347"/>
      <c r="O971" s="579"/>
      <c r="P971" s="579"/>
      <c r="Q971" s="574"/>
      <c r="R971" s="347"/>
      <c r="S971" s="597"/>
      <c r="T971" s="347"/>
      <c r="U971" s="579"/>
      <c r="V971" s="579"/>
      <c r="W971" s="574"/>
      <c r="X971" s="347"/>
      <c r="Y971" s="347"/>
      <c r="Z971" s="347"/>
      <c r="AA971" s="579"/>
      <c r="AB971" s="581"/>
      <c r="AC971" s="347"/>
      <c r="AD971" s="347"/>
      <c r="AE971" s="347"/>
      <c r="AF971" s="347"/>
      <c r="AG971" s="579"/>
      <c r="AH971" s="579"/>
      <c r="AI971" s="582"/>
      <c r="AJ971" s="582"/>
      <c r="AK971" s="582"/>
      <c r="AL971" s="582"/>
      <c r="AM971" s="579"/>
      <c r="AN971" s="579"/>
      <c r="AO971" s="347"/>
      <c r="AP971" s="586"/>
      <c r="AQ971" s="596"/>
      <c r="AR971" s="596"/>
      <c r="AS971" s="348"/>
      <c r="AT971" s="348"/>
      <c r="AU971" s="348"/>
      <c r="AV971" s="348"/>
      <c r="AW971" s="348"/>
      <c r="AX971" s="584"/>
      <c r="AY971" s="581"/>
      <c r="AZ971" s="581"/>
      <c r="BA971" s="596"/>
      <c r="BB971" s="596"/>
      <c r="BC971" s="348"/>
      <c r="BD971" s="581"/>
      <c r="BE971" s="581"/>
      <c r="BF971" s="347"/>
      <c r="BG971" s="347"/>
      <c r="BH971" s="347"/>
      <c r="BI971" s="347"/>
      <c r="BJ971" s="586"/>
      <c r="BK971" s="581"/>
      <c r="BL971" s="347"/>
      <c r="BM971" s="347"/>
      <c r="BN971" s="347"/>
      <c r="BO971" s="586"/>
      <c r="BP971" s="584"/>
      <c r="BQ971" s="347"/>
      <c r="BR971" s="586"/>
      <c r="BS971" s="588"/>
      <c r="BT971" s="586"/>
      <c r="BU971" s="589"/>
      <c r="BV971" s="581">
        <f t="shared" si="44"/>
        <v>0</v>
      </c>
      <c r="BW971" s="590"/>
      <c r="BX971" s="347"/>
      <c r="BY971" s="347"/>
      <c r="BZ971" s="347"/>
      <c r="CA971" s="586"/>
      <c r="CB971" s="581"/>
      <c r="CC971" s="581">
        <f t="shared" si="193"/>
        <v>0</v>
      </c>
      <c r="CD971" s="581"/>
      <c r="CE971" s="581"/>
      <c r="CF971" s="581"/>
      <c r="CG971" s="586"/>
      <c r="CH971" s="608"/>
      <c r="CI971" s="603"/>
      <c r="CJ971" s="347"/>
      <c r="CK971" s="347"/>
      <c r="CL971" s="347"/>
      <c r="CM971" s="347"/>
      <c r="CN971" s="347"/>
      <c r="CO971" s="347"/>
      <c r="CP971" s="347"/>
    </row>
    <row r="972">
      <c r="A972" s="574"/>
      <c r="B972" s="574"/>
      <c r="C972" s="347"/>
      <c r="D972" s="574"/>
      <c r="E972" s="347"/>
      <c r="F972" s="596"/>
      <c r="G972" s="596"/>
      <c r="H972" s="347"/>
      <c r="I972" s="347"/>
      <c r="J972" s="596"/>
      <c r="K972" s="609"/>
      <c r="L972" s="1"/>
      <c r="M972" s="347"/>
      <c r="N972" s="347"/>
      <c r="O972" s="579"/>
      <c r="P972" s="579"/>
      <c r="Q972" s="574"/>
      <c r="R972" s="347"/>
      <c r="S972" s="597"/>
      <c r="T972" s="347"/>
      <c r="U972" s="579"/>
      <c r="V972" s="579"/>
      <c r="W972" s="574"/>
      <c r="X972" s="347"/>
      <c r="Y972" s="347"/>
      <c r="Z972" s="347"/>
      <c r="AA972" s="579"/>
      <c r="AB972" s="581"/>
      <c r="AC972" s="347"/>
      <c r="AD972" s="347"/>
      <c r="AE972" s="347"/>
      <c r="AF972" s="347"/>
      <c r="AG972" s="579"/>
      <c r="AH972" s="579"/>
      <c r="AI972" s="582"/>
      <c r="AJ972" s="582"/>
      <c r="AK972" s="582"/>
      <c r="AL972" s="582"/>
      <c r="AM972" s="579"/>
      <c r="AN972" s="579"/>
      <c r="AO972" s="347"/>
      <c r="AP972" s="586"/>
      <c r="AQ972" s="596"/>
      <c r="AR972" s="596"/>
      <c r="AS972" s="348"/>
      <c r="AT972" s="348"/>
      <c r="AU972" s="348"/>
      <c r="AV972" s="348"/>
      <c r="AW972" s="348"/>
      <c r="AX972" s="584"/>
      <c r="AY972" s="581"/>
      <c r="AZ972" s="581"/>
      <c r="BA972" s="596"/>
      <c r="BB972" s="596"/>
      <c r="BC972" s="348"/>
      <c r="BD972" s="581"/>
      <c r="BE972" s="581"/>
      <c r="BF972" s="347"/>
      <c r="BG972" s="347"/>
      <c r="BH972" s="347"/>
      <c r="BI972" s="347"/>
      <c r="BJ972" s="586"/>
      <c r="BK972" s="581"/>
      <c r="BL972" s="347"/>
      <c r="BM972" s="347"/>
      <c r="BN972" s="347"/>
      <c r="BO972" s="586"/>
      <c r="BP972" s="584"/>
      <c r="BQ972" s="347"/>
      <c r="BR972" s="586"/>
      <c r="BS972" s="588"/>
      <c r="BT972" s="586"/>
      <c r="BU972" s="589"/>
      <c r="BV972" s="581">
        <f t="shared" si="44"/>
        <v>0</v>
      </c>
      <c r="BW972" s="590"/>
      <c r="BX972" s="347"/>
      <c r="BY972" s="347"/>
      <c r="BZ972" s="347"/>
      <c r="CA972" s="586"/>
      <c r="CB972" s="581"/>
      <c r="CC972" s="581">
        <f t="shared" si="193"/>
        <v>0</v>
      </c>
      <c r="CD972" s="581"/>
      <c r="CE972" s="581"/>
      <c r="CF972" s="581"/>
      <c r="CG972" s="586"/>
      <c r="CH972" s="608"/>
      <c r="CI972" s="603"/>
      <c r="CJ972" s="347"/>
      <c r="CK972" s="347"/>
      <c r="CL972" s="347"/>
      <c r="CM972" s="347"/>
      <c r="CN972" s="347"/>
      <c r="CO972" s="347"/>
      <c r="CP972" s="347"/>
    </row>
    <row r="973">
      <c r="A973" s="574"/>
      <c r="B973" s="574"/>
      <c r="C973" s="347"/>
      <c r="D973" s="574"/>
      <c r="E973" s="347"/>
      <c r="F973" s="596"/>
      <c r="G973" s="596"/>
      <c r="H973" s="347"/>
      <c r="I973" s="347"/>
      <c r="J973" s="596"/>
      <c r="K973" s="609"/>
      <c r="L973" s="1"/>
      <c r="M973" s="347"/>
      <c r="N973" s="347"/>
      <c r="O973" s="579"/>
      <c r="P973" s="579"/>
      <c r="Q973" s="574"/>
      <c r="R973" s="347"/>
      <c r="S973" s="597"/>
      <c r="T973" s="347"/>
      <c r="U973" s="579"/>
      <c r="V973" s="579"/>
      <c r="W973" s="574"/>
      <c r="X973" s="347"/>
      <c r="Y973" s="347"/>
      <c r="Z973" s="347"/>
      <c r="AA973" s="579"/>
      <c r="AB973" s="581"/>
      <c r="AC973" s="347"/>
      <c r="AD973" s="347"/>
      <c r="AE973" s="347"/>
      <c r="AF973" s="347"/>
      <c r="AG973" s="579"/>
      <c r="AH973" s="579"/>
      <c r="AI973" s="582"/>
      <c r="AJ973" s="582"/>
      <c r="AK973" s="582"/>
      <c r="AL973" s="582"/>
      <c r="AM973" s="579"/>
      <c r="AN973" s="579"/>
      <c r="AO973" s="347"/>
      <c r="AP973" s="586"/>
      <c r="AQ973" s="596"/>
      <c r="AR973" s="596"/>
      <c r="AS973" s="348"/>
      <c r="AT973" s="348"/>
      <c r="AU973" s="348"/>
      <c r="AV973" s="348"/>
      <c r="AW973" s="348"/>
      <c r="AX973" s="584"/>
      <c r="AY973" s="581"/>
      <c r="AZ973" s="581"/>
      <c r="BA973" s="596"/>
      <c r="BB973" s="596"/>
      <c r="BC973" s="348"/>
      <c r="BD973" s="581"/>
      <c r="BE973" s="581"/>
      <c r="BF973" s="347"/>
      <c r="BG973" s="347"/>
      <c r="BH973" s="347"/>
      <c r="BI973" s="347"/>
      <c r="BJ973" s="586"/>
      <c r="BK973" s="581"/>
      <c r="BL973" s="347"/>
      <c r="BM973" s="347"/>
      <c r="BN973" s="347"/>
      <c r="BO973" s="586"/>
      <c r="BP973" s="584"/>
      <c r="BQ973" s="347"/>
      <c r="BR973" s="586"/>
      <c r="BS973" s="588"/>
      <c r="BT973" s="586"/>
      <c r="BU973" s="589"/>
      <c r="BV973" s="581">
        <f t="shared" si="44"/>
        <v>0</v>
      </c>
      <c r="BW973" s="590"/>
      <c r="BX973" s="347"/>
      <c r="BY973" s="347"/>
      <c r="BZ973" s="347"/>
      <c r="CA973" s="586"/>
      <c r="CB973" s="581"/>
      <c r="CC973" s="581">
        <f t="shared" si="193"/>
        <v>0</v>
      </c>
      <c r="CD973" s="581"/>
      <c r="CE973" s="581"/>
      <c r="CF973" s="581"/>
      <c r="CG973" s="586"/>
      <c r="CH973" s="608"/>
      <c r="CI973" s="603"/>
      <c r="CJ973" s="347"/>
      <c r="CK973" s="347"/>
      <c r="CL973" s="347"/>
      <c r="CM973" s="347"/>
      <c r="CN973" s="347"/>
      <c r="CO973" s="347"/>
      <c r="CP973" s="347"/>
    </row>
    <row r="974">
      <c r="A974" s="574"/>
      <c r="B974" s="574"/>
      <c r="C974" s="347"/>
      <c r="D974" s="574"/>
      <c r="E974" s="347"/>
      <c r="F974" s="596"/>
      <c r="G974" s="596"/>
      <c r="H974" s="347"/>
      <c r="I974" s="347"/>
      <c r="J974" s="596"/>
      <c r="K974" s="609"/>
      <c r="L974" s="1"/>
      <c r="M974" s="347"/>
      <c r="N974" s="347"/>
      <c r="O974" s="579"/>
      <c r="P974" s="579"/>
      <c r="Q974" s="574"/>
      <c r="R974" s="347"/>
      <c r="S974" s="597"/>
      <c r="T974" s="347"/>
      <c r="U974" s="579"/>
      <c r="V974" s="579"/>
      <c r="W974" s="574"/>
      <c r="X974" s="347"/>
      <c r="Y974" s="347"/>
      <c r="Z974" s="347"/>
      <c r="AA974" s="579"/>
      <c r="AB974" s="581"/>
      <c r="AC974" s="347"/>
      <c r="AD974" s="347"/>
      <c r="AE974" s="347"/>
      <c r="AF974" s="347"/>
      <c r="AG974" s="579"/>
      <c r="AH974" s="579"/>
      <c r="AI974" s="582"/>
      <c r="AJ974" s="582"/>
      <c r="AK974" s="582"/>
      <c r="AL974" s="582"/>
      <c r="AM974" s="579"/>
      <c r="AN974" s="579"/>
      <c r="AO974" s="347"/>
      <c r="AP974" s="586"/>
      <c r="AQ974" s="596"/>
      <c r="AR974" s="596"/>
      <c r="AS974" s="348"/>
      <c r="AT974" s="348"/>
      <c r="AU974" s="348"/>
      <c r="AV974" s="348"/>
      <c r="AW974" s="348"/>
      <c r="AX974" s="584"/>
      <c r="AY974" s="581"/>
      <c r="AZ974" s="581"/>
      <c r="BA974" s="596"/>
      <c r="BB974" s="596"/>
      <c r="BC974" s="348"/>
      <c r="BD974" s="581"/>
      <c r="BE974" s="581"/>
      <c r="BF974" s="347"/>
      <c r="BG974" s="347"/>
      <c r="BH974" s="347"/>
      <c r="BI974" s="347"/>
      <c r="BJ974" s="586"/>
      <c r="BK974" s="581"/>
      <c r="BL974" s="347"/>
      <c r="BM974" s="347"/>
      <c r="BN974" s="347"/>
      <c r="BO974" s="586"/>
      <c r="BP974" s="584"/>
      <c r="BQ974" s="347"/>
      <c r="BR974" s="586"/>
      <c r="BS974" s="588"/>
      <c r="BT974" s="586"/>
      <c r="BU974" s="589"/>
      <c r="BV974" s="581">
        <f t="shared" si="44"/>
        <v>0</v>
      </c>
      <c r="BW974" s="590"/>
      <c r="BX974" s="347"/>
      <c r="BY974" s="347"/>
      <c r="BZ974" s="347"/>
      <c r="CA974" s="586"/>
      <c r="CB974" s="581"/>
      <c r="CC974" s="581">
        <f t="shared" si="193"/>
        <v>0</v>
      </c>
      <c r="CD974" s="581"/>
      <c r="CE974" s="581"/>
      <c r="CF974" s="581"/>
      <c r="CG974" s="586"/>
      <c r="CH974" s="608"/>
      <c r="CI974" s="603"/>
      <c r="CJ974" s="347"/>
      <c r="CK974" s="347"/>
      <c r="CL974" s="347"/>
      <c r="CM974" s="347"/>
      <c r="CN974" s="347"/>
      <c r="CO974" s="347"/>
      <c r="CP974" s="347"/>
    </row>
    <row r="975">
      <c r="A975" s="574"/>
      <c r="B975" s="574"/>
      <c r="C975" s="347"/>
      <c r="D975" s="574"/>
      <c r="E975" s="347"/>
      <c r="F975" s="596"/>
      <c r="G975" s="596"/>
      <c r="H975" s="347"/>
      <c r="I975" s="347"/>
      <c r="J975" s="596"/>
      <c r="K975" s="609"/>
      <c r="L975" s="1"/>
      <c r="M975" s="347"/>
      <c r="N975" s="347"/>
      <c r="O975" s="579"/>
      <c r="P975" s="579"/>
      <c r="Q975" s="574"/>
      <c r="R975" s="347"/>
      <c r="S975" s="597"/>
      <c r="T975" s="347"/>
      <c r="U975" s="579"/>
      <c r="V975" s="579"/>
      <c r="W975" s="574"/>
      <c r="X975" s="347"/>
      <c r="Y975" s="347"/>
      <c r="Z975" s="347"/>
      <c r="AA975" s="579"/>
      <c r="AB975" s="581"/>
      <c r="AC975" s="347"/>
      <c r="AD975" s="347"/>
      <c r="AE975" s="347"/>
      <c r="AF975" s="347"/>
      <c r="AG975" s="579"/>
      <c r="AH975" s="579"/>
      <c r="AI975" s="582"/>
      <c r="AJ975" s="582"/>
      <c r="AK975" s="582"/>
      <c r="AL975" s="582"/>
      <c r="AM975" s="579"/>
      <c r="AN975" s="579"/>
      <c r="AO975" s="347"/>
      <c r="AP975" s="586"/>
      <c r="AQ975" s="596"/>
      <c r="AR975" s="596"/>
      <c r="AS975" s="348"/>
      <c r="AT975" s="348"/>
      <c r="AU975" s="348"/>
      <c r="AV975" s="348"/>
      <c r="AW975" s="348"/>
      <c r="AX975" s="584"/>
      <c r="AY975" s="581"/>
      <c r="AZ975" s="581"/>
      <c r="BA975" s="596"/>
      <c r="BB975" s="596"/>
      <c r="BC975" s="348"/>
      <c r="BD975" s="581"/>
      <c r="BE975" s="581"/>
      <c r="BF975" s="347"/>
      <c r="BG975" s="347"/>
      <c r="BH975" s="347"/>
      <c r="BI975" s="347"/>
      <c r="BJ975" s="586"/>
      <c r="BK975" s="581"/>
      <c r="BL975" s="347"/>
      <c r="BM975" s="347"/>
      <c r="BN975" s="347"/>
      <c r="BO975" s="586"/>
      <c r="BP975" s="584"/>
      <c r="BQ975" s="347"/>
      <c r="BR975" s="586"/>
      <c r="BS975" s="588"/>
      <c r="BT975" s="586"/>
      <c r="BU975" s="589"/>
      <c r="BV975" s="581">
        <f t="shared" si="44"/>
        <v>0</v>
      </c>
      <c r="BW975" s="590"/>
      <c r="BX975" s="347"/>
      <c r="BY975" s="347"/>
      <c r="BZ975" s="347"/>
      <c r="CA975" s="586"/>
      <c r="CB975" s="581"/>
      <c r="CC975" s="581">
        <f t="shared" si="193"/>
        <v>0</v>
      </c>
      <c r="CD975" s="581"/>
      <c r="CE975" s="581"/>
      <c r="CF975" s="581"/>
      <c r="CG975" s="586"/>
      <c r="CH975" s="608"/>
      <c r="CI975" s="603"/>
      <c r="CJ975" s="347"/>
      <c r="CK975" s="347"/>
      <c r="CL975" s="347"/>
      <c r="CM975" s="347"/>
      <c r="CN975" s="347"/>
      <c r="CO975" s="347"/>
      <c r="CP975" s="347"/>
    </row>
    <row r="976">
      <c r="A976" s="574"/>
      <c r="B976" s="574"/>
      <c r="C976" s="347"/>
      <c r="D976" s="574"/>
      <c r="E976" s="347"/>
      <c r="F976" s="596"/>
      <c r="G976" s="596"/>
      <c r="H976" s="347"/>
      <c r="I976" s="347"/>
      <c r="J976" s="596"/>
      <c r="K976" s="609"/>
      <c r="L976" s="1"/>
      <c r="M976" s="347"/>
      <c r="N976" s="347"/>
      <c r="O976" s="579"/>
      <c r="P976" s="579"/>
      <c r="Q976" s="574"/>
      <c r="R976" s="347"/>
      <c r="S976" s="597"/>
      <c r="T976" s="347"/>
      <c r="U976" s="579"/>
      <c r="V976" s="579"/>
      <c r="W976" s="574"/>
      <c r="X976" s="347"/>
      <c r="Y976" s="347"/>
      <c r="Z976" s="347"/>
      <c r="AA976" s="579"/>
      <c r="AB976" s="581"/>
      <c r="AC976" s="347"/>
      <c r="AD976" s="347"/>
      <c r="AE976" s="347"/>
      <c r="AF976" s="347"/>
      <c r="AG976" s="579"/>
      <c r="AH976" s="579"/>
      <c r="AI976" s="582"/>
      <c r="AJ976" s="582"/>
      <c r="AK976" s="582"/>
      <c r="AL976" s="582"/>
      <c r="AM976" s="579"/>
      <c r="AN976" s="579"/>
      <c r="AO976" s="347"/>
      <c r="AP976" s="586"/>
      <c r="AQ976" s="596"/>
      <c r="AR976" s="596"/>
      <c r="AS976" s="348"/>
      <c r="AT976" s="348"/>
      <c r="AU976" s="348"/>
      <c r="AV976" s="348"/>
      <c r="AW976" s="348"/>
      <c r="AX976" s="584"/>
      <c r="AY976" s="581"/>
      <c r="AZ976" s="581"/>
      <c r="BA976" s="596"/>
      <c r="BB976" s="596"/>
      <c r="BC976" s="348"/>
      <c r="BD976" s="581"/>
      <c r="BE976" s="581"/>
      <c r="BF976" s="347"/>
      <c r="BG976" s="347"/>
      <c r="BH976" s="347"/>
      <c r="BI976" s="347"/>
      <c r="BJ976" s="586"/>
      <c r="BK976" s="581"/>
      <c r="BL976" s="347"/>
      <c r="BM976" s="347"/>
      <c r="BN976" s="347"/>
      <c r="BO976" s="586"/>
      <c r="BP976" s="584"/>
      <c r="BQ976" s="347"/>
      <c r="BR976" s="586"/>
      <c r="BS976" s="588"/>
      <c r="BT976" s="586"/>
      <c r="BU976" s="589"/>
      <c r="BV976" s="581">
        <f t="shared" si="44"/>
        <v>0</v>
      </c>
      <c r="BW976" s="590"/>
      <c r="BX976" s="347"/>
      <c r="BY976" s="347"/>
      <c r="BZ976" s="347"/>
      <c r="CA976" s="586"/>
      <c r="CB976" s="581"/>
      <c r="CC976" s="581">
        <f t="shared" si="193"/>
        <v>0</v>
      </c>
      <c r="CD976" s="581"/>
      <c r="CE976" s="581"/>
      <c r="CF976" s="581"/>
      <c r="CG976" s="586"/>
      <c r="CH976" s="608"/>
      <c r="CI976" s="603"/>
      <c r="CJ976" s="347"/>
      <c r="CK976" s="347"/>
      <c r="CL976" s="347"/>
      <c r="CM976" s="347"/>
      <c r="CN976" s="347"/>
      <c r="CO976" s="347"/>
      <c r="CP976" s="347"/>
    </row>
    <row r="977">
      <c r="A977" s="574"/>
      <c r="B977" s="574"/>
      <c r="C977" s="347"/>
      <c r="D977" s="574"/>
      <c r="E977" s="347"/>
      <c r="F977" s="596"/>
      <c r="G977" s="596"/>
      <c r="H977" s="347"/>
      <c r="I977" s="347"/>
      <c r="J977" s="596"/>
      <c r="K977" s="609"/>
      <c r="L977" s="1"/>
      <c r="M977" s="347"/>
      <c r="N977" s="347"/>
      <c r="O977" s="579"/>
      <c r="P977" s="579"/>
      <c r="Q977" s="574"/>
      <c r="R977" s="347"/>
      <c r="S977" s="597"/>
      <c r="T977" s="347"/>
      <c r="U977" s="579"/>
      <c r="V977" s="579"/>
      <c r="W977" s="574"/>
      <c r="X977" s="347"/>
      <c r="Y977" s="347"/>
      <c r="Z977" s="347"/>
      <c r="AA977" s="579"/>
      <c r="AB977" s="581"/>
      <c r="AC977" s="347"/>
      <c r="AD977" s="347"/>
      <c r="AE977" s="347"/>
      <c r="AF977" s="347"/>
      <c r="AG977" s="579"/>
      <c r="AH977" s="579"/>
      <c r="AI977" s="582"/>
      <c r="AJ977" s="582"/>
      <c r="AK977" s="582"/>
      <c r="AL977" s="582"/>
      <c r="AM977" s="579"/>
      <c r="AN977" s="579"/>
      <c r="AO977" s="347"/>
      <c r="AP977" s="586"/>
      <c r="AQ977" s="596"/>
      <c r="AR977" s="596"/>
      <c r="AS977" s="348"/>
      <c r="AT977" s="348"/>
      <c r="AU977" s="348"/>
      <c r="AV977" s="348"/>
      <c r="AW977" s="348"/>
      <c r="AX977" s="584"/>
      <c r="AY977" s="581"/>
      <c r="AZ977" s="581"/>
      <c r="BA977" s="596"/>
      <c r="BB977" s="596"/>
      <c r="BC977" s="348"/>
      <c r="BD977" s="581"/>
      <c r="BE977" s="581"/>
      <c r="BF977" s="347"/>
      <c r="BG977" s="347"/>
      <c r="BH977" s="347"/>
      <c r="BI977" s="347"/>
      <c r="BJ977" s="586"/>
      <c r="BK977" s="581"/>
      <c r="BL977" s="347"/>
      <c r="BM977" s="347"/>
      <c r="BN977" s="347"/>
      <c r="BO977" s="586"/>
      <c r="BP977" s="584"/>
      <c r="BQ977" s="347"/>
      <c r="BR977" s="586"/>
      <c r="BS977" s="588"/>
      <c r="BT977" s="586"/>
      <c r="BU977" s="589"/>
      <c r="BV977" s="581">
        <f t="shared" si="44"/>
        <v>0</v>
      </c>
      <c r="BW977" s="590"/>
      <c r="BX977" s="347"/>
      <c r="BY977" s="347"/>
      <c r="BZ977" s="347"/>
      <c r="CA977" s="586"/>
      <c r="CB977" s="581"/>
      <c r="CC977" s="581">
        <f t="shared" si="193"/>
        <v>0</v>
      </c>
      <c r="CD977" s="581"/>
      <c r="CE977" s="581"/>
      <c r="CF977" s="581"/>
      <c r="CG977" s="586"/>
      <c r="CH977" s="608"/>
      <c r="CI977" s="603"/>
      <c r="CJ977" s="347"/>
      <c r="CK977" s="347"/>
      <c r="CL977" s="347"/>
      <c r="CM977" s="347"/>
      <c r="CN977" s="347"/>
      <c r="CO977" s="347"/>
      <c r="CP977" s="347"/>
    </row>
    <row r="978">
      <c r="A978" s="574"/>
      <c r="B978" s="574"/>
      <c r="C978" s="347"/>
      <c r="D978" s="574"/>
      <c r="E978" s="347"/>
      <c r="F978" s="596"/>
      <c r="G978" s="596"/>
      <c r="H978" s="347"/>
      <c r="I978" s="347"/>
      <c r="J978" s="596"/>
      <c r="K978" s="609"/>
      <c r="L978" s="1"/>
      <c r="M978" s="347"/>
      <c r="N978" s="347"/>
      <c r="O978" s="579"/>
      <c r="P978" s="579"/>
      <c r="Q978" s="574"/>
      <c r="R978" s="347"/>
      <c r="S978" s="597"/>
      <c r="T978" s="347"/>
      <c r="U978" s="579"/>
      <c r="V978" s="579"/>
      <c r="W978" s="574"/>
      <c r="X978" s="347"/>
      <c r="Y978" s="347"/>
      <c r="Z978" s="347"/>
      <c r="AA978" s="579"/>
      <c r="AB978" s="581"/>
      <c r="AC978" s="347"/>
      <c r="AD978" s="347"/>
      <c r="AE978" s="347"/>
      <c r="AF978" s="347"/>
      <c r="AG978" s="579"/>
      <c r="AH978" s="579"/>
      <c r="AI978" s="582"/>
      <c r="AJ978" s="582"/>
      <c r="AK978" s="582"/>
      <c r="AL978" s="582"/>
      <c r="AM978" s="579"/>
      <c r="AN978" s="579"/>
      <c r="AO978" s="347"/>
      <c r="AP978" s="586"/>
      <c r="AQ978" s="596"/>
      <c r="AR978" s="596"/>
      <c r="AS978" s="348"/>
      <c r="AT978" s="348"/>
      <c r="AU978" s="348"/>
      <c r="AV978" s="348"/>
      <c r="AW978" s="348"/>
      <c r="AX978" s="584"/>
      <c r="AY978" s="581"/>
      <c r="AZ978" s="581"/>
      <c r="BA978" s="596"/>
      <c r="BB978" s="596"/>
      <c r="BC978" s="348"/>
      <c r="BD978" s="581"/>
      <c r="BE978" s="581"/>
      <c r="BF978" s="347"/>
      <c r="BG978" s="347"/>
      <c r="BH978" s="347"/>
      <c r="BI978" s="347"/>
      <c r="BJ978" s="586"/>
      <c r="BK978" s="581"/>
      <c r="BL978" s="347"/>
      <c r="BM978" s="347"/>
      <c r="BN978" s="347"/>
      <c r="BO978" s="586"/>
      <c r="BP978" s="584"/>
      <c r="BQ978" s="347"/>
      <c r="BR978" s="586"/>
      <c r="BS978" s="588"/>
      <c r="BT978" s="586"/>
      <c r="BU978" s="589"/>
      <c r="BV978" s="581">
        <f t="shared" si="44"/>
        <v>0</v>
      </c>
      <c r="BW978" s="590"/>
      <c r="BX978" s="347"/>
      <c r="BY978" s="347"/>
      <c r="BZ978" s="347"/>
      <c r="CA978" s="586"/>
      <c r="CB978" s="581"/>
      <c r="CC978" s="581">
        <f t="shared" si="193"/>
        <v>0</v>
      </c>
      <c r="CD978" s="581"/>
      <c r="CE978" s="581"/>
      <c r="CF978" s="581"/>
      <c r="CG978" s="586"/>
      <c r="CH978" s="608"/>
      <c r="CI978" s="603"/>
      <c r="CJ978" s="347"/>
      <c r="CK978" s="347"/>
      <c r="CL978" s="347"/>
      <c r="CM978" s="347"/>
      <c r="CN978" s="347"/>
      <c r="CO978" s="347"/>
      <c r="CP978" s="347"/>
    </row>
    <row r="979">
      <c r="A979" s="574"/>
      <c r="B979" s="574"/>
      <c r="C979" s="347"/>
      <c r="D979" s="574"/>
      <c r="E979" s="347"/>
      <c r="F979" s="596"/>
      <c r="G979" s="596"/>
      <c r="H979" s="347"/>
      <c r="I979" s="347"/>
      <c r="J979" s="596"/>
      <c r="K979" s="609"/>
      <c r="L979" s="1"/>
      <c r="M979" s="347"/>
      <c r="N979" s="347"/>
      <c r="O979" s="579"/>
      <c r="P979" s="579"/>
      <c r="Q979" s="574"/>
      <c r="R979" s="347"/>
      <c r="S979" s="597"/>
      <c r="T979" s="347"/>
      <c r="U979" s="579"/>
      <c r="V979" s="579"/>
      <c r="W979" s="574"/>
      <c r="X979" s="347"/>
      <c r="Y979" s="347"/>
      <c r="Z979" s="347"/>
      <c r="AA979" s="579"/>
      <c r="AB979" s="581"/>
      <c r="AC979" s="347"/>
      <c r="AD979" s="347"/>
      <c r="AE979" s="347"/>
      <c r="AF979" s="347"/>
      <c r="AG979" s="579"/>
      <c r="AH979" s="579"/>
      <c r="AI979" s="582"/>
      <c r="AJ979" s="582"/>
      <c r="AK979" s="582"/>
      <c r="AL979" s="582"/>
      <c r="AM979" s="579"/>
      <c r="AN979" s="579"/>
      <c r="AO979" s="347"/>
      <c r="AP979" s="586"/>
      <c r="AQ979" s="596"/>
      <c r="AR979" s="596"/>
      <c r="AS979" s="348"/>
      <c r="AT979" s="348"/>
      <c r="AU979" s="348"/>
      <c r="AV979" s="348"/>
      <c r="AW979" s="348"/>
      <c r="AX979" s="584"/>
      <c r="AY979" s="581"/>
      <c r="AZ979" s="581"/>
      <c r="BA979" s="596"/>
      <c r="BB979" s="596"/>
      <c r="BC979" s="348"/>
      <c r="BD979" s="581"/>
      <c r="BE979" s="581"/>
      <c r="BF979" s="347"/>
      <c r="BG979" s="347"/>
      <c r="BH979" s="347"/>
      <c r="BI979" s="347"/>
      <c r="BJ979" s="586"/>
      <c r="BK979" s="581"/>
      <c r="BL979" s="347"/>
      <c r="BM979" s="347"/>
      <c r="BN979" s="347"/>
      <c r="BO979" s="586"/>
      <c r="BP979" s="584"/>
      <c r="BQ979" s="347"/>
      <c r="BR979" s="586"/>
      <c r="BS979" s="588"/>
      <c r="BT979" s="586"/>
      <c r="BU979" s="589"/>
      <c r="BV979" s="581">
        <f t="shared" si="44"/>
        <v>0</v>
      </c>
      <c r="BW979" s="590"/>
      <c r="BX979" s="347"/>
      <c r="BY979" s="347"/>
      <c r="BZ979" s="347"/>
      <c r="CA979" s="586"/>
      <c r="CB979" s="581"/>
      <c r="CC979" s="581">
        <f t="shared" si="193"/>
        <v>0</v>
      </c>
      <c r="CD979" s="581"/>
      <c r="CE979" s="581"/>
      <c r="CF979" s="581"/>
      <c r="CG979" s="586"/>
      <c r="CH979" s="608"/>
      <c r="CI979" s="603"/>
      <c r="CJ979" s="347"/>
      <c r="CK979" s="347"/>
      <c r="CL979" s="347"/>
      <c r="CM979" s="347"/>
      <c r="CN979" s="347"/>
      <c r="CO979" s="347"/>
      <c r="CP979" s="347"/>
    </row>
    <row r="980">
      <c r="A980" s="574"/>
      <c r="B980" s="574"/>
      <c r="C980" s="347"/>
      <c r="D980" s="574"/>
      <c r="E980" s="347"/>
      <c r="F980" s="596"/>
      <c r="G980" s="596"/>
      <c r="H980" s="347"/>
      <c r="I980" s="347"/>
      <c r="J980" s="596"/>
      <c r="K980" s="609"/>
      <c r="L980" s="1"/>
      <c r="M980" s="347"/>
      <c r="N980" s="347"/>
      <c r="O980" s="579"/>
      <c r="P980" s="579"/>
      <c r="Q980" s="574"/>
      <c r="R980" s="347"/>
      <c r="S980" s="597"/>
      <c r="T980" s="347"/>
      <c r="U980" s="579"/>
      <c r="V980" s="579"/>
      <c r="W980" s="574"/>
      <c r="X980" s="347"/>
      <c r="Y980" s="347"/>
      <c r="Z980" s="347"/>
      <c r="AA980" s="579"/>
      <c r="AB980" s="581"/>
      <c r="AC980" s="347"/>
      <c r="AD980" s="347"/>
      <c r="AE980" s="347"/>
      <c r="AF980" s="347"/>
      <c r="AG980" s="579"/>
      <c r="AH980" s="579"/>
      <c r="AI980" s="582"/>
      <c r="AJ980" s="582"/>
      <c r="AK980" s="582"/>
      <c r="AL980" s="582"/>
      <c r="AM980" s="579"/>
      <c r="AN980" s="579"/>
      <c r="AO980" s="347"/>
      <c r="AP980" s="586"/>
      <c r="AQ980" s="596"/>
      <c r="AR980" s="596"/>
      <c r="AS980" s="348"/>
      <c r="AT980" s="348"/>
      <c r="AU980" s="348"/>
      <c r="AV980" s="348"/>
      <c r="AW980" s="348"/>
      <c r="AX980" s="584"/>
      <c r="AY980" s="581"/>
      <c r="AZ980" s="581"/>
      <c r="BA980" s="596"/>
      <c r="BB980" s="596"/>
      <c r="BC980" s="348"/>
      <c r="BD980" s="581"/>
      <c r="BE980" s="581"/>
      <c r="BF980" s="347"/>
      <c r="BG980" s="347"/>
      <c r="BH980" s="347"/>
      <c r="BI980" s="347"/>
      <c r="BJ980" s="586"/>
      <c r="BK980" s="581"/>
      <c r="BL980" s="347"/>
      <c r="BM980" s="347"/>
      <c r="BN980" s="347"/>
      <c r="BO980" s="586"/>
      <c r="BP980" s="584"/>
      <c r="BQ980" s="347"/>
      <c r="BR980" s="586"/>
      <c r="BS980" s="588"/>
      <c r="BT980" s="586"/>
      <c r="BU980" s="589"/>
      <c r="BV980" s="581">
        <f t="shared" si="44"/>
        <v>0</v>
      </c>
      <c r="BW980" s="590"/>
      <c r="BX980" s="347"/>
      <c r="BY980" s="347"/>
      <c r="BZ980" s="347"/>
      <c r="CA980" s="586"/>
      <c r="CB980" s="581"/>
      <c r="CC980" s="581">
        <f t="shared" si="193"/>
        <v>0</v>
      </c>
      <c r="CD980" s="581"/>
      <c r="CE980" s="581"/>
      <c r="CF980" s="581"/>
      <c r="CG980" s="586"/>
      <c r="CH980" s="608"/>
      <c r="CI980" s="603"/>
      <c r="CJ980" s="347"/>
      <c r="CK980" s="347"/>
      <c r="CL980" s="347"/>
      <c r="CM980" s="347"/>
      <c r="CN980" s="347"/>
      <c r="CO980" s="347"/>
      <c r="CP980" s="347"/>
    </row>
    <row r="981">
      <c r="A981" s="574"/>
      <c r="B981" s="574"/>
      <c r="C981" s="347"/>
      <c r="D981" s="574"/>
      <c r="E981" s="347"/>
      <c r="F981" s="596"/>
      <c r="G981" s="596"/>
      <c r="H981" s="347"/>
      <c r="I981" s="347"/>
      <c r="J981" s="596"/>
      <c r="K981" s="609"/>
      <c r="L981" s="1"/>
      <c r="M981" s="347"/>
      <c r="N981" s="347"/>
      <c r="O981" s="579"/>
      <c r="P981" s="579"/>
      <c r="Q981" s="574"/>
      <c r="R981" s="347"/>
      <c r="S981" s="597"/>
      <c r="T981" s="347"/>
      <c r="U981" s="579"/>
      <c r="V981" s="579"/>
      <c r="W981" s="574"/>
      <c r="X981" s="347"/>
      <c r="Y981" s="347"/>
      <c r="Z981" s="347"/>
      <c r="AA981" s="579"/>
      <c r="AB981" s="581"/>
      <c r="AC981" s="347"/>
      <c r="AD981" s="347"/>
      <c r="AE981" s="347"/>
      <c r="AF981" s="347"/>
      <c r="AG981" s="579"/>
      <c r="AH981" s="579"/>
      <c r="AI981" s="582"/>
      <c r="AJ981" s="582"/>
      <c r="AK981" s="582"/>
      <c r="AL981" s="582"/>
      <c r="AM981" s="579"/>
      <c r="AN981" s="579"/>
      <c r="AO981" s="347"/>
      <c r="AP981" s="586"/>
      <c r="AQ981" s="596"/>
      <c r="AR981" s="596"/>
      <c r="AS981" s="348"/>
      <c r="AT981" s="348"/>
      <c r="AU981" s="348"/>
      <c r="AV981" s="348"/>
      <c r="AW981" s="348"/>
      <c r="AX981" s="584"/>
      <c r="AY981" s="581"/>
      <c r="AZ981" s="581"/>
      <c r="BA981" s="596"/>
      <c r="BB981" s="596"/>
      <c r="BC981" s="348"/>
      <c r="BD981" s="581"/>
      <c r="BE981" s="581"/>
      <c r="BF981" s="347"/>
      <c r="BG981" s="347"/>
      <c r="BH981" s="347"/>
      <c r="BI981" s="347"/>
      <c r="BJ981" s="586"/>
      <c r="BK981" s="581"/>
      <c r="BL981" s="347"/>
      <c r="BM981" s="347"/>
      <c r="BN981" s="347"/>
      <c r="BO981" s="586"/>
      <c r="BP981" s="584"/>
      <c r="BQ981" s="347"/>
      <c r="BR981" s="586"/>
      <c r="BS981" s="588"/>
      <c r="BT981" s="586"/>
      <c r="BU981" s="589"/>
      <c r="BV981" s="581">
        <f t="shared" si="44"/>
        <v>0</v>
      </c>
      <c r="BW981" s="590"/>
      <c r="BX981" s="347"/>
      <c r="BY981" s="347"/>
      <c r="BZ981" s="347"/>
      <c r="CA981" s="586"/>
      <c r="CB981" s="581"/>
      <c r="CC981" s="581">
        <f t="shared" si="193"/>
        <v>0</v>
      </c>
      <c r="CD981" s="581"/>
      <c r="CE981" s="581"/>
      <c r="CF981" s="581"/>
      <c r="CG981" s="586"/>
      <c r="CH981" s="608"/>
      <c r="CI981" s="603"/>
      <c r="CJ981" s="347"/>
      <c r="CK981" s="347"/>
      <c r="CL981" s="347"/>
      <c r="CM981" s="347"/>
      <c r="CN981" s="347"/>
      <c r="CO981" s="347"/>
      <c r="CP981" s="347"/>
    </row>
    <row r="982">
      <c r="A982" s="574"/>
      <c r="B982" s="574"/>
      <c r="C982" s="347"/>
      <c r="D982" s="574"/>
      <c r="E982" s="347"/>
      <c r="F982" s="596"/>
      <c r="G982" s="596"/>
      <c r="H982" s="347"/>
      <c r="I982" s="347"/>
      <c r="J982" s="596"/>
      <c r="K982" s="609"/>
      <c r="L982" s="1"/>
      <c r="M982" s="347"/>
      <c r="N982" s="347"/>
      <c r="O982" s="579"/>
      <c r="P982" s="579"/>
      <c r="Q982" s="574"/>
      <c r="R982" s="347"/>
      <c r="S982" s="597"/>
      <c r="T982" s="347"/>
      <c r="U982" s="579"/>
      <c r="V982" s="579"/>
      <c r="W982" s="574"/>
      <c r="X982" s="347"/>
      <c r="Y982" s="347"/>
      <c r="Z982" s="347"/>
      <c r="AA982" s="579"/>
      <c r="AB982" s="581"/>
      <c r="AC982" s="347"/>
      <c r="AD982" s="347"/>
      <c r="AE982" s="347"/>
      <c r="AF982" s="347"/>
      <c r="AG982" s="579"/>
      <c r="AH982" s="579"/>
      <c r="AI982" s="582"/>
      <c r="AJ982" s="582"/>
      <c r="AK982" s="582"/>
      <c r="AL982" s="582"/>
      <c r="AM982" s="579"/>
      <c r="AN982" s="579"/>
      <c r="AO982" s="347"/>
      <c r="AP982" s="586"/>
      <c r="AQ982" s="596"/>
      <c r="AR982" s="596"/>
      <c r="AS982" s="348"/>
      <c r="AT982" s="348"/>
      <c r="AU982" s="348"/>
      <c r="AV982" s="348"/>
      <c r="AW982" s="348"/>
      <c r="AX982" s="584"/>
      <c r="AY982" s="581"/>
      <c r="AZ982" s="581"/>
      <c r="BA982" s="596"/>
      <c r="BB982" s="596"/>
      <c r="BC982" s="348"/>
      <c r="BD982" s="581"/>
      <c r="BE982" s="581"/>
      <c r="BF982" s="347"/>
      <c r="BG982" s="347"/>
      <c r="BH982" s="347"/>
      <c r="BI982" s="347"/>
      <c r="BJ982" s="586"/>
      <c r="BK982" s="581"/>
      <c r="BL982" s="347"/>
      <c r="BM982" s="347"/>
      <c r="BN982" s="347"/>
      <c r="BO982" s="586"/>
      <c r="BP982" s="584"/>
      <c r="BQ982" s="347"/>
      <c r="BR982" s="586"/>
      <c r="BS982" s="588"/>
      <c r="BT982" s="586"/>
      <c r="BU982" s="589"/>
      <c r="BV982" s="581">
        <f t="shared" si="44"/>
        <v>0</v>
      </c>
      <c r="BW982" s="590"/>
      <c r="BX982" s="347"/>
      <c r="BY982" s="347"/>
      <c r="BZ982" s="347"/>
      <c r="CA982" s="586"/>
      <c r="CB982" s="581"/>
      <c r="CC982" s="581">
        <f t="shared" si="193"/>
        <v>0</v>
      </c>
      <c r="CD982" s="581"/>
      <c r="CE982" s="581"/>
      <c r="CF982" s="581"/>
      <c r="CG982" s="586"/>
      <c r="CH982" s="608"/>
      <c r="CI982" s="603"/>
      <c r="CJ982" s="347"/>
      <c r="CK982" s="347"/>
      <c r="CL982" s="347"/>
      <c r="CM982" s="347"/>
      <c r="CN982" s="347"/>
      <c r="CO982" s="347"/>
      <c r="CP982" s="347"/>
    </row>
    <row r="983">
      <c r="A983" s="574"/>
      <c r="B983" s="574"/>
      <c r="C983" s="347"/>
      <c r="D983" s="574"/>
      <c r="E983" s="347"/>
      <c r="F983" s="596"/>
      <c r="G983" s="596"/>
      <c r="H983" s="347"/>
      <c r="I983" s="347"/>
      <c r="J983" s="596"/>
      <c r="K983" s="609"/>
      <c r="L983" s="1"/>
      <c r="M983" s="347"/>
      <c r="N983" s="347"/>
      <c r="O983" s="579"/>
      <c r="P983" s="579"/>
      <c r="Q983" s="574"/>
      <c r="R983" s="347"/>
      <c r="S983" s="597"/>
      <c r="T983" s="347"/>
      <c r="U983" s="579"/>
      <c r="V983" s="579"/>
      <c r="W983" s="574"/>
      <c r="X983" s="347"/>
      <c r="Y983" s="347"/>
      <c r="Z983" s="347"/>
      <c r="AA983" s="579"/>
      <c r="AB983" s="581"/>
      <c r="AC983" s="347"/>
      <c r="AD983" s="347"/>
      <c r="AE983" s="347"/>
      <c r="AF983" s="347"/>
      <c r="AG983" s="579"/>
      <c r="AH983" s="579"/>
      <c r="AI983" s="582"/>
      <c r="AJ983" s="582"/>
      <c r="AK983" s="582"/>
      <c r="AL983" s="582"/>
      <c r="AM983" s="579"/>
      <c r="AN983" s="579"/>
      <c r="AO983" s="347"/>
      <c r="AP983" s="586"/>
      <c r="AQ983" s="596"/>
      <c r="AR983" s="596"/>
      <c r="AS983" s="348"/>
      <c r="AT983" s="348"/>
      <c r="AU983" s="348"/>
      <c r="AV983" s="348"/>
      <c r="AW983" s="348"/>
      <c r="AX983" s="584"/>
      <c r="AY983" s="581"/>
      <c r="AZ983" s="581"/>
      <c r="BA983" s="596"/>
      <c r="BB983" s="596"/>
      <c r="BC983" s="348"/>
      <c r="BD983" s="581"/>
      <c r="BE983" s="581"/>
      <c r="BF983" s="347"/>
      <c r="BG983" s="347"/>
      <c r="BH983" s="347"/>
      <c r="BI983" s="347"/>
      <c r="BJ983" s="586"/>
      <c r="BK983" s="581"/>
      <c r="BL983" s="347"/>
      <c r="BM983" s="347"/>
      <c r="BN983" s="347"/>
      <c r="BO983" s="586"/>
      <c r="BP983" s="584"/>
      <c r="BQ983" s="347"/>
      <c r="BR983" s="586"/>
      <c r="BS983" s="588"/>
      <c r="BT983" s="586"/>
      <c r="BU983" s="589"/>
      <c r="BV983" s="581">
        <f t="shared" si="44"/>
        <v>0</v>
      </c>
      <c r="BW983" s="590"/>
      <c r="BX983" s="347"/>
      <c r="BY983" s="347"/>
      <c r="BZ983" s="347"/>
      <c r="CA983" s="586"/>
      <c r="CB983" s="581"/>
      <c r="CC983" s="581">
        <f t="shared" si="193"/>
        <v>0</v>
      </c>
      <c r="CD983" s="581"/>
      <c r="CE983" s="581"/>
      <c r="CF983" s="581"/>
      <c r="CG983" s="586"/>
      <c r="CH983" s="608"/>
      <c r="CI983" s="603"/>
      <c r="CJ983" s="347"/>
      <c r="CK983" s="347"/>
      <c r="CL983" s="347"/>
      <c r="CM983" s="347"/>
      <c r="CN983" s="347"/>
      <c r="CO983" s="347"/>
      <c r="CP983" s="347"/>
    </row>
    <row r="984">
      <c r="A984" s="574"/>
      <c r="B984" s="574"/>
      <c r="C984" s="347"/>
      <c r="D984" s="574"/>
      <c r="E984" s="347"/>
      <c r="F984" s="596"/>
      <c r="G984" s="596"/>
      <c r="H984" s="347"/>
      <c r="I984" s="347"/>
      <c r="J984" s="596"/>
      <c r="K984" s="609"/>
      <c r="L984" s="1"/>
      <c r="M984" s="347"/>
      <c r="N984" s="347"/>
      <c r="O984" s="579"/>
      <c r="P984" s="579"/>
      <c r="Q984" s="574"/>
      <c r="R984" s="347"/>
      <c r="S984" s="597"/>
      <c r="T984" s="347"/>
      <c r="U984" s="579"/>
      <c r="V984" s="579"/>
      <c r="W984" s="574"/>
      <c r="X984" s="347"/>
      <c r="Y984" s="347"/>
      <c r="Z984" s="347"/>
      <c r="AA984" s="579"/>
      <c r="AB984" s="581"/>
      <c r="AC984" s="347"/>
      <c r="AD984" s="347"/>
      <c r="AE984" s="347"/>
      <c r="AF984" s="347"/>
      <c r="AG984" s="579"/>
      <c r="AH984" s="579"/>
      <c r="AI984" s="582"/>
      <c r="AJ984" s="582"/>
      <c r="AK984" s="582"/>
      <c r="AL984" s="582"/>
      <c r="AM984" s="579"/>
      <c r="AN984" s="579"/>
      <c r="AO984" s="347"/>
      <c r="AP984" s="586"/>
      <c r="AQ984" s="596"/>
      <c r="AR984" s="596"/>
      <c r="AS984" s="348"/>
      <c r="AT984" s="348"/>
      <c r="AU984" s="348"/>
      <c r="AV984" s="348"/>
      <c r="AW984" s="348"/>
      <c r="AX984" s="584"/>
      <c r="AY984" s="581"/>
      <c r="AZ984" s="581"/>
      <c r="BA984" s="596"/>
      <c r="BB984" s="596"/>
      <c r="BC984" s="348"/>
      <c r="BD984" s="581"/>
      <c r="BE984" s="581"/>
      <c r="BF984" s="347"/>
      <c r="BG984" s="347"/>
      <c r="BH984" s="347"/>
      <c r="BI984" s="347"/>
      <c r="BJ984" s="586"/>
      <c r="BK984" s="581"/>
      <c r="BL984" s="347"/>
      <c r="BM984" s="347"/>
      <c r="BN984" s="347"/>
      <c r="BO984" s="586"/>
      <c r="BP984" s="584"/>
      <c r="BQ984" s="347"/>
      <c r="BR984" s="586"/>
      <c r="BS984" s="588"/>
      <c r="BT984" s="586"/>
      <c r="BU984" s="589"/>
      <c r="BV984" s="581">
        <f t="shared" si="44"/>
        <v>0</v>
      </c>
      <c r="BW984" s="590"/>
      <c r="BX984" s="347"/>
      <c r="BY984" s="347"/>
      <c r="BZ984" s="347"/>
      <c r="CA984" s="586"/>
      <c r="CB984" s="581"/>
      <c r="CC984" s="581">
        <f t="shared" si="193"/>
        <v>0</v>
      </c>
      <c r="CD984" s="581"/>
      <c r="CE984" s="581"/>
      <c r="CF984" s="581"/>
      <c r="CG984" s="586"/>
      <c r="CH984" s="608"/>
      <c r="CI984" s="603"/>
      <c r="CJ984" s="347"/>
      <c r="CK984" s="347"/>
      <c r="CL984" s="347"/>
      <c r="CM984" s="347"/>
      <c r="CN984" s="347"/>
      <c r="CO984" s="347"/>
      <c r="CP984" s="347"/>
    </row>
    <row r="985">
      <c r="A985" s="574"/>
      <c r="B985" s="574"/>
      <c r="C985" s="347"/>
      <c r="D985" s="574"/>
      <c r="E985" s="347"/>
      <c r="F985" s="596"/>
      <c r="G985" s="596"/>
      <c r="H985" s="347"/>
      <c r="I985" s="347"/>
      <c r="J985" s="596"/>
      <c r="K985" s="609"/>
      <c r="L985" s="1"/>
      <c r="M985" s="347"/>
      <c r="N985" s="347"/>
      <c r="O985" s="579"/>
      <c r="P985" s="579"/>
      <c r="Q985" s="574"/>
      <c r="R985" s="347"/>
      <c r="S985" s="597"/>
      <c r="T985" s="347"/>
      <c r="U985" s="579"/>
      <c r="V985" s="579"/>
      <c r="W985" s="574"/>
      <c r="X985" s="347"/>
      <c r="Y985" s="347"/>
      <c r="Z985" s="347"/>
      <c r="AA985" s="579"/>
      <c r="AB985" s="581"/>
      <c r="AC985" s="347"/>
      <c r="AD985" s="347"/>
      <c r="AE985" s="347"/>
      <c r="AF985" s="347"/>
      <c r="AG985" s="579"/>
      <c r="AH985" s="579"/>
      <c r="AI985" s="582"/>
      <c r="AJ985" s="582"/>
      <c r="AK985" s="582"/>
      <c r="AL985" s="582"/>
      <c r="AM985" s="579"/>
      <c r="AN985" s="579"/>
      <c r="AO985" s="347"/>
      <c r="AP985" s="586"/>
      <c r="AQ985" s="596"/>
      <c r="AR985" s="596"/>
      <c r="AS985" s="348"/>
      <c r="AT985" s="348"/>
      <c r="AU985" s="348"/>
      <c r="AV985" s="348"/>
      <c r="AW985" s="348"/>
      <c r="AX985" s="584"/>
      <c r="AY985" s="581"/>
      <c r="AZ985" s="581"/>
      <c r="BA985" s="596"/>
      <c r="BB985" s="596"/>
      <c r="BC985" s="348"/>
      <c r="BD985" s="581"/>
      <c r="BE985" s="581"/>
      <c r="BF985" s="347"/>
      <c r="BG985" s="347"/>
      <c r="BH985" s="347"/>
      <c r="BI985" s="347"/>
      <c r="BJ985" s="586"/>
      <c r="BK985" s="581"/>
      <c r="BL985" s="347"/>
      <c r="BM985" s="347"/>
      <c r="BN985" s="347"/>
      <c r="BO985" s="586"/>
      <c r="BP985" s="584"/>
      <c r="BQ985" s="347"/>
      <c r="BR985" s="586"/>
      <c r="BS985" s="588"/>
      <c r="BT985" s="586"/>
      <c r="BU985" s="589"/>
      <c r="BV985" s="581">
        <f t="shared" si="44"/>
        <v>0</v>
      </c>
      <c r="BW985" s="590"/>
      <c r="BX985" s="347"/>
      <c r="BY985" s="347"/>
      <c r="BZ985" s="347"/>
      <c r="CA985" s="586"/>
      <c r="CB985" s="581"/>
      <c r="CC985" s="581">
        <f t="shared" si="193"/>
        <v>0</v>
      </c>
      <c r="CD985" s="581"/>
      <c r="CE985" s="581"/>
      <c r="CF985" s="581"/>
      <c r="CG985" s="586"/>
      <c r="CH985" s="608"/>
      <c r="CI985" s="603"/>
      <c r="CJ985" s="347"/>
      <c r="CK985" s="347"/>
      <c r="CL985" s="347"/>
      <c r="CM985" s="347"/>
      <c r="CN985" s="347"/>
      <c r="CO985" s="347"/>
      <c r="CP985" s="347"/>
    </row>
    <row r="986">
      <c r="A986" s="574"/>
      <c r="B986" s="574"/>
      <c r="C986" s="347"/>
      <c r="D986" s="574"/>
      <c r="E986" s="347"/>
      <c r="F986" s="596"/>
      <c r="G986" s="596"/>
      <c r="H986" s="347"/>
      <c r="I986" s="347"/>
      <c r="J986" s="596"/>
      <c r="K986" s="609"/>
      <c r="L986" s="1"/>
      <c r="M986" s="347"/>
      <c r="N986" s="347"/>
      <c r="O986" s="579"/>
      <c r="P986" s="579"/>
      <c r="Q986" s="574"/>
      <c r="R986" s="347"/>
      <c r="S986" s="597"/>
      <c r="T986" s="347"/>
      <c r="U986" s="579"/>
      <c r="V986" s="579"/>
      <c r="W986" s="574"/>
      <c r="X986" s="347"/>
      <c r="Y986" s="347"/>
      <c r="Z986" s="347"/>
      <c r="AA986" s="579"/>
      <c r="AB986" s="581"/>
      <c r="AC986" s="347"/>
      <c r="AD986" s="347"/>
      <c r="AE986" s="347"/>
      <c r="AF986" s="347"/>
      <c r="AG986" s="579"/>
      <c r="AH986" s="579"/>
      <c r="AI986" s="582"/>
      <c r="AJ986" s="582"/>
      <c r="AK986" s="582"/>
      <c r="AL986" s="582"/>
      <c r="AM986" s="579"/>
      <c r="AN986" s="579"/>
      <c r="AO986" s="347"/>
      <c r="AP986" s="586"/>
      <c r="AQ986" s="596"/>
      <c r="AR986" s="596"/>
      <c r="AS986" s="348"/>
      <c r="AT986" s="348"/>
      <c r="AU986" s="348"/>
      <c r="AV986" s="348"/>
      <c r="AW986" s="348"/>
      <c r="AX986" s="584"/>
      <c r="AY986" s="581"/>
      <c r="AZ986" s="581"/>
      <c r="BA986" s="596"/>
      <c r="BB986" s="596"/>
      <c r="BC986" s="348"/>
      <c r="BD986" s="581"/>
      <c r="BE986" s="581"/>
      <c r="BF986" s="347"/>
      <c r="BG986" s="347"/>
      <c r="BH986" s="347"/>
      <c r="BI986" s="347"/>
      <c r="BJ986" s="586"/>
      <c r="BK986" s="581"/>
      <c r="BL986" s="347"/>
      <c r="BM986" s="347"/>
      <c r="BN986" s="347"/>
      <c r="BO986" s="586"/>
      <c r="BP986" s="584"/>
      <c r="BQ986" s="347"/>
      <c r="BR986" s="586"/>
      <c r="BS986" s="588"/>
      <c r="BT986" s="586"/>
      <c r="BU986" s="589"/>
      <c r="BV986" s="581">
        <f t="shared" si="44"/>
        <v>0</v>
      </c>
      <c r="BW986" s="590"/>
      <c r="BX986" s="347"/>
      <c r="BY986" s="347"/>
      <c r="BZ986" s="347"/>
      <c r="CA986" s="586"/>
      <c r="CB986" s="581"/>
      <c r="CC986" s="581">
        <f t="shared" si="193"/>
        <v>0</v>
      </c>
      <c r="CD986" s="581"/>
      <c r="CE986" s="581"/>
      <c r="CF986" s="581"/>
      <c r="CG986" s="586"/>
      <c r="CH986" s="608"/>
      <c r="CI986" s="603"/>
      <c r="CJ986" s="347"/>
      <c r="CK986" s="347"/>
      <c r="CL986" s="347"/>
      <c r="CM986" s="347"/>
      <c r="CN986" s="347"/>
      <c r="CO986" s="347"/>
      <c r="CP986" s="347"/>
    </row>
    <row r="987">
      <c r="A987" s="574"/>
      <c r="B987" s="574"/>
      <c r="C987" s="347"/>
      <c r="D987" s="574"/>
      <c r="E987" s="347"/>
      <c r="F987" s="596"/>
      <c r="G987" s="596"/>
      <c r="H987" s="347"/>
      <c r="I987" s="347"/>
      <c r="J987" s="596"/>
      <c r="K987" s="609"/>
      <c r="L987" s="1"/>
      <c r="M987" s="347"/>
      <c r="N987" s="347"/>
      <c r="O987" s="579"/>
      <c r="P987" s="579"/>
      <c r="Q987" s="574"/>
      <c r="R987" s="347"/>
      <c r="S987" s="597"/>
      <c r="T987" s="347"/>
      <c r="U987" s="579"/>
      <c r="V987" s="579"/>
      <c r="W987" s="574"/>
      <c r="X987" s="347"/>
      <c r="Y987" s="347"/>
      <c r="Z987" s="347"/>
      <c r="AA987" s="579"/>
      <c r="AB987" s="581"/>
      <c r="AC987" s="347"/>
      <c r="AD987" s="347"/>
      <c r="AE987" s="347"/>
      <c r="AF987" s="347"/>
      <c r="AG987" s="579"/>
      <c r="AH987" s="579"/>
      <c r="AI987" s="582"/>
      <c r="AJ987" s="582"/>
      <c r="AK987" s="582"/>
      <c r="AL987" s="582"/>
      <c r="AM987" s="579"/>
      <c r="AN987" s="579"/>
      <c r="AO987" s="347"/>
      <c r="AP987" s="586"/>
      <c r="AQ987" s="596"/>
      <c r="AR987" s="596"/>
      <c r="AS987" s="348"/>
      <c r="AT987" s="348"/>
      <c r="AU987" s="348"/>
      <c r="AV987" s="348"/>
      <c r="AW987" s="348"/>
      <c r="AX987" s="584"/>
      <c r="AY987" s="581"/>
      <c r="AZ987" s="581"/>
      <c r="BA987" s="596"/>
      <c r="BB987" s="596"/>
      <c r="BC987" s="348"/>
      <c r="BD987" s="581"/>
      <c r="BE987" s="581"/>
      <c r="BF987" s="347"/>
      <c r="BG987" s="347"/>
      <c r="BH987" s="347"/>
      <c r="BI987" s="347"/>
      <c r="BJ987" s="586"/>
      <c r="BK987" s="581"/>
      <c r="BL987" s="347"/>
      <c r="BM987" s="347"/>
      <c r="BN987" s="347"/>
      <c r="BO987" s="586"/>
      <c r="BP987" s="584"/>
      <c r="BQ987" s="347"/>
      <c r="BR987" s="586"/>
      <c r="BS987" s="588"/>
      <c r="BT987" s="586"/>
      <c r="BU987" s="589"/>
      <c r="BV987" s="581">
        <f t="shared" si="44"/>
        <v>0</v>
      </c>
      <c r="BW987" s="590"/>
      <c r="BX987" s="347"/>
      <c r="BY987" s="347"/>
      <c r="BZ987" s="347"/>
      <c r="CA987" s="586"/>
      <c r="CB987" s="581"/>
      <c r="CC987" s="581">
        <f t="shared" si="193"/>
        <v>0</v>
      </c>
      <c r="CD987" s="581"/>
      <c r="CE987" s="581"/>
      <c r="CF987" s="581"/>
      <c r="CG987" s="586"/>
      <c r="CH987" s="608"/>
      <c r="CI987" s="603"/>
      <c r="CJ987" s="347"/>
      <c r="CK987" s="347"/>
      <c r="CL987" s="347"/>
      <c r="CM987" s="347"/>
      <c r="CN987" s="347"/>
      <c r="CO987" s="347"/>
      <c r="CP987" s="347"/>
    </row>
    <row r="988">
      <c r="A988" s="574"/>
      <c r="B988" s="574"/>
      <c r="C988" s="347"/>
      <c r="D988" s="574"/>
      <c r="E988" s="347"/>
      <c r="F988" s="596"/>
      <c r="G988" s="596"/>
      <c r="H988" s="347"/>
      <c r="I988" s="347"/>
      <c r="J988" s="596"/>
      <c r="K988" s="609"/>
      <c r="L988" s="1"/>
      <c r="M988" s="347"/>
      <c r="N988" s="347"/>
      <c r="O988" s="579"/>
      <c r="P988" s="579"/>
      <c r="Q988" s="574"/>
      <c r="R988" s="347"/>
      <c r="S988" s="597"/>
      <c r="T988" s="347"/>
      <c r="U988" s="579"/>
      <c r="V988" s="579"/>
      <c r="W988" s="574"/>
      <c r="X988" s="347"/>
      <c r="Y988" s="347"/>
      <c r="Z988" s="347"/>
      <c r="AA988" s="579"/>
      <c r="AB988" s="581"/>
      <c r="AC988" s="347"/>
      <c r="AD988" s="347"/>
      <c r="AE988" s="347"/>
      <c r="AF988" s="347"/>
      <c r="AG988" s="579"/>
      <c r="AH988" s="579"/>
      <c r="AI988" s="582"/>
      <c r="AJ988" s="582"/>
      <c r="AK988" s="582"/>
      <c r="AL988" s="582"/>
      <c r="AM988" s="579"/>
      <c r="AN988" s="579"/>
      <c r="AO988" s="347"/>
      <c r="AP988" s="586"/>
      <c r="AQ988" s="596"/>
      <c r="AR988" s="596"/>
      <c r="AS988" s="348"/>
      <c r="AT988" s="348"/>
      <c r="AU988" s="348"/>
      <c r="AV988" s="348"/>
      <c r="AW988" s="348"/>
      <c r="AX988" s="584"/>
      <c r="AY988" s="581"/>
      <c r="AZ988" s="581"/>
      <c r="BA988" s="596"/>
      <c r="BB988" s="596"/>
      <c r="BC988" s="348"/>
      <c r="BD988" s="581"/>
      <c r="BE988" s="581"/>
      <c r="BF988" s="347"/>
      <c r="BG988" s="347"/>
      <c r="BH988" s="347"/>
      <c r="BI988" s="347"/>
      <c r="BJ988" s="586"/>
      <c r="BK988" s="581"/>
      <c r="BL988" s="347"/>
      <c r="BM988" s="347"/>
      <c r="BN988" s="347"/>
      <c r="BO988" s="586"/>
      <c r="BP988" s="584"/>
      <c r="BQ988" s="347"/>
      <c r="BR988" s="586"/>
      <c r="BS988" s="588"/>
      <c r="BT988" s="586"/>
      <c r="BU988" s="589"/>
      <c r="BV988" s="581">
        <f t="shared" si="44"/>
        <v>0</v>
      </c>
      <c r="BW988" s="590"/>
      <c r="BX988" s="347"/>
      <c r="BY988" s="347"/>
      <c r="BZ988" s="347"/>
      <c r="CA988" s="586"/>
      <c r="CB988" s="581"/>
      <c r="CC988" s="581">
        <f t="shared" si="193"/>
        <v>0</v>
      </c>
      <c r="CD988" s="581"/>
      <c r="CE988" s="581"/>
      <c r="CF988" s="581"/>
      <c r="CG988" s="586"/>
      <c r="CH988" s="608"/>
      <c r="CI988" s="603"/>
      <c r="CJ988" s="347"/>
      <c r="CK988" s="347"/>
      <c r="CL988" s="347"/>
      <c r="CM988" s="347"/>
      <c r="CN988" s="347"/>
      <c r="CO988" s="347"/>
      <c r="CP988" s="347"/>
    </row>
    <row r="989">
      <c r="A989" s="574"/>
      <c r="B989" s="574"/>
      <c r="C989" s="347"/>
      <c r="D989" s="574"/>
      <c r="E989" s="347"/>
      <c r="F989" s="596"/>
      <c r="G989" s="596"/>
      <c r="H989" s="347"/>
      <c r="I989" s="347"/>
      <c r="J989" s="596"/>
      <c r="K989" s="609"/>
      <c r="L989" s="1"/>
      <c r="M989" s="347"/>
      <c r="N989" s="347"/>
      <c r="O989" s="579"/>
      <c r="P989" s="579"/>
      <c r="Q989" s="574"/>
      <c r="R989" s="347"/>
      <c r="S989" s="597"/>
      <c r="T989" s="347"/>
      <c r="U989" s="579"/>
      <c r="V989" s="579"/>
      <c r="W989" s="574"/>
      <c r="X989" s="347"/>
      <c r="Y989" s="347"/>
      <c r="Z989" s="347"/>
      <c r="AA989" s="579"/>
      <c r="AB989" s="581"/>
      <c r="AC989" s="347"/>
      <c r="AD989" s="347"/>
      <c r="AE989" s="347"/>
      <c r="AF989" s="347"/>
      <c r="AG989" s="579"/>
      <c r="AH989" s="579"/>
      <c r="AI989" s="582"/>
      <c r="AJ989" s="582"/>
      <c r="AK989" s="582"/>
      <c r="AL989" s="582"/>
      <c r="AM989" s="579"/>
      <c r="AN989" s="579"/>
      <c r="AO989" s="347"/>
      <c r="AP989" s="586"/>
      <c r="AQ989" s="596"/>
      <c r="AR989" s="596"/>
      <c r="AS989" s="348"/>
      <c r="AT989" s="348"/>
      <c r="AU989" s="348"/>
      <c r="AV989" s="348"/>
      <c r="AW989" s="348"/>
      <c r="AX989" s="584"/>
      <c r="AY989" s="581"/>
      <c r="AZ989" s="581"/>
      <c r="BA989" s="596"/>
      <c r="BB989" s="596"/>
      <c r="BC989" s="348"/>
      <c r="BD989" s="581"/>
      <c r="BE989" s="581"/>
      <c r="BF989" s="347"/>
      <c r="BG989" s="347"/>
      <c r="BH989" s="347"/>
      <c r="BI989" s="347"/>
      <c r="BJ989" s="586"/>
      <c r="BK989" s="581"/>
      <c r="BL989" s="347"/>
      <c r="BM989" s="347"/>
      <c r="BN989" s="347"/>
      <c r="BO989" s="586"/>
      <c r="BP989" s="584"/>
      <c r="BQ989" s="347"/>
      <c r="BR989" s="586"/>
      <c r="BS989" s="588"/>
      <c r="BT989" s="586"/>
      <c r="BU989" s="589"/>
      <c r="BV989" s="581">
        <f t="shared" si="44"/>
        <v>0</v>
      </c>
      <c r="BW989" s="590"/>
      <c r="BX989" s="347"/>
      <c r="BY989" s="347"/>
      <c r="BZ989" s="347"/>
      <c r="CA989" s="586"/>
      <c r="CB989" s="581"/>
      <c r="CC989" s="581">
        <f t="shared" si="193"/>
        <v>0</v>
      </c>
      <c r="CD989" s="581"/>
      <c r="CE989" s="581"/>
      <c r="CF989" s="581"/>
      <c r="CG989" s="586"/>
      <c r="CH989" s="608"/>
      <c r="CI989" s="603"/>
      <c r="CJ989" s="347"/>
      <c r="CK989" s="347"/>
      <c r="CL989" s="347"/>
      <c r="CM989" s="347"/>
      <c r="CN989" s="347"/>
      <c r="CO989" s="347"/>
      <c r="CP989" s="347"/>
    </row>
    <row r="990">
      <c r="A990" s="574"/>
      <c r="B990" s="574"/>
      <c r="C990" s="347"/>
      <c r="D990" s="574"/>
      <c r="E990" s="347"/>
      <c r="F990" s="596"/>
      <c r="G990" s="596"/>
      <c r="H990" s="347"/>
      <c r="I990" s="347"/>
      <c r="J990" s="596"/>
      <c r="K990" s="609"/>
      <c r="L990" s="1"/>
      <c r="M990" s="347"/>
      <c r="N990" s="347"/>
      <c r="O990" s="579"/>
      <c r="P990" s="579"/>
      <c r="Q990" s="574"/>
      <c r="R990" s="347"/>
      <c r="S990" s="597"/>
      <c r="T990" s="347"/>
      <c r="U990" s="579"/>
      <c r="V990" s="579"/>
      <c r="W990" s="574"/>
      <c r="X990" s="347"/>
      <c r="Y990" s="347"/>
      <c r="Z990" s="347"/>
      <c r="AA990" s="579"/>
      <c r="AB990" s="581"/>
      <c r="AC990" s="347"/>
      <c r="AD990" s="347"/>
      <c r="AE990" s="347"/>
      <c r="AF990" s="347"/>
      <c r="AG990" s="579"/>
      <c r="AH990" s="579"/>
      <c r="AI990" s="582"/>
      <c r="AJ990" s="582"/>
      <c r="AK990" s="582"/>
      <c r="AL990" s="582"/>
      <c r="AM990" s="579"/>
      <c r="AN990" s="579"/>
      <c r="AO990" s="347"/>
      <c r="AP990" s="586"/>
      <c r="AQ990" s="596"/>
      <c r="AR990" s="596"/>
      <c r="AS990" s="348"/>
      <c r="AT990" s="348"/>
      <c r="AU990" s="348"/>
      <c r="AV990" s="348"/>
      <c r="AW990" s="348"/>
      <c r="AX990" s="584"/>
      <c r="AY990" s="581"/>
      <c r="AZ990" s="581"/>
      <c r="BA990" s="596"/>
      <c r="BB990" s="596"/>
      <c r="BC990" s="348"/>
      <c r="BD990" s="581"/>
      <c r="BE990" s="581"/>
      <c r="BF990" s="347"/>
      <c r="BG990" s="347"/>
      <c r="BH990" s="347"/>
      <c r="BI990" s="347"/>
      <c r="BJ990" s="586"/>
      <c r="BK990" s="581"/>
      <c r="BL990" s="347"/>
      <c r="BM990" s="347"/>
      <c r="BN990" s="347"/>
      <c r="BO990" s="586"/>
      <c r="BP990" s="584"/>
      <c r="BQ990" s="347"/>
      <c r="BR990" s="586"/>
      <c r="BS990" s="588"/>
      <c r="BT990" s="586"/>
      <c r="BU990" s="589"/>
      <c r="BV990" s="581">
        <f t="shared" si="44"/>
        <v>0</v>
      </c>
      <c r="BW990" s="590"/>
      <c r="BX990" s="347"/>
      <c r="BY990" s="347"/>
      <c r="BZ990" s="347"/>
      <c r="CA990" s="586"/>
      <c r="CB990" s="581"/>
      <c r="CC990" s="581">
        <f t="shared" si="193"/>
        <v>0</v>
      </c>
      <c r="CD990" s="581"/>
      <c r="CE990" s="581"/>
      <c r="CF990" s="581"/>
      <c r="CG990" s="586"/>
      <c r="CH990" s="608"/>
      <c r="CI990" s="603"/>
      <c r="CJ990" s="347"/>
      <c r="CK990" s="347"/>
      <c r="CL990" s="347"/>
      <c r="CM990" s="347"/>
      <c r="CN990" s="347"/>
      <c r="CO990" s="347"/>
      <c r="CP990" s="347"/>
    </row>
    <row r="991">
      <c r="A991" s="574"/>
      <c r="B991" s="574"/>
      <c r="C991" s="347"/>
      <c r="D991" s="574"/>
      <c r="E991" s="347"/>
      <c r="F991" s="596"/>
      <c r="G991" s="596"/>
      <c r="H991" s="347"/>
      <c r="I991" s="347"/>
      <c r="J991" s="596"/>
      <c r="K991" s="609"/>
      <c r="L991" s="1"/>
      <c r="M991" s="347"/>
      <c r="N991" s="347"/>
      <c r="O991" s="579"/>
      <c r="P991" s="579"/>
      <c r="Q991" s="574"/>
      <c r="R991" s="347"/>
      <c r="S991" s="597"/>
      <c r="T991" s="347"/>
      <c r="U991" s="579"/>
      <c r="V991" s="579"/>
      <c r="W991" s="574"/>
      <c r="X991" s="347"/>
      <c r="Y991" s="347"/>
      <c r="Z991" s="347"/>
      <c r="AA991" s="579"/>
      <c r="AB991" s="581"/>
      <c r="AC991" s="347"/>
      <c r="AD991" s="347"/>
      <c r="AE991" s="347"/>
      <c r="AF991" s="347"/>
      <c r="AG991" s="579"/>
      <c r="AH991" s="579"/>
      <c r="AI991" s="582"/>
      <c r="AJ991" s="582"/>
      <c r="AK991" s="582"/>
      <c r="AL991" s="582"/>
      <c r="AM991" s="579"/>
      <c r="AN991" s="579"/>
      <c r="AO991" s="347"/>
      <c r="AP991" s="586"/>
      <c r="AQ991" s="596"/>
      <c r="AR991" s="596"/>
      <c r="AS991" s="348"/>
      <c r="AT991" s="348"/>
      <c r="AU991" s="348"/>
      <c r="AV991" s="348"/>
      <c r="AW991" s="348"/>
      <c r="AX991" s="584"/>
      <c r="AY991" s="581"/>
      <c r="AZ991" s="581"/>
      <c r="BA991" s="596"/>
      <c r="BB991" s="596"/>
      <c r="BC991" s="348"/>
      <c r="BD991" s="581"/>
      <c r="BE991" s="581"/>
      <c r="BF991" s="347"/>
      <c r="BG991" s="347"/>
      <c r="BH991" s="347"/>
      <c r="BI991" s="347"/>
      <c r="BJ991" s="586"/>
      <c r="BK991" s="581"/>
      <c r="BL991" s="347"/>
      <c r="BM991" s="347"/>
      <c r="BN991" s="347"/>
      <c r="BO991" s="586"/>
      <c r="BP991" s="584"/>
      <c r="BQ991" s="347"/>
      <c r="BR991" s="586"/>
      <c r="BS991" s="588"/>
      <c r="BT991" s="586"/>
      <c r="BU991" s="589"/>
      <c r="BV991" s="581">
        <f t="shared" si="44"/>
        <v>0</v>
      </c>
      <c r="BW991" s="590"/>
      <c r="BX991" s="347"/>
      <c r="BY991" s="347"/>
      <c r="BZ991" s="347"/>
      <c r="CA991" s="586"/>
      <c r="CB991" s="581"/>
      <c r="CC991" s="581">
        <f t="shared" si="193"/>
        <v>0</v>
      </c>
      <c r="CD991" s="581"/>
      <c r="CE991" s="581"/>
      <c r="CF991" s="581"/>
      <c r="CG991" s="586"/>
      <c r="CH991" s="608"/>
      <c r="CI991" s="603"/>
      <c r="CJ991" s="347"/>
      <c r="CK991" s="347"/>
      <c r="CL991" s="347"/>
      <c r="CM991" s="347"/>
      <c r="CN991" s="347"/>
      <c r="CO991" s="347"/>
      <c r="CP991" s="347"/>
    </row>
    <row r="992">
      <c r="A992" s="574"/>
      <c r="B992" s="574"/>
      <c r="C992" s="347"/>
      <c r="D992" s="574"/>
      <c r="E992" s="347"/>
      <c r="F992" s="596"/>
      <c r="G992" s="596"/>
      <c r="H992" s="347"/>
      <c r="I992" s="347"/>
      <c r="J992" s="596"/>
      <c r="K992" s="609"/>
      <c r="L992" s="1"/>
      <c r="M992" s="347"/>
      <c r="N992" s="347"/>
      <c r="O992" s="579"/>
      <c r="P992" s="579"/>
      <c r="Q992" s="574"/>
      <c r="R992" s="347"/>
      <c r="S992" s="597"/>
      <c r="T992" s="347"/>
      <c r="U992" s="579"/>
      <c r="V992" s="579"/>
      <c r="W992" s="574"/>
      <c r="X992" s="347"/>
      <c r="Y992" s="347"/>
      <c r="Z992" s="347"/>
      <c r="AA992" s="579"/>
      <c r="AB992" s="581"/>
      <c r="AC992" s="347"/>
      <c r="AD992" s="347"/>
      <c r="AE992" s="347"/>
      <c r="AF992" s="347"/>
      <c r="AG992" s="579"/>
      <c r="AH992" s="579"/>
      <c r="AI992" s="582"/>
      <c r="AJ992" s="582"/>
      <c r="AK992" s="582"/>
      <c r="AL992" s="582"/>
      <c r="AM992" s="579"/>
      <c r="AN992" s="579"/>
      <c r="AO992" s="347"/>
      <c r="AP992" s="586"/>
      <c r="AQ992" s="596"/>
      <c r="AR992" s="596"/>
      <c r="AS992" s="348"/>
      <c r="AT992" s="348"/>
      <c r="AU992" s="348"/>
      <c r="AV992" s="348"/>
      <c r="AW992" s="348"/>
      <c r="AX992" s="584"/>
      <c r="AY992" s="581"/>
      <c r="AZ992" s="581"/>
      <c r="BA992" s="596"/>
      <c r="BB992" s="596"/>
      <c r="BC992" s="348"/>
      <c r="BD992" s="581"/>
      <c r="BE992" s="581"/>
      <c r="BF992" s="347"/>
      <c r="BG992" s="347"/>
      <c r="BH992" s="347"/>
      <c r="BI992" s="347"/>
      <c r="BJ992" s="586"/>
      <c r="BK992" s="581"/>
      <c r="BL992" s="347"/>
      <c r="BM992" s="347"/>
      <c r="BN992" s="347"/>
      <c r="BO992" s="586"/>
      <c r="BP992" s="584"/>
      <c r="BQ992" s="347"/>
      <c r="BR992" s="586"/>
      <c r="BS992" s="588"/>
      <c r="BT992" s="586"/>
      <c r="BU992" s="589"/>
      <c r="BV992" s="581">
        <f t="shared" si="44"/>
        <v>0</v>
      </c>
      <c r="BW992" s="590"/>
      <c r="BX992" s="347"/>
      <c r="BY992" s="347"/>
      <c r="BZ992" s="347"/>
      <c r="CA992" s="586"/>
      <c r="CB992" s="581"/>
      <c r="CC992" s="581">
        <f t="shared" si="193"/>
        <v>0</v>
      </c>
      <c r="CD992" s="581"/>
      <c r="CE992" s="581"/>
      <c r="CF992" s="581"/>
      <c r="CG992" s="586"/>
      <c r="CH992" s="608"/>
      <c r="CI992" s="603"/>
      <c r="CJ992" s="347"/>
      <c r="CK992" s="347"/>
      <c r="CL992" s="347"/>
      <c r="CM992" s="347"/>
      <c r="CN992" s="347"/>
      <c r="CO992" s="347"/>
      <c r="CP992" s="347"/>
    </row>
    <row r="993">
      <c r="A993" s="574"/>
      <c r="B993" s="574"/>
      <c r="C993" s="347"/>
      <c r="D993" s="574"/>
      <c r="E993" s="347"/>
      <c r="F993" s="596"/>
      <c r="G993" s="596"/>
      <c r="H993" s="347"/>
      <c r="I993" s="347"/>
      <c r="J993" s="596"/>
      <c r="K993" s="609"/>
      <c r="L993" s="1"/>
      <c r="M993" s="347"/>
      <c r="N993" s="347"/>
      <c r="O993" s="579"/>
      <c r="P993" s="579"/>
      <c r="Q993" s="574"/>
      <c r="R993" s="347"/>
      <c r="S993" s="597"/>
      <c r="T993" s="347"/>
      <c r="U993" s="579"/>
      <c r="V993" s="579"/>
      <c r="W993" s="574"/>
      <c r="X993" s="347"/>
      <c r="Y993" s="347"/>
      <c r="Z993" s="347"/>
      <c r="AA993" s="579"/>
      <c r="AB993" s="581"/>
      <c r="AC993" s="347"/>
      <c r="AD993" s="347"/>
      <c r="AE993" s="347"/>
      <c r="AF993" s="347"/>
      <c r="AG993" s="579"/>
      <c r="AH993" s="579"/>
      <c r="AI993" s="582"/>
      <c r="AJ993" s="582"/>
      <c r="AK993" s="582"/>
      <c r="AL993" s="582"/>
      <c r="AM993" s="579"/>
      <c r="AN993" s="579"/>
      <c r="AO993" s="347"/>
      <c r="AP993" s="586"/>
      <c r="AQ993" s="596"/>
      <c r="AR993" s="596"/>
      <c r="AS993" s="348"/>
      <c r="AT993" s="348"/>
      <c r="AU993" s="348"/>
      <c r="AV993" s="348"/>
      <c r="AW993" s="348"/>
      <c r="AX993" s="584"/>
      <c r="AY993" s="581"/>
      <c r="AZ993" s="581"/>
      <c r="BA993" s="596"/>
      <c r="BB993" s="596"/>
      <c r="BC993" s="348"/>
      <c r="BD993" s="581"/>
      <c r="BE993" s="581"/>
      <c r="BF993" s="347"/>
      <c r="BG993" s="347"/>
      <c r="BH993" s="347"/>
      <c r="BI993" s="347"/>
      <c r="BJ993" s="586"/>
      <c r="BK993" s="581"/>
      <c r="BL993" s="347"/>
      <c r="BM993" s="347"/>
      <c r="BN993" s="347"/>
      <c r="BO993" s="586"/>
      <c r="BP993" s="584"/>
      <c r="BQ993" s="347"/>
      <c r="BR993" s="586"/>
      <c r="BS993" s="588"/>
      <c r="BT993" s="586"/>
      <c r="BU993" s="589"/>
      <c r="BV993" s="581">
        <f t="shared" si="44"/>
        <v>0</v>
      </c>
      <c r="BW993" s="590"/>
      <c r="BX993" s="347"/>
      <c r="BY993" s="347"/>
      <c r="BZ993" s="347"/>
      <c r="CA993" s="586"/>
      <c r="CB993" s="581"/>
      <c r="CC993" s="581">
        <f t="shared" si="193"/>
        <v>0</v>
      </c>
      <c r="CD993" s="581"/>
      <c r="CE993" s="581"/>
      <c r="CF993" s="581"/>
      <c r="CG993" s="586"/>
      <c r="CH993" s="608"/>
      <c r="CI993" s="603"/>
      <c r="CJ993" s="347"/>
      <c r="CK993" s="347"/>
      <c r="CL993" s="347"/>
      <c r="CM993" s="347"/>
      <c r="CN993" s="347"/>
      <c r="CO993" s="347"/>
      <c r="CP993" s="347"/>
    </row>
    <row r="994">
      <c r="A994" s="574"/>
      <c r="B994" s="574"/>
      <c r="C994" s="347"/>
      <c r="D994" s="574"/>
      <c r="E994" s="347"/>
      <c r="F994" s="596"/>
      <c r="G994" s="596"/>
      <c r="H994" s="347"/>
      <c r="I994" s="347"/>
      <c r="J994" s="596"/>
      <c r="K994" s="609"/>
      <c r="L994" s="1"/>
      <c r="M994" s="347"/>
      <c r="N994" s="347"/>
      <c r="O994" s="579"/>
      <c r="P994" s="579"/>
      <c r="Q994" s="574"/>
      <c r="R994" s="347"/>
      <c r="S994" s="597"/>
      <c r="T994" s="347"/>
      <c r="U994" s="579"/>
      <c r="V994" s="579"/>
      <c r="W994" s="574"/>
      <c r="X994" s="347"/>
      <c r="Y994" s="347"/>
      <c r="Z994" s="347"/>
      <c r="AA994" s="579"/>
      <c r="AB994" s="581"/>
      <c r="AC994" s="347"/>
      <c r="AD994" s="347"/>
      <c r="AE994" s="347"/>
      <c r="AF994" s="347"/>
      <c r="AG994" s="579"/>
      <c r="AH994" s="579"/>
      <c r="AI994" s="582"/>
      <c r="AJ994" s="582"/>
      <c r="AK994" s="582"/>
      <c r="AL994" s="582"/>
      <c r="AM994" s="579"/>
      <c r="AN994" s="579"/>
      <c r="AO994" s="347"/>
      <c r="AP994" s="586"/>
      <c r="AQ994" s="596"/>
      <c r="AR994" s="596"/>
      <c r="AS994" s="348"/>
      <c r="AT994" s="348"/>
      <c r="AU994" s="348"/>
      <c r="AV994" s="348"/>
      <c r="AW994" s="348"/>
      <c r="AX994" s="584"/>
      <c r="AY994" s="581"/>
      <c r="AZ994" s="581"/>
      <c r="BA994" s="596"/>
      <c r="BB994" s="596"/>
      <c r="BC994" s="348"/>
      <c r="BD994" s="581"/>
      <c r="BE994" s="581"/>
      <c r="BF994" s="347"/>
      <c r="BG994" s="347"/>
      <c r="BH994" s="347"/>
      <c r="BI994" s="347"/>
      <c r="BJ994" s="586"/>
      <c r="BK994" s="581"/>
      <c r="BL994" s="347"/>
      <c r="BM994" s="347"/>
      <c r="BN994" s="347"/>
      <c r="BO994" s="586"/>
      <c r="BP994" s="584"/>
      <c r="BQ994" s="347"/>
      <c r="BR994" s="586"/>
      <c r="BS994" s="588"/>
      <c r="BT994" s="586"/>
      <c r="BU994" s="589"/>
      <c r="BV994" s="581">
        <f t="shared" si="44"/>
        <v>0</v>
      </c>
      <c r="BW994" s="590"/>
      <c r="BX994" s="347"/>
      <c r="BY994" s="347"/>
      <c r="BZ994" s="347"/>
      <c r="CA994" s="586"/>
      <c r="CB994" s="581"/>
      <c r="CC994" s="581">
        <f t="shared" si="193"/>
        <v>0</v>
      </c>
      <c r="CD994" s="581"/>
      <c r="CE994" s="581"/>
      <c r="CF994" s="581"/>
      <c r="CG994" s="586"/>
      <c r="CH994" s="608"/>
      <c r="CI994" s="603"/>
      <c r="CJ994" s="347"/>
      <c r="CK994" s="347"/>
      <c r="CL994" s="347"/>
      <c r="CM994" s="347"/>
      <c r="CN994" s="347"/>
      <c r="CO994" s="347"/>
      <c r="CP994" s="347"/>
    </row>
    <row r="995">
      <c r="A995" s="574"/>
      <c r="B995" s="574"/>
      <c r="C995" s="347"/>
      <c r="D995" s="574"/>
      <c r="E995" s="347"/>
      <c r="F995" s="596"/>
      <c r="G995" s="596"/>
      <c r="H995" s="347"/>
      <c r="I995" s="347"/>
      <c r="J995" s="596"/>
      <c r="K995" s="609"/>
      <c r="L995" s="1"/>
      <c r="M995" s="347"/>
      <c r="N995" s="347"/>
      <c r="O995" s="579"/>
      <c r="P995" s="579"/>
      <c r="Q995" s="574"/>
      <c r="R995" s="347"/>
      <c r="S995" s="597"/>
      <c r="T995" s="347"/>
      <c r="U995" s="579"/>
      <c r="V995" s="579"/>
      <c r="W995" s="574"/>
      <c r="X995" s="347"/>
      <c r="Y995" s="347"/>
      <c r="Z995" s="347"/>
      <c r="AA995" s="579"/>
      <c r="AB995" s="581"/>
      <c r="AC995" s="347"/>
      <c r="AD995" s="347"/>
      <c r="AE995" s="347"/>
      <c r="AF995" s="347"/>
      <c r="AG995" s="579"/>
      <c r="AH995" s="579"/>
      <c r="AI995" s="582"/>
      <c r="AJ995" s="582"/>
      <c r="AK995" s="582"/>
      <c r="AL995" s="582"/>
      <c r="AM995" s="579"/>
      <c r="AN995" s="579"/>
      <c r="AO995" s="347"/>
      <c r="AP995" s="586"/>
      <c r="AQ995" s="596"/>
      <c r="AR995" s="596"/>
      <c r="AS995" s="348"/>
      <c r="AT995" s="348"/>
      <c r="AU995" s="348"/>
      <c r="AV995" s="348"/>
      <c r="AW995" s="348"/>
      <c r="AX995" s="584"/>
      <c r="AY995" s="581"/>
      <c r="AZ995" s="581"/>
      <c r="BA995" s="596"/>
      <c r="BB995" s="596"/>
      <c r="BC995" s="348"/>
      <c r="BD995" s="581"/>
      <c r="BE995" s="581"/>
      <c r="BF995" s="347"/>
      <c r="BG995" s="347"/>
      <c r="BH995" s="347"/>
      <c r="BI995" s="347"/>
      <c r="BJ995" s="586"/>
      <c r="BK995" s="581"/>
      <c r="BL995" s="347"/>
      <c r="BM995" s="347"/>
      <c r="BN995" s="347"/>
      <c r="BO995" s="586"/>
      <c r="BP995" s="584"/>
      <c r="BQ995" s="347"/>
      <c r="BR995" s="586"/>
      <c r="BS995" s="588"/>
      <c r="BT995" s="586"/>
      <c r="BU995" s="589"/>
      <c r="BV995" s="581">
        <f t="shared" si="44"/>
        <v>0</v>
      </c>
      <c r="BW995" s="590"/>
      <c r="BX995" s="347"/>
      <c r="BY995" s="347"/>
      <c r="BZ995" s="347"/>
      <c r="CA995" s="586"/>
      <c r="CB995" s="581"/>
      <c r="CC995" s="581">
        <f t="shared" si="193"/>
        <v>0</v>
      </c>
      <c r="CD995" s="581"/>
      <c r="CE995" s="581"/>
      <c r="CF995" s="581"/>
      <c r="CG995" s="586"/>
      <c r="CH995" s="608"/>
      <c r="CI995" s="603"/>
      <c r="CJ995" s="347"/>
      <c r="CK995" s="347"/>
      <c r="CL995" s="347"/>
      <c r="CM995" s="347"/>
      <c r="CN995" s="347"/>
      <c r="CO995" s="347"/>
      <c r="CP995" s="347"/>
    </row>
    <row r="996">
      <c r="A996" s="574"/>
      <c r="B996" s="574"/>
      <c r="C996" s="347"/>
      <c r="D996" s="574"/>
      <c r="E996" s="347"/>
      <c r="F996" s="596"/>
      <c r="G996" s="596"/>
      <c r="H996" s="347"/>
      <c r="I996" s="347"/>
      <c r="J996" s="596"/>
      <c r="K996" s="609"/>
      <c r="L996" s="1"/>
      <c r="M996" s="347"/>
      <c r="N996" s="347"/>
      <c r="O996" s="579"/>
      <c r="P996" s="579"/>
      <c r="Q996" s="574"/>
      <c r="R996" s="347"/>
      <c r="S996" s="597"/>
      <c r="T996" s="347"/>
      <c r="U996" s="579"/>
      <c r="V996" s="579"/>
      <c r="W996" s="574"/>
      <c r="X996" s="347"/>
      <c r="Y996" s="347"/>
      <c r="Z996" s="347"/>
      <c r="AA996" s="579"/>
      <c r="AB996" s="581"/>
      <c r="AC996" s="347"/>
      <c r="AD996" s="347"/>
      <c r="AE996" s="347"/>
      <c r="AF996" s="347"/>
      <c r="AG996" s="579"/>
      <c r="AH996" s="579"/>
      <c r="AI996" s="582"/>
      <c r="AJ996" s="582"/>
      <c r="AK996" s="582"/>
      <c r="AL996" s="582"/>
      <c r="AM996" s="579"/>
      <c r="AN996" s="579"/>
      <c r="AO996" s="347"/>
      <c r="AP996" s="586"/>
      <c r="AQ996" s="596"/>
      <c r="AR996" s="596"/>
      <c r="AS996" s="348"/>
      <c r="AT996" s="348"/>
      <c r="AU996" s="348"/>
      <c r="AV996" s="348"/>
      <c r="AW996" s="348"/>
      <c r="AX996" s="584"/>
      <c r="AY996" s="581"/>
      <c r="AZ996" s="581"/>
      <c r="BA996" s="596"/>
      <c r="BB996" s="596"/>
      <c r="BC996" s="348"/>
      <c r="BD996" s="581"/>
      <c r="BE996" s="581"/>
      <c r="BF996" s="347"/>
      <c r="BG996" s="347"/>
      <c r="BH996" s="347"/>
      <c r="BI996" s="347"/>
      <c r="BJ996" s="586"/>
      <c r="BK996" s="581"/>
      <c r="BL996" s="347"/>
      <c r="BM996" s="347"/>
      <c r="BN996" s="347"/>
      <c r="BO996" s="586"/>
      <c r="BP996" s="584"/>
      <c r="BQ996" s="347"/>
      <c r="BR996" s="586"/>
      <c r="BS996" s="588"/>
      <c r="BT996" s="586"/>
      <c r="BU996" s="589"/>
      <c r="BV996" s="581">
        <f t="shared" si="44"/>
        <v>0</v>
      </c>
      <c r="BW996" s="590"/>
      <c r="BX996" s="347"/>
      <c r="BY996" s="347"/>
      <c r="BZ996" s="347"/>
      <c r="CA996" s="586"/>
      <c r="CB996" s="581"/>
      <c r="CC996" s="581">
        <f t="shared" si="193"/>
        <v>0</v>
      </c>
      <c r="CD996" s="581"/>
      <c r="CE996" s="581"/>
      <c r="CF996" s="581"/>
      <c r="CG996" s="586"/>
      <c r="CH996" s="608"/>
      <c r="CI996" s="603"/>
      <c r="CJ996" s="347"/>
      <c r="CK996" s="347"/>
      <c r="CL996" s="347"/>
      <c r="CM996" s="347"/>
      <c r="CN996" s="347"/>
      <c r="CO996" s="347"/>
      <c r="CP996" s="347"/>
    </row>
    <row r="997">
      <c r="A997" s="574"/>
      <c r="B997" s="574"/>
      <c r="C997" s="347"/>
      <c r="D997" s="574"/>
      <c r="E997" s="347"/>
      <c r="F997" s="596"/>
      <c r="G997" s="596"/>
      <c r="H997" s="347"/>
      <c r="I997" s="347"/>
      <c r="J997" s="596"/>
      <c r="K997" s="609"/>
      <c r="L997" s="1"/>
      <c r="M997" s="347"/>
      <c r="N997" s="347"/>
      <c r="O997" s="579"/>
      <c r="P997" s="579"/>
      <c r="Q997" s="574"/>
      <c r="R997" s="347"/>
      <c r="S997" s="597"/>
      <c r="T997" s="347"/>
      <c r="U997" s="579"/>
      <c r="V997" s="579"/>
      <c r="W997" s="574"/>
      <c r="X997" s="347"/>
      <c r="Y997" s="347"/>
      <c r="Z997" s="347"/>
      <c r="AA997" s="579"/>
      <c r="AB997" s="581"/>
      <c r="AC997" s="347"/>
      <c r="AD997" s="347"/>
      <c r="AE997" s="347"/>
      <c r="AF997" s="347"/>
      <c r="AG997" s="579"/>
      <c r="AH997" s="579"/>
      <c r="AI997" s="582"/>
      <c r="AJ997" s="582"/>
      <c r="AK997" s="582"/>
      <c r="AL997" s="582"/>
      <c r="AM997" s="579"/>
      <c r="AN997" s="579"/>
      <c r="AO997" s="347"/>
      <c r="AP997" s="586"/>
      <c r="AQ997" s="596"/>
      <c r="AR997" s="596"/>
      <c r="AS997" s="348"/>
      <c r="AT997" s="348"/>
      <c r="AU997" s="348"/>
      <c r="AV997" s="348"/>
      <c r="AW997" s="348"/>
      <c r="AX997" s="584"/>
      <c r="AY997" s="581"/>
      <c r="AZ997" s="581"/>
      <c r="BA997" s="596"/>
      <c r="BB997" s="596"/>
      <c r="BC997" s="348"/>
      <c r="BD997" s="581"/>
      <c r="BE997" s="581"/>
      <c r="BF997" s="347"/>
      <c r="BG997" s="347"/>
      <c r="BH997" s="347"/>
      <c r="BI997" s="347"/>
      <c r="BJ997" s="586"/>
      <c r="BK997" s="581"/>
      <c r="BL997" s="347"/>
      <c r="BM997" s="347"/>
      <c r="BN997" s="347"/>
      <c r="BO997" s="586"/>
      <c r="BP997" s="584"/>
      <c r="BQ997" s="347"/>
      <c r="BR997" s="586"/>
      <c r="BS997" s="588"/>
      <c r="BT997" s="586"/>
      <c r="BU997" s="589"/>
      <c r="BV997" s="581">
        <f t="shared" si="44"/>
        <v>0</v>
      </c>
      <c r="BW997" s="590"/>
      <c r="BX997" s="347"/>
      <c r="BY997" s="347"/>
      <c r="BZ997" s="347"/>
      <c r="CA997" s="586"/>
      <c r="CB997" s="581"/>
      <c r="CC997" s="581">
        <f t="shared" si="193"/>
        <v>0</v>
      </c>
      <c r="CD997" s="581"/>
      <c r="CE997" s="581"/>
      <c r="CF997" s="581"/>
      <c r="CG997" s="586"/>
      <c r="CH997" s="608"/>
      <c r="CI997" s="603"/>
      <c r="CJ997" s="347"/>
      <c r="CK997" s="347"/>
      <c r="CL997" s="347"/>
      <c r="CM997" s="347"/>
      <c r="CN997" s="347"/>
      <c r="CO997" s="347"/>
      <c r="CP997" s="347"/>
    </row>
    <row r="998">
      <c r="A998" s="574"/>
      <c r="B998" s="574"/>
      <c r="C998" s="347"/>
      <c r="D998" s="574"/>
      <c r="E998" s="347"/>
      <c r="F998" s="596"/>
      <c r="G998" s="596"/>
      <c r="H998" s="347"/>
      <c r="I998" s="347"/>
      <c r="J998" s="596"/>
      <c r="K998" s="609"/>
      <c r="L998" s="1"/>
      <c r="M998" s="347"/>
      <c r="N998" s="347"/>
      <c r="O998" s="579"/>
      <c r="P998" s="579"/>
      <c r="Q998" s="574"/>
      <c r="R998" s="347"/>
      <c r="S998" s="597"/>
      <c r="T998" s="347"/>
      <c r="U998" s="579"/>
      <c r="V998" s="579"/>
      <c r="W998" s="574"/>
      <c r="X998" s="347"/>
      <c r="Y998" s="347"/>
      <c r="Z998" s="347"/>
      <c r="AA998" s="579"/>
      <c r="AB998" s="581"/>
      <c r="AC998" s="347"/>
      <c r="AD998" s="347"/>
      <c r="AE998" s="347"/>
      <c r="AF998" s="347"/>
      <c r="AG998" s="579"/>
      <c r="AH998" s="579"/>
      <c r="AI998" s="582"/>
      <c r="AJ998" s="582"/>
      <c r="AK998" s="582"/>
      <c r="AL998" s="582"/>
      <c r="AM998" s="579"/>
      <c r="AN998" s="579"/>
      <c r="AO998" s="347"/>
      <c r="AP998" s="586"/>
      <c r="AQ998" s="596"/>
      <c r="AR998" s="596"/>
      <c r="AS998" s="348"/>
      <c r="AT998" s="348"/>
      <c r="AU998" s="348"/>
      <c r="AV998" s="348"/>
      <c r="AW998" s="348"/>
      <c r="AX998" s="584"/>
      <c r="AY998" s="581"/>
      <c r="AZ998" s="581"/>
      <c r="BA998" s="596"/>
      <c r="BB998" s="596"/>
      <c r="BC998" s="348"/>
      <c r="BD998" s="581"/>
      <c r="BE998" s="581"/>
      <c r="BF998" s="347"/>
      <c r="BG998" s="347"/>
      <c r="BH998" s="347"/>
      <c r="BI998" s="347"/>
      <c r="BJ998" s="586"/>
      <c r="BK998" s="581"/>
      <c r="BL998" s="347"/>
      <c r="BM998" s="347"/>
      <c r="BN998" s="347"/>
      <c r="BO998" s="586"/>
      <c r="BP998" s="584"/>
      <c r="BQ998" s="347"/>
      <c r="BR998" s="586"/>
      <c r="BS998" s="588"/>
      <c r="BT998" s="586"/>
      <c r="BU998" s="589"/>
      <c r="BV998" s="581">
        <f t="shared" si="44"/>
        <v>0</v>
      </c>
      <c r="BW998" s="590"/>
      <c r="BX998" s="347"/>
      <c r="BY998" s="347"/>
      <c r="BZ998" s="347"/>
      <c r="CA998" s="586"/>
      <c r="CB998" s="581"/>
      <c r="CC998" s="581">
        <f t="shared" si="193"/>
        <v>0</v>
      </c>
      <c r="CD998" s="581"/>
      <c r="CE998" s="581"/>
      <c r="CF998" s="581"/>
      <c r="CG998" s="586"/>
      <c r="CH998" s="608"/>
      <c r="CI998" s="603"/>
      <c r="CJ998" s="347"/>
      <c r="CK998" s="347"/>
      <c r="CL998" s="347"/>
      <c r="CM998" s="347"/>
      <c r="CN998" s="347"/>
      <c r="CO998" s="347"/>
      <c r="CP998" s="347"/>
    </row>
    <row r="999">
      <c r="A999" s="574"/>
      <c r="B999" s="574"/>
      <c r="C999" s="347"/>
      <c r="D999" s="574"/>
      <c r="E999" s="347"/>
      <c r="F999" s="596"/>
      <c r="G999" s="596"/>
      <c r="H999" s="347"/>
      <c r="I999" s="347"/>
      <c r="J999" s="596"/>
      <c r="K999" s="609"/>
      <c r="L999" s="1"/>
      <c r="M999" s="347"/>
      <c r="N999" s="347"/>
      <c r="O999" s="579"/>
      <c r="P999" s="579"/>
      <c r="Q999" s="574"/>
      <c r="R999" s="347"/>
      <c r="S999" s="597"/>
      <c r="T999" s="347"/>
      <c r="U999" s="579"/>
      <c r="V999" s="579"/>
      <c r="W999" s="574"/>
      <c r="X999" s="347"/>
      <c r="Y999" s="347"/>
      <c r="Z999" s="347"/>
      <c r="AA999" s="579"/>
      <c r="AB999" s="581"/>
      <c r="AC999" s="347"/>
      <c r="AD999" s="347"/>
      <c r="AE999" s="347"/>
      <c r="AF999" s="347"/>
      <c r="AG999" s="579"/>
      <c r="AH999" s="579"/>
      <c r="AI999" s="582"/>
      <c r="AJ999" s="582"/>
      <c r="AK999" s="582"/>
      <c r="AL999" s="582"/>
      <c r="AM999" s="579"/>
      <c r="AN999" s="579"/>
      <c r="AO999" s="347"/>
      <c r="AP999" s="586"/>
      <c r="AQ999" s="596"/>
      <c r="AR999" s="596"/>
      <c r="AS999" s="348"/>
      <c r="AT999" s="348"/>
      <c r="AU999" s="348"/>
      <c r="AV999" s="348"/>
      <c r="AW999" s="348"/>
      <c r="AX999" s="584"/>
      <c r="AY999" s="581"/>
      <c r="AZ999" s="581"/>
      <c r="BA999" s="596"/>
      <c r="BB999" s="596"/>
      <c r="BC999" s="348"/>
      <c r="BD999" s="581"/>
      <c r="BE999" s="581"/>
      <c r="BF999" s="347"/>
      <c r="BG999" s="347"/>
      <c r="BH999" s="347"/>
      <c r="BI999" s="347"/>
      <c r="BJ999" s="586"/>
      <c r="BK999" s="581"/>
      <c r="BL999" s="347"/>
      <c r="BM999" s="347"/>
      <c r="BN999" s="347"/>
      <c r="BO999" s="586"/>
      <c r="BP999" s="584"/>
      <c r="BQ999" s="347"/>
      <c r="BR999" s="586"/>
      <c r="BS999" s="588"/>
      <c r="BT999" s="586"/>
      <c r="BU999" s="589"/>
      <c r="BV999" s="581">
        <f t="shared" si="44"/>
        <v>0</v>
      </c>
      <c r="BW999" s="590"/>
      <c r="BX999" s="347"/>
      <c r="BY999" s="347"/>
      <c r="BZ999" s="347"/>
      <c r="CA999" s="586"/>
      <c r="CB999" s="581"/>
      <c r="CC999" s="581">
        <f t="shared" si="193"/>
        <v>0</v>
      </c>
      <c r="CD999" s="581"/>
      <c r="CE999" s="581"/>
      <c r="CF999" s="581"/>
      <c r="CG999" s="586"/>
      <c r="CH999" s="608"/>
      <c r="CI999" s="603"/>
      <c r="CJ999" s="347"/>
      <c r="CK999" s="347"/>
      <c r="CL999" s="347"/>
      <c r="CM999" s="347"/>
      <c r="CN999" s="347"/>
      <c r="CO999" s="347"/>
      <c r="CP999" s="347"/>
    </row>
    <row r="1000">
      <c r="A1000" s="574"/>
      <c r="B1000" s="574"/>
      <c r="C1000" s="347"/>
      <c r="D1000" s="574"/>
      <c r="E1000" s="347"/>
      <c r="F1000" s="596"/>
      <c r="G1000" s="596"/>
      <c r="H1000" s="347"/>
      <c r="I1000" s="347"/>
      <c r="J1000" s="596"/>
      <c r="K1000" s="609"/>
      <c r="L1000" s="1"/>
      <c r="M1000" s="347"/>
      <c r="N1000" s="347"/>
      <c r="O1000" s="579"/>
      <c r="P1000" s="579"/>
      <c r="Q1000" s="574"/>
      <c r="R1000" s="347"/>
      <c r="S1000" s="597"/>
      <c r="T1000" s="347"/>
      <c r="U1000" s="579"/>
      <c r="V1000" s="579"/>
      <c r="W1000" s="574"/>
      <c r="X1000" s="347"/>
      <c r="Y1000" s="347"/>
      <c r="Z1000" s="347"/>
      <c r="AA1000" s="579"/>
      <c r="AB1000" s="581"/>
      <c r="AC1000" s="347"/>
      <c r="AD1000" s="347"/>
      <c r="AE1000" s="347"/>
      <c r="AF1000" s="347"/>
      <c r="AG1000" s="579"/>
      <c r="AH1000" s="579"/>
      <c r="AI1000" s="582"/>
      <c r="AJ1000" s="582"/>
      <c r="AK1000" s="582"/>
      <c r="AL1000" s="582"/>
      <c r="AM1000" s="579"/>
      <c r="AN1000" s="579"/>
      <c r="AO1000" s="347"/>
      <c r="AP1000" s="586"/>
      <c r="AQ1000" s="596"/>
      <c r="AR1000" s="596"/>
      <c r="AS1000" s="348"/>
      <c r="AT1000" s="348"/>
      <c r="AU1000" s="348"/>
      <c r="AV1000" s="348"/>
      <c r="AW1000" s="348"/>
      <c r="AX1000" s="584"/>
      <c r="AY1000" s="581"/>
      <c r="AZ1000" s="581"/>
      <c r="BA1000" s="596"/>
      <c r="BB1000" s="596"/>
      <c r="BC1000" s="348"/>
      <c r="BD1000" s="581"/>
      <c r="BE1000" s="581"/>
      <c r="BF1000" s="347"/>
      <c r="BG1000" s="347"/>
      <c r="BH1000" s="347"/>
      <c r="BI1000" s="347"/>
      <c r="BJ1000" s="586"/>
      <c r="BK1000" s="581"/>
      <c r="BL1000" s="347"/>
      <c r="BM1000" s="347"/>
      <c r="BN1000" s="347"/>
      <c r="BO1000" s="586"/>
      <c r="BP1000" s="584"/>
      <c r="BQ1000" s="347"/>
      <c r="BR1000" s="586"/>
      <c r="BS1000" s="588"/>
      <c r="BT1000" s="586"/>
      <c r="BU1000" s="589"/>
      <c r="BV1000" s="581">
        <f t="shared" si="44"/>
        <v>0</v>
      </c>
      <c r="BW1000" s="590"/>
      <c r="BX1000" s="347"/>
      <c r="BY1000" s="347"/>
      <c r="BZ1000" s="347"/>
      <c r="CA1000" s="586"/>
      <c r="CB1000" s="581"/>
      <c r="CC1000" s="581">
        <f t="shared" si="193"/>
        <v>0</v>
      </c>
      <c r="CD1000" s="581"/>
      <c r="CE1000" s="581"/>
      <c r="CF1000" s="581"/>
      <c r="CG1000" s="586"/>
      <c r="CH1000" s="608"/>
      <c r="CI1000" s="603"/>
      <c r="CJ1000" s="347"/>
      <c r="CK1000" s="347"/>
      <c r="CL1000" s="347"/>
      <c r="CM1000" s="347"/>
      <c r="CN1000" s="347"/>
      <c r="CO1000" s="347"/>
      <c r="CP1000" s="347"/>
    </row>
    <row r="1001">
      <c r="A1001" s="574"/>
      <c r="B1001" s="574"/>
      <c r="C1001" s="347"/>
      <c r="D1001" s="574"/>
      <c r="E1001" s="347"/>
      <c r="F1001" s="596"/>
      <c r="G1001" s="596"/>
      <c r="H1001" s="347"/>
      <c r="I1001" s="347"/>
      <c r="J1001" s="596"/>
      <c r="K1001" s="609"/>
      <c r="L1001" s="1"/>
      <c r="M1001" s="347"/>
      <c r="N1001" s="347"/>
      <c r="O1001" s="579"/>
      <c r="P1001" s="579"/>
      <c r="Q1001" s="574"/>
      <c r="R1001" s="347"/>
      <c r="S1001" s="597"/>
      <c r="T1001" s="347"/>
      <c r="U1001" s="579"/>
      <c r="V1001" s="579"/>
      <c r="W1001" s="574"/>
      <c r="X1001" s="347"/>
      <c r="Y1001" s="347"/>
      <c r="Z1001" s="347"/>
      <c r="AA1001" s="579"/>
      <c r="AB1001" s="581"/>
      <c r="AC1001" s="347"/>
      <c r="AD1001" s="347"/>
      <c r="AE1001" s="347"/>
      <c r="AF1001" s="347"/>
      <c r="AG1001" s="579"/>
      <c r="AH1001" s="579"/>
      <c r="AI1001" s="582"/>
      <c r="AJ1001" s="582"/>
      <c r="AK1001" s="582"/>
      <c r="AL1001" s="582"/>
      <c r="AM1001" s="579"/>
      <c r="AN1001" s="579"/>
      <c r="AO1001" s="347"/>
      <c r="AP1001" s="586"/>
      <c r="AQ1001" s="596"/>
      <c r="AR1001" s="596"/>
      <c r="AS1001" s="348"/>
      <c r="AT1001" s="348"/>
      <c r="AU1001" s="348"/>
      <c r="AV1001" s="348"/>
      <c r="AW1001" s="348"/>
      <c r="AX1001" s="584"/>
      <c r="AY1001" s="581"/>
      <c r="AZ1001" s="581"/>
      <c r="BA1001" s="596"/>
      <c r="BB1001" s="596"/>
      <c r="BC1001" s="348"/>
      <c r="BD1001" s="581"/>
      <c r="BE1001" s="581"/>
      <c r="BF1001" s="347"/>
      <c r="BG1001" s="347"/>
      <c r="BH1001" s="347"/>
      <c r="BI1001" s="347"/>
      <c r="BJ1001" s="586"/>
      <c r="BK1001" s="581"/>
      <c r="BL1001" s="347"/>
      <c r="BM1001" s="347"/>
      <c r="BN1001" s="347"/>
      <c r="BO1001" s="586"/>
      <c r="BP1001" s="584"/>
      <c r="BQ1001" s="347"/>
      <c r="BR1001" s="586"/>
      <c r="BS1001" s="588"/>
      <c r="BT1001" s="586"/>
      <c r="BU1001" s="589"/>
      <c r="BV1001" s="581">
        <f t="shared" si="44"/>
        <v>0</v>
      </c>
      <c r="BW1001" s="590"/>
      <c r="BX1001" s="347"/>
      <c r="BY1001" s="347"/>
      <c r="BZ1001" s="347"/>
      <c r="CA1001" s="586"/>
      <c r="CB1001" s="581"/>
      <c r="CC1001" s="581">
        <f t="shared" si="193"/>
        <v>0</v>
      </c>
      <c r="CD1001" s="581"/>
      <c r="CE1001" s="581"/>
      <c r="CF1001" s="581"/>
      <c r="CG1001" s="586"/>
      <c r="CH1001" s="608"/>
      <c r="CI1001" s="603"/>
      <c r="CJ1001" s="347"/>
      <c r="CK1001" s="347"/>
      <c r="CL1001" s="347"/>
      <c r="CM1001" s="347"/>
      <c r="CN1001" s="347"/>
      <c r="CO1001" s="347"/>
      <c r="CP1001" s="347"/>
    </row>
    <row r="1002">
      <c r="A1002" s="574"/>
      <c r="B1002" s="574"/>
      <c r="C1002" s="347"/>
      <c r="D1002" s="574"/>
      <c r="E1002" s="347"/>
      <c r="F1002" s="596"/>
      <c r="G1002" s="596"/>
      <c r="H1002" s="347"/>
      <c r="I1002" s="347"/>
      <c r="J1002" s="596"/>
      <c r="K1002" s="609"/>
      <c r="L1002" s="1"/>
      <c r="M1002" s="347"/>
      <c r="N1002" s="347"/>
      <c r="O1002" s="579"/>
      <c r="P1002" s="579"/>
      <c r="Q1002" s="574"/>
      <c r="R1002" s="347"/>
      <c r="S1002" s="597"/>
      <c r="T1002" s="347"/>
      <c r="U1002" s="579"/>
      <c r="V1002" s="579"/>
      <c r="W1002" s="574"/>
      <c r="X1002" s="347"/>
      <c r="Y1002" s="347"/>
      <c r="Z1002" s="347"/>
      <c r="AA1002" s="579"/>
      <c r="AB1002" s="581"/>
      <c r="AC1002" s="347"/>
      <c r="AD1002" s="347"/>
      <c r="AE1002" s="347"/>
      <c r="AF1002" s="347"/>
      <c r="AG1002" s="579"/>
      <c r="AH1002" s="579"/>
      <c r="AI1002" s="582"/>
      <c r="AJ1002" s="582"/>
      <c r="AK1002" s="582"/>
      <c r="AL1002" s="582"/>
      <c r="AM1002" s="579"/>
      <c r="AN1002" s="579"/>
      <c r="AO1002" s="347"/>
      <c r="AP1002" s="586"/>
      <c r="AQ1002" s="596"/>
      <c r="AR1002" s="596"/>
      <c r="AS1002" s="348"/>
      <c r="AT1002" s="348"/>
      <c r="AU1002" s="348"/>
      <c r="AV1002" s="348"/>
      <c r="AW1002" s="348"/>
      <c r="AX1002" s="584"/>
      <c r="AY1002" s="581"/>
      <c r="AZ1002" s="581"/>
      <c r="BA1002" s="596"/>
      <c r="BB1002" s="596"/>
      <c r="BC1002" s="348"/>
      <c r="BD1002" s="581"/>
      <c r="BE1002" s="581"/>
      <c r="BF1002" s="347"/>
      <c r="BG1002" s="347"/>
      <c r="BH1002" s="347"/>
      <c r="BI1002" s="347"/>
      <c r="BJ1002" s="586"/>
      <c r="BK1002" s="581"/>
      <c r="BL1002" s="347"/>
      <c r="BM1002" s="347"/>
      <c r="BN1002" s="347"/>
      <c r="BO1002" s="586"/>
      <c r="BP1002" s="584"/>
      <c r="BQ1002" s="347"/>
      <c r="BR1002" s="586"/>
      <c r="BS1002" s="588"/>
      <c r="BT1002" s="586"/>
      <c r="BU1002" s="589"/>
      <c r="BV1002" s="581">
        <f t="shared" si="44"/>
        <v>0</v>
      </c>
      <c r="BW1002" s="590"/>
      <c r="BX1002" s="347"/>
      <c r="BY1002" s="347"/>
      <c r="BZ1002" s="347"/>
      <c r="CA1002" s="586"/>
      <c r="CB1002" s="581"/>
      <c r="CC1002" s="581">
        <f t="shared" si="193"/>
        <v>0</v>
      </c>
      <c r="CD1002" s="581"/>
      <c r="CE1002" s="581"/>
      <c r="CF1002" s="581"/>
      <c r="CG1002" s="586"/>
      <c r="CH1002" s="608"/>
      <c r="CI1002" s="603"/>
      <c r="CJ1002" s="347"/>
      <c r="CK1002" s="347"/>
      <c r="CL1002" s="347"/>
      <c r="CM1002" s="347"/>
      <c r="CN1002" s="347"/>
      <c r="CO1002" s="347"/>
      <c r="CP1002" s="347"/>
    </row>
    <row r="1003">
      <c r="A1003" s="574"/>
      <c r="B1003" s="574"/>
      <c r="C1003" s="347"/>
      <c r="D1003" s="574"/>
      <c r="E1003" s="347"/>
      <c r="F1003" s="596"/>
      <c r="G1003" s="596"/>
      <c r="H1003" s="347"/>
      <c r="I1003" s="347"/>
      <c r="J1003" s="596"/>
      <c r="K1003" s="609"/>
      <c r="L1003" s="1"/>
      <c r="M1003" s="347"/>
      <c r="N1003" s="347"/>
      <c r="O1003" s="579"/>
      <c r="P1003" s="579"/>
      <c r="Q1003" s="574"/>
      <c r="R1003" s="347"/>
      <c r="S1003" s="597"/>
      <c r="T1003" s="347"/>
      <c r="U1003" s="579"/>
      <c r="V1003" s="579"/>
      <c r="W1003" s="574"/>
      <c r="X1003" s="347"/>
      <c r="Y1003" s="347"/>
      <c r="Z1003" s="347"/>
      <c r="AA1003" s="579"/>
      <c r="AB1003" s="581"/>
      <c r="AC1003" s="347"/>
      <c r="AD1003" s="347"/>
      <c r="AE1003" s="347"/>
      <c r="AF1003" s="347"/>
      <c r="AG1003" s="579"/>
      <c r="AH1003" s="579"/>
      <c r="AI1003" s="582"/>
      <c r="AJ1003" s="582"/>
      <c r="AK1003" s="582"/>
      <c r="AL1003" s="582"/>
      <c r="AM1003" s="579"/>
      <c r="AN1003" s="579"/>
      <c r="AO1003" s="347"/>
      <c r="AP1003" s="586"/>
      <c r="AQ1003" s="596"/>
      <c r="AR1003" s="596"/>
      <c r="AS1003" s="348"/>
      <c r="AT1003" s="348"/>
      <c r="AU1003" s="348"/>
      <c r="AV1003" s="348"/>
      <c r="AW1003" s="348"/>
      <c r="AX1003" s="584"/>
      <c r="AY1003" s="581"/>
      <c r="AZ1003" s="581"/>
      <c r="BA1003" s="596"/>
      <c r="BB1003" s="596"/>
      <c r="BC1003" s="348"/>
      <c r="BD1003" s="581"/>
      <c r="BE1003" s="581"/>
      <c r="BF1003" s="347"/>
      <c r="BG1003" s="347"/>
      <c r="BH1003" s="347"/>
      <c r="BI1003" s="347"/>
      <c r="BJ1003" s="586"/>
      <c r="BK1003" s="581"/>
      <c r="BL1003" s="347"/>
      <c r="BM1003" s="347"/>
      <c r="BN1003" s="347"/>
      <c r="BO1003" s="586"/>
      <c r="BP1003" s="584"/>
      <c r="BQ1003" s="347"/>
      <c r="BR1003" s="586"/>
      <c r="BS1003" s="588"/>
      <c r="BT1003" s="586"/>
      <c r="BU1003" s="589"/>
      <c r="BV1003" s="581">
        <f t="shared" si="44"/>
        <v>0</v>
      </c>
      <c r="BW1003" s="590"/>
      <c r="BX1003" s="347"/>
      <c r="BY1003" s="347"/>
      <c r="BZ1003" s="347"/>
      <c r="CA1003" s="586"/>
      <c r="CB1003" s="581"/>
      <c r="CC1003" s="581">
        <f t="shared" si="193"/>
        <v>0</v>
      </c>
      <c r="CD1003" s="581"/>
      <c r="CE1003" s="581"/>
      <c r="CF1003" s="581"/>
      <c r="CG1003" s="586"/>
      <c r="CH1003" s="608"/>
      <c r="CI1003" s="603"/>
      <c r="CJ1003" s="347"/>
      <c r="CK1003" s="347"/>
      <c r="CL1003" s="347"/>
      <c r="CM1003" s="347"/>
      <c r="CN1003" s="347"/>
      <c r="CO1003" s="347"/>
      <c r="CP1003" s="347"/>
    </row>
    <row r="1004">
      <c r="A1004" s="574"/>
      <c r="B1004" s="574"/>
      <c r="C1004" s="347"/>
      <c r="D1004" s="574"/>
      <c r="E1004" s="347"/>
      <c r="F1004" s="596"/>
      <c r="G1004" s="596"/>
      <c r="H1004" s="347"/>
      <c r="I1004" s="347"/>
      <c r="J1004" s="596"/>
      <c r="K1004" s="609"/>
      <c r="L1004" s="1"/>
      <c r="M1004" s="347"/>
      <c r="N1004" s="347"/>
      <c r="O1004" s="579"/>
      <c r="P1004" s="579"/>
      <c r="Q1004" s="574"/>
      <c r="R1004" s="347"/>
      <c r="S1004" s="597"/>
      <c r="T1004" s="347"/>
      <c r="U1004" s="579"/>
      <c r="V1004" s="579"/>
      <c r="W1004" s="574"/>
      <c r="X1004" s="347"/>
      <c r="Y1004" s="347"/>
      <c r="Z1004" s="347"/>
      <c r="AA1004" s="579"/>
      <c r="AB1004" s="581"/>
      <c r="AC1004" s="347"/>
      <c r="AD1004" s="347"/>
      <c r="AE1004" s="347"/>
      <c r="AF1004" s="347"/>
      <c r="AG1004" s="579"/>
      <c r="AH1004" s="579"/>
      <c r="AI1004" s="582"/>
      <c r="AJ1004" s="582"/>
      <c r="AK1004" s="582"/>
      <c r="AL1004" s="582"/>
      <c r="AM1004" s="579"/>
      <c r="AN1004" s="579"/>
      <c r="AO1004" s="347"/>
      <c r="AP1004" s="586"/>
      <c r="AQ1004" s="596"/>
      <c r="AR1004" s="596"/>
      <c r="AS1004" s="348"/>
      <c r="AT1004" s="348"/>
      <c r="AU1004" s="348"/>
      <c r="AV1004" s="348"/>
      <c r="AW1004" s="348"/>
      <c r="AX1004" s="584"/>
      <c r="AY1004" s="581"/>
      <c r="AZ1004" s="581"/>
      <c r="BA1004" s="596"/>
      <c r="BB1004" s="596"/>
      <c r="BC1004" s="348"/>
      <c r="BD1004" s="581"/>
      <c r="BE1004" s="581"/>
      <c r="BF1004" s="347"/>
      <c r="BG1004" s="347"/>
      <c r="BH1004" s="347"/>
      <c r="BI1004" s="347"/>
      <c r="BJ1004" s="586"/>
      <c r="BK1004" s="581"/>
      <c r="BL1004" s="347"/>
      <c r="BM1004" s="347"/>
      <c r="BN1004" s="347"/>
      <c r="BO1004" s="586"/>
      <c r="BP1004" s="584"/>
      <c r="BQ1004" s="347"/>
      <c r="BR1004" s="586"/>
      <c r="BS1004" s="588"/>
      <c r="BT1004" s="586"/>
      <c r="BU1004" s="589"/>
      <c r="BV1004" s="581">
        <f t="shared" si="44"/>
        <v>0</v>
      </c>
      <c r="BW1004" s="590"/>
      <c r="BX1004" s="347"/>
      <c r="BY1004" s="347"/>
      <c r="BZ1004" s="347"/>
      <c r="CA1004" s="586"/>
      <c r="CB1004" s="581"/>
      <c r="CC1004" s="581">
        <f t="shared" si="193"/>
        <v>0</v>
      </c>
      <c r="CD1004" s="581"/>
      <c r="CE1004" s="581"/>
      <c r="CF1004" s="581"/>
      <c r="CG1004" s="586"/>
      <c r="CH1004" s="608"/>
      <c r="CI1004" s="603"/>
      <c r="CJ1004" s="347"/>
      <c r="CK1004" s="347"/>
      <c r="CL1004" s="347"/>
      <c r="CM1004" s="347"/>
      <c r="CN1004" s="347"/>
      <c r="CO1004" s="347"/>
      <c r="CP1004" s="347"/>
    </row>
    <row r="1005">
      <c r="A1005" s="574"/>
      <c r="B1005" s="574"/>
      <c r="C1005" s="347"/>
      <c r="D1005" s="574"/>
      <c r="E1005" s="347"/>
      <c r="F1005" s="596"/>
      <c r="G1005" s="596"/>
      <c r="H1005" s="347"/>
      <c r="I1005" s="347"/>
      <c r="J1005" s="596"/>
      <c r="K1005" s="609"/>
      <c r="L1005" s="1"/>
      <c r="M1005" s="347"/>
      <c r="N1005" s="347"/>
      <c r="O1005" s="579"/>
      <c r="P1005" s="579"/>
      <c r="Q1005" s="574"/>
      <c r="R1005" s="347"/>
      <c r="S1005" s="597"/>
      <c r="T1005" s="347"/>
      <c r="U1005" s="579"/>
      <c r="V1005" s="579"/>
      <c r="W1005" s="574"/>
      <c r="X1005" s="347"/>
      <c r="Y1005" s="347"/>
      <c r="Z1005" s="347"/>
      <c r="AA1005" s="579"/>
      <c r="AB1005" s="581"/>
      <c r="AC1005" s="347"/>
      <c r="AD1005" s="347"/>
      <c r="AE1005" s="347"/>
      <c r="AF1005" s="347"/>
      <c r="AG1005" s="579"/>
      <c r="AH1005" s="579"/>
      <c r="AI1005" s="582"/>
      <c r="AJ1005" s="582"/>
      <c r="AK1005" s="582"/>
      <c r="AL1005" s="582"/>
      <c r="AM1005" s="579"/>
      <c r="AN1005" s="579"/>
      <c r="AO1005" s="347"/>
      <c r="AP1005" s="586"/>
      <c r="AQ1005" s="596"/>
      <c r="AR1005" s="596"/>
      <c r="AS1005" s="348"/>
      <c r="AT1005" s="348"/>
      <c r="AU1005" s="348"/>
      <c r="AV1005" s="348"/>
      <c r="AW1005" s="348"/>
      <c r="AX1005" s="584"/>
      <c r="AY1005" s="581"/>
      <c r="AZ1005" s="581"/>
      <c r="BA1005" s="596"/>
      <c r="BB1005" s="596"/>
      <c r="BC1005" s="348"/>
      <c r="BD1005" s="581"/>
      <c r="BE1005" s="581"/>
      <c r="BF1005" s="347"/>
      <c r="BG1005" s="347"/>
      <c r="BH1005" s="347"/>
      <c r="BI1005" s="347"/>
      <c r="BJ1005" s="586"/>
      <c r="BK1005" s="581"/>
      <c r="BL1005" s="347"/>
      <c r="BM1005" s="347"/>
      <c r="BN1005" s="347"/>
      <c r="BO1005" s="586"/>
      <c r="BP1005" s="584"/>
      <c r="BQ1005" s="347"/>
      <c r="BR1005" s="586"/>
      <c r="BS1005" s="588"/>
      <c r="BT1005" s="586"/>
      <c r="BU1005" s="589"/>
      <c r="BV1005" s="581">
        <f t="shared" si="44"/>
        <v>0</v>
      </c>
      <c r="BW1005" s="590"/>
      <c r="BX1005" s="347"/>
      <c r="BY1005" s="347"/>
      <c r="BZ1005" s="347"/>
      <c r="CA1005" s="586"/>
      <c r="CB1005" s="581"/>
      <c r="CC1005" s="581">
        <f t="shared" si="193"/>
        <v>0</v>
      </c>
      <c r="CD1005" s="581"/>
      <c r="CE1005" s="581"/>
      <c r="CF1005" s="581"/>
      <c r="CG1005" s="586"/>
      <c r="CH1005" s="608"/>
      <c r="CI1005" s="603"/>
      <c r="CJ1005" s="347"/>
      <c r="CK1005" s="347"/>
      <c r="CL1005" s="347"/>
      <c r="CM1005" s="347"/>
      <c r="CN1005" s="347"/>
      <c r="CO1005" s="347"/>
      <c r="CP1005" s="347"/>
    </row>
    <row r="1006">
      <c r="A1006" s="574"/>
      <c r="B1006" s="574"/>
      <c r="C1006" s="347"/>
      <c r="D1006" s="574"/>
      <c r="E1006" s="347"/>
      <c r="F1006" s="596"/>
      <c r="G1006" s="596"/>
      <c r="H1006" s="347"/>
      <c r="I1006" s="347"/>
      <c r="J1006" s="596"/>
      <c r="K1006" s="609"/>
      <c r="L1006" s="1"/>
      <c r="M1006" s="347"/>
      <c r="N1006" s="347"/>
      <c r="O1006" s="579"/>
      <c r="P1006" s="579"/>
      <c r="Q1006" s="574"/>
      <c r="R1006" s="347"/>
      <c r="S1006" s="597"/>
      <c r="T1006" s="347"/>
      <c r="U1006" s="579"/>
      <c r="V1006" s="579"/>
      <c r="W1006" s="574"/>
      <c r="X1006" s="347"/>
      <c r="Y1006" s="347"/>
      <c r="Z1006" s="347"/>
      <c r="AA1006" s="579"/>
      <c r="AB1006" s="581"/>
      <c r="AC1006" s="347"/>
      <c r="AD1006" s="347"/>
      <c r="AE1006" s="347"/>
      <c r="AF1006" s="347"/>
      <c r="AG1006" s="579"/>
      <c r="AH1006" s="579"/>
      <c r="AI1006" s="582"/>
      <c r="AJ1006" s="582"/>
      <c r="AK1006" s="582"/>
      <c r="AL1006" s="582"/>
      <c r="AM1006" s="579"/>
      <c r="AN1006" s="579"/>
      <c r="AO1006" s="347"/>
      <c r="AP1006" s="586"/>
      <c r="AQ1006" s="596"/>
      <c r="AR1006" s="596"/>
      <c r="AS1006" s="348"/>
      <c r="AT1006" s="348"/>
      <c r="AU1006" s="348"/>
      <c r="AV1006" s="348"/>
      <c r="AW1006" s="348"/>
      <c r="AX1006" s="584"/>
      <c r="AY1006" s="581"/>
      <c r="AZ1006" s="581"/>
      <c r="BA1006" s="596"/>
      <c r="BB1006" s="596"/>
      <c r="BC1006" s="348"/>
      <c r="BD1006" s="581"/>
      <c r="BE1006" s="581"/>
      <c r="BF1006" s="347"/>
      <c r="BG1006" s="347"/>
      <c r="BH1006" s="347"/>
      <c r="BI1006" s="347"/>
      <c r="BJ1006" s="586"/>
      <c r="BK1006" s="581"/>
      <c r="BL1006" s="347"/>
      <c r="BM1006" s="347"/>
      <c r="BN1006" s="347"/>
      <c r="BO1006" s="586"/>
      <c r="BP1006" s="584"/>
      <c r="BQ1006" s="347"/>
      <c r="BR1006" s="586"/>
      <c r="BS1006" s="588"/>
      <c r="BT1006" s="586"/>
      <c r="BU1006" s="589"/>
      <c r="BV1006" s="581"/>
      <c r="BW1006" s="590"/>
      <c r="BX1006" s="347"/>
      <c r="BY1006" s="347"/>
      <c r="BZ1006" s="347"/>
      <c r="CA1006" s="586"/>
      <c r="CB1006" s="581"/>
      <c r="CC1006" s="581"/>
      <c r="CD1006" s="581"/>
      <c r="CE1006" s="581"/>
      <c r="CF1006" s="581"/>
      <c r="CG1006" s="586"/>
      <c r="CH1006" s="608"/>
      <c r="CI1006" s="603"/>
      <c r="CJ1006" s="347"/>
      <c r="CK1006" s="347"/>
      <c r="CL1006" s="347"/>
      <c r="CM1006" s="347"/>
      <c r="CN1006" s="347"/>
      <c r="CO1006" s="347"/>
      <c r="CP1006" s="347"/>
    </row>
    <row r="1007">
      <c r="A1007" s="574"/>
      <c r="B1007" s="574"/>
      <c r="C1007" s="347"/>
      <c r="D1007" s="574"/>
      <c r="E1007" s="347"/>
      <c r="F1007" s="596"/>
      <c r="G1007" s="596"/>
      <c r="H1007" s="347"/>
      <c r="I1007" s="347"/>
      <c r="J1007" s="596"/>
      <c r="K1007" s="609"/>
      <c r="L1007" s="1"/>
      <c r="M1007" s="347"/>
      <c r="N1007" s="347"/>
      <c r="O1007" s="579"/>
      <c r="P1007" s="579"/>
      <c r="Q1007" s="574"/>
      <c r="R1007" s="347"/>
      <c r="S1007" s="597"/>
      <c r="T1007" s="347"/>
      <c r="U1007" s="579"/>
      <c r="V1007" s="579"/>
      <c r="W1007" s="574"/>
      <c r="X1007" s="347"/>
      <c r="Y1007" s="347"/>
      <c r="Z1007" s="347"/>
      <c r="AA1007" s="579"/>
      <c r="AB1007" s="581"/>
      <c r="AC1007" s="347"/>
      <c r="AD1007" s="347"/>
      <c r="AE1007" s="347"/>
      <c r="AF1007" s="347"/>
      <c r="AG1007" s="579"/>
      <c r="AH1007" s="579"/>
      <c r="AI1007" s="582"/>
      <c r="AJ1007" s="582"/>
      <c r="AK1007" s="582"/>
      <c r="AL1007" s="582"/>
      <c r="AM1007" s="579"/>
      <c r="AN1007" s="579"/>
      <c r="AO1007" s="347"/>
      <c r="AP1007" s="586"/>
      <c r="AQ1007" s="596"/>
      <c r="AR1007" s="596"/>
      <c r="AS1007" s="348"/>
      <c r="AT1007" s="348"/>
      <c r="AU1007" s="348"/>
      <c r="AV1007" s="348"/>
      <c r="AW1007" s="348"/>
      <c r="AX1007" s="584"/>
      <c r="AY1007" s="581"/>
      <c r="AZ1007" s="581"/>
      <c r="BA1007" s="596"/>
      <c r="BB1007" s="596"/>
      <c r="BC1007" s="348"/>
      <c r="BD1007" s="581"/>
      <c r="BE1007" s="581"/>
      <c r="BF1007" s="347"/>
      <c r="BG1007" s="347"/>
      <c r="BH1007" s="347"/>
      <c r="BI1007" s="347"/>
      <c r="BJ1007" s="586"/>
      <c r="BK1007" s="581"/>
      <c r="BL1007" s="347"/>
      <c r="BM1007" s="347"/>
      <c r="BN1007" s="347"/>
      <c r="BO1007" s="586"/>
      <c r="BP1007" s="584"/>
      <c r="BQ1007" s="347"/>
      <c r="BR1007" s="586"/>
      <c r="BS1007" s="588"/>
      <c r="BT1007" s="586"/>
      <c r="BU1007" s="589"/>
      <c r="BV1007" s="581"/>
      <c r="BW1007" s="590"/>
      <c r="BX1007" s="347"/>
      <c r="BY1007" s="347"/>
      <c r="BZ1007" s="347"/>
      <c r="CA1007" s="586"/>
      <c r="CB1007" s="581"/>
      <c r="CC1007" s="581"/>
      <c r="CD1007" s="581"/>
      <c r="CE1007" s="581"/>
      <c r="CF1007" s="581"/>
      <c r="CG1007" s="586"/>
      <c r="CH1007" s="608"/>
      <c r="CI1007" s="603"/>
      <c r="CJ1007" s="347"/>
      <c r="CK1007" s="347"/>
      <c r="CL1007" s="347"/>
      <c r="CM1007" s="347"/>
      <c r="CN1007" s="347"/>
      <c r="CO1007" s="347"/>
      <c r="CP1007" s="347"/>
    </row>
    <row r="1008">
      <c r="A1008" s="574"/>
      <c r="B1008" s="574"/>
      <c r="C1008" s="347"/>
      <c r="D1008" s="574"/>
      <c r="E1008" s="347"/>
      <c r="F1008" s="596"/>
      <c r="G1008" s="596"/>
      <c r="H1008" s="347"/>
      <c r="I1008" s="347"/>
      <c r="J1008" s="596"/>
      <c r="K1008" s="609"/>
      <c r="L1008" s="1"/>
      <c r="M1008" s="347"/>
      <c r="N1008" s="347"/>
      <c r="O1008" s="579"/>
      <c r="P1008" s="579"/>
      <c r="Q1008" s="574"/>
      <c r="R1008" s="347"/>
      <c r="S1008" s="597"/>
      <c r="T1008" s="347"/>
      <c r="U1008" s="579"/>
      <c r="V1008" s="579"/>
      <c r="W1008" s="574"/>
      <c r="X1008" s="347"/>
      <c r="Y1008" s="347"/>
      <c r="Z1008" s="347"/>
      <c r="AA1008" s="579"/>
      <c r="AB1008" s="581"/>
      <c r="AC1008" s="347"/>
      <c r="AD1008" s="347"/>
      <c r="AE1008" s="347"/>
      <c r="AF1008" s="347"/>
      <c r="AG1008" s="579"/>
      <c r="AH1008" s="579"/>
      <c r="AI1008" s="582"/>
      <c r="AJ1008" s="582"/>
      <c r="AK1008" s="582"/>
      <c r="AL1008" s="582"/>
      <c r="AM1008" s="579"/>
      <c r="AN1008" s="579"/>
      <c r="AO1008" s="347"/>
      <c r="AP1008" s="586"/>
      <c r="AQ1008" s="596"/>
      <c r="AR1008" s="596"/>
      <c r="AS1008" s="348"/>
      <c r="AT1008" s="348"/>
      <c r="AU1008" s="348"/>
      <c r="AV1008" s="348"/>
      <c r="AW1008" s="348"/>
      <c r="AX1008" s="584"/>
      <c r="AY1008" s="581"/>
      <c r="AZ1008" s="581"/>
      <c r="BA1008" s="596"/>
      <c r="BB1008" s="596"/>
      <c r="BC1008" s="348"/>
      <c r="BD1008" s="581"/>
      <c r="BE1008" s="581"/>
      <c r="BF1008" s="347"/>
      <c r="BG1008" s="347"/>
      <c r="BH1008" s="347"/>
      <c r="BI1008" s="347"/>
      <c r="BJ1008" s="586"/>
      <c r="BK1008" s="581"/>
      <c r="BL1008" s="347"/>
      <c r="BM1008" s="347"/>
      <c r="BN1008" s="347"/>
      <c r="BO1008" s="586"/>
      <c r="BP1008" s="584"/>
      <c r="BQ1008" s="347"/>
      <c r="BR1008" s="586"/>
      <c r="BS1008" s="588"/>
      <c r="BT1008" s="586"/>
      <c r="BU1008" s="589"/>
      <c r="BV1008" s="581"/>
      <c r="BW1008" s="590"/>
      <c r="BX1008" s="347"/>
      <c r="BY1008" s="347"/>
      <c r="BZ1008" s="347"/>
      <c r="CA1008" s="586"/>
      <c r="CB1008" s="581"/>
      <c r="CC1008" s="581"/>
      <c r="CD1008" s="581"/>
      <c r="CE1008" s="581"/>
      <c r="CF1008" s="581"/>
      <c r="CG1008" s="586"/>
      <c r="CH1008" s="608"/>
      <c r="CI1008" s="603"/>
      <c r="CJ1008" s="347"/>
      <c r="CK1008" s="347"/>
      <c r="CL1008" s="347"/>
      <c r="CM1008" s="347"/>
      <c r="CN1008" s="347"/>
      <c r="CO1008" s="347"/>
      <c r="CP1008" s="347"/>
    </row>
    <row r="1009">
      <c r="A1009" s="574"/>
      <c r="B1009" s="574"/>
      <c r="C1009" s="347"/>
      <c r="D1009" s="574"/>
      <c r="E1009" s="347"/>
      <c r="F1009" s="596"/>
      <c r="G1009" s="596"/>
      <c r="H1009" s="347"/>
      <c r="I1009" s="347"/>
      <c r="J1009" s="596"/>
      <c r="K1009" s="609"/>
      <c r="L1009" s="1"/>
      <c r="M1009" s="347"/>
      <c r="N1009" s="347"/>
      <c r="O1009" s="579"/>
      <c r="P1009" s="579"/>
      <c r="Q1009" s="574"/>
      <c r="R1009" s="347"/>
      <c r="S1009" s="597"/>
      <c r="T1009" s="347"/>
      <c r="U1009" s="579"/>
      <c r="V1009" s="579"/>
      <c r="W1009" s="574"/>
      <c r="X1009" s="347"/>
      <c r="Y1009" s="347"/>
      <c r="Z1009" s="347"/>
      <c r="AA1009" s="579"/>
      <c r="AB1009" s="581"/>
      <c r="AC1009" s="347"/>
      <c r="AD1009" s="347"/>
      <c r="AE1009" s="347"/>
      <c r="AF1009" s="347"/>
      <c r="AG1009" s="579"/>
      <c r="AH1009" s="579"/>
      <c r="AI1009" s="582"/>
      <c r="AJ1009" s="582"/>
      <c r="AK1009" s="582"/>
      <c r="AL1009" s="582"/>
      <c r="AM1009" s="579"/>
      <c r="AN1009" s="579"/>
      <c r="AO1009" s="347"/>
      <c r="AP1009" s="586"/>
      <c r="AQ1009" s="596"/>
      <c r="AR1009" s="596"/>
      <c r="AS1009" s="348"/>
      <c r="AT1009" s="348"/>
      <c r="AU1009" s="348"/>
      <c r="AV1009" s="348"/>
      <c r="AW1009" s="348"/>
      <c r="AX1009" s="584"/>
      <c r="AY1009" s="581"/>
      <c r="AZ1009" s="581"/>
      <c r="BA1009" s="596"/>
      <c r="BB1009" s="596"/>
      <c r="BC1009" s="348"/>
      <c r="BD1009" s="581"/>
      <c r="BE1009" s="581"/>
      <c r="BF1009" s="347"/>
      <c r="BG1009" s="347"/>
      <c r="BH1009" s="347"/>
      <c r="BI1009" s="347"/>
      <c r="BJ1009" s="586"/>
      <c r="BK1009" s="581"/>
      <c r="BL1009" s="347"/>
      <c r="BM1009" s="347"/>
      <c r="BN1009" s="347"/>
      <c r="BO1009" s="586"/>
      <c r="BP1009" s="584"/>
      <c r="BQ1009" s="347"/>
      <c r="BR1009" s="586"/>
      <c r="BS1009" s="588"/>
      <c r="BT1009" s="586"/>
      <c r="BU1009" s="589"/>
      <c r="BV1009" s="581"/>
      <c r="BW1009" s="590"/>
      <c r="BX1009" s="347"/>
      <c r="BY1009" s="347"/>
      <c r="BZ1009" s="347"/>
      <c r="CA1009" s="586"/>
      <c r="CB1009" s="581"/>
      <c r="CC1009" s="581"/>
      <c r="CD1009" s="581"/>
      <c r="CE1009" s="581"/>
      <c r="CF1009" s="581"/>
      <c r="CG1009" s="586"/>
      <c r="CH1009" s="608"/>
      <c r="CI1009" s="603"/>
      <c r="CJ1009" s="347"/>
      <c r="CK1009" s="347"/>
      <c r="CL1009" s="347"/>
      <c r="CM1009" s="347"/>
      <c r="CN1009" s="347"/>
      <c r="CO1009" s="347"/>
      <c r="CP1009" s="347"/>
    </row>
    <row r="1010">
      <c r="A1010" s="574"/>
      <c r="B1010" s="574"/>
      <c r="C1010" s="347"/>
      <c r="D1010" s="574"/>
      <c r="E1010" s="347"/>
      <c r="F1010" s="596"/>
      <c r="G1010" s="596"/>
      <c r="H1010" s="347"/>
      <c r="I1010" s="347"/>
      <c r="J1010" s="596"/>
      <c r="K1010" s="609"/>
      <c r="L1010" s="1"/>
      <c r="M1010" s="347"/>
      <c r="N1010" s="347"/>
      <c r="O1010" s="579"/>
      <c r="P1010" s="579"/>
      <c r="Q1010" s="574"/>
      <c r="R1010" s="347"/>
      <c r="S1010" s="597"/>
      <c r="T1010" s="347"/>
      <c r="U1010" s="579"/>
      <c r="V1010" s="579"/>
      <c r="W1010" s="574"/>
      <c r="X1010" s="347"/>
      <c r="Y1010" s="347"/>
      <c r="Z1010" s="347"/>
      <c r="AA1010" s="579"/>
      <c r="AB1010" s="581"/>
      <c r="AC1010" s="347"/>
      <c r="AD1010" s="347"/>
      <c r="AE1010" s="347"/>
      <c r="AF1010" s="347"/>
      <c r="AG1010" s="579"/>
      <c r="AH1010" s="579"/>
      <c r="AI1010" s="582"/>
      <c r="AJ1010" s="582"/>
      <c r="AK1010" s="582"/>
      <c r="AL1010" s="582"/>
      <c r="AM1010" s="579"/>
      <c r="AN1010" s="579"/>
      <c r="AO1010" s="347"/>
      <c r="AP1010" s="586"/>
      <c r="AQ1010" s="596"/>
      <c r="AR1010" s="596"/>
      <c r="AS1010" s="348"/>
      <c r="AT1010" s="348"/>
      <c r="AU1010" s="348"/>
      <c r="AV1010" s="348"/>
      <c r="AW1010" s="348"/>
      <c r="AX1010" s="584"/>
      <c r="AY1010" s="581"/>
      <c r="AZ1010" s="581"/>
      <c r="BA1010" s="596"/>
      <c r="BB1010" s="596"/>
      <c r="BC1010" s="348"/>
      <c r="BD1010" s="581"/>
      <c r="BE1010" s="581"/>
      <c r="BF1010" s="347"/>
      <c r="BG1010" s="347"/>
      <c r="BH1010" s="347"/>
      <c r="BI1010" s="347"/>
      <c r="BJ1010" s="586"/>
      <c r="BK1010" s="581"/>
      <c r="BL1010" s="347"/>
      <c r="BM1010" s="347"/>
      <c r="BN1010" s="347"/>
      <c r="BO1010" s="586"/>
      <c r="BP1010" s="584"/>
      <c r="BQ1010" s="347"/>
      <c r="BR1010" s="586"/>
      <c r="BS1010" s="588"/>
      <c r="BT1010" s="586"/>
      <c r="BU1010" s="589"/>
      <c r="BV1010" s="581"/>
      <c r="BW1010" s="590"/>
      <c r="BX1010" s="347"/>
      <c r="BY1010" s="347"/>
      <c r="BZ1010" s="347"/>
      <c r="CA1010" s="586"/>
      <c r="CB1010" s="581"/>
      <c r="CC1010" s="581"/>
      <c r="CD1010" s="581"/>
      <c r="CE1010" s="581"/>
      <c r="CF1010" s="581"/>
      <c r="CG1010" s="586"/>
      <c r="CH1010" s="608"/>
      <c r="CI1010" s="603"/>
      <c r="CJ1010" s="347"/>
      <c r="CK1010" s="347"/>
      <c r="CL1010" s="347"/>
      <c r="CM1010" s="347"/>
      <c r="CN1010" s="347"/>
      <c r="CO1010" s="347"/>
      <c r="CP1010" s="347"/>
    </row>
    <row r="1011">
      <c r="A1011" s="574"/>
      <c r="B1011" s="574"/>
      <c r="C1011" s="347"/>
      <c r="D1011" s="574"/>
      <c r="E1011" s="347"/>
      <c r="F1011" s="596"/>
      <c r="G1011" s="596"/>
      <c r="H1011" s="347"/>
      <c r="I1011" s="347"/>
      <c r="J1011" s="596"/>
      <c r="K1011" s="609"/>
      <c r="L1011" s="1"/>
      <c r="M1011" s="347"/>
      <c r="N1011" s="347"/>
      <c r="O1011" s="579"/>
      <c r="P1011" s="579"/>
      <c r="Q1011" s="574"/>
      <c r="R1011" s="347"/>
      <c r="S1011" s="597"/>
      <c r="T1011" s="347"/>
      <c r="U1011" s="579"/>
      <c r="V1011" s="579"/>
      <c r="W1011" s="574"/>
      <c r="X1011" s="347"/>
      <c r="Y1011" s="347"/>
      <c r="Z1011" s="347"/>
      <c r="AA1011" s="579"/>
      <c r="AB1011" s="581"/>
      <c r="AC1011" s="347"/>
      <c r="AD1011" s="347"/>
      <c r="AE1011" s="347"/>
      <c r="AF1011" s="347"/>
      <c r="AG1011" s="579"/>
      <c r="AH1011" s="579"/>
      <c r="AI1011" s="582"/>
      <c r="AJ1011" s="582"/>
      <c r="AK1011" s="582"/>
      <c r="AL1011" s="582"/>
      <c r="AM1011" s="579"/>
      <c r="AN1011" s="579"/>
      <c r="AO1011" s="347"/>
      <c r="AP1011" s="586"/>
      <c r="AQ1011" s="596"/>
      <c r="AR1011" s="596"/>
      <c r="AS1011" s="348"/>
      <c r="AT1011" s="348"/>
      <c r="AU1011" s="348"/>
      <c r="AV1011" s="348"/>
      <c r="AW1011" s="348"/>
      <c r="AX1011" s="584"/>
      <c r="AY1011" s="581"/>
      <c r="AZ1011" s="581"/>
      <c r="BA1011" s="596"/>
      <c r="BB1011" s="596"/>
      <c r="BC1011" s="348"/>
      <c r="BD1011" s="581"/>
      <c r="BE1011" s="581"/>
      <c r="BF1011" s="347"/>
      <c r="BG1011" s="347"/>
      <c r="BH1011" s="347"/>
      <c r="BI1011" s="347"/>
      <c r="BJ1011" s="586"/>
      <c r="BK1011" s="581"/>
      <c r="BL1011" s="347"/>
      <c r="BM1011" s="347"/>
      <c r="BN1011" s="347"/>
      <c r="BO1011" s="586"/>
      <c r="BP1011" s="584"/>
      <c r="BQ1011" s="347"/>
      <c r="BR1011" s="586"/>
      <c r="BS1011" s="588"/>
      <c r="BT1011" s="586"/>
      <c r="BU1011" s="589"/>
      <c r="BV1011" s="581"/>
      <c r="BW1011" s="590"/>
      <c r="BX1011" s="347"/>
      <c r="BY1011" s="347"/>
      <c r="BZ1011" s="347"/>
      <c r="CA1011" s="586"/>
      <c r="CB1011" s="581"/>
      <c r="CC1011" s="581"/>
      <c r="CD1011" s="581"/>
      <c r="CE1011" s="581"/>
      <c r="CF1011" s="581"/>
      <c r="CG1011" s="586"/>
      <c r="CH1011" s="608"/>
      <c r="CI1011" s="603"/>
      <c r="CJ1011" s="347"/>
      <c r="CK1011" s="347"/>
      <c r="CL1011" s="347"/>
      <c r="CM1011" s="347"/>
      <c r="CN1011" s="347"/>
      <c r="CO1011" s="347"/>
      <c r="CP1011" s="347"/>
    </row>
    <row r="1012">
      <c r="A1012" s="574"/>
      <c r="B1012" s="574"/>
      <c r="C1012" s="347"/>
      <c r="D1012" s="574"/>
      <c r="E1012" s="347"/>
      <c r="F1012" s="596"/>
      <c r="G1012" s="596"/>
      <c r="H1012" s="347"/>
      <c r="I1012" s="347"/>
      <c r="J1012" s="596"/>
      <c r="K1012" s="609"/>
      <c r="L1012" s="1"/>
      <c r="M1012" s="347"/>
      <c r="N1012" s="347"/>
      <c r="O1012" s="579"/>
      <c r="P1012" s="579"/>
      <c r="Q1012" s="574"/>
      <c r="R1012" s="347"/>
      <c r="S1012" s="597"/>
      <c r="T1012" s="347"/>
      <c r="U1012" s="579"/>
      <c r="V1012" s="579"/>
      <c r="W1012" s="574"/>
      <c r="X1012" s="347"/>
      <c r="Y1012" s="347"/>
      <c r="Z1012" s="347"/>
      <c r="AA1012" s="579"/>
      <c r="AB1012" s="581"/>
      <c r="AC1012" s="347"/>
      <c r="AD1012" s="347"/>
      <c r="AE1012" s="347"/>
      <c r="AF1012" s="347"/>
      <c r="AG1012" s="579"/>
      <c r="AH1012" s="579"/>
      <c r="AI1012" s="582"/>
      <c r="AJ1012" s="582"/>
      <c r="AK1012" s="582"/>
      <c r="AL1012" s="582"/>
      <c r="AM1012" s="579"/>
      <c r="AN1012" s="579"/>
      <c r="AO1012" s="347"/>
      <c r="AP1012" s="586"/>
      <c r="AQ1012" s="596"/>
      <c r="AR1012" s="596"/>
      <c r="AS1012" s="348"/>
      <c r="AT1012" s="348"/>
      <c r="AU1012" s="348"/>
      <c r="AV1012" s="348"/>
      <c r="AW1012" s="348"/>
      <c r="AX1012" s="584"/>
      <c r="AY1012" s="581"/>
      <c r="AZ1012" s="581"/>
      <c r="BA1012" s="596"/>
      <c r="BB1012" s="596"/>
      <c r="BC1012" s="348"/>
      <c r="BD1012" s="581"/>
      <c r="BE1012" s="581"/>
      <c r="BF1012" s="347"/>
      <c r="BG1012" s="347"/>
      <c r="BH1012" s="347"/>
      <c r="BI1012" s="347"/>
      <c r="BJ1012" s="586"/>
      <c r="BK1012" s="581"/>
      <c r="BL1012" s="347"/>
      <c r="BM1012" s="347"/>
      <c r="BN1012" s="347"/>
      <c r="BO1012" s="586"/>
      <c r="BP1012" s="584"/>
      <c r="BQ1012" s="347"/>
      <c r="BR1012" s="586"/>
      <c r="BS1012" s="588"/>
      <c r="BT1012" s="586"/>
      <c r="BU1012" s="589"/>
      <c r="BV1012" s="581"/>
      <c r="BW1012" s="590"/>
      <c r="BX1012" s="347"/>
      <c r="BY1012" s="347"/>
      <c r="BZ1012" s="347"/>
      <c r="CA1012" s="586"/>
      <c r="CB1012" s="581"/>
      <c r="CC1012" s="581"/>
      <c r="CD1012" s="581"/>
      <c r="CE1012" s="581"/>
      <c r="CF1012" s="581"/>
      <c r="CG1012" s="586"/>
      <c r="CH1012" s="608"/>
      <c r="CI1012" s="603"/>
      <c r="CJ1012" s="347"/>
      <c r="CK1012" s="347"/>
      <c r="CL1012" s="347"/>
      <c r="CM1012" s="347"/>
      <c r="CN1012" s="347"/>
      <c r="CO1012" s="347"/>
      <c r="CP1012" s="347"/>
    </row>
    <row r="1013">
      <c r="A1013" s="574"/>
      <c r="B1013" s="574"/>
      <c r="C1013" s="347"/>
      <c r="D1013" s="574"/>
      <c r="E1013" s="347"/>
      <c r="F1013" s="596"/>
      <c r="G1013" s="596"/>
      <c r="H1013" s="347"/>
      <c r="I1013" s="347"/>
      <c r="J1013" s="596"/>
      <c r="K1013" s="609"/>
      <c r="L1013" s="1"/>
      <c r="M1013" s="347"/>
      <c r="N1013" s="347"/>
      <c r="O1013" s="579"/>
      <c r="P1013" s="579"/>
      <c r="Q1013" s="574"/>
      <c r="R1013" s="347"/>
      <c r="S1013" s="597"/>
      <c r="T1013" s="347"/>
      <c r="U1013" s="579"/>
      <c r="V1013" s="579"/>
      <c r="W1013" s="574"/>
      <c r="X1013" s="347"/>
      <c r="Y1013" s="347"/>
      <c r="Z1013" s="347"/>
      <c r="AA1013" s="579"/>
      <c r="AB1013" s="581"/>
      <c r="AC1013" s="347"/>
      <c r="AD1013" s="347"/>
      <c r="AE1013" s="347"/>
      <c r="AF1013" s="347"/>
      <c r="AG1013" s="579"/>
      <c r="AH1013" s="579"/>
      <c r="AI1013" s="582"/>
      <c r="AJ1013" s="582"/>
      <c r="AK1013" s="582"/>
      <c r="AL1013" s="582"/>
      <c r="AM1013" s="579"/>
      <c r="AN1013" s="579"/>
      <c r="AO1013" s="347"/>
      <c r="AP1013" s="586"/>
      <c r="AQ1013" s="596"/>
      <c r="AR1013" s="596"/>
      <c r="AS1013" s="348"/>
      <c r="AT1013" s="348"/>
      <c r="AU1013" s="348"/>
      <c r="AV1013" s="348"/>
      <c r="AW1013" s="348"/>
      <c r="AX1013" s="584"/>
      <c r="AY1013" s="581"/>
      <c r="AZ1013" s="581"/>
      <c r="BA1013" s="596"/>
      <c r="BB1013" s="596"/>
      <c r="BC1013" s="348"/>
      <c r="BD1013" s="581"/>
      <c r="BE1013" s="581"/>
      <c r="BF1013" s="347"/>
      <c r="BG1013" s="347"/>
      <c r="BH1013" s="347"/>
      <c r="BI1013" s="347"/>
      <c r="BJ1013" s="586"/>
      <c r="BK1013" s="581"/>
      <c r="BL1013" s="347"/>
      <c r="BM1013" s="347"/>
      <c r="BN1013" s="347"/>
      <c r="BO1013" s="586"/>
      <c r="BP1013" s="584"/>
      <c r="BQ1013" s="347"/>
      <c r="BR1013" s="586"/>
      <c r="BS1013" s="588"/>
      <c r="BT1013" s="586"/>
      <c r="BU1013" s="589"/>
      <c r="BV1013" s="581"/>
      <c r="BW1013" s="590"/>
      <c r="BX1013" s="347"/>
      <c r="BY1013" s="347"/>
      <c r="BZ1013" s="347"/>
      <c r="CA1013" s="586"/>
      <c r="CB1013" s="581"/>
      <c r="CC1013" s="581"/>
      <c r="CD1013" s="581"/>
      <c r="CE1013" s="581"/>
      <c r="CF1013" s="581"/>
      <c r="CG1013" s="586"/>
      <c r="CH1013" s="608"/>
      <c r="CI1013" s="603"/>
      <c r="CJ1013" s="347"/>
      <c r="CK1013" s="347"/>
      <c r="CL1013" s="347"/>
      <c r="CM1013" s="347"/>
      <c r="CN1013" s="347"/>
      <c r="CO1013" s="347"/>
      <c r="CP1013" s="347"/>
    </row>
    <row r="1014">
      <c r="A1014" s="574"/>
      <c r="B1014" s="574"/>
      <c r="C1014" s="347"/>
      <c r="D1014" s="574"/>
      <c r="E1014" s="347"/>
      <c r="F1014" s="596"/>
      <c r="G1014" s="596"/>
      <c r="H1014" s="347"/>
      <c r="I1014" s="347"/>
      <c r="J1014" s="596"/>
      <c r="K1014" s="609"/>
      <c r="L1014" s="1"/>
      <c r="M1014" s="347"/>
      <c r="N1014" s="347"/>
      <c r="O1014" s="579"/>
      <c r="P1014" s="579"/>
      <c r="Q1014" s="574"/>
      <c r="R1014" s="347"/>
      <c r="S1014" s="597"/>
      <c r="T1014" s="347"/>
      <c r="U1014" s="579"/>
      <c r="V1014" s="579"/>
      <c r="W1014" s="574"/>
      <c r="X1014" s="347"/>
      <c r="Y1014" s="347"/>
      <c r="Z1014" s="347"/>
      <c r="AA1014" s="579"/>
      <c r="AB1014" s="581"/>
      <c r="AC1014" s="347"/>
      <c r="AD1014" s="347"/>
      <c r="AE1014" s="347"/>
      <c r="AF1014" s="347"/>
      <c r="AG1014" s="579"/>
      <c r="AH1014" s="579"/>
      <c r="AI1014" s="582"/>
      <c r="AJ1014" s="582"/>
      <c r="AK1014" s="582"/>
      <c r="AL1014" s="582"/>
      <c r="AM1014" s="579"/>
      <c r="AN1014" s="579"/>
      <c r="AO1014" s="347"/>
      <c r="AP1014" s="586"/>
      <c r="AQ1014" s="596"/>
      <c r="AR1014" s="596"/>
      <c r="AS1014" s="348"/>
      <c r="AT1014" s="348"/>
      <c r="AU1014" s="348"/>
      <c r="AV1014" s="348"/>
      <c r="AW1014" s="348"/>
      <c r="AX1014" s="584"/>
      <c r="AY1014" s="581"/>
      <c r="AZ1014" s="581"/>
      <c r="BA1014" s="596"/>
      <c r="BB1014" s="596"/>
      <c r="BC1014" s="348"/>
      <c r="BD1014" s="581"/>
      <c r="BE1014" s="581"/>
      <c r="BF1014" s="347"/>
      <c r="BG1014" s="347"/>
      <c r="BH1014" s="347"/>
      <c r="BI1014" s="347"/>
      <c r="BJ1014" s="586"/>
      <c r="BK1014" s="581"/>
      <c r="BL1014" s="347"/>
      <c r="BM1014" s="347"/>
      <c r="BN1014" s="347"/>
      <c r="BO1014" s="586"/>
      <c r="BP1014" s="584"/>
      <c r="BQ1014" s="347"/>
      <c r="BR1014" s="586"/>
      <c r="BS1014" s="588"/>
      <c r="BT1014" s="586"/>
      <c r="BU1014" s="589"/>
      <c r="BV1014" s="581"/>
      <c r="BW1014" s="590"/>
      <c r="BX1014" s="347"/>
      <c r="BY1014" s="347"/>
      <c r="BZ1014" s="347"/>
      <c r="CA1014" s="586"/>
      <c r="CB1014" s="581"/>
      <c r="CC1014" s="581"/>
      <c r="CD1014" s="581"/>
      <c r="CE1014" s="581"/>
      <c r="CF1014" s="581"/>
      <c r="CG1014" s="586"/>
      <c r="CH1014" s="608"/>
      <c r="CI1014" s="603"/>
      <c r="CJ1014" s="347"/>
      <c r="CK1014" s="347"/>
      <c r="CL1014" s="347"/>
      <c r="CM1014" s="347"/>
      <c r="CN1014" s="347"/>
      <c r="CO1014" s="347"/>
      <c r="CP1014" s="347"/>
    </row>
    <row r="1015">
      <c r="A1015" s="574"/>
      <c r="B1015" s="574"/>
      <c r="C1015" s="347"/>
      <c r="D1015" s="574"/>
      <c r="E1015" s="347"/>
      <c r="F1015" s="596"/>
      <c r="G1015" s="596"/>
      <c r="H1015" s="347"/>
      <c r="I1015" s="347"/>
      <c r="J1015" s="596"/>
      <c r="K1015" s="609"/>
      <c r="L1015" s="1"/>
      <c r="M1015" s="347"/>
      <c r="N1015" s="347"/>
      <c r="O1015" s="579"/>
      <c r="P1015" s="579"/>
      <c r="Q1015" s="574"/>
      <c r="R1015" s="347"/>
      <c r="S1015" s="597"/>
      <c r="T1015" s="347"/>
      <c r="U1015" s="579"/>
      <c r="V1015" s="579"/>
      <c r="W1015" s="574"/>
      <c r="X1015" s="347"/>
      <c r="Y1015" s="347"/>
      <c r="Z1015" s="347"/>
      <c r="AA1015" s="579"/>
      <c r="AB1015" s="581"/>
      <c r="AC1015" s="347"/>
      <c r="AD1015" s="347"/>
      <c r="AE1015" s="347"/>
      <c r="AF1015" s="347"/>
      <c r="AG1015" s="579"/>
      <c r="AH1015" s="579"/>
      <c r="AI1015" s="582"/>
      <c r="AJ1015" s="582"/>
      <c r="AK1015" s="582"/>
      <c r="AL1015" s="582"/>
      <c r="AM1015" s="579"/>
      <c r="AN1015" s="579"/>
      <c r="AO1015" s="347"/>
      <c r="AP1015" s="586"/>
      <c r="AQ1015" s="596"/>
      <c r="AR1015" s="596"/>
      <c r="AS1015" s="348"/>
      <c r="AT1015" s="348"/>
      <c r="AU1015" s="348"/>
      <c r="AV1015" s="348"/>
      <c r="AW1015" s="348"/>
      <c r="AX1015" s="584"/>
      <c r="AY1015" s="581"/>
      <c r="AZ1015" s="581"/>
      <c r="BA1015" s="596"/>
      <c r="BB1015" s="596"/>
      <c r="BC1015" s="348"/>
      <c r="BD1015" s="581"/>
      <c r="BE1015" s="581"/>
      <c r="BF1015" s="347"/>
      <c r="BG1015" s="347"/>
      <c r="BH1015" s="347"/>
      <c r="BI1015" s="347"/>
      <c r="BJ1015" s="586"/>
      <c r="BK1015" s="581"/>
      <c r="BL1015" s="347"/>
      <c r="BM1015" s="347"/>
      <c r="BN1015" s="347"/>
      <c r="BO1015" s="586"/>
      <c r="BP1015" s="584"/>
      <c r="BQ1015" s="347"/>
      <c r="BR1015" s="586"/>
      <c r="BS1015" s="588"/>
      <c r="BT1015" s="586"/>
      <c r="BU1015" s="589"/>
      <c r="BV1015" s="581"/>
      <c r="BW1015" s="590"/>
      <c r="BX1015" s="347"/>
      <c r="BY1015" s="347"/>
      <c r="BZ1015" s="347"/>
      <c r="CA1015" s="586"/>
      <c r="CB1015" s="581"/>
      <c r="CC1015" s="581"/>
      <c r="CD1015" s="581"/>
      <c r="CE1015" s="581"/>
      <c r="CF1015" s="581"/>
      <c r="CG1015" s="586"/>
      <c r="CH1015" s="608"/>
      <c r="CI1015" s="603"/>
      <c r="CJ1015" s="347"/>
      <c r="CK1015" s="347"/>
      <c r="CL1015" s="347"/>
      <c r="CM1015" s="347"/>
      <c r="CN1015" s="347"/>
      <c r="CO1015" s="347"/>
      <c r="CP1015" s="347"/>
    </row>
    <row r="1016">
      <c r="A1016" s="574"/>
      <c r="B1016" s="574"/>
      <c r="C1016" s="347"/>
      <c r="D1016" s="574"/>
      <c r="E1016" s="347"/>
      <c r="F1016" s="596"/>
      <c r="G1016" s="596"/>
      <c r="H1016" s="347"/>
      <c r="I1016" s="347"/>
      <c r="J1016" s="596"/>
      <c r="K1016" s="609"/>
      <c r="L1016" s="1"/>
      <c r="M1016" s="347"/>
      <c r="N1016" s="347"/>
      <c r="O1016" s="579"/>
      <c r="P1016" s="579"/>
      <c r="Q1016" s="574"/>
      <c r="R1016" s="347"/>
      <c r="S1016" s="597"/>
      <c r="T1016" s="347"/>
      <c r="U1016" s="579"/>
      <c r="V1016" s="579"/>
      <c r="W1016" s="574"/>
      <c r="X1016" s="347"/>
      <c r="Y1016" s="347"/>
      <c r="Z1016" s="347"/>
      <c r="AA1016" s="579"/>
      <c r="AB1016" s="581"/>
      <c r="AC1016" s="347"/>
      <c r="AD1016" s="347"/>
      <c r="AE1016" s="347"/>
      <c r="AF1016" s="347"/>
      <c r="AG1016" s="579"/>
      <c r="AH1016" s="579"/>
      <c r="AI1016" s="582"/>
      <c r="AJ1016" s="582"/>
      <c r="AK1016" s="582"/>
      <c r="AL1016" s="582"/>
      <c r="AM1016" s="579"/>
      <c r="AN1016" s="579"/>
      <c r="AO1016" s="347"/>
      <c r="AP1016" s="586"/>
      <c r="AQ1016" s="596"/>
      <c r="AR1016" s="596"/>
      <c r="AS1016" s="348"/>
      <c r="AT1016" s="348"/>
      <c r="AU1016" s="348"/>
      <c r="AV1016" s="348"/>
      <c r="AW1016" s="348"/>
      <c r="AX1016" s="584"/>
      <c r="AY1016" s="581"/>
      <c r="AZ1016" s="581"/>
      <c r="BA1016" s="596"/>
      <c r="BB1016" s="596"/>
      <c r="BC1016" s="348"/>
      <c r="BD1016" s="581"/>
      <c r="BE1016" s="581"/>
      <c r="BF1016" s="347"/>
      <c r="BG1016" s="347"/>
      <c r="BH1016" s="347"/>
      <c r="BI1016" s="347"/>
      <c r="BJ1016" s="586"/>
      <c r="BK1016" s="581"/>
      <c r="BL1016" s="347"/>
      <c r="BM1016" s="347"/>
      <c r="BN1016" s="347"/>
      <c r="BO1016" s="586"/>
      <c r="BP1016" s="584"/>
      <c r="BQ1016" s="347"/>
      <c r="BR1016" s="586"/>
      <c r="BS1016" s="588"/>
      <c r="BT1016" s="586"/>
      <c r="BU1016" s="589"/>
      <c r="BV1016" s="581"/>
      <c r="BW1016" s="590"/>
      <c r="BX1016" s="347"/>
      <c r="BY1016" s="347"/>
      <c r="BZ1016" s="347"/>
      <c r="CA1016" s="586"/>
      <c r="CB1016" s="581"/>
      <c r="CC1016" s="581"/>
      <c r="CD1016" s="581"/>
      <c r="CE1016" s="581"/>
      <c r="CF1016" s="581"/>
      <c r="CG1016" s="586"/>
      <c r="CH1016" s="608"/>
      <c r="CI1016" s="603"/>
      <c r="CJ1016" s="347"/>
      <c r="CK1016" s="347"/>
      <c r="CL1016" s="347"/>
      <c r="CM1016" s="347"/>
      <c r="CN1016" s="347"/>
      <c r="CO1016" s="347"/>
      <c r="CP1016" s="347"/>
    </row>
    <row r="1017">
      <c r="A1017" s="574"/>
      <c r="B1017" s="574"/>
      <c r="C1017" s="347"/>
      <c r="D1017" s="574"/>
      <c r="E1017" s="347"/>
      <c r="F1017" s="596"/>
      <c r="G1017" s="596"/>
      <c r="H1017" s="347"/>
      <c r="I1017" s="347"/>
      <c r="J1017" s="596"/>
      <c r="K1017" s="609"/>
      <c r="L1017" s="1"/>
      <c r="M1017" s="347"/>
      <c r="N1017" s="347"/>
      <c r="O1017" s="579"/>
      <c r="P1017" s="579"/>
      <c r="Q1017" s="574"/>
      <c r="R1017" s="347"/>
      <c r="S1017" s="597"/>
      <c r="T1017" s="347"/>
      <c r="U1017" s="579"/>
      <c r="V1017" s="579"/>
      <c r="W1017" s="574"/>
      <c r="X1017" s="347"/>
      <c r="Y1017" s="347"/>
      <c r="Z1017" s="347"/>
      <c r="AA1017" s="579"/>
      <c r="AB1017" s="581"/>
      <c r="AC1017" s="347"/>
      <c r="AD1017" s="347"/>
      <c r="AE1017" s="347"/>
      <c r="AF1017" s="347"/>
      <c r="AG1017" s="579"/>
      <c r="AH1017" s="579"/>
      <c r="AI1017" s="582"/>
      <c r="AJ1017" s="582"/>
      <c r="AK1017" s="582"/>
      <c r="AL1017" s="582"/>
      <c r="AM1017" s="579"/>
      <c r="AN1017" s="579"/>
      <c r="AO1017" s="347"/>
      <c r="AP1017" s="586"/>
      <c r="AQ1017" s="596"/>
      <c r="AR1017" s="596"/>
      <c r="AS1017" s="348"/>
      <c r="AT1017" s="348"/>
      <c r="AU1017" s="348"/>
      <c r="AV1017" s="348"/>
      <c r="AW1017" s="348"/>
      <c r="AX1017" s="584"/>
      <c r="AY1017" s="581"/>
      <c r="AZ1017" s="581"/>
      <c r="BA1017" s="596"/>
      <c r="BB1017" s="596"/>
      <c r="BC1017" s="348"/>
      <c r="BD1017" s="581"/>
      <c r="BE1017" s="581"/>
      <c r="BF1017" s="347"/>
      <c r="BG1017" s="347"/>
      <c r="BH1017" s="347"/>
      <c r="BI1017" s="347"/>
      <c r="BJ1017" s="586"/>
      <c r="BK1017" s="581"/>
      <c r="BL1017" s="347"/>
      <c r="BM1017" s="347"/>
      <c r="BN1017" s="347"/>
      <c r="BO1017" s="586"/>
      <c r="BP1017" s="584"/>
      <c r="BQ1017" s="347"/>
      <c r="BR1017" s="586"/>
      <c r="BS1017" s="588"/>
      <c r="BT1017" s="586"/>
      <c r="BU1017" s="589"/>
      <c r="BV1017" s="581"/>
      <c r="BW1017" s="590"/>
      <c r="BX1017" s="347"/>
      <c r="BY1017" s="347"/>
      <c r="BZ1017" s="347"/>
      <c r="CA1017" s="586"/>
      <c r="CB1017" s="581"/>
      <c r="CC1017" s="581"/>
      <c r="CD1017" s="581"/>
      <c r="CE1017" s="581"/>
      <c r="CF1017" s="581"/>
      <c r="CG1017" s="586"/>
      <c r="CH1017" s="608"/>
      <c r="CI1017" s="603"/>
      <c r="CJ1017" s="347"/>
      <c r="CK1017" s="347"/>
      <c r="CL1017" s="347"/>
      <c r="CM1017" s="347"/>
      <c r="CN1017" s="347"/>
      <c r="CO1017" s="347"/>
      <c r="CP1017" s="347"/>
    </row>
    <row r="1018">
      <c r="A1018" s="574"/>
      <c r="B1018" s="574"/>
      <c r="C1018" s="347"/>
      <c r="D1018" s="574"/>
      <c r="E1018" s="347"/>
      <c r="F1018" s="596"/>
      <c r="G1018" s="596"/>
      <c r="H1018" s="347"/>
      <c r="I1018" s="347"/>
      <c r="J1018" s="596"/>
      <c r="K1018" s="609"/>
      <c r="L1018" s="1"/>
      <c r="M1018" s="347"/>
      <c r="N1018" s="347"/>
      <c r="O1018" s="579"/>
      <c r="P1018" s="579"/>
      <c r="Q1018" s="574"/>
      <c r="R1018" s="347"/>
      <c r="S1018" s="597"/>
      <c r="T1018" s="347"/>
      <c r="U1018" s="579"/>
      <c r="V1018" s="579"/>
      <c r="W1018" s="574"/>
      <c r="X1018" s="347"/>
      <c r="Y1018" s="347"/>
      <c r="Z1018" s="347"/>
      <c r="AA1018" s="579"/>
      <c r="AB1018" s="581"/>
      <c r="AC1018" s="347"/>
      <c r="AD1018" s="347"/>
      <c r="AE1018" s="347"/>
      <c r="AF1018" s="347"/>
      <c r="AG1018" s="579"/>
      <c r="AH1018" s="579"/>
      <c r="AI1018" s="582"/>
      <c r="AJ1018" s="582"/>
      <c r="AK1018" s="582"/>
      <c r="AL1018" s="582"/>
      <c r="AM1018" s="579"/>
      <c r="AN1018" s="579"/>
      <c r="AO1018" s="347"/>
      <c r="AP1018" s="586"/>
      <c r="AQ1018" s="596"/>
      <c r="AR1018" s="596"/>
      <c r="AS1018" s="348"/>
      <c r="AT1018" s="348"/>
      <c r="AU1018" s="348"/>
      <c r="AV1018" s="348"/>
      <c r="AW1018" s="348"/>
      <c r="AX1018" s="584"/>
      <c r="AY1018" s="581"/>
      <c r="AZ1018" s="581"/>
      <c r="BA1018" s="596"/>
      <c r="BB1018" s="596"/>
      <c r="BC1018" s="348"/>
      <c r="BD1018" s="581"/>
      <c r="BE1018" s="581"/>
      <c r="BF1018" s="347"/>
      <c r="BG1018" s="347"/>
      <c r="BH1018" s="347"/>
      <c r="BI1018" s="347"/>
      <c r="BJ1018" s="586"/>
      <c r="BK1018" s="581"/>
      <c r="BL1018" s="347"/>
      <c r="BM1018" s="347"/>
      <c r="BN1018" s="347"/>
      <c r="BO1018" s="586"/>
      <c r="BP1018" s="584"/>
      <c r="BQ1018" s="347"/>
      <c r="BR1018" s="586"/>
      <c r="BS1018" s="588"/>
      <c r="BT1018" s="586"/>
      <c r="BU1018" s="589"/>
      <c r="BV1018" s="581"/>
      <c r="BW1018" s="590"/>
      <c r="BX1018" s="347"/>
      <c r="BY1018" s="347"/>
      <c r="BZ1018" s="347"/>
      <c r="CA1018" s="586"/>
      <c r="CB1018" s="581"/>
      <c r="CC1018" s="581"/>
      <c r="CD1018" s="581"/>
      <c r="CE1018" s="581"/>
      <c r="CF1018" s="581"/>
      <c r="CG1018" s="586"/>
      <c r="CH1018" s="608"/>
      <c r="CI1018" s="603"/>
      <c r="CJ1018" s="347"/>
      <c r="CK1018" s="347"/>
      <c r="CL1018" s="347"/>
      <c r="CM1018" s="347"/>
      <c r="CN1018" s="347"/>
      <c r="CO1018" s="347"/>
      <c r="CP1018" s="347"/>
    </row>
    <row r="1019">
      <c r="A1019" s="574"/>
      <c r="B1019" s="574"/>
      <c r="C1019" s="347"/>
      <c r="D1019" s="574"/>
      <c r="E1019" s="347"/>
      <c r="F1019" s="596"/>
      <c r="G1019" s="596"/>
      <c r="H1019" s="347"/>
      <c r="I1019" s="347"/>
      <c r="J1019" s="596"/>
      <c r="K1019" s="609"/>
      <c r="L1019" s="1"/>
      <c r="M1019" s="347"/>
      <c r="N1019" s="347"/>
      <c r="O1019" s="579"/>
      <c r="P1019" s="579"/>
      <c r="Q1019" s="574"/>
      <c r="R1019" s="347"/>
      <c r="S1019" s="597"/>
      <c r="T1019" s="347"/>
      <c r="U1019" s="579"/>
      <c r="V1019" s="579"/>
      <c r="W1019" s="574"/>
      <c r="X1019" s="347"/>
      <c r="Y1019" s="347"/>
      <c r="Z1019" s="347"/>
      <c r="AA1019" s="579"/>
      <c r="AB1019" s="581"/>
      <c r="AC1019" s="347"/>
      <c r="AD1019" s="347"/>
      <c r="AE1019" s="347"/>
      <c r="AF1019" s="347"/>
      <c r="AG1019" s="579"/>
      <c r="AH1019" s="579"/>
      <c r="AI1019" s="582"/>
      <c r="AJ1019" s="582"/>
      <c r="AK1019" s="582"/>
      <c r="AL1019" s="582"/>
      <c r="AM1019" s="579"/>
      <c r="AN1019" s="579"/>
      <c r="AO1019" s="347"/>
      <c r="AP1019" s="586"/>
      <c r="AQ1019" s="596"/>
      <c r="AR1019" s="596"/>
      <c r="AS1019" s="348"/>
      <c r="AT1019" s="348"/>
      <c r="AU1019" s="348"/>
      <c r="AV1019" s="348"/>
      <c r="AW1019" s="348"/>
      <c r="AX1019" s="584"/>
      <c r="AY1019" s="581"/>
      <c r="AZ1019" s="581"/>
      <c r="BA1019" s="596"/>
      <c r="BB1019" s="596"/>
      <c r="BC1019" s="348"/>
      <c r="BD1019" s="581"/>
      <c r="BE1019" s="581"/>
      <c r="BF1019" s="347"/>
      <c r="BG1019" s="347"/>
      <c r="BH1019" s="347"/>
      <c r="BI1019" s="347"/>
      <c r="BJ1019" s="586"/>
      <c r="BK1019" s="581"/>
      <c r="BL1019" s="347"/>
      <c r="BM1019" s="347"/>
      <c r="BN1019" s="347"/>
      <c r="BO1019" s="586"/>
      <c r="BP1019" s="584"/>
      <c r="BQ1019" s="347"/>
      <c r="BR1019" s="586"/>
      <c r="BS1019" s="588"/>
      <c r="BT1019" s="586"/>
      <c r="BU1019" s="589"/>
      <c r="BV1019" s="581"/>
      <c r="BW1019" s="590"/>
      <c r="BX1019" s="347"/>
      <c r="BY1019" s="347"/>
      <c r="BZ1019" s="347"/>
      <c r="CA1019" s="586"/>
      <c r="CB1019" s="581"/>
      <c r="CC1019" s="581"/>
      <c r="CD1019" s="581"/>
      <c r="CE1019" s="581"/>
      <c r="CF1019" s="581"/>
      <c r="CG1019" s="586"/>
      <c r="CH1019" s="608"/>
      <c r="CI1019" s="603"/>
      <c r="CJ1019" s="347"/>
      <c r="CK1019" s="347"/>
      <c r="CL1019" s="347"/>
      <c r="CM1019" s="347"/>
      <c r="CN1019" s="347"/>
      <c r="CO1019" s="347"/>
      <c r="CP1019" s="347"/>
    </row>
    <row r="1020">
      <c r="A1020" s="574"/>
      <c r="B1020" s="574"/>
      <c r="C1020" s="347"/>
      <c r="D1020" s="574"/>
      <c r="E1020" s="347"/>
      <c r="F1020" s="596"/>
      <c r="G1020" s="596"/>
      <c r="H1020" s="347"/>
      <c r="I1020" s="347"/>
      <c r="J1020" s="596"/>
      <c r="K1020" s="609"/>
      <c r="L1020" s="1"/>
      <c r="M1020" s="347"/>
      <c r="N1020" s="347"/>
      <c r="O1020" s="579"/>
      <c r="P1020" s="579"/>
      <c r="Q1020" s="574"/>
      <c r="R1020" s="347"/>
      <c r="S1020" s="597"/>
      <c r="T1020" s="347"/>
      <c r="U1020" s="579"/>
      <c r="V1020" s="579"/>
      <c r="W1020" s="574"/>
      <c r="X1020" s="347"/>
      <c r="Y1020" s="347"/>
      <c r="Z1020" s="347"/>
      <c r="AA1020" s="579"/>
      <c r="AB1020" s="581"/>
      <c r="AC1020" s="347"/>
      <c r="AD1020" s="347"/>
      <c r="AE1020" s="347"/>
      <c r="AF1020" s="347"/>
      <c r="AG1020" s="579"/>
      <c r="AH1020" s="579"/>
      <c r="AI1020" s="582"/>
      <c r="AJ1020" s="582"/>
      <c r="AK1020" s="582"/>
      <c r="AL1020" s="582"/>
      <c r="AM1020" s="579"/>
      <c r="AN1020" s="579"/>
      <c r="AO1020" s="347"/>
      <c r="AP1020" s="586"/>
      <c r="AQ1020" s="596"/>
      <c r="AR1020" s="596"/>
      <c r="AS1020" s="348"/>
      <c r="AT1020" s="348"/>
      <c r="AU1020" s="348"/>
      <c r="AV1020" s="348"/>
      <c r="AW1020" s="348"/>
      <c r="AX1020" s="584"/>
      <c r="AY1020" s="581"/>
      <c r="AZ1020" s="581"/>
      <c r="BA1020" s="596"/>
      <c r="BB1020" s="596"/>
      <c r="BC1020" s="348"/>
      <c r="BD1020" s="581"/>
      <c r="BE1020" s="581"/>
      <c r="BF1020" s="347"/>
      <c r="BG1020" s="347"/>
      <c r="BH1020" s="347"/>
      <c r="BI1020" s="347"/>
      <c r="BJ1020" s="586"/>
      <c r="BK1020" s="581"/>
      <c r="BL1020" s="347"/>
      <c r="BM1020" s="347"/>
      <c r="BN1020" s="347"/>
      <c r="BO1020" s="586"/>
      <c r="BP1020" s="584"/>
      <c r="BQ1020" s="347"/>
      <c r="BR1020" s="586"/>
      <c r="BS1020" s="588"/>
      <c r="BT1020" s="586"/>
      <c r="BU1020" s="589"/>
      <c r="BV1020" s="581"/>
      <c r="BW1020" s="590"/>
      <c r="BX1020" s="347"/>
      <c r="BY1020" s="347"/>
      <c r="BZ1020" s="347"/>
      <c r="CA1020" s="586"/>
      <c r="CB1020" s="581"/>
      <c r="CC1020" s="581"/>
      <c r="CD1020" s="581"/>
      <c r="CE1020" s="581"/>
      <c r="CF1020" s="581"/>
      <c r="CG1020" s="586"/>
      <c r="CH1020" s="608"/>
      <c r="CI1020" s="603"/>
      <c r="CJ1020" s="347"/>
      <c r="CK1020" s="347"/>
      <c r="CL1020" s="347"/>
      <c r="CM1020" s="347"/>
      <c r="CN1020" s="347"/>
      <c r="CO1020" s="347"/>
      <c r="CP1020" s="347"/>
    </row>
    <row r="1021">
      <c r="A1021" s="574"/>
      <c r="B1021" s="574"/>
      <c r="C1021" s="347"/>
      <c r="D1021" s="574"/>
      <c r="E1021" s="347"/>
      <c r="F1021" s="596"/>
      <c r="G1021" s="596"/>
      <c r="H1021" s="347"/>
      <c r="I1021" s="347"/>
      <c r="J1021" s="596"/>
      <c r="K1021" s="609"/>
      <c r="L1021" s="1"/>
      <c r="M1021" s="347"/>
      <c r="N1021" s="347"/>
      <c r="O1021" s="579"/>
      <c r="P1021" s="579"/>
      <c r="Q1021" s="574"/>
      <c r="R1021" s="347"/>
      <c r="S1021" s="597"/>
      <c r="T1021" s="347"/>
      <c r="U1021" s="579"/>
      <c r="V1021" s="579"/>
      <c r="W1021" s="574"/>
      <c r="X1021" s="347"/>
      <c r="Y1021" s="347"/>
      <c r="Z1021" s="347"/>
      <c r="AA1021" s="579"/>
      <c r="AB1021" s="581"/>
      <c r="AC1021" s="347"/>
      <c r="AD1021" s="347"/>
      <c r="AE1021" s="347"/>
      <c r="AF1021" s="347"/>
      <c r="AG1021" s="579"/>
      <c r="AH1021" s="579"/>
      <c r="AI1021" s="582"/>
      <c r="AJ1021" s="582"/>
      <c r="AK1021" s="582"/>
      <c r="AL1021" s="582"/>
      <c r="AM1021" s="579"/>
      <c r="AN1021" s="579"/>
      <c r="AO1021" s="347"/>
      <c r="AP1021" s="586"/>
      <c r="AQ1021" s="596"/>
      <c r="AR1021" s="596"/>
      <c r="AS1021" s="348"/>
      <c r="AT1021" s="348"/>
      <c r="AU1021" s="348"/>
      <c r="AV1021" s="348"/>
      <c r="AW1021" s="348"/>
      <c r="AX1021" s="584"/>
      <c r="AY1021" s="581"/>
      <c r="AZ1021" s="581"/>
      <c r="BA1021" s="596"/>
      <c r="BB1021" s="596"/>
      <c r="BC1021" s="348"/>
      <c r="BD1021" s="581"/>
      <c r="BE1021" s="581"/>
      <c r="BF1021" s="347"/>
      <c r="BG1021" s="347"/>
      <c r="BH1021" s="347"/>
      <c r="BI1021" s="347"/>
      <c r="BJ1021" s="586"/>
      <c r="BK1021" s="581"/>
      <c r="BL1021" s="347"/>
      <c r="BM1021" s="347"/>
      <c r="BN1021" s="347"/>
      <c r="BO1021" s="586"/>
      <c r="BP1021" s="584"/>
      <c r="BQ1021" s="347"/>
      <c r="BR1021" s="586"/>
      <c r="BS1021" s="588"/>
      <c r="BT1021" s="586"/>
      <c r="BU1021" s="589"/>
      <c r="BV1021" s="581"/>
      <c r="BW1021" s="590"/>
      <c r="BX1021" s="347"/>
      <c r="BY1021" s="347"/>
      <c r="BZ1021" s="347"/>
      <c r="CA1021" s="586"/>
      <c r="CB1021" s="581"/>
      <c r="CC1021" s="581"/>
      <c r="CD1021" s="581"/>
      <c r="CE1021" s="581"/>
      <c r="CF1021" s="581"/>
      <c r="CG1021" s="586"/>
      <c r="CH1021" s="608"/>
      <c r="CI1021" s="603"/>
      <c r="CJ1021" s="347"/>
      <c r="CK1021" s="347"/>
      <c r="CL1021" s="347"/>
      <c r="CM1021" s="347"/>
      <c r="CN1021" s="347"/>
      <c r="CO1021" s="347"/>
      <c r="CP1021" s="347"/>
    </row>
    <row r="1022">
      <c r="A1022" s="574"/>
      <c r="B1022" s="574"/>
      <c r="C1022" s="347"/>
      <c r="D1022" s="574"/>
      <c r="E1022" s="347"/>
      <c r="F1022" s="596"/>
      <c r="G1022" s="596"/>
      <c r="H1022" s="347"/>
      <c r="I1022" s="347"/>
      <c r="J1022" s="596"/>
      <c r="K1022" s="609"/>
      <c r="L1022" s="1"/>
      <c r="M1022" s="347"/>
      <c r="N1022" s="347"/>
      <c r="O1022" s="579"/>
      <c r="P1022" s="579"/>
      <c r="Q1022" s="574"/>
      <c r="R1022" s="347"/>
      <c r="S1022" s="597"/>
      <c r="T1022" s="347"/>
      <c r="U1022" s="579"/>
      <c r="V1022" s="579"/>
      <c r="W1022" s="574"/>
      <c r="X1022" s="347"/>
      <c r="Y1022" s="347"/>
      <c r="Z1022" s="347"/>
      <c r="AA1022" s="579"/>
      <c r="AB1022" s="581"/>
      <c r="AC1022" s="347"/>
      <c r="AD1022" s="347"/>
      <c r="AE1022" s="347"/>
      <c r="AF1022" s="347"/>
      <c r="AG1022" s="579"/>
      <c r="AH1022" s="579"/>
      <c r="AI1022" s="582"/>
      <c r="AJ1022" s="582"/>
      <c r="AK1022" s="582"/>
      <c r="AL1022" s="582"/>
      <c r="AM1022" s="579"/>
      <c r="AN1022" s="579"/>
      <c r="AO1022" s="347"/>
      <c r="AP1022" s="586"/>
      <c r="AQ1022" s="596"/>
      <c r="AR1022" s="596"/>
      <c r="AS1022" s="348"/>
      <c r="AT1022" s="348"/>
      <c r="AU1022" s="348"/>
      <c r="AV1022" s="348"/>
      <c r="AW1022" s="348"/>
      <c r="AX1022" s="584"/>
      <c r="AY1022" s="581"/>
      <c r="AZ1022" s="581"/>
      <c r="BA1022" s="596"/>
      <c r="BB1022" s="596"/>
      <c r="BC1022" s="348"/>
      <c r="BD1022" s="581"/>
      <c r="BE1022" s="581"/>
      <c r="BF1022" s="347"/>
      <c r="BG1022" s="347"/>
      <c r="BH1022" s="347"/>
      <c r="BI1022" s="347"/>
      <c r="BJ1022" s="586"/>
      <c r="BK1022" s="581"/>
      <c r="BL1022" s="347"/>
      <c r="BM1022" s="347"/>
      <c r="BN1022" s="347"/>
      <c r="BO1022" s="586"/>
      <c r="BP1022" s="584"/>
      <c r="BQ1022" s="347"/>
      <c r="BR1022" s="586"/>
      <c r="BS1022" s="588"/>
      <c r="BT1022" s="586"/>
      <c r="BU1022" s="589"/>
      <c r="BV1022" s="581"/>
      <c r="BW1022" s="590"/>
      <c r="BX1022" s="347"/>
      <c r="BY1022" s="347"/>
      <c r="BZ1022" s="347"/>
      <c r="CA1022" s="586"/>
      <c r="CB1022" s="581"/>
      <c r="CC1022" s="581"/>
      <c r="CD1022" s="581"/>
      <c r="CE1022" s="581"/>
      <c r="CF1022" s="581"/>
      <c r="CG1022" s="586"/>
      <c r="CH1022" s="608"/>
      <c r="CI1022" s="603"/>
      <c r="CJ1022" s="347"/>
      <c r="CK1022" s="347"/>
      <c r="CL1022" s="347"/>
      <c r="CM1022" s="347"/>
      <c r="CN1022" s="347"/>
      <c r="CO1022" s="347"/>
      <c r="CP1022" s="347"/>
    </row>
    <row r="1023">
      <c r="A1023" s="574"/>
      <c r="B1023" s="574"/>
      <c r="C1023" s="347"/>
      <c r="D1023" s="574"/>
      <c r="E1023" s="347"/>
      <c r="F1023" s="596"/>
      <c r="G1023" s="596"/>
      <c r="H1023" s="347"/>
      <c r="I1023" s="347"/>
      <c r="J1023" s="596"/>
      <c r="K1023" s="609"/>
      <c r="L1023" s="1"/>
      <c r="M1023" s="347"/>
      <c r="N1023" s="347"/>
      <c r="O1023" s="579"/>
      <c r="P1023" s="579"/>
      <c r="Q1023" s="574"/>
      <c r="R1023" s="347"/>
      <c r="S1023" s="597"/>
      <c r="T1023" s="347"/>
      <c r="U1023" s="579"/>
      <c r="V1023" s="579"/>
      <c r="W1023" s="574"/>
      <c r="X1023" s="347"/>
      <c r="Y1023" s="347"/>
      <c r="Z1023" s="347"/>
      <c r="AA1023" s="579"/>
      <c r="AB1023" s="581"/>
      <c r="AC1023" s="347"/>
      <c r="AD1023" s="347"/>
      <c r="AE1023" s="347"/>
      <c r="AF1023" s="347"/>
      <c r="AG1023" s="579"/>
      <c r="AH1023" s="579"/>
      <c r="AI1023" s="582"/>
      <c r="AJ1023" s="582"/>
      <c r="AK1023" s="582"/>
      <c r="AL1023" s="582"/>
      <c r="AM1023" s="579"/>
      <c r="AN1023" s="579"/>
      <c r="AO1023" s="347"/>
      <c r="AP1023" s="586"/>
      <c r="AQ1023" s="596"/>
      <c r="AR1023" s="596"/>
      <c r="AS1023" s="348"/>
      <c r="AT1023" s="348"/>
      <c r="AU1023" s="348"/>
      <c r="AV1023" s="348"/>
      <c r="AW1023" s="348"/>
      <c r="AX1023" s="584"/>
      <c r="AY1023" s="581"/>
      <c r="AZ1023" s="581"/>
      <c r="BA1023" s="596"/>
      <c r="BB1023" s="596"/>
      <c r="BC1023" s="348"/>
      <c r="BD1023" s="581"/>
      <c r="BE1023" s="581"/>
      <c r="BF1023" s="347"/>
      <c r="BG1023" s="347"/>
      <c r="BH1023" s="347"/>
      <c r="BI1023" s="347"/>
      <c r="BJ1023" s="586"/>
      <c r="BK1023" s="581"/>
      <c r="BL1023" s="347"/>
      <c r="BM1023" s="347"/>
      <c r="BN1023" s="347"/>
      <c r="BO1023" s="586"/>
      <c r="BP1023" s="584"/>
      <c r="BQ1023" s="347"/>
      <c r="BR1023" s="586"/>
      <c r="BS1023" s="588"/>
      <c r="BT1023" s="586"/>
      <c r="BU1023" s="589"/>
      <c r="BV1023" s="581"/>
      <c r="BW1023" s="590"/>
      <c r="BX1023" s="347"/>
      <c r="BY1023" s="347"/>
      <c r="BZ1023" s="347"/>
      <c r="CA1023" s="586"/>
      <c r="CB1023" s="581"/>
      <c r="CC1023" s="581"/>
      <c r="CD1023" s="581"/>
      <c r="CE1023" s="581"/>
      <c r="CF1023" s="581"/>
      <c r="CG1023" s="586"/>
      <c r="CH1023" s="608"/>
      <c r="CI1023" s="603"/>
      <c r="CJ1023" s="347"/>
      <c r="CK1023" s="347"/>
      <c r="CL1023" s="347"/>
      <c r="CM1023" s="347"/>
      <c r="CN1023" s="347"/>
      <c r="CO1023" s="347"/>
      <c r="CP1023" s="347"/>
    </row>
    <row r="1024">
      <c r="A1024" s="574"/>
      <c r="B1024" s="574"/>
      <c r="C1024" s="347"/>
      <c r="D1024" s="574"/>
      <c r="E1024" s="347"/>
      <c r="F1024" s="596"/>
      <c r="G1024" s="596"/>
      <c r="H1024" s="347"/>
      <c r="I1024" s="347"/>
      <c r="J1024" s="596"/>
      <c r="K1024" s="609"/>
      <c r="L1024" s="1"/>
      <c r="M1024" s="347"/>
      <c r="N1024" s="347"/>
      <c r="O1024" s="579"/>
      <c r="P1024" s="579"/>
      <c r="Q1024" s="574"/>
      <c r="R1024" s="347"/>
      <c r="S1024" s="597"/>
      <c r="T1024" s="347"/>
      <c r="U1024" s="579"/>
      <c r="V1024" s="579"/>
      <c r="W1024" s="574"/>
      <c r="X1024" s="347"/>
      <c r="Y1024" s="347"/>
      <c r="Z1024" s="347"/>
      <c r="AA1024" s="579"/>
      <c r="AB1024" s="581"/>
      <c r="AC1024" s="347"/>
      <c r="AD1024" s="347"/>
      <c r="AE1024" s="347"/>
      <c r="AF1024" s="347"/>
      <c r="AG1024" s="579"/>
      <c r="AH1024" s="579"/>
      <c r="AI1024" s="582"/>
      <c r="AJ1024" s="582"/>
      <c r="AK1024" s="582"/>
      <c r="AL1024" s="582"/>
      <c r="AM1024" s="579"/>
      <c r="AN1024" s="579"/>
      <c r="AO1024" s="347"/>
      <c r="AP1024" s="586"/>
      <c r="AQ1024" s="596"/>
      <c r="AR1024" s="596"/>
      <c r="AS1024" s="348"/>
      <c r="AT1024" s="348"/>
      <c r="AU1024" s="348"/>
      <c r="AV1024" s="348"/>
      <c r="AW1024" s="348"/>
      <c r="AX1024" s="584"/>
      <c r="AY1024" s="581"/>
      <c r="AZ1024" s="581"/>
      <c r="BA1024" s="596"/>
      <c r="BB1024" s="596"/>
      <c r="BC1024" s="348"/>
      <c r="BD1024" s="581"/>
      <c r="BE1024" s="581"/>
      <c r="BF1024" s="347"/>
      <c r="BG1024" s="347"/>
      <c r="BH1024" s="347"/>
      <c r="BI1024" s="347"/>
      <c r="BJ1024" s="586"/>
      <c r="BK1024" s="581"/>
      <c r="BL1024" s="347"/>
      <c r="BM1024" s="347"/>
      <c r="BN1024" s="347"/>
      <c r="BO1024" s="586"/>
      <c r="BP1024" s="584"/>
      <c r="BQ1024" s="347"/>
      <c r="BR1024" s="586"/>
      <c r="BS1024" s="588"/>
      <c r="BT1024" s="586"/>
      <c r="BU1024" s="589"/>
      <c r="BV1024" s="581"/>
      <c r="BW1024" s="590"/>
      <c r="BX1024" s="347"/>
      <c r="BY1024" s="347"/>
      <c r="BZ1024" s="347"/>
      <c r="CA1024" s="586"/>
      <c r="CB1024" s="581"/>
      <c r="CC1024" s="581"/>
      <c r="CD1024" s="581"/>
      <c r="CE1024" s="581"/>
      <c r="CF1024" s="581"/>
      <c r="CG1024" s="586"/>
      <c r="CH1024" s="608"/>
      <c r="CI1024" s="603"/>
      <c r="CJ1024" s="347"/>
      <c r="CK1024" s="347"/>
      <c r="CL1024" s="347"/>
      <c r="CM1024" s="347"/>
      <c r="CN1024" s="347"/>
      <c r="CO1024" s="347"/>
      <c r="CP1024" s="347"/>
    </row>
    <row r="1025">
      <c r="A1025" s="574"/>
      <c r="B1025" s="574"/>
      <c r="C1025" s="347"/>
      <c r="D1025" s="574"/>
      <c r="E1025" s="347"/>
      <c r="F1025" s="596"/>
      <c r="G1025" s="596"/>
      <c r="H1025" s="347"/>
      <c r="I1025" s="347"/>
      <c r="J1025" s="596"/>
      <c r="K1025" s="609"/>
      <c r="L1025" s="1"/>
      <c r="M1025" s="347"/>
      <c r="N1025" s="347"/>
      <c r="O1025" s="579"/>
      <c r="P1025" s="579"/>
      <c r="Q1025" s="574"/>
      <c r="R1025" s="347"/>
      <c r="S1025" s="597"/>
      <c r="T1025" s="347"/>
      <c r="U1025" s="579"/>
      <c r="V1025" s="579"/>
      <c r="W1025" s="574"/>
      <c r="X1025" s="347"/>
      <c r="Y1025" s="347"/>
      <c r="Z1025" s="347"/>
      <c r="AA1025" s="579"/>
      <c r="AB1025" s="581"/>
      <c r="AC1025" s="347"/>
      <c r="AD1025" s="347"/>
      <c r="AE1025" s="347"/>
      <c r="AF1025" s="347"/>
      <c r="AG1025" s="579"/>
      <c r="AH1025" s="579"/>
      <c r="AI1025" s="582"/>
      <c r="AJ1025" s="582"/>
      <c r="AK1025" s="582"/>
      <c r="AL1025" s="582"/>
      <c r="AM1025" s="579"/>
      <c r="AN1025" s="579"/>
      <c r="AO1025" s="347"/>
      <c r="AP1025" s="586"/>
      <c r="AQ1025" s="596"/>
      <c r="AR1025" s="596"/>
      <c r="AS1025" s="348"/>
      <c r="AT1025" s="348"/>
      <c r="AU1025" s="348"/>
      <c r="AV1025" s="348"/>
      <c r="AW1025" s="348"/>
      <c r="AX1025" s="584"/>
      <c r="AY1025" s="581"/>
      <c r="AZ1025" s="581"/>
      <c r="BA1025" s="596"/>
      <c r="BB1025" s="596"/>
      <c r="BC1025" s="348"/>
      <c r="BD1025" s="581"/>
      <c r="BE1025" s="581"/>
      <c r="BF1025" s="347"/>
      <c r="BG1025" s="347"/>
      <c r="BH1025" s="347"/>
      <c r="BI1025" s="347"/>
      <c r="BJ1025" s="586"/>
      <c r="BK1025" s="581"/>
      <c r="BL1025" s="347"/>
      <c r="BM1025" s="347"/>
      <c r="BN1025" s="347"/>
      <c r="BO1025" s="586"/>
      <c r="BP1025" s="584"/>
      <c r="BQ1025" s="347"/>
      <c r="BR1025" s="586"/>
      <c r="BS1025" s="588"/>
      <c r="BT1025" s="586"/>
      <c r="BU1025" s="589"/>
      <c r="BV1025" s="581"/>
      <c r="BW1025" s="590"/>
      <c r="BX1025" s="347"/>
      <c r="BY1025" s="347"/>
      <c r="BZ1025" s="347"/>
      <c r="CA1025" s="586"/>
      <c r="CB1025" s="581"/>
      <c r="CC1025" s="581"/>
      <c r="CD1025" s="581"/>
      <c r="CE1025" s="581"/>
      <c r="CF1025" s="581"/>
      <c r="CG1025" s="586"/>
      <c r="CH1025" s="608"/>
      <c r="CI1025" s="603"/>
      <c r="CJ1025" s="347"/>
      <c r="CK1025" s="347"/>
      <c r="CL1025" s="347"/>
      <c r="CM1025" s="347"/>
      <c r="CN1025" s="347"/>
      <c r="CO1025" s="347"/>
      <c r="CP1025" s="347"/>
    </row>
    <row r="1026">
      <c r="A1026" s="574"/>
      <c r="B1026" s="574"/>
      <c r="C1026" s="347"/>
      <c r="D1026" s="574"/>
      <c r="E1026" s="347"/>
      <c r="F1026" s="596"/>
      <c r="G1026" s="596"/>
      <c r="H1026" s="347"/>
      <c r="I1026" s="347"/>
      <c r="J1026" s="596"/>
      <c r="K1026" s="609"/>
      <c r="L1026" s="1"/>
      <c r="M1026" s="347"/>
      <c r="N1026" s="347"/>
      <c r="O1026" s="579"/>
      <c r="P1026" s="579"/>
      <c r="Q1026" s="574"/>
      <c r="R1026" s="347"/>
      <c r="S1026" s="597"/>
      <c r="T1026" s="347"/>
      <c r="U1026" s="579"/>
      <c r="V1026" s="579"/>
      <c r="W1026" s="574"/>
      <c r="X1026" s="347"/>
      <c r="Y1026" s="347"/>
      <c r="Z1026" s="347"/>
      <c r="AA1026" s="579"/>
      <c r="AB1026" s="581"/>
      <c r="AC1026" s="347"/>
      <c r="AD1026" s="347"/>
      <c r="AE1026" s="347"/>
      <c r="AF1026" s="347"/>
      <c r="AG1026" s="579"/>
      <c r="AH1026" s="579"/>
      <c r="AI1026" s="582"/>
      <c r="AJ1026" s="582"/>
      <c r="AK1026" s="582"/>
      <c r="AL1026" s="582"/>
      <c r="AM1026" s="579"/>
      <c r="AN1026" s="579"/>
      <c r="AO1026" s="347"/>
      <c r="AP1026" s="586"/>
      <c r="AQ1026" s="596"/>
      <c r="AR1026" s="596"/>
      <c r="AS1026" s="348"/>
      <c r="AT1026" s="348"/>
      <c r="AU1026" s="348"/>
      <c r="AV1026" s="348"/>
      <c r="AW1026" s="348"/>
      <c r="AX1026" s="584"/>
      <c r="AY1026" s="581"/>
      <c r="AZ1026" s="581"/>
      <c r="BA1026" s="596"/>
      <c r="BB1026" s="596"/>
      <c r="BC1026" s="348"/>
      <c r="BD1026" s="581"/>
      <c r="BE1026" s="581"/>
      <c r="BF1026" s="347"/>
      <c r="BG1026" s="347"/>
      <c r="BH1026" s="347"/>
      <c r="BI1026" s="347"/>
      <c r="BJ1026" s="586"/>
      <c r="BK1026" s="581"/>
      <c r="BL1026" s="347"/>
      <c r="BM1026" s="347"/>
      <c r="BN1026" s="347"/>
      <c r="BO1026" s="586"/>
      <c r="BP1026" s="584"/>
      <c r="BQ1026" s="347"/>
      <c r="BR1026" s="586"/>
      <c r="BS1026" s="588"/>
      <c r="BT1026" s="586"/>
      <c r="BU1026" s="589"/>
      <c r="BV1026" s="581"/>
      <c r="BW1026" s="590"/>
      <c r="BX1026" s="347"/>
      <c r="BY1026" s="347"/>
      <c r="BZ1026" s="347"/>
      <c r="CA1026" s="586"/>
      <c r="CB1026" s="581"/>
      <c r="CC1026" s="581"/>
      <c r="CD1026" s="581"/>
      <c r="CE1026" s="581"/>
      <c r="CF1026" s="581"/>
      <c r="CG1026" s="586"/>
      <c r="CH1026" s="608"/>
      <c r="CI1026" s="603"/>
      <c r="CJ1026" s="347"/>
      <c r="CK1026" s="347"/>
      <c r="CL1026" s="347"/>
      <c r="CM1026" s="347"/>
      <c r="CN1026" s="347"/>
      <c r="CO1026" s="347"/>
      <c r="CP1026" s="347"/>
    </row>
    <row r="1027">
      <c r="A1027" s="574"/>
      <c r="B1027" s="574"/>
      <c r="C1027" s="347"/>
      <c r="D1027" s="574"/>
      <c r="E1027" s="347"/>
      <c r="F1027" s="596"/>
      <c r="G1027" s="596"/>
      <c r="H1027" s="347"/>
      <c r="I1027" s="347"/>
      <c r="J1027" s="596"/>
      <c r="K1027" s="609"/>
      <c r="L1027" s="1"/>
      <c r="M1027" s="347"/>
      <c r="N1027" s="347"/>
      <c r="O1027" s="579"/>
      <c r="P1027" s="579"/>
      <c r="Q1027" s="574"/>
      <c r="R1027" s="347"/>
      <c r="S1027" s="597"/>
      <c r="T1027" s="347"/>
      <c r="U1027" s="579"/>
      <c r="V1027" s="579"/>
      <c r="W1027" s="574"/>
      <c r="X1027" s="347"/>
      <c r="Y1027" s="347"/>
      <c r="Z1027" s="347"/>
      <c r="AA1027" s="579"/>
      <c r="AB1027" s="581"/>
      <c r="AC1027" s="347"/>
      <c r="AD1027" s="347"/>
      <c r="AE1027" s="347"/>
      <c r="AF1027" s="347"/>
      <c r="AG1027" s="579"/>
      <c r="AH1027" s="579"/>
      <c r="AI1027" s="582"/>
      <c r="AJ1027" s="582"/>
      <c r="AK1027" s="582"/>
      <c r="AL1027" s="582"/>
      <c r="AM1027" s="579"/>
      <c r="AN1027" s="579"/>
      <c r="AO1027" s="347"/>
      <c r="AP1027" s="586"/>
      <c r="AQ1027" s="596"/>
      <c r="AR1027" s="596"/>
      <c r="AS1027" s="348"/>
      <c r="AT1027" s="348"/>
      <c r="AU1027" s="348"/>
      <c r="AV1027" s="348"/>
      <c r="AW1027" s="348"/>
      <c r="AX1027" s="584"/>
      <c r="AY1027" s="581"/>
      <c r="AZ1027" s="581"/>
      <c r="BA1027" s="596"/>
      <c r="BB1027" s="596"/>
      <c r="BC1027" s="348"/>
      <c r="BD1027" s="581"/>
      <c r="BE1027" s="581"/>
      <c r="BF1027" s="347"/>
      <c r="BG1027" s="347"/>
      <c r="BH1027" s="347"/>
      <c r="BI1027" s="347"/>
      <c r="BJ1027" s="586"/>
      <c r="BK1027" s="581"/>
      <c r="BL1027" s="347"/>
      <c r="BM1027" s="347"/>
      <c r="BN1027" s="347"/>
      <c r="BO1027" s="586"/>
      <c r="BP1027" s="584"/>
      <c r="BQ1027" s="347"/>
      <c r="BR1027" s="586"/>
      <c r="BS1027" s="588"/>
      <c r="BT1027" s="586"/>
      <c r="BU1027" s="589"/>
      <c r="BV1027" s="581"/>
      <c r="BW1027" s="590"/>
      <c r="BX1027" s="347"/>
      <c r="BY1027" s="347"/>
      <c r="BZ1027" s="347"/>
      <c r="CA1027" s="586"/>
      <c r="CB1027" s="581"/>
      <c r="CC1027" s="581"/>
      <c r="CD1027" s="581"/>
      <c r="CE1027" s="581"/>
      <c r="CF1027" s="581"/>
      <c r="CG1027" s="586"/>
      <c r="CH1027" s="608"/>
      <c r="CI1027" s="603"/>
      <c r="CJ1027" s="347"/>
      <c r="CK1027" s="347"/>
      <c r="CL1027" s="347"/>
      <c r="CM1027" s="347"/>
      <c r="CN1027" s="347"/>
      <c r="CO1027" s="347"/>
      <c r="CP1027" s="347"/>
    </row>
    <row r="1028">
      <c r="A1028" s="574"/>
      <c r="B1028" s="574"/>
      <c r="C1028" s="347"/>
      <c r="D1028" s="574"/>
      <c r="E1028" s="347"/>
      <c r="F1028" s="596"/>
      <c r="G1028" s="596"/>
      <c r="H1028" s="347"/>
      <c r="I1028" s="347"/>
      <c r="J1028" s="596"/>
      <c r="K1028" s="609"/>
      <c r="L1028" s="1"/>
      <c r="M1028" s="347"/>
      <c r="N1028" s="347"/>
      <c r="O1028" s="579"/>
      <c r="P1028" s="579"/>
      <c r="Q1028" s="574"/>
      <c r="R1028" s="347"/>
      <c r="S1028" s="597"/>
      <c r="T1028" s="347"/>
      <c r="U1028" s="579"/>
      <c r="V1028" s="579"/>
      <c r="W1028" s="574"/>
      <c r="X1028" s="347"/>
      <c r="Y1028" s="347"/>
      <c r="Z1028" s="347"/>
      <c r="AA1028" s="579"/>
      <c r="AB1028" s="581"/>
      <c r="AC1028" s="347"/>
      <c r="AD1028" s="347"/>
      <c r="AE1028" s="347"/>
      <c r="AF1028" s="347"/>
      <c r="AG1028" s="579"/>
      <c r="AH1028" s="579"/>
      <c r="AI1028" s="582"/>
      <c r="AJ1028" s="582"/>
      <c r="AK1028" s="582"/>
      <c r="AL1028" s="582"/>
      <c r="AM1028" s="579"/>
      <c r="AN1028" s="579"/>
      <c r="AO1028" s="347"/>
      <c r="AP1028" s="586"/>
      <c r="AQ1028" s="596"/>
      <c r="AR1028" s="596"/>
      <c r="AS1028" s="348"/>
      <c r="AT1028" s="348"/>
      <c r="AU1028" s="348"/>
      <c r="AV1028" s="348"/>
      <c r="AW1028" s="348"/>
      <c r="AX1028" s="584"/>
      <c r="AY1028" s="581"/>
      <c r="AZ1028" s="581"/>
      <c r="BA1028" s="596"/>
      <c r="BB1028" s="596"/>
      <c r="BC1028" s="348"/>
      <c r="BD1028" s="581"/>
      <c r="BE1028" s="581"/>
      <c r="BF1028" s="347"/>
      <c r="BG1028" s="347"/>
      <c r="BH1028" s="347"/>
      <c r="BI1028" s="347"/>
      <c r="BJ1028" s="586"/>
      <c r="BK1028" s="581"/>
      <c r="BL1028" s="347"/>
      <c r="BM1028" s="347"/>
      <c r="BN1028" s="347"/>
      <c r="BO1028" s="586"/>
      <c r="BP1028" s="584"/>
      <c r="BQ1028" s="347"/>
      <c r="BR1028" s="586"/>
      <c r="BS1028" s="588"/>
      <c r="BT1028" s="586"/>
      <c r="BU1028" s="589"/>
      <c r="BV1028" s="581"/>
      <c r="BW1028" s="590"/>
      <c r="BX1028" s="347"/>
      <c r="BY1028" s="347"/>
      <c r="BZ1028" s="347"/>
      <c r="CA1028" s="586"/>
      <c r="CB1028" s="581"/>
      <c r="CC1028" s="581"/>
      <c r="CD1028" s="581"/>
      <c r="CE1028" s="581"/>
      <c r="CF1028" s="581"/>
      <c r="CG1028" s="586"/>
      <c r="CH1028" s="608"/>
      <c r="CI1028" s="603"/>
      <c r="CJ1028" s="347"/>
      <c r="CK1028" s="347"/>
      <c r="CL1028" s="347"/>
      <c r="CM1028" s="347"/>
      <c r="CN1028" s="347"/>
      <c r="CO1028" s="347"/>
      <c r="CP1028" s="347"/>
    </row>
    <row r="1029">
      <c r="A1029" s="574"/>
      <c r="B1029" s="574"/>
      <c r="C1029" s="347"/>
      <c r="D1029" s="574"/>
      <c r="E1029" s="347"/>
      <c r="F1029" s="596"/>
      <c r="G1029" s="596"/>
      <c r="H1029" s="347"/>
      <c r="I1029" s="347"/>
      <c r="J1029" s="596"/>
      <c r="K1029" s="609"/>
      <c r="L1029" s="1"/>
      <c r="M1029" s="347"/>
      <c r="N1029" s="347"/>
      <c r="O1029" s="579"/>
      <c r="P1029" s="579"/>
      <c r="Q1029" s="574"/>
      <c r="R1029" s="347"/>
      <c r="S1029" s="597"/>
      <c r="T1029" s="347"/>
      <c r="U1029" s="579"/>
      <c r="V1029" s="579"/>
      <c r="W1029" s="574"/>
      <c r="X1029" s="347"/>
      <c r="Y1029" s="347"/>
      <c r="Z1029" s="347"/>
      <c r="AA1029" s="579"/>
      <c r="AB1029" s="581"/>
      <c r="AC1029" s="347"/>
      <c r="AD1029" s="347"/>
      <c r="AE1029" s="347"/>
      <c r="AF1029" s="347"/>
      <c r="AG1029" s="579"/>
      <c r="AH1029" s="579"/>
      <c r="AI1029" s="582"/>
      <c r="AJ1029" s="582"/>
      <c r="AK1029" s="582"/>
      <c r="AL1029" s="582"/>
      <c r="AM1029" s="579"/>
      <c r="AN1029" s="579"/>
      <c r="AO1029" s="347"/>
      <c r="AP1029" s="586"/>
      <c r="AQ1029" s="596"/>
      <c r="AR1029" s="596"/>
      <c r="AS1029" s="348"/>
      <c r="AT1029" s="348"/>
      <c r="AU1029" s="348"/>
      <c r="AV1029" s="348"/>
      <c r="AW1029" s="348"/>
      <c r="AX1029" s="584"/>
      <c r="AY1029" s="581"/>
      <c r="AZ1029" s="581"/>
      <c r="BA1029" s="596"/>
      <c r="BB1029" s="596"/>
      <c r="BC1029" s="348"/>
      <c r="BD1029" s="581"/>
      <c r="BE1029" s="581"/>
      <c r="BF1029" s="347"/>
      <c r="BG1029" s="347"/>
      <c r="BH1029" s="347"/>
      <c r="BI1029" s="347"/>
      <c r="BJ1029" s="586"/>
      <c r="BK1029" s="581"/>
      <c r="BL1029" s="347"/>
      <c r="BM1029" s="347"/>
      <c r="BN1029" s="347"/>
      <c r="BO1029" s="586"/>
      <c r="BP1029" s="584"/>
      <c r="BQ1029" s="347"/>
      <c r="BR1029" s="586"/>
      <c r="BS1029" s="588"/>
      <c r="BT1029" s="586"/>
      <c r="BU1029" s="589"/>
      <c r="BV1029" s="581"/>
      <c r="BW1029" s="590"/>
      <c r="BX1029" s="347"/>
      <c r="BY1029" s="347"/>
      <c r="BZ1029" s="347"/>
      <c r="CA1029" s="586"/>
      <c r="CB1029" s="581"/>
      <c r="CC1029" s="581"/>
      <c r="CD1029" s="581"/>
      <c r="CE1029" s="581"/>
      <c r="CF1029" s="581"/>
      <c r="CG1029" s="586"/>
      <c r="CH1029" s="608"/>
      <c r="CI1029" s="603"/>
      <c r="CJ1029" s="347"/>
      <c r="CK1029" s="347"/>
      <c r="CL1029" s="347"/>
      <c r="CM1029" s="347"/>
      <c r="CN1029" s="347"/>
      <c r="CO1029" s="347"/>
      <c r="CP1029" s="347"/>
    </row>
    <row r="1030">
      <c r="A1030" s="574"/>
      <c r="B1030" s="574"/>
      <c r="C1030" s="347"/>
      <c r="D1030" s="574"/>
      <c r="E1030" s="347"/>
      <c r="F1030" s="596"/>
      <c r="G1030" s="596"/>
      <c r="H1030" s="347"/>
      <c r="I1030" s="347"/>
      <c r="J1030" s="596"/>
      <c r="K1030" s="609"/>
      <c r="L1030" s="1"/>
      <c r="M1030" s="347"/>
      <c r="N1030" s="347"/>
      <c r="O1030" s="579"/>
      <c r="P1030" s="579"/>
      <c r="Q1030" s="574"/>
      <c r="R1030" s="347"/>
      <c r="S1030" s="597"/>
      <c r="T1030" s="347"/>
      <c r="U1030" s="579"/>
      <c r="V1030" s="579"/>
      <c r="W1030" s="574"/>
      <c r="X1030" s="347"/>
      <c r="Y1030" s="347"/>
      <c r="Z1030" s="347"/>
      <c r="AA1030" s="579"/>
      <c r="AB1030" s="581"/>
      <c r="AC1030" s="347"/>
      <c r="AD1030" s="347"/>
      <c r="AE1030" s="347"/>
      <c r="AF1030" s="347"/>
      <c r="AG1030" s="579"/>
      <c r="AH1030" s="579"/>
      <c r="AI1030" s="582"/>
      <c r="AJ1030" s="582"/>
      <c r="AK1030" s="582"/>
      <c r="AL1030" s="582"/>
      <c r="AM1030" s="579"/>
      <c r="AN1030" s="579"/>
      <c r="AO1030" s="347"/>
      <c r="AP1030" s="586"/>
      <c r="AQ1030" s="596"/>
      <c r="AR1030" s="596"/>
      <c r="AS1030" s="348"/>
      <c r="AT1030" s="348"/>
      <c r="AU1030" s="348"/>
      <c r="AV1030" s="348"/>
      <c r="AW1030" s="348"/>
      <c r="AX1030" s="584"/>
      <c r="AY1030" s="581"/>
      <c r="AZ1030" s="581"/>
      <c r="BA1030" s="596"/>
      <c r="BB1030" s="596"/>
      <c r="BC1030" s="348"/>
      <c r="BD1030" s="581"/>
      <c r="BE1030" s="581"/>
      <c r="BF1030" s="347"/>
      <c r="BG1030" s="347"/>
      <c r="BH1030" s="347"/>
      <c r="BI1030" s="347"/>
      <c r="BJ1030" s="586"/>
      <c r="BK1030" s="581"/>
      <c r="BL1030" s="347"/>
      <c r="BM1030" s="347"/>
      <c r="BN1030" s="347"/>
      <c r="BO1030" s="586"/>
      <c r="BP1030" s="584"/>
      <c r="BQ1030" s="347"/>
      <c r="BR1030" s="586"/>
      <c r="BS1030" s="588"/>
      <c r="BT1030" s="586"/>
      <c r="BU1030" s="589"/>
      <c r="BV1030" s="581"/>
      <c r="BW1030" s="590"/>
      <c r="BX1030" s="347"/>
      <c r="BY1030" s="347"/>
      <c r="BZ1030" s="347"/>
      <c r="CA1030" s="586"/>
      <c r="CB1030" s="581"/>
      <c r="CC1030" s="581"/>
      <c r="CD1030" s="581"/>
      <c r="CE1030" s="581"/>
      <c r="CF1030" s="581"/>
      <c r="CG1030" s="586"/>
      <c r="CH1030" s="608"/>
      <c r="CI1030" s="603"/>
      <c r="CJ1030" s="347"/>
      <c r="CK1030" s="347"/>
      <c r="CL1030" s="347"/>
      <c r="CM1030" s="347"/>
      <c r="CN1030" s="347"/>
      <c r="CO1030" s="347"/>
      <c r="CP1030" s="347"/>
    </row>
    <row r="1031">
      <c r="A1031" s="574"/>
      <c r="B1031" s="574"/>
      <c r="C1031" s="347"/>
      <c r="D1031" s="574"/>
      <c r="E1031" s="347"/>
      <c r="F1031" s="596"/>
      <c r="G1031" s="596"/>
      <c r="H1031" s="347"/>
      <c r="I1031" s="347"/>
      <c r="J1031" s="596"/>
      <c r="K1031" s="609"/>
      <c r="L1031" s="1"/>
      <c r="M1031" s="347"/>
      <c r="N1031" s="347"/>
      <c r="O1031" s="579"/>
      <c r="P1031" s="579"/>
      <c r="Q1031" s="574"/>
      <c r="R1031" s="347"/>
      <c r="S1031" s="597"/>
      <c r="T1031" s="347"/>
      <c r="U1031" s="579"/>
      <c r="V1031" s="579"/>
      <c r="W1031" s="574"/>
      <c r="X1031" s="347"/>
      <c r="Y1031" s="347"/>
      <c r="Z1031" s="347"/>
      <c r="AA1031" s="579"/>
      <c r="AB1031" s="581"/>
      <c r="AC1031" s="347"/>
      <c r="AD1031" s="347"/>
      <c r="AE1031" s="347"/>
      <c r="AF1031" s="347"/>
      <c r="AG1031" s="579"/>
      <c r="AH1031" s="579"/>
      <c r="AI1031" s="582"/>
      <c r="AJ1031" s="582"/>
      <c r="AK1031" s="582"/>
      <c r="AL1031" s="582"/>
      <c r="AM1031" s="579"/>
      <c r="AN1031" s="579"/>
      <c r="AO1031" s="347"/>
      <c r="AP1031" s="586"/>
      <c r="AQ1031" s="596"/>
      <c r="AR1031" s="596"/>
      <c r="AS1031" s="348"/>
      <c r="AT1031" s="348"/>
      <c r="AU1031" s="348"/>
      <c r="AV1031" s="348"/>
      <c r="AW1031" s="348"/>
      <c r="AX1031" s="584"/>
      <c r="AY1031" s="581"/>
      <c r="AZ1031" s="581"/>
      <c r="BA1031" s="596"/>
      <c r="BB1031" s="596"/>
      <c r="BC1031" s="348"/>
      <c r="BD1031" s="581"/>
      <c r="BE1031" s="581"/>
      <c r="BF1031" s="347"/>
      <c r="BG1031" s="347"/>
      <c r="BH1031" s="347"/>
      <c r="BI1031" s="347"/>
      <c r="BJ1031" s="586"/>
      <c r="BK1031" s="581"/>
      <c r="BL1031" s="347"/>
      <c r="BM1031" s="347"/>
      <c r="BN1031" s="347"/>
      <c r="BO1031" s="586"/>
      <c r="BP1031" s="584"/>
      <c r="BQ1031" s="347"/>
      <c r="BR1031" s="586"/>
      <c r="BS1031" s="588"/>
      <c r="BT1031" s="586"/>
      <c r="BU1031" s="589"/>
      <c r="BV1031" s="581"/>
      <c r="BW1031" s="590"/>
      <c r="BX1031" s="347"/>
      <c r="BY1031" s="347"/>
      <c r="BZ1031" s="347"/>
      <c r="CA1031" s="586"/>
      <c r="CB1031" s="581"/>
      <c r="CC1031" s="581"/>
      <c r="CD1031" s="581"/>
      <c r="CE1031" s="581"/>
      <c r="CF1031" s="581"/>
      <c r="CG1031" s="586"/>
      <c r="CH1031" s="608"/>
      <c r="CI1031" s="603"/>
      <c r="CJ1031" s="347"/>
      <c r="CK1031" s="347"/>
      <c r="CL1031" s="347"/>
      <c r="CM1031" s="347"/>
      <c r="CN1031" s="347"/>
      <c r="CO1031" s="347"/>
      <c r="CP1031" s="347"/>
    </row>
    <row r="1032">
      <c r="A1032" s="574"/>
      <c r="B1032" s="574"/>
      <c r="C1032" s="347"/>
      <c r="D1032" s="574"/>
      <c r="E1032" s="347"/>
      <c r="F1032" s="596"/>
      <c r="G1032" s="596"/>
      <c r="H1032" s="347"/>
      <c r="I1032" s="347"/>
      <c r="J1032" s="596"/>
      <c r="K1032" s="609"/>
      <c r="L1032" s="1"/>
      <c r="M1032" s="347"/>
      <c r="N1032" s="347"/>
      <c r="O1032" s="579"/>
      <c r="P1032" s="579"/>
      <c r="Q1032" s="574"/>
      <c r="R1032" s="347"/>
      <c r="S1032" s="597"/>
      <c r="T1032" s="347"/>
      <c r="U1032" s="579"/>
      <c r="V1032" s="579"/>
      <c r="W1032" s="574"/>
      <c r="X1032" s="347"/>
      <c r="Y1032" s="347"/>
      <c r="Z1032" s="347"/>
      <c r="AA1032" s="579"/>
      <c r="AB1032" s="581"/>
      <c r="AC1032" s="347"/>
      <c r="AD1032" s="347"/>
      <c r="AE1032" s="347"/>
      <c r="AF1032" s="347"/>
      <c r="AG1032" s="579"/>
      <c r="AH1032" s="579"/>
      <c r="AI1032" s="582"/>
      <c r="AJ1032" s="582"/>
      <c r="AK1032" s="582"/>
      <c r="AL1032" s="582"/>
      <c r="AM1032" s="579"/>
      <c r="AN1032" s="579"/>
      <c r="AO1032" s="347"/>
      <c r="AP1032" s="586"/>
      <c r="AQ1032" s="596"/>
      <c r="AR1032" s="596"/>
      <c r="AS1032" s="348"/>
      <c r="AT1032" s="348"/>
      <c r="AU1032" s="348"/>
      <c r="AV1032" s="348"/>
      <c r="AW1032" s="348"/>
      <c r="AX1032" s="584"/>
      <c r="AY1032" s="581"/>
      <c r="AZ1032" s="581"/>
      <c r="BA1032" s="596"/>
      <c r="BB1032" s="596"/>
      <c r="BC1032" s="348"/>
      <c r="BD1032" s="581"/>
      <c r="BE1032" s="581"/>
      <c r="BF1032" s="347"/>
      <c r="BG1032" s="347"/>
      <c r="BH1032" s="347"/>
      <c r="BI1032" s="347"/>
      <c r="BJ1032" s="586"/>
      <c r="BK1032" s="581"/>
      <c r="BL1032" s="347"/>
      <c r="BM1032" s="347"/>
      <c r="BN1032" s="347"/>
      <c r="BO1032" s="586"/>
      <c r="BP1032" s="584"/>
      <c r="BQ1032" s="347"/>
      <c r="BR1032" s="586"/>
      <c r="BS1032" s="588"/>
      <c r="BT1032" s="586"/>
      <c r="BU1032" s="589"/>
      <c r="BV1032" s="581"/>
      <c r="BW1032" s="590"/>
      <c r="BX1032" s="347"/>
      <c r="BY1032" s="347"/>
      <c r="BZ1032" s="347"/>
      <c r="CA1032" s="586"/>
      <c r="CB1032" s="581"/>
      <c r="CC1032" s="581"/>
      <c r="CD1032" s="581"/>
      <c r="CE1032" s="581"/>
      <c r="CF1032" s="581"/>
      <c r="CG1032" s="586"/>
      <c r="CH1032" s="608"/>
      <c r="CI1032" s="603"/>
      <c r="CJ1032" s="347"/>
      <c r="CK1032" s="347"/>
      <c r="CL1032" s="347"/>
      <c r="CM1032" s="347"/>
      <c r="CN1032" s="347"/>
      <c r="CO1032" s="347"/>
      <c r="CP1032" s="347"/>
    </row>
    <row r="1033">
      <c r="A1033" s="574"/>
      <c r="B1033" s="574"/>
      <c r="C1033" s="347"/>
      <c r="D1033" s="574"/>
      <c r="E1033" s="347"/>
      <c r="F1033" s="596"/>
      <c r="G1033" s="596"/>
      <c r="H1033" s="347"/>
      <c r="I1033" s="347"/>
      <c r="J1033" s="596"/>
      <c r="K1033" s="609"/>
      <c r="L1033" s="1"/>
      <c r="M1033" s="347"/>
      <c r="N1033" s="347"/>
      <c r="O1033" s="579"/>
      <c r="P1033" s="579"/>
      <c r="Q1033" s="574"/>
      <c r="R1033" s="347"/>
      <c r="S1033" s="597"/>
      <c r="T1033" s="347"/>
      <c r="U1033" s="579"/>
      <c r="V1033" s="579"/>
      <c r="W1033" s="574"/>
      <c r="X1033" s="347"/>
      <c r="Y1033" s="347"/>
      <c r="Z1033" s="347"/>
      <c r="AA1033" s="579"/>
      <c r="AB1033" s="581"/>
      <c r="AC1033" s="347"/>
      <c r="AD1033" s="347"/>
      <c r="AE1033" s="347"/>
      <c r="AF1033" s="347"/>
      <c r="AG1033" s="579"/>
      <c r="AH1033" s="579"/>
      <c r="AI1033" s="582"/>
      <c r="AJ1033" s="582"/>
      <c r="AK1033" s="582"/>
      <c r="AL1033" s="582"/>
      <c r="AM1033" s="579"/>
      <c r="AN1033" s="579"/>
      <c r="AO1033" s="347"/>
      <c r="AP1033" s="586"/>
      <c r="AQ1033" s="596"/>
      <c r="AR1033" s="596"/>
      <c r="AS1033" s="348"/>
      <c r="AT1033" s="348"/>
      <c r="AU1033" s="348"/>
      <c r="AV1033" s="348"/>
      <c r="AW1033" s="348"/>
      <c r="AX1033" s="584"/>
      <c r="AY1033" s="581"/>
      <c r="AZ1033" s="581"/>
      <c r="BA1033" s="596"/>
      <c r="BB1033" s="596"/>
      <c r="BC1033" s="348"/>
      <c r="BD1033" s="581"/>
      <c r="BE1033" s="581"/>
      <c r="BF1033" s="347"/>
      <c r="BG1033" s="347"/>
      <c r="BH1033" s="347"/>
      <c r="BI1033" s="347"/>
      <c r="BJ1033" s="586"/>
      <c r="BK1033" s="581"/>
      <c r="BL1033" s="347"/>
      <c r="BM1033" s="347"/>
      <c r="BN1033" s="347"/>
      <c r="BO1033" s="586"/>
      <c r="BP1033" s="584"/>
      <c r="BQ1033" s="347"/>
      <c r="BR1033" s="586"/>
      <c r="BS1033" s="588"/>
      <c r="BT1033" s="586"/>
      <c r="BU1033" s="589"/>
      <c r="BV1033" s="581"/>
      <c r="BW1033" s="590"/>
      <c r="BX1033" s="347"/>
      <c r="BY1033" s="347"/>
      <c r="BZ1033" s="347"/>
      <c r="CA1033" s="586"/>
      <c r="CB1033" s="581"/>
      <c r="CC1033" s="581"/>
      <c r="CD1033" s="581"/>
      <c r="CE1033" s="581"/>
      <c r="CF1033" s="581"/>
      <c r="CG1033" s="586"/>
      <c r="CH1033" s="608"/>
      <c r="CI1033" s="603"/>
      <c r="CJ1033" s="347"/>
      <c r="CK1033" s="347"/>
      <c r="CL1033" s="347"/>
      <c r="CM1033" s="347"/>
      <c r="CN1033" s="347"/>
      <c r="CO1033" s="347"/>
      <c r="CP1033" s="347"/>
    </row>
    <row r="1034">
      <c r="A1034" s="574"/>
      <c r="B1034" s="574"/>
      <c r="C1034" s="347"/>
      <c r="D1034" s="574"/>
      <c r="E1034" s="347"/>
      <c r="F1034" s="596"/>
      <c r="G1034" s="596"/>
      <c r="H1034" s="347"/>
      <c r="I1034" s="347"/>
      <c r="J1034" s="596"/>
      <c r="K1034" s="609"/>
      <c r="L1034" s="1"/>
      <c r="M1034" s="347"/>
      <c r="N1034" s="347"/>
      <c r="O1034" s="579"/>
      <c r="P1034" s="579"/>
      <c r="Q1034" s="574"/>
      <c r="R1034" s="347"/>
      <c r="S1034" s="597"/>
      <c r="T1034" s="347"/>
      <c r="U1034" s="579"/>
      <c r="V1034" s="579"/>
      <c r="W1034" s="574"/>
      <c r="X1034" s="347"/>
      <c r="Y1034" s="347"/>
      <c r="Z1034" s="347"/>
      <c r="AA1034" s="579"/>
      <c r="AB1034" s="581"/>
      <c r="AC1034" s="347"/>
      <c r="AD1034" s="347"/>
      <c r="AE1034" s="347"/>
      <c r="AF1034" s="347"/>
      <c r="AG1034" s="579"/>
      <c r="AH1034" s="579"/>
      <c r="AI1034" s="582"/>
      <c r="AJ1034" s="582"/>
      <c r="AK1034" s="582"/>
      <c r="AL1034" s="582"/>
      <c r="AM1034" s="579"/>
      <c r="AN1034" s="579"/>
      <c r="AO1034" s="347"/>
      <c r="AP1034" s="586"/>
      <c r="AQ1034" s="596"/>
      <c r="AR1034" s="596"/>
      <c r="AS1034" s="348"/>
      <c r="AT1034" s="348"/>
      <c r="AU1034" s="348"/>
      <c r="AV1034" s="348"/>
      <c r="AW1034" s="348"/>
      <c r="AX1034" s="584"/>
      <c r="AY1034" s="581"/>
      <c r="AZ1034" s="581"/>
      <c r="BA1034" s="596"/>
      <c r="BB1034" s="596"/>
      <c r="BC1034" s="348"/>
      <c r="BD1034" s="581"/>
      <c r="BE1034" s="581"/>
      <c r="BF1034" s="347"/>
      <c r="BG1034" s="347"/>
      <c r="BH1034" s="347"/>
      <c r="BI1034" s="347"/>
      <c r="BJ1034" s="586"/>
      <c r="BK1034" s="581"/>
      <c r="BL1034" s="347"/>
      <c r="BM1034" s="347"/>
      <c r="BN1034" s="347"/>
      <c r="BO1034" s="586"/>
      <c r="BP1034" s="584"/>
      <c r="BQ1034" s="347"/>
      <c r="BR1034" s="586"/>
      <c r="BS1034" s="588"/>
      <c r="BT1034" s="586"/>
      <c r="BU1034" s="589"/>
      <c r="BV1034" s="581"/>
      <c r="BW1034" s="590"/>
      <c r="BX1034" s="347"/>
      <c r="BY1034" s="347"/>
      <c r="BZ1034" s="347"/>
      <c r="CA1034" s="586"/>
      <c r="CB1034" s="581"/>
      <c r="CC1034" s="581"/>
      <c r="CD1034" s="581"/>
      <c r="CE1034" s="581"/>
      <c r="CF1034" s="581"/>
      <c r="CG1034" s="586"/>
      <c r="CH1034" s="608"/>
      <c r="CI1034" s="603"/>
      <c r="CJ1034" s="347"/>
      <c r="CK1034" s="347"/>
      <c r="CL1034" s="347"/>
      <c r="CM1034" s="347"/>
      <c r="CN1034" s="347"/>
      <c r="CO1034" s="347"/>
      <c r="CP1034" s="347"/>
    </row>
    <row r="1035">
      <c r="A1035" s="574"/>
      <c r="B1035" s="574"/>
      <c r="C1035" s="347"/>
      <c r="D1035" s="574"/>
      <c r="E1035" s="347"/>
      <c r="F1035" s="596"/>
      <c r="G1035" s="596"/>
      <c r="H1035" s="347"/>
      <c r="I1035" s="347"/>
      <c r="J1035" s="596"/>
      <c r="K1035" s="609"/>
      <c r="L1035" s="1"/>
      <c r="M1035" s="347"/>
      <c r="N1035" s="347"/>
      <c r="O1035" s="579"/>
      <c r="P1035" s="579"/>
      <c r="Q1035" s="574"/>
      <c r="R1035" s="347"/>
      <c r="S1035" s="597"/>
      <c r="T1035" s="347"/>
      <c r="U1035" s="579"/>
      <c r="V1035" s="579"/>
      <c r="W1035" s="574"/>
      <c r="X1035" s="347"/>
      <c r="Y1035" s="347"/>
      <c r="Z1035" s="347"/>
      <c r="AA1035" s="579"/>
      <c r="AB1035" s="581"/>
      <c r="AC1035" s="347"/>
      <c r="AD1035" s="347"/>
      <c r="AE1035" s="347"/>
      <c r="AF1035" s="347"/>
      <c r="AG1035" s="579"/>
      <c r="AH1035" s="579"/>
      <c r="AI1035" s="582"/>
      <c r="AJ1035" s="582"/>
      <c r="AK1035" s="582"/>
      <c r="AL1035" s="582"/>
      <c r="AM1035" s="579"/>
      <c r="AN1035" s="579"/>
      <c r="AO1035" s="347"/>
      <c r="AP1035" s="586"/>
      <c r="AQ1035" s="596"/>
      <c r="AR1035" s="596"/>
      <c r="AS1035" s="348"/>
      <c r="AT1035" s="348"/>
      <c r="AU1035" s="348"/>
      <c r="AV1035" s="348"/>
      <c r="AW1035" s="348"/>
      <c r="AX1035" s="584"/>
      <c r="AY1035" s="581"/>
      <c r="AZ1035" s="581"/>
      <c r="BA1035" s="596"/>
      <c r="BB1035" s="596"/>
      <c r="BC1035" s="348"/>
      <c r="BD1035" s="581"/>
      <c r="BE1035" s="581"/>
      <c r="BF1035" s="347"/>
      <c r="BG1035" s="347"/>
      <c r="BH1035" s="347"/>
      <c r="BI1035" s="347"/>
      <c r="BJ1035" s="586"/>
      <c r="BK1035" s="581"/>
      <c r="BL1035" s="347"/>
      <c r="BM1035" s="347"/>
      <c r="BN1035" s="347"/>
      <c r="BO1035" s="586"/>
      <c r="BP1035" s="584"/>
      <c r="BQ1035" s="347"/>
      <c r="BR1035" s="586"/>
      <c r="BS1035" s="588"/>
      <c r="BT1035" s="586"/>
      <c r="BU1035" s="589"/>
      <c r="BV1035" s="581"/>
      <c r="BW1035" s="590"/>
      <c r="BX1035" s="347"/>
      <c r="BY1035" s="347"/>
      <c r="BZ1035" s="347"/>
      <c r="CA1035" s="586"/>
      <c r="CB1035" s="581"/>
      <c r="CC1035" s="581"/>
      <c r="CD1035" s="581"/>
      <c r="CE1035" s="581"/>
      <c r="CF1035" s="581"/>
      <c r="CG1035" s="586"/>
      <c r="CH1035" s="608"/>
      <c r="CI1035" s="603"/>
      <c r="CJ1035" s="347"/>
      <c r="CK1035" s="347"/>
      <c r="CL1035" s="347"/>
      <c r="CM1035" s="347"/>
      <c r="CN1035" s="347"/>
      <c r="CO1035" s="347"/>
      <c r="CP1035" s="347"/>
    </row>
    <row r="1036">
      <c r="A1036" s="574"/>
      <c r="B1036" s="574"/>
      <c r="C1036" s="347"/>
      <c r="D1036" s="574"/>
      <c r="E1036" s="347"/>
      <c r="F1036" s="596"/>
      <c r="G1036" s="596"/>
      <c r="H1036" s="347"/>
      <c r="I1036" s="347"/>
      <c r="J1036" s="596"/>
      <c r="K1036" s="609"/>
      <c r="L1036" s="1"/>
      <c r="M1036" s="347"/>
      <c r="N1036" s="347"/>
      <c r="O1036" s="579"/>
      <c r="P1036" s="579"/>
      <c r="Q1036" s="574"/>
      <c r="R1036" s="347"/>
      <c r="S1036" s="597"/>
      <c r="T1036" s="347"/>
      <c r="U1036" s="579"/>
      <c r="V1036" s="579"/>
      <c r="W1036" s="574"/>
      <c r="X1036" s="347"/>
      <c r="Y1036" s="347"/>
      <c r="Z1036" s="347"/>
      <c r="AA1036" s="579"/>
      <c r="AB1036" s="581"/>
      <c r="AC1036" s="347"/>
      <c r="AD1036" s="347"/>
      <c r="AE1036" s="347"/>
      <c r="AF1036" s="347"/>
      <c r="AG1036" s="579"/>
      <c r="AH1036" s="579"/>
      <c r="AI1036" s="582"/>
      <c r="AJ1036" s="582"/>
      <c r="AK1036" s="582"/>
      <c r="AL1036" s="582"/>
      <c r="AM1036" s="579"/>
      <c r="AN1036" s="579"/>
      <c r="AO1036" s="347"/>
      <c r="AP1036" s="586"/>
      <c r="AQ1036" s="596"/>
      <c r="AR1036" s="596"/>
      <c r="AS1036" s="348"/>
      <c r="AT1036" s="348"/>
      <c r="AU1036" s="348"/>
      <c r="AV1036" s="348"/>
      <c r="AW1036" s="348"/>
      <c r="AX1036" s="584"/>
      <c r="AY1036" s="581"/>
      <c r="AZ1036" s="581"/>
      <c r="BA1036" s="596"/>
      <c r="BB1036" s="596"/>
      <c r="BC1036" s="348"/>
      <c r="BD1036" s="581"/>
      <c r="BE1036" s="581"/>
      <c r="BF1036" s="347"/>
      <c r="BG1036" s="347"/>
      <c r="BH1036" s="347"/>
      <c r="BI1036" s="347"/>
      <c r="BJ1036" s="586"/>
      <c r="BK1036" s="581"/>
      <c r="BL1036" s="347"/>
      <c r="BM1036" s="347"/>
      <c r="BN1036" s="347"/>
      <c r="BO1036" s="586"/>
      <c r="BP1036" s="584"/>
      <c r="BQ1036" s="347"/>
      <c r="BR1036" s="586"/>
      <c r="BS1036" s="588"/>
      <c r="BT1036" s="586"/>
      <c r="BU1036" s="589"/>
      <c r="BV1036" s="581"/>
      <c r="BW1036" s="590"/>
      <c r="BX1036" s="347"/>
      <c r="BY1036" s="347"/>
      <c r="BZ1036" s="347"/>
      <c r="CA1036" s="586"/>
      <c r="CB1036" s="581"/>
      <c r="CC1036" s="581"/>
      <c r="CD1036" s="581"/>
      <c r="CE1036" s="581"/>
      <c r="CF1036" s="581"/>
      <c r="CG1036" s="586"/>
      <c r="CH1036" s="608"/>
      <c r="CI1036" s="603"/>
      <c r="CJ1036" s="347"/>
      <c r="CK1036" s="347"/>
      <c r="CL1036" s="347"/>
      <c r="CM1036" s="347"/>
      <c r="CN1036" s="347"/>
      <c r="CO1036" s="347"/>
      <c r="CP1036" s="347"/>
    </row>
    <row r="1037">
      <c r="A1037" s="574"/>
      <c r="B1037" s="574"/>
      <c r="C1037" s="347"/>
      <c r="D1037" s="574"/>
      <c r="E1037" s="347"/>
      <c r="F1037" s="596"/>
      <c r="G1037" s="596"/>
      <c r="H1037" s="347"/>
      <c r="I1037" s="347"/>
      <c r="J1037" s="596"/>
      <c r="K1037" s="609"/>
      <c r="L1037" s="1"/>
      <c r="M1037" s="347"/>
      <c r="N1037" s="347"/>
      <c r="O1037" s="579"/>
      <c r="P1037" s="579"/>
      <c r="Q1037" s="574"/>
      <c r="R1037" s="347"/>
      <c r="S1037" s="597"/>
      <c r="T1037" s="347"/>
      <c r="U1037" s="579"/>
      <c r="V1037" s="579"/>
      <c r="W1037" s="574"/>
      <c r="X1037" s="347"/>
      <c r="Y1037" s="347"/>
      <c r="Z1037" s="347"/>
      <c r="AA1037" s="579"/>
      <c r="AB1037" s="581"/>
      <c r="AC1037" s="347"/>
      <c r="AD1037" s="347"/>
      <c r="AE1037" s="347"/>
      <c r="AF1037" s="347"/>
      <c r="AG1037" s="579"/>
      <c r="AH1037" s="579"/>
      <c r="AI1037" s="582"/>
      <c r="AJ1037" s="582"/>
      <c r="AK1037" s="582"/>
      <c r="AL1037" s="582"/>
      <c r="AM1037" s="579"/>
      <c r="AN1037" s="579"/>
      <c r="AO1037" s="347"/>
      <c r="AP1037" s="586"/>
      <c r="AQ1037" s="596"/>
      <c r="AR1037" s="596"/>
      <c r="AS1037" s="348"/>
      <c r="AT1037" s="348"/>
      <c r="AU1037" s="348"/>
      <c r="AV1037" s="348"/>
      <c r="AW1037" s="348"/>
      <c r="AX1037" s="584"/>
      <c r="AY1037" s="581"/>
      <c r="AZ1037" s="581"/>
      <c r="BA1037" s="596"/>
      <c r="BB1037" s="596"/>
      <c r="BC1037" s="348"/>
      <c r="BD1037" s="581"/>
      <c r="BE1037" s="581"/>
      <c r="BF1037" s="347"/>
      <c r="BG1037" s="347"/>
      <c r="BH1037" s="347"/>
      <c r="BI1037" s="347"/>
      <c r="BJ1037" s="586"/>
      <c r="BK1037" s="581"/>
      <c r="BL1037" s="347"/>
      <c r="BM1037" s="347"/>
      <c r="BN1037" s="347"/>
      <c r="BO1037" s="586"/>
      <c r="BP1037" s="584"/>
      <c r="BQ1037" s="347"/>
      <c r="BR1037" s="586"/>
      <c r="BS1037" s="588"/>
      <c r="BT1037" s="586"/>
      <c r="BU1037" s="589"/>
      <c r="BV1037" s="581"/>
      <c r="BW1037" s="590"/>
      <c r="BX1037" s="347"/>
      <c r="BY1037" s="347"/>
      <c r="BZ1037" s="347"/>
      <c r="CA1037" s="586"/>
      <c r="CB1037" s="581"/>
      <c r="CC1037" s="581"/>
      <c r="CD1037" s="581"/>
      <c r="CE1037" s="581"/>
      <c r="CF1037" s="581"/>
      <c r="CG1037" s="586"/>
      <c r="CH1037" s="608"/>
      <c r="CI1037" s="603"/>
      <c r="CJ1037" s="347"/>
      <c r="CK1037" s="347"/>
      <c r="CL1037" s="347"/>
      <c r="CM1037" s="347"/>
      <c r="CN1037" s="347"/>
      <c r="CO1037" s="347"/>
      <c r="CP1037" s="347"/>
    </row>
    <row r="1038">
      <c r="A1038" s="574"/>
      <c r="B1038" s="574"/>
      <c r="C1038" s="347"/>
      <c r="D1038" s="574"/>
      <c r="E1038" s="347"/>
      <c r="F1038" s="596"/>
      <c r="G1038" s="596"/>
      <c r="H1038" s="347"/>
      <c r="I1038" s="347"/>
      <c r="J1038" s="596"/>
      <c r="K1038" s="609"/>
      <c r="L1038" s="1"/>
      <c r="M1038" s="347"/>
      <c r="N1038" s="347"/>
      <c r="O1038" s="579"/>
      <c r="P1038" s="579"/>
      <c r="Q1038" s="574"/>
      <c r="R1038" s="347"/>
      <c r="S1038" s="597"/>
      <c r="T1038" s="347"/>
      <c r="U1038" s="579"/>
      <c r="V1038" s="579"/>
      <c r="W1038" s="574"/>
      <c r="X1038" s="347"/>
      <c r="Y1038" s="347"/>
      <c r="Z1038" s="347"/>
      <c r="AA1038" s="579"/>
      <c r="AB1038" s="581"/>
      <c r="AC1038" s="347"/>
      <c r="AD1038" s="347"/>
      <c r="AE1038" s="347"/>
      <c r="AF1038" s="347"/>
      <c r="AG1038" s="579"/>
      <c r="AH1038" s="579"/>
      <c r="AI1038" s="582"/>
      <c r="AJ1038" s="582"/>
      <c r="AK1038" s="582"/>
      <c r="AL1038" s="582"/>
      <c r="AM1038" s="579"/>
      <c r="AN1038" s="579"/>
      <c r="AO1038" s="347"/>
      <c r="AP1038" s="586"/>
      <c r="AQ1038" s="596"/>
      <c r="AR1038" s="596"/>
      <c r="AS1038" s="348"/>
      <c r="AT1038" s="348"/>
      <c r="AU1038" s="348"/>
      <c r="AV1038" s="348"/>
      <c r="AW1038" s="348"/>
      <c r="AX1038" s="584"/>
      <c r="AY1038" s="581"/>
      <c r="AZ1038" s="581"/>
      <c r="BA1038" s="596"/>
      <c r="BB1038" s="596"/>
      <c r="BC1038" s="348"/>
      <c r="BD1038" s="581"/>
      <c r="BE1038" s="581"/>
      <c r="BF1038" s="347"/>
      <c r="BG1038" s="347"/>
      <c r="BH1038" s="347"/>
      <c r="BI1038" s="347"/>
      <c r="BJ1038" s="586"/>
      <c r="BK1038" s="581"/>
      <c r="BL1038" s="347"/>
      <c r="BM1038" s="347"/>
      <c r="BN1038" s="347"/>
      <c r="BO1038" s="586"/>
      <c r="BP1038" s="584"/>
      <c r="BQ1038" s="347"/>
      <c r="BR1038" s="586"/>
      <c r="BS1038" s="588"/>
      <c r="BT1038" s="586"/>
      <c r="BU1038" s="589"/>
      <c r="BV1038" s="581"/>
      <c r="BW1038" s="590"/>
      <c r="BX1038" s="347"/>
      <c r="BY1038" s="347"/>
      <c r="BZ1038" s="347"/>
      <c r="CA1038" s="586"/>
      <c r="CB1038" s="581"/>
      <c r="CC1038" s="581"/>
      <c r="CD1038" s="581"/>
      <c r="CE1038" s="581"/>
      <c r="CF1038" s="581"/>
      <c r="CG1038" s="586"/>
      <c r="CH1038" s="608"/>
      <c r="CI1038" s="603"/>
      <c r="CJ1038" s="347"/>
      <c r="CK1038" s="347"/>
      <c r="CL1038" s="347"/>
      <c r="CM1038" s="347"/>
      <c r="CN1038" s="347"/>
      <c r="CO1038" s="347"/>
      <c r="CP1038" s="347"/>
    </row>
    <row r="1039">
      <c r="A1039" s="574"/>
      <c r="B1039" s="574"/>
      <c r="C1039" s="347"/>
      <c r="D1039" s="574"/>
      <c r="E1039" s="347"/>
      <c r="F1039" s="596"/>
      <c r="G1039" s="596"/>
      <c r="H1039" s="347"/>
      <c r="I1039" s="347"/>
      <c r="J1039" s="596"/>
      <c r="K1039" s="609"/>
      <c r="L1039" s="1"/>
      <c r="M1039" s="347"/>
      <c r="N1039" s="347"/>
      <c r="O1039" s="579"/>
      <c r="P1039" s="579"/>
      <c r="Q1039" s="574"/>
      <c r="R1039" s="347"/>
      <c r="S1039" s="597"/>
      <c r="T1039" s="347"/>
      <c r="U1039" s="579"/>
      <c r="V1039" s="579"/>
      <c r="W1039" s="574"/>
      <c r="X1039" s="347"/>
      <c r="Y1039" s="347"/>
      <c r="Z1039" s="347"/>
      <c r="AA1039" s="579"/>
      <c r="AB1039" s="581"/>
      <c r="AC1039" s="347"/>
      <c r="AD1039" s="347"/>
      <c r="AE1039" s="347"/>
      <c r="AF1039" s="347"/>
      <c r="AG1039" s="579"/>
      <c r="AH1039" s="579"/>
      <c r="AI1039" s="582"/>
      <c r="AJ1039" s="582"/>
      <c r="AK1039" s="582"/>
      <c r="AL1039" s="582"/>
      <c r="AM1039" s="579"/>
      <c r="AN1039" s="579"/>
      <c r="AO1039" s="347"/>
      <c r="AP1039" s="586"/>
      <c r="AQ1039" s="596"/>
      <c r="AR1039" s="596"/>
      <c r="AS1039" s="348"/>
      <c r="AT1039" s="348"/>
      <c r="AU1039" s="348"/>
      <c r="AV1039" s="348"/>
      <c r="AW1039" s="348"/>
      <c r="AX1039" s="584"/>
      <c r="AY1039" s="581"/>
      <c r="AZ1039" s="581"/>
      <c r="BA1039" s="596"/>
      <c r="BB1039" s="596"/>
      <c r="BC1039" s="348"/>
      <c r="BD1039" s="581"/>
      <c r="BE1039" s="581"/>
      <c r="BF1039" s="347"/>
      <c r="BG1039" s="347"/>
      <c r="BH1039" s="347"/>
      <c r="BI1039" s="347"/>
      <c r="BJ1039" s="586"/>
      <c r="BK1039" s="581"/>
      <c r="BL1039" s="347"/>
      <c r="BM1039" s="347"/>
      <c r="BN1039" s="347"/>
      <c r="BO1039" s="586"/>
      <c r="BP1039" s="584"/>
      <c r="BQ1039" s="347"/>
      <c r="BR1039" s="586"/>
      <c r="BS1039" s="588"/>
      <c r="BT1039" s="586"/>
      <c r="BU1039" s="589"/>
      <c r="BV1039" s="581"/>
      <c r="BW1039" s="590"/>
      <c r="BX1039" s="347"/>
      <c r="BY1039" s="347"/>
      <c r="BZ1039" s="347"/>
      <c r="CA1039" s="586"/>
      <c r="CB1039" s="581"/>
      <c r="CC1039" s="581"/>
      <c r="CD1039" s="581"/>
      <c r="CE1039" s="581"/>
      <c r="CF1039" s="581"/>
      <c r="CG1039" s="586"/>
      <c r="CH1039" s="608"/>
      <c r="CI1039" s="603"/>
      <c r="CJ1039" s="347"/>
      <c r="CK1039" s="347"/>
      <c r="CL1039" s="347"/>
      <c r="CM1039" s="347"/>
      <c r="CN1039" s="347"/>
      <c r="CO1039" s="347"/>
      <c r="CP1039" s="347"/>
    </row>
    <row r="1040">
      <c r="A1040" s="574"/>
      <c r="B1040" s="574"/>
      <c r="C1040" s="347"/>
      <c r="D1040" s="574"/>
      <c r="E1040" s="347"/>
      <c r="F1040" s="596"/>
      <c r="G1040" s="596"/>
      <c r="H1040" s="347"/>
      <c r="I1040" s="347"/>
      <c r="J1040" s="596"/>
      <c r="K1040" s="609"/>
      <c r="L1040" s="1"/>
      <c r="M1040" s="347"/>
      <c r="N1040" s="347"/>
      <c r="O1040" s="579"/>
      <c r="P1040" s="579"/>
      <c r="Q1040" s="574"/>
      <c r="R1040" s="347"/>
      <c r="S1040" s="597"/>
      <c r="T1040" s="347"/>
      <c r="U1040" s="579"/>
      <c r="V1040" s="579"/>
      <c r="W1040" s="574"/>
      <c r="X1040" s="347"/>
      <c r="Y1040" s="347"/>
      <c r="Z1040" s="347"/>
      <c r="AA1040" s="579"/>
      <c r="AB1040" s="581"/>
      <c r="AC1040" s="347"/>
      <c r="AD1040" s="347"/>
      <c r="AE1040" s="347"/>
      <c r="AF1040" s="347"/>
      <c r="AG1040" s="579"/>
      <c r="AH1040" s="579"/>
      <c r="AI1040" s="582"/>
      <c r="AJ1040" s="582"/>
      <c r="AK1040" s="582"/>
      <c r="AL1040" s="582"/>
      <c r="AM1040" s="579"/>
      <c r="AN1040" s="579"/>
      <c r="AO1040" s="347"/>
      <c r="AP1040" s="586"/>
      <c r="AQ1040" s="596"/>
      <c r="AR1040" s="596"/>
      <c r="AS1040" s="348"/>
      <c r="AT1040" s="348"/>
      <c r="AU1040" s="348"/>
      <c r="AV1040" s="348"/>
      <c r="AW1040" s="348"/>
      <c r="AX1040" s="584"/>
      <c r="AY1040" s="581"/>
      <c r="AZ1040" s="581"/>
      <c r="BA1040" s="596"/>
      <c r="BB1040" s="596"/>
      <c r="BC1040" s="348"/>
      <c r="BD1040" s="581"/>
      <c r="BE1040" s="581"/>
      <c r="BF1040" s="347"/>
      <c r="BG1040" s="347"/>
      <c r="BH1040" s="347"/>
      <c r="BI1040" s="347"/>
      <c r="BJ1040" s="586"/>
      <c r="BK1040" s="581"/>
      <c r="BL1040" s="347"/>
      <c r="BM1040" s="347"/>
      <c r="BN1040" s="347"/>
      <c r="BO1040" s="586"/>
      <c r="BP1040" s="584"/>
      <c r="BQ1040" s="347"/>
      <c r="BR1040" s="586"/>
      <c r="BS1040" s="588"/>
      <c r="BT1040" s="586"/>
      <c r="BU1040" s="589"/>
      <c r="BV1040" s="581"/>
      <c r="BW1040" s="590"/>
      <c r="BX1040" s="347"/>
      <c r="BY1040" s="347"/>
      <c r="BZ1040" s="347"/>
      <c r="CA1040" s="586"/>
      <c r="CB1040" s="581"/>
      <c r="CC1040" s="581"/>
      <c r="CD1040" s="581"/>
      <c r="CE1040" s="581"/>
      <c r="CF1040" s="581"/>
      <c r="CG1040" s="586"/>
      <c r="CH1040" s="608"/>
      <c r="CI1040" s="603"/>
      <c r="CJ1040" s="347"/>
      <c r="CK1040" s="347"/>
      <c r="CL1040" s="347"/>
      <c r="CM1040" s="347"/>
      <c r="CN1040" s="347"/>
      <c r="CO1040" s="347"/>
      <c r="CP1040" s="347"/>
    </row>
    <row r="1041">
      <c r="A1041" s="574"/>
      <c r="B1041" s="574"/>
      <c r="C1041" s="347"/>
      <c r="D1041" s="574"/>
      <c r="E1041" s="347"/>
      <c r="F1041" s="596"/>
      <c r="G1041" s="596"/>
      <c r="H1041" s="347"/>
      <c r="I1041" s="347"/>
      <c r="J1041" s="596"/>
      <c r="K1041" s="609"/>
      <c r="L1041" s="1"/>
      <c r="M1041" s="347"/>
      <c r="N1041" s="347"/>
      <c r="O1041" s="579"/>
      <c r="P1041" s="579"/>
      <c r="Q1041" s="574"/>
      <c r="R1041" s="347"/>
      <c r="S1041" s="597"/>
      <c r="T1041" s="347"/>
      <c r="U1041" s="579"/>
      <c r="V1041" s="579"/>
      <c r="W1041" s="574"/>
      <c r="X1041" s="347"/>
      <c r="Y1041" s="347"/>
      <c r="Z1041" s="347"/>
      <c r="AA1041" s="579"/>
      <c r="AB1041" s="581"/>
      <c r="AC1041" s="347"/>
      <c r="AD1041" s="347"/>
      <c r="AE1041" s="347"/>
      <c r="AF1041" s="347"/>
      <c r="AG1041" s="579"/>
      <c r="AH1041" s="579"/>
      <c r="AI1041" s="582"/>
      <c r="AJ1041" s="582"/>
      <c r="AK1041" s="582"/>
      <c r="AL1041" s="582"/>
      <c r="AM1041" s="579"/>
      <c r="AN1041" s="579"/>
      <c r="AO1041" s="347"/>
      <c r="AP1041" s="586"/>
      <c r="AQ1041" s="596"/>
      <c r="AR1041" s="596"/>
      <c r="AS1041" s="348"/>
      <c r="AT1041" s="348"/>
      <c r="AU1041" s="348"/>
      <c r="AV1041" s="348"/>
      <c r="AW1041" s="348"/>
      <c r="AX1041" s="584"/>
      <c r="AY1041" s="581"/>
      <c r="AZ1041" s="581"/>
      <c r="BA1041" s="596"/>
      <c r="BB1041" s="596"/>
      <c r="BC1041" s="348"/>
      <c r="BD1041" s="581"/>
      <c r="BE1041" s="581"/>
      <c r="BF1041" s="347"/>
      <c r="BG1041" s="347"/>
      <c r="BH1041" s="347"/>
      <c r="BI1041" s="347"/>
      <c r="BJ1041" s="586"/>
      <c r="BK1041" s="581"/>
      <c r="BL1041" s="347"/>
      <c r="BM1041" s="347"/>
      <c r="BN1041" s="347"/>
      <c r="BO1041" s="586"/>
      <c r="BP1041" s="584"/>
      <c r="BQ1041" s="347"/>
      <c r="BR1041" s="586"/>
      <c r="BS1041" s="588"/>
      <c r="BT1041" s="586"/>
      <c r="BU1041" s="589"/>
      <c r="BV1041" s="581"/>
      <c r="BW1041" s="590"/>
      <c r="BX1041" s="347"/>
      <c r="BY1041" s="347"/>
      <c r="BZ1041" s="347"/>
      <c r="CA1041" s="586"/>
      <c r="CB1041" s="581"/>
      <c r="CC1041" s="581"/>
      <c r="CD1041" s="581"/>
      <c r="CE1041" s="581"/>
      <c r="CF1041" s="581"/>
      <c r="CG1041" s="586"/>
      <c r="CH1041" s="608"/>
      <c r="CI1041" s="603"/>
      <c r="CJ1041" s="347"/>
      <c r="CK1041" s="347"/>
      <c r="CL1041" s="347"/>
      <c r="CM1041" s="347"/>
      <c r="CN1041" s="347"/>
      <c r="CO1041" s="347"/>
      <c r="CP1041" s="347"/>
    </row>
    <row r="1042">
      <c r="A1042" s="574"/>
      <c r="B1042" s="574"/>
      <c r="C1042" s="347"/>
      <c r="D1042" s="574"/>
      <c r="E1042" s="347"/>
      <c r="F1042" s="596"/>
      <c r="G1042" s="596"/>
      <c r="H1042" s="347"/>
      <c r="I1042" s="347"/>
      <c r="J1042" s="596"/>
      <c r="K1042" s="609"/>
      <c r="L1042" s="1"/>
      <c r="M1042" s="347"/>
      <c r="N1042" s="347"/>
      <c r="O1042" s="579"/>
      <c r="P1042" s="579"/>
      <c r="Q1042" s="574"/>
      <c r="R1042" s="347"/>
      <c r="S1042" s="597"/>
      <c r="T1042" s="347"/>
      <c r="U1042" s="579"/>
      <c r="V1042" s="579"/>
      <c r="W1042" s="574"/>
      <c r="X1042" s="347"/>
      <c r="Y1042" s="347"/>
      <c r="Z1042" s="347"/>
      <c r="AA1042" s="579"/>
      <c r="AB1042" s="581"/>
      <c r="AC1042" s="347"/>
      <c r="AD1042" s="347"/>
      <c r="AE1042" s="347"/>
      <c r="AF1042" s="347"/>
      <c r="AG1042" s="579"/>
      <c r="AH1042" s="579"/>
      <c r="AI1042" s="582"/>
      <c r="AJ1042" s="582"/>
      <c r="AK1042" s="582"/>
      <c r="AL1042" s="582"/>
      <c r="AM1042" s="579"/>
      <c r="AN1042" s="579"/>
      <c r="AO1042" s="347"/>
      <c r="AP1042" s="586"/>
      <c r="AQ1042" s="596"/>
      <c r="AR1042" s="596"/>
      <c r="AS1042" s="348"/>
      <c r="AT1042" s="348"/>
      <c r="AU1042" s="348"/>
      <c r="AV1042" s="348"/>
      <c r="AW1042" s="348"/>
      <c r="AX1042" s="584"/>
      <c r="AY1042" s="581"/>
      <c r="AZ1042" s="581"/>
      <c r="BA1042" s="596"/>
      <c r="BB1042" s="596"/>
      <c r="BC1042" s="348"/>
      <c r="BD1042" s="581"/>
      <c r="BE1042" s="581"/>
      <c r="BF1042" s="347"/>
      <c r="BG1042" s="347"/>
      <c r="BH1042" s="347"/>
      <c r="BI1042" s="347"/>
      <c r="BJ1042" s="586"/>
      <c r="BK1042" s="581"/>
      <c r="BL1042" s="347"/>
      <c r="BM1042" s="347"/>
      <c r="BN1042" s="347"/>
      <c r="BO1042" s="586"/>
      <c r="BP1042" s="584"/>
      <c r="BQ1042" s="347"/>
      <c r="BR1042" s="586"/>
      <c r="BS1042" s="588"/>
      <c r="BT1042" s="586"/>
      <c r="BU1042" s="589"/>
      <c r="BV1042" s="581"/>
      <c r="BW1042" s="590"/>
      <c r="BX1042" s="347"/>
      <c r="BY1042" s="347"/>
      <c r="BZ1042" s="347"/>
      <c r="CA1042" s="586"/>
      <c r="CB1042" s="581"/>
      <c r="CC1042" s="581"/>
      <c r="CD1042" s="581"/>
      <c r="CE1042" s="581"/>
      <c r="CF1042" s="581"/>
      <c r="CG1042" s="586"/>
      <c r="CH1042" s="608"/>
      <c r="CI1042" s="603"/>
      <c r="CJ1042" s="347"/>
      <c r="CK1042" s="347"/>
      <c r="CL1042" s="347"/>
      <c r="CM1042" s="347"/>
      <c r="CN1042" s="347"/>
      <c r="CO1042" s="347"/>
      <c r="CP1042" s="347"/>
    </row>
    <row r="1043">
      <c r="A1043" s="574"/>
      <c r="B1043" s="574"/>
      <c r="C1043" s="347"/>
      <c r="D1043" s="574"/>
      <c r="E1043" s="347"/>
      <c r="F1043" s="596"/>
      <c r="G1043" s="596"/>
      <c r="H1043" s="347"/>
      <c r="I1043" s="347"/>
      <c r="J1043" s="596"/>
      <c r="K1043" s="609"/>
      <c r="L1043" s="1"/>
      <c r="M1043" s="347"/>
      <c r="N1043" s="347"/>
      <c r="O1043" s="579"/>
      <c r="P1043" s="579"/>
      <c r="Q1043" s="574"/>
      <c r="R1043" s="347"/>
      <c r="S1043" s="597"/>
      <c r="T1043" s="347"/>
      <c r="U1043" s="579"/>
      <c r="V1043" s="579"/>
      <c r="W1043" s="574"/>
      <c r="X1043" s="347"/>
      <c r="Y1043" s="347"/>
      <c r="Z1043" s="347"/>
      <c r="AA1043" s="579"/>
      <c r="AB1043" s="581"/>
      <c r="AC1043" s="347"/>
      <c r="AD1043" s="347"/>
      <c r="AE1043" s="347"/>
      <c r="AF1043" s="347"/>
      <c r="AG1043" s="579"/>
      <c r="AH1043" s="579"/>
      <c r="AI1043" s="582"/>
      <c r="AJ1043" s="582"/>
      <c r="AK1043" s="582"/>
      <c r="AL1043" s="582"/>
      <c r="AM1043" s="579"/>
      <c r="AN1043" s="579"/>
      <c r="AO1043" s="347"/>
      <c r="AP1043" s="586"/>
      <c r="AQ1043" s="596"/>
      <c r="AR1043" s="596"/>
      <c r="AS1043" s="348"/>
      <c r="AT1043" s="348"/>
      <c r="AU1043" s="348"/>
      <c r="AV1043" s="348"/>
      <c r="AW1043" s="348"/>
      <c r="AX1043" s="584"/>
      <c r="AY1043" s="581"/>
      <c r="AZ1043" s="581"/>
      <c r="BA1043" s="596"/>
      <c r="BB1043" s="596"/>
      <c r="BC1043" s="348"/>
      <c r="BD1043" s="581"/>
      <c r="BE1043" s="581"/>
      <c r="BF1043" s="347"/>
      <c r="BG1043" s="347"/>
      <c r="BH1043" s="347"/>
      <c r="BI1043" s="347"/>
      <c r="BJ1043" s="586"/>
      <c r="BK1043" s="581"/>
      <c r="BL1043" s="347"/>
      <c r="BM1043" s="347"/>
      <c r="BN1043" s="347"/>
      <c r="BO1043" s="586"/>
      <c r="BP1043" s="584"/>
      <c r="BQ1043" s="347"/>
      <c r="BR1043" s="586"/>
      <c r="BS1043" s="588"/>
      <c r="BT1043" s="586"/>
      <c r="BU1043" s="589"/>
      <c r="BV1043" s="581"/>
      <c r="BW1043" s="590"/>
      <c r="BX1043" s="347"/>
      <c r="BY1043" s="347"/>
      <c r="BZ1043" s="347"/>
      <c r="CA1043" s="586"/>
      <c r="CB1043" s="581"/>
      <c r="CC1043" s="581"/>
      <c r="CD1043" s="581"/>
      <c r="CE1043" s="581"/>
      <c r="CF1043" s="581"/>
      <c r="CG1043" s="586"/>
      <c r="CH1043" s="608"/>
      <c r="CI1043" s="603"/>
      <c r="CJ1043" s="347"/>
      <c r="CK1043" s="347"/>
      <c r="CL1043" s="347"/>
      <c r="CM1043" s="347"/>
      <c r="CN1043" s="347"/>
      <c r="CO1043" s="347"/>
      <c r="CP1043" s="347"/>
    </row>
    <row r="1044">
      <c r="A1044" s="574"/>
      <c r="B1044" s="574"/>
      <c r="C1044" s="347"/>
      <c r="D1044" s="574"/>
      <c r="E1044" s="347"/>
      <c r="F1044" s="596"/>
      <c r="G1044" s="596"/>
      <c r="H1044" s="347"/>
      <c r="I1044" s="347"/>
      <c r="J1044" s="596"/>
      <c r="K1044" s="609"/>
      <c r="L1044" s="1"/>
      <c r="M1044" s="347"/>
      <c r="N1044" s="347"/>
      <c r="O1044" s="579"/>
      <c r="P1044" s="579"/>
      <c r="Q1044" s="574"/>
      <c r="R1044" s="347"/>
      <c r="S1044" s="597"/>
      <c r="T1044" s="347"/>
      <c r="U1044" s="579"/>
      <c r="V1044" s="579"/>
      <c r="W1044" s="574"/>
      <c r="X1044" s="347"/>
      <c r="Y1044" s="347"/>
      <c r="Z1044" s="347"/>
      <c r="AA1044" s="579"/>
      <c r="AB1044" s="581"/>
      <c r="AC1044" s="347"/>
      <c r="AD1044" s="347"/>
      <c r="AE1044" s="347"/>
      <c r="AF1044" s="347"/>
      <c r="AG1044" s="579"/>
      <c r="AH1044" s="579"/>
      <c r="AI1044" s="582"/>
      <c r="AJ1044" s="582"/>
      <c r="AK1044" s="582"/>
      <c r="AL1044" s="582"/>
      <c r="AM1044" s="579"/>
      <c r="AN1044" s="579"/>
      <c r="AO1044" s="347"/>
      <c r="AP1044" s="586"/>
      <c r="AQ1044" s="596"/>
      <c r="AR1044" s="596"/>
      <c r="AS1044" s="348"/>
      <c r="AT1044" s="348"/>
      <c r="AU1044" s="348"/>
      <c r="AV1044" s="348"/>
      <c r="AW1044" s="348"/>
      <c r="AX1044" s="584"/>
      <c r="AY1044" s="581"/>
      <c r="AZ1044" s="581"/>
      <c r="BA1044" s="596"/>
      <c r="BB1044" s="596"/>
      <c r="BC1044" s="348"/>
      <c r="BD1044" s="581"/>
      <c r="BE1044" s="581"/>
      <c r="BF1044" s="347"/>
      <c r="BG1044" s="347"/>
      <c r="BH1044" s="347"/>
      <c r="BI1044" s="347"/>
      <c r="BJ1044" s="586"/>
      <c r="BK1044" s="581"/>
      <c r="BL1044" s="347"/>
      <c r="BM1044" s="347"/>
      <c r="BN1044" s="347"/>
      <c r="BO1044" s="586"/>
      <c r="BP1044" s="584"/>
      <c r="BQ1044" s="347"/>
      <c r="BR1044" s="586"/>
      <c r="BS1044" s="588"/>
      <c r="BT1044" s="586"/>
      <c r="BU1044" s="589"/>
      <c r="BV1044" s="581"/>
      <c r="BW1044" s="590"/>
      <c r="BX1044" s="347"/>
      <c r="BY1044" s="347"/>
      <c r="BZ1044" s="347"/>
      <c r="CA1044" s="586"/>
      <c r="CB1044" s="581"/>
      <c r="CC1044" s="581"/>
      <c r="CD1044" s="581"/>
      <c r="CE1044" s="581"/>
      <c r="CF1044" s="581"/>
      <c r="CG1044" s="586"/>
      <c r="CH1044" s="608"/>
      <c r="CI1044" s="603"/>
      <c r="CJ1044" s="347"/>
      <c r="CK1044" s="347"/>
      <c r="CL1044" s="347"/>
      <c r="CM1044" s="347"/>
      <c r="CN1044" s="347"/>
      <c r="CO1044" s="347"/>
      <c r="CP1044" s="347"/>
    </row>
    <row r="1045">
      <c r="A1045" s="574"/>
      <c r="B1045" s="574"/>
      <c r="C1045" s="347"/>
      <c r="D1045" s="574"/>
      <c r="E1045" s="347"/>
      <c r="F1045" s="596"/>
      <c r="G1045" s="596"/>
      <c r="H1045" s="347"/>
      <c r="I1045" s="347"/>
      <c r="J1045" s="596"/>
      <c r="K1045" s="609"/>
      <c r="L1045" s="1"/>
      <c r="M1045" s="347"/>
      <c r="N1045" s="347"/>
      <c r="O1045" s="579"/>
      <c r="P1045" s="579"/>
      <c r="Q1045" s="574"/>
      <c r="R1045" s="347"/>
      <c r="S1045" s="597"/>
      <c r="T1045" s="347"/>
      <c r="U1045" s="579"/>
      <c r="V1045" s="579"/>
      <c r="W1045" s="574"/>
      <c r="X1045" s="347"/>
      <c r="Y1045" s="347"/>
      <c r="Z1045" s="347"/>
      <c r="AA1045" s="579"/>
      <c r="AB1045" s="581"/>
      <c r="AC1045" s="347"/>
      <c r="AD1045" s="347"/>
      <c r="AE1045" s="347"/>
      <c r="AF1045" s="347"/>
      <c r="AG1045" s="579"/>
      <c r="AH1045" s="579"/>
      <c r="AI1045" s="582"/>
      <c r="AJ1045" s="582"/>
      <c r="AK1045" s="582"/>
      <c r="AL1045" s="582"/>
      <c r="AM1045" s="579"/>
      <c r="AN1045" s="579"/>
      <c r="AO1045" s="347"/>
      <c r="AP1045" s="586"/>
      <c r="AQ1045" s="596"/>
      <c r="AR1045" s="596"/>
      <c r="AS1045" s="348"/>
      <c r="AT1045" s="348"/>
      <c r="AU1045" s="348"/>
      <c r="AV1045" s="348"/>
      <c r="AW1045" s="348"/>
      <c r="AX1045" s="584"/>
      <c r="AY1045" s="581"/>
      <c r="AZ1045" s="581"/>
      <c r="BA1045" s="596"/>
      <c r="BB1045" s="596"/>
      <c r="BC1045" s="348"/>
      <c r="BD1045" s="581"/>
      <c r="BE1045" s="581"/>
      <c r="BF1045" s="347"/>
      <c r="BG1045" s="347"/>
      <c r="BH1045" s="347"/>
      <c r="BI1045" s="347"/>
      <c r="BJ1045" s="586"/>
      <c r="BK1045" s="581"/>
      <c r="BL1045" s="347"/>
      <c r="BM1045" s="347"/>
      <c r="BN1045" s="347"/>
      <c r="BO1045" s="586"/>
      <c r="BP1045" s="584"/>
      <c r="BQ1045" s="347"/>
      <c r="BR1045" s="586"/>
      <c r="BS1045" s="588"/>
      <c r="BT1045" s="586"/>
      <c r="BU1045" s="589"/>
      <c r="BV1045" s="581"/>
      <c r="BW1045" s="590"/>
      <c r="BX1045" s="347"/>
      <c r="BY1045" s="347"/>
      <c r="BZ1045" s="347"/>
      <c r="CA1045" s="586"/>
      <c r="CB1045" s="581"/>
      <c r="CC1045" s="581"/>
      <c r="CD1045" s="581"/>
      <c r="CE1045" s="581"/>
      <c r="CF1045" s="581"/>
      <c r="CG1045" s="586"/>
      <c r="CH1045" s="608"/>
      <c r="CI1045" s="603"/>
      <c r="CJ1045" s="347"/>
      <c r="CK1045" s="347"/>
      <c r="CL1045" s="347"/>
      <c r="CM1045" s="347"/>
      <c r="CN1045" s="347"/>
      <c r="CO1045" s="347"/>
      <c r="CP1045" s="347"/>
    </row>
    <row r="1046">
      <c r="A1046" s="574"/>
      <c r="B1046" s="574"/>
      <c r="C1046" s="347"/>
      <c r="D1046" s="574"/>
      <c r="E1046" s="347"/>
      <c r="F1046" s="596"/>
      <c r="G1046" s="596"/>
      <c r="H1046" s="347"/>
      <c r="I1046" s="347"/>
      <c r="J1046" s="596"/>
      <c r="K1046" s="609"/>
      <c r="L1046" s="1"/>
      <c r="M1046" s="347"/>
      <c r="N1046" s="347"/>
      <c r="O1046" s="579"/>
      <c r="P1046" s="579"/>
      <c r="Q1046" s="574"/>
      <c r="R1046" s="347"/>
      <c r="S1046" s="597"/>
      <c r="T1046" s="347"/>
      <c r="U1046" s="579"/>
      <c r="V1046" s="579"/>
      <c r="W1046" s="574"/>
      <c r="X1046" s="347"/>
      <c r="Y1046" s="347"/>
      <c r="Z1046" s="347"/>
      <c r="AA1046" s="579"/>
      <c r="AB1046" s="581"/>
      <c r="AC1046" s="347"/>
      <c r="AD1046" s="347"/>
      <c r="AE1046" s="347"/>
      <c r="AF1046" s="347"/>
      <c r="AG1046" s="579"/>
      <c r="AH1046" s="579"/>
      <c r="AI1046" s="582"/>
      <c r="AJ1046" s="582"/>
      <c r="AK1046" s="582"/>
      <c r="AL1046" s="582"/>
      <c r="AM1046" s="579"/>
      <c r="AN1046" s="579"/>
      <c r="AO1046" s="347"/>
      <c r="AP1046" s="586"/>
      <c r="AQ1046" s="596"/>
      <c r="AR1046" s="596"/>
      <c r="AS1046" s="348"/>
      <c r="AT1046" s="348"/>
      <c r="AU1046" s="348"/>
      <c r="AV1046" s="348"/>
      <c r="AW1046" s="348"/>
      <c r="AX1046" s="584"/>
      <c r="AY1046" s="581"/>
      <c r="AZ1046" s="581"/>
      <c r="BA1046" s="596"/>
      <c r="BB1046" s="596"/>
      <c r="BC1046" s="348"/>
      <c r="BD1046" s="581"/>
      <c r="BE1046" s="581"/>
      <c r="BF1046" s="347"/>
      <c r="BG1046" s="347"/>
      <c r="BH1046" s="347"/>
      <c r="BI1046" s="347"/>
      <c r="BJ1046" s="586"/>
      <c r="BK1046" s="581"/>
      <c r="BL1046" s="347"/>
      <c r="BM1046" s="347"/>
      <c r="BN1046" s="347"/>
      <c r="BO1046" s="586"/>
      <c r="BP1046" s="584"/>
      <c r="BQ1046" s="347"/>
      <c r="BR1046" s="586"/>
      <c r="BS1046" s="588"/>
      <c r="BT1046" s="586"/>
      <c r="BU1046" s="589"/>
      <c r="BV1046" s="581"/>
      <c r="BW1046" s="590"/>
      <c r="BX1046" s="347"/>
      <c r="BY1046" s="347"/>
      <c r="BZ1046" s="347"/>
      <c r="CA1046" s="586"/>
      <c r="CB1046" s="581"/>
      <c r="CC1046" s="581"/>
      <c r="CD1046" s="581"/>
      <c r="CE1046" s="581"/>
      <c r="CF1046" s="581"/>
      <c r="CG1046" s="586"/>
      <c r="CH1046" s="608"/>
      <c r="CI1046" s="603"/>
      <c r="CJ1046" s="347"/>
      <c r="CK1046" s="347"/>
      <c r="CL1046" s="347"/>
      <c r="CM1046" s="347"/>
      <c r="CN1046" s="347"/>
      <c r="CO1046" s="347"/>
      <c r="CP1046" s="347"/>
    </row>
    <row r="1047">
      <c r="A1047" s="574"/>
      <c r="B1047" s="574"/>
      <c r="C1047" s="347"/>
      <c r="D1047" s="574"/>
      <c r="E1047" s="347"/>
      <c r="F1047" s="596"/>
      <c r="G1047" s="596"/>
      <c r="H1047" s="347"/>
      <c r="I1047" s="347"/>
      <c r="J1047" s="596"/>
      <c r="K1047" s="609"/>
      <c r="L1047" s="1"/>
      <c r="M1047" s="347"/>
      <c r="N1047" s="347"/>
      <c r="O1047" s="579"/>
      <c r="P1047" s="579"/>
      <c r="Q1047" s="574"/>
      <c r="R1047" s="347"/>
      <c r="S1047" s="597"/>
      <c r="T1047" s="347"/>
      <c r="U1047" s="579"/>
      <c r="V1047" s="579"/>
      <c r="W1047" s="574"/>
      <c r="X1047" s="347"/>
      <c r="Y1047" s="347"/>
      <c r="Z1047" s="347"/>
      <c r="AA1047" s="579"/>
      <c r="AB1047" s="581"/>
      <c r="AC1047" s="347"/>
      <c r="AD1047" s="347"/>
      <c r="AE1047" s="347"/>
      <c r="AF1047" s="347"/>
      <c r="AG1047" s="579"/>
      <c r="AH1047" s="579"/>
      <c r="AI1047" s="582"/>
      <c r="AJ1047" s="582"/>
      <c r="AK1047" s="582"/>
      <c r="AL1047" s="582"/>
      <c r="AM1047" s="579"/>
      <c r="AN1047" s="579"/>
      <c r="AO1047" s="347"/>
      <c r="AP1047" s="586"/>
      <c r="AQ1047" s="596"/>
      <c r="AR1047" s="596"/>
      <c r="AS1047" s="348"/>
      <c r="AT1047" s="348"/>
      <c r="AU1047" s="348"/>
      <c r="AV1047" s="348"/>
      <c r="AW1047" s="348"/>
      <c r="AX1047" s="584"/>
      <c r="AY1047" s="581"/>
      <c r="AZ1047" s="581"/>
      <c r="BA1047" s="596"/>
      <c r="BB1047" s="596"/>
      <c r="BC1047" s="348"/>
      <c r="BD1047" s="581"/>
      <c r="BE1047" s="581"/>
      <c r="BF1047" s="347"/>
      <c r="BG1047" s="347"/>
      <c r="BH1047" s="347"/>
      <c r="BI1047" s="347"/>
      <c r="BJ1047" s="586"/>
      <c r="BK1047" s="581"/>
      <c r="BL1047" s="347"/>
      <c r="BM1047" s="347"/>
      <c r="BN1047" s="347"/>
      <c r="BO1047" s="586"/>
      <c r="BP1047" s="584"/>
      <c r="BQ1047" s="347"/>
      <c r="BR1047" s="586"/>
      <c r="BS1047" s="588"/>
      <c r="BT1047" s="586"/>
      <c r="BU1047" s="589"/>
      <c r="BV1047" s="581"/>
      <c r="BW1047" s="590"/>
      <c r="BX1047" s="347"/>
      <c r="BY1047" s="347"/>
      <c r="BZ1047" s="347"/>
      <c r="CA1047" s="586"/>
      <c r="CB1047" s="581"/>
      <c r="CC1047" s="581"/>
      <c r="CD1047" s="581"/>
      <c r="CE1047" s="581"/>
      <c r="CF1047" s="581"/>
      <c r="CG1047" s="586"/>
      <c r="CH1047" s="608"/>
      <c r="CI1047" s="603"/>
      <c r="CJ1047" s="347"/>
      <c r="CK1047" s="347"/>
      <c r="CL1047" s="347"/>
      <c r="CM1047" s="347"/>
      <c r="CN1047" s="347"/>
      <c r="CO1047" s="347"/>
      <c r="CP1047" s="347"/>
    </row>
    <row r="1048">
      <c r="A1048" s="574"/>
      <c r="B1048" s="574"/>
      <c r="C1048" s="347"/>
      <c r="D1048" s="574"/>
      <c r="E1048" s="347"/>
      <c r="F1048" s="596"/>
      <c r="G1048" s="596"/>
      <c r="H1048" s="347"/>
      <c r="I1048" s="347"/>
      <c r="J1048" s="596"/>
      <c r="K1048" s="609"/>
      <c r="L1048" s="1"/>
      <c r="M1048" s="347"/>
      <c r="N1048" s="347"/>
      <c r="O1048" s="579"/>
      <c r="P1048" s="579"/>
      <c r="Q1048" s="574"/>
      <c r="R1048" s="347"/>
      <c r="S1048" s="597"/>
      <c r="T1048" s="347"/>
      <c r="U1048" s="579"/>
      <c r="V1048" s="579"/>
      <c r="W1048" s="574"/>
      <c r="X1048" s="347"/>
      <c r="Y1048" s="347"/>
      <c r="Z1048" s="347"/>
      <c r="AA1048" s="579"/>
      <c r="AB1048" s="581"/>
      <c r="AC1048" s="347"/>
      <c r="AD1048" s="347"/>
      <c r="AE1048" s="347"/>
      <c r="AF1048" s="347"/>
      <c r="AG1048" s="579"/>
      <c r="AH1048" s="579"/>
      <c r="AI1048" s="582"/>
      <c r="AJ1048" s="582"/>
      <c r="AK1048" s="582"/>
      <c r="AL1048" s="582"/>
      <c r="AM1048" s="579"/>
      <c r="AN1048" s="579"/>
      <c r="AO1048" s="347"/>
      <c r="AP1048" s="586"/>
      <c r="AQ1048" s="596"/>
      <c r="AR1048" s="596"/>
      <c r="AS1048" s="348"/>
      <c r="AT1048" s="348"/>
      <c r="AU1048" s="348"/>
      <c r="AV1048" s="348"/>
      <c r="AW1048" s="348"/>
      <c r="AX1048" s="584"/>
      <c r="AY1048" s="581"/>
      <c r="AZ1048" s="581"/>
      <c r="BA1048" s="596"/>
      <c r="BB1048" s="596"/>
      <c r="BC1048" s="348"/>
      <c r="BD1048" s="581"/>
      <c r="BE1048" s="581"/>
      <c r="BF1048" s="347"/>
      <c r="BG1048" s="347"/>
      <c r="BH1048" s="347"/>
      <c r="BI1048" s="347"/>
      <c r="BJ1048" s="586"/>
      <c r="BK1048" s="581"/>
      <c r="BL1048" s="347"/>
      <c r="BM1048" s="347"/>
      <c r="BN1048" s="347"/>
      <c r="BO1048" s="586"/>
      <c r="BP1048" s="584"/>
      <c r="BQ1048" s="347"/>
      <c r="BR1048" s="586"/>
      <c r="BS1048" s="588"/>
      <c r="BT1048" s="586"/>
      <c r="BU1048" s="589"/>
      <c r="BV1048" s="581"/>
      <c r="BW1048" s="590"/>
      <c r="BX1048" s="347"/>
      <c r="BY1048" s="347"/>
      <c r="BZ1048" s="347"/>
      <c r="CA1048" s="586"/>
      <c r="CB1048" s="581"/>
      <c r="CC1048" s="581"/>
      <c r="CD1048" s="581"/>
      <c r="CE1048" s="581"/>
      <c r="CF1048" s="581"/>
      <c r="CG1048" s="586"/>
      <c r="CH1048" s="608"/>
      <c r="CI1048" s="603"/>
      <c r="CJ1048" s="347"/>
      <c r="CK1048" s="347"/>
      <c r="CL1048" s="347"/>
      <c r="CM1048" s="347"/>
      <c r="CN1048" s="347"/>
      <c r="CO1048" s="347"/>
      <c r="CP1048" s="347"/>
    </row>
    <row r="1049">
      <c r="A1049" s="574"/>
      <c r="B1049" s="574"/>
      <c r="C1049" s="347"/>
      <c r="D1049" s="574"/>
      <c r="E1049" s="347"/>
      <c r="F1049" s="596"/>
      <c r="G1049" s="596"/>
      <c r="H1049" s="347"/>
      <c r="I1049" s="347"/>
      <c r="J1049" s="596"/>
      <c r="K1049" s="609"/>
      <c r="L1049" s="1"/>
      <c r="M1049" s="347"/>
      <c r="N1049" s="347"/>
      <c r="O1049" s="579"/>
      <c r="P1049" s="579"/>
      <c r="Q1049" s="574"/>
      <c r="R1049" s="347"/>
      <c r="S1049" s="597"/>
      <c r="T1049" s="347"/>
      <c r="U1049" s="579"/>
      <c r="V1049" s="579"/>
      <c r="W1049" s="574"/>
      <c r="X1049" s="347"/>
      <c r="Y1049" s="347"/>
      <c r="Z1049" s="347"/>
      <c r="AA1049" s="579"/>
      <c r="AB1049" s="581"/>
      <c r="AC1049" s="347"/>
      <c r="AD1049" s="347"/>
      <c r="AE1049" s="347"/>
      <c r="AF1049" s="347"/>
      <c r="AG1049" s="579"/>
      <c r="AH1049" s="579"/>
      <c r="AI1049" s="582"/>
      <c r="AJ1049" s="582"/>
      <c r="AK1049" s="582"/>
      <c r="AL1049" s="582"/>
      <c r="AM1049" s="579"/>
      <c r="AN1049" s="579"/>
      <c r="AO1049" s="347"/>
      <c r="AP1049" s="586"/>
      <c r="AQ1049" s="596"/>
      <c r="AR1049" s="596"/>
      <c r="AS1049" s="348"/>
      <c r="AT1049" s="348"/>
      <c r="AU1049" s="348"/>
      <c r="AV1049" s="348"/>
      <c r="AW1049" s="348"/>
      <c r="AX1049" s="584"/>
      <c r="AY1049" s="581"/>
      <c r="AZ1049" s="581"/>
      <c r="BA1049" s="596"/>
      <c r="BB1049" s="596"/>
      <c r="BC1049" s="348"/>
      <c r="BD1049" s="581"/>
      <c r="BE1049" s="581"/>
      <c r="BF1049" s="347"/>
      <c r="BG1049" s="347"/>
      <c r="BH1049" s="347"/>
      <c r="BI1049" s="347"/>
      <c r="BJ1049" s="586"/>
      <c r="BK1049" s="581"/>
      <c r="BL1049" s="347"/>
      <c r="BM1049" s="347"/>
      <c r="BN1049" s="347"/>
      <c r="BO1049" s="586"/>
      <c r="BP1049" s="584"/>
      <c r="BQ1049" s="347"/>
      <c r="BR1049" s="586"/>
      <c r="BS1049" s="588"/>
      <c r="BT1049" s="586"/>
      <c r="BU1049" s="589"/>
      <c r="BV1049" s="581"/>
      <c r="BW1049" s="590"/>
      <c r="BX1049" s="347"/>
      <c r="BY1049" s="347"/>
      <c r="BZ1049" s="347"/>
      <c r="CA1049" s="586"/>
      <c r="CB1049" s="581"/>
      <c r="CC1049" s="581"/>
      <c r="CD1049" s="581"/>
      <c r="CE1049" s="581"/>
      <c r="CF1049" s="581"/>
      <c r="CG1049" s="586"/>
      <c r="CH1049" s="608"/>
      <c r="CI1049" s="603"/>
      <c r="CJ1049" s="347"/>
      <c r="CK1049" s="347"/>
      <c r="CL1049" s="347"/>
      <c r="CM1049" s="347"/>
      <c r="CN1049" s="347"/>
      <c r="CO1049" s="347"/>
      <c r="CP1049" s="347"/>
    </row>
    <row r="1050">
      <c r="A1050" s="574"/>
      <c r="B1050" s="574"/>
      <c r="C1050" s="347"/>
      <c r="D1050" s="574"/>
      <c r="E1050" s="347"/>
      <c r="F1050" s="596"/>
      <c r="G1050" s="596"/>
      <c r="H1050" s="347"/>
      <c r="I1050" s="347"/>
      <c r="J1050" s="596"/>
      <c r="K1050" s="609"/>
      <c r="L1050" s="1"/>
      <c r="M1050" s="347"/>
      <c r="N1050" s="347"/>
      <c r="O1050" s="579"/>
      <c r="P1050" s="579"/>
      <c r="Q1050" s="574"/>
      <c r="R1050" s="347"/>
      <c r="S1050" s="597"/>
      <c r="T1050" s="347"/>
      <c r="U1050" s="579"/>
      <c r="V1050" s="579"/>
      <c r="W1050" s="574"/>
      <c r="X1050" s="347"/>
      <c r="Y1050" s="347"/>
      <c r="Z1050" s="347"/>
      <c r="AA1050" s="579"/>
      <c r="AB1050" s="581"/>
      <c r="AC1050" s="347"/>
      <c r="AD1050" s="347"/>
      <c r="AE1050" s="347"/>
      <c r="AF1050" s="347"/>
      <c r="AG1050" s="579"/>
      <c r="AH1050" s="579"/>
      <c r="AI1050" s="582"/>
      <c r="AJ1050" s="582"/>
      <c r="AK1050" s="582"/>
      <c r="AL1050" s="582"/>
      <c r="AM1050" s="579"/>
      <c r="AN1050" s="579"/>
      <c r="AO1050" s="347"/>
      <c r="AP1050" s="586"/>
      <c r="AQ1050" s="596"/>
      <c r="AR1050" s="596"/>
      <c r="AS1050" s="348"/>
      <c r="AT1050" s="348"/>
      <c r="AU1050" s="348"/>
      <c r="AV1050" s="348"/>
      <c r="AW1050" s="348"/>
      <c r="AX1050" s="584"/>
      <c r="AY1050" s="581"/>
      <c r="AZ1050" s="581"/>
      <c r="BA1050" s="596"/>
      <c r="BB1050" s="596"/>
      <c r="BC1050" s="348"/>
      <c r="BD1050" s="581"/>
      <c r="BE1050" s="581"/>
      <c r="BF1050" s="347"/>
      <c r="BG1050" s="347"/>
      <c r="BH1050" s="347"/>
      <c r="BI1050" s="347"/>
      <c r="BJ1050" s="586"/>
      <c r="BK1050" s="581"/>
      <c r="BL1050" s="347"/>
      <c r="BM1050" s="347"/>
      <c r="BN1050" s="347"/>
      <c r="BO1050" s="586"/>
      <c r="BP1050" s="584"/>
      <c r="BQ1050" s="347"/>
      <c r="BR1050" s="586"/>
      <c r="BS1050" s="588"/>
      <c r="BT1050" s="586"/>
      <c r="BU1050" s="589"/>
      <c r="BV1050" s="581"/>
      <c r="BW1050" s="590"/>
      <c r="BX1050" s="347"/>
      <c r="BY1050" s="347"/>
      <c r="BZ1050" s="347"/>
      <c r="CA1050" s="586"/>
      <c r="CB1050" s="581"/>
      <c r="CC1050" s="581"/>
      <c r="CD1050" s="581"/>
      <c r="CE1050" s="581"/>
      <c r="CF1050" s="581"/>
      <c r="CG1050" s="586"/>
      <c r="CH1050" s="608"/>
      <c r="CI1050" s="603"/>
      <c r="CJ1050" s="347"/>
      <c r="CK1050" s="347"/>
      <c r="CL1050" s="347"/>
      <c r="CM1050" s="347"/>
      <c r="CN1050" s="347"/>
      <c r="CO1050" s="347"/>
      <c r="CP1050" s="347"/>
    </row>
    <row r="1051">
      <c r="A1051" s="574"/>
      <c r="B1051" s="574"/>
      <c r="C1051" s="347"/>
      <c r="D1051" s="574"/>
      <c r="E1051" s="347"/>
      <c r="F1051" s="596"/>
      <c r="G1051" s="596"/>
      <c r="H1051" s="347"/>
      <c r="I1051" s="347"/>
      <c r="J1051" s="596"/>
      <c r="K1051" s="609"/>
      <c r="L1051" s="1"/>
      <c r="M1051" s="347"/>
      <c r="N1051" s="347"/>
      <c r="O1051" s="579"/>
      <c r="P1051" s="579"/>
      <c r="Q1051" s="574"/>
      <c r="R1051" s="347"/>
      <c r="S1051" s="597"/>
      <c r="T1051" s="347"/>
      <c r="U1051" s="579"/>
      <c r="V1051" s="579"/>
      <c r="W1051" s="574"/>
      <c r="X1051" s="347"/>
      <c r="Y1051" s="347"/>
      <c r="Z1051" s="347"/>
      <c r="AA1051" s="579"/>
      <c r="AB1051" s="581"/>
      <c r="AC1051" s="347"/>
      <c r="AD1051" s="347"/>
      <c r="AE1051" s="347"/>
      <c r="AF1051" s="347"/>
      <c r="AG1051" s="579"/>
      <c r="AH1051" s="579"/>
      <c r="AI1051" s="582"/>
      <c r="AJ1051" s="582"/>
      <c r="AK1051" s="582"/>
      <c r="AL1051" s="582"/>
      <c r="AM1051" s="579"/>
      <c r="AN1051" s="579"/>
      <c r="AO1051" s="347"/>
      <c r="AP1051" s="586"/>
      <c r="AQ1051" s="596"/>
      <c r="AR1051" s="596"/>
      <c r="AS1051" s="348"/>
      <c r="AT1051" s="348"/>
      <c r="AU1051" s="348"/>
      <c r="AV1051" s="348"/>
      <c r="AW1051" s="348"/>
      <c r="AX1051" s="584"/>
      <c r="AY1051" s="581"/>
      <c r="AZ1051" s="581"/>
      <c r="BA1051" s="596"/>
      <c r="BB1051" s="596"/>
      <c r="BC1051" s="348"/>
      <c r="BD1051" s="581"/>
      <c r="BE1051" s="581"/>
      <c r="BF1051" s="347"/>
      <c r="BG1051" s="347"/>
      <c r="BH1051" s="347"/>
      <c r="BI1051" s="347"/>
      <c r="BJ1051" s="586"/>
      <c r="BK1051" s="581"/>
      <c r="BL1051" s="347"/>
      <c r="BM1051" s="347"/>
      <c r="BN1051" s="347"/>
      <c r="BO1051" s="586"/>
      <c r="BP1051" s="584"/>
      <c r="BQ1051" s="347"/>
      <c r="BR1051" s="586"/>
      <c r="BS1051" s="588"/>
      <c r="BT1051" s="586"/>
      <c r="BU1051" s="589"/>
      <c r="BV1051" s="581"/>
      <c r="BW1051" s="590"/>
      <c r="BX1051" s="347"/>
      <c r="BY1051" s="347"/>
      <c r="BZ1051" s="347"/>
      <c r="CA1051" s="586"/>
      <c r="CB1051" s="581"/>
      <c r="CC1051" s="581"/>
      <c r="CD1051" s="581"/>
      <c r="CE1051" s="581"/>
      <c r="CF1051" s="581"/>
      <c r="CG1051" s="586"/>
      <c r="CH1051" s="608"/>
      <c r="CI1051" s="603"/>
      <c r="CJ1051" s="347"/>
      <c r="CK1051" s="347"/>
      <c r="CL1051" s="347"/>
      <c r="CM1051" s="347"/>
      <c r="CN1051" s="347"/>
      <c r="CO1051" s="347"/>
      <c r="CP1051" s="347"/>
    </row>
    <row r="1052">
      <c r="A1052" s="574"/>
      <c r="B1052" s="574"/>
      <c r="C1052" s="347"/>
      <c r="D1052" s="574"/>
      <c r="E1052" s="347"/>
      <c r="F1052" s="596"/>
      <c r="G1052" s="596"/>
      <c r="H1052" s="347"/>
      <c r="I1052" s="347"/>
      <c r="J1052" s="596"/>
      <c r="K1052" s="609"/>
      <c r="L1052" s="1"/>
      <c r="M1052" s="347"/>
      <c r="N1052" s="347"/>
      <c r="O1052" s="579"/>
      <c r="P1052" s="579"/>
      <c r="Q1052" s="574"/>
      <c r="R1052" s="347"/>
      <c r="S1052" s="597"/>
      <c r="T1052" s="347"/>
      <c r="U1052" s="579"/>
      <c r="V1052" s="579"/>
      <c r="W1052" s="574"/>
      <c r="X1052" s="347"/>
      <c r="Y1052" s="347"/>
      <c r="Z1052" s="347"/>
      <c r="AA1052" s="579"/>
      <c r="AB1052" s="581"/>
      <c r="AC1052" s="347"/>
      <c r="AD1052" s="347"/>
      <c r="AE1052" s="347"/>
      <c r="AF1052" s="347"/>
      <c r="AG1052" s="579"/>
      <c r="AH1052" s="579"/>
      <c r="AI1052" s="582"/>
      <c r="AJ1052" s="582"/>
      <c r="AK1052" s="582"/>
      <c r="AL1052" s="582"/>
      <c r="AM1052" s="579"/>
      <c r="AN1052" s="579"/>
      <c r="AO1052" s="347"/>
      <c r="AP1052" s="586"/>
      <c r="AQ1052" s="596"/>
      <c r="AR1052" s="596"/>
      <c r="AS1052" s="348"/>
      <c r="AT1052" s="348"/>
      <c r="AU1052" s="348"/>
      <c r="AV1052" s="348"/>
      <c r="AW1052" s="348"/>
      <c r="AX1052" s="584"/>
      <c r="AY1052" s="581"/>
      <c r="AZ1052" s="581"/>
      <c r="BA1052" s="596"/>
      <c r="BB1052" s="596"/>
      <c r="BC1052" s="348"/>
      <c r="BD1052" s="581"/>
      <c r="BE1052" s="581"/>
      <c r="BF1052" s="347"/>
      <c r="BG1052" s="347"/>
      <c r="BH1052" s="347"/>
      <c r="BI1052" s="347"/>
      <c r="BJ1052" s="586"/>
      <c r="BK1052" s="581"/>
      <c r="BL1052" s="347"/>
      <c r="BM1052" s="347"/>
      <c r="BN1052" s="347"/>
      <c r="BO1052" s="586"/>
      <c r="BP1052" s="584"/>
      <c r="BQ1052" s="347"/>
      <c r="BR1052" s="586"/>
      <c r="BS1052" s="588"/>
      <c r="BT1052" s="586"/>
      <c r="BU1052" s="589"/>
      <c r="BV1052" s="581"/>
      <c r="BW1052" s="590"/>
      <c r="BX1052" s="347"/>
      <c r="BY1052" s="347"/>
      <c r="BZ1052" s="347"/>
      <c r="CA1052" s="586"/>
      <c r="CB1052" s="581"/>
      <c r="CC1052" s="581"/>
      <c r="CD1052" s="581"/>
      <c r="CE1052" s="581"/>
      <c r="CF1052" s="581"/>
      <c r="CG1052" s="586"/>
      <c r="CH1052" s="608"/>
      <c r="CI1052" s="603"/>
      <c r="CJ1052" s="347"/>
      <c r="CK1052" s="347"/>
      <c r="CL1052" s="347"/>
      <c r="CM1052" s="347"/>
      <c r="CN1052" s="347"/>
      <c r="CO1052" s="347"/>
      <c r="CP1052" s="347"/>
    </row>
    <row r="1053">
      <c r="A1053" s="574"/>
      <c r="B1053" s="574"/>
      <c r="C1053" s="347"/>
      <c r="D1053" s="574"/>
      <c r="E1053" s="347"/>
      <c r="F1053" s="596"/>
      <c r="G1053" s="596"/>
      <c r="H1053" s="347"/>
      <c r="I1053" s="347"/>
      <c r="J1053" s="596"/>
      <c r="K1053" s="609"/>
      <c r="L1053" s="1"/>
      <c r="M1053" s="347"/>
      <c r="N1053" s="347"/>
      <c r="O1053" s="579"/>
      <c r="P1053" s="579"/>
      <c r="Q1053" s="574"/>
      <c r="R1053" s="347"/>
      <c r="S1053" s="597"/>
      <c r="T1053" s="347"/>
      <c r="U1053" s="579"/>
      <c r="V1053" s="579"/>
      <c r="W1053" s="574"/>
      <c r="X1053" s="347"/>
      <c r="Y1053" s="347"/>
      <c r="Z1053" s="347"/>
      <c r="AA1053" s="579"/>
      <c r="AB1053" s="581"/>
      <c r="AC1053" s="347"/>
      <c r="AD1053" s="347"/>
      <c r="AE1053" s="347"/>
      <c r="AF1053" s="347"/>
      <c r="AG1053" s="579"/>
      <c r="AH1053" s="579"/>
      <c r="AI1053" s="582"/>
      <c r="AJ1053" s="582"/>
      <c r="AK1053" s="582"/>
      <c r="AL1053" s="582"/>
      <c r="AM1053" s="579"/>
      <c r="AN1053" s="579"/>
      <c r="AO1053" s="347"/>
      <c r="AP1053" s="586"/>
      <c r="AQ1053" s="596"/>
      <c r="AR1053" s="596"/>
      <c r="AS1053" s="348"/>
      <c r="AT1053" s="348"/>
      <c r="AU1053" s="348"/>
      <c r="AV1053" s="348"/>
      <c r="AW1053" s="348"/>
      <c r="AX1053" s="584"/>
      <c r="AY1053" s="581"/>
      <c r="AZ1053" s="581"/>
      <c r="BA1053" s="596"/>
      <c r="BB1053" s="596"/>
      <c r="BC1053" s="348"/>
      <c r="BD1053" s="581"/>
      <c r="BE1053" s="581"/>
      <c r="BF1053" s="347"/>
      <c r="BG1053" s="347"/>
      <c r="BH1053" s="347"/>
      <c r="BI1053" s="347"/>
      <c r="BJ1053" s="586"/>
      <c r="BK1053" s="581"/>
      <c r="BL1053" s="347"/>
      <c r="BM1053" s="347"/>
      <c r="BN1053" s="347"/>
      <c r="BO1053" s="586"/>
      <c r="BP1053" s="584"/>
      <c r="BQ1053" s="347"/>
      <c r="BR1053" s="586"/>
      <c r="BS1053" s="588"/>
      <c r="BT1053" s="586"/>
      <c r="BU1053" s="589"/>
      <c r="BV1053" s="581"/>
      <c r="BW1053" s="590"/>
      <c r="BX1053" s="347"/>
      <c r="BY1053" s="347"/>
      <c r="BZ1053" s="347"/>
      <c r="CA1053" s="586"/>
      <c r="CB1053" s="581"/>
      <c r="CC1053" s="581"/>
      <c r="CD1053" s="581"/>
      <c r="CE1053" s="581"/>
      <c r="CF1053" s="581"/>
      <c r="CG1053" s="586"/>
      <c r="CH1053" s="608"/>
      <c r="CI1053" s="603"/>
      <c r="CJ1053" s="347"/>
      <c r="CK1053" s="347"/>
      <c r="CL1053" s="347"/>
      <c r="CM1053" s="347"/>
      <c r="CN1053" s="347"/>
      <c r="CO1053" s="347"/>
      <c r="CP1053" s="347"/>
    </row>
    <row r="1054">
      <c r="A1054" s="574"/>
      <c r="B1054" s="574"/>
      <c r="C1054" s="347"/>
      <c r="D1054" s="574"/>
      <c r="E1054" s="347"/>
      <c r="F1054" s="596"/>
      <c r="G1054" s="596"/>
      <c r="H1054" s="347"/>
      <c r="I1054" s="347"/>
      <c r="J1054" s="596"/>
      <c r="K1054" s="609"/>
      <c r="L1054" s="1"/>
      <c r="M1054" s="347"/>
      <c r="N1054" s="347"/>
      <c r="O1054" s="579"/>
      <c r="P1054" s="579"/>
      <c r="Q1054" s="574"/>
      <c r="R1054" s="347"/>
      <c r="S1054" s="597"/>
      <c r="T1054" s="347"/>
      <c r="U1054" s="579"/>
      <c r="V1054" s="579"/>
      <c r="W1054" s="574"/>
      <c r="X1054" s="347"/>
      <c r="Y1054" s="347"/>
      <c r="Z1054" s="347"/>
      <c r="AA1054" s="579"/>
      <c r="AB1054" s="581"/>
      <c r="AC1054" s="347"/>
      <c r="AD1054" s="347"/>
      <c r="AE1054" s="347"/>
      <c r="AF1054" s="347"/>
      <c r="AG1054" s="579"/>
      <c r="AH1054" s="579"/>
      <c r="AI1054" s="582"/>
      <c r="AJ1054" s="582"/>
      <c r="AK1054" s="582"/>
      <c r="AL1054" s="582"/>
      <c r="AM1054" s="579"/>
      <c r="AN1054" s="579"/>
      <c r="AO1054" s="347"/>
      <c r="AP1054" s="586"/>
      <c r="AQ1054" s="596"/>
      <c r="AR1054" s="596"/>
      <c r="AS1054" s="348"/>
      <c r="AT1054" s="348"/>
      <c r="AU1054" s="348"/>
      <c r="AV1054" s="348"/>
      <c r="AW1054" s="348"/>
      <c r="AX1054" s="584"/>
      <c r="AY1054" s="581"/>
      <c r="AZ1054" s="581"/>
      <c r="BA1054" s="596"/>
      <c r="BB1054" s="596"/>
      <c r="BC1054" s="348"/>
      <c r="BD1054" s="581"/>
      <c r="BE1054" s="581"/>
      <c r="BF1054" s="347"/>
      <c r="BG1054" s="347"/>
      <c r="BH1054" s="347"/>
      <c r="BI1054" s="347"/>
      <c r="BJ1054" s="586"/>
      <c r="BK1054" s="581"/>
      <c r="BL1054" s="347"/>
      <c r="BM1054" s="347"/>
      <c r="BN1054" s="347"/>
      <c r="BO1054" s="586"/>
      <c r="BP1054" s="584"/>
      <c r="BQ1054" s="347"/>
      <c r="BR1054" s="586"/>
      <c r="BS1054" s="588"/>
      <c r="BT1054" s="586"/>
      <c r="BU1054" s="589"/>
      <c r="BV1054" s="581"/>
      <c r="BW1054" s="590"/>
      <c r="BX1054" s="347"/>
      <c r="BY1054" s="347"/>
      <c r="BZ1054" s="347"/>
      <c r="CA1054" s="586"/>
      <c r="CB1054" s="581"/>
      <c r="CC1054" s="581"/>
      <c r="CD1054" s="581"/>
      <c r="CE1054" s="581"/>
      <c r="CF1054" s="581"/>
      <c r="CG1054" s="586"/>
      <c r="CH1054" s="608"/>
      <c r="CI1054" s="603"/>
      <c r="CJ1054" s="347"/>
      <c r="CK1054" s="347"/>
      <c r="CL1054" s="347"/>
      <c r="CM1054" s="347"/>
      <c r="CN1054" s="347"/>
      <c r="CO1054" s="347"/>
      <c r="CP1054" s="347"/>
    </row>
    <row r="1055">
      <c r="A1055" s="574"/>
      <c r="B1055" s="574"/>
      <c r="C1055" s="347"/>
      <c r="D1055" s="574"/>
      <c r="E1055" s="347"/>
      <c r="F1055" s="596"/>
      <c r="G1055" s="596"/>
      <c r="H1055" s="347"/>
      <c r="I1055" s="347"/>
      <c r="J1055" s="596"/>
      <c r="K1055" s="609"/>
      <c r="L1055" s="1"/>
      <c r="M1055" s="347"/>
      <c r="N1055" s="347"/>
      <c r="O1055" s="579"/>
      <c r="P1055" s="579"/>
      <c r="Q1055" s="574"/>
      <c r="R1055" s="347"/>
      <c r="S1055" s="597"/>
      <c r="T1055" s="347"/>
      <c r="U1055" s="579"/>
      <c r="V1055" s="579"/>
      <c r="W1055" s="574"/>
      <c r="X1055" s="347"/>
      <c r="Y1055" s="347"/>
      <c r="Z1055" s="347"/>
      <c r="AA1055" s="579"/>
      <c r="AB1055" s="581"/>
      <c r="AC1055" s="347"/>
      <c r="AD1055" s="347"/>
      <c r="AE1055" s="347"/>
      <c r="AF1055" s="347"/>
      <c r="AG1055" s="579"/>
      <c r="AH1055" s="579"/>
      <c r="AI1055" s="582"/>
      <c r="AJ1055" s="582"/>
      <c r="AK1055" s="582"/>
      <c r="AL1055" s="582"/>
      <c r="AM1055" s="579"/>
      <c r="AN1055" s="579"/>
      <c r="AO1055" s="347"/>
      <c r="AP1055" s="586"/>
      <c r="AQ1055" s="596"/>
      <c r="AR1055" s="596"/>
      <c r="AS1055" s="348"/>
      <c r="AT1055" s="348"/>
      <c r="AU1055" s="348"/>
      <c r="AV1055" s="348"/>
      <c r="AW1055" s="348"/>
      <c r="AX1055" s="584"/>
      <c r="AY1055" s="581"/>
      <c r="AZ1055" s="581"/>
      <c r="BA1055" s="596"/>
      <c r="BB1055" s="596"/>
      <c r="BC1055" s="348"/>
      <c r="BD1055" s="581"/>
      <c r="BE1055" s="581"/>
      <c r="BF1055" s="347"/>
      <c r="BG1055" s="347"/>
      <c r="BH1055" s="347"/>
      <c r="BI1055" s="347"/>
      <c r="BJ1055" s="586"/>
      <c r="BK1055" s="581"/>
      <c r="BL1055" s="347"/>
      <c r="BM1055" s="347"/>
      <c r="BN1055" s="347"/>
      <c r="BO1055" s="586"/>
      <c r="BP1055" s="584"/>
      <c r="BQ1055" s="347"/>
      <c r="BR1055" s="586"/>
      <c r="BS1055" s="588"/>
      <c r="BT1055" s="586"/>
      <c r="BU1055" s="589"/>
      <c r="BV1055" s="581"/>
      <c r="BW1055" s="590"/>
      <c r="BX1055" s="347"/>
      <c r="BY1055" s="347"/>
      <c r="BZ1055" s="347"/>
      <c r="CA1055" s="586"/>
      <c r="CB1055" s="581"/>
      <c r="CC1055" s="581"/>
      <c r="CD1055" s="581"/>
      <c r="CE1055" s="581"/>
      <c r="CF1055" s="581"/>
      <c r="CG1055" s="586"/>
      <c r="CH1055" s="608"/>
      <c r="CI1055" s="603"/>
      <c r="CJ1055" s="347"/>
      <c r="CK1055" s="347"/>
      <c r="CL1055" s="347"/>
      <c r="CM1055" s="347"/>
      <c r="CN1055" s="347"/>
      <c r="CO1055" s="347"/>
      <c r="CP1055" s="347"/>
    </row>
    <row r="1056">
      <c r="A1056" s="574"/>
      <c r="B1056" s="574"/>
      <c r="C1056" s="347"/>
      <c r="D1056" s="574"/>
      <c r="E1056" s="347"/>
      <c r="F1056" s="596"/>
      <c r="G1056" s="596"/>
      <c r="H1056" s="347"/>
      <c r="I1056" s="347"/>
      <c r="J1056" s="596"/>
      <c r="K1056" s="609"/>
      <c r="L1056" s="1"/>
      <c r="M1056" s="347"/>
      <c r="N1056" s="347"/>
      <c r="O1056" s="579"/>
      <c r="P1056" s="579"/>
      <c r="Q1056" s="574"/>
      <c r="R1056" s="347"/>
      <c r="S1056" s="597"/>
      <c r="T1056" s="347"/>
      <c r="U1056" s="579"/>
      <c r="V1056" s="579"/>
      <c r="W1056" s="574"/>
      <c r="X1056" s="347"/>
      <c r="Y1056" s="347"/>
      <c r="Z1056" s="347"/>
      <c r="AA1056" s="579"/>
      <c r="AB1056" s="581"/>
      <c r="AC1056" s="347"/>
      <c r="AD1056" s="347"/>
      <c r="AE1056" s="347"/>
      <c r="AF1056" s="347"/>
      <c r="AG1056" s="579"/>
      <c r="AH1056" s="579"/>
      <c r="AI1056" s="582"/>
      <c r="AJ1056" s="582"/>
      <c r="AK1056" s="582"/>
      <c r="AL1056" s="582"/>
      <c r="AM1056" s="579"/>
      <c r="AN1056" s="579"/>
      <c r="AO1056" s="347"/>
      <c r="AP1056" s="586"/>
      <c r="AQ1056" s="596"/>
      <c r="AR1056" s="596"/>
      <c r="AS1056" s="348"/>
      <c r="AT1056" s="348"/>
      <c r="AU1056" s="348"/>
      <c r="AV1056" s="348"/>
      <c r="AW1056" s="348"/>
      <c r="AX1056" s="584"/>
      <c r="AY1056" s="581"/>
      <c r="AZ1056" s="581"/>
      <c r="BA1056" s="596"/>
      <c r="BB1056" s="596"/>
      <c r="BC1056" s="348"/>
      <c r="BD1056" s="581"/>
      <c r="BE1056" s="581"/>
      <c r="BF1056" s="347"/>
      <c r="BG1056" s="347"/>
      <c r="BH1056" s="347"/>
      <c r="BI1056" s="347"/>
      <c r="BJ1056" s="586"/>
      <c r="BK1056" s="581"/>
      <c r="BL1056" s="347"/>
      <c r="BM1056" s="347"/>
      <c r="BN1056" s="347"/>
      <c r="BO1056" s="586"/>
      <c r="BP1056" s="584"/>
      <c r="BQ1056" s="347"/>
      <c r="BR1056" s="586"/>
      <c r="BS1056" s="588"/>
      <c r="BT1056" s="586"/>
      <c r="BU1056" s="589"/>
      <c r="BV1056" s="581"/>
      <c r="BW1056" s="590"/>
      <c r="BX1056" s="347"/>
      <c r="BY1056" s="347"/>
      <c r="BZ1056" s="347"/>
      <c r="CA1056" s="586"/>
      <c r="CB1056" s="581"/>
      <c r="CC1056" s="581"/>
      <c r="CD1056" s="581"/>
      <c r="CE1056" s="581"/>
      <c r="CF1056" s="581"/>
      <c r="CG1056" s="586"/>
      <c r="CH1056" s="608"/>
      <c r="CI1056" s="603"/>
      <c r="CJ1056" s="347"/>
      <c r="CK1056" s="347"/>
      <c r="CL1056" s="347"/>
      <c r="CM1056" s="347"/>
      <c r="CN1056" s="347"/>
      <c r="CO1056" s="347"/>
      <c r="CP1056" s="347"/>
    </row>
    <row r="1057">
      <c r="A1057" s="574"/>
      <c r="B1057" s="574"/>
      <c r="C1057" s="347"/>
      <c r="D1057" s="574"/>
      <c r="E1057" s="347"/>
      <c r="F1057" s="596"/>
      <c r="G1057" s="596"/>
      <c r="H1057" s="347"/>
      <c r="I1057" s="347"/>
      <c r="J1057" s="596"/>
      <c r="K1057" s="609"/>
      <c r="L1057" s="1"/>
      <c r="M1057" s="347"/>
      <c r="N1057" s="347"/>
      <c r="O1057" s="579"/>
      <c r="P1057" s="579"/>
      <c r="Q1057" s="574"/>
      <c r="R1057" s="347"/>
      <c r="S1057" s="597"/>
      <c r="T1057" s="347"/>
      <c r="U1057" s="579"/>
      <c r="V1057" s="579"/>
      <c r="W1057" s="574"/>
      <c r="X1057" s="347"/>
      <c r="Y1057" s="347"/>
      <c r="Z1057" s="347"/>
      <c r="AA1057" s="579"/>
      <c r="AB1057" s="581"/>
      <c r="AC1057" s="347"/>
      <c r="AD1057" s="347"/>
      <c r="AE1057" s="347"/>
      <c r="AF1057" s="347"/>
      <c r="AG1057" s="579"/>
      <c r="AH1057" s="579"/>
      <c r="AI1057" s="582"/>
      <c r="AJ1057" s="582"/>
      <c r="AK1057" s="582"/>
      <c r="AL1057" s="582"/>
      <c r="AM1057" s="579"/>
      <c r="AN1057" s="579"/>
      <c r="AO1057" s="347"/>
      <c r="AP1057" s="586"/>
      <c r="AQ1057" s="596"/>
      <c r="AR1057" s="596"/>
      <c r="AS1057" s="348"/>
      <c r="AT1057" s="348"/>
      <c r="AU1057" s="348"/>
      <c r="AV1057" s="348"/>
      <c r="AW1057" s="348"/>
      <c r="AX1057" s="584"/>
      <c r="AY1057" s="581"/>
      <c r="AZ1057" s="581"/>
      <c r="BA1057" s="596"/>
      <c r="BB1057" s="596"/>
      <c r="BC1057" s="348"/>
      <c r="BD1057" s="581"/>
      <c r="BE1057" s="581"/>
      <c r="BF1057" s="347"/>
      <c r="BG1057" s="347"/>
      <c r="BH1057" s="347"/>
      <c r="BI1057" s="347"/>
      <c r="BJ1057" s="586"/>
      <c r="BK1057" s="581"/>
      <c r="BL1057" s="347"/>
      <c r="BM1057" s="347"/>
      <c r="BN1057" s="347"/>
      <c r="BO1057" s="586"/>
      <c r="BP1057" s="584"/>
      <c r="BQ1057" s="347"/>
      <c r="BR1057" s="586"/>
      <c r="BS1057" s="588"/>
      <c r="BT1057" s="586"/>
      <c r="BU1057" s="589"/>
      <c r="BV1057" s="581"/>
      <c r="BW1057" s="590"/>
      <c r="BX1057" s="347"/>
      <c r="BY1057" s="347"/>
      <c r="BZ1057" s="347"/>
      <c r="CA1057" s="586"/>
      <c r="CB1057" s="581"/>
      <c r="CC1057" s="581"/>
      <c r="CD1057" s="581"/>
      <c r="CE1057" s="581"/>
      <c r="CF1057" s="581"/>
      <c r="CG1057" s="586"/>
      <c r="CH1057" s="608"/>
      <c r="CI1057" s="603"/>
      <c r="CJ1057" s="347"/>
      <c r="CK1057" s="347"/>
      <c r="CL1057" s="347"/>
      <c r="CM1057" s="347"/>
      <c r="CN1057" s="347"/>
      <c r="CO1057" s="347"/>
      <c r="CP1057" s="347"/>
    </row>
    <row r="1058">
      <c r="A1058" s="574"/>
      <c r="B1058" s="574"/>
      <c r="C1058" s="347"/>
      <c r="D1058" s="574"/>
      <c r="E1058" s="347"/>
      <c r="F1058" s="596"/>
      <c r="G1058" s="596"/>
      <c r="H1058" s="347"/>
      <c r="I1058" s="347"/>
      <c r="J1058" s="596"/>
      <c r="K1058" s="609"/>
      <c r="L1058" s="1"/>
      <c r="M1058" s="347"/>
      <c r="N1058" s="347"/>
      <c r="O1058" s="579"/>
      <c r="P1058" s="579"/>
      <c r="Q1058" s="574"/>
      <c r="R1058" s="347"/>
      <c r="S1058" s="597"/>
      <c r="T1058" s="347"/>
      <c r="U1058" s="579"/>
      <c r="V1058" s="579"/>
      <c r="W1058" s="574"/>
      <c r="X1058" s="347"/>
      <c r="Y1058" s="347"/>
      <c r="Z1058" s="347"/>
      <c r="AA1058" s="579"/>
      <c r="AB1058" s="581"/>
      <c r="AC1058" s="347"/>
      <c r="AD1058" s="347"/>
      <c r="AE1058" s="347"/>
      <c r="AF1058" s="347"/>
      <c r="AG1058" s="579"/>
      <c r="AH1058" s="579"/>
      <c r="AI1058" s="582"/>
      <c r="AJ1058" s="582"/>
      <c r="AK1058" s="582"/>
      <c r="AL1058" s="582"/>
      <c r="AM1058" s="579"/>
      <c r="AN1058" s="579"/>
      <c r="AO1058" s="347"/>
      <c r="AP1058" s="586"/>
      <c r="AQ1058" s="596"/>
      <c r="AR1058" s="596"/>
      <c r="AS1058" s="348"/>
      <c r="AT1058" s="348"/>
      <c r="AU1058" s="348"/>
      <c r="AV1058" s="348"/>
      <c r="AW1058" s="348"/>
      <c r="AX1058" s="584"/>
      <c r="AY1058" s="581"/>
      <c r="AZ1058" s="581"/>
      <c r="BA1058" s="596"/>
      <c r="BB1058" s="596"/>
      <c r="BC1058" s="348"/>
      <c r="BD1058" s="581"/>
      <c r="BE1058" s="581"/>
      <c r="BF1058" s="347"/>
      <c r="BG1058" s="347"/>
      <c r="BH1058" s="347"/>
      <c r="BI1058" s="347"/>
      <c r="BJ1058" s="586"/>
      <c r="BK1058" s="581"/>
      <c r="BL1058" s="347"/>
      <c r="BM1058" s="347"/>
      <c r="BN1058" s="347"/>
      <c r="BO1058" s="586"/>
      <c r="BP1058" s="584"/>
      <c r="BQ1058" s="347"/>
      <c r="BR1058" s="586"/>
      <c r="BS1058" s="588"/>
      <c r="BT1058" s="586"/>
      <c r="BU1058" s="589"/>
      <c r="BV1058" s="581"/>
      <c r="BW1058" s="590"/>
      <c r="BX1058" s="347"/>
      <c r="BY1058" s="347"/>
      <c r="BZ1058" s="347"/>
      <c r="CA1058" s="586"/>
      <c r="CB1058" s="581"/>
      <c r="CC1058" s="581"/>
      <c r="CD1058" s="581"/>
      <c r="CE1058" s="581"/>
      <c r="CF1058" s="581"/>
      <c r="CG1058" s="586"/>
      <c r="CH1058" s="608"/>
      <c r="CI1058" s="603"/>
      <c r="CJ1058" s="347"/>
      <c r="CK1058" s="347"/>
      <c r="CL1058" s="347"/>
      <c r="CM1058" s="347"/>
      <c r="CN1058" s="347"/>
      <c r="CO1058" s="347"/>
      <c r="CP1058" s="347"/>
    </row>
    <row r="1059">
      <c r="A1059" s="574"/>
      <c r="B1059" s="574"/>
      <c r="C1059" s="347"/>
      <c r="D1059" s="574"/>
      <c r="E1059" s="347"/>
      <c r="F1059" s="596"/>
      <c r="G1059" s="596"/>
      <c r="H1059" s="347"/>
      <c r="I1059" s="347"/>
      <c r="J1059" s="596"/>
      <c r="K1059" s="609"/>
      <c r="L1059" s="1"/>
      <c r="M1059" s="347"/>
      <c r="N1059" s="347"/>
      <c r="O1059" s="579"/>
      <c r="P1059" s="579"/>
      <c r="Q1059" s="574"/>
      <c r="R1059" s="347"/>
      <c r="S1059" s="597"/>
      <c r="T1059" s="347"/>
      <c r="U1059" s="579"/>
      <c r="V1059" s="579"/>
      <c r="W1059" s="574"/>
      <c r="X1059" s="347"/>
      <c r="Y1059" s="347"/>
      <c r="Z1059" s="347"/>
      <c r="AA1059" s="579"/>
      <c r="AB1059" s="581"/>
      <c r="AC1059" s="347"/>
      <c r="AD1059" s="347"/>
      <c r="AE1059" s="347"/>
      <c r="AF1059" s="347"/>
      <c r="AG1059" s="579"/>
      <c r="AH1059" s="579"/>
      <c r="AI1059" s="582"/>
      <c r="AJ1059" s="582"/>
      <c r="AK1059" s="582"/>
      <c r="AL1059" s="582"/>
      <c r="AM1059" s="579"/>
      <c r="AN1059" s="579"/>
      <c r="AO1059" s="347"/>
      <c r="AP1059" s="586"/>
      <c r="AQ1059" s="596"/>
      <c r="AR1059" s="596"/>
      <c r="AS1059" s="348"/>
      <c r="AT1059" s="348"/>
      <c r="AU1059" s="348"/>
      <c r="AV1059" s="348"/>
      <c r="AW1059" s="348"/>
      <c r="AX1059" s="584"/>
      <c r="AY1059" s="581"/>
      <c r="AZ1059" s="581"/>
      <c r="BA1059" s="596"/>
      <c r="BB1059" s="596"/>
      <c r="BC1059" s="348"/>
      <c r="BD1059" s="581"/>
      <c r="BE1059" s="581"/>
      <c r="BF1059" s="347"/>
      <c r="BG1059" s="347"/>
      <c r="BH1059" s="347"/>
      <c r="BI1059" s="347"/>
      <c r="BJ1059" s="586"/>
      <c r="BK1059" s="581"/>
      <c r="BL1059" s="347"/>
      <c r="BM1059" s="347"/>
      <c r="BN1059" s="347"/>
      <c r="BO1059" s="586"/>
      <c r="BP1059" s="584"/>
      <c r="BQ1059" s="347"/>
      <c r="BR1059" s="586"/>
      <c r="BS1059" s="588"/>
      <c r="BT1059" s="586"/>
      <c r="BU1059" s="589"/>
      <c r="BV1059" s="581"/>
      <c r="BW1059" s="590"/>
      <c r="BX1059" s="347"/>
      <c r="BY1059" s="347"/>
      <c r="BZ1059" s="347"/>
      <c r="CA1059" s="586"/>
      <c r="CB1059" s="581"/>
      <c r="CC1059" s="581"/>
      <c r="CD1059" s="581"/>
      <c r="CE1059" s="581"/>
      <c r="CF1059" s="581"/>
      <c r="CG1059" s="586"/>
      <c r="CH1059" s="608"/>
      <c r="CI1059" s="603"/>
      <c r="CJ1059" s="347"/>
      <c r="CK1059" s="347"/>
      <c r="CL1059" s="347"/>
      <c r="CM1059" s="347"/>
      <c r="CN1059" s="347"/>
      <c r="CO1059" s="347"/>
      <c r="CP1059" s="347"/>
    </row>
    <row r="1060">
      <c r="A1060" s="574"/>
      <c r="B1060" s="574"/>
      <c r="C1060" s="347"/>
      <c r="D1060" s="574"/>
      <c r="E1060" s="347"/>
      <c r="F1060" s="596"/>
      <c r="G1060" s="596"/>
      <c r="H1060" s="347"/>
      <c r="I1060" s="347"/>
      <c r="J1060" s="596"/>
      <c r="K1060" s="609"/>
      <c r="L1060" s="1"/>
      <c r="M1060" s="347"/>
      <c r="N1060" s="347"/>
      <c r="O1060" s="579"/>
      <c r="P1060" s="579"/>
      <c r="Q1060" s="574"/>
      <c r="R1060" s="347"/>
      <c r="S1060" s="597"/>
      <c r="T1060" s="347"/>
      <c r="U1060" s="579"/>
      <c r="V1060" s="579"/>
      <c r="W1060" s="574"/>
      <c r="X1060" s="347"/>
      <c r="Y1060" s="347"/>
      <c r="Z1060" s="347"/>
      <c r="AA1060" s="579"/>
      <c r="AB1060" s="581"/>
      <c r="AC1060" s="347"/>
      <c r="AD1060" s="347"/>
      <c r="AE1060" s="347"/>
      <c r="AF1060" s="347"/>
      <c r="AG1060" s="579"/>
      <c r="AH1060" s="579"/>
      <c r="AI1060" s="582"/>
      <c r="AJ1060" s="582"/>
      <c r="AK1060" s="582"/>
      <c r="AL1060" s="582"/>
      <c r="AM1060" s="579"/>
      <c r="AN1060" s="579"/>
      <c r="AO1060" s="347"/>
      <c r="AP1060" s="586"/>
      <c r="AQ1060" s="596"/>
      <c r="AR1060" s="596"/>
      <c r="AS1060" s="348"/>
      <c r="AT1060" s="348"/>
      <c r="AU1060" s="348"/>
      <c r="AV1060" s="348"/>
      <c r="AW1060" s="348"/>
      <c r="AX1060" s="584"/>
      <c r="AY1060" s="581"/>
      <c r="AZ1060" s="581"/>
      <c r="BA1060" s="596"/>
      <c r="BB1060" s="596"/>
      <c r="BC1060" s="348"/>
      <c r="BD1060" s="581"/>
      <c r="BE1060" s="581"/>
      <c r="BF1060" s="347"/>
      <c r="BG1060" s="347"/>
      <c r="BH1060" s="347"/>
      <c r="BI1060" s="347"/>
      <c r="BJ1060" s="586"/>
      <c r="BK1060" s="581"/>
      <c r="BL1060" s="347"/>
      <c r="BM1060" s="347"/>
      <c r="BN1060" s="347"/>
      <c r="BO1060" s="586"/>
      <c r="BP1060" s="584"/>
      <c r="BQ1060" s="347"/>
      <c r="BR1060" s="586"/>
      <c r="BS1060" s="588"/>
      <c r="BT1060" s="586"/>
      <c r="BU1060" s="589"/>
      <c r="BV1060" s="581"/>
      <c r="BW1060" s="590"/>
      <c r="BX1060" s="347"/>
      <c r="BY1060" s="347"/>
      <c r="BZ1060" s="347"/>
      <c r="CA1060" s="586"/>
      <c r="CB1060" s="581"/>
      <c r="CC1060" s="581"/>
      <c r="CD1060" s="581"/>
      <c r="CE1060" s="581"/>
      <c r="CF1060" s="581"/>
      <c r="CG1060" s="586"/>
      <c r="CH1060" s="608"/>
      <c r="CI1060" s="603"/>
      <c r="CJ1060" s="347"/>
      <c r="CK1060" s="347"/>
      <c r="CL1060" s="347"/>
      <c r="CM1060" s="347"/>
      <c r="CN1060" s="347"/>
      <c r="CO1060" s="347"/>
      <c r="CP1060" s="347"/>
    </row>
    <row r="1061">
      <c r="A1061" s="574"/>
      <c r="B1061" s="574"/>
      <c r="C1061" s="347"/>
      <c r="D1061" s="574"/>
      <c r="E1061" s="347"/>
      <c r="F1061" s="596"/>
      <c r="G1061" s="596"/>
      <c r="H1061" s="347"/>
      <c r="I1061" s="347"/>
      <c r="J1061" s="596"/>
      <c r="K1061" s="609"/>
      <c r="L1061" s="1"/>
      <c r="M1061" s="347"/>
      <c r="N1061" s="347"/>
      <c r="O1061" s="579"/>
      <c r="P1061" s="579"/>
      <c r="Q1061" s="574"/>
      <c r="R1061" s="347"/>
      <c r="S1061" s="597"/>
      <c r="T1061" s="347"/>
      <c r="U1061" s="579"/>
      <c r="V1061" s="579"/>
      <c r="W1061" s="574"/>
      <c r="X1061" s="347"/>
      <c r="Y1061" s="347"/>
      <c r="Z1061" s="347"/>
      <c r="AA1061" s="579"/>
      <c r="AB1061" s="581"/>
      <c r="AC1061" s="347"/>
      <c r="AD1061" s="347"/>
      <c r="AE1061" s="347"/>
      <c r="AF1061" s="347"/>
      <c r="AG1061" s="579"/>
      <c r="AH1061" s="579"/>
      <c r="AI1061" s="582"/>
      <c r="AJ1061" s="582"/>
      <c r="AK1061" s="582"/>
      <c r="AL1061" s="582"/>
      <c r="AM1061" s="579"/>
      <c r="AN1061" s="579"/>
      <c r="AO1061" s="347"/>
      <c r="AP1061" s="586"/>
      <c r="AQ1061" s="596"/>
      <c r="AR1061" s="596"/>
      <c r="AS1061" s="348"/>
      <c r="AT1061" s="348"/>
      <c r="AU1061" s="348"/>
      <c r="AV1061" s="348"/>
      <c r="AW1061" s="348"/>
      <c r="AX1061" s="584"/>
      <c r="AY1061" s="581"/>
      <c r="AZ1061" s="581"/>
      <c r="BA1061" s="596"/>
      <c r="BB1061" s="596"/>
      <c r="BC1061" s="348"/>
      <c r="BD1061" s="581"/>
      <c r="BE1061" s="581"/>
      <c r="BF1061" s="347"/>
      <c r="BG1061" s="347"/>
      <c r="BH1061" s="347"/>
      <c r="BI1061" s="347"/>
      <c r="BJ1061" s="586"/>
      <c r="BK1061" s="581"/>
      <c r="BL1061" s="347"/>
      <c r="BM1061" s="347"/>
      <c r="BN1061" s="347"/>
      <c r="BO1061" s="586"/>
      <c r="BP1061" s="584"/>
      <c r="BQ1061" s="347"/>
      <c r="BR1061" s="586"/>
      <c r="BS1061" s="588"/>
      <c r="BT1061" s="586"/>
      <c r="BU1061" s="589"/>
      <c r="BV1061" s="581"/>
      <c r="BW1061" s="590"/>
      <c r="BX1061" s="347"/>
      <c r="BY1061" s="347"/>
      <c r="BZ1061" s="347"/>
      <c r="CA1061" s="586"/>
      <c r="CB1061" s="581"/>
      <c r="CC1061" s="581"/>
      <c r="CD1061" s="581"/>
      <c r="CE1061" s="581"/>
      <c r="CF1061" s="581"/>
      <c r="CG1061" s="586"/>
      <c r="CH1061" s="608"/>
      <c r="CI1061" s="603"/>
      <c r="CJ1061" s="347"/>
      <c r="CK1061" s="347"/>
      <c r="CL1061" s="347"/>
      <c r="CM1061" s="347"/>
      <c r="CN1061" s="347"/>
      <c r="CO1061" s="347"/>
      <c r="CP1061" s="347"/>
    </row>
    <row r="1062">
      <c r="A1062" s="574"/>
      <c r="B1062" s="574"/>
      <c r="C1062" s="347"/>
      <c r="D1062" s="574"/>
      <c r="E1062" s="347"/>
      <c r="F1062" s="596"/>
      <c r="G1062" s="596"/>
      <c r="H1062" s="347"/>
      <c r="I1062" s="347"/>
      <c r="J1062" s="596"/>
      <c r="K1062" s="609"/>
      <c r="L1062" s="1"/>
      <c r="M1062" s="347"/>
      <c r="N1062" s="347"/>
      <c r="O1062" s="579"/>
      <c r="P1062" s="579"/>
      <c r="Q1062" s="574"/>
      <c r="R1062" s="347"/>
      <c r="S1062" s="597"/>
      <c r="T1062" s="347"/>
      <c r="U1062" s="579"/>
      <c r="V1062" s="579"/>
      <c r="W1062" s="574"/>
      <c r="X1062" s="347"/>
      <c r="Y1062" s="347"/>
      <c r="Z1062" s="347"/>
      <c r="AA1062" s="579"/>
      <c r="AB1062" s="581"/>
      <c r="AC1062" s="347"/>
      <c r="AD1062" s="347"/>
      <c r="AE1062" s="347"/>
      <c r="AF1062" s="347"/>
      <c r="AG1062" s="579"/>
      <c r="AH1062" s="579"/>
      <c r="AI1062" s="582"/>
      <c r="AJ1062" s="582"/>
      <c r="AK1062" s="582"/>
      <c r="AL1062" s="582"/>
      <c r="AM1062" s="579"/>
      <c r="AN1062" s="579"/>
      <c r="AO1062" s="347"/>
      <c r="AP1062" s="586"/>
      <c r="AQ1062" s="596"/>
      <c r="AR1062" s="596"/>
      <c r="AS1062" s="348"/>
      <c r="AT1062" s="348"/>
      <c r="AU1062" s="348"/>
      <c r="AV1062" s="348"/>
      <c r="AW1062" s="348"/>
      <c r="AX1062" s="584"/>
      <c r="AY1062" s="581"/>
      <c r="AZ1062" s="581"/>
      <c r="BA1062" s="596"/>
      <c r="BB1062" s="596"/>
      <c r="BC1062" s="348"/>
      <c r="BD1062" s="581"/>
      <c r="BE1062" s="581"/>
      <c r="BF1062" s="347"/>
      <c r="BG1062" s="347"/>
      <c r="BH1062" s="347"/>
      <c r="BI1062" s="347"/>
      <c r="BJ1062" s="586"/>
      <c r="BK1062" s="581"/>
      <c r="BL1062" s="347"/>
      <c r="BM1062" s="347"/>
      <c r="BN1062" s="347"/>
      <c r="BO1062" s="586"/>
      <c r="BP1062" s="584"/>
      <c r="BQ1062" s="347"/>
      <c r="BR1062" s="586"/>
      <c r="BS1062" s="588"/>
      <c r="BT1062" s="586"/>
      <c r="BU1062" s="589"/>
      <c r="BV1062" s="581"/>
      <c r="BW1062" s="590"/>
      <c r="BX1062" s="347"/>
      <c r="BY1062" s="347"/>
      <c r="BZ1062" s="347"/>
      <c r="CA1062" s="586"/>
      <c r="CB1062" s="581"/>
      <c r="CC1062" s="581"/>
      <c r="CD1062" s="581"/>
      <c r="CE1062" s="581"/>
      <c r="CF1062" s="581"/>
      <c r="CG1062" s="586"/>
      <c r="CH1062" s="608"/>
      <c r="CI1062" s="603"/>
      <c r="CJ1062" s="347"/>
      <c r="CK1062" s="347"/>
      <c r="CL1062" s="347"/>
      <c r="CM1062" s="347"/>
      <c r="CN1062" s="347"/>
      <c r="CO1062" s="347"/>
      <c r="CP1062" s="347"/>
    </row>
    <row r="1063">
      <c r="A1063" s="574"/>
      <c r="B1063" s="574"/>
      <c r="C1063" s="347"/>
      <c r="D1063" s="574"/>
      <c r="E1063" s="347"/>
      <c r="F1063" s="596"/>
      <c r="G1063" s="596"/>
      <c r="H1063" s="347"/>
      <c r="I1063" s="347"/>
      <c r="J1063" s="596"/>
      <c r="K1063" s="609"/>
      <c r="L1063" s="1"/>
      <c r="M1063" s="347"/>
      <c r="N1063" s="347"/>
      <c r="O1063" s="579"/>
      <c r="P1063" s="579"/>
      <c r="Q1063" s="574"/>
      <c r="R1063" s="347"/>
      <c r="S1063" s="597"/>
      <c r="T1063" s="347"/>
      <c r="U1063" s="579"/>
      <c r="V1063" s="579"/>
      <c r="W1063" s="574"/>
      <c r="X1063" s="347"/>
      <c r="Y1063" s="347"/>
      <c r="Z1063" s="347"/>
      <c r="AA1063" s="579"/>
      <c r="AB1063" s="581"/>
      <c r="AC1063" s="347"/>
      <c r="AD1063" s="347"/>
      <c r="AE1063" s="347"/>
      <c r="AF1063" s="347"/>
      <c r="AG1063" s="579"/>
      <c r="AH1063" s="579"/>
      <c r="AI1063" s="582"/>
      <c r="AJ1063" s="582"/>
      <c r="AK1063" s="582"/>
      <c r="AL1063" s="582"/>
      <c r="AM1063" s="579"/>
      <c r="AN1063" s="579"/>
      <c r="AO1063" s="347"/>
      <c r="AP1063" s="586"/>
      <c r="AQ1063" s="596"/>
      <c r="AR1063" s="596"/>
      <c r="AS1063" s="348"/>
      <c r="AT1063" s="348"/>
      <c r="AU1063" s="348"/>
      <c r="AV1063" s="348"/>
      <c r="AW1063" s="348"/>
      <c r="AX1063" s="584"/>
      <c r="AY1063" s="581"/>
      <c r="AZ1063" s="581"/>
      <c r="BA1063" s="596"/>
      <c r="BB1063" s="596"/>
      <c r="BC1063" s="348"/>
      <c r="BD1063" s="581"/>
      <c r="BE1063" s="581"/>
      <c r="BF1063" s="347"/>
      <c r="BG1063" s="347"/>
      <c r="BH1063" s="347"/>
      <c r="BI1063" s="347"/>
      <c r="BJ1063" s="586"/>
      <c r="BK1063" s="581"/>
      <c r="BL1063" s="347"/>
      <c r="BM1063" s="347"/>
      <c r="BN1063" s="347"/>
      <c r="BO1063" s="586"/>
      <c r="BP1063" s="584"/>
      <c r="BQ1063" s="347"/>
      <c r="BR1063" s="586"/>
      <c r="BS1063" s="588"/>
      <c r="BT1063" s="586"/>
      <c r="BU1063" s="589"/>
      <c r="BV1063" s="581"/>
      <c r="BW1063" s="590"/>
      <c r="BX1063" s="347"/>
      <c r="BY1063" s="347"/>
      <c r="BZ1063" s="347"/>
      <c r="CA1063" s="586"/>
      <c r="CB1063" s="581"/>
      <c r="CC1063" s="581"/>
      <c r="CD1063" s="581"/>
      <c r="CE1063" s="581"/>
      <c r="CF1063" s="581"/>
      <c r="CG1063" s="586"/>
      <c r="CH1063" s="608"/>
      <c r="CI1063" s="603"/>
      <c r="CJ1063" s="347"/>
      <c r="CK1063" s="347"/>
      <c r="CL1063" s="347"/>
      <c r="CM1063" s="347"/>
      <c r="CN1063" s="347"/>
      <c r="CO1063" s="347"/>
      <c r="CP1063" s="347"/>
    </row>
    <row r="1064">
      <c r="A1064" s="574"/>
      <c r="B1064" s="574"/>
      <c r="C1064" s="347"/>
      <c r="D1064" s="574"/>
      <c r="E1064" s="347"/>
      <c r="F1064" s="596"/>
      <c r="G1064" s="596"/>
      <c r="H1064" s="347"/>
      <c r="I1064" s="347"/>
      <c r="J1064" s="596"/>
      <c r="K1064" s="609"/>
      <c r="L1064" s="1"/>
      <c r="M1064" s="347"/>
      <c r="N1064" s="347"/>
      <c r="O1064" s="579"/>
      <c r="P1064" s="579"/>
      <c r="Q1064" s="574"/>
      <c r="R1064" s="347"/>
      <c r="S1064" s="597"/>
      <c r="T1064" s="347"/>
      <c r="U1064" s="579"/>
      <c r="V1064" s="579"/>
      <c r="W1064" s="574"/>
      <c r="X1064" s="347"/>
      <c r="Y1064" s="347"/>
      <c r="Z1064" s="347"/>
      <c r="AA1064" s="579"/>
      <c r="AB1064" s="581"/>
      <c r="AC1064" s="347"/>
      <c r="AD1064" s="347"/>
      <c r="AE1064" s="347"/>
      <c r="AF1064" s="347"/>
      <c r="AG1064" s="579"/>
      <c r="AH1064" s="579"/>
      <c r="AI1064" s="582"/>
      <c r="AJ1064" s="582"/>
      <c r="AK1064" s="582"/>
      <c r="AL1064" s="582"/>
      <c r="AM1064" s="579"/>
      <c r="AN1064" s="579"/>
      <c r="AO1064" s="347"/>
      <c r="AP1064" s="586"/>
      <c r="AQ1064" s="596"/>
      <c r="AR1064" s="596"/>
      <c r="AS1064" s="348"/>
      <c r="AT1064" s="348"/>
      <c r="AU1064" s="348"/>
      <c r="AV1064" s="348"/>
      <c r="AW1064" s="348"/>
      <c r="AX1064" s="584"/>
      <c r="AY1064" s="581"/>
      <c r="AZ1064" s="581"/>
      <c r="BA1064" s="596"/>
      <c r="BB1064" s="596"/>
      <c r="BC1064" s="348"/>
      <c r="BD1064" s="581"/>
      <c r="BE1064" s="581"/>
      <c r="BF1064" s="347"/>
      <c r="BG1064" s="347"/>
      <c r="BH1064" s="347"/>
      <c r="BI1064" s="347"/>
      <c r="BJ1064" s="586"/>
      <c r="BK1064" s="581"/>
      <c r="BL1064" s="347"/>
      <c r="BM1064" s="347"/>
      <c r="BN1064" s="347"/>
      <c r="BO1064" s="586"/>
      <c r="BP1064" s="584"/>
      <c r="BQ1064" s="347"/>
      <c r="BR1064" s="586"/>
      <c r="BS1064" s="588"/>
      <c r="BT1064" s="586"/>
      <c r="BU1064" s="589"/>
      <c r="BV1064" s="581"/>
      <c r="BW1064" s="590"/>
      <c r="BX1064" s="347"/>
      <c r="BY1064" s="347"/>
      <c r="BZ1064" s="347"/>
      <c r="CA1064" s="586"/>
      <c r="CB1064" s="581"/>
      <c r="CC1064" s="581"/>
      <c r="CD1064" s="581"/>
      <c r="CE1064" s="581"/>
      <c r="CF1064" s="581"/>
      <c r="CG1064" s="586"/>
      <c r="CH1064" s="608"/>
      <c r="CI1064" s="603"/>
      <c r="CJ1064" s="347"/>
      <c r="CK1064" s="347"/>
      <c r="CL1064" s="347"/>
      <c r="CM1064" s="347"/>
      <c r="CN1064" s="347"/>
      <c r="CO1064" s="347"/>
      <c r="CP1064" s="347"/>
    </row>
    <row r="1065">
      <c r="A1065" s="574"/>
      <c r="B1065" s="574"/>
      <c r="C1065" s="347"/>
      <c r="D1065" s="574"/>
      <c r="E1065" s="347"/>
      <c r="F1065" s="596"/>
      <c r="G1065" s="596"/>
      <c r="H1065" s="347"/>
      <c r="I1065" s="347"/>
      <c r="J1065" s="596"/>
      <c r="K1065" s="609"/>
      <c r="L1065" s="1"/>
      <c r="M1065" s="347"/>
      <c r="N1065" s="347"/>
      <c r="O1065" s="579"/>
      <c r="P1065" s="579"/>
      <c r="Q1065" s="574"/>
      <c r="R1065" s="347"/>
      <c r="S1065" s="597"/>
      <c r="T1065" s="347"/>
      <c r="U1065" s="579"/>
      <c r="V1065" s="579"/>
      <c r="W1065" s="574"/>
      <c r="X1065" s="347"/>
      <c r="Y1065" s="347"/>
      <c r="Z1065" s="347"/>
      <c r="AA1065" s="579"/>
      <c r="AB1065" s="581"/>
      <c r="AC1065" s="347"/>
      <c r="AD1065" s="347"/>
      <c r="AE1065" s="347"/>
      <c r="AF1065" s="347"/>
      <c r="AG1065" s="579"/>
      <c r="AH1065" s="579"/>
      <c r="AI1065" s="582"/>
      <c r="AJ1065" s="582"/>
      <c r="AK1065" s="582"/>
      <c r="AL1065" s="582"/>
      <c r="AM1065" s="579"/>
      <c r="AN1065" s="579"/>
      <c r="AO1065" s="347"/>
      <c r="AP1065" s="586"/>
      <c r="AQ1065" s="596"/>
      <c r="AR1065" s="596"/>
      <c r="AS1065" s="348"/>
      <c r="AT1065" s="348"/>
      <c r="AU1065" s="348"/>
      <c r="AV1065" s="348"/>
      <c r="AW1065" s="348"/>
      <c r="AX1065" s="584"/>
      <c r="AY1065" s="581"/>
      <c r="AZ1065" s="581"/>
      <c r="BA1065" s="596"/>
      <c r="BB1065" s="596"/>
      <c r="BC1065" s="348"/>
      <c r="BD1065" s="581"/>
      <c r="BE1065" s="581"/>
      <c r="BF1065" s="347"/>
      <c r="BG1065" s="347"/>
      <c r="BH1065" s="347"/>
      <c r="BI1065" s="347"/>
      <c r="BJ1065" s="586"/>
      <c r="BK1065" s="581"/>
      <c r="BL1065" s="347"/>
      <c r="BM1065" s="347"/>
      <c r="BN1065" s="347"/>
      <c r="BO1065" s="586"/>
      <c r="BP1065" s="584"/>
      <c r="BQ1065" s="347"/>
      <c r="BR1065" s="586"/>
      <c r="BS1065" s="588"/>
      <c r="BT1065" s="586"/>
      <c r="BU1065" s="589"/>
      <c r="BV1065" s="581"/>
      <c r="BW1065" s="590"/>
      <c r="BX1065" s="347"/>
      <c r="BY1065" s="347"/>
      <c r="BZ1065" s="347"/>
      <c r="CA1065" s="586"/>
      <c r="CB1065" s="581"/>
      <c r="CC1065" s="581"/>
      <c r="CD1065" s="581"/>
      <c r="CE1065" s="581"/>
      <c r="CF1065" s="581"/>
      <c r="CG1065" s="586"/>
      <c r="CH1065" s="608"/>
      <c r="CI1065" s="603"/>
      <c r="CJ1065" s="347"/>
      <c r="CK1065" s="347"/>
      <c r="CL1065" s="347"/>
      <c r="CM1065" s="347"/>
      <c r="CN1065" s="347"/>
      <c r="CO1065" s="347"/>
      <c r="CP1065" s="347"/>
    </row>
    <row r="1066">
      <c r="A1066" s="574"/>
      <c r="B1066" s="574"/>
      <c r="C1066" s="347"/>
      <c r="D1066" s="574"/>
      <c r="E1066" s="347"/>
      <c r="F1066" s="596"/>
      <c r="G1066" s="596"/>
      <c r="H1066" s="347"/>
      <c r="I1066" s="347"/>
      <c r="J1066" s="596"/>
      <c r="K1066" s="609"/>
      <c r="L1066" s="1"/>
      <c r="M1066" s="347"/>
      <c r="N1066" s="347"/>
      <c r="O1066" s="579"/>
      <c r="P1066" s="579"/>
      <c r="Q1066" s="574"/>
      <c r="R1066" s="347"/>
      <c r="S1066" s="597"/>
      <c r="T1066" s="347"/>
      <c r="U1066" s="579"/>
      <c r="V1066" s="579"/>
      <c r="W1066" s="574"/>
      <c r="X1066" s="347"/>
      <c r="Y1066" s="347"/>
      <c r="Z1066" s="347"/>
      <c r="AA1066" s="579"/>
      <c r="AB1066" s="581"/>
      <c r="AC1066" s="347"/>
      <c r="AD1066" s="347"/>
      <c r="AE1066" s="347"/>
      <c r="AF1066" s="347"/>
      <c r="AG1066" s="579"/>
      <c r="AH1066" s="579"/>
      <c r="AI1066" s="582"/>
      <c r="AJ1066" s="582"/>
      <c r="AK1066" s="582"/>
      <c r="AL1066" s="582"/>
      <c r="AM1066" s="579"/>
      <c r="AN1066" s="579"/>
      <c r="AO1066" s="347"/>
      <c r="AP1066" s="586"/>
      <c r="AQ1066" s="596"/>
      <c r="AR1066" s="596"/>
      <c r="AS1066" s="348"/>
      <c r="AT1066" s="348"/>
      <c r="AU1066" s="348"/>
      <c r="AV1066" s="348"/>
      <c r="AW1066" s="348"/>
      <c r="AX1066" s="584"/>
      <c r="AY1066" s="581"/>
      <c r="AZ1066" s="581"/>
      <c r="BA1066" s="596"/>
      <c r="BB1066" s="596"/>
      <c r="BC1066" s="348"/>
      <c r="BD1066" s="581"/>
      <c r="BE1066" s="581"/>
      <c r="BF1066" s="347"/>
      <c r="BG1066" s="347"/>
      <c r="BH1066" s="347"/>
      <c r="BI1066" s="347"/>
      <c r="BJ1066" s="586"/>
      <c r="BK1066" s="581"/>
      <c r="BL1066" s="347"/>
      <c r="BM1066" s="347"/>
      <c r="BN1066" s="347"/>
      <c r="BO1066" s="586"/>
      <c r="BP1066" s="584"/>
      <c r="BQ1066" s="347"/>
      <c r="BR1066" s="586"/>
      <c r="BS1066" s="588"/>
      <c r="BT1066" s="586"/>
      <c r="BU1066" s="589"/>
      <c r="BV1066" s="581"/>
      <c r="BW1066" s="590"/>
      <c r="BX1066" s="347"/>
      <c r="BY1066" s="347"/>
      <c r="BZ1066" s="347"/>
      <c r="CA1066" s="586"/>
      <c r="CB1066" s="581"/>
      <c r="CC1066" s="581"/>
      <c r="CD1066" s="581"/>
      <c r="CE1066" s="581"/>
      <c r="CF1066" s="581"/>
      <c r="CG1066" s="586"/>
      <c r="CH1066" s="608"/>
      <c r="CI1066" s="603"/>
      <c r="CJ1066" s="347"/>
      <c r="CK1066" s="347"/>
      <c r="CL1066" s="347"/>
      <c r="CM1066" s="347"/>
      <c r="CN1066" s="347"/>
      <c r="CO1066" s="347"/>
      <c r="CP1066" s="347"/>
    </row>
    <row r="1067">
      <c r="A1067" s="574"/>
      <c r="B1067" s="574"/>
      <c r="C1067" s="347"/>
      <c r="D1067" s="574"/>
      <c r="E1067" s="347"/>
      <c r="F1067" s="596"/>
      <c r="G1067" s="596"/>
      <c r="H1067" s="347"/>
      <c r="I1067" s="347"/>
      <c r="J1067" s="596"/>
      <c r="K1067" s="609"/>
      <c r="L1067" s="1"/>
      <c r="M1067" s="347"/>
      <c r="N1067" s="347"/>
      <c r="O1067" s="579"/>
      <c r="P1067" s="579"/>
      <c r="Q1067" s="574"/>
      <c r="R1067" s="347"/>
      <c r="S1067" s="597"/>
      <c r="T1067" s="347"/>
      <c r="U1067" s="579"/>
      <c r="V1067" s="579"/>
      <c r="W1067" s="574"/>
      <c r="X1067" s="347"/>
      <c r="Y1067" s="347"/>
      <c r="Z1067" s="347"/>
      <c r="AA1067" s="579"/>
      <c r="AB1067" s="581"/>
      <c r="AC1067" s="347"/>
      <c r="AD1067" s="347"/>
      <c r="AE1067" s="347"/>
      <c r="AF1067" s="347"/>
      <c r="AG1067" s="579"/>
      <c r="AH1067" s="579"/>
      <c r="AI1067" s="582"/>
      <c r="AJ1067" s="582"/>
      <c r="AK1067" s="582"/>
      <c r="AL1067" s="582"/>
      <c r="AM1067" s="579"/>
      <c r="AN1067" s="579"/>
      <c r="AO1067" s="347"/>
      <c r="AP1067" s="586"/>
      <c r="AQ1067" s="596"/>
      <c r="AR1067" s="596"/>
      <c r="AS1067" s="348"/>
      <c r="AT1067" s="348"/>
      <c r="AU1067" s="348"/>
      <c r="AV1067" s="348"/>
      <c r="AW1067" s="348"/>
      <c r="AX1067" s="584"/>
      <c r="AY1067" s="581"/>
      <c r="AZ1067" s="581"/>
      <c r="BA1067" s="596"/>
      <c r="BB1067" s="596"/>
      <c r="BC1067" s="348"/>
      <c r="BD1067" s="581"/>
      <c r="BE1067" s="581"/>
      <c r="BF1067" s="347"/>
      <c r="BG1067" s="347"/>
      <c r="BH1067" s="347"/>
      <c r="BI1067" s="347"/>
      <c r="BJ1067" s="586"/>
      <c r="BK1067" s="581"/>
      <c r="BL1067" s="347"/>
      <c r="BM1067" s="347"/>
      <c r="BN1067" s="347"/>
      <c r="BO1067" s="586"/>
      <c r="BP1067" s="584"/>
      <c r="BQ1067" s="347"/>
      <c r="BR1067" s="586"/>
      <c r="BS1067" s="588"/>
      <c r="BT1067" s="586"/>
      <c r="BU1067" s="589"/>
      <c r="BV1067" s="581"/>
      <c r="BW1067" s="590"/>
      <c r="BX1067" s="347"/>
      <c r="BY1067" s="347"/>
      <c r="BZ1067" s="347"/>
      <c r="CA1067" s="586"/>
      <c r="CB1067" s="581"/>
      <c r="CC1067" s="581"/>
      <c r="CD1067" s="581"/>
      <c r="CE1067" s="581"/>
      <c r="CF1067" s="581"/>
      <c r="CG1067" s="586"/>
      <c r="CH1067" s="608"/>
      <c r="CI1067" s="603"/>
      <c r="CJ1067" s="347"/>
      <c r="CK1067" s="347"/>
      <c r="CL1067" s="347"/>
      <c r="CM1067" s="347"/>
      <c r="CN1067" s="347"/>
      <c r="CO1067" s="347"/>
      <c r="CP1067" s="347"/>
    </row>
    <row r="1068">
      <c r="A1068" s="574"/>
      <c r="B1068" s="574"/>
      <c r="C1068" s="347"/>
      <c r="D1068" s="574"/>
      <c r="E1068" s="347"/>
      <c r="F1068" s="596"/>
      <c r="G1068" s="596"/>
      <c r="H1068" s="347"/>
      <c r="I1068" s="347"/>
      <c r="J1068" s="596"/>
      <c r="K1068" s="609"/>
      <c r="L1068" s="1"/>
      <c r="M1068" s="347"/>
      <c r="N1068" s="347"/>
      <c r="O1068" s="579"/>
      <c r="P1068" s="579"/>
      <c r="Q1068" s="574"/>
      <c r="R1068" s="347"/>
      <c r="S1068" s="597"/>
      <c r="T1068" s="347"/>
      <c r="U1068" s="579"/>
      <c r="V1068" s="579"/>
      <c r="W1068" s="574"/>
      <c r="X1068" s="347"/>
      <c r="Y1068" s="347"/>
      <c r="Z1068" s="347"/>
      <c r="AA1068" s="579"/>
      <c r="AB1068" s="581"/>
      <c r="AC1068" s="347"/>
      <c r="AD1068" s="347"/>
      <c r="AE1068" s="347"/>
      <c r="AF1068" s="347"/>
      <c r="AG1068" s="579"/>
      <c r="AH1068" s="579"/>
      <c r="AI1068" s="582"/>
      <c r="AJ1068" s="582"/>
      <c r="AK1068" s="582"/>
      <c r="AL1068" s="582"/>
      <c r="AM1068" s="579"/>
      <c r="AN1068" s="579"/>
      <c r="AO1068" s="347"/>
      <c r="AP1068" s="586"/>
      <c r="AQ1068" s="596"/>
      <c r="AR1068" s="596"/>
      <c r="AS1068" s="348"/>
      <c r="AT1068" s="348"/>
      <c r="AU1068" s="348"/>
      <c r="AV1068" s="348"/>
      <c r="AW1068" s="348"/>
      <c r="AX1068" s="584"/>
      <c r="AY1068" s="581"/>
      <c r="AZ1068" s="581"/>
      <c r="BA1068" s="596"/>
      <c r="BB1068" s="596"/>
      <c r="BC1068" s="348"/>
      <c r="BD1068" s="581"/>
      <c r="BE1068" s="581"/>
      <c r="BF1068" s="347"/>
      <c r="BG1068" s="347"/>
      <c r="BH1068" s="347"/>
      <c r="BI1068" s="347"/>
      <c r="BJ1068" s="586"/>
      <c r="BK1068" s="581"/>
      <c r="BL1068" s="347"/>
      <c r="BM1068" s="347"/>
      <c r="BN1068" s="347"/>
      <c r="BO1068" s="586"/>
      <c r="BP1068" s="584"/>
      <c r="BQ1068" s="347"/>
      <c r="BR1068" s="586"/>
      <c r="BS1068" s="588"/>
      <c r="BT1068" s="586"/>
      <c r="BU1068" s="589"/>
      <c r="BV1068" s="581"/>
      <c r="BW1068" s="590"/>
      <c r="BX1068" s="347"/>
      <c r="BY1068" s="347"/>
      <c r="BZ1068" s="347"/>
      <c r="CA1068" s="586"/>
      <c r="CB1068" s="581"/>
      <c r="CC1068" s="581"/>
      <c r="CD1068" s="581"/>
      <c r="CE1068" s="581"/>
      <c r="CF1068" s="581"/>
      <c r="CG1068" s="586"/>
      <c r="CH1068" s="608"/>
      <c r="CI1068" s="603"/>
      <c r="CJ1068" s="347"/>
      <c r="CK1068" s="347"/>
      <c r="CL1068" s="347"/>
      <c r="CM1068" s="347"/>
      <c r="CN1068" s="347"/>
      <c r="CO1068" s="347"/>
      <c r="CP1068" s="347"/>
    </row>
    <row r="1069">
      <c r="A1069" s="574"/>
      <c r="B1069" s="574"/>
      <c r="C1069" s="347"/>
      <c r="D1069" s="574"/>
      <c r="E1069" s="347"/>
      <c r="F1069" s="596"/>
      <c r="G1069" s="596"/>
      <c r="H1069" s="347"/>
      <c r="I1069" s="347"/>
      <c r="J1069" s="596"/>
      <c r="K1069" s="609"/>
      <c r="L1069" s="1"/>
      <c r="M1069" s="347"/>
      <c r="N1069" s="347"/>
      <c r="O1069" s="579"/>
      <c r="P1069" s="579"/>
      <c r="Q1069" s="574"/>
      <c r="R1069" s="347"/>
      <c r="S1069" s="597"/>
      <c r="T1069" s="347"/>
      <c r="U1069" s="579"/>
      <c r="V1069" s="579"/>
      <c r="W1069" s="574"/>
      <c r="X1069" s="347"/>
      <c r="Y1069" s="347"/>
      <c r="Z1069" s="347"/>
      <c r="AA1069" s="579"/>
      <c r="AB1069" s="581"/>
      <c r="AC1069" s="347"/>
      <c r="AD1069" s="347"/>
      <c r="AE1069" s="347"/>
      <c r="AF1069" s="347"/>
      <c r="AG1069" s="579"/>
      <c r="AH1069" s="579"/>
      <c r="AI1069" s="582"/>
      <c r="AJ1069" s="582"/>
      <c r="AK1069" s="582"/>
      <c r="AL1069" s="582"/>
      <c r="AM1069" s="579"/>
      <c r="AN1069" s="579"/>
      <c r="AO1069" s="347"/>
      <c r="AP1069" s="586"/>
      <c r="AQ1069" s="596"/>
      <c r="AR1069" s="596"/>
      <c r="AS1069" s="348"/>
      <c r="AT1069" s="348"/>
      <c r="AU1069" s="348"/>
      <c r="AV1069" s="348"/>
      <c r="AW1069" s="348"/>
      <c r="AX1069" s="584"/>
      <c r="AY1069" s="581"/>
      <c r="AZ1069" s="581"/>
      <c r="BA1069" s="596"/>
      <c r="BB1069" s="596"/>
      <c r="BC1069" s="348"/>
      <c r="BD1069" s="581"/>
      <c r="BE1069" s="581"/>
      <c r="BF1069" s="347"/>
      <c r="BG1069" s="347"/>
      <c r="BH1069" s="347"/>
      <c r="BI1069" s="347"/>
      <c r="BJ1069" s="586"/>
      <c r="BK1069" s="581"/>
      <c r="BL1069" s="347"/>
      <c r="BM1069" s="347"/>
      <c r="BN1069" s="347"/>
      <c r="BO1069" s="586"/>
      <c r="BP1069" s="584"/>
      <c r="BQ1069" s="347"/>
      <c r="BR1069" s="586"/>
      <c r="BS1069" s="588"/>
      <c r="BT1069" s="586"/>
      <c r="BU1069" s="589"/>
      <c r="BV1069" s="581"/>
      <c r="BW1069" s="590"/>
      <c r="BX1069" s="347"/>
      <c r="BY1069" s="347"/>
      <c r="BZ1069" s="347"/>
      <c r="CA1069" s="586"/>
      <c r="CB1069" s="581"/>
      <c r="CC1069" s="581"/>
      <c r="CD1069" s="581"/>
      <c r="CE1069" s="581"/>
      <c r="CF1069" s="581"/>
      <c r="CG1069" s="586"/>
      <c r="CH1069" s="608"/>
      <c r="CI1069" s="603"/>
      <c r="CJ1069" s="347"/>
      <c r="CK1069" s="347"/>
      <c r="CL1069" s="347"/>
      <c r="CM1069" s="347"/>
      <c r="CN1069" s="347"/>
      <c r="CO1069" s="347"/>
      <c r="CP1069" s="347"/>
    </row>
    <row r="1070">
      <c r="A1070" s="574"/>
      <c r="B1070" s="574"/>
      <c r="C1070" s="347"/>
      <c r="D1070" s="574"/>
      <c r="E1070" s="347"/>
      <c r="F1070" s="596"/>
      <c r="G1070" s="596"/>
      <c r="H1070" s="347"/>
      <c r="I1070" s="347"/>
      <c r="J1070" s="596"/>
      <c r="K1070" s="609"/>
      <c r="L1070" s="1"/>
      <c r="M1070" s="347"/>
      <c r="N1070" s="347"/>
      <c r="O1070" s="579"/>
      <c r="P1070" s="579"/>
      <c r="Q1070" s="574"/>
      <c r="R1070" s="347"/>
      <c r="S1070" s="597"/>
      <c r="T1070" s="347"/>
      <c r="U1070" s="579"/>
      <c r="V1070" s="579"/>
      <c r="W1070" s="574"/>
      <c r="X1070" s="347"/>
      <c r="Y1070" s="347"/>
      <c r="Z1070" s="347"/>
      <c r="AA1070" s="579"/>
      <c r="AB1070" s="581"/>
      <c r="AC1070" s="347"/>
      <c r="AD1070" s="347"/>
      <c r="AE1070" s="347"/>
      <c r="AF1070" s="347"/>
      <c r="AG1070" s="579"/>
      <c r="AH1070" s="579"/>
      <c r="AI1070" s="582"/>
      <c r="AJ1070" s="582"/>
      <c r="AK1070" s="582"/>
      <c r="AL1070" s="582"/>
      <c r="AM1070" s="579"/>
      <c r="AN1070" s="579"/>
      <c r="AO1070" s="347"/>
      <c r="AP1070" s="586"/>
      <c r="AQ1070" s="596"/>
      <c r="AR1070" s="596"/>
      <c r="AS1070" s="348"/>
      <c r="AT1070" s="348"/>
      <c r="AU1070" s="348"/>
      <c r="AV1070" s="348"/>
      <c r="AW1070" s="348"/>
      <c r="AX1070" s="584"/>
      <c r="AY1070" s="581"/>
      <c r="AZ1070" s="581"/>
      <c r="BA1070" s="596"/>
      <c r="BB1070" s="596"/>
      <c r="BC1070" s="348"/>
      <c r="BD1070" s="581"/>
      <c r="BE1070" s="581"/>
      <c r="BF1070" s="347"/>
      <c r="BG1070" s="347"/>
      <c r="BH1070" s="347"/>
      <c r="BI1070" s="347"/>
      <c r="BJ1070" s="586"/>
      <c r="BK1070" s="581"/>
      <c r="BL1070" s="347"/>
      <c r="BM1070" s="347"/>
      <c r="BN1070" s="347"/>
      <c r="BO1070" s="586"/>
      <c r="BP1070" s="584"/>
      <c r="BQ1070" s="347"/>
      <c r="BR1070" s="586"/>
      <c r="BS1070" s="588"/>
      <c r="BT1070" s="586"/>
      <c r="BU1070" s="589"/>
      <c r="BV1070" s="581"/>
      <c r="BW1070" s="590"/>
      <c r="BX1070" s="347"/>
      <c r="BY1070" s="347"/>
      <c r="BZ1070" s="347"/>
      <c r="CA1070" s="586"/>
      <c r="CB1070" s="581"/>
      <c r="CC1070" s="581"/>
      <c r="CD1070" s="581"/>
      <c r="CE1070" s="581"/>
      <c r="CF1070" s="581"/>
      <c r="CG1070" s="586"/>
      <c r="CH1070" s="608"/>
      <c r="CI1070" s="603"/>
      <c r="CJ1070" s="347"/>
      <c r="CK1070" s="347"/>
      <c r="CL1070" s="347"/>
      <c r="CM1070" s="347"/>
      <c r="CN1070" s="347"/>
      <c r="CO1070" s="347"/>
      <c r="CP1070" s="347"/>
    </row>
    <row r="1071">
      <c r="A1071" s="574"/>
      <c r="B1071" s="574"/>
      <c r="C1071" s="347"/>
      <c r="D1071" s="574"/>
      <c r="E1071" s="347"/>
      <c r="F1071" s="596"/>
      <c r="G1071" s="596"/>
      <c r="H1071" s="347"/>
      <c r="I1071" s="347"/>
      <c r="J1071" s="596"/>
      <c r="K1071" s="609"/>
      <c r="L1071" s="1"/>
      <c r="M1071" s="347"/>
      <c r="N1071" s="347"/>
      <c r="O1071" s="579"/>
      <c r="P1071" s="579"/>
      <c r="Q1071" s="574"/>
      <c r="R1071" s="347"/>
      <c r="S1071" s="597"/>
      <c r="T1071" s="347"/>
      <c r="U1071" s="579"/>
      <c r="V1071" s="579"/>
      <c r="W1071" s="574"/>
      <c r="X1071" s="347"/>
      <c r="Y1071" s="347"/>
      <c r="Z1071" s="347"/>
      <c r="AA1071" s="579"/>
      <c r="AB1071" s="581"/>
      <c r="AC1071" s="347"/>
      <c r="AD1071" s="347"/>
      <c r="AE1071" s="347"/>
      <c r="AF1071" s="347"/>
      <c r="AG1071" s="579"/>
      <c r="AH1071" s="579"/>
      <c r="AI1071" s="582"/>
      <c r="AJ1071" s="582"/>
      <c r="AK1071" s="582"/>
      <c r="AL1071" s="582"/>
      <c r="AM1071" s="579"/>
      <c r="AN1071" s="579"/>
      <c r="AO1071" s="347"/>
      <c r="AP1071" s="586"/>
      <c r="AQ1071" s="596"/>
      <c r="AR1071" s="596"/>
      <c r="AS1071" s="348"/>
      <c r="AT1071" s="348"/>
      <c r="AU1071" s="348"/>
      <c r="AV1071" s="348"/>
      <c r="AW1071" s="348"/>
      <c r="AX1071" s="584"/>
      <c r="AY1071" s="581"/>
      <c r="AZ1071" s="581"/>
      <c r="BA1071" s="596"/>
      <c r="BB1071" s="596"/>
      <c r="BC1071" s="348"/>
      <c r="BD1071" s="581"/>
      <c r="BE1071" s="581"/>
      <c r="BF1071" s="347"/>
      <c r="BG1071" s="347"/>
      <c r="BH1071" s="347"/>
      <c r="BI1071" s="347"/>
      <c r="BJ1071" s="586"/>
      <c r="BK1071" s="581"/>
      <c r="BL1071" s="347"/>
      <c r="BM1071" s="347"/>
      <c r="BN1071" s="347"/>
      <c r="BO1071" s="586"/>
      <c r="BP1071" s="584"/>
      <c r="BQ1071" s="347"/>
      <c r="BR1071" s="586"/>
      <c r="BS1071" s="588"/>
      <c r="BT1071" s="586"/>
      <c r="BU1071" s="589"/>
      <c r="BV1071" s="581"/>
      <c r="BW1071" s="590"/>
      <c r="BX1071" s="347"/>
      <c r="BY1071" s="347"/>
      <c r="BZ1071" s="347"/>
      <c r="CA1071" s="586"/>
      <c r="CB1071" s="581"/>
      <c r="CC1071" s="581"/>
      <c r="CD1071" s="581"/>
      <c r="CE1071" s="581"/>
      <c r="CF1071" s="581"/>
      <c r="CG1071" s="586"/>
      <c r="CH1071" s="608"/>
      <c r="CI1071" s="603"/>
      <c r="CJ1071" s="347"/>
      <c r="CK1071" s="347"/>
      <c r="CL1071" s="347"/>
      <c r="CM1071" s="347"/>
      <c r="CN1071" s="347"/>
      <c r="CO1071" s="347"/>
      <c r="CP1071" s="347"/>
    </row>
    <row r="1072">
      <c r="A1072" s="574"/>
      <c r="B1072" s="574"/>
      <c r="C1072" s="347"/>
      <c r="D1072" s="574"/>
      <c r="E1072" s="347"/>
      <c r="F1072" s="596"/>
      <c r="G1072" s="596"/>
      <c r="H1072" s="347"/>
      <c r="I1072" s="347"/>
      <c r="J1072" s="596"/>
      <c r="K1072" s="609"/>
      <c r="L1072" s="1"/>
      <c r="M1072" s="347"/>
      <c r="N1072" s="347"/>
      <c r="O1072" s="579"/>
      <c r="P1072" s="579"/>
      <c r="Q1072" s="574"/>
      <c r="R1072" s="347"/>
      <c r="S1072" s="597"/>
      <c r="T1072" s="347"/>
      <c r="U1072" s="579"/>
      <c r="V1072" s="579"/>
      <c r="W1072" s="574"/>
      <c r="X1072" s="347"/>
      <c r="Y1072" s="347"/>
      <c r="Z1072" s="347"/>
      <c r="AA1072" s="579"/>
      <c r="AB1072" s="581"/>
      <c r="AC1072" s="347"/>
      <c r="AD1072" s="347"/>
      <c r="AE1072" s="347"/>
      <c r="AF1072" s="347"/>
      <c r="AG1072" s="579"/>
      <c r="AH1072" s="579"/>
      <c r="AI1072" s="582"/>
      <c r="AJ1072" s="582"/>
      <c r="AK1072" s="582"/>
      <c r="AL1072" s="582"/>
      <c r="AM1072" s="579"/>
      <c r="AN1072" s="579"/>
      <c r="AO1072" s="347"/>
      <c r="AP1072" s="586"/>
      <c r="AQ1072" s="596"/>
      <c r="AR1072" s="596"/>
      <c r="AS1072" s="348"/>
      <c r="AT1072" s="348"/>
      <c r="AU1072" s="348"/>
      <c r="AV1072" s="348"/>
      <c r="AW1072" s="348"/>
      <c r="AX1072" s="584"/>
      <c r="AY1072" s="581"/>
      <c r="AZ1072" s="581"/>
      <c r="BA1072" s="596"/>
      <c r="BB1072" s="596"/>
      <c r="BC1072" s="348"/>
      <c r="BD1072" s="581"/>
      <c r="BE1072" s="581"/>
      <c r="BF1072" s="347"/>
      <c r="BG1072" s="347"/>
      <c r="BH1072" s="347"/>
      <c r="BI1072" s="347"/>
      <c r="BJ1072" s="586"/>
      <c r="BK1072" s="581"/>
      <c r="BL1072" s="347"/>
      <c r="BM1072" s="347"/>
      <c r="BN1072" s="347"/>
      <c r="BO1072" s="586"/>
      <c r="BP1072" s="584"/>
      <c r="BQ1072" s="347"/>
      <c r="BR1072" s="586"/>
      <c r="BS1072" s="588"/>
      <c r="BT1072" s="586"/>
      <c r="BU1072" s="589"/>
      <c r="BV1072" s="581"/>
      <c r="BW1072" s="590"/>
      <c r="BX1072" s="347"/>
      <c r="BY1072" s="347"/>
      <c r="BZ1072" s="347"/>
      <c r="CA1072" s="586"/>
      <c r="CB1072" s="581"/>
      <c r="CC1072" s="581"/>
      <c r="CD1072" s="581"/>
      <c r="CE1072" s="581"/>
      <c r="CF1072" s="581"/>
      <c r="CG1072" s="586"/>
      <c r="CH1072" s="608"/>
      <c r="CI1072" s="603"/>
      <c r="CJ1072" s="347"/>
      <c r="CK1072" s="347"/>
      <c r="CL1072" s="347"/>
      <c r="CM1072" s="347"/>
      <c r="CN1072" s="347"/>
      <c r="CO1072" s="347"/>
      <c r="CP1072" s="347"/>
    </row>
    <row r="1073">
      <c r="A1073" s="574"/>
      <c r="B1073" s="574"/>
      <c r="C1073" s="347"/>
      <c r="D1073" s="574"/>
      <c r="E1073" s="347"/>
      <c r="F1073" s="596"/>
      <c r="G1073" s="596"/>
      <c r="H1073" s="347"/>
      <c r="I1073" s="347"/>
      <c r="J1073" s="596"/>
      <c r="K1073" s="609"/>
      <c r="L1073" s="1"/>
      <c r="M1073" s="347"/>
      <c r="N1073" s="347"/>
      <c r="O1073" s="579"/>
      <c r="P1073" s="579"/>
      <c r="Q1073" s="574"/>
      <c r="R1073" s="347"/>
      <c r="S1073" s="597"/>
      <c r="T1073" s="347"/>
      <c r="U1073" s="579"/>
      <c r="V1073" s="579"/>
      <c r="W1073" s="574"/>
      <c r="X1073" s="347"/>
      <c r="Y1073" s="347"/>
      <c r="Z1073" s="347"/>
      <c r="AA1073" s="579"/>
      <c r="AB1073" s="581"/>
      <c r="AC1073" s="347"/>
      <c r="AD1073" s="347"/>
      <c r="AE1073" s="347"/>
      <c r="AF1073" s="347"/>
      <c r="AG1073" s="579"/>
      <c r="AH1073" s="579"/>
      <c r="AI1073" s="582"/>
      <c r="AJ1073" s="582"/>
      <c r="AK1073" s="582"/>
      <c r="AL1073" s="582"/>
      <c r="AM1073" s="579"/>
      <c r="AN1073" s="579"/>
      <c r="AO1073" s="347"/>
      <c r="AP1073" s="586"/>
      <c r="AQ1073" s="596"/>
      <c r="AR1073" s="596"/>
      <c r="AS1073" s="348"/>
      <c r="AT1073" s="348"/>
      <c r="AU1073" s="348"/>
      <c r="AV1073" s="348"/>
      <c r="AW1073" s="348"/>
      <c r="AX1073" s="584"/>
      <c r="AY1073" s="581"/>
      <c r="AZ1073" s="581"/>
      <c r="BA1073" s="596"/>
      <c r="BB1073" s="596"/>
      <c r="BC1073" s="348"/>
      <c r="BD1073" s="581"/>
      <c r="BE1073" s="581"/>
      <c r="BF1073" s="347"/>
      <c r="BG1073" s="347"/>
      <c r="BH1073" s="347"/>
      <c r="BI1073" s="347"/>
      <c r="BJ1073" s="586"/>
      <c r="BK1073" s="581"/>
      <c r="BL1073" s="347"/>
      <c r="BM1073" s="347"/>
      <c r="BN1073" s="347"/>
      <c r="BO1073" s="586"/>
      <c r="BP1073" s="584"/>
      <c r="BQ1073" s="347"/>
      <c r="BR1073" s="586"/>
      <c r="BS1073" s="588"/>
      <c r="BT1073" s="586"/>
      <c r="BU1073" s="589"/>
      <c r="BV1073" s="581"/>
      <c r="BW1073" s="590"/>
      <c r="BX1073" s="347"/>
      <c r="BY1073" s="347"/>
      <c r="BZ1073" s="347"/>
      <c r="CA1073" s="586"/>
      <c r="CB1073" s="581"/>
      <c r="CC1073" s="581"/>
      <c r="CD1073" s="581"/>
      <c r="CE1073" s="581"/>
      <c r="CF1073" s="581"/>
      <c r="CG1073" s="586"/>
      <c r="CH1073" s="608"/>
      <c r="CI1073" s="603"/>
      <c r="CJ1073" s="347"/>
      <c r="CK1073" s="347"/>
      <c r="CL1073" s="347"/>
      <c r="CM1073" s="347"/>
      <c r="CN1073" s="347"/>
      <c r="CO1073" s="347"/>
      <c r="CP1073" s="347"/>
    </row>
    <row r="1074">
      <c r="A1074" s="574"/>
      <c r="B1074" s="574"/>
      <c r="C1074" s="347"/>
      <c r="D1074" s="574"/>
      <c r="E1074" s="347"/>
      <c r="F1074" s="596"/>
      <c r="G1074" s="596"/>
      <c r="H1074" s="347"/>
      <c r="I1074" s="347"/>
      <c r="J1074" s="596"/>
      <c r="K1074" s="609"/>
      <c r="L1074" s="1"/>
      <c r="M1074" s="347"/>
      <c r="N1074" s="347"/>
      <c r="O1074" s="579"/>
      <c r="P1074" s="579"/>
      <c r="Q1074" s="574"/>
      <c r="R1074" s="347"/>
      <c r="S1074" s="597"/>
      <c r="T1074" s="347"/>
      <c r="U1074" s="579"/>
      <c r="V1074" s="579"/>
      <c r="W1074" s="574"/>
      <c r="X1074" s="347"/>
      <c r="Y1074" s="347"/>
      <c r="Z1074" s="347"/>
      <c r="AA1074" s="579"/>
      <c r="AB1074" s="581"/>
      <c r="AC1074" s="347"/>
      <c r="AD1074" s="347"/>
      <c r="AE1074" s="347"/>
      <c r="AF1074" s="347"/>
      <c r="AG1074" s="579"/>
      <c r="AH1074" s="579"/>
      <c r="AI1074" s="582"/>
      <c r="AJ1074" s="582"/>
      <c r="AK1074" s="582"/>
      <c r="AL1074" s="582"/>
      <c r="AM1074" s="579"/>
      <c r="AN1074" s="579"/>
      <c r="AO1074" s="347"/>
      <c r="AP1074" s="586"/>
      <c r="AQ1074" s="596"/>
      <c r="AR1074" s="596"/>
      <c r="AS1074" s="348"/>
      <c r="AT1074" s="348"/>
      <c r="AU1074" s="348"/>
      <c r="AV1074" s="348"/>
      <c r="AW1074" s="348"/>
      <c r="AX1074" s="584"/>
      <c r="AY1074" s="581"/>
      <c r="AZ1074" s="581"/>
      <c r="BA1074" s="596"/>
      <c r="BB1074" s="596"/>
      <c r="BC1074" s="348"/>
      <c r="BD1074" s="581"/>
      <c r="BE1074" s="581"/>
      <c r="BF1074" s="347"/>
      <c r="BG1074" s="347"/>
      <c r="BH1074" s="347"/>
      <c r="BI1074" s="347"/>
      <c r="BJ1074" s="586"/>
      <c r="BK1074" s="581"/>
      <c r="BL1074" s="347"/>
      <c r="BM1074" s="347"/>
      <c r="BN1074" s="347"/>
      <c r="BO1074" s="586"/>
      <c r="BP1074" s="584"/>
      <c r="BQ1074" s="347"/>
      <c r="BR1074" s="586"/>
      <c r="BS1074" s="588"/>
      <c r="BT1074" s="586"/>
      <c r="BU1074" s="589"/>
      <c r="BV1074" s="581"/>
      <c r="BW1074" s="590"/>
      <c r="BX1074" s="347"/>
      <c r="BY1074" s="347"/>
      <c r="BZ1074" s="347"/>
      <c r="CA1074" s="586"/>
      <c r="CB1074" s="581"/>
      <c r="CC1074" s="581"/>
      <c r="CD1074" s="581"/>
      <c r="CE1074" s="581"/>
      <c r="CF1074" s="581"/>
      <c r="CG1074" s="586"/>
      <c r="CH1074" s="608"/>
      <c r="CI1074" s="603"/>
      <c r="CJ1074" s="347"/>
      <c r="CK1074" s="347"/>
      <c r="CL1074" s="347"/>
      <c r="CM1074" s="347"/>
      <c r="CN1074" s="347"/>
      <c r="CO1074" s="347"/>
      <c r="CP1074" s="347"/>
    </row>
    <row r="1075">
      <c r="A1075" s="574"/>
      <c r="B1075" s="574"/>
      <c r="C1075" s="347"/>
      <c r="D1075" s="574"/>
      <c r="E1075" s="347"/>
      <c r="F1075" s="596"/>
      <c r="G1075" s="596"/>
      <c r="H1075" s="347"/>
      <c r="I1075" s="347"/>
      <c r="J1075" s="596"/>
      <c r="K1075" s="609"/>
      <c r="L1075" s="1"/>
      <c r="M1075" s="347"/>
      <c r="N1075" s="347"/>
      <c r="O1075" s="579"/>
      <c r="P1075" s="579"/>
      <c r="Q1075" s="574"/>
      <c r="R1075" s="347"/>
      <c r="S1075" s="597"/>
      <c r="T1075" s="347"/>
      <c r="U1075" s="579"/>
      <c r="V1075" s="579"/>
      <c r="W1075" s="574"/>
      <c r="X1075" s="347"/>
      <c r="Y1075" s="347"/>
      <c r="Z1075" s="347"/>
      <c r="AA1075" s="579"/>
      <c r="AB1075" s="581"/>
      <c r="AC1075" s="347"/>
      <c r="AD1075" s="347"/>
      <c r="AE1075" s="347"/>
      <c r="AF1075" s="347"/>
      <c r="AG1075" s="579"/>
      <c r="AH1075" s="579"/>
      <c r="AI1075" s="582"/>
      <c r="AJ1075" s="582"/>
      <c r="AK1075" s="582"/>
      <c r="AL1075" s="582"/>
      <c r="AM1075" s="579"/>
      <c r="AN1075" s="579"/>
      <c r="AO1075" s="347"/>
      <c r="AP1075" s="586"/>
      <c r="AQ1075" s="596"/>
      <c r="AR1075" s="596"/>
      <c r="AS1075" s="348"/>
      <c r="AT1075" s="348"/>
      <c r="AU1075" s="348"/>
      <c r="AV1075" s="348"/>
      <c r="AW1075" s="348"/>
      <c r="AX1075" s="584"/>
      <c r="AY1075" s="581"/>
      <c r="AZ1075" s="581"/>
      <c r="BA1075" s="596"/>
      <c r="BB1075" s="596"/>
      <c r="BC1075" s="348"/>
      <c r="BD1075" s="581"/>
      <c r="BE1075" s="581"/>
      <c r="BF1075" s="347"/>
      <c r="BG1075" s="347"/>
      <c r="BH1075" s="347"/>
      <c r="BI1075" s="347"/>
      <c r="BJ1075" s="586"/>
      <c r="BK1075" s="581"/>
      <c r="BL1075" s="347"/>
      <c r="BM1075" s="347"/>
      <c r="BN1075" s="347"/>
      <c r="BO1075" s="586"/>
      <c r="BP1075" s="584"/>
      <c r="BQ1075" s="347"/>
      <c r="BR1075" s="586"/>
      <c r="BS1075" s="588"/>
      <c r="BT1075" s="586"/>
      <c r="BU1075" s="589"/>
      <c r="BV1075" s="581"/>
      <c r="BW1075" s="590"/>
      <c r="BX1075" s="347"/>
      <c r="BY1075" s="347"/>
      <c r="BZ1075" s="347"/>
      <c r="CA1075" s="586"/>
      <c r="CB1075" s="581"/>
      <c r="CC1075" s="581"/>
      <c r="CD1075" s="581"/>
      <c r="CE1075" s="581"/>
      <c r="CF1075" s="581"/>
      <c r="CG1075" s="586"/>
      <c r="CH1075" s="608"/>
      <c r="CI1075" s="603"/>
      <c r="CJ1075" s="347"/>
      <c r="CK1075" s="347"/>
      <c r="CL1075" s="347"/>
      <c r="CM1075" s="347"/>
      <c r="CN1075" s="347"/>
      <c r="CO1075" s="347"/>
      <c r="CP1075" s="347"/>
    </row>
    <row r="1076">
      <c r="A1076" s="574"/>
      <c r="B1076" s="574"/>
      <c r="C1076" s="347"/>
      <c r="D1076" s="574"/>
      <c r="E1076" s="347"/>
      <c r="F1076" s="596"/>
      <c r="G1076" s="596"/>
      <c r="H1076" s="347"/>
      <c r="I1076" s="347"/>
      <c r="J1076" s="596"/>
      <c r="K1076" s="609"/>
      <c r="L1076" s="1"/>
      <c r="M1076" s="347"/>
      <c r="N1076" s="347"/>
      <c r="O1076" s="579"/>
      <c r="P1076" s="579"/>
      <c r="Q1076" s="574"/>
      <c r="R1076" s="347"/>
      <c r="S1076" s="597"/>
      <c r="T1076" s="347"/>
      <c r="U1076" s="579"/>
      <c r="V1076" s="579"/>
      <c r="W1076" s="574"/>
      <c r="X1076" s="347"/>
      <c r="Y1076" s="347"/>
      <c r="Z1076" s="347"/>
      <c r="AA1076" s="579"/>
      <c r="AB1076" s="581"/>
      <c r="AC1076" s="347"/>
      <c r="AD1076" s="347"/>
      <c r="AE1076" s="347"/>
      <c r="AF1076" s="347"/>
      <c r="AG1076" s="579"/>
      <c r="AH1076" s="579"/>
      <c r="AI1076" s="582"/>
      <c r="AJ1076" s="582"/>
      <c r="AK1076" s="582"/>
      <c r="AL1076" s="582"/>
      <c r="AM1076" s="579"/>
      <c r="AN1076" s="579"/>
      <c r="AO1076" s="347"/>
      <c r="AP1076" s="586"/>
      <c r="AQ1076" s="596"/>
      <c r="AR1076" s="596"/>
      <c r="AS1076" s="348"/>
      <c r="AT1076" s="348"/>
      <c r="AU1076" s="348"/>
      <c r="AV1076" s="348"/>
      <c r="AW1076" s="348"/>
      <c r="AX1076" s="584"/>
      <c r="AY1076" s="581"/>
      <c r="AZ1076" s="581"/>
      <c r="BA1076" s="596"/>
      <c r="BB1076" s="596"/>
      <c r="BC1076" s="348"/>
      <c r="BD1076" s="581"/>
      <c r="BE1076" s="581"/>
      <c r="BF1076" s="347"/>
      <c r="BG1076" s="347"/>
      <c r="BH1076" s="347"/>
      <c r="BI1076" s="347"/>
      <c r="BJ1076" s="586"/>
      <c r="BK1076" s="581"/>
      <c r="BL1076" s="347"/>
      <c r="BM1076" s="347"/>
      <c r="BN1076" s="347"/>
      <c r="BO1076" s="586"/>
      <c r="BP1076" s="584"/>
      <c r="BQ1076" s="347"/>
      <c r="BR1076" s="586"/>
      <c r="BS1076" s="588"/>
      <c r="BT1076" s="586"/>
      <c r="BU1076" s="589"/>
      <c r="BV1076" s="581"/>
      <c r="BW1076" s="590"/>
      <c r="BX1076" s="347"/>
      <c r="BY1076" s="347"/>
      <c r="BZ1076" s="347"/>
      <c r="CA1076" s="586"/>
      <c r="CB1076" s="581"/>
      <c r="CC1076" s="581"/>
      <c r="CD1076" s="581"/>
      <c r="CE1076" s="581"/>
      <c r="CF1076" s="581"/>
      <c r="CG1076" s="586"/>
      <c r="CH1076" s="608"/>
      <c r="CI1076" s="603"/>
      <c r="CJ1076" s="347"/>
      <c r="CK1076" s="347"/>
      <c r="CL1076" s="347"/>
      <c r="CM1076" s="347"/>
      <c r="CN1076" s="347"/>
      <c r="CO1076" s="347"/>
      <c r="CP1076" s="347"/>
    </row>
    <row r="1077">
      <c r="A1077" s="574"/>
      <c r="B1077" s="574"/>
      <c r="C1077" s="347"/>
      <c r="D1077" s="574"/>
      <c r="E1077" s="347"/>
      <c r="F1077" s="596"/>
      <c r="G1077" s="596"/>
      <c r="H1077" s="347"/>
      <c r="I1077" s="347"/>
      <c r="J1077" s="596"/>
      <c r="K1077" s="609"/>
      <c r="L1077" s="1"/>
      <c r="M1077" s="347"/>
      <c r="N1077" s="347"/>
      <c r="O1077" s="579"/>
      <c r="P1077" s="579"/>
      <c r="Q1077" s="574"/>
      <c r="R1077" s="347"/>
      <c r="S1077" s="597"/>
      <c r="T1077" s="347"/>
      <c r="U1077" s="579"/>
      <c r="V1077" s="579"/>
      <c r="W1077" s="574"/>
      <c r="X1077" s="347"/>
      <c r="Y1077" s="347"/>
      <c r="Z1077" s="347"/>
      <c r="AA1077" s="579"/>
      <c r="AB1077" s="581"/>
      <c r="AC1077" s="347"/>
      <c r="AD1077" s="347"/>
      <c r="AE1077" s="347"/>
      <c r="AF1077" s="347"/>
      <c r="AG1077" s="579"/>
      <c r="AH1077" s="579"/>
      <c r="AI1077" s="582"/>
      <c r="AJ1077" s="582"/>
      <c r="AK1077" s="582"/>
      <c r="AL1077" s="582"/>
      <c r="AM1077" s="579"/>
      <c r="AN1077" s="579"/>
      <c r="AO1077" s="347"/>
      <c r="AP1077" s="586"/>
      <c r="AQ1077" s="596"/>
      <c r="AR1077" s="596"/>
      <c r="AS1077" s="348"/>
      <c r="AT1077" s="348"/>
      <c r="AU1077" s="348"/>
      <c r="AV1077" s="348"/>
      <c r="AW1077" s="348"/>
      <c r="AX1077" s="584"/>
      <c r="AY1077" s="581"/>
      <c r="AZ1077" s="581"/>
      <c r="BA1077" s="596"/>
      <c r="BB1077" s="596"/>
      <c r="BC1077" s="348"/>
      <c r="BD1077" s="581"/>
      <c r="BE1077" s="581"/>
      <c r="BF1077" s="347"/>
      <c r="BG1077" s="347"/>
      <c r="BH1077" s="347"/>
      <c r="BI1077" s="347"/>
      <c r="BJ1077" s="586"/>
      <c r="BK1077" s="581"/>
      <c r="BL1077" s="347"/>
      <c r="BM1077" s="347"/>
      <c r="BN1077" s="347"/>
      <c r="BO1077" s="586"/>
      <c r="BP1077" s="584"/>
      <c r="BQ1077" s="347"/>
      <c r="BR1077" s="586"/>
      <c r="BS1077" s="588"/>
      <c r="BT1077" s="586"/>
      <c r="BU1077" s="589"/>
      <c r="BV1077" s="581"/>
      <c r="BW1077" s="590"/>
      <c r="BX1077" s="347"/>
      <c r="BY1077" s="347"/>
      <c r="BZ1077" s="347"/>
      <c r="CA1077" s="586"/>
      <c r="CB1077" s="581"/>
      <c r="CC1077" s="581"/>
      <c r="CD1077" s="581"/>
      <c r="CE1077" s="581"/>
      <c r="CF1077" s="581"/>
      <c r="CG1077" s="586"/>
      <c r="CH1077" s="608"/>
      <c r="CI1077" s="603"/>
      <c r="CJ1077" s="347"/>
      <c r="CK1077" s="347"/>
      <c r="CL1077" s="347"/>
      <c r="CM1077" s="347"/>
      <c r="CN1077" s="347"/>
      <c r="CO1077" s="347"/>
      <c r="CP1077" s="347"/>
    </row>
    <row r="1078">
      <c r="A1078" s="574"/>
      <c r="B1078" s="574"/>
      <c r="C1078" s="347"/>
      <c r="D1078" s="574"/>
      <c r="E1078" s="347"/>
      <c r="F1078" s="596"/>
      <c r="G1078" s="596"/>
      <c r="H1078" s="347"/>
      <c r="I1078" s="347"/>
      <c r="J1078" s="596"/>
      <c r="K1078" s="609"/>
      <c r="L1078" s="1"/>
      <c r="M1078" s="347"/>
      <c r="N1078" s="347"/>
      <c r="O1078" s="579"/>
      <c r="P1078" s="579"/>
      <c r="Q1078" s="574"/>
      <c r="R1078" s="347"/>
      <c r="S1078" s="597"/>
      <c r="T1078" s="347"/>
      <c r="U1078" s="579"/>
      <c r="V1078" s="579"/>
      <c r="W1078" s="574"/>
      <c r="X1078" s="347"/>
      <c r="Y1078" s="347"/>
      <c r="Z1078" s="347"/>
      <c r="AA1078" s="579"/>
      <c r="AB1078" s="581"/>
      <c r="AC1078" s="347"/>
      <c r="AD1078" s="347"/>
      <c r="AE1078" s="347"/>
      <c r="AF1078" s="347"/>
      <c r="AG1078" s="579"/>
      <c r="AH1078" s="579"/>
      <c r="AI1078" s="582"/>
      <c r="AJ1078" s="582"/>
      <c r="AK1078" s="582"/>
      <c r="AL1078" s="582"/>
      <c r="AM1078" s="579"/>
      <c r="AN1078" s="579"/>
      <c r="AO1078" s="347"/>
      <c r="AP1078" s="586"/>
      <c r="AQ1078" s="596"/>
      <c r="AR1078" s="596"/>
      <c r="AS1078" s="348"/>
      <c r="AT1078" s="348"/>
      <c r="AU1078" s="348"/>
      <c r="AV1078" s="348"/>
      <c r="AW1078" s="348"/>
      <c r="AX1078" s="584"/>
      <c r="AY1078" s="581"/>
      <c r="AZ1078" s="581"/>
      <c r="BA1078" s="596"/>
      <c r="BB1078" s="596"/>
      <c r="BC1078" s="348"/>
      <c r="BD1078" s="581"/>
      <c r="BE1078" s="581"/>
      <c r="BF1078" s="347"/>
      <c r="BG1078" s="347"/>
      <c r="BH1078" s="347"/>
      <c r="BI1078" s="347"/>
      <c r="BJ1078" s="586"/>
      <c r="BK1078" s="581"/>
      <c r="BL1078" s="347"/>
      <c r="BM1078" s="347"/>
      <c r="BN1078" s="347"/>
      <c r="BO1078" s="586"/>
      <c r="BP1078" s="584"/>
      <c r="BQ1078" s="347"/>
      <c r="BR1078" s="586"/>
      <c r="BS1078" s="588"/>
      <c r="BT1078" s="586"/>
      <c r="BU1078" s="589"/>
      <c r="BV1078" s="581"/>
      <c r="BW1078" s="590"/>
      <c r="BX1078" s="347"/>
      <c r="BY1078" s="347"/>
      <c r="BZ1078" s="347"/>
      <c r="CA1078" s="586"/>
      <c r="CB1078" s="581"/>
      <c r="CC1078" s="581"/>
      <c r="CD1078" s="581"/>
      <c r="CE1078" s="581"/>
      <c r="CF1078" s="581"/>
      <c r="CG1078" s="586"/>
      <c r="CH1078" s="608"/>
      <c r="CI1078" s="603"/>
      <c r="CJ1078" s="347"/>
      <c r="CK1078" s="347"/>
      <c r="CL1078" s="347"/>
      <c r="CM1078" s="347"/>
      <c r="CN1078" s="347"/>
      <c r="CO1078" s="347"/>
      <c r="CP1078" s="347"/>
    </row>
    <row r="1079">
      <c r="A1079" s="574"/>
      <c r="B1079" s="574"/>
      <c r="C1079" s="347"/>
      <c r="D1079" s="574"/>
      <c r="E1079" s="347"/>
      <c r="F1079" s="596"/>
      <c r="G1079" s="596"/>
      <c r="H1079" s="347"/>
      <c r="I1079" s="347"/>
      <c r="J1079" s="596"/>
      <c r="K1079" s="609"/>
      <c r="L1079" s="1"/>
      <c r="M1079" s="347"/>
      <c r="N1079" s="347"/>
      <c r="O1079" s="579"/>
      <c r="P1079" s="579"/>
      <c r="Q1079" s="574"/>
      <c r="R1079" s="347"/>
      <c r="S1079" s="597"/>
      <c r="T1079" s="347"/>
      <c r="U1079" s="579"/>
      <c r="V1079" s="579"/>
      <c r="W1079" s="574"/>
      <c r="X1079" s="347"/>
      <c r="Y1079" s="347"/>
      <c r="Z1079" s="347"/>
      <c r="AA1079" s="579"/>
      <c r="AB1079" s="581"/>
      <c r="AC1079" s="347"/>
      <c r="AD1079" s="347"/>
      <c r="AE1079" s="347"/>
      <c r="AF1079" s="347"/>
      <c r="AG1079" s="579"/>
      <c r="AH1079" s="579"/>
      <c r="AI1079" s="582"/>
      <c r="AJ1079" s="582"/>
      <c r="AK1079" s="582"/>
      <c r="AL1079" s="582"/>
      <c r="AM1079" s="579"/>
      <c r="AN1079" s="579"/>
      <c r="AO1079" s="347"/>
      <c r="AP1079" s="586"/>
      <c r="AQ1079" s="596"/>
      <c r="AR1079" s="596"/>
      <c r="AS1079" s="348"/>
      <c r="AT1079" s="348"/>
      <c r="AU1079" s="348"/>
      <c r="AV1079" s="348"/>
      <c r="AW1079" s="348"/>
      <c r="AX1079" s="584"/>
      <c r="AY1079" s="581"/>
      <c r="AZ1079" s="581"/>
      <c r="BA1079" s="596"/>
      <c r="BB1079" s="596"/>
      <c r="BC1079" s="348"/>
      <c r="BD1079" s="581"/>
      <c r="BE1079" s="581"/>
      <c r="BF1079" s="347"/>
      <c r="BG1079" s="347"/>
      <c r="BH1079" s="347"/>
      <c r="BI1079" s="347"/>
      <c r="BJ1079" s="586"/>
      <c r="BK1079" s="581"/>
      <c r="BL1079" s="347"/>
      <c r="BM1079" s="347"/>
      <c r="BN1079" s="347"/>
      <c r="BO1079" s="586"/>
      <c r="BP1079" s="584"/>
      <c r="BQ1079" s="347"/>
      <c r="BR1079" s="586"/>
      <c r="BS1079" s="588"/>
      <c r="BT1079" s="586"/>
      <c r="BU1079" s="589"/>
      <c r="BV1079" s="581"/>
      <c r="BW1079" s="590"/>
      <c r="BX1079" s="347"/>
      <c r="BY1079" s="347"/>
      <c r="BZ1079" s="347"/>
      <c r="CA1079" s="586"/>
      <c r="CB1079" s="581"/>
      <c r="CC1079" s="581"/>
      <c r="CD1079" s="581"/>
      <c r="CE1079" s="581"/>
      <c r="CF1079" s="581"/>
      <c r="CG1079" s="586"/>
      <c r="CH1079" s="608"/>
      <c r="CI1079" s="603"/>
      <c r="CJ1079" s="347"/>
      <c r="CK1079" s="347"/>
      <c r="CL1079" s="347"/>
      <c r="CM1079" s="347"/>
      <c r="CN1079" s="347"/>
      <c r="CO1079" s="347"/>
      <c r="CP1079" s="347"/>
    </row>
    <row r="1080">
      <c r="A1080" s="574"/>
      <c r="B1080" s="574"/>
      <c r="C1080" s="347"/>
      <c r="D1080" s="574"/>
      <c r="E1080" s="347"/>
      <c r="F1080" s="596"/>
      <c r="G1080" s="596"/>
      <c r="H1080" s="347"/>
      <c r="I1080" s="347"/>
      <c r="J1080" s="596"/>
      <c r="K1080" s="609"/>
      <c r="L1080" s="1"/>
      <c r="M1080" s="347"/>
      <c r="N1080" s="347"/>
      <c r="O1080" s="579"/>
      <c r="P1080" s="579"/>
      <c r="Q1080" s="574"/>
      <c r="R1080" s="347"/>
      <c r="S1080" s="597"/>
      <c r="T1080" s="347"/>
      <c r="U1080" s="579"/>
      <c r="V1080" s="579"/>
      <c r="W1080" s="574"/>
      <c r="X1080" s="347"/>
      <c r="Y1080" s="347"/>
      <c r="Z1080" s="347"/>
      <c r="AA1080" s="579"/>
      <c r="AB1080" s="581"/>
      <c r="AC1080" s="347"/>
      <c r="AD1080" s="347"/>
      <c r="AE1080" s="347"/>
      <c r="AF1080" s="347"/>
      <c r="AG1080" s="579"/>
      <c r="AH1080" s="579"/>
      <c r="AI1080" s="582"/>
      <c r="AJ1080" s="582"/>
      <c r="AK1080" s="582"/>
      <c r="AL1080" s="582"/>
      <c r="AM1080" s="579"/>
      <c r="AN1080" s="579"/>
      <c r="AO1080" s="347"/>
      <c r="AP1080" s="586"/>
      <c r="AQ1080" s="596"/>
      <c r="AR1080" s="596"/>
      <c r="AS1080" s="348"/>
      <c r="AT1080" s="348"/>
      <c r="AU1080" s="348"/>
      <c r="AV1080" s="348"/>
      <c r="AW1080" s="348"/>
      <c r="AX1080" s="584"/>
      <c r="AY1080" s="581"/>
      <c r="AZ1080" s="581"/>
      <c r="BA1080" s="596"/>
      <c r="BB1080" s="596"/>
      <c r="BC1080" s="348"/>
      <c r="BD1080" s="581"/>
      <c r="BE1080" s="581"/>
      <c r="BF1080" s="347"/>
      <c r="BG1080" s="347"/>
      <c r="BH1080" s="347"/>
      <c r="BI1080" s="347"/>
      <c r="BJ1080" s="586"/>
      <c r="BK1080" s="581"/>
      <c r="BL1080" s="347"/>
      <c r="BM1080" s="347"/>
      <c r="BN1080" s="347"/>
      <c r="BO1080" s="586"/>
      <c r="BP1080" s="584"/>
      <c r="BQ1080" s="347"/>
      <c r="BR1080" s="586"/>
      <c r="BS1080" s="588"/>
      <c r="BT1080" s="586"/>
      <c r="BU1080" s="589"/>
      <c r="BV1080" s="581"/>
      <c r="BW1080" s="590"/>
      <c r="BX1080" s="347"/>
      <c r="BY1080" s="347"/>
      <c r="BZ1080" s="347"/>
      <c r="CA1080" s="586"/>
      <c r="CB1080" s="581"/>
      <c r="CC1080" s="581"/>
      <c r="CD1080" s="581"/>
      <c r="CE1080" s="581"/>
      <c r="CF1080" s="581"/>
      <c r="CG1080" s="586"/>
      <c r="CH1080" s="608"/>
      <c r="CI1080" s="603"/>
      <c r="CJ1080" s="347"/>
      <c r="CK1080" s="347"/>
      <c r="CL1080" s="347"/>
      <c r="CM1080" s="347"/>
      <c r="CN1080" s="347"/>
      <c r="CO1080" s="347"/>
      <c r="CP1080" s="347"/>
    </row>
    <row r="1081">
      <c r="A1081" s="574"/>
      <c r="B1081" s="574"/>
      <c r="C1081" s="347"/>
      <c r="D1081" s="574"/>
      <c r="E1081" s="347"/>
      <c r="F1081" s="596"/>
      <c r="G1081" s="596"/>
      <c r="H1081" s="347"/>
      <c r="I1081" s="347"/>
      <c r="J1081" s="596"/>
      <c r="K1081" s="609"/>
      <c r="L1081" s="1"/>
      <c r="M1081" s="347"/>
      <c r="N1081" s="347"/>
      <c r="O1081" s="579"/>
      <c r="P1081" s="579"/>
      <c r="Q1081" s="574"/>
      <c r="R1081" s="347"/>
      <c r="S1081" s="597"/>
      <c r="T1081" s="347"/>
      <c r="U1081" s="579"/>
      <c r="V1081" s="579"/>
      <c r="W1081" s="574"/>
      <c r="X1081" s="347"/>
      <c r="Y1081" s="347"/>
      <c r="Z1081" s="347"/>
      <c r="AA1081" s="579"/>
      <c r="AB1081" s="581"/>
      <c r="AC1081" s="347"/>
      <c r="AD1081" s="347"/>
      <c r="AE1081" s="347"/>
      <c r="AF1081" s="347"/>
      <c r="AG1081" s="579"/>
      <c r="AH1081" s="579"/>
      <c r="AI1081" s="582"/>
      <c r="AJ1081" s="582"/>
      <c r="AK1081" s="582"/>
      <c r="AL1081" s="582"/>
      <c r="AM1081" s="579"/>
      <c r="AN1081" s="579"/>
      <c r="AO1081" s="347"/>
      <c r="AP1081" s="586"/>
      <c r="AQ1081" s="596"/>
      <c r="AR1081" s="596"/>
      <c r="AS1081" s="348"/>
      <c r="AT1081" s="348"/>
      <c r="AU1081" s="348"/>
      <c r="AV1081" s="348"/>
      <c r="AW1081" s="348"/>
      <c r="AX1081" s="584"/>
      <c r="AY1081" s="581"/>
      <c r="AZ1081" s="581"/>
      <c r="BA1081" s="596"/>
      <c r="BB1081" s="596"/>
      <c r="BC1081" s="348"/>
      <c r="BD1081" s="581"/>
      <c r="BE1081" s="581"/>
      <c r="BF1081" s="347"/>
      <c r="BG1081" s="347"/>
      <c r="BH1081" s="347"/>
      <c r="BI1081" s="347"/>
      <c r="BJ1081" s="586"/>
      <c r="BK1081" s="581"/>
      <c r="BL1081" s="347"/>
      <c r="BM1081" s="347"/>
      <c r="BN1081" s="347"/>
      <c r="BO1081" s="586"/>
      <c r="BP1081" s="584"/>
      <c r="BQ1081" s="347"/>
      <c r="BR1081" s="586"/>
      <c r="BS1081" s="588"/>
      <c r="BT1081" s="586"/>
      <c r="BU1081" s="589"/>
      <c r="BV1081" s="581"/>
      <c r="BW1081" s="590"/>
      <c r="BX1081" s="347"/>
      <c r="BY1081" s="347"/>
      <c r="BZ1081" s="347"/>
      <c r="CA1081" s="586"/>
      <c r="CB1081" s="581"/>
      <c r="CC1081" s="581"/>
      <c r="CD1081" s="581"/>
      <c r="CE1081" s="581"/>
      <c r="CF1081" s="581"/>
      <c r="CG1081" s="586"/>
      <c r="CH1081" s="608"/>
      <c r="CI1081" s="603"/>
      <c r="CJ1081" s="347"/>
      <c r="CK1081" s="347"/>
      <c r="CL1081" s="347"/>
      <c r="CM1081" s="347"/>
      <c r="CN1081" s="347"/>
      <c r="CO1081" s="347"/>
      <c r="CP1081" s="347"/>
    </row>
    <row r="1082">
      <c r="A1082" s="574"/>
      <c r="B1082" s="574"/>
      <c r="C1082" s="347"/>
      <c r="D1082" s="574"/>
      <c r="E1082" s="347"/>
      <c r="F1082" s="596"/>
      <c r="G1082" s="596"/>
      <c r="H1082" s="347"/>
      <c r="I1082" s="347"/>
      <c r="J1082" s="596"/>
      <c r="K1082" s="609"/>
      <c r="L1082" s="1"/>
      <c r="M1082" s="347"/>
      <c r="N1082" s="347"/>
      <c r="O1082" s="579"/>
      <c r="P1082" s="579"/>
      <c r="Q1082" s="574"/>
      <c r="R1082" s="347"/>
      <c r="S1082" s="597"/>
      <c r="T1082" s="347"/>
      <c r="U1082" s="579"/>
      <c r="V1082" s="579"/>
      <c r="W1082" s="574"/>
      <c r="X1082" s="347"/>
      <c r="Y1082" s="347"/>
      <c r="Z1082" s="347"/>
      <c r="AA1082" s="579"/>
      <c r="AB1082" s="581"/>
      <c r="AC1082" s="347"/>
      <c r="AD1082" s="347"/>
      <c r="AE1082" s="347"/>
      <c r="AF1082" s="347"/>
      <c r="AG1082" s="579"/>
      <c r="AH1082" s="579"/>
      <c r="AI1082" s="582"/>
      <c r="AJ1082" s="582"/>
      <c r="AK1082" s="582"/>
      <c r="AL1082" s="582"/>
      <c r="AM1082" s="579"/>
      <c r="AN1082" s="579"/>
      <c r="AO1082" s="347"/>
      <c r="AP1082" s="586"/>
      <c r="AQ1082" s="596"/>
      <c r="AR1082" s="596"/>
      <c r="AS1082" s="348"/>
      <c r="AT1082" s="348"/>
      <c r="AU1082" s="348"/>
      <c r="AV1082" s="348"/>
      <c r="AW1082" s="348"/>
      <c r="AX1082" s="584"/>
      <c r="AY1082" s="581"/>
      <c r="AZ1082" s="581"/>
      <c r="BA1082" s="596"/>
      <c r="BB1082" s="596"/>
      <c r="BC1082" s="348"/>
      <c r="BD1082" s="581"/>
      <c r="BE1082" s="581"/>
      <c r="BF1082" s="347"/>
      <c r="BG1082" s="347"/>
      <c r="BH1082" s="347"/>
      <c r="BI1082" s="347"/>
      <c r="BJ1082" s="586"/>
      <c r="BK1082" s="581"/>
      <c r="BL1082" s="347"/>
      <c r="BM1082" s="347"/>
      <c r="BN1082" s="347"/>
      <c r="BO1082" s="586"/>
      <c r="BP1082" s="584"/>
      <c r="BQ1082" s="347"/>
      <c r="BR1082" s="586"/>
      <c r="BS1082" s="588"/>
      <c r="BT1082" s="586"/>
      <c r="BU1082" s="589"/>
      <c r="BV1082" s="581"/>
      <c r="BW1082" s="590"/>
      <c r="BX1082" s="347"/>
      <c r="BY1082" s="347"/>
      <c r="BZ1082" s="347"/>
      <c r="CA1082" s="586"/>
      <c r="CB1082" s="581"/>
      <c r="CC1082" s="581"/>
      <c r="CD1082" s="581"/>
      <c r="CE1082" s="581"/>
      <c r="CF1082" s="581"/>
      <c r="CG1082" s="586"/>
      <c r="CH1082" s="608"/>
      <c r="CI1082" s="603"/>
      <c r="CJ1082" s="347"/>
      <c r="CK1082" s="347"/>
      <c r="CL1082" s="347"/>
      <c r="CM1082" s="347"/>
      <c r="CN1082" s="347"/>
      <c r="CO1082" s="347"/>
      <c r="CP1082" s="347"/>
    </row>
    <row r="1083">
      <c r="A1083" s="574"/>
      <c r="B1083" s="574"/>
      <c r="C1083" s="347"/>
      <c r="D1083" s="574"/>
      <c r="E1083" s="347"/>
      <c r="F1083" s="596"/>
      <c r="G1083" s="596"/>
      <c r="H1083" s="347"/>
      <c r="I1083" s="347"/>
      <c r="J1083" s="596"/>
      <c r="K1083" s="609"/>
      <c r="L1083" s="1"/>
      <c r="M1083" s="347"/>
      <c r="N1083" s="347"/>
      <c r="O1083" s="579"/>
      <c r="P1083" s="579"/>
      <c r="Q1083" s="574"/>
      <c r="R1083" s="347"/>
      <c r="S1083" s="597"/>
      <c r="T1083" s="347"/>
      <c r="U1083" s="579"/>
      <c r="V1083" s="579"/>
      <c r="W1083" s="574"/>
      <c r="X1083" s="347"/>
      <c r="Y1083" s="347"/>
      <c r="Z1083" s="347"/>
      <c r="AA1083" s="579"/>
      <c r="AB1083" s="581"/>
      <c r="AC1083" s="347"/>
      <c r="AD1083" s="347"/>
      <c r="AE1083" s="347"/>
      <c r="AF1083" s="347"/>
      <c r="AG1083" s="579"/>
      <c r="AH1083" s="579"/>
      <c r="AI1083" s="582"/>
      <c r="AJ1083" s="582"/>
      <c r="AK1083" s="582"/>
      <c r="AL1083" s="582"/>
      <c r="AM1083" s="579"/>
      <c r="AN1083" s="579"/>
      <c r="AO1083" s="347"/>
      <c r="AP1083" s="586"/>
      <c r="AQ1083" s="596"/>
      <c r="AR1083" s="596"/>
      <c r="AS1083" s="348"/>
      <c r="AT1083" s="348"/>
      <c r="AU1083" s="348"/>
      <c r="AV1083" s="348"/>
      <c r="AW1083" s="348"/>
      <c r="AX1083" s="584"/>
      <c r="AY1083" s="581"/>
      <c r="AZ1083" s="581"/>
      <c r="BA1083" s="596"/>
      <c r="BB1083" s="596"/>
      <c r="BC1083" s="348"/>
      <c r="BD1083" s="581"/>
      <c r="BE1083" s="581"/>
      <c r="BF1083" s="347"/>
      <c r="BG1083" s="347"/>
      <c r="BH1083" s="347"/>
      <c r="BI1083" s="347"/>
      <c r="BJ1083" s="586"/>
      <c r="BK1083" s="581"/>
      <c r="BL1083" s="347"/>
      <c r="BM1083" s="347"/>
      <c r="BN1083" s="347"/>
      <c r="BO1083" s="586"/>
      <c r="BP1083" s="584"/>
      <c r="BQ1083" s="347"/>
      <c r="BR1083" s="586"/>
      <c r="BS1083" s="588"/>
      <c r="BT1083" s="586"/>
      <c r="BU1083" s="589"/>
      <c r="BV1083" s="581"/>
      <c r="BW1083" s="590"/>
      <c r="BX1083" s="347"/>
      <c r="BY1083" s="347"/>
      <c r="BZ1083" s="347"/>
      <c r="CA1083" s="586"/>
      <c r="CB1083" s="581"/>
      <c r="CC1083" s="581"/>
      <c r="CD1083" s="581"/>
      <c r="CE1083" s="581"/>
      <c r="CF1083" s="581"/>
      <c r="CG1083" s="586"/>
      <c r="CH1083" s="608"/>
      <c r="CI1083" s="603"/>
      <c r="CJ1083" s="347"/>
      <c r="CK1083" s="347"/>
      <c r="CL1083" s="347"/>
      <c r="CM1083" s="347"/>
      <c r="CN1083" s="347"/>
      <c r="CO1083" s="347"/>
      <c r="CP1083" s="347"/>
    </row>
    <row r="1084">
      <c r="A1084" s="574"/>
      <c r="B1084" s="574"/>
      <c r="C1084" s="347"/>
      <c r="D1084" s="574"/>
      <c r="E1084" s="347"/>
      <c r="F1084" s="596"/>
      <c r="G1084" s="596"/>
      <c r="H1084" s="347"/>
      <c r="I1084" s="347"/>
      <c r="J1084" s="596"/>
      <c r="K1084" s="609"/>
      <c r="L1084" s="1"/>
      <c r="M1084" s="347"/>
      <c r="N1084" s="347"/>
      <c r="O1084" s="579"/>
      <c r="P1084" s="579"/>
      <c r="Q1084" s="574"/>
      <c r="R1084" s="347"/>
      <c r="S1084" s="597"/>
      <c r="T1084" s="347"/>
      <c r="U1084" s="579"/>
      <c r="V1084" s="579"/>
      <c r="W1084" s="574"/>
      <c r="X1084" s="347"/>
      <c r="Y1084" s="347"/>
      <c r="Z1084" s="347"/>
      <c r="AA1084" s="579"/>
      <c r="AB1084" s="581"/>
      <c r="AC1084" s="347"/>
      <c r="AD1084" s="347"/>
      <c r="AE1084" s="347"/>
      <c r="AF1084" s="347"/>
      <c r="AG1084" s="579"/>
      <c r="AH1084" s="579"/>
      <c r="AI1084" s="582"/>
      <c r="AJ1084" s="582"/>
      <c r="AK1084" s="582"/>
      <c r="AL1084" s="582"/>
      <c r="AM1084" s="579"/>
      <c r="AN1084" s="579"/>
      <c r="AO1084" s="347"/>
      <c r="AP1084" s="586"/>
      <c r="AQ1084" s="596"/>
      <c r="AR1084" s="596"/>
      <c r="AS1084" s="348"/>
      <c r="AT1084" s="348"/>
      <c r="AU1084" s="348"/>
      <c r="AV1084" s="348"/>
      <c r="AW1084" s="348"/>
      <c r="AX1084" s="584"/>
      <c r="AY1084" s="581"/>
      <c r="AZ1084" s="581"/>
      <c r="BA1084" s="596"/>
      <c r="BB1084" s="596"/>
      <c r="BC1084" s="348"/>
      <c r="BD1084" s="581"/>
      <c r="BE1084" s="581"/>
      <c r="BF1084" s="347"/>
      <c r="BG1084" s="347"/>
      <c r="BH1084" s="347"/>
      <c r="BI1084" s="347"/>
      <c r="BJ1084" s="586"/>
      <c r="BK1084" s="581"/>
      <c r="BL1084" s="347"/>
      <c r="BM1084" s="347"/>
      <c r="BN1084" s="347"/>
      <c r="BO1084" s="586"/>
      <c r="BP1084" s="584"/>
      <c r="BQ1084" s="347"/>
      <c r="BR1084" s="586"/>
      <c r="BS1084" s="588"/>
      <c r="BT1084" s="586"/>
      <c r="BU1084" s="589"/>
      <c r="BV1084" s="581"/>
      <c r="BW1084" s="590"/>
      <c r="BX1084" s="347"/>
      <c r="BY1084" s="347"/>
      <c r="BZ1084" s="347"/>
      <c r="CA1084" s="586"/>
      <c r="CB1084" s="581"/>
      <c r="CC1084" s="581"/>
      <c r="CD1084" s="581"/>
      <c r="CE1084" s="581"/>
      <c r="CF1084" s="581"/>
      <c r="CG1084" s="586"/>
      <c r="CH1084" s="608"/>
      <c r="CI1084" s="603"/>
      <c r="CJ1084" s="347"/>
      <c r="CK1084" s="347"/>
      <c r="CL1084" s="347"/>
      <c r="CM1084" s="347"/>
      <c r="CN1084" s="347"/>
      <c r="CO1084" s="347"/>
      <c r="CP1084" s="347"/>
    </row>
    <row r="1085">
      <c r="A1085" s="574"/>
      <c r="B1085" s="574"/>
      <c r="C1085" s="347"/>
      <c r="D1085" s="574"/>
      <c r="E1085" s="347"/>
      <c r="F1085" s="596"/>
      <c r="G1085" s="596"/>
      <c r="H1085" s="347"/>
      <c r="I1085" s="347"/>
      <c r="J1085" s="596"/>
      <c r="K1085" s="609"/>
      <c r="L1085" s="1"/>
      <c r="M1085" s="347"/>
      <c r="N1085" s="347"/>
      <c r="O1085" s="579"/>
      <c r="P1085" s="579"/>
      <c r="Q1085" s="574"/>
      <c r="R1085" s="347"/>
      <c r="S1085" s="597"/>
      <c r="T1085" s="347"/>
      <c r="U1085" s="579"/>
      <c r="V1085" s="579"/>
      <c r="W1085" s="574"/>
      <c r="X1085" s="347"/>
      <c r="Y1085" s="347"/>
      <c r="Z1085" s="347"/>
      <c r="AA1085" s="579"/>
      <c r="AB1085" s="581"/>
      <c r="AC1085" s="347"/>
      <c r="AD1085" s="347"/>
      <c r="AE1085" s="347"/>
      <c r="AF1085" s="347"/>
      <c r="AG1085" s="579"/>
      <c r="AH1085" s="579"/>
      <c r="AI1085" s="582"/>
      <c r="AJ1085" s="582"/>
      <c r="AK1085" s="582"/>
      <c r="AL1085" s="582"/>
      <c r="AM1085" s="579"/>
      <c r="AN1085" s="579"/>
      <c r="AO1085" s="347"/>
      <c r="AP1085" s="586"/>
      <c r="AQ1085" s="596"/>
      <c r="AR1085" s="596"/>
      <c r="AS1085" s="348"/>
      <c r="AT1085" s="348"/>
      <c r="AU1085" s="348"/>
      <c r="AV1085" s="348"/>
      <c r="AW1085" s="348"/>
      <c r="AX1085" s="584"/>
      <c r="AY1085" s="581"/>
      <c r="AZ1085" s="581"/>
      <c r="BA1085" s="596"/>
      <c r="BB1085" s="596"/>
      <c r="BC1085" s="348"/>
      <c r="BD1085" s="581"/>
      <c r="BE1085" s="581"/>
      <c r="BF1085" s="347"/>
      <c r="BG1085" s="347"/>
      <c r="BH1085" s="347"/>
      <c r="BI1085" s="347"/>
      <c r="BJ1085" s="586"/>
      <c r="BK1085" s="581"/>
      <c r="BL1085" s="347"/>
      <c r="BM1085" s="347"/>
      <c r="BN1085" s="347"/>
      <c r="BO1085" s="586"/>
      <c r="BP1085" s="584"/>
      <c r="BQ1085" s="347"/>
      <c r="BR1085" s="586"/>
      <c r="BS1085" s="588"/>
      <c r="BT1085" s="586"/>
      <c r="BU1085" s="589"/>
      <c r="BV1085" s="581"/>
      <c r="BW1085" s="590"/>
      <c r="BX1085" s="347"/>
      <c r="BY1085" s="347"/>
      <c r="BZ1085" s="347"/>
      <c r="CA1085" s="586"/>
      <c r="CB1085" s="581"/>
      <c r="CC1085" s="581"/>
      <c r="CD1085" s="581"/>
      <c r="CE1085" s="581"/>
      <c r="CF1085" s="581"/>
      <c r="CG1085" s="586"/>
      <c r="CH1085" s="608"/>
      <c r="CI1085" s="603"/>
      <c r="CJ1085" s="347"/>
      <c r="CK1085" s="347"/>
      <c r="CL1085" s="347"/>
      <c r="CM1085" s="347"/>
      <c r="CN1085" s="347"/>
      <c r="CO1085" s="347"/>
      <c r="CP1085" s="347"/>
    </row>
    <row r="1086">
      <c r="A1086" s="574"/>
      <c r="B1086" s="574"/>
      <c r="C1086" s="347"/>
      <c r="D1086" s="574"/>
      <c r="E1086" s="347"/>
      <c r="F1086" s="596"/>
      <c r="G1086" s="596"/>
      <c r="H1086" s="347"/>
      <c r="I1086" s="347"/>
      <c r="J1086" s="596"/>
      <c r="K1086" s="609"/>
      <c r="L1086" s="1"/>
      <c r="M1086" s="347"/>
      <c r="N1086" s="347"/>
      <c r="O1086" s="579"/>
      <c r="P1086" s="579"/>
      <c r="Q1086" s="574"/>
      <c r="R1086" s="347"/>
      <c r="S1086" s="597"/>
      <c r="T1086" s="347"/>
      <c r="U1086" s="579"/>
      <c r="V1086" s="579"/>
      <c r="W1086" s="574"/>
      <c r="X1086" s="347"/>
      <c r="Y1086" s="347"/>
      <c r="Z1086" s="347"/>
      <c r="AA1086" s="579"/>
      <c r="AB1086" s="581"/>
      <c r="AC1086" s="347"/>
      <c r="AD1086" s="347"/>
      <c r="AE1086" s="347"/>
      <c r="AF1086" s="347"/>
      <c r="AG1086" s="579"/>
      <c r="AH1086" s="579"/>
      <c r="AI1086" s="582"/>
      <c r="AJ1086" s="582"/>
      <c r="AK1086" s="582"/>
      <c r="AL1086" s="582"/>
      <c r="AM1086" s="579"/>
      <c r="AN1086" s="579"/>
      <c r="AO1086" s="347"/>
      <c r="AP1086" s="586"/>
      <c r="AQ1086" s="596"/>
      <c r="AR1086" s="596"/>
      <c r="AS1086" s="348"/>
      <c r="AT1086" s="348"/>
      <c r="AU1086" s="348"/>
      <c r="AV1086" s="348"/>
      <c r="AW1086" s="348"/>
      <c r="AX1086" s="584"/>
      <c r="AY1086" s="581"/>
      <c r="AZ1086" s="581"/>
      <c r="BA1086" s="596"/>
      <c r="BB1086" s="596"/>
      <c r="BC1086" s="348"/>
      <c r="BD1086" s="581"/>
      <c r="BE1086" s="581"/>
      <c r="BF1086" s="347"/>
      <c r="BG1086" s="347"/>
      <c r="BH1086" s="347"/>
      <c r="BI1086" s="347"/>
      <c r="BJ1086" s="586"/>
      <c r="BK1086" s="581"/>
      <c r="BL1086" s="347"/>
      <c r="BM1086" s="347"/>
      <c r="BN1086" s="347"/>
      <c r="BO1086" s="586"/>
      <c r="BP1086" s="584"/>
      <c r="BQ1086" s="347"/>
      <c r="BR1086" s="586"/>
      <c r="BS1086" s="588"/>
      <c r="BT1086" s="586"/>
      <c r="BU1086" s="589"/>
      <c r="BV1086" s="581"/>
      <c r="BW1086" s="590"/>
      <c r="BX1086" s="347"/>
      <c r="BY1086" s="347"/>
      <c r="BZ1086" s="347"/>
      <c r="CA1086" s="586"/>
      <c r="CB1086" s="581"/>
      <c r="CC1086" s="581"/>
      <c r="CD1086" s="581"/>
      <c r="CE1086" s="581"/>
      <c r="CF1086" s="581"/>
      <c r="CG1086" s="586"/>
      <c r="CH1086" s="608"/>
      <c r="CI1086" s="603"/>
      <c r="CJ1086" s="347"/>
      <c r="CK1086" s="347"/>
      <c r="CL1086" s="347"/>
      <c r="CM1086" s="347"/>
      <c r="CN1086" s="347"/>
      <c r="CO1086" s="347"/>
      <c r="CP1086" s="347"/>
    </row>
    <row r="1087">
      <c r="A1087" s="574"/>
      <c r="B1087" s="574"/>
      <c r="C1087" s="347"/>
      <c r="D1087" s="574"/>
      <c r="E1087" s="347"/>
      <c r="F1087" s="596"/>
      <c r="G1087" s="596"/>
      <c r="H1087" s="347"/>
      <c r="I1087" s="347"/>
      <c r="J1087" s="596"/>
      <c r="K1087" s="609"/>
      <c r="L1087" s="1"/>
      <c r="M1087" s="347"/>
      <c r="N1087" s="347"/>
      <c r="O1087" s="579"/>
      <c r="P1087" s="579"/>
      <c r="Q1087" s="574"/>
      <c r="R1087" s="347"/>
      <c r="S1087" s="597"/>
      <c r="T1087" s="347"/>
      <c r="U1087" s="579"/>
      <c r="V1087" s="579"/>
      <c r="W1087" s="574"/>
      <c r="X1087" s="347"/>
      <c r="Y1087" s="347"/>
      <c r="Z1087" s="347"/>
      <c r="AA1087" s="579"/>
      <c r="AB1087" s="581"/>
      <c r="AC1087" s="347"/>
      <c r="AD1087" s="347"/>
      <c r="AE1087" s="347"/>
      <c r="AF1087" s="347"/>
      <c r="AG1087" s="579"/>
      <c r="AH1087" s="579"/>
      <c r="AI1087" s="582"/>
      <c r="AJ1087" s="582"/>
      <c r="AK1087" s="582"/>
      <c r="AL1087" s="582"/>
      <c r="AM1087" s="579"/>
      <c r="AN1087" s="579"/>
      <c r="AO1087" s="347"/>
      <c r="AP1087" s="586"/>
      <c r="AQ1087" s="596"/>
      <c r="AR1087" s="596"/>
      <c r="AS1087" s="348"/>
      <c r="AT1087" s="348"/>
      <c r="AU1087" s="348"/>
      <c r="AV1087" s="348"/>
      <c r="AW1087" s="348"/>
      <c r="AX1087" s="584"/>
      <c r="AY1087" s="581"/>
      <c r="AZ1087" s="581"/>
      <c r="BA1087" s="596"/>
      <c r="BB1087" s="596"/>
      <c r="BC1087" s="348"/>
      <c r="BD1087" s="581"/>
      <c r="BE1087" s="581"/>
      <c r="BF1087" s="347"/>
      <c r="BG1087" s="347"/>
      <c r="BH1087" s="347"/>
      <c r="BI1087" s="347"/>
      <c r="BJ1087" s="586"/>
      <c r="BK1087" s="581"/>
      <c r="BL1087" s="347"/>
      <c r="BM1087" s="347"/>
      <c r="BN1087" s="347"/>
      <c r="BO1087" s="586"/>
      <c r="BP1087" s="584"/>
      <c r="BQ1087" s="347"/>
      <c r="BR1087" s="586"/>
      <c r="BS1087" s="588"/>
      <c r="BT1087" s="586"/>
      <c r="BU1087" s="589"/>
      <c r="BV1087" s="581"/>
      <c r="BW1087" s="590"/>
      <c r="BX1087" s="347"/>
      <c r="BY1087" s="347"/>
      <c r="BZ1087" s="347"/>
      <c r="CA1087" s="586"/>
      <c r="CB1087" s="581"/>
      <c r="CC1087" s="581"/>
      <c r="CD1087" s="581"/>
      <c r="CE1087" s="581"/>
      <c r="CF1087" s="581"/>
      <c r="CG1087" s="586"/>
      <c r="CH1087" s="608"/>
      <c r="CI1087" s="603"/>
      <c r="CJ1087" s="347"/>
      <c r="CK1087" s="347"/>
      <c r="CL1087" s="347"/>
      <c r="CM1087" s="347"/>
      <c r="CN1087" s="347"/>
      <c r="CO1087" s="347"/>
      <c r="CP1087" s="347"/>
    </row>
    <row r="1088">
      <c r="A1088" s="574"/>
      <c r="B1088" s="574"/>
      <c r="C1088" s="347"/>
      <c r="D1088" s="574"/>
      <c r="E1088" s="347"/>
      <c r="F1088" s="596"/>
      <c r="G1088" s="596"/>
      <c r="H1088" s="347"/>
      <c r="I1088" s="347"/>
      <c r="J1088" s="596"/>
      <c r="K1088" s="609"/>
      <c r="L1088" s="1"/>
      <c r="M1088" s="347"/>
      <c r="N1088" s="347"/>
      <c r="O1088" s="579"/>
      <c r="P1088" s="579"/>
      <c r="Q1088" s="574"/>
      <c r="R1088" s="347"/>
      <c r="S1088" s="597"/>
      <c r="T1088" s="347"/>
      <c r="U1088" s="579"/>
      <c r="V1088" s="579"/>
      <c r="W1088" s="574"/>
      <c r="X1088" s="347"/>
      <c r="Y1088" s="347"/>
      <c r="Z1088" s="347"/>
      <c r="AA1088" s="579"/>
      <c r="AB1088" s="581"/>
      <c r="AC1088" s="347"/>
      <c r="AD1088" s="347"/>
      <c r="AE1088" s="347"/>
      <c r="AF1088" s="347"/>
      <c r="AG1088" s="579"/>
      <c r="AH1088" s="579"/>
      <c r="AI1088" s="582"/>
      <c r="AJ1088" s="582"/>
      <c r="AK1088" s="582"/>
      <c r="AL1088" s="582"/>
      <c r="AM1088" s="579"/>
      <c r="AN1088" s="579"/>
      <c r="AO1088" s="347"/>
      <c r="AP1088" s="586"/>
      <c r="AQ1088" s="596"/>
      <c r="AR1088" s="596"/>
      <c r="AS1088" s="348"/>
      <c r="AT1088" s="348"/>
      <c r="AU1088" s="348"/>
      <c r="AV1088" s="348"/>
      <c r="AW1088" s="348"/>
      <c r="AX1088" s="584"/>
      <c r="AY1088" s="581"/>
      <c r="AZ1088" s="581"/>
      <c r="BA1088" s="596"/>
      <c r="BB1088" s="596"/>
      <c r="BC1088" s="348"/>
      <c r="BD1088" s="581"/>
      <c r="BE1088" s="581"/>
      <c r="BF1088" s="347"/>
      <c r="BG1088" s="347"/>
      <c r="BH1088" s="347"/>
      <c r="BI1088" s="347"/>
      <c r="BJ1088" s="586"/>
      <c r="BK1088" s="581"/>
      <c r="BL1088" s="347"/>
      <c r="BM1088" s="347"/>
      <c r="BN1088" s="347"/>
      <c r="BO1088" s="586"/>
      <c r="BP1088" s="584"/>
      <c r="BQ1088" s="347"/>
      <c r="BR1088" s="586"/>
      <c r="BS1088" s="588"/>
      <c r="BT1088" s="586"/>
      <c r="BU1088" s="589"/>
      <c r="BV1088" s="581"/>
      <c r="BW1088" s="590"/>
      <c r="BX1088" s="347"/>
      <c r="BY1088" s="347"/>
      <c r="BZ1088" s="347"/>
      <c r="CA1088" s="586"/>
      <c r="CB1088" s="581"/>
      <c r="CC1088" s="581"/>
      <c r="CD1088" s="581"/>
      <c r="CE1088" s="581"/>
      <c r="CF1088" s="581"/>
      <c r="CG1088" s="586"/>
      <c r="CH1088" s="608"/>
      <c r="CI1088" s="603"/>
      <c r="CJ1088" s="347"/>
      <c r="CK1088" s="347"/>
      <c r="CL1088" s="347"/>
      <c r="CM1088" s="347"/>
      <c r="CN1088" s="347"/>
      <c r="CO1088" s="347"/>
      <c r="CP1088" s="347"/>
    </row>
    <row r="1089">
      <c r="A1089" s="574"/>
      <c r="B1089" s="574"/>
      <c r="C1089" s="347"/>
      <c r="D1089" s="574"/>
      <c r="E1089" s="347"/>
      <c r="F1089" s="596"/>
      <c r="G1089" s="596"/>
      <c r="H1089" s="347"/>
      <c r="I1089" s="347"/>
      <c r="J1089" s="596"/>
      <c r="K1089" s="609"/>
      <c r="L1089" s="1"/>
      <c r="M1089" s="347"/>
      <c r="N1089" s="347"/>
      <c r="O1089" s="579"/>
      <c r="P1089" s="579"/>
      <c r="Q1089" s="574"/>
      <c r="R1089" s="347"/>
      <c r="S1089" s="597"/>
      <c r="T1089" s="347"/>
      <c r="U1089" s="579"/>
      <c r="V1089" s="579"/>
      <c r="W1089" s="574"/>
      <c r="X1089" s="347"/>
      <c r="Y1089" s="347"/>
      <c r="Z1089" s="347"/>
      <c r="AA1089" s="579"/>
      <c r="AB1089" s="581"/>
      <c r="AC1089" s="347"/>
      <c r="AD1089" s="347"/>
      <c r="AE1089" s="347"/>
      <c r="AF1089" s="347"/>
      <c r="AG1089" s="579"/>
      <c r="AH1089" s="579"/>
      <c r="AI1089" s="582"/>
      <c r="AJ1089" s="582"/>
      <c r="AK1089" s="582"/>
      <c r="AL1089" s="582"/>
      <c r="AM1089" s="579"/>
      <c r="AN1089" s="579"/>
      <c r="AO1089" s="347"/>
      <c r="AP1089" s="586"/>
      <c r="AQ1089" s="596"/>
      <c r="AR1089" s="596"/>
      <c r="AS1089" s="348"/>
      <c r="AT1089" s="348"/>
      <c r="AU1089" s="348"/>
      <c r="AV1089" s="348"/>
      <c r="AW1089" s="348"/>
      <c r="AX1089" s="584"/>
      <c r="AY1089" s="581"/>
      <c r="AZ1089" s="581"/>
      <c r="BA1089" s="596"/>
      <c r="BB1089" s="596"/>
      <c r="BC1089" s="348"/>
      <c r="BD1089" s="581"/>
      <c r="BE1089" s="581"/>
      <c r="BF1089" s="347"/>
      <c r="BG1089" s="347"/>
      <c r="BH1089" s="347"/>
      <c r="BI1089" s="347"/>
      <c r="BJ1089" s="586"/>
      <c r="BK1089" s="581"/>
      <c r="BL1089" s="347"/>
      <c r="BM1089" s="347"/>
      <c r="BN1089" s="347"/>
      <c r="BO1089" s="586"/>
      <c r="BP1089" s="584"/>
      <c r="BQ1089" s="347"/>
      <c r="BR1089" s="586"/>
      <c r="BS1089" s="588"/>
      <c r="BT1089" s="586"/>
      <c r="BU1089" s="589"/>
      <c r="BV1089" s="581"/>
      <c r="BW1089" s="590"/>
      <c r="BX1089" s="347"/>
      <c r="BY1089" s="347"/>
      <c r="BZ1089" s="347"/>
      <c r="CA1089" s="586"/>
      <c r="CB1089" s="581"/>
      <c r="CC1089" s="581"/>
      <c r="CD1089" s="581"/>
      <c r="CE1089" s="581"/>
      <c r="CF1089" s="581"/>
      <c r="CG1089" s="586"/>
      <c r="CH1089" s="608"/>
      <c r="CI1089" s="603"/>
      <c r="CJ1089" s="347"/>
      <c r="CK1089" s="347"/>
      <c r="CL1089" s="347"/>
      <c r="CM1089" s="347"/>
      <c r="CN1089" s="347"/>
      <c r="CO1089" s="347"/>
      <c r="CP1089" s="347"/>
    </row>
    <row r="1090">
      <c r="A1090" s="574"/>
      <c r="B1090" s="574"/>
      <c r="C1090" s="347"/>
      <c r="D1090" s="574"/>
      <c r="E1090" s="347"/>
      <c r="F1090" s="596"/>
      <c r="G1090" s="596"/>
      <c r="H1090" s="347"/>
      <c r="I1090" s="347"/>
      <c r="J1090" s="596"/>
      <c r="K1090" s="609"/>
      <c r="L1090" s="1"/>
      <c r="M1090" s="347"/>
      <c r="N1090" s="347"/>
      <c r="O1090" s="579"/>
      <c r="P1090" s="579"/>
      <c r="Q1090" s="574"/>
      <c r="R1090" s="347"/>
      <c r="S1090" s="597"/>
      <c r="T1090" s="347"/>
      <c r="U1090" s="579"/>
      <c r="V1090" s="579"/>
      <c r="W1090" s="574"/>
      <c r="X1090" s="347"/>
      <c r="Y1090" s="347"/>
      <c r="Z1090" s="347"/>
      <c r="AA1090" s="579"/>
      <c r="AB1090" s="581"/>
      <c r="AC1090" s="347"/>
      <c r="AD1090" s="347"/>
      <c r="AE1090" s="347"/>
      <c r="AF1090" s="347"/>
      <c r="AG1090" s="579"/>
      <c r="AH1090" s="579"/>
      <c r="AI1090" s="582"/>
      <c r="AJ1090" s="582"/>
      <c r="AK1090" s="582"/>
      <c r="AL1090" s="582"/>
      <c r="AM1090" s="579"/>
      <c r="AN1090" s="579"/>
      <c r="AO1090" s="347"/>
      <c r="AP1090" s="586"/>
      <c r="AQ1090" s="596"/>
      <c r="AR1090" s="596"/>
      <c r="AS1090" s="348"/>
      <c r="AT1090" s="348"/>
      <c r="AU1090" s="348"/>
      <c r="AV1090" s="348"/>
      <c r="AW1090" s="348"/>
      <c r="AX1090" s="584"/>
      <c r="AY1090" s="581"/>
      <c r="AZ1090" s="581"/>
      <c r="BA1090" s="596"/>
      <c r="BB1090" s="596"/>
      <c r="BC1090" s="348"/>
      <c r="BD1090" s="581"/>
      <c r="BE1090" s="581"/>
      <c r="BF1090" s="347"/>
      <c r="BG1090" s="347"/>
      <c r="BH1090" s="347"/>
      <c r="BI1090" s="347"/>
      <c r="BJ1090" s="586"/>
      <c r="BK1090" s="581"/>
      <c r="BL1090" s="347"/>
      <c r="BM1090" s="347"/>
      <c r="BN1090" s="347"/>
      <c r="BO1090" s="586"/>
      <c r="BP1090" s="584"/>
      <c r="BQ1090" s="347"/>
      <c r="BR1090" s="586"/>
      <c r="BS1090" s="588"/>
      <c r="BT1090" s="586"/>
      <c r="BU1090" s="589"/>
      <c r="BV1090" s="581"/>
      <c r="BW1090" s="590"/>
      <c r="BX1090" s="347"/>
      <c r="BY1090" s="347"/>
      <c r="BZ1090" s="347"/>
      <c r="CA1090" s="586"/>
      <c r="CB1090" s="581"/>
      <c r="CC1090" s="581"/>
      <c r="CD1090" s="581"/>
      <c r="CE1090" s="581"/>
      <c r="CF1090" s="581"/>
      <c r="CG1090" s="586"/>
      <c r="CH1090" s="608"/>
      <c r="CI1090" s="603"/>
      <c r="CJ1090" s="347"/>
      <c r="CK1090" s="347"/>
      <c r="CL1090" s="347"/>
      <c r="CM1090" s="347"/>
      <c r="CN1090" s="347"/>
      <c r="CO1090" s="347"/>
      <c r="CP1090" s="347"/>
    </row>
    <row r="1091">
      <c r="A1091" s="574"/>
      <c r="B1091" s="574"/>
      <c r="C1091" s="347"/>
      <c r="D1091" s="574"/>
      <c r="E1091" s="347"/>
      <c r="F1091" s="596"/>
      <c r="G1091" s="596"/>
      <c r="H1091" s="347"/>
      <c r="I1091" s="347"/>
      <c r="J1091" s="596"/>
      <c r="K1091" s="609"/>
      <c r="L1091" s="1"/>
      <c r="M1091" s="347"/>
      <c r="N1091" s="347"/>
      <c r="O1091" s="579"/>
      <c r="P1091" s="579"/>
      <c r="Q1091" s="574"/>
      <c r="R1091" s="347"/>
      <c r="S1091" s="597"/>
      <c r="T1091" s="347"/>
      <c r="U1091" s="579"/>
      <c r="V1091" s="579"/>
      <c r="W1091" s="574"/>
      <c r="X1091" s="347"/>
      <c r="Y1091" s="347"/>
      <c r="Z1091" s="347"/>
      <c r="AA1091" s="579"/>
      <c r="AB1091" s="581"/>
      <c r="AC1091" s="347"/>
      <c r="AD1091" s="347"/>
      <c r="AE1091" s="347"/>
      <c r="AF1091" s="347"/>
      <c r="AG1091" s="579"/>
      <c r="AH1091" s="579"/>
      <c r="AI1091" s="582"/>
      <c r="AJ1091" s="582"/>
      <c r="AK1091" s="582"/>
      <c r="AL1091" s="582"/>
      <c r="AM1091" s="579"/>
      <c r="AN1091" s="579"/>
      <c r="AO1091" s="347"/>
      <c r="AP1091" s="586"/>
      <c r="AQ1091" s="596"/>
      <c r="AR1091" s="596"/>
      <c r="AS1091" s="348"/>
      <c r="AT1091" s="348"/>
      <c r="AU1091" s="348"/>
      <c r="AV1091" s="348"/>
      <c r="AW1091" s="348"/>
      <c r="AX1091" s="584"/>
      <c r="AY1091" s="581"/>
      <c r="AZ1091" s="581"/>
      <c r="BA1091" s="596"/>
      <c r="BB1091" s="596"/>
      <c r="BC1091" s="348"/>
      <c r="BD1091" s="581"/>
      <c r="BE1091" s="581"/>
      <c r="BF1091" s="347"/>
      <c r="BG1091" s="347"/>
      <c r="BH1091" s="347"/>
      <c r="BI1091" s="347"/>
      <c r="BJ1091" s="586"/>
      <c r="BK1091" s="581"/>
      <c r="BL1091" s="347"/>
      <c r="BM1091" s="347"/>
      <c r="BN1091" s="347"/>
      <c r="BO1091" s="586"/>
      <c r="BP1091" s="584"/>
      <c r="BQ1091" s="347"/>
      <c r="BR1091" s="586"/>
      <c r="BS1091" s="588"/>
      <c r="BT1091" s="586"/>
      <c r="BU1091" s="589"/>
      <c r="BV1091" s="581"/>
      <c r="BW1091" s="590"/>
      <c r="BX1091" s="347"/>
      <c r="BY1091" s="347"/>
      <c r="BZ1091" s="347"/>
      <c r="CA1091" s="586"/>
      <c r="CB1091" s="581"/>
      <c r="CC1091" s="581"/>
      <c r="CD1091" s="581"/>
      <c r="CE1091" s="581"/>
      <c r="CF1091" s="581"/>
      <c r="CG1091" s="586"/>
      <c r="CH1091" s="608"/>
      <c r="CI1091" s="603"/>
      <c r="CJ1091" s="347"/>
      <c r="CK1091" s="347"/>
      <c r="CL1091" s="347"/>
      <c r="CM1091" s="347"/>
      <c r="CN1091" s="347"/>
      <c r="CO1091" s="347"/>
      <c r="CP1091" s="347"/>
    </row>
    <row r="1092">
      <c r="A1092" s="574"/>
      <c r="B1092" s="574"/>
      <c r="C1092" s="347"/>
      <c r="D1092" s="574"/>
      <c r="E1092" s="347"/>
      <c r="F1092" s="596"/>
      <c r="G1092" s="596"/>
      <c r="H1092" s="347"/>
      <c r="I1092" s="347"/>
      <c r="J1092" s="596"/>
      <c r="K1092" s="609"/>
      <c r="L1092" s="1"/>
      <c r="M1092" s="347"/>
      <c r="N1092" s="347"/>
      <c r="O1092" s="579"/>
      <c r="P1092" s="579"/>
      <c r="Q1092" s="574"/>
      <c r="R1092" s="347"/>
      <c r="S1092" s="597"/>
      <c r="T1092" s="347"/>
      <c r="U1092" s="579"/>
      <c r="V1092" s="579"/>
      <c r="W1092" s="574"/>
      <c r="X1092" s="347"/>
      <c r="Y1092" s="347"/>
      <c r="Z1092" s="347"/>
      <c r="AA1092" s="579"/>
      <c r="AB1092" s="581"/>
      <c r="AC1092" s="347"/>
      <c r="AD1092" s="347"/>
      <c r="AE1092" s="347"/>
      <c r="AF1092" s="347"/>
      <c r="AG1092" s="579"/>
      <c r="AH1092" s="579"/>
      <c r="AI1092" s="582"/>
      <c r="AJ1092" s="582"/>
      <c r="AK1092" s="582"/>
      <c r="AL1092" s="582"/>
      <c r="AM1092" s="579"/>
      <c r="AN1092" s="579"/>
      <c r="AO1092" s="347"/>
      <c r="AP1092" s="586"/>
      <c r="AQ1092" s="596"/>
      <c r="AR1092" s="596"/>
      <c r="AS1092" s="348"/>
      <c r="AT1092" s="348"/>
      <c r="AU1092" s="348"/>
      <c r="AV1092" s="348"/>
      <c r="AW1092" s="348"/>
      <c r="AX1092" s="584"/>
      <c r="AY1092" s="581"/>
      <c r="AZ1092" s="581"/>
      <c r="BA1092" s="596"/>
      <c r="BB1092" s="596"/>
      <c r="BC1092" s="348"/>
      <c r="BD1092" s="581"/>
      <c r="BE1092" s="581"/>
      <c r="BF1092" s="347"/>
      <c r="BG1092" s="347"/>
      <c r="BH1092" s="347"/>
      <c r="BI1092" s="347"/>
      <c r="BJ1092" s="586"/>
      <c r="BK1092" s="581"/>
      <c r="BL1092" s="347"/>
      <c r="BM1092" s="347"/>
      <c r="BN1092" s="347"/>
      <c r="BO1092" s="586"/>
      <c r="BP1092" s="584"/>
      <c r="BQ1092" s="347"/>
      <c r="BR1092" s="586"/>
      <c r="BS1092" s="588"/>
      <c r="BT1092" s="586"/>
      <c r="BU1092" s="589"/>
      <c r="BV1092" s="581"/>
      <c r="BW1092" s="590"/>
      <c r="BX1092" s="347"/>
      <c r="BY1092" s="347"/>
      <c r="BZ1092" s="347"/>
      <c r="CA1092" s="586"/>
      <c r="CB1092" s="581"/>
      <c r="CC1092" s="581"/>
      <c r="CD1092" s="581"/>
      <c r="CE1092" s="581"/>
      <c r="CF1092" s="581"/>
      <c r="CG1092" s="586"/>
      <c r="CH1092" s="608"/>
      <c r="CI1092" s="603"/>
      <c r="CJ1092" s="347"/>
      <c r="CK1092" s="347"/>
      <c r="CL1092" s="347"/>
      <c r="CM1092" s="347"/>
      <c r="CN1092" s="347"/>
      <c r="CO1092" s="347"/>
      <c r="CP1092" s="347"/>
    </row>
    <row r="1093">
      <c r="A1093" s="574"/>
      <c r="B1093" s="574"/>
      <c r="C1093" s="347"/>
      <c r="D1093" s="574"/>
      <c r="E1093" s="347"/>
      <c r="F1093" s="596"/>
      <c r="G1093" s="596"/>
      <c r="H1093" s="347"/>
      <c r="I1093" s="347"/>
      <c r="J1093" s="596"/>
      <c r="K1093" s="609"/>
      <c r="L1093" s="1"/>
      <c r="M1093" s="347"/>
      <c r="N1093" s="347"/>
      <c r="O1093" s="579"/>
      <c r="P1093" s="579"/>
      <c r="Q1093" s="574"/>
      <c r="R1093" s="347"/>
      <c r="S1093" s="597"/>
      <c r="T1093" s="347"/>
      <c r="U1093" s="579"/>
      <c r="V1093" s="579"/>
      <c r="W1093" s="574"/>
      <c r="X1093" s="347"/>
      <c r="Y1093" s="347"/>
      <c r="Z1093" s="347"/>
      <c r="AA1093" s="579"/>
      <c r="AB1093" s="581"/>
      <c r="AC1093" s="347"/>
      <c r="AD1093" s="347"/>
      <c r="AE1093" s="347"/>
      <c r="AF1093" s="347"/>
      <c r="AG1093" s="579"/>
      <c r="AH1093" s="579"/>
      <c r="AI1093" s="582"/>
      <c r="AJ1093" s="582"/>
      <c r="AK1093" s="582"/>
      <c r="AL1093" s="582"/>
      <c r="AM1093" s="579"/>
      <c r="AN1093" s="579"/>
      <c r="AO1093" s="347"/>
      <c r="AP1093" s="586"/>
      <c r="AQ1093" s="596"/>
      <c r="AR1093" s="596"/>
      <c r="AS1093" s="348"/>
      <c r="AT1093" s="348"/>
      <c r="AU1093" s="348"/>
      <c r="AV1093" s="348"/>
      <c r="AW1093" s="348"/>
      <c r="AX1093" s="584"/>
      <c r="AY1093" s="581"/>
      <c r="AZ1093" s="581"/>
      <c r="BA1093" s="596"/>
      <c r="BB1093" s="596"/>
      <c r="BC1093" s="348"/>
      <c r="BD1093" s="581"/>
      <c r="BE1093" s="581"/>
      <c r="BF1093" s="347"/>
      <c r="BG1093" s="347"/>
      <c r="BH1093" s="347"/>
      <c r="BI1093" s="347"/>
      <c r="BJ1093" s="586"/>
      <c r="BK1093" s="581"/>
      <c r="BL1093" s="347"/>
      <c r="BM1093" s="347"/>
      <c r="BN1093" s="347"/>
      <c r="BO1093" s="586"/>
      <c r="BP1093" s="584"/>
      <c r="BQ1093" s="347"/>
      <c r="BR1093" s="586"/>
      <c r="BS1093" s="588"/>
      <c r="BT1093" s="586"/>
      <c r="BU1093" s="589"/>
      <c r="BV1093" s="581"/>
      <c r="BW1093" s="590"/>
      <c r="BX1093" s="347"/>
      <c r="BY1093" s="347"/>
      <c r="BZ1093" s="347"/>
      <c r="CA1093" s="586"/>
      <c r="CB1093" s="581"/>
      <c r="CC1093" s="581"/>
      <c r="CD1093" s="581"/>
      <c r="CE1093" s="581"/>
      <c r="CF1093" s="581"/>
      <c r="CG1093" s="586"/>
      <c r="CH1093" s="608"/>
      <c r="CI1093" s="603"/>
      <c r="CJ1093" s="347"/>
      <c r="CK1093" s="347"/>
      <c r="CL1093" s="347"/>
      <c r="CM1093" s="347"/>
      <c r="CN1093" s="347"/>
      <c r="CO1093" s="347"/>
      <c r="CP1093" s="347"/>
    </row>
    <row r="1094">
      <c r="A1094" s="574"/>
      <c r="B1094" s="574"/>
      <c r="C1094" s="347"/>
      <c r="D1094" s="574"/>
      <c r="E1094" s="347"/>
      <c r="F1094" s="596"/>
      <c r="G1094" s="596"/>
      <c r="H1094" s="347"/>
      <c r="I1094" s="347"/>
      <c r="J1094" s="596"/>
      <c r="K1094" s="609"/>
      <c r="L1094" s="1"/>
      <c r="M1094" s="347"/>
      <c r="N1094" s="347"/>
      <c r="O1094" s="579"/>
      <c r="P1094" s="579"/>
      <c r="Q1094" s="574"/>
      <c r="R1094" s="347"/>
      <c r="S1094" s="597"/>
      <c r="T1094" s="347"/>
      <c r="U1094" s="579"/>
      <c r="V1094" s="579"/>
      <c r="W1094" s="574"/>
      <c r="X1094" s="347"/>
      <c r="Y1094" s="347"/>
      <c r="Z1094" s="347"/>
      <c r="AA1094" s="579"/>
      <c r="AB1094" s="581"/>
      <c r="AC1094" s="347"/>
      <c r="AD1094" s="347"/>
      <c r="AE1094" s="347"/>
      <c r="AF1094" s="347"/>
      <c r="AG1094" s="579"/>
      <c r="AH1094" s="579"/>
      <c r="AI1094" s="582"/>
      <c r="AJ1094" s="582"/>
      <c r="AK1094" s="582"/>
      <c r="AL1094" s="582"/>
      <c r="AM1094" s="579"/>
      <c r="AN1094" s="579"/>
      <c r="AO1094" s="347"/>
      <c r="AP1094" s="586"/>
      <c r="AQ1094" s="596"/>
      <c r="AR1094" s="596"/>
      <c r="AS1094" s="348"/>
      <c r="AT1094" s="348"/>
      <c r="AU1094" s="348"/>
      <c r="AV1094" s="348"/>
      <c r="AW1094" s="348"/>
      <c r="AX1094" s="584"/>
      <c r="AY1094" s="581"/>
      <c r="AZ1094" s="581"/>
      <c r="BA1094" s="596"/>
      <c r="BB1094" s="596"/>
      <c r="BC1094" s="348"/>
      <c r="BD1094" s="581"/>
      <c r="BE1094" s="581"/>
      <c r="BF1094" s="347"/>
      <c r="BG1094" s="347"/>
      <c r="BH1094" s="347"/>
      <c r="BI1094" s="347"/>
      <c r="BJ1094" s="586"/>
      <c r="BK1094" s="581"/>
      <c r="BL1094" s="347"/>
      <c r="BM1094" s="347"/>
      <c r="BN1094" s="347"/>
      <c r="BO1094" s="586"/>
      <c r="BP1094" s="584"/>
      <c r="BQ1094" s="347"/>
      <c r="BR1094" s="586"/>
      <c r="BS1094" s="588"/>
      <c r="BT1094" s="586"/>
      <c r="BU1094" s="589"/>
      <c r="BV1094" s="581"/>
      <c r="BW1094" s="590"/>
      <c r="BX1094" s="347"/>
      <c r="BY1094" s="347"/>
      <c r="BZ1094" s="347"/>
      <c r="CA1094" s="586"/>
      <c r="CB1094" s="581"/>
      <c r="CC1094" s="581"/>
      <c r="CD1094" s="581"/>
      <c r="CE1094" s="581"/>
      <c r="CF1094" s="581"/>
      <c r="CG1094" s="586"/>
      <c r="CH1094" s="608"/>
      <c r="CI1094" s="603"/>
      <c r="CJ1094" s="347"/>
      <c r="CK1094" s="347"/>
      <c r="CL1094" s="347"/>
      <c r="CM1094" s="347"/>
      <c r="CN1094" s="347"/>
      <c r="CO1094" s="347"/>
      <c r="CP1094" s="347"/>
    </row>
    <row r="1095">
      <c r="A1095" s="574"/>
      <c r="B1095" s="574"/>
      <c r="C1095" s="347"/>
      <c r="D1095" s="574"/>
      <c r="E1095" s="347"/>
      <c r="F1095" s="596"/>
      <c r="G1095" s="596"/>
      <c r="H1095" s="347"/>
      <c r="I1095" s="347"/>
      <c r="J1095" s="596"/>
      <c r="K1095" s="609"/>
      <c r="L1095" s="1"/>
      <c r="M1095" s="347"/>
      <c r="N1095" s="347"/>
      <c r="O1095" s="579"/>
      <c r="P1095" s="579"/>
      <c r="Q1095" s="574"/>
      <c r="R1095" s="347"/>
      <c r="S1095" s="597"/>
      <c r="T1095" s="347"/>
      <c r="U1095" s="579"/>
      <c r="V1095" s="579"/>
      <c r="W1095" s="574"/>
      <c r="X1095" s="347"/>
      <c r="Y1095" s="347"/>
      <c r="Z1095" s="347"/>
      <c r="AA1095" s="579"/>
      <c r="AB1095" s="581"/>
      <c r="AC1095" s="347"/>
      <c r="AD1095" s="347"/>
      <c r="AE1095" s="347"/>
      <c r="AF1095" s="347"/>
      <c r="AG1095" s="579"/>
      <c r="AH1095" s="579"/>
      <c r="AI1095" s="582"/>
      <c r="AJ1095" s="582"/>
      <c r="AK1095" s="582"/>
      <c r="AL1095" s="582"/>
      <c r="AM1095" s="579"/>
      <c r="AN1095" s="579"/>
      <c r="AO1095" s="347"/>
      <c r="AP1095" s="586"/>
      <c r="AQ1095" s="596"/>
      <c r="AR1095" s="596"/>
      <c r="AS1095" s="348"/>
      <c r="AT1095" s="348"/>
      <c r="AU1095" s="348"/>
      <c r="AV1095" s="348"/>
      <c r="AW1095" s="348"/>
      <c r="AX1095" s="584"/>
      <c r="AY1095" s="581"/>
      <c r="AZ1095" s="581"/>
      <c r="BA1095" s="596"/>
      <c r="BB1095" s="596"/>
      <c r="BC1095" s="348"/>
      <c r="BD1095" s="581"/>
      <c r="BE1095" s="581"/>
      <c r="BF1095" s="347"/>
      <c r="BG1095" s="347"/>
      <c r="BH1095" s="347"/>
      <c r="BI1095" s="347"/>
      <c r="BJ1095" s="586"/>
      <c r="BK1095" s="581"/>
      <c r="BL1095" s="347"/>
      <c r="BM1095" s="347"/>
      <c r="BN1095" s="347"/>
      <c r="BO1095" s="586"/>
      <c r="BP1095" s="584"/>
      <c r="BQ1095" s="347"/>
      <c r="BR1095" s="586"/>
      <c r="BS1095" s="588"/>
      <c r="BT1095" s="586"/>
      <c r="BU1095" s="589"/>
      <c r="BV1095" s="581"/>
      <c r="BW1095" s="590"/>
      <c r="BX1095" s="347"/>
      <c r="BY1095" s="347"/>
      <c r="BZ1095" s="347"/>
      <c r="CA1095" s="586"/>
      <c r="CB1095" s="581"/>
      <c r="CC1095" s="581"/>
      <c r="CD1095" s="581"/>
      <c r="CE1095" s="581"/>
      <c r="CF1095" s="581"/>
      <c r="CG1095" s="586"/>
      <c r="CH1095" s="608"/>
      <c r="CI1095" s="603"/>
      <c r="CJ1095" s="347"/>
      <c r="CK1095" s="347"/>
      <c r="CL1095" s="347"/>
      <c r="CM1095" s="347"/>
      <c r="CN1095" s="347"/>
      <c r="CO1095" s="347"/>
      <c r="CP1095" s="347"/>
    </row>
    <row r="1096">
      <c r="A1096" s="574"/>
      <c r="B1096" s="574"/>
      <c r="C1096" s="347"/>
      <c r="D1096" s="574"/>
      <c r="E1096" s="347"/>
      <c r="F1096" s="596"/>
      <c r="G1096" s="596"/>
      <c r="H1096" s="347"/>
      <c r="I1096" s="347"/>
      <c r="J1096" s="596"/>
      <c r="K1096" s="609"/>
      <c r="L1096" s="1"/>
      <c r="M1096" s="347"/>
      <c r="N1096" s="347"/>
      <c r="O1096" s="579"/>
      <c r="P1096" s="579"/>
      <c r="Q1096" s="574"/>
      <c r="R1096" s="347"/>
      <c r="S1096" s="597"/>
      <c r="T1096" s="347"/>
      <c r="U1096" s="579"/>
      <c r="V1096" s="579"/>
      <c r="W1096" s="574"/>
      <c r="X1096" s="347"/>
      <c r="Y1096" s="347"/>
      <c r="Z1096" s="347"/>
      <c r="AA1096" s="579"/>
      <c r="AB1096" s="581"/>
      <c r="AC1096" s="347"/>
      <c r="AD1096" s="347"/>
      <c r="AE1096" s="347"/>
      <c r="AF1096" s="347"/>
      <c r="AG1096" s="579"/>
      <c r="AH1096" s="579"/>
      <c r="AI1096" s="582"/>
      <c r="AJ1096" s="582"/>
      <c r="AK1096" s="582"/>
      <c r="AL1096" s="582"/>
      <c r="AM1096" s="579"/>
      <c r="AN1096" s="579"/>
      <c r="AO1096" s="347"/>
      <c r="AP1096" s="586"/>
      <c r="AQ1096" s="596"/>
      <c r="AR1096" s="596"/>
      <c r="AS1096" s="348"/>
      <c r="AT1096" s="348"/>
      <c r="AU1096" s="348"/>
      <c r="AV1096" s="348"/>
      <c r="AW1096" s="348"/>
      <c r="AX1096" s="584"/>
      <c r="AY1096" s="581"/>
      <c r="AZ1096" s="581"/>
      <c r="BA1096" s="596"/>
      <c r="BB1096" s="596"/>
      <c r="BC1096" s="348"/>
      <c r="BD1096" s="581"/>
      <c r="BE1096" s="581"/>
      <c r="BF1096" s="347"/>
      <c r="BG1096" s="347"/>
      <c r="BH1096" s="347"/>
      <c r="BI1096" s="347"/>
      <c r="BJ1096" s="586"/>
      <c r="BK1096" s="581"/>
      <c r="BL1096" s="347"/>
      <c r="BM1096" s="347"/>
      <c r="BN1096" s="347"/>
      <c r="BO1096" s="586"/>
      <c r="BP1096" s="584"/>
      <c r="BQ1096" s="347"/>
      <c r="BR1096" s="586"/>
      <c r="BS1096" s="588"/>
      <c r="BT1096" s="586"/>
      <c r="BU1096" s="589"/>
      <c r="BV1096" s="581"/>
      <c r="BW1096" s="590"/>
      <c r="BX1096" s="347"/>
      <c r="BY1096" s="347"/>
      <c r="BZ1096" s="347"/>
      <c r="CA1096" s="586"/>
      <c r="CB1096" s="581"/>
      <c r="CC1096" s="581"/>
      <c r="CD1096" s="581"/>
      <c r="CE1096" s="581"/>
      <c r="CF1096" s="581"/>
      <c r="CG1096" s="586"/>
      <c r="CH1096" s="608"/>
      <c r="CI1096" s="603"/>
      <c r="CJ1096" s="347"/>
      <c r="CK1096" s="347"/>
      <c r="CL1096" s="347"/>
      <c r="CM1096" s="347"/>
      <c r="CN1096" s="347"/>
      <c r="CO1096" s="347"/>
      <c r="CP1096" s="347"/>
    </row>
    <row r="1097">
      <c r="A1097" s="574"/>
      <c r="B1097" s="574"/>
      <c r="C1097" s="347"/>
      <c r="D1097" s="574"/>
      <c r="E1097" s="347"/>
      <c r="F1097" s="596"/>
      <c r="G1097" s="596"/>
      <c r="H1097" s="347"/>
      <c r="I1097" s="347"/>
      <c r="J1097" s="596"/>
      <c r="K1097" s="609"/>
      <c r="L1097" s="1"/>
      <c r="M1097" s="347"/>
      <c r="N1097" s="347"/>
      <c r="O1097" s="579"/>
      <c r="P1097" s="579"/>
      <c r="Q1097" s="574"/>
      <c r="R1097" s="347"/>
      <c r="S1097" s="597"/>
      <c r="T1097" s="347"/>
      <c r="U1097" s="579"/>
      <c r="V1097" s="579"/>
      <c r="W1097" s="574"/>
      <c r="X1097" s="347"/>
      <c r="Y1097" s="347"/>
      <c r="Z1097" s="347"/>
      <c r="AA1097" s="579"/>
      <c r="AB1097" s="581"/>
      <c r="AC1097" s="347"/>
      <c r="AD1097" s="347"/>
      <c r="AE1097" s="347"/>
      <c r="AF1097" s="347"/>
      <c r="AG1097" s="579"/>
      <c r="AH1097" s="579"/>
      <c r="AI1097" s="582"/>
      <c r="AJ1097" s="582"/>
      <c r="AK1097" s="582"/>
      <c r="AL1097" s="582"/>
      <c r="AM1097" s="579"/>
      <c r="AN1097" s="579"/>
      <c r="AO1097" s="347"/>
      <c r="AP1097" s="586"/>
      <c r="AQ1097" s="596"/>
      <c r="AR1097" s="596"/>
      <c r="AS1097" s="348"/>
      <c r="AT1097" s="348"/>
      <c r="AU1097" s="348"/>
      <c r="AV1097" s="348"/>
      <c r="AW1097" s="348"/>
      <c r="AX1097" s="584"/>
      <c r="AY1097" s="581"/>
      <c r="AZ1097" s="581"/>
      <c r="BA1097" s="596"/>
      <c r="BB1097" s="596"/>
      <c r="BC1097" s="348"/>
      <c r="BD1097" s="581"/>
      <c r="BE1097" s="581"/>
      <c r="BF1097" s="347"/>
      <c r="BG1097" s="347"/>
      <c r="BH1097" s="347"/>
      <c r="BI1097" s="347"/>
      <c r="BJ1097" s="586"/>
      <c r="BK1097" s="581"/>
      <c r="BL1097" s="347"/>
      <c r="BM1097" s="347"/>
      <c r="BN1097" s="347"/>
      <c r="BO1097" s="586"/>
      <c r="BP1097" s="584"/>
      <c r="BQ1097" s="347"/>
      <c r="BR1097" s="586"/>
      <c r="BS1097" s="588"/>
      <c r="BT1097" s="586"/>
      <c r="BU1097" s="589"/>
      <c r="BV1097" s="581"/>
      <c r="BW1097" s="590"/>
      <c r="BX1097" s="347"/>
      <c r="BY1097" s="347"/>
      <c r="BZ1097" s="347"/>
      <c r="CA1097" s="586"/>
      <c r="CB1097" s="581"/>
      <c r="CC1097" s="581"/>
      <c r="CD1097" s="581"/>
      <c r="CE1097" s="581"/>
      <c r="CF1097" s="581"/>
      <c r="CG1097" s="586"/>
      <c r="CH1097" s="608"/>
      <c r="CI1097" s="603"/>
      <c r="CJ1097" s="347"/>
      <c r="CK1097" s="347"/>
      <c r="CL1097" s="347"/>
      <c r="CM1097" s="347"/>
      <c r="CN1097" s="347"/>
      <c r="CO1097" s="347"/>
      <c r="CP1097" s="347"/>
    </row>
    <row r="1098">
      <c r="A1098" s="574"/>
      <c r="B1098" s="574"/>
      <c r="C1098" s="347"/>
      <c r="D1098" s="574"/>
      <c r="E1098" s="347"/>
      <c r="F1098" s="596"/>
      <c r="G1098" s="596"/>
      <c r="H1098" s="347"/>
      <c r="I1098" s="347"/>
      <c r="J1098" s="596"/>
      <c r="K1098" s="609"/>
      <c r="L1098" s="1"/>
      <c r="M1098" s="347"/>
      <c r="N1098" s="347"/>
      <c r="O1098" s="579"/>
      <c r="P1098" s="579"/>
      <c r="Q1098" s="574"/>
      <c r="R1098" s="347"/>
      <c r="S1098" s="597"/>
      <c r="T1098" s="347"/>
      <c r="U1098" s="579"/>
      <c r="V1098" s="579"/>
      <c r="W1098" s="574"/>
      <c r="X1098" s="347"/>
      <c r="Y1098" s="347"/>
      <c r="Z1098" s="347"/>
      <c r="AA1098" s="579"/>
      <c r="AB1098" s="581"/>
      <c r="AC1098" s="347"/>
      <c r="AD1098" s="347"/>
      <c r="AE1098" s="347"/>
      <c r="AF1098" s="347"/>
      <c r="AG1098" s="579"/>
      <c r="AH1098" s="579"/>
      <c r="AI1098" s="582"/>
      <c r="AJ1098" s="582"/>
      <c r="AK1098" s="582"/>
      <c r="AL1098" s="582"/>
      <c r="AM1098" s="579"/>
      <c r="AN1098" s="579"/>
      <c r="AO1098" s="347"/>
      <c r="AP1098" s="586"/>
      <c r="AQ1098" s="596"/>
      <c r="AR1098" s="596"/>
      <c r="AS1098" s="348"/>
      <c r="AT1098" s="348"/>
      <c r="AU1098" s="348"/>
      <c r="AV1098" s="348"/>
      <c r="AW1098" s="348"/>
      <c r="AX1098" s="584"/>
      <c r="AY1098" s="581"/>
      <c r="AZ1098" s="581"/>
      <c r="BA1098" s="596"/>
      <c r="BB1098" s="596"/>
      <c r="BC1098" s="348"/>
      <c r="BD1098" s="581"/>
      <c r="BE1098" s="581"/>
      <c r="BF1098" s="347"/>
      <c r="BG1098" s="347"/>
      <c r="BH1098" s="347"/>
      <c r="BI1098" s="347"/>
      <c r="BJ1098" s="586"/>
      <c r="BK1098" s="581"/>
      <c r="BL1098" s="347"/>
      <c r="BM1098" s="347"/>
      <c r="BN1098" s="347"/>
      <c r="BO1098" s="586"/>
      <c r="BP1098" s="584"/>
      <c r="BQ1098" s="347"/>
      <c r="BR1098" s="586"/>
      <c r="BS1098" s="588"/>
      <c r="BT1098" s="586"/>
      <c r="BU1098" s="589"/>
      <c r="BV1098" s="581"/>
      <c r="BW1098" s="590"/>
      <c r="BX1098" s="347"/>
      <c r="BY1098" s="347"/>
      <c r="BZ1098" s="347"/>
      <c r="CA1098" s="586"/>
      <c r="CB1098" s="581"/>
      <c r="CC1098" s="581"/>
      <c r="CD1098" s="581"/>
      <c r="CE1098" s="581"/>
      <c r="CF1098" s="581"/>
      <c r="CG1098" s="586"/>
      <c r="CH1098" s="608"/>
      <c r="CI1098" s="603"/>
      <c r="CJ1098" s="347"/>
      <c r="CK1098" s="347"/>
      <c r="CL1098" s="347"/>
      <c r="CM1098" s="347"/>
      <c r="CN1098" s="347"/>
      <c r="CO1098" s="347"/>
      <c r="CP1098" s="347"/>
    </row>
    <row r="1099">
      <c r="A1099" s="574"/>
      <c r="B1099" s="574"/>
      <c r="C1099" s="347"/>
      <c r="D1099" s="574"/>
      <c r="E1099" s="347"/>
      <c r="F1099" s="596"/>
      <c r="G1099" s="596"/>
      <c r="H1099" s="347"/>
      <c r="I1099" s="347"/>
      <c r="J1099" s="596"/>
      <c r="K1099" s="609"/>
      <c r="L1099" s="1"/>
      <c r="M1099" s="347"/>
      <c r="N1099" s="347"/>
      <c r="O1099" s="579"/>
      <c r="P1099" s="579"/>
      <c r="Q1099" s="574"/>
      <c r="R1099" s="347"/>
      <c r="S1099" s="597"/>
      <c r="T1099" s="347"/>
      <c r="U1099" s="579"/>
      <c r="V1099" s="579"/>
      <c r="W1099" s="574"/>
      <c r="X1099" s="347"/>
      <c r="Y1099" s="347"/>
      <c r="Z1099" s="347"/>
      <c r="AA1099" s="579"/>
      <c r="AB1099" s="581"/>
      <c r="AC1099" s="347"/>
      <c r="AD1099" s="347"/>
      <c r="AE1099" s="347"/>
      <c r="AF1099" s="347"/>
      <c r="AG1099" s="579"/>
      <c r="AH1099" s="579"/>
      <c r="AI1099" s="582"/>
      <c r="AJ1099" s="582"/>
      <c r="AK1099" s="582"/>
      <c r="AL1099" s="582"/>
      <c r="AM1099" s="579"/>
      <c r="AN1099" s="579"/>
      <c r="AO1099" s="347"/>
      <c r="AP1099" s="586"/>
      <c r="AQ1099" s="596"/>
      <c r="AR1099" s="596"/>
      <c r="AS1099" s="348"/>
      <c r="AT1099" s="348"/>
      <c r="AU1099" s="348"/>
      <c r="AV1099" s="348"/>
      <c r="AW1099" s="348"/>
      <c r="AX1099" s="584"/>
      <c r="AY1099" s="581"/>
      <c r="AZ1099" s="581"/>
      <c r="BA1099" s="596"/>
      <c r="BB1099" s="596"/>
      <c r="BC1099" s="348"/>
      <c r="BD1099" s="581"/>
      <c r="BE1099" s="581"/>
      <c r="BF1099" s="347"/>
      <c r="BG1099" s="347"/>
      <c r="BH1099" s="347"/>
      <c r="BI1099" s="347"/>
      <c r="BJ1099" s="586"/>
      <c r="BK1099" s="581"/>
      <c r="BL1099" s="347"/>
      <c r="BM1099" s="347"/>
      <c r="BN1099" s="347"/>
      <c r="BO1099" s="586"/>
      <c r="BP1099" s="584"/>
      <c r="BQ1099" s="347"/>
      <c r="BR1099" s="586"/>
      <c r="BS1099" s="588"/>
      <c r="BT1099" s="586"/>
      <c r="BU1099" s="589"/>
      <c r="BV1099" s="581"/>
      <c r="BW1099" s="590"/>
      <c r="BX1099" s="347"/>
      <c r="BY1099" s="347"/>
      <c r="BZ1099" s="347"/>
      <c r="CA1099" s="586"/>
      <c r="CB1099" s="581"/>
      <c r="CC1099" s="581"/>
      <c r="CD1099" s="581"/>
      <c r="CE1099" s="581"/>
      <c r="CF1099" s="581"/>
      <c r="CG1099" s="586"/>
      <c r="CH1099" s="608"/>
      <c r="CI1099" s="603"/>
      <c r="CJ1099" s="347"/>
      <c r="CK1099" s="347"/>
      <c r="CL1099" s="347"/>
      <c r="CM1099" s="347"/>
      <c r="CN1099" s="347"/>
      <c r="CO1099" s="347"/>
      <c r="CP1099" s="347"/>
    </row>
    <row r="1100">
      <c r="A1100" s="574"/>
      <c r="B1100" s="574"/>
      <c r="C1100" s="347"/>
      <c r="D1100" s="574"/>
      <c r="E1100" s="347"/>
      <c r="F1100" s="596"/>
      <c r="G1100" s="596"/>
      <c r="H1100" s="347"/>
      <c r="I1100" s="347"/>
      <c r="J1100" s="596"/>
      <c r="K1100" s="609"/>
      <c r="L1100" s="1"/>
      <c r="M1100" s="347"/>
      <c r="N1100" s="347"/>
      <c r="O1100" s="579"/>
      <c r="P1100" s="579"/>
      <c r="Q1100" s="574"/>
      <c r="R1100" s="347"/>
      <c r="S1100" s="597"/>
      <c r="T1100" s="347"/>
      <c r="U1100" s="579"/>
      <c r="V1100" s="579"/>
      <c r="W1100" s="574"/>
      <c r="X1100" s="347"/>
      <c r="Y1100" s="347"/>
      <c r="Z1100" s="347"/>
      <c r="AA1100" s="579"/>
      <c r="AB1100" s="581"/>
      <c r="AC1100" s="347"/>
      <c r="AD1100" s="347"/>
      <c r="AE1100" s="347"/>
      <c r="AF1100" s="347"/>
      <c r="AG1100" s="579"/>
      <c r="AH1100" s="579"/>
      <c r="AI1100" s="582"/>
      <c r="AJ1100" s="582"/>
      <c r="AK1100" s="582"/>
      <c r="AL1100" s="582"/>
      <c r="AM1100" s="579"/>
      <c r="AN1100" s="579"/>
      <c r="AO1100" s="347"/>
      <c r="AP1100" s="586"/>
      <c r="AQ1100" s="596"/>
      <c r="AR1100" s="596"/>
      <c r="AS1100" s="348"/>
      <c r="AT1100" s="348"/>
      <c r="AU1100" s="348"/>
      <c r="AV1100" s="348"/>
      <c r="AW1100" s="348"/>
      <c r="AX1100" s="584"/>
      <c r="AY1100" s="581"/>
      <c r="AZ1100" s="581"/>
      <c r="BA1100" s="596"/>
      <c r="BB1100" s="596"/>
      <c r="BC1100" s="348"/>
      <c r="BD1100" s="581"/>
      <c r="BE1100" s="581"/>
      <c r="BF1100" s="347"/>
      <c r="BG1100" s="347"/>
      <c r="BH1100" s="347"/>
      <c r="BI1100" s="347"/>
      <c r="BJ1100" s="586"/>
      <c r="BK1100" s="581"/>
      <c r="BL1100" s="347"/>
      <c r="BM1100" s="347"/>
      <c r="BN1100" s="347"/>
      <c r="BO1100" s="586"/>
      <c r="BP1100" s="584"/>
      <c r="BQ1100" s="347"/>
      <c r="BR1100" s="586"/>
      <c r="BS1100" s="588"/>
      <c r="BT1100" s="586"/>
      <c r="BU1100" s="589"/>
      <c r="BV1100" s="581"/>
      <c r="BW1100" s="590"/>
      <c r="BX1100" s="347"/>
      <c r="BY1100" s="347"/>
      <c r="BZ1100" s="347"/>
      <c r="CA1100" s="586"/>
      <c r="CB1100" s="581"/>
      <c r="CC1100" s="581"/>
      <c r="CD1100" s="581"/>
      <c r="CE1100" s="581"/>
      <c r="CF1100" s="581"/>
      <c r="CG1100" s="586"/>
      <c r="CH1100" s="608"/>
      <c r="CI1100" s="603"/>
      <c r="CJ1100" s="347"/>
      <c r="CK1100" s="347"/>
      <c r="CL1100" s="347"/>
      <c r="CM1100" s="347"/>
      <c r="CN1100" s="347"/>
      <c r="CO1100" s="347"/>
      <c r="CP1100" s="347"/>
    </row>
    <row r="1101">
      <c r="A1101" s="574"/>
      <c r="B1101" s="574"/>
      <c r="C1101" s="347"/>
      <c r="D1101" s="574"/>
      <c r="E1101" s="347"/>
      <c r="F1101" s="596"/>
      <c r="G1101" s="596"/>
      <c r="H1101" s="347"/>
      <c r="I1101" s="347"/>
      <c r="J1101" s="596"/>
      <c r="K1101" s="609"/>
      <c r="L1101" s="1"/>
      <c r="M1101" s="347"/>
      <c r="N1101" s="347"/>
      <c r="O1101" s="579"/>
      <c r="P1101" s="579"/>
      <c r="Q1101" s="574"/>
      <c r="R1101" s="347"/>
      <c r="S1101" s="597"/>
      <c r="T1101" s="347"/>
      <c r="U1101" s="579"/>
      <c r="V1101" s="579"/>
      <c r="W1101" s="574"/>
      <c r="X1101" s="347"/>
      <c r="Y1101" s="347"/>
      <c r="Z1101" s="347"/>
      <c r="AA1101" s="579"/>
      <c r="AB1101" s="581"/>
      <c r="AC1101" s="347"/>
      <c r="AD1101" s="347"/>
      <c r="AE1101" s="347"/>
      <c r="AF1101" s="347"/>
      <c r="AG1101" s="579"/>
      <c r="AH1101" s="579"/>
      <c r="AI1101" s="582"/>
      <c r="AJ1101" s="582"/>
      <c r="AK1101" s="582"/>
      <c r="AL1101" s="582"/>
      <c r="AM1101" s="579"/>
      <c r="AN1101" s="579"/>
      <c r="AO1101" s="347"/>
      <c r="AP1101" s="586"/>
      <c r="AQ1101" s="596"/>
      <c r="AR1101" s="596"/>
      <c r="AS1101" s="348"/>
      <c r="AT1101" s="348"/>
      <c r="AU1101" s="348"/>
      <c r="AV1101" s="348"/>
      <c r="AW1101" s="348"/>
      <c r="AX1101" s="584"/>
      <c r="AY1101" s="581"/>
      <c r="AZ1101" s="581"/>
      <c r="BA1101" s="596"/>
      <c r="BB1101" s="596"/>
      <c r="BC1101" s="348"/>
      <c r="BD1101" s="581"/>
      <c r="BE1101" s="581"/>
      <c r="BF1101" s="347"/>
      <c r="BG1101" s="347"/>
      <c r="BH1101" s="347"/>
      <c r="BI1101" s="347"/>
      <c r="BJ1101" s="586"/>
      <c r="BK1101" s="581"/>
      <c r="BL1101" s="347"/>
      <c r="BM1101" s="347"/>
      <c r="BN1101" s="347"/>
      <c r="BO1101" s="586"/>
      <c r="BP1101" s="584"/>
      <c r="BQ1101" s="347"/>
      <c r="BR1101" s="586"/>
      <c r="BS1101" s="588"/>
      <c r="BT1101" s="586"/>
      <c r="BU1101" s="589"/>
      <c r="BV1101" s="581"/>
      <c r="BW1101" s="590"/>
      <c r="BX1101" s="347"/>
      <c r="BY1101" s="347"/>
      <c r="BZ1101" s="347"/>
      <c r="CA1101" s="586"/>
      <c r="CB1101" s="581"/>
      <c r="CC1101" s="581"/>
      <c r="CD1101" s="581"/>
      <c r="CE1101" s="581"/>
      <c r="CF1101" s="581"/>
      <c r="CG1101" s="586"/>
      <c r="CH1101" s="608"/>
      <c r="CI1101" s="603"/>
      <c r="CJ1101" s="347"/>
      <c r="CK1101" s="347"/>
      <c r="CL1101" s="347"/>
      <c r="CM1101" s="347"/>
      <c r="CN1101" s="347"/>
      <c r="CO1101" s="347"/>
      <c r="CP1101" s="347"/>
    </row>
    <row r="1102">
      <c r="A1102" s="574"/>
      <c r="B1102" s="574"/>
      <c r="C1102" s="347"/>
      <c r="D1102" s="574"/>
      <c r="E1102" s="347"/>
      <c r="F1102" s="596"/>
      <c r="G1102" s="596"/>
      <c r="H1102" s="347"/>
      <c r="I1102" s="347"/>
      <c r="J1102" s="596"/>
      <c r="K1102" s="609"/>
      <c r="L1102" s="1"/>
      <c r="M1102" s="347"/>
      <c r="N1102" s="347"/>
      <c r="O1102" s="579"/>
      <c r="P1102" s="579"/>
      <c r="Q1102" s="574"/>
      <c r="R1102" s="347"/>
      <c r="S1102" s="597"/>
      <c r="T1102" s="347"/>
      <c r="U1102" s="579"/>
      <c r="V1102" s="579"/>
      <c r="W1102" s="574"/>
      <c r="X1102" s="347"/>
      <c r="Y1102" s="347"/>
      <c r="Z1102" s="347"/>
      <c r="AA1102" s="579"/>
      <c r="AB1102" s="581"/>
      <c r="AC1102" s="347"/>
      <c r="AD1102" s="347"/>
      <c r="AE1102" s="347"/>
      <c r="AF1102" s="347"/>
      <c r="AG1102" s="579"/>
      <c r="AH1102" s="579"/>
      <c r="AI1102" s="582"/>
      <c r="AJ1102" s="582"/>
      <c r="AK1102" s="582"/>
      <c r="AL1102" s="582"/>
      <c r="AM1102" s="579"/>
      <c r="AN1102" s="579"/>
      <c r="AO1102" s="347"/>
      <c r="AP1102" s="586"/>
      <c r="AQ1102" s="596"/>
      <c r="AR1102" s="596"/>
      <c r="AS1102" s="348"/>
      <c r="AT1102" s="348"/>
      <c r="AU1102" s="348"/>
      <c r="AV1102" s="348"/>
      <c r="AW1102" s="348"/>
      <c r="AX1102" s="584"/>
      <c r="AY1102" s="581"/>
      <c r="AZ1102" s="581"/>
      <c r="BA1102" s="596"/>
      <c r="BB1102" s="596"/>
      <c r="BC1102" s="348"/>
      <c r="BD1102" s="581"/>
      <c r="BE1102" s="581"/>
      <c r="BF1102" s="347"/>
      <c r="BG1102" s="347"/>
      <c r="BH1102" s="347"/>
      <c r="BI1102" s="347"/>
      <c r="BJ1102" s="586"/>
      <c r="BK1102" s="581"/>
      <c r="BL1102" s="347"/>
      <c r="BM1102" s="347"/>
      <c r="BN1102" s="347"/>
      <c r="BO1102" s="586"/>
      <c r="BP1102" s="584"/>
      <c r="BQ1102" s="347"/>
      <c r="BR1102" s="586"/>
      <c r="BS1102" s="588"/>
      <c r="BT1102" s="586"/>
      <c r="BU1102" s="589"/>
      <c r="BV1102" s="581"/>
      <c r="BW1102" s="590"/>
      <c r="BX1102" s="347"/>
      <c r="BY1102" s="347"/>
      <c r="BZ1102" s="347"/>
      <c r="CA1102" s="586"/>
      <c r="CB1102" s="581"/>
      <c r="CC1102" s="581"/>
      <c r="CD1102" s="581"/>
      <c r="CE1102" s="581"/>
      <c r="CF1102" s="581"/>
      <c r="CG1102" s="586"/>
      <c r="CH1102" s="608"/>
      <c r="CI1102" s="603"/>
      <c r="CJ1102" s="347"/>
      <c r="CK1102" s="347"/>
      <c r="CL1102" s="347"/>
      <c r="CM1102" s="347"/>
      <c r="CN1102" s="347"/>
      <c r="CO1102" s="347"/>
      <c r="CP1102" s="347"/>
    </row>
    <row r="1103">
      <c r="A1103" s="574"/>
      <c r="B1103" s="574"/>
      <c r="C1103" s="347"/>
      <c r="D1103" s="574"/>
      <c r="E1103" s="347"/>
      <c r="F1103" s="596"/>
      <c r="G1103" s="596"/>
      <c r="H1103" s="347"/>
      <c r="I1103" s="347"/>
      <c r="J1103" s="596"/>
      <c r="K1103" s="609"/>
      <c r="L1103" s="1"/>
      <c r="M1103" s="347"/>
      <c r="N1103" s="347"/>
      <c r="O1103" s="579"/>
      <c r="P1103" s="579"/>
      <c r="Q1103" s="574"/>
      <c r="R1103" s="347"/>
      <c r="S1103" s="597"/>
      <c r="T1103" s="347"/>
      <c r="U1103" s="579"/>
      <c r="V1103" s="579"/>
      <c r="W1103" s="574"/>
      <c r="X1103" s="347"/>
      <c r="Y1103" s="347"/>
      <c r="Z1103" s="347"/>
      <c r="AA1103" s="579"/>
      <c r="AB1103" s="581"/>
      <c r="AC1103" s="347"/>
      <c r="AD1103" s="347"/>
      <c r="AE1103" s="347"/>
      <c r="AF1103" s="347"/>
      <c r="AG1103" s="579"/>
      <c r="AH1103" s="579"/>
      <c r="AI1103" s="582"/>
      <c r="AJ1103" s="582"/>
      <c r="AK1103" s="582"/>
      <c r="AL1103" s="582"/>
      <c r="AM1103" s="579"/>
      <c r="AN1103" s="579"/>
      <c r="AO1103" s="347"/>
      <c r="AP1103" s="586"/>
      <c r="AQ1103" s="596"/>
      <c r="AR1103" s="596"/>
      <c r="AS1103" s="348"/>
      <c r="AT1103" s="348"/>
      <c r="AU1103" s="348"/>
      <c r="AV1103" s="348"/>
      <c r="AW1103" s="348"/>
      <c r="AX1103" s="584"/>
      <c r="AY1103" s="581"/>
      <c r="AZ1103" s="581"/>
      <c r="BA1103" s="596"/>
      <c r="BB1103" s="596"/>
      <c r="BC1103" s="348"/>
      <c r="BD1103" s="581"/>
      <c r="BE1103" s="581"/>
      <c r="BF1103" s="347"/>
      <c r="BG1103" s="347"/>
      <c r="BH1103" s="347"/>
      <c r="BI1103" s="347"/>
      <c r="BJ1103" s="586"/>
      <c r="BK1103" s="581"/>
      <c r="BL1103" s="347"/>
      <c r="BM1103" s="347"/>
      <c r="BN1103" s="347"/>
      <c r="BO1103" s="586"/>
      <c r="BP1103" s="584"/>
      <c r="BQ1103" s="347"/>
      <c r="BR1103" s="586"/>
      <c r="BS1103" s="588"/>
      <c r="BT1103" s="586"/>
      <c r="BU1103" s="589"/>
      <c r="BV1103" s="581"/>
      <c r="BW1103" s="590"/>
      <c r="BX1103" s="347"/>
      <c r="BY1103" s="347"/>
      <c r="BZ1103" s="347"/>
      <c r="CA1103" s="586"/>
      <c r="CB1103" s="581"/>
      <c r="CC1103" s="581"/>
      <c r="CD1103" s="581"/>
      <c r="CE1103" s="581"/>
      <c r="CF1103" s="581"/>
      <c r="CG1103" s="586"/>
      <c r="CH1103" s="608"/>
      <c r="CI1103" s="603"/>
      <c r="CJ1103" s="347"/>
      <c r="CK1103" s="347"/>
      <c r="CL1103" s="347"/>
      <c r="CM1103" s="347"/>
      <c r="CN1103" s="347"/>
      <c r="CO1103" s="347"/>
      <c r="CP1103" s="347"/>
    </row>
    <row r="1104">
      <c r="A1104" s="574"/>
      <c r="B1104" s="574"/>
      <c r="C1104" s="347"/>
      <c r="D1104" s="574"/>
      <c r="E1104" s="347"/>
      <c r="F1104" s="596"/>
      <c r="G1104" s="596"/>
      <c r="H1104" s="347"/>
      <c r="I1104" s="347"/>
      <c r="J1104" s="596"/>
      <c r="K1104" s="609"/>
      <c r="L1104" s="1"/>
      <c r="M1104" s="347"/>
      <c r="N1104" s="347"/>
      <c r="O1104" s="579"/>
      <c r="P1104" s="579"/>
      <c r="Q1104" s="574"/>
      <c r="R1104" s="347"/>
      <c r="S1104" s="597"/>
      <c r="T1104" s="347"/>
      <c r="U1104" s="579"/>
      <c r="V1104" s="579"/>
      <c r="W1104" s="574"/>
      <c r="X1104" s="347"/>
      <c r="Y1104" s="347"/>
      <c r="Z1104" s="347"/>
      <c r="AA1104" s="579"/>
      <c r="AB1104" s="581"/>
      <c r="AC1104" s="347"/>
      <c r="AD1104" s="347"/>
      <c r="AE1104" s="347"/>
      <c r="AF1104" s="347"/>
      <c r="AG1104" s="579"/>
      <c r="AH1104" s="579"/>
      <c r="AI1104" s="582"/>
      <c r="AJ1104" s="582"/>
      <c r="AK1104" s="582"/>
      <c r="AL1104" s="582"/>
      <c r="AM1104" s="579"/>
      <c r="AN1104" s="579"/>
      <c r="AO1104" s="347"/>
      <c r="AP1104" s="586"/>
      <c r="AQ1104" s="596"/>
      <c r="AR1104" s="596"/>
      <c r="AS1104" s="348"/>
      <c r="AT1104" s="348"/>
      <c r="AU1104" s="348"/>
      <c r="AV1104" s="348"/>
      <c r="AW1104" s="348"/>
      <c r="AX1104" s="584"/>
      <c r="AY1104" s="581"/>
      <c r="AZ1104" s="581"/>
      <c r="BA1104" s="596"/>
      <c r="BB1104" s="596"/>
      <c r="BC1104" s="348"/>
      <c r="BD1104" s="581"/>
      <c r="BE1104" s="581"/>
      <c r="BF1104" s="347"/>
      <c r="BG1104" s="347"/>
      <c r="BH1104" s="347"/>
      <c r="BI1104" s="347"/>
      <c r="BJ1104" s="586"/>
      <c r="BK1104" s="581"/>
      <c r="BL1104" s="347"/>
      <c r="BM1104" s="347"/>
      <c r="BN1104" s="347"/>
      <c r="BO1104" s="586"/>
      <c r="BP1104" s="584"/>
      <c r="BQ1104" s="347"/>
      <c r="BR1104" s="586"/>
      <c r="BS1104" s="588"/>
      <c r="BT1104" s="586"/>
      <c r="BU1104" s="589"/>
      <c r="BV1104" s="581"/>
      <c r="BW1104" s="590"/>
      <c r="BX1104" s="347"/>
      <c r="BY1104" s="347"/>
      <c r="BZ1104" s="347"/>
      <c r="CA1104" s="586"/>
      <c r="CB1104" s="581"/>
      <c r="CC1104" s="581"/>
      <c r="CD1104" s="581"/>
      <c r="CE1104" s="581"/>
      <c r="CF1104" s="581"/>
      <c r="CG1104" s="586"/>
      <c r="CH1104" s="608"/>
      <c r="CI1104" s="603"/>
      <c r="CJ1104" s="347"/>
      <c r="CK1104" s="347"/>
      <c r="CL1104" s="347"/>
      <c r="CM1104" s="347"/>
      <c r="CN1104" s="347"/>
      <c r="CO1104" s="347"/>
      <c r="CP1104" s="347"/>
    </row>
    <row r="1105">
      <c r="A1105" s="574"/>
      <c r="B1105" s="574"/>
      <c r="C1105" s="347"/>
      <c r="D1105" s="574"/>
      <c r="E1105" s="347"/>
      <c r="F1105" s="596"/>
      <c r="G1105" s="596"/>
      <c r="H1105" s="347"/>
      <c r="I1105" s="347"/>
      <c r="J1105" s="596"/>
      <c r="K1105" s="609"/>
      <c r="L1105" s="1"/>
      <c r="M1105" s="347"/>
      <c r="N1105" s="347"/>
      <c r="O1105" s="579"/>
      <c r="P1105" s="579"/>
      <c r="Q1105" s="574"/>
      <c r="R1105" s="347"/>
      <c r="S1105" s="597"/>
      <c r="T1105" s="347"/>
      <c r="U1105" s="579"/>
      <c r="V1105" s="579"/>
      <c r="W1105" s="574"/>
      <c r="X1105" s="347"/>
      <c r="Y1105" s="347"/>
      <c r="Z1105" s="347"/>
      <c r="AA1105" s="579"/>
      <c r="AB1105" s="581"/>
      <c r="AC1105" s="347"/>
      <c r="AD1105" s="347"/>
      <c r="AE1105" s="347"/>
      <c r="AF1105" s="347"/>
      <c r="AG1105" s="579"/>
      <c r="AH1105" s="579"/>
      <c r="AI1105" s="582"/>
      <c r="AJ1105" s="582"/>
      <c r="AK1105" s="582"/>
      <c r="AL1105" s="582"/>
      <c r="AM1105" s="579"/>
      <c r="AN1105" s="579"/>
      <c r="AO1105" s="347"/>
      <c r="AP1105" s="586"/>
      <c r="AQ1105" s="596"/>
      <c r="AR1105" s="596"/>
      <c r="AS1105" s="348"/>
      <c r="AT1105" s="348"/>
      <c r="AU1105" s="348"/>
      <c r="AV1105" s="348"/>
      <c r="AW1105" s="348"/>
      <c r="AX1105" s="584"/>
      <c r="AY1105" s="581"/>
      <c r="AZ1105" s="581"/>
      <c r="BA1105" s="596"/>
      <c r="BB1105" s="596"/>
      <c r="BC1105" s="348"/>
      <c r="BD1105" s="581"/>
      <c r="BE1105" s="581"/>
      <c r="BF1105" s="347"/>
      <c r="BG1105" s="347"/>
      <c r="BH1105" s="347"/>
      <c r="BI1105" s="347"/>
      <c r="BJ1105" s="586"/>
      <c r="BK1105" s="581"/>
      <c r="BL1105" s="347"/>
      <c r="BM1105" s="347"/>
      <c r="BN1105" s="347"/>
      <c r="BO1105" s="586"/>
      <c r="BP1105" s="584"/>
      <c r="BQ1105" s="347"/>
      <c r="BR1105" s="586"/>
      <c r="BS1105" s="588"/>
      <c r="BT1105" s="586"/>
      <c r="BU1105" s="589"/>
      <c r="BV1105" s="581"/>
      <c r="BW1105" s="590"/>
      <c r="BX1105" s="347"/>
      <c r="BY1105" s="347"/>
      <c r="BZ1105" s="347"/>
      <c r="CA1105" s="586"/>
      <c r="CB1105" s="581"/>
      <c r="CC1105" s="581"/>
      <c r="CD1105" s="581"/>
      <c r="CE1105" s="581"/>
      <c r="CF1105" s="581"/>
      <c r="CG1105" s="586"/>
      <c r="CH1105" s="608"/>
      <c r="CI1105" s="603"/>
      <c r="CJ1105" s="347"/>
      <c r="CK1105" s="347"/>
      <c r="CL1105" s="347"/>
      <c r="CM1105" s="347"/>
      <c r="CN1105" s="347"/>
      <c r="CO1105" s="347"/>
      <c r="CP1105" s="347"/>
    </row>
    <row r="1106">
      <c r="A1106" s="574"/>
      <c r="B1106" s="574"/>
      <c r="C1106" s="347"/>
      <c r="D1106" s="574"/>
      <c r="E1106" s="347"/>
      <c r="F1106" s="596"/>
      <c r="G1106" s="596"/>
      <c r="H1106" s="347"/>
      <c r="I1106" s="347"/>
      <c r="J1106" s="596"/>
      <c r="K1106" s="609"/>
      <c r="L1106" s="1"/>
      <c r="M1106" s="347"/>
      <c r="N1106" s="347"/>
      <c r="O1106" s="579"/>
      <c r="P1106" s="579"/>
      <c r="Q1106" s="574"/>
      <c r="R1106" s="347"/>
      <c r="S1106" s="597"/>
      <c r="T1106" s="347"/>
      <c r="U1106" s="579"/>
      <c r="V1106" s="579"/>
      <c r="W1106" s="574"/>
      <c r="X1106" s="347"/>
      <c r="Y1106" s="347"/>
      <c r="Z1106" s="347"/>
      <c r="AA1106" s="579"/>
      <c r="AB1106" s="581"/>
      <c r="AC1106" s="347"/>
      <c r="AD1106" s="347"/>
      <c r="AE1106" s="347"/>
      <c r="AF1106" s="347"/>
      <c r="AG1106" s="579"/>
      <c r="AH1106" s="579"/>
      <c r="AI1106" s="582"/>
      <c r="AJ1106" s="582"/>
      <c r="AK1106" s="582"/>
      <c r="AL1106" s="582"/>
      <c r="AM1106" s="579"/>
      <c r="AN1106" s="579"/>
      <c r="AO1106" s="347"/>
      <c r="AP1106" s="586"/>
      <c r="AQ1106" s="596"/>
      <c r="AR1106" s="596"/>
      <c r="AS1106" s="348"/>
      <c r="AT1106" s="348"/>
      <c r="AU1106" s="348"/>
      <c r="AV1106" s="348"/>
      <c r="AW1106" s="348"/>
      <c r="AX1106" s="584"/>
      <c r="AY1106" s="581"/>
      <c r="AZ1106" s="581"/>
      <c r="BA1106" s="596"/>
      <c r="BB1106" s="596"/>
      <c r="BC1106" s="348"/>
      <c r="BD1106" s="581"/>
      <c r="BE1106" s="581"/>
      <c r="BF1106" s="347"/>
      <c r="BG1106" s="347"/>
      <c r="BH1106" s="347"/>
      <c r="BI1106" s="347"/>
      <c r="BJ1106" s="586"/>
      <c r="BK1106" s="581"/>
      <c r="BL1106" s="347"/>
      <c r="BM1106" s="347"/>
      <c r="BN1106" s="347"/>
      <c r="BO1106" s="586"/>
      <c r="BP1106" s="584"/>
      <c r="BQ1106" s="347"/>
      <c r="BR1106" s="586"/>
      <c r="BS1106" s="588"/>
      <c r="BT1106" s="586"/>
      <c r="BU1106" s="589"/>
      <c r="BV1106" s="581"/>
      <c r="BW1106" s="590"/>
      <c r="BX1106" s="347"/>
      <c r="BY1106" s="347"/>
      <c r="BZ1106" s="347"/>
      <c r="CA1106" s="586"/>
      <c r="CB1106" s="581"/>
      <c r="CC1106" s="581"/>
      <c r="CD1106" s="581"/>
      <c r="CE1106" s="581"/>
      <c r="CF1106" s="581"/>
      <c r="CG1106" s="586"/>
      <c r="CH1106" s="608"/>
      <c r="CI1106" s="603"/>
      <c r="CJ1106" s="347"/>
      <c r="CK1106" s="347"/>
      <c r="CL1106" s="347"/>
      <c r="CM1106" s="347"/>
      <c r="CN1106" s="347"/>
      <c r="CO1106" s="347"/>
      <c r="CP1106" s="347"/>
    </row>
    <row r="1107">
      <c r="A1107" s="574"/>
      <c r="B1107" s="574"/>
      <c r="C1107" s="347"/>
      <c r="D1107" s="574"/>
      <c r="E1107" s="347"/>
      <c r="F1107" s="596"/>
      <c r="G1107" s="596"/>
      <c r="H1107" s="347"/>
      <c r="I1107" s="347"/>
      <c r="J1107" s="596"/>
      <c r="K1107" s="609"/>
      <c r="L1107" s="1"/>
      <c r="M1107" s="347"/>
      <c r="N1107" s="347"/>
      <c r="O1107" s="579"/>
      <c r="P1107" s="579"/>
      <c r="Q1107" s="574"/>
      <c r="R1107" s="347"/>
      <c r="S1107" s="597"/>
      <c r="T1107" s="347"/>
      <c r="U1107" s="579"/>
      <c r="V1107" s="579"/>
      <c r="W1107" s="574"/>
      <c r="X1107" s="347"/>
      <c r="Y1107" s="347"/>
      <c r="Z1107" s="347"/>
      <c r="AA1107" s="579"/>
      <c r="AB1107" s="581"/>
      <c r="AC1107" s="347"/>
      <c r="AD1107" s="347"/>
      <c r="AE1107" s="347"/>
      <c r="AF1107" s="347"/>
      <c r="AG1107" s="579"/>
      <c r="AH1107" s="579"/>
      <c r="AI1107" s="582"/>
      <c r="AJ1107" s="582"/>
      <c r="AK1107" s="582"/>
      <c r="AL1107" s="582"/>
      <c r="AM1107" s="579"/>
      <c r="AN1107" s="579"/>
      <c r="AO1107" s="347"/>
      <c r="AP1107" s="586"/>
      <c r="AQ1107" s="596"/>
      <c r="AR1107" s="596"/>
      <c r="AS1107" s="348"/>
      <c r="AT1107" s="348"/>
      <c r="AU1107" s="348"/>
      <c r="AV1107" s="348"/>
      <c r="AW1107" s="348"/>
      <c r="AX1107" s="584"/>
      <c r="AY1107" s="581"/>
      <c r="AZ1107" s="581"/>
      <c r="BA1107" s="596"/>
      <c r="BB1107" s="596"/>
      <c r="BC1107" s="348"/>
      <c r="BD1107" s="581"/>
      <c r="BE1107" s="581"/>
      <c r="BF1107" s="347"/>
      <c r="BG1107" s="347"/>
      <c r="BH1107" s="347"/>
      <c r="BI1107" s="347"/>
      <c r="BJ1107" s="586"/>
      <c r="BK1107" s="581"/>
      <c r="BL1107" s="347"/>
      <c r="BM1107" s="347"/>
      <c r="BN1107" s="347"/>
      <c r="BO1107" s="586"/>
      <c r="BP1107" s="584"/>
      <c r="BQ1107" s="347"/>
      <c r="BR1107" s="586"/>
      <c r="BS1107" s="588"/>
      <c r="BT1107" s="586"/>
      <c r="BU1107" s="589"/>
      <c r="BV1107" s="581"/>
      <c r="BW1107" s="590"/>
      <c r="BX1107" s="347"/>
      <c r="BY1107" s="347"/>
      <c r="BZ1107" s="347"/>
      <c r="CA1107" s="586"/>
      <c r="CB1107" s="581"/>
      <c r="CC1107" s="581"/>
      <c r="CD1107" s="581"/>
      <c r="CE1107" s="581"/>
      <c r="CF1107" s="581"/>
      <c r="CG1107" s="586"/>
      <c r="CH1107" s="608"/>
      <c r="CI1107" s="603"/>
      <c r="CJ1107" s="347"/>
      <c r="CK1107" s="347"/>
      <c r="CL1107" s="347"/>
      <c r="CM1107" s="347"/>
      <c r="CN1107" s="347"/>
      <c r="CO1107" s="347"/>
      <c r="CP1107" s="347"/>
    </row>
    <row r="1108">
      <c r="A1108" s="574"/>
      <c r="B1108" s="574"/>
      <c r="C1108" s="347"/>
      <c r="D1108" s="574"/>
      <c r="E1108" s="347"/>
      <c r="F1108" s="596"/>
      <c r="G1108" s="596"/>
      <c r="H1108" s="347"/>
      <c r="I1108" s="347"/>
      <c r="J1108" s="596"/>
      <c r="K1108" s="609"/>
      <c r="L1108" s="1"/>
      <c r="M1108" s="347"/>
      <c r="N1108" s="347"/>
      <c r="O1108" s="579"/>
      <c r="P1108" s="579"/>
      <c r="Q1108" s="574"/>
      <c r="R1108" s="347"/>
      <c r="S1108" s="597"/>
      <c r="T1108" s="347"/>
      <c r="U1108" s="579"/>
      <c r="V1108" s="579"/>
      <c r="W1108" s="574"/>
      <c r="X1108" s="347"/>
      <c r="Y1108" s="347"/>
      <c r="Z1108" s="347"/>
      <c r="AA1108" s="579"/>
      <c r="AB1108" s="581"/>
      <c r="AC1108" s="347"/>
      <c r="AD1108" s="347"/>
      <c r="AE1108" s="347"/>
      <c r="AF1108" s="347"/>
      <c r="AG1108" s="579"/>
      <c r="AH1108" s="579"/>
      <c r="AI1108" s="582"/>
      <c r="AJ1108" s="582"/>
      <c r="AK1108" s="582"/>
      <c r="AL1108" s="582"/>
      <c r="AM1108" s="579"/>
      <c r="AN1108" s="579"/>
      <c r="AO1108" s="347"/>
      <c r="AP1108" s="586"/>
      <c r="AQ1108" s="596"/>
      <c r="AR1108" s="596"/>
      <c r="AS1108" s="348"/>
      <c r="AT1108" s="348"/>
      <c r="AU1108" s="348"/>
      <c r="AV1108" s="348"/>
      <c r="AW1108" s="348"/>
      <c r="AX1108" s="584"/>
      <c r="AY1108" s="581"/>
      <c r="AZ1108" s="581"/>
      <c r="BA1108" s="596"/>
      <c r="BB1108" s="596"/>
      <c r="BC1108" s="348"/>
      <c r="BD1108" s="581"/>
      <c r="BE1108" s="581"/>
      <c r="BF1108" s="347"/>
      <c r="BG1108" s="347"/>
      <c r="BH1108" s="347"/>
      <c r="BI1108" s="347"/>
      <c r="BJ1108" s="586"/>
      <c r="BK1108" s="581"/>
      <c r="BL1108" s="347"/>
      <c r="BM1108" s="347"/>
      <c r="BN1108" s="347"/>
      <c r="BO1108" s="586"/>
      <c r="BP1108" s="584"/>
      <c r="BQ1108" s="347"/>
      <c r="BR1108" s="586"/>
      <c r="BS1108" s="588"/>
      <c r="BT1108" s="586"/>
      <c r="BU1108" s="589"/>
      <c r="BV1108" s="581"/>
      <c r="BW1108" s="590"/>
      <c r="BX1108" s="347"/>
      <c r="BY1108" s="347"/>
      <c r="BZ1108" s="347"/>
      <c r="CA1108" s="586"/>
      <c r="CB1108" s="581"/>
      <c r="CC1108" s="581"/>
      <c r="CD1108" s="581"/>
      <c r="CE1108" s="581"/>
      <c r="CF1108" s="581"/>
      <c r="CG1108" s="586"/>
      <c r="CH1108" s="608"/>
      <c r="CI1108" s="603"/>
      <c r="CJ1108" s="347"/>
      <c r="CK1108" s="347"/>
      <c r="CL1108" s="347"/>
      <c r="CM1108" s="347"/>
      <c r="CN1108" s="347"/>
      <c r="CO1108" s="347"/>
      <c r="CP1108" s="347"/>
    </row>
    <row r="1109">
      <c r="A1109" s="574"/>
      <c r="B1109" s="574"/>
      <c r="C1109" s="347"/>
      <c r="D1109" s="574"/>
      <c r="E1109" s="347"/>
      <c r="F1109" s="596"/>
      <c r="G1109" s="596"/>
      <c r="H1109" s="347"/>
      <c r="I1109" s="347"/>
      <c r="J1109" s="596"/>
      <c r="K1109" s="609"/>
      <c r="L1109" s="1"/>
      <c r="M1109" s="347"/>
      <c r="N1109" s="347"/>
      <c r="O1109" s="579"/>
      <c r="P1109" s="579"/>
      <c r="Q1109" s="574"/>
      <c r="R1109" s="347"/>
      <c r="S1109" s="597"/>
      <c r="T1109" s="347"/>
      <c r="U1109" s="579"/>
      <c r="V1109" s="579"/>
      <c r="W1109" s="574"/>
      <c r="X1109" s="347"/>
      <c r="Y1109" s="347"/>
      <c r="Z1109" s="347"/>
      <c r="AA1109" s="579"/>
      <c r="AB1109" s="581"/>
      <c r="AC1109" s="347"/>
      <c r="AD1109" s="347"/>
      <c r="AE1109" s="347"/>
      <c r="AF1109" s="347"/>
      <c r="AG1109" s="579"/>
      <c r="AH1109" s="579"/>
      <c r="AI1109" s="582"/>
      <c r="AJ1109" s="582"/>
      <c r="AK1109" s="582"/>
      <c r="AL1109" s="582"/>
      <c r="AM1109" s="579"/>
      <c r="AN1109" s="579"/>
      <c r="AO1109" s="347"/>
      <c r="AP1109" s="586"/>
      <c r="AQ1109" s="596"/>
      <c r="AR1109" s="596"/>
      <c r="AS1109" s="348"/>
      <c r="AT1109" s="348"/>
      <c r="AU1109" s="348"/>
      <c r="AV1109" s="348"/>
      <c r="AW1109" s="348"/>
      <c r="AX1109" s="584"/>
      <c r="AY1109" s="581"/>
      <c r="AZ1109" s="581"/>
      <c r="BA1109" s="596"/>
      <c r="BB1109" s="596"/>
      <c r="BC1109" s="348"/>
      <c r="BD1109" s="581"/>
      <c r="BE1109" s="581"/>
      <c r="BF1109" s="347"/>
      <c r="BG1109" s="347"/>
      <c r="BH1109" s="347"/>
      <c r="BI1109" s="347"/>
      <c r="BJ1109" s="586"/>
      <c r="BK1109" s="581"/>
      <c r="BL1109" s="347"/>
      <c r="BM1109" s="347"/>
      <c r="BN1109" s="347"/>
      <c r="BO1109" s="586"/>
      <c r="BP1109" s="584"/>
      <c r="BQ1109" s="347"/>
      <c r="BR1109" s="586"/>
      <c r="BS1109" s="588"/>
      <c r="BT1109" s="586"/>
      <c r="BU1109" s="589"/>
      <c r="BV1109" s="581"/>
      <c r="BW1109" s="590"/>
      <c r="BX1109" s="347"/>
      <c r="BY1109" s="347"/>
      <c r="BZ1109" s="347"/>
      <c r="CA1109" s="586"/>
      <c r="CB1109" s="581"/>
      <c r="CC1109" s="581"/>
      <c r="CD1109" s="581"/>
      <c r="CE1109" s="581"/>
      <c r="CF1109" s="581"/>
      <c r="CG1109" s="586"/>
      <c r="CH1109" s="608"/>
      <c r="CI1109" s="603"/>
      <c r="CJ1109" s="347"/>
      <c r="CK1109" s="347"/>
      <c r="CL1109" s="347"/>
      <c r="CM1109" s="347"/>
      <c r="CN1109" s="347"/>
      <c r="CO1109" s="347"/>
      <c r="CP1109" s="347"/>
    </row>
    <row r="1110">
      <c r="A1110" s="574"/>
      <c r="B1110" s="574"/>
      <c r="C1110" s="347"/>
      <c r="D1110" s="574"/>
      <c r="E1110" s="347"/>
      <c r="F1110" s="596"/>
      <c r="G1110" s="596"/>
      <c r="H1110" s="347"/>
      <c r="I1110" s="347"/>
      <c r="J1110" s="596"/>
      <c r="K1110" s="609"/>
      <c r="L1110" s="1"/>
      <c r="M1110" s="347"/>
      <c r="N1110" s="347"/>
      <c r="O1110" s="579"/>
      <c r="P1110" s="579"/>
      <c r="Q1110" s="574"/>
      <c r="R1110" s="347"/>
      <c r="S1110" s="597"/>
      <c r="T1110" s="347"/>
      <c r="U1110" s="579"/>
      <c r="V1110" s="579"/>
      <c r="W1110" s="574"/>
      <c r="X1110" s="347"/>
      <c r="Y1110" s="347"/>
      <c r="Z1110" s="347"/>
      <c r="AA1110" s="579"/>
      <c r="AB1110" s="581"/>
      <c r="AC1110" s="347"/>
      <c r="AD1110" s="347"/>
      <c r="AE1110" s="347"/>
      <c r="AF1110" s="347"/>
      <c r="AG1110" s="579"/>
      <c r="AH1110" s="579"/>
      <c r="AI1110" s="582"/>
      <c r="AJ1110" s="582"/>
      <c r="AK1110" s="582"/>
      <c r="AL1110" s="582"/>
      <c r="AM1110" s="579"/>
      <c r="AN1110" s="579"/>
      <c r="AO1110" s="347"/>
      <c r="AP1110" s="586"/>
      <c r="AQ1110" s="596"/>
      <c r="AR1110" s="596"/>
      <c r="AS1110" s="348"/>
      <c r="AT1110" s="348"/>
      <c r="AU1110" s="348"/>
      <c r="AV1110" s="348"/>
      <c r="AW1110" s="348"/>
      <c r="AX1110" s="584"/>
      <c r="AY1110" s="581"/>
      <c r="AZ1110" s="581"/>
      <c r="BA1110" s="596"/>
      <c r="BB1110" s="596"/>
      <c r="BC1110" s="348"/>
      <c r="BD1110" s="581"/>
      <c r="BE1110" s="581"/>
      <c r="BF1110" s="347"/>
      <c r="BG1110" s="347"/>
      <c r="BH1110" s="347"/>
      <c r="BI1110" s="347"/>
      <c r="BJ1110" s="586"/>
      <c r="BK1110" s="581"/>
      <c r="BL1110" s="347"/>
      <c r="BM1110" s="347"/>
      <c r="BN1110" s="347"/>
      <c r="BO1110" s="586"/>
      <c r="BP1110" s="584"/>
      <c r="BQ1110" s="347"/>
      <c r="BR1110" s="586"/>
      <c r="BS1110" s="588"/>
      <c r="BT1110" s="586"/>
      <c r="BU1110" s="589"/>
      <c r="BV1110" s="581"/>
      <c r="BW1110" s="590"/>
      <c r="BX1110" s="347"/>
      <c r="BY1110" s="347"/>
      <c r="BZ1110" s="347"/>
      <c r="CA1110" s="586"/>
      <c r="CB1110" s="581"/>
      <c r="CC1110" s="581"/>
      <c r="CD1110" s="581"/>
      <c r="CE1110" s="581"/>
      <c r="CF1110" s="581"/>
      <c r="CG1110" s="586"/>
      <c r="CH1110" s="608"/>
      <c r="CI1110" s="603"/>
      <c r="CJ1110" s="347"/>
      <c r="CK1110" s="347"/>
      <c r="CL1110" s="347"/>
      <c r="CM1110" s="347"/>
      <c r="CN1110" s="347"/>
      <c r="CO1110" s="347"/>
      <c r="CP1110" s="347"/>
    </row>
    <row r="1111">
      <c r="A1111" s="574"/>
      <c r="B1111" s="574"/>
      <c r="C1111" s="347"/>
      <c r="D1111" s="574"/>
      <c r="E1111" s="347"/>
      <c r="F1111" s="596"/>
      <c r="G1111" s="596"/>
      <c r="H1111" s="347"/>
      <c r="I1111" s="347"/>
      <c r="J1111" s="596"/>
      <c r="K1111" s="609"/>
      <c r="L1111" s="1"/>
      <c r="M1111" s="347"/>
      <c r="N1111" s="347"/>
      <c r="O1111" s="579"/>
      <c r="P1111" s="579"/>
      <c r="Q1111" s="574"/>
      <c r="R1111" s="347"/>
      <c r="S1111" s="597"/>
      <c r="T1111" s="347"/>
      <c r="U1111" s="579"/>
      <c r="V1111" s="579"/>
      <c r="W1111" s="574"/>
      <c r="X1111" s="347"/>
      <c r="Y1111" s="347"/>
      <c r="Z1111" s="347"/>
      <c r="AA1111" s="579"/>
      <c r="AB1111" s="581"/>
      <c r="AC1111" s="347"/>
      <c r="AD1111" s="347"/>
      <c r="AE1111" s="347"/>
      <c r="AF1111" s="347"/>
      <c r="AG1111" s="579"/>
      <c r="AH1111" s="579"/>
      <c r="AI1111" s="582"/>
      <c r="AJ1111" s="582"/>
      <c r="AK1111" s="582"/>
      <c r="AL1111" s="582"/>
      <c r="AM1111" s="579"/>
      <c r="AN1111" s="579"/>
      <c r="AO1111" s="347"/>
      <c r="AP1111" s="586"/>
      <c r="AQ1111" s="596"/>
      <c r="AR1111" s="596"/>
      <c r="AS1111" s="348"/>
      <c r="AT1111" s="348"/>
      <c r="AU1111" s="348"/>
      <c r="AV1111" s="348"/>
      <c r="AW1111" s="348"/>
      <c r="AX1111" s="584"/>
      <c r="AY1111" s="581"/>
      <c r="AZ1111" s="581"/>
      <c r="BA1111" s="596"/>
      <c r="BB1111" s="596"/>
      <c r="BC1111" s="348"/>
      <c r="BD1111" s="581"/>
      <c r="BE1111" s="581"/>
      <c r="BF1111" s="347"/>
      <c r="BG1111" s="347"/>
      <c r="BH1111" s="347"/>
      <c r="BI1111" s="347"/>
      <c r="BJ1111" s="586"/>
      <c r="BK1111" s="581"/>
      <c r="BL1111" s="347"/>
      <c r="BM1111" s="347"/>
      <c r="BN1111" s="347"/>
      <c r="BO1111" s="586"/>
      <c r="BP1111" s="584"/>
      <c r="BQ1111" s="347"/>
      <c r="BR1111" s="586"/>
      <c r="BS1111" s="588"/>
      <c r="BT1111" s="586"/>
      <c r="BU1111" s="589"/>
      <c r="BV1111" s="581"/>
      <c r="BW1111" s="590"/>
      <c r="BX1111" s="347"/>
      <c r="BY1111" s="347"/>
      <c r="BZ1111" s="347"/>
      <c r="CA1111" s="586"/>
      <c r="CB1111" s="581"/>
      <c r="CC1111" s="581"/>
      <c r="CD1111" s="581"/>
      <c r="CE1111" s="581"/>
      <c r="CF1111" s="581"/>
      <c r="CG1111" s="586"/>
      <c r="CH1111" s="608"/>
      <c r="CI1111" s="603"/>
      <c r="CJ1111" s="347"/>
      <c r="CK1111" s="347"/>
      <c r="CL1111" s="347"/>
      <c r="CM1111" s="347"/>
      <c r="CN1111" s="347"/>
      <c r="CO1111" s="347"/>
      <c r="CP1111" s="347"/>
    </row>
    <row r="1112">
      <c r="A1112" s="574"/>
      <c r="B1112" s="574"/>
      <c r="C1112" s="347"/>
      <c r="D1112" s="574"/>
      <c r="E1112" s="347"/>
      <c r="F1112" s="596"/>
      <c r="G1112" s="596"/>
      <c r="H1112" s="347"/>
      <c r="I1112" s="347"/>
      <c r="J1112" s="596"/>
      <c r="K1112" s="609"/>
      <c r="L1112" s="1"/>
      <c r="M1112" s="347"/>
      <c r="N1112" s="347"/>
      <c r="O1112" s="579"/>
      <c r="P1112" s="579"/>
      <c r="Q1112" s="574"/>
      <c r="R1112" s="347"/>
      <c r="S1112" s="597"/>
      <c r="T1112" s="347"/>
      <c r="U1112" s="579"/>
      <c r="V1112" s="579"/>
      <c r="W1112" s="574"/>
      <c r="X1112" s="347"/>
      <c r="Y1112" s="347"/>
      <c r="Z1112" s="347"/>
      <c r="AA1112" s="579"/>
      <c r="AB1112" s="581"/>
      <c r="AC1112" s="347"/>
      <c r="AD1112" s="347"/>
      <c r="AE1112" s="347"/>
      <c r="AF1112" s="347"/>
      <c r="AG1112" s="579"/>
      <c r="AH1112" s="579"/>
      <c r="AI1112" s="582"/>
      <c r="AJ1112" s="582"/>
      <c r="AK1112" s="582"/>
      <c r="AL1112" s="582"/>
      <c r="AM1112" s="579"/>
      <c r="AN1112" s="579"/>
      <c r="AO1112" s="347"/>
      <c r="AP1112" s="586"/>
      <c r="AQ1112" s="596"/>
      <c r="AR1112" s="596"/>
      <c r="AS1112" s="348"/>
      <c r="AT1112" s="348"/>
      <c r="AU1112" s="348"/>
      <c r="AV1112" s="348"/>
      <c r="AW1112" s="348"/>
      <c r="AX1112" s="584"/>
      <c r="AY1112" s="581"/>
      <c r="AZ1112" s="581"/>
      <c r="BA1112" s="596"/>
      <c r="BB1112" s="596"/>
      <c r="BC1112" s="348"/>
      <c r="BD1112" s="581"/>
      <c r="BE1112" s="581"/>
      <c r="BF1112" s="347"/>
      <c r="BG1112" s="347"/>
      <c r="BH1112" s="347"/>
      <c r="BI1112" s="347"/>
      <c r="BJ1112" s="586"/>
      <c r="BK1112" s="581"/>
      <c r="BL1112" s="347"/>
      <c r="BM1112" s="347"/>
      <c r="BN1112" s="347"/>
      <c r="BO1112" s="586"/>
      <c r="BP1112" s="584"/>
      <c r="BQ1112" s="347"/>
      <c r="BR1112" s="586"/>
      <c r="BS1112" s="588"/>
      <c r="BT1112" s="586"/>
      <c r="BU1112" s="589"/>
      <c r="BV1112" s="581"/>
      <c r="BW1112" s="590"/>
      <c r="BX1112" s="347"/>
      <c r="BY1112" s="347"/>
      <c r="BZ1112" s="347"/>
      <c r="CA1112" s="586"/>
      <c r="CB1112" s="581"/>
      <c r="CC1112" s="581"/>
      <c r="CD1112" s="581"/>
      <c r="CE1112" s="581"/>
      <c r="CF1112" s="581"/>
      <c r="CG1112" s="586"/>
      <c r="CH1112" s="608"/>
      <c r="CI1112" s="603"/>
      <c r="CJ1112" s="347"/>
      <c r="CK1112" s="347"/>
      <c r="CL1112" s="347"/>
      <c r="CM1112" s="347"/>
      <c r="CN1112" s="347"/>
      <c r="CO1112" s="347"/>
      <c r="CP1112" s="347"/>
    </row>
    <row r="1113">
      <c r="A1113" s="574"/>
      <c r="B1113" s="574"/>
      <c r="C1113" s="347"/>
      <c r="D1113" s="574"/>
      <c r="E1113" s="347"/>
      <c r="F1113" s="596"/>
      <c r="G1113" s="596"/>
      <c r="H1113" s="347"/>
      <c r="I1113" s="347"/>
      <c r="J1113" s="596"/>
      <c r="K1113" s="609"/>
      <c r="L1113" s="1"/>
      <c r="M1113" s="347"/>
      <c r="N1113" s="347"/>
      <c r="O1113" s="579"/>
      <c r="P1113" s="579"/>
      <c r="Q1113" s="574"/>
      <c r="R1113" s="347"/>
      <c r="S1113" s="597"/>
      <c r="T1113" s="347"/>
      <c r="U1113" s="579"/>
      <c r="V1113" s="579"/>
      <c r="W1113" s="574"/>
      <c r="X1113" s="347"/>
      <c r="Y1113" s="347"/>
      <c r="Z1113" s="347"/>
      <c r="AA1113" s="579"/>
      <c r="AB1113" s="581"/>
      <c r="AC1113" s="347"/>
      <c r="AD1113" s="347"/>
      <c r="AE1113" s="347"/>
      <c r="AF1113" s="347"/>
      <c r="AG1113" s="579"/>
      <c r="AH1113" s="579"/>
      <c r="AI1113" s="582"/>
      <c r="AJ1113" s="582"/>
      <c r="AK1113" s="582"/>
      <c r="AL1113" s="582"/>
      <c r="AM1113" s="579"/>
      <c r="AN1113" s="579"/>
      <c r="AO1113" s="347"/>
      <c r="AP1113" s="586"/>
      <c r="AQ1113" s="596"/>
      <c r="AR1113" s="596"/>
      <c r="AS1113" s="348"/>
      <c r="AT1113" s="348"/>
      <c r="AU1113" s="348"/>
      <c r="AV1113" s="348"/>
      <c r="AW1113" s="348"/>
      <c r="AX1113" s="584"/>
      <c r="AY1113" s="581"/>
      <c r="AZ1113" s="581"/>
      <c r="BA1113" s="596"/>
      <c r="BB1113" s="596"/>
      <c r="BC1113" s="348"/>
      <c r="BD1113" s="581"/>
      <c r="BE1113" s="581"/>
      <c r="BF1113" s="347"/>
      <c r="BG1113" s="347"/>
      <c r="BH1113" s="347"/>
      <c r="BI1113" s="347"/>
      <c r="BJ1113" s="586"/>
      <c r="BK1113" s="581"/>
      <c r="BL1113" s="347"/>
      <c r="BM1113" s="347"/>
      <c r="BN1113" s="347"/>
      <c r="BO1113" s="586"/>
      <c r="BP1113" s="584"/>
      <c r="BQ1113" s="347"/>
      <c r="BR1113" s="586"/>
      <c r="BS1113" s="588"/>
      <c r="BT1113" s="586"/>
      <c r="BU1113" s="589"/>
      <c r="BV1113" s="581"/>
      <c r="BW1113" s="590"/>
      <c r="BX1113" s="347"/>
      <c r="BY1113" s="347"/>
      <c r="BZ1113" s="347"/>
      <c r="CA1113" s="586"/>
      <c r="CB1113" s="581"/>
      <c r="CC1113" s="581"/>
      <c r="CD1113" s="581"/>
      <c r="CE1113" s="581"/>
      <c r="CF1113" s="581"/>
      <c r="CG1113" s="586"/>
      <c r="CH1113" s="608"/>
      <c r="CI1113" s="603"/>
      <c r="CJ1113" s="347"/>
      <c r="CK1113" s="347"/>
      <c r="CL1113" s="347"/>
      <c r="CM1113" s="347"/>
      <c r="CN1113" s="347"/>
      <c r="CO1113" s="347"/>
      <c r="CP1113" s="347"/>
    </row>
    <row r="1114">
      <c r="A1114" s="574"/>
      <c r="B1114" s="574"/>
      <c r="C1114" s="347"/>
      <c r="D1114" s="574"/>
      <c r="E1114" s="347"/>
      <c r="F1114" s="596"/>
      <c r="G1114" s="596"/>
      <c r="H1114" s="347"/>
      <c r="I1114" s="347"/>
      <c r="J1114" s="596"/>
      <c r="K1114" s="609"/>
      <c r="L1114" s="1"/>
      <c r="M1114" s="347"/>
      <c r="N1114" s="347"/>
      <c r="O1114" s="579"/>
      <c r="P1114" s="579"/>
      <c r="Q1114" s="574"/>
      <c r="R1114" s="347"/>
      <c r="S1114" s="597"/>
      <c r="T1114" s="347"/>
      <c r="U1114" s="579"/>
      <c r="V1114" s="579"/>
      <c r="W1114" s="574"/>
      <c r="X1114" s="347"/>
      <c r="Y1114" s="347"/>
      <c r="Z1114" s="347"/>
      <c r="AA1114" s="579"/>
      <c r="AB1114" s="581"/>
      <c r="AC1114" s="347"/>
      <c r="AD1114" s="347"/>
      <c r="AE1114" s="347"/>
      <c r="AF1114" s="347"/>
      <c r="AG1114" s="579"/>
      <c r="AH1114" s="579"/>
      <c r="AI1114" s="582"/>
      <c r="AJ1114" s="582"/>
      <c r="AK1114" s="582"/>
      <c r="AL1114" s="582"/>
      <c r="AM1114" s="579"/>
      <c r="AN1114" s="579"/>
      <c r="AO1114" s="347"/>
      <c r="AP1114" s="586"/>
      <c r="AQ1114" s="596"/>
      <c r="AR1114" s="596"/>
      <c r="AS1114" s="348"/>
      <c r="AT1114" s="348"/>
      <c r="AU1114" s="348"/>
      <c r="AV1114" s="348"/>
      <c r="AW1114" s="348"/>
      <c r="AX1114" s="584"/>
      <c r="AY1114" s="581"/>
      <c r="AZ1114" s="581"/>
      <c r="BA1114" s="596"/>
      <c r="BB1114" s="596"/>
      <c r="BC1114" s="348"/>
      <c r="BD1114" s="581"/>
      <c r="BE1114" s="581"/>
      <c r="BF1114" s="347"/>
      <c r="BG1114" s="347"/>
      <c r="BH1114" s="347"/>
      <c r="BI1114" s="347"/>
      <c r="BJ1114" s="586"/>
      <c r="BK1114" s="581"/>
      <c r="BL1114" s="347"/>
      <c r="BM1114" s="347"/>
      <c r="BN1114" s="347"/>
      <c r="BO1114" s="586"/>
      <c r="BP1114" s="584"/>
      <c r="BQ1114" s="347"/>
      <c r="BR1114" s="586"/>
      <c r="BS1114" s="588"/>
      <c r="BT1114" s="586"/>
      <c r="BU1114" s="589"/>
      <c r="BV1114" s="581"/>
      <c r="BW1114" s="590"/>
      <c r="BX1114" s="347"/>
      <c r="BY1114" s="347"/>
      <c r="BZ1114" s="347"/>
      <c r="CA1114" s="586"/>
      <c r="CB1114" s="581"/>
      <c r="CC1114" s="581"/>
      <c r="CD1114" s="581"/>
      <c r="CE1114" s="581"/>
      <c r="CF1114" s="581"/>
      <c r="CG1114" s="586"/>
      <c r="CH1114" s="608"/>
      <c r="CI1114" s="603"/>
      <c r="CJ1114" s="347"/>
      <c r="CK1114" s="347"/>
      <c r="CL1114" s="347"/>
      <c r="CM1114" s="347"/>
      <c r="CN1114" s="347"/>
      <c r="CO1114" s="347"/>
      <c r="CP1114" s="347"/>
    </row>
    <row r="1115">
      <c r="A1115" s="574"/>
      <c r="B1115" s="574"/>
      <c r="C1115" s="347"/>
      <c r="D1115" s="574"/>
      <c r="E1115" s="347"/>
      <c r="F1115" s="596"/>
      <c r="G1115" s="596"/>
      <c r="H1115" s="347"/>
      <c r="I1115" s="347"/>
      <c r="J1115" s="596"/>
      <c r="K1115" s="609"/>
      <c r="L1115" s="1"/>
      <c r="M1115" s="347"/>
      <c r="N1115" s="347"/>
      <c r="O1115" s="579"/>
      <c r="P1115" s="579"/>
      <c r="Q1115" s="574"/>
      <c r="R1115" s="347"/>
      <c r="S1115" s="597"/>
      <c r="T1115" s="347"/>
      <c r="U1115" s="579"/>
      <c r="V1115" s="579"/>
      <c r="W1115" s="574"/>
      <c r="X1115" s="347"/>
      <c r="Y1115" s="347"/>
      <c r="Z1115" s="347"/>
      <c r="AA1115" s="579"/>
      <c r="AB1115" s="581"/>
      <c r="AC1115" s="347"/>
      <c r="AD1115" s="347"/>
      <c r="AE1115" s="347"/>
      <c r="AF1115" s="347"/>
      <c r="AG1115" s="579"/>
      <c r="AH1115" s="579"/>
      <c r="AI1115" s="582"/>
      <c r="AJ1115" s="582"/>
      <c r="AK1115" s="582"/>
      <c r="AL1115" s="582"/>
      <c r="AM1115" s="579"/>
      <c r="AN1115" s="579"/>
      <c r="AO1115" s="347"/>
      <c r="AP1115" s="586"/>
      <c r="AQ1115" s="596"/>
      <c r="AR1115" s="596"/>
      <c r="AS1115" s="348"/>
      <c r="AT1115" s="348"/>
      <c r="AU1115" s="348"/>
      <c r="AV1115" s="348"/>
      <c r="AW1115" s="348"/>
      <c r="AX1115" s="584"/>
      <c r="AY1115" s="581"/>
      <c r="AZ1115" s="581"/>
      <c r="BA1115" s="596"/>
      <c r="BB1115" s="596"/>
      <c r="BC1115" s="348"/>
      <c r="BD1115" s="581"/>
      <c r="BE1115" s="581"/>
      <c r="BF1115" s="347"/>
      <c r="BG1115" s="347"/>
      <c r="BH1115" s="347"/>
      <c r="BI1115" s="347"/>
      <c r="BJ1115" s="586"/>
      <c r="BK1115" s="581"/>
      <c r="BL1115" s="347"/>
      <c r="BM1115" s="347"/>
      <c r="BN1115" s="347"/>
      <c r="BO1115" s="586"/>
      <c r="BP1115" s="584"/>
      <c r="BQ1115" s="347"/>
      <c r="BR1115" s="586"/>
      <c r="BS1115" s="588"/>
      <c r="BT1115" s="586"/>
      <c r="BU1115" s="589"/>
      <c r="BV1115" s="581"/>
      <c r="BW1115" s="590"/>
      <c r="BX1115" s="347"/>
      <c r="BY1115" s="347"/>
      <c r="BZ1115" s="347"/>
      <c r="CA1115" s="586"/>
      <c r="CB1115" s="581"/>
      <c r="CC1115" s="581"/>
      <c r="CD1115" s="581"/>
      <c r="CE1115" s="581"/>
      <c r="CF1115" s="581"/>
      <c r="CG1115" s="586"/>
      <c r="CH1115" s="608"/>
      <c r="CI1115" s="603"/>
      <c r="CJ1115" s="347"/>
      <c r="CK1115" s="347"/>
      <c r="CL1115" s="347"/>
      <c r="CM1115" s="347"/>
      <c r="CN1115" s="347"/>
      <c r="CO1115" s="347"/>
      <c r="CP1115" s="347"/>
    </row>
    <row r="1116">
      <c r="A1116" s="574"/>
      <c r="B1116" s="574"/>
      <c r="C1116" s="347"/>
      <c r="D1116" s="574"/>
      <c r="E1116" s="347"/>
      <c r="F1116" s="596"/>
      <c r="G1116" s="596"/>
      <c r="H1116" s="347"/>
      <c r="I1116" s="347"/>
      <c r="J1116" s="596"/>
      <c r="K1116" s="609"/>
      <c r="L1116" s="1"/>
      <c r="M1116" s="347"/>
      <c r="N1116" s="347"/>
      <c r="O1116" s="579"/>
      <c r="P1116" s="579"/>
      <c r="Q1116" s="574"/>
      <c r="R1116" s="347"/>
      <c r="S1116" s="597"/>
      <c r="T1116" s="347"/>
      <c r="U1116" s="579"/>
      <c r="V1116" s="579"/>
      <c r="W1116" s="574"/>
      <c r="X1116" s="347"/>
      <c r="Y1116" s="347"/>
      <c r="Z1116" s="347"/>
      <c r="AA1116" s="579"/>
      <c r="AB1116" s="581"/>
      <c r="AC1116" s="347"/>
      <c r="AD1116" s="347"/>
      <c r="AE1116" s="347"/>
      <c r="AF1116" s="347"/>
      <c r="AG1116" s="579"/>
      <c r="AH1116" s="579"/>
      <c r="AI1116" s="582"/>
      <c r="AJ1116" s="582"/>
      <c r="AK1116" s="582"/>
      <c r="AL1116" s="582"/>
      <c r="AM1116" s="579"/>
      <c r="AN1116" s="579"/>
      <c r="AO1116" s="347"/>
      <c r="AP1116" s="586"/>
      <c r="AQ1116" s="596"/>
      <c r="AR1116" s="596"/>
      <c r="AS1116" s="348"/>
      <c r="AT1116" s="348"/>
      <c r="AU1116" s="348"/>
      <c r="AV1116" s="348"/>
      <c r="AW1116" s="348"/>
      <c r="AX1116" s="584"/>
      <c r="AY1116" s="581"/>
      <c r="AZ1116" s="581"/>
      <c r="BA1116" s="596"/>
      <c r="BB1116" s="596"/>
      <c r="BC1116" s="348"/>
      <c r="BD1116" s="581"/>
      <c r="BE1116" s="581"/>
      <c r="BF1116" s="347"/>
      <c r="BG1116" s="347"/>
      <c r="BH1116" s="347"/>
      <c r="BI1116" s="347"/>
      <c r="BJ1116" s="586"/>
      <c r="BK1116" s="581"/>
      <c r="BL1116" s="347"/>
      <c r="BM1116" s="347"/>
      <c r="BN1116" s="347"/>
      <c r="BO1116" s="586"/>
      <c r="BP1116" s="584"/>
      <c r="BQ1116" s="347"/>
      <c r="BR1116" s="586"/>
      <c r="BS1116" s="588"/>
      <c r="BT1116" s="586"/>
      <c r="BU1116" s="589"/>
      <c r="BV1116" s="581"/>
      <c r="BW1116" s="590"/>
      <c r="BX1116" s="347"/>
      <c r="BY1116" s="347"/>
      <c r="BZ1116" s="347"/>
      <c r="CA1116" s="586"/>
      <c r="CB1116" s="581"/>
      <c r="CC1116" s="581"/>
      <c r="CD1116" s="581"/>
      <c r="CE1116" s="581"/>
      <c r="CF1116" s="581"/>
      <c r="CG1116" s="586"/>
      <c r="CH1116" s="608"/>
      <c r="CI1116" s="603"/>
      <c r="CJ1116" s="347"/>
      <c r="CK1116" s="347"/>
      <c r="CL1116" s="347"/>
      <c r="CM1116" s="347"/>
      <c r="CN1116" s="347"/>
      <c r="CO1116" s="347"/>
      <c r="CP1116" s="347"/>
    </row>
    <row r="1117">
      <c r="A1117" s="574"/>
      <c r="B1117" s="574"/>
      <c r="C1117" s="347"/>
      <c r="D1117" s="574"/>
      <c r="E1117" s="347"/>
      <c r="F1117" s="596"/>
      <c r="G1117" s="596"/>
      <c r="H1117" s="347"/>
      <c r="I1117" s="347"/>
      <c r="J1117" s="596"/>
      <c r="K1117" s="609"/>
      <c r="L1117" s="1"/>
      <c r="M1117" s="347"/>
      <c r="N1117" s="347"/>
      <c r="O1117" s="579"/>
      <c r="P1117" s="579"/>
      <c r="Q1117" s="574"/>
      <c r="R1117" s="347"/>
      <c r="S1117" s="597"/>
      <c r="T1117" s="347"/>
      <c r="U1117" s="579"/>
      <c r="V1117" s="579"/>
      <c r="W1117" s="574"/>
      <c r="X1117" s="347"/>
      <c r="Y1117" s="347"/>
      <c r="Z1117" s="347"/>
      <c r="AA1117" s="579"/>
      <c r="AB1117" s="581"/>
      <c r="AC1117" s="347"/>
      <c r="AD1117" s="347"/>
      <c r="AE1117" s="347"/>
      <c r="AF1117" s="347"/>
      <c r="AG1117" s="579"/>
      <c r="AH1117" s="579"/>
      <c r="AI1117" s="582"/>
      <c r="AJ1117" s="582"/>
      <c r="AK1117" s="582"/>
      <c r="AL1117" s="582"/>
      <c r="AM1117" s="579"/>
      <c r="AN1117" s="579"/>
      <c r="AO1117" s="347"/>
      <c r="AP1117" s="586"/>
      <c r="AQ1117" s="596"/>
      <c r="AR1117" s="596"/>
      <c r="AS1117" s="348"/>
      <c r="AT1117" s="348"/>
      <c r="AU1117" s="348"/>
      <c r="AV1117" s="348"/>
      <c r="AW1117" s="348"/>
      <c r="AX1117" s="584"/>
      <c r="AY1117" s="581"/>
      <c r="AZ1117" s="581"/>
      <c r="BA1117" s="596"/>
      <c r="BB1117" s="596"/>
      <c r="BC1117" s="348"/>
      <c r="BD1117" s="581"/>
      <c r="BE1117" s="581"/>
      <c r="BF1117" s="347"/>
      <c r="BG1117" s="347"/>
      <c r="BH1117" s="347"/>
      <c r="BI1117" s="347"/>
      <c r="BJ1117" s="586"/>
      <c r="BK1117" s="581"/>
      <c r="BL1117" s="347"/>
      <c r="BM1117" s="347"/>
      <c r="BN1117" s="347"/>
      <c r="BO1117" s="586"/>
      <c r="BP1117" s="584"/>
      <c r="BQ1117" s="347"/>
      <c r="BR1117" s="586"/>
      <c r="BS1117" s="588"/>
      <c r="BT1117" s="586"/>
      <c r="BU1117" s="589"/>
      <c r="BV1117" s="581"/>
      <c r="BW1117" s="590"/>
      <c r="BX1117" s="347"/>
      <c r="BY1117" s="347"/>
      <c r="BZ1117" s="347"/>
      <c r="CA1117" s="586"/>
      <c r="CB1117" s="581"/>
      <c r="CC1117" s="581"/>
      <c r="CD1117" s="581"/>
      <c r="CE1117" s="581"/>
      <c r="CF1117" s="581"/>
      <c r="CG1117" s="586"/>
      <c r="CH1117" s="608"/>
      <c r="CI1117" s="603"/>
      <c r="CJ1117" s="347"/>
      <c r="CK1117" s="347"/>
      <c r="CL1117" s="347"/>
      <c r="CM1117" s="347"/>
      <c r="CN1117" s="347"/>
      <c r="CO1117" s="347"/>
      <c r="CP1117" s="347"/>
    </row>
    <row r="1118">
      <c r="A1118" s="574"/>
      <c r="B1118" s="574"/>
      <c r="C1118" s="347"/>
      <c r="D1118" s="574"/>
      <c r="E1118" s="347"/>
      <c r="F1118" s="596"/>
      <c r="G1118" s="596"/>
      <c r="H1118" s="347"/>
      <c r="I1118" s="347"/>
      <c r="J1118" s="596"/>
      <c r="K1118" s="609"/>
      <c r="L1118" s="1"/>
      <c r="M1118" s="347"/>
      <c r="N1118" s="347"/>
      <c r="O1118" s="579"/>
      <c r="P1118" s="579"/>
      <c r="Q1118" s="574"/>
      <c r="R1118" s="347"/>
      <c r="S1118" s="597"/>
      <c r="T1118" s="347"/>
      <c r="U1118" s="579"/>
      <c r="V1118" s="579"/>
      <c r="W1118" s="574"/>
      <c r="X1118" s="347"/>
      <c r="Y1118" s="347"/>
      <c r="Z1118" s="347"/>
      <c r="AA1118" s="579"/>
      <c r="AB1118" s="581"/>
      <c r="AC1118" s="347"/>
      <c r="AD1118" s="347"/>
      <c r="AE1118" s="347"/>
      <c r="AF1118" s="347"/>
      <c r="AG1118" s="579"/>
      <c r="AH1118" s="579"/>
      <c r="AI1118" s="582"/>
      <c r="AJ1118" s="582"/>
      <c r="AK1118" s="582"/>
      <c r="AL1118" s="582"/>
      <c r="AM1118" s="579"/>
      <c r="AN1118" s="579"/>
      <c r="AO1118" s="347"/>
      <c r="AP1118" s="586"/>
      <c r="AQ1118" s="596"/>
      <c r="AR1118" s="596"/>
      <c r="AS1118" s="348"/>
      <c r="AT1118" s="348"/>
      <c r="AU1118" s="348"/>
      <c r="AV1118" s="348"/>
      <c r="AW1118" s="348"/>
      <c r="AX1118" s="584"/>
      <c r="AY1118" s="581"/>
      <c r="AZ1118" s="581"/>
      <c r="BA1118" s="596"/>
      <c r="BB1118" s="596"/>
      <c r="BC1118" s="348"/>
      <c r="BD1118" s="581"/>
      <c r="BE1118" s="581"/>
      <c r="BF1118" s="347"/>
      <c r="BG1118" s="347"/>
      <c r="BH1118" s="347"/>
      <c r="BI1118" s="347"/>
      <c r="BJ1118" s="586"/>
      <c r="BK1118" s="581"/>
      <c r="BL1118" s="347"/>
      <c r="BM1118" s="347"/>
      <c r="BN1118" s="347"/>
      <c r="BO1118" s="586"/>
      <c r="BP1118" s="584"/>
      <c r="BQ1118" s="347"/>
      <c r="BR1118" s="586"/>
      <c r="BS1118" s="588"/>
      <c r="BT1118" s="586"/>
      <c r="BU1118" s="589"/>
      <c r="BV1118" s="581"/>
      <c r="BW1118" s="590"/>
      <c r="BX1118" s="347"/>
      <c r="BY1118" s="347"/>
      <c r="BZ1118" s="347"/>
      <c r="CA1118" s="586"/>
      <c r="CB1118" s="581"/>
      <c r="CC1118" s="581"/>
      <c r="CD1118" s="581"/>
      <c r="CE1118" s="581"/>
      <c r="CF1118" s="581"/>
      <c r="CG1118" s="586"/>
      <c r="CH1118" s="608"/>
      <c r="CI1118" s="603"/>
      <c r="CJ1118" s="347"/>
      <c r="CK1118" s="347"/>
      <c r="CL1118" s="347"/>
      <c r="CM1118" s="347"/>
      <c r="CN1118" s="347"/>
      <c r="CO1118" s="347"/>
      <c r="CP1118" s="347"/>
    </row>
    <row r="1119">
      <c r="A1119" s="574"/>
      <c r="B1119" s="574"/>
      <c r="C1119" s="347"/>
      <c r="D1119" s="574"/>
      <c r="E1119" s="347"/>
      <c r="F1119" s="596"/>
      <c r="G1119" s="596"/>
      <c r="H1119" s="347"/>
      <c r="I1119" s="347"/>
      <c r="J1119" s="596"/>
      <c r="K1119" s="609"/>
      <c r="L1119" s="1"/>
      <c r="M1119" s="347"/>
      <c r="N1119" s="347"/>
      <c r="O1119" s="579"/>
      <c r="P1119" s="579"/>
      <c r="Q1119" s="574"/>
      <c r="R1119" s="347"/>
      <c r="S1119" s="597"/>
      <c r="T1119" s="347"/>
      <c r="U1119" s="579"/>
      <c r="V1119" s="579"/>
      <c r="W1119" s="574"/>
      <c r="X1119" s="347"/>
      <c r="Y1119" s="347"/>
      <c r="Z1119" s="347"/>
      <c r="AA1119" s="579"/>
      <c r="AB1119" s="581"/>
      <c r="AC1119" s="347"/>
      <c r="AD1119" s="347"/>
      <c r="AE1119" s="347"/>
      <c r="AF1119" s="347"/>
      <c r="AG1119" s="579"/>
      <c r="AH1119" s="579"/>
      <c r="AI1119" s="582"/>
      <c r="AJ1119" s="582"/>
      <c r="AK1119" s="582"/>
      <c r="AL1119" s="582"/>
      <c r="AM1119" s="579"/>
      <c r="AN1119" s="579"/>
      <c r="AO1119" s="347"/>
      <c r="AP1119" s="586"/>
      <c r="AQ1119" s="596"/>
      <c r="AR1119" s="596"/>
      <c r="AS1119" s="348"/>
      <c r="AT1119" s="348"/>
      <c r="AU1119" s="348"/>
      <c r="AV1119" s="348"/>
      <c r="AW1119" s="348"/>
      <c r="AX1119" s="584"/>
      <c r="AY1119" s="581"/>
      <c r="AZ1119" s="581"/>
      <c r="BA1119" s="596"/>
      <c r="BB1119" s="596"/>
      <c r="BC1119" s="348"/>
      <c r="BD1119" s="581"/>
      <c r="BE1119" s="581"/>
      <c r="BF1119" s="347"/>
      <c r="BG1119" s="347"/>
      <c r="BH1119" s="347"/>
      <c r="BI1119" s="347"/>
      <c r="BJ1119" s="586"/>
      <c r="BK1119" s="581"/>
      <c r="BL1119" s="347"/>
      <c r="BM1119" s="347"/>
      <c r="BN1119" s="347"/>
      <c r="BO1119" s="586"/>
      <c r="BP1119" s="584"/>
      <c r="BQ1119" s="347"/>
      <c r="BR1119" s="586"/>
      <c r="BS1119" s="588"/>
      <c r="BT1119" s="586"/>
      <c r="BU1119" s="589"/>
      <c r="BV1119" s="581"/>
      <c r="BW1119" s="590"/>
      <c r="BX1119" s="347"/>
      <c r="BY1119" s="347"/>
      <c r="BZ1119" s="347"/>
      <c r="CA1119" s="586"/>
      <c r="CB1119" s="581"/>
      <c r="CC1119" s="581"/>
      <c r="CD1119" s="581"/>
      <c r="CE1119" s="581"/>
      <c r="CF1119" s="581"/>
      <c r="CG1119" s="586"/>
      <c r="CH1119" s="608"/>
      <c r="CI1119" s="603"/>
      <c r="CJ1119" s="347"/>
      <c r="CK1119" s="347"/>
      <c r="CL1119" s="347"/>
      <c r="CM1119" s="347"/>
      <c r="CN1119" s="347"/>
      <c r="CO1119" s="347"/>
      <c r="CP1119" s="347"/>
    </row>
    <row r="1120">
      <c r="A1120" s="574"/>
      <c r="B1120" s="574"/>
      <c r="C1120" s="347"/>
      <c r="D1120" s="574"/>
      <c r="E1120" s="347"/>
      <c r="F1120" s="596"/>
      <c r="G1120" s="596"/>
      <c r="H1120" s="347"/>
      <c r="I1120" s="347"/>
      <c r="J1120" s="596"/>
      <c r="K1120" s="609"/>
      <c r="L1120" s="1"/>
      <c r="M1120" s="347"/>
      <c r="N1120" s="347"/>
      <c r="O1120" s="579"/>
      <c r="P1120" s="579"/>
      <c r="Q1120" s="574"/>
      <c r="R1120" s="347"/>
      <c r="S1120" s="597"/>
      <c r="T1120" s="347"/>
      <c r="U1120" s="579"/>
      <c r="V1120" s="579"/>
      <c r="W1120" s="574"/>
      <c r="X1120" s="347"/>
      <c r="Y1120" s="347"/>
      <c r="Z1120" s="347"/>
      <c r="AA1120" s="579"/>
      <c r="AB1120" s="581"/>
      <c r="AC1120" s="347"/>
      <c r="AD1120" s="347"/>
      <c r="AE1120" s="347"/>
      <c r="AF1120" s="347"/>
      <c r="AG1120" s="579"/>
      <c r="AH1120" s="579"/>
      <c r="AI1120" s="582"/>
      <c r="AJ1120" s="582"/>
      <c r="AK1120" s="582"/>
      <c r="AL1120" s="582"/>
      <c r="AM1120" s="579"/>
      <c r="AN1120" s="579"/>
      <c r="AO1120" s="347"/>
      <c r="AP1120" s="586"/>
      <c r="AQ1120" s="596"/>
      <c r="AR1120" s="596"/>
      <c r="AS1120" s="348"/>
      <c r="AT1120" s="348"/>
      <c r="AU1120" s="348"/>
      <c r="AV1120" s="348"/>
      <c r="AW1120" s="348"/>
      <c r="AX1120" s="584"/>
      <c r="AY1120" s="581"/>
      <c r="AZ1120" s="581"/>
      <c r="BA1120" s="596"/>
      <c r="BB1120" s="596"/>
      <c r="BC1120" s="348"/>
      <c r="BD1120" s="581"/>
      <c r="BE1120" s="581"/>
      <c r="BF1120" s="347"/>
      <c r="BG1120" s="347"/>
      <c r="BH1120" s="347"/>
      <c r="BI1120" s="347"/>
      <c r="BJ1120" s="586"/>
      <c r="BK1120" s="581"/>
      <c r="BL1120" s="347"/>
      <c r="BM1120" s="347"/>
      <c r="BN1120" s="347"/>
      <c r="BO1120" s="586"/>
      <c r="BP1120" s="584"/>
      <c r="BQ1120" s="347"/>
      <c r="BR1120" s="586"/>
      <c r="BS1120" s="588"/>
      <c r="BT1120" s="586"/>
      <c r="BU1120" s="589"/>
      <c r="BV1120" s="581"/>
      <c r="BW1120" s="590"/>
      <c r="BX1120" s="347"/>
      <c r="BY1120" s="347"/>
      <c r="BZ1120" s="347"/>
      <c r="CA1120" s="586"/>
      <c r="CB1120" s="581"/>
      <c r="CC1120" s="581"/>
      <c r="CD1120" s="581"/>
      <c r="CE1120" s="581"/>
      <c r="CF1120" s="581"/>
      <c r="CG1120" s="586"/>
      <c r="CH1120" s="608"/>
      <c r="CI1120" s="603"/>
      <c r="CJ1120" s="347"/>
      <c r="CK1120" s="347"/>
      <c r="CL1120" s="347"/>
      <c r="CM1120" s="347"/>
      <c r="CN1120" s="347"/>
      <c r="CO1120" s="347"/>
      <c r="CP1120" s="347"/>
    </row>
    <row r="1121">
      <c r="A1121" s="574"/>
      <c r="B1121" s="574"/>
      <c r="C1121" s="347"/>
      <c r="D1121" s="574"/>
      <c r="E1121" s="347"/>
      <c r="F1121" s="596"/>
      <c r="G1121" s="596"/>
      <c r="H1121" s="347"/>
      <c r="I1121" s="347"/>
      <c r="J1121" s="596"/>
      <c r="K1121" s="609"/>
      <c r="L1121" s="1"/>
      <c r="M1121" s="347"/>
      <c r="N1121" s="347"/>
      <c r="O1121" s="579"/>
      <c r="P1121" s="579"/>
      <c r="Q1121" s="574"/>
      <c r="R1121" s="347"/>
      <c r="S1121" s="597"/>
      <c r="T1121" s="347"/>
      <c r="U1121" s="579"/>
      <c r="V1121" s="579"/>
      <c r="W1121" s="574"/>
      <c r="X1121" s="347"/>
      <c r="Y1121" s="347"/>
      <c r="Z1121" s="347"/>
      <c r="AA1121" s="579"/>
      <c r="AB1121" s="581"/>
      <c r="AC1121" s="347"/>
      <c r="AD1121" s="347"/>
      <c r="AE1121" s="347"/>
      <c r="AF1121" s="347"/>
      <c r="AG1121" s="579"/>
      <c r="AH1121" s="579"/>
      <c r="AI1121" s="582"/>
      <c r="AJ1121" s="582"/>
      <c r="AK1121" s="582"/>
      <c r="AL1121" s="582"/>
      <c r="AM1121" s="579"/>
      <c r="AN1121" s="579"/>
      <c r="AO1121" s="347"/>
      <c r="AP1121" s="586"/>
      <c r="AQ1121" s="596"/>
      <c r="AR1121" s="596"/>
      <c r="AS1121" s="348"/>
      <c r="AT1121" s="348"/>
      <c r="AU1121" s="348"/>
      <c r="AV1121" s="348"/>
      <c r="AW1121" s="348"/>
      <c r="AX1121" s="584"/>
      <c r="AY1121" s="581"/>
      <c r="AZ1121" s="581"/>
      <c r="BA1121" s="596"/>
      <c r="BB1121" s="596"/>
      <c r="BC1121" s="348"/>
      <c r="BD1121" s="581"/>
      <c r="BE1121" s="581"/>
      <c r="BF1121" s="347"/>
      <c r="BG1121" s="347"/>
      <c r="BH1121" s="347"/>
      <c r="BI1121" s="347"/>
      <c r="BJ1121" s="586"/>
      <c r="BK1121" s="581"/>
      <c r="BL1121" s="347"/>
      <c r="BM1121" s="347"/>
      <c r="BN1121" s="347"/>
      <c r="BO1121" s="586"/>
      <c r="BP1121" s="584"/>
      <c r="BQ1121" s="347"/>
      <c r="BR1121" s="586"/>
      <c r="BS1121" s="588"/>
      <c r="BT1121" s="586"/>
      <c r="BU1121" s="589"/>
      <c r="BV1121" s="581"/>
      <c r="BW1121" s="590"/>
      <c r="BX1121" s="347"/>
      <c r="BY1121" s="347"/>
      <c r="BZ1121" s="347"/>
      <c r="CA1121" s="586"/>
      <c r="CB1121" s="581"/>
      <c r="CC1121" s="581"/>
      <c r="CD1121" s="581"/>
      <c r="CE1121" s="581"/>
      <c r="CF1121" s="581"/>
      <c r="CG1121" s="586"/>
      <c r="CH1121" s="608"/>
      <c r="CI1121" s="603"/>
      <c r="CJ1121" s="347"/>
      <c r="CK1121" s="347"/>
      <c r="CL1121" s="347"/>
      <c r="CM1121" s="347"/>
      <c r="CN1121" s="347"/>
      <c r="CO1121" s="347"/>
      <c r="CP1121" s="347"/>
    </row>
    <row r="1122">
      <c r="A1122" s="574"/>
      <c r="B1122" s="574"/>
      <c r="C1122" s="347"/>
      <c r="D1122" s="574"/>
      <c r="E1122" s="347"/>
      <c r="F1122" s="596"/>
      <c r="G1122" s="596"/>
      <c r="H1122" s="347"/>
      <c r="I1122" s="347"/>
      <c r="J1122" s="596"/>
      <c r="K1122" s="609"/>
      <c r="L1122" s="1"/>
      <c r="M1122" s="347"/>
      <c r="N1122" s="347"/>
      <c r="O1122" s="579"/>
      <c r="P1122" s="579"/>
      <c r="Q1122" s="574"/>
      <c r="R1122" s="347"/>
      <c r="S1122" s="597"/>
      <c r="T1122" s="347"/>
      <c r="U1122" s="579"/>
      <c r="V1122" s="579"/>
      <c r="W1122" s="574"/>
      <c r="X1122" s="347"/>
      <c r="Y1122" s="347"/>
      <c r="Z1122" s="347"/>
      <c r="AA1122" s="579"/>
      <c r="AB1122" s="581"/>
      <c r="AC1122" s="347"/>
      <c r="AD1122" s="347"/>
      <c r="AE1122" s="347"/>
      <c r="AF1122" s="347"/>
      <c r="AG1122" s="579"/>
      <c r="AH1122" s="579"/>
      <c r="AI1122" s="582"/>
      <c r="AJ1122" s="582"/>
      <c r="AK1122" s="582"/>
      <c r="AL1122" s="582"/>
      <c r="AM1122" s="579"/>
      <c r="AN1122" s="579"/>
      <c r="AO1122" s="347"/>
      <c r="AP1122" s="586"/>
      <c r="AQ1122" s="596"/>
      <c r="AR1122" s="596"/>
      <c r="AS1122" s="348"/>
      <c r="AT1122" s="348"/>
      <c r="AU1122" s="348"/>
      <c r="AV1122" s="348"/>
      <c r="AW1122" s="348"/>
      <c r="AX1122" s="584"/>
      <c r="AY1122" s="581"/>
      <c r="AZ1122" s="581"/>
      <c r="BA1122" s="596"/>
      <c r="BB1122" s="596"/>
      <c r="BC1122" s="348"/>
      <c r="BD1122" s="581"/>
      <c r="BE1122" s="581"/>
      <c r="BF1122" s="347"/>
      <c r="BG1122" s="347"/>
      <c r="BH1122" s="347"/>
      <c r="BI1122" s="347"/>
      <c r="BJ1122" s="586"/>
      <c r="BK1122" s="581"/>
      <c r="BL1122" s="347"/>
      <c r="BM1122" s="347"/>
      <c r="BN1122" s="347"/>
      <c r="BO1122" s="586"/>
      <c r="BP1122" s="584"/>
      <c r="BQ1122" s="347"/>
      <c r="BR1122" s="586"/>
      <c r="BS1122" s="588"/>
      <c r="BT1122" s="586"/>
      <c r="BU1122" s="589"/>
      <c r="BV1122" s="581"/>
      <c r="BW1122" s="590"/>
      <c r="BX1122" s="347"/>
      <c r="BY1122" s="347"/>
      <c r="BZ1122" s="347"/>
      <c r="CA1122" s="586"/>
      <c r="CB1122" s="581"/>
      <c r="CC1122" s="581"/>
      <c r="CD1122" s="581"/>
      <c r="CE1122" s="581"/>
      <c r="CF1122" s="581"/>
      <c r="CG1122" s="586"/>
      <c r="CH1122" s="608"/>
      <c r="CI1122" s="603"/>
      <c r="CJ1122" s="347"/>
      <c r="CK1122" s="347"/>
      <c r="CL1122" s="347"/>
      <c r="CM1122" s="347"/>
      <c r="CN1122" s="347"/>
      <c r="CO1122" s="347"/>
      <c r="CP1122" s="347"/>
    </row>
    <row r="1123">
      <c r="A1123" s="574"/>
      <c r="B1123" s="574"/>
      <c r="C1123" s="347"/>
      <c r="D1123" s="574"/>
      <c r="E1123" s="347"/>
      <c r="F1123" s="596"/>
      <c r="G1123" s="596"/>
      <c r="H1123" s="347"/>
      <c r="I1123" s="347"/>
      <c r="J1123" s="596"/>
      <c r="K1123" s="609"/>
      <c r="L1123" s="1"/>
      <c r="M1123" s="347"/>
      <c r="N1123" s="347"/>
      <c r="O1123" s="579"/>
      <c r="P1123" s="579"/>
      <c r="Q1123" s="574"/>
      <c r="R1123" s="347"/>
      <c r="S1123" s="597"/>
      <c r="T1123" s="347"/>
      <c r="U1123" s="579"/>
      <c r="V1123" s="579"/>
      <c r="W1123" s="574"/>
      <c r="X1123" s="347"/>
      <c r="Y1123" s="347"/>
      <c r="Z1123" s="347"/>
      <c r="AA1123" s="579"/>
      <c r="AB1123" s="581"/>
      <c r="AC1123" s="347"/>
      <c r="AD1123" s="347"/>
      <c r="AE1123" s="347"/>
      <c r="AF1123" s="347"/>
      <c r="AG1123" s="579"/>
      <c r="AH1123" s="579"/>
      <c r="AI1123" s="582"/>
      <c r="AJ1123" s="582"/>
      <c r="AK1123" s="582"/>
      <c r="AL1123" s="582"/>
      <c r="AM1123" s="579"/>
      <c r="AN1123" s="579"/>
      <c r="AO1123" s="347"/>
      <c r="AP1123" s="586"/>
      <c r="AQ1123" s="596"/>
      <c r="AR1123" s="596"/>
      <c r="AS1123" s="348"/>
      <c r="AT1123" s="348"/>
      <c r="AU1123" s="348"/>
      <c r="AV1123" s="348"/>
      <c r="AW1123" s="348"/>
      <c r="AX1123" s="584"/>
      <c r="AY1123" s="581"/>
      <c r="AZ1123" s="581"/>
      <c r="BA1123" s="596"/>
      <c r="BB1123" s="596"/>
      <c r="BC1123" s="348"/>
      <c r="BD1123" s="581"/>
      <c r="BE1123" s="581"/>
      <c r="BF1123" s="347"/>
      <c r="BG1123" s="347"/>
      <c r="BH1123" s="347"/>
      <c r="BI1123" s="347"/>
      <c r="BJ1123" s="586"/>
      <c r="BK1123" s="581"/>
      <c r="BL1123" s="347"/>
      <c r="BM1123" s="347"/>
      <c r="BN1123" s="347"/>
      <c r="BO1123" s="586"/>
      <c r="BP1123" s="584"/>
      <c r="BQ1123" s="347"/>
      <c r="BR1123" s="586"/>
      <c r="BS1123" s="588"/>
      <c r="BT1123" s="586"/>
      <c r="BU1123" s="589"/>
      <c r="BV1123" s="581"/>
      <c r="BW1123" s="590"/>
      <c r="BX1123" s="347"/>
      <c r="BY1123" s="347"/>
      <c r="BZ1123" s="347"/>
      <c r="CA1123" s="586"/>
      <c r="CB1123" s="581"/>
      <c r="CC1123" s="581"/>
      <c r="CD1123" s="581"/>
      <c r="CE1123" s="581"/>
      <c r="CF1123" s="581"/>
      <c r="CG1123" s="586"/>
      <c r="CH1123" s="608"/>
      <c r="CI1123" s="603"/>
      <c r="CJ1123" s="347"/>
      <c r="CK1123" s="347"/>
      <c r="CL1123" s="347"/>
      <c r="CM1123" s="347"/>
      <c r="CN1123" s="347"/>
      <c r="CO1123" s="347"/>
      <c r="CP1123" s="347"/>
    </row>
    <row r="1124">
      <c r="A1124" s="574"/>
      <c r="B1124" s="574"/>
      <c r="C1124" s="347"/>
      <c r="D1124" s="574"/>
      <c r="E1124" s="347"/>
      <c r="F1124" s="596"/>
      <c r="G1124" s="596"/>
      <c r="H1124" s="347"/>
      <c r="I1124" s="347"/>
      <c r="J1124" s="596"/>
      <c r="K1124" s="609"/>
      <c r="L1124" s="1"/>
      <c r="M1124" s="347"/>
      <c r="N1124" s="347"/>
      <c r="O1124" s="579"/>
      <c r="P1124" s="579"/>
      <c r="Q1124" s="574"/>
      <c r="R1124" s="347"/>
      <c r="S1124" s="597"/>
      <c r="T1124" s="347"/>
      <c r="U1124" s="579"/>
      <c r="V1124" s="579"/>
      <c r="W1124" s="574"/>
      <c r="X1124" s="347"/>
      <c r="Y1124" s="347"/>
      <c r="Z1124" s="347"/>
      <c r="AA1124" s="579"/>
      <c r="AB1124" s="581"/>
      <c r="AC1124" s="347"/>
      <c r="AD1124" s="347"/>
      <c r="AE1124" s="347"/>
      <c r="AF1124" s="347"/>
      <c r="AG1124" s="579"/>
      <c r="AH1124" s="579"/>
      <c r="AI1124" s="582"/>
      <c r="AJ1124" s="582"/>
      <c r="AK1124" s="582"/>
      <c r="AL1124" s="582"/>
      <c r="AM1124" s="579"/>
      <c r="AN1124" s="579"/>
      <c r="AO1124" s="347"/>
      <c r="AP1124" s="586"/>
      <c r="AQ1124" s="596"/>
      <c r="AR1124" s="596"/>
      <c r="AS1124" s="348"/>
      <c r="AT1124" s="348"/>
      <c r="AU1124" s="348"/>
      <c r="AV1124" s="348"/>
      <c r="AW1124" s="348"/>
      <c r="AX1124" s="584"/>
      <c r="AY1124" s="581"/>
      <c r="AZ1124" s="581"/>
      <c r="BA1124" s="596"/>
      <c r="BB1124" s="596"/>
      <c r="BC1124" s="348"/>
      <c r="BD1124" s="581"/>
      <c r="BE1124" s="581"/>
      <c r="BF1124" s="347"/>
      <c r="BG1124" s="347"/>
      <c r="BH1124" s="347"/>
      <c r="BI1124" s="347"/>
      <c r="BJ1124" s="586"/>
      <c r="BK1124" s="581"/>
      <c r="BL1124" s="347"/>
      <c r="BM1124" s="347"/>
      <c r="BN1124" s="347"/>
      <c r="BO1124" s="586"/>
      <c r="BP1124" s="584"/>
      <c r="BQ1124" s="347"/>
      <c r="BR1124" s="586"/>
      <c r="BS1124" s="588"/>
      <c r="BT1124" s="586"/>
      <c r="BU1124" s="589"/>
      <c r="BV1124" s="581"/>
      <c r="BW1124" s="590"/>
      <c r="BX1124" s="347"/>
      <c r="BY1124" s="347"/>
      <c r="BZ1124" s="347"/>
      <c r="CA1124" s="586"/>
      <c r="CB1124" s="581"/>
      <c r="CC1124" s="581"/>
      <c r="CD1124" s="581"/>
      <c r="CE1124" s="581"/>
      <c r="CF1124" s="581"/>
      <c r="CG1124" s="586"/>
      <c r="CH1124" s="608"/>
      <c r="CI1124" s="603"/>
      <c r="CJ1124" s="347"/>
      <c r="CK1124" s="347"/>
      <c r="CL1124" s="347"/>
      <c r="CM1124" s="347"/>
      <c r="CN1124" s="347"/>
      <c r="CO1124" s="347"/>
      <c r="CP1124" s="347"/>
    </row>
    <row r="1125">
      <c r="A1125" s="574"/>
      <c r="B1125" s="574"/>
      <c r="C1125" s="347"/>
      <c r="D1125" s="574"/>
      <c r="E1125" s="347"/>
      <c r="F1125" s="596"/>
      <c r="G1125" s="596"/>
      <c r="H1125" s="347"/>
      <c r="I1125" s="347"/>
      <c r="J1125" s="596"/>
      <c r="K1125" s="609"/>
      <c r="L1125" s="1"/>
      <c r="M1125" s="347"/>
      <c r="N1125" s="347"/>
      <c r="O1125" s="579"/>
      <c r="P1125" s="579"/>
      <c r="Q1125" s="574"/>
      <c r="R1125" s="347"/>
      <c r="S1125" s="597"/>
      <c r="T1125" s="347"/>
      <c r="U1125" s="579"/>
      <c r="V1125" s="579"/>
      <c r="W1125" s="574"/>
      <c r="X1125" s="347"/>
      <c r="Y1125" s="347"/>
      <c r="Z1125" s="347"/>
      <c r="AA1125" s="579"/>
      <c r="AB1125" s="581"/>
      <c r="AC1125" s="347"/>
      <c r="AD1125" s="347"/>
      <c r="AE1125" s="347"/>
      <c r="AF1125" s="347"/>
      <c r="AG1125" s="579"/>
      <c r="AH1125" s="579"/>
      <c r="AI1125" s="582"/>
      <c r="AJ1125" s="582"/>
      <c r="AK1125" s="582"/>
      <c r="AL1125" s="582"/>
      <c r="AM1125" s="579"/>
      <c r="AN1125" s="579"/>
      <c r="AO1125" s="347"/>
      <c r="AP1125" s="586"/>
      <c r="AQ1125" s="596"/>
      <c r="AR1125" s="596"/>
      <c r="AS1125" s="348"/>
      <c r="AT1125" s="348"/>
      <c r="AU1125" s="348"/>
      <c r="AV1125" s="348"/>
      <c r="AW1125" s="348"/>
      <c r="AX1125" s="584"/>
      <c r="AY1125" s="581"/>
      <c r="AZ1125" s="581"/>
      <c r="BA1125" s="596"/>
      <c r="BB1125" s="596"/>
      <c r="BC1125" s="348"/>
      <c r="BD1125" s="581"/>
      <c r="BE1125" s="581"/>
      <c r="BF1125" s="347"/>
      <c r="BG1125" s="347"/>
      <c r="BH1125" s="347"/>
      <c r="BI1125" s="347"/>
      <c r="BJ1125" s="586"/>
      <c r="BK1125" s="581"/>
      <c r="BL1125" s="347"/>
      <c r="BM1125" s="347"/>
      <c r="BN1125" s="347"/>
      <c r="BO1125" s="586"/>
      <c r="BP1125" s="584"/>
      <c r="BQ1125" s="347"/>
      <c r="BR1125" s="586"/>
      <c r="BS1125" s="588"/>
      <c r="BT1125" s="586"/>
      <c r="BU1125" s="589"/>
      <c r="BV1125" s="581"/>
      <c r="BW1125" s="590"/>
      <c r="BX1125" s="347"/>
      <c r="BY1125" s="347"/>
      <c r="BZ1125" s="347"/>
      <c r="CA1125" s="586"/>
      <c r="CB1125" s="581"/>
      <c r="CC1125" s="581"/>
      <c r="CD1125" s="581"/>
      <c r="CE1125" s="581"/>
      <c r="CF1125" s="581"/>
      <c r="CG1125" s="586"/>
      <c r="CH1125" s="608"/>
      <c r="CI1125" s="603"/>
      <c r="CJ1125" s="347"/>
      <c r="CK1125" s="347"/>
      <c r="CL1125" s="347"/>
      <c r="CM1125" s="347"/>
      <c r="CN1125" s="347"/>
      <c r="CO1125" s="347"/>
      <c r="CP1125" s="347"/>
    </row>
    <row r="1126">
      <c r="A1126" s="574"/>
      <c r="B1126" s="574"/>
      <c r="C1126" s="347"/>
      <c r="D1126" s="574"/>
      <c r="E1126" s="347"/>
      <c r="F1126" s="596"/>
      <c r="G1126" s="596"/>
      <c r="H1126" s="347"/>
      <c r="I1126" s="347"/>
      <c r="J1126" s="596"/>
      <c r="K1126" s="609"/>
      <c r="L1126" s="1"/>
      <c r="M1126" s="347"/>
      <c r="N1126" s="347"/>
      <c r="O1126" s="579"/>
      <c r="P1126" s="579"/>
      <c r="Q1126" s="574"/>
      <c r="R1126" s="347"/>
      <c r="S1126" s="597"/>
      <c r="T1126" s="347"/>
      <c r="U1126" s="579"/>
      <c r="V1126" s="579"/>
      <c r="W1126" s="574"/>
      <c r="X1126" s="347"/>
      <c r="Y1126" s="347"/>
      <c r="Z1126" s="347"/>
      <c r="AA1126" s="579"/>
      <c r="AB1126" s="581"/>
      <c r="AC1126" s="347"/>
      <c r="AD1126" s="347"/>
      <c r="AE1126" s="347"/>
      <c r="AF1126" s="347"/>
      <c r="AG1126" s="579"/>
      <c r="AH1126" s="579"/>
      <c r="AI1126" s="582"/>
      <c r="AJ1126" s="582"/>
      <c r="AK1126" s="582"/>
      <c r="AL1126" s="582"/>
      <c r="AM1126" s="579"/>
      <c r="AN1126" s="579"/>
      <c r="AO1126" s="347"/>
      <c r="AP1126" s="586"/>
      <c r="AQ1126" s="596"/>
      <c r="AR1126" s="596"/>
      <c r="AS1126" s="348"/>
      <c r="AT1126" s="348"/>
      <c r="AU1126" s="348"/>
      <c r="AV1126" s="348"/>
      <c r="AW1126" s="348"/>
      <c r="AX1126" s="584"/>
      <c r="AY1126" s="581"/>
      <c r="AZ1126" s="581"/>
      <c r="BA1126" s="596"/>
      <c r="BB1126" s="596"/>
      <c r="BC1126" s="348"/>
      <c r="BD1126" s="581"/>
      <c r="BE1126" s="581"/>
      <c r="BF1126" s="347"/>
      <c r="BG1126" s="347"/>
      <c r="BH1126" s="347"/>
      <c r="BI1126" s="347"/>
      <c r="BJ1126" s="586"/>
      <c r="BK1126" s="581"/>
      <c r="BL1126" s="347"/>
      <c r="BM1126" s="347"/>
      <c r="BN1126" s="347"/>
      <c r="BO1126" s="586"/>
      <c r="BP1126" s="584"/>
      <c r="BQ1126" s="347"/>
      <c r="BR1126" s="586"/>
      <c r="BS1126" s="588"/>
      <c r="BT1126" s="586"/>
      <c r="BU1126" s="589"/>
      <c r="BV1126" s="581"/>
      <c r="BW1126" s="590"/>
      <c r="BX1126" s="347"/>
      <c r="BY1126" s="347"/>
      <c r="BZ1126" s="347"/>
      <c r="CA1126" s="586"/>
      <c r="CB1126" s="581"/>
      <c r="CC1126" s="581"/>
      <c r="CD1126" s="581"/>
      <c r="CE1126" s="581"/>
      <c r="CF1126" s="581"/>
      <c r="CG1126" s="586"/>
      <c r="CH1126" s="608"/>
      <c r="CI1126" s="603"/>
      <c r="CJ1126" s="347"/>
      <c r="CK1126" s="347"/>
      <c r="CL1126" s="347"/>
      <c r="CM1126" s="347"/>
      <c r="CN1126" s="347"/>
      <c r="CO1126" s="347"/>
      <c r="CP1126" s="347"/>
    </row>
    <row r="1127">
      <c r="A1127" s="574"/>
      <c r="B1127" s="574"/>
      <c r="C1127" s="347"/>
      <c r="D1127" s="574"/>
      <c r="E1127" s="347"/>
      <c r="F1127" s="596"/>
      <c r="G1127" s="596"/>
      <c r="H1127" s="347"/>
      <c r="I1127" s="347"/>
      <c r="J1127" s="596"/>
      <c r="K1127" s="609"/>
      <c r="L1127" s="1"/>
      <c r="M1127" s="347"/>
      <c r="N1127" s="347"/>
      <c r="O1127" s="579"/>
      <c r="P1127" s="579"/>
      <c r="Q1127" s="574"/>
      <c r="R1127" s="347"/>
      <c r="S1127" s="597"/>
      <c r="T1127" s="347"/>
      <c r="U1127" s="579"/>
      <c r="V1127" s="579"/>
      <c r="W1127" s="574"/>
      <c r="X1127" s="347"/>
      <c r="Y1127" s="347"/>
      <c r="Z1127" s="347"/>
      <c r="AA1127" s="579"/>
      <c r="AB1127" s="581"/>
      <c r="AC1127" s="347"/>
      <c r="AD1127" s="347"/>
      <c r="AE1127" s="347"/>
      <c r="AF1127" s="347"/>
      <c r="AG1127" s="579"/>
      <c r="AH1127" s="579"/>
      <c r="AI1127" s="582"/>
      <c r="AJ1127" s="582"/>
      <c r="AK1127" s="582"/>
      <c r="AL1127" s="582"/>
      <c r="AM1127" s="579"/>
      <c r="AN1127" s="579"/>
      <c r="AO1127" s="347"/>
      <c r="AP1127" s="586"/>
      <c r="AQ1127" s="596"/>
      <c r="AR1127" s="596"/>
      <c r="AS1127" s="348"/>
      <c r="AT1127" s="348"/>
      <c r="AU1127" s="348"/>
      <c r="AV1127" s="348"/>
      <c r="AW1127" s="348"/>
      <c r="AX1127" s="584"/>
      <c r="AY1127" s="581"/>
      <c r="AZ1127" s="581"/>
      <c r="BA1127" s="596"/>
      <c r="BB1127" s="596"/>
      <c r="BC1127" s="348"/>
      <c r="BD1127" s="581"/>
      <c r="BE1127" s="581"/>
      <c r="BF1127" s="347"/>
      <c r="BG1127" s="347"/>
      <c r="BH1127" s="347"/>
      <c r="BI1127" s="347"/>
      <c r="BJ1127" s="586"/>
      <c r="BK1127" s="581"/>
      <c r="BL1127" s="347"/>
      <c r="BM1127" s="347"/>
      <c r="BN1127" s="347"/>
      <c r="BO1127" s="586"/>
      <c r="BP1127" s="584"/>
      <c r="BQ1127" s="347"/>
      <c r="BR1127" s="586"/>
      <c r="BS1127" s="588"/>
      <c r="BT1127" s="586"/>
      <c r="BU1127" s="589"/>
      <c r="BV1127" s="581"/>
      <c r="BW1127" s="590"/>
      <c r="BX1127" s="347"/>
      <c r="BY1127" s="347"/>
      <c r="BZ1127" s="347"/>
      <c r="CA1127" s="586"/>
      <c r="CB1127" s="581"/>
      <c r="CC1127" s="581"/>
      <c r="CD1127" s="581"/>
      <c r="CE1127" s="581"/>
      <c r="CF1127" s="581"/>
      <c r="CG1127" s="586"/>
      <c r="CH1127" s="608"/>
      <c r="CI1127" s="603"/>
      <c r="CJ1127" s="347"/>
      <c r="CK1127" s="347"/>
      <c r="CL1127" s="347"/>
      <c r="CM1127" s="347"/>
      <c r="CN1127" s="347"/>
      <c r="CO1127" s="347"/>
      <c r="CP1127" s="347"/>
    </row>
    <row r="1128">
      <c r="A1128" s="574"/>
      <c r="B1128" s="574"/>
      <c r="C1128" s="347"/>
      <c r="D1128" s="574"/>
      <c r="E1128" s="347"/>
      <c r="F1128" s="596"/>
      <c r="G1128" s="596"/>
      <c r="H1128" s="347"/>
      <c r="I1128" s="347"/>
      <c r="J1128" s="596"/>
      <c r="K1128" s="609"/>
      <c r="L1128" s="1"/>
      <c r="M1128" s="347"/>
      <c r="N1128" s="347"/>
      <c r="O1128" s="579"/>
      <c r="P1128" s="579"/>
      <c r="Q1128" s="574"/>
      <c r="R1128" s="347"/>
      <c r="S1128" s="597"/>
      <c r="T1128" s="347"/>
      <c r="U1128" s="579"/>
      <c r="V1128" s="579"/>
      <c r="W1128" s="574"/>
      <c r="X1128" s="347"/>
      <c r="Y1128" s="347"/>
      <c r="Z1128" s="347"/>
      <c r="AA1128" s="579"/>
      <c r="AB1128" s="581"/>
      <c r="AC1128" s="347"/>
      <c r="AD1128" s="347"/>
      <c r="AE1128" s="347"/>
      <c r="AF1128" s="347"/>
      <c r="AG1128" s="579"/>
      <c r="AH1128" s="579"/>
      <c r="AI1128" s="582"/>
      <c r="AJ1128" s="582"/>
      <c r="AK1128" s="582"/>
      <c r="AL1128" s="582"/>
      <c r="AM1128" s="579"/>
      <c r="AN1128" s="579"/>
      <c r="AO1128" s="347"/>
      <c r="AP1128" s="586"/>
      <c r="AQ1128" s="596"/>
      <c r="AR1128" s="596"/>
      <c r="AS1128" s="348"/>
      <c r="AT1128" s="348"/>
      <c r="AU1128" s="348"/>
      <c r="AV1128" s="348"/>
      <c r="AW1128" s="348"/>
      <c r="AX1128" s="584"/>
      <c r="AY1128" s="581"/>
      <c r="AZ1128" s="581"/>
      <c r="BA1128" s="596"/>
      <c r="BB1128" s="596"/>
      <c r="BC1128" s="348"/>
      <c r="BD1128" s="581"/>
      <c r="BE1128" s="581"/>
      <c r="BF1128" s="347"/>
      <c r="BG1128" s="347"/>
      <c r="BH1128" s="347"/>
      <c r="BI1128" s="347"/>
      <c r="BJ1128" s="586"/>
      <c r="BK1128" s="581"/>
      <c r="BL1128" s="347"/>
      <c r="BM1128" s="347"/>
      <c r="BN1128" s="347"/>
      <c r="BO1128" s="586"/>
      <c r="BP1128" s="584"/>
      <c r="BQ1128" s="347"/>
      <c r="BR1128" s="586"/>
      <c r="BS1128" s="588"/>
      <c r="BT1128" s="586"/>
      <c r="BU1128" s="589"/>
      <c r="BV1128" s="581"/>
      <c r="BW1128" s="590"/>
      <c r="BX1128" s="347"/>
      <c r="BY1128" s="347"/>
      <c r="BZ1128" s="347"/>
      <c r="CA1128" s="586"/>
      <c r="CB1128" s="581"/>
      <c r="CC1128" s="581"/>
      <c r="CD1128" s="581"/>
      <c r="CE1128" s="581"/>
      <c r="CF1128" s="581"/>
      <c r="CG1128" s="586"/>
      <c r="CH1128" s="608"/>
      <c r="CI1128" s="603"/>
      <c r="CJ1128" s="347"/>
      <c r="CK1128" s="347"/>
      <c r="CL1128" s="347"/>
      <c r="CM1128" s="347"/>
      <c r="CN1128" s="347"/>
      <c r="CO1128" s="347"/>
      <c r="CP1128" s="347"/>
    </row>
    <row r="1129">
      <c r="A1129" s="574"/>
      <c r="B1129" s="574"/>
      <c r="C1129" s="347"/>
      <c r="D1129" s="574"/>
      <c r="E1129" s="347"/>
      <c r="F1129" s="596"/>
      <c r="G1129" s="596"/>
      <c r="H1129" s="347"/>
      <c r="I1129" s="347"/>
      <c r="J1129" s="596"/>
      <c r="K1129" s="609"/>
      <c r="L1129" s="1"/>
      <c r="M1129" s="347"/>
      <c r="N1129" s="347"/>
      <c r="O1129" s="579"/>
      <c r="P1129" s="579"/>
      <c r="Q1129" s="574"/>
      <c r="R1129" s="347"/>
      <c r="S1129" s="597"/>
      <c r="T1129" s="347"/>
      <c r="U1129" s="579"/>
      <c r="V1129" s="579"/>
      <c r="W1129" s="574"/>
      <c r="X1129" s="347"/>
      <c r="Y1129" s="347"/>
      <c r="Z1129" s="347"/>
      <c r="AA1129" s="579"/>
      <c r="AB1129" s="581"/>
      <c r="AC1129" s="347"/>
      <c r="AD1129" s="347"/>
      <c r="AE1129" s="347"/>
      <c r="AF1129" s="347"/>
      <c r="AG1129" s="579"/>
      <c r="AH1129" s="579"/>
      <c r="AI1129" s="582"/>
      <c r="AJ1129" s="582"/>
      <c r="AK1129" s="582"/>
      <c r="AL1129" s="582"/>
      <c r="AM1129" s="579"/>
      <c r="AN1129" s="579"/>
      <c r="AO1129" s="347"/>
      <c r="AP1129" s="586"/>
      <c r="AQ1129" s="596"/>
      <c r="AR1129" s="596"/>
      <c r="AS1129" s="348"/>
      <c r="AT1129" s="348"/>
      <c r="AU1129" s="348"/>
      <c r="AV1129" s="348"/>
      <c r="AW1129" s="348"/>
      <c r="AX1129" s="584"/>
      <c r="AY1129" s="581"/>
      <c r="AZ1129" s="581"/>
      <c r="BA1129" s="596"/>
      <c r="BB1129" s="596"/>
      <c r="BC1129" s="348"/>
      <c r="BD1129" s="581"/>
      <c r="BE1129" s="581"/>
      <c r="BF1129" s="347"/>
      <c r="BG1129" s="347"/>
      <c r="BH1129" s="347"/>
      <c r="BI1129" s="347"/>
      <c r="BJ1129" s="586"/>
      <c r="BK1129" s="581"/>
      <c r="BL1129" s="347"/>
      <c r="BM1129" s="347"/>
      <c r="BN1129" s="347"/>
      <c r="BO1129" s="586"/>
      <c r="BP1129" s="584"/>
      <c r="BQ1129" s="347"/>
      <c r="BR1129" s="586"/>
      <c r="BS1129" s="588"/>
      <c r="BT1129" s="586"/>
      <c r="BU1129" s="589"/>
      <c r="BV1129" s="581"/>
      <c r="BW1129" s="590"/>
      <c r="BX1129" s="347"/>
      <c r="BY1129" s="347"/>
      <c r="BZ1129" s="347"/>
      <c r="CA1129" s="586"/>
      <c r="CB1129" s="581"/>
      <c r="CC1129" s="581"/>
      <c r="CD1129" s="581"/>
      <c r="CE1129" s="581"/>
      <c r="CF1129" s="581"/>
      <c r="CG1129" s="586"/>
      <c r="CH1129" s="608"/>
      <c r="CI1129" s="603"/>
      <c r="CJ1129" s="347"/>
      <c r="CK1129" s="347"/>
      <c r="CL1129" s="347"/>
      <c r="CM1129" s="347"/>
      <c r="CN1129" s="347"/>
      <c r="CO1129" s="347"/>
      <c r="CP1129" s="347"/>
    </row>
    <row r="1130">
      <c r="A1130" s="574"/>
      <c r="B1130" s="574"/>
      <c r="C1130" s="347"/>
      <c r="D1130" s="574"/>
      <c r="E1130" s="347"/>
      <c r="F1130" s="596"/>
      <c r="G1130" s="596"/>
      <c r="H1130" s="347"/>
      <c r="I1130" s="347"/>
      <c r="J1130" s="596"/>
      <c r="K1130" s="609"/>
      <c r="L1130" s="1"/>
      <c r="M1130" s="347"/>
      <c r="N1130" s="347"/>
      <c r="O1130" s="579"/>
      <c r="P1130" s="579"/>
      <c r="Q1130" s="574"/>
      <c r="R1130" s="347"/>
      <c r="S1130" s="597"/>
      <c r="T1130" s="347"/>
      <c r="U1130" s="579"/>
      <c r="V1130" s="579"/>
      <c r="W1130" s="574"/>
      <c r="X1130" s="347"/>
      <c r="Y1130" s="347"/>
      <c r="Z1130" s="347"/>
      <c r="AA1130" s="579"/>
      <c r="AB1130" s="581"/>
      <c r="AC1130" s="347"/>
      <c r="AD1130" s="347"/>
      <c r="AE1130" s="347"/>
      <c r="AF1130" s="347"/>
      <c r="AG1130" s="579"/>
      <c r="AH1130" s="579"/>
      <c r="AI1130" s="582"/>
      <c r="AJ1130" s="582"/>
      <c r="AK1130" s="582"/>
      <c r="AL1130" s="582"/>
      <c r="AM1130" s="579"/>
      <c r="AN1130" s="579"/>
      <c r="AO1130" s="347"/>
      <c r="AP1130" s="586"/>
      <c r="AQ1130" s="596"/>
      <c r="AR1130" s="596"/>
      <c r="AS1130" s="348"/>
      <c r="AT1130" s="348"/>
      <c r="AU1130" s="348"/>
      <c r="AV1130" s="348"/>
      <c r="AW1130" s="348"/>
      <c r="AX1130" s="584"/>
      <c r="AY1130" s="581"/>
      <c r="AZ1130" s="581"/>
      <c r="BA1130" s="596"/>
      <c r="BB1130" s="596"/>
      <c r="BC1130" s="348"/>
      <c r="BD1130" s="581"/>
      <c r="BE1130" s="581"/>
      <c r="BF1130" s="347"/>
      <c r="BG1130" s="347"/>
      <c r="BH1130" s="347"/>
      <c r="BI1130" s="347"/>
      <c r="BJ1130" s="586"/>
      <c r="BK1130" s="581"/>
      <c r="BL1130" s="347"/>
      <c r="BM1130" s="347"/>
      <c r="BN1130" s="347"/>
      <c r="BO1130" s="586"/>
      <c r="BP1130" s="584"/>
      <c r="BQ1130" s="347"/>
      <c r="BR1130" s="586"/>
      <c r="BS1130" s="588"/>
      <c r="BT1130" s="586"/>
      <c r="BU1130" s="589"/>
      <c r="BV1130" s="581"/>
      <c r="BW1130" s="590"/>
      <c r="BX1130" s="347"/>
      <c r="BY1130" s="347"/>
      <c r="BZ1130" s="347"/>
      <c r="CA1130" s="586"/>
      <c r="CB1130" s="581"/>
      <c r="CC1130" s="581"/>
      <c r="CD1130" s="581"/>
      <c r="CE1130" s="581"/>
      <c r="CF1130" s="581"/>
      <c r="CG1130" s="586"/>
      <c r="CH1130" s="608"/>
      <c r="CI1130" s="603"/>
      <c r="CJ1130" s="347"/>
      <c r="CK1130" s="347"/>
      <c r="CL1130" s="347"/>
      <c r="CM1130" s="347"/>
      <c r="CN1130" s="347"/>
      <c r="CO1130" s="347"/>
      <c r="CP1130" s="347"/>
    </row>
    <row r="1131">
      <c r="A1131" s="574"/>
      <c r="B1131" s="574"/>
      <c r="C1131" s="347"/>
      <c r="D1131" s="574"/>
      <c r="E1131" s="347"/>
      <c r="F1131" s="596"/>
      <c r="G1131" s="596"/>
      <c r="H1131" s="347"/>
      <c r="I1131" s="347"/>
      <c r="J1131" s="596"/>
      <c r="K1131" s="609"/>
      <c r="L1131" s="1"/>
      <c r="M1131" s="347"/>
      <c r="N1131" s="347"/>
      <c r="O1131" s="579"/>
      <c r="P1131" s="579"/>
      <c r="Q1131" s="574"/>
      <c r="R1131" s="347"/>
      <c r="S1131" s="597"/>
      <c r="T1131" s="347"/>
      <c r="U1131" s="579"/>
      <c r="V1131" s="579"/>
      <c r="W1131" s="574"/>
      <c r="X1131" s="347"/>
      <c r="Y1131" s="347"/>
      <c r="Z1131" s="347"/>
      <c r="AA1131" s="579"/>
      <c r="AB1131" s="581"/>
      <c r="AC1131" s="347"/>
      <c r="AD1131" s="347"/>
      <c r="AE1131" s="347"/>
      <c r="AF1131" s="347"/>
      <c r="AG1131" s="579"/>
      <c r="AH1131" s="579"/>
      <c r="AI1131" s="582"/>
      <c r="AJ1131" s="582"/>
      <c r="AK1131" s="582"/>
      <c r="AL1131" s="582"/>
      <c r="AM1131" s="579"/>
      <c r="AN1131" s="579"/>
      <c r="AO1131" s="347"/>
      <c r="AP1131" s="586"/>
      <c r="AQ1131" s="596"/>
      <c r="AR1131" s="596"/>
      <c r="AS1131" s="348"/>
      <c r="AT1131" s="348"/>
      <c r="AU1131" s="348"/>
      <c r="AV1131" s="348"/>
      <c r="AW1131" s="348"/>
      <c r="AX1131" s="584"/>
      <c r="AY1131" s="581"/>
      <c r="AZ1131" s="581"/>
      <c r="BA1131" s="596"/>
      <c r="BB1131" s="596"/>
      <c r="BC1131" s="348"/>
      <c r="BD1131" s="581"/>
      <c r="BE1131" s="581"/>
      <c r="BF1131" s="347"/>
      <c r="BG1131" s="347"/>
      <c r="BH1131" s="347"/>
      <c r="BI1131" s="347"/>
      <c r="BJ1131" s="586"/>
      <c r="BK1131" s="581"/>
      <c r="BL1131" s="347"/>
      <c r="BM1131" s="347"/>
      <c r="BN1131" s="347"/>
      <c r="BO1131" s="586"/>
      <c r="BP1131" s="584"/>
      <c r="BQ1131" s="347"/>
      <c r="BR1131" s="586"/>
      <c r="BS1131" s="588"/>
      <c r="BT1131" s="586"/>
      <c r="BU1131" s="589"/>
      <c r="BV1131" s="581"/>
      <c r="BW1131" s="590"/>
      <c r="BX1131" s="347"/>
      <c r="BY1131" s="347"/>
      <c r="BZ1131" s="347"/>
      <c r="CA1131" s="586"/>
      <c r="CB1131" s="581"/>
      <c r="CC1131" s="581"/>
      <c r="CD1131" s="581"/>
      <c r="CE1131" s="581"/>
      <c r="CF1131" s="581"/>
      <c r="CG1131" s="586"/>
      <c r="CH1131" s="608"/>
      <c r="CI1131" s="603"/>
      <c r="CJ1131" s="347"/>
      <c r="CK1131" s="347"/>
      <c r="CL1131" s="347"/>
      <c r="CM1131" s="347"/>
      <c r="CN1131" s="347"/>
      <c r="CO1131" s="347"/>
      <c r="CP1131" s="347"/>
    </row>
    <row r="1132">
      <c r="A1132" s="574"/>
      <c r="B1132" s="574"/>
      <c r="C1132" s="347"/>
      <c r="D1132" s="574"/>
      <c r="E1132" s="347"/>
      <c r="F1132" s="596"/>
      <c r="G1132" s="596"/>
      <c r="H1132" s="347"/>
      <c r="I1132" s="347"/>
      <c r="J1132" s="596"/>
      <c r="K1132" s="609"/>
      <c r="L1132" s="1"/>
      <c r="M1132" s="347"/>
      <c r="N1132" s="347"/>
      <c r="O1132" s="579"/>
      <c r="P1132" s="579"/>
      <c r="Q1132" s="574"/>
      <c r="R1132" s="347"/>
      <c r="S1132" s="597"/>
      <c r="T1132" s="347"/>
      <c r="U1132" s="579"/>
      <c r="V1132" s="579"/>
      <c r="W1132" s="574"/>
      <c r="X1132" s="347"/>
      <c r="Y1132" s="347"/>
      <c r="Z1132" s="347"/>
      <c r="AA1132" s="579"/>
      <c r="AB1132" s="581"/>
      <c r="AC1132" s="347"/>
      <c r="AD1132" s="347"/>
      <c r="AE1132" s="347"/>
      <c r="AF1132" s="347"/>
      <c r="AG1132" s="579"/>
      <c r="AH1132" s="579"/>
      <c r="AI1132" s="582"/>
      <c r="AJ1132" s="582"/>
      <c r="AK1132" s="582"/>
      <c r="AL1132" s="582"/>
      <c r="AM1132" s="579"/>
      <c r="AN1132" s="579"/>
      <c r="AO1132" s="347"/>
      <c r="AP1132" s="586"/>
      <c r="AQ1132" s="596"/>
      <c r="AR1132" s="596"/>
      <c r="AS1132" s="348"/>
      <c r="AT1132" s="348"/>
      <c r="AU1132" s="348"/>
      <c r="AV1132" s="348"/>
      <c r="AW1132" s="348"/>
      <c r="AX1132" s="584"/>
      <c r="AY1132" s="581"/>
      <c r="AZ1132" s="581"/>
      <c r="BA1132" s="596"/>
      <c r="BB1132" s="596"/>
      <c r="BC1132" s="348"/>
      <c r="BD1132" s="581"/>
      <c r="BE1132" s="581"/>
      <c r="BF1132" s="347"/>
      <c r="BG1132" s="347"/>
      <c r="BH1132" s="347"/>
      <c r="BI1132" s="347"/>
      <c r="BJ1132" s="586"/>
      <c r="BK1132" s="581"/>
      <c r="BL1132" s="347"/>
      <c r="BM1132" s="347"/>
      <c r="BN1132" s="347"/>
      <c r="BO1132" s="586"/>
      <c r="BP1132" s="584"/>
      <c r="BQ1132" s="347"/>
      <c r="BR1132" s="586"/>
      <c r="BS1132" s="588"/>
      <c r="BT1132" s="586"/>
      <c r="BU1132" s="589"/>
      <c r="BV1132" s="581"/>
      <c r="BW1132" s="590"/>
      <c r="BX1132" s="347"/>
      <c r="BY1132" s="347"/>
      <c r="BZ1132" s="347"/>
      <c r="CA1132" s="586"/>
      <c r="CB1132" s="581"/>
      <c r="CC1132" s="581"/>
      <c r="CD1132" s="581"/>
      <c r="CE1132" s="581"/>
      <c r="CF1132" s="581"/>
      <c r="CG1132" s="586"/>
      <c r="CH1132" s="608"/>
      <c r="CI1132" s="603"/>
      <c r="CJ1132" s="347"/>
      <c r="CK1132" s="347"/>
      <c r="CL1132" s="347"/>
      <c r="CM1132" s="347"/>
      <c r="CN1132" s="347"/>
      <c r="CO1132" s="347"/>
      <c r="CP1132" s="347"/>
    </row>
    <row r="1133">
      <c r="A1133" s="574"/>
      <c r="B1133" s="574"/>
      <c r="C1133" s="347"/>
      <c r="D1133" s="574"/>
      <c r="E1133" s="347"/>
      <c r="F1133" s="596"/>
      <c r="G1133" s="596"/>
      <c r="H1133" s="347"/>
      <c r="I1133" s="347"/>
      <c r="J1133" s="596"/>
      <c r="K1133" s="609"/>
      <c r="L1133" s="1"/>
      <c r="M1133" s="347"/>
      <c r="N1133" s="347"/>
      <c r="O1133" s="579"/>
      <c r="P1133" s="579"/>
      <c r="Q1133" s="574"/>
      <c r="R1133" s="347"/>
      <c r="S1133" s="597"/>
      <c r="T1133" s="347"/>
      <c r="U1133" s="579"/>
      <c r="V1133" s="579"/>
      <c r="W1133" s="574"/>
      <c r="X1133" s="347"/>
      <c r="Y1133" s="347"/>
      <c r="Z1133" s="347"/>
      <c r="AA1133" s="579"/>
      <c r="AB1133" s="581"/>
      <c r="AC1133" s="347"/>
      <c r="AD1133" s="347"/>
      <c r="AE1133" s="347"/>
      <c r="AF1133" s="347"/>
      <c r="AG1133" s="579"/>
      <c r="AH1133" s="579"/>
      <c r="AI1133" s="582"/>
      <c r="AJ1133" s="582"/>
      <c r="AK1133" s="582"/>
      <c r="AL1133" s="582"/>
      <c r="AM1133" s="579"/>
      <c r="AN1133" s="579"/>
      <c r="AO1133" s="347"/>
      <c r="AP1133" s="586"/>
      <c r="AQ1133" s="596"/>
      <c r="AR1133" s="596"/>
      <c r="AS1133" s="348"/>
      <c r="AT1133" s="348"/>
      <c r="AU1133" s="348"/>
      <c r="AV1133" s="348"/>
      <c r="AW1133" s="348"/>
      <c r="AX1133" s="584"/>
      <c r="AY1133" s="581"/>
      <c r="AZ1133" s="581"/>
      <c r="BA1133" s="596"/>
      <c r="BB1133" s="596"/>
      <c r="BC1133" s="348"/>
      <c r="BD1133" s="581"/>
      <c r="BE1133" s="581"/>
      <c r="BF1133" s="347"/>
      <c r="BG1133" s="347"/>
      <c r="BH1133" s="347"/>
      <c r="BI1133" s="347"/>
      <c r="BJ1133" s="586"/>
      <c r="BK1133" s="581"/>
      <c r="BL1133" s="347"/>
      <c r="BM1133" s="347"/>
      <c r="BN1133" s="347"/>
      <c r="BO1133" s="586"/>
      <c r="BP1133" s="584"/>
      <c r="BQ1133" s="347"/>
      <c r="BR1133" s="586"/>
      <c r="BS1133" s="588"/>
      <c r="BT1133" s="586"/>
      <c r="BU1133" s="589"/>
      <c r="BV1133" s="581"/>
      <c r="BW1133" s="590"/>
      <c r="BX1133" s="347"/>
      <c r="BY1133" s="347"/>
      <c r="BZ1133" s="347"/>
      <c r="CA1133" s="586"/>
      <c r="CB1133" s="581"/>
      <c r="CC1133" s="581"/>
      <c r="CD1133" s="581"/>
      <c r="CE1133" s="581"/>
      <c r="CF1133" s="581"/>
      <c r="CG1133" s="586"/>
      <c r="CH1133" s="608"/>
      <c r="CI1133" s="603"/>
      <c r="CJ1133" s="347"/>
      <c r="CK1133" s="347"/>
      <c r="CL1133" s="347"/>
      <c r="CM1133" s="347"/>
      <c r="CN1133" s="347"/>
      <c r="CO1133" s="347"/>
      <c r="CP1133" s="347"/>
    </row>
    <row r="1134">
      <c r="A1134" s="574"/>
      <c r="B1134" s="574"/>
      <c r="C1134" s="347"/>
      <c r="D1134" s="574"/>
      <c r="E1134" s="347"/>
      <c r="F1134" s="596"/>
      <c r="G1134" s="596"/>
      <c r="H1134" s="347"/>
      <c r="I1134" s="347"/>
      <c r="J1134" s="596"/>
      <c r="K1134" s="609"/>
      <c r="L1134" s="1"/>
      <c r="M1134" s="347"/>
      <c r="N1134" s="347"/>
      <c r="O1134" s="579"/>
      <c r="P1134" s="579"/>
      <c r="Q1134" s="574"/>
      <c r="R1134" s="347"/>
      <c r="S1134" s="597"/>
      <c r="T1134" s="347"/>
      <c r="U1134" s="579"/>
      <c r="V1134" s="579"/>
      <c r="W1134" s="574"/>
      <c r="X1134" s="347"/>
      <c r="Y1134" s="347"/>
      <c r="Z1134" s="347"/>
      <c r="AA1134" s="579"/>
      <c r="AB1134" s="581"/>
      <c r="AC1134" s="347"/>
      <c r="AD1134" s="347"/>
      <c r="AE1134" s="347"/>
      <c r="AF1134" s="347"/>
      <c r="AG1134" s="579"/>
      <c r="AH1134" s="579"/>
      <c r="AI1134" s="582"/>
      <c r="AJ1134" s="582"/>
      <c r="AK1134" s="582"/>
      <c r="AL1134" s="582"/>
      <c r="AM1134" s="579"/>
      <c r="AN1134" s="579"/>
      <c r="AO1134" s="347"/>
      <c r="AP1134" s="586"/>
      <c r="AQ1134" s="596"/>
      <c r="AR1134" s="596"/>
      <c r="AS1134" s="348"/>
      <c r="AT1134" s="348"/>
      <c r="AU1134" s="348"/>
      <c r="AV1134" s="348"/>
      <c r="AW1134" s="348"/>
      <c r="AX1134" s="584"/>
      <c r="AY1134" s="581"/>
      <c r="AZ1134" s="581"/>
      <c r="BA1134" s="596"/>
      <c r="BB1134" s="596"/>
      <c r="BC1134" s="348"/>
      <c r="BD1134" s="581"/>
      <c r="BE1134" s="581"/>
      <c r="BF1134" s="347"/>
      <c r="BG1134" s="347"/>
      <c r="BH1134" s="347"/>
      <c r="BI1134" s="347"/>
      <c r="BJ1134" s="586"/>
      <c r="BK1134" s="581"/>
      <c r="BL1134" s="347"/>
      <c r="BM1134" s="347"/>
      <c r="BN1134" s="347"/>
      <c r="BO1134" s="586"/>
      <c r="BP1134" s="584"/>
      <c r="BQ1134" s="347"/>
      <c r="BR1134" s="586"/>
      <c r="BS1134" s="588"/>
      <c r="BT1134" s="586"/>
      <c r="BU1134" s="589"/>
      <c r="BV1134" s="581"/>
      <c r="BW1134" s="590"/>
      <c r="BX1134" s="347"/>
      <c r="BY1134" s="347"/>
      <c r="BZ1134" s="347"/>
      <c r="CA1134" s="586"/>
      <c r="CB1134" s="581"/>
      <c r="CC1134" s="581"/>
      <c r="CD1134" s="581"/>
      <c r="CE1134" s="581"/>
      <c r="CF1134" s="581"/>
      <c r="CG1134" s="586"/>
      <c r="CH1134" s="608"/>
      <c r="CI1134" s="603"/>
      <c r="CJ1134" s="347"/>
      <c r="CK1134" s="347"/>
      <c r="CL1134" s="347"/>
      <c r="CM1134" s="347"/>
      <c r="CN1134" s="347"/>
      <c r="CO1134" s="347"/>
      <c r="CP1134" s="347"/>
    </row>
    <row r="1135">
      <c r="A1135" s="574"/>
      <c r="B1135" s="574"/>
      <c r="C1135" s="347"/>
      <c r="D1135" s="574"/>
      <c r="E1135" s="347"/>
      <c r="F1135" s="596"/>
      <c r="G1135" s="596"/>
      <c r="H1135" s="347"/>
      <c r="I1135" s="347"/>
      <c r="J1135" s="596"/>
      <c r="K1135" s="609"/>
      <c r="L1135" s="1"/>
      <c r="M1135" s="347"/>
      <c r="N1135" s="347"/>
      <c r="O1135" s="579"/>
      <c r="P1135" s="579"/>
      <c r="Q1135" s="574"/>
      <c r="R1135" s="347"/>
      <c r="S1135" s="597"/>
      <c r="T1135" s="347"/>
      <c r="U1135" s="579"/>
      <c r="V1135" s="579"/>
      <c r="W1135" s="574"/>
      <c r="X1135" s="347"/>
      <c r="Y1135" s="347"/>
      <c r="Z1135" s="347"/>
      <c r="AA1135" s="579"/>
      <c r="AB1135" s="581"/>
      <c r="AC1135" s="347"/>
      <c r="AD1135" s="347"/>
      <c r="AE1135" s="347"/>
      <c r="AF1135" s="347"/>
      <c r="AG1135" s="579"/>
      <c r="AH1135" s="579"/>
      <c r="AI1135" s="582"/>
      <c r="AJ1135" s="582"/>
      <c r="AK1135" s="582"/>
      <c r="AL1135" s="582"/>
      <c r="AM1135" s="579"/>
      <c r="AN1135" s="579"/>
      <c r="AO1135" s="347"/>
      <c r="AP1135" s="586"/>
      <c r="AQ1135" s="596"/>
      <c r="AR1135" s="596"/>
      <c r="AS1135" s="348"/>
      <c r="AT1135" s="348"/>
      <c r="AU1135" s="348"/>
      <c r="AV1135" s="348"/>
      <c r="AW1135" s="348"/>
      <c r="AX1135" s="584"/>
      <c r="AY1135" s="581"/>
      <c r="AZ1135" s="581"/>
      <c r="BA1135" s="596"/>
      <c r="BB1135" s="596"/>
      <c r="BC1135" s="348"/>
      <c r="BD1135" s="581"/>
      <c r="BE1135" s="581"/>
      <c r="BF1135" s="347"/>
      <c r="BG1135" s="347"/>
      <c r="BH1135" s="347"/>
      <c r="BI1135" s="347"/>
      <c r="BJ1135" s="586"/>
      <c r="BK1135" s="581"/>
      <c r="BL1135" s="347"/>
      <c r="BM1135" s="347"/>
      <c r="BN1135" s="347"/>
      <c r="BO1135" s="586"/>
      <c r="BP1135" s="584"/>
      <c r="BQ1135" s="347"/>
      <c r="BR1135" s="586"/>
      <c r="BS1135" s="588"/>
      <c r="BT1135" s="586"/>
      <c r="BU1135" s="589"/>
      <c r="BV1135" s="581"/>
      <c r="BW1135" s="590"/>
      <c r="BX1135" s="347"/>
      <c r="BY1135" s="347"/>
      <c r="BZ1135" s="347"/>
      <c r="CA1135" s="586"/>
      <c r="CB1135" s="581"/>
      <c r="CC1135" s="581"/>
      <c r="CD1135" s="581"/>
      <c r="CE1135" s="581"/>
      <c r="CF1135" s="581"/>
      <c r="CG1135" s="586"/>
      <c r="CH1135" s="608"/>
      <c r="CI1135" s="603"/>
      <c r="CJ1135" s="347"/>
      <c r="CK1135" s="347"/>
      <c r="CL1135" s="347"/>
      <c r="CM1135" s="347"/>
      <c r="CN1135" s="347"/>
      <c r="CO1135" s="347"/>
      <c r="CP1135" s="347"/>
    </row>
    <row r="1136">
      <c r="A1136" s="574"/>
      <c r="B1136" s="574"/>
      <c r="C1136" s="347"/>
      <c r="D1136" s="574"/>
      <c r="E1136" s="347"/>
      <c r="F1136" s="596"/>
      <c r="G1136" s="596"/>
      <c r="H1136" s="347"/>
      <c r="I1136" s="347"/>
      <c r="J1136" s="596"/>
      <c r="K1136" s="609"/>
      <c r="L1136" s="1"/>
      <c r="M1136" s="347"/>
      <c r="N1136" s="347"/>
      <c r="O1136" s="579"/>
      <c r="P1136" s="579"/>
      <c r="Q1136" s="574"/>
      <c r="R1136" s="347"/>
      <c r="S1136" s="597"/>
      <c r="T1136" s="347"/>
      <c r="U1136" s="579"/>
      <c r="V1136" s="579"/>
      <c r="W1136" s="574"/>
      <c r="X1136" s="347"/>
      <c r="Y1136" s="347"/>
      <c r="Z1136" s="347"/>
      <c r="AA1136" s="579"/>
      <c r="AB1136" s="581"/>
      <c r="AC1136" s="347"/>
      <c r="AD1136" s="347"/>
      <c r="AE1136" s="347"/>
      <c r="AF1136" s="347"/>
      <c r="AG1136" s="579"/>
      <c r="AH1136" s="579"/>
      <c r="AI1136" s="582"/>
      <c r="AJ1136" s="582"/>
      <c r="AK1136" s="582"/>
      <c r="AL1136" s="582"/>
      <c r="AM1136" s="579"/>
      <c r="AN1136" s="579"/>
      <c r="AO1136" s="347"/>
      <c r="AP1136" s="586"/>
      <c r="AQ1136" s="596"/>
      <c r="AR1136" s="596"/>
      <c r="AS1136" s="348"/>
      <c r="AT1136" s="348"/>
      <c r="AU1136" s="348"/>
      <c r="AV1136" s="348"/>
      <c r="AW1136" s="348"/>
      <c r="AX1136" s="584"/>
      <c r="AY1136" s="581"/>
      <c r="AZ1136" s="581"/>
      <c r="BA1136" s="596"/>
      <c r="BB1136" s="596"/>
      <c r="BC1136" s="348"/>
      <c r="BD1136" s="581"/>
      <c r="BE1136" s="581"/>
      <c r="BF1136" s="347"/>
      <c r="BG1136" s="347"/>
      <c r="BH1136" s="347"/>
      <c r="BI1136" s="347"/>
      <c r="BJ1136" s="586"/>
      <c r="BK1136" s="581"/>
      <c r="BL1136" s="347"/>
      <c r="BM1136" s="347"/>
      <c r="BN1136" s="347"/>
      <c r="BO1136" s="586"/>
      <c r="BP1136" s="584"/>
      <c r="BQ1136" s="347"/>
      <c r="BR1136" s="586"/>
      <c r="BS1136" s="588"/>
      <c r="BT1136" s="586"/>
      <c r="BU1136" s="589"/>
      <c r="BV1136" s="581"/>
      <c r="BW1136" s="590"/>
      <c r="BX1136" s="347"/>
      <c r="BY1136" s="347"/>
      <c r="BZ1136" s="347"/>
      <c r="CA1136" s="586"/>
      <c r="CB1136" s="581"/>
      <c r="CC1136" s="581"/>
      <c r="CD1136" s="581"/>
      <c r="CE1136" s="581"/>
      <c r="CF1136" s="581"/>
      <c r="CG1136" s="586"/>
      <c r="CH1136" s="608"/>
      <c r="CI1136" s="603"/>
      <c r="CJ1136" s="347"/>
      <c r="CK1136" s="347"/>
      <c r="CL1136" s="347"/>
      <c r="CM1136" s="347"/>
      <c r="CN1136" s="347"/>
      <c r="CO1136" s="347"/>
      <c r="CP1136" s="347"/>
    </row>
    <row r="1137">
      <c r="A1137" s="574"/>
      <c r="B1137" s="574"/>
      <c r="C1137" s="347"/>
      <c r="D1137" s="574"/>
      <c r="E1137" s="347"/>
      <c r="F1137" s="596"/>
      <c r="G1137" s="596"/>
      <c r="H1137" s="347"/>
      <c r="I1137" s="347"/>
      <c r="J1137" s="596"/>
      <c r="K1137" s="609"/>
      <c r="L1137" s="1"/>
      <c r="M1137" s="347"/>
      <c r="N1137" s="347"/>
      <c r="O1137" s="579"/>
      <c r="P1137" s="579"/>
      <c r="Q1137" s="574"/>
      <c r="R1137" s="347"/>
      <c r="S1137" s="597"/>
      <c r="T1137" s="347"/>
      <c r="U1137" s="579"/>
      <c r="V1137" s="579"/>
      <c r="W1137" s="574"/>
      <c r="X1137" s="347"/>
      <c r="Y1137" s="347"/>
      <c r="Z1137" s="347"/>
      <c r="AA1137" s="579"/>
      <c r="AB1137" s="581"/>
      <c r="AC1137" s="347"/>
      <c r="AD1137" s="347"/>
      <c r="AE1137" s="347"/>
      <c r="AF1137" s="347"/>
      <c r="AG1137" s="579"/>
      <c r="AH1137" s="579"/>
      <c r="AI1137" s="582"/>
      <c r="AJ1137" s="582"/>
      <c r="AK1137" s="582"/>
      <c r="AL1137" s="582"/>
      <c r="AM1137" s="579"/>
      <c r="AN1137" s="579"/>
      <c r="AO1137" s="347"/>
      <c r="AP1137" s="586"/>
      <c r="AQ1137" s="596"/>
      <c r="AR1137" s="596"/>
      <c r="AS1137" s="348"/>
      <c r="AT1137" s="348"/>
      <c r="AU1137" s="348"/>
      <c r="AV1137" s="348"/>
      <c r="AW1137" s="348"/>
      <c r="AX1137" s="584"/>
      <c r="AY1137" s="581"/>
      <c r="AZ1137" s="581"/>
      <c r="BA1137" s="596"/>
      <c r="BB1137" s="596"/>
      <c r="BC1137" s="348"/>
      <c r="BD1137" s="581"/>
      <c r="BE1137" s="581"/>
      <c r="BF1137" s="347"/>
      <c r="BG1137" s="347"/>
      <c r="BH1137" s="347"/>
      <c r="BI1137" s="347"/>
      <c r="BJ1137" s="586"/>
      <c r="BK1137" s="581"/>
      <c r="BL1137" s="347"/>
      <c r="BM1137" s="347"/>
      <c r="BN1137" s="347"/>
      <c r="BO1137" s="586"/>
      <c r="BP1137" s="584"/>
      <c r="BQ1137" s="347"/>
      <c r="BR1137" s="586"/>
      <c r="BS1137" s="588"/>
      <c r="BT1137" s="586"/>
      <c r="BU1137" s="589"/>
      <c r="BV1137" s="581"/>
      <c r="BW1137" s="590"/>
      <c r="BX1137" s="347"/>
      <c r="BY1137" s="347"/>
      <c r="BZ1137" s="347"/>
      <c r="CA1137" s="586"/>
      <c r="CB1137" s="581"/>
      <c r="CC1137" s="581"/>
      <c r="CD1137" s="581"/>
      <c r="CE1137" s="581"/>
      <c r="CF1137" s="581"/>
      <c r="CG1137" s="586"/>
      <c r="CH1137" s="608"/>
      <c r="CI1137" s="603"/>
      <c r="CJ1137" s="347"/>
      <c r="CK1137" s="347"/>
      <c r="CL1137" s="347"/>
      <c r="CM1137" s="347"/>
      <c r="CN1137" s="347"/>
      <c r="CO1137" s="347"/>
      <c r="CP1137" s="347"/>
    </row>
    <row r="1138">
      <c r="A1138" s="574"/>
      <c r="B1138" s="574"/>
      <c r="C1138" s="347"/>
      <c r="D1138" s="574"/>
      <c r="E1138" s="347"/>
      <c r="F1138" s="596"/>
      <c r="G1138" s="596"/>
      <c r="H1138" s="347"/>
      <c r="I1138" s="347"/>
      <c r="J1138" s="596"/>
      <c r="K1138" s="609"/>
      <c r="L1138" s="1"/>
      <c r="M1138" s="347"/>
      <c r="N1138" s="347"/>
      <c r="O1138" s="579"/>
      <c r="P1138" s="579"/>
      <c r="Q1138" s="574"/>
      <c r="R1138" s="347"/>
      <c r="S1138" s="597"/>
      <c r="T1138" s="347"/>
      <c r="U1138" s="579"/>
      <c r="V1138" s="579"/>
      <c r="W1138" s="574"/>
      <c r="X1138" s="347"/>
      <c r="Y1138" s="347"/>
      <c r="Z1138" s="347"/>
      <c r="AA1138" s="579"/>
      <c r="AB1138" s="581"/>
      <c r="AC1138" s="347"/>
      <c r="AD1138" s="347"/>
      <c r="AE1138" s="347"/>
      <c r="AF1138" s="347"/>
      <c r="AG1138" s="579"/>
      <c r="AH1138" s="579"/>
      <c r="AI1138" s="582"/>
      <c r="AJ1138" s="582"/>
      <c r="AK1138" s="582"/>
      <c r="AL1138" s="582"/>
      <c r="AM1138" s="579"/>
      <c r="AN1138" s="579"/>
      <c r="AO1138" s="347"/>
      <c r="AP1138" s="586"/>
      <c r="AQ1138" s="596"/>
      <c r="AR1138" s="596"/>
      <c r="AS1138" s="348"/>
      <c r="AT1138" s="348"/>
      <c r="AU1138" s="348"/>
      <c r="AV1138" s="348"/>
      <c r="AW1138" s="348"/>
      <c r="AX1138" s="584"/>
      <c r="AY1138" s="581"/>
      <c r="AZ1138" s="581"/>
      <c r="BA1138" s="596"/>
      <c r="BB1138" s="596"/>
      <c r="BC1138" s="348"/>
      <c r="BD1138" s="581"/>
      <c r="BE1138" s="581"/>
      <c r="BF1138" s="347"/>
      <c r="BG1138" s="347"/>
      <c r="BH1138" s="347"/>
      <c r="BI1138" s="347"/>
      <c r="BJ1138" s="586"/>
      <c r="BK1138" s="581"/>
      <c r="BL1138" s="347"/>
      <c r="BM1138" s="347"/>
      <c r="BN1138" s="347"/>
      <c r="BO1138" s="586"/>
      <c r="BP1138" s="584"/>
      <c r="BQ1138" s="347"/>
      <c r="BR1138" s="586"/>
      <c r="BS1138" s="588"/>
      <c r="BT1138" s="586"/>
      <c r="BU1138" s="589"/>
      <c r="BV1138" s="581"/>
      <c r="BW1138" s="590"/>
      <c r="BX1138" s="347"/>
      <c r="BY1138" s="347"/>
      <c r="BZ1138" s="347"/>
      <c r="CA1138" s="586"/>
      <c r="CB1138" s="581"/>
      <c r="CC1138" s="581"/>
      <c r="CD1138" s="581"/>
      <c r="CE1138" s="581"/>
      <c r="CF1138" s="581"/>
      <c r="CG1138" s="586"/>
      <c r="CH1138" s="608"/>
      <c r="CI1138" s="603"/>
      <c r="CJ1138" s="347"/>
      <c r="CK1138" s="347"/>
      <c r="CL1138" s="347"/>
      <c r="CM1138" s="347"/>
      <c r="CN1138" s="347"/>
      <c r="CO1138" s="347"/>
      <c r="CP1138" s="347"/>
    </row>
    <row r="1139">
      <c r="A1139" s="574"/>
      <c r="B1139" s="574"/>
      <c r="C1139" s="347"/>
      <c r="D1139" s="574"/>
      <c r="E1139" s="347"/>
      <c r="F1139" s="596"/>
      <c r="G1139" s="596"/>
      <c r="H1139" s="347"/>
      <c r="I1139" s="347"/>
      <c r="J1139" s="596"/>
      <c r="K1139" s="609"/>
      <c r="L1139" s="1"/>
      <c r="M1139" s="347"/>
      <c r="N1139" s="347"/>
      <c r="O1139" s="579"/>
      <c r="P1139" s="579"/>
      <c r="Q1139" s="574"/>
      <c r="R1139" s="347"/>
      <c r="S1139" s="597"/>
      <c r="T1139" s="347"/>
      <c r="U1139" s="579"/>
      <c r="V1139" s="579"/>
      <c r="W1139" s="574"/>
      <c r="X1139" s="347"/>
      <c r="Y1139" s="347"/>
      <c r="Z1139" s="347"/>
      <c r="AA1139" s="579"/>
      <c r="AB1139" s="581"/>
      <c r="AC1139" s="347"/>
      <c r="AD1139" s="347"/>
      <c r="AE1139" s="347"/>
      <c r="AF1139" s="347"/>
      <c r="AG1139" s="579"/>
      <c r="AH1139" s="579"/>
      <c r="AI1139" s="582"/>
      <c r="AJ1139" s="582"/>
      <c r="AK1139" s="582"/>
      <c r="AL1139" s="582"/>
      <c r="AM1139" s="579"/>
      <c r="AN1139" s="579"/>
      <c r="AO1139" s="347"/>
      <c r="AP1139" s="586"/>
      <c r="AQ1139" s="596"/>
      <c r="AR1139" s="596"/>
      <c r="AS1139" s="348"/>
      <c r="AT1139" s="348"/>
      <c r="AU1139" s="348"/>
      <c r="AV1139" s="348"/>
      <c r="AW1139" s="348"/>
      <c r="AX1139" s="584"/>
      <c r="AY1139" s="581"/>
      <c r="AZ1139" s="581"/>
      <c r="BA1139" s="596"/>
      <c r="BB1139" s="596"/>
      <c r="BC1139" s="348"/>
      <c r="BD1139" s="581"/>
      <c r="BE1139" s="581"/>
      <c r="BF1139" s="347"/>
      <c r="BG1139" s="347"/>
      <c r="BH1139" s="347"/>
      <c r="BI1139" s="347"/>
      <c r="BJ1139" s="586"/>
      <c r="BK1139" s="581"/>
      <c r="BL1139" s="347"/>
      <c r="BM1139" s="347"/>
      <c r="BN1139" s="347"/>
      <c r="BO1139" s="586"/>
      <c r="BP1139" s="584"/>
      <c r="BQ1139" s="347"/>
      <c r="BR1139" s="586"/>
      <c r="BS1139" s="588"/>
      <c r="BT1139" s="586"/>
      <c r="BU1139" s="589"/>
      <c r="BV1139" s="581"/>
      <c r="BW1139" s="590"/>
      <c r="BX1139" s="347"/>
      <c r="BY1139" s="347"/>
      <c r="BZ1139" s="347"/>
      <c r="CA1139" s="586"/>
      <c r="CB1139" s="581"/>
      <c r="CC1139" s="581"/>
      <c r="CD1139" s="581"/>
      <c r="CE1139" s="581"/>
      <c r="CF1139" s="581"/>
      <c r="CG1139" s="586"/>
      <c r="CH1139" s="608"/>
      <c r="CI1139" s="603"/>
      <c r="CJ1139" s="347"/>
      <c r="CK1139" s="347"/>
      <c r="CL1139" s="347"/>
      <c r="CM1139" s="347"/>
      <c r="CN1139" s="347"/>
      <c r="CO1139" s="347"/>
      <c r="CP1139" s="347"/>
    </row>
    <row r="1140">
      <c r="A1140" s="574"/>
      <c r="B1140" s="574"/>
      <c r="C1140" s="347"/>
      <c r="D1140" s="574"/>
      <c r="E1140" s="347"/>
      <c r="F1140" s="596"/>
      <c r="G1140" s="596"/>
      <c r="H1140" s="347"/>
      <c r="I1140" s="347"/>
      <c r="J1140" s="596"/>
      <c r="K1140" s="609"/>
      <c r="L1140" s="1"/>
      <c r="M1140" s="347"/>
      <c r="N1140" s="347"/>
      <c r="O1140" s="579"/>
      <c r="P1140" s="579"/>
      <c r="Q1140" s="574"/>
      <c r="R1140" s="347"/>
      <c r="S1140" s="597"/>
      <c r="T1140" s="347"/>
      <c r="U1140" s="579"/>
      <c r="V1140" s="579"/>
      <c r="W1140" s="574"/>
      <c r="X1140" s="347"/>
      <c r="Y1140" s="347"/>
      <c r="Z1140" s="347"/>
      <c r="AA1140" s="579"/>
      <c r="AB1140" s="581"/>
      <c r="AC1140" s="347"/>
      <c r="AD1140" s="347"/>
      <c r="AE1140" s="347"/>
      <c r="AF1140" s="347"/>
      <c r="AG1140" s="579"/>
      <c r="AH1140" s="579"/>
      <c r="AI1140" s="582"/>
      <c r="AJ1140" s="582"/>
      <c r="AK1140" s="582"/>
      <c r="AL1140" s="582"/>
      <c r="AM1140" s="579"/>
      <c r="AN1140" s="579"/>
      <c r="AO1140" s="347"/>
      <c r="AP1140" s="586"/>
      <c r="AQ1140" s="596"/>
      <c r="AR1140" s="596"/>
      <c r="AS1140" s="348"/>
      <c r="AT1140" s="348"/>
      <c r="AU1140" s="348"/>
      <c r="AV1140" s="348"/>
      <c r="AW1140" s="348"/>
      <c r="AX1140" s="584"/>
      <c r="AY1140" s="581"/>
      <c r="AZ1140" s="581"/>
      <c r="BA1140" s="596"/>
      <c r="BB1140" s="596"/>
      <c r="BC1140" s="348"/>
      <c r="BD1140" s="581"/>
      <c r="BE1140" s="581"/>
      <c r="BF1140" s="347"/>
      <c r="BG1140" s="347"/>
      <c r="BH1140" s="347"/>
      <c r="BI1140" s="347"/>
      <c r="BJ1140" s="586"/>
      <c r="BK1140" s="581"/>
      <c r="BL1140" s="347"/>
      <c r="BM1140" s="347"/>
      <c r="BN1140" s="347"/>
      <c r="BO1140" s="586"/>
      <c r="BP1140" s="584"/>
      <c r="BQ1140" s="347"/>
      <c r="BR1140" s="586"/>
      <c r="BS1140" s="588"/>
      <c r="BT1140" s="586"/>
      <c r="BU1140" s="589"/>
      <c r="BV1140" s="581"/>
      <c r="BW1140" s="590"/>
      <c r="BX1140" s="347"/>
      <c r="BY1140" s="347"/>
      <c r="BZ1140" s="347"/>
      <c r="CA1140" s="586"/>
      <c r="CB1140" s="581"/>
      <c r="CC1140" s="581"/>
      <c r="CD1140" s="581"/>
      <c r="CE1140" s="581"/>
      <c r="CF1140" s="581"/>
      <c r="CG1140" s="586"/>
      <c r="CH1140" s="608"/>
      <c r="CI1140" s="603"/>
      <c r="CJ1140" s="347"/>
      <c r="CK1140" s="347"/>
      <c r="CL1140" s="347"/>
      <c r="CM1140" s="347"/>
      <c r="CN1140" s="347"/>
      <c r="CO1140" s="347"/>
      <c r="CP1140" s="347"/>
    </row>
    <row r="1141">
      <c r="A1141" s="574"/>
      <c r="B1141" s="574"/>
      <c r="C1141" s="347"/>
      <c r="D1141" s="574"/>
      <c r="E1141" s="347"/>
      <c r="F1141" s="596"/>
      <c r="G1141" s="596"/>
      <c r="H1141" s="347"/>
      <c r="I1141" s="347"/>
      <c r="J1141" s="596"/>
      <c r="K1141" s="609"/>
      <c r="L1141" s="1"/>
      <c r="M1141" s="347"/>
      <c r="N1141" s="347"/>
      <c r="O1141" s="579"/>
      <c r="P1141" s="579"/>
      <c r="Q1141" s="574"/>
      <c r="R1141" s="347"/>
      <c r="S1141" s="597"/>
      <c r="T1141" s="347"/>
      <c r="U1141" s="579"/>
      <c r="V1141" s="579"/>
      <c r="W1141" s="574"/>
      <c r="X1141" s="347"/>
      <c r="Y1141" s="347"/>
      <c r="Z1141" s="347"/>
      <c r="AA1141" s="579"/>
      <c r="AB1141" s="581"/>
      <c r="AC1141" s="347"/>
      <c r="AD1141" s="347"/>
      <c r="AE1141" s="347"/>
      <c r="AF1141" s="347"/>
      <c r="AG1141" s="579"/>
      <c r="AH1141" s="579"/>
      <c r="AI1141" s="582"/>
      <c r="AJ1141" s="582"/>
      <c r="AK1141" s="582"/>
      <c r="AL1141" s="582"/>
      <c r="AM1141" s="579"/>
      <c r="AN1141" s="579"/>
      <c r="AO1141" s="347"/>
      <c r="AP1141" s="586"/>
      <c r="AQ1141" s="596"/>
      <c r="AR1141" s="596"/>
      <c r="AS1141" s="348"/>
      <c r="AT1141" s="348"/>
      <c r="AU1141" s="348"/>
      <c r="AV1141" s="348"/>
      <c r="AW1141" s="348"/>
      <c r="AX1141" s="584"/>
      <c r="AY1141" s="581"/>
      <c r="AZ1141" s="581"/>
      <c r="BA1141" s="596"/>
      <c r="BB1141" s="596"/>
      <c r="BC1141" s="348"/>
      <c r="BD1141" s="581"/>
      <c r="BE1141" s="581"/>
      <c r="BF1141" s="347"/>
      <c r="BG1141" s="347"/>
      <c r="BH1141" s="347"/>
      <c r="BI1141" s="347"/>
      <c r="BJ1141" s="586"/>
      <c r="BK1141" s="581"/>
      <c r="BL1141" s="347"/>
      <c r="BM1141" s="347"/>
      <c r="BN1141" s="347"/>
      <c r="BO1141" s="586"/>
      <c r="BP1141" s="584"/>
      <c r="BQ1141" s="347"/>
      <c r="BR1141" s="586"/>
      <c r="BS1141" s="588"/>
      <c r="BT1141" s="586"/>
      <c r="BU1141" s="589"/>
      <c r="BV1141" s="581"/>
      <c r="BW1141" s="590"/>
      <c r="BX1141" s="347"/>
      <c r="BY1141" s="347"/>
      <c r="BZ1141" s="347"/>
      <c r="CA1141" s="586"/>
      <c r="CB1141" s="581"/>
      <c r="CC1141" s="581"/>
      <c r="CD1141" s="581"/>
      <c r="CE1141" s="581"/>
      <c r="CF1141" s="581"/>
      <c r="CG1141" s="586"/>
      <c r="CH1141" s="608"/>
      <c r="CI1141" s="603"/>
      <c r="CJ1141" s="347"/>
      <c r="CK1141" s="347"/>
      <c r="CL1141" s="347"/>
      <c r="CM1141" s="347"/>
      <c r="CN1141" s="347"/>
      <c r="CO1141" s="347"/>
      <c r="CP1141" s="347"/>
    </row>
    <row r="1142">
      <c r="A1142" s="574"/>
      <c r="B1142" s="574"/>
      <c r="C1142" s="347"/>
      <c r="D1142" s="574"/>
      <c r="E1142" s="347"/>
      <c r="F1142" s="596"/>
      <c r="G1142" s="596"/>
      <c r="H1142" s="347"/>
      <c r="I1142" s="347"/>
      <c r="J1142" s="596"/>
      <c r="K1142" s="609"/>
      <c r="L1142" s="1"/>
      <c r="M1142" s="347"/>
      <c r="N1142" s="347"/>
      <c r="O1142" s="579"/>
      <c r="P1142" s="579"/>
      <c r="Q1142" s="574"/>
      <c r="R1142" s="347"/>
      <c r="S1142" s="597"/>
      <c r="T1142" s="347"/>
      <c r="U1142" s="579"/>
      <c r="V1142" s="579"/>
      <c r="W1142" s="574"/>
      <c r="X1142" s="347"/>
      <c r="Y1142" s="347"/>
      <c r="Z1142" s="347"/>
      <c r="AA1142" s="579"/>
      <c r="AB1142" s="581"/>
      <c r="AC1142" s="347"/>
      <c r="AD1142" s="347"/>
      <c r="AE1142" s="347"/>
      <c r="AF1142" s="347"/>
      <c r="AG1142" s="579"/>
      <c r="AH1142" s="579"/>
      <c r="AI1142" s="582"/>
      <c r="AJ1142" s="582"/>
      <c r="AK1142" s="582"/>
      <c r="AL1142" s="582"/>
      <c r="AM1142" s="579"/>
      <c r="AN1142" s="579"/>
      <c r="AO1142" s="347"/>
      <c r="AP1142" s="586"/>
      <c r="AQ1142" s="596"/>
      <c r="AR1142" s="596"/>
      <c r="AS1142" s="348"/>
      <c r="AT1142" s="348"/>
      <c r="AU1142" s="348"/>
      <c r="AV1142" s="348"/>
      <c r="AW1142" s="348"/>
      <c r="AX1142" s="584"/>
      <c r="AY1142" s="581"/>
      <c r="AZ1142" s="581"/>
      <c r="BA1142" s="596"/>
      <c r="BB1142" s="596"/>
      <c r="BC1142" s="348"/>
      <c r="BD1142" s="581"/>
      <c r="BE1142" s="581"/>
      <c r="BF1142" s="347"/>
      <c r="BG1142" s="347"/>
      <c r="BH1142" s="347"/>
      <c r="BI1142" s="347"/>
      <c r="BJ1142" s="586"/>
      <c r="BK1142" s="581"/>
      <c r="BL1142" s="347"/>
      <c r="BM1142" s="347"/>
      <c r="BN1142" s="347"/>
      <c r="BO1142" s="586"/>
      <c r="BP1142" s="584"/>
      <c r="BQ1142" s="347"/>
      <c r="BR1142" s="586"/>
      <c r="BS1142" s="588"/>
      <c r="BT1142" s="586"/>
      <c r="BU1142" s="589"/>
      <c r="BV1142" s="581"/>
      <c r="BW1142" s="590"/>
      <c r="BX1142" s="347"/>
      <c r="BY1142" s="347"/>
      <c r="BZ1142" s="347"/>
      <c r="CA1142" s="586"/>
      <c r="CB1142" s="581"/>
      <c r="CC1142" s="581"/>
      <c r="CD1142" s="581"/>
      <c r="CE1142" s="581"/>
      <c r="CF1142" s="581"/>
      <c r="CG1142" s="586"/>
      <c r="CH1142" s="608"/>
      <c r="CI1142" s="603"/>
      <c r="CJ1142" s="347"/>
      <c r="CK1142" s="347"/>
      <c r="CL1142" s="347"/>
      <c r="CM1142" s="347"/>
      <c r="CN1142" s="347"/>
      <c r="CO1142" s="347"/>
      <c r="CP1142" s="347"/>
    </row>
    <row r="1143">
      <c r="A1143" s="574"/>
      <c r="B1143" s="574"/>
      <c r="C1143" s="347"/>
      <c r="D1143" s="574"/>
      <c r="E1143" s="347"/>
      <c r="F1143" s="596"/>
      <c r="G1143" s="596"/>
      <c r="H1143" s="347"/>
      <c r="I1143" s="347"/>
      <c r="J1143" s="596"/>
      <c r="K1143" s="609"/>
      <c r="L1143" s="1"/>
      <c r="M1143" s="347"/>
      <c r="N1143" s="347"/>
      <c r="O1143" s="579"/>
      <c r="P1143" s="579"/>
      <c r="Q1143" s="574"/>
      <c r="R1143" s="347"/>
      <c r="S1143" s="597"/>
      <c r="T1143" s="347"/>
      <c r="U1143" s="579"/>
      <c r="V1143" s="579"/>
      <c r="W1143" s="574"/>
      <c r="X1143" s="347"/>
      <c r="Y1143" s="347"/>
      <c r="Z1143" s="347"/>
      <c r="AA1143" s="579"/>
      <c r="AB1143" s="581"/>
      <c r="AC1143" s="347"/>
      <c r="AD1143" s="347"/>
      <c r="AE1143" s="347"/>
      <c r="AF1143" s="347"/>
      <c r="AG1143" s="579"/>
      <c r="AH1143" s="579"/>
      <c r="AI1143" s="582"/>
      <c r="AJ1143" s="582"/>
      <c r="AK1143" s="582"/>
      <c r="AL1143" s="582"/>
      <c r="AM1143" s="579"/>
      <c r="AN1143" s="579"/>
      <c r="AO1143" s="347"/>
      <c r="AP1143" s="586"/>
      <c r="AQ1143" s="596"/>
      <c r="AR1143" s="596"/>
      <c r="AS1143" s="348"/>
      <c r="AT1143" s="348"/>
      <c r="AU1143" s="348"/>
      <c r="AV1143" s="348"/>
      <c r="AW1143" s="348"/>
      <c r="AX1143" s="584"/>
      <c r="AY1143" s="581"/>
      <c r="AZ1143" s="581"/>
      <c r="BA1143" s="596"/>
      <c r="BB1143" s="596"/>
      <c r="BC1143" s="348"/>
      <c r="BD1143" s="581"/>
      <c r="BE1143" s="581"/>
      <c r="BF1143" s="347"/>
      <c r="BG1143" s="347"/>
      <c r="BH1143" s="347"/>
      <c r="BI1143" s="347"/>
      <c r="BJ1143" s="586"/>
      <c r="BK1143" s="581"/>
      <c r="BL1143" s="347"/>
      <c r="BM1143" s="347"/>
      <c r="BN1143" s="347"/>
      <c r="BO1143" s="586"/>
      <c r="BP1143" s="584"/>
      <c r="BQ1143" s="347"/>
      <c r="BR1143" s="586"/>
      <c r="BS1143" s="588"/>
      <c r="BT1143" s="586"/>
      <c r="BU1143" s="589"/>
      <c r="BV1143" s="581"/>
      <c r="BW1143" s="590"/>
      <c r="BX1143" s="347"/>
      <c r="BY1143" s="347"/>
      <c r="BZ1143" s="347"/>
      <c r="CA1143" s="586"/>
      <c r="CB1143" s="581"/>
      <c r="CC1143" s="581"/>
      <c r="CD1143" s="581"/>
      <c r="CE1143" s="581"/>
      <c r="CF1143" s="581"/>
      <c r="CG1143" s="586"/>
      <c r="CH1143" s="608"/>
      <c r="CI1143" s="603"/>
      <c r="CJ1143" s="347"/>
      <c r="CK1143" s="347"/>
      <c r="CL1143" s="347"/>
      <c r="CM1143" s="347"/>
      <c r="CN1143" s="347"/>
      <c r="CO1143" s="347"/>
      <c r="CP1143" s="347"/>
    </row>
    <row r="1144">
      <c r="A1144" s="574"/>
      <c r="B1144" s="574"/>
      <c r="C1144" s="347"/>
      <c r="D1144" s="574"/>
      <c r="E1144" s="347"/>
      <c r="F1144" s="596"/>
      <c r="G1144" s="596"/>
      <c r="H1144" s="347"/>
      <c r="I1144" s="347"/>
      <c r="J1144" s="596"/>
      <c r="K1144" s="609"/>
      <c r="L1144" s="1"/>
      <c r="M1144" s="347"/>
      <c r="N1144" s="347"/>
      <c r="O1144" s="579"/>
      <c r="P1144" s="579"/>
      <c r="Q1144" s="574"/>
      <c r="R1144" s="347"/>
      <c r="S1144" s="597"/>
      <c r="T1144" s="347"/>
      <c r="U1144" s="579"/>
      <c r="V1144" s="579"/>
      <c r="W1144" s="574"/>
      <c r="X1144" s="347"/>
      <c r="Y1144" s="347"/>
      <c r="Z1144" s="347"/>
      <c r="AA1144" s="579"/>
      <c r="AB1144" s="581"/>
      <c r="AC1144" s="347"/>
      <c r="AD1144" s="347"/>
      <c r="AE1144" s="347"/>
      <c r="AF1144" s="347"/>
      <c r="AG1144" s="579"/>
      <c r="AH1144" s="579"/>
      <c r="AI1144" s="582"/>
      <c r="AJ1144" s="582"/>
      <c r="AK1144" s="582"/>
      <c r="AL1144" s="582"/>
      <c r="AM1144" s="579"/>
      <c r="AN1144" s="579"/>
      <c r="AO1144" s="347"/>
      <c r="AP1144" s="586"/>
      <c r="AQ1144" s="596"/>
      <c r="AR1144" s="596"/>
      <c r="AS1144" s="348"/>
      <c r="AT1144" s="348"/>
      <c r="AU1144" s="348"/>
      <c r="AV1144" s="348"/>
      <c r="AW1144" s="348"/>
      <c r="AX1144" s="584"/>
      <c r="AY1144" s="581"/>
      <c r="AZ1144" s="581"/>
      <c r="BA1144" s="596"/>
      <c r="BB1144" s="596"/>
      <c r="BC1144" s="348"/>
      <c r="BD1144" s="581"/>
      <c r="BE1144" s="581"/>
      <c r="BF1144" s="347"/>
      <c r="BG1144" s="347"/>
      <c r="BH1144" s="347"/>
      <c r="BI1144" s="347"/>
      <c r="BJ1144" s="586"/>
      <c r="BK1144" s="581"/>
      <c r="BL1144" s="347"/>
      <c r="BM1144" s="347"/>
      <c r="BN1144" s="347"/>
      <c r="BO1144" s="586"/>
      <c r="BP1144" s="584"/>
      <c r="BQ1144" s="347"/>
      <c r="BR1144" s="586"/>
      <c r="BS1144" s="588"/>
      <c r="BT1144" s="586"/>
      <c r="BU1144" s="589"/>
      <c r="BV1144" s="581"/>
      <c r="BW1144" s="590"/>
      <c r="BX1144" s="347"/>
      <c r="BY1144" s="347"/>
      <c r="BZ1144" s="347"/>
      <c r="CA1144" s="586"/>
      <c r="CB1144" s="581"/>
      <c r="CC1144" s="581"/>
      <c r="CD1144" s="581"/>
      <c r="CE1144" s="581"/>
      <c r="CF1144" s="581"/>
      <c r="CG1144" s="586"/>
      <c r="CH1144" s="608"/>
      <c r="CI1144" s="603"/>
      <c r="CJ1144" s="347"/>
      <c r="CK1144" s="347"/>
      <c r="CL1144" s="347"/>
      <c r="CM1144" s="347"/>
      <c r="CN1144" s="347"/>
      <c r="CO1144" s="347"/>
      <c r="CP1144" s="347"/>
    </row>
    <row r="1145">
      <c r="A1145" s="574"/>
      <c r="B1145" s="574"/>
      <c r="C1145" s="347"/>
      <c r="D1145" s="574"/>
      <c r="E1145" s="347"/>
      <c r="F1145" s="596"/>
      <c r="G1145" s="596"/>
      <c r="H1145" s="347"/>
      <c r="I1145" s="347"/>
      <c r="J1145" s="596"/>
      <c r="K1145" s="609"/>
      <c r="L1145" s="1"/>
      <c r="M1145" s="347"/>
      <c r="N1145" s="347"/>
      <c r="O1145" s="579"/>
      <c r="P1145" s="579"/>
      <c r="Q1145" s="574"/>
      <c r="R1145" s="347"/>
      <c r="S1145" s="597"/>
      <c r="T1145" s="347"/>
      <c r="U1145" s="579"/>
      <c r="V1145" s="579"/>
      <c r="W1145" s="574"/>
      <c r="X1145" s="347"/>
      <c r="Y1145" s="347"/>
      <c r="Z1145" s="347"/>
      <c r="AA1145" s="579"/>
      <c r="AB1145" s="581"/>
      <c r="AC1145" s="347"/>
      <c r="AD1145" s="347"/>
      <c r="AE1145" s="347"/>
      <c r="AF1145" s="347"/>
      <c r="AG1145" s="579"/>
      <c r="AH1145" s="579"/>
      <c r="AI1145" s="582"/>
      <c r="AJ1145" s="582"/>
      <c r="AK1145" s="582"/>
      <c r="AL1145" s="582"/>
      <c r="AM1145" s="579"/>
      <c r="AN1145" s="579"/>
      <c r="AO1145" s="347"/>
      <c r="AP1145" s="586"/>
      <c r="AQ1145" s="596"/>
      <c r="AR1145" s="596"/>
      <c r="AS1145" s="348"/>
      <c r="AT1145" s="348"/>
      <c r="AU1145" s="348"/>
      <c r="AV1145" s="348"/>
      <c r="AW1145" s="348"/>
      <c r="AX1145" s="584"/>
      <c r="AY1145" s="581"/>
      <c r="AZ1145" s="581"/>
      <c r="BA1145" s="596"/>
      <c r="BB1145" s="596"/>
      <c r="BC1145" s="348"/>
      <c r="BD1145" s="581"/>
      <c r="BE1145" s="581"/>
      <c r="BF1145" s="347"/>
      <c r="BG1145" s="347"/>
      <c r="BH1145" s="347"/>
      <c r="BI1145" s="347"/>
      <c r="BJ1145" s="586"/>
      <c r="BK1145" s="581"/>
      <c r="BL1145" s="347"/>
      <c r="BM1145" s="347"/>
      <c r="BN1145" s="347"/>
      <c r="BO1145" s="586"/>
      <c r="BP1145" s="584"/>
      <c r="BQ1145" s="347"/>
      <c r="BR1145" s="586"/>
      <c r="BS1145" s="588"/>
      <c r="BT1145" s="586"/>
      <c r="BU1145" s="589"/>
      <c r="BV1145" s="581"/>
      <c r="BW1145" s="590"/>
      <c r="BX1145" s="347"/>
      <c r="BY1145" s="347"/>
      <c r="BZ1145" s="347"/>
      <c r="CA1145" s="586"/>
      <c r="CB1145" s="581"/>
      <c r="CC1145" s="581"/>
      <c r="CD1145" s="581"/>
      <c r="CE1145" s="581"/>
      <c r="CF1145" s="581"/>
      <c r="CG1145" s="586"/>
      <c r="CH1145" s="608"/>
      <c r="CI1145" s="603"/>
      <c r="CJ1145" s="347"/>
      <c r="CK1145" s="347"/>
      <c r="CL1145" s="347"/>
      <c r="CM1145" s="347"/>
      <c r="CN1145" s="347"/>
      <c r="CO1145" s="347"/>
      <c r="CP1145" s="347"/>
    </row>
    <row r="1146">
      <c r="A1146" s="574"/>
      <c r="B1146" s="574"/>
      <c r="C1146" s="347"/>
      <c r="D1146" s="574"/>
      <c r="E1146" s="347"/>
      <c r="F1146" s="596"/>
      <c r="G1146" s="596"/>
      <c r="H1146" s="347"/>
      <c r="I1146" s="347"/>
      <c r="J1146" s="596"/>
      <c r="K1146" s="609"/>
      <c r="L1146" s="1"/>
      <c r="M1146" s="347"/>
      <c r="N1146" s="347"/>
      <c r="O1146" s="579"/>
      <c r="P1146" s="579"/>
      <c r="Q1146" s="574"/>
      <c r="R1146" s="347"/>
      <c r="S1146" s="597"/>
      <c r="T1146" s="347"/>
      <c r="U1146" s="579"/>
      <c r="V1146" s="579"/>
      <c r="W1146" s="574"/>
      <c r="X1146" s="347"/>
      <c r="Y1146" s="347"/>
      <c r="Z1146" s="347"/>
      <c r="AA1146" s="579"/>
      <c r="AB1146" s="581"/>
      <c r="AC1146" s="347"/>
      <c r="AD1146" s="347"/>
      <c r="AE1146" s="347"/>
      <c r="AF1146" s="347"/>
      <c r="AG1146" s="579"/>
      <c r="AH1146" s="579"/>
      <c r="AI1146" s="582"/>
      <c r="AJ1146" s="582"/>
      <c r="AK1146" s="582"/>
      <c r="AL1146" s="582"/>
      <c r="AM1146" s="579"/>
      <c r="AN1146" s="579"/>
      <c r="AO1146" s="347"/>
      <c r="AP1146" s="586"/>
      <c r="AQ1146" s="596"/>
      <c r="AR1146" s="596"/>
      <c r="AS1146" s="348"/>
      <c r="AT1146" s="348"/>
      <c r="AU1146" s="348"/>
      <c r="AV1146" s="348"/>
      <c r="AW1146" s="348"/>
      <c r="AX1146" s="584"/>
      <c r="AY1146" s="581"/>
      <c r="AZ1146" s="581"/>
      <c r="BA1146" s="596"/>
      <c r="BB1146" s="596"/>
      <c r="BC1146" s="348"/>
      <c r="BD1146" s="581"/>
      <c r="BE1146" s="581"/>
      <c r="BF1146" s="347"/>
      <c r="BG1146" s="347"/>
      <c r="BH1146" s="347"/>
      <c r="BI1146" s="347"/>
      <c r="BJ1146" s="586"/>
      <c r="BK1146" s="581"/>
      <c r="BL1146" s="347"/>
      <c r="BM1146" s="347"/>
      <c r="BN1146" s="347"/>
      <c r="BO1146" s="586"/>
      <c r="BP1146" s="584"/>
      <c r="BQ1146" s="347"/>
      <c r="BR1146" s="586"/>
      <c r="BS1146" s="588"/>
      <c r="BT1146" s="586"/>
      <c r="BU1146" s="589"/>
      <c r="BV1146" s="581"/>
      <c r="BW1146" s="590"/>
      <c r="BX1146" s="347"/>
      <c r="BY1146" s="347"/>
      <c r="BZ1146" s="347"/>
      <c r="CA1146" s="586"/>
      <c r="CB1146" s="581"/>
      <c r="CC1146" s="581"/>
      <c r="CD1146" s="581"/>
      <c r="CE1146" s="581"/>
      <c r="CF1146" s="581"/>
      <c r="CG1146" s="586"/>
      <c r="CH1146" s="608"/>
      <c r="CI1146" s="603"/>
      <c r="CJ1146" s="347"/>
      <c r="CK1146" s="347"/>
      <c r="CL1146" s="347"/>
      <c r="CM1146" s="347"/>
      <c r="CN1146" s="347"/>
      <c r="CO1146" s="347"/>
      <c r="CP1146" s="347"/>
    </row>
    <row r="1147">
      <c r="A1147" s="574"/>
      <c r="B1147" s="574"/>
      <c r="C1147" s="347"/>
      <c r="D1147" s="574"/>
      <c r="E1147" s="347"/>
      <c r="F1147" s="596"/>
      <c r="G1147" s="596"/>
      <c r="H1147" s="347"/>
      <c r="I1147" s="347"/>
      <c r="J1147" s="596"/>
      <c r="K1147" s="609"/>
      <c r="L1147" s="1"/>
      <c r="M1147" s="347"/>
      <c r="N1147" s="347"/>
      <c r="O1147" s="579"/>
      <c r="P1147" s="579"/>
      <c r="Q1147" s="574"/>
      <c r="R1147" s="347"/>
      <c r="S1147" s="597"/>
      <c r="T1147" s="347"/>
      <c r="U1147" s="579"/>
      <c r="V1147" s="579"/>
      <c r="W1147" s="574"/>
      <c r="X1147" s="347"/>
      <c r="Y1147" s="347"/>
      <c r="Z1147" s="347"/>
      <c r="AA1147" s="579"/>
      <c r="AB1147" s="581"/>
      <c r="AC1147" s="347"/>
      <c r="AD1147" s="347"/>
      <c r="AE1147" s="347"/>
      <c r="AF1147" s="347"/>
      <c r="AG1147" s="579"/>
      <c r="AH1147" s="579"/>
      <c r="AI1147" s="582"/>
      <c r="AJ1147" s="582"/>
      <c r="AK1147" s="582"/>
      <c r="AL1147" s="582"/>
      <c r="AM1147" s="579"/>
      <c r="AN1147" s="579"/>
      <c r="AO1147" s="347"/>
      <c r="AP1147" s="586"/>
      <c r="AQ1147" s="596"/>
      <c r="AR1147" s="596"/>
      <c r="AS1147" s="348"/>
      <c r="AT1147" s="348"/>
      <c r="AU1147" s="348"/>
      <c r="AV1147" s="348"/>
      <c r="AW1147" s="348"/>
      <c r="AX1147" s="584"/>
      <c r="AY1147" s="581"/>
      <c r="AZ1147" s="581"/>
      <c r="BA1147" s="596"/>
      <c r="BB1147" s="596"/>
      <c r="BC1147" s="348"/>
      <c r="BD1147" s="581"/>
      <c r="BE1147" s="581"/>
      <c r="BF1147" s="347"/>
      <c r="BG1147" s="347"/>
      <c r="BH1147" s="347"/>
      <c r="BI1147" s="347"/>
      <c r="BJ1147" s="586"/>
      <c r="BK1147" s="581"/>
      <c r="BL1147" s="347"/>
      <c r="BM1147" s="347"/>
      <c r="BN1147" s="347"/>
      <c r="BO1147" s="586"/>
      <c r="BP1147" s="584"/>
      <c r="BQ1147" s="347"/>
      <c r="BR1147" s="586"/>
      <c r="BS1147" s="588"/>
      <c r="BT1147" s="586"/>
      <c r="BU1147" s="589"/>
      <c r="BV1147" s="581"/>
      <c r="BW1147" s="590"/>
      <c r="BX1147" s="347"/>
      <c r="BY1147" s="347"/>
      <c r="BZ1147" s="347"/>
      <c r="CA1147" s="586"/>
      <c r="CB1147" s="581"/>
      <c r="CC1147" s="581"/>
      <c r="CD1147" s="581"/>
      <c r="CE1147" s="581"/>
      <c r="CF1147" s="581"/>
      <c r="CG1147" s="586"/>
      <c r="CH1147" s="608"/>
      <c r="CI1147" s="603"/>
      <c r="CJ1147" s="347"/>
      <c r="CK1147" s="347"/>
      <c r="CL1147" s="347"/>
      <c r="CM1147" s="347"/>
      <c r="CN1147" s="347"/>
      <c r="CO1147" s="347"/>
      <c r="CP1147" s="347"/>
    </row>
    <row r="1148">
      <c r="A1148" s="574"/>
      <c r="B1148" s="574"/>
      <c r="C1148" s="347"/>
      <c r="D1148" s="574"/>
      <c r="E1148" s="347"/>
      <c r="F1148" s="596"/>
      <c r="G1148" s="596"/>
      <c r="H1148" s="347"/>
      <c r="I1148" s="347"/>
      <c r="J1148" s="596"/>
      <c r="K1148" s="609"/>
      <c r="L1148" s="1"/>
      <c r="M1148" s="347"/>
      <c r="N1148" s="347"/>
      <c r="O1148" s="579"/>
      <c r="P1148" s="579"/>
      <c r="Q1148" s="574"/>
      <c r="R1148" s="347"/>
      <c r="S1148" s="597"/>
      <c r="T1148" s="347"/>
      <c r="U1148" s="579"/>
      <c r="V1148" s="579"/>
      <c r="W1148" s="574"/>
      <c r="X1148" s="347"/>
      <c r="Y1148" s="347"/>
      <c r="Z1148" s="347"/>
      <c r="AA1148" s="579"/>
      <c r="AB1148" s="581"/>
      <c r="AC1148" s="347"/>
      <c r="AD1148" s="347"/>
      <c r="AE1148" s="347"/>
      <c r="AF1148" s="347"/>
      <c r="AG1148" s="579"/>
      <c r="AH1148" s="579"/>
      <c r="AI1148" s="582"/>
      <c r="AJ1148" s="582"/>
      <c r="AK1148" s="582"/>
      <c r="AL1148" s="582"/>
      <c r="AM1148" s="579"/>
      <c r="AN1148" s="579"/>
      <c r="AO1148" s="347"/>
      <c r="AP1148" s="586"/>
      <c r="AQ1148" s="596"/>
      <c r="AR1148" s="596"/>
      <c r="AS1148" s="348"/>
      <c r="AT1148" s="348"/>
      <c r="AU1148" s="348"/>
      <c r="AV1148" s="348"/>
      <c r="AW1148" s="348"/>
      <c r="AX1148" s="584"/>
      <c r="AY1148" s="581"/>
      <c r="AZ1148" s="581"/>
      <c r="BA1148" s="596"/>
      <c r="BB1148" s="596"/>
      <c r="BC1148" s="348"/>
      <c r="BD1148" s="581"/>
      <c r="BE1148" s="581"/>
      <c r="BF1148" s="347"/>
      <c r="BG1148" s="347"/>
      <c r="BH1148" s="347"/>
      <c r="BI1148" s="347"/>
      <c r="BJ1148" s="586"/>
      <c r="BK1148" s="581"/>
      <c r="BL1148" s="347"/>
      <c r="BM1148" s="347"/>
      <c r="BN1148" s="347"/>
      <c r="BO1148" s="586"/>
      <c r="BP1148" s="584"/>
      <c r="BQ1148" s="347"/>
      <c r="BR1148" s="586"/>
      <c r="BS1148" s="588"/>
      <c r="BT1148" s="586"/>
      <c r="BU1148" s="589"/>
      <c r="BV1148" s="581"/>
      <c r="BW1148" s="590"/>
      <c r="BX1148" s="347"/>
      <c r="BY1148" s="347"/>
      <c r="BZ1148" s="347"/>
      <c r="CA1148" s="586"/>
      <c r="CB1148" s="581"/>
      <c r="CC1148" s="581"/>
      <c r="CD1148" s="581"/>
      <c r="CE1148" s="581"/>
      <c r="CF1148" s="581"/>
      <c r="CG1148" s="586"/>
      <c r="CH1148" s="608"/>
      <c r="CI1148" s="603"/>
      <c r="CJ1148" s="347"/>
      <c r="CK1148" s="347"/>
      <c r="CL1148" s="347"/>
      <c r="CM1148" s="347"/>
      <c r="CN1148" s="347"/>
      <c r="CO1148" s="347"/>
      <c r="CP1148" s="347"/>
    </row>
    <row r="1149">
      <c r="A1149" s="574"/>
      <c r="B1149" s="574"/>
      <c r="C1149" s="347"/>
      <c r="D1149" s="574"/>
      <c r="E1149" s="347"/>
      <c r="F1149" s="596"/>
      <c r="G1149" s="596"/>
      <c r="H1149" s="347"/>
      <c r="I1149" s="347"/>
      <c r="J1149" s="596"/>
      <c r="K1149" s="609"/>
      <c r="L1149" s="1"/>
      <c r="M1149" s="347"/>
      <c r="N1149" s="347"/>
      <c r="O1149" s="579"/>
      <c r="P1149" s="579"/>
      <c r="Q1149" s="574"/>
      <c r="R1149" s="347"/>
      <c r="S1149" s="597"/>
      <c r="T1149" s="347"/>
      <c r="U1149" s="579"/>
      <c r="V1149" s="579"/>
      <c r="W1149" s="574"/>
      <c r="X1149" s="347"/>
      <c r="Y1149" s="347"/>
      <c r="Z1149" s="347"/>
      <c r="AA1149" s="579"/>
      <c r="AB1149" s="581"/>
      <c r="AC1149" s="347"/>
      <c r="AD1149" s="347"/>
      <c r="AE1149" s="347"/>
      <c r="AF1149" s="347"/>
      <c r="AG1149" s="579"/>
      <c r="AH1149" s="579"/>
      <c r="AI1149" s="582"/>
      <c r="AJ1149" s="582"/>
      <c r="AK1149" s="582"/>
      <c r="AL1149" s="582"/>
      <c r="AM1149" s="579"/>
      <c r="AN1149" s="579"/>
      <c r="AO1149" s="347"/>
      <c r="AP1149" s="586"/>
      <c r="AQ1149" s="596"/>
      <c r="AR1149" s="596"/>
      <c r="AS1149" s="348"/>
      <c r="AT1149" s="348"/>
      <c r="AU1149" s="348"/>
      <c r="AV1149" s="348"/>
      <c r="AW1149" s="348"/>
      <c r="AX1149" s="584"/>
      <c r="AY1149" s="581"/>
      <c r="AZ1149" s="581"/>
      <c r="BA1149" s="596"/>
      <c r="BB1149" s="596"/>
      <c r="BC1149" s="348"/>
      <c r="BD1149" s="581"/>
      <c r="BE1149" s="581"/>
      <c r="BF1149" s="347"/>
      <c r="BG1149" s="347"/>
      <c r="BH1149" s="347"/>
      <c r="BI1149" s="347"/>
      <c r="BJ1149" s="586"/>
      <c r="BK1149" s="581"/>
      <c r="BL1149" s="347"/>
      <c r="BM1149" s="347"/>
      <c r="BN1149" s="347"/>
      <c r="BO1149" s="586"/>
      <c r="BP1149" s="584"/>
      <c r="BQ1149" s="347"/>
      <c r="BR1149" s="586"/>
      <c r="BS1149" s="588"/>
      <c r="BT1149" s="586"/>
      <c r="BU1149" s="589"/>
      <c r="BV1149" s="581"/>
      <c r="BW1149" s="590"/>
      <c r="BX1149" s="347"/>
      <c r="BY1149" s="347"/>
      <c r="BZ1149" s="347"/>
      <c r="CA1149" s="586"/>
      <c r="CB1149" s="581"/>
      <c r="CC1149" s="581"/>
      <c r="CD1149" s="581"/>
      <c r="CE1149" s="581"/>
      <c r="CF1149" s="581"/>
      <c r="CG1149" s="586"/>
      <c r="CH1149" s="608"/>
      <c r="CI1149" s="603"/>
      <c r="CJ1149" s="347"/>
      <c r="CK1149" s="347"/>
      <c r="CL1149" s="347"/>
      <c r="CM1149" s="347"/>
      <c r="CN1149" s="347"/>
      <c r="CO1149" s="347"/>
      <c r="CP1149" s="347"/>
    </row>
    <row r="1150">
      <c r="A1150" s="574"/>
      <c r="B1150" s="574"/>
      <c r="C1150" s="347"/>
      <c r="D1150" s="574"/>
      <c r="E1150" s="347"/>
      <c r="F1150" s="596"/>
      <c r="G1150" s="596"/>
      <c r="H1150" s="347"/>
      <c r="I1150" s="347"/>
      <c r="J1150" s="596"/>
      <c r="K1150" s="609"/>
      <c r="L1150" s="1"/>
      <c r="M1150" s="347"/>
      <c r="N1150" s="347"/>
      <c r="O1150" s="579"/>
      <c r="P1150" s="579"/>
      <c r="Q1150" s="574"/>
      <c r="R1150" s="347"/>
      <c r="S1150" s="597"/>
      <c r="T1150" s="347"/>
      <c r="U1150" s="579"/>
      <c r="V1150" s="579"/>
      <c r="W1150" s="574"/>
      <c r="X1150" s="347"/>
      <c r="Y1150" s="347"/>
      <c r="Z1150" s="347"/>
      <c r="AA1150" s="579"/>
      <c r="AB1150" s="581"/>
      <c r="AC1150" s="347"/>
      <c r="AD1150" s="347"/>
      <c r="AE1150" s="347"/>
      <c r="AF1150" s="347"/>
      <c r="AG1150" s="579"/>
      <c r="AH1150" s="579"/>
      <c r="AI1150" s="582"/>
      <c r="AJ1150" s="582"/>
      <c r="AK1150" s="582"/>
      <c r="AL1150" s="582"/>
      <c r="AM1150" s="579"/>
      <c r="AN1150" s="579"/>
      <c r="AO1150" s="347"/>
      <c r="AP1150" s="586"/>
      <c r="AQ1150" s="596"/>
      <c r="AR1150" s="596"/>
      <c r="AS1150" s="348"/>
      <c r="AT1150" s="348"/>
      <c r="AU1150" s="348"/>
      <c r="AV1150" s="348"/>
      <c r="AW1150" s="348"/>
      <c r="AX1150" s="584"/>
      <c r="AY1150" s="581"/>
      <c r="AZ1150" s="581"/>
      <c r="BA1150" s="596"/>
      <c r="BB1150" s="596"/>
      <c r="BC1150" s="348"/>
      <c r="BD1150" s="581"/>
      <c r="BE1150" s="581"/>
      <c r="BF1150" s="347"/>
      <c r="BG1150" s="347"/>
      <c r="BH1150" s="347"/>
      <c r="BI1150" s="347"/>
      <c r="BJ1150" s="586"/>
      <c r="BK1150" s="581"/>
      <c r="BL1150" s="347"/>
      <c r="BM1150" s="347"/>
      <c r="BN1150" s="347"/>
      <c r="BO1150" s="586"/>
      <c r="BP1150" s="584"/>
      <c r="BQ1150" s="347"/>
      <c r="BR1150" s="586"/>
      <c r="BS1150" s="588"/>
      <c r="BT1150" s="586"/>
      <c r="BU1150" s="589"/>
      <c r="BV1150" s="581"/>
      <c r="BW1150" s="590"/>
      <c r="BX1150" s="347"/>
      <c r="BY1150" s="347"/>
      <c r="BZ1150" s="347"/>
      <c r="CA1150" s="586"/>
      <c r="CB1150" s="581"/>
      <c r="CC1150" s="581"/>
      <c r="CD1150" s="581"/>
      <c r="CE1150" s="581"/>
      <c r="CF1150" s="581"/>
      <c r="CG1150" s="586"/>
      <c r="CH1150" s="608"/>
      <c r="CI1150" s="603"/>
      <c r="CJ1150" s="347"/>
      <c r="CK1150" s="347"/>
      <c r="CL1150" s="347"/>
      <c r="CM1150" s="347"/>
      <c r="CN1150" s="347"/>
      <c r="CO1150" s="347"/>
      <c r="CP1150" s="347"/>
    </row>
    <row r="1151">
      <c r="A1151" s="574"/>
      <c r="B1151" s="574"/>
      <c r="C1151" s="347"/>
      <c r="D1151" s="574"/>
      <c r="E1151" s="347"/>
      <c r="F1151" s="596"/>
      <c r="G1151" s="596"/>
      <c r="H1151" s="347"/>
      <c r="I1151" s="347"/>
      <c r="J1151" s="596"/>
      <c r="K1151" s="609"/>
      <c r="L1151" s="1"/>
      <c r="M1151" s="347"/>
      <c r="N1151" s="347"/>
      <c r="O1151" s="579"/>
      <c r="P1151" s="579"/>
      <c r="Q1151" s="574"/>
      <c r="R1151" s="347"/>
      <c r="S1151" s="597"/>
      <c r="T1151" s="347"/>
      <c r="U1151" s="579"/>
      <c r="V1151" s="579"/>
      <c r="W1151" s="574"/>
      <c r="X1151" s="347"/>
      <c r="Y1151" s="347"/>
      <c r="Z1151" s="347"/>
      <c r="AA1151" s="579"/>
      <c r="AB1151" s="581"/>
      <c r="AC1151" s="347"/>
      <c r="AD1151" s="347"/>
      <c r="AE1151" s="347"/>
      <c r="AF1151" s="347"/>
      <c r="AG1151" s="579"/>
      <c r="AH1151" s="579"/>
      <c r="AI1151" s="582"/>
      <c r="AJ1151" s="582"/>
      <c r="AK1151" s="582"/>
      <c r="AL1151" s="582"/>
      <c r="AM1151" s="579"/>
      <c r="AN1151" s="579"/>
      <c r="AO1151" s="347"/>
      <c r="AP1151" s="586"/>
      <c r="AQ1151" s="596"/>
      <c r="AR1151" s="596"/>
      <c r="AS1151" s="348"/>
      <c r="AT1151" s="348"/>
      <c r="AU1151" s="348"/>
      <c r="AV1151" s="348"/>
      <c r="AW1151" s="348"/>
      <c r="AX1151" s="584"/>
      <c r="AY1151" s="581"/>
      <c r="AZ1151" s="581"/>
      <c r="BA1151" s="596"/>
      <c r="BB1151" s="596"/>
      <c r="BC1151" s="348"/>
      <c r="BD1151" s="581"/>
      <c r="BE1151" s="581"/>
      <c r="BF1151" s="347"/>
      <c r="BG1151" s="347"/>
      <c r="BH1151" s="347"/>
      <c r="BI1151" s="347"/>
      <c r="BJ1151" s="586"/>
      <c r="BK1151" s="581"/>
      <c r="BL1151" s="347"/>
      <c r="BM1151" s="347"/>
      <c r="BN1151" s="347"/>
      <c r="BO1151" s="586"/>
      <c r="BP1151" s="584"/>
      <c r="BQ1151" s="347"/>
      <c r="BR1151" s="586"/>
      <c r="BS1151" s="588"/>
      <c r="BT1151" s="586"/>
      <c r="BU1151" s="589"/>
      <c r="BV1151" s="581"/>
      <c r="BW1151" s="590"/>
      <c r="BX1151" s="347"/>
      <c r="BY1151" s="347"/>
      <c r="BZ1151" s="347"/>
      <c r="CA1151" s="586"/>
      <c r="CB1151" s="581"/>
      <c r="CC1151" s="581"/>
      <c r="CD1151" s="581"/>
      <c r="CE1151" s="581"/>
      <c r="CF1151" s="581"/>
      <c r="CG1151" s="586"/>
      <c r="CH1151" s="608"/>
      <c r="CI1151" s="603"/>
      <c r="CJ1151" s="347"/>
      <c r="CK1151" s="347"/>
      <c r="CL1151" s="347"/>
      <c r="CM1151" s="347"/>
      <c r="CN1151" s="347"/>
      <c r="CO1151" s="347"/>
      <c r="CP1151" s="347"/>
    </row>
    <row r="1152">
      <c r="A1152" s="574"/>
      <c r="B1152" s="574"/>
      <c r="C1152" s="347"/>
      <c r="D1152" s="574"/>
      <c r="E1152" s="347"/>
      <c r="F1152" s="596"/>
      <c r="G1152" s="596"/>
      <c r="H1152" s="347"/>
      <c r="I1152" s="347"/>
      <c r="J1152" s="596"/>
      <c r="K1152" s="609"/>
      <c r="L1152" s="1"/>
      <c r="M1152" s="347"/>
      <c r="N1152" s="347"/>
      <c r="O1152" s="579"/>
      <c r="P1152" s="579"/>
      <c r="Q1152" s="574"/>
      <c r="R1152" s="347"/>
      <c r="S1152" s="597"/>
      <c r="T1152" s="347"/>
      <c r="U1152" s="579"/>
      <c r="V1152" s="579"/>
      <c r="W1152" s="574"/>
      <c r="X1152" s="347"/>
      <c r="Y1152" s="347"/>
      <c r="Z1152" s="347"/>
      <c r="AA1152" s="579"/>
      <c r="AB1152" s="581"/>
      <c r="AC1152" s="347"/>
      <c r="AD1152" s="347"/>
      <c r="AE1152" s="347"/>
      <c r="AF1152" s="347"/>
      <c r="AG1152" s="579"/>
      <c r="AH1152" s="579"/>
      <c r="AI1152" s="582"/>
      <c r="AJ1152" s="582"/>
      <c r="AK1152" s="582"/>
      <c r="AL1152" s="582"/>
      <c r="AM1152" s="579"/>
      <c r="AN1152" s="579"/>
      <c r="AO1152" s="347"/>
      <c r="AP1152" s="586"/>
      <c r="AQ1152" s="596"/>
      <c r="AR1152" s="596"/>
      <c r="AS1152" s="348"/>
      <c r="AT1152" s="348"/>
      <c r="AU1152" s="348"/>
      <c r="AV1152" s="348"/>
      <c r="AW1152" s="348"/>
      <c r="AX1152" s="584"/>
      <c r="AY1152" s="581"/>
      <c r="AZ1152" s="581"/>
      <c r="BA1152" s="596"/>
      <c r="BB1152" s="596"/>
      <c r="BC1152" s="348"/>
      <c r="BD1152" s="581"/>
      <c r="BE1152" s="581"/>
      <c r="BF1152" s="347"/>
      <c r="BG1152" s="347"/>
      <c r="BH1152" s="347"/>
      <c r="BI1152" s="347"/>
      <c r="BJ1152" s="586"/>
      <c r="BK1152" s="581"/>
      <c r="BL1152" s="347"/>
      <c r="BM1152" s="347"/>
      <c r="BN1152" s="347"/>
      <c r="BO1152" s="586"/>
      <c r="BP1152" s="584"/>
      <c r="BQ1152" s="347"/>
      <c r="BR1152" s="586"/>
      <c r="BS1152" s="588"/>
      <c r="BT1152" s="586"/>
      <c r="BU1152" s="589"/>
      <c r="BV1152" s="581"/>
      <c r="BW1152" s="590"/>
      <c r="BX1152" s="347"/>
      <c r="BY1152" s="347"/>
      <c r="BZ1152" s="347"/>
      <c r="CA1152" s="586"/>
      <c r="CB1152" s="581"/>
      <c r="CC1152" s="581"/>
      <c r="CD1152" s="581"/>
      <c r="CE1152" s="581"/>
      <c r="CF1152" s="581"/>
      <c r="CG1152" s="586"/>
      <c r="CH1152" s="608"/>
      <c r="CI1152" s="603"/>
      <c r="CJ1152" s="347"/>
      <c r="CK1152" s="347"/>
      <c r="CL1152" s="347"/>
      <c r="CM1152" s="347"/>
      <c r="CN1152" s="347"/>
      <c r="CO1152" s="347"/>
      <c r="CP1152" s="347"/>
    </row>
    <row r="1153">
      <c r="A1153" s="574"/>
      <c r="B1153" s="574"/>
      <c r="C1153" s="347"/>
      <c r="D1153" s="574"/>
      <c r="E1153" s="347"/>
      <c r="F1153" s="596"/>
      <c r="G1153" s="596"/>
      <c r="H1153" s="347"/>
      <c r="I1153" s="347"/>
      <c r="J1153" s="596"/>
      <c r="K1153" s="609"/>
      <c r="L1153" s="1"/>
      <c r="M1153" s="347"/>
      <c r="N1153" s="347"/>
      <c r="O1153" s="579"/>
      <c r="P1153" s="579"/>
      <c r="Q1153" s="574"/>
      <c r="R1153" s="347"/>
      <c r="S1153" s="597"/>
      <c r="T1153" s="347"/>
      <c r="U1153" s="579"/>
      <c r="V1153" s="579"/>
      <c r="W1153" s="574"/>
      <c r="X1153" s="347"/>
      <c r="Y1153" s="347"/>
      <c r="Z1153" s="347"/>
      <c r="AA1153" s="579"/>
      <c r="AB1153" s="581"/>
      <c r="AC1153" s="347"/>
      <c r="AD1153" s="347"/>
      <c r="AE1153" s="347"/>
      <c r="AF1153" s="347"/>
      <c r="AG1153" s="579"/>
      <c r="AH1153" s="579"/>
      <c r="AI1153" s="582"/>
      <c r="AJ1153" s="582"/>
      <c r="AK1153" s="582"/>
      <c r="AL1153" s="582"/>
      <c r="AM1153" s="579"/>
      <c r="AN1153" s="579"/>
      <c r="AO1153" s="347"/>
      <c r="AP1153" s="586"/>
      <c r="AQ1153" s="596"/>
      <c r="AR1153" s="596"/>
      <c r="AS1153" s="348"/>
      <c r="AT1153" s="348"/>
      <c r="AU1153" s="348"/>
      <c r="AV1153" s="348"/>
      <c r="AW1153" s="348"/>
      <c r="AX1153" s="584"/>
      <c r="AY1153" s="581"/>
      <c r="AZ1153" s="581"/>
      <c r="BA1153" s="596"/>
      <c r="BB1153" s="596"/>
      <c r="BC1153" s="348"/>
      <c r="BD1153" s="581"/>
      <c r="BE1153" s="581"/>
      <c r="BF1153" s="347"/>
      <c r="BG1153" s="347"/>
      <c r="BH1153" s="347"/>
      <c r="BI1153" s="347"/>
      <c r="BJ1153" s="586"/>
      <c r="BK1153" s="581"/>
      <c r="BL1153" s="347"/>
      <c r="BM1153" s="347"/>
      <c r="BN1153" s="347"/>
      <c r="BO1153" s="586"/>
      <c r="BP1153" s="584"/>
      <c r="BQ1153" s="347"/>
      <c r="BR1153" s="586"/>
      <c r="BS1153" s="588"/>
      <c r="BT1153" s="586"/>
      <c r="BU1153" s="589"/>
      <c r="BV1153" s="581"/>
      <c r="BW1153" s="590"/>
      <c r="BX1153" s="347"/>
      <c r="BY1153" s="347"/>
      <c r="BZ1153" s="347"/>
      <c r="CA1153" s="586"/>
      <c r="CB1153" s="581"/>
      <c r="CC1153" s="581"/>
      <c r="CD1153" s="581"/>
      <c r="CE1153" s="581"/>
      <c r="CF1153" s="581"/>
      <c r="CG1153" s="586"/>
      <c r="CH1153" s="608"/>
      <c r="CI1153" s="603"/>
      <c r="CJ1153" s="347"/>
      <c r="CK1153" s="347"/>
      <c r="CL1153" s="347"/>
      <c r="CM1153" s="347"/>
      <c r="CN1153" s="347"/>
      <c r="CO1153" s="347"/>
      <c r="CP1153" s="347"/>
    </row>
    <row r="1154">
      <c r="A1154" s="574"/>
      <c r="B1154" s="574"/>
      <c r="C1154" s="347"/>
      <c r="D1154" s="574"/>
      <c r="E1154" s="347"/>
      <c r="F1154" s="596"/>
      <c r="G1154" s="596"/>
      <c r="H1154" s="347"/>
      <c r="I1154" s="347"/>
      <c r="J1154" s="596"/>
      <c r="K1154" s="609"/>
      <c r="L1154" s="1"/>
      <c r="M1154" s="347"/>
      <c r="N1154" s="347"/>
      <c r="O1154" s="579"/>
      <c r="P1154" s="579"/>
      <c r="Q1154" s="574"/>
      <c r="R1154" s="347"/>
      <c r="S1154" s="597"/>
      <c r="T1154" s="347"/>
      <c r="U1154" s="579"/>
      <c r="V1154" s="579"/>
      <c r="W1154" s="574"/>
      <c r="X1154" s="347"/>
      <c r="Y1154" s="347"/>
      <c r="Z1154" s="347"/>
      <c r="AA1154" s="579"/>
      <c r="AB1154" s="581"/>
      <c r="AC1154" s="347"/>
      <c r="AD1154" s="347"/>
      <c r="AE1154" s="347"/>
      <c r="AF1154" s="347"/>
      <c r="AG1154" s="579"/>
      <c r="AH1154" s="579"/>
      <c r="AI1154" s="582"/>
      <c r="AJ1154" s="582"/>
      <c r="AK1154" s="582"/>
      <c r="AL1154" s="582"/>
      <c r="AM1154" s="579"/>
      <c r="AN1154" s="579"/>
      <c r="AO1154" s="347"/>
      <c r="AP1154" s="586"/>
      <c r="AQ1154" s="596"/>
      <c r="AR1154" s="596"/>
      <c r="AS1154" s="348"/>
      <c r="AT1154" s="348"/>
      <c r="AU1154" s="348"/>
      <c r="AV1154" s="348"/>
      <c r="AW1154" s="348"/>
      <c r="AX1154" s="584"/>
      <c r="AY1154" s="581"/>
      <c r="AZ1154" s="581"/>
      <c r="BA1154" s="596"/>
      <c r="BB1154" s="596"/>
      <c r="BC1154" s="348"/>
      <c r="BD1154" s="581"/>
      <c r="BE1154" s="581"/>
      <c r="BF1154" s="347"/>
      <c r="BG1154" s="347"/>
      <c r="BH1154" s="347"/>
      <c r="BI1154" s="347"/>
      <c r="BJ1154" s="586"/>
      <c r="BK1154" s="581"/>
      <c r="BL1154" s="347"/>
      <c r="BM1154" s="347"/>
      <c r="BN1154" s="347"/>
      <c r="BO1154" s="586"/>
      <c r="BP1154" s="584"/>
      <c r="BQ1154" s="347"/>
      <c r="BR1154" s="586"/>
      <c r="BS1154" s="588"/>
      <c r="BT1154" s="586"/>
      <c r="BU1154" s="589"/>
      <c r="BV1154" s="581"/>
      <c r="BW1154" s="590"/>
      <c r="BX1154" s="347"/>
      <c r="BY1154" s="347"/>
      <c r="BZ1154" s="347"/>
      <c r="CA1154" s="586"/>
      <c r="CB1154" s="581"/>
      <c r="CC1154" s="581"/>
      <c r="CD1154" s="581"/>
      <c r="CE1154" s="581"/>
      <c r="CF1154" s="581"/>
      <c r="CG1154" s="586"/>
      <c r="CH1154" s="608"/>
      <c r="CI1154" s="603"/>
      <c r="CJ1154" s="347"/>
      <c r="CK1154" s="347"/>
      <c r="CL1154" s="347"/>
      <c r="CM1154" s="347"/>
      <c r="CN1154" s="347"/>
      <c r="CO1154" s="347"/>
      <c r="CP1154" s="347"/>
    </row>
    <row r="1155">
      <c r="A1155" s="574"/>
      <c r="B1155" s="574"/>
      <c r="C1155" s="347"/>
      <c r="D1155" s="574"/>
      <c r="E1155" s="347"/>
      <c r="F1155" s="596"/>
      <c r="G1155" s="596"/>
      <c r="H1155" s="347"/>
      <c r="I1155" s="347"/>
      <c r="J1155" s="596"/>
      <c r="K1155" s="609"/>
      <c r="L1155" s="1"/>
      <c r="M1155" s="347"/>
      <c r="N1155" s="347"/>
      <c r="O1155" s="579"/>
      <c r="P1155" s="579"/>
      <c r="Q1155" s="574"/>
      <c r="R1155" s="347"/>
      <c r="S1155" s="597"/>
      <c r="T1155" s="347"/>
      <c r="U1155" s="579"/>
      <c r="V1155" s="579"/>
      <c r="W1155" s="574"/>
      <c r="X1155" s="347"/>
      <c r="Y1155" s="347"/>
      <c r="Z1155" s="347"/>
      <c r="AA1155" s="579"/>
      <c r="AB1155" s="581"/>
      <c r="AC1155" s="347"/>
      <c r="AD1155" s="347"/>
      <c r="AE1155" s="347"/>
      <c r="AF1155" s="347"/>
      <c r="AG1155" s="579"/>
      <c r="AH1155" s="579"/>
      <c r="AI1155" s="582"/>
      <c r="AJ1155" s="582"/>
      <c r="AK1155" s="582"/>
      <c r="AL1155" s="582"/>
      <c r="AM1155" s="579"/>
      <c r="AN1155" s="579"/>
      <c r="AO1155" s="347"/>
      <c r="AP1155" s="586"/>
      <c r="AQ1155" s="596"/>
      <c r="AR1155" s="596"/>
      <c r="AS1155" s="348"/>
      <c r="AT1155" s="348"/>
      <c r="AU1155" s="348"/>
      <c r="AV1155" s="348"/>
      <c r="AW1155" s="348"/>
      <c r="AX1155" s="584"/>
      <c r="AY1155" s="581"/>
      <c r="AZ1155" s="581"/>
      <c r="BA1155" s="596"/>
      <c r="BB1155" s="596"/>
      <c r="BC1155" s="348"/>
      <c r="BD1155" s="581"/>
      <c r="BE1155" s="581"/>
      <c r="BF1155" s="347"/>
      <c r="BG1155" s="347"/>
      <c r="BH1155" s="347"/>
      <c r="BI1155" s="347"/>
      <c r="BJ1155" s="586"/>
      <c r="BK1155" s="581"/>
      <c r="BL1155" s="347"/>
      <c r="BM1155" s="347"/>
      <c r="BN1155" s="347"/>
      <c r="BO1155" s="586"/>
      <c r="BP1155" s="584"/>
      <c r="BQ1155" s="347"/>
      <c r="BR1155" s="586"/>
      <c r="BS1155" s="588"/>
      <c r="BT1155" s="586"/>
      <c r="BU1155" s="589"/>
      <c r="BV1155" s="581"/>
      <c r="BW1155" s="590"/>
      <c r="BX1155" s="347"/>
      <c r="BY1155" s="347"/>
      <c r="BZ1155" s="347"/>
      <c r="CA1155" s="586"/>
      <c r="CB1155" s="581"/>
      <c r="CC1155" s="581"/>
      <c r="CD1155" s="581"/>
      <c r="CE1155" s="581"/>
      <c r="CF1155" s="581"/>
      <c r="CG1155" s="586"/>
      <c r="CH1155" s="608"/>
      <c r="CI1155" s="603"/>
      <c r="CJ1155" s="347"/>
      <c r="CK1155" s="347"/>
      <c r="CL1155" s="347"/>
      <c r="CM1155" s="347"/>
      <c r="CN1155" s="347"/>
      <c r="CO1155" s="347"/>
      <c r="CP1155" s="347"/>
    </row>
    <row r="1156">
      <c r="A1156" s="574"/>
      <c r="B1156" s="574"/>
      <c r="C1156" s="347"/>
      <c r="D1156" s="574"/>
      <c r="E1156" s="347"/>
      <c r="F1156" s="596"/>
      <c r="G1156" s="596"/>
      <c r="H1156" s="347"/>
      <c r="I1156" s="347"/>
      <c r="J1156" s="596"/>
      <c r="K1156" s="609"/>
      <c r="L1156" s="1"/>
      <c r="M1156" s="347"/>
      <c r="N1156" s="347"/>
      <c r="O1156" s="579"/>
      <c r="P1156" s="579"/>
      <c r="Q1156" s="574"/>
      <c r="R1156" s="347"/>
      <c r="S1156" s="597"/>
      <c r="T1156" s="347"/>
      <c r="U1156" s="579"/>
      <c r="V1156" s="579"/>
      <c r="W1156" s="574"/>
      <c r="X1156" s="347"/>
      <c r="Y1156" s="347"/>
      <c r="Z1156" s="347"/>
      <c r="AA1156" s="579"/>
      <c r="AB1156" s="581"/>
      <c r="AC1156" s="347"/>
      <c r="AD1156" s="347"/>
      <c r="AE1156" s="347"/>
      <c r="AF1156" s="347"/>
      <c r="AG1156" s="579"/>
      <c r="AH1156" s="579"/>
      <c r="AI1156" s="582"/>
      <c r="AJ1156" s="582"/>
      <c r="AK1156" s="582"/>
      <c r="AL1156" s="582"/>
      <c r="AM1156" s="579"/>
      <c r="AN1156" s="579"/>
      <c r="AO1156" s="347"/>
      <c r="AP1156" s="586"/>
      <c r="AQ1156" s="596"/>
      <c r="AR1156" s="596"/>
      <c r="AS1156" s="348"/>
      <c r="AT1156" s="348"/>
      <c r="AU1156" s="348"/>
      <c r="AV1156" s="348"/>
      <c r="AW1156" s="348"/>
      <c r="AX1156" s="584"/>
      <c r="AY1156" s="581"/>
      <c r="AZ1156" s="581"/>
      <c r="BA1156" s="596"/>
      <c r="BB1156" s="596"/>
      <c r="BC1156" s="348"/>
      <c r="BD1156" s="581"/>
      <c r="BE1156" s="581"/>
      <c r="BF1156" s="347"/>
      <c r="BG1156" s="347"/>
      <c r="BH1156" s="347"/>
      <c r="BI1156" s="347"/>
      <c r="BJ1156" s="586"/>
      <c r="BK1156" s="581"/>
      <c r="BL1156" s="347"/>
      <c r="BM1156" s="347"/>
      <c r="BN1156" s="347"/>
      <c r="BO1156" s="586"/>
      <c r="BP1156" s="584"/>
      <c r="BQ1156" s="347"/>
      <c r="BR1156" s="586"/>
      <c r="BS1156" s="588"/>
      <c r="BT1156" s="586"/>
      <c r="BU1156" s="589"/>
      <c r="BV1156" s="581"/>
      <c r="BW1156" s="590"/>
      <c r="BX1156" s="347"/>
      <c r="BY1156" s="347"/>
      <c r="BZ1156" s="347"/>
      <c r="CA1156" s="586"/>
      <c r="CB1156" s="581"/>
      <c r="CC1156" s="581"/>
      <c r="CD1156" s="581"/>
      <c r="CE1156" s="581"/>
      <c r="CF1156" s="581"/>
      <c r="CG1156" s="586"/>
      <c r="CH1156" s="608"/>
      <c r="CI1156" s="603"/>
      <c r="CJ1156" s="347"/>
      <c r="CK1156" s="347"/>
      <c r="CL1156" s="347"/>
      <c r="CM1156" s="347"/>
      <c r="CN1156" s="347"/>
      <c r="CO1156" s="347"/>
      <c r="CP1156" s="347"/>
    </row>
    <row r="1157">
      <c r="A1157" s="574"/>
      <c r="B1157" s="574"/>
      <c r="C1157" s="347"/>
      <c r="D1157" s="574"/>
      <c r="E1157" s="347"/>
      <c r="F1157" s="596"/>
      <c r="G1157" s="596"/>
      <c r="H1157" s="347"/>
      <c r="I1157" s="347"/>
      <c r="J1157" s="596"/>
      <c r="K1157" s="609"/>
      <c r="L1157" s="1"/>
      <c r="M1157" s="347"/>
      <c r="N1157" s="347"/>
      <c r="O1157" s="579"/>
      <c r="P1157" s="579"/>
      <c r="Q1157" s="574"/>
      <c r="R1157" s="347"/>
      <c r="S1157" s="597"/>
      <c r="T1157" s="347"/>
      <c r="U1157" s="579"/>
      <c r="V1157" s="579"/>
      <c r="W1157" s="574"/>
      <c r="X1157" s="347"/>
      <c r="Y1157" s="347"/>
      <c r="Z1157" s="347"/>
      <c r="AA1157" s="579"/>
      <c r="AB1157" s="581"/>
      <c r="AC1157" s="347"/>
      <c r="AD1157" s="347"/>
      <c r="AE1157" s="347"/>
      <c r="AF1157" s="347"/>
      <c r="AG1157" s="579"/>
      <c r="AH1157" s="579"/>
      <c r="AI1157" s="582"/>
      <c r="AJ1157" s="582"/>
      <c r="AK1157" s="582"/>
      <c r="AL1157" s="582"/>
      <c r="AM1157" s="579"/>
      <c r="AN1157" s="579"/>
      <c r="AO1157" s="347"/>
      <c r="AP1157" s="586"/>
      <c r="AQ1157" s="596"/>
      <c r="AR1157" s="596"/>
      <c r="AS1157" s="348"/>
      <c r="AT1157" s="348"/>
      <c r="AU1157" s="348"/>
      <c r="AV1157" s="348"/>
      <c r="AW1157" s="348"/>
      <c r="AX1157" s="584"/>
      <c r="AY1157" s="581"/>
      <c r="AZ1157" s="581"/>
      <c r="BA1157" s="596"/>
      <c r="BB1157" s="596"/>
      <c r="BC1157" s="348"/>
      <c r="BD1157" s="581"/>
      <c r="BE1157" s="581"/>
      <c r="BF1157" s="347"/>
      <c r="BG1157" s="347"/>
      <c r="BH1157" s="347"/>
      <c r="BI1157" s="347"/>
      <c r="BJ1157" s="586"/>
      <c r="BK1157" s="581"/>
      <c r="BL1157" s="347"/>
      <c r="BM1157" s="347"/>
      <c r="BN1157" s="347"/>
      <c r="BO1157" s="586"/>
      <c r="BP1157" s="584"/>
      <c r="BQ1157" s="347"/>
      <c r="BR1157" s="586"/>
      <c r="BS1157" s="588"/>
      <c r="BT1157" s="586"/>
      <c r="BU1157" s="589"/>
      <c r="BV1157" s="581"/>
      <c r="BW1157" s="590"/>
      <c r="BX1157" s="347"/>
      <c r="BY1157" s="347"/>
      <c r="BZ1157" s="347"/>
      <c r="CA1157" s="586"/>
      <c r="CB1157" s="581"/>
      <c r="CC1157" s="581"/>
      <c r="CD1157" s="581"/>
      <c r="CE1157" s="581"/>
      <c r="CF1157" s="581"/>
      <c r="CG1157" s="586"/>
      <c r="CH1157" s="608"/>
      <c r="CI1157" s="603"/>
      <c r="CJ1157" s="347"/>
      <c r="CK1157" s="347"/>
      <c r="CL1157" s="347"/>
      <c r="CM1157" s="347"/>
      <c r="CN1157" s="347"/>
      <c r="CO1157" s="347"/>
      <c r="CP1157" s="347"/>
    </row>
    <row r="1158">
      <c r="A1158" s="574"/>
      <c r="B1158" s="574"/>
      <c r="C1158" s="347"/>
      <c r="D1158" s="574"/>
      <c r="E1158" s="347"/>
      <c r="F1158" s="596"/>
      <c r="G1158" s="596"/>
      <c r="H1158" s="347"/>
      <c r="I1158" s="347"/>
      <c r="J1158" s="596"/>
      <c r="K1158" s="609"/>
      <c r="L1158" s="1"/>
      <c r="M1158" s="347"/>
      <c r="N1158" s="347"/>
      <c r="O1158" s="579"/>
      <c r="P1158" s="579"/>
      <c r="Q1158" s="574"/>
      <c r="R1158" s="347"/>
      <c r="S1158" s="597"/>
      <c r="T1158" s="347"/>
      <c r="U1158" s="579"/>
      <c r="V1158" s="579"/>
      <c r="W1158" s="574"/>
      <c r="X1158" s="347"/>
      <c r="Y1158" s="347"/>
      <c r="Z1158" s="347"/>
      <c r="AA1158" s="579"/>
      <c r="AB1158" s="581"/>
      <c r="AC1158" s="347"/>
      <c r="AD1158" s="347"/>
      <c r="AE1158" s="347"/>
      <c r="AF1158" s="347"/>
      <c r="AG1158" s="579"/>
      <c r="AH1158" s="579"/>
      <c r="AI1158" s="582"/>
      <c r="AJ1158" s="582"/>
      <c r="AK1158" s="582"/>
      <c r="AL1158" s="582"/>
      <c r="AM1158" s="579"/>
      <c r="AN1158" s="579"/>
      <c r="AO1158" s="347"/>
      <c r="AP1158" s="586"/>
      <c r="AQ1158" s="596"/>
      <c r="AR1158" s="596"/>
      <c r="AS1158" s="348"/>
      <c r="AT1158" s="348"/>
      <c r="AU1158" s="348"/>
      <c r="AV1158" s="348"/>
      <c r="AW1158" s="348"/>
      <c r="AX1158" s="584"/>
      <c r="AY1158" s="581"/>
      <c r="AZ1158" s="581"/>
      <c r="BA1158" s="596"/>
      <c r="BB1158" s="596"/>
      <c r="BC1158" s="348"/>
      <c r="BD1158" s="581"/>
      <c r="BE1158" s="581"/>
      <c r="BF1158" s="347"/>
      <c r="BG1158" s="347"/>
      <c r="BH1158" s="347"/>
      <c r="BI1158" s="347"/>
      <c r="BJ1158" s="586"/>
      <c r="BK1158" s="581"/>
      <c r="BL1158" s="347"/>
      <c r="BM1158" s="347"/>
      <c r="BN1158" s="347"/>
      <c r="BO1158" s="586"/>
      <c r="BP1158" s="584"/>
      <c r="BQ1158" s="347"/>
      <c r="BR1158" s="586"/>
      <c r="BS1158" s="588"/>
      <c r="BT1158" s="586"/>
      <c r="BU1158" s="589"/>
      <c r="BV1158" s="581"/>
      <c r="BW1158" s="590"/>
      <c r="BX1158" s="347"/>
      <c r="BY1158" s="347"/>
      <c r="BZ1158" s="347"/>
      <c r="CA1158" s="586"/>
      <c r="CB1158" s="581"/>
      <c r="CC1158" s="581"/>
      <c r="CD1158" s="581"/>
      <c r="CE1158" s="581"/>
      <c r="CF1158" s="581"/>
      <c r="CG1158" s="586"/>
      <c r="CH1158" s="608"/>
      <c r="CI1158" s="603"/>
      <c r="CJ1158" s="347"/>
      <c r="CK1158" s="347"/>
      <c r="CL1158" s="347"/>
      <c r="CM1158" s="347"/>
      <c r="CN1158" s="347"/>
      <c r="CO1158" s="347"/>
      <c r="CP1158" s="347"/>
    </row>
    <row r="1159">
      <c r="A1159" s="574"/>
      <c r="B1159" s="574"/>
      <c r="C1159" s="347"/>
      <c r="D1159" s="574"/>
      <c r="E1159" s="347"/>
      <c r="F1159" s="596"/>
      <c r="G1159" s="596"/>
      <c r="H1159" s="347"/>
      <c r="I1159" s="347"/>
      <c r="J1159" s="596"/>
      <c r="K1159" s="609"/>
      <c r="L1159" s="1"/>
      <c r="M1159" s="347"/>
      <c r="N1159" s="347"/>
      <c r="O1159" s="579"/>
      <c r="P1159" s="579"/>
      <c r="Q1159" s="574"/>
      <c r="R1159" s="347"/>
      <c r="S1159" s="597"/>
      <c r="T1159" s="347"/>
      <c r="U1159" s="579"/>
      <c r="V1159" s="579"/>
      <c r="W1159" s="574"/>
      <c r="X1159" s="347"/>
      <c r="Y1159" s="347"/>
      <c r="Z1159" s="347"/>
      <c r="AA1159" s="579"/>
      <c r="AB1159" s="581"/>
      <c r="AC1159" s="347"/>
      <c r="AD1159" s="347"/>
      <c r="AE1159" s="347"/>
      <c r="AF1159" s="347"/>
      <c r="AG1159" s="579"/>
      <c r="AH1159" s="579"/>
      <c r="AI1159" s="582"/>
      <c r="AJ1159" s="582"/>
      <c r="AK1159" s="582"/>
      <c r="AL1159" s="582"/>
      <c r="AM1159" s="579"/>
      <c r="AN1159" s="579"/>
      <c r="AO1159" s="347"/>
      <c r="AP1159" s="586"/>
      <c r="AQ1159" s="596"/>
      <c r="AR1159" s="596"/>
      <c r="AS1159" s="348"/>
      <c r="AT1159" s="348"/>
      <c r="AU1159" s="348"/>
      <c r="AV1159" s="348"/>
      <c r="AW1159" s="348"/>
      <c r="AX1159" s="584"/>
      <c r="AY1159" s="581"/>
      <c r="AZ1159" s="581"/>
      <c r="BA1159" s="596"/>
      <c r="BB1159" s="596"/>
      <c r="BC1159" s="348"/>
      <c r="BD1159" s="581"/>
      <c r="BE1159" s="581"/>
      <c r="BF1159" s="347"/>
      <c r="BG1159" s="347"/>
      <c r="BH1159" s="347"/>
      <c r="BI1159" s="347"/>
      <c r="BJ1159" s="586"/>
      <c r="BK1159" s="581"/>
      <c r="BL1159" s="347"/>
      <c r="BM1159" s="347"/>
      <c r="BN1159" s="347"/>
      <c r="BO1159" s="586"/>
      <c r="BP1159" s="584"/>
      <c r="BQ1159" s="347"/>
      <c r="BR1159" s="586"/>
      <c r="BS1159" s="588"/>
      <c r="BT1159" s="586"/>
      <c r="BU1159" s="589"/>
      <c r="BV1159" s="581"/>
      <c r="BW1159" s="590"/>
      <c r="BX1159" s="347"/>
      <c r="BY1159" s="347"/>
      <c r="BZ1159" s="347"/>
      <c r="CA1159" s="586"/>
      <c r="CB1159" s="581"/>
      <c r="CC1159" s="581"/>
      <c r="CD1159" s="581"/>
      <c r="CE1159" s="581"/>
      <c r="CF1159" s="581"/>
      <c r="CG1159" s="586"/>
      <c r="CH1159" s="608"/>
      <c r="CI1159" s="603"/>
      <c r="CJ1159" s="347"/>
      <c r="CK1159" s="347"/>
      <c r="CL1159" s="347"/>
      <c r="CM1159" s="347"/>
      <c r="CN1159" s="347"/>
      <c r="CO1159" s="347"/>
      <c r="CP1159" s="347"/>
    </row>
    <row r="1160">
      <c r="A1160" s="574"/>
      <c r="B1160" s="574"/>
      <c r="C1160" s="347"/>
      <c r="D1160" s="574"/>
      <c r="E1160" s="347"/>
      <c r="F1160" s="596"/>
      <c r="G1160" s="596"/>
      <c r="H1160" s="347"/>
      <c r="I1160" s="347"/>
      <c r="J1160" s="596"/>
      <c r="K1160" s="609"/>
      <c r="L1160" s="1"/>
      <c r="M1160" s="347"/>
      <c r="N1160" s="347"/>
      <c r="O1160" s="579"/>
      <c r="P1160" s="579"/>
      <c r="Q1160" s="574"/>
      <c r="R1160" s="347"/>
      <c r="S1160" s="597"/>
      <c r="T1160" s="347"/>
      <c r="U1160" s="579"/>
      <c r="V1160" s="579"/>
      <c r="W1160" s="574"/>
      <c r="X1160" s="347"/>
      <c r="Y1160" s="347"/>
      <c r="Z1160" s="347"/>
      <c r="AA1160" s="579"/>
      <c r="AB1160" s="581"/>
      <c r="AC1160" s="347"/>
      <c r="AD1160" s="347"/>
      <c r="AE1160" s="347"/>
      <c r="AF1160" s="347"/>
      <c r="AG1160" s="579"/>
      <c r="AH1160" s="579"/>
      <c r="AI1160" s="582"/>
      <c r="AJ1160" s="582"/>
      <c r="AK1160" s="582"/>
      <c r="AL1160" s="582"/>
      <c r="AM1160" s="579"/>
      <c r="AN1160" s="579"/>
      <c r="AO1160" s="347"/>
      <c r="AP1160" s="586"/>
      <c r="AQ1160" s="596"/>
      <c r="AR1160" s="596"/>
      <c r="AS1160" s="348"/>
      <c r="AT1160" s="348"/>
      <c r="AU1160" s="348"/>
      <c r="AV1160" s="348"/>
      <c r="AW1160" s="348"/>
      <c r="AX1160" s="584"/>
      <c r="AY1160" s="581"/>
      <c r="AZ1160" s="581"/>
      <c r="BA1160" s="596"/>
      <c r="BB1160" s="596"/>
      <c r="BC1160" s="348"/>
      <c r="BD1160" s="581"/>
      <c r="BE1160" s="581"/>
      <c r="BF1160" s="347"/>
      <c r="BG1160" s="347"/>
      <c r="BH1160" s="347"/>
      <c r="BI1160" s="347"/>
      <c r="BJ1160" s="586"/>
      <c r="BK1160" s="581"/>
      <c r="BL1160" s="347"/>
      <c r="BM1160" s="347"/>
      <c r="BN1160" s="347"/>
      <c r="BO1160" s="586"/>
      <c r="BP1160" s="584"/>
      <c r="BQ1160" s="347"/>
      <c r="BR1160" s="586"/>
      <c r="BS1160" s="588"/>
      <c r="BT1160" s="586"/>
      <c r="BU1160" s="589"/>
      <c r="BV1160" s="581"/>
      <c r="BW1160" s="590"/>
      <c r="BX1160" s="347"/>
      <c r="BY1160" s="347"/>
      <c r="BZ1160" s="347"/>
      <c r="CA1160" s="586"/>
      <c r="CB1160" s="581"/>
      <c r="CC1160" s="581"/>
      <c r="CD1160" s="581"/>
      <c r="CE1160" s="581"/>
      <c r="CF1160" s="581"/>
      <c r="CG1160" s="586"/>
      <c r="CH1160" s="608"/>
      <c r="CI1160" s="603"/>
      <c r="CJ1160" s="347"/>
      <c r="CK1160" s="347"/>
      <c r="CL1160" s="347"/>
      <c r="CM1160" s="347"/>
      <c r="CN1160" s="347"/>
      <c r="CO1160" s="347"/>
      <c r="CP1160" s="347"/>
    </row>
    <row r="1161">
      <c r="A1161" s="574"/>
      <c r="B1161" s="574"/>
      <c r="C1161" s="347"/>
      <c r="D1161" s="574"/>
      <c r="E1161" s="347"/>
      <c r="F1161" s="596"/>
      <c r="G1161" s="596"/>
      <c r="H1161" s="347"/>
      <c r="I1161" s="347"/>
      <c r="J1161" s="596"/>
      <c r="K1161" s="609"/>
      <c r="L1161" s="1"/>
      <c r="M1161" s="347"/>
      <c r="N1161" s="347"/>
      <c r="O1161" s="579"/>
      <c r="P1161" s="579"/>
      <c r="Q1161" s="574"/>
      <c r="R1161" s="347"/>
      <c r="S1161" s="597"/>
      <c r="T1161" s="347"/>
      <c r="U1161" s="579"/>
      <c r="V1161" s="579"/>
      <c r="W1161" s="574"/>
      <c r="X1161" s="347"/>
      <c r="Y1161" s="347"/>
      <c r="Z1161" s="347"/>
      <c r="AA1161" s="579"/>
      <c r="AB1161" s="581"/>
      <c r="AC1161" s="347"/>
      <c r="AD1161" s="347"/>
      <c r="AE1161" s="347"/>
      <c r="AF1161" s="347"/>
      <c r="AG1161" s="579"/>
      <c r="AH1161" s="579"/>
      <c r="AI1161" s="582"/>
      <c r="AJ1161" s="582"/>
      <c r="AK1161" s="582"/>
      <c r="AL1161" s="582"/>
      <c r="AM1161" s="579"/>
      <c r="AN1161" s="579"/>
      <c r="AO1161" s="347"/>
      <c r="AP1161" s="586"/>
      <c r="AQ1161" s="596"/>
      <c r="AR1161" s="596"/>
      <c r="AS1161" s="348"/>
      <c r="AT1161" s="348"/>
      <c r="AU1161" s="348"/>
      <c r="AV1161" s="348"/>
      <c r="AW1161" s="348"/>
      <c r="AX1161" s="584"/>
      <c r="AY1161" s="581"/>
      <c r="AZ1161" s="581"/>
      <c r="BA1161" s="596"/>
      <c r="BB1161" s="596"/>
      <c r="BC1161" s="348"/>
      <c r="BD1161" s="581"/>
      <c r="BE1161" s="581"/>
      <c r="BF1161" s="347"/>
      <c r="BG1161" s="347"/>
      <c r="BH1161" s="347"/>
      <c r="BI1161" s="347"/>
      <c r="BJ1161" s="586"/>
      <c r="BK1161" s="581"/>
      <c r="BL1161" s="347"/>
      <c r="BM1161" s="347"/>
      <c r="BN1161" s="347"/>
      <c r="BO1161" s="586"/>
      <c r="BP1161" s="584"/>
      <c r="BQ1161" s="347"/>
      <c r="BR1161" s="586"/>
      <c r="BS1161" s="588"/>
      <c r="BT1161" s="586"/>
      <c r="BU1161" s="589"/>
      <c r="BV1161" s="581"/>
      <c r="BW1161" s="590"/>
      <c r="BX1161" s="347"/>
      <c r="BY1161" s="347"/>
      <c r="BZ1161" s="347"/>
      <c r="CA1161" s="586"/>
      <c r="CB1161" s="581"/>
      <c r="CC1161" s="581"/>
      <c r="CD1161" s="581"/>
      <c r="CE1161" s="581"/>
      <c r="CF1161" s="581"/>
      <c r="CG1161" s="586"/>
      <c r="CH1161" s="608"/>
      <c r="CI1161" s="603"/>
      <c r="CJ1161" s="347"/>
      <c r="CK1161" s="347"/>
      <c r="CL1161" s="347"/>
      <c r="CM1161" s="347"/>
      <c r="CN1161" s="347"/>
      <c r="CO1161" s="347"/>
      <c r="CP1161" s="347"/>
    </row>
    <row r="1162">
      <c r="A1162" s="574"/>
      <c r="B1162" s="574"/>
      <c r="C1162" s="347"/>
      <c r="D1162" s="574"/>
      <c r="E1162" s="347"/>
      <c r="F1162" s="596"/>
      <c r="G1162" s="596"/>
      <c r="H1162" s="347"/>
      <c r="I1162" s="347"/>
      <c r="J1162" s="596"/>
      <c r="K1162" s="609"/>
      <c r="L1162" s="1"/>
      <c r="M1162" s="347"/>
      <c r="N1162" s="347"/>
      <c r="O1162" s="579"/>
      <c r="P1162" s="579"/>
      <c r="Q1162" s="574"/>
      <c r="R1162" s="347"/>
      <c r="S1162" s="597"/>
      <c r="T1162" s="347"/>
      <c r="U1162" s="579"/>
      <c r="V1162" s="579"/>
      <c r="W1162" s="574"/>
      <c r="X1162" s="347"/>
      <c r="Y1162" s="347"/>
      <c r="Z1162" s="347"/>
      <c r="AA1162" s="579"/>
      <c r="AB1162" s="581"/>
      <c r="AC1162" s="347"/>
      <c r="AD1162" s="347"/>
      <c r="AE1162" s="347"/>
      <c r="AF1162" s="347"/>
      <c r="AG1162" s="579"/>
      <c r="AH1162" s="579"/>
      <c r="AI1162" s="582"/>
      <c r="AJ1162" s="582"/>
      <c r="AK1162" s="582"/>
      <c r="AL1162" s="582"/>
      <c r="AM1162" s="579"/>
      <c r="AN1162" s="579"/>
      <c r="AO1162" s="347"/>
      <c r="AP1162" s="586"/>
      <c r="AQ1162" s="596"/>
      <c r="AR1162" s="596"/>
      <c r="AS1162" s="348"/>
      <c r="AT1162" s="348"/>
      <c r="AU1162" s="348"/>
      <c r="AV1162" s="348"/>
      <c r="AW1162" s="348"/>
      <c r="AX1162" s="584"/>
      <c r="AY1162" s="581"/>
      <c r="AZ1162" s="581"/>
      <c r="BA1162" s="596"/>
      <c r="BB1162" s="596"/>
      <c r="BC1162" s="348"/>
      <c r="BD1162" s="581"/>
      <c r="BE1162" s="581"/>
      <c r="BF1162" s="347"/>
      <c r="BG1162" s="347"/>
      <c r="BH1162" s="347"/>
      <c r="BI1162" s="347"/>
      <c r="BJ1162" s="586"/>
      <c r="BK1162" s="581"/>
      <c r="BL1162" s="347"/>
      <c r="BM1162" s="347"/>
      <c r="BN1162" s="347"/>
      <c r="BO1162" s="586"/>
      <c r="BP1162" s="584"/>
      <c r="BQ1162" s="347"/>
      <c r="BR1162" s="586"/>
      <c r="BS1162" s="588"/>
      <c r="BT1162" s="586"/>
      <c r="BU1162" s="589"/>
      <c r="BV1162" s="581"/>
      <c r="BW1162" s="590"/>
      <c r="BX1162" s="347"/>
      <c r="BY1162" s="347"/>
      <c r="BZ1162" s="347"/>
      <c r="CA1162" s="586"/>
      <c r="CB1162" s="581"/>
      <c r="CC1162" s="581"/>
      <c r="CD1162" s="581"/>
      <c r="CE1162" s="581"/>
      <c r="CF1162" s="581"/>
      <c r="CG1162" s="586"/>
      <c r="CH1162" s="608"/>
      <c r="CI1162" s="603"/>
      <c r="CJ1162" s="347"/>
      <c r="CK1162" s="347"/>
      <c r="CL1162" s="347"/>
      <c r="CM1162" s="347"/>
      <c r="CN1162" s="347"/>
      <c r="CO1162" s="347"/>
      <c r="CP1162" s="347"/>
    </row>
    <row r="1163">
      <c r="A1163" s="574"/>
      <c r="B1163" s="574"/>
      <c r="C1163" s="347"/>
      <c r="D1163" s="574"/>
      <c r="E1163" s="347"/>
      <c r="F1163" s="596"/>
      <c r="G1163" s="596"/>
      <c r="H1163" s="347"/>
      <c r="I1163" s="347"/>
      <c r="J1163" s="596"/>
      <c r="K1163" s="609"/>
      <c r="L1163" s="1"/>
      <c r="M1163" s="347"/>
      <c r="N1163" s="347"/>
      <c r="O1163" s="579"/>
      <c r="P1163" s="579"/>
      <c r="Q1163" s="574"/>
      <c r="R1163" s="347"/>
      <c r="S1163" s="597"/>
      <c r="T1163" s="347"/>
      <c r="U1163" s="579"/>
      <c r="V1163" s="579"/>
      <c r="W1163" s="574"/>
      <c r="X1163" s="347"/>
      <c r="Y1163" s="347"/>
      <c r="Z1163" s="347"/>
      <c r="AA1163" s="579"/>
      <c r="AB1163" s="581"/>
      <c r="AC1163" s="347"/>
      <c r="AD1163" s="347"/>
      <c r="AE1163" s="347"/>
      <c r="AF1163" s="347"/>
      <c r="AG1163" s="579"/>
      <c r="AH1163" s="579"/>
      <c r="AI1163" s="582"/>
      <c r="AJ1163" s="582"/>
      <c r="AK1163" s="582"/>
      <c r="AL1163" s="582"/>
      <c r="AM1163" s="579"/>
      <c r="AN1163" s="579"/>
      <c r="AO1163" s="347"/>
      <c r="AP1163" s="586"/>
      <c r="AQ1163" s="596"/>
      <c r="AR1163" s="596"/>
      <c r="AS1163" s="348"/>
      <c r="AT1163" s="348"/>
      <c r="AU1163" s="348"/>
      <c r="AV1163" s="348"/>
      <c r="AW1163" s="348"/>
      <c r="AX1163" s="584"/>
      <c r="AY1163" s="581"/>
      <c r="AZ1163" s="581"/>
      <c r="BA1163" s="596"/>
      <c r="BB1163" s="596"/>
      <c r="BC1163" s="348"/>
      <c r="BD1163" s="581"/>
      <c r="BE1163" s="581"/>
      <c r="BF1163" s="347"/>
      <c r="BG1163" s="347"/>
      <c r="BH1163" s="347"/>
      <c r="BI1163" s="347"/>
      <c r="BJ1163" s="586"/>
      <c r="BK1163" s="581"/>
      <c r="BL1163" s="347"/>
      <c r="BM1163" s="347"/>
      <c r="BN1163" s="347"/>
      <c r="BO1163" s="586"/>
      <c r="BP1163" s="584"/>
      <c r="BQ1163" s="347"/>
      <c r="BR1163" s="586"/>
      <c r="BS1163" s="588"/>
      <c r="BT1163" s="586"/>
      <c r="BU1163" s="589"/>
      <c r="BV1163" s="581"/>
      <c r="BW1163" s="590"/>
      <c r="BX1163" s="347"/>
      <c r="BY1163" s="347"/>
      <c r="BZ1163" s="347"/>
      <c r="CA1163" s="586"/>
      <c r="CB1163" s="581"/>
      <c r="CC1163" s="581"/>
      <c r="CD1163" s="581"/>
      <c r="CE1163" s="581"/>
      <c r="CF1163" s="581"/>
      <c r="CG1163" s="586"/>
      <c r="CH1163" s="608"/>
      <c r="CI1163" s="603"/>
      <c r="CJ1163" s="347"/>
      <c r="CK1163" s="347"/>
      <c r="CL1163" s="347"/>
      <c r="CM1163" s="347"/>
      <c r="CN1163" s="347"/>
      <c r="CO1163" s="347"/>
      <c r="CP1163" s="347"/>
    </row>
    <row r="1164">
      <c r="A1164" s="574"/>
      <c r="B1164" s="574"/>
      <c r="C1164" s="347"/>
      <c r="D1164" s="574"/>
      <c r="E1164" s="347"/>
      <c r="F1164" s="596"/>
      <c r="G1164" s="596"/>
      <c r="H1164" s="347"/>
      <c r="I1164" s="347"/>
      <c r="J1164" s="596"/>
      <c r="K1164" s="609"/>
      <c r="L1164" s="1"/>
      <c r="M1164" s="347"/>
      <c r="N1164" s="347"/>
      <c r="O1164" s="579"/>
      <c r="P1164" s="579"/>
      <c r="Q1164" s="574"/>
      <c r="R1164" s="347"/>
      <c r="S1164" s="597"/>
      <c r="T1164" s="347"/>
      <c r="U1164" s="579"/>
      <c r="V1164" s="579"/>
      <c r="W1164" s="574"/>
      <c r="X1164" s="347"/>
      <c r="Y1164" s="347"/>
      <c r="Z1164" s="347"/>
      <c r="AA1164" s="579"/>
      <c r="AB1164" s="581"/>
      <c r="AC1164" s="347"/>
      <c r="AD1164" s="347"/>
      <c r="AE1164" s="347"/>
      <c r="AF1164" s="347"/>
      <c r="AG1164" s="579"/>
      <c r="AH1164" s="579"/>
      <c r="AI1164" s="582"/>
      <c r="AJ1164" s="582"/>
      <c r="AK1164" s="582"/>
      <c r="AL1164" s="582"/>
      <c r="AM1164" s="579"/>
      <c r="AN1164" s="579"/>
      <c r="AO1164" s="347"/>
      <c r="AP1164" s="586"/>
      <c r="AQ1164" s="596"/>
      <c r="AR1164" s="596"/>
      <c r="AS1164" s="348"/>
      <c r="AT1164" s="348"/>
      <c r="AU1164" s="348"/>
      <c r="AV1164" s="348"/>
      <c r="AW1164" s="348"/>
      <c r="AX1164" s="584"/>
      <c r="AY1164" s="581"/>
      <c r="AZ1164" s="581"/>
      <c r="BA1164" s="596"/>
      <c r="BB1164" s="596"/>
      <c r="BC1164" s="348"/>
      <c r="BD1164" s="581"/>
      <c r="BE1164" s="581"/>
      <c r="BF1164" s="347"/>
      <c r="BG1164" s="347"/>
      <c r="BH1164" s="347"/>
      <c r="BI1164" s="347"/>
      <c r="BJ1164" s="586"/>
      <c r="BK1164" s="581"/>
      <c r="BL1164" s="347"/>
      <c r="BM1164" s="347"/>
      <c r="BN1164" s="347"/>
      <c r="BO1164" s="586"/>
      <c r="BP1164" s="584"/>
      <c r="BQ1164" s="347"/>
      <c r="BR1164" s="586"/>
      <c r="BS1164" s="588"/>
      <c r="BT1164" s="586"/>
      <c r="BU1164" s="589"/>
      <c r="BV1164" s="581"/>
      <c r="BW1164" s="590"/>
      <c r="BX1164" s="347"/>
      <c r="BY1164" s="347"/>
      <c r="BZ1164" s="347"/>
      <c r="CA1164" s="586"/>
      <c r="CB1164" s="581"/>
      <c r="CC1164" s="581"/>
      <c r="CD1164" s="581"/>
      <c r="CE1164" s="581"/>
      <c r="CF1164" s="581"/>
      <c r="CG1164" s="586"/>
      <c r="CH1164" s="608"/>
      <c r="CI1164" s="603"/>
      <c r="CJ1164" s="347"/>
      <c r="CK1164" s="347"/>
      <c r="CL1164" s="347"/>
      <c r="CM1164" s="347"/>
      <c r="CN1164" s="347"/>
      <c r="CO1164" s="347"/>
      <c r="CP1164" s="347"/>
    </row>
    <row r="1165">
      <c r="A1165" s="574"/>
      <c r="B1165" s="574"/>
      <c r="C1165" s="347"/>
      <c r="D1165" s="574"/>
      <c r="E1165" s="347"/>
      <c r="F1165" s="596"/>
      <c r="G1165" s="596"/>
      <c r="H1165" s="347"/>
      <c r="I1165" s="347"/>
      <c r="J1165" s="596"/>
      <c r="K1165" s="609"/>
      <c r="L1165" s="1"/>
      <c r="M1165" s="347"/>
      <c r="N1165" s="347"/>
      <c r="O1165" s="579"/>
      <c r="P1165" s="579"/>
      <c r="Q1165" s="574"/>
      <c r="R1165" s="347"/>
      <c r="S1165" s="597"/>
      <c r="T1165" s="347"/>
      <c r="U1165" s="579"/>
      <c r="V1165" s="579"/>
      <c r="W1165" s="574"/>
      <c r="X1165" s="347"/>
      <c r="Y1165" s="347"/>
      <c r="Z1165" s="347"/>
      <c r="AA1165" s="579"/>
      <c r="AB1165" s="581"/>
      <c r="AC1165" s="347"/>
      <c r="AD1165" s="347"/>
      <c r="AE1165" s="347"/>
      <c r="AF1165" s="347"/>
      <c r="AG1165" s="579"/>
      <c r="AH1165" s="579"/>
      <c r="AI1165" s="582"/>
      <c r="AJ1165" s="582"/>
      <c r="AK1165" s="582"/>
      <c r="AL1165" s="582"/>
      <c r="AM1165" s="579"/>
      <c r="AN1165" s="579"/>
      <c r="AO1165" s="347"/>
      <c r="AP1165" s="586"/>
      <c r="AQ1165" s="596"/>
      <c r="AR1165" s="596"/>
      <c r="AS1165" s="348"/>
      <c r="AT1165" s="348"/>
      <c r="AU1165" s="348"/>
      <c r="AV1165" s="348"/>
      <c r="AW1165" s="348"/>
      <c r="AX1165" s="584"/>
      <c r="AY1165" s="581"/>
      <c r="AZ1165" s="581"/>
      <c r="BA1165" s="596"/>
      <c r="BB1165" s="596"/>
      <c r="BC1165" s="348"/>
      <c r="BD1165" s="581"/>
      <c r="BE1165" s="581"/>
      <c r="BF1165" s="347"/>
      <c r="BG1165" s="347"/>
      <c r="BH1165" s="347"/>
      <c r="BI1165" s="347"/>
      <c r="BJ1165" s="586"/>
      <c r="BK1165" s="581"/>
      <c r="BL1165" s="347"/>
      <c r="BM1165" s="347"/>
      <c r="BN1165" s="347"/>
      <c r="BO1165" s="586"/>
      <c r="BP1165" s="584"/>
      <c r="BQ1165" s="347"/>
      <c r="BR1165" s="586"/>
      <c r="BS1165" s="588"/>
      <c r="BT1165" s="586"/>
      <c r="BU1165" s="589"/>
      <c r="BV1165" s="581"/>
      <c r="BW1165" s="590"/>
      <c r="BX1165" s="347"/>
      <c r="BY1165" s="347"/>
      <c r="BZ1165" s="347"/>
      <c r="CA1165" s="586"/>
      <c r="CB1165" s="581"/>
      <c r="CC1165" s="581"/>
      <c r="CD1165" s="581"/>
      <c r="CE1165" s="581"/>
      <c r="CF1165" s="581"/>
      <c r="CG1165" s="586"/>
      <c r="CH1165" s="608"/>
      <c r="CI1165" s="603"/>
      <c r="CJ1165" s="347"/>
      <c r="CK1165" s="347"/>
      <c r="CL1165" s="347"/>
      <c r="CM1165" s="347"/>
      <c r="CN1165" s="347"/>
      <c r="CO1165" s="347"/>
      <c r="CP1165" s="347"/>
    </row>
    <row r="1166">
      <c r="A1166" s="574"/>
      <c r="B1166" s="574"/>
      <c r="C1166" s="347"/>
      <c r="D1166" s="574"/>
      <c r="E1166" s="347"/>
      <c r="F1166" s="596"/>
      <c r="G1166" s="596"/>
      <c r="H1166" s="347"/>
      <c r="I1166" s="347"/>
      <c r="J1166" s="596"/>
      <c r="K1166" s="609"/>
      <c r="L1166" s="1"/>
      <c r="M1166" s="347"/>
      <c r="N1166" s="347"/>
      <c r="O1166" s="579"/>
      <c r="P1166" s="579"/>
      <c r="Q1166" s="574"/>
      <c r="R1166" s="347"/>
      <c r="S1166" s="597"/>
      <c r="T1166" s="347"/>
      <c r="U1166" s="579"/>
      <c r="V1166" s="579"/>
      <c r="W1166" s="574"/>
      <c r="X1166" s="347"/>
      <c r="Y1166" s="347"/>
      <c r="Z1166" s="347"/>
      <c r="AA1166" s="579"/>
      <c r="AB1166" s="581"/>
      <c r="AC1166" s="347"/>
      <c r="AD1166" s="347"/>
      <c r="AE1166" s="347"/>
      <c r="AF1166" s="347"/>
      <c r="AG1166" s="579"/>
      <c r="AH1166" s="579"/>
      <c r="AI1166" s="582"/>
      <c r="AJ1166" s="582"/>
      <c r="AK1166" s="582"/>
      <c r="AL1166" s="582"/>
      <c r="AM1166" s="579"/>
      <c r="AN1166" s="579"/>
      <c r="AO1166" s="347"/>
      <c r="AP1166" s="586"/>
      <c r="AQ1166" s="596"/>
      <c r="AR1166" s="596"/>
      <c r="AS1166" s="348"/>
      <c r="AT1166" s="348"/>
      <c r="AU1166" s="348"/>
      <c r="AV1166" s="348"/>
      <c r="AW1166" s="348"/>
      <c r="AX1166" s="584"/>
      <c r="AY1166" s="581"/>
      <c r="AZ1166" s="581"/>
      <c r="BA1166" s="596"/>
      <c r="BB1166" s="596"/>
      <c r="BC1166" s="348"/>
      <c r="BD1166" s="581"/>
      <c r="BE1166" s="581"/>
      <c r="BF1166" s="347"/>
      <c r="BG1166" s="347"/>
      <c r="BH1166" s="347"/>
      <c r="BI1166" s="347"/>
      <c r="BJ1166" s="586"/>
      <c r="BK1166" s="581"/>
      <c r="BL1166" s="347"/>
      <c r="BM1166" s="347"/>
      <c r="BN1166" s="347"/>
      <c r="BO1166" s="586"/>
      <c r="BP1166" s="584"/>
      <c r="BQ1166" s="347"/>
      <c r="BR1166" s="586"/>
      <c r="BS1166" s="588"/>
      <c r="BT1166" s="586"/>
      <c r="BU1166" s="589"/>
      <c r="BV1166" s="581"/>
      <c r="BW1166" s="590"/>
      <c r="BX1166" s="347"/>
      <c r="BY1166" s="347"/>
      <c r="BZ1166" s="347"/>
      <c r="CA1166" s="586"/>
      <c r="CB1166" s="581"/>
      <c r="CC1166" s="581"/>
      <c r="CD1166" s="581"/>
      <c r="CE1166" s="581"/>
      <c r="CF1166" s="581"/>
      <c r="CG1166" s="586"/>
      <c r="CH1166" s="608"/>
      <c r="CI1166" s="603"/>
      <c r="CJ1166" s="347"/>
      <c r="CK1166" s="347"/>
      <c r="CL1166" s="347"/>
      <c r="CM1166" s="347"/>
      <c r="CN1166" s="347"/>
      <c r="CO1166" s="347"/>
      <c r="CP1166" s="347"/>
    </row>
    <row r="1167">
      <c r="A1167" s="574"/>
      <c r="B1167" s="574"/>
      <c r="C1167" s="347"/>
      <c r="D1167" s="574"/>
      <c r="E1167" s="347"/>
      <c r="F1167" s="596"/>
      <c r="G1167" s="596"/>
      <c r="H1167" s="347"/>
      <c r="I1167" s="347"/>
      <c r="J1167" s="596"/>
      <c r="K1167" s="609"/>
      <c r="L1167" s="1"/>
      <c r="M1167" s="347"/>
      <c r="N1167" s="347"/>
      <c r="O1167" s="579"/>
      <c r="P1167" s="579"/>
      <c r="Q1167" s="574"/>
      <c r="R1167" s="347"/>
      <c r="S1167" s="597"/>
      <c r="T1167" s="347"/>
      <c r="U1167" s="579"/>
      <c r="V1167" s="579"/>
      <c r="W1167" s="574"/>
      <c r="X1167" s="347"/>
      <c r="Y1167" s="347"/>
      <c r="Z1167" s="347"/>
      <c r="AA1167" s="579"/>
      <c r="AB1167" s="581"/>
      <c r="AC1167" s="347"/>
      <c r="AD1167" s="347"/>
      <c r="AE1167" s="347"/>
      <c r="AF1167" s="347"/>
      <c r="AG1167" s="579"/>
      <c r="AH1167" s="579"/>
      <c r="AI1167" s="582"/>
      <c r="AJ1167" s="582"/>
      <c r="AK1167" s="582"/>
      <c r="AL1167" s="582"/>
      <c r="AM1167" s="579"/>
      <c r="AN1167" s="579"/>
      <c r="AO1167" s="347"/>
      <c r="AP1167" s="586"/>
      <c r="AQ1167" s="596"/>
      <c r="AR1167" s="596"/>
      <c r="AS1167" s="348"/>
      <c r="AT1167" s="348"/>
      <c r="AU1167" s="348"/>
      <c r="AV1167" s="348"/>
      <c r="AW1167" s="348"/>
      <c r="AX1167" s="584"/>
      <c r="AY1167" s="581"/>
      <c r="AZ1167" s="581"/>
      <c r="BA1167" s="596"/>
      <c r="BB1167" s="596"/>
      <c r="BC1167" s="348"/>
      <c r="BD1167" s="581"/>
      <c r="BE1167" s="581"/>
      <c r="BF1167" s="347"/>
      <c r="BG1167" s="347"/>
      <c r="BH1167" s="347"/>
      <c r="BI1167" s="347"/>
      <c r="BJ1167" s="586"/>
      <c r="BK1167" s="581"/>
      <c r="BL1167" s="347"/>
      <c r="BM1167" s="347"/>
      <c r="BN1167" s="347"/>
      <c r="BO1167" s="586"/>
      <c r="BP1167" s="584"/>
      <c r="BQ1167" s="347"/>
      <c r="BR1167" s="586"/>
      <c r="BS1167" s="588"/>
      <c r="BT1167" s="586"/>
      <c r="BU1167" s="589"/>
      <c r="BV1167" s="581"/>
      <c r="BW1167" s="590"/>
      <c r="BX1167" s="347"/>
      <c r="BY1167" s="347"/>
      <c r="BZ1167" s="347"/>
      <c r="CA1167" s="586"/>
      <c r="CB1167" s="581"/>
      <c r="CC1167" s="581"/>
      <c r="CD1167" s="581"/>
      <c r="CE1167" s="581"/>
      <c r="CF1167" s="581"/>
      <c r="CG1167" s="586"/>
      <c r="CH1167" s="608"/>
      <c r="CI1167" s="603"/>
      <c r="CJ1167" s="347"/>
      <c r="CK1167" s="347"/>
      <c r="CL1167" s="347"/>
      <c r="CM1167" s="347"/>
      <c r="CN1167" s="347"/>
      <c r="CO1167" s="347"/>
      <c r="CP1167" s="347"/>
    </row>
    <row r="1168">
      <c r="A1168" s="574"/>
      <c r="B1168" s="574"/>
      <c r="C1168" s="347"/>
      <c r="D1168" s="574"/>
      <c r="E1168" s="347"/>
      <c r="F1168" s="596"/>
      <c r="G1168" s="596"/>
      <c r="H1168" s="347"/>
      <c r="I1168" s="347"/>
      <c r="J1168" s="596"/>
      <c r="K1168" s="609"/>
      <c r="L1168" s="1"/>
      <c r="M1168" s="347"/>
      <c r="N1168" s="347"/>
      <c r="O1168" s="579"/>
      <c r="P1168" s="579"/>
      <c r="Q1168" s="574"/>
      <c r="R1168" s="347"/>
      <c r="S1168" s="597"/>
      <c r="T1168" s="347"/>
      <c r="U1168" s="579"/>
      <c r="V1168" s="579"/>
      <c r="W1168" s="574"/>
      <c r="X1168" s="347"/>
      <c r="Y1168" s="347"/>
      <c r="Z1168" s="347"/>
      <c r="AA1168" s="579"/>
      <c r="AB1168" s="581"/>
      <c r="AC1168" s="347"/>
      <c r="AD1168" s="347"/>
      <c r="AE1168" s="347"/>
      <c r="AF1168" s="347"/>
      <c r="AG1168" s="579"/>
      <c r="AH1168" s="579"/>
      <c r="AI1168" s="582"/>
      <c r="AJ1168" s="582"/>
      <c r="AK1168" s="582"/>
      <c r="AL1168" s="582"/>
      <c r="AM1168" s="579"/>
      <c r="AN1168" s="579"/>
      <c r="AO1168" s="347"/>
      <c r="AP1168" s="586"/>
      <c r="AQ1168" s="596"/>
      <c r="AR1168" s="596"/>
      <c r="AS1168" s="348"/>
      <c r="AT1168" s="348"/>
      <c r="AU1168" s="348"/>
      <c r="AV1168" s="348"/>
      <c r="AW1168" s="348"/>
      <c r="AX1168" s="584"/>
      <c r="AY1168" s="581"/>
      <c r="AZ1168" s="581"/>
      <c r="BA1168" s="596"/>
      <c r="BB1168" s="596"/>
      <c r="BC1168" s="348"/>
      <c r="BD1168" s="581"/>
      <c r="BE1168" s="581"/>
      <c r="BF1168" s="347"/>
      <c r="BG1168" s="347"/>
      <c r="BH1168" s="347"/>
      <c r="BI1168" s="347"/>
      <c r="BJ1168" s="586"/>
      <c r="BK1168" s="581"/>
      <c r="BL1168" s="347"/>
      <c r="BM1168" s="347"/>
      <c r="BN1168" s="347"/>
      <c r="BO1168" s="586"/>
      <c r="BP1168" s="584"/>
      <c r="BQ1168" s="347"/>
      <c r="BR1168" s="586"/>
      <c r="BS1168" s="588"/>
      <c r="BT1168" s="586"/>
      <c r="BU1168" s="589"/>
      <c r="BV1168" s="581"/>
      <c r="BW1168" s="590"/>
      <c r="BX1168" s="347"/>
      <c r="BY1168" s="347"/>
      <c r="BZ1168" s="347"/>
      <c r="CA1168" s="586"/>
      <c r="CB1168" s="581"/>
      <c r="CC1168" s="581"/>
      <c r="CD1168" s="581"/>
      <c r="CE1168" s="581"/>
      <c r="CF1168" s="581"/>
      <c r="CG1168" s="586"/>
      <c r="CH1168" s="608"/>
      <c r="CI1168" s="603"/>
      <c r="CJ1168" s="347"/>
      <c r="CK1168" s="347"/>
      <c r="CL1168" s="347"/>
      <c r="CM1168" s="347"/>
      <c r="CN1168" s="347"/>
      <c r="CO1168" s="347"/>
      <c r="CP1168" s="347"/>
    </row>
    <row r="1169">
      <c r="A1169" s="574"/>
      <c r="B1169" s="574"/>
      <c r="C1169" s="347"/>
      <c r="D1169" s="574"/>
      <c r="E1169" s="347"/>
      <c r="F1169" s="596"/>
      <c r="G1169" s="596"/>
      <c r="H1169" s="347"/>
      <c r="I1169" s="347"/>
      <c r="J1169" s="596"/>
      <c r="K1169" s="609"/>
      <c r="L1169" s="1"/>
      <c r="M1169" s="347"/>
      <c r="N1169" s="347"/>
      <c r="O1169" s="579"/>
      <c r="P1169" s="579"/>
      <c r="Q1169" s="574"/>
      <c r="R1169" s="347"/>
      <c r="S1169" s="597"/>
      <c r="T1169" s="347"/>
      <c r="U1169" s="579"/>
      <c r="V1169" s="579"/>
      <c r="W1169" s="574"/>
      <c r="X1169" s="347"/>
      <c r="Y1169" s="347"/>
      <c r="Z1169" s="347"/>
      <c r="AA1169" s="579"/>
      <c r="AB1169" s="581"/>
      <c r="AC1169" s="347"/>
      <c r="AD1169" s="347"/>
      <c r="AE1169" s="347"/>
      <c r="AF1169" s="347"/>
      <c r="AG1169" s="579"/>
      <c r="AH1169" s="579"/>
      <c r="AI1169" s="582"/>
      <c r="AJ1169" s="582"/>
      <c r="AK1169" s="582"/>
      <c r="AL1169" s="582"/>
      <c r="AM1169" s="579"/>
      <c r="AN1169" s="579"/>
      <c r="AO1169" s="347"/>
      <c r="AP1169" s="586"/>
      <c r="AQ1169" s="596"/>
      <c r="AR1169" s="596"/>
      <c r="AS1169" s="348"/>
      <c r="AT1169" s="348"/>
      <c r="AU1169" s="348"/>
      <c r="AV1169" s="348"/>
      <c r="AW1169" s="348"/>
      <c r="AX1169" s="584"/>
      <c r="AY1169" s="581"/>
      <c r="AZ1169" s="581"/>
      <c r="BA1169" s="596"/>
      <c r="BB1169" s="596"/>
      <c r="BC1169" s="348"/>
      <c r="BD1169" s="581"/>
      <c r="BE1169" s="581"/>
      <c r="BF1169" s="347"/>
      <c r="BG1169" s="347"/>
      <c r="BH1169" s="347"/>
      <c r="BI1169" s="347"/>
      <c r="BJ1169" s="586"/>
      <c r="BK1169" s="581"/>
      <c r="BL1169" s="347"/>
      <c r="BM1169" s="347"/>
      <c r="BN1169" s="347"/>
      <c r="BO1169" s="586"/>
      <c r="BP1169" s="584"/>
      <c r="BQ1169" s="347"/>
      <c r="BR1169" s="586"/>
      <c r="BS1169" s="588"/>
      <c r="BT1169" s="586"/>
      <c r="BU1169" s="589"/>
      <c r="BV1169" s="581"/>
      <c r="BW1169" s="590"/>
      <c r="BX1169" s="347"/>
      <c r="BY1169" s="347"/>
      <c r="BZ1169" s="347"/>
      <c r="CA1169" s="586"/>
      <c r="CB1169" s="581"/>
      <c r="CC1169" s="581"/>
      <c r="CD1169" s="581"/>
      <c r="CE1169" s="581"/>
      <c r="CF1169" s="581"/>
      <c r="CG1169" s="586"/>
      <c r="CH1169" s="608"/>
      <c r="CI1169" s="603"/>
      <c r="CJ1169" s="347"/>
      <c r="CK1169" s="347"/>
      <c r="CL1169" s="347"/>
      <c r="CM1169" s="347"/>
      <c r="CN1169" s="347"/>
      <c r="CO1169" s="347"/>
      <c r="CP1169" s="347"/>
    </row>
    <row r="1170">
      <c r="A1170" s="574"/>
      <c r="B1170" s="574"/>
      <c r="C1170" s="347"/>
      <c r="D1170" s="574"/>
      <c r="E1170" s="347"/>
      <c r="F1170" s="596"/>
      <c r="G1170" s="596"/>
      <c r="H1170" s="347"/>
      <c r="I1170" s="347"/>
      <c r="J1170" s="596"/>
      <c r="K1170" s="609"/>
      <c r="L1170" s="1"/>
      <c r="M1170" s="347"/>
      <c r="N1170" s="347"/>
      <c r="O1170" s="579"/>
      <c r="P1170" s="579"/>
      <c r="Q1170" s="574"/>
      <c r="R1170" s="347"/>
      <c r="S1170" s="597"/>
      <c r="T1170" s="347"/>
      <c r="U1170" s="579"/>
      <c r="V1170" s="579"/>
      <c r="W1170" s="574"/>
      <c r="X1170" s="347"/>
      <c r="Y1170" s="347"/>
      <c r="Z1170" s="347"/>
      <c r="AA1170" s="579"/>
      <c r="AB1170" s="581"/>
      <c r="AC1170" s="347"/>
      <c r="AD1170" s="347"/>
      <c r="AE1170" s="347"/>
      <c r="AF1170" s="347"/>
      <c r="AG1170" s="579"/>
      <c r="AH1170" s="579"/>
      <c r="AI1170" s="582"/>
      <c r="AJ1170" s="582"/>
      <c r="AK1170" s="582"/>
      <c r="AL1170" s="582"/>
      <c r="AM1170" s="579"/>
      <c r="AN1170" s="579"/>
      <c r="AO1170" s="347"/>
      <c r="AP1170" s="586"/>
      <c r="AQ1170" s="596"/>
      <c r="AR1170" s="596"/>
      <c r="AS1170" s="348"/>
      <c r="AT1170" s="348"/>
      <c r="AU1170" s="348"/>
      <c r="AV1170" s="348"/>
      <c r="AW1170" s="348"/>
      <c r="AX1170" s="584"/>
      <c r="AY1170" s="581"/>
      <c r="AZ1170" s="581"/>
      <c r="BA1170" s="596"/>
      <c r="BB1170" s="596"/>
      <c r="BC1170" s="348"/>
      <c r="BD1170" s="581"/>
      <c r="BE1170" s="581"/>
      <c r="BF1170" s="347"/>
      <c r="BG1170" s="347"/>
      <c r="BH1170" s="347"/>
      <c r="BI1170" s="347"/>
      <c r="BJ1170" s="586"/>
      <c r="BK1170" s="581"/>
      <c r="BL1170" s="347"/>
      <c r="BM1170" s="347"/>
      <c r="BN1170" s="347"/>
      <c r="BO1170" s="586"/>
      <c r="BP1170" s="584"/>
      <c r="BQ1170" s="347"/>
      <c r="BR1170" s="586"/>
      <c r="BS1170" s="588"/>
      <c r="BT1170" s="586"/>
      <c r="BU1170" s="589"/>
      <c r="BV1170" s="581"/>
      <c r="BW1170" s="590"/>
      <c r="BX1170" s="347"/>
      <c r="BY1170" s="347"/>
      <c r="BZ1170" s="347"/>
      <c r="CA1170" s="586"/>
      <c r="CB1170" s="581"/>
      <c r="CC1170" s="581"/>
      <c r="CD1170" s="581"/>
      <c r="CE1170" s="581"/>
      <c r="CF1170" s="581"/>
      <c r="CG1170" s="586"/>
      <c r="CH1170" s="608"/>
      <c r="CI1170" s="603"/>
      <c r="CJ1170" s="347"/>
      <c r="CK1170" s="347"/>
      <c r="CL1170" s="347"/>
      <c r="CM1170" s="347"/>
      <c r="CN1170" s="347"/>
      <c r="CO1170" s="347"/>
      <c r="CP1170" s="347"/>
    </row>
    <row r="1171">
      <c r="A1171" s="574"/>
      <c r="B1171" s="574"/>
      <c r="C1171" s="347"/>
      <c r="D1171" s="574"/>
      <c r="E1171" s="347"/>
      <c r="F1171" s="596"/>
      <c r="G1171" s="596"/>
      <c r="H1171" s="347"/>
      <c r="I1171" s="347"/>
      <c r="J1171" s="596"/>
      <c r="K1171" s="609"/>
      <c r="L1171" s="1"/>
      <c r="M1171" s="347"/>
      <c r="N1171" s="347"/>
      <c r="O1171" s="579"/>
      <c r="P1171" s="579"/>
      <c r="Q1171" s="574"/>
      <c r="R1171" s="347"/>
      <c r="S1171" s="597"/>
      <c r="T1171" s="347"/>
      <c r="U1171" s="579"/>
      <c r="V1171" s="579"/>
      <c r="W1171" s="574"/>
      <c r="X1171" s="347"/>
      <c r="Y1171" s="347"/>
      <c r="Z1171" s="347"/>
      <c r="AA1171" s="579"/>
      <c r="AB1171" s="581"/>
      <c r="AC1171" s="347"/>
      <c r="AD1171" s="347"/>
      <c r="AE1171" s="347"/>
      <c r="AF1171" s="347"/>
      <c r="AG1171" s="579"/>
      <c r="AH1171" s="579"/>
      <c r="AI1171" s="582"/>
      <c r="AJ1171" s="582"/>
      <c r="AK1171" s="582"/>
      <c r="AL1171" s="582"/>
      <c r="AM1171" s="579"/>
      <c r="AN1171" s="579"/>
      <c r="AO1171" s="347"/>
      <c r="AP1171" s="586"/>
      <c r="AQ1171" s="596"/>
      <c r="AR1171" s="596"/>
      <c r="AS1171" s="348"/>
      <c r="AT1171" s="348"/>
      <c r="AU1171" s="348"/>
      <c r="AV1171" s="348"/>
      <c r="AW1171" s="348"/>
      <c r="AX1171" s="584"/>
      <c r="AY1171" s="581"/>
      <c r="AZ1171" s="581"/>
      <c r="BA1171" s="596"/>
      <c r="BB1171" s="596"/>
      <c r="BC1171" s="348"/>
      <c r="BD1171" s="581"/>
      <c r="BE1171" s="581"/>
      <c r="BF1171" s="347"/>
      <c r="BG1171" s="347"/>
      <c r="BH1171" s="347"/>
      <c r="BI1171" s="347"/>
      <c r="BJ1171" s="586"/>
      <c r="BK1171" s="581"/>
      <c r="BL1171" s="347"/>
      <c r="BM1171" s="347"/>
      <c r="BN1171" s="347"/>
      <c r="BO1171" s="586"/>
      <c r="BP1171" s="584"/>
      <c r="BQ1171" s="347"/>
      <c r="BR1171" s="586"/>
      <c r="BS1171" s="588"/>
      <c r="BT1171" s="586"/>
      <c r="BU1171" s="589"/>
      <c r="BV1171" s="581"/>
      <c r="BW1171" s="590"/>
      <c r="BX1171" s="347"/>
      <c r="BY1171" s="347"/>
      <c r="BZ1171" s="347"/>
      <c r="CA1171" s="586"/>
      <c r="CB1171" s="581"/>
      <c r="CC1171" s="581"/>
      <c r="CD1171" s="581"/>
      <c r="CE1171" s="581"/>
      <c r="CF1171" s="581"/>
      <c r="CG1171" s="586"/>
      <c r="CH1171" s="608"/>
      <c r="CI1171" s="603"/>
      <c r="CJ1171" s="347"/>
      <c r="CK1171" s="347"/>
      <c r="CL1171" s="347"/>
      <c r="CM1171" s="347"/>
      <c r="CN1171" s="347"/>
      <c r="CO1171" s="347"/>
      <c r="CP1171" s="347"/>
    </row>
    <row r="1172">
      <c r="A1172" s="574"/>
      <c r="B1172" s="574"/>
      <c r="C1172" s="347"/>
      <c r="D1172" s="574"/>
      <c r="E1172" s="347"/>
      <c r="F1172" s="596"/>
      <c r="G1172" s="596"/>
      <c r="H1172" s="347"/>
      <c r="I1172" s="347"/>
      <c r="J1172" s="596"/>
      <c r="K1172" s="609"/>
      <c r="L1172" s="1"/>
      <c r="M1172" s="347"/>
      <c r="N1172" s="347"/>
      <c r="O1172" s="579"/>
      <c r="P1172" s="579"/>
      <c r="Q1172" s="574"/>
      <c r="R1172" s="347"/>
      <c r="S1172" s="597"/>
      <c r="T1172" s="347"/>
      <c r="U1172" s="579"/>
      <c r="V1172" s="579"/>
      <c r="W1172" s="574"/>
      <c r="X1172" s="347"/>
      <c r="Y1172" s="347"/>
      <c r="Z1172" s="347"/>
      <c r="AA1172" s="579"/>
      <c r="AB1172" s="581"/>
      <c r="AC1172" s="347"/>
      <c r="AD1172" s="347"/>
      <c r="AE1172" s="347"/>
      <c r="AF1172" s="347"/>
      <c r="AG1172" s="579"/>
      <c r="AH1172" s="579"/>
      <c r="AI1172" s="582"/>
      <c r="AJ1172" s="582"/>
      <c r="AK1172" s="582"/>
      <c r="AL1172" s="582"/>
      <c r="AM1172" s="579"/>
      <c r="AN1172" s="579"/>
      <c r="AO1172" s="347"/>
      <c r="AP1172" s="586"/>
      <c r="AQ1172" s="596"/>
      <c r="AR1172" s="596"/>
      <c r="AS1172" s="348"/>
      <c r="AT1172" s="348"/>
      <c r="AU1172" s="348"/>
      <c r="AV1172" s="348"/>
      <c r="AW1172" s="348"/>
      <c r="AX1172" s="584"/>
      <c r="AY1172" s="581"/>
      <c r="AZ1172" s="581"/>
      <c r="BA1172" s="596"/>
      <c r="BB1172" s="596"/>
      <c r="BC1172" s="348"/>
      <c r="BD1172" s="581"/>
      <c r="BE1172" s="581"/>
      <c r="BF1172" s="347"/>
      <c r="BG1172" s="347"/>
      <c r="BH1172" s="347"/>
      <c r="BI1172" s="347"/>
      <c r="BJ1172" s="586"/>
      <c r="BK1172" s="581"/>
      <c r="BL1172" s="347"/>
      <c r="BM1172" s="347"/>
      <c r="BN1172" s="347"/>
      <c r="BO1172" s="586"/>
      <c r="BP1172" s="584"/>
      <c r="BQ1172" s="347"/>
      <c r="BR1172" s="586"/>
      <c r="BS1172" s="588"/>
      <c r="BT1172" s="586"/>
      <c r="BU1172" s="589"/>
      <c r="BV1172" s="581"/>
      <c r="BW1172" s="590"/>
      <c r="BX1172" s="347"/>
      <c r="BY1172" s="347"/>
      <c r="BZ1172" s="347"/>
      <c r="CA1172" s="586"/>
      <c r="CB1172" s="581"/>
      <c r="CC1172" s="581"/>
      <c r="CD1172" s="581"/>
      <c r="CE1172" s="581"/>
      <c r="CF1172" s="581"/>
      <c r="CG1172" s="586"/>
      <c r="CH1172" s="608"/>
      <c r="CI1172" s="603"/>
      <c r="CJ1172" s="347"/>
      <c r="CK1172" s="347"/>
      <c r="CL1172" s="347"/>
      <c r="CM1172" s="347"/>
      <c r="CN1172" s="347"/>
      <c r="CO1172" s="347"/>
      <c r="CP1172" s="347"/>
    </row>
    <row r="1173">
      <c r="A1173" s="574"/>
      <c r="B1173" s="574"/>
      <c r="C1173" s="347"/>
      <c r="D1173" s="574"/>
      <c r="E1173" s="347"/>
      <c r="F1173" s="596"/>
      <c r="G1173" s="596"/>
      <c r="H1173" s="347"/>
      <c r="I1173" s="347"/>
      <c r="J1173" s="596"/>
      <c r="K1173" s="609"/>
      <c r="L1173" s="1"/>
      <c r="M1173" s="347"/>
      <c r="N1173" s="347"/>
      <c r="O1173" s="579"/>
      <c r="P1173" s="579"/>
      <c r="Q1173" s="574"/>
      <c r="R1173" s="347"/>
      <c r="S1173" s="597"/>
      <c r="T1173" s="347"/>
      <c r="U1173" s="579"/>
      <c r="V1173" s="579"/>
      <c r="W1173" s="574"/>
      <c r="X1173" s="347"/>
      <c r="Y1173" s="347"/>
      <c r="Z1173" s="347"/>
      <c r="AA1173" s="579"/>
      <c r="AB1173" s="581"/>
      <c r="AC1173" s="347"/>
      <c r="AD1173" s="347"/>
      <c r="AE1173" s="347"/>
      <c r="AF1173" s="347"/>
      <c r="AG1173" s="579"/>
      <c r="AH1173" s="579"/>
      <c r="AI1173" s="582"/>
      <c r="AJ1173" s="582"/>
      <c r="AK1173" s="582"/>
      <c r="AL1173" s="582"/>
      <c r="AM1173" s="579"/>
      <c r="AN1173" s="579"/>
      <c r="AO1173" s="347"/>
      <c r="AP1173" s="586"/>
      <c r="AQ1173" s="596"/>
      <c r="AR1173" s="596"/>
      <c r="AS1173" s="348"/>
      <c r="AT1173" s="348"/>
      <c r="AU1173" s="348"/>
      <c r="AV1173" s="348"/>
      <c r="AW1173" s="348"/>
      <c r="AX1173" s="584"/>
      <c r="AY1173" s="581"/>
      <c r="AZ1173" s="581"/>
      <c r="BA1173" s="596"/>
      <c r="BB1173" s="596"/>
      <c r="BC1173" s="348"/>
      <c r="BD1173" s="581"/>
      <c r="BE1173" s="581"/>
      <c r="BF1173" s="347"/>
      <c r="BG1173" s="347"/>
      <c r="BH1173" s="347"/>
      <c r="BI1173" s="347"/>
      <c r="BJ1173" s="586"/>
      <c r="BK1173" s="581"/>
      <c r="BL1173" s="347"/>
      <c r="BM1173" s="347"/>
      <c r="BN1173" s="347"/>
      <c r="BO1173" s="586"/>
      <c r="BP1173" s="584"/>
      <c r="BQ1173" s="347"/>
      <c r="BR1173" s="586"/>
      <c r="BS1173" s="588"/>
      <c r="BT1173" s="586"/>
      <c r="BU1173" s="589"/>
      <c r="BV1173" s="581"/>
      <c r="BW1173" s="590"/>
      <c r="BX1173" s="347"/>
      <c r="BY1173" s="347"/>
      <c r="BZ1173" s="347"/>
      <c r="CA1173" s="586"/>
      <c r="CB1173" s="581"/>
      <c r="CC1173" s="581"/>
      <c r="CD1173" s="581"/>
      <c r="CE1173" s="581"/>
      <c r="CF1173" s="581"/>
      <c r="CG1173" s="586"/>
      <c r="CH1173" s="608"/>
      <c r="CI1173" s="603"/>
      <c r="CJ1173" s="347"/>
      <c r="CK1173" s="347"/>
      <c r="CL1173" s="347"/>
      <c r="CM1173" s="347"/>
      <c r="CN1173" s="347"/>
      <c r="CO1173" s="347"/>
      <c r="CP1173" s="347"/>
    </row>
    <row r="1174">
      <c r="A1174" s="574"/>
      <c r="B1174" s="574"/>
      <c r="C1174" s="347"/>
      <c r="D1174" s="574"/>
      <c r="E1174" s="347"/>
      <c r="F1174" s="596"/>
      <c r="G1174" s="596"/>
      <c r="H1174" s="347"/>
      <c r="I1174" s="347"/>
      <c r="J1174" s="596"/>
      <c r="K1174" s="609"/>
      <c r="L1174" s="1"/>
      <c r="M1174" s="347"/>
      <c r="N1174" s="347"/>
      <c r="O1174" s="579"/>
      <c r="P1174" s="579"/>
      <c r="Q1174" s="574"/>
      <c r="R1174" s="347"/>
      <c r="S1174" s="597"/>
      <c r="T1174" s="347"/>
      <c r="U1174" s="579"/>
      <c r="V1174" s="579"/>
      <c r="W1174" s="574"/>
      <c r="X1174" s="347"/>
      <c r="Y1174" s="347"/>
      <c r="Z1174" s="347"/>
      <c r="AA1174" s="579"/>
      <c r="AB1174" s="581"/>
      <c r="AC1174" s="347"/>
      <c r="AD1174" s="347"/>
      <c r="AE1174" s="347"/>
      <c r="AF1174" s="347"/>
      <c r="AG1174" s="579"/>
      <c r="AH1174" s="579"/>
      <c r="AI1174" s="582"/>
      <c r="AJ1174" s="582"/>
      <c r="AK1174" s="582"/>
      <c r="AL1174" s="582"/>
      <c r="AM1174" s="579"/>
      <c r="AN1174" s="579"/>
      <c r="AO1174" s="347"/>
      <c r="AP1174" s="586"/>
      <c r="AQ1174" s="596"/>
      <c r="AR1174" s="596"/>
      <c r="AS1174" s="348"/>
      <c r="AT1174" s="348"/>
      <c r="AU1174" s="348"/>
      <c r="AV1174" s="348"/>
      <c r="AW1174" s="348"/>
      <c r="AX1174" s="584"/>
      <c r="AY1174" s="581"/>
      <c r="AZ1174" s="581"/>
      <c r="BA1174" s="596"/>
      <c r="BB1174" s="596"/>
      <c r="BC1174" s="348"/>
      <c r="BD1174" s="581"/>
      <c r="BE1174" s="581"/>
      <c r="BF1174" s="347"/>
      <c r="BG1174" s="347"/>
      <c r="BH1174" s="347"/>
      <c r="BI1174" s="347"/>
      <c r="BJ1174" s="586"/>
      <c r="BK1174" s="581"/>
      <c r="BL1174" s="347"/>
      <c r="BM1174" s="347"/>
      <c r="BN1174" s="347"/>
      <c r="BO1174" s="586"/>
      <c r="BP1174" s="584"/>
      <c r="BQ1174" s="347"/>
      <c r="BR1174" s="586"/>
      <c r="BS1174" s="588"/>
      <c r="BT1174" s="586"/>
      <c r="BU1174" s="589"/>
      <c r="BV1174" s="581"/>
      <c r="BW1174" s="590"/>
      <c r="BX1174" s="347"/>
      <c r="BY1174" s="347"/>
      <c r="BZ1174" s="347"/>
      <c r="CA1174" s="586"/>
      <c r="CB1174" s="581"/>
      <c r="CC1174" s="581"/>
      <c r="CD1174" s="581"/>
      <c r="CE1174" s="581"/>
      <c r="CF1174" s="581"/>
      <c r="CG1174" s="586"/>
      <c r="CH1174" s="608"/>
      <c r="CI1174" s="603"/>
      <c r="CJ1174" s="347"/>
      <c r="CK1174" s="347"/>
      <c r="CL1174" s="347"/>
      <c r="CM1174" s="347"/>
      <c r="CN1174" s="347"/>
      <c r="CO1174" s="347"/>
      <c r="CP1174" s="347"/>
    </row>
    <row r="1175">
      <c r="A1175" s="574"/>
      <c r="B1175" s="574"/>
      <c r="C1175" s="347"/>
      <c r="D1175" s="574"/>
      <c r="E1175" s="347"/>
      <c r="F1175" s="596"/>
      <c r="G1175" s="596"/>
      <c r="H1175" s="347"/>
      <c r="I1175" s="347"/>
      <c r="J1175" s="596"/>
      <c r="K1175" s="609"/>
      <c r="L1175" s="1"/>
      <c r="M1175" s="347"/>
      <c r="N1175" s="347"/>
      <c r="O1175" s="579"/>
      <c r="P1175" s="579"/>
      <c r="Q1175" s="574"/>
      <c r="R1175" s="347"/>
      <c r="S1175" s="597"/>
      <c r="T1175" s="347"/>
      <c r="U1175" s="579"/>
      <c r="V1175" s="579"/>
      <c r="W1175" s="574"/>
      <c r="X1175" s="347"/>
      <c r="Y1175" s="347"/>
      <c r="Z1175" s="347"/>
      <c r="AA1175" s="579"/>
      <c r="AB1175" s="581"/>
      <c r="AC1175" s="347"/>
      <c r="AD1175" s="347"/>
      <c r="AE1175" s="347"/>
      <c r="AF1175" s="347"/>
      <c r="AG1175" s="579"/>
      <c r="AH1175" s="579"/>
      <c r="AI1175" s="582"/>
      <c r="AJ1175" s="582"/>
      <c r="AK1175" s="582"/>
      <c r="AL1175" s="582"/>
      <c r="AM1175" s="579"/>
      <c r="AN1175" s="579"/>
      <c r="AO1175" s="347"/>
      <c r="AP1175" s="586"/>
      <c r="AQ1175" s="596"/>
      <c r="AR1175" s="596"/>
      <c r="AS1175" s="348"/>
      <c r="AT1175" s="348"/>
      <c r="AU1175" s="348"/>
      <c r="AV1175" s="348"/>
      <c r="AW1175" s="348"/>
      <c r="AX1175" s="584"/>
      <c r="AY1175" s="581"/>
      <c r="AZ1175" s="581"/>
      <c r="BA1175" s="596"/>
      <c r="BB1175" s="596"/>
      <c r="BC1175" s="348"/>
      <c r="BD1175" s="581"/>
      <c r="BE1175" s="581"/>
      <c r="BF1175" s="347"/>
      <c r="BG1175" s="347"/>
      <c r="BH1175" s="347"/>
      <c r="BI1175" s="347"/>
      <c r="BJ1175" s="586"/>
      <c r="BK1175" s="581"/>
      <c r="BL1175" s="347"/>
      <c r="BM1175" s="347"/>
      <c r="BN1175" s="347"/>
      <c r="BO1175" s="586"/>
      <c r="BP1175" s="584"/>
      <c r="BQ1175" s="347"/>
      <c r="BR1175" s="586"/>
      <c r="BS1175" s="588"/>
      <c r="BT1175" s="586"/>
      <c r="BU1175" s="589"/>
      <c r="BV1175" s="581"/>
      <c r="BW1175" s="590"/>
      <c r="BX1175" s="347"/>
      <c r="BY1175" s="347"/>
      <c r="BZ1175" s="347"/>
      <c r="CA1175" s="586"/>
      <c r="CB1175" s="581"/>
      <c r="CC1175" s="581"/>
      <c r="CD1175" s="581"/>
      <c r="CE1175" s="581"/>
      <c r="CF1175" s="581"/>
      <c r="CG1175" s="586"/>
      <c r="CH1175" s="608"/>
      <c r="CI1175" s="603"/>
      <c r="CJ1175" s="347"/>
      <c r="CK1175" s="347"/>
      <c r="CL1175" s="347"/>
      <c r="CM1175" s="347"/>
      <c r="CN1175" s="347"/>
      <c r="CO1175" s="347"/>
      <c r="CP1175" s="347"/>
    </row>
    <row r="1176">
      <c r="A1176" s="574"/>
      <c r="B1176" s="574"/>
      <c r="C1176" s="347"/>
      <c r="D1176" s="574"/>
      <c r="E1176" s="347"/>
      <c r="F1176" s="596"/>
      <c r="G1176" s="596"/>
      <c r="H1176" s="347"/>
      <c r="I1176" s="347"/>
      <c r="J1176" s="596"/>
      <c r="K1176" s="609"/>
      <c r="L1176" s="1"/>
      <c r="M1176" s="347"/>
      <c r="N1176" s="347"/>
      <c r="O1176" s="579"/>
      <c r="P1176" s="579"/>
      <c r="Q1176" s="574"/>
      <c r="R1176" s="347"/>
      <c r="S1176" s="597"/>
      <c r="T1176" s="347"/>
      <c r="U1176" s="579"/>
      <c r="V1176" s="579"/>
      <c r="W1176" s="574"/>
      <c r="X1176" s="347"/>
      <c r="Y1176" s="347"/>
      <c r="Z1176" s="347"/>
      <c r="AA1176" s="579"/>
      <c r="AB1176" s="581"/>
      <c r="AC1176" s="347"/>
      <c r="AD1176" s="347"/>
      <c r="AE1176" s="347"/>
      <c r="AF1176" s="347"/>
      <c r="AG1176" s="579"/>
      <c r="AH1176" s="579"/>
      <c r="AI1176" s="582"/>
      <c r="AJ1176" s="582"/>
      <c r="AK1176" s="582"/>
      <c r="AL1176" s="582"/>
      <c r="AM1176" s="579"/>
      <c r="AN1176" s="579"/>
      <c r="AO1176" s="347"/>
      <c r="AP1176" s="586"/>
      <c r="AQ1176" s="596"/>
      <c r="AR1176" s="596"/>
      <c r="AS1176" s="348"/>
      <c r="AT1176" s="348"/>
      <c r="AU1176" s="348"/>
      <c r="AV1176" s="348"/>
      <c r="AW1176" s="348"/>
      <c r="AX1176" s="584"/>
      <c r="AY1176" s="581"/>
      <c r="AZ1176" s="581"/>
      <c r="BA1176" s="596"/>
      <c r="BB1176" s="596"/>
      <c r="BC1176" s="348"/>
      <c r="BD1176" s="581"/>
      <c r="BE1176" s="581"/>
      <c r="BF1176" s="347"/>
      <c r="BG1176" s="347"/>
      <c r="BH1176" s="347"/>
      <c r="BI1176" s="347"/>
      <c r="BJ1176" s="586"/>
      <c r="BK1176" s="581"/>
      <c r="BL1176" s="347"/>
      <c r="BM1176" s="347"/>
      <c r="BN1176" s="347"/>
      <c r="BO1176" s="586"/>
      <c r="BP1176" s="584"/>
      <c r="BQ1176" s="347"/>
      <c r="BR1176" s="586"/>
      <c r="BS1176" s="588"/>
      <c r="BT1176" s="586"/>
      <c r="BU1176" s="589"/>
      <c r="BV1176" s="581"/>
      <c r="BW1176" s="590"/>
      <c r="BX1176" s="347"/>
      <c r="BY1176" s="347"/>
      <c r="BZ1176" s="347"/>
      <c r="CA1176" s="586"/>
      <c r="CB1176" s="581"/>
      <c r="CC1176" s="581"/>
      <c r="CD1176" s="581"/>
      <c r="CE1176" s="581"/>
      <c r="CF1176" s="581"/>
      <c r="CG1176" s="586"/>
      <c r="CH1176" s="608"/>
      <c r="CI1176" s="603"/>
      <c r="CJ1176" s="347"/>
      <c r="CK1176" s="347"/>
      <c r="CL1176" s="347"/>
      <c r="CM1176" s="347"/>
      <c r="CN1176" s="347"/>
      <c r="CO1176" s="347"/>
      <c r="CP1176" s="347"/>
    </row>
    <row r="1177">
      <c r="A1177" s="574"/>
      <c r="B1177" s="574"/>
      <c r="C1177" s="347"/>
      <c r="D1177" s="574"/>
      <c r="E1177" s="347"/>
      <c r="F1177" s="596"/>
      <c r="G1177" s="596"/>
      <c r="H1177" s="347"/>
      <c r="I1177" s="347"/>
      <c r="J1177" s="596"/>
      <c r="K1177" s="609"/>
      <c r="L1177" s="1"/>
      <c r="M1177" s="347"/>
      <c r="N1177" s="347"/>
      <c r="O1177" s="579"/>
      <c r="P1177" s="579"/>
      <c r="Q1177" s="574"/>
      <c r="R1177" s="347"/>
      <c r="S1177" s="597"/>
      <c r="T1177" s="347"/>
      <c r="U1177" s="579"/>
      <c r="V1177" s="579"/>
      <c r="W1177" s="574"/>
      <c r="X1177" s="347"/>
      <c r="Y1177" s="347"/>
      <c r="Z1177" s="347"/>
      <c r="AA1177" s="579"/>
      <c r="AB1177" s="581"/>
      <c r="AC1177" s="347"/>
      <c r="AD1177" s="347"/>
      <c r="AE1177" s="347"/>
      <c r="AF1177" s="347"/>
      <c r="AG1177" s="579"/>
      <c r="AH1177" s="579"/>
      <c r="AI1177" s="582"/>
      <c r="AJ1177" s="582"/>
      <c r="AK1177" s="582"/>
      <c r="AL1177" s="582"/>
      <c r="AM1177" s="579"/>
      <c r="AN1177" s="579"/>
      <c r="AO1177" s="347"/>
      <c r="AP1177" s="586"/>
      <c r="AQ1177" s="596"/>
      <c r="AR1177" s="596"/>
      <c r="AS1177" s="348"/>
      <c r="AT1177" s="348"/>
      <c r="AU1177" s="348"/>
      <c r="AV1177" s="348"/>
      <c r="AW1177" s="348"/>
      <c r="AX1177" s="584"/>
      <c r="AY1177" s="581"/>
      <c r="AZ1177" s="581"/>
      <c r="BA1177" s="596"/>
      <c r="BB1177" s="596"/>
      <c r="BC1177" s="348"/>
      <c r="BD1177" s="581"/>
      <c r="BE1177" s="581"/>
      <c r="BF1177" s="347"/>
      <c r="BG1177" s="347"/>
      <c r="BH1177" s="347"/>
      <c r="BI1177" s="347"/>
      <c r="BJ1177" s="586"/>
      <c r="BK1177" s="581"/>
      <c r="BL1177" s="347"/>
      <c r="BM1177" s="347"/>
      <c r="BN1177" s="347"/>
      <c r="BO1177" s="586"/>
      <c r="BP1177" s="584"/>
      <c r="BQ1177" s="347"/>
      <c r="BR1177" s="586"/>
      <c r="BS1177" s="588"/>
      <c r="BT1177" s="586"/>
      <c r="BU1177" s="589"/>
      <c r="BV1177" s="581"/>
      <c r="BW1177" s="590"/>
      <c r="BX1177" s="347"/>
      <c r="BY1177" s="347"/>
      <c r="BZ1177" s="347"/>
      <c r="CA1177" s="586"/>
      <c r="CB1177" s="581"/>
      <c r="CC1177" s="581"/>
      <c r="CD1177" s="581"/>
      <c r="CE1177" s="581"/>
      <c r="CF1177" s="581"/>
      <c r="CG1177" s="586"/>
      <c r="CH1177" s="608"/>
      <c r="CI1177" s="603"/>
      <c r="CJ1177" s="347"/>
      <c r="CK1177" s="347"/>
      <c r="CL1177" s="347"/>
      <c r="CM1177" s="347"/>
      <c r="CN1177" s="347"/>
      <c r="CO1177" s="347"/>
      <c r="CP1177" s="347"/>
    </row>
    <row r="1178">
      <c r="A1178" s="574"/>
      <c r="B1178" s="574"/>
      <c r="C1178" s="347"/>
      <c r="D1178" s="574"/>
      <c r="E1178" s="347"/>
      <c r="F1178" s="596"/>
      <c r="G1178" s="596"/>
      <c r="H1178" s="347"/>
      <c r="I1178" s="347"/>
      <c r="J1178" s="596"/>
      <c r="K1178" s="609"/>
      <c r="L1178" s="1"/>
      <c r="M1178" s="347"/>
      <c r="N1178" s="347"/>
      <c r="O1178" s="579"/>
      <c r="P1178" s="579"/>
      <c r="Q1178" s="574"/>
      <c r="R1178" s="347"/>
      <c r="S1178" s="597"/>
      <c r="T1178" s="347"/>
      <c r="U1178" s="579"/>
      <c r="V1178" s="579"/>
      <c r="W1178" s="574"/>
      <c r="X1178" s="347"/>
      <c r="Y1178" s="347"/>
      <c r="Z1178" s="347"/>
      <c r="AA1178" s="579"/>
      <c r="AB1178" s="581"/>
      <c r="AC1178" s="347"/>
      <c r="AD1178" s="347"/>
      <c r="AE1178" s="347"/>
      <c r="AF1178" s="347"/>
      <c r="AG1178" s="579"/>
      <c r="AH1178" s="579"/>
      <c r="AI1178" s="582"/>
      <c r="AJ1178" s="582"/>
      <c r="AK1178" s="582"/>
      <c r="AL1178" s="582"/>
      <c r="AM1178" s="579"/>
      <c r="AN1178" s="579"/>
      <c r="AO1178" s="347"/>
      <c r="AP1178" s="586"/>
      <c r="AQ1178" s="596"/>
      <c r="AR1178" s="596"/>
      <c r="AS1178" s="348"/>
      <c r="AT1178" s="348"/>
      <c r="AU1178" s="348"/>
      <c r="AV1178" s="348"/>
      <c r="AW1178" s="348"/>
      <c r="AX1178" s="584"/>
      <c r="AY1178" s="581"/>
      <c r="AZ1178" s="581"/>
      <c r="BA1178" s="596"/>
      <c r="BB1178" s="596"/>
      <c r="BC1178" s="348"/>
      <c r="BD1178" s="581"/>
      <c r="BE1178" s="581"/>
      <c r="BF1178" s="347"/>
      <c r="BG1178" s="347"/>
      <c r="BH1178" s="347"/>
      <c r="BI1178" s="347"/>
      <c r="BJ1178" s="586"/>
      <c r="BK1178" s="581"/>
      <c r="BL1178" s="347"/>
      <c r="BM1178" s="347"/>
      <c r="BN1178" s="347"/>
      <c r="BO1178" s="586"/>
      <c r="BP1178" s="584"/>
      <c r="BQ1178" s="347"/>
      <c r="BR1178" s="586"/>
      <c r="BS1178" s="588"/>
      <c r="BT1178" s="586"/>
      <c r="BU1178" s="589"/>
      <c r="BV1178" s="581"/>
      <c r="BW1178" s="590"/>
      <c r="BX1178" s="347"/>
      <c r="BY1178" s="347"/>
      <c r="BZ1178" s="347"/>
      <c r="CA1178" s="586"/>
      <c r="CB1178" s="581"/>
      <c r="CC1178" s="581"/>
      <c r="CD1178" s="581"/>
      <c r="CE1178" s="581"/>
      <c r="CF1178" s="581"/>
      <c r="CG1178" s="586"/>
      <c r="CH1178" s="608"/>
      <c r="CI1178" s="603"/>
      <c r="CJ1178" s="347"/>
      <c r="CK1178" s="347"/>
      <c r="CL1178" s="347"/>
      <c r="CM1178" s="347"/>
      <c r="CN1178" s="347"/>
      <c r="CO1178" s="347"/>
      <c r="CP1178" s="347"/>
    </row>
    <row r="1179">
      <c r="A1179" s="574"/>
      <c r="B1179" s="574"/>
      <c r="C1179" s="347"/>
      <c r="D1179" s="574"/>
      <c r="E1179" s="347"/>
      <c r="F1179" s="596"/>
      <c r="G1179" s="596"/>
      <c r="H1179" s="347"/>
      <c r="I1179" s="347"/>
      <c r="J1179" s="596"/>
      <c r="K1179" s="609"/>
      <c r="L1179" s="1"/>
      <c r="M1179" s="347"/>
      <c r="N1179" s="347"/>
      <c r="O1179" s="579"/>
      <c r="P1179" s="579"/>
      <c r="Q1179" s="574"/>
      <c r="R1179" s="347"/>
      <c r="S1179" s="597"/>
      <c r="T1179" s="347"/>
      <c r="U1179" s="579"/>
      <c r="V1179" s="579"/>
      <c r="W1179" s="574"/>
      <c r="X1179" s="347"/>
      <c r="Y1179" s="347"/>
      <c r="Z1179" s="347"/>
      <c r="AA1179" s="579"/>
      <c r="AB1179" s="581"/>
      <c r="AC1179" s="347"/>
      <c r="AD1179" s="347"/>
      <c r="AE1179" s="347"/>
      <c r="AF1179" s="347"/>
      <c r="AG1179" s="579"/>
      <c r="AH1179" s="579"/>
      <c r="AI1179" s="582"/>
      <c r="AJ1179" s="582"/>
      <c r="AK1179" s="582"/>
      <c r="AL1179" s="582"/>
      <c r="AM1179" s="579"/>
      <c r="AN1179" s="579"/>
      <c r="AO1179" s="347"/>
      <c r="AP1179" s="586"/>
      <c r="AQ1179" s="596"/>
      <c r="AR1179" s="596"/>
      <c r="AS1179" s="348"/>
      <c r="AT1179" s="348"/>
      <c r="AU1179" s="348"/>
      <c r="AV1179" s="348"/>
      <c r="AW1179" s="348"/>
      <c r="AX1179" s="584"/>
      <c r="AY1179" s="581"/>
      <c r="AZ1179" s="581"/>
      <c r="BA1179" s="596"/>
      <c r="BB1179" s="596"/>
      <c r="BC1179" s="348"/>
      <c r="BD1179" s="581"/>
      <c r="BE1179" s="581"/>
      <c r="BF1179" s="347"/>
      <c r="BG1179" s="347"/>
      <c r="BH1179" s="347"/>
      <c r="BI1179" s="347"/>
      <c r="BJ1179" s="586"/>
      <c r="BK1179" s="581"/>
      <c r="BL1179" s="347"/>
      <c r="BM1179" s="347"/>
      <c r="BN1179" s="347"/>
      <c r="BO1179" s="586"/>
      <c r="BP1179" s="584"/>
      <c r="BQ1179" s="347"/>
      <c r="BR1179" s="586"/>
      <c r="BS1179" s="588"/>
      <c r="BT1179" s="586"/>
      <c r="BU1179" s="589"/>
      <c r="BV1179" s="581"/>
      <c r="BW1179" s="590"/>
      <c r="BX1179" s="347"/>
      <c r="BY1179" s="347"/>
      <c r="BZ1179" s="347"/>
      <c r="CA1179" s="586"/>
      <c r="CB1179" s="581"/>
      <c r="CC1179" s="581"/>
      <c r="CD1179" s="581"/>
      <c r="CE1179" s="581"/>
      <c r="CF1179" s="581"/>
      <c r="CG1179" s="586"/>
      <c r="CH1179" s="608"/>
      <c r="CI1179" s="603"/>
      <c r="CJ1179" s="347"/>
      <c r="CK1179" s="347"/>
      <c r="CL1179" s="347"/>
      <c r="CM1179" s="347"/>
      <c r="CN1179" s="347"/>
      <c r="CO1179" s="347"/>
      <c r="CP1179" s="347"/>
    </row>
    <row r="1180">
      <c r="A1180" s="574"/>
      <c r="B1180" s="574"/>
      <c r="C1180" s="347"/>
      <c r="D1180" s="574"/>
      <c r="E1180" s="347"/>
      <c r="F1180" s="596"/>
      <c r="G1180" s="596"/>
      <c r="H1180" s="347"/>
      <c r="I1180" s="347"/>
      <c r="J1180" s="596"/>
      <c r="K1180" s="609"/>
      <c r="L1180" s="1"/>
      <c r="M1180" s="347"/>
      <c r="N1180" s="347"/>
      <c r="O1180" s="579"/>
      <c r="P1180" s="579"/>
      <c r="Q1180" s="574"/>
      <c r="R1180" s="347"/>
      <c r="S1180" s="597"/>
      <c r="T1180" s="347"/>
      <c r="U1180" s="579"/>
      <c r="V1180" s="579"/>
      <c r="W1180" s="574"/>
      <c r="X1180" s="347"/>
      <c r="Y1180" s="347"/>
      <c r="Z1180" s="347"/>
      <c r="AA1180" s="579"/>
      <c r="AB1180" s="581"/>
      <c r="AC1180" s="347"/>
      <c r="AD1180" s="347"/>
      <c r="AE1180" s="347"/>
      <c r="AF1180" s="347"/>
      <c r="AG1180" s="579"/>
      <c r="AH1180" s="579"/>
      <c r="AI1180" s="582"/>
      <c r="AJ1180" s="582"/>
      <c r="AK1180" s="582"/>
      <c r="AL1180" s="582"/>
      <c r="AM1180" s="579"/>
      <c r="AN1180" s="579"/>
      <c r="AO1180" s="347"/>
      <c r="AP1180" s="586"/>
      <c r="AQ1180" s="596"/>
      <c r="AR1180" s="596"/>
      <c r="AS1180" s="348"/>
      <c r="AT1180" s="348"/>
      <c r="AU1180" s="348"/>
      <c r="AV1180" s="348"/>
      <c r="AW1180" s="348"/>
      <c r="AX1180" s="584"/>
      <c r="AY1180" s="581"/>
      <c r="AZ1180" s="581"/>
      <c r="BA1180" s="596"/>
      <c r="BB1180" s="596"/>
      <c r="BC1180" s="348"/>
      <c r="BD1180" s="581"/>
      <c r="BE1180" s="581"/>
      <c r="BF1180" s="347"/>
      <c r="BG1180" s="347"/>
      <c r="BH1180" s="347"/>
      <c r="BI1180" s="347"/>
      <c r="BJ1180" s="586"/>
      <c r="BK1180" s="581"/>
      <c r="BL1180" s="347"/>
      <c r="BM1180" s="347"/>
      <c r="BN1180" s="347"/>
      <c r="BO1180" s="586"/>
      <c r="BP1180" s="584"/>
      <c r="BQ1180" s="347"/>
      <c r="BR1180" s="586"/>
      <c r="BS1180" s="588"/>
      <c r="BT1180" s="586"/>
      <c r="BU1180" s="589"/>
      <c r="BV1180" s="581"/>
      <c r="BW1180" s="590"/>
      <c r="BX1180" s="347"/>
      <c r="BY1180" s="347"/>
      <c r="BZ1180" s="347"/>
      <c r="CA1180" s="586"/>
      <c r="CB1180" s="581"/>
      <c r="CC1180" s="581"/>
      <c r="CD1180" s="581"/>
      <c r="CE1180" s="581"/>
      <c r="CF1180" s="581"/>
      <c r="CG1180" s="586"/>
      <c r="CH1180" s="608"/>
      <c r="CI1180" s="603"/>
      <c r="CJ1180" s="347"/>
      <c r="CK1180" s="347"/>
      <c r="CL1180" s="347"/>
      <c r="CM1180" s="347"/>
      <c r="CN1180" s="347"/>
      <c r="CO1180" s="347"/>
      <c r="CP1180" s="347"/>
    </row>
    <row r="1181">
      <c r="A1181" s="574"/>
      <c r="B1181" s="574"/>
      <c r="C1181" s="347"/>
      <c r="D1181" s="574"/>
      <c r="E1181" s="347"/>
      <c r="F1181" s="596"/>
      <c r="G1181" s="596"/>
      <c r="H1181" s="347"/>
      <c r="I1181" s="347"/>
      <c r="J1181" s="596"/>
      <c r="K1181" s="609"/>
      <c r="L1181" s="1"/>
      <c r="M1181" s="347"/>
      <c r="N1181" s="347"/>
      <c r="O1181" s="579"/>
      <c r="P1181" s="579"/>
      <c r="Q1181" s="574"/>
      <c r="R1181" s="347"/>
      <c r="S1181" s="597"/>
      <c r="T1181" s="347"/>
      <c r="U1181" s="579"/>
      <c r="V1181" s="579"/>
      <c r="W1181" s="574"/>
      <c r="X1181" s="347"/>
      <c r="Y1181" s="347"/>
      <c r="Z1181" s="347"/>
      <c r="AA1181" s="579"/>
      <c r="AB1181" s="581"/>
      <c r="AC1181" s="347"/>
      <c r="AD1181" s="347"/>
      <c r="AE1181" s="347"/>
      <c r="AF1181" s="347"/>
      <c r="AG1181" s="579"/>
      <c r="AH1181" s="579"/>
      <c r="AI1181" s="582"/>
      <c r="AJ1181" s="582"/>
      <c r="AK1181" s="582"/>
      <c r="AL1181" s="582"/>
      <c r="AM1181" s="579"/>
      <c r="AN1181" s="579"/>
      <c r="AO1181" s="347"/>
      <c r="AP1181" s="586"/>
      <c r="AQ1181" s="596"/>
      <c r="AR1181" s="596"/>
      <c r="AS1181" s="348"/>
      <c r="AT1181" s="348"/>
      <c r="AU1181" s="348"/>
      <c r="AV1181" s="348"/>
      <c r="AW1181" s="348"/>
      <c r="AX1181" s="584"/>
      <c r="AY1181" s="581"/>
      <c r="AZ1181" s="581"/>
      <c r="BA1181" s="596"/>
      <c r="BB1181" s="596"/>
      <c r="BC1181" s="348"/>
      <c r="BD1181" s="581"/>
      <c r="BE1181" s="581"/>
      <c r="BF1181" s="347"/>
      <c r="BG1181" s="347"/>
      <c r="BH1181" s="347"/>
      <c r="BI1181" s="347"/>
      <c r="BJ1181" s="586"/>
      <c r="BK1181" s="581"/>
      <c r="BL1181" s="347"/>
      <c r="BM1181" s="347"/>
      <c r="BN1181" s="347"/>
      <c r="BO1181" s="586"/>
      <c r="BP1181" s="584"/>
      <c r="BQ1181" s="347"/>
      <c r="BR1181" s="586"/>
      <c r="BS1181" s="588"/>
      <c r="BT1181" s="586"/>
      <c r="BU1181" s="589"/>
      <c r="BV1181" s="581"/>
      <c r="BW1181" s="590"/>
      <c r="BX1181" s="347"/>
      <c r="BY1181" s="347"/>
      <c r="BZ1181" s="347"/>
      <c r="CA1181" s="586"/>
      <c r="CB1181" s="581"/>
      <c r="CC1181" s="581"/>
      <c r="CD1181" s="581"/>
      <c r="CE1181" s="581"/>
      <c r="CF1181" s="581"/>
      <c r="CG1181" s="586"/>
      <c r="CH1181" s="608"/>
      <c r="CI1181" s="603"/>
      <c r="CJ1181" s="347"/>
      <c r="CK1181" s="347"/>
      <c r="CL1181" s="347"/>
      <c r="CM1181" s="347"/>
      <c r="CN1181" s="347"/>
      <c r="CO1181" s="347"/>
      <c r="CP1181" s="347"/>
    </row>
    <row r="1182">
      <c r="A1182" s="574"/>
      <c r="B1182" s="574"/>
      <c r="C1182" s="347"/>
      <c r="D1182" s="574"/>
      <c r="E1182" s="347"/>
      <c r="F1182" s="596"/>
      <c r="G1182" s="596"/>
      <c r="H1182" s="347"/>
      <c r="I1182" s="347"/>
      <c r="J1182" s="596"/>
      <c r="K1182" s="609"/>
      <c r="L1182" s="1"/>
      <c r="M1182" s="347"/>
      <c r="N1182" s="347"/>
      <c r="O1182" s="579"/>
      <c r="P1182" s="579"/>
      <c r="Q1182" s="574"/>
      <c r="R1182" s="347"/>
      <c r="S1182" s="597"/>
      <c r="T1182" s="347"/>
      <c r="U1182" s="579"/>
      <c r="V1182" s="579"/>
      <c r="W1182" s="574"/>
      <c r="X1182" s="347"/>
      <c r="Y1182" s="347"/>
      <c r="Z1182" s="347"/>
      <c r="AA1182" s="579"/>
      <c r="AB1182" s="581"/>
      <c r="AC1182" s="347"/>
      <c r="AD1182" s="347"/>
      <c r="AE1182" s="347"/>
      <c r="AF1182" s="347"/>
      <c r="AG1182" s="579"/>
      <c r="AH1182" s="579"/>
      <c r="AI1182" s="582"/>
      <c r="AJ1182" s="582"/>
      <c r="AK1182" s="582"/>
      <c r="AL1182" s="582"/>
      <c r="AM1182" s="579"/>
      <c r="AN1182" s="579"/>
      <c r="AO1182" s="347"/>
      <c r="AP1182" s="586"/>
      <c r="AQ1182" s="596"/>
      <c r="AR1182" s="596"/>
      <c r="AS1182" s="348"/>
      <c r="AT1182" s="348"/>
      <c r="AU1182" s="348"/>
      <c r="AV1182" s="348"/>
      <c r="AW1182" s="348"/>
      <c r="AX1182" s="584"/>
      <c r="AY1182" s="581"/>
      <c r="AZ1182" s="581"/>
      <c r="BA1182" s="596"/>
      <c r="BB1182" s="596"/>
      <c r="BC1182" s="348"/>
      <c r="BD1182" s="581"/>
      <c r="BE1182" s="581"/>
      <c r="BF1182" s="347"/>
      <c r="BG1182" s="347"/>
      <c r="BH1182" s="347"/>
      <c r="BI1182" s="347"/>
      <c r="BJ1182" s="586"/>
      <c r="BK1182" s="581"/>
      <c r="BL1182" s="347"/>
      <c r="BM1182" s="347"/>
      <c r="BN1182" s="347"/>
      <c r="BO1182" s="586"/>
      <c r="BP1182" s="584"/>
      <c r="BQ1182" s="347"/>
      <c r="BR1182" s="586"/>
      <c r="BS1182" s="588"/>
      <c r="BT1182" s="586"/>
      <c r="BU1182" s="589"/>
      <c r="BV1182" s="581"/>
      <c r="BW1182" s="590"/>
      <c r="BX1182" s="347"/>
      <c r="BY1182" s="347"/>
      <c r="BZ1182" s="347"/>
      <c r="CA1182" s="586"/>
      <c r="CB1182" s="581"/>
      <c r="CC1182" s="581"/>
      <c r="CD1182" s="581"/>
      <c r="CE1182" s="581"/>
      <c r="CF1182" s="581"/>
      <c r="CG1182" s="586"/>
      <c r="CH1182" s="608"/>
      <c r="CI1182" s="603"/>
      <c r="CJ1182" s="347"/>
      <c r="CK1182" s="347"/>
      <c r="CL1182" s="347"/>
      <c r="CM1182" s="347"/>
      <c r="CN1182" s="347"/>
      <c r="CO1182" s="347"/>
      <c r="CP1182" s="347"/>
    </row>
    <row r="1183">
      <c r="A1183" s="574"/>
      <c r="B1183" s="574"/>
      <c r="C1183" s="347"/>
      <c r="D1183" s="574"/>
      <c r="E1183" s="347"/>
      <c r="F1183" s="596"/>
      <c r="G1183" s="596"/>
      <c r="H1183" s="347"/>
      <c r="I1183" s="347"/>
      <c r="J1183" s="596"/>
      <c r="K1183" s="609"/>
      <c r="L1183" s="1"/>
      <c r="M1183" s="347"/>
      <c r="N1183" s="347"/>
      <c r="O1183" s="579"/>
      <c r="P1183" s="579"/>
      <c r="Q1183" s="574"/>
      <c r="R1183" s="347"/>
      <c r="S1183" s="597"/>
      <c r="T1183" s="347"/>
      <c r="U1183" s="579"/>
      <c r="V1183" s="579"/>
      <c r="W1183" s="574"/>
      <c r="X1183" s="347"/>
      <c r="Y1183" s="347"/>
      <c r="Z1183" s="347"/>
      <c r="AA1183" s="579"/>
      <c r="AB1183" s="581"/>
      <c r="AC1183" s="347"/>
      <c r="AD1183" s="347"/>
      <c r="AE1183" s="347"/>
      <c r="AF1183" s="347"/>
      <c r="AG1183" s="579"/>
      <c r="AH1183" s="579"/>
      <c r="AI1183" s="582"/>
      <c r="AJ1183" s="582"/>
      <c r="AK1183" s="582"/>
      <c r="AL1183" s="582"/>
      <c r="AM1183" s="579"/>
      <c r="AN1183" s="579"/>
      <c r="AO1183" s="347"/>
      <c r="AP1183" s="586"/>
      <c r="AQ1183" s="596"/>
      <c r="AR1183" s="596"/>
      <c r="AS1183" s="348"/>
      <c r="AT1183" s="348"/>
      <c r="AU1183" s="348"/>
      <c r="AV1183" s="348"/>
      <c r="AW1183" s="348"/>
      <c r="AX1183" s="584"/>
      <c r="AY1183" s="581"/>
      <c r="AZ1183" s="581"/>
      <c r="BA1183" s="596"/>
      <c r="BB1183" s="596"/>
      <c r="BC1183" s="348"/>
      <c r="BD1183" s="581"/>
      <c r="BE1183" s="581"/>
      <c r="BF1183" s="347"/>
      <c r="BG1183" s="347"/>
      <c r="BH1183" s="347"/>
      <c r="BI1183" s="347"/>
      <c r="BJ1183" s="586"/>
      <c r="BK1183" s="581"/>
      <c r="BL1183" s="347"/>
      <c r="BM1183" s="347"/>
      <c r="BN1183" s="347"/>
      <c r="BO1183" s="586"/>
      <c r="BP1183" s="584"/>
      <c r="BQ1183" s="347"/>
      <c r="BR1183" s="586"/>
      <c r="BS1183" s="588"/>
      <c r="BT1183" s="586"/>
      <c r="BU1183" s="589"/>
      <c r="BV1183" s="581"/>
      <c r="BW1183" s="590"/>
      <c r="BX1183" s="347"/>
      <c r="BY1183" s="347"/>
      <c r="BZ1183" s="347"/>
      <c r="CA1183" s="586"/>
      <c r="CB1183" s="581"/>
      <c r="CC1183" s="581"/>
      <c r="CD1183" s="581"/>
      <c r="CE1183" s="581"/>
      <c r="CF1183" s="581"/>
      <c r="CG1183" s="586"/>
      <c r="CH1183" s="608"/>
      <c r="CI1183" s="603"/>
      <c r="CJ1183" s="347"/>
      <c r="CK1183" s="347"/>
      <c r="CL1183" s="347"/>
      <c r="CM1183" s="347"/>
      <c r="CN1183" s="347"/>
      <c r="CO1183" s="347"/>
      <c r="CP1183" s="347"/>
    </row>
    <row r="1184">
      <c r="A1184" s="574"/>
      <c r="B1184" s="574"/>
      <c r="C1184" s="347"/>
      <c r="D1184" s="574"/>
      <c r="E1184" s="347"/>
      <c r="F1184" s="596"/>
      <c r="G1184" s="596"/>
      <c r="H1184" s="347"/>
      <c r="I1184" s="347"/>
      <c r="J1184" s="596"/>
      <c r="K1184" s="609"/>
      <c r="L1184" s="1"/>
      <c r="M1184" s="347"/>
      <c r="N1184" s="347"/>
      <c r="O1184" s="579"/>
      <c r="P1184" s="579"/>
      <c r="Q1184" s="574"/>
      <c r="R1184" s="347"/>
      <c r="S1184" s="597"/>
      <c r="T1184" s="347"/>
      <c r="U1184" s="579"/>
      <c r="V1184" s="579"/>
      <c r="W1184" s="574"/>
      <c r="X1184" s="347"/>
      <c r="Y1184" s="347"/>
      <c r="Z1184" s="347"/>
      <c r="AA1184" s="579"/>
      <c r="AB1184" s="581"/>
      <c r="AC1184" s="347"/>
      <c r="AD1184" s="347"/>
      <c r="AE1184" s="347"/>
      <c r="AF1184" s="347"/>
      <c r="AG1184" s="579"/>
      <c r="AH1184" s="579"/>
      <c r="AI1184" s="582"/>
      <c r="AJ1184" s="582"/>
      <c r="AK1184" s="582"/>
      <c r="AL1184" s="582"/>
      <c r="AM1184" s="579"/>
      <c r="AN1184" s="579"/>
      <c r="AO1184" s="347"/>
      <c r="AP1184" s="586"/>
      <c r="AQ1184" s="596"/>
      <c r="AR1184" s="596"/>
      <c r="AS1184" s="348"/>
      <c r="AT1184" s="348"/>
      <c r="AU1184" s="348"/>
      <c r="AV1184" s="348"/>
      <c r="AW1184" s="348"/>
      <c r="AX1184" s="584"/>
      <c r="AY1184" s="581"/>
      <c r="AZ1184" s="581"/>
      <c r="BA1184" s="596"/>
      <c r="BB1184" s="596"/>
      <c r="BC1184" s="348"/>
      <c r="BD1184" s="581"/>
      <c r="BE1184" s="581"/>
      <c r="BF1184" s="347"/>
      <c r="BG1184" s="347"/>
      <c r="BH1184" s="347"/>
      <c r="BI1184" s="347"/>
      <c r="BJ1184" s="586"/>
      <c r="BK1184" s="581"/>
      <c r="BL1184" s="347"/>
      <c r="BM1184" s="347"/>
      <c r="BN1184" s="347"/>
      <c r="BO1184" s="586"/>
      <c r="BP1184" s="584"/>
      <c r="BQ1184" s="347"/>
      <c r="BR1184" s="586"/>
      <c r="BS1184" s="588"/>
      <c r="BT1184" s="586"/>
      <c r="BU1184" s="589"/>
      <c r="BV1184" s="581"/>
      <c r="BW1184" s="590"/>
      <c r="BX1184" s="347"/>
      <c r="BY1184" s="347"/>
      <c r="BZ1184" s="347"/>
      <c r="CA1184" s="586"/>
      <c r="CB1184" s="581"/>
      <c r="CC1184" s="581"/>
      <c r="CD1184" s="581"/>
      <c r="CE1184" s="581"/>
      <c r="CF1184" s="581"/>
      <c r="CG1184" s="586"/>
      <c r="CH1184" s="608"/>
      <c r="CI1184" s="603"/>
      <c r="CJ1184" s="347"/>
      <c r="CK1184" s="347"/>
      <c r="CL1184" s="347"/>
      <c r="CM1184" s="347"/>
      <c r="CN1184" s="347"/>
      <c r="CO1184" s="347"/>
      <c r="CP1184" s="347"/>
    </row>
    <row r="1185">
      <c r="A1185" s="574"/>
      <c r="B1185" s="574"/>
      <c r="C1185" s="347"/>
      <c r="D1185" s="574"/>
      <c r="E1185" s="347"/>
      <c r="F1185" s="596"/>
      <c r="G1185" s="596"/>
      <c r="H1185" s="347"/>
      <c r="I1185" s="347"/>
      <c r="J1185" s="596"/>
      <c r="K1185" s="609"/>
      <c r="L1185" s="1"/>
      <c r="M1185" s="347"/>
      <c r="N1185" s="347"/>
      <c r="O1185" s="579"/>
      <c r="P1185" s="579"/>
      <c r="Q1185" s="574"/>
      <c r="R1185" s="347"/>
      <c r="S1185" s="597"/>
      <c r="T1185" s="347"/>
      <c r="U1185" s="579"/>
      <c r="V1185" s="579"/>
      <c r="W1185" s="574"/>
      <c r="X1185" s="347"/>
      <c r="Y1185" s="347"/>
      <c r="Z1185" s="347"/>
      <c r="AA1185" s="579"/>
      <c r="AB1185" s="581"/>
      <c r="AC1185" s="347"/>
      <c r="AD1185" s="347"/>
      <c r="AE1185" s="347"/>
      <c r="AF1185" s="347"/>
      <c r="AG1185" s="579"/>
      <c r="AH1185" s="579"/>
      <c r="AI1185" s="582"/>
      <c r="AJ1185" s="582"/>
      <c r="AK1185" s="582"/>
      <c r="AL1185" s="582"/>
      <c r="AM1185" s="579"/>
      <c r="AN1185" s="579"/>
      <c r="AO1185" s="347"/>
      <c r="AP1185" s="586"/>
      <c r="AQ1185" s="596"/>
      <c r="AR1185" s="596"/>
      <c r="AS1185" s="348"/>
      <c r="AT1185" s="348"/>
      <c r="AU1185" s="348"/>
      <c r="AV1185" s="348"/>
      <c r="AW1185" s="348"/>
      <c r="AX1185" s="584"/>
      <c r="AY1185" s="581"/>
      <c r="AZ1185" s="581"/>
      <c r="BA1185" s="596"/>
      <c r="BB1185" s="596"/>
      <c r="BC1185" s="348"/>
      <c r="BD1185" s="581"/>
      <c r="BE1185" s="581"/>
      <c r="BF1185" s="347"/>
      <c r="BG1185" s="347"/>
      <c r="BH1185" s="347"/>
      <c r="BI1185" s="347"/>
      <c r="BJ1185" s="586"/>
      <c r="BK1185" s="581"/>
      <c r="BL1185" s="347"/>
      <c r="BM1185" s="347"/>
      <c r="BN1185" s="347"/>
      <c r="BO1185" s="586"/>
      <c r="BP1185" s="584"/>
      <c r="BQ1185" s="347"/>
      <c r="BR1185" s="586"/>
      <c r="BS1185" s="588"/>
      <c r="BT1185" s="586"/>
      <c r="BU1185" s="589"/>
      <c r="BV1185" s="581"/>
      <c r="BW1185" s="590"/>
      <c r="BX1185" s="347"/>
      <c r="BY1185" s="347"/>
      <c r="BZ1185" s="347"/>
      <c r="CA1185" s="586"/>
      <c r="CB1185" s="581"/>
      <c r="CC1185" s="581"/>
      <c r="CD1185" s="581"/>
      <c r="CE1185" s="581"/>
      <c r="CF1185" s="581"/>
      <c r="CG1185" s="586"/>
      <c r="CH1185" s="608"/>
      <c r="CI1185" s="603"/>
      <c r="CJ1185" s="347"/>
      <c r="CK1185" s="347"/>
      <c r="CL1185" s="347"/>
      <c r="CM1185" s="347"/>
      <c r="CN1185" s="347"/>
      <c r="CO1185" s="347"/>
      <c r="CP1185" s="347"/>
    </row>
    <row r="1186">
      <c r="A1186" s="574"/>
      <c r="B1186" s="574"/>
      <c r="C1186" s="347"/>
      <c r="D1186" s="574"/>
      <c r="E1186" s="347"/>
      <c r="F1186" s="596"/>
      <c r="G1186" s="596"/>
      <c r="H1186" s="347"/>
      <c r="I1186" s="347"/>
      <c r="J1186" s="596"/>
      <c r="K1186" s="609"/>
      <c r="L1186" s="1"/>
      <c r="M1186" s="347"/>
      <c r="N1186" s="347"/>
      <c r="O1186" s="579"/>
      <c r="P1186" s="579"/>
      <c r="Q1186" s="574"/>
      <c r="R1186" s="347"/>
      <c r="S1186" s="597"/>
      <c r="T1186" s="347"/>
      <c r="U1186" s="579"/>
      <c r="V1186" s="579"/>
      <c r="W1186" s="574"/>
      <c r="X1186" s="347"/>
      <c r="Y1186" s="347"/>
      <c r="Z1186" s="347"/>
      <c r="AA1186" s="579"/>
      <c r="AB1186" s="581"/>
      <c r="AC1186" s="347"/>
      <c r="AD1186" s="347"/>
      <c r="AE1186" s="347"/>
      <c r="AF1186" s="347"/>
      <c r="AG1186" s="579"/>
      <c r="AH1186" s="579"/>
      <c r="AI1186" s="582"/>
      <c r="AJ1186" s="582"/>
      <c r="AK1186" s="582"/>
      <c r="AL1186" s="582"/>
      <c r="AM1186" s="579"/>
      <c r="AN1186" s="579"/>
      <c r="AO1186" s="347"/>
      <c r="AP1186" s="586"/>
      <c r="AQ1186" s="596"/>
      <c r="AR1186" s="596"/>
      <c r="AS1186" s="348"/>
      <c r="AT1186" s="348"/>
      <c r="AU1186" s="348"/>
      <c r="AV1186" s="348"/>
      <c r="AW1186" s="348"/>
      <c r="AX1186" s="584"/>
      <c r="AY1186" s="581"/>
      <c r="AZ1186" s="581"/>
      <c r="BA1186" s="596"/>
      <c r="BB1186" s="596"/>
      <c r="BC1186" s="348"/>
      <c r="BD1186" s="581"/>
      <c r="BE1186" s="581"/>
      <c r="BF1186" s="347"/>
      <c r="BG1186" s="347"/>
      <c r="BH1186" s="347"/>
      <c r="BI1186" s="347"/>
      <c r="BJ1186" s="586"/>
      <c r="BK1186" s="581"/>
      <c r="BL1186" s="347"/>
      <c r="BM1186" s="347"/>
      <c r="BN1186" s="347"/>
      <c r="BO1186" s="586"/>
      <c r="BP1186" s="584"/>
      <c r="BQ1186" s="347"/>
      <c r="BR1186" s="586"/>
      <c r="BS1186" s="588"/>
      <c r="BT1186" s="586"/>
      <c r="BU1186" s="589"/>
      <c r="BV1186" s="581"/>
      <c r="BW1186" s="590"/>
      <c r="BX1186" s="347"/>
      <c r="BY1186" s="347"/>
      <c r="BZ1186" s="347"/>
      <c r="CA1186" s="586"/>
      <c r="CB1186" s="581"/>
      <c r="CC1186" s="581"/>
      <c r="CD1186" s="581"/>
      <c r="CE1186" s="581"/>
      <c r="CF1186" s="581"/>
      <c r="CG1186" s="586"/>
      <c r="CH1186" s="608"/>
      <c r="CI1186" s="603"/>
      <c r="CJ1186" s="347"/>
      <c r="CK1186" s="347"/>
      <c r="CL1186" s="347"/>
      <c r="CM1186" s="347"/>
      <c r="CN1186" s="347"/>
      <c r="CO1186" s="347"/>
      <c r="CP1186" s="347"/>
    </row>
    <row r="1187">
      <c r="A1187" s="574"/>
      <c r="B1187" s="574"/>
      <c r="C1187" s="347"/>
      <c r="D1187" s="574"/>
      <c r="E1187" s="347"/>
      <c r="F1187" s="596"/>
      <c r="G1187" s="596"/>
      <c r="H1187" s="347"/>
      <c r="I1187" s="347"/>
      <c r="J1187" s="596"/>
      <c r="K1187" s="609"/>
      <c r="L1187" s="1"/>
      <c r="M1187" s="347"/>
      <c r="N1187" s="347"/>
      <c r="O1187" s="579"/>
      <c r="P1187" s="579"/>
      <c r="Q1187" s="574"/>
      <c r="R1187" s="347"/>
      <c r="S1187" s="597"/>
      <c r="T1187" s="347"/>
      <c r="U1187" s="579"/>
      <c r="V1187" s="579"/>
      <c r="W1187" s="574"/>
      <c r="X1187" s="347"/>
      <c r="Y1187" s="347"/>
      <c r="Z1187" s="347"/>
      <c r="AA1187" s="579"/>
      <c r="AB1187" s="581"/>
      <c r="AC1187" s="347"/>
      <c r="AD1187" s="347"/>
      <c r="AE1187" s="347"/>
      <c r="AF1187" s="347"/>
      <c r="AG1187" s="579"/>
      <c r="AH1187" s="579"/>
      <c r="AI1187" s="582"/>
      <c r="AJ1187" s="582"/>
      <c r="AK1187" s="582"/>
      <c r="AL1187" s="582"/>
      <c r="AM1187" s="579"/>
      <c r="AN1187" s="579"/>
      <c r="AO1187" s="347"/>
      <c r="AP1187" s="586"/>
      <c r="AQ1187" s="596"/>
      <c r="AR1187" s="596"/>
      <c r="AS1187" s="348"/>
      <c r="AT1187" s="348"/>
      <c r="AU1187" s="348"/>
      <c r="AV1187" s="348"/>
      <c r="AW1187" s="348"/>
      <c r="AX1187" s="584"/>
      <c r="AY1187" s="581"/>
      <c r="AZ1187" s="581"/>
      <c r="BA1187" s="596"/>
      <c r="BB1187" s="596"/>
      <c r="BC1187" s="348"/>
      <c r="BD1187" s="581"/>
      <c r="BE1187" s="581"/>
      <c r="BF1187" s="347"/>
      <c r="BG1187" s="347"/>
      <c r="BH1187" s="347"/>
      <c r="BI1187" s="347"/>
      <c r="BJ1187" s="586"/>
      <c r="BK1187" s="581"/>
      <c r="BL1187" s="347"/>
      <c r="BM1187" s="347"/>
      <c r="BN1187" s="347"/>
      <c r="BO1187" s="586"/>
      <c r="BP1187" s="584"/>
      <c r="BQ1187" s="347"/>
      <c r="BR1187" s="586"/>
      <c r="BS1187" s="588"/>
      <c r="BT1187" s="586"/>
      <c r="BU1187" s="589"/>
      <c r="BV1187" s="581"/>
      <c r="BW1187" s="590"/>
      <c r="BX1187" s="347"/>
      <c r="BY1187" s="347"/>
      <c r="BZ1187" s="347"/>
      <c r="CA1187" s="586"/>
      <c r="CB1187" s="581"/>
      <c r="CC1187" s="581"/>
      <c r="CD1187" s="581"/>
      <c r="CE1187" s="581"/>
      <c r="CF1187" s="581"/>
      <c r="CG1187" s="586"/>
      <c r="CH1187" s="608"/>
      <c r="CI1187" s="603"/>
      <c r="CJ1187" s="347"/>
      <c r="CK1187" s="347"/>
      <c r="CL1187" s="347"/>
      <c r="CM1187" s="347"/>
      <c r="CN1187" s="347"/>
      <c r="CO1187" s="347"/>
      <c r="CP1187" s="347"/>
    </row>
    <row r="1188">
      <c r="A1188" s="574"/>
      <c r="B1188" s="574"/>
      <c r="C1188" s="347"/>
      <c r="D1188" s="574"/>
      <c r="E1188" s="347"/>
      <c r="F1188" s="596"/>
      <c r="G1188" s="596"/>
      <c r="H1188" s="347"/>
      <c r="I1188" s="347"/>
      <c r="J1188" s="596"/>
      <c r="K1188" s="609"/>
      <c r="L1188" s="1"/>
      <c r="M1188" s="347"/>
      <c r="N1188" s="347"/>
      <c r="O1188" s="579"/>
      <c r="P1188" s="579"/>
      <c r="Q1188" s="574"/>
      <c r="R1188" s="347"/>
      <c r="S1188" s="597"/>
      <c r="T1188" s="347"/>
      <c r="U1188" s="579"/>
      <c r="V1188" s="579"/>
      <c r="W1188" s="574"/>
      <c r="X1188" s="347"/>
      <c r="Y1188" s="347"/>
      <c r="Z1188" s="347"/>
      <c r="AA1188" s="579"/>
      <c r="AB1188" s="581"/>
      <c r="AC1188" s="347"/>
      <c r="AD1188" s="347"/>
      <c r="AE1188" s="347"/>
      <c r="AF1188" s="347"/>
      <c r="AG1188" s="579"/>
      <c r="AH1188" s="579"/>
      <c r="AI1188" s="582"/>
      <c r="AJ1188" s="582"/>
      <c r="AK1188" s="582"/>
      <c r="AL1188" s="582"/>
      <c r="AM1188" s="579"/>
      <c r="AN1188" s="579"/>
      <c r="AO1188" s="347"/>
      <c r="AP1188" s="586"/>
      <c r="AQ1188" s="596"/>
      <c r="AR1188" s="596"/>
      <c r="AS1188" s="348"/>
      <c r="AT1188" s="348"/>
      <c r="AU1188" s="348"/>
      <c r="AV1188" s="348"/>
      <c r="AW1188" s="348"/>
      <c r="AX1188" s="584"/>
      <c r="AY1188" s="581"/>
      <c r="AZ1188" s="581"/>
      <c r="BA1188" s="596"/>
      <c r="BB1188" s="596"/>
      <c r="BC1188" s="348"/>
      <c r="BD1188" s="581"/>
      <c r="BE1188" s="581"/>
      <c r="BF1188" s="347"/>
      <c r="BG1188" s="347"/>
      <c r="BH1188" s="347"/>
      <c r="BI1188" s="347"/>
      <c r="BJ1188" s="586"/>
      <c r="BK1188" s="581"/>
      <c r="BL1188" s="347"/>
      <c r="BM1188" s="347"/>
      <c r="BN1188" s="347"/>
      <c r="BO1188" s="586"/>
      <c r="BP1188" s="584"/>
      <c r="BQ1188" s="347"/>
      <c r="BR1188" s="586"/>
      <c r="BS1188" s="588"/>
      <c r="BT1188" s="586"/>
      <c r="BU1188" s="589"/>
      <c r="BV1188" s="581"/>
      <c r="BW1188" s="590"/>
      <c r="BX1188" s="347"/>
      <c r="BY1188" s="347"/>
      <c r="BZ1188" s="347"/>
      <c r="CA1188" s="586"/>
      <c r="CB1188" s="581"/>
      <c r="CC1188" s="581"/>
      <c r="CD1188" s="581"/>
      <c r="CE1188" s="581"/>
      <c r="CF1188" s="581"/>
      <c r="CG1188" s="586"/>
      <c r="CH1188" s="608"/>
      <c r="CI1188" s="603"/>
      <c r="CJ1188" s="347"/>
      <c r="CK1188" s="347"/>
      <c r="CL1188" s="347"/>
      <c r="CM1188" s="347"/>
      <c r="CN1188" s="347"/>
      <c r="CO1188" s="347"/>
      <c r="CP1188" s="347"/>
    </row>
    <row r="1189">
      <c r="A1189" s="574"/>
      <c r="B1189" s="574"/>
      <c r="C1189" s="347"/>
      <c r="D1189" s="574"/>
      <c r="E1189" s="347"/>
      <c r="F1189" s="596"/>
      <c r="G1189" s="596"/>
      <c r="H1189" s="347"/>
      <c r="I1189" s="347"/>
      <c r="J1189" s="596"/>
      <c r="K1189" s="609"/>
      <c r="L1189" s="1"/>
      <c r="M1189" s="347"/>
      <c r="N1189" s="347"/>
      <c r="O1189" s="579"/>
      <c r="P1189" s="579"/>
      <c r="Q1189" s="574"/>
      <c r="R1189" s="347"/>
      <c r="S1189" s="597"/>
      <c r="T1189" s="347"/>
      <c r="U1189" s="579"/>
      <c r="V1189" s="579"/>
      <c r="W1189" s="574"/>
      <c r="X1189" s="347"/>
      <c r="Y1189" s="347"/>
      <c r="Z1189" s="347"/>
      <c r="AA1189" s="579"/>
      <c r="AB1189" s="581"/>
      <c r="AC1189" s="347"/>
      <c r="AD1189" s="347"/>
      <c r="AE1189" s="347"/>
      <c r="AF1189" s="347"/>
      <c r="AG1189" s="579"/>
      <c r="AH1189" s="579"/>
      <c r="AI1189" s="582"/>
      <c r="AJ1189" s="582"/>
      <c r="AK1189" s="582"/>
      <c r="AL1189" s="582"/>
      <c r="AM1189" s="579"/>
      <c r="AN1189" s="579"/>
      <c r="AO1189" s="347"/>
      <c r="AP1189" s="586"/>
      <c r="AQ1189" s="596"/>
      <c r="AR1189" s="596"/>
      <c r="AS1189" s="348"/>
      <c r="AT1189" s="348"/>
      <c r="AU1189" s="348"/>
      <c r="AV1189" s="348"/>
      <c r="AW1189" s="348"/>
      <c r="AX1189" s="584"/>
      <c r="AY1189" s="581"/>
      <c r="AZ1189" s="581"/>
      <c r="BA1189" s="596"/>
      <c r="BB1189" s="596"/>
      <c r="BC1189" s="348"/>
      <c r="BD1189" s="581"/>
      <c r="BE1189" s="581"/>
      <c r="BF1189" s="347"/>
      <c r="BG1189" s="347"/>
      <c r="BH1189" s="347"/>
      <c r="BI1189" s="347"/>
      <c r="BJ1189" s="586"/>
      <c r="BK1189" s="581"/>
      <c r="BL1189" s="347"/>
      <c r="BM1189" s="347"/>
      <c r="BN1189" s="347"/>
      <c r="BO1189" s="586"/>
      <c r="BP1189" s="584"/>
      <c r="BQ1189" s="347"/>
      <c r="BR1189" s="586"/>
      <c r="BS1189" s="588"/>
      <c r="BT1189" s="586"/>
      <c r="BU1189" s="589"/>
      <c r="BV1189" s="581"/>
      <c r="BW1189" s="590"/>
      <c r="BX1189" s="347"/>
      <c r="BY1189" s="347"/>
      <c r="BZ1189" s="347"/>
      <c r="CA1189" s="586"/>
      <c r="CB1189" s="581"/>
      <c r="CC1189" s="581"/>
      <c r="CD1189" s="581"/>
      <c r="CE1189" s="581"/>
      <c r="CF1189" s="581"/>
      <c r="CG1189" s="586"/>
      <c r="CH1189" s="608"/>
      <c r="CI1189" s="603"/>
      <c r="CJ1189" s="347"/>
      <c r="CK1189" s="347"/>
      <c r="CL1189" s="347"/>
      <c r="CM1189" s="347"/>
      <c r="CN1189" s="347"/>
      <c r="CO1189" s="347"/>
      <c r="CP1189" s="347"/>
    </row>
    <row r="1190">
      <c r="A1190" s="574"/>
      <c r="B1190" s="574"/>
      <c r="C1190" s="347"/>
      <c r="D1190" s="574"/>
      <c r="E1190" s="347"/>
      <c r="F1190" s="596"/>
      <c r="G1190" s="596"/>
      <c r="H1190" s="347"/>
      <c r="I1190" s="347"/>
      <c r="J1190" s="596"/>
      <c r="K1190" s="609"/>
      <c r="L1190" s="1"/>
      <c r="M1190" s="347"/>
      <c r="N1190" s="347"/>
      <c r="O1190" s="579"/>
      <c r="P1190" s="579"/>
      <c r="Q1190" s="574"/>
      <c r="R1190" s="347"/>
      <c r="S1190" s="597"/>
      <c r="T1190" s="347"/>
      <c r="U1190" s="579"/>
      <c r="V1190" s="579"/>
      <c r="W1190" s="574"/>
      <c r="X1190" s="347"/>
      <c r="Y1190" s="347"/>
      <c r="Z1190" s="347"/>
      <c r="AA1190" s="579"/>
      <c r="AB1190" s="581"/>
      <c r="AC1190" s="347"/>
      <c r="AD1190" s="347"/>
      <c r="AE1190" s="347"/>
      <c r="AF1190" s="347"/>
      <c r="AG1190" s="579"/>
      <c r="AH1190" s="579"/>
      <c r="AI1190" s="582"/>
      <c r="AJ1190" s="582"/>
      <c r="AK1190" s="582"/>
      <c r="AL1190" s="582"/>
      <c r="AM1190" s="579"/>
      <c r="AN1190" s="579"/>
      <c r="AO1190" s="347"/>
      <c r="AP1190" s="586"/>
      <c r="AQ1190" s="596"/>
      <c r="AR1190" s="596"/>
      <c r="AS1190" s="348"/>
      <c r="AT1190" s="348"/>
      <c r="AU1190" s="348"/>
      <c r="AV1190" s="348"/>
      <c r="AW1190" s="348"/>
      <c r="AX1190" s="584"/>
      <c r="AY1190" s="581"/>
      <c r="AZ1190" s="581"/>
      <c r="BA1190" s="596"/>
      <c r="BB1190" s="596"/>
      <c r="BC1190" s="348"/>
      <c r="BD1190" s="581"/>
      <c r="BE1190" s="581"/>
      <c r="BF1190" s="347"/>
      <c r="BG1190" s="347"/>
      <c r="BH1190" s="347"/>
      <c r="BI1190" s="347"/>
      <c r="BJ1190" s="586"/>
      <c r="BK1190" s="581"/>
      <c r="BL1190" s="347"/>
      <c r="BM1190" s="347"/>
      <c r="BN1190" s="347"/>
      <c r="BO1190" s="586"/>
      <c r="BP1190" s="584"/>
      <c r="BQ1190" s="347"/>
      <c r="BR1190" s="586"/>
      <c r="BS1190" s="588"/>
      <c r="BT1190" s="586"/>
      <c r="BU1190" s="589"/>
      <c r="BV1190" s="581"/>
      <c r="BW1190" s="590"/>
      <c r="BX1190" s="347"/>
      <c r="BY1190" s="347"/>
      <c r="BZ1190" s="347"/>
      <c r="CA1190" s="586"/>
      <c r="CB1190" s="581"/>
      <c r="CC1190" s="581"/>
      <c r="CD1190" s="581"/>
      <c r="CE1190" s="581"/>
      <c r="CF1190" s="581"/>
      <c r="CG1190" s="586"/>
      <c r="CH1190" s="608"/>
      <c r="CI1190" s="603"/>
      <c r="CJ1190" s="347"/>
      <c r="CK1190" s="347"/>
      <c r="CL1190" s="347"/>
      <c r="CM1190" s="347"/>
      <c r="CN1190" s="347"/>
      <c r="CO1190" s="347"/>
      <c r="CP1190" s="347"/>
    </row>
    <row r="1191">
      <c r="A1191" s="574"/>
      <c r="B1191" s="574"/>
      <c r="C1191" s="347"/>
      <c r="D1191" s="574"/>
      <c r="E1191" s="347"/>
      <c r="F1191" s="596"/>
      <c r="G1191" s="596"/>
      <c r="H1191" s="347"/>
      <c r="I1191" s="347"/>
      <c r="J1191" s="596"/>
      <c r="K1191" s="609"/>
      <c r="L1191" s="1"/>
      <c r="M1191" s="347"/>
      <c r="N1191" s="347"/>
      <c r="O1191" s="579"/>
      <c r="P1191" s="579"/>
      <c r="Q1191" s="574"/>
      <c r="R1191" s="347"/>
      <c r="S1191" s="597"/>
      <c r="T1191" s="347"/>
      <c r="U1191" s="579"/>
      <c r="V1191" s="579"/>
      <c r="W1191" s="574"/>
      <c r="X1191" s="347"/>
      <c r="Y1191" s="347"/>
      <c r="Z1191" s="347"/>
      <c r="AA1191" s="579"/>
      <c r="AB1191" s="581"/>
      <c r="AC1191" s="347"/>
      <c r="AD1191" s="347"/>
      <c r="AE1191" s="347"/>
      <c r="AF1191" s="347"/>
      <c r="AG1191" s="579"/>
      <c r="AH1191" s="579"/>
      <c r="AI1191" s="582"/>
      <c r="AJ1191" s="582"/>
      <c r="AK1191" s="582"/>
      <c r="AL1191" s="582"/>
      <c r="AM1191" s="579"/>
      <c r="AN1191" s="579"/>
      <c r="AO1191" s="347"/>
      <c r="AP1191" s="586"/>
      <c r="AQ1191" s="596"/>
      <c r="AR1191" s="596"/>
      <c r="AS1191" s="348"/>
      <c r="AT1191" s="348"/>
      <c r="AU1191" s="348"/>
      <c r="AV1191" s="348"/>
      <c r="AW1191" s="348"/>
      <c r="AX1191" s="584"/>
      <c r="AY1191" s="581"/>
      <c r="AZ1191" s="581"/>
      <c r="BA1191" s="596"/>
      <c r="BB1191" s="596"/>
      <c r="BC1191" s="348"/>
      <c r="BD1191" s="581"/>
      <c r="BE1191" s="581"/>
      <c r="BF1191" s="347"/>
      <c r="BG1191" s="347"/>
      <c r="BH1191" s="347"/>
      <c r="BI1191" s="347"/>
      <c r="BJ1191" s="586"/>
      <c r="BK1191" s="581"/>
      <c r="BL1191" s="347"/>
      <c r="BM1191" s="347"/>
      <c r="BN1191" s="347"/>
      <c r="BO1191" s="586"/>
      <c r="BP1191" s="584"/>
      <c r="BQ1191" s="347"/>
      <c r="BR1191" s="586"/>
      <c r="BS1191" s="588"/>
      <c r="BT1191" s="586"/>
      <c r="BU1191" s="589"/>
      <c r="BV1191" s="581"/>
      <c r="BW1191" s="590"/>
      <c r="BX1191" s="347"/>
      <c r="BY1191" s="347"/>
      <c r="BZ1191" s="347"/>
      <c r="CA1191" s="586"/>
      <c r="CB1191" s="581"/>
      <c r="CC1191" s="581"/>
      <c r="CD1191" s="581"/>
      <c r="CE1191" s="581"/>
      <c r="CF1191" s="581"/>
      <c r="CG1191" s="586"/>
      <c r="CH1191" s="608"/>
      <c r="CI1191" s="603"/>
      <c r="CJ1191" s="347"/>
      <c r="CK1191" s="347"/>
      <c r="CL1191" s="347"/>
      <c r="CM1191" s="347"/>
      <c r="CN1191" s="347"/>
      <c r="CO1191" s="347"/>
      <c r="CP1191" s="347"/>
    </row>
    <row r="1192">
      <c r="A1192" s="574"/>
      <c r="B1192" s="574"/>
      <c r="C1192" s="347"/>
      <c r="D1192" s="574"/>
      <c r="E1192" s="347"/>
      <c r="F1192" s="596"/>
      <c r="G1192" s="596"/>
      <c r="H1192" s="347"/>
      <c r="I1192" s="347"/>
      <c r="J1192" s="596"/>
      <c r="K1192" s="609"/>
      <c r="L1192" s="1"/>
      <c r="M1192" s="347"/>
      <c r="N1192" s="347"/>
      <c r="O1192" s="579"/>
      <c r="P1192" s="579"/>
      <c r="Q1192" s="574"/>
      <c r="R1192" s="347"/>
      <c r="S1192" s="597"/>
      <c r="T1192" s="347"/>
      <c r="U1192" s="579"/>
      <c r="V1192" s="579"/>
      <c r="W1192" s="574"/>
      <c r="X1192" s="347"/>
      <c r="Y1192" s="347"/>
      <c r="Z1192" s="347"/>
      <c r="AA1192" s="579"/>
      <c r="AB1192" s="581"/>
      <c r="AC1192" s="347"/>
      <c r="AD1192" s="347"/>
      <c r="AE1192" s="347"/>
      <c r="AF1192" s="347"/>
      <c r="AG1192" s="579"/>
      <c r="AH1192" s="579"/>
      <c r="AI1192" s="582"/>
      <c r="AJ1192" s="582"/>
      <c r="AK1192" s="582"/>
      <c r="AL1192" s="582"/>
      <c r="AM1192" s="579"/>
      <c r="AN1192" s="579"/>
      <c r="AO1192" s="347"/>
      <c r="AP1192" s="586"/>
      <c r="AQ1192" s="596"/>
      <c r="AR1192" s="596"/>
      <c r="AS1192" s="348"/>
      <c r="AT1192" s="348"/>
      <c r="AU1192" s="348"/>
      <c r="AV1192" s="348"/>
      <c r="AW1192" s="348"/>
      <c r="AX1192" s="584"/>
      <c r="AY1192" s="581"/>
      <c r="AZ1192" s="581"/>
      <c r="BA1192" s="596"/>
      <c r="BB1192" s="596"/>
      <c r="BC1192" s="348"/>
      <c r="BD1192" s="581"/>
      <c r="BE1192" s="581"/>
      <c r="BF1192" s="347"/>
      <c r="BG1192" s="347"/>
      <c r="BH1192" s="347"/>
      <c r="BI1192" s="347"/>
      <c r="BJ1192" s="586"/>
      <c r="BK1192" s="581"/>
      <c r="BL1192" s="347"/>
      <c r="BM1192" s="347"/>
      <c r="BN1192" s="347"/>
      <c r="BO1192" s="586"/>
      <c r="BP1192" s="584"/>
      <c r="BQ1192" s="347"/>
      <c r="BR1192" s="586"/>
      <c r="BS1192" s="588"/>
      <c r="BT1192" s="586"/>
      <c r="BU1192" s="589"/>
      <c r="BV1192" s="581"/>
      <c r="BW1192" s="590"/>
      <c r="BX1192" s="347"/>
      <c r="BY1192" s="347"/>
      <c r="BZ1192" s="347"/>
      <c r="CA1192" s="586"/>
      <c r="CB1192" s="581"/>
      <c r="CC1192" s="581"/>
      <c r="CD1192" s="581"/>
      <c r="CE1192" s="581"/>
      <c r="CF1192" s="581"/>
      <c r="CG1192" s="586"/>
      <c r="CH1192" s="608"/>
      <c r="CI1192" s="603"/>
      <c r="CJ1192" s="347"/>
      <c r="CK1192" s="347"/>
      <c r="CL1192" s="347"/>
      <c r="CM1192" s="347"/>
      <c r="CN1192" s="347"/>
      <c r="CO1192" s="347"/>
      <c r="CP1192" s="347"/>
    </row>
    <row r="1193">
      <c r="A1193" s="574"/>
      <c r="B1193" s="574"/>
      <c r="C1193" s="347"/>
      <c r="D1193" s="574"/>
      <c r="E1193" s="347"/>
      <c r="F1193" s="596"/>
      <c r="G1193" s="596"/>
      <c r="H1193" s="347"/>
      <c r="I1193" s="347"/>
      <c r="J1193" s="596"/>
      <c r="K1193" s="609"/>
      <c r="L1193" s="1"/>
      <c r="M1193" s="347"/>
      <c r="N1193" s="347"/>
      <c r="O1193" s="579"/>
      <c r="P1193" s="579"/>
      <c r="Q1193" s="574"/>
      <c r="R1193" s="347"/>
      <c r="S1193" s="597"/>
      <c r="T1193" s="347"/>
      <c r="U1193" s="579"/>
      <c r="V1193" s="579"/>
      <c r="W1193" s="574"/>
      <c r="X1193" s="347"/>
      <c r="Y1193" s="347"/>
      <c r="Z1193" s="347"/>
      <c r="AA1193" s="579"/>
      <c r="AB1193" s="581"/>
      <c r="AC1193" s="347"/>
      <c r="AD1193" s="347"/>
      <c r="AE1193" s="347"/>
      <c r="AF1193" s="347"/>
      <c r="AG1193" s="579"/>
      <c r="AH1193" s="579"/>
      <c r="AI1193" s="582"/>
      <c r="AJ1193" s="582"/>
      <c r="AK1193" s="582"/>
      <c r="AL1193" s="582"/>
      <c r="AM1193" s="579"/>
      <c r="AN1193" s="579"/>
      <c r="AO1193" s="347"/>
      <c r="AP1193" s="586"/>
      <c r="AQ1193" s="596"/>
      <c r="AR1193" s="596"/>
      <c r="AS1193" s="348"/>
      <c r="AT1193" s="348"/>
      <c r="AU1193" s="348"/>
      <c r="AV1193" s="348"/>
      <c r="AW1193" s="348"/>
      <c r="AX1193" s="584"/>
      <c r="AY1193" s="581"/>
      <c r="AZ1193" s="581"/>
      <c r="BA1193" s="596"/>
      <c r="BB1193" s="596"/>
      <c r="BC1193" s="348"/>
      <c r="BD1193" s="581"/>
      <c r="BE1193" s="581"/>
      <c r="BF1193" s="347"/>
      <c r="BG1193" s="347"/>
      <c r="BH1193" s="347"/>
      <c r="BI1193" s="347"/>
      <c r="BJ1193" s="586"/>
      <c r="BK1193" s="581"/>
      <c r="BL1193" s="347"/>
      <c r="BM1193" s="347"/>
      <c r="BN1193" s="347"/>
      <c r="BO1193" s="586"/>
      <c r="BP1193" s="584"/>
      <c r="BQ1193" s="347"/>
      <c r="BR1193" s="586"/>
      <c r="BS1193" s="588"/>
      <c r="BT1193" s="586"/>
      <c r="BU1193" s="589"/>
      <c r="BV1193" s="581"/>
      <c r="BW1193" s="590"/>
      <c r="BX1193" s="347"/>
      <c r="BY1193" s="347"/>
      <c r="BZ1193" s="347"/>
      <c r="CA1193" s="586"/>
      <c r="CB1193" s="581"/>
      <c r="CC1193" s="581"/>
      <c r="CD1193" s="581"/>
      <c r="CE1193" s="581"/>
      <c r="CF1193" s="581"/>
      <c r="CG1193" s="586"/>
      <c r="CH1193" s="608"/>
      <c r="CI1193" s="603"/>
      <c r="CJ1193" s="347"/>
      <c r="CK1193" s="347"/>
      <c r="CL1193" s="347"/>
      <c r="CM1193" s="347"/>
      <c r="CN1193" s="347"/>
      <c r="CO1193" s="347"/>
      <c r="CP1193" s="347"/>
    </row>
    <row r="1194">
      <c r="A1194" s="574"/>
      <c r="B1194" s="574"/>
      <c r="C1194" s="347"/>
      <c r="D1194" s="574"/>
      <c r="E1194" s="347"/>
      <c r="F1194" s="596"/>
      <c r="G1194" s="596"/>
      <c r="H1194" s="347"/>
      <c r="I1194" s="347"/>
      <c r="J1194" s="596"/>
      <c r="K1194" s="609"/>
      <c r="L1194" s="1"/>
      <c r="M1194" s="347"/>
      <c r="N1194" s="347"/>
      <c r="O1194" s="579"/>
      <c r="P1194" s="579"/>
      <c r="Q1194" s="574"/>
      <c r="R1194" s="347"/>
      <c r="S1194" s="597"/>
      <c r="T1194" s="347"/>
      <c r="U1194" s="579"/>
      <c r="V1194" s="579"/>
      <c r="W1194" s="574"/>
      <c r="X1194" s="347"/>
      <c r="Y1194" s="347"/>
      <c r="Z1194" s="347"/>
      <c r="AA1194" s="579"/>
      <c r="AB1194" s="581"/>
      <c r="AC1194" s="347"/>
      <c r="AD1194" s="347"/>
      <c r="AE1194" s="347"/>
      <c r="AF1194" s="347"/>
      <c r="AG1194" s="579"/>
      <c r="AH1194" s="579"/>
      <c r="AI1194" s="582"/>
      <c r="AJ1194" s="582"/>
      <c r="AK1194" s="582"/>
      <c r="AL1194" s="582"/>
      <c r="AM1194" s="579"/>
      <c r="AN1194" s="579"/>
      <c r="AO1194" s="347"/>
      <c r="AP1194" s="586"/>
      <c r="AQ1194" s="596"/>
      <c r="AR1194" s="596"/>
      <c r="AS1194" s="348"/>
      <c r="AT1194" s="348"/>
      <c r="AU1194" s="348"/>
      <c r="AV1194" s="348"/>
      <c r="AW1194" s="348"/>
      <c r="AX1194" s="584"/>
      <c r="AY1194" s="581"/>
      <c r="AZ1194" s="581"/>
      <c r="BA1194" s="596"/>
      <c r="BB1194" s="596"/>
      <c r="BC1194" s="348"/>
      <c r="BD1194" s="581"/>
      <c r="BE1194" s="581"/>
      <c r="BF1194" s="347"/>
      <c r="BG1194" s="347"/>
      <c r="BH1194" s="347"/>
      <c r="BI1194" s="347"/>
      <c r="BJ1194" s="586"/>
      <c r="BK1194" s="581"/>
      <c r="BL1194" s="347"/>
      <c r="BM1194" s="347"/>
      <c r="BN1194" s="347"/>
      <c r="BO1194" s="586"/>
      <c r="BP1194" s="584"/>
      <c r="BQ1194" s="347"/>
      <c r="BR1194" s="586"/>
      <c r="BS1194" s="588"/>
      <c r="BT1194" s="586"/>
      <c r="BU1194" s="589"/>
      <c r="BV1194" s="581"/>
      <c r="BW1194" s="590"/>
      <c r="BX1194" s="347"/>
      <c r="BY1194" s="347"/>
      <c r="BZ1194" s="347"/>
      <c r="CA1194" s="586"/>
      <c r="CB1194" s="581"/>
      <c r="CC1194" s="581"/>
      <c r="CD1194" s="581"/>
      <c r="CE1194" s="581"/>
      <c r="CF1194" s="581"/>
      <c r="CG1194" s="586"/>
      <c r="CH1194" s="608"/>
      <c r="CI1194" s="603"/>
      <c r="CJ1194" s="347"/>
      <c r="CK1194" s="347"/>
      <c r="CL1194" s="347"/>
      <c r="CM1194" s="347"/>
      <c r="CN1194" s="347"/>
      <c r="CO1194" s="347"/>
      <c r="CP1194" s="347"/>
    </row>
    <row r="1195">
      <c r="A1195" s="574"/>
      <c r="B1195" s="574"/>
      <c r="C1195" s="347"/>
      <c r="D1195" s="574"/>
      <c r="E1195" s="347"/>
      <c r="F1195" s="596"/>
      <c r="G1195" s="596"/>
      <c r="H1195" s="347"/>
      <c r="I1195" s="347"/>
      <c r="J1195" s="596"/>
      <c r="K1195" s="609"/>
      <c r="L1195" s="1"/>
      <c r="M1195" s="347"/>
      <c r="N1195" s="347"/>
      <c r="O1195" s="579"/>
      <c r="P1195" s="579"/>
      <c r="Q1195" s="574"/>
      <c r="R1195" s="347"/>
      <c r="S1195" s="597"/>
      <c r="T1195" s="347"/>
      <c r="U1195" s="579"/>
      <c r="V1195" s="579"/>
      <c r="W1195" s="574"/>
      <c r="X1195" s="347"/>
      <c r="Y1195" s="347"/>
      <c r="Z1195" s="347"/>
      <c r="AA1195" s="579"/>
      <c r="AB1195" s="581"/>
      <c r="AC1195" s="347"/>
      <c r="AD1195" s="347"/>
      <c r="AE1195" s="347"/>
      <c r="AF1195" s="347"/>
      <c r="AG1195" s="579"/>
      <c r="AH1195" s="579"/>
      <c r="AI1195" s="582"/>
      <c r="AJ1195" s="582"/>
      <c r="AK1195" s="582"/>
      <c r="AL1195" s="582"/>
      <c r="AM1195" s="579"/>
      <c r="AN1195" s="579"/>
      <c r="AO1195" s="347"/>
      <c r="AP1195" s="586"/>
      <c r="AQ1195" s="596"/>
      <c r="AR1195" s="596"/>
      <c r="AS1195" s="348"/>
      <c r="AT1195" s="348"/>
      <c r="AU1195" s="348"/>
      <c r="AV1195" s="348"/>
      <c r="AW1195" s="348"/>
      <c r="AX1195" s="584"/>
      <c r="AY1195" s="581"/>
      <c r="AZ1195" s="581"/>
      <c r="BA1195" s="596"/>
      <c r="BB1195" s="596"/>
      <c r="BC1195" s="348"/>
      <c r="BD1195" s="581"/>
      <c r="BE1195" s="581"/>
      <c r="BF1195" s="347"/>
      <c r="BG1195" s="347"/>
      <c r="BH1195" s="347"/>
      <c r="BI1195" s="347"/>
      <c r="BJ1195" s="586"/>
      <c r="BK1195" s="581"/>
      <c r="BL1195" s="347"/>
      <c r="BM1195" s="347"/>
      <c r="BN1195" s="347"/>
      <c r="BO1195" s="586"/>
      <c r="BP1195" s="584"/>
      <c r="BQ1195" s="347"/>
      <c r="BR1195" s="586"/>
      <c r="BS1195" s="588"/>
      <c r="BT1195" s="586"/>
      <c r="BU1195" s="589"/>
      <c r="BV1195" s="581"/>
      <c r="BW1195" s="590"/>
      <c r="BX1195" s="347"/>
      <c r="BY1195" s="347"/>
      <c r="BZ1195" s="347"/>
      <c r="CA1195" s="586"/>
      <c r="CB1195" s="581"/>
      <c r="CC1195" s="581"/>
      <c r="CD1195" s="581"/>
      <c r="CE1195" s="581"/>
      <c r="CF1195" s="581"/>
      <c r="CG1195" s="586"/>
      <c r="CH1195" s="608"/>
      <c r="CI1195" s="603"/>
      <c r="CJ1195" s="347"/>
      <c r="CK1195" s="347"/>
      <c r="CL1195" s="347"/>
      <c r="CM1195" s="347"/>
      <c r="CN1195" s="347"/>
      <c r="CO1195" s="347"/>
      <c r="CP1195" s="347"/>
    </row>
    <row r="1196">
      <c r="A1196" s="574"/>
      <c r="B1196" s="574"/>
      <c r="C1196" s="347"/>
      <c r="D1196" s="574"/>
      <c r="E1196" s="347"/>
      <c r="F1196" s="596"/>
      <c r="G1196" s="596"/>
      <c r="H1196" s="347"/>
      <c r="I1196" s="347"/>
      <c r="J1196" s="596"/>
      <c r="K1196" s="609"/>
      <c r="L1196" s="1"/>
      <c r="M1196" s="347"/>
      <c r="N1196" s="347"/>
      <c r="O1196" s="579"/>
      <c r="P1196" s="579"/>
      <c r="Q1196" s="574"/>
      <c r="R1196" s="347"/>
      <c r="S1196" s="597"/>
      <c r="T1196" s="347"/>
      <c r="U1196" s="579"/>
      <c r="V1196" s="579"/>
      <c r="W1196" s="574"/>
      <c r="X1196" s="347"/>
      <c r="Y1196" s="347"/>
      <c r="Z1196" s="347"/>
      <c r="AA1196" s="579"/>
      <c r="AB1196" s="581"/>
      <c r="AC1196" s="347"/>
      <c r="AD1196" s="347"/>
      <c r="AE1196" s="347"/>
      <c r="AF1196" s="347"/>
      <c r="AG1196" s="579"/>
      <c r="AH1196" s="579"/>
      <c r="AI1196" s="582"/>
      <c r="AJ1196" s="582"/>
      <c r="AK1196" s="582"/>
      <c r="AL1196" s="582"/>
      <c r="AM1196" s="579"/>
      <c r="AN1196" s="579"/>
      <c r="AO1196" s="347"/>
      <c r="AP1196" s="586"/>
      <c r="AQ1196" s="596"/>
      <c r="AR1196" s="596"/>
      <c r="AS1196" s="348"/>
      <c r="AT1196" s="348"/>
      <c r="AU1196" s="348"/>
      <c r="AV1196" s="348"/>
      <c r="AW1196" s="348"/>
      <c r="AX1196" s="584"/>
      <c r="AY1196" s="581"/>
      <c r="AZ1196" s="581"/>
      <c r="BA1196" s="596"/>
      <c r="BB1196" s="596"/>
      <c r="BC1196" s="348"/>
      <c r="BD1196" s="581"/>
      <c r="BE1196" s="581"/>
      <c r="BF1196" s="347"/>
      <c r="BG1196" s="347"/>
      <c r="BH1196" s="347"/>
      <c r="BI1196" s="347"/>
      <c r="BJ1196" s="586"/>
      <c r="BK1196" s="581"/>
      <c r="BL1196" s="347"/>
      <c r="BM1196" s="347"/>
      <c r="BN1196" s="347"/>
      <c r="BO1196" s="586"/>
      <c r="BP1196" s="584"/>
      <c r="BQ1196" s="347"/>
      <c r="BR1196" s="586"/>
      <c r="BS1196" s="588"/>
      <c r="BT1196" s="586"/>
      <c r="BU1196" s="589"/>
      <c r="BV1196" s="581"/>
      <c r="BW1196" s="590"/>
      <c r="BX1196" s="347"/>
      <c r="BY1196" s="347"/>
      <c r="BZ1196" s="347"/>
      <c r="CA1196" s="586"/>
      <c r="CB1196" s="581"/>
      <c r="CC1196" s="581"/>
      <c r="CD1196" s="581"/>
      <c r="CE1196" s="581"/>
      <c r="CF1196" s="581"/>
      <c r="CG1196" s="586"/>
      <c r="CH1196" s="608"/>
      <c r="CI1196" s="603"/>
      <c r="CJ1196" s="347"/>
      <c r="CK1196" s="347"/>
      <c r="CL1196" s="347"/>
      <c r="CM1196" s="347"/>
      <c r="CN1196" s="347"/>
      <c r="CO1196" s="347"/>
      <c r="CP1196" s="347"/>
    </row>
    <row r="1197">
      <c r="A1197" s="574"/>
      <c r="B1197" s="574"/>
      <c r="C1197" s="347"/>
      <c r="D1197" s="574"/>
      <c r="E1197" s="347"/>
      <c r="F1197" s="596"/>
      <c r="G1197" s="596"/>
      <c r="H1197" s="347"/>
      <c r="I1197" s="347"/>
      <c r="J1197" s="596"/>
      <c r="K1197" s="609"/>
      <c r="L1197" s="1"/>
      <c r="M1197" s="347"/>
      <c r="N1197" s="347"/>
      <c r="O1197" s="579"/>
      <c r="P1197" s="579"/>
      <c r="Q1197" s="574"/>
      <c r="R1197" s="347"/>
      <c r="S1197" s="597"/>
      <c r="T1197" s="347"/>
      <c r="U1197" s="579"/>
      <c r="V1197" s="579"/>
      <c r="W1197" s="574"/>
      <c r="X1197" s="347"/>
      <c r="Y1197" s="347"/>
      <c r="Z1197" s="347"/>
      <c r="AA1197" s="579"/>
      <c r="AB1197" s="581"/>
      <c r="AC1197" s="347"/>
      <c r="AD1197" s="347"/>
      <c r="AE1197" s="347"/>
      <c r="AF1197" s="347"/>
      <c r="AG1197" s="579"/>
      <c r="AH1197" s="579"/>
      <c r="AI1197" s="582"/>
      <c r="AJ1197" s="582"/>
      <c r="AK1197" s="582"/>
      <c r="AL1197" s="582"/>
      <c r="AM1197" s="579"/>
      <c r="AN1197" s="579"/>
      <c r="AO1197" s="347"/>
      <c r="AP1197" s="586"/>
      <c r="AQ1197" s="596"/>
      <c r="AR1197" s="596"/>
      <c r="AS1197" s="348"/>
      <c r="AT1197" s="348"/>
      <c r="AU1197" s="348"/>
      <c r="AV1197" s="348"/>
      <c r="AW1197" s="348"/>
      <c r="AX1197" s="584"/>
      <c r="AY1197" s="581"/>
      <c r="AZ1197" s="581"/>
      <c r="BA1197" s="596"/>
      <c r="BB1197" s="596"/>
      <c r="BC1197" s="348"/>
      <c r="BD1197" s="581"/>
      <c r="BE1197" s="581"/>
      <c r="BF1197" s="347"/>
      <c r="BG1197" s="347"/>
      <c r="BH1197" s="347"/>
      <c r="BI1197" s="347"/>
      <c r="BJ1197" s="586"/>
      <c r="BK1197" s="581"/>
      <c r="BL1197" s="347"/>
      <c r="BM1197" s="347"/>
      <c r="BN1197" s="347"/>
      <c r="BO1197" s="586"/>
      <c r="BP1197" s="584"/>
      <c r="BQ1197" s="347"/>
      <c r="BR1197" s="586"/>
      <c r="BS1197" s="588"/>
      <c r="BT1197" s="586"/>
      <c r="BU1197" s="589"/>
      <c r="BV1197" s="581"/>
      <c r="BW1197" s="590"/>
      <c r="BX1197" s="347"/>
      <c r="BY1197" s="347"/>
      <c r="BZ1197" s="347"/>
      <c r="CA1197" s="586"/>
      <c r="CB1197" s="581"/>
      <c r="CC1197" s="581"/>
      <c r="CD1197" s="581"/>
      <c r="CE1197" s="581"/>
      <c r="CF1197" s="581"/>
      <c r="CG1197" s="586"/>
      <c r="CH1197" s="608"/>
      <c r="CI1197" s="603"/>
      <c r="CJ1197" s="347"/>
      <c r="CK1197" s="347"/>
      <c r="CL1197" s="347"/>
      <c r="CM1197" s="347"/>
      <c r="CN1197" s="347"/>
      <c r="CO1197" s="347"/>
      <c r="CP1197" s="347"/>
    </row>
    <row r="1198">
      <c r="A1198" s="574"/>
      <c r="B1198" s="574"/>
      <c r="C1198" s="347"/>
      <c r="D1198" s="574"/>
      <c r="E1198" s="347"/>
      <c r="F1198" s="596"/>
      <c r="G1198" s="596"/>
      <c r="H1198" s="347"/>
      <c r="I1198" s="347"/>
      <c r="J1198" s="596"/>
      <c r="K1198" s="609"/>
      <c r="L1198" s="1"/>
      <c r="M1198" s="347"/>
      <c r="N1198" s="347"/>
      <c r="O1198" s="579"/>
      <c r="P1198" s="579"/>
      <c r="Q1198" s="574"/>
      <c r="R1198" s="347"/>
      <c r="S1198" s="597"/>
      <c r="T1198" s="347"/>
      <c r="U1198" s="579"/>
      <c r="V1198" s="579"/>
      <c r="W1198" s="574"/>
      <c r="X1198" s="347"/>
      <c r="Y1198" s="347"/>
      <c r="Z1198" s="347"/>
      <c r="AA1198" s="579"/>
      <c r="AB1198" s="581"/>
      <c r="AC1198" s="347"/>
      <c r="AD1198" s="347"/>
      <c r="AE1198" s="347"/>
      <c r="AF1198" s="347"/>
      <c r="AG1198" s="579"/>
      <c r="AH1198" s="579"/>
      <c r="AI1198" s="582"/>
      <c r="AJ1198" s="582"/>
      <c r="AK1198" s="582"/>
      <c r="AL1198" s="582"/>
      <c r="AM1198" s="579"/>
      <c r="AN1198" s="579"/>
      <c r="AO1198" s="347"/>
      <c r="AP1198" s="586"/>
      <c r="AQ1198" s="596"/>
      <c r="AR1198" s="596"/>
      <c r="AS1198" s="348"/>
      <c r="AT1198" s="348"/>
      <c r="AU1198" s="348"/>
      <c r="AV1198" s="348"/>
      <c r="AW1198" s="348"/>
      <c r="AX1198" s="584"/>
      <c r="AY1198" s="581"/>
      <c r="AZ1198" s="581"/>
      <c r="BA1198" s="596"/>
      <c r="BB1198" s="596"/>
      <c r="BC1198" s="348"/>
      <c r="BD1198" s="581"/>
      <c r="BE1198" s="581"/>
      <c r="BF1198" s="347"/>
      <c r="BG1198" s="347"/>
      <c r="BH1198" s="347"/>
      <c r="BI1198" s="347"/>
      <c r="BJ1198" s="586"/>
      <c r="BK1198" s="581"/>
      <c r="BL1198" s="347"/>
      <c r="BM1198" s="347"/>
      <c r="BN1198" s="347"/>
      <c r="BO1198" s="586"/>
      <c r="BP1198" s="584"/>
      <c r="BQ1198" s="347"/>
      <c r="BR1198" s="586"/>
      <c r="BS1198" s="588"/>
      <c r="BT1198" s="586"/>
      <c r="BU1198" s="589"/>
      <c r="BV1198" s="581"/>
      <c r="BW1198" s="590"/>
      <c r="BX1198" s="347"/>
      <c r="BY1198" s="347"/>
      <c r="BZ1198" s="347"/>
      <c r="CA1198" s="586"/>
      <c r="CB1198" s="581"/>
      <c r="CC1198" s="581"/>
      <c r="CD1198" s="581"/>
      <c r="CE1198" s="581"/>
      <c r="CF1198" s="581"/>
      <c r="CG1198" s="586"/>
      <c r="CH1198" s="608"/>
      <c r="CI1198" s="603"/>
      <c r="CJ1198" s="347"/>
      <c r="CK1198" s="347"/>
      <c r="CL1198" s="347"/>
      <c r="CM1198" s="347"/>
      <c r="CN1198" s="347"/>
      <c r="CO1198" s="347"/>
      <c r="CP1198" s="347"/>
    </row>
    <row r="1199">
      <c r="A1199" s="574"/>
      <c r="B1199" s="574"/>
      <c r="C1199" s="347"/>
      <c r="D1199" s="574"/>
      <c r="E1199" s="347"/>
      <c r="F1199" s="596"/>
      <c r="G1199" s="596"/>
      <c r="H1199" s="347"/>
      <c r="I1199" s="347"/>
      <c r="J1199" s="596"/>
      <c r="K1199" s="609"/>
      <c r="L1199" s="1"/>
      <c r="M1199" s="347"/>
      <c r="N1199" s="347"/>
      <c r="O1199" s="579"/>
      <c r="P1199" s="579"/>
      <c r="Q1199" s="574"/>
      <c r="R1199" s="347"/>
      <c r="S1199" s="597"/>
      <c r="T1199" s="347"/>
      <c r="U1199" s="579"/>
      <c r="V1199" s="579"/>
      <c r="W1199" s="574"/>
      <c r="X1199" s="347"/>
      <c r="Y1199" s="347"/>
      <c r="Z1199" s="347"/>
      <c r="AA1199" s="579"/>
      <c r="AB1199" s="581"/>
      <c r="AC1199" s="347"/>
      <c r="AD1199" s="347"/>
      <c r="AE1199" s="347"/>
      <c r="AF1199" s="347"/>
      <c r="AG1199" s="579"/>
      <c r="AH1199" s="579"/>
      <c r="AI1199" s="582"/>
      <c r="AJ1199" s="582"/>
      <c r="AK1199" s="582"/>
      <c r="AL1199" s="582"/>
      <c r="AM1199" s="579"/>
      <c r="AN1199" s="579"/>
      <c r="AO1199" s="347"/>
      <c r="AP1199" s="586"/>
      <c r="AQ1199" s="596"/>
      <c r="AR1199" s="596"/>
      <c r="AS1199" s="348"/>
      <c r="AT1199" s="348"/>
      <c r="AU1199" s="348"/>
      <c r="AV1199" s="348"/>
      <c r="AW1199" s="348"/>
      <c r="AX1199" s="584"/>
      <c r="AY1199" s="581"/>
      <c r="AZ1199" s="581"/>
      <c r="BA1199" s="596"/>
      <c r="BB1199" s="596"/>
      <c r="BC1199" s="348"/>
      <c r="BD1199" s="581"/>
      <c r="BE1199" s="581"/>
      <c r="BF1199" s="347"/>
      <c r="BG1199" s="347"/>
      <c r="BH1199" s="347"/>
      <c r="BI1199" s="347"/>
      <c r="BJ1199" s="586"/>
      <c r="BK1199" s="581"/>
      <c r="BL1199" s="347"/>
      <c r="BM1199" s="347"/>
      <c r="BN1199" s="347"/>
      <c r="BO1199" s="586"/>
      <c r="BP1199" s="584"/>
      <c r="BQ1199" s="347"/>
      <c r="BR1199" s="586"/>
      <c r="BS1199" s="588"/>
      <c r="BT1199" s="586"/>
      <c r="BU1199" s="589"/>
      <c r="BV1199" s="581"/>
      <c r="BW1199" s="590"/>
      <c r="BX1199" s="347"/>
      <c r="BY1199" s="347"/>
      <c r="BZ1199" s="347"/>
      <c r="CA1199" s="586"/>
      <c r="CB1199" s="581"/>
      <c r="CC1199" s="581"/>
      <c r="CD1199" s="581"/>
      <c r="CE1199" s="581"/>
      <c r="CF1199" s="581"/>
      <c r="CG1199" s="586"/>
      <c r="CH1199" s="608"/>
      <c r="CI1199" s="603"/>
      <c r="CJ1199" s="347"/>
      <c r="CK1199" s="347"/>
      <c r="CL1199" s="347"/>
      <c r="CM1199" s="347"/>
      <c r="CN1199" s="347"/>
      <c r="CO1199" s="347"/>
      <c r="CP1199" s="347"/>
    </row>
    <row r="1200">
      <c r="A1200" s="574"/>
      <c r="B1200" s="574"/>
      <c r="C1200" s="347"/>
      <c r="D1200" s="574"/>
      <c r="E1200" s="347"/>
      <c r="F1200" s="596"/>
      <c r="G1200" s="596"/>
      <c r="H1200" s="347"/>
      <c r="I1200" s="347"/>
      <c r="J1200" s="596"/>
      <c r="K1200" s="609"/>
      <c r="L1200" s="1"/>
      <c r="M1200" s="347"/>
      <c r="N1200" s="347"/>
      <c r="O1200" s="579"/>
      <c r="P1200" s="579"/>
      <c r="Q1200" s="574"/>
      <c r="R1200" s="347"/>
      <c r="S1200" s="597"/>
      <c r="T1200" s="347"/>
      <c r="U1200" s="579"/>
      <c r="V1200" s="579"/>
      <c r="W1200" s="574"/>
      <c r="X1200" s="347"/>
      <c r="Y1200" s="347"/>
      <c r="Z1200" s="347"/>
      <c r="AA1200" s="579"/>
      <c r="AB1200" s="581"/>
      <c r="AC1200" s="347"/>
      <c r="AD1200" s="347"/>
      <c r="AE1200" s="347"/>
      <c r="AF1200" s="347"/>
      <c r="AG1200" s="579"/>
      <c r="AH1200" s="579"/>
      <c r="AI1200" s="582"/>
      <c r="AJ1200" s="582"/>
      <c r="AK1200" s="582"/>
      <c r="AL1200" s="582"/>
      <c r="AM1200" s="579"/>
      <c r="AN1200" s="579"/>
      <c r="AO1200" s="347"/>
      <c r="AP1200" s="586"/>
      <c r="AQ1200" s="596"/>
      <c r="AR1200" s="596"/>
      <c r="AS1200" s="348"/>
      <c r="AT1200" s="348"/>
      <c r="AU1200" s="348"/>
      <c r="AV1200" s="348"/>
      <c r="AW1200" s="348"/>
      <c r="AX1200" s="584"/>
      <c r="AY1200" s="581"/>
      <c r="AZ1200" s="581"/>
      <c r="BA1200" s="596"/>
      <c r="BB1200" s="596"/>
      <c r="BC1200" s="348"/>
      <c r="BD1200" s="581"/>
      <c r="BE1200" s="581"/>
      <c r="BF1200" s="347"/>
      <c r="BG1200" s="347"/>
      <c r="BH1200" s="347"/>
      <c r="BI1200" s="347"/>
      <c r="BJ1200" s="586"/>
      <c r="BK1200" s="581"/>
      <c r="BL1200" s="347"/>
      <c r="BM1200" s="347"/>
      <c r="BN1200" s="347"/>
      <c r="BO1200" s="586"/>
      <c r="BP1200" s="584"/>
      <c r="BQ1200" s="347"/>
      <c r="BR1200" s="586"/>
      <c r="BS1200" s="588"/>
      <c r="BT1200" s="586"/>
      <c r="BU1200" s="589"/>
      <c r="BV1200" s="581"/>
      <c r="BW1200" s="590"/>
      <c r="BX1200" s="347"/>
      <c r="BY1200" s="347"/>
      <c r="BZ1200" s="347"/>
      <c r="CA1200" s="586"/>
      <c r="CB1200" s="581"/>
      <c r="CC1200" s="581"/>
      <c r="CD1200" s="581"/>
      <c r="CE1200" s="581"/>
      <c r="CF1200" s="581"/>
      <c r="CG1200" s="586"/>
      <c r="CH1200" s="608"/>
      <c r="CI1200" s="603"/>
      <c r="CJ1200" s="347"/>
      <c r="CK1200" s="347"/>
      <c r="CL1200" s="347"/>
      <c r="CM1200" s="347"/>
      <c r="CN1200" s="347"/>
      <c r="CO1200" s="347"/>
      <c r="CP1200" s="347"/>
    </row>
    <row r="1201">
      <c r="A1201" s="574"/>
      <c r="B1201" s="574"/>
      <c r="C1201" s="347"/>
      <c r="D1201" s="574"/>
      <c r="E1201" s="347"/>
      <c r="F1201" s="596"/>
      <c r="G1201" s="596"/>
      <c r="H1201" s="347"/>
      <c r="I1201" s="347"/>
      <c r="J1201" s="596"/>
      <c r="K1201" s="609"/>
      <c r="L1201" s="1"/>
      <c r="M1201" s="347"/>
      <c r="N1201" s="347"/>
      <c r="O1201" s="579"/>
      <c r="P1201" s="579"/>
      <c r="Q1201" s="574"/>
      <c r="R1201" s="347"/>
      <c r="S1201" s="597"/>
      <c r="T1201" s="347"/>
      <c r="U1201" s="579"/>
      <c r="V1201" s="579"/>
      <c r="W1201" s="574"/>
      <c r="X1201" s="347"/>
      <c r="Y1201" s="347"/>
      <c r="Z1201" s="347"/>
      <c r="AA1201" s="579"/>
      <c r="AB1201" s="581"/>
      <c r="AC1201" s="347"/>
      <c r="AD1201" s="347"/>
      <c r="AE1201" s="347"/>
      <c r="AF1201" s="347"/>
      <c r="AG1201" s="579"/>
      <c r="AH1201" s="579"/>
      <c r="AI1201" s="582"/>
      <c r="AJ1201" s="582"/>
      <c r="AK1201" s="582"/>
      <c r="AL1201" s="582"/>
      <c r="AM1201" s="579"/>
      <c r="AN1201" s="579"/>
      <c r="AO1201" s="347"/>
      <c r="AP1201" s="586"/>
      <c r="AQ1201" s="596"/>
      <c r="AR1201" s="596"/>
      <c r="AS1201" s="348"/>
      <c r="AT1201" s="348"/>
      <c r="AU1201" s="348"/>
      <c r="AV1201" s="348"/>
      <c r="AW1201" s="348"/>
      <c r="AX1201" s="584"/>
      <c r="AY1201" s="581"/>
      <c r="AZ1201" s="581"/>
      <c r="BA1201" s="596"/>
      <c r="BB1201" s="596"/>
      <c r="BC1201" s="348"/>
      <c r="BD1201" s="581"/>
      <c r="BE1201" s="581"/>
      <c r="BF1201" s="347"/>
      <c r="BG1201" s="347"/>
      <c r="BH1201" s="347"/>
      <c r="BI1201" s="347"/>
      <c r="BJ1201" s="586"/>
      <c r="BK1201" s="581"/>
      <c r="BL1201" s="347"/>
      <c r="BM1201" s="347"/>
      <c r="BN1201" s="347"/>
      <c r="BO1201" s="586"/>
      <c r="BP1201" s="584"/>
      <c r="BQ1201" s="347"/>
      <c r="BR1201" s="586"/>
      <c r="BS1201" s="588"/>
      <c r="BT1201" s="586"/>
      <c r="BU1201" s="589"/>
      <c r="BV1201" s="581"/>
      <c r="BW1201" s="590"/>
      <c r="BX1201" s="347"/>
      <c r="BY1201" s="347"/>
      <c r="BZ1201" s="347"/>
      <c r="CA1201" s="586"/>
      <c r="CB1201" s="581"/>
      <c r="CC1201" s="581"/>
      <c r="CD1201" s="581"/>
      <c r="CE1201" s="581"/>
      <c r="CF1201" s="581"/>
      <c r="CG1201" s="586"/>
      <c r="CH1201" s="608"/>
      <c r="CI1201" s="603"/>
      <c r="CJ1201" s="347"/>
      <c r="CK1201" s="347"/>
      <c r="CL1201" s="347"/>
      <c r="CM1201" s="347"/>
      <c r="CN1201" s="347"/>
      <c r="CO1201" s="347"/>
      <c r="CP1201" s="347"/>
    </row>
    <row r="1202">
      <c r="A1202" s="574"/>
      <c r="B1202" s="574"/>
      <c r="C1202" s="347"/>
      <c r="D1202" s="574"/>
      <c r="E1202" s="347"/>
      <c r="F1202" s="596"/>
      <c r="G1202" s="596"/>
      <c r="H1202" s="347"/>
      <c r="I1202" s="347"/>
      <c r="J1202" s="596"/>
      <c r="K1202" s="609"/>
      <c r="L1202" s="1"/>
      <c r="M1202" s="347"/>
      <c r="N1202" s="347"/>
      <c r="O1202" s="579"/>
      <c r="P1202" s="579"/>
      <c r="Q1202" s="574"/>
      <c r="R1202" s="347"/>
      <c r="S1202" s="597"/>
      <c r="T1202" s="347"/>
      <c r="U1202" s="579"/>
      <c r="V1202" s="579"/>
      <c r="W1202" s="574"/>
      <c r="X1202" s="347"/>
      <c r="Y1202" s="347"/>
      <c r="Z1202" s="347"/>
      <c r="AA1202" s="579"/>
      <c r="AB1202" s="581"/>
      <c r="AC1202" s="347"/>
      <c r="AD1202" s="347"/>
      <c r="AE1202" s="347"/>
      <c r="AF1202" s="347"/>
      <c r="AG1202" s="579"/>
      <c r="AH1202" s="579"/>
      <c r="AI1202" s="582"/>
      <c r="AJ1202" s="582"/>
      <c r="AK1202" s="582"/>
      <c r="AL1202" s="582"/>
      <c r="AM1202" s="579"/>
      <c r="AN1202" s="579"/>
      <c r="AO1202" s="347"/>
      <c r="AP1202" s="586"/>
      <c r="AQ1202" s="596"/>
      <c r="AR1202" s="596"/>
      <c r="AS1202" s="348"/>
      <c r="AT1202" s="348"/>
      <c r="AU1202" s="348"/>
      <c r="AV1202" s="348"/>
      <c r="AW1202" s="348"/>
      <c r="AX1202" s="584"/>
      <c r="AY1202" s="581"/>
      <c r="AZ1202" s="581"/>
      <c r="BA1202" s="596"/>
      <c r="BB1202" s="596"/>
      <c r="BC1202" s="348"/>
      <c r="BD1202" s="581"/>
      <c r="BE1202" s="581"/>
      <c r="BF1202" s="347"/>
      <c r="BG1202" s="347"/>
      <c r="BH1202" s="347"/>
      <c r="BI1202" s="347"/>
      <c r="BJ1202" s="586"/>
      <c r="BK1202" s="581"/>
      <c r="BL1202" s="347"/>
      <c r="BM1202" s="347"/>
      <c r="BN1202" s="347"/>
      <c r="BO1202" s="586"/>
      <c r="BP1202" s="584"/>
      <c r="BQ1202" s="347"/>
      <c r="BR1202" s="586"/>
      <c r="BS1202" s="588"/>
      <c r="BT1202" s="586"/>
      <c r="BU1202" s="589"/>
      <c r="BV1202" s="581"/>
      <c r="BW1202" s="590"/>
      <c r="BX1202" s="347"/>
      <c r="BY1202" s="347"/>
      <c r="BZ1202" s="347"/>
      <c r="CA1202" s="586"/>
      <c r="CB1202" s="581"/>
      <c r="CC1202" s="581"/>
      <c r="CD1202" s="581"/>
      <c r="CE1202" s="581"/>
      <c r="CF1202" s="581"/>
      <c r="CG1202" s="586"/>
      <c r="CH1202" s="608"/>
      <c r="CI1202" s="603"/>
      <c r="CJ1202" s="347"/>
      <c r="CK1202" s="347"/>
      <c r="CL1202" s="347"/>
      <c r="CM1202" s="347"/>
      <c r="CN1202" s="347"/>
      <c r="CO1202" s="347"/>
      <c r="CP1202" s="347"/>
    </row>
    <row r="1203">
      <c r="A1203" s="574"/>
      <c r="B1203" s="574"/>
      <c r="C1203" s="347"/>
      <c r="D1203" s="574"/>
      <c r="E1203" s="347"/>
      <c r="F1203" s="596"/>
      <c r="G1203" s="596"/>
      <c r="H1203" s="347"/>
      <c r="I1203" s="347"/>
      <c r="J1203" s="596"/>
      <c r="K1203" s="609"/>
      <c r="L1203" s="1"/>
      <c r="M1203" s="347"/>
      <c r="N1203" s="347"/>
      <c r="O1203" s="579"/>
      <c r="P1203" s="579"/>
      <c r="Q1203" s="574"/>
      <c r="R1203" s="347"/>
      <c r="S1203" s="597"/>
      <c r="T1203" s="347"/>
      <c r="U1203" s="579"/>
      <c r="V1203" s="579"/>
      <c r="W1203" s="574"/>
      <c r="X1203" s="347"/>
      <c r="Y1203" s="347"/>
      <c r="Z1203" s="347"/>
      <c r="AA1203" s="579"/>
      <c r="AB1203" s="581"/>
      <c r="AC1203" s="347"/>
      <c r="AD1203" s="347"/>
      <c r="AE1203" s="347"/>
      <c r="AF1203" s="347"/>
      <c r="AG1203" s="579"/>
      <c r="AH1203" s="579"/>
      <c r="AI1203" s="582"/>
      <c r="AJ1203" s="582"/>
      <c r="AK1203" s="582"/>
      <c r="AL1203" s="582"/>
      <c r="AM1203" s="579"/>
      <c r="AN1203" s="579"/>
      <c r="AO1203" s="347"/>
      <c r="AP1203" s="586"/>
      <c r="AQ1203" s="596"/>
      <c r="AR1203" s="596"/>
      <c r="AS1203" s="348"/>
      <c r="AT1203" s="348"/>
      <c r="AU1203" s="348"/>
      <c r="AV1203" s="348"/>
      <c r="AW1203" s="348"/>
      <c r="AX1203" s="584"/>
      <c r="AY1203" s="581"/>
      <c r="AZ1203" s="581"/>
      <c r="BA1203" s="596"/>
      <c r="BB1203" s="596"/>
      <c r="BC1203" s="348"/>
      <c r="BD1203" s="581"/>
      <c r="BE1203" s="581"/>
      <c r="BF1203" s="347"/>
      <c r="BG1203" s="347"/>
      <c r="BH1203" s="347"/>
      <c r="BI1203" s="347"/>
      <c r="BJ1203" s="586"/>
      <c r="BK1203" s="581"/>
      <c r="BL1203" s="347"/>
      <c r="BM1203" s="347"/>
      <c r="BN1203" s="347"/>
      <c r="BO1203" s="586"/>
      <c r="BP1203" s="584"/>
      <c r="BQ1203" s="347"/>
      <c r="BR1203" s="586"/>
      <c r="BS1203" s="588"/>
      <c r="BT1203" s="586"/>
      <c r="BU1203" s="589"/>
      <c r="BV1203" s="581"/>
      <c r="BW1203" s="590"/>
      <c r="BX1203" s="347"/>
      <c r="BY1203" s="347"/>
      <c r="BZ1203" s="347"/>
      <c r="CA1203" s="586"/>
      <c r="CB1203" s="581"/>
      <c r="CC1203" s="581"/>
      <c r="CD1203" s="581"/>
      <c r="CE1203" s="581"/>
      <c r="CF1203" s="581"/>
      <c r="CG1203" s="586"/>
      <c r="CH1203" s="608"/>
      <c r="CI1203" s="603"/>
      <c r="CJ1203" s="347"/>
      <c r="CK1203" s="347"/>
      <c r="CL1203" s="347"/>
      <c r="CM1203" s="347"/>
      <c r="CN1203" s="347"/>
      <c r="CO1203" s="347"/>
      <c r="CP1203" s="347"/>
    </row>
    <row r="1204">
      <c r="A1204" s="574"/>
      <c r="B1204" s="574"/>
      <c r="C1204" s="347"/>
      <c r="D1204" s="574"/>
      <c r="E1204" s="347"/>
      <c r="F1204" s="596"/>
      <c r="G1204" s="596"/>
      <c r="H1204" s="347"/>
      <c r="I1204" s="347"/>
      <c r="J1204" s="596"/>
      <c r="K1204" s="609"/>
      <c r="L1204" s="1"/>
      <c r="M1204" s="347"/>
      <c r="N1204" s="347"/>
      <c r="O1204" s="579"/>
      <c r="P1204" s="579"/>
      <c r="Q1204" s="574"/>
      <c r="R1204" s="347"/>
      <c r="S1204" s="597"/>
      <c r="T1204" s="347"/>
      <c r="U1204" s="579"/>
      <c r="V1204" s="579"/>
      <c r="W1204" s="574"/>
      <c r="X1204" s="347"/>
      <c r="Y1204" s="347"/>
      <c r="Z1204" s="347"/>
      <c r="AA1204" s="579"/>
      <c r="AB1204" s="581"/>
      <c r="AC1204" s="347"/>
      <c r="AD1204" s="347"/>
      <c r="AE1204" s="347"/>
      <c r="AF1204" s="347"/>
      <c r="AG1204" s="579"/>
      <c r="AH1204" s="579"/>
      <c r="AI1204" s="582"/>
      <c r="AJ1204" s="582"/>
      <c r="AK1204" s="582"/>
      <c r="AL1204" s="582"/>
      <c r="AM1204" s="579"/>
      <c r="AN1204" s="579"/>
      <c r="AO1204" s="347"/>
      <c r="AP1204" s="586"/>
      <c r="AQ1204" s="596"/>
      <c r="AR1204" s="596"/>
      <c r="AS1204" s="348"/>
      <c r="AT1204" s="348"/>
      <c r="AU1204" s="348"/>
      <c r="AV1204" s="348"/>
      <c r="AW1204" s="348"/>
      <c r="AX1204" s="584"/>
      <c r="AY1204" s="581"/>
      <c r="AZ1204" s="581"/>
      <c r="BA1204" s="596"/>
      <c r="BB1204" s="596"/>
      <c r="BC1204" s="348"/>
      <c r="BD1204" s="581"/>
      <c r="BE1204" s="581"/>
      <c r="BF1204" s="347"/>
      <c r="BG1204" s="347"/>
      <c r="BH1204" s="347"/>
      <c r="BI1204" s="347"/>
      <c r="BJ1204" s="586"/>
      <c r="BK1204" s="581"/>
      <c r="BL1204" s="347"/>
      <c r="BM1204" s="347"/>
      <c r="BN1204" s="347"/>
      <c r="BO1204" s="586"/>
      <c r="BP1204" s="584"/>
      <c r="BQ1204" s="347"/>
      <c r="BR1204" s="586"/>
      <c r="BS1204" s="588"/>
      <c r="BT1204" s="586"/>
      <c r="BU1204" s="589"/>
      <c r="BV1204" s="581"/>
      <c r="BW1204" s="590"/>
      <c r="BX1204" s="347"/>
      <c r="BY1204" s="347"/>
      <c r="BZ1204" s="347"/>
      <c r="CA1204" s="586"/>
      <c r="CB1204" s="581"/>
      <c r="CC1204" s="581"/>
      <c r="CD1204" s="581"/>
      <c r="CE1204" s="581"/>
      <c r="CF1204" s="581"/>
      <c r="CG1204" s="586"/>
      <c r="CH1204" s="608"/>
      <c r="CI1204" s="603"/>
      <c r="CJ1204" s="347"/>
      <c r="CK1204" s="347"/>
      <c r="CL1204" s="347"/>
      <c r="CM1204" s="347"/>
      <c r="CN1204" s="347"/>
      <c r="CO1204" s="347"/>
      <c r="CP1204" s="347"/>
    </row>
    <row r="1205">
      <c r="A1205" s="574"/>
      <c r="B1205" s="574"/>
      <c r="C1205" s="347"/>
      <c r="D1205" s="574"/>
      <c r="E1205" s="347"/>
      <c r="F1205" s="596"/>
      <c r="G1205" s="596"/>
      <c r="H1205" s="347"/>
      <c r="I1205" s="347"/>
      <c r="J1205" s="596"/>
      <c r="K1205" s="609"/>
      <c r="L1205" s="1"/>
      <c r="M1205" s="347"/>
      <c r="N1205" s="347"/>
      <c r="O1205" s="579"/>
      <c r="P1205" s="579"/>
      <c r="Q1205" s="574"/>
      <c r="R1205" s="347"/>
      <c r="S1205" s="597"/>
      <c r="T1205" s="347"/>
      <c r="U1205" s="579"/>
      <c r="V1205" s="579"/>
      <c r="W1205" s="574"/>
      <c r="X1205" s="347"/>
      <c r="Y1205" s="347"/>
      <c r="Z1205" s="347"/>
      <c r="AA1205" s="579"/>
      <c r="AB1205" s="581"/>
      <c r="AC1205" s="347"/>
      <c r="AD1205" s="347"/>
      <c r="AE1205" s="347"/>
      <c r="AF1205" s="347"/>
      <c r="AG1205" s="579"/>
      <c r="AH1205" s="579"/>
      <c r="AI1205" s="582"/>
      <c r="AJ1205" s="582"/>
      <c r="AK1205" s="582"/>
      <c r="AL1205" s="582"/>
      <c r="AM1205" s="579"/>
      <c r="AN1205" s="579"/>
      <c r="AO1205" s="347"/>
      <c r="AP1205" s="586"/>
      <c r="AQ1205" s="596"/>
      <c r="AR1205" s="596"/>
      <c r="AS1205" s="348"/>
      <c r="AT1205" s="348"/>
      <c r="AU1205" s="348"/>
      <c r="AV1205" s="348"/>
      <c r="AW1205" s="348"/>
      <c r="AX1205" s="584"/>
      <c r="AY1205" s="581"/>
      <c r="AZ1205" s="581"/>
      <c r="BA1205" s="596"/>
      <c r="BB1205" s="596"/>
      <c r="BC1205" s="348"/>
      <c r="BD1205" s="581"/>
      <c r="BE1205" s="581"/>
      <c r="BF1205" s="347"/>
      <c r="BG1205" s="347"/>
      <c r="BH1205" s="347"/>
      <c r="BI1205" s="347"/>
      <c r="BJ1205" s="586"/>
      <c r="BK1205" s="581"/>
      <c r="BL1205" s="347"/>
      <c r="BM1205" s="347"/>
      <c r="BN1205" s="347"/>
      <c r="BO1205" s="586"/>
      <c r="BP1205" s="584"/>
      <c r="BQ1205" s="347"/>
      <c r="BR1205" s="586"/>
      <c r="BS1205" s="588"/>
      <c r="BT1205" s="586"/>
      <c r="BU1205" s="589"/>
      <c r="BV1205" s="581"/>
      <c r="BW1205" s="590"/>
      <c r="BX1205" s="347"/>
      <c r="BY1205" s="347"/>
      <c r="BZ1205" s="347"/>
      <c r="CA1205" s="586"/>
      <c r="CB1205" s="581"/>
      <c r="CC1205" s="581"/>
      <c r="CD1205" s="581"/>
      <c r="CE1205" s="581"/>
      <c r="CF1205" s="581"/>
      <c r="CG1205" s="586"/>
      <c r="CH1205" s="608"/>
      <c r="CI1205" s="603"/>
      <c r="CJ1205" s="347"/>
      <c r="CK1205" s="347"/>
      <c r="CL1205" s="347"/>
      <c r="CM1205" s="347"/>
      <c r="CN1205" s="347"/>
      <c r="CO1205" s="347"/>
      <c r="CP1205" s="347"/>
    </row>
    <row r="1206">
      <c r="A1206" s="574"/>
      <c r="B1206" s="574"/>
      <c r="C1206" s="347"/>
      <c r="D1206" s="574"/>
      <c r="E1206" s="347"/>
      <c r="F1206" s="596"/>
      <c r="G1206" s="596"/>
      <c r="H1206" s="347"/>
      <c r="I1206" s="347"/>
      <c r="J1206" s="596"/>
      <c r="K1206" s="609"/>
      <c r="L1206" s="1"/>
      <c r="M1206" s="347"/>
      <c r="N1206" s="347"/>
      <c r="O1206" s="579"/>
      <c r="P1206" s="579"/>
      <c r="Q1206" s="574"/>
      <c r="R1206" s="347"/>
      <c r="S1206" s="597"/>
      <c r="T1206" s="347"/>
      <c r="U1206" s="579"/>
      <c r="V1206" s="579"/>
      <c r="W1206" s="574"/>
      <c r="X1206" s="347"/>
      <c r="Y1206" s="347"/>
      <c r="Z1206" s="347"/>
      <c r="AA1206" s="579"/>
      <c r="AB1206" s="581"/>
      <c r="AC1206" s="347"/>
      <c r="AD1206" s="347"/>
      <c r="AE1206" s="347"/>
      <c r="AF1206" s="347"/>
      <c r="AG1206" s="579"/>
      <c r="AH1206" s="579"/>
      <c r="AI1206" s="582"/>
      <c r="AJ1206" s="582"/>
      <c r="AK1206" s="582"/>
      <c r="AL1206" s="582"/>
      <c r="AM1206" s="579"/>
      <c r="AN1206" s="579"/>
      <c r="AO1206" s="347"/>
      <c r="AP1206" s="586"/>
      <c r="AQ1206" s="596"/>
      <c r="AR1206" s="596"/>
      <c r="AS1206" s="348"/>
      <c r="AT1206" s="348"/>
      <c r="AU1206" s="348"/>
      <c r="AV1206" s="348"/>
      <c r="AW1206" s="348"/>
      <c r="AX1206" s="584"/>
      <c r="AY1206" s="581"/>
      <c r="AZ1206" s="581"/>
      <c r="BA1206" s="596"/>
      <c r="BB1206" s="596"/>
      <c r="BC1206" s="348"/>
      <c r="BD1206" s="581"/>
      <c r="BE1206" s="581"/>
      <c r="BF1206" s="347"/>
      <c r="BG1206" s="347"/>
      <c r="BH1206" s="347"/>
      <c r="BI1206" s="347"/>
      <c r="BJ1206" s="586"/>
      <c r="BK1206" s="581"/>
      <c r="BL1206" s="347"/>
      <c r="BM1206" s="347"/>
      <c r="BN1206" s="347"/>
      <c r="BO1206" s="586"/>
      <c r="BP1206" s="584"/>
      <c r="BQ1206" s="347"/>
      <c r="BR1206" s="586"/>
      <c r="BS1206" s="588"/>
      <c r="BT1206" s="586"/>
      <c r="BU1206" s="589"/>
      <c r="BV1206" s="581"/>
      <c r="BW1206" s="590"/>
      <c r="BX1206" s="347"/>
      <c r="BY1206" s="347"/>
      <c r="BZ1206" s="347"/>
      <c r="CA1206" s="586"/>
      <c r="CB1206" s="581"/>
      <c r="CC1206" s="581"/>
      <c r="CD1206" s="581"/>
      <c r="CE1206" s="581"/>
      <c r="CF1206" s="581"/>
      <c r="CG1206" s="586"/>
      <c r="CH1206" s="608"/>
      <c r="CI1206" s="603"/>
      <c r="CJ1206" s="347"/>
      <c r="CK1206" s="347"/>
      <c r="CL1206" s="347"/>
      <c r="CM1206" s="347"/>
      <c r="CN1206" s="347"/>
      <c r="CO1206" s="347"/>
      <c r="CP1206" s="347"/>
    </row>
    <row r="1207">
      <c r="A1207" s="574"/>
      <c r="B1207" s="574"/>
      <c r="C1207" s="347"/>
      <c r="D1207" s="574"/>
      <c r="E1207" s="347"/>
      <c r="F1207" s="596"/>
      <c r="G1207" s="596"/>
      <c r="H1207" s="347"/>
      <c r="I1207" s="347"/>
      <c r="J1207" s="596"/>
      <c r="K1207" s="609"/>
      <c r="L1207" s="1"/>
      <c r="M1207" s="347"/>
      <c r="N1207" s="347"/>
      <c r="O1207" s="579"/>
      <c r="P1207" s="579"/>
      <c r="Q1207" s="574"/>
      <c r="R1207" s="347"/>
      <c r="S1207" s="597"/>
      <c r="T1207" s="347"/>
      <c r="U1207" s="579"/>
      <c r="V1207" s="579"/>
      <c r="W1207" s="574"/>
      <c r="X1207" s="347"/>
      <c r="Y1207" s="347"/>
      <c r="Z1207" s="347"/>
      <c r="AA1207" s="579"/>
      <c r="AB1207" s="581"/>
      <c r="AC1207" s="347"/>
      <c r="AD1207" s="347"/>
      <c r="AE1207" s="347"/>
      <c r="AF1207" s="347"/>
      <c r="AG1207" s="579"/>
      <c r="AH1207" s="579"/>
      <c r="AI1207" s="582"/>
      <c r="AJ1207" s="582"/>
      <c r="AK1207" s="582"/>
      <c r="AL1207" s="582"/>
      <c r="AM1207" s="579"/>
      <c r="AN1207" s="579"/>
      <c r="AO1207" s="347"/>
      <c r="AP1207" s="586"/>
      <c r="AQ1207" s="596"/>
      <c r="AR1207" s="596"/>
      <c r="AS1207" s="348"/>
      <c r="AT1207" s="348"/>
      <c r="AU1207" s="348"/>
      <c r="AV1207" s="348"/>
      <c r="AW1207" s="348"/>
      <c r="AX1207" s="584"/>
      <c r="AY1207" s="581"/>
      <c r="AZ1207" s="581"/>
      <c r="BA1207" s="596"/>
      <c r="BB1207" s="596"/>
      <c r="BC1207" s="348"/>
      <c r="BD1207" s="581"/>
      <c r="BE1207" s="581"/>
      <c r="BF1207" s="347"/>
      <c r="BG1207" s="347"/>
      <c r="BH1207" s="347"/>
      <c r="BI1207" s="347"/>
      <c r="BJ1207" s="586"/>
      <c r="BK1207" s="581"/>
      <c r="BL1207" s="347"/>
      <c r="BM1207" s="347"/>
      <c r="BN1207" s="347"/>
      <c r="BO1207" s="586"/>
      <c r="BP1207" s="584"/>
      <c r="BQ1207" s="347"/>
      <c r="BR1207" s="586"/>
      <c r="BS1207" s="588"/>
      <c r="BT1207" s="586"/>
      <c r="BU1207" s="589"/>
      <c r="BV1207" s="581"/>
      <c r="BW1207" s="590"/>
      <c r="BX1207" s="347"/>
      <c r="BY1207" s="347"/>
      <c r="BZ1207" s="347"/>
      <c r="CA1207" s="586"/>
      <c r="CB1207" s="581"/>
      <c r="CC1207" s="581"/>
      <c r="CD1207" s="581"/>
      <c r="CE1207" s="581"/>
      <c r="CF1207" s="581"/>
      <c r="CG1207" s="586"/>
      <c r="CH1207" s="608"/>
      <c r="CI1207" s="603"/>
      <c r="CJ1207" s="347"/>
      <c r="CK1207" s="347"/>
      <c r="CL1207" s="347"/>
      <c r="CM1207" s="347"/>
      <c r="CN1207" s="347"/>
      <c r="CO1207" s="347"/>
      <c r="CP1207" s="347"/>
    </row>
    <row r="1208">
      <c r="A1208" s="574"/>
      <c r="B1208" s="574"/>
      <c r="C1208" s="347"/>
      <c r="D1208" s="574"/>
      <c r="E1208" s="347"/>
      <c r="F1208" s="596"/>
      <c r="G1208" s="596"/>
      <c r="H1208" s="347"/>
      <c r="I1208" s="347"/>
      <c r="J1208" s="596"/>
      <c r="K1208" s="609"/>
      <c r="L1208" s="1"/>
      <c r="M1208" s="347"/>
      <c r="N1208" s="347"/>
      <c r="O1208" s="579"/>
      <c r="P1208" s="579"/>
      <c r="Q1208" s="574"/>
      <c r="R1208" s="347"/>
      <c r="S1208" s="597"/>
      <c r="T1208" s="347"/>
      <c r="U1208" s="579"/>
      <c r="V1208" s="579"/>
      <c r="W1208" s="574"/>
      <c r="X1208" s="347"/>
      <c r="Y1208" s="347"/>
      <c r="Z1208" s="347"/>
      <c r="AA1208" s="579"/>
      <c r="AB1208" s="581"/>
      <c r="AC1208" s="347"/>
      <c r="AD1208" s="347"/>
      <c r="AE1208" s="347"/>
      <c r="AF1208" s="347"/>
      <c r="AG1208" s="579"/>
      <c r="AH1208" s="579"/>
      <c r="AI1208" s="582"/>
      <c r="AJ1208" s="582"/>
      <c r="AK1208" s="582"/>
      <c r="AL1208" s="582"/>
      <c r="AM1208" s="579"/>
      <c r="AN1208" s="579"/>
      <c r="AO1208" s="347"/>
      <c r="AP1208" s="586"/>
      <c r="AQ1208" s="596"/>
      <c r="AR1208" s="596"/>
      <c r="AS1208" s="348"/>
      <c r="AT1208" s="348"/>
      <c r="AU1208" s="348"/>
      <c r="AV1208" s="348"/>
      <c r="AW1208" s="348"/>
      <c r="AX1208" s="584"/>
      <c r="AY1208" s="581"/>
      <c r="AZ1208" s="581"/>
      <c r="BA1208" s="596"/>
      <c r="BB1208" s="596"/>
      <c r="BC1208" s="348"/>
      <c r="BD1208" s="581"/>
      <c r="BE1208" s="581"/>
      <c r="BF1208" s="347"/>
      <c r="BG1208" s="347"/>
      <c r="BH1208" s="347"/>
      <c r="BI1208" s="347"/>
      <c r="BJ1208" s="586"/>
      <c r="BK1208" s="581"/>
      <c r="BL1208" s="347"/>
      <c r="BM1208" s="347"/>
      <c r="BN1208" s="347"/>
      <c r="BO1208" s="586"/>
      <c r="BP1208" s="584"/>
      <c r="BQ1208" s="347"/>
      <c r="BR1208" s="586"/>
      <c r="BS1208" s="588"/>
      <c r="BT1208" s="586"/>
      <c r="BU1208" s="589"/>
      <c r="BV1208" s="581"/>
      <c r="BW1208" s="590"/>
      <c r="BX1208" s="347"/>
      <c r="BY1208" s="347"/>
      <c r="BZ1208" s="347"/>
      <c r="CA1208" s="586"/>
      <c r="CB1208" s="581"/>
      <c r="CC1208" s="581"/>
      <c r="CD1208" s="581"/>
      <c r="CE1208" s="581"/>
      <c r="CF1208" s="581"/>
      <c r="CG1208" s="586"/>
      <c r="CH1208" s="608"/>
      <c r="CI1208" s="603"/>
      <c r="CJ1208" s="347"/>
      <c r="CK1208" s="347"/>
      <c r="CL1208" s="347"/>
      <c r="CM1208" s="347"/>
      <c r="CN1208" s="347"/>
      <c r="CO1208" s="347"/>
      <c r="CP1208" s="347"/>
    </row>
    <row r="1209">
      <c r="A1209" s="574"/>
      <c r="B1209" s="574"/>
      <c r="C1209" s="347"/>
      <c r="D1209" s="574"/>
      <c r="E1209" s="347"/>
      <c r="F1209" s="596"/>
      <c r="G1209" s="596"/>
      <c r="H1209" s="347"/>
      <c r="I1209" s="347"/>
      <c r="J1209" s="596"/>
      <c r="K1209" s="609"/>
      <c r="L1209" s="1"/>
      <c r="M1209" s="347"/>
      <c r="N1209" s="347"/>
      <c r="O1209" s="579"/>
      <c r="P1209" s="579"/>
      <c r="Q1209" s="574"/>
      <c r="R1209" s="347"/>
      <c r="S1209" s="597"/>
      <c r="T1209" s="347"/>
      <c r="U1209" s="579"/>
      <c r="V1209" s="579"/>
      <c r="W1209" s="574"/>
      <c r="X1209" s="347"/>
      <c r="Y1209" s="347"/>
      <c r="Z1209" s="347"/>
      <c r="AA1209" s="579"/>
      <c r="AB1209" s="581"/>
      <c r="AC1209" s="347"/>
      <c r="AD1209" s="347"/>
      <c r="AE1209" s="347"/>
      <c r="AF1209" s="347"/>
      <c r="AG1209" s="579"/>
      <c r="AH1209" s="579"/>
      <c r="AI1209" s="582"/>
      <c r="AJ1209" s="582"/>
      <c r="AK1209" s="582"/>
      <c r="AL1209" s="582"/>
      <c r="AM1209" s="579"/>
      <c r="AN1209" s="579"/>
      <c r="AO1209" s="347"/>
      <c r="AP1209" s="586"/>
      <c r="AQ1209" s="596"/>
      <c r="AR1209" s="596"/>
      <c r="AS1209" s="348"/>
      <c r="AT1209" s="348"/>
      <c r="AU1209" s="348"/>
      <c r="AV1209" s="348"/>
      <c r="AW1209" s="348"/>
      <c r="AX1209" s="584"/>
      <c r="AY1209" s="581"/>
      <c r="AZ1209" s="581"/>
      <c r="BA1209" s="596"/>
      <c r="BB1209" s="596"/>
      <c r="BC1209" s="348"/>
      <c r="BD1209" s="581"/>
      <c r="BE1209" s="581"/>
      <c r="BF1209" s="347"/>
      <c r="BG1209" s="347"/>
      <c r="BH1209" s="347"/>
      <c r="BI1209" s="347"/>
      <c r="BJ1209" s="586"/>
      <c r="BK1209" s="581"/>
      <c r="BL1209" s="347"/>
      <c r="BM1209" s="347"/>
      <c r="BN1209" s="347"/>
      <c r="BO1209" s="586"/>
      <c r="BP1209" s="584"/>
      <c r="BQ1209" s="347"/>
      <c r="BR1209" s="586"/>
      <c r="BS1209" s="588"/>
      <c r="BT1209" s="586"/>
      <c r="BU1209" s="589"/>
      <c r="BV1209" s="581"/>
      <c r="BW1209" s="590"/>
      <c r="BX1209" s="347"/>
      <c r="BY1209" s="347"/>
      <c r="BZ1209" s="347"/>
      <c r="CA1209" s="586"/>
      <c r="CB1209" s="581"/>
      <c r="CC1209" s="581"/>
      <c r="CD1209" s="581"/>
      <c r="CE1209" s="581"/>
      <c r="CF1209" s="581"/>
      <c r="CG1209" s="586"/>
      <c r="CH1209" s="608"/>
      <c r="CI1209" s="603"/>
      <c r="CJ1209" s="347"/>
      <c r="CK1209" s="347"/>
      <c r="CL1209" s="347"/>
      <c r="CM1209" s="347"/>
      <c r="CN1209" s="347"/>
      <c r="CO1209" s="347"/>
      <c r="CP1209" s="347"/>
    </row>
    <row r="1210">
      <c r="A1210" s="574"/>
      <c r="B1210" s="574"/>
      <c r="C1210" s="347"/>
      <c r="D1210" s="574"/>
      <c r="E1210" s="347"/>
      <c r="F1210" s="596"/>
      <c r="G1210" s="596"/>
      <c r="H1210" s="347"/>
      <c r="I1210" s="347"/>
      <c r="J1210" s="596"/>
      <c r="K1210" s="609"/>
      <c r="L1210" s="1"/>
      <c r="M1210" s="347"/>
      <c r="N1210" s="347"/>
      <c r="O1210" s="579"/>
      <c r="P1210" s="579"/>
      <c r="Q1210" s="574"/>
      <c r="R1210" s="347"/>
      <c r="S1210" s="597"/>
      <c r="T1210" s="347"/>
      <c r="U1210" s="579"/>
      <c r="V1210" s="579"/>
      <c r="W1210" s="574"/>
      <c r="X1210" s="347"/>
      <c r="Y1210" s="347"/>
      <c r="Z1210" s="347"/>
      <c r="AA1210" s="579"/>
      <c r="AB1210" s="581"/>
      <c r="AC1210" s="347"/>
      <c r="AD1210" s="347"/>
      <c r="AE1210" s="347"/>
      <c r="AF1210" s="347"/>
      <c r="AG1210" s="579"/>
      <c r="AH1210" s="579"/>
      <c r="AI1210" s="582"/>
      <c r="AJ1210" s="582"/>
      <c r="AK1210" s="582"/>
      <c r="AL1210" s="582"/>
      <c r="AM1210" s="579"/>
      <c r="AN1210" s="579"/>
      <c r="AO1210" s="347"/>
      <c r="AP1210" s="586"/>
      <c r="AQ1210" s="596"/>
      <c r="AR1210" s="596"/>
      <c r="AS1210" s="348"/>
      <c r="AT1210" s="348"/>
      <c r="AU1210" s="348"/>
      <c r="AV1210" s="348"/>
      <c r="AW1210" s="348"/>
      <c r="AX1210" s="584"/>
      <c r="AY1210" s="581"/>
      <c r="AZ1210" s="581"/>
      <c r="BA1210" s="596"/>
      <c r="BB1210" s="596"/>
      <c r="BC1210" s="348"/>
      <c r="BD1210" s="581"/>
      <c r="BE1210" s="581"/>
      <c r="BF1210" s="347"/>
      <c r="BG1210" s="347"/>
      <c r="BH1210" s="347"/>
      <c r="BI1210" s="347"/>
      <c r="BJ1210" s="586"/>
      <c r="BK1210" s="581"/>
      <c r="BL1210" s="347"/>
      <c r="BM1210" s="347"/>
      <c r="BN1210" s="347"/>
      <c r="BO1210" s="586"/>
      <c r="BP1210" s="584"/>
      <c r="BQ1210" s="347"/>
      <c r="BR1210" s="586"/>
      <c r="BS1210" s="588"/>
      <c r="BT1210" s="586"/>
      <c r="BU1210" s="589"/>
      <c r="BV1210" s="581"/>
      <c r="BW1210" s="590"/>
      <c r="BX1210" s="347"/>
      <c r="BY1210" s="347"/>
      <c r="BZ1210" s="347"/>
      <c r="CA1210" s="586"/>
      <c r="CB1210" s="581"/>
      <c r="CC1210" s="581"/>
      <c r="CD1210" s="581"/>
      <c r="CE1210" s="581"/>
      <c r="CF1210" s="581"/>
      <c r="CG1210" s="586"/>
      <c r="CH1210" s="608"/>
      <c r="CI1210" s="603"/>
      <c r="CJ1210" s="347"/>
      <c r="CK1210" s="347"/>
      <c r="CL1210" s="347"/>
      <c r="CM1210" s="347"/>
      <c r="CN1210" s="347"/>
      <c r="CO1210" s="347"/>
      <c r="CP1210" s="347"/>
    </row>
    <row r="1211">
      <c r="A1211" s="574"/>
      <c r="B1211" s="574"/>
      <c r="C1211" s="347"/>
      <c r="D1211" s="574"/>
      <c r="E1211" s="347"/>
      <c r="F1211" s="596"/>
      <c r="G1211" s="596"/>
      <c r="H1211" s="347"/>
      <c r="I1211" s="347"/>
      <c r="J1211" s="596"/>
      <c r="K1211" s="609"/>
      <c r="L1211" s="1"/>
      <c r="M1211" s="347"/>
      <c r="N1211" s="347"/>
      <c r="O1211" s="579"/>
      <c r="P1211" s="579"/>
      <c r="Q1211" s="574"/>
      <c r="R1211" s="347"/>
      <c r="S1211" s="597"/>
      <c r="T1211" s="347"/>
      <c r="U1211" s="579"/>
      <c r="V1211" s="579"/>
      <c r="W1211" s="574"/>
      <c r="X1211" s="347"/>
      <c r="Y1211" s="347"/>
      <c r="Z1211" s="347"/>
      <c r="AA1211" s="579"/>
      <c r="AB1211" s="581"/>
      <c r="AC1211" s="347"/>
      <c r="AD1211" s="347"/>
      <c r="AE1211" s="347"/>
      <c r="AF1211" s="347"/>
      <c r="AG1211" s="579"/>
      <c r="AH1211" s="579"/>
      <c r="AI1211" s="582"/>
      <c r="AJ1211" s="582"/>
      <c r="AK1211" s="582"/>
      <c r="AL1211" s="582"/>
      <c r="AM1211" s="579"/>
      <c r="AN1211" s="579"/>
      <c r="AO1211" s="347"/>
      <c r="AP1211" s="586"/>
      <c r="AQ1211" s="596"/>
      <c r="AR1211" s="596"/>
      <c r="AS1211" s="348"/>
      <c r="AT1211" s="348"/>
      <c r="AU1211" s="348"/>
      <c r="AV1211" s="348"/>
      <c r="AW1211" s="348"/>
      <c r="AX1211" s="584"/>
      <c r="AY1211" s="581"/>
      <c r="AZ1211" s="581"/>
      <c r="BA1211" s="596"/>
      <c r="BB1211" s="596"/>
      <c r="BC1211" s="348"/>
      <c r="BD1211" s="581"/>
      <c r="BE1211" s="581"/>
      <c r="BF1211" s="347"/>
      <c r="BG1211" s="347"/>
      <c r="BH1211" s="347"/>
      <c r="BI1211" s="347"/>
      <c r="BJ1211" s="586"/>
      <c r="BK1211" s="581"/>
      <c r="BL1211" s="347"/>
      <c r="BM1211" s="347"/>
      <c r="BN1211" s="347"/>
      <c r="BO1211" s="586"/>
      <c r="BP1211" s="584"/>
      <c r="BQ1211" s="347"/>
      <c r="BR1211" s="586"/>
      <c r="BS1211" s="588"/>
      <c r="BT1211" s="586"/>
      <c r="BU1211" s="589"/>
      <c r="BV1211" s="581"/>
      <c r="BW1211" s="590"/>
      <c r="BX1211" s="347"/>
      <c r="BY1211" s="347"/>
      <c r="BZ1211" s="347"/>
      <c r="CA1211" s="586"/>
      <c r="CB1211" s="581"/>
      <c r="CC1211" s="581"/>
      <c r="CD1211" s="581"/>
      <c r="CE1211" s="581"/>
      <c r="CF1211" s="581"/>
      <c r="CG1211" s="586"/>
      <c r="CH1211" s="608"/>
      <c r="CI1211" s="603"/>
      <c r="CJ1211" s="347"/>
      <c r="CK1211" s="347"/>
      <c r="CL1211" s="347"/>
      <c r="CM1211" s="347"/>
      <c r="CN1211" s="347"/>
      <c r="CO1211" s="347"/>
      <c r="CP1211" s="347"/>
    </row>
    <row r="1212">
      <c r="A1212" s="574"/>
      <c r="B1212" s="574"/>
      <c r="C1212" s="347"/>
      <c r="D1212" s="574"/>
      <c r="E1212" s="347"/>
      <c r="F1212" s="596"/>
      <c r="G1212" s="596"/>
      <c r="H1212" s="347"/>
      <c r="I1212" s="347"/>
      <c r="J1212" s="596"/>
      <c r="K1212" s="609"/>
      <c r="L1212" s="1"/>
      <c r="M1212" s="347"/>
      <c r="N1212" s="347"/>
      <c r="O1212" s="579"/>
      <c r="P1212" s="579"/>
      <c r="Q1212" s="574"/>
      <c r="R1212" s="347"/>
      <c r="S1212" s="597"/>
      <c r="T1212" s="347"/>
      <c r="U1212" s="579"/>
      <c r="V1212" s="579"/>
      <c r="W1212" s="574"/>
      <c r="X1212" s="347"/>
      <c r="Y1212" s="347"/>
      <c r="Z1212" s="347"/>
      <c r="AA1212" s="579"/>
      <c r="AB1212" s="581"/>
      <c r="AC1212" s="347"/>
      <c r="AD1212" s="347"/>
      <c r="AE1212" s="347"/>
      <c r="AF1212" s="347"/>
      <c r="AG1212" s="579"/>
      <c r="AH1212" s="579"/>
      <c r="AI1212" s="582"/>
      <c r="AJ1212" s="582"/>
      <c r="AK1212" s="582"/>
      <c r="AL1212" s="582"/>
      <c r="AM1212" s="579"/>
      <c r="AN1212" s="579"/>
      <c r="AO1212" s="347"/>
      <c r="AP1212" s="586"/>
      <c r="AQ1212" s="596"/>
      <c r="AR1212" s="596"/>
      <c r="AS1212" s="348"/>
      <c r="AT1212" s="348"/>
      <c r="AU1212" s="348"/>
      <c r="AV1212" s="348"/>
      <c r="AW1212" s="348"/>
      <c r="AX1212" s="584"/>
      <c r="AY1212" s="581"/>
      <c r="AZ1212" s="581"/>
      <c r="BA1212" s="596"/>
      <c r="BB1212" s="596"/>
      <c r="BC1212" s="348"/>
      <c r="BD1212" s="581"/>
      <c r="BE1212" s="581"/>
      <c r="BF1212" s="347"/>
      <c r="BG1212" s="347"/>
      <c r="BH1212" s="347"/>
      <c r="BI1212" s="347"/>
      <c r="BJ1212" s="586"/>
      <c r="BK1212" s="581"/>
      <c r="BL1212" s="347"/>
      <c r="BM1212" s="347"/>
      <c r="BN1212" s="347"/>
      <c r="BO1212" s="586"/>
      <c r="BP1212" s="584"/>
      <c r="BQ1212" s="347"/>
      <c r="BR1212" s="586"/>
      <c r="BS1212" s="588"/>
      <c r="BT1212" s="586"/>
      <c r="BU1212" s="589"/>
      <c r="BV1212" s="581"/>
      <c r="BW1212" s="590"/>
      <c r="BX1212" s="347"/>
      <c r="BY1212" s="347"/>
      <c r="BZ1212" s="347"/>
      <c r="CA1212" s="586"/>
      <c r="CB1212" s="581"/>
      <c r="CC1212" s="581"/>
      <c r="CD1212" s="581"/>
      <c r="CE1212" s="581"/>
      <c r="CF1212" s="581"/>
      <c r="CG1212" s="586"/>
      <c r="CH1212" s="608"/>
      <c r="CI1212" s="603"/>
      <c r="CJ1212" s="347"/>
      <c r="CK1212" s="347"/>
      <c r="CL1212" s="347"/>
      <c r="CM1212" s="347"/>
      <c r="CN1212" s="347"/>
      <c r="CO1212" s="347"/>
      <c r="CP1212" s="347"/>
    </row>
    <row r="1213">
      <c r="A1213" s="574"/>
      <c r="B1213" s="574"/>
      <c r="C1213" s="347"/>
      <c r="D1213" s="574"/>
      <c r="E1213" s="347"/>
      <c r="F1213" s="596"/>
      <c r="G1213" s="596"/>
      <c r="H1213" s="347"/>
      <c r="I1213" s="347"/>
      <c r="J1213" s="596"/>
      <c r="K1213" s="609"/>
      <c r="L1213" s="1"/>
      <c r="M1213" s="347"/>
      <c r="N1213" s="347"/>
      <c r="O1213" s="579"/>
      <c r="P1213" s="579"/>
      <c r="Q1213" s="574"/>
      <c r="R1213" s="347"/>
      <c r="S1213" s="597"/>
      <c r="T1213" s="347"/>
      <c r="U1213" s="579"/>
      <c r="V1213" s="579"/>
      <c r="W1213" s="574"/>
      <c r="X1213" s="347"/>
      <c r="Y1213" s="347"/>
      <c r="Z1213" s="347"/>
      <c r="AA1213" s="579"/>
      <c r="AB1213" s="581"/>
      <c r="AC1213" s="347"/>
      <c r="AD1213" s="347"/>
      <c r="AE1213" s="347"/>
      <c r="AF1213" s="347"/>
      <c r="AG1213" s="579"/>
      <c r="AH1213" s="579"/>
      <c r="AI1213" s="582"/>
      <c r="AJ1213" s="582"/>
      <c r="AK1213" s="582"/>
      <c r="AL1213" s="582"/>
      <c r="AM1213" s="579"/>
      <c r="AN1213" s="579"/>
      <c r="AO1213" s="347"/>
      <c r="AP1213" s="586"/>
      <c r="AQ1213" s="596"/>
      <c r="AR1213" s="596"/>
      <c r="AS1213" s="348"/>
      <c r="AT1213" s="348"/>
      <c r="AU1213" s="348"/>
      <c r="AV1213" s="348"/>
      <c r="AW1213" s="348"/>
      <c r="AX1213" s="584"/>
      <c r="AY1213" s="581"/>
      <c r="AZ1213" s="581"/>
      <c r="BA1213" s="596"/>
      <c r="BB1213" s="596"/>
      <c r="BC1213" s="348"/>
      <c r="BD1213" s="581"/>
      <c r="BE1213" s="581"/>
      <c r="BF1213" s="347"/>
      <c r="BG1213" s="347"/>
      <c r="BH1213" s="347"/>
      <c r="BI1213" s="347"/>
      <c r="BJ1213" s="586"/>
      <c r="BK1213" s="581"/>
      <c r="BL1213" s="347"/>
      <c r="BM1213" s="347"/>
      <c r="BN1213" s="347"/>
      <c r="BO1213" s="586"/>
      <c r="BP1213" s="584"/>
      <c r="BQ1213" s="347"/>
      <c r="BR1213" s="586"/>
      <c r="BS1213" s="588"/>
      <c r="BT1213" s="586"/>
      <c r="BU1213" s="589"/>
      <c r="BV1213" s="581"/>
      <c r="BW1213" s="590"/>
      <c r="BX1213" s="347"/>
      <c r="BY1213" s="347"/>
      <c r="BZ1213" s="347"/>
      <c r="CA1213" s="586"/>
      <c r="CB1213" s="581"/>
      <c r="CC1213" s="581"/>
      <c r="CD1213" s="581"/>
      <c r="CE1213" s="581"/>
      <c r="CF1213" s="581"/>
      <c r="CG1213" s="586"/>
      <c r="CH1213" s="608"/>
      <c r="CI1213" s="603"/>
      <c r="CJ1213" s="347"/>
      <c r="CK1213" s="347"/>
      <c r="CL1213" s="347"/>
      <c r="CM1213" s="347"/>
      <c r="CN1213" s="347"/>
      <c r="CO1213" s="347"/>
      <c r="CP1213" s="347"/>
    </row>
    <row r="1214">
      <c r="A1214" s="574"/>
      <c r="B1214" s="574"/>
      <c r="C1214" s="347"/>
      <c r="D1214" s="574"/>
      <c r="E1214" s="347"/>
      <c r="F1214" s="596"/>
      <c r="G1214" s="596"/>
      <c r="H1214" s="347"/>
      <c r="I1214" s="347"/>
      <c r="J1214" s="596"/>
      <c r="K1214" s="609"/>
      <c r="L1214" s="1"/>
      <c r="M1214" s="347"/>
      <c r="N1214" s="347"/>
      <c r="O1214" s="579"/>
      <c r="P1214" s="579"/>
      <c r="Q1214" s="574"/>
      <c r="R1214" s="347"/>
      <c r="S1214" s="597"/>
      <c r="T1214" s="347"/>
      <c r="U1214" s="579"/>
      <c r="V1214" s="579"/>
      <c r="W1214" s="574"/>
      <c r="X1214" s="347"/>
      <c r="Y1214" s="347"/>
      <c r="Z1214" s="347"/>
      <c r="AA1214" s="579"/>
      <c r="AB1214" s="581"/>
      <c r="AC1214" s="347"/>
      <c r="AD1214" s="347"/>
      <c r="AE1214" s="347"/>
      <c r="AF1214" s="347"/>
      <c r="AG1214" s="579"/>
      <c r="AH1214" s="579"/>
      <c r="AI1214" s="582"/>
      <c r="AJ1214" s="582"/>
      <c r="AK1214" s="582"/>
      <c r="AL1214" s="582"/>
      <c r="AM1214" s="579"/>
      <c r="AN1214" s="579"/>
      <c r="AO1214" s="347"/>
      <c r="AP1214" s="586"/>
      <c r="AQ1214" s="596"/>
      <c r="AR1214" s="596"/>
      <c r="AS1214" s="348"/>
      <c r="AT1214" s="348"/>
      <c r="AU1214" s="348"/>
      <c r="AV1214" s="348"/>
      <c r="AW1214" s="348"/>
      <c r="AX1214" s="584"/>
      <c r="AY1214" s="581"/>
      <c r="AZ1214" s="581"/>
      <c r="BA1214" s="596"/>
      <c r="BB1214" s="596"/>
      <c r="BC1214" s="348"/>
      <c r="BD1214" s="581"/>
      <c r="BE1214" s="581"/>
      <c r="BF1214" s="347"/>
      <c r="BG1214" s="347"/>
      <c r="BH1214" s="347"/>
      <c r="BI1214" s="347"/>
      <c r="BJ1214" s="586"/>
      <c r="BK1214" s="581"/>
      <c r="BL1214" s="347"/>
      <c r="BM1214" s="347"/>
      <c r="BN1214" s="347"/>
      <c r="BO1214" s="586"/>
      <c r="BP1214" s="584"/>
      <c r="BQ1214" s="347"/>
      <c r="BR1214" s="586"/>
      <c r="BS1214" s="588"/>
      <c r="BT1214" s="586"/>
      <c r="BU1214" s="589"/>
      <c r="BV1214" s="581"/>
      <c r="BW1214" s="590"/>
      <c r="BX1214" s="347"/>
      <c r="BY1214" s="347"/>
      <c r="BZ1214" s="347"/>
      <c r="CA1214" s="586"/>
      <c r="CB1214" s="581"/>
      <c r="CC1214" s="581"/>
      <c r="CD1214" s="581"/>
      <c r="CE1214" s="581"/>
      <c r="CF1214" s="581"/>
      <c r="CG1214" s="586"/>
      <c r="CH1214" s="608"/>
      <c r="CI1214" s="603"/>
      <c r="CJ1214" s="347"/>
      <c r="CK1214" s="347"/>
      <c r="CL1214" s="347"/>
      <c r="CM1214" s="347"/>
      <c r="CN1214" s="347"/>
      <c r="CO1214" s="347"/>
      <c r="CP1214" s="347"/>
    </row>
    <row r="1215">
      <c r="A1215" s="574"/>
      <c r="B1215" s="574"/>
      <c r="C1215" s="347"/>
      <c r="D1215" s="574"/>
      <c r="E1215" s="347"/>
      <c r="F1215" s="596"/>
      <c r="G1215" s="596"/>
      <c r="H1215" s="347"/>
      <c r="I1215" s="347"/>
      <c r="J1215" s="596"/>
      <c r="K1215" s="609"/>
      <c r="L1215" s="1"/>
      <c r="M1215" s="347"/>
      <c r="N1215" s="347"/>
      <c r="O1215" s="579"/>
      <c r="P1215" s="579"/>
      <c r="Q1215" s="574"/>
      <c r="R1215" s="347"/>
      <c r="S1215" s="597"/>
      <c r="T1215" s="347"/>
      <c r="U1215" s="579"/>
      <c r="V1215" s="579"/>
      <c r="W1215" s="574"/>
      <c r="X1215" s="347"/>
      <c r="Y1215" s="347"/>
      <c r="Z1215" s="347"/>
      <c r="AA1215" s="579"/>
      <c r="AB1215" s="581"/>
      <c r="AC1215" s="347"/>
      <c r="AD1215" s="347"/>
      <c r="AE1215" s="347"/>
      <c r="AF1215" s="347"/>
      <c r="AG1215" s="579"/>
      <c r="AH1215" s="579"/>
      <c r="AI1215" s="582"/>
      <c r="AJ1215" s="582"/>
      <c r="AK1215" s="582"/>
      <c r="AL1215" s="582"/>
      <c r="AM1215" s="579"/>
      <c r="AN1215" s="579"/>
      <c r="AO1215" s="347"/>
      <c r="AP1215" s="586"/>
      <c r="AQ1215" s="596"/>
      <c r="AR1215" s="596"/>
      <c r="AS1215" s="348"/>
      <c r="AT1215" s="348"/>
      <c r="AU1215" s="348"/>
      <c r="AV1215" s="348"/>
      <c r="AW1215" s="348"/>
      <c r="AX1215" s="584"/>
      <c r="AY1215" s="581"/>
      <c r="AZ1215" s="581"/>
      <c r="BA1215" s="596"/>
      <c r="BB1215" s="596"/>
      <c r="BC1215" s="348"/>
      <c r="BD1215" s="581"/>
      <c r="BE1215" s="581"/>
      <c r="BF1215" s="347"/>
      <c r="BG1215" s="347"/>
      <c r="BH1215" s="347"/>
      <c r="BI1215" s="347"/>
      <c r="BJ1215" s="586"/>
      <c r="BK1215" s="581"/>
      <c r="BL1215" s="347"/>
      <c r="BM1215" s="347"/>
      <c r="BN1215" s="347"/>
      <c r="BO1215" s="586"/>
      <c r="BP1215" s="584"/>
      <c r="BQ1215" s="347"/>
      <c r="BR1215" s="586"/>
      <c r="BS1215" s="588"/>
      <c r="BT1215" s="586"/>
      <c r="BU1215" s="589"/>
      <c r="BV1215" s="581"/>
      <c r="BW1215" s="590"/>
      <c r="BX1215" s="347"/>
      <c r="BY1215" s="347"/>
      <c r="BZ1215" s="347"/>
      <c r="CA1215" s="586"/>
      <c r="CB1215" s="581"/>
      <c r="CC1215" s="581"/>
      <c r="CD1215" s="581"/>
      <c r="CE1215" s="581"/>
      <c r="CF1215" s="581"/>
      <c r="CG1215" s="586"/>
      <c r="CH1215" s="608"/>
      <c r="CI1215" s="603"/>
      <c r="CJ1215" s="347"/>
      <c r="CK1215" s="347"/>
      <c r="CL1215" s="347"/>
      <c r="CM1215" s="347"/>
      <c r="CN1215" s="347"/>
      <c r="CO1215" s="347"/>
      <c r="CP1215" s="347"/>
    </row>
    <row r="1216">
      <c r="A1216" s="574"/>
      <c r="B1216" s="574"/>
      <c r="C1216" s="347"/>
      <c r="D1216" s="574"/>
      <c r="E1216" s="347"/>
      <c r="F1216" s="596"/>
      <c r="G1216" s="596"/>
      <c r="H1216" s="347"/>
      <c r="I1216" s="347"/>
      <c r="J1216" s="596"/>
      <c r="K1216" s="609"/>
      <c r="L1216" s="1"/>
      <c r="M1216" s="347"/>
      <c r="N1216" s="347"/>
      <c r="O1216" s="579"/>
      <c r="P1216" s="579"/>
      <c r="Q1216" s="574"/>
      <c r="R1216" s="347"/>
      <c r="S1216" s="597"/>
      <c r="T1216" s="347"/>
      <c r="U1216" s="579"/>
      <c r="V1216" s="579"/>
      <c r="W1216" s="574"/>
      <c r="X1216" s="347"/>
      <c r="Y1216" s="347"/>
      <c r="Z1216" s="347"/>
      <c r="AA1216" s="579"/>
      <c r="AB1216" s="581"/>
      <c r="AC1216" s="347"/>
      <c r="AD1216" s="347"/>
      <c r="AE1216" s="347"/>
      <c r="AF1216" s="347"/>
      <c r="AG1216" s="579"/>
      <c r="AH1216" s="579"/>
      <c r="AI1216" s="582"/>
      <c r="AJ1216" s="582"/>
      <c r="AK1216" s="582"/>
      <c r="AL1216" s="582"/>
      <c r="AM1216" s="579"/>
      <c r="AN1216" s="579"/>
      <c r="AO1216" s="347"/>
      <c r="AP1216" s="586"/>
      <c r="AQ1216" s="596"/>
      <c r="AR1216" s="596"/>
      <c r="AS1216" s="348"/>
      <c r="AT1216" s="348"/>
      <c r="AU1216" s="348"/>
      <c r="AV1216" s="348"/>
      <c r="AW1216" s="348"/>
      <c r="AX1216" s="584"/>
      <c r="AY1216" s="581"/>
      <c r="AZ1216" s="581"/>
      <c r="BA1216" s="596"/>
      <c r="BB1216" s="596"/>
      <c r="BC1216" s="348"/>
      <c r="BD1216" s="581"/>
      <c r="BE1216" s="581"/>
      <c r="BF1216" s="347"/>
      <c r="BG1216" s="347"/>
      <c r="BH1216" s="347"/>
      <c r="BI1216" s="347"/>
      <c r="BJ1216" s="586"/>
      <c r="BK1216" s="581"/>
      <c r="BL1216" s="347"/>
      <c r="BM1216" s="347"/>
      <c r="BN1216" s="347"/>
      <c r="BO1216" s="586"/>
      <c r="BP1216" s="584"/>
      <c r="BQ1216" s="347"/>
      <c r="BR1216" s="586"/>
      <c r="BS1216" s="588"/>
      <c r="BT1216" s="586"/>
      <c r="BU1216" s="589"/>
      <c r="BV1216" s="581"/>
      <c r="BW1216" s="590"/>
      <c r="BX1216" s="347"/>
      <c r="BY1216" s="347"/>
      <c r="BZ1216" s="347"/>
      <c r="CA1216" s="586"/>
      <c r="CB1216" s="581"/>
      <c r="CC1216" s="581"/>
      <c r="CD1216" s="581"/>
      <c r="CE1216" s="581"/>
      <c r="CF1216" s="581"/>
      <c r="CG1216" s="586"/>
      <c r="CH1216" s="608"/>
      <c r="CI1216" s="603"/>
      <c r="CJ1216" s="347"/>
      <c r="CK1216" s="347"/>
      <c r="CL1216" s="347"/>
      <c r="CM1216" s="347"/>
      <c r="CN1216" s="347"/>
      <c r="CO1216" s="347"/>
      <c r="CP1216" s="347"/>
    </row>
    <row r="1217">
      <c r="A1217" s="574"/>
      <c r="B1217" s="574"/>
      <c r="C1217" s="347"/>
      <c r="D1217" s="574"/>
      <c r="E1217" s="347"/>
      <c r="F1217" s="596"/>
      <c r="G1217" s="596"/>
      <c r="H1217" s="347"/>
      <c r="I1217" s="347"/>
      <c r="J1217" s="596"/>
      <c r="K1217" s="609"/>
      <c r="L1217" s="1"/>
      <c r="M1217" s="347"/>
      <c r="N1217" s="347"/>
      <c r="O1217" s="579"/>
      <c r="P1217" s="579"/>
      <c r="Q1217" s="574"/>
      <c r="R1217" s="347"/>
      <c r="S1217" s="597"/>
      <c r="T1217" s="347"/>
      <c r="U1217" s="579"/>
      <c r="V1217" s="579"/>
      <c r="W1217" s="574"/>
      <c r="X1217" s="347"/>
      <c r="Y1217" s="347"/>
      <c r="Z1217" s="347"/>
      <c r="AA1217" s="579"/>
      <c r="AB1217" s="581"/>
      <c r="AC1217" s="347"/>
      <c r="AD1217" s="347"/>
      <c r="AE1217" s="347"/>
      <c r="AF1217" s="347"/>
      <c r="AG1217" s="579"/>
      <c r="AH1217" s="579"/>
      <c r="AI1217" s="582"/>
      <c r="AJ1217" s="582"/>
      <c r="AK1217" s="582"/>
      <c r="AL1217" s="582"/>
      <c r="AM1217" s="579"/>
      <c r="AN1217" s="579"/>
      <c r="AO1217" s="347"/>
      <c r="AP1217" s="586"/>
      <c r="AQ1217" s="596"/>
      <c r="AR1217" s="596"/>
      <c r="AS1217" s="348"/>
      <c r="AT1217" s="348"/>
      <c r="AU1217" s="348"/>
      <c r="AV1217" s="348"/>
      <c r="AW1217" s="348"/>
      <c r="AX1217" s="584"/>
      <c r="AY1217" s="581"/>
      <c r="AZ1217" s="581"/>
      <c r="BA1217" s="596"/>
      <c r="BB1217" s="596"/>
      <c r="BC1217" s="348"/>
      <c r="BD1217" s="581"/>
      <c r="BE1217" s="581"/>
      <c r="BF1217" s="347"/>
      <c r="BG1217" s="347"/>
      <c r="BH1217" s="347"/>
      <c r="BI1217" s="347"/>
      <c r="BJ1217" s="586"/>
      <c r="BK1217" s="581"/>
      <c r="BL1217" s="347"/>
      <c r="BM1217" s="347"/>
      <c r="BN1217" s="347"/>
      <c r="BO1217" s="586"/>
      <c r="BP1217" s="584"/>
      <c r="BQ1217" s="347"/>
      <c r="BR1217" s="586"/>
      <c r="BS1217" s="588"/>
      <c r="BT1217" s="586"/>
      <c r="BU1217" s="589"/>
      <c r="BV1217" s="581"/>
      <c r="BW1217" s="590"/>
      <c r="BX1217" s="347"/>
      <c r="BY1217" s="347"/>
      <c r="BZ1217" s="347"/>
      <c r="CA1217" s="586"/>
      <c r="CB1217" s="581"/>
      <c r="CC1217" s="581"/>
      <c r="CD1217" s="581"/>
      <c r="CE1217" s="581"/>
      <c r="CF1217" s="581"/>
      <c r="CG1217" s="586"/>
      <c r="CH1217" s="608"/>
      <c r="CI1217" s="603"/>
      <c r="CJ1217" s="347"/>
      <c r="CK1217" s="347"/>
      <c r="CL1217" s="347"/>
      <c r="CM1217" s="347"/>
      <c r="CN1217" s="347"/>
      <c r="CO1217" s="347"/>
      <c r="CP1217" s="347"/>
    </row>
    <row r="1218">
      <c r="A1218" s="574"/>
      <c r="B1218" s="574"/>
      <c r="C1218" s="347"/>
      <c r="D1218" s="574"/>
      <c r="E1218" s="347"/>
      <c r="F1218" s="596"/>
      <c r="G1218" s="596"/>
      <c r="H1218" s="347"/>
      <c r="I1218" s="347"/>
      <c r="J1218" s="596"/>
      <c r="K1218" s="609"/>
      <c r="L1218" s="1"/>
      <c r="M1218" s="347"/>
      <c r="N1218" s="347"/>
      <c r="O1218" s="579"/>
      <c r="P1218" s="579"/>
      <c r="Q1218" s="574"/>
      <c r="R1218" s="347"/>
      <c r="S1218" s="597"/>
      <c r="T1218" s="347"/>
      <c r="U1218" s="579"/>
      <c r="V1218" s="579"/>
      <c r="W1218" s="574"/>
      <c r="X1218" s="347"/>
      <c r="Y1218" s="347"/>
      <c r="Z1218" s="347"/>
      <c r="AA1218" s="579"/>
      <c r="AB1218" s="581"/>
      <c r="AC1218" s="347"/>
      <c r="AD1218" s="347"/>
      <c r="AE1218" s="347"/>
      <c r="AF1218" s="347"/>
      <c r="AG1218" s="579"/>
      <c r="AH1218" s="579"/>
      <c r="AI1218" s="582"/>
      <c r="AJ1218" s="582"/>
      <c r="AK1218" s="582"/>
      <c r="AL1218" s="582"/>
      <c r="AM1218" s="579"/>
      <c r="AN1218" s="579"/>
      <c r="AO1218" s="347"/>
      <c r="AP1218" s="586"/>
      <c r="AQ1218" s="596"/>
      <c r="AR1218" s="596"/>
      <c r="AS1218" s="348"/>
      <c r="AT1218" s="348"/>
      <c r="AU1218" s="348"/>
      <c r="AV1218" s="348"/>
      <c r="AW1218" s="348"/>
      <c r="AX1218" s="584"/>
      <c r="AY1218" s="581"/>
      <c r="AZ1218" s="581"/>
      <c r="BA1218" s="596"/>
      <c r="BB1218" s="596"/>
      <c r="BC1218" s="348"/>
      <c r="BD1218" s="581"/>
      <c r="BE1218" s="581"/>
      <c r="BF1218" s="347"/>
      <c r="BG1218" s="347"/>
      <c r="BH1218" s="347"/>
      <c r="BI1218" s="347"/>
      <c r="BJ1218" s="586"/>
      <c r="BK1218" s="581"/>
      <c r="BL1218" s="347"/>
      <c r="BM1218" s="347"/>
      <c r="BN1218" s="347"/>
      <c r="BO1218" s="586"/>
      <c r="BP1218" s="584"/>
      <c r="BQ1218" s="347"/>
      <c r="BR1218" s="586"/>
      <c r="BS1218" s="588"/>
      <c r="BT1218" s="586"/>
      <c r="BU1218" s="589"/>
      <c r="BV1218" s="581"/>
      <c r="BW1218" s="590"/>
      <c r="BX1218" s="347"/>
      <c r="BY1218" s="347"/>
      <c r="BZ1218" s="347"/>
      <c r="CA1218" s="586"/>
      <c r="CB1218" s="581"/>
      <c r="CC1218" s="581"/>
      <c r="CD1218" s="581"/>
      <c r="CE1218" s="581"/>
      <c r="CF1218" s="581"/>
      <c r="CG1218" s="586"/>
      <c r="CH1218" s="608"/>
      <c r="CI1218" s="603"/>
      <c r="CJ1218" s="347"/>
      <c r="CK1218" s="347"/>
      <c r="CL1218" s="347"/>
      <c r="CM1218" s="347"/>
      <c r="CN1218" s="347"/>
      <c r="CO1218" s="347"/>
      <c r="CP1218" s="347"/>
    </row>
    <row r="1219">
      <c r="A1219" s="574"/>
      <c r="B1219" s="574"/>
      <c r="C1219" s="347"/>
      <c r="D1219" s="574"/>
      <c r="E1219" s="347"/>
      <c r="F1219" s="596"/>
      <c r="G1219" s="596"/>
      <c r="H1219" s="347"/>
      <c r="I1219" s="347"/>
      <c r="J1219" s="596"/>
      <c r="K1219" s="609"/>
      <c r="L1219" s="1"/>
      <c r="M1219" s="347"/>
      <c r="N1219" s="347"/>
      <c r="O1219" s="579"/>
      <c r="P1219" s="579"/>
      <c r="Q1219" s="574"/>
      <c r="R1219" s="347"/>
      <c r="S1219" s="597"/>
      <c r="T1219" s="347"/>
      <c r="U1219" s="579"/>
      <c r="V1219" s="579"/>
      <c r="W1219" s="574"/>
      <c r="X1219" s="347"/>
      <c r="Y1219" s="347"/>
      <c r="Z1219" s="347"/>
      <c r="AA1219" s="579"/>
      <c r="AB1219" s="581"/>
      <c r="AC1219" s="347"/>
      <c r="AD1219" s="347"/>
      <c r="AE1219" s="347"/>
      <c r="AF1219" s="347"/>
      <c r="AG1219" s="579"/>
      <c r="AH1219" s="579"/>
      <c r="AI1219" s="582"/>
      <c r="AJ1219" s="582"/>
      <c r="AK1219" s="582"/>
      <c r="AL1219" s="582"/>
      <c r="AM1219" s="579"/>
      <c r="AN1219" s="579"/>
      <c r="AO1219" s="347"/>
      <c r="AP1219" s="586"/>
      <c r="AQ1219" s="596"/>
      <c r="AR1219" s="596"/>
      <c r="AS1219" s="348"/>
      <c r="AT1219" s="348"/>
      <c r="AU1219" s="348"/>
      <c r="AV1219" s="348"/>
      <c r="AW1219" s="348"/>
      <c r="AX1219" s="584"/>
      <c r="AY1219" s="581"/>
      <c r="AZ1219" s="581"/>
      <c r="BA1219" s="596"/>
      <c r="BB1219" s="596"/>
      <c r="BC1219" s="348"/>
      <c r="BD1219" s="581"/>
      <c r="BE1219" s="581"/>
      <c r="BF1219" s="347"/>
      <c r="BG1219" s="347"/>
      <c r="BH1219" s="347"/>
      <c r="BI1219" s="347"/>
      <c r="BJ1219" s="586"/>
      <c r="BK1219" s="581"/>
      <c r="BL1219" s="347"/>
      <c r="BM1219" s="347"/>
      <c r="BN1219" s="347"/>
      <c r="BO1219" s="586"/>
      <c r="BP1219" s="584"/>
      <c r="BQ1219" s="347"/>
      <c r="BR1219" s="586"/>
      <c r="BS1219" s="588"/>
      <c r="BT1219" s="586"/>
      <c r="BU1219" s="589"/>
      <c r="BV1219" s="581"/>
      <c r="BW1219" s="590"/>
      <c r="BX1219" s="347"/>
      <c r="BY1219" s="347"/>
      <c r="BZ1219" s="347"/>
      <c r="CA1219" s="586"/>
      <c r="CB1219" s="581"/>
      <c r="CC1219" s="581"/>
      <c r="CD1219" s="581"/>
      <c r="CE1219" s="581"/>
      <c r="CF1219" s="581"/>
      <c r="CG1219" s="586"/>
      <c r="CH1219" s="608"/>
      <c r="CI1219" s="603"/>
      <c r="CJ1219" s="347"/>
      <c r="CK1219" s="347"/>
      <c r="CL1219" s="347"/>
      <c r="CM1219" s="347"/>
      <c r="CN1219" s="347"/>
      <c r="CO1219" s="347"/>
      <c r="CP1219" s="347"/>
    </row>
    <row r="1220">
      <c r="A1220" s="574"/>
      <c r="B1220" s="574"/>
      <c r="C1220" s="347"/>
      <c r="D1220" s="574"/>
      <c r="E1220" s="347"/>
      <c r="F1220" s="596"/>
      <c r="G1220" s="596"/>
      <c r="H1220" s="347"/>
      <c r="I1220" s="347"/>
      <c r="J1220" s="596"/>
      <c r="K1220" s="609"/>
      <c r="L1220" s="1"/>
      <c r="M1220" s="347"/>
      <c r="N1220" s="347"/>
      <c r="O1220" s="579"/>
      <c r="P1220" s="579"/>
      <c r="Q1220" s="574"/>
      <c r="R1220" s="347"/>
      <c r="S1220" s="597"/>
      <c r="T1220" s="347"/>
      <c r="U1220" s="579"/>
      <c r="V1220" s="579"/>
      <c r="W1220" s="574"/>
      <c r="X1220" s="347"/>
      <c r="Y1220" s="347"/>
      <c r="Z1220" s="347"/>
      <c r="AA1220" s="579"/>
      <c r="AB1220" s="581"/>
      <c r="AC1220" s="347"/>
      <c r="AD1220" s="347"/>
      <c r="AE1220" s="347"/>
      <c r="AF1220" s="347"/>
      <c r="AG1220" s="579"/>
      <c r="AH1220" s="579"/>
      <c r="AI1220" s="582"/>
      <c r="AJ1220" s="582"/>
      <c r="AK1220" s="582"/>
      <c r="AL1220" s="582"/>
      <c r="AM1220" s="579"/>
      <c r="AN1220" s="579"/>
      <c r="AO1220" s="347"/>
      <c r="AP1220" s="586"/>
      <c r="AQ1220" s="596"/>
      <c r="AR1220" s="596"/>
      <c r="AS1220" s="348"/>
      <c r="AT1220" s="348"/>
      <c r="AU1220" s="348"/>
      <c r="AV1220" s="348"/>
      <c r="AW1220" s="348"/>
      <c r="AX1220" s="584"/>
      <c r="AY1220" s="581"/>
      <c r="AZ1220" s="581"/>
      <c r="BA1220" s="596"/>
      <c r="BB1220" s="596"/>
      <c r="BC1220" s="348"/>
      <c r="BD1220" s="581"/>
      <c r="BE1220" s="581"/>
      <c r="BF1220" s="347"/>
      <c r="BG1220" s="347"/>
      <c r="BH1220" s="347"/>
      <c r="BI1220" s="347"/>
      <c r="BJ1220" s="586"/>
      <c r="BK1220" s="581"/>
      <c r="BL1220" s="347"/>
      <c r="BM1220" s="347"/>
      <c r="BN1220" s="347"/>
      <c r="BO1220" s="586"/>
      <c r="BP1220" s="584"/>
      <c r="BQ1220" s="347"/>
      <c r="BR1220" s="586"/>
      <c r="BS1220" s="588"/>
      <c r="BT1220" s="586"/>
      <c r="BU1220" s="589"/>
      <c r="BV1220" s="581"/>
      <c r="BW1220" s="590"/>
      <c r="BX1220" s="347"/>
      <c r="BY1220" s="347"/>
      <c r="BZ1220" s="347"/>
      <c r="CA1220" s="586"/>
      <c r="CB1220" s="581"/>
      <c r="CC1220" s="581"/>
      <c r="CD1220" s="581"/>
      <c r="CE1220" s="581"/>
      <c r="CF1220" s="581"/>
      <c r="CG1220" s="586"/>
      <c r="CH1220" s="608"/>
      <c r="CI1220" s="603"/>
      <c r="CJ1220" s="347"/>
      <c r="CK1220" s="347"/>
      <c r="CL1220" s="347"/>
      <c r="CM1220" s="347"/>
      <c r="CN1220" s="347"/>
      <c r="CO1220" s="347"/>
      <c r="CP1220" s="347"/>
    </row>
    <row r="1221">
      <c r="A1221" s="574"/>
      <c r="B1221" s="574"/>
      <c r="C1221" s="347"/>
      <c r="D1221" s="574"/>
      <c r="E1221" s="347"/>
      <c r="F1221" s="596"/>
      <c r="G1221" s="596"/>
      <c r="H1221" s="347"/>
      <c r="I1221" s="347"/>
      <c r="J1221" s="596"/>
      <c r="K1221" s="609"/>
      <c r="L1221" s="1"/>
      <c r="M1221" s="347"/>
      <c r="N1221" s="347"/>
      <c r="O1221" s="579"/>
      <c r="P1221" s="579"/>
      <c r="Q1221" s="574"/>
      <c r="R1221" s="347"/>
      <c r="S1221" s="597"/>
      <c r="T1221" s="347"/>
      <c r="U1221" s="579"/>
      <c r="V1221" s="579"/>
      <c r="W1221" s="574"/>
      <c r="X1221" s="347"/>
      <c r="Y1221" s="347"/>
      <c r="Z1221" s="347"/>
      <c r="AA1221" s="579"/>
      <c r="AB1221" s="581"/>
      <c r="AC1221" s="347"/>
      <c r="AD1221" s="347"/>
      <c r="AE1221" s="347"/>
      <c r="AF1221" s="347"/>
      <c r="AG1221" s="579"/>
      <c r="AH1221" s="579"/>
      <c r="AI1221" s="582"/>
      <c r="AJ1221" s="582"/>
      <c r="AK1221" s="582"/>
      <c r="AL1221" s="582"/>
      <c r="AM1221" s="579"/>
      <c r="AN1221" s="579"/>
      <c r="AO1221" s="347"/>
      <c r="AP1221" s="586"/>
      <c r="AQ1221" s="596"/>
      <c r="AR1221" s="596"/>
      <c r="AS1221" s="348"/>
      <c r="AT1221" s="348"/>
      <c r="AU1221" s="348"/>
      <c r="AV1221" s="348"/>
      <c r="AW1221" s="348"/>
      <c r="AX1221" s="584"/>
      <c r="AY1221" s="581"/>
      <c r="AZ1221" s="581"/>
      <c r="BA1221" s="596"/>
      <c r="BB1221" s="596"/>
      <c r="BC1221" s="348"/>
      <c r="BD1221" s="581"/>
      <c r="BE1221" s="581"/>
      <c r="BF1221" s="347"/>
      <c r="BG1221" s="347"/>
      <c r="BH1221" s="347"/>
      <c r="BI1221" s="347"/>
      <c r="BJ1221" s="586"/>
      <c r="BK1221" s="581"/>
      <c r="BL1221" s="347"/>
      <c r="BM1221" s="347"/>
      <c r="BN1221" s="347"/>
      <c r="BO1221" s="586"/>
      <c r="BP1221" s="584"/>
      <c r="BQ1221" s="347"/>
      <c r="BR1221" s="586"/>
      <c r="BS1221" s="588"/>
      <c r="BT1221" s="586"/>
      <c r="BU1221" s="589"/>
      <c r="BV1221" s="581"/>
      <c r="BW1221" s="590"/>
      <c r="BX1221" s="347"/>
      <c r="BY1221" s="347"/>
      <c r="BZ1221" s="347"/>
      <c r="CA1221" s="586"/>
      <c r="CB1221" s="581"/>
      <c r="CC1221" s="581"/>
      <c r="CD1221" s="581"/>
      <c r="CE1221" s="581"/>
      <c r="CF1221" s="581"/>
      <c r="CG1221" s="586"/>
      <c r="CH1221" s="608"/>
      <c r="CI1221" s="603"/>
      <c r="CJ1221" s="347"/>
      <c r="CK1221" s="347"/>
      <c r="CL1221" s="347"/>
      <c r="CM1221" s="347"/>
      <c r="CN1221" s="347"/>
      <c r="CO1221" s="347"/>
      <c r="CP1221" s="347"/>
    </row>
    <row r="1222">
      <c r="A1222" s="574"/>
      <c r="B1222" s="574"/>
      <c r="C1222" s="347"/>
      <c r="D1222" s="574"/>
      <c r="E1222" s="347"/>
      <c r="F1222" s="596"/>
      <c r="G1222" s="596"/>
      <c r="H1222" s="347"/>
      <c r="I1222" s="347"/>
      <c r="J1222" s="596"/>
      <c r="K1222" s="609"/>
      <c r="L1222" s="1"/>
      <c r="M1222" s="347"/>
      <c r="N1222" s="347"/>
      <c r="O1222" s="579"/>
      <c r="P1222" s="579"/>
      <c r="Q1222" s="574"/>
      <c r="R1222" s="347"/>
      <c r="S1222" s="597"/>
      <c r="T1222" s="347"/>
      <c r="U1222" s="579"/>
      <c r="V1222" s="579"/>
      <c r="W1222" s="574"/>
      <c r="X1222" s="347"/>
      <c r="Y1222" s="347"/>
      <c r="Z1222" s="347"/>
      <c r="AA1222" s="579"/>
      <c r="AB1222" s="581"/>
      <c r="AC1222" s="347"/>
      <c r="AD1222" s="347"/>
      <c r="AE1222" s="347"/>
      <c r="AF1222" s="347"/>
      <c r="AG1222" s="579"/>
      <c r="AH1222" s="579"/>
      <c r="AI1222" s="582"/>
      <c r="AJ1222" s="582"/>
      <c r="AK1222" s="582"/>
      <c r="AL1222" s="582"/>
      <c r="AM1222" s="579"/>
      <c r="AN1222" s="579"/>
      <c r="AO1222" s="347"/>
      <c r="AP1222" s="586"/>
      <c r="AQ1222" s="596"/>
      <c r="AR1222" s="596"/>
      <c r="AS1222" s="348"/>
      <c r="AT1222" s="348"/>
      <c r="AU1222" s="348"/>
      <c r="AV1222" s="348"/>
      <c r="AW1222" s="348"/>
      <c r="AX1222" s="584"/>
      <c r="AY1222" s="581"/>
      <c r="AZ1222" s="581"/>
      <c r="BA1222" s="596"/>
      <c r="BB1222" s="596"/>
      <c r="BC1222" s="348"/>
      <c r="BD1222" s="581"/>
      <c r="BE1222" s="581"/>
      <c r="BF1222" s="347"/>
      <c r="BG1222" s="347"/>
      <c r="BH1222" s="347"/>
      <c r="BI1222" s="347"/>
      <c r="BJ1222" s="586"/>
      <c r="BK1222" s="581"/>
      <c r="BL1222" s="347"/>
      <c r="BM1222" s="347"/>
      <c r="BN1222" s="347"/>
      <c r="BO1222" s="586"/>
      <c r="BP1222" s="584"/>
      <c r="BQ1222" s="347"/>
      <c r="BR1222" s="586"/>
      <c r="BS1222" s="588"/>
      <c r="BT1222" s="586"/>
      <c r="BU1222" s="589"/>
      <c r="BV1222" s="581"/>
      <c r="BW1222" s="590"/>
      <c r="BX1222" s="347"/>
      <c r="BY1222" s="347"/>
      <c r="BZ1222" s="347"/>
      <c r="CA1222" s="586"/>
      <c r="CB1222" s="581"/>
      <c r="CC1222" s="581"/>
      <c r="CD1222" s="581"/>
      <c r="CE1222" s="581"/>
      <c r="CF1222" s="581"/>
      <c r="CG1222" s="586"/>
      <c r="CH1222" s="608"/>
      <c r="CI1222" s="603"/>
      <c r="CJ1222" s="347"/>
      <c r="CK1222" s="347"/>
      <c r="CL1222" s="347"/>
      <c r="CM1222" s="347"/>
      <c r="CN1222" s="347"/>
      <c r="CO1222" s="347"/>
      <c r="CP1222" s="347"/>
    </row>
    <row r="1223">
      <c r="A1223" s="574"/>
      <c r="B1223" s="574"/>
      <c r="C1223" s="347"/>
      <c r="D1223" s="574"/>
      <c r="E1223" s="347"/>
      <c r="F1223" s="596"/>
      <c r="G1223" s="596"/>
      <c r="H1223" s="347"/>
      <c r="I1223" s="347"/>
      <c r="J1223" s="596"/>
      <c r="K1223" s="609"/>
      <c r="L1223" s="1"/>
      <c r="M1223" s="347"/>
      <c r="N1223" s="347"/>
      <c r="O1223" s="579"/>
      <c r="P1223" s="579"/>
      <c r="Q1223" s="574"/>
      <c r="R1223" s="347"/>
      <c r="S1223" s="597"/>
      <c r="T1223" s="347"/>
      <c r="U1223" s="579"/>
      <c r="V1223" s="579"/>
      <c r="W1223" s="574"/>
      <c r="X1223" s="347"/>
      <c r="Y1223" s="347"/>
      <c r="Z1223" s="347"/>
      <c r="AA1223" s="579"/>
      <c r="AB1223" s="581"/>
      <c r="AC1223" s="347"/>
      <c r="AD1223" s="347"/>
      <c r="AE1223" s="347"/>
      <c r="AF1223" s="347"/>
      <c r="AG1223" s="579"/>
      <c r="AH1223" s="579"/>
      <c r="AI1223" s="582"/>
      <c r="AJ1223" s="582"/>
      <c r="AK1223" s="582"/>
      <c r="AL1223" s="582"/>
      <c r="AM1223" s="579"/>
      <c r="AN1223" s="579"/>
      <c r="AO1223" s="347"/>
      <c r="AP1223" s="586"/>
      <c r="AQ1223" s="596"/>
      <c r="AR1223" s="596"/>
      <c r="AS1223" s="348"/>
      <c r="AT1223" s="348"/>
      <c r="AU1223" s="348"/>
      <c r="AV1223" s="348"/>
      <c r="AW1223" s="348"/>
      <c r="AX1223" s="584"/>
      <c r="AY1223" s="581"/>
      <c r="AZ1223" s="581"/>
      <c r="BA1223" s="596"/>
      <c r="BB1223" s="596"/>
      <c r="BC1223" s="348"/>
      <c r="BD1223" s="581"/>
      <c r="BE1223" s="581"/>
      <c r="BF1223" s="347"/>
      <c r="BG1223" s="347"/>
      <c r="BH1223" s="347"/>
      <c r="BI1223" s="347"/>
      <c r="BJ1223" s="586"/>
      <c r="BK1223" s="581"/>
      <c r="BL1223" s="347"/>
      <c r="BM1223" s="347"/>
      <c r="BN1223" s="347"/>
      <c r="BO1223" s="586"/>
      <c r="BP1223" s="584"/>
      <c r="BQ1223" s="347"/>
      <c r="BR1223" s="586"/>
      <c r="BS1223" s="588"/>
      <c r="BT1223" s="586"/>
      <c r="BU1223" s="589"/>
      <c r="BV1223" s="581"/>
      <c r="BW1223" s="590"/>
      <c r="BX1223" s="347"/>
      <c r="BY1223" s="347"/>
      <c r="BZ1223" s="347"/>
      <c r="CA1223" s="586"/>
      <c r="CB1223" s="581"/>
      <c r="CC1223" s="581"/>
      <c r="CD1223" s="581"/>
      <c r="CE1223" s="581"/>
      <c r="CF1223" s="581"/>
      <c r="CG1223" s="586"/>
      <c r="CH1223" s="608"/>
      <c r="CI1223" s="603"/>
      <c r="CJ1223" s="347"/>
      <c r="CK1223" s="347"/>
      <c r="CL1223" s="347"/>
      <c r="CM1223" s="347"/>
      <c r="CN1223" s="347"/>
      <c r="CO1223" s="347"/>
      <c r="CP1223" s="347"/>
    </row>
    <row r="1224">
      <c r="A1224" s="574"/>
      <c r="B1224" s="574"/>
      <c r="C1224" s="347"/>
      <c r="D1224" s="574"/>
      <c r="E1224" s="347"/>
      <c r="F1224" s="596"/>
      <c r="G1224" s="596"/>
      <c r="H1224" s="347"/>
      <c r="I1224" s="347"/>
      <c r="J1224" s="596"/>
      <c r="K1224" s="609"/>
      <c r="L1224" s="1"/>
      <c r="M1224" s="347"/>
      <c r="N1224" s="347"/>
      <c r="O1224" s="579"/>
      <c r="P1224" s="579"/>
      <c r="Q1224" s="574"/>
      <c r="R1224" s="347"/>
      <c r="S1224" s="597"/>
      <c r="T1224" s="347"/>
      <c r="U1224" s="579"/>
      <c r="V1224" s="579"/>
      <c r="W1224" s="574"/>
      <c r="X1224" s="347"/>
      <c r="Y1224" s="347"/>
      <c r="Z1224" s="347"/>
      <c r="AA1224" s="579"/>
      <c r="AB1224" s="581"/>
      <c r="AC1224" s="347"/>
      <c r="AD1224" s="347"/>
      <c r="AE1224" s="347"/>
      <c r="AF1224" s="347"/>
      <c r="AG1224" s="579"/>
      <c r="AH1224" s="579"/>
      <c r="AI1224" s="582"/>
      <c r="AJ1224" s="582"/>
      <c r="AK1224" s="582"/>
      <c r="AL1224" s="582"/>
      <c r="AM1224" s="579"/>
      <c r="AN1224" s="579"/>
      <c r="AO1224" s="347"/>
      <c r="AP1224" s="586"/>
      <c r="AQ1224" s="596"/>
      <c r="AR1224" s="596"/>
      <c r="AS1224" s="348"/>
      <c r="AT1224" s="348"/>
      <c r="AU1224" s="348"/>
      <c r="AV1224" s="348"/>
      <c r="AW1224" s="348"/>
      <c r="AX1224" s="584"/>
      <c r="AY1224" s="581"/>
      <c r="AZ1224" s="581"/>
      <c r="BA1224" s="596"/>
      <c r="BB1224" s="596"/>
      <c r="BC1224" s="348"/>
      <c r="BD1224" s="581"/>
      <c r="BE1224" s="581"/>
      <c r="BF1224" s="347"/>
      <c r="BG1224" s="347"/>
      <c r="BH1224" s="347"/>
      <c r="BI1224" s="347"/>
      <c r="BJ1224" s="586"/>
      <c r="BK1224" s="581"/>
      <c r="BL1224" s="347"/>
      <c r="BM1224" s="347"/>
      <c r="BN1224" s="347"/>
      <c r="BO1224" s="586"/>
      <c r="BP1224" s="584"/>
      <c r="BQ1224" s="347"/>
      <c r="BR1224" s="586"/>
      <c r="BS1224" s="588"/>
      <c r="BT1224" s="586"/>
      <c r="BU1224" s="589"/>
      <c r="BV1224" s="581"/>
      <c r="BW1224" s="590"/>
      <c r="BX1224" s="347"/>
      <c r="BY1224" s="347"/>
      <c r="BZ1224" s="347"/>
      <c r="CA1224" s="586"/>
      <c r="CB1224" s="581"/>
      <c r="CC1224" s="581"/>
      <c r="CD1224" s="581"/>
      <c r="CE1224" s="581"/>
      <c r="CF1224" s="581"/>
      <c r="CG1224" s="586"/>
      <c r="CH1224" s="608"/>
      <c r="CI1224" s="603"/>
      <c r="CJ1224" s="347"/>
      <c r="CK1224" s="347"/>
      <c r="CL1224" s="347"/>
      <c r="CM1224" s="347"/>
      <c r="CN1224" s="347"/>
      <c r="CO1224" s="347"/>
      <c r="CP1224" s="347"/>
    </row>
    <row r="1225">
      <c r="A1225" s="574"/>
      <c r="B1225" s="574"/>
      <c r="C1225" s="347"/>
      <c r="D1225" s="574"/>
      <c r="E1225" s="347"/>
      <c r="F1225" s="596"/>
      <c r="G1225" s="596"/>
      <c r="H1225" s="347"/>
      <c r="I1225" s="347"/>
      <c r="J1225" s="596"/>
      <c r="K1225" s="609"/>
      <c r="L1225" s="1"/>
      <c r="M1225" s="347"/>
      <c r="N1225" s="347"/>
      <c r="O1225" s="579"/>
      <c r="P1225" s="579"/>
      <c r="Q1225" s="574"/>
      <c r="R1225" s="347"/>
      <c r="S1225" s="597"/>
      <c r="T1225" s="347"/>
      <c r="U1225" s="579"/>
      <c r="V1225" s="579"/>
      <c r="W1225" s="574"/>
      <c r="X1225" s="347"/>
      <c r="Y1225" s="347"/>
      <c r="Z1225" s="347"/>
      <c r="AA1225" s="579"/>
      <c r="AB1225" s="581"/>
      <c r="AC1225" s="347"/>
      <c r="AD1225" s="347"/>
      <c r="AE1225" s="347"/>
      <c r="AF1225" s="347"/>
      <c r="AG1225" s="579"/>
      <c r="AH1225" s="579"/>
      <c r="AI1225" s="582"/>
      <c r="AJ1225" s="582"/>
      <c r="AK1225" s="582"/>
      <c r="AL1225" s="582"/>
      <c r="AM1225" s="579"/>
      <c r="AN1225" s="579"/>
      <c r="AO1225" s="347"/>
      <c r="AP1225" s="586"/>
      <c r="AQ1225" s="596"/>
      <c r="AR1225" s="596"/>
      <c r="AS1225" s="348"/>
      <c r="AT1225" s="348"/>
      <c r="AU1225" s="348"/>
      <c r="AV1225" s="348"/>
      <c r="AW1225" s="348"/>
      <c r="AX1225" s="584"/>
      <c r="AY1225" s="581"/>
      <c r="AZ1225" s="581"/>
      <c r="BA1225" s="596"/>
      <c r="BB1225" s="596"/>
      <c r="BC1225" s="348"/>
      <c r="BD1225" s="581"/>
      <c r="BE1225" s="581"/>
      <c r="BF1225" s="347"/>
      <c r="BG1225" s="347"/>
      <c r="BH1225" s="347"/>
      <c r="BI1225" s="347"/>
      <c r="BJ1225" s="586"/>
      <c r="BK1225" s="581"/>
      <c r="BL1225" s="347"/>
      <c r="BM1225" s="347"/>
      <c r="BN1225" s="347"/>
      <c r="BO1225" s="586"/>
      <c r="BP1225" s="584"/>
      <c r="BQ1225" s="347"/>
      <c r="BR1225" s="586"/>
      <c r="BS1225" s="588"/>
      <c r="BT1225" s="586"/>
      <c r="BU1225" s="589"/>
      <c r="BV1225" s="581"/>
      <c r="BW1225" s="590"/>
      <c r="BX1225" s="347"/>
      <c r="BY1225" s="347"/>
      <c r="BZ1225" s="347"/>
      <c r="CA1225" s="586"/>
      <c r="CB1225" s="581"/>
      <c r="CC1225" s="581"/>
      <c r="CD1225" s="581"/>
      <c r="CE1225" s="581"/>
      <c r="CF1225" s="581"/>
      <c r="CG1225" s="586"/>
      <c r="CH1225" s="608"/>
      <c r="CI1225" s="603"/>
      <c r="CJ1225" s="347"/>
      <c r="CK1225" s="347"/>
      <c r="CL1225" s="347"/>
      <c r="CM1225" s="347"/>
      <c r="CN1225" s="347"/>
      <c r="CO1225" s="347"/>
      <c r="CP1225" s="347"/>
    </row>
    <row r="1226">
      <c r="A1226" s="574"/>
      <c r="B1226" s="574"/>
      <c r="C1226" s="347"/>
      <c r="D1226" s="574"/>
      <c r="E1226" s="347"/>
      <c r="F1226" s="596"/>
      <c r="G1226" s="596"/>
      <c r="H1226" s="347"/>
      <c r="I1226" s="347"/>
      <c r="J1226" s="596"/>
      <c r="K1226" s="609"/>
      <c r="L1226" s="1"/>
      <c r="M1226" s="347"/>
      <c r="N1226" s="347"/>
      <c r="O1226" s="579"/>
      <c r="P1226" s="579"/>
      <c r="Q1226" s="574"/>
      <c r="R1226" s="347"/>
      <c r="S1226" s="597"/>
      <c r="T1226" s="347"/>
      <c r="U1226" s="579"/>
      <c r="V1226" s="579"/>
      <c r="W1226" s="574"/>
      <c r="X1226" s="347"/>
      <c r="Y1226" s="347"/>
      <c r="Z1226" s="347"/>
      <c r="AA1226" s="579"/>
      <c r="AB1226" s="581"/>
      <c r="AC1226" s="347"/>
      <c r="AD1226" s="347"/>
      <c r="AE1226" s="347"/>
      <c r="AF1226" s="347"/>
      <c r="AG1226" s="579"/>
      <c r="AH1226" s="579"/>
      <c r="AI1226" s="582"/>
      <c r="AJ1226" s="582"/>
      <c r="AK1226" s="582"/>
      <c r="AL1226" s="582"/>
      <c r="AM1226" s="579"/>
      <c r="AN1226" s="579"/>
      <c r="AO1226" s="347"/>
      <c r="AP1226" s="586"/>
      <c r="AQ1226" s="596"/>
      <c r="AR1226" s="596"/>
      <c r="AS1226" s="348"/>
      <c r="AT1226" s="348"/>
      <c r="AU1226" s="348"/>
      <c r="AV1226" s="348"/>
      <c r="AW1226" s="348"/>
      <c r="AX1226" s="584"/>
      <c r="AY1226" s="581"/>
      <c r="AZ1226" s="581"/>
      <c r="BA1226" s="596"/>
      <c r="BB1226" s="596"/>
      <c r="BC1226" s="348"/>
      <c r="BD1226" s="581"/>
      <c r="BE1226" s="581"/>
      <c r="BF1226" s="347"/>
      <c r="BG1226" s="347"/>
      <c r="BH1226" s="347"/>
      <c r="BI1226" s="347"/>
      <c r="BJ1226" s="586"/>
      <c r="BK1226" s="581"/>
      <c r="BL1226" s="347"/>
      <c r="BM1226" s="347"/>
      <c r="BN1226" s="347"/>
      <c r="BO1226" s="586"/>
      <c r="BP1226" s="584"/>
      <c r="BQ1226" s="347"/>
      <c r="BR1226" s="586"/>
      <c r="BS1226" s="588"/>
      <c r="BT1226" s="586"/>
      <c r="BU1226" s="589"/>
      <c r="BV1226" s="581"/>
      <c r="BW1226" s="590"/>
      <c r="BX1226" s="347"/>
      <c r="BY1226" s="347"/>
      <c r="BZ1226" s="347"/>
      <c r="CA1226" s="586"/>
      <c r="CB1226" s="581"/>
      <c r="CC1226" s="581"/>
      <c r="CD1226" s="581"/>
      <c r="CE1226" s="581"/>
      <c r="CF1226" s="581"/>
      <c r="CG1226" s="586"/>
      <c r="CH1226" s="608"/>
      <c r="CI1226" s="603"/>
      <c r="CJ1226" s="347"/>
      <c r="CK1226" s="347"/>
      <c r="CL1226" s="347"/>
      <c r="CM1226" s="347"/>
      <c r="CN1226" s="347"/>
      <c r="CO1226" s="347"/>
      <c r="CP1226" s="347"/>
    </row>
    <row r="1227">
      <c r="A1227" s="574"/>
      <c r="B1227" s="574"/>
      <c r="C1227" s="347"/>
      <c r="D1227" s="574"/>
      <c r="E1227" s="347"/>
      <c r="F1227" s="596"/>
      <c r="G1227" s="596"/>
      <c r="H1227" s="347"/>
      <c r="I1227" s="347"/>
      <c r="J1227" s="596"/>
      <c r="K1227" s="609"/>
      <c r="L1227" s="1"/>
      <c r="M1227" s="347"/>
      <c r="N1227" s="347"/>
      <c r="O1227" s="579"/>
      <c r="P1227" s="579"/>
      <c r="Q1227" s="574"/>
      <c r="R1227" s="347"/>
      <c r="S1227" s="597"/>
      <c r="T1227" s="347"/>
      <c r="U1227" s="579"/>
      <c r="V1227" s="579"/>
      <c r="W1227" s="574"/>
      <c r="X1227" s="347"/>
      <c r="Y1227" s="347"/>
      <c r="Z1227" s="347"/>
      <c r="AA1227" s="579"/>
      <c r="AB1227" s="581"/>
      <c r="AC1227" s="347"/>
      <c r="AD1227" s="347"/>
      <c r="AE1227" s="347"/>
      <c r="AF1227" s="347"/>
      <c r="AG1227" s="579"/>
      <c r="AH1227" s="579"/>
      <c r="AI1227" s="582"/>
      <c r="AJ1227" s="582"/>
      <c r="AK1227" s="582"/>
      <c r="AL1227" s="582"/>
      <c r="AM1227" s="579"/>
      <c r="AN1227" s="579"/>
      <c r="AO1227" s="347"/>
      <c r="AP1227" s="586"/>
      <c r="AQ1227" s="596"/>
      <c r="AR1227" s="596"/>
      <c r="AS1227" s="348"/>
      <c r="AT1227" s="348"/>
      <c r="AU1227" s="348"/>
      <c r="AV1227" s="348"/>
      <c r="AW1227" s="348"/>
      <c r="AX1227" s="584"/>
      <c r="AY1227" s="581"/>
      <c r="AZ1227" s="581"/>
      <c r="BA1227" s="596"/>
      <c r="BB1227" s="596"/>
      <c r="BC1227" s="348"/>
      <c r="BD1227" s="581"/>
      <c r="BE1227" s="581"/>
      <c r="BF1227" s="347"/>
      <c r="BG1227" s="347"/>
      <c r="BH1227" s="347"/>
      <c r="BI1227" s="347"/>
      <c r="BJ1227" s="586"/>
      <c r="BK1227" s="581"/>
      <c r="BL1227" s="347"/>
      <c r="BM1227" s="347"/>
      <c r="BN1227" s="347"/>
      <c r="BO1227" s="586"/>
      <c r="BP1227" s="584"/>
      <c r="BQ1227" s="347"/>
      <c r="BR1227" s="586"/>
      <c r="BS1227" s="588"/>
      <c r="BT1227" s="586"/>
      <c r="BU1227" s="589"/>
      <c r="BV1227" s="581"/>
      <c r="BW1227" s="590"/>
      <c r="BX1227" s="347"/>
      <c r="BY1227" s="347"/>
      <c r="BZ1227" s="347"/>
      <c r="CA1227" s="586"/>
      <c r="CB1227" s="581"/>
      <c r="CC1227" s="581"/>
      <c r="CD1227" s="581"/>
      <c r="CE1227" s="581"/>
      <c r="CF1227" s="581"/>
      <c r="CG1227" s="586"/>
      <c r="CH1227" s="608"/>
      <c r="CI1227" s="603"/>
      <c r="CJ1227" s="347"/>
      <c r="CK1227" s="347"/>
      <c r="CL1227" s="347"/>
      <c r="CM1227" s="347"/>
      <c r="CN1227" s="347"/>
      <c r="CO1227" s="347"/>
      <c r="CP1227" s="347"/>
    </row>
    <row r="1228">
      <c r="A1228" s="574"/>
      <c r="B1228" s="574"/>
      <c r="C1228" s="347"/>
      <c r="D1228" s="574"/>
      <c r="E1228" s="347"/>
      <c r="F1228" s="596"/>
      <c r="G1228" s="596"/>
      <c r="H1228" s="347"/>
      <c r="I1228" s="347"/>
      <c r="J1228" s="596"/>
      <c r="K1228" s="609"/>
      <c r="L1228" s="1"/>
      <c r="M1228" s="347"/>
      <c r="N1228" s="347"/>
      <c r="O1228" s="579"/>
      <c r="P1228" s="579"/>
      <c r="Q1228" s="574"/>
      <c r="R1228" s="347"/>
      <c r="S1228" s="597"/>
      <c r="T1228" s="347"/>
      <c r="U1228" s="579"/>
      <c r="V1228" s="579"/>
      <c r="W1228" s="574"/>
      <c r="X1228" s="347"/>
      <c r="Y1228" s="347"/>
      <c r="Z1228" s="347"/>
      <c r="AA1228" s="579"/>
      <c r="AB1228" s="581"/>
      <c r="AC1228" s="347"/>
      <c r="AD1228" s="347"/>
      <c r="AE1228" s="347"/>
      <c r="AF1228" s="347"/>
      <c r="AG1228" s="579"/>
      <c r="AH1228" s="579"/>
      <c r="AI1228" s="582"/>
      <c r="AJ1228" s="582"/>
      <c r="AK1228" s="582"/>
      <c r="AL1228" s="582"/>
      <c r="AM1228" s="579"/>
      <c r="AN1228" s="579"/>
      <c r="AO1228" s="347"/>
      <c r="AP1228" s="586"/>
      <c r="AQ1228" s="596"/>
      <c r="AR1228" s="596"/>
      <c r="AS1228" s="348"/>
      <c r="AT1228" s="348"/>
      <c r="AU1228" s="348"/>
      <c r="AV1228" s="348"/>
      <c r="AW1228" s="348"/>
      <c r="AX1228" s="584"/>
      <c r="AY1228" s="581"/>
      <c r="AZ1228" s="581"/>
      <c r="BA1228" s="596"/>
      <c r="BB1228" s="596"/>
      <c r="BC1228" s="348"/>
      <c r="BD1228" s="581"/>
      <c r="BE1228" s="581"/>
      <c r="BF1228" s="347"/>
      <c r="BG1228" s="347"/>
      <c r="BH1228" s="347"/>
      <c r="BI1228" s="347"/>
      <c r="BJ1228" s="586"/>
      <c r="BK1228" s="581"/>
      <c r="BL1228" s="347"/>
      <c r="BM1228" s="347"/>
      <c r="BN1228" s="347"/>
      <c r="BO1228" s="586"/>
      <c r="BP1228" s="584"/>
      <c r="BQ1228" s="347"/>
      <c r="BR1228" s="586"/>
      <c r="BS1228" s="588"/>
      <c r="BT1228" s="586"/>
      <c r="BU1228" s="589"/>
      <c r="BV1228" s="581"/>
      <c r="BW1228" s="590"/>
      <c r="BX1228" s="347"/>
      <c r="BY1228" s="347"/>
      <c r="BZ1228" s="347"/>
      <c r="CA1228" s="586"/>
      <c r="CB1228" s="581"/>
      <c r="CC1228" s="581"/>
      <c r="CD1228" s="581"/>
      <c r="CE1228" s="581"/>
      <c r="CF1228" s="581"/>
      <c r="CG1228" s="586"/>
      <c r="CH1228" s="608"/>
      <c r="CI1228" s="603"/>
      <c r="CJ1228" s="347"/>
      <c r="CK1228" s="347"/>
      <c r="CL1228" s="347"/>
      <c r="CM1228" s="347"/>
      <c r="CN1228" s="347"/>
      <c r="CO1228" s="347"/>
      <c r="CP1228" s="347"/>
    </row>
    <row r="1229">
      <c r="A1229" s="574"/>
      <c r="B1229" s="574"/>
      <c r="C1229" s="347"/>
      <c r="D1229" s="574"/>
      <c r="E1229" s="347"/>
      <c r="F1229" s="596"/>
      <c r="G1229" s="596"/>
      <c r="H1229" s="347"/>
      <c r="I1229" s="347"/>
      <c r="J1229" s="596"/>
      <c r="K1229" s="609"/>
      <c r="L1229" s="1"/>
      <c r="M1229" s="347"/>
      <c r="N1229" s="347"/>
      <c r="O1229" s="579"/>
      <c r="P1229" s="579"/>
      <c r="Q1229" s="574"/>
      <c r="R1229" s="347"/>
      <c r="S1229" s="597"/>
      <c r="T1229" s="347"/>
      <c r="U1229" s="579"/>
      <c r="V1229" s="579"/>
      <c r="W1229" s="574"/>
      <c r="X1229" s="347"/>
      <c r="Y1229" s="347"/>
      <c r="Z1229" s="347"/>
      <c r="AA1229" s="579"/>
      <c r="AB1229" s="581"/>
      <c r="AC1229" s="347"/>
      <c r="AD1229" s="347"/>
      <c r="AE1229" s="347"/>
      <c r="AF1229" s="347"/>
      <c r="AG1229" s="579"/>
      <c r="AH1229" s="579"/>
      <c r="AI1229" s="582"/>
      <c r="AJ1229" s="582"/>
      <c r="AK1229" s="582"/>
      <c r="AL1229" s="582"/>
      <c r="AM1229" s="579"/>
      <c r="AN1229" s="579"/>
      <c r="AO1229" s="347"/>
      <c r="AP1229" s="586"/>
      <c r="AQ1229" s="596"/>
      <c r="AR1229" s="596"/>
      <c r="AS1229" s="348"/>
      <c r="AT1229" s="348"/>
      <c r="AU1229" s="348"/>
      <c r="AV1229" s="348"/>
      <c r="AW1229" s="348"/>
      <c r="AX1229" s="584"/>
      <c r="AY1229" s="581"/>
      <c r="AZ1229" s="581"/>
      <c r="BA1229" s="596"/>
      <c r="BB1229" s="596"/>
      <c r="BC1229" s="348"/>
      <c r="BD1229" s="581"/>
      <c r="BE1229" s="581"/>
      <c r="BF1229" s="347"/>
      <c r="BG1229" s="347"/>
      <c r="BH1229" s="347"/>
      <c r="BI1229" s="347"/>
      <c r="BJ1229" s="586"/>
      <c r="BK1229" s="581"/>
      <c r="BL1229" s="347"/>
      <c r="BM1229" s="347"/>
      <c r="BN1229" s="347"/>
      <c r="BO1229" s="586"/>
      <c r="BP1229" s="584"/>
      <c r="BQ1229" s="347"/>
      <c r="BR1229" s="586"/>
      <c r="BS1229" s="588"/>
      <c r="BT1229" s="586"/>
      <c r="BU1229" s="589"/>
      <c r="BV1229" s="581"/>
      <c r="BW1229" s="590"/>
      <c r="BX1229" s="347"/>
      <c r="BY1229" s="347"/>
      <c r="BZ1229" s="347"/>
      <c r="CA1229" s="586"/>
      <c r="CB1229" s="581"/>
      <c r="CC1229" s="581"/>
      <c r="CD1229" s="581"/>
      <c r="CE1229" s="581"/>
      <c r="CF1229" s="581"/>
      <c r="CG1229" s="586"/>
      <c r="CH1229" s="608"/>
      <c r="CI1229" s="603"/>
      <c r="CJ1229" s="347"/>
      <c r="CK1229" s="347"/>
      <c r="CL1229" s="347"/>
      <c r="CM1229" s="347"/>
      <c r="CN1229" s="347"/>
      <c r="CO1229" s="347"/>
      <c r="CP1229" s="347"/>
    </row>
    <row r="1230">
      <c r="A1230" s="574"/>
      <c r="B1230" s="574"/>
      <c r="C1230" s="347"/>
      <c r="D1230" s="574"/>
      <c r="E1230" s="347"/>
      <c r="F1230" s="596"/>
      <c r="G1230" s="596"/>
      <c r="H1230" s="347"/>
      <c r="I1230" s="347"/>
      <c r="J1230" s="596"/>
      <c r="K1230" s="609"/>
      <c r="L1230" s="1"/>
      <c r="M1230" s="347"/>
      <c r="N1230" s="347"/>
      <c r="O1230" s="579"/>
      <c r="P1230" s="579"/>
      <c r="Q1230" s="574"/>
      <c r="R1230" s="347"/>
      <c r="S1230" s="597"/>
      <c r="T1230" s="347"/>
      <c r="U1230" s="579"/>
      <c r="V1230" s="579"/>
      <c r="W1230" s="574"/>
      <c r="X1230" s="347"/>
      <c r="Y1230" s="347"/>
      <c r="Z1230" s="347"/>
      <c r="AA1230" s="579"/>
      <c r="AB1230" s="581"/>
      <c r="AC1230" s="347"/>
      <c r="AD1230" s="347"/>
      <c r="AE1230" s="347"/>
      <c r="AF1230" s="347"/>
      <c r="AG1230" s="579"/>
      <c r="AH1230" s="579"/>
      <c r="AI1230" s="582"/>
      <c r="AJ1230" s="582"/>
      <c r="AK1230" s="582"/>
      <c r="AL1230" s="582"/>
      <c r="AM1230" s="579"/>
      <c r="AN1230" s="579"/>
      <c r="AO1230" s="347"/>
      <c r="AP1230" s="586"/>
      <c r="AQ1230" s="596"/>
      <c r="AR1230" s="596"/>
      <c r="AS1230" s="348"/>
      <c r="AT1230" s="348"/>
      <c r="AU1230" s="348"/>
      <c r="AV1230" s="348"/>
      <c r="AW1230" s="348"/>
      <c r="AX1230" s="584"/>
      <c r="AY1230" s="581"/>
      <c r="AZ1230" s="581"/>
      <c r="BA1230" s="596"/>
      <c r="BB1230" s="596"/>
      <c r="BC1230" s="348"/>
      <c r="BD1230" s="581"/>
      <c r="BE1230" s="581"/>
      <c r="BF1230" s="347"/>
      <c r="BG1230" s="347"/>
      <c r="BH1230" s="347"/>
      <c r="BI1230" s="347"/>
      <c r="BJ1230" s="586"/>
      <c r="BK1230" s="581"/>
      <c r="BL1230" s="347"/>
      <c r="BM1230" s="347"/>
      <c r="BN1230" s="347"/>
      <c r="BO1230" s="586"/>
      <c r="BP1230" s="584"/>
      <c r="BQ1230" s="347"/>
      <c r="BR1230" s="586"/>
      <c r="BS1230" s="588"/>
      <c r="BT1230" s="586"/>
      <c r="BU1230" s="589"/>
      <c r="BV1230" s="581"/>
      <c r="BW1230" s="590"/>
      <c r="BX1230" s="347"/>
      <c r="BY1230" s="347"/>
      <c r="BZ1230" s="347"/>
      <c r="CA1230" s="586"/>
      <c r="CB1230" s="581"/>
      <c r="CC1230" s="581"/>
      <c r="CD1230" s="581"/>
      <c r="CE1230" s="581"/>
      <c r="CF1230" s="581"/>
      <c r="CG1230" s="586"/>
      <c r="CH1230" s="608"/>
      <c r="CI1230" s="603"/>
      <c r="CJ1230" s="347"/>
      <c r="CK1230" s="347"/>
      <c r="CL1230" s="347"/>
      <c r="CM1230" s="347"/>
      <c r="CN1230" s="347"/>
      <c r="CO1230" s="347"/>
      <c r="CP1230" s="347"/>
    </row>
    <row r="1231">
      <c r="A1231" s="574"/>
      <c r="B1231" s="574"/>
      <c r="C1231" s="347"/>
      <c r="D1231" s="574"/>
      <c r="E1231" s="347"/>
      <c r="F1231" s="596"/>
      <c r="G1231" s="596"/>
      <c r="H1231" s="347"/>
      <c r="I1231" s="347"/>
      <c r="J1231" s="596"/>
      <c r="K1231" s="609"/>
      <c r="L1231" s="1"/>
      <c r="M1231" s="347"/>
      <c r="N1231" s="347"/>
      <c r="O1231" s="579"/>
      <c r="P1231" s="579"/>
      <c r="Q1231" s="574"/>
      <c r="R1231" s="347"/>
      <c r="S1231" s="597"/>
      <c r="T1231" s="347"/>
      <c r="U1231" s="579"/>
      <c r="V1231" s="579"/>
      <c r="W1231" s="574"/>
      <c r="X1231" s="347"/>
      <c r="Y1231" s="347"/>
      <c r="Z1231" s="347"/>
      <c r="AA1231" s="579"/>
      <c r="AB1231" s="581"/>
      <c r="AC1231" s="347"/>
      <c r="AD1231" s="347"/>
      <c r="AE1231" s="347"/>
      <c r="AF1231" s="347"/>
      <c r="AG1231" s="579"/>
      <c r="AH1231" s="579"/>
      <c r="AI1231" s="582"/>
      <c r="AJ1231" s="582"/>
      <c r="AK1231" s="582"/>
      <c r="AL1231" s="582"/>
      <c r="AM1231" s="579"/>
      <c r="AN1231" s="579"/>
      <c r="AO1231" s="347"/>
      <c r="AP1231" s="586"/>
      <c r="AQ1231" s="596"/>
      <c r="AR1231" s="596"/>
      <c r="AS1231" s="348"/>
      <c r="AT1231" s="348"/>
      <c r="AU1231" s="348"/>
      <c r="AV1231" s="348"/>
      <c r="AW1231" s="348"/>
      <c r="AX1231" s="584"/>
      <c r="AY1231" s="581"/>
      <c r="AZ1231" s="581"/>
      <c r="BA1231" s="596"/>
      <c r="BB1231" s="596"/>
      <c r="BC1231" s="348"/>
      <c r="BD1231" s="581"/>
      <c r="BE1231" s="581"/>
      <c r="BF1231" s="347"/>
      <c r="BG1231" s="347"/>
      <c r="BH1231" s="347"/>
      <c r="BI1231" s="347"/>
      <c r="BJ1231" s="586"/>
      <c r="BK1231" s="581"/>
      <c r="BL1231" s="347"/>
      <c r="BM1231" s="347"/>
      <c r="BN1231" s="347"/>
      <c r="BO1231" s="586"/>
      <c r="BP1231" s="584"/>
      <c r="BQ1231" s="347"/>
      <c r="BR1231" s="586"/>
      <c r="BS1231" s="588"/>
      <c r="BT1231" s="586"/>
      <c r="BU1231" s="589"/>
      <c r="BV1231" s="581"/>
      <c r="BW1231" s="590"/>
      <c r="BX1231" s="347"/>
      <c r="BY1231" s="347"/>
      <c r="BZ1231" s="347"/>
      <c r="CA1231" s="586"/>
      <c r="CB1231" s="581"/>
      <c r="CC1231" s="581"/>
      <c r="CD1231" s="581"/>
      <c r="CE1231" s="581"/>
      <c r="CF1231" s="581"/>
      <c r="CG1231" s="586"/>
      <c r="CH1231" s="608"/>
      <c r="CI1231" s="603"/>
      <c r="CJ1231" s="347"/>
      <c r="CK1231" s="347"/>
      <c r="CL1231" s="347"/>
      <c r="CM1231" s="347"/>
      <c r="CN1231" s="347"/>
      <c r="CO1231" s="347"/>
      <c r="CP1231" s="347"/>
    </row>
    <row r="1232">
      <c r="A1232" s="574"/>
      <c r="B1232" s="574"/>
      <c r="C1232" s="347"/>
      <c r="D1232" s="574"/>
      <c r="E1232" s="347"/>
      <c r="F1232" s="596"/>
      <c r="G1232" s="596"/>
      <c r="H1232" s="347"/>
      <c r="I1232" s="347"/>
      <c r="J1232" s="596"/>
      <c r="K1232" s="609"/>
      <c r="L1232" s="1"/>
      <c r="M1232" s="347"/>
      <c r="N1232" s="347"/>
      <c r="O1232" s="579"/>
      <c r="P1232" s="579"/>
      <c r="Q1232" s="574"/>
      <c r="R1232" s="347"/>
      <c r="S1232" s="597"/>
      <c r="T1232" s="347"/>
      <c r="U1232" s="579"/>
      <c r="V1232" s="579"/>
      <c r="W1232" s="574"/>
      <c r="X1232" s="347"/>
      <c r="Y1232" s="347"/>
      <c r="Z1232" s="347"/>
      <c r="AA1232" s="579"/>
      <c r="AB1232" s="581"/>
      <c r="AC1232" s="347"/>
      <c r="AD1232" s="347"/>
      <c r="AE1232" s="347"/>
      <c r="AF1232" s="347"/>
      <c r="AG1232" s="579"/>
      <c r="AH1232" s="579"/>
      <c r="AI1232" s="582"/>
      <c r="AJ1232" s="582"/>
      <c r="AK1232" s="582"/>
      <c r="AL1232" s="582"/>
      <c r="AM1232" s="579"/>
      <c r="AN1232" s="579"/>
      <c r="AO1232" s="347"/>
      <c r="AP1232" s="586"/>
      <c r="AQ1232" s="596"/>
      <c r="AR1232" s="596"/>
      <c r="AS1232" s="348"/>
      <c r="AT1232" s="348"/>
      <c r="AU1232" s="348"/>
      <c r="AV1232" s="348"/>
      <c r="AW1232" s="348"/>
      <c r="AX1232" s="584"/>
      <c r="AY1232" s="581"/>
      <c r="AZ1232" s="581"/>
      <c r="BA1232" s="596"/>
      <c r="BB1232" s="596"/>
      <c r="BC1232" s="348"/>
      <c r="BD1232" s="581"/>
      <c r="BE1232" s="581"/>
      <c r="BF1232" s="347"/>
      <c r="BG1232" s="347"/>
      <c r="BH1232" s="347"/>
      <c r="BI1232" s="347"/>
      <c r="BJ1232" s="586"/>
      <c r="BK1232" s="581"/>
      <c r="BL1232" s="347"/>
      <c r="BM1232" s="347"/>
      <c r="BN1232" s="347"/>
      <c r="BO1232" s="586"/>
      <c r="BP1232" s="584"/>
      <c r="BQ1232" s="347"/>
      <c r="BR1232" s="586"/>
      <c r="BS1232" s="588"/>
      <c r="BT1232" s="586"/>
      <c r="BU1232" s="589"/>
      <c r="BV1232" s="581"/>
      <c r="BW1232" s="590"/>
      <c r="BX1232" s="347"/>
      <c r="BY1232" s="347"/>
      <c r="BZ1232" s="347"/>
      <c r="CA1232" s="586"/>
      <c r="CB1232" s="581"/>
      <c r="CC1232" s="581"/>
      <c r="CD1232" s="581"/>
      <c r="CE1232" s="581"/>
      <c r="CF1232" s="581"/>
      <c r="CG1232" s="586"/>
      <c r="CH1232" s="608"/>
      <c r="CI1232" s="603"/>
      <c r="CJ1232" s="347"/>
      <c r="CK1232" s="347"/>
      <c r="CL1232" s="347"/>
      <c r="CM1232" s="347"/>
      <c r="CN1232" s="347"/>
      <c r="CO1232" s="347"/>
      <c r="CP1232" s="347"/>
    </row>
    <row r="1233">
      <c r="A1233" s="574"/>
      <c r="B1233" s="574"/>
      <c r="C1233" s="347"/>
      <c r="D1233" s="574"/>
      <c r="E1233" s="347"/>
      <c r="F1233" s="596"/>
      <c r="G1233" s="596"/>
      <c r="H1233" s="347"/>
      <c r="I1233" s="347"/>
      <c r="J1233" s="596"/>
      <c r="K1233" s="609"/>
      <c r="L1233" s="1"/>
      <c r="M1233" s="347"/>
      <c r="N1233" s="347"/>
      <c r="O1233" s="579"/>
      <c r="P1233" s="579"/>
      <c r="Q1233" s="574"/>
      <c r="R1233" s="347"/>
      <c r="S1233" s="597"/>
      <c r="T1233" s="347"/>
      <c r="U1233" s="579"/>
      <c r="V1233" s="579"/>
      <c r="W1233" s="574"/>
      <c r="X1233" s="347"/>
      <c r="Y1233" s="347"/>
      <c r="Z1233" s="347"/>
      <c r="AA1233" s="579"/>
      <c r="AB1233" s="581"/>
      <c r="AC1233" s="347"/>
      <c r="AD1233" s="347"/>
      <c r="AE1233" s="347"/>
      <c r="AF1233" s="347"/>
      <c r="AG1233" s="579"/>
      <c r="AH1233" s="579"/>
      <c r="AI1233" s="582"/>
      <c r="AJ1233" s="582"/>
      <c r="AK1233" s="582"/>
      <c r="AL1233" s="582"/>
      <c r="AM1233" s="579"/>
      <c r="AN1233" s="579"/>
      <c r="AO1233" s="347"/>
      <c r="AP1233" s="586"/>
      <c r="AQ1233" s="596"/>
      <c r="AR1233" s="596"/>
      <c r="AS1233" s="348"/>
      <c r="AT1233" s="348"/>
      <c r="AU1233" s="348"/>
      <c r="AV1233" s="348"/>
      <c r="AW1233" s="348"/>
      <c r="AX1233" s="584"/>
      <c r="AY1233" s="581"/>
      <c r="AZ1233" s="581"/>
      <c r="BA1233" s="596"/>
      <c r="BB1233" s="596"/>
      <c r="BC1233" s="348"/>
      <c r="BD1233" s="581"/>
      <c r="BE1233" s="581"/>
      <c r="BF1233" s="347"/>
      <c r="BG1233" s="347"/>
      <c r="BH1233" s="347"/>
      <c r="BI1233" s="347"/>
      <c r="BJ1233" s="586"/>
      <c r="BK1233" s="581"/>
      <c r="BL1233" s="347"/>
      <c r="BM1233" s="347"/>
      <c r="BN1233" s="347"/>
      <c r="BO1233" s="586"/>
      <c r="BP1233" s="584"/>
      <c r="BQ1233" s="347"/>
      <c r="BR1233" s="586"/>
      <c r="BS1233" s="588"/>
      <c r="BT1233" s="586"/>
      <c r="BU1233" s="589"/>
      <c r="BV1233" s="581"/>
      <c r="BW1233" s="590"/>
      <c r="BX1233" s="347"/>
      <c r="BY1233" s="347"/>
      <c r="BZ1233" s="347"/>
      <c r="CA1233" s="586"/>
      <c r="CB1233" s="581"/>
      <c r="CC1233" s="581"/>
      <c r="CD1233" s="581"/>
      <c r="CE1233" s="581"/>
      <c r="CF1233" s="581"/>
      <c r="CG1233" s="586"/>
      <c r="CH1233" s="608"/>
      <c r="CI1233" s="603"/>
      <c r="CJ1233" s="347"/>
      <c r="CK1233" s="347"/>
      <c r="CL1233" s="347"/>
      <c r="CM1233" s="347"/>
      <c r="CN1233" s="347"/>
      <c r="CO1233" s="347"/>
      <c r="CP1233" s="347"/>
    </row>
    <row r="1234">
      <c r="A1234" s="574"/>
      <c r="B1234" s="574"/>
      <c r="C1234" s="347"/>
      <c r="D1234" s="574"/>
      <c r="E1234" s="347"/>
      <c r="F1234" s="596"/>
      <c r="G1234" s="596"/>
      <c r="H1234" s="347"/>
      <c r="I1234" s="347"/>
      <c r="J1234" s="596"/>
      <c r="K1234" s="609"/>
      <c r="L1234" s="1"/>
      <c r="M1234" s="347"/>
      <c r="N1234" s="347"/>
      <c r="O1234" s="579"/>
      <c r="P1234" s="579"/>
      <c r="Q1234" s="574"/>
      <c r="R1234" s="347"/>
      <c r="S1234" s="597"/>
      <c r="T1234" s="347"/>
      <c r="U1234" s="579"/>
      <c r="V1234" s="579"/>
      <c r="W1234" s="574"/>
      <c r="X1234" s="347"/>
      <c r="Y1234" s="347"/>
      <c r="Z1234" s="347"/>
      <c r="AA1234" s="579"/>
      <c r="AB1234" s="581"/>
      <c r="AC1234" s="347"/>
      <c r="AD1234" s="347"/>
      <c r="AE1234" s="347"/>
      <c r="AF1234" s="347"/>
      <c r="AG1234" s="579"/>
      <c r="AH1234" s="579"/>
      <c r="AI1234" s="582"/>
      <c r="AJ1234" s="582"/>
      <c r="AK1234" s="582"/>
      <c r="AL1234" s="582"/>
      <c r="AM1234" s="579"/>
      <c r="AN1234" s="579"/>
      <c r="AO1234" s="347"/>
      <c r="AP1234" s="586"/>
      <c r="AQ1234" s="596"/>
      <c r="AR1234" s="596"/>
      <c r="AS1234" s="348"/>
      <c r="AT1234" s="348"/>
      <c r="AU1234" s="348"/>
      <c r="AV1234" s="348"/>
      <c r="AW1234" s="348"/>
      <c r="AX1234" s="584"/>
      <c r="AY1234" s="581"/>
      <c r="AZ1234" s="581"/>
      <c r="BA1234" s="596"/>
      <c r="BB1234" s="596"/>
      <c r="BC1234" s="348"/>
      <c r="BD1234" s="581"/>
      <c r="BE1234" s="581"/>
      <c r="BF1234" s="347"/>
      <c r="BG1234" s="347"/>
      <c r="BH1234" s="347"/>
      <c r="BI1234" s="347"/>
      <c r="BJ1234" s="586"/>
      <c r="BK1234" s="581"/>
      <c r="BL1234" s="347"/>
      <c r="BM1234" s="347"/>
      <c r="BN1234" s="347"/>
      <c r="BO1234" s="586"/>
      <c r="BP1234" s="584"/>
      <c r="BQ1234" s="347"/>
      <c r="BR1234" s="586"/>
      <c r="BS1234" s="588"/>
      <c r="BT1234" s="586"/>
      <c r="BU1234" s="589"/>
      <c r="BV1234" s="581"/>
      <c r="BW1234" s="590"/>
      <c r="BX1234" s="347"/>
      <c r="BY1234" s="347"/>
      <c r="BZ1234" s="347"/>
      <c r="CA1234" s="586"/>
      <c r="CB1234" s="581"/>
      <c r="CC1234" s="581"/>
      <c r="CD1234" s="581"/>
      <c r="CE1234" s="581"/>
      <c r="CF1234" s="581"/>
      <c r="CG1234" s="586"/>
      <c r="CH1234" s="608"/>
      <c r="CI1234" s="603"/>
      <c r="CJ1234" s="347"/>
      <c r="CK1234" s="347"/>
      <c r="CL1234" s="347"/>
      <c r="CM1234" s="347"/>
      <c r="CN1234" s="347"/>
      <c r="CO1234" s="347"/>
      <c r="CP1234" s="347"/>
    </row>
    <row r="1235">
      <c r="A1235" s="574"/>
      <c r="B1235" s="574"/>
      <c r="C1235" s="347"/>
      <c r="D1235" s="574"/>
      <c r="E1235" s="347"/>
      <c r="F1235" s="596"/>
      <c r="G1235" s="596"/>
      <c r="H1235" s="347"/>
      <c r="I1235" s="347"/>
      <c r="J1235" s="596"/>
      <c r="K1235" s="609"/>
      <c r="L1235" s="1"/>
      <c r="M1235" s="347"/>
      <c r="N1235" s="347"/>
      <c r="O1235" s="579"/>
      <c r="P1235" s="579"/>
      <c r="Q1235" s="574"/>
      <c r="R1235" s="347"/>
      <c r="S1235" s="597"/>
      <c r="T1235" s="347"/>
      <c r="U1235" s="579"/>
      <c r="V1235" s="579"/>
      <c r="W1235" s="574"/>
      <c r="X1235" s="347"/>
      <c r="Y1235" s="347"/>
      <c r="Z1235" s="347"/>
      <c r="AA1235" s="579"/>
      <c r="AB1235" s="581"/>
      <c r="AC1235" s="347"/>
      <c r="AD1235" s="347"/>
      <c r="AE1235" s="347"/>
      <c r="AF1235" s="347"/>
      <c r="AG1235" s="579"/>
      <c r="AH1235" s="579"/>
      <c r="AI1235" s="582"/>
      <c r="AJ1235" s="582"/>
      <c r="AK1235" s="582"/>
      <c r="AL1235" s="582"/>
      <c r="AM1235" s="579"/>
      <c r="AN1235" s="579"/>
      <c r="AO1235" s="347"/>
      <c r="AP1235" s="586"/>
      <c r="AQ1235" s="596"/>
      <c r="AR1235" s="596"/>
      <c r="AS1235" s="348"/>
      <c r="AT1235" s="348"/>
      <c r="AU1235" s="348"/>
      <c r="AV1235" s="348"/>
      <c r="AW1235" s="348"/>
      <c r="AX1235" s="584"/>
      <c r="AY1235" s="581"/>
      <c r="AZ1235" s="581"/>
      <c r="BA1235" s="596"/>
      <c r="BB1235" s="596"/>
      <c r="BC1235" s="348"/>
      <c r="BD1235" s="581"/>
      <c r="BE1235" s="581"/>
      <c r="BF1235" s="347"/>
      <c r="BG1235" s="347"/>
      <c r="BH1235" s="347"/>
      <c r="BI1235" s="347"/>
      <c r="BJ1235" s="586"/>
      <c r="BK1235" s="581"/>
      <c r="BL1235" s="347"/>
      <c r="BM1235" s="347"/>
      <c r="BN1235" s="347"/>
      <c r="BO1235" s="586"/>
      <c r="BP1235" s="584"/>
      <c r="BQ1235" s="347"/>
      <c r="BR1235" s="586"/>
      <c r="BS1235" s="588"/>
      <c r="BT1235" s="586"/>
      <c r="BU1235" s="589"/>
      <c r="BV1235" s="581"/>
      <c r="BW1235" s="590"/>
      <c r="BX1235" s="347"/>
      <c r="BY1235" s="347"/>
      <c r="BZ1235" s="347"/>
      <c r="CA1235" s="586"/>
      <c r="CB1235" s="581"/>
      <c r="CC1235" s="581"/>
      <c r="CD1235" s="581"/>
      <c r="CE1235" s="581"/>
      <c r="CF1235" s="581"/>
      <c r="CG1235" s="586"/>
      <c r="CH1235" s="608"/>
      <c r="CI1235" s="603"/>
      <c r="CJ1235" s="347"/>
      <c r="CK1235" s="347"/>
      <c r="CL1235" s="347"/>
      <c r="CM1235" s="347"/>
      <c r="CN1235" s="347"/>
      <c r="CO1235" s="347"/>
      <c r="CP1235" s="347"/>
    </row>
    <row r="1236">
      <c r="A1236" s="574"/>
      <c r="B1236" s="574"/>
      <c r="C1236" s="347"/>
      <c r="D1236" s="574"/>
      <c r="E1236" s="347"/>
      <c r="F1236" s="596"/>
      <c r="G1236" s="596"/>
      <c r="H1236" s="347"/>
      <c r="I1236" s="347"/>
      <c r="J1236" s="596"/>
      <c r="K1236" s="609"/>
      <c r="L1236" s="1"/>
      <c r="M1236" s="347"/>
      <c r="N1236" s="347"/>
      <c r="O1236" s="579"/>
      <c r="P1236" s="579"/>
      <c r="Q1236" s="574"/>
      <c r="R1236" s="347"/>
      <c r="S1236" s="597"/>
      <c r="T1236" s="347"/>
      <c r="U1236" s="579"/>
      <c r="V1236" s="579"/>
      <c r="W1236" s="574"/>
      <c r="X1236" s="347"/>
      <c r="Y1236" s="347"/>
      <c r="Z1236" s="347"/>
      <c r="AA1236" s="579"/>
      <c r="AB1236" s="581"/>
      <c r="AC1236" s="347"/>
      <c r="AD1236" s="347"/>
      <c r="AE1236" s="347"/>
      <c r="AF1236" s="347"/>
      <c r="AG1236" s="579"/>
      <c r="AH1236" s="579"/>
      <c r="AI1236" s="582"/>
      <c r="AJ1236" s="582"/>
      <c r="AK1236" s="582"/>
      <c r="AL1236" s="582"/>
      <c r="AM1236" s="579"/>
      <c r="AN1236" s="579"/>
      <c r="AO1236" s="347"/>
      <c r="AP1236" s="586"/>
      <c r="AQ1236" s="596"/>
      <c r="AR1236" s="596"/>
      <c r="AS1236" s="348"/>
      <c r="AT1236" s="348"/>
      <c r="AU1236" s="348"/>
      <c r="AV1236" s="348"/>
      <c r="AW1236" s="348"/>
      <c r="AX1236" s="584"/>
      <c r="AY1236" s="581"/>
      <c r="AZ1236" s="581"/>
      <c r="BA1236" s="596"/>
      <c r="BB1236" s="596"/>
      <c r="BC1236" s="348"/>
      <c r="BD1236" s="581"/>
      <c r="BE1236" s="581"/>
      <c r="BF1236" s="347"/>
      <c r="BG1236" s="347"/>
      <c r="BH1236" s="347"/>
      <c r="BI1236" s="347"/>
      <c r="BJ1236" s="586"/>
      <c r="BK1236" s="581"/>
      <c r="BL1236" s="347"/>
      <c r="BM1236" s="347"/>
      <c r="BN1236" s="347"/>
      <c r="BO1236" s="586"/>
      <c r="BP1236" s="584"/>
      <c r="BQ1236" s="347"/>
      <c r="BR1236" s="586"/>
      <c r="BS1236" s="588"/>
      <c r="BT1236" s="586"/>
      <c r="BU1236" s="589"/>
      <c r="BV1236" s="581"/>
      <c r="BW1236" s="590"/>
      <c r="BX1236" s="347"/>
      <c r="BY1236" s="347"/>
      <c r="BZ1236" s="347"/>
      <c r="CA1236" s="586"/>
      <c r="CB1236" s="581"/>
      <c r="CC1236" s="581"/>
      <c r="CD1236" s="581"/>
      <c r="CE1236" s="581"/>
      <c r="CF1236" s="581"/>
      <c r="CG1236" s="586"/>
      <c r="CH1236" s="608"/>
      <c r="CI1236" s="603"/>
      <c r="CJ1236" s="347"/>
      <c r="CK1236" s="347"/>
      <c r="CL1236" s="347"/>
      <c r="CM1236" s="347"/>
      <c r="CN1236" s="347"/>
      <c r="CO1236" s="347"/>
      <c r="CP1236" s="347"/>
    </row>
    <row r="1237">
      <c r="A1237" s="574"/>
      <c r="B1237" s="574"/>
      <c r="C1237" s="347"/>
      <c r="D1237" s="574"/>
      <c r="E1237" s="347"/>
      <c r="F1237" s="596"/>
      <c r="G1237" s="596"/>
      <c r="H1237" s="347"/>
      <c r="I1237" s="347"/>
      <c r="J1237" s="596"/>
      <c r="K1237" s="609"/>
      <c r="L1237" s="1"/>
      <c r="M1237" s="347"/>
      <c r="N1237" s="347"/>
      <c r="O1237" s="579"/>
      <c r="P1237" s="579"/>
      <c r="Q1237" s="574"/>
      <c r="R1237" s="347"/>
      <c r="S1237" s="597"/>
      <c r="T1237" s="347"/>
      <c r="U1237" s="579"/>
      <c r="V1237" s="579"/>
      <c r="W1237" s="574"/>
      <c r="X1237" s="347"/>
      <c r="Y1237" s="347"/>
      <c r="Z1237" s="347"/>
      <c r="AA1237" s="579"/>
      <c r="AB1237" s="581"/>
      <c r="AC1237" s="347"/>
      <c r="AD1237" s="347"/>
      <c r="AE1237" s="347"/>
      <c r="AF1237" s="347"/>
      <c r="AG1237" s="579"/>
      <c r="AH1237" s="579"/>
      <c r="AI1237" s="582"/>
      <c r="AJ1237" s="582"/>
      <c r="AK1237" s="582"/>
      <c r="AL1237" s="582"/>
      <c r="AM1237" s="579"/>
      <c r="AN1237" s="579"/>
      <c r="AO1237" s="347"/>
      <c r="AP1237" s="586"/>
      <c r="AQ1237" s="596"/>
      <c r="AR1237" s="596"/>
      <c r="AS1237" s="348"/>
      <c r="AT1237" s="348"/>
      <c r="AU1237" s="348"/>
      <c r="AV1237" s="348"/>
      <c r="AW1237" s="348"/>
      <c r="AX1237" s="584"/>
      <c r="AY1237" s="581"/>
      <c r="AZ1237" s="581"/>
      <c r="BA1237" s="596"/>
      <c r="BB1237" s="596"/>
      <c r="BC1237" s="348"/>
      <c r="BD1237" s="581"/>
      <c r="BE1237" s="581"/>
      <c r="BF1237" s="347"/>
      <c r="BG1237" s="347"/>
      <c r="BH1237" s="347"/>
      <c r="BI1237" s="347"/>
      <c r="BJ1237" s="586"/>
      <c r="BK1237" s="581"/>
      <c r="BL1237" s="347"/>
      <c r="BM1237" s="347"/>
      <c r="BN1237" s="347"/>
      <c r="BO1237" s="586"/>
      <c r="BP1237" s="584"/>
      <c r="BQ1237" s="347"/>
      <c r="BR1237" s="586"/>
      <c r="BS1237" s="588"/>
      <c r="BT1237" s="586"/>
      <c r="BU1237" s="589"/>
      <c r="BV1237" s="581"/>
      <c r="BW1237" s="590"/>
      <c r="BX1237" s="347"/>
      <c r="BY1237" s="347"/>
      <c r="BZ1237" s="347"/>
      <c r="CA1237" s="586"/>
      <c r="CB1237" s="581"/>
      <c r="CC1237" s="581"/>
      <c r="CD1237" s="581"/>
      <c r="CE1237" s="581"/>
      <c r="CF1237" s="581"/>
      <c r="CG1237" s="586"/>
      <c r="CH1237" s="608"/>
      <c r="CI1237" s="603"/>
      <c r="CJ1237" s="347"/>
      <c r="CK1237" s="347"/>
      <c r="CL1237" s="347"/>
      <c r="CM1237" s="347"/>
      <c r="CN1237" s="347"/>
      <c r="CO1237" s="347"/>
      <c r="CP1237" s="347"/>
    </row>
    <row r="1238">
      <c r="A1238" s="574"/>
      <c r="B1238" s="574"/>
      <c r="C1238" s="347"/>
      <c r="D1238" s="574"/>
      <c r="E1238" s="347"/>
      <c r="F1238" s="596"/>
      <c r="G1238" s="596"/>
      <c r="H1238" s="347"/>
      <c r="I1238" s="347"/>
      <c r="J1238" s="596"/>
      <c r="K1238" s="609"/>
      <c r="L1238" s="1"/>
      <c r="M1238" s="347"/>
      <c r="N1238" s="347"/>
      <c r="O1238" s="579"/>
      <c r="P1238" s="579"/>
      <c r="Q1238" s="574"/>
      <c r="R1238" s="347"/>
      <c r="S1238" s="597"/>
      <c r="T1238" s="347"/>
      <c r="U1238" s="579"/>
      <c r="V1238" s="579"/>
      <c r="W1238" s="574"/>
      <c r="X1238" s="347"/>
      <c r="Y1238" s="347"/>
      <c r="Z1238" s="347"/>
      <c r="AA1238" s="579"/>
      <c r="AB1238" s="581"/>
      <c r="AC1238" s="347"/>
      <c r="AD1238" s="347"/>
      <c r="AE1238" s="347"/>
      <c r="AF1238" s="347"/>
      <c r="AG1238" s="579"/>
      <c r="AH1238" s="579"/>
      <c r="AI1238" s="582"/>
      <c r="AJ1238" s="582"/>
      <c r="AK1238" s="582"/>
      <c r="AL1238" s="582"/>
      <c r="AM1238" s="579"/>
      <c r="AN1238" s="579"/>
      <c r="AO1238" s="347"/>
      <c r="AP1238" s="586"/>
      <c r="AQ1238" s="596"/>
      <c r="AR1238" s="596"/>
      <c r="AS1238" s="348"/>
      <c r="AT1238" s="348"/>
      <c r="AU1238" s="348"/>
      <c r="AV1238" s="348"/>
      <c r="AW1238" s="348"/>
      <c r="AX1238" s="584"/>
      <c r="AY1238" s="581"/>
      <c r="AZ1238" s="581"/>
      <c r="BA1238" s="596"/>
      <c r="BB1238" s="596"/>
      <c r="BC1238" s="348"/>
      <c r="BD1238" s="581"/>
      <c r="BE1238" s="581"/>
      <c r="BF1238" s="347"/>
      <c r="BG1238" s="347"/>
      <c r="BH1238" s="347"/>
      <c r="BI1238" s="347"/>
      <c r="BJ1238" s="586"/>
      <c r="BK1238" s="581"/>
      <c r="BL1238" s="347"/>
      <c r="BM1238" s="347"/>
      <c r="BN1238" s="347"/>
      <c r="BO1238" s="586"/>
      <c r="BP1238" s="584"/>
      <c r="BQ1238" s="347"/>
      <c r="BR1238" s="586"/>
      <c r="BS1238" s="588"/>
      <c r="BT1238" s="586"/>
      <c r="BU1238" s="589"/>
      <c r="BV1238" s="581"/>
      <c r="BW1238" s="590"/>
      <c r="BX1238" s="347"/>
      <c r="BY1238" s="347"/>
      <c r="BZ1238" s="347"/>
      <c r="CA1238" s="586"/>
      <c r="CB1238" s="581"/>
      <c r="CC1238" s="581"/>
      <c r="CD1238" s="581"/>
      <c r="CE1238" s="581"/>
      <c r="CF1238" s="581"/>
      <c r="CG1238" s="586"/>
      <c r="CH1238" s="608"/>
      <c r="CI1238" s="603"/>
      <c r="CJ1238" s="347"/>
      <c r="CK1238" s="347"/>
      <c r="CL1238" s="347"/>
      <c r="CM1238" s="347"/>
      <c r="CN1238" s="347"/>
      <c r="CO1238" s="347"/>
      <c r="CP1238" s="347"/>
    </row>
    <row r="1239">
      <c r="A1239" s="574"/>
      <c r="B1239" s="574"/>
      <c r="C1239" s="347"/>
      <c r="D1239" s="574"/>
      <c r="E1239" s="347"/>
      <c r="F1239" s="596"/>
      <c r="G1239" s="596"/>
      <c r="H1239" s="347"/>
      <c r="I1239" s="347"/>
      <c r="J1239" s="596"/>
      <c r="K1239" s="609"/>
      <c r="L1239" s="1"/>
      <c r="M1239" s="347"/>
      <c r="N1239" s="347"/>
      <c r="O1239" s="579"/>
      <c r="P1239" s="579"/>
      <c r="Q1239" s="574"/>
      <c r="R1239" s="347"/>
      <c r="S1239" s="597"/>
      <c r="T1239" s="347"/>
      <c r="U1239" s="579"/>
      <c r="V1239" s="579"/>
      <c r="W1239" s="574"/>
      <c r="X1239" s="347"/>
      <c r="Y1239" s="347"/>
      <c r="Z1239" s="347"/>
      <c r="AA1239" s="579"/>
      <c r="AB1239" s="581"/>
      <c r="AC1239" s="347"/>
      <c r="AD1239" s="347"/>
      <c r="AE1239" s="347"/>
      <c r="AF1239" s="347"/>
      <c r="AG1239" s="579"/>
      <c r="AH1239" s="579"/>
      <c r="AI1239" s="582"/>
      <c r="AJ1239" s="582"/>
      <c r="AK1239" s="582"/>
      <c r="AL1239" s="582"/>
      <c r="AM1239" s="579"/>
      <c r="AN1239" s="579"/>
      <c r="AO1239" s="347"/>
      <c r="AP1239" s="586"/>
      <c r="AQ1239" s="596"/>
      <c r="AR1239" s="596"/>
      <c r="AS1239" s="348"/>
      <c r="AT1239" s="348"/>
      <c r="AU1239" s="348"/>
      <c r="AV1239" s="348"/>
      <c r="AW1239" s="348"/>
      <c r="AX1239" s="584"/>
      <c r="AY1239" s="581"/>
      <c r="AZ1239" s="581"/>
      <c r="BA1239" s="596"/>
      <c r="BB1239" s="596"/>
      <c r="BC1239" s="348"/>
      <c r="BD1239" s="581"/>
      <c r="BE1239" s="581"/>
      <c r="BF1239" s="347"/>
      <c r="BG1239" s="347"/>
      <c r="BH1239" s="347"/>
      <c r="BI1239" s="347"/>
      <c r="BJ1239" s="586"/>
      <c r="BK1239" s="581"/>
      <c r="BL1239" s="347"/>
      <c r="BM1239" s="347"/>
      <c r="BN1239" s="347"/>
      <c r="BO1239" s="586"/>
      <c r="BP1239" s="584"/>
      <c r="BQ1239" s="347"/>
      <c r="BR1239" s="586"/>
      <c r="BS1239" s="588"/>
      <c r="BT1239" s="586"/>
      <c r="BU1239" s="589"/>
      <c r="BV1239" s="581"/>
      <c r="BW1239" s="590"/>
      <c r="BX1239" s="347"/>
      <c r="BY1239" s="347"/>
      <c r="BZ1239" s="347"/>
      <c r="CA1239" s="586"/>
      <c r="CB1239" s="581"/>
      <c r="CC1239" s="581"/>
      <c r="CD1239" s="581"/>
      <c r="CE1239" s="581"/>
      <c r="CF1239" s="581"/>
      <c r="CG1239" s="586"/>
      <c r="CH1239" s="608"/>
      <c r="CI1239" s="603"/>
      <c r="CJ1239" s="347"/>
      <c r="CK1239" s="347"/>
      <c r="CL1239" s="347"/>
      <c r="CM1239" s="347"/>
      <c r="CN1239" s="347"/>
      <c r="CO1239" s="347"/>
      <c r="CP1239" s="347"/>
    </row>
    <row r="1240">
      <c r="A1240" s="574"/>
      <c r="B1240" s="574"/>
      <c r="C1240" s="347"/>
      <c r="D1240" s="574"/>
      <c r="E1240" s="347"/>
      <c r="F1240" s="596"/>
      <c r="G1240" s="596"/>
      <c r="H1240" s="347"/>
      <c r="I1240" s="347"/>
      <c r="J1240" s="596"/>
      <c r="K1240" s="609"/>
      <c r="L1240" s="1"/>
      <c r="M1240" s="347"/>
      <c r="N1240" s="347"/>
      <c r="O1240" s="579"/>
      <c r="P1240" s="579"/>
      <c r="Q1240" s="574"/>
      <c r="R1240" s="347"/>
      <c r="S1240" s="597"/>
      <c r="T1240" s="347"/>
      <c r="U1240" s="579"/>
      <c r="V1240" s="579"/>
      <c r="W1240" s="574"/>
      <c r="X1240" s="347"/>
      <c r="Y1240" s="347"/>
      <c r="Z1240" s="347"/>
      <c r="AA1240" s="579"/>
      <c r="AB1240" s="581"/>
      <c r="AC1240" s="347"/>
      <c r="AD1240" s="347"/>
      <c r="AE1240" s="347"/>
      <c r="AF1240" s="347"/>
      <c r="AG1240" s="579"/>
      <c r="AH1240" s="579"/>
      <c r="AI1240" s="582"/>
      <c r="AJ1240" s="582"/>
      <c r="AK1240" s="582"/>
      <c r="AL1240" s="582"/>
      <c r="AM1240" s="579"/>
      <c r="AN1240" s="579"/>
      <c r="AO1240" s="347"/>
      <c r="AP1240" s="586"/>
      <c r="AQ1240" s="596"/>
      <c r="AR1240" s="596"/>
      <c r="AS1240" s="348"/>
      <c r="AT1240" s="348"/>
      <c r="AU1240" s="348"/>
      <c r="AV1240" s="348"/>
      <c r="AW1240" s="348"/>
      <c r="AX1240" s="584"/>
      <c r="AY1240" s="581"/>
      <c r="AZ1240" s="581"/>
      <c r="BA1240" s="596"/>
      <c r="BB1240" s="596"/>
      <c r="BC1240" s="348"/>
      <c r="BD1240" s="581"/>
      <c r="BE1240" s="581"/>
      <c r="BF1240" s="347"/>
      <c r="BG1240" s="347"/>
      <c r="BH1240" s="347"/>
      <c r="BI1240" s="347"/>
      <c r="BJ1240" s="586"/>
      <c r="BK1240" s="581"/>
      <c r="BL1240" s="347"/>
      <c r="BM1240" s="347"/>
      <c r="BN1240" s="347"/>
      <c r="BO1240" s="586"/>
      <c r="BP1240" s="584"/>
      <c r="BQ1240" s="347"/>
      <c r="BR1240" s="586"/>
      <c r="BS1240" s="588"/>
      <c r="BT1240" s="586"/>
      <c r="BU1240" s="589"/>
      <c r="BV1240" s="581"/>
      <c r="BW1240" s="590"/>
      <c r="BX1240" s="347"/>
      <c r="BY1240" s="347"/>
      <c r="BZ1240" s="347"/>
      <c r="CA1240" s="586"/>
      <c r="CB1240" s="581"/>
      <c r="CC1240" s="581"/>
      <c r="CD1240" s="581"/>
      <c r="CE1240" s="581"/>
      <c r="CF1240" s="581"/>
      <c r="CG1240" s="586"/>
      <c r="CH1240" s="608"/>
      <c r="CI1240" s="603"/>
      <c r="CJ1240" s="347"/>
      <c r="CK1240" s="347"/>
      <c r="CL1240" s="347"/>
      <c r="CM1240" s="347"/>
      <c r="CN1240" s="347"/>
      <c r="CO1240" s="347"/>
      <c r="CP1240" s="347"/>
    </row>
    <row r="1241">
      <c r="A1241" s="574"/>
      <c r="B1241" s="574"/>
      <c r="C1241" s="347"/>
      <c r="D1241" s="574"/>
      <c r="E1241" s="347"/>
      <c r="F1241" s="596"/>
      <c r="G1241" s="596"/>
      <c r="H1241" s="347"/>
      <c r="I1241" s="347"/>
      <c r="J1241" s="596"/>
      <c r="K1241" s="609"/>
      <c r="L1241" s="1"/>
      <c r="M1241" s="347"/>
      <c r="N1241" s="347"/>
      <c r="O1241" s="579"/>
      <c r="P1241" s="579"/>
      <c r="Q1241" s="574"/>
      <c r="R1241" s="347"/>
      <c r="S1241" s="597"/>
      <c r="T1241" s="347"/>
      <c r="U1241" s="579"/>
      <c r="V1241" s="579"/>
      <c r="W1241" s="574"/>
      <c r="X1241" s="347"/>
      <c r="Y1241" s="347"/>
      <c r="Z1241" s="347"/>
      <c r="AA1241" s="579"/>
      <c r="AB1241" s="581"/>
      <c r="AC1241" s="347"/>
      <c r="AD1241" s="347"/>
      <c r="AE1241" s="347"/>
      <c r="AF1241" s="347"/>
      <c r="AG1241" s="579"/>
      <c r="AH1241" s="579"/>
      <c r="AI1241" s="582"/>
      <c r="AJ1241" s="582"/>
      <c r="AK1241" s="582"/>
      <c r="AL1241" s="582"/>
      <c r="AM1241" s="579"/>
      <c r="AN1241" s="579"/>
      <c r="AO1241" s="347"/>
      <c r="AP1241" s="586"/>
      <c r="AQ1241" s="596"/>
      <c r="AR1241" s="596"/>
      <c r="AS1241" s="348"/>
      <c r="AT1241" s="348"/>
      <c r="AU1241" s="348"/>
      <c r="AV1241" s="348"/>
      <c r="AW1241" s="348"/>
      <c r="AX1241" s="584"/>
      <c r="AY1241" s="581"/>
      <c r="AZ1241" s="581"/>
      <c r="BA1241" s="596"/>
      <c r="BB1241" s="596"/>
      <c r="BC1241" s="348"/>
      <c r="BD1241" s="581"/>
      <c r="BE1241" s="581"/>
      <c r="BF1241" s="347"/>
      <c r="BG1241" s="347"/>
      <c r="BH1241" s="347"/>
      <c r="BI1241" s="347"/>
      <c r="BJ1241" s="586"/>
      <c r="BK1241" s="581"/>
      <c r="BL1241" s="347"/>
      <c r="BM1241" s="347"/>
      <c r="BN1241" s="347"/>
      <c r="BO1241" s="586"/>
      <c r="BP1241" s="584"/>
      <c r="BQ1241" s="347"/>
      <c r="BR1241" s="586"/>
      <c r="BS1241" s="588"/>
      <c r="BT1241" s="586"/>
      <c r="BU1241" s="589"/>
      <c r="BV1241" s="581"/>
      <c r="BW1241" s="590"/>
      <c r="BX1241" s="347"/>
      <c r="BY1241" s="347"/>
      <c r="BZ1241" s="347"/>
      <c r="CA1241" s="586"/>
      <c r="CB1241" s="581"/>
      <c r="CC1241" s="581"/>
      <c r="CD1241" s="581"/>
      <c r="CE1241" s="581"/>
      <c r="CF1241" s="581"/>
      <c r="CG1241" s="586"/>
      <c r="CH1241" s="608"/>
      <c r="CI1241" s="603"/>
      <c r="CJ1241" s="347"/>
      <c r="CK1241" s="347"/>
      <c r="CL1241" s="347"/>
      <c r="CM1241" s="347"/>
      <c r="CN1241" s="347"/>
      <c r="CO1241" s="347"/>
      <c r="CP1241" s="347"/>
    </row>
    <row r="1242">
      <c r="A1242" s="574"/>
      <c r="B1242" s="574"/>
      <c r="C1242" s="347"/>
      <c r="D1242" s="574"/>
      <c r="E1242" s="347"/>
      <c r="F1242" s="596"/>
      <c r="G1242" s="596"/>
      <c r="H1242" s="347"/>
      <c r="I1242" s="347"/>
      <c r="J1242" s="596"/>
      <c r="K1242" s="609"/>
      <c r="L1242" s="1"/>
      <c r="M1242" s="347"/>
      <c r="N1242" s="347"/>
      <c r="O1242" s="579"/>
      <c r="P1242" s="579"/>
      <c r="Q1242" s="574"/>
      <c r="R1242" s="347"/>
      <c r="S1242" s="597"/>
      <c r="T1242" s="347"/>
      <c r="U1242" s="579"/>
      <c r="V1242" s="579"/>
      <c r="W1242" s="574"/>
      <c r="X1242" s="347"/>
      <c r="Y1242" s="347"/>
      <c r="Z1242" s="347"/>
      <c r="AA1242" s="579"/>
      <c r="AB1242" s="581"/>
      <c r="AC1242" s="347"/>
      <c r="AD1242" s="347"/>
      <c r="AE1242" s="347"/>
      <c r="AF1242" s="347"/>
      <c r="AG1242" s="579"/>
      <c r="AH1242" s="579"/>
      <c r="AI1242" s="582"/>
      <c r="AJ1242" s="582"/>
      <c r="AK1242" s="582"/>
      <c r="AL1242" s="582"/>
      <c r="AM1242" s="579"/>
      <c r="AN1242" s="579"/>
      <c r="AO1242" s="347"/>
      <c r="AP1242" s="586"/>
      <c r="AQ1242" s="596"/>
      <c r="AR1242" s="596"/>
      <c r="AS1242" s="348"/>
      <c r="AT1242" s="348"/>
      <c r="AU1242" s="348"/>
      <c r="AV1242" s="348"/>
      <c r="AW1242" s="348"/>
      <c r="AX1242" s="584"/>
      <c r="AY1242" s="581"/>
      <c r="AZ1242" s="581"/>
      <c r="BA1242" s="596"/>
      <c r="BB1242" s="596"/>
      <c r="BC1242" s="348"/>
      <c r="BD1242" s="581"/>
      <c r="BE1242" s="581"/>
      <c r="BF1242" s="347"/>
      <c r="BG1242" s="347"/>
      <c r="BH1242" s="347"/>
      <c r="BI1242" s="347"/>
      <c r="BJ1242" s="586"/>
      <c r="BK1242" s="581"/>
      <c r="BL1242" s="347"/>
      <c r="BM1242" s="347"/>
      <c r="BN1242" s="347"/>
      <c r="BO1242" s="586"/>
      <c r="BP1242" s="584"/>
      <c r="BQ1242" s="347"/>
      <c r="BR1242" s="586"/>
      <c r="BS1242" s="588"/>
      <c r="BT1242" s="586"/>
      <c r="BU1242" s="589"/>
      <c r="BV1242" s="581"/>
      <c r="BW1242" s="590"/>
      <c r="BX1242" s="347"/>
      <c r="BY1242" s="347"/>
      <c r="BZ1242" s="347"/>
      <c r="CA1242" s="586"/>
      <c r="CB1242" s="581"/>
      <c r="CC1242" s="581"/>
      <c r="CD1242" s="581"/>
      <c r="CE1242" s="581"/>
      <c r="CF1242" s="581"/>
      <c r="CG1242" s="586"/>
      <c r="CH1242" s="608"/>
      <c r="CI1242" s="603"/>
      <c r="CJ1242" s="347"/>
      <c r="CK1242" s="347"/>
      <c r="CL1242" s="347"/>
      <c r="CM1242" s="347"/>
      <c r="CN1242" s="347"/>
      <c r="CO1242" s="347"/>
      <c r="CP1242" s="347"/>
    </row>
    <row r="1243">
      <c r="A1243" s="574"/>
      <c r="B1243" s="574"/>
      <c r="C1243" s="347"/>
      <c r="D1243" s="574"/>
      <c r="E1243" s="347"/>
      <c r="F1243" s="596"/>
      <c r="G1243" s="596"/>
      <c r="H1243" s="347"/>
      <c r="I1243" s="347"/>
      <c r="J1243" s="596"/>
      <c r="K1243" s="609"/>
      <c r="L1243" s="1"/>
      <c r="M1243" s="347"/>
      <c r="N1243" s="347"/>
      <c r="O1243" s="579"/>
      <c r="P1243" s="579"/>
      <c r="Q1243" s="574"/>
      <c r="R1243" s="347"/>
      <c r="S1243" s="597"/>
      <c r="T1243" s="347"/>
      <c r="U1243" s="579"/>
      <c r="V1243" s="579"/>
      <c r="W1243" s="574"/>
      <c r="X1243" s="347"/>
      <c r="Y1243" s="347"/>
      <c r="Z1243" s="347"/>
      <c r="AA1243" s="579"/>
      <c r="AB1243" s="581"/>
      <c r="AC1243" s="347"/>
      <c r="AD1243" s="347"/>
      <c r="AE1243" s="347"/>
      <c r="AF1243" s="347"/>
      <c r="AG1243" s="579"/>
      <c r="AH1243" s="579"/>
      <c r="AI1243" s="582"/>
      <c r="AJ1243" s="582"/>
      <c r="AK1243" s="582"/>
      <c r="AL1243" s="582"/>
      <c r="AM1243" s="579"/>
      <c r="AN1243" s="579"/>
      <c r="AO1243" s="347"/>
      <c r="AP1243" s="586"/>
      <c r="AQ1243" s="596"/>
      <c r="AR1243" s="596"/>
      <c r="AS1243" s="348"/>
      <c r="AT1243" s="348"/>
      <c r="AU1243" s="348"/>
      <c r="AV1243" s="348"/>
      <c r="AW1243" s="348"/>
      <c r="AX1243" s="584"/>
      <c r="AY1243" s="581"/>
      <c r="AZ1243" s="581"/>
      <c r="BA1243" s="596"/>
      <c r="BB1243" s="596"/>
      <c r="BC1243" s="348"/>
      <c r="BD1243" s="581"/>
      <c r="BE1243" s="581"/>
      <c r="BF1243" s="347"/>
      <c r="BG1243" s="347"/>
      <c r="BH1243" s="347"/>
      <c r="BI1243" s="347"/>
      <c r="BJ1243" s="586"/>
      <c r="BK1243" s="581"/>
      <c r="BL1243" s="347"/>
      <c r="BM1243" s="347"/>
      <c r="BN1243" s="347"/>
      <c r="BO1243" s="586"/>
      <c r="BP1243" s="584"/>
      <c r="BQ1243" s="347"/>
      <c r="BR1243" s="586"/>
      <c r="BS1243" s="588"/>
      <c r="BT1243" s="586"/>
      <c r="BU1243" s="589"/>
      <c r="BV1243" s="581"/>
      <c r="BW1243" s="590"/>
      <c r="BX1243" s="347"/>
      <c r="BY1243" s="347"/>
      <c r="BZ1243" s="347"/>
      <c r="CA1243" s="586"/>
      <c r="CB1243" s="581"/>
      <c r="CC1243" s="581"/>
      <c r="CD1243" s="581"/>
      <c r="CE1243" s="581"/>
      <c r="CF1243" s="581"/>
      <c r="CG1243" s="586"/>
      <c r="CH1243" s="608"/>
      <c r="CI1243" s="603"/>
      <c r="CJ1243" s="347"/>
      <c r="CK1243" s="347"/>
      <c r="CL1243" s="347"/>
      <c r="CM1243" s="347"/>
      <c r="CN1243" s="347"/>
      <c r="CO1243" s="347"/>
      <c r="CP1243" s="347"/>
    </row>
    <row r="1244">
      <c r="A1244" s="574"/>
      <c r="B1244" s="574"/>
      <c r="C1244" s="347"/>
      <c r="D1244" s="574"/>
      <c r="E1244" s="347"/>
      <c r="F1244" s="596"/>
      <c r="G1244" s="596"/>
      <c r="H1244" s="347"/>
      <c r="I1244" s="347"/>
      <c r="J1244" s="596"/>
      <c r="K1244" s="609"/>
      <c r="L1244" s="1"/>
      <c r="M1244" s="347"/>
      <c r="N1244" s="347"/>
      <c r="O1244" s="579"/>
      <c r="P1244" s="579"/>
      <c r="Q1244" s="574"/>
      <c r="R1244" s="347"/>
      <c r="S1244" s="597"/>
      <c r="T1244" s="347"/>
      <c r="U1244" s="579"/>
      <c r="V1244" s="579"/>
      <c r="W1244" s="574"/>
      <c r="X1244" s="347"/>
      <c r="Y1244" s="347"/>
      <c r="Z1244" s="347"/>
      <c r="AA1244" s="579"/>
      <c r="AB1244" s="581"/>
      <c r="AC1244" s="347"/>
      <c r="AD1244" s="347"/>
      <c r="AE1244" s="347"/>
      <c r="AF1244" s="347"/>
      <c r="AG1244" s="579"/>
      <c r="AH1244" s="579"/>
      <c r="AI1244" s="582"/>
      <c r="AJ1244" s="582"/>
      <c r="AK1244" s="582"/>
      <c r="AL1244" s="582"/>
      <c r="AM1244" s="579"/>
      <c r="AN1244" s="579"/>
      <c r="AO1244" s="347"/>
      <c r="AP1244" s="586"/>
      <c r="AQ1244" s="596"/>
      <c r="AR1244" s="596"/>
      <c r="AS1244" s="348"/>
      <c r="AT1244" s="348"/>
      <c r="AU1244" s="348"/>
      <c r="AV1244" s="348"/>
      <c r="AW1244" s="348"/>
      <c r="AX1244" s="584"/>
      <c r="AY1244" s="581"/>
      <c r="AZ1244" s="581"/>
      <c r="BA1244" s="596"/>
      <c r="BB1244" s="596"/>
      <c r="BC1244" s="348"/>
      <c r="BD1244" s="581"/>
      <c r="BE1244" s="581"/>
      <c r="BF1244" s="347"/>
      <c r="BG1244" s="347"/>
      <c r="BH1244" s="347"/>
      <c r="BI1244" s="347"/>
      <c r="BJ1244" s="586"/>
      <c r="BK1244" s="581"/>
      <c r="BL1244" s="347"/>
      <c r="BM1244" s="347"/>
      <c r="BN1244" s="347"/>
      <c r="BO1244" s="586"/>
      <c r="BP1244" s="584"/>
      <c r="BQ1244" s="347"/>
      <c r="BR1244" s="586"/>
      <c r="BS1244" s="588"/>
      <c r="BT1244" s="586"/>
      <c r="BU1244" s="589"/>
      <c r="BV1244" s="581"/>
      <c r="BW1244" s="590"/>
      <c r="BX1244" s="347"/>
      <c r="BY1244" s="347"/>
      <c r="BZ1244" s="347"/>
      <c r="CA1244" s="586"/>
      <c r="CB1244" s="581"/>
      <c r="CC1244" s="581"/>
      <c r="CD1244" s="581"/>
      <c r="CE1244" s="581"/>
      <c r="CF1244" s="581"/>
      <c r="CG1244" s="586"/>
      <c r="CH1244" s="608"/>
      <c r="CI1244" s="603"/>
      <c r="CJ1244" s="347"/>
      <c r="CK1244" s="347"/>
      <c r="CL1244" s="347"/>
      <c r="CM1244" s="347"/>
      <c r="CN1244" s="347"/>
      <c r="CO1244" s="347"/>
      <c r="CP1244" s="347"/>
    </row>
    <row r="1245">
      <c r="A1245" s="574"/>
      <c r="B1245" s="574"/>
      <c r="C1245" s="347"/>
      <c r="D1245" s="574"/>
      <c r="E1245" s="347"/>
      <c r="F1245" s="596"/>
      <c r="G1245" s="596"/>
      <c r="H1245" s="347"/>
      <c r="I1245" s="347"/>
      <c r="J1245" s="596"/>
      <c r="K1245" s="609"/>
      <c r="L1245" s="1"/>
      <c r="M1245" s="347"/>
      <c r="N1245" s="347"/>
      <c r="O1245" s="579"/>
      <c r="P1245" s="579"/>
      <c r="Q1245" s="574"/>
      <c r="R1245" s="347"/>
      <c r="S1245" s="597"/>
      <c r="T1245" s="347"/>
      <c r="U1245" s="579"/>
      <c r="V1245" s="579"/>
      <c r="W1245" s="574"/>
      <c r="X1245" s="347"/>
      <c r="Y1245" s="347"/>
      <c r="Z1245" s="347"/>
      <c r="AA1245" s="579"/>
      <c r="AB1245" s="581"/>
      <c r="AC1245" s="347"/>
      <c r="AD1245" s="347"/>
      <c r="AE1245" s="347"/>
      <c r="AF1245" s="347"/>
      <c r="AG1245" s="579"/>
      <c r="AH1245" s="579"/>
      <c r="AI1245" s="582"/>
      <c r="AJ1245" s="582"/>
      <c r="AK1245" s="582"/>
      <c r="AL1245" s="582"/>
      <c r="AM1245" s="579"/>
      <c r="AN1245" s="579"/>
      <c r="AO1245" s="347"/>
      <c r="AP1245" s="586"/>
      <c r="AQ1245" s="596"/>
      <c r="AR1245" s="596"/>
      <c r="AS1245" s="348"/>
      <c r="AT1245" s="348"/>
      <c r="AU1245" s="348"/>
      <c r="AV1245" s="348"/>
      <c r="AW1245" s="348"/>
      <c r="AX1245" s="584"/>
      <c r="AY1245" s="581"/>
      <c r="AZ1245" s="581"/>
      <c r="BA1245" s="596"/>
      <c r="BB1245" s="596"/>
      <c r="BC1245" s="348"/>
      <c r="BD1245" s="581"/>
      <c r="BE1245" s="581"/>
      <c r="BF1245" s="347"/>
      <c r="BG1245" s="347"/>
      <c r="BH1245" s="347"/>
      <c r="BI1245" s="347"/>
      <c r="BJ1245" s="586"/>
      <c r="BK1245" s="581"/>
      <c r="BL1245" s="347"/>
      <c r="BM1245" s="347"/>
      <c r="BN1245" s="347"/>
      <c r="BO1245" s="586"/>
      <c r="BP1245" s="584"/>
      <c r="BQ1245" s="347"/>
      <c r="BR1245" s="586"/>
      <c r="BS1245" s="588"/>
      <c r="BT1245" s="586"/>
      <c r="BU1245" s="589"/>
      <c r="BV1245" s="581"/>
      <c r="BW1245" s="590"/>
      <c r="BX1245" s="347"/>
      <c r="BY1245" s="347"/>
      <c r="BZ1245" s="347"/>
      <c r="CA1245" s="586"/>
      <c r="CB1245" s="581"/>
      <c r="CC1245" s="581"/>
      <c r="CD1245" s="581"/>
      <c r="CE1245" s="581"/>
      <c r="CF1245" s="581"/>
      <c r="CG1245" s="586"/>
      <c r="CH1245" s="608"/>
      <c r="CI1245" s="603"/>
      <c r="CJ1245" s="347"/>
      <c r="CK1245" s="347"/>
      <c r="CL1245" s="347"/>
      <c r="CM1245" s="347"/>
      <c r="CN1245" s="347"/>
      <c r="CO1245" s="347"/>
      <c r="CP1245" s="347"/>
    </row>
    <row r="1246">
      <c r="A1246" s="574"/>
      <c r="B1246" s="574"/>
      <c r="C1246" s="347"/>
      <c r="D1246" s="574"/>
      <c r="E1246" s="347"/>
      <c r="F1246" s="596"/>
      <c r="G1246" s="596"/>
      <c r="H1246" s="347"/>
      <c r="I1246" s="347"/>
      <c r="J1246" s="596"/>
      <c r="K1246" s="609"/>
      <c r="L1246" s="1"/>
      <c r="M1246" s="347"/>
      <c r="N1246" s="347"/>
      <c r="O1246" s="579"/>
      <c r="P1246" s="579"/>
      <c r="Q1246" s="574"/>
      <c r="R1246" s="347"/>
      <c r="S1246" s="597"/>
      <c r="T1246" s="347"/>
      <c r="U1246" s="579"/>
      <c r="V1246" s="579"/>
      <c r="W1246" s="574"/>
      <c r="X1246" s="347"/>
      <c r="Y1246" s="347"/>
      <c r="Z1246" s="347"/>
      <c r="AA1246" s="579"/>
      <c r="AB1246" s="581"/>
      <c r="AC1246" s="347"/>
      <c r="AD1246" s="347"/>
      <c r="AE1246" s="347"/>
      <c r="AF1246" s="347"/>
      <c r="AG1246" s="579"/>
      <c r="AH1246" s="579"/>
      <c r="AI1246" s="582"/>
      <c r="AJ1246" s="582"/>
      <c r="AK1246" s="582"/>
      <c r="AL1246" s="582"/>
      <c r="AM1246" s="579"/>
      <c r="AN1246" s="579"/>
      <c r="AO1246" s="347"/>
      <c r="AP1246" s="586"/>
      <c r="AQ1246" s="596"/>
      <c r="AR1246" s="596"/>
      <c r="AS1246" s="348"/>
      <c r="AT1246" s="348"/>
      <c r="AU1246" s="348"/>
      <c r="AV1246" s="348"/>
      <c r="AW1246" s="348"/>
      <c r="AX1246" s="584"/>
      <c r="AY1246" s="581"/>
      <c r="AZ1246" s="581"/>
      <c r="BA1246" s="596"/>
      <c r="BB1246" s="596"/>
      <c r="BC1246" s="348"/>
      <c r="BD1246" s="581"/>
      <c r="BE1246" s="581"/>
      <c r="BF1246" s="347"/>
      <c r="BG1246" s="347"/>
      <c r="BH1246" s="347"/>
      <c r="BI1246" s="347"/>
      <c r="BJ1246" s="586"/>
      <c r="BK1246" s="581"/>
      <c r="BL1246" s="347"/>
      <c r="BM1246" s="347"/>
      <c r="BN1246" s="347"/>
      <c r="BO1246" s="586"/>
      <c r="BP1246" s="584"/>
      <c r="BQ1246" s="347"/>
      <c r="BR1246" s="586"/>
      <c r="BS1246" s="588"/>
      <c r="BT1246" s="586"/>
      <c r="BU1246" s="589"/>
      <c r="BV1246" s="581"/>
      <c r="BW1246" s="590"/>
      <c r="BX1246" s="347"/>
      <c r="BY1246" s="347"/>
      <c r="BZ1246" s="347"/>
      <c r="CA1246" s="586"/>
      <c r="CB1246" s="581"/>
      <c r="CC1246" s="581"/>
      <c r="CD1246" s="581"/>
      <c r="CE1246" s="581"/>
      <c r="CF1246" s="581"/>
      <c r="CG1246" s="586"/>
      <c r="CH1246" s="608"/>
      <c r="CI1246" s="603"/>
      <c r="CJ1246" s="347"/>
      <c r="CK1246" s="347"/>
      <c r="CL1246" s="347"/>
      <c r="CM1246" s="347"/>
      <c r="CN1246" s="347"/>
      <c r="CO1246" s="347"/>
      <c r="CP1246" s="347"/>
    </row>
    <row r="1247">
      <c r="A1247" s="574"/>
      <c r="B1247" s="574"/>
      <c r="C1247" s="347"/>
      <c r="D1247" s="574"/>
      <c r="E1247" s="347"/>
      <c r="F1247" s="596"/>
      <c r="G1247" s="596"/>
      <c r="H1247" s="347"/>
      <c r="I1247" s="347"/>
      <c r="J1247" s="596"/>
      <c r="K1247" s="609"/>
      <c r="L1247" s="1"/>
      <c r="M1247" s="347"/>
      <c r="N1247" s="347"/>
      <c r="O1247" s="579"/>
      <c r="P1247" s="579"/>
      <c r="Q1247" s="574"/>
      <c r="R1247" s="347"/>
      <c r="S1247" s="597"/>
      <c r="T1247" s="347"/>
      <c r="U1247" s="579"/>
      <c r="V1247" s="579"/>
      <c r="W1247" s="574"/>
      <c r="X1247" s="347"/>
      <c r="Y1247" s="347"/>
      <c r="Z1247" s="347"/>
      <c r="AA1247" s="579"/>
      <c r="AB1247" s="581"/>
      <c r="AC1247" s="347"/>
      <c r="AD1247" s="347"/>
      <c r="AE1247" s="347"/>
      <c r="AF1247" s="347"/>
      <c r="AG1247" s="579"/>
      <c r="AH1247" s="579"/>
      <c r="AI1247" s="582"/>
      <c r="AJ1247" s="582"/>
      <c r="AK1247" s="582"/>
      <c r="AL1247" s="582"/>
      <c r="AM1247" s="579"/>
      <c r="AN1247" s="579"/>
      <c r="AO1247" s="347"/>
      <c r="AP1247" s="586"/>
      <c r="AQ1247" s="596"/>
      <c r="AR1247" s="596"/>
      <c r="AS1247" s="348"/>
      <c r="AT1247" s="348"/>
      <c r="AU1247" s="348"/>
      <c r="AV1247" s="348"/>
      <c r="AW1247" s="348"/>
      <c r="AX1247" s="584"/>
      <c r="AY1247" s="581"/>
      <c r="AZ1247" s="581"/>
      <c r="BA1247" s="596"/>
      <c r="BB1247" s="596"/>
      <c r="BC1247" s="348"/>
      <c r="BD1247" s="581"/>
      <c r="BE1247" s="581"/>
      <c r="BF1247" s="347"/>
      <c r="BG1247" s="347"/>
      <c r="BH1247" s="347"/>
      <c r="BI1247" s="347"/>
      <c r="BJ1247" s="586"/>
      <c r="BK1247" s="581"/>
      <c r="BL1247" s="347"/>
      <c r="BM1247" s="347"/>
      <c r="BN1247" s="347"/>
      <c r="BO1247" s="586"/>
      <c r="BP1247" s="584"/>
      <c r="BQ1247" s="347"/>
      <c r="BR1247" s="586"/>
      <c r="BS1247" s="588"/>
      <c r="BT1247" s="586"/>
      <c r="BU1247" s="589"/>
      <c r="BV1247" s="581"/>
      <c r="BW1247" s="590"/>
      <c r="BX1247" s="347"/>
      <c r="BY1247" s="347"/>
      <c r="BZ1247" s="347"/>
      <c r="CA1247" s="586"/>
      <c r="CB1247" s="581"/>
      <c r="CC1247" s="581"/>
      <c r="CD1247" s="581"/>
      <c r="CE1247" s="581"/>
      <c r="CF1247" s="581"/>
      <c r="CG1247" s="586"/>
      <c r="CH1247" s="608"/>
      <c r="CI1247" s="603"/>
      <c r="CJ1247" s="347"/>
      <c r="CK1247" s="347"/>
      <c r="CL1247" s="347"/>
      <c r="CM1247" s="347"/>
      <c r="CN1247" s="347"/>
      <c r="CO1247" s="347"/>
      <c r="CP1247" s="347"/>
    </row>
    <row r="1248">
      <c r="A1248" s="574"/>
      <c r="B1248" s="574"/>
      <c r="C1248" s="347"/>
      <c r="D1248" s="574"/>
      <c r="E1248" s="347"/>
      <c r="F1248" s="596"/>
      <c r="G1248" s="596"/>
      <c r="H1248" s="347"/>
      <c r="I1248" s="347"/>
      <c r="J1248" s="596"/>
      <c r="K1248" s="609"/>
      <c r="L1248" s="1"/>
      <c r="M1248" s="347"/>
      <c r="N1248" s="347"/>
      <c r="O1248" s="579"/>
      <c r="P1248" s="579"/>
      <c r="Q1248" s="574"/>
      <c r="R1248" s="347"/>
      <c r="S1248" s="597"/>
      <c r="T1248" s="347"/>
      <c r="U1248" s="579"/>
      <c r="V1248" s="579"/>
      <c r="W1248" s="574"/>
      <c r="X1248" s="347"/>
      <c r="Y1248" s="347"/>
      <c r="Z1248" s="347"/>
      <c r="AA1248" s="579"/>
      <c r="AB1248" s="581"/>
      <c r="AC1248" s="347"/>
      <c r="AD1248" s="347"/>
      <c r="AE1248" s="347"/>
      <c r="AF1248" s="347"/>
      <c r="AG1248" s="579"/>
      <c r="AH1248" s="579"/>
      <c r="AI1248" s="582"/>
      <c r="AJ1248" s="582"/>
      <c r="AK1248" s="582"/>
      <c r="AL1248" s="582"/>
      <c r="AM1248" s="579"/>
      <c r="AN1248" s="579"/>
      <c r="AO1248" s="347"/>
      <c r="AP1248" s="586"/>
      <c r="AQ1248" s="596"/>
      <c r="AR1248" s="596"/>
      <c r="AS1248" s="348"/>
      <c r="AT1248" s="348"/>
      <c r="AU1248" s="348"/>
      <c r="AV1248" s="348"/>
      <c r="AW1248" s="348"/>
      <c r="AX1248" s="584"/>
      <c r="AY1248" s="581"/>
      <c r="AZ1248" s="581"/>
      <c r="BA1248" s="596"/>
      <c r="BB1248" s="596"/>
      <c r="BC1248" s="348"/>
      <c r="BD1248" s="581"/>
      <c r="BE1248" s="581"/>
      <c r="BF1248" s="347"/>
      <c r="BG1248" s="347"/>
      <c r="BH1248" s="347"/>
      <c r="BI1248" s="347"/>
      <c r="BJ1248" s="586"/>
      <c r="BK1248" s="581"/>
      <c r="BL1248" s="347"/>
      <c r="BM1248" s="347"/>
      <c r="BN1248" s="347"/>
      <c r="BO1248" s="586"/>
      <c r="BP1248" s="584"/>
      <c r="BQ1248" s="347"/>
      <c r="BR1248" s="586"/>
      <c r="BS1248" s="588"/>
      <c r="BT1248" s="586"/>
      <c r="BU1248" s="589"/>
      <c r="BV1248" s="581"/>
      <c r="BW1248" s="590"/>
      <c r="BX1248" s="347"/>
      <c r="BY1248" s="347"/>
      <c r="BZ1248" s="347"/>
      <c r="CA1248" s="586"/>
      <c r="CB1248" s="581"/>
      <c r="CC1248" s="581"/>
      <c r="CD1248" s="581"/>
      <c r="CE1248" s="581"/>
      <c r="CF1248" s="581"/>
      <c r="CG1248" s="586"/>
      <c r="CH1248" s="608"/>
      <c r="CI1248" s="603"/>
      <c r="CJ1248" s="347"/>
      <c r="CK1248" s="347"/>
      <c r="CL1248" s="347"/>
      <c r="CM1248" s="347"/>
      <c r="CN1248" s="347"/>
      <c r="CO1248" s="347"/>
      <c r="CP1248" s="347"/>
    </row>
    <row r="1249">
      <c r="A1249" s="574"/>
      <c r="B1249" s="574"/>
      <c r="C1249" s="347"/>
      <c r="D1249" s="574"/>
      <c r="E1249" s="347"/>
      <c r="F1249" s="596"/>
      <c r="G1249" s="596"/>
      <c r="H1249" s="347"/>
      <c r="I1249" s="347"/>
      <c r="J1249" s="596"/>
      <c r="K1249" s="609"/>
      <c r="L1249" s="1"/>
      <c r="M1249" s="347"/>
      <c r="N1249" s="347"/>
      <c r="O1249" s="579"/>
      <c r="P1249" s="579"/>
      <c r="Q1249" s="574"/>
      <c r="R1249" s="347"/>
      <c r="S1249" s="597"/>
      <c r="T1249" s="347"/>
      <c r="U1249" s="579"/>
      <c r="V1249" s="579"/>
      <c r="W1249" s="574"/>
      <c r="X1249" s="347"/>
      <c r="Y1249" s="347"/>
      <c r="Z1249" s="347"/>
      <c r="AA1249" s="579"/>
      <c r="AB1249" s="581"/>
      <c r="AC1249" s="347"/>
      <c r="AD1249" s="347"/>
      <c r="AE1249" s="347"/>
      <c r="AF1249" s="347"/>
      <c r="AG1249" s="579"/>
      <c r="AH1249" s="579"/>
      <c r="AI1249" s="582"/>
      <c r="AJ1249" s="582"/>
      <c r="AK1249" s="582"/>
      <c r="AL1249" s="582"/>
      <c r="AM1249" s="579"/>
      <c r="AN1249" s="579"/>
      <c r="AO1249" s="347"/>
      <c r="AP1249" s="586"/>
      <c r="AQ1249" s="596"/>
      <c r="AR1249" s="596"/>
      <c r="AS1249" s="348"/>
      <c r="AT1249" s="348"/>
      <c r="AU1249" s="348"/>
      <c r="AV1249" s="348"/>
      <c r="AW1249" s="348"/>
      <c r="AX1249" s="584"/>
      <c r="AY1249" s="581"/>
      <c r="AZ1249" s="581"/>
      <c r="BA1249" s="596"/>
      <c r="BB1249" s="596"/>
      <c r="BC1249" s="348"/>
      <c r="BD1249" s="581"/>
      <c r="BE1249" s="581"/>
      <c r="BF1249" s="347"/>
      <c r="BG1249" s="347"/>
      <c r="BH1249" s="347"/>
      <c r="BI1249" s="347"/>
      <c r="BJ1249" s="586"/>
      <c r="BK1249" s="581"/>
      <c r="BL1249" s="347"/>
      <c r="BM1249" s="347"/>
      <c r="BN1249" s="347"/>
      <c r="BO1249" s="586"/>
      <c r="BP1249" s="584"/>
      <c r="BQ1249" s="347"/>
      <c r="BR1249" s="586"/>
      <c r="BS1249" s="588"/>
      <c r="BT1249" s="586"/>
      <c r="BU1249" s="589"/>
      <c r="BV1249" s="581"/>
      <c r="BW1249" s="590"/>
      <c r="BX1249" s="347"/>
      <c r="BY1249" s="347"/>
      <c r="BZ1249" s="347"/>
      <c r="CA1249" s="586"/>
      <c r="CB1249" s="581"/>
      <c r="CC1249" s="581"/>
      <c r="CD1249" s="581"/>
      <c r="CE1249" s="581"/>
      <c r="CF1249" s="581"/>
      <c r="CG1249" s="586"/>
      <c r="CH1249" s="608"/>
      <c r="CI1249" s="603"/>
      <c r="CJ1249" s="347"/>
      <c r="CK1249" s="347"/>
      <c r="CL1249" s="347"/>
      <c r="CM1249" s="347"/>
      <c r="CN1249" s="347"/>
      <c r="CO1249" s="347"/>
      <c r="CP1249" s="347"/>
    </row>
    <row r="1250">
      <c r="A1250" s="574"/>
      <c r="B1250" s="574"/>
      <c r="C1250" s="347"/>
      <c r="D1250" s="574"/>
      <c r="E1250" s="347"/>
      <c r="F1250" s="596"/>
      <c r="G1250" s="596"/>
      <c r="H1250" s="347"/>
      <c r="I1250" s="347"/>
      <c r="J1250" s="596"/>
      <c r="K1250" s="609"/>
      <c r="L1250" s="1"/>
      <c r="M1250" s="347"/>
      <c r="N1250" s="347"/>
      <c r="O1250" s="579"/>
      <c r="P1250" s="579"/>
      <c r="Q1250" s="574"/>
      <c r="R1250" s="347"/>
      <c r="S1250" s="597"/>
      <c r="T1250" s="347"/>
      <c r="U1250" s="579"/>
      <c r="V1250" s="579"/>
      <c r="W1250" s="574"/>
      <c r="X1250" s="347"/>
      <c r="Y1250" s="347"/>
      <c r="Z1250" s="347"/>
      <c r="AA1250" s="579"/>
      <c r="AB1250" s="581"/>
      <c r="AC1250" s="347"/>
      <c r="AD1250" s="347"/>
      <c r="AE1250" s="347"/>
      <c r="AF1250" s="347"/>
      <c r="AG1250" s="579"/>
      <c r="AH1250" s="579"/>
      <c r="AI1250" s="582"/>
      <c r="AJ1250" s="582"/>
      <c r="AK1250" s="582"/>
      <c r="AL1250" s="582"/>
      <c r="AM1250" s="579"/>
      <c r="AN1250" s="579"/>
      <c r="AO1250" s="347"/>
      <c r="AP1250" s="586"/>
      <c r="AQ1250" s="596"/>
      <c r="AR1250" s="596"/>
      <c r="AS1250" s="348"/>
      <c r="AT1250" s="348"/>
      <c r="AU1250" s="348"/>
      <c r="AV1250" s="348"/>
      <c r="AW1250" s="348"/>
      <c r="AX1250" s="584"/>
      <c r="AY1250" s="581"/>
      <c r="AZ1250" s="581"/>
      <c r="BA1250" s="596"/>
      <c r="BB1250" s="596"/>
      <c r="BC1250" s="348"/>
      <c r="BD1250" s="581"/>
      <c r="BE1250" s="581"/>
      <c r="BF1250" s="347"/>
      <c r="BG1250" s="347"/>
      <c r="BH1250" s="347"/>
      <c r="BI1250" s="347"/>
      <c r="BJ1250" s="586"/>
      <c r="BK1250" s="581"/>
      <c r="BL1250" s="347"/>
      <c r="BM1250" s="347"/>
      <c r="BN1250" s="347"/>
      <c r="BO1250" s="586"/>
      <c r="BP1250" s="584"/>
      <c r="BQ1250" s="347"/>
      <c r="BR1250" s="586"/>
      <c r="BS1250" s="588"/>
      <c r="BT1250" s="586"/>
      <c r="BU1250" s="589"/>
      <c r="BV1250" s="581"/>
      <c r="BW1250" s="590"/>
      <c r="BX1250" s="347"/>
      <c r="BY1250" s="347"/>
      <c r="BZ1250" s="347"/>
      <c r="CA1250" s="586"/>
      <c r="CB1250" s="581"/>
      <c r="CC1250" s="581"/>
      <c r="CD1250" s="581"/>
      <c r="CE1250" s="581"/>
      <c r="CF1250" s="581"/>
      <c r="CG1250" s="586"/>
      <c r="CH1250" s="608"/>
      <c r="CI1250" s="603"/>
      <c r="CJ1250" s="347"/>
      <c r="CK1250" s="347"/>
      <c r="CL1250" s="347"/>
      <c r="CM1250" s="347"/>
      <c r="CN1250" s="347"/>
      <c r="CO1250" s="347"/>
      <c r="CP1250" s="347"/>
    </row>
    <row r="1251">
      <c r="A1251" s="574"/>
      <c r="B1251" s="574"/>
      <c r="C1251" s="347"/>
      <c r="D1251" s="574"/>
      <c r="E1251" s="347"/>
      <c r="F1251" s="596"/>
      <c r="G1251" s="596"/>
      <c r="H1251" s="347"/>
      <c r="I1251" s="347"/>
      <c r="J1251" s="596"/>
      <c r="K1251" s="609"/>
      <c r="L1251" s="1"/>
      <c r="M1251" s="347"/>
      <c r="N1251" s="347"/>
      <c r="O1251" s="579"/>
      <c r="P1251" s="579"/>
      <c r="Q1251" s="574"/>
      <c r="R1251" s="347"/>
      <c r="S1251" s="597"/>
      <c r="T1251" s="347"/>
      <c r="U1251" s="579"/>
      <c r="V1251" s="579"/>
      <c r="W1251" s="574"/>
      <c r="X1251" s="347"/>
      <c r="Y1251" s="347"/>
      <c r="Z1251" s="347"/>
      <c r="AA1251" s="579"/>
      <c r="AB1251" s="581"/>
      <c r="AC1251" s="347"/>
      <c r="AD1251" s="347"/>
      <c r="AE1251" s="347"/>
      <c r="AF1251" s="347"/>
      <c r="AG1251" s="579"/>
      <c r="AH1251" s="579"/>
      <c r="AI1251" s="582"/>
      <c r="AJ1251" s="582"/>
      <c r="AK1251" s="582"/>
      <c r="AL1251" s="582"/>
      <c r="AM1251" s="579"/>
      <c r="AN1251" s="579"/>
      <c r="AO1251" s="347"/>
      <c r="AP1251" s="586"/>
      <c r="AQ1251" s="596"/>
      <c r="AR1251" s="596"/>
      <c r="AS1251" s="348"/>
      <c r="AT1251" s="348"/>
      <c r="AU1251" s="348"/>
      <c r="AV1251" s="348"/>
      <c r="AW1251" s="348"/>
      <c r="AX1251" s="584"/>
      <c r="AY1251" s="581"/>
      <c r="AZ1251" s="581"/>
      <c r="BA1251" s="596"/>
      <c r="BB1251" s="596"/>
      <c r="BC1251" s="348"/>
      <c r="BD1251" s="581"/>
      <c r="BE1251" s="581"/>
      <c r="BF1251" s="347"/>
      <c r="BG1251" s="347"/>
      <c r="BH1251" s="347"/>
      <c r="BI1251" s="347"/>
      <c r="BJ1251" s="586"/>
      <c r="BK1251" s="581"/>
      <c r="BL1251" s="347"/>
      <c r="BM1251" s="347"/>
      <c r="BN1251" s="347"/>
      <c r="BO1251" s="586"/>
      <c r="BP1251" s="584"/>
      <c r="BQ1251" s="347"/>
      <c r="BR1251" s="586"/>
      <c r="BS1251" s="588"/>
      <c r="BT1251" s="586"/>
      <c r="BU1251" s="589"/>
      <c r="BV1251" s="581"/>
      <c r="BW1251" s="590"/>
      <c r="BX1251" s="347"/>
      <c r="BY1251" s="347"/>
      <c r="BZ1251" s="347"/>
      <c r="CA1251" s="586"/>
      <c r="CB1251" s="581"/>
      <c r="CC1251" s="581"/>
      <c r="CD1251" s="581"/>
      <c r="CE1251" s="581"/>
      <c r="CF1251" s="581"/>
      <c r="CG1251" s="586"/>
      <c r="CH1251" s="608"/>
      <c r="CI1251" s="603"/>
      <c r="CJ1251" s="347"/>
      <c r="CK1251" s="347"/>
      <c r="CL1251" s="347"/>
      <c r="CM1251" s="347"/>
      <c r="CN1251" s="347"/>
      <c r="CO1251" s="347"/>
      <c r="CP1251" s="347"/>
    </row>
    <row r="1252">
      <c r="A1252" s="574"/>
      <c r="B1252" s="574"/>
      <c r="C1252" s="347"/>
      <c r="D1252" s="574"/>
      <c r="E1252" s="347"/>
      <c r="F1252" s="596"/>
      <c r="G1252" s="596"/>
      <c r="H1252" s="347"/>
      <c r="I1252" s="347"/>
      <c r="J1252" s="596"/>
      <c r="K1252" s="609"/>
      <c r="L1252" s="1"/>
      <c r="M1252" s="347"/>
      <c r="N1252" s="347"/>
      <c r="O1252" s="579"/>
      <c r="P1252" s="579"/>
      <c r="Q1252" s="574"/>
      <c r="R1252" s="347"/>
      <c r="S1252" s="597"/>
      <c r="T1252" s="347"/>
      <c r="U1252" s="579"/>
      <c r="V1252" s="579"/>
      <c r="W1252" s="574"/>
      <c r="X1252" s="347"/>
      <c r="Y1252" s="347"/>
      <c r="Z1252" s="347"/>
      <c r="AA1252" s="579"/>
      <c r="AB1252" s="581"/>
      <c r="AC1252" s="347"/>
      <c r="AD1252" s="347"/>
      <c r="AE1252" s="347"/>
      <c r="AF1252" s="347"/>
      <c r="AG1252" s="579"/>
      <c r="AH1252" s="579"/>
      <c r="AI1252" s="582"/>
      <c r="AJ1252" s="582"/>
      <c r="AK1252" s="582"/>
      <c r="AL1252" s="582"/>
      <c r="AM1252" s="579"/>
      <c r="AN1252" s="579"/>
      <c r="AO1252" s="347"/>
      <c r="AP1252" s="586"/>
      <c r="AQ1252" s="596"/>
      <c r="AR1252" s="596"/>
      <c r="AS1252" s="348"/>
      <c r="AT1252" s="348"/>
      <c r="AU1252" s="348"/>
      <c r="AV1252" s="348"/>
      <c r="AW1252" s="348"/>
      <c r="AX1252" s="584"/>
      <c r="AY1252" s="581"/>
      <c r="AZ1252" s="581"/>
      <c r="BA1252" s="596"/>
      <c r="BB1252" s="596"/>
      <c r="BC1252" s="348"/>
      <c r="BD1252" s="581"/>
      <c r="BE1252" s="581"/>
      <c r="BF1252" s="347"/>
      <c r="BG1252" s="347"/>
      <c r="BH1252" s="347"/>
      <c r="BI1252" s="347"/>
      <c r="BJ1252" s="586"/>
      <c r="BK1252" s="581"/>
      <c r="BL1252" s="347"/>
      <c r="BM1252" s="347"/>
      <c r="BN1252" s="347"/>
      <c r="BO1252" s="586"/>
      <c r="BP1252" s="584"/>
      <c r="BQ1252" s="347"/>
      <c r="BR1252" s="586"/>
      <c r="BS1252" s="588"/>
      <c r="BT1252" s="586"/>
      <c r="BU1252" s="589"/>
      <c r="BV1252" s="581"/>
      <c r="BW1252" s="590"/>
      <c r="BX1252" s="347"/>
      <c r="BY1252" s="347"/>
      <c r="BZ1252" s="347"/>
      <c r="CA1252" s="586"/>
      <c r="CB1252" s="581"/>
      <c r="CC1252" s="581"/>
      <c r="CD1252" s="581"/>
      <c r="CE1252" s="581"/>
      <c r="CF1252" s="581"/>
      <c r="CG1252" s="586"/>
      <c r="CH1252" s="608"/>
      <c r="CI1252" s="603"/>
      <c r="CJ1252" s="347"/>
      <c r="CK1252" s="347"/>
      <c r="CL1252" s="347"/>
      <c r="CM1252" s="347"/>
      <c r="CN1252" s="347"/>
      <c r="CO1252" s="347"/>
      <c r="CP1252" s="347"/>
    </row>
    <row r="1253">
      <c r="A1253" s="574"/>
      <c r="B1253" s="574"/>
      <c r="C1253" s="347"/>
      <c r="D1253" s="574"/>
      <c r="E1253" s="347"/>
      <c r="F1253" s="596"/>
      <c r="G1253" s="596"/>
      <c r="H1253" s="347"/>
      <c r="I1253" s="347"/>
      <c r="J1253" s="596"/>
      <c r="K1253" s="609"/>
      <c r="L1253" s="1"/>
      <c r="M1253" s="347"/>
      <c r="N1253" s="347"/>
      <c r="O1253" s="579"/>
      <c r="P1253" s="579"/>
      <c r="Q1253" s="574"/>
      <c r="R1253" s="347"/>
      <c r="S1253" s="597"/>
      <c r="T1253" s="347"/>
      <c r="U1253" s="579"/>
      <c r="V1253" s="579"/>
      <c r="W1253" s="574"/>
      <c r="X1253" s="347"/>
      <c r="Y1253" s="347"/>
      <c r="Z1253" s="347"/>
      <c r="AA1253" s="579"/>
      <c r="AB1253" s="581"/>
      <c r="AC1253" s="347"/>
      <c r="AD1253" s="347"/>
      <c r="AE1253" s="347"/>
      <c r="AF1253" s="347"/>
      <c r="AG1253" s="579"/>
      <c r="AH1253" s="579"/>
      <c r="AI1253" s="582"/>
      <c r="AJ1253" s="582"/>
      <c r="AK1253" s="582"/>
      <c r="AL1253" s="582"/>
      <c r="AM1253" s="579"/>
      <c r="AN1253" s="579"/>
      <c r="AO1253" s="347"/>
      <c r="AP1253" s="586"/>
      <c r="AQ1253" s="596"/>
      <c r="AR1253" s="596"/>
      <c r="AS1253" s="348"/>
      <c r="AT1253" s="348"/>
      <c r="AU1253" s="348"/>
      <c r="AV1253" s="348"/>
      <c r="AW1253" s="348"/>
      <c r="AX1253" s="584"/>
      <c r="AY1253" s="581"/>
      <c r="AZ1253" s="581"/>
      <c r="BA1253" s="596"/>
      <c r="BB1253" s="596"/>
      <c r="BC1253" s="348"/>
      <c r="BD1253" s="581"/>
      <c r="BE1253" s="581"/>
      <c r="BF1253" s="347"/>
      <c r="BG1253" s="347"/>
      <c r="BH1253" s="347"/>
      <c r="BI1253" s="347"/>
      <c r="BJ1253" s="586"/>
      <c r="BK1253" s="581"/>
      <c r="BL1253" s="347"/>
      <c r="BM1253" s="347"/>
      <c r="BN1253" s="347"/>
      <c r="BO1253" s="586"/>
      <c r="BP1253" s="584"/>
      <c r="BQ1253" s="347"/>
      <c r="BR1253" s="586"/>
      <c r="BS1253" s="588"/>
      <c r="BT1253" s="586"/>
      <c r="BU1253" s="589"/>
      <c r="BV1253" s="581"/>
      <c r="BW1253" s="590"/>
      <c r="BX1253" s="347"/>
      <c r="BY1253" s="347"/>
      <c r="BZ1253" s="347"/>
      <c r="CA1253" s="586"/>
      <c r="CB1253" s="581"/>
      <c r="CC1253" s="581"/>
      <c r="CD1253" s="581"/>
      <c r="CE1253" s="581"/>
      <c r="CF1253" s="581"/>
      <c r="CG1253" s="586"/>
      <c r="CH1253" s="608"/>
      <c r="CI1253" s="603"/>
      <c r="CJ1253" s="347"/>
      <c r="CK1253" s="347"/>
      <c r="CL1253" s="347"/>
      <c r="CM1253" s="347"/>
      <c r="CN1253" s="347"/>
      <c r="CO1253" s="347"/>
      <c r="CP1253" s="347"/>
    </row>
    <row r="1254">
      <c r="A1254" s="574"/>
      <c r="B1254" s="574"/>
      <c r="C1254" s="347"/>
      <c r="D1254" s="574"/>
      <c r="E1254" s="347"/>
      <c r="F1254" s="596"/>
      <c r="G1254" s="596"/>
      <c r="H1254" s="347"/>
      <c r="I1254" s="347"/>
      <c r="J1254" s="596"/>
      <c r="K1254" s="609"/>
      <c r="L1254" s="1"/>
      <c r="M1254" s="347"/>
      <c r="N1254" s="347"/>
      <c r="O1254" s="579"/>
      <c r="P1254" s="579"/>
      <c r="Q1254" s="574"/>
      <c r="R1254" s="347"/>
      <c r="S1254" s="597"/>
      <c r="T1254" s="347"/>
      <c r="U1254" s="579"/>
      <c r="V1254" s="579"/>
      <c r="W1254" s="574"/>
      <c r="X1254" s="347"/>
      <c r="Y1254" s="347"/>
      <c r="Z1254" s="347"/>
      <c r="AA1254" s="579"/>
      <c r="AB1254" s="581"/>
      <c r="AC1254" s="347"/>
      <c r="AD1254" s="347"/>
      <c r="AE1254" s="347"/>
      <c r="AF1254" s="347"/>
      <c r="AG1254" s="579"/>
      <c r="AH1254" s="579"/>
      <c r="AI1254" s="582"/>
      <c r="AJ1254" s="582"/>
      <c r="AK1254" s="582"/>
      <c r="AL1254" s="582"/>
      <c r="AM1254" s="579"/>
      <c r="AN1254" s="579"/>
      <c r="AO1254" s="347"/>
      <c r="AP1254" s="586"/>
      <c r="AQ1254" s="596"/>
      <c r="AR1254" s="596"/>
      <c r="AS1254" s="348"/>
      <c r="AT1254" s="348"/>
      <c r="AU1254" s="348"/>
      <c r="AV1254" s="348"/>
      <c r="AW1254" s="348"/>
      <c r="AX1254" s="584"/>
      <c r="AY1254" s="581"/>
      <c r="AZ1254" s="581"/>
      <c r="BA1254" s="596"/>
      <c r="BB1254" s="596"/>
      <c r="BC1254" s="348"/>
      <c r="BD1254" s="581"/>
      <c r="BE1254" s="581"/>
      <c r="BF1254" s="347"/>
      <c r="BG1254" s="347"/>
      <c r="BH1254" s="347"/>
      <c r="BI1254" s="347"/>
      <c r="BJ1254" s="586"/>
      <c r="BK1254" s="581"/>
      <c r="BL1254" s="347"/>
      <c r="BM1254" s="347"/>
      <c r="BN1254" s="347"/>
      <c r="BO1254" s="586"/>
      <c r="BP1254" s="584"/>
      <c r="BQ1254" s="347"/>
      <c r="BR1254" s="586"/>
      <c r="BS1254" s="588"/>
      <c r="BT1254" s="586"/>
      <c r="BU1254" s="589"/>
      <c r="BV1254" s="581"/>
      <c r="BW1254" s="590"/>
      <c r="BX1254" s="347"/>
      <c r="BY1254" s="347"/>
      <c r="BZ1254" s="347"/>
      <c r="CA1254" s="586"/>
      <c r="CB1254" s="581"/>
      <c r="CC1254" s="581"/>
      <c r="CD1254" s="581"/>
      <c r="CE1254" s="581"/>
      <c r="CF1254" s="581"/>
      <c r="CG1254" s="586"/>
      <c r="CH1254" s="608"/>
      <c r="CI1254" s="603"/>
      <c r="CJ1254" s="347"/>
      <c r="CK1254" s="347"/>
      <c r="CL1254" s="347"/>
      <c r="CM1254" s="347"/>
      <c r="CN1254" s="347"/>
      <c r="CO1254" s="347"/>
      <c r="CP1254" s="347"/>
    </row>
    <row r="1255">
      <c r="A1255" s="574"/>
      <c r="B1255" s="574"/>
      <c r="C1255" s="347"/>
      <c r="D1255" s="574"/>
      <c r="E1255" s="347"/>
      <c r="F1255" s="596"/>
      <c r="G1255" s="596"/>
      <c r="H1255" s="347"/>
      <c r="I1255" s="347"/>
      <c r="J1255" s="596"/>
      <c r="K1255" s="609"/>
      <c r="L1255" s="1"/>
      <c r="M1255" s="347"/>
      <c r="N1255" s="347"/>
      <c r="O1255" s="579"/>
      <c r="P1255" s="579"/>
      <c r="Q1255" s="574"/>
      <c r="R1255" s="347"/>
      <c r="S1255" s="597"/>
      <c r="T1255" s="347"/>
      <c r="U1255" s="579"/>
      <c r="V1255" s="579"/>
      <c r="W1255" s="574"/>
      <c r="X1255" s="347"/>
      <c r="Y1255" s="347"/>
      <c r="Z1255" s="347"/>
      <c r="AA1255" s="579"/>
      <c r="AB1255" s="581"/>
      <c r="AC1255" s="347"/>
      <c r="AD1255" s="347"/>
      <c r="AE1255" s="347"/>
      <c r="AF1255" s="347"/>
      <c r="AG1255" s="579"/>
      <c r="AH1255" s="579"/>
      <c r="AI1255" s="582"/>
      <c r="AJ1255" s="582"/>
      <c r="AK1255" s="582"/>
      <c r="AL1255" s="582"/>
      <c r="AM1255" s="579"/>
      <c r="AN1255" s="579"/>
      <c r="AO1255" s="347"/>
      <c r="AP1255" s="586"/>
      <c r="AQ1255" s="596"/>
      <c r="AR1255" s="596"/>
      <c r="AS1255" s="348"/>
      <c r="AT1255" s="348"/>
      <c r="AU1255" s="348"/>
      <c r="AV1255" s="348"/>
      <c r="AW1255" s="348"/>
      <c r="AX1255" s="584"/>
      <c r="AY1255" s="581"/>
      <c r="AZ1255" s="581"/>
      <c r="BA1255" s="596"/>
      <c r="BB1255" s="596"/>
      <c r="BC1255" s="348"/>
      <c r="BD1255" s="581"/>
      <c r="BE1255" s="581"/>
      <c r="BF1255" s="347"/>
      <c r="BG1255" s="347"/>
      <c r="BH1255" s="347"/>
      <c r="BI1255" s="347"/>
      <c r="BJ1255" s="586"/>
      <c r="BK1255" s="581"/>
      <c r="BL1255" s="347"/>
      <c r="BM1255" s="347"/>
      <c r="BN1255" s="347"/>
      <c r="BO1255" s="586"/>
      <c r="BP1255" s="584"/>
      <c r="BQ1255" s="347"/>
      <c r="BR1255" s="586"/>
      <c r="BS1255" s="588"/>
      <c r="BT1255" s="586"/>
      <c r="BU1255" s="589"/>
      <c r="BV1255" s="581"/>
      <c r="BW1255" s="590"/>
      <c r="BX1255" s="347"/>
      <c r="BY1255" s="347"/>
      <c r="BZ1255" s="347"/>
      <c r="CA1255" s="586"/>
      <c r="CB1255" s="581"/>
      <c r="CC1255" s="581"/>
      <c r="CD1255" s="581"/>
      <c r="CE1255" s="581"/>
      <c r="CF1255" s="581"/>
      <c r="CG1255" s="586"/>
      <c r="CH1255" s="608"/>
      <c r="CI1255" s="603"/>
      <c r="CJ1255" s="347"/>
      <c r="CK1255" s="347"/>
      <c r="CL1255" s="347"/>
      <c r="CM1255" s="347"/>
      <c r="CN1255" s="347"/>
      <c r="CO1255" s="347"/>
      <c r="CP1255" s="347"/>
    </row>
    <row r="1256">
      <c r="A1256" s="574"/>
      <c r="B1256" s="574"/>
      <c r="C1256" s="347"/>
      <c r="D1256" s="574"/>
      <c r="E1256" s="347"/>
      <c r="F1256" s="596"/>
      <c r="G1256" s="596"/>
      <c r="H1256" s="347"/>
      <c r="I1256" s="347"/>
      <c r="J1256" s="596"/>
      <c r="K1256" s="609"/>
      <c r="L1256" s="1"/>
      <c r="M1256" s="347"/>
      <c r="N1256" s="347"/>
      <c r="O1256" s="579"/>
      <c r="P1256" s="579"/>
      <c r="Q1256" s="574"/>
      <c r="R1256" s="347"/>
      <c r="S1256" s="597"/>
      <c r="T1256" s="347"/>
      <c r="U1256" s="579"/>
      <c r="V1256" s="579"/>
      <c r="W1256" s="574"/>
      <c r="X1256" s="347"/>
      <c r="Y1256" s="347"/>
      <c r="Z1256" s="347"/>
      <c r="AA1256" s="579"/>
      <c r="AB1256" s="581"/>
      <c r="AC1256" s="347"/>
      <c r="AD1256" s="347"/>
      <c r="AE1256" s="347"/>
      <c r="AF1256" s="347"/>
      <c r="AG1256" s="579"/>
      <c r="AH1256" s="579"/>
      <c r="AI1256" s="582"/>
      <c r="AJ1256" s="582"/>
      <c r="AK1256" s="582"/>
      <c r="AL1256" s="582"/>
      <c r="AM1256" s="579"/>
      <c r="AN1256" s="579"/>
      <c r="AO1256" s="347"/>
      <c r="AP1256" s="586"/>
      <c r="AQ1256" s="596"/>
      <c r="AR1256" s="596"/>
      <c r="AS1256" s="348"/>
      <c r="AT1256" s="348"/>
      <c r="AU1256" s="348"/>
      <c r="AV1256" s="348"/>
      <c r="AW1256" s="348"/>
      <c r="AX1256" s="584"/>
      <c r="AY1256" s="581"/>
      <c r="AZ1256" s="581"/>
      <c r="BA1256" s="596"/>
      <c r="BB1256" s="596"/>
      <c r="BC1256" s="348"/>
      <c r="BD1256" s="581"/>
      <c r="BE1256" s="581"/>
      <c r="BF1256" s="347"/>
      <c r="BG1256" s="347"/>
      <c r="BH1256" s="347"/>
      <c r="BI1256" s="347"/>
      <c r="BJ1256" s="586"/>
      <c r="BK1256" s="581"/>
      <c r="BL1256" s="347"/>
      <c r="BM1256" s="347"/>
      <c r="BN1256" s="347"/>
      <c r="BO1256" s="586"/>
      <c r="BP1256" s="584"/>
      <c r="BQ1256" s="347"/>
      <c r="BR1256" s="586"/>
      <c r="BS1256" s="588"/>
      <c r="BT1256" s="586"/>
      <c r="BU1256" s="589"/>
      <c r="BV1256" s="581"/>
      <c r="BW1256" s="590"/>
      <c r="BX1256" s="347"/>
      <c r="BY1256" s="347"/>
      <c r="BZ1256" s="347"/>
      <c r="CA1256" s="586"/>
      <c r="CB1256" s="581"/>
      <c r="CC1256" s="581"/>
      <c r="CD1256" s="581"/>
      <c r="CE1256" s="581"/>
      <c r="CF1256" s="581"/>
      <c r="CG1256" s="586"/>
      <c r="CH1256" s="608"/>
      <c r="CI1256" s="603"/>
      <c r="CJ1256" s="347"/>
      <c r="CK1256" s="347"/>
      <c r="CL1256" s="347"/>
      <c r="CM1256" s="347"/>
      <c r="CN1256" s="347"/>
      <c r="CO1256" s="347"/>
      <c r="CP1256" s="347"/>
    </row>
    <row r="1257">
      <c r="A1257" s="574"/>
      <c r="B1257" s="574"/>
      <c r="C1257" s="347"/>
      <c r="D1257" s="574"/>
      <c r="E1257" s="347"/>
      <c r="F1257" s="596"/>
      <c r="G1257" s="596"/>
      <c r="H1257" s="347"/>
      <c r="I1257" s="347"/>
      <c r="J1257" s="596"/>
      <c r="K1257" s="609"/>
      <c r="L1257" s="1"/>
      <c r="M1257" s="347"/>
      <c r="N1257" s="347"/>
      <c r="O1257" s="579"/>
      <c r="P1257" s="579"/>
      <c r="Q1257" s="574"/>
      <c r="R1257" s="347"/>
      <c r="S1257" s="597"/>
      <c r="T1257" s="347"/>
      <c r="U1257" s="579"/>
      <c r="V1257" s="579"/>
      <c r="W1257" s="574"/>
      <c r="X1257" s="347"/>
      <c r="Y1257" s="347"/>
      <c r="Z1257" s="347"/>
      <c r="AA1257" s="579"/>
      <c r="AB1257" s="581"/>
      <c r="AC1257" s="347"/>
      <c r="AD1257" s="347"/>
      <c r="AE1257" s="347"/>
      <c r="AF1257" s="347"/>
      <c r="AG1257" s="579"/>
      <c r="AH1257" s="579"/>
      <c r="AI1257" s="582"/>
      <c r="AJ1257" s="582"/>
      <c r="AK1257" s="582"/>
      <c r="AL1257" s="582"/>
      <c r="AM1257" s="579"/>
      <c r="AN1257" s="579"/>
      <c r="AO1257" s="347"/>
      <c r="AP1257" s="586"/>
      <c r="AQ1257" s="596"/>
      <c r="AR1257" s="596"/>
      <c r="AS1257" s="348"/>
      <c r="AT1257" s="348"/>
      <c r="AU1257" s="348"/>
      <c r="AV1257" s="348"/>
      <c r="AW1257" s="348"/>
      <c r="AX1257" s="584"/>
      <c r="AY1257" s="581"/>
      <c r="AZ1257" s="581"/>
      <c r="BA1257" s="596"/>
      <c r="BB1257" s="596"/>
      <c r="BC1257" s="348"/>
      <c r="BD1257" s="581"/>
      <c r="BE1257" s="581"/>
      <c r="BF1257" s="347"/>
      <c r="BG1257" s="347"/>
      <c r="BH1257" s="347"/>
      <c r="BI1257" s="347"/>
      <c r="BJ1257" s="586"/>
      <c r="BK1257" s="581"/>
      <c r="BL1257" s="347"/>
      <c r="BM1257" s="347"/>
      <c r="BN1257" s="347"/>
      <c r="BO1257" s="586"/>
      <c r="BP1257" s="584"/>
      <c r="BQ1257" s="347"/>
      <c r="BR1257" s="586"/>
      <c r="BS1257" s="588"/>
      <c r="BT1257" s="586"/>
      <c r="BU1257" s="589"/>
      <c r="BV1257" s="581"/>
      <c r="BW1257" s="590"/>
      <c r="BX1257" s="347"/>
      <c r="BY1257" s="347"/>
      <c r="BZ1257" s="347"/>
      <c r="CA1257" s="586"/>
      <c r="CB1257" s="581"/>
      <c r="CC1257" s="581"/>
      <c r="CD1257" s="581"/>
      <c r="CE1257" s="581"/>
      <c r="CF1257" s="581"/>
      <c r="CG1257" s="586"/>
      <c r="CH1257" s="608"/>
      <c r="CI1257" s="603"/>
      <c r="CJ1257" s="347"/>
      <c r="CK1257" s="347"/>
      <c r="CL1257" s="347"/>
      <c r="CM1257" s="347"/>
      <c r="CN1257" s="347"/>
      <c r="CO1257" s="347"/>
      <c r="CP1257" s="347"/>
    </row>
    <row r="1258">
      <c r="A1258" s="574"/>
      <c r="B1258" s="574"/>
      <c r="C1258" s="347"/>
      <c r="D1258" s="574"/>
      <c r="E1258" s="347"/>
      <c r="F1258" s="596"/>
      <c r="G1258" s="596"/>
      <c r="H1258" s="347"/>
      <c r="I1258" s="347"/>
      <c r="J1258" s="596"/>
      <c r="K1258" s="609"/>
      <c r="L1258" s="1"/>
      <c r="M1258" s="347"/>
      <c r="N1258" s="347"/>
      <c r="O1258" s="579"/>
      <c r="P1258" s="579"/>
      <c r="Q1258" s="574"/>
      <c r="R1258" s="347"/>
      <c r="S1258" s="597"/>
      <c r="T1258" s="347"/>
      <c r="U1258" s="579"/>
      <c r="V1258" s="579"/>
      <c r="W1258" s="574"/>
      <c r="X1258" s="347"/>
      <c r="Y1258" s="347"/>
      <c r="Z1258" s="347"/>
      <c r="AA1258" s="579"/>
      <c r="AB1258" s="581"/>
      <c r="AC1258" s="347"/>
      <c r="AD1258" s="347"/>
      <c r="AE1258" s="347"/>
      <c r="AF1258" s="347"/>
      <c r="AG1258" s="579"/>
      <c r="AH1258" s="579"/>
      <c r="AI1258" s="582"/>
      <c r="AJ1258" s="582"/>
      <c r="AK1258" s="582"/>
      <c r="AL1258" s="582"/>
      <c r="AM1258" s="579"/>
      <c r="AN1258" s="579"/>
      <c r="AO1258" s="347"/>
      <c r="AP1258" s="586"/>
      <c r="AQ1258" s="596"/>
      <c r="AR1258" s="596"/>
      <c r="AS1258" s="348"/>
      <c r="AT1258" s="348"/>
      <c r="AU1258" s="348"/>
      <c r="AV1258" s="348"/>
      <c r="AW1258" s="348"/>
      <c r="AX1258" s="584"/>
      <c r="AY1258" s="581"/>
      <c r="AZ1258" s="581"/>
      <c r="BA1258" s="596"/>
      <c r="BB1258" s="596"/>
      <c r="BC1258" s="348"/>
      <c r="BD1258" s="581"/>
      <c r="BE1258" s="581"/>
      <c r="BF1258" s="347"/>
      <c r="BG1258" s="347"/>
      <c r="BH1258" s="347"/>
      <c r="BI1258" s="347"/>
      <c r="BJ1258" s="586"/>
      <c r="BK1258" s="581"/>
      <c r="BL1258" s="347"/>
      <c r="BM1258" s="347"/>
      <c r="BN1258" s="347"/>
      <c r="BO1258" s="586"/>
      <c r="BP1258" s="584"/>
      <c r="BQ1258" s="347"/>
      <c r="BR1258" s="586"/>
      <c r="BS1258" s="588"/>
      <c r="BT1258" s="586"/>
      <c r="BU1258" s="589"/>
      <c r="BV1258" s="581"/>
      <c r="BW1258" s="590"/>
      <c r="BX1258" s="347"/>
      <c r="BY1258" s="347"/>
      <c r="BZ1258" s="347"/>
      <c r="CA1258" s="586"/>
      <c r="CB1258" s="581"/>
      <c r="CC1258" s="581"/>
      <c r="CD1258" s="581"/>
      <c r="CE1258" s="581"/>
      <c r="CF1258" s="581"/>
      <c r="CG1258" s="586"/>
      <c r="CH1258" s="608"/>
      <c r="CI1258" s="603"/>
      <c r="CJ1258" s="347"/>
      <c r="CK1258" s="347"/>
      <c r="CL1258" s="347"/>
      <c r="CM1258" s="347"/>
      <c r="CN1258" s="347"/>
      <c r="CO1258" s="347"/>
      <c r="CP1258" s="347"/>
    </row>
    <row r="1259">
      <c r="A1259" s="574"/>
      <c r="B1259" s="574"/>
      <c r="C1259" s="347"/>
      <c r="D1259" s="574"/>
      <c r="E1259" s="347"/>
      <c r="F1259" s="596"/>
      <c r="G1259" s="596"/>
      <c r="H1259" s="347"/>
      <c r="I1259" s="347"/>
      <c r="J1259" s="596"/>
      <c r="K1259" s="609"/>
      <c r="L1259" s="1"/>
      <c r="M1259" s="347"/>
      <c r="N1259" s="347"/>
      <c r="O1259" s="579"/>
      <c r="P1259" s="579"/>
      <c r="Q1259" s="574"/>
      <c r="R1259" s="347"/>
      <c r="S1259" s="597"/>
      <c r="T1259" s="347"/>
      <c r="U1259" s="579"/>
      <c r="V1259" s="579"/>
      <c r="W1259" s="574"/>
      <c r="X1259" s="347"/>
      <c r="Y1259" s="347"/>
      <c r="Z1259" s="347"/>
      <c r="AA1259" s="579"/>
      <c r="AB1259" s="581"/>
      <c r="AC1259" s="347"/>
      <c r="AD1259" s="347"/>
      <c r="AE1259" s="347"/>
      <c r="AF1259" s="347"/>
      <c r="AG1259" s="579"/>
      <c r="AH1259" s="579"/>
      <c r="AI1259" s="582"/>
      <c r="AJ1259" s="582"/>
      <c r="AK1259" s="582"/>
      <c r="AL1259" s="582"/>
      <c r="AM1259" s="579"/>
      <c r="AN1259" s="579"/>
      <c r="AO1259" s="347"/>
      <c r="AP1259" s="586"/>
      <c r="AQ1259" s="596"/>
      <c r="AR1259" s="596"/>
      <c r="AS1259" s="348"/>
      <c r="AT1259" s="348"/>
      <c r="AU1259" s="348"/>
      <c r="AV1259" s="348"/>
      <c r="AW1259" s="348"/>
      <c r="AX1259" s="584"/>
      <c r="AY1259" s="581"/>
      <c r="AZ1259" s="581"/>
      <c r="BA1259" s="596"/>
      <c r="BB1259" s="596"/>
      <c r="BC1259" s="348"/>
      <c r="BD1259" s="581"/>
      <c r="BE1259" s="581"/>
      <c r="BF1259" s="347"/>
      <c r="BG1259" s="347"/>
      <c r="BH1259" s="347"/>
      <c r="BI1259" s="347"/>
      <c r="BJ1259" s="586"/>
      <c r="BK1259" s="581"/>
      <c r="BL1259" s="347"/>
      <c r="BM1259" s="347"/>
      <c r="BN1259" s="347"/>
      <c r="BO1259" s="586"/>
      <c r="BP1259" s="584"/>
      <c r="BQ1259" s="347"/>
      <c r="BR1259" s="586"/>
      <c r="BS1259" s="588"/>
      <c r="BT1259" s="586"/>
      <c r="BU1259" s="589"/>
      <c r="BV1259" s="581"/>
      <c r="BW1259" s="590"/>
      <c r="BX1259" s="347"/>
      <c r="BY1259" s="347"/>
      <c r="BZ1259" s="347"/>
      <c r="CA1259" s="586"/>
      <c r="CB1259" s="581"/>
      <c r="CC1259" s="581"/>
      <c r="CD1259" s="581"/>
      <c r="CE1259" s="581"/>
      <c r="CF1259" s="581"/>
      <c r="CG1259" s="586"/>
      <c r="CH1259" s="608"/>
      <c r="CI1259" s="603"/>
      <c r="CJ1259" s="347"/>
      <c r="CK1259" s="347"/>
      <c r="CL1259" s="347"/>
      <c r="CM1259" s="347"/>
      <c r="CN1259" s="347"/>
      <c r="CO1259" s="347"/>
      <c r="CP1259" s="347"/>
    </row>
    <row r="1260">
      <c r="A1260" s="574"/>
      <c r="B1260" s="574"/>
      <c r="C1260" s="347"/>
      <c r="D1260" s="574"/>
      <c r="E1260" s="347"/>
      <c r="F1260" s="596"/>
      <c r="G1260" s="596"/>
      <c r="H1260" s="347"/>
      <c r="I1260" s="347"/>
      <c r="J1260" s="596"/>
      <c r="K1260" s="609"/>
      <c r="L1260" s="1"/>
      <c r="M1260" s="347"/>
      <c r="N1260" s="347"/>
      <c r="O1260" s="579"/>
      <c r="P1260" s="579"/>
      <c r="Q1260" s="574"/>
      <c r="R1260" s="347"/>
      <c r="S1260" s="597"/>
      <c r="T1260" s="347"/>
      <c r="U1260" s="579"/>
      <c r="V1260" s="579"/>
      <c r="W1260" s="574"/>
      <c r="X1260" s="347"/>
      <c r="Y1260" s="347"/>
      <c r="Z1260" s="347"/>
      <c r="AA1260" s="579"/>
      <c r="AB1260" s="581"/>
      <c r="AC1260" s="347"/>
      <c r="AD1260" s="347"/>
      <c r="AE1260" s="347"/>
      <c r="AF1260" s="347"/>
      <c r="AG1260" s="579"/>
      <c r="AH1260" s="579"/>
      <c r="AI1260" s="582"/>
      <c r="AJ1260" s="582"/>
      <c r="AK1260" s="582"/>
      <c r="AL1260" s="582"/>
      <c r="AM1260" s="579"/>
      <c r="AN1260" s="579"/>
      <c r="AO1260" s="347"/>
      <c r="AP1260" s="586"/>
      <c r="AQ1260" s="596"/>
      <c r="AR1260" s="596"/>
      <c r="AS1260" s="348"/>
      <c r="AT1260" s="348"/>
      <c r="AU1260" s="348"/>
      <c r="AV1260" s="348"/>
      <c r="AW1260" s="348"/>
      <c r="AX1260" s="584"/>
      <c r="AY1260" s="581"/>
      <c r="AZ1260" s="581"/>
      <c r="BA1260" s="596"/>
      <c r="BB1260" s="596"/>
      <c r="BC1260" s="348"/>
      <c r="BD1260" s="581"/>
      <c r="BE1260" s="581"/>
      <c r="BF1260" s="347"/>
      <c r="BG1260" s="347"/>
      <c r="BH1260" s="347"/>
      <c r="BI1260" s="347"/>
      <c r="BJ1260" s="586"/>
      <c r="BK1260" s="581"/>
      <c r="BL1260" s="347"/>
      <c r="BM1260" s="347"/>
      <c r="BN1260" s="347"/>
      <c r="BO1260" s="586"/>
      <c r="BP1260" s="584"/>
      <c r="BQ1260" s="347"/>
      <c r="BR1260" s="586"/>
      <c r="BS1260" s="588"/>
      <c r="BT1260" s="586"/>
      <c r="BU1260" s="589"/>
      <c r="BV1260" s="581"/>
      <c r="BW1260" s="590"/>
      <c r="BX1260" s="347"/>
      <c r="BY1260" s="347"/>
      <c r="BZ1260" s="347"/>
      <c r="CA1260" s="586"/>
      <c r="CB1260" s="581"/>
      <c r="CC1260" s="581"/>
      <c r="CD1260" s="581"/>
      <c r="CE1260" s="581"/>
      <c r="CF1260" s="581"/>
      <c r="CG1260" s="586"/>
      <c r="CH1260" s="608"/>
      <c r="CI1260" s="603"/>
      <c r="CJ1260" s="347"/>
      <c r="CK1260" s="347"/>
      <c r="CL1260" s="347"/>
      <c r="CM1260" s="347"/>
      <c r="CN1260" s="347"/>
      <c r="CO1260" s="347"/>
      <c r="CP1260" s="347"/>
    </row>
    <row r="1261">
      <c r="A1261" s="574"/>
      <c r="B1261" s="574"/>
      <c r="C1261" s="347"/>
      <c r="D1261" s="574"/>
      <c r="E1261" s="347"/>
      <c r="F1261" s="596"/>
      <c r="G1261" s="596"/>
      <c r="H1261" s="347"/>
      <c r="I1261" s="347"/>
      <c r="J1261" s="596"/>
      <c r="K1261" s="609"/>
      <c r="L1261" s="1"/>
      <c r="M1261" s="347"/>
      <c r="N1261" s="347"/>
      <c r="O1261" s="579"/>
      <c r="P1261" s="579"/>
      <c r="Q1261" s="574"/>
      <c r="R1261" s="347"/>
      <c r="S1261" s="597"/>
      <c r="T1261" s="347"/>
      <c r="U1261" s="579"/>
      <c r="V1261" s="579"/>
      <c r="W1261" s="574"/>
      <c r="X1261" s="347"/>
      <c r="Y1261" s="347"/>
      <c r="Z1261" s="347"/>
      <c r="AA1261" s="579"/>
      <c r="AB1261" s="581"/>
      <c r="AC1261" s="347"/>
      <c r="AD1261" s="347"/>
      <c r="AE1261" s="347"/>
      <c r="AF1261" s="347"/>
      <c r="AG1261" s="579"/>
      <c r="AH1261" s="579"/>
      <c r="AI1261" s="582"/>
      <c r="AJ1261" s="582"/>
      <c r="AK1261" s="582"/>
      <c r="AL1261" s="582"/>
      <c r="AM1261" s="579"/>
      <c r="AN1261" s="579"/>
      <c r="AO1261" s="347"/>
      <c r="AP1261" s="586"/>
      <c r="AQ1261" s="596"/>
      <c r="AR1261" s="596"/>
      <c r="AS1261" s="348"/>
      <c r="AT1261" s="348"/>
      <c r="AU1261" s="348"/>
      <c r="AV1261" s="348"/>
      <c r="AW1261" s="348"/>
      <c r="AX1261" s="584"/>
      <c r="AY1261" s="581"/>
      <c r="AZ1261" s="581"/>
      <c r="BA1261" s="596"/>
      <c r="BB1261" s="596"/>
      <c r="BC1261" s="348"/>
      <c r="BD1261" s="581"/>
      <c r="BE1261" s="581"/>
      <c r="BF1261" s="347"/>
      <c r="BG1261" s="347"/>
      <c r="BH1261" s="347"/>
      <c r="BI1261" s="347"/>
      <c r="BJ1261" s="586"/>
      <c r="BK1261" s="581"/>
      <c r="BL1261" s="347"/>
      <c r="BM1261" s="347"/>
      <c r="BN1261" s="347"/>
      <c r="BO1261" s="586"/>
      <c r="BP1261" s="584"/>
      <c r="BQ1261" s="347"/>
      <c r="BR1261" s="586"/>
      <c r="BS1261" s="588"/>
      <c r="BT1261" s="586"/>
      <c r="BU1261" s="589"/>
      <c r="BV1261" s="581"/>
      <c r="BW1261" s="590"/>
      <c r="BX1261" s="347"/>
      <c r="BY1261" s="347"/>
      <c r="BZ1261" s="347"/>
      <c r="CA1261" s="586"/>
      <c r="CB1261" s="581"/>
      <c r="CC1261" s="581"/>
      <c r="CD1261" s="581"/>
      <c r="CE1261" s="581"/>
      <c r="CF1261" s="581"/>
      <c r="CG1261" s="586"/>
      <c r="CH1261" s="608"/>
      <c r="CI1261" s="603"/>
      <c r="CJ1261" s="347"/>
      <c r="CK1261" s="347"/>
      <c r="CL1261" s="347"/>
      <c r="CM1261" s="347"/>
      <c r="CN1261" s="347"/>
      <c r="CO1261" s="347"/>
      <c r="CP1261" s="347"/>
    </row>
    <row r="1262">
      <c r="A1262" s="574"/>
      <c r="B1262" s="574"/>
      <c r="C1262" s="347"/>
      <c r="D1262" s="574"/>
      <c r="E1262" s="347"/>
      <c r="F1262" s="596"/>
      <c r="G1262" s="596"/>
      <c r="H1262" s="347"/>
      <c r="I1262" s="347"/>
      <c r="J1262" s="596"/>
      <c r="K1262" s="609"/>
      <c r="L1262" s="1"/>
      <c r="M1262" s="347"/>
      <c r="N1262" s="347"/>
      <c r="O1262" s="579"/>
      <c r="P1262" s="579"/>
      <c r="Q1262" s="574"/>
      <c r="R1262" s="347"/>
      <c r="S1262" s="597"/>
      <c r="T1262" s="347"/>
      <c r="U1262" s="579"/>
      <c r="V1262" s="579"/>
      <c r="W1262" s="574"/>
      <c r="X1262" s="347"/>
      <c r="Y1262" s="347"/>
      <c r="Z1262" s="347"/>
      <c r="AA1262" s="579"/>
      <c r="AB1262" s="581"/>
      <c r="AC1262" s="347"/>
      <c r="AD1262" s="347"/>
      <c r="AE1262" s="347"/>
      <c r="AF1262" s="347"/>
      <c r="AG1262" s="579"/>
      <c r="AH1262" s="579"/>
      <c r="AI1262" s="582"/>
      <c r="AJ1262" s="582"/>
      <c r="AK1262" s="582"/>
      <c r="AL1262" s="582"/>
      <c r="AM1262" s="579"/>
      <c r="AN1262" s="579"/>
      <c r="AO1262" s="347"/>
      <c r="AP1262" s="586"/>
      <c r="AQ1262" s="596"/>
      <c r="AR1262" s="596"/>
      <c r="AS1262" s="348"/>
      <c r="AT1262" s="348"/>
      <c r="AU1262" s="348"/>
      <c r="AV1262" s="348"/>
      <c r="AW1262" s="348"/>
      <c r="AX1262" s="584"/>
      <c r="AY1262" s="581"/>
      <c r="AZ1262" s="581"/>
      <c r="BA1262" s="596"/>
      <c r="BB1262" s="596"/>
      <c r="BC1262" s="348"/>
      <c r="BD1262" s="581"/>
      <c r="BE1262" s="581"/>
      <c r="BF1262" s="347"/>
      <c r="BG1262" s="347"/>
      <c r="BH1262" s="347"/>
      <c r="BI1262" s="347"/>
      <c r="BJ1262" s="586"/>
      <c r="BK1262" s="581"/>
      <c r="BL1262" s="347"/>
      <c r="BM1262" s="347"/>
      <c r="BN1262" s="347"/>
      <c r="BO1262" s="586"/>
      <c r="BP1262" s="584"/>
      <c r="BQ1262" s="347"/>
      <c r="BR1262" s="586"/>
      <c r="BS1262" s="588"/>
      <c r="BT1262" s="586"/>
      <c r="BU1262" s="589"/>
      <c r="BV1262" s="581"/>
      <c r="BW1262" s="590"/>
      <c r="BX1262" s="347"/>
      <c r="BY1262" s="347"/>
      <c r="BZ1262" s="347"/>
      <c r="CA1262" s="586"/>
      <c r="CB1262" s="581"/>
      <c r="CC1262" s="581"/>
      <c r="CD1262" s="581"/>
      <c r="CE1262" s="581"/>
      <c r="CF1262" s="581"/>
      <c r="CG1262" s="586"/>
      <c r="CH1262" s="608"/>
      <c r="CI1262" s="603"/>
      <c r="CJ1262" s="347"/>
      <c r="CK1262" s="347"/>
      <c r="CL1262" s="347"/>
      <c r="CM1262" s="347"/>
      <c r="CN1262" s="347"/>
      <c r="CO1262" s="347"/>
      <c r="CP1262" s="347"/>
    </row>
    <row r="1263">
      <c r="A1263" s="574"/>
      <c r="B1263" s="574"/>
      <c r="C1263" s="347"/>
      <c r="D1263" s="574"/>
      <c r="E1263" s="347"/>
      <c r="F1263" s="596"/>
      <c r="G1263" s="596"/>
      <c r="H1263" s="347"/>
      <c r="I1263" s="347"/>
      <c r="J1263" s="596"/>
      <c r="K1263" s="609"/>
      <c r="L1263" s="1"/>
      <c r="M1263" s="347"/>
      <c r="N1263" s="347"/>
      <c r="O1263" s="579"/>
      <c r="P1263" s="579"/>
      <c r="Q1263" s="574"/>
      <c r="R1263" s="347"/>
      <c r="S1263" s="597"/>
      <c r="T1263" s="347"/>
      <c r="U1263" s="579"/>
      <c r="V1263" s="579"/>
      <c r="W1263" s="574"/>
      <c r="X1263" s="347"/>
      <c r="Y1263" s="347"/>
      <c r="Z1263" s="347"/>
      <c r="AA1263" s="579"/>
      <c r="AB1263" s="581"/>
      <c r="AC1263" s="347"/>
      <c r="AD1263" s="347"/>
      <c r="AE1263" s="347"/>
      <c r="AF1263" s="347"/>
      <c r="AG1263" s="579"/>
      <c r="AH1263" s="579"/>
      <c r="AI1263" s="582"/>
      <c r="AJ1263" s="582"/>
      <c r="AK1263" s="582"/>
      <c r="AL1263" s="582"/>
      <c r="AM1263" s="579"/>
      <c r="AN1263" s="579"/>
      <c r="AO1263" s="347"/>
      <c r="AP1263" s="586"/>
      <c r="AQ1263" s="596"/>
      <c r="AR1263" s="596"/>
      <c r="AS1263" s="348"/>
      <c r="AT1263" s="348"/>
      <c r="AU1263" s="348"/>
      <c r="AV1263" s="348"/>
      <c r="AW1263" s="348"/>
      <c r="AX1263" s="584"/>
      <c r="AY1263" s="581"/>
      <c r="AZ1263" s="581"/>
      <c r="BA1263" s="596"/>
      <c r="BB1263" s="596"/>
      <c r="BC1263" s="348"/>
      <c r="BD1263" s="581"/>
      <c r="BE1263" s="581"/>
      <c r="BF1263" s="347"/>
      <c r="BG1263" s="347"/>
      <c r="BH1263" s="347"/>
      <c r="BI1263" s="347"/>
      <c r="BJ1263" s="586"/>
      <c r="BK1263" s="581"/>
      <c r="BL1263" s="347"/>
      <c r="BM1263" s="347"/>
      <c r="BN1263" s="347"/>
      <c r="BO1263" s="586"/>
      <c r="BP1263" s="584"/>
      <c r="BQ1263" s="347"/>
      <c r="BR1263" s="586"/>
      <c r="BS1263" s="588"/>
      <c r="BT1263" s="586"/>
      <c r="BU1263" s="589"/>
      <c r="BV1263" s="581"/>
      <c r="BW1263" s="590"/>
      <c r="BX1263" s="347"/>
      <c r="BY1263" s="347"/>
      <c r="BZ1263" s="347"/>
      <c r="CA1263" s="586"/>
      <c r="CB1263" s="581"/>
      <c r="CC1263" s="581"/>
      <c r="CD1263" s="581"/>
      <c r="CE1263" s="581"/>
      <c r="CF1263" s="581"/>
      <c r="CG1263" s="586"/>
      <c r="CH1263" s="608"/>
      <c r="CI1263" s="603"/>
      <c r="CJ1263" s="347"/>
      <c r="CK1263" s="347"/>
      <c r="CL1263" s="347"/>
      <c r="CM1263" s="347"/>
      <c r="CN1263" s="347"/>
      <c r="CO1263" s="347"/>
      <c r="CP1263" s="347"/>
    </row>
    <row r="1264">
      <c r="A1264" s="574"/>
      <c r="B1264" s="574"/>
      <c r="C1264" s="347"/>
      <c r="D1264" s="574"/>
      <c r="E1264" s="347"/>
      <c r="F1264" s="596"/>
      <c r="G1264" s="596"/>
      <c r="H1264" s="347"/>
      <c r="I1264" s="347"/>
      <c r="J1264" s="596"/>
      <c r="K1264" s="609"/>
      <c r="L1264" s="1"/>
      <c r="M1264" s="347"/>
      <c r="N1264" s="347"/>
      <c r="O1264" s="579"/>
      <c r="P1264" s="579"/>
      <c r="Q1264" s="574"/>
      <c r="R1264" s="347"/>
      <c r="S1264" s="597"/>
      <c r="T1264" s="347"/>
      <c r="U1264" s="579"/>
      <c r="V1264" s="579"/>
      <c r="W1264" s="574"/>
      <c r="X1264" s="347"/>
      <c r="Y1264" s="347"/>
      <c r="Z1264" s="347"/>
      <c r="AA1264" s="579"/>
      <c r="AB1264" s="581"/>
      <c r="AC1264" s="347"/>
      <c r="AD1264" s="347"/>
      <c r="AE1264" s="347"/>
      <c r="AF1264" s="347"/>
      <c r="AG1264" s="579"/>
      <c r="AH1264" s="579"/>
      <c r="AI1264" s="582"/>
      <c r="AJ1264" s="582"/>
      <c r="AK1264" s="582"/>
      <c r="AL1264" s="582"/>
      <c r="AM1264" s="579"/>
      <c r="AN1264" s="579"/>
      <c r="AO1264" s="347"/>
      <c r="AP1264" s="586"/>
      <c r="AQ1264" s="596"/>
      <c r="AR1264" s="596"/>
      <c r="AS1264" s="348"/>
      <c r="AT1264" s="348"/>
      <c r="AU1264" s="348"/>
      <c r="AV1264" s="348"/>
      <c r="AW1264" s="348"/>
      <c r="AX1264" s="584"/>
      <c r="AY1264" s="581"/>
      <c r="AZ1264" s="581"/>
      <c r="BA1264" s="596"/>
      <c r="BB1264" s="596"/>
      <c r="BC1264" s="348"/>
      <c r="BD1264" s="581"/>
      <c r="BE1264" s="581"/>
      <c r="BF1264" s="347"/>
      <c r="BG1264" s="347"/>
      <c r="BH1264" s="347"/>
      <c r="BI1264" s="347"/>
      <c r="BJ1264" s="586"/>
      <c r="BK1264" s="581"/>
      <c r="BL1264" s="347"/>
      <c r="BM1264" s="347"/>
      <c r="BN1264" s="347"/>
      <c r="BO1264" s="586"/>
      <c r="BP1264" s="584"/>
      <c r="BQ1264" s="347"/>
      <c r="BR1264" s="586"/>
      <c r="BS1264" s="588"/>
      <c r="BT1264" s="586"/>
      <c r="BU1264" s="589"/>
      <c r="BV1264" s="581"/>
      <c r="BW1264" s="590"/>
      <c r="BX1264" s="347"/>
      <c r="BY1264" s="347"/>
      <c r="BZ1264" s="347"/>
      <c r="CA1264" s="586"/>
      <c r="CB1264" s="581"/>
      <c r="CC1264" s="581"/>
      <c r="CD1264" s="581"/>
      <c r="CE1264" s="581"/>
      <c r="CF1264" s="581"/>
      <c r="CG1264" s="586"/>
      <c r="CH1264" s="608"/>
      <c r="CI1264" s="603"/>
      <c r="CJ1264" s="347"/>
      <c r="CK1264" s="347"/>
      <c r="CL1264" s="347"/>
      <c r="CM1264" s="347"/>
      <c r="CN1264" s="347"/>
      <c r="CO1264" s="347"/>
      <c r="CP1264" s="347"/>
    </row>
    <row r="1265">
      <c r="A1265" s="574"/>
      <c r="B1265" s="574"/>
      <c r="C1265" s="347"/>
      <c r="D1265" s="574"/>
      <c r="E1265" s="347"/>
      <c r="F1265" s="596"/>
      <c r="G1265" s="596"/>
      <c r="H1265" s="347"/>
      <c r="I1265" s="347"/>
      <c r="J1265" s="596"/>
      <c r="K1265" s="609"/>
      <c r="L1265" s="1"/>
      <c r="M1265" s="347"/>
      <c r="N1265" s="347"/>
      <c r="O1265" s="579"/>
      <c r="P1265" s="579"/>
      <c r="Q1265" s="574"/>
      <c r="R1265" s="347"/>
      <c r="S1265" s="597"/>
      <c r="T1265" s="347"/>
      <c r="U1265" s="579"/>
      <c r="V1265" s="579"/>
      <c r="W1265" s="574"/>
      <c r="X1265" s="347"/>
      <c r="Y1265" s="347"/>
      <c r="Z1265" s="347"/>
      <c r="AA1265" s="579"/>
      <c r="AB1265" s="581"/>
      <c r="AC1265" s="347"/>
      <c r="AD1265" s="347"/>
      <c r="AE1265" s="347"/>
      <c r="AF1265" s="347"/>
      <c r="AG1265" s="579"/>
      <c r="AH1265" s="579"/>
      <c r="AI1265" s="582"/>
      <c r="AJ1265" s="582"/>
      <c r="AK1265" s="582"/>
      <c r="AL1265" s="582"/>
      <c r="AM1265" s="579"/>
      <c r="AN1265" s="579"/>
      <c r="AO1265" s="347"/>
      <c r="AP1265" s="586"/>
      <c r="AQ1265" s="596"/>
      <c r="AR1265" s="596"/>
      <c r="AS1265" s="348"/>
      <c r="AT1265" s="348"/>
      <c r="AU1265" s="348"/>
      <c r="AV1265" s="348"/>
      <c r="AW1265" s="348"/>
      <c r="AX1265" s="584"/>
      <c r="AY1265" s="581"/>
      <c r="AZ1265" s="581"/>
      <c r="BA1265" s="596"/>
      <c r="BB1265" s="596"/>
      <c r="BC1265" s="348"/>
      <c r="BD1265" s="581"/>
      <c r="BE1265" s="581"/>
      <c r="BF1265" s="347"/>
      <c r="BG1265" s="347"/>
      <c r="BH1265" s="347"/>
      <c r="BI1265" s="347"/>
      <c r="BJ1265" s="586"/>
      <c r="BK1265" s="581"/>
      <c r="BL1265" s="347"/>
      <c r="BM1265" s="347"/>
      <c r="BN1265" s="347"/>
      <c r="BO1265" s="586"/>
      <c r="BP1265" s="584"/>
      <c r="BQ1265" s="347"/>
      <c r="BR1265" s="586"/>
      <c r="BS1265" s="588"/>
      <c r="BT1265" s="586"/>
      <c r="BU1265" s="589"/>
      <c r="BV1265" s="581"/>
      <c r="BW1265" s="590"/>
      <c r="BX1265" s="347"/>
      <c r="BY1265" s="347"/>
      <c r="BZ1265" s="347"/>
      <c r="CA1265" s="586"/>
      <c r="CB1265" s="581"/>
      <c r="CC1265" s="581"/>
      <c r="CD1265" s="581"/>
      <c r="CE1265" s="581"/>
      <c r="CF1265" s="581"/>
      <c r="CG1265" s="586"/>
      <c r="CH1265" s="608"/>
      <c r="CI1265" s="603"/>
      <c r="CJ1265" s="347"/>
      <c r="CK1265" s="347"/>
      <c r="CL1265" s="347"/>
      <c r="CM1265" s="347"/>
      <c r="CN1265" s="347"/>
      <c r="CO1265" s="347"/>
      <c r="CP1265" s="347"/>
    </row>
    <row r="1266">
      <c r="A1266" s="574"/>
      <c r="B1266" s="574"/>
      <c r="C1266" s="347"/>
      <c r="D1266" s="574"/>
      <c r="E1266" s="347"/>
      <c r="F1266" s="596"/>
      <c r="G1266" s="596"/>
      <c r="H1266" s="347"/>
      <c r="I1266" s="347"/>
      <c r="J1266" s="596"/>
      <c r="K1266" s="609"/>
      <c r="L1266" s="1"/>
      <c r="M1266" s="347"/>
      <c r="N1266" s="347"/>
      <c r="O1266" s="579"/>
      <c r="P1266" s="579"/>
      <c r="Q1266" s="574"/>
      <c r="R1266" s="347"/>
      <c r="S1266" s="597"/>
      <c r="T1266" s="347"/>
      <c r="U1266" s="579"/>
      <c r="V1266" s="579"/>
      <c r="W1266" s="574"/>
      <c r="X1266" s="347"/>
      <c r="Y1266" s="347"/>
      <c r="Z1266" s="347"/>
      <c r="AA1266" s="579"/>
      <c r="AB1266" s="581"/>
      <c r="AC1266" s="347"/>
      <c r="AD1266" s="347"/>
      <c r="AE1266" s="347"/>
      <c r="AF1266" s="347"/>
      <c r="AG1266" s="579"/>
      <c r="AH1266" s="579"/>
      <c r="AI1266" s="582"/>
      <c r="AJ1266" s="582"/>
      <c r="AK1266" s="582"/>
      <c r="AL1266" s="582"/>
      <c r="AM1266" s="579"/>
      <c r="AN1266" s="579"/>
      <c r="AO1266" s="347"/>
      <c r="AP1266" s="586"/>
      <c r="AQ1266" s="596"/>
      <c r="AR1266" s="596"/>
      <c r="AS1266" s="348"/>
      <c r="AT1266" s="348"/>
      <c r="AU1266" s="348"/>
      <c r="AV1266" s="348"/>
      <c r="AW1266" s="348"/>
      <c r="AX1266" s="584"/>
      <c r="AY1266" s="581"/>
      <c r="AZ1266" s="581"/>
      <c r="BA1266" s="596"/>
      <c r="BB1266" s="596"/>
      <c r="BC1266" s="348"/>
      <c r="BD1266" s="581"/>
      <c r="BE1266" s="581"/>
      <c r="BF1266" s="347"/>
      <c r="BG1266" s="347"/>
      <c r="BH1266" s="347"/>
      <c r="BI1266" s="347"/>
      <c r="BJ1266" s="586"/>
      <c r="BK1266" s="581"/>
      <c r="BL1266" s="347"/>
      <c r="BM1266" s="347"/>
      <c r="BN1266" s="347"/>
      <c r="BO1266" s="586"/>
      <c r="BP1266" s="584"/>
      <c r="BQ1266" s="347"/>
      <c r="BR1266" s="586"/>
      <c r="BS1266" s="588"/>
      <c r="BT1266" s="586"/>
      <c r="BU1266" s="589"/>
      <c r="BV1266" s="581"/>
      <c r="BW1266" s="590"/>
      <c r="BX1266" s="347"/>
      <c r="BY1266" s="347"/>
      <c r="BZ1266" s="347"/>
      <c r="CA1266" s="586"/>
      <c r="CB1266" s="581"/>
      <c r="CC1266" s="581"/>
      <c r="CD1266" s="581"/>
      <c r="CE1266" s="581"/>
      <c r="CF1266" s="581"/>
      <c r="CG1266" s="586"/>
      <c r="CH1266" s="608"/>
      <c r="CI1266" s="603"/>
      <c r="CJ1266" s="347"/>
      <c r="CK1266" s="347"/>
      <c r="CL1266" s="347"/>
      <c r="CM1266" s="347"/>
      <c r="CN1266" s="347"/>
      <c r="CO1266" s="347"/>
      <c r="CP1266" s="347"/>
    </row>
    <row r="1267">
      <c r="A1267" s="574"/>
      <c r="B1267" s="574"/>
      <c r="C1267" s="347"/>
      <c r="D1267" s="574"/>
      <c r="E1267" s="347"/>
      <c r="F1267" s="596"/>
      <c r="G1267" s="596"/>
      <c r="H1267" s="347"/>
      <c r="I1267" s="347"/>
      <c r="J1267" s="596"/>
      <c r="K1267" s="609"/>
      <c r="L1267" s="1"/>
      <c r="M1267" s="347"/>
      <c r="N1267" s="347"/>
      <c r="O1267" s="579"/>
      <c r="P1267" s="579"/>
      <c r="Q1267" s="574"/>
      <c r="R1267" s="347"/>
      <c r="S1267" s="597"/>
      <c r="T1267" s="347"/>
      <c r="U1267" s="579"/>
      <c r="V1267" s="579"/>
      <c r="W1267" s="574"/>
      <c r="X1267" s="347"/>
      <c r="Y1267" s="347"/>
      <c r="Z1267" s="347"/>
      <c r="AA1267" s="579"/>
      <c r="AB1267" s="581"/>
      <c r="AC1267" s="347"/>
      <c r="AD1267" s="347"/>
      <c r="AE1267" s="347"/>
      <c r="AF1267" s="347"/>
      <c r="AG1267" s="579"/>
      <c r="AH1267" s="579"/>
      <c r="AI1267" s="582"/>
      <c r="AJ1267" s="582"/>
      <c r="AK1267" s="582"/>
      <c r="AL1267" s="582"/>
      <c r="AM1267" s="579"/>
      <c r="AN1267" s="579"/>
      <c r="AO1267" s="347"/>
      <c r="AP1267" s="586"/>
      <c r="AQ1267" s="596"/>
      <c r="AR1267" s="596"/>
      <c r="AS1267" s="348"/>
      <c r="AT1267" s="348"/>
      <c r="AU1267" s="348"/>
      <c r="AV1267" s="348"/>
      <c r="AW1267" s="348"/>
      <c r="AX1267" s="584"/>
      <c r="AY1267" s="581"/>
      <c r="AZ1267" s="581"/>
      <c r="BA1267" s="596"/>
      <c r="BB1267" s="596"/>
      <c r="BC1267" s="348"/>
      <c r="BD1267" s="581"/>
      <c r="BE1267" s="581"/>
      <c r="BF1267" s="347"/>
      <c r="BG1267" s="347"/>
      <c r="BH1267" s="347"/>
      <c r="BI1267" s="347"/>
      <c r="BJ1267" s="586"/>
      <c r="BK1267" s="581"/>
      <c r="BL1267" s="347"/>
      <c r="BM1267" s="347"/>
      <c r="BN1267" s="347"/>
      <c r="BO1267" s="586"/>
      <c r="BP1267" s="584"/>
      <c r="BQ1267" s="347"/>
      <c r="BR1267" s="586"/>
      <c r="BS1267" s="588"/>
      <c r="BT1267" s="586"/>
      <c r="BU1267" s="589"/>
      <c r="BV1267" s="581"/>
      <c r="BW1267" s="590"/>
      <c r="BX1267" s="347"/>
      <c r="BY1267" s="347"/>
      <c r="BZ1267" s="347"/>
      <c r="CA1267" s="586"/>
      <c r="CB1267" s="581"/>
      <c r="CC1267" s="581"/>
      <c r="CD1267" s="581"/>
      <c r="CE1267" s="581"/>
      <c r="CF1267" s="581"/>
      <c r="CG1267" s="586"/>
      <c r="CH1267" s="608"/>
      <c r="CI1267" s="603"/>
      <c r="CJ1267" s="347"/>
      <c r="CK1267" s="347"/>
      <c r="CL1267" s="347"/>
      <c r="CM1267" s="347"/>
      <c r="CN1267" s="347"/>
      <c r="CO1267" s="347"/>
      <c r="CP1267" s="347"/>
    </row>
    <row r="1268">
      <c r="A1268" s="574"/>
      <c r="B1268" s="574"/>
      <c r="C1268" s="347"/>
      <c r="D1268" s="574"/>
      <c r="E1268" s="347"/>
      <c r="F1268" s="596"/>
      <c r="G1268" s="596"/>
      <c r="H1268" s="347"/>
      <c r="I1268" s="347"/>
      <c r="J1268" s="596"/>
      <c r="K1268" s="609"/>
      <c r="L1268" s="1"/>
      <c r="M1268" s="347"/>
      <c r="N1268" s="347"/>
      <c r="O1268" s="579"/>
      <c r="P1268" s="579"/>
      <c r="Q1268" s="574"/>
      <c r="R1268" s="347"/>
      <c r="S1268" s="597"/>
      <c r="T1268" s="347"/>
      <c r="U1268" s="579"/>
      <c r="V1268" s="579"/>
      <c r="W1268" s="574"/>
      <c r="X1268" s="347"/>
      <c r="Y1268" s="347"/>
      <c r="Z1268" s="347"/>
      <c r="AA1268" s="579"/>
      <c r="AB1268" s="581"/>
      <c r="AC1268" s="347"/>
      <c r="AD1268" s="347"/>
      <c r="AE1268" s="347"/>
      <c r="AF1268" s="347"/>
      <c r="AG1268" s="579"/>
      <c r="AH1268" s="579"/>
      <c r="AI1268" s="582"/>
      <c r="AJ1268" s="582"/>
      <c r="AK1268" s="582"/>
      <c r="AL1268" s="582"/>
      <c r="AM1268" s="579"/>
      <c r="AN1268" s="579"/>
      <c r="AO1268" s="347"/>
      <c r="AP1268" s="586"/>
      <c r="AQ1268" s="596"/>
      <c r="AR1268" s="596"/>
      <c r="AS1268" s="348"/>
      <c r="AT1268" s="348"/>
      <c r="AU1268" s="348"/>
      <c r="AV1268" s="348"/>
      <c r="AW1268" s="348"/>
      <c r="AX1268" s="584"/>
      <c r="AY1268" s="581"/>
      <c r="AZ1268" s="581"/>
      <c r="BA1268" s="596"/>
      <c r="BB1268" s="596"/>
      <c r="BC1268" s="348"/>
      <c r="BD1268" s="581"/>
      <c r="BE1268" s="581"/>
      <c r="BF1268" s="347"/>
      <c r="BG1268" s="347"/>
      <c r="BH1268" s="347"/>
      <c r="BI1268" s="347"/>
      <c r="BJ1268" s="586"/>
      <c r="BK1268" s="581"/>
      <c r="BL1268" s="347"/>
      <c r="BM1268" s="347"/>
      <c r="BN1268" s="347"/>
      <c r="BO1268" s="586"/>
      <c r="BP1268" s="584"/>
      <c r="BQ1268" s="347"/>
      <c r="BR1268" s="586"/>
      <c r="BS1268" s="588"/>
      <c r="BT1268" s="586"/>
      <c r="BU1268" s="589"/>
      <c r="BV1268" s="581"/>
      <c r="BW1268" s="590"/>
      <c r="BX1268" s="347"/>
      <c r="BY1268" s="347"/>
      <c r="BZ1268" s="347"/>
      <c r="CA1268" s="586"/>
      <c r="CB1268" s="581"/>
      <c r="CC1268" s="581"/>
      <c r="CD1268" s="581"/>
      <c r="CE1268" s="581"/>
      <c r="CF1268" s="581"/>
      <c r="CG1268" s="586"/>
      <c r="CH1268" s="608"/>
      <c r="CI1268" s="603"/>
      <c r="CJ1268" s="347"/>
      <c r="CK1268" s="347"/>
      <c r="CL1268" s="347"/>
      <c r="CM1268" s="347"/>
      <c r="CN1268" s="347"/>
      <c r="CO1268" s="347"/>
      <c r="CP1268" s="347"/>
    </row>
    <row r="1269">
      <c r="A1269" s="574"/>
      <c r="B1269" s="574"/>
      <c r="C1269" s="347"/>
      <c r="D1269" s="574"/>
      <c r="E1269" s="347"/>
      <c r="F1269" s="596"/>
      <c r="G1269" s="596"/>
      <c r="H1269" s="347"/>
      <c r="I1269" s="347"/>
      <c r="J1269" s="596"/>
      <c r="K1269" s="609"/>
      <c r="L1269" s="1"/>
      <c r="M1269" s="347"/>
      <c r="N1269" s="347"/>
      <c r="O1269" s="579"/>
      <c r="P1269" s="579"/>
      <c r="Q1269" s="574"/>
      <c r="R1269" s="347"/>
      <c r="S1269" s="597"/>
      <c r="T1269" s="347"/>
      <c r="U1269" s="579"/>
      <c r="V1269" s="579"/>
      <c r="W1269" s="574"/>
      <c r="X1269" s="347"/>
      <c r="Y1269" s="347"/>
      <c r="Z1269" s="347"/>
      <c r="AA1269" s="579"/>
      <c r="AB1269" s="581"/>
      <c r="AC1269" s="347"/>
      <c r="AD1269" s="347"/>
      <c r="AE1269" s="347"/>
      <c r="AF1269" s="347"/>
      <c r="AG1269" s="579"/>
      <c r="AH1269" s="579"/>
      <c r="AI1269" s="582"/>
      <c r="AJ1269" s="582"/>
      <c r="AK1269" s="582"/>
      <c r="AL1269" s="582"/>
      <c r="AM1269" s="579"/>
      <c r="AN1269" s="579"/>
      <c r="AO1269" s="347"/>
      <c r="AP1269" s="586"/>
      <c r="AQ1269" s="596"/>
      <c r="AR1269" s="596"/>
      <c r="AS1269" s="348"/>
      <c r="AT1269" s="348"/>
      <c r="AU1269" s="348"/>
      <c r="AV1269" s="348"/>
      <c r="AW1269" s="348"/>
      <c r="AX1269" s="584"/>
      <c r="AY1269" s="581"/>
      <c r="AZ1269" s="581"/>
      <c r="BA1269" s="596"/>
      <c r="BB1269" s="596"/>
      <c r="BC1269" s="348"/>
      <c r="BD1269" s="581"/>
      <c r="BE1269" s="581"/>
      <c r="BF1269" s="347"/>
      <c r="BG1269" s="347"/>
      <c r="BH1269" s="347"/>
      <c r="BI1269" s="347"/>
      <c r="BJ1269" s="586"/>
      <c r="BK1269" s="581"/>
      <c r="BL1269" s="347"/>
      <c r="BM1269" s="347"/>
      <c r="BN1269" s="347"/>
      <c r="BO1269" s="586"/>
      <c r="BP1269" s="584"/>
      <c r="BQ1269" s="347"/>
      <c r="BR1269" s="586"/>
      <c r="BS1269" s="588"/>
      <c r="BT1269" s="586"/>
      <c r="BU1269" s="589"/>
      <c r="BV1269" s="581"/>
      <c r="BW1269" s="590"/>
      <c r="BX1269" s="347"/>
      <c r="BY1269" s="347"/>
      <c r="BZ1269" s="347"/>
      <c r="CA1269" s="586"/>
      <c r="CB1269" s="581"/>
      <c r="CC1269" s="581"/>
      <c r="CD1269" s="581"/>
      <c r="CE1269" s="581"/>
      <c r="CF1269" s="581"/>
      <c r="CG1269" s="586"/>
      <c r="CH1269" s="608"/>
      <c r="CI1269" s="603"/>
      <c r="CJ1269" s="347"/>
      <c r="CK1269" s="347"/>
      <c r="CL1269" s="347"/>
      <c r="CM1269" s="347"/>
      <c r="CN1269" s="347"/>
      <c r="CO1269" s="347"/>
      <c r="CP1269" s="347"/>
    </row>
    <row r="1270">
      <c r="A1270" s="574"/>
      <c r="B1270" s="574"/>
      <c r="C1270" s="347"/>
      <c r="D1270" s="574"/>
      <c r="E1270" s="347"/>
      <c r="F1270" s="596"/>
      <c r="G1270" s="596"/>
      <c r="H1270" s="347"/>
      <c r="I1270" s="347"/>
      <c r="J1270" s="596"/>
      <c r="K1270" s="609"/>
      <c r="L1270" s="1"/>
      <c r="M1270" s="347"/>
      <c r="N1270" s="347"/>
      <c r="O1270" s="579"/>
      <c r="P1270" s="579"/>
      <c r="Q1270" s="574"/>
      <c r="R1270" s="347"/>
      <c r="S1270" s="597"/>
      <c r="T1270" s="347"/>
      <c r="U1270" s="579"/>
      <c r="V1270" s="579"/>
      <c r="W1270" s="574"/>
      <c r="X1270" s="347"/>
      <c r="Y1270" s="347"/>
      <c r="Z1270" s="347"/>
      <c r="AA1270" s="579"/>
      <c r="AB1270" s="581"/>
      <c r="AC1270" s="347"/>
      <c r="AD1270" s="347"/>
      <c r="AE1270" s="347"/>
      <c r="AF1270" s="347"/>
      <c r="AG1270" s="579"/>
      <c r="AH1270" s="579"/>
      <c r="AI1270" s="582"/>
      <c r="AJ1270" s="582"/>
      <c r="AK1270" s="582"/>
      <c r="AL1270" s="582"/>
      <c r="AM1270" s="579"/>
      <c r="AN1270" s="579"/>
      <c r="AO1270" s="347"/>
      <c r="AP1270" s="586"/>
      <c r="AQ1270" s="596"/>
      <c r="AR1270" s="596"/>
      <c r="AS1270" s="348"/>
      <c r="AT1270" s="348"/>
      <c r="AU1270" s="348"/>
      <c r="AV1270" s="348"/>
      <c r="AW1270" s="348"/>
      <c r="AX1270" s="584"/>
      <c r="AY1270" s="581"/>
      <c r="AZ1270" s="581"/>
      <c r="BA1270" s="596"/>
      <c r="BB1270" s="596"/>
      <c r="BC1270" s="348"/>
      <c r="BD1270" s="581"/>
      <c r="BE1270" s="581"/>
      <c r="BF1270" s="347"/>
      <c r="BG1270" s="347"/>
      <c r="BH1270" s="347"/>
      <c r="BI1270" s="347"/>
      <c r="BJ1270" s="586"/>
      <c r="BK1270" s="581"/>
      <c r="BL1270" s="347"/>
      <c r="BM1270" s="347"/>
      <c r="BN1270" s="347"/>
      <c r="BO1270" s="586"/>
      <c r="BP1270" s="584"/>
      <c r="BQ1270" s="347"/>
      <c r="BR1270" s="586"/>
      <c r="BS1270" s="588"/>
      <c r="BT1270" s="586"/>
      <c r="BU1270" s="589"/>
      <c r="BV1270" s="581"/>
      <c r="BW1270" s="590"/>
      <c r="BX1270" s="347"/>
      <c r="BY1270" s="347"/>
      <c r="BZ1270" s="347"/>
      <c r="CA1270" s="586"/>
      <c r="CB1270" s="581"/>
      <c r="CC1270" s="581"/>
      <c r="CD1270" s="581"/>
      <c r="CE1270" s="581"/>
      <c r="CF1270" s="581"/>
      <c r="CG1270" s="586"/>
      <c r="CH1270" s="608"/>
      <c r="CI1270" s="603"/>
      <c r="CJ1270" s="347"/>
      <c r="CK1270" s="347"/>
      <c r="CL1270" s="347"/>
      <c r="CM1270" s="347"/>
      <c r="CN1270" s="347"/>
      <c r="CO1270" s="347"/>
      <c r="CP1270" s="347"/>
    </row>
    <row r="1271">
      <c r="A1271" s="574"/>
      <c r="B1271" s="574"/>
      <c r="C1271" s="347"/>
      <c r="D1271" s="574"/>
      <c r="E1271" s="347"/>
      <c r="F1271" s="596"/>
      <c r="G1271" s="596"/>
      <c r="H1271" s="347"/>
      <c r="I1271" s="347"/>
      <c r="J1271" s="596"/>
      <c r="K1271" s="609"/>
      <c r="L1271" s="1"/>
      <c r="M1271" s="347"/>
      <c r="N1271" s="347"/>
      <c r="O1271" s="579"/>
      <c r="P1271" s="579"/>
      <c r="Q1271" s="574"/>
      <c r="R1271" s="347"/>
      <c r="S1271" s="597"/>
      <c r="T1271" s="347"/>
      <c r="U1271" s="579"/>
      <c r="V1271" s="579"/>
      <c r="W1271" s="574"/>
      <c r="X1271" s="347"/>
      <c r="Y1271" s="347"/>
      <c r="Z1271" s="347"/>
      <c r="AA1271" s="579"/>
      <c r="AB1271" s="581"/>
      <c r="AC1271" s="347"/>
      <c r="AD1271" s="347"/>
      <c r="AE1271" s="347"/>
      <c r="AF1271" s="347"/>
      <c r="AG1271" s="579"/>
      <c r="AH1271" s="579"/>
      <c r="AI1271" s="582"/>
      <c r="AJ1271" s="582"/>
      <c r="AK1271" s="582"/>
      <c r="AL1271" s="582"/>
      <c r="AM1271" s="579"/>
      <c r="AN1271" s="579"/>
      <c r="AO1271" s="347"/>
      <c r="AP1271" s="586"/>
      <c r="AQ1271" s="596"/>
      <c r="AR1271" s="596"/>
      <c r="AS1271" s="348"/>
      <c r="AT1271" s="348"/>
      <c r="AU1271" s="348"/>
      <c r="AV1271" s="348"/>
      <c r="AW1271" s="348"/>
      <c r="AX1271" s="584"/>
      <c r="AY1271" s="581"/>
      <c r="AZ1271" s="581"/>
      <c r="BA1271" s="596"/>
      <c r="BB1271" s="596"/>
      <c r="BC1271" s="348"/>
      <c r="BD1271" s="581"/>
      <c r="BE1271" s="581"/>
      <c r="BF1271" s="347"/>
      <c r="BG1271" s="347"/>
      <c r="BH1271" s="347"/>
      <c r="BI1271" s="347"/>
      <c r="BJ1271" s="586"/>
      <c r="BK1271" s="581"/>
      <c r="BL1271" s="347"/>
      <c r="BM1271" s="347"/>
      <c r="BN1271" s="347"/>
      <c r="BO1271" s="586"/>
      <c r="BP1271" s="584"/>
      <c r="BQ1271" s="347"/>
      <c r="BR1271" s="586"/>
      <c r="BS1271" s="588"/>
      <c r="BT1271" s="586"/>
      <c r="BU1271" s="589"/>
      <c r="BV1271" s="581"/>
      <c r="BW1271" s="590"/>
      <c r="BX1271" s="347"/>
      <c r="BY1271" s="347"/>
      <c r="BZ1271" s="347"/>
      <c r="CA1271" s="586"/>
      <c r="CB1271" s="581"/>
      <c r="CC1271" s="581"/>
      <c r="CD1271" s="581"/>
      <c r="CE1271" s="581"/>
      <c r="CF1271" s="581"/>
      <c r="CG1271" s="586"/>
      <c r="CH1271" s="608"/>
      <c r="CI1271" s="603"/>
      <c r="CJ1271" s="347"/>
      <c r="CK1271" s="347"/>
      <c r="CL1271" s="347"/>
      <c r="CM1271" s="347"/>
      <c r="CN1271" s="347"/>
      <c r="CO1271" s="347"/>
      <c r="CP1271" s="347"/>
    </row>
    <row r="1272">
      <c r="A1272" s="574"/>
      <c r="B1272" s="574"/>
      <c r="C1272" s="347"/>
      <c r="D1272" s="574"/>
      <c r="E1272" s="347"/>
      <c r="F1272" s="596"/>
      <c r="G1272" s="596"/>
      <c r="H1272" s="347"/>
      <c r="I1272" s="347"/>
      <c r="J1272" s="596"/>
      <c r="K1272" s="609"/>
      <c r="L1272" s="1"/>
      <c r="M1272" s="347"/>
      <c r="N1272" s="347"/>
      <c r="O1272" s="579"/>
      <c r="P1272" s="579"/>
      <c r="Q1272" s="574"/>
      <c r="R1272" s="347"/>
      <c r="S1272" s="597"/>
      <c r="T1272" s="347"/>
      <c r="U1272" s="579"/>
      <c r="V1272" s="579"/>
      <c r="W1272" s="574"/>
      <c r="X1272" s="347"/>
      <c r="Y1272" s="347"/>
      <c r="Z1272" s="347"/>
      <c r="AA1272" s="579"/>
      <c r="AB1272" s="581"/>
      <c r="AC1272" s="347"/>
      <c r="AD1272" s="347"/>
      <c r="AE1272" s="347"/>
      <c r="AF1272" s="347"/>
      <c r="AG1272" s="579"/>
      <c r="AH1272" s="579"/>
      <c r="AI1272" s="582"/>
      <c r="AJ1272" s="582"/>
      <c r="AK1272" s="582"/>
      <c r="AL1272" s="582"/>
      <c r="AM1272" s="579"/>
      <c r="AN1272" s="579"/>
      <c r="AO1272" s="347"/>
      <c r="AP1272" s="586"/>
      <c r="AQ1272" s="596"/>
      <c r="AR1272" s="596"/>
      <c r="AS1272" s="348"/>
      <c r="AT1272" s="348"/>
      <c r="AU1272" s="348"/>
      <c r="AV1272" s="348"/>
      <c r="AW1272" s="348"/>
      <c r="AX1272" s="584"/>
      <c r="AY1272" s="581"/>
      <c r="AZ1272" s="581"/>
      <c r="BA1272" s="596"/>
      <c r="BB1272" s="596"/>
      <c r="BC1272" s="348"/>
      <c r="BD1272" s="581"/>
      <c r="BE1272" s="581"/>
      <c r="BF1272" s="347"/>
      <c r="BG1272" s="347"/>
      <c r="BH1272" s="347"/>
      <c r="BI1272" s="347"/>
      <c r="BJ1272" s="586"/>
      <c r="BK1272" s="581"/>
      <c r="BL1272" s="347"/>
      <c r="BM1272" s="347"/>
      <c r="BN1272" s="347"/>
      <c r="BO1272" s="586"/>
      <c r="BP1272" s="584"/>
      <c r="BQ1272" s="347"/>
      <c r="BR1272" s="586"/>
      <c r="BS1272" s="588"/>
      <c r="BT1272" s="586"/>
      <c r="BU1272" s="589"/>
      <c r="BV1272" s="581"/>
      <c r="BW1272" s="590"/>
      <c r="BX1272" s="347"/>
      <c r="BY1272" s="347"/>
      <c r="BZ1272" s="347"/>
      <c r="CA1272" s="586"/>
      <c r="CB1272" s="581"/>
      <c r="CC1272" s="581"/>
      <c r="CD1272" s="581"/>
      <c r="CE1272" s="581"/>
      <c r="CF1272" s="581"/>
      <c r="CG1272" s="586"/>
      <c r="CH1272" s="608"/>
      <c r="CI1272" s="603"/>
      <c r="CJ1272" s="347"/>
      <c r="CK1272" s="347"/>
      <c r="CL1272" s="347"/>
      <c r="CM1272" s="347"/>
      <c r="CN1272" s="347"/>
      <c r="CO1272" s="347"/>
      <c r="CP1272" s="347"/>
    </row>
    <row r="1273">
      <c r="A1273" s="574"/>
      <c r="B1273" s="574"/>
      <c r="C1273" s="347"/>
      <c r="D1273" s="574"/>
      <c r="E1273" s="347"/>
      <c r="F1273" s="596"/>
      <c r="G1273" s="596"/>
      <c r="H1273" s="347"/>
      <c r="I1273" s="347"/>
      <c r="J1273" s="596"/>
      <c r="K1273" s="609"/>
      <c r="L1273" s="1"/>
      <c r="M1273" s="347"/>
      <c r="N1273" s="347"/>
      <c r="O1273" s="579"/>
      <c r="P1273" s="579"/>
      <c r="Q1273" s="574"/>
      <c r="R1273" s="347"/>
      <c r="S1273" s="597"/>
      <c r="T1273" s="347"/>
      <c r="U1273" s="579"/>
      <c r="V1273" s="579"/>
      <c r="W1273" s="574"/>
      <c r="X1273" s="347"/>
      <c r="Y1273" s="347"/>
      <c r="Z1273" s="347"/>
      <c r="AA1273" s="579"/>
      <c r="AB1273" s="581"/>
      <c r="AC1273" s="347"/>
      <c r="AD1273" s="347"/>
      <c r="AE1273" s="347"/>
      <c r="AF1273" s="347"/>
      <c r="AG1273" s="579"/>
      <c r="AH1273" s="579"/>
      <c r="AI1273" s="582"/>
      <c r="AJ1273" s="582"/>
      <c r="AK1273" s="582"/>
      <c r="AL1273" s="582"/>
      <c r="AM1273" s="579"/>
      <c r="AN1273" s="579"/>
      <c r="AO1273" s="347"/>
      <c r="AP1273" s="586"/>
      <c r="AQ1273" s="596"/>
      <c r="AR1273" s="596"/>
      <c r="AS1273" s="348"/>
      <c r="AT1273" s="348"/>
      <c r="AU1273" s="348"/>
      <c r="AV1273" s="348"/>
      <c r="AW1273" s="348"/>
      <c r="AX1273" s="584"/>
      <c r="AY1273" s="581"/>
      <c r="AZ1273" s="581"/>
      <c r="BA1273" s="596"/>
      <c r="BB1273" s="596"/>
      <c r="BC1273" s="348"/>
      <c r="BD1273" s="581"/>
      <c r="BE1273" s="581"/>
      <c r="BF1273" s="347"/>
      <c r="BG1273" s="347"/>
      <c r="BH1273" s="347"/>
      <c r="BI1273" s="347"/>
      <c r="BJ1273" s="586"/>
      <c r="BK1273" s="581"/>
      <c r="BL1273" s="347"/>
      <c r="BM1273" s="347"/>
      <c r="BN1273" s="347"/>
      <c r="BO1273" s="586"/>
      <c r="BP1273" s="584"/>
      <c r="BQ1273" s="347"/>
      <c r="BR1273" s="586"/>
      <c r="BS1273" s="588"/>
      <c r="BT1273" s="586"/>
      <c r="BU1273" s="589"/>
      <c r="BV1273" s="581"/>
      <c r="BW1273" s="590"/>
      <c r="BX1273" s="347"/>
      <c r="BY1273" s="347"/>
      <c r="BZ1273" s="347"/>
      <c r="CA1273" s="586"/>
      <c r="CB1273" s="581"/>
      <c r="CC1273" s="581"/>
      <c r="CD1273" s="581"/>
      <c r="CE1273" s="581"/>
      <c r="CF1273" s="581"/>
      <c r="CG1273" s="586"/>
      <c r="CH1273" s="608"/>
      <c r="CI1273" s="603"/>
      <c r="CJ1273" s="347"/>
      <c r="CK1273" s="347"/>
      <c r="CL1273" s="347"/>
      <c r="CM1273" s="347"/>
      <c r="CN1273" s="347"/>
      <c r="CO1273" s="347"/>
      <c r="CP1273" s="347"/>
    </row>
    <row r="1274">
      <c r="A1274" s="574"/>
      <c r="B1274" s="574"/>
      <c r="C1274" s="347"/>
      <c r="D1274" s="574"/>
      <c r="E1274" s="347"/>
      <c r="F1274" s="596"/>
      <c r="G1274" s="596"/>
      <c r="H1274" s="347"/>
      <c r="I1274" s="347"/>
      <c r="J1274" s="596"/>
      <c r="K1274" s="609"/>
      <c r="L1274" s="1"/>
      <c r="M1274" s="347"/>
      <c r="N1274" s="347"/>
      <c r="O1274" s="579"/>
      <c r="P1274" s="579"/>
      <c r="Q1274" s="574"/>
      <c r="R1274" s="347"/>
      <c r="S1274" s="597"/>
      <c r="T1274" s="347"/>
      <c r="U1274" s="579"/>
      <c r="V1274" s="579"/>
      <c r="W1274" s="574"/>
      <c r="X1274" s="347"/>
      <c r="Y1274" s="347"/>
      <c r="Z1274" s="347"/>
      <c r="AA1274" s="579"/>
      <c r="AB1274" s="581"/>
      <c r="AC1274" s="347"/>
      <c r="AD1274" s="347"/>
      <c r="AE1274" s="347"/>
      <c r="AF1274" s="347"/>
      <c r="AG1274" s="579"/>
      <c r="AH1274" s="579"/>
      <c r="AI1274" s="582"/>
      <c r="AJ1274" s="582"/>
      <c r="AK1274" s="582"/>
      <c r="AL1274" s="582"/>
      <c r="AM1274" s="579"/>
      <c r="AN1274" s="579"/>
      <c r="AO1274" s="347"/>
      <c r="AP1274" s="586"/>
      <c r="AQ1274" s="596"/>
      <c r="AR1274" s="596"/>
      <c r="AS1274" s="348"/>
      <c r="AT1274" s="348"/>
      <c r="AU1274" s="348"/>
      <c r="AV1274" s="348"/>
      <c r="AW1274" s="348"/>
      <c r="AX1274" s="584"/>
      <c r="AY1274" s="581"/>
      <c r="AZ1274" s="581"/>
      <c r="BA1274" s="596"/>
      <c r="BB1274" s="596"/>
      <c r="BC1274" s="348"/>
      <c r="BD1274" s="581"/>
      <c r="BE1274" s="581"/>
      <c r="BF1274" s="347"/>
      <c r="BG1274" s="347"/>
      <c r="BH1274" s="347"/>
      <c r="BI1274" s="347"/>
      <c r="BJ1274" s="586"/>
      <c r="BK1274" s="581"/>
      <c r="BL1274" s="347"/>
      <c r="BM1274" s="347"/>
      <c r="BN1274" s="347"/>
      <c r="BO1274" s="586"/>
      <c r="BP1274" s="584"/>
      <c r="BQ1274" s="347"/>
      <c r="BR1274" s="586"/>
      <c r="BS1274" s="588"/>
      <c r="BT1274" s="586"/>
      <c r="BU1274" s="589"/>
      <c r="BV1274" s="581"/>
      <c r="BW1274" s="590"/>
      <c r="BX1274" s="347"/>
      <c r="BY1274" s="347"/>
      <c r="BZ1274" s="347"/>
      <c r="CA1274" s="586"/>
      <c r="CB1274" s="581"/>
      <c r="CC1274" s="581"/>
      <c r="CD1274" s="581"/>
      <c r="CE1274" s="581"/>
      <c r="CF1274" s="581"/>
      <c r="CG1274" s="586"/>
      <c r="CH1274" s="608"/>
      <c r="CI1274" s="603"/>
      <c r="CJ1274" s="347"/>
      <c r="CK1274" s="347"/>
      <c r="CL1274" s="347"/>
      <c r="CM1274" s="347"/>
      <c r="CN1274" s="347"/>
      <c r="CO1274" s="347"/>
      <c r="CP1274" s="347"/>
    </row>
    <row r="1275">
      <c r="A1275" s="574"/>
      <c r="B1275" s="574"/>
      <c r="C1275" s="347"/>
      <c r="D1275" s="574"/>
      <c r="E1275" s="347"/>
      <c r="F1275" s="596"/>
      <c r="G1275" s="596"/>
      <c r="H1275" s="347"/>
      <c r="I1275" s="347"/>
      <c r="J1275" s="596"/>
      <c r="K1275" s="609"/>
      <c r="L1275" s="1"/>
      <c r="M1275" s="347"/>
      <c r="N1275" s="347"/>
      <c r="O1275" s="579"/>
      <c r="P1275" s="579"/>
      <c r="Q1275" s="574"/>
      <c r="R1275" s="347"/>
      <c r="S1275" s="597"/>
      <c r="T1275" s="347"/>
      <c r="U1275" s="579"/>
      <c r="V1275" s="579"/>
      <c r="W1275" s="574"/>
      <c r="X1275" s="347"/>
      <c r="Y1275" s="347"/>
      <c r="Z1275" s="347"/>
      <c r="AA1275" s="579"/>
      <c r="AB1275" s="581"/>
      <c r="AC1275" s="347"/>
      <c r="AD1275" s="347"/>
      <c r="AE1275" s="347"/>
      <c r="AF1275" s="347"/>
      <c r="AG1275" s="579"/>
      <c r="AH1275" s="579"/>
      <c r="AI1275" s="582"/>
      <c r="AJ1275" s="582"/>
      <c r="AK1275" s="582"/>
      <c r="AL1275" s="582"/>
      <c r="AM1275" s="579"/>
      <c r="AN1275" s="579"/>
      <c r="AO1275" s="347"/>
      <c r="AP1275" s="586"/>
      <c r="AQ1275" s="596"/>
      <c r="AR1275" s="596"/>
      <c r="AS1275" s="348"/>
      <c r="AT1275" s="348"/>
      <c r="AU1275" s="348"/>
      <c r="AV1275" s="348"/>
      <c r="AW1275" s="348"/>
      <c r="AX1275" s="584"/>
      <c r="AY1275" s="581"/>
      <c r="AZ1275" s="581"/>
      <c r="BA1275" s="596"/>
      <c r="BB1275" s="596"/>
      <c r="BC1275" s="348"/>
      <c r="BD1275" s="581"/>
      <c r="BE1275" s="581"/>
      <c r="BF1275" s="347"/>
      <c r="BG1275" s="347"/>
      <c r="BH1275" s="347"/>
      <c r="BI1275" s="347"/>
      <c r="BJ1275" s="586"/>
      <c r="BK1275" s="581"/>
      <c r="BL1275" s="347"/>
      <c r="BM1275" s="347"/>
      <c r="BN1275" s="347"/>
      <c r="BO1275" s="586"/>
      <c r="BP1275" s="584"/>
      <c r="BQ1275" s="347"/>
      <c r="BR1275" s="586"/>
      <c r="BS1275" s="588"/>
      <c r="BT1275" s="586"/>
      <c r="BU1275" s="589"/>
      <c r="BV1275" s="581"/>
      <c r="BW1275" s="590"/>
      <c r="BX1275" s="347"/>
      <c r="BY1275" s="347"/>
      <c r="BZ1275" s="347"/>
      <c r="CA1275" s="586"/>
      <c r="CB1275" s="581"/>
      <c r="CC1275" s="581"/>
      <c r="CD1275" s="581"/>
      <c r="CE1275" s="581"/>
      <c r="CF1275" s="581"/>
      <c r="CG1275" s="586"/>
      <c r="CH1275" s="608"/>
      <c r="CI1275" s="603"/>
      <c r="CJ1275" s="347"/>
      <c r="CK1275" s="347"/>
      <c r="CL1275" s="347"/>
      <c r="CM1275" s="347"/>
      <c r="CN1275" s="347"/>
      <c r="CO1275" s="347"/>
      <c r="CP1275" s="347"/>
    </row>
    <row r="1276">
      <c r="A1276" s="574"/>
      <c r="B1276" s="574"/>
      <c r="C1276" s="347"/>
      <c r="D1276" s="574"/>
      <c r="E1276" s="347"/>
      <c r="F1276" s="596"/>
      <c r="G1276" s="596"/>
      <c r="H1276" s="347"/>
      <c r="I1276" s="347"/>
      <c r="J1276" s="596"/>
      <c r="K1276" s="609"/>
      <c r="L1276" s="1"/>
      <c r="M1276" s="347"/>
      <c r="N1276" s="347"/>
      <c r="O1276" s="579"/>
      <c r="P1276" s="579"/>
      <c r="Q1276" s="574"/>
      <c r="R1276" s="347"/>
      <c r="S1276" s="597"/>
      <c r="T1276" s="347"/>
      <c r="U1276" s="579"/>
      <c r="V1276" s="579"/>
      <c r="W1276" s="574"/>
      <c r="X1276" s="347"/>
      <c r="Y1276" s="347"/>
      <c r="Z1276" s="347"/>
      <c r="AA1276" s="579"/>
      <c r="AB1276" s="581"/>
      <c r="AC1276" s="347"/>
      <c r="AD1276" s="347"/>
      <c r="AE1276" s="347"/>
      <c r="AF1276" s="347"/>
      <c r="AG1276" s="579"/>
      <c r="AH1276" s="579"/>
      <c r="AI1276" s="582"/>
      <c r="AJ1276" s="582"/>
      <c r="AK1276" s="582"/>
      <c r="AL1276" s="582"/>
      <c r="AM1276" s="579"/>
      <c r="AN1276" s="579"/>
      <c r="AO1276" s="347"/>
      <c r="AP1276" s="586"/>
      <c r="AQ1276" s="596"/>
      <c r="AR1276" s="596"/>
      <c r="AS1276" s="348"/>
      <c r="AT1276" s="348"/>
      <c r="AU1276" s="348"/>
      <c r="AV1276" s="348"/>
      <c r="AW1276" s="348"/>
      <c r="AX1276" s="584"/>
      <c r="AY1276" s="581"/>
      <c r="AZ1276" s="581"/>
      <c r="BA1276" s="596"/>
      <c r="BB1276" s="596"/>
      <c r="BC1276" s="348"/>
      <c r="BD1276" s="581"/>
      <c r="BE1276" s="581"/>
      <c r="BF1276" s="347"/>
      <c r="BG1276" s="347"/>
      <c r="BH1276" s="347"/>
      <c r="BI1276" s="347"/>
      <c r="BJ1276" s="586"/>
      <c r="BK1276" s="581"/>
      <c r="BL1276" s="347"/>
      <c r="BM1276" s="347"/>
      <c r="BN1276" s="347"/>
      <c r="BO1276" s="586"/>
      <c r="BP1276" s="584"/>
      <c r="BQ1276" s="347"/>
      <c r="BR1276" s="586"/>
      <c r="BS1276" s="588"/>
      <c r="BT1276" s="586"/>
      <c r="BU1276" s="589"/>
      <c r="BV1276" s="581"/>
      <c r="BW1276" s="590"/>
      <c r="BX1276" s="347"/>
      <c r="BY1276" s="347"/>
      <c r="BZ1276" s="347"/>
      <c r="CA1276" s="586"/>
      <c r="CB1276" s="581"/>
      <c r="CC1276" s="581"/>
      <c r="CD1276" s="581"/>
      <c r="CE1276" s="581"/>
      <c r="CF1276" s="581"/>
      <c r="CG1276" s="586"/>
      <c r="CH1276" s="608"/>
      <c r="CI1276" s="603"/>
      <c r="CJ1276" s="347"/>
      <c r="CK1276" s="347"/>
      <c r="CL1276" s="347"/>
      <c r="CM1276" s="347"/>
      <c r="CN1276" s="347"/>
      <c r="CO1276" s="347"/>
      <c r="CP1276" s="347"/>
    </row>
    <row r="1277">
      <c r="A1277" s="574"/>
      <c r="B1277" s="574"/>
      <c r="C1277" s="347"/>
      <c r="D1277" s="574"/>
      <c r="E1277" s="347"/>
      <c r="F1277" s="596"/>
      <c r="G1277" s="596"/>
      <c r="H1277" s="347"/>
      <c r="I1277" s="347"/>
      <c r="J1277" s="596"/>
      <c r="K1277" s="609"/>
      <c r="L1277" s="1"/>
      <c r="M1277" s="347"/>
      <c r="N1277" s="347"/>
      <c r="O1277" s="579"/>
      <c r="P1277" s="579"/>
      <c r="Q1277" s="574"/>
      <c r="R1277" s="347"/>
      <c r="S1277" s="597"/>
      <c r="T1277" s="347"/>
      <c r="U1277" s="579"/>
      <c r="V1277" s="579"/>
      <c r="W1277" s="574"/>
      <c r="X1277" s="347"/>
      <c r="Y1277" s="347"/>
      <c r="Z1277" s="347"/>
      <c r="AA1277" s="579"/>
      <c r="AB1277" s="581"/>
      <c r="AC1277" s="347"/>
      <c r="AD1277" s="347"/>
      <c r="AE1277" s="347"/>
      <c r="AF1277" s="347"/>
      <c r="AG1277" s="579"/>
      <c r="AH1277" s="579"/>
      <c r="AI1277" s="582"/>
      <c r="AJ1277" s="582"/>
      <c r="AK1277" s="582"/>
      <c r="AL1277" s="582"/>
      <c r="AM1277" s="579"/>
      <c r="AN1277" s="579"/>
      <c r="AO1277" s="347"/>
      <c r="AP1277" s="586"/>
      <c r="AQ1277" s="596"/>
      <c r="AR1277" s="596"/>
      <c r="AS1277" s="348"/>
      <c r="AT1277" s="348"/>
      <c r="AU1277" s="348"/>
      <c r="AV1277" s="348"/>
      <c r="AW1277" s="348"/>
      <c r="AX1277" s="584"/>
      <c r="AY1277" s="581"/>
      <c r="AZ1277" s="581"/>
      <c r="BA1277" s="596"/>
      <c r="BB1277" s="596"/>
      <c r="BC1277" s="348"/>
      <c r="BD1277" s="581"/>
      <c r="BE1277" s="581"/>
      <c r="BF1277" s="347"/>
      <c r="BG1277" s="347"/>
      <c r="BH1277" s="347"/>
      <c r="BI1277" s="347"/>
      <c r="BJ1277" s="586"/>
      <c r="BK1277" s="581"/>
      <c r="BL1277" s="347"/>
      <c r="BM1277" s="347"/>
      <c r="BN1277" s="347"/>
      <c r="BO1277" s="586"/>
      <c r="BP1277" s="584"/>
      <c r="BQ1277" s="347"/>
      <c r="BR1277" s="586"/>
      <c r="BS1277" s="588"/>
      <c r="BT1277" s="586"/>
      <c r="BU1277" s="589"/>
      <c r="BV1277" s="581"/>
      <c r="BW1277" s="590"/>
      <c r="BX1277" s="347"/>
      <c r="BY1277" s="347"/>
      <c r="BZ1277" s="347"/>
      <c r="CA1277" s="586"/>
      <c r="CB1277" s="581"/>
      <c r="CC1277" s="581"/>
      <c r="CD1277" s="581"/>
      <c r="CE1277" s="581"/>
      <c r="CF1277" s="581"/>
      <c r="CG1277" s="586"/>
      <c r="CH1277" s="608"/>
      <c r="CI1277" s="603"/>
      <c r="CJ1277" s="347"/>
      <c r="CK1277" s="347"/>
      <c r="CL1277" s="347"/>
      <c r="CM1277" s="347"/>
      <c r="CN1277" s="347"/>
      <c r="CO1277" s="347"/>
      <c r="CP1277" s="347"/>
    </row>
    <row r="1278">
      <c r="A1278" s="574"/>
      <c r="B1278" s="574"/>
      <c r="C1278" s="347"/>
      <c r="D1278" s="574"/>
      <c r="E1278" s="347"/>
      <c r="F1278" s="596"/>
      <c r="G1278" s="596"/>
      <c r="H1278" s="347"/>
      <c r="I1278" s="347"/>
      <c r="J1278" s="596"/>
      <c r="K1278" s="609"/>
      <c r="L1278" s="1"/>
      <c r="M1278" s="347"/>
      <c r="N1278" s="347"/>
      <c r="O1278" s="579"/>
      <c r="P1278" s="579"/>
      <c r="Q1278" s="574"/>
      <c r="R1278" s="347"/>
      <c r="S1278" s="597"/>
      <c r="T1278" s="347"/>
      <c r="U1278" s="579"/>
      <c r="V1278" s="579"/>
      <c r="W1278" s="574"/>
      <c r="X1278" s="347"/>
      <c r="Y1278" s="347"/>
      <c r="Z1278" s="347"/>
      <c r="AA1278" s="579"/>
      <c r="AB1278" s="581"/>
      <c r="AC1278" s="347"/>
      <c r="AD1278" s="347"/>
      <c r="AE1278" s="347"/>
      <c r="AF1278" s="347"/>
      <c r="AG1278" s="579"/>
      <c r="AH1278" s="579"/>
      <c r="AI1278" s="582"/>
      <c r="AJ1278" s="582"/>
      <c r="AK1278" s="582"/>
      <c r="AL1278" s="582"/>
      <c r="AM1278" s="579"/>
      <c r="AN1278" s="579"/>
      <c r="AO1278" s="347"/>
      <c r="AP1278" s="586"/>
      <c r="AQ1278" s="596"/>
      <c r="AR1278" s="596"/>
      <c r="AS1278" s="348"/>
      <c r="AT1278" s="348"/>
      <c r="AU1278" s="348"/>
      <c r="AV1278" s="348"/>
      <c r="AW1278" s="348"/>
      <c r="AX1278" s="584"/>
      <c r="AY1278" s="581"/>
      <c r="AZ1278" s="581"/>
      <c r="BA1278" s="596"/>
      <c r="BB1278" s="596"/>
      <c r="BC1278" s="348"/>
      <c r="BD1278" s="581"/>
      <c r="BE1278" s="581"/>
      <c r="BF1278" s="347"/>
      <c r="BG1278" s="347"/>
      <c r="BH1278" s="347"/>
      <c r="BI1278" s="347"/>
      <c r="BJ1278" s="586"/>
      <c r="BK1278" s="581"/>
      <c r="BL1278" s="347"/>
      <c r="BM1278" s="347"/>
      <c r="BN1278" s="347"/>
      <c r="BO1278" s="586"/>
      <c r="BP1278" s="584"/>
      <c r="BQ1278" s="347"/>
      <c r="BR1278" s="586"/>
      <c r="BS1278" s="588"/>
      <c r="BT1278" s="586"/>
      <c r="BU1278" s="589"/>
      <c r="BV1278" s="581"/>
      <c r="BW1278" s="590"/>
      <c r="BX1278" s="347"/>
      <c r="BY1278" s="347"/>
      <c r="BZ1278" s="347"/>
      <c r="CA1278" s="586"/>
      <c r="CB1278" s="581"/>
      <c r="CC1278" s="581"/>
      <c r="CD1278" s="581"/>
      <c r="CE1278" s="581"/>
      <c r="CF1278" s="581"/>
      <c r="CG1278" s="586"/>
      <c r="CH1278" s="608"/>
      <c r="CI1278" s="603"/>
      <c r="CJ1278" s="347"/>
      <c r="CK1278" s="347"/>
      <c r="CL1278" s="347"/>
      <c r="CM1278" s="347"/>
      <c r="CN1278" s="347"/>
      <c r="CO1278" s="347"/>
      <c r="CP1278" s="347"/>
    </row>
    <row r="1279">
      <c r="A1279" s="574"/>
      <c r="B1279" s="574"/>
      <c r="C1279" s="347"/>
      <c r="D1279" s="574"/>
      <c r="E1279" s="347"/>
      <c r="F1279" s="596"/>
      <c r="G1279" s="596"/>
      <c r="H1279" s="347"/>
      <c r="I1279" s="347"/>
      <c r="J1279" s="596"/>
      <c r="K1279" s="609"/>
      <c r="L1279" s="1"/>
      <c r="M1279" s="347"/>
      <c r="N1279" s="347"/>
      <c r="O1279" s="579"/>
      <c r="P1279" s="579"/>
      <c r="Q1279" s="574"/>
      <c r="R1279" s="347"/>
      <c r="S1279" s="597"/>
      <c r="T1279" s="347"/>
      <c r="U1279" s="579"/>
      <c r="V1279" s="579"/>
      <c r="W1279" s="574"/>
      <c r="X1279" s="347"/>
      <c r="Y1279" s="347"/>
      <c r="Z1279" s="347"/>
      <c r="AA1279" s="579"/>
      <c r="AB1279" s="581"/>
      <c r="AC1279" s="347"/>
      <c r="AD1279" s="347"/>
      <c r="AE1279" s="347"/>
      <c r="AF1279" s="347"/>
      <c r="AG1279" s="579"/>
      <c r="AH1279" s="579"/>
      <c r="AI1279" s="582"/>
      <c r="AJ1279" s="582"/>
      <c r="AK1279" s="582"/>
      <c r="AL1279" s="582"/>
      <c r="AM1279" s="579"/>
      <c r="AN1279" s="579"/>
      <c r="AO1279" s="347"/>
      <c r="AP1279" s="586"/>
      <c r="AQ1279" s="596"/>
      <c r="AR1279" s="596"/>
      <c r="AS1279" s="348"/>
      <c r="AT1279" s="348"/>
      <c r="AU1279" s="348"/>
      <c r="AV1279" s="348"/>
      <c r="AW1279" s="348"/>
      <c r="AX1279" s="584"/>
      <c r="AY1279" s="581"/>
      <c r="AZ1279" s="581"/>
      <c r="BA1279" s="596"/>
      <c r="BB1279" s="596"/>
      <c r="BC1279" s="348"/>
      <c r="BD1279" s="581"/>
      <c r="BE1279" s="581"/>
      <c r="BF1279" s="347"/>
      <c r="BG1279" s="347"/>
      <c r="BH1279" s="347"/>
      <c r="BI1279" s="347"/>
      <c r="BJ1279" s="586"/>
      <c r="BK1279" s="581"/>
      <c r="BL1279" s="347"/>
      <c r="BM1279" s="347"/>
      <c r="BN1279" s="347"/>
      <c r="BO1279" s="586"/>
      <c r="BP1279" s="584"/>
      <c r="BQ1279" s="347"/>
      <c r="BR1279" s="586"/>
      <c r="BS1279" s="588"/>
      <c r="BT1279" s="586"/>
      <c r="BU1279" s="589"/>
      <c r="BV1279" s="581"/>
      <c r="BW1279" s="590"/>
      <c r="BX1279" s="347"/>
      <c r="BY1279" s="347"/>
      <c r="BZ1279" s="347"/>
      <c r="CA1279" s="586"/>
      <c r="CB1279" s="581"/>
      <c r="CC1279" s="581"/>
      <c r="CD1279" s="581"/>
      <c r="CE1279" s="581"/>
      <c r="CF1279" s="581"/>
      <c r="CG1279" s="586"/>
      <c r="CH1279" s="608"/>
      <c r="CI1279" s="603"/>
      <c r="CJ1279" s="347"/>
      <c r="CK1279" s="347"/>
      <c r="CL1279" s="347"/>
      <c r="CM1279" s="347"/>
      <c r="CN1279" s="347"/>
      <c r="CO1279" s="347"/>
      <c r="CP1279" s="347"/>
    </row>
    <row r="1280">
      <c r="A1280" s="574"/>
      <c r="B1280" s="574"/>
      <c r="C1280" s="347"/>
      <c r="D1280" s="574"/>
      <c r="E1280" s="347"/>
      <c r="F1280" s="596"/>
      <c r="G1280" s="596"/>
      <c r="H1280" s="347"/>
      <c r="I1280" s="347"/>
      <c r="J1280" s="596"/>
      <c r="K1280" s="609"/>
      <c r="L1280" s="1"/>
      <c r="M1280" s="347"/>
      <c r="N1280" s="347"/>
      <c r="O1280" s="579"/>
      <c r="P1280" s="579"/>
      <c r="Q1280" s="574"/>
      <c r="R1280" s="347"/>
      <c r="S1280" s="597"/>
      <c r="T1280" s="347"/>
      <c r="U1280" s="579"/>
      <c r="V1280" s="579"/>
      <c r="W1280" s="574"/>
      <c r="X1280" s="347"/>
      <c r="Y1280" s="347"/>
      <c r="Z1280" s="347"/>
      <c r="AA1280" s="579"/>
      <c r="AB1280" s="581"/>
      <c r="AC1280" s="347"/>
      <c r="AD1280" s="347"/>
      <c r="AE1280" s="347"/>
      <c r="AF1280" s="347"/>
      <c r="AG1280" s="579"/>
      <c r="AH1280" s="579"/>
      <c r="AI1280" s="582"/>
      <c r="AJ1280" s="582"/>
      <c r="AK1280" s="582"/>
      <c r="AL1280" s="582"/>
      <c r="AM1280" s="579"/>
      <c r="AN1280" s="579"/>
      <c r="AO1280" s="347"/>
      <c r="AP1280" s="586"/>
      <c r="AQ1280" s="596"/>
      <c r="AR1280" s="596"/>
      <c r="AS1280" s="348"/>
      <c r="AT1280" s="348"/>
      <c r="AU1280" s="348"/>
      <c r="AV1280" s="348"/>
      <c r="AW1280" s="348"/>
      <c r="AX1280" s="584"/>
      <c r="AY1280" s="581"/>
      <c r="AZ1280" s="581"/>
      <c r="BA1280" s="596"/>
      <c r="BB1280" s="596"/>
      <c r="BC1280" s="348"/>
      <c r="BD1280" s="581"/>
      <c r="BE1280" s="581"/>
      <c r="BF1280" s="347"/>
      <c r="BG1280" s="347"/>
      <c r="BH1280" s="347"/>
      <c r="BI1280" s="347"/>
      <c r="BJ1280" s="586"/>
      <c r="BK1280" s="581"/>
      <c r="BL1280" s="347"/>
      <c r="BM1280" s="347"/>
      <c r="BN1280" s="347"/>
      <c r="BO1280" s="586"/>
      <c r="BP1280" s="584"/>
      <c r="BQ1280" s="347"/>
      <c r="BR1280" s="586"/>
      <c r="BS1280" s="588"/>
      <c r="BT1280" s="586"/>
      <c r="BU1280" s="589"/>
      <c r="BV1280" s="581"/>
      <c r="BW1280" s="590"/>
      <c r="BX1280" s="347"/>
      <c r="BY1280" s="347"/>
      <c r="BZ1280" s="347"/>
      <c r="CA1280" s="586"/>
      <c r="CB1280" s="581"/>
      <c r="CC1280" s="581"/>
      <c r="CD1280" s="581"/>
      <c r="CE1280" s="581"/>
      <c r="CF1280" s="581"/>
      <c r="CG1280" s="586"/>
      <c r="CH1280" s="608"/>
      <c r="CI1280" s="603"/>
      <c r="CJ1280" s="347"/>
      <c r="CK1280" s="347"/>
      <c r="CL1280" s="347"/>
      <c r="CM1280" s="347"/>
      <c r="CN1280" s="347"/>
      <c r="CO1280" s="347"/>
      <c r="CP1280" s="347"/>
    </row>
    <row r="1281">
      <c r="A1281" s="574"/>
      <c r="B1281" s="574"/>
      <c r="C1281" s="347"/>
      <c r="D1281" s="574"/>
      <c r="E1281" s="347"/>
      <c r="F1281" s="596"/>
      <c r="G1281" s="596"/>
      <c r="H1281" s="347"/>
      <c r="I1281" s="347"/>
      <c r="J1281" s="596"/>
      <c r="K1281" s="609"/>
      <c r="L1281" s="1"/>
      <c r="M1281" s="347"/>
      <c r="N1281" s="347"/>
      <c r="O1281" s="579"/>
      <c r="P1281" s="579"/>
      <c r="Q1281" s="574"/>
      <c r="R1281" s="347"/>
      <c r="S1281" s="597"/>
      <c r="T1281" s="347"/>
      <c r="U1281" s="579"/>
      <c r="V1281" s="579"/>
      <c r="W1281" s="574"/>
      <c r="X1281" s="347"/>
      <c r="Y1281" s="347"/>
      <c r="Z1281" s="347"/>
      <c r="AA1281" s="579"/>
      <c r="AB1281" s="581"/>
      <c r="AC1281" s="347"/>
      <c r="AD1281" s="347"/>
      <c r="AE1281" s="347"/>
      <c r="AF1281" s="347"/>
      <c r="AG1281" s="579"/>
      <c r="AH1281" s="579"/>
      <c r="AI1281" s="582"/>
      <c r="AJ1281" s="582"/>
      <c r="AK1281" s="582"/>
      <c r="AL1281" s="582"/>
      <c r="AM1281" s="579"/>
      <c r="AN1281" s="579"/>
      <c r="AO1281" s="347"/>
      <c r="AP1281" s="586"/>
      <c r="AQ1281" s="596"/>
      <c r="AR1281" s="596"/>
      <c r="AS1281" s="348"/>
      <c r="AT1281" s="348"/>
      <c r="AU1281" s="348"/>
      <c r="AV1281" s="348"/>
      <c r="AW1281" s="348"/>
      <c r="AX1281" s="584"/>
      <c r="AY1281" s="581"/>
      <c r="AZ1281" s="581"/>
      <c r="BA1281" s="596"/>
      <c r="BB1281" s="596"/>
      <c r="BC1281" s="348"/>
      <c r="BD1281" s="581"/>
      <c r="BE1281" s="581"/>
      <c r="BF1281" s="347"/>
      <c r="BG1281" s="347"/>
      <c r="BH1281" s="347"/>
      <c r="BI1281" s="347"/>
      <c r="BJ1281" s="586"/>
      <c r="BK1281" s="581"/>
      <c r="BL1281" s="347"/>
      <c r="BM1281" s="347"/>
      <c r="BN1281" s="347"/>
      <c r="BO1281" s="586"/>
      <c r="BP1281" s="584"/>
      <c r="BQ1281" s="347"/>
      <c r="BR1281" s="586"/>
      <c r="BS1281" s="588"/>
      <c r="BT1281" s="586"/>
      <c r="BU1281" s="589"/>
      <c r="BV1281" s="581"/>
      <c r="BW1281" s="590"/>
      <c r="BX1281" s="347"/>
      <c r="BY1281" s="347"/>
      <c r="BZ1281" s="347"/>
      <c r="CA1281" s="586"/>
      <c r="CB1281" s="581"/>
      <c r="CC1281" s="581"/>
      <c r="CD1281" s="581"/>
      <c r="CE1281" s="581"/>
      <c r="CF1281" s="581"/>
      <c r="CG1281" s="586"/>
      <c r="CH1281" s="608"/>
      <c r="CI1281" s="603"/>
      <c r="CJ1281" s="347"/>
      <c r="CK1281" s="347"/>
      <c r="CL1281" s="347"/>
      <c r="CM1281" s="347"/>
      <c r="CN1281" s="347"/>
      <c r="CO1281" s="347"/>
      <c r="CP1281" s="347"/>
    </row>
    <row r="1282">
      <c r="A1282" s="574"/>
      <c r="B1282" s="574"/>
      <c r="C1282" s="347"/>
      <c r="D1282" s="574"/>
      <c r="E1282" s="347"/>
      <c r="F1282" s="596"/>
      <c r="G1282" s="596"/>
      <c r="H1282" s="347"/>
      <c r="I1282" s="347"/>
      <c r="J1282" s="596"/>
      <c r="K1282" s="609"/>
      <c r="L1282" s="1"/>
      <c r="M1282" s="347"/>
      <c r="N1282" s="347"/>
      <c r="O1282" s="579"/>
      <c r="P1282" s="579"/>
      <c r="Q1282" s="574"/>
      <c r="R1282" s="347"/>
      <c r="S1282" s="597"/>
      <c r="T1282" s="347"/>
      <c r="U1282" s="579"/>
      <c r="V1282" s="579"/>
      <c r="W1282" s="574"/>
      <c r="X1282" s="347"/>
      <c r="Y1282" s="347"/>
      <c r="Z1282" s="347"/>
      <c r="AA1282" s="579"/>
      <c r="AB1282" s="581"/>
      <c r="AC1282" s="347"/>
      <c r="AD1282" s="347"/>
      <c r="AE1282" s="347"/>
      <c r="AF1282" s="347"/>
      <c r="AG1282" s="579"/>
      <c r="AH1282" s="579"/>
      <c r="AI1282" s="582"/>
      <c r="AJ1282" s="582"/>
      <c r="AK1282" s="582"/>
      <c r="AL1282" s="582"/>
      <c r="AM1282" s="579"/>
      <c r="AN1282" s="579"/>
      <c r="AO1282" s="347"/>
      <c r="AP1282" s="586"/>
      <c r="AQ1282" s="596"/>
      <c r="AR1282" s="596"/>
      <c r="AS1282" s="348"/>
      <c r="AT1282" s="348"/>
      <c r="AU1282" s="348"/>
      <c r="AV1282" s="348"/>
      <c r="AW1282" s="348"/>
      <c r="AX1282" s="584"/>
      <c r="AY1282" s="581"/>
      <c r="AZ1282" s="581"/>
      <c r="BA1282" s="596"/>
      <c r="BB1282" s="596"/>
      <c r="BC1282" s="348"/>
      <c r="BD1282" s="581"/>
      <c r="BE1282" s="581"/>
      <c r="BF1282" s="347"/>
      <c r="BG1282" s="347"/>
      <c r="BH1282" s="347"/>
      <c r="BI1282" s="347"/>
      <c r="BJ1282" s="586"/>
      <c r="BK1282" s="581"/>
      <c r="BL1282" s="347"/>
      <c r="BM1282" s="347"/>
      <c r="BN1282" s="347"/>
      <c r="BO1282" s="586"/>
      <c r="BP1282" s="584"/>
      <c r="BQ1282" s="347"/>
      <c r="BR1282" s="586"/>
      <c r="BS1282" s="588"/>
      <c r="BT1282" s="586"/>
      <c r="BU1282" s="589"/>
      <c r="BV1282" s="581"/>
      <c r="BW1282" s="590"/>
      <c r="BX1282" s="347"/>
      <c r="BY1282" s="347"/>
      <c r="BZ1282" s="347"/>
      <c r="CA1282" s="586"/>
      <c r="CB1282" s="581"/>
      <c r="CC1282" s="581"/>
      <c r="CD1282" s="581"/>
      <c r="CE1282" s="581"/>
      <c r="CF1282" s="581"/>
      <c r="CG1282" s="586"/>
      <c r="CH1282" s="608"/>
      <c r="CI1282" s="603"/>
      <c r="CJ1282" s="347"/>
      <c r="CK1282" s="347"/>
      <c r="CL1282" s="347"/>
      <c r="CM1282" s="347"/>
      <c r="CN1282" s="347"/>
      <c r="CO1282" s="347"/>
      <c r="CP1282" s="347"/>
    </row>
    <row r="1283">
      <c r="A1283" s="574"/>
      <c r="B1283" s="574"/>
      <c r="C1283" s="347"/>
      <c r="D1283" s="574"/>
      <c r="E1283" s="347"/>
      <c r="F1283" s="596"/>
      <c r="G1283" s="596"/>
      <c r="H1283" s="347"/>
      <c r="I1283" s="347"/>
      <c r="J1283" s="596"/>
      <c r="K1283" s="609"/>
      <c r="L1283" s="1"/>
      <c r="M1283" s="347"/>
      <c r="N1283" s="347"/>
      <c r="O1283" s="579"/>
      <c r="P1283" s="579"/>
      <c r="Q1283" s="574"/>
      <c r="R1283" s="347"/>
      <c r="S1283" s="597"/>
      <c r="T1283" s="347"/>
      <c r="U1283" s="579"/>
      <c r="V1283" s="579"/>
      <c r="W1283" s="574"/>
      <c r="X1283" s="347"/>
      <c r="Y1283" s="347"/>
      <c r="Z1283" s="347"/>
      <c r="AA1283" s="579"/>
      <c r="AB1283" s="581"/>
      <c r="AC1283" s="347"/>
      <c r="AD1283" s="347"/>
      <c r="AE1283" s="347"/>
      <c r="AF1283" s="347"/>
      <c r="AG1283" s="579"/>
      <c r="AH1283" s="579"/>
      <c r="AI1283" s="582"/>
      <c r="AJ1283" s="582"/>
      <c r="AK1283" s="582"/>
      <c r="AL1283" s="582"/>
      <c r="AM1283" s="579"/>
      <c r="AN1283" s="579"/>
      <c r="AO1283" s="347"/>
      <c r="AP1283" s="586"/>
      <c r="AQ1283" s="596"/>
      <c r="AR1283" s="596"/>
      <c r="AS1283" s="348"/>
      <c r="AT1283" s="348"/>
      <c r="AU1283" s="348"/>
      <c r="AV1283" s="348"/>
      <c r="AW1283" s="348"/>
      <c r="AX1283" s="584"/>
      <c r="AY1283" s="581"/>
      <c r="AZ1283" s="581"/>
      <c r="BA1283" s="596"/>
      <c r="BB1283" s="596"/>
      <c r="BC1283" s="348"/>
      <c r="BD1283" s="581"/>
      <c r="BE1283" s="581"/>
      <c r="BF1283" s="347"/>
      <c r="BG1283" s="347"/>
      <c r="BH1283" s="347"/>
      <c r="BI1283" s="347"/>
      <c r="BJ1283" s="586"/>
      <c r="BK1283" s="581"/>
      <c r="BL1283" s="347"/>
      <c r="BM1283" s="347"/>
      <c r="BN1283" s="347"/>
      <c r="BO1283" s="586"/>
      <c r="BP1283" s="584"/>
      <c r="BQ1283" s="347"/>
      <c r="BR1283" s="586"/>
      <c r="BS1283" s="588"/>
      <c r="BT1283" s="586"/>
      <c r="BU1283" s="589"/>
      <c r="BV1283" s="581"/>
      <c r="BW1283" s="590"/>
      <c r="BX1283" s="347"/>
      <c r="BY1283" s="347"/>
      <c r="BZ1283" s="347"/>
      <c r="CA1283" s="586"/>
      <c r="CB1283" s="581"/>
      <c r="CC1283" s="581"/>
      <c r="CD1283" s="581"/>
      <c r="CE1283" s="581"/>
      <c r="CF1283" s="581"/>
      <c r="CG1283" s="586"/>
      <c r="CH1283" s="608"/>
      <c r="CI1283" s="603"/>
      <c r="CJ1283" s="347"/>
      <c r="CK1283" s="347"/>
      <c r="CL1283" s="347"/>
      <c r="CM1283" s="347"/>
      <c r="CN1283" s="347"/>
      <c r="CO1283" s="347"/>
      <c r="CP1283" s="347"/>
    </row>
    <row r="1284">
      <c r="A1284" s="574"/>
      <c r="B1284" s="574"/>
      <c r="C1284" s="347"/>
      <c r="D1284" s="574"/>
      <c r="E1284" s="347"/>
      <c r="F1284" s="596"/>
      <c r="G1284" s="596"/>
      <c r="H1284" s="347"/>
      <c r="I1284" s="347"/>
      <c r="J1284" s="596"/>
      <c r="K1284" s="609"/>
      <c r="L1284" s="1"/>
      <c r="M1284" s="347"/>
      <c r="N1284" s="347"/>
      <c r="O1284" s="579"/>
      <c r="P1284" s="579"/>
      <c r="Q1284" s="574"/>
      <c r="R1284" s="347"/>
      <c r="S1284" s="597"/>
      <c r="T1284" s="347"/>
      <c r="U1284" s="579"/>
      <c r="V1284" s="579"/>
      <c r="W1284" s="574"/>
      <c r="X1284" s="347"/>
      <c r="Y1284" s="347"/>
      <c r="Z1284" s="347"/>
      <c r="AA1284" s="579"/>
      <c r="AB1284" s="581"/>
      <c r="AC1284" s="347"/>
      <c r="AD1284" s="347"/>
      <c r="AE1284" s="347"/>
      <c r="AF1284" s="347"/>
      <c r="AG1284" s="579"/>
      <c r="AH1284" s="579"/>
      <c r="AI1284" s="582"/>
      <c r="AJ1284" s="582"/>
      <c r="AK1284" s="582"/>
      <c r="AL1284" s="582"/>
      <c r="AM1284" s="579"/>
      <c r="AN1284" s="579"/>
      <c r="AO1284" s="347"/>
      <c r="AP1284" s="586"/>
      <c r="AQ1284" s="596"/>
      <c r="AR1284" s="596"/>
      <c r="AS1284" s="348"/>
      <c r="AT1284" s="348"/>
      <c r="AU1284" s="348"/>
      <c r="AV1284" s="348"/>
      <c r="AW1284" s="348"/>
      <c r="AX1284" s="584"/>
      <c r="AY1284" s="581"/>
      <c r="AZ1284" s="581"/>
      <c r="BA1284" s="596"/>
      <c r="BB1284" s="596"/>
      <c r="BC1284" s="348"/>
      <c r="BD1284" s="581"/>
      <c r="BE1284" s="581"/>
      <c r="BF1284" s="347"/>
      <c r="BG1284" s="347"/>
      <c r="BH1284" s="347"/>
      <c r="BI1284" s="347"/>
      <c r="BJ1284" s="586"/>
      <c r="BK1284" s="581"/>
      <c r="BL1284" s="347"/>
      <c r="BM1284" s="347"/>
      <c r="BN1284" s="347"/>
      <c r="BO1284" s="586"/>
      <c r="BP1284" s="584"/>
      <c r="BQ1284" s="347"/>
      <c r="BR1284" s="586"/>
      <c r="BS1284" s="588"/>
      <c r="BT1284" s="586"/>
      <c r="BU1284" s="589"/>
      <c r="BV1284" s="581"/>
      <c r="BW1284" s="590"/>
      <c r="BX1284" s="347"/>
      <c r="BY1284" s="347"/>
      <c r="BZ1284" s="347"/>
      <c r="CA1284" s="586"/>
      <c r="CB1284" s="581"/>
      <c r="CC1284" s="581"/>
      <c r="CD1284" s="581"/>
      <c r="CE1284" s="581"/>
      <c r="CF1284" s="581"/>
      <c r="CG1284" s="586"/>
      <c r="CH1284" s="608"/>
      <c r="CI1284" s="603"/>
      <c r="CJ1284" s="347"/>
      <c r="CK1284" s="347"/>
      <c r="CL1284" s="347"/>
      <c r="CM1284" s="347"/>
      <c r="CN1284" s="347"/>
      <c r="CO1284" s="347"/>
      <c r="CP1284" s="347"/>
    </row>
    <row r="1285">
      <c r="A1285" s="574"/>
      <c r="B1285" s="574"/>
      <c r="C1285" s="347"/>
      <c r="D1285" s="574"/>
      <c r="E1285" s="347"/>
      <c r="F1285" s="596"/>
      <c r="G1285" s="596"/>
      <c r="H1285" s="347"/>
      <c r="I1285" s="347"/>
      <c r="J1285" s="596"/>
      <c r="K1285" s="609"/>
      <c r="L1285" s="1"/>
      <c r="M1285" s="347"/>
      <c r="N1285" s="347"/>
      <c r="O1285" s="579"/>
      <c r="P1285" s="579"/>
      <c r="Q1285" s="574"/>
      <c r="R1285" s="347"/>
      <c r="S1285" s="597"/>
      <c r="T1285" s="347"/>
      <c r="U1285" s="579"/>
      <c r="V1285" s="579"/>
      <c r="W1285" s="574"/>
      <c r="X1285" s="347"/>
      <c r="Y1285" s="347"/>
      <c r="Z1285" s="347"/>
      <c r="AA1285" s="579"/>
      <c r="AB1285" s="581"/>
      <c r="AC1285" s="347"/>
      <c r="AD1285" s="347"/>
      <c r="AE1285" s="347"/>
      <c r="AF1285" s="347"/>
      <c r="AG1285" s="579"/>
      <c r="AH1285" s="579"/>
      <c r="AI1285" s="582"/>
      <c r="AJ1285" s="582"/>
      <c r="AK1285" s="582"/>
      <c r="AL1285" s="582"/>
      <c r="AM1285" s="579"/>
      <c r="AN1285" s="579"/>
      <c r="AO1285" s="347"/>
      <c r="AP1285" s="586"/>
      <c r="AQ1285" s="596"/>
      <c r="AR1285" s="596"/>
      <c r="AS1285" s="348"/>
      <c r="AT1285" s="348"/>
      <c r="AU1285" s="348"/>
      <c r="AV1285" s="348"/>
      <c r="AW1285" s="348"/>
      <c r="AX1285" s="584"/>
      <c r="AY1285" s="581"/>
      <c r="AZ1285" s="581"/>
      <c r="BA1285" s="596"/>
      <c r="BB1285" s="596"/>
      <c r="BC1285" s="348"/>
      <c r="BD1285" s="581"/>
      <c r="BE1285" s="581"/>
      <c r="BF1285" s="347"/>
      <c r="BG1285" s="347"/>
      <c r="BH1285" s="347"/>
      <c r="BI1285" s="347"/>
      <c r="BJ1285" s="586"/>
      <c r="BK1285" s="581"/>
      <c r="BL1285" s="347"/>
      <c r="BM1285" s="347"/>
      <c r="BN1285" s="347"/>
      <c r="BO1285" s="586"/>
      <c r="BP1285" s="584"/>
      <c r="BQ1285" s="347"/>
      <c r="BR1285" s="586"/>
      <c r="BS1285" s="588"/>
      <c r="BT1285" s="586"/>
      <c r="BU1285" s="589"/>
      <c r="BV1285" s="581"/>
      <c r="BW1285" s="590"/>
      <c r="BX1285" s="347"/>
      <c r="BY1285" s="347"/>
      <c r="BZ1285" s="347"/>
      <c r="CA1285" s="586"/>
      <c r="CB1285" s="581"/>
      <c r="CC1285" s="581"/>
      <c r="CD1285" s="581"/>
      <c r="CE1285" s="581"/>
      <c r="CF1285" s="581"/>
      <c r="CG1285" s="586"/>
      <c r="CH1285" s="608"/>
      <c r="CI1285" s="603"/>
      <c r="CJ1285" s="347"/>
      <c r="CK1285" s="347"/>
      <c r="CL1285" s="347"/>
      <c r="CM1285" s="347"/>
      <c r="CN1285" s="347"/>
      <c r="CO1285" s="347"/>
      <c r="CP1285" s="347"/>
    </row>
    <row r="1286">
      <c r="A1286" s="574"/>
      <c r="B1286" s="574"/>
      <c r="C1286" s="347"/>
      <c r="D1286" s="574"/>
      <c r="E1286" s="347"/>
      <c r="F1286" s="596"/>
      <c r="G1286" s="596"/>
      <c r="H1286" s="347"/>
      <c r="I1286" s="347"/>
      <c r="J1286" s="596"/>
      <c r="K1286" s="609"/>
      <c r="L1286" s="1"/>
      <c r="M1286" s="347"/>
      <c r="N1286" s="347"/>
      <c r="O1286" s="579"/>
      <c r="P1286" s="579"/>
      <c r="Q1286" s="574"/>
      <c r="R1286" s="347"/>
      <c r="S1286" s="597"/>
      <c r="T1286" s="347"/>
      <c r="U1286" s="579"/>
      <c r="V1286" s="579"/>
      <c r="W1286" s="574"/>
      <c r="X1286" s="347"/>
      <c r="Y1286" s="347"/>
      <c r="Z1286" s="347"/>
      <c r="AA1286" s="579"/>
      <c r="AB1286" s="581"/>
      <c r="AC1286" s="347"/>
      <c r="AD1286" s="347"/>
      <c r="AE1286" s="347"/>
      <c r="AF1286" s="347"/>
      <c r="AG1286" s="579"/>
      <c r="AH1286" s="579"/>
      <c r="AI1286" s="582"/>
      <c r="AJ1286" s="582"/>
      <c r="AK1286" s="582"/>
      <c r="AL1286" s="582"/>
      <c r="AM1286" s="579"/>
      <c r="AN1286" s="579"/>
      <c r="AO1286" s="347"/>
      <c r="AP1286" s="586"/>
      <c r="AQ1286" s="596"/>
      <c r="AR1286" s="596"/>
      <c r="AS1286" s="348"/>
      <c r="AT1286" s="348"/>
      <c r="AU1286" s="348"/>
      <c r="AV1286" s="348"/>
      <c r="AW1286" s="348"/>
      <c r="AX1286" s="584"/>
      <c r="AY1286" s="581"/>
      <c r="AZ1286" s="581"/>
      <c r="BA1286" s="596"/>
      <c r="BB1286" s="596"/>
      <c r="BC1286" s="348"/>
      <c r="BD1286" s="581"/>
      <c r="BE1286" s="581"/>
      <c r="BF1286" s="347"/>
      <c r="BG1286" s="347"/>
      <c r="BH1286" s="347"/>
      <c r="BI1286" s="347"/>
      <c r="BJ1286" s="586"/>
      <c r="BK1286" s="581"/>
      <c r="BL1286" s="347"/>
      <c r="BM1286" s="347"/>
      <c r="BN1286" s="347"/>
      <c r="BO1286" s="586"/>
      <c r="BP1286" s="584"/>
      <c r="BQ1286" s="347"/>
      <c r="BR1286" s="586"/>
      <c r="BS1286" s="588"/>
      <c r="BT1286" s="586"/>
      <c r="BU1286" s="589"/>
      <c r="BV1286" s="581"/>
      <c r="BW1286" s="590"/>
      <c r="BX1286" s="347"/>
      <c r="BY1286" s="347"/>
      <c r="BZ1286" s="347"/>
      <c r="CA1286" s="586"/>
      <c r="CB1286" s="581"/>
      <c r="CC1286" s="581"/>
      <c r="CD1286" s="581"/>
      <c r="CE1286" s="581"/>
      <c r="CF1286" s="581"/>
      <c r="CG1286" s="586"/>
      <c r="CH1286" s="608"/>
      <c r="CI1286" s="603"/>
      <c r="CJ1286" s="347"/>
      <c r="CK1286" s="347"/>
      <c r="CL1286" s="347"/>
      <c r="CM1286" s="347"/>
      <c r="CN1286" s="347"/>
      <c r="CO1286" s="347"/>
      <c r="CP1286" s="347"/>
    </row>
    <row r="1287">
      <c r="A1287" s="574"/>
      <c r="B1287" s="574"/>
      <c r="C1287" s="347"/>
      <c r="D1287" s="574"/>
      <c r="E1287" s="347"/>
      <c r="F1287" s="596"/>
      <c r="G1287" s="596"/>
      <c r="H1287" s="347"/>
      <c r="I1287" s="347"/>
      <c r="J1287" s="596"/>
      <c r="K1287" s="609"/>
      <c r="L1287" s="1"/>
      <c r="M1287" s="347"/>
      <c r="N1287" s="347"/>
      <c r="O1287" s="579"/>
      <c r="P1287" s="579"/>
      <c r="Q1287" s="574"/>
      <c r="R1287" s="347"/>
      <c r="S1287" s="597"/>
      <c r="T1287" s="347"/>
      <c r="U1287" s="579"/>
      <c r="V1287" s="579"/>
      <c r="W1287" s="574"/>
      <c r="X1287" s="347"/>
      <c r="Y1287" s="347"/>
      <c r="Z1287" s="347"/>
      <c r="AA1287" s="579"/>
      <c r="AB1287" s="581"/>
      <c r="AC1287" s="347"/>
      <c r="AD1287" s="347"/>
      <c r="AE1287" s="347"/>
      <c r="AF1287" s="347"/>
      <c r="AG1287" s="579"/>
      <c r="AH1287" s="579"/>
      <c r="AI1287" s="582"/>
      <c r="AJ1287" s="582"/>
      <c r="AK1287" s="582"/>
      <c r="AL1287" s="582"/>
      <c r="AM1287" s="579"/>
      <c r="AN1287" s="579"/>
      <c r="AO1287" s="347"/>
      <c r="AP1287" s="586"/>
      <c r="AQ1287" s="596"/>
      <c r="AR1287" s="596"/>
      <c r="AS1287" s="348"/>
      <c r="AT1287" s="348"/>
      <c r="AU1287" s="348"/>
      <c r="AV1287" s="348"/>
      <c r="AW1287" s="348"/>
      <c r="AX1287" s="584"/>
      <c r="AY1287" s="581"/>
      <c r="AZ1287" s="581"/>
      <c r="BA1287" s="596"/>
      <c r="BB1287" s="596"/>
      <c r="BC1287" s="348"/>
      <c r="BD1287" s="581"/>
      <c r="BE1287" s="581"/>
      <c r="BF1287" s="347"/>
      <c r="BG1287" s="347"/>
      <c r="BH1287" s="347"/>
      <c r="BI1287" s="347"/>
      <c r="BJ1287" s="586"/>
      <c r="BK1287" s="581"/>
      <c r="BL1287" s="347"/>
      <c r="BM1287" s="347"/>
      <c r="BN1287" s="347"/>
      <c r="BO1287" s="586"/>
      <c r="BP1287" s="584"/>
      <c r="BQ1287" s="347"/>
      <c r="BR1287" s="586"/>
      <c r="BS1287" s="588"/>
      <c r="BT1287" s="586"/>
      <c r="BU1287" s="589"/>
      <c r="BV1287" s="581"/>
      <c r="BW1287" s="590"/>
      <c r="BX1287" s="347"/>
      <c r="BY1287" s="347"/>
      <c r="BZ1287" s="347"/>
      <c r="CA1287" s="586"/>
      <c r="CB1287" s="581"/>
      <c r="CC1287" s="581"/>
      <c r="CD1287" s="581"/>
      <c r="CE1287" s="581"/>
      <c r="CF1287" s="581"/>
      <c r="CG1287" s="586"/>
      <c r="CH1287" s="608"/>
      <c r="CI1287" s="603"/>
      <c r="CJ1287" s="347"/>
      <c r="CK1287" s="347"/>
      <c r="CL1287" s="347"/>
      <c r="CM1287" s="347"/>
      <c r="CN1287" s="347"/>
      <c r="CO1287" s="347"/>
      <c r="CP1287" s="347"/>
    </row>
    <row r="1288">
      <c r="A1288" s="574"/>
      <c r="B1288" s="574"/>
      <c r="C1288" s="347"/>
      <c r="D1288" s="574"/>
      <c r="E1288" s="347"/>
      <c r="F1288" s="596"/>
      <c r="G1288" s="596"/>
      <c r="H1288" s="347"/>
      <c r="I1288" s="347"/>
      <c r="J1288" s="596"/>
      <c r="K1288" s="609"/>
      <c r="L1288" s="1"/>
      <c r="M1288" s="347"/>
      <c r="N1288" s="347"/>
      <c r="O1288" s="579"/>
      <c r="P1288" s="579"/>
      <c r="Q1288" s="574"/>
      <c r="R1288" s="347"/>
      <c r="S1288" s="597"/>
      <c r="T1288" s="347"/>
      <c r="U1288" s="579"/>
      <c r="V1288" s="579"/>
      <c r="W1288" s="574"/>
      <c r="X1288" s="347"/>
      <c r="Y1288" s="347"/>
      <c r="Z1288" s="347"/>
      <c r="AA1288" s="579"/>
      <c r="AB1288" s="581"/>
      <c r="AC1288" s="347"/>
      <c r="AD1288" s="347"/>
      <c r="AE1288" s="347"/>
      <c r="AF1288" s="347"/>
      <c r="AG1288" s="579"/>
      <c r="AH1288" s="579"/>
      <c r="AI1288" s="582"/>
      <c r="AJ1288" s="582"/>
      <c r="AK1288" s="582"/>
      <c r="AL1288" s="582"/>
      <c r="AM1288" s="579"/>
      <c r="AN1288" s="579"/>
      <c r="AO1288" s="347"/>
      <c r="AP1288" s="586"/>
      <c r="AQ1288" s="596"/>
      <c r="AR1288" s="596"/>
      <c r="AS1288" s="348"/>
      <c r="AT1288" s="348"/>
      <c r="AU1288" s="348"/>
      <c r="AV1288" s="348"/>
      <c r="AW1288" s="348"/>
      <c r="AX1288" s="584"/>
      <c r="AY1288" s="581"/>
      <c r="AZ1288" s="581"/>
      <c r="BA1288" s="596"/>
      <c r="BB1288" s="596"/>
      <c r="BC1288" s="348"/>
      <c r="BD1288" s="581"/>
      <c r="BE1288" s="581"/>
      <c r="BF1288" s="347"/>
      <c r="BG1288" s="347"/>
      <c r="BH1288" s="347"/>
      <c r="BI1288" s="347"/>
      <c r="BJ1288" s="586"/>
      <c r="BK1288" s="581"/>
      <c r="BL1288" s="347"/>
      <c r="BM1288" s="347"/>
      <c r="BN1288" s="347"/>
      <c r="BO1288" s="586"/>
      <c r="BP1288" s="584"/>
      <c r="BQ1288" s="347"/>
      <c r="BR1288" s="586"/>
      <c r="BS1288" s="588"/>
      <c r="BT1288" s="586"/>
      <c r="BU1288" s="589"/>
      <c r="BV1288" s="581"/>
      <c r="BW1288" s="590"/>
      <c r="BX1288" s="347"/>
      <c r="BY1288" s="347"/>
      <c r="BZ1288" s="347"/>
      <c r="CA1288" s="586"/>
      <c r="CB1288" s="581"/>
      <c r="CC1288" s="581"/>
      <c r="CD1288" s="581"/>
      <c r="CE1288" s="581"/>
      <c r="CF1288" s="581"/>
      <c r="CG1288" s="586"/>
      <c r="CH1288" s="608"/>
      <c r="CI1288" s="603"/>
      <c r="CJ1288" s="347"/>
      <c r="CK1288" s="347"/>
      <c r="CL1288" s="347"/>
      <c r="CM1288" s="347"/>
      <c r="CN1288" s="347"/>
      <c r="CO1288" s="347"/>
      <c r="CP1288" s="347"/>
    </row>
    <row r="1289">
      <c r="A1289" s="574"/>
      <c r="B1289" s="574"/>
      <c r="C1289" s="347"/>
      <c r="D1289" s="574"/>
      <c r="E1289" s="347"/>
      <c r="F1289" s="596"/>
      <c r="G1289" s="596"/>
      <c r="H1289" s="347"/>
      <c r="I1289" s="347"/>
      <c r="J1289" s="596"/>
      <c r="K1289" s="609"/>
      <c r="L1289" s="1"/>
      <c r="M1289" s="347"/>
      <c r="N1289" s="347"/>
      <c r="O1289" s="579"/>
      <c r="P1289" s="579"/>
      <c r="Q1289" s="574"/>
      <c r="R1289" s="347"/>
      <c r="S1289" s="597"/>
      <c r="T1289" s="347"/>
      <c r="U1289" s="579"/>
      <c r="V1289" s="579"/>
      <c r="W1289" s="574"/>
      <c r="X1289" s="347"/>
      <c r="Y1289" s="347"/>
      <c r="Z1289" s="347"/>
      <c r="AA1289" s="579"/>
      <c r="AB1289" s="581"/>
      <c r="AC1289" s="347"/>
      <c r="AD1289" s="347"/>
      <c r="AE1289" s="347"/>
      <c r="AF1289" s="347"/>
      <c r="AG1289" s="579"/>
      <c r="AH1289" s="579"/>
      <c r="AI1289" s="582"/>
      <c r="AJ1289" s="582"/>
      <c r="AK1289" s="582"/>
      <c r="AL1289" s="582"/>
      <c r="AM1289" s="579"/>
      <c r="AN1289" s="579"/>
      <c r="AO1289" s="347"/>
      <c r="AP1289" s="586"/>
      <c r="AQ1289" s="596"/>
      <c r="AR1289" s="596"/>
      <c r="AS1289" s="348"/>
      <c r="AT1289" s="348"/>
      <c r="AU1289" s="348"/>
      <c r="AV1289" s="348"/>
      <c r="AW1289" s="348"/>
      <c r="AX1289" s="584"/>
      <c r="AY1289" s="581"/>
      <c r="AZ1289" s="581"/>
      <c r="BA1289" s="596"/>
      <c r="BB1289" s="596"/>
      <c r="BC1289" s="348"/>
      <c r="BD1289" s="581"/>
      <c r="BE1289" s="581"/>
      <c r="BF1289" s="347"/>
      <c r="BG1289" s="347"/>
      <c r="BH1289" s="347"/>
      <c r="BI1289" s="347"/>
      <c r="BJ1289" s="586"/>
      <c r="BK1289" s="581"/>
      <c r="BL1289" s="347"/>
      <c r="BM1289" s="347"/>
      <c r="BN1289" s="347"/>
      <c r="BO1289" s="586"/>
      <c r="BP1289" s="584"/>
      <c r="BQ1289" s="347"/>
      <c r="BR1289" s="586"/>
      <c r="BS1289" s="588"/>
      <c r="BT1289" s="586"/>
      <c r="BU1289" s="589"/>
      <c r="BV1289" s="581"/>
      <c r="BW1289" s="590"/>
      <c r="BX1289" s="347"/>
      <c r="BY1289" s="347"/>
      <c r="BZ1289" s="347"/>
      <c r="CA1289" s="586"/>
      <c r="CB1289" s="581"/>
      <c r="CC1289" s="581"/>
      <c r="CD1289" s="581"/>
      <c r="CE1289" s="581"/>
      <c r="CF1289" s="581"/>
      <c r="CG1289" s="586"/>
      <c r="CH1289" s="608"/>
      <c r="CI1289" s="603"/>
      <c r="CJ1289" s="347"/>
      <c r="CK1289" s="347"/>
      <c r="CL1289" s="347"/>
      <c r="CM1289" s="347"/>
      <c r="CN1289" s="347"/>
      <c r="CO1289" s="347"/>
      <c r="CP1289" s="347"/>
    </row>
    <row r="1290">
      <c r="A1290" s="574"/>
      <c r="B1290" s="574"/>
      <c r="C1290" s="347"/>
      <c r="D1290" s="574"/>
      <c r="E1290" s="347"/>
      <c r="F1290" s="596"/>
      <c r="G1290" s="596"/>
      <c r="H1290" s="347"/>
      <c r="I1290" s="347"/>
      <c r="J1290" s="596"/>
      <c r="K1290" s="609"/>
      <c r="L1290" s="1"/>
      <c r="M1290" s="347"/>
      <c r="N1290" s="347"/>
      <c r="O1290" s="579"/>
      <c r="P1290" s="579"/>
      <c r="Q1290" s="574"/>
      <c r="R1290" s="347"/>
      <c r="S1290" s="597"/>
      <c r="T1290" s="347"/>
      <c r="U1290" s="579"/>
      <c r="V1290" s="579"/>
      <c r="W1290" s="574"/>
      <c r="X1290" s="347"/>
      <c r="Y1290" s="347"/>
      <c r="Z1290" s="347"/>
      <c r="AA1290" s="579"/>
      <c r="AB1290" s="581"/>
      <c r="AC1290" s="347"/>
      <c r="AD1290" s="347"/>
      <c r="AE1290" s="347"/>
      <c r="AF1290" s="347"/>
      <c r="AG1290" s="579"/>
      <c r="AH1290" s="579"/>
      <c r="AI1290" s="582"/>
      <c r="AJ1290" s="582"/>
      <c r="AK1290" s="582"/>
      <c r="AL1290" s="582"/>
      <c r="AM1290" s="579"/>
      <c r="AN1290" s="579"/>
      <c r="AO1290" s="347"/>
      <c r="AP1290" s="586"/>
      <c r="AQ1290" s="596"/>
      <c r="AR1290" s="596"/>
      <c r="AS1290" s="348"/>
      <c r="AT1290" s="348"/>
      <c r="AU1290" s="348"/>
      <c r="AV1290" s="348"/>
      <c r="AW1290" s="348"/>
      <c r="AX1290" s="584"/>
      <c r="AY1290" s="581"/>
      <c r="AZ1290" s="581"/>
      <c r="BA1290" s="596"/>
      <c r="BB1290" s="596"/>
      <c r="BC1290" s="348"/>
      <c r="BD1290" s="581"/>
      <c r="BE1290" s="581"/>
      <c r="BF1290" s="347"/>
      <c r="BG1290" s="347"/>
      <c r="BH1290" s="347"/>
      <c r="BI1290" s="347"/>
      <c r="BJ1290" s="586"/>
      <c r="BK1290" s="581"/>
      <c r="BL1290" s="347"/>
      <c r="BM1290" s="347"/>
      <c r="BN1290" s="347"/>
      <c r="BO1290" s="586"/>
      <c r="BP1290" s="584"/>
      <c r="BQ1290" s="347"/>
      <c r="BR1290" s="586"/>
      <c r="BS1290" s="588"/>
      <c r="BT1290" s="586"/>
      <c r="BU1290" s="589"/>
      <c r="BV1290" s="581"/>
      <c r="BW1290" s="590"/>
      <c r="BX1290" s="347"/>
      <c r="BY1290" s="347"/>
      <c r="BZ1290" s="347"/>
      <c r="CA1290" s="586"/>
      <c r="CB1290" s="581"/>
      <c r="CC1290" s="581"/>
      <c r="CD1290" s="581"/>
      <c r="CE1290" s="581"/>
      <c r="CF1290" s="581"/>
      <c r="CG1290" s="586"/>
      <c r="CH1290" s="608"/>
      <c r="CI1290" s="603"/>
      <c r="CJ1290" s="347"/>
      <c r="CK1290" s="347"/>
      <c r="CL1290" s="347"/>
      <c r="CM1290" s="347"/>
      <c r="CN1290" s="347"/>
      <c r="CO1290" s="347"/>
      <c r="CP1290" s="347"/>
    </row>
    <row r="1291">
      <c r="A1291" s="574"/>
      <c r="B1291" s="574"/>
      <c r="C1291" s="347"/>
      <c r="D1291" s="574"/>
      <c r="E1291" s="347"/>
      <c r="F1291" s="596"/>
      <c r="G1291" s="596"/>
      <c r="H1291" s="347"/>
      <c r="I1291" s="347"/>
      <c r="J1291" s="596"/>
      <c r="K1291" s="609"/>
      <c r="L1291" s="1"/>
      <c r="M1291" s="347"/>
      <c r="N1291" s="347"/>
      <c r="O1291" s="579"/>
      <c r="P1291" s="579"/>
      <c r="Q1291" s="574"/>
      <c r="R1291" s="347"/>
      <c r="S1291" s="597"/>
      <c r="T1291" s="347"/>
      <c r="U1291" s="579"/>
      <c r="V1291" s="579"/>
      <c r="W1291" s="574"/>
      <c r="X1291" s="347"/>
      <c r="Y1291" s="347"/>
      <c r="Z1291" s="347"/>
      <c r="AA1291" s="579"/>
      <c r="AB1291" s="581"/>
      <c r="AC1291" s="347"/>
      <c r="AD1291" s="347"/>
      <c r="AE1291" s="347"/>
      <c r="AF1291" s="347"/>
      <c r="AG1291" s="579"/>
      <c r="AH1291" s="579"/>
      <c r="AI1291" s="582"/>
      <c r="AJ1291" s="582"/>
      <c r="AK1291" s="582"/>
      <c r="AL1291" s="582"/>
      <c r="AM1291" s="579"/>
      <c r="AN1291" s="579"/>
      <c r="AO1291" s="347"/>
      <c r="AP1291" s="586"/>
      <c r="AQ1291" s="596"/>
      <c r="AR1291" s="596"/>
      <c r="AS1291" s="348"/>
      <c r="AT1291" s="348"/>
      <c r="AU1291" s="348"/>
      <c r="AV1291" s="348"/>
      <c r="AW1291" s="348"/>
      <c r="AX1291" s="584"/>
      <c r="AY1291" s="581"/>
      <c r="AZ1291" s="581"/>
      <c r="BA1291" s="596"/>
      <c r="BB1291" s="596"/>
      <c r="BC1291" s="348"/>
      <c r="BD1291" s="581"/>
      <c r="BE1291" s="581"/>
      <c r="BF1291" s="347"/>
      <c r="BG1291" s="347"/>
      <c r="BH1291" s="347"/>
      <c r="BI1291" s="347"/>
      <c r="BJ1291" s="586"/>
      <c r="BK1291" s="581"/>
      <c r="BL1291" s="347"/>
      <c r="BM1291" s="347"/>
      <c r="BN1291" s="347"/>
      <c r="BO1291" s="586"/>
      <c r="BP1291" s="584"/>
      <c r="BQ1291" s="347"/>
      <c r="BR1291" s="586"/>
      <c r="BS1291" s="588"/>
      <c r="BT1291" s="586"/>
      <c r="BU1291" s="589"/>
      <c r="BV1291" s="581"/>
      <c r="BW1291" s="590"/>
      <c r="BX1291" s="347"/>
      <c r="BY1291" s="347"/>
      <c r="BZ1291" s="347"/>
      <c r="CA1291" s="586"/>
      <c r="CB1291" s="581"/>
      <c r="CC1291" s="581"/>
      <c r="CD1291" s="581"/>
      <c r="CE1291" s="581"/>
      <c r="CF1291" s="581"/>
      <c r="CG1291" s="586"/>
      <c r="CH1291" s="608"/>
      <c r="CI1291" s="603"/>
      <c r="CJ1291" s="347"/>
      <c r="CK1291" s="347"/>
      <c r="CL1291" s="347"/>
      <c r="CM1291" s="347"/>
      <c r="CN1291" s="347"/>
      <c r="CO1291" s="347"/>
      <c r="CP1291" s="347"/>
    </row>
    <row r="1292">
      <c r="A1292" s="574"/>
      <c r="B1292" s="574"/>
      <c r="C1292" s="347"/>
      <c r="D1292" s="574"/>
      <c r="E1292" s="347"/>
      <c r="F1292" s="596"/>
      <c r="G1292" s="596"/>
      <c r="H1292" s="347"/>
      <c r="I1292" s="347"/>
      <c r="J1292" s="596"/>
      <c r="K1292" s="609"/>
      <c r="L1292" s="1"/>
      <c r="M1292" s="347"/>
      <c r="N1292" s="347"/>
      <c r="O1292" s="579"/>
      <c r="P1292" s="579"/>
      <c r="Q1292" s="574"/>
      <c r="R1292" s="347"/>
      <c r="S1292" s="597"/>
      <c r="T1292" s="347"/>
      <c r="U1292" s="579"/>
      <c r="V1292" s="579"/>
      <c r="W1292" s="574"/>
      <c r="X1292" s="347"/>
      <c r="Y1292" s="347"/>
      <c r="Z1292" s="347"/>
      <c r="AA1292" s="579"/>
      <c r="AB1292" s="581"/>
      <c r="AC1292" s="347"/>
      <c r="AD1292" s="347"/>
      <c r="AE1292" s="347"/>
      <c r="AF1292" s="347"/>
      <c r="AG1292" s="579"/>
      <c r="AH1292" s="579"/>
      <c r="AI1292" s="582"/>
      <c r="AJ1292" s="582"/>
      <c r="AK1292" s="582"/>
      <c r="AL1292" s="582"/>
      <c r="AM1292" s="579"/>
      <c r="AN1292" s="579"/>
      <c r="AO1292" s="347"/>
      <c r="AP1292" s="586"/>
      <c r="AQ1292" s="596"/>
      <c r="AR1292" s="596"/>
      <c r="AS1292" s="348"/>
      <c r="AT1292" s="348"/>
      <c r="AU1292" s="348"/>
      <c r="AV1292" s="348"/>
      <c r="AW1292" s="348"/>
      <c r="AX1292" s="584"/>
      <c r="AY1292" s="581"/>
      <c r="AZ1292" s="581"/>
      <c r="BA1292" s="596"/>
      <c r="BB1292" s="596"/>
      <c r="BC1292" s="348"/>
      <c r="BD1292" s="581"/>
      <c r="BE1292" s="581"/>
      <c r="BF1292" s="347"/>
      <c r="BG1292" s="347"/>
      <c r="BH1292" s="347"/>
      <c r="BI1292" s="347"/>
      <c r="BJ1292" s="586"/>
      <c r="BK1292" s="581"/>
      <c r="BL1292" s="347"/>
      <c r="BM1292" s="347"/>
      <c r="BN1292" s="347"/>
      <c r="BO1292" s="586"/>
      <c r="BP1292" s="584"/>
      <c r="BQ1292" s="347"/>
      <c r="BR1292" s="586"/>
      <c r="BS1292" s="588"/>
      <c r="BT1292" s="586"/>
      <c r="BU1292" s="589"/>
      <c r="BV1292" s="581"/>
      <c r="BW1292" s="590"/>
      <c r="BX1292" s="347"/>
      <c r="BY1292" s="347"/>
      <c r="BZ1292" s="347"/>
      <c r="CA1292" s="586"/>
      <c r="CB1292" s="581"/>
      <c r="CC1292" s="581"/>
      <c r="CD1292" s="581"/>
      <c r="CE1292" s="581"/>
      <c r="CF1292" s="581"/>
      <c r="CG1292" s="586"/>
      <c r="CH1292" s="608"/>
      <c r="CI1292" s="603"/>
      <c r="CJ1292" s="347"/>
      <c r="CK1292" s="347"/>
      <c r="CL1292" s="347"/>
      <c r="CM1292" s="347"/>
      <c r="CN1292" s="347"/>
      <c r="CO1292" s="347"/>
      <c r="CP1292" s="347"/>
    </row>
    <row r="1293">
      <c r="A1293" s="574"/>
      <c r="B1293" s="574"/>
      <c r="C1293" s="347"/>
      <c r="D1293" s="574"/>
      <c r="E1293" s="347"/>
      <c r="F1293" s="596"/>
      <c r="G1293" s="596"/>
      <c r="H1293" s="347"/>
      <c r="I1293" s="347"/>
      <c r="J1293" s="596"/>
      <c r="K1293" s="609"/>
      <c r="L1293" s="1"/>
      <c r="M1293" s="347"/>
      <c r="N1293" s="347"/>
      <c r="O1293" s="579"/>
      <c r="P1293" s="579"/>
      <c r="Q1293" s="574"/>
      <c r="R1293" s="347"/>
      <c r="S1293" s="597"/>
      <c r="T1293" s="347"/>
      <c r="U1293" s="579"/>
      <c r="V1293" s="579"/>
      <c r="W1293" s="574"/>
      <c r="X1293" s="347"/>
      <c r="Y1293" s="347"/>
      <c r="Z1293" s="347"/>
      <c r="AA1293" s="579"/>
      <c r="AB1293" s="581"/>
      <c r="AC1293" s="347"/>
      <c r="AD1293" s="347"/>
      <c r="AE1293" s="347"/>
      <c r="AF1293" s="347"/>
      <c r="AG1293" s="579"/>
      <c r="AH1293" s="579"/>
      <c r="AI1293" s="582"/>
      <c r="AJ1293" s="582"/>
      <c r="AK1293" s="582"/>
      <c r="AL1293" s="582"/>
      <c r="AM1293" s="579"/>
      <c r="AN1293" s="579"/>
      <c r="AO1293" s="347"/>
      <c r="AP1293" s="586"/>
      <c r="AQ1293" s="596"/>
      <c r="AR1293" s="596"/>
      <c r="AS1293" s="348"/>
      <c r="AT1293" s="348"/>
      <c r="AU1293" s="348"/>
      <c r="AV1293" s="348"/>
      <c r="AW1293" s="348"/>
      <c r="AX1293" s="584"/>
      <c r="AY1293" s="581"/>
      <c r="AZ1293" s="581"/>
      <c r="BA1293" s="596"/>
      <c r="BB1293" s="596"/>
      <c r="BC1293" s="348"/>
      <c r="BD1293" s="581"/>
      <c r="BE1293" s="581"/>
      <c r="BF1293" s="347"/>
      <c r="BG1293" s="347"/>
      <c r="BH1293" s="347"/>
      <c r="BI1293" s="347"/>
      <c r="BJ1293" s="586"/>
      <c r="BK1293" s="581"/>
      <c r="BL1293" s="347"/>
      <c r="BM1293" s="347"/>
      <c r="BN1293" s="347"/>
      <c r="BO1293" s="586"/>
      <c r="BP1293" s="584"/>
      <c r="BQ1293" s="347"/>
      <c r="BR1293" s="586"/>
      <c r="BS1293" s="588"/>
      <c r="BT1293" s="586"/>
      <c r="BU1293" s="589"/>
      <c r="BV1293" s="581"/>
      <c r="BW1293" s="590"/>
      <c r="BX1293" s="347"/>
      <c r="BY1293" s="347"/>
      <c r="BZ1293" s="347"/>
      <c r="CA1293" s="586"/>
      <c r="CB1293" s="581"/>
      <c r="CC1293" s="581"/>
      <c r="CD1293" s="581"/>
      <c r="CE1293" s="581"/>
      <c r="CF1293" s="581"/>
      <c r="CG1293" s="586"/>
      <c r="CH1293" s="608"/>
      <c r="CI1293" s="603"/>
      <c r="CJ1293" s="347"/>
      <c r="CK1293" s="347"/>
      <c r="CL1293" s="347"/>
      <c r="CM1293" s="347"/>
      <c r="CN1293" s="347"/>
      <c r="CO1293" s="347"/>
      <c r="CP1293" s="347"/>
    </row>
    <row r="1294">
      <c r="A1294" s="574"/>
      <c r="B1294" s="574"/>
      <c r="C1294" s="347"/>
      <c r="D1294" s="574"/>
      <c r="E1294" s="347"/>
      <c r="F1294" s="596"/>
      <c r="G1294" s="596"/>
      <c r="H1294" s="347"/>
      <c r="I1294" s="347"/>
      <c r="J1294" s="596"/>
      <c r="K1294" s="609"/>
      <c r="L1294" s="1"/>
      <c r="M1294" s="347"/>
      <c r="N1294" s="347"/>
      <c r="O1294" s="579"/>
      <c r="P1294" s="579"/>
      <c r="Q1294" s="574"/>
      <c r="R1294" s="347"/>
      <c r="S1294" s="597"/>
      <c r="T1294" s="347"/>
      <c r="U1294" s="579"/>
      <c r="V1294" s="579"/>
      <c r="W1294" s="574"/>
      <c r="X1294" s="347"/>
      <c r="Y1294" s="347"/>
      <c r="Z1294" s="347"/>
      <c r="AA1294" s="579"/>
      <c r="AB1294" s="581"/>
      <c r="AC1294" s="347"/>
      <c r="AD1294" s="347"/>
      <c r="AE1294" s="347"/>
      <c r="AF1294" s="347"/>
      <c r="AG1294" s="579"/>
      <c r="AH1294" s="579"/>
      <c r="AI1294" s="582"/>
      <c r="AJ1294" s="582"/>
      <c r="AK1294" s="582"/>
      <c r="AL1294" s="582"/>
      <c r="AM1294" s="579"/>
      <c r="AN1294" s="579"/>
      <c r="AO1294" s="347"/>
      <c r="AP1294" s="586"/>
      <c r="AQ1294" s="596"/>
      <c r="AR1294" s="596"/>
      <c r="AS1294" s="348"/>
      <c r="AT1294" s="348"/>
      <c r="AU1294" s="348"/>
      <c r="AV1294" s="348"/>
      <c r="AW1294" s="348"/>
      <c r="AX1294" s="584"/>
      <c r="AY1294" s="581"/>
      <c r="AZ1294" s="581"/>
      <c r="BA1294" s="596"/>
      <c r="BB1294" s="596"/>
      <c r="BC1294" s="348"/>
      <c r="BD1294" s="581"/>
      <c r="BE1294" s="581"/>
      <c r="BF1294" s="347"/>
      <c r="BG1294" s="347"/>
      <c r="BH1294" s="347"/>
      <c r="BI1294" s="347"/>
      <c r="BJ1294" s="586"/>
      <c r="BK1294" s="581"/>
      <c r="BL1294" s="347"/>
      <c r="BM1294" s="347"/>
      <c r="BN1294" s="347"/>
      <c r="BO1294" s="586"/>
      <c r="BP1294" s="584"/>
      <c r="BQ1294" s="347"/>
      <c r="BR1294" s="586"/>
      <c r="BS1294" s="588"/>
      <c r="BT1294" s="586"/>
      <c r="BU1294" s="589"/>
      <c r="BV1294" s="581"/>
      <c r="BW1294" s="590"/>
      <c r="BX1294" s="347"/>
      <c r="BY1294" s="347"/>
      <c r="BZ1294" s="347"/>
      <c r="CA1294" s="586"/>
      <c r="CB1294" s="581"/>
      <c r="CC1294" s="581"/>
      <c r="CD1294" s="581"/>
      <c r="CE1294" s="581"/>
      <c r="CF1294" s="581"/>
      <c r="CG1294" s="586"/>
      <c r="CH1294" s="608"/>
      <c r="CI1294" s="603"/>
      <c r="CJ1294" s="347"/>
      <c r="CK1294" s="347"/>
      <c r="CL1294" s="347"/>
      <c r="CM1294" s="347"/>
      <c r="CN1294" s="347"/>
      <c r="CO1294" s="347"/>
      <c r="CP1294" s="347"/>
    </row>
    <row r="1295">
      <c r="A1295" s="574"/>
      <c r="B1295" s="574"/>
      <c r="C1295" s="347"/>
      <c r="D1295" s="574"/>
      <c r="E1295" s="347"/>
      <c r="F1295" s="596"/>
      <c r="G1295" s="596"/>
      <c r="H1295" s="347"/>
      <c r="I1295" s="347"/>
      <c r="J1295" s="596"/>
      <c r="K1295" s="609"/>
      <c r="L1295" s="1"/>
      <c r="M1295" s="347"/>
      <c r="N1295" s="347"/>
      <c r="O1295" s="579"/>
      <c r="P1295" s="579"/>
      <c r="Q1295" s="574"/>
      <c r="R1295" s="347"/>
      <c r="S1295" s="597"/>
      <c r="T1295" s="347"/>
      <c r="U1295" s="579"/>
      <c r="V1295" s="579"/>
      <c r="W1295" s="574"/>
      <c r="X1295" s="347"/>
      <c r="Y1295" s="347"/>
      <c r="Z1295" s="347"/>
      <c r="AA1295" s="579"/>
      <c r="AB1295" s="581"/>
      <c r="AC1295" s="347"/>
      <c r="AD1295" s="347"/>
      <c r="AE1295" s="347"/>
      <c r="AF1295" s="347"/>
      <c r="AG1295" s="579"/>
      <c r="AH1295" s="579"/>
      <c r="AI1295" s="582"/>
      <c r="AJ1295" s="582"/>
      <c r="AK1295" s="582"/>
      <c r="AL1295" s="582"/>
      <c r="AM1295" s="579"/>
      <c r="AN1295" s="579"/>
      <c r="AO1295" s="347"/>
      <c r="AP1295" s="586"/>
      <c r="AQ1295" s="596"/>
      <c r="AR1295" s="596"/>
      <c r="AS1295" s="348"/>
      <c r="AT1295" s="348"/>
      <c r="AU1295" s="348"/>
      <c r="AV1295" s="348"/>
      <c r="AW1295" s="348"/>
      <c r="AX1295" s="584"/>
      <c r="AY1295" s="581"/>
      <c r="AZ1295" s="581"/>
      <c r="BA1295" s="596"/>
      <c r="BB1295" s="596"/>
      <c r="BC1295" s="348"/>
      <c r="BD1295" s="581"/>
      <c r="BE1295" s="581"/>
      <c r="BF1295" s="347"/>
      <c r="BG1295" s="347"/>
      <c r="BH1295" s="347"/>
      <c r="BI1295" s="347"/>
      <c r="BJ1295" s="586"/>
      <c r="BK1295" s="581"/>
      <c r="BL1295" s="347"/>
      <c r="BM1295" s="347"/>
      <c r="BN1295" s="347"/>
      <c r="BO1295" s="586"/>
      <c r="BP1295" s="584"/>
      <c r="BQ1295" s="347"/>
      <c r="BR1295" s="586"/>
      <c r="BS1295" s="588"/>
      <c r="BT1295" s="586"/>
      <c r="BU1295" s="589"/>
      <c r="BV1295" s="581"/>
      <c r="BW1295" s="590"/>
      <c r="BX1295" s="347"/>
      <c r="BY1295" s="347"/>
      <c r="BZ1295" s="347"/>
      <c r="CA1295" s="586"/>
      <c r="CB1295" s="581"/>
      <c r="CC1295" s="581"/>
      <c r="CD1295" s="581"/>
      <c r="CE1295" s="581"/>
      <c r="CF1295" s="581"/>
      <c r="CG1295" s="586"/>
      <c r="CH1295" s="608"/>
      <c r="CI1295" s="603"/>
      <c r="CJ1295" s="347"/>
      <c r="CK1295" s="347"/>
      <c r="CL1295" s="347"/>
      <c r="CM1295" s="347"/>
      <c r="CN1295" s="347"/>
      <c r="CO1295" s="347"/>
      <c r="CP1295" s="347"/>
    </row>
    <row r="1296">
      <c r="A1296" s="574"/>
      <c r="B1296" s="574"/>
      <c r="C1296" s="347"/>
      <c r="D1296" s="574"/>
      <c r="E1296" s="347"/>
      <c r="F1296" s="596"/>
      <c r="G1296" s="596"/>
      <c r="H1296" s="347"/>
      <c r="I1296" s="347"/>
      <c r="J1296" s="596"/>
      <c r="K1296" s="609"/>
      <c r="L1296" s="1"/>
      <c r="M1296" s="347"/>
      <c r="N1296" s="347"/>
      <c r="O1296" s="579"/>
      <c r="P1296" s="579"/>
      <c r="Q1296" s="574"/>
      <c r="R1296" s="347"/>
      <c r="S1296" s="597"/>
      <c r="T1296" s="347"/>
      <c r="U1296" s="579"/>
      <c r="V1296" s="579"/>
      <c r="W1296" s="574"/>
      <c r="X1296" s="347"/>
      <c r="Y1296" s="347"/>
      <c r="Z1296" s="347"/>
      <c r="AA1296" s="579"/>
      <c r="AB1296" s="581"/>
      <c r="AC1296" s="347"/>
      <c r="AD1296" s="347"/>
      <c r="AE1296" s="347"/>
      <c r="AF1296" s="347"/>
      <c r="AG1296" s="579"/>
      <c r="AH1296" s="579"/>
      <c r="AI1296" s="582"/>
      <c r="AJ1296" s="582"/>
      <c r="AK1296" s="582"/>
      <c r="AL1296" s="582"/>
      <c r="AM1296" s="579"/>
      <c r="AN1296" s="579"/>
      <c r="AO1296" s="347"/>
      <c r="AP1296" s="586"/>
      <c r="AQ1296" s="596"/>
      <c r="AR1296" s="596"/>
      <c r="AS1296" s="348"/>
      <c r="AT1296" s="348"/>
      <c r="AU1296" s="348"/>
      <c r="AV1296" s="348"/>
      <c r="AW1296" s="348"/>
      <c r="AX1296" s="584"/>
      <c r="AY1296" s="581"/>
      <c r="AZ1296" s="581"/>
      <c r="BA1296" s="596"/>
      <c r="BB1296" s="596"/>
      <c r="BC1296" s="348"/>
      <c r="BD1296" s="581"/>
      <c r="BE1296" s="581"/>
      <c r="BF1296" s="347"/>
      <c r="BG1296" s="347"/>
      <c r="BH1296" s="347"/>
      <c r="BI1296" s="347"/>
      <c r="BJ1296" s="586"/>
      <c r="BK1296" s="581"/>
      <c r="BL1296" s="347"/>
      <c r="BM1296" s="347"/>
      <c r="BN1296" s="347"/>
      <c r="BO1296" s="586"/>
      <c r="BP1296" s="584"/>
      <c r="BQ1296" s="347"/>
      <c r="BR1296" s="586"/>
      <c r="BS1296" s="588"/>
      <c r="BT1296" s="586"/>
      <c r="BU1296" s="589"/>
      <c r="BV1296" s="581"/>
      <c r="BW1296" s="590"/>
      <c r="BX1296" s="347"/>
      <c r="BY1296" s="347"/>
      <c r="BZ1296" s="347"/>
      <c r="CA1296" s="586"/>
      <c r="CB1296" s="581"/>
      <c r="CC1296" s="581"/>
      <c r="CD1296" s="581"/>
      <c r="CE1296" s="581"/>
      <c r="CF1296" s="581"/>
      <c r="CG1296" s="586"/>
      <c r="CH1296" s="608"/>
      <c r="CI1296" s="603"/>
      <c r="CJ1296" s="347"/>
      <c r="CK1296" s="347"/>
      <c r="CL1296" s="347"/>
      <c r="CM1296" s="347"/>
      <c r="CN1296" s="347"/>
      <c r="CO1296" s="347"/>
      <c r="CP1296" s="347"/>
    </row>
    <row r="1297">
      <c r="A1297" s="574"/>
      <c r="B1297" s="574"/>
      <c r="C1297" s="347"/>
      <c r="D1297" s="574"/>
      <c r="E1297" s="347"/>
      <c r="F1297" s="596"/>
      <c r="G1297" s="596"/>
      <c r="H1297" s="347"/>
      <c r="I1297" s="347"/>
      <c r="J1297" s="596"/>
      <c r="K1297" s="609"/>
      <c r="L1297" s="1"/>
      <c r="M1297" s="347"/>
      <c r="N1297" s="347"/>
      <c r="O1297" s="579"/>
      <c r="P1297" s="579"/>
      <c r="Q1297" s="574"/>
      <c r="R1297" s="347"/>
      <c r="S1297" s="597"/>
      <c r="T1297" s="347"/>
      <c r="U1297" s="579"/>
      <c r="V1297" s="579"/>
      <c r="W1297" s="574"/>
      <c r="X1297" s="347"/>
      <c r="Y1297" s="347"/>
      <c r="Z1297" s="347"/>
      <c r="AA1297" s="579"/>
      <c r="AB1297" s="581"/>
      <c r="AC1297" s="347"/>
      <c r="AD1297" s="347"/>
      <c r="AE1297" s="347"/>
      <c r="AF1297" s="347"/>
      <c r="AG1297" s="579"/>
      <c r="AH1297" s="579"/>
      <c r="AI1297" s="582"/>
      <c r="AJ1297" s="582"/>
      <c r="AK1297" s="582"/>
      <c r="AL1297" s="582"/>
      <c r="AM1297" s="579"/>
      <c r="AN1297" s="579"/>
      <c r="AO1297" s="347"/>
      <c r="AP1297" s="586"/>
      <c r="AQ1297" s="596"/>
      <c r="AR1297" s="596"/>
      <c r="AS1297" s="348"/>
      <c r="AT1297" s="348"/>
      <c r="AU1297" s="348"/>
      <c r="AV1297" s="348"/>
      <c r="AW1297" s="348"/>
      <c r="AX1297" s="584"/>
      <c r="AY1297" s="581"/>
      <c r="AZ1297" s="581"/>
      <c r="BA1297" s="596"/>
      <c r="BB1297" s="596"/>
      <c r="BC1297" s="348"/>
      <c r="BD1297" s="581"/>
      <c r="BE1297" s="581"/>
      <c r="BF1297" s="347"/>
      <c r="BG1297" s="347"/>
      <c r="BH1297" s="347"/>
      <c r="BI1297" s="347"/>
      <c r="BJ1297" s="586"/>
      <c r="BK1297" s="581"/>
      <c r="BL1297" s="347"/>
      <c r="BM1297" s="347"/>
      <c r="BN1297" s="347"/>
      <c r="BO1297" s="586"/>
      <c r="BP1297" s="584"/>
      <c r="BQ1297" s="347"/>
      <c r="BR1297" s="586"/>
      <c r="BS1297" s="588"/>
      <c r="BT1297" s="586"/>
      <c r="BU1297" s="589"/>
      <c r="BV1297" s="581"/>
      <c r="BW1297" s="590"/>
      <c r="BX1297" s="347"/>
      <c r="BY1297" s="347"/>
      <c r="BZ1297" s="347"/>
      <c r="CA1297" s="586"/>
      <c r="CB1297" s="581"/>
      <c r="CC1297" s="581"/>
      <c r="CD1297" s="581"/>
      <c r="CE1297" s="581"/>
      <c r="CF1297" s="581"/>
      <c r="CG1297" s="586"/>
      <c r="CH1297" s="608"/>
      <c r="CI1297" s="603"/>
      <c r="CJ1297" s="347"/>
      <c r="CK1297" s="347"/>
      <c r="CL1297" s="347"/>
      <c r="CM1297" s="347"/>
      <c r="CN1297" s="347"/>
      <c r="CO1297" s="347"/>
      <c r="CP1297" s="347"/>
    </row>
    <row r="1298">
      <c r="A1298" s="574"/>
      <c r="B1298" s="574"/>
      <c r="C1298" s="347"/>
      <c r="D1298" s="574"/>
      <c r="E1298" s="347"/>
      <c r="F1298" s="596"/>
      <c r="G1298" s="596"/>
      <c r="H1298" s="347"/>
      <c r="I1298" s="347"/>
      <c r="J1298" s="596"/>
      <c r="K1298" s="609"/>
      <c r="L1298" s="1"/>
      <c r="M1298" s="347"/>
      <c r="N1298" s="347"/>
      <c r="O1298" s="579"/>
      <c r="P1298" s="579"/>
      <c r="Q1298" s="574"/>
      <c r="R1298" s="347"/>
      <c r="S1298" s="597"/>
      <c r="T1298" s="347"/>
      <c r="U1298" s="579"/>
      <c r="V1298" s="579"/>
      <c r="W1298" s="574"/>
      <c r="X1298" s="347"/>
      <c r="Y1298" s="347"/>
      <c r="Z1298" s="347"/>
      <c r="AA1298" s="579"/>
      <c r="AB1298" s="581"/>
      <c r="AC1298" s="347"/>
      <c r="AD1298" s="347"/>
      <c r="AE1298" s="347"/>
      <c r="AF1298" s="347"/>
      <c r="AG1298" s="579"/>
      <c r="AH1298" s="579"/>
      <c r="AI1298" s="582"/>
      <c r="AJ1298" s="582"/>
      <c r="AK1298" s="582"/>
      <c r="AL1298" s="582"/>
      <c r="AM1298" s="579"/>
      <c r="AN1298" s="579"/>
      <c r="AO1298" s="347"/>
      <c r="AP1298" s="586"/>
      <c r="AQ1298" s="596"/>
      <c r="AR1298" s="596"/>
      <c r="AS1298" s="348"/>
      <c r="AT1298" s="348"/>
      <c r="AU1298" s="348"/>
      <c r="AV1298" s="348"/>
      <c r="AW1298" s="348"/>
      <c r="AX1298" s="584"/>
      <c r="AY1298" s="581"/>
      <c r="AZ1298" s="581"/>
      <c r="BA1298" s="596"/>
      <c r="BB1298" s="596"/>
      <c r="BC1298" s="348"/>
      <c r="BD1298" s="581"/>
      <c r="BE1298" s="581"/>
      <c r="BF1298" s="347"/>
      <c r="BG1298" s="347"/>
      <c r="BH1298" s="347"/>
      <c r="BI1298" s="347"/>
      <c r="BJ1298" s="586"/>
      <c r="BK1298" s="581"/>
      <c r="BL1298" s="347"/>
      <c r="BM1298" s="347"/>
      <c r="BN1298" s="347"/>
      <c r="BO1298" s="586"/>
      <c r="BP1298" s="584"/>
      <c r="BQ1298" s="347"/>
      <c r="BR1298" s="586"/>
      <c r="BS1298" s="588"/>
      <c r="BT1298" s="586"/>
      <c r="BU1298" s="589"/>
      <c r="BV1298" s="581"/>
      <c r="BW1298" s="590"/>
      <c r="BX1298" s="347"/>
      <c r="BY1298" s="347"/>
      <c r="BZ1298" s="347"/>
      <c r="CA1298" s="586"/>
      <c r="CB1298" s="581"/>
      <c r="CC1298" s="581"/>
      <c r="CD1298" s="581"/>
      <c r="CE1298" s="581"/>
      <c r="CF1298" s="581"/>
      <c r="CG1298" s="586"/>
      <c r="CH1298" s="608"/>
      <c r="CI1298" s="603"/>
      <c r="CJ1298" s="347"/>
      <c r="CK1298" s="347"/>
      <c r="CL1298" s="347"/>
      <c r="CM1298" s="347"/>
      <c r="CN1298" s="347"/>
      <c r="CO1298" s="347"/>
      <c r="CP1298" s="347"/>
    </row>
    <row r="1299">
      <c r="A1299" s="574"/>
      <c r="B1299" s="574"/>
      <c r="C1299" s="347"/>
      <c r="D1299" s="574"/>
      <c r="E1299" s="347"/>
      <c r="F1299" s="596"/>
      <c r="G1299" s="596"/>
      <c r="H1299" s="347"/>
      <c r="I1299" s="347"/>
      <c r="J1299" s="596"/>
      <c r="K1299" s="609"/>
      <c r="L1299" s="1"/>
      <c r="M1299" s="347"/>
      <c r="N1299" s="347"/>
      <c r="O1299" s="579"/>
      <c r="P1299" s="579"/>
      <c r="Q1299" s="574"/>
      <c r="R1299" s="347"/>
      <c r="S1299" s="597"/>
      <c r="T1299" s="347"/>
      <c r="U1299" s="579"/>
      <c r="V1299" s="579"/>
      <c r="W1299" s="574"/>
      <c r="X1299" s="347"/>
      <c r="Y1299" s="347"/>
      <c r="Z1299" s="347"/>
      <c r="AA1299" s="579"/>
      <c r="AB1299" s="581"/>
      <c r="AC1299" s="347"/>
      <c r="AD1299" s="347"/>
      <c r="AE1299" s="347"/>
      <c r="AF1299" s="347"/>
      <c r="AG1299" s="579"/>
      <c r="AH1299" s="579"/>
      <c r="AI1299" s="582"/>
      <c r="AJ1299" s="582"/>
      <c r="AK1299" s="582"/>
      <c r="AL1299" s="582"/>
      <c r="AM1299" s="579"/>
      <c r="AN1299" s="579"/>
      <c r="AO1299" s="347"/>
      <c r="AP1299" s="586"/>
      <c r="AQ1299" s="596"/>
      <c r="AR1299" s="596"/>
      <c r="AS1299" s="348"/>
      <c r="AT1299" s="348"/>
      <c r="AU1299" s="348"/>
      <c r="AV1299" s="348"/>
      <c r="AW1299" s="348"/>
      <c r="AX1299" s="584"/>
      <c r="AY1299" s="581"/>
      <c r="AZ1299" s="581"/>
      <c r="BA1299" s="596"/>
      <c r="BB1299" s="596"/>
      <c r="BC1299" s="348"/>
      <c r="BD1299" s="581"/>
      <c r="BE1299" s="581"/>
      <c r="BF1299" s="347"/>
      <c r="BG1299" s="347"/>
      <c r="BH1299" s="347"/>
      <c r="BI1299" s="347"/>
      <c r="BJ1299" s="586"/>
      <c r="BK1299" s="581"/>
      <c r="BL1299" s="347"/>
      <c r="BM1299" s="347"/>
      <c r="BN1299" s="347"/>
      <c r="BO1299" s="586"/>
      <c r="BP1299" s="584"/>
      <c r="BQ1299" s="347"/>
      <c r="BR1299" s="586"/>
      <c r="BS1299" s="588"/>
      <c r="BT1299" s="586"/>
      <c r="BU1299" s="589"/>
      <c r="BV1299" s="581"/>
      <c r="BW1299" s="590"/>
      <c r="BX1299" s="347"/>
      <c r="BY1299" s="347"/>
      <c r="BZ1299" s="347"/>
      <c r="CA1299" s="586"/>
      <c r="CB1299" s="581"/>
      <c r="CC1299" s="581"/>
      <c r="CD1299" s="581"/>
      <c r="CE1299" s="581"/>
      <c r="CF1299" s="581"/>
      <c r="CG1299" s="586"/>
      <c r="CH1299" s="608"/>
      <c r="CI1299" s="603"/>
      <c r="CJ1299" s="347"/>
      <c r="CK1299" s="347"/>
      <c r="CL1299" s="347"/>
      <c r="CM1299" s="347"/>
      <c r="CN1299" s="347"/>
      <c r="CO1299" s="347"/>
      <c r="CP1299" s="347"/>
    </row>
    <row r="1300">
      <c r="A1300" s="574"/>
      <c r="B1300" s="574"/>
      <c r="C1300" s="347"/>
      <c r="D1300" s="574"/>
      <c r="E1300" s="347"/>
      <c r="F1300" s="596"/>
      <c r="G1300" s="596"/>
      <c r="H1300" s="347"/>
      <c r="I1300" s="347"/>
      <c r="J1300" s="596"/>
      <c r="K1300" s="609"/>
      <c r="L1300" s="1"/>
      <c r="M1300" s="347"/>
      <c r="N1300" s="347"/>
      <c r="O1300" s="579"/>
      <c r="P1300" s="579"/>
      <c r="Q1300" s="574"/>
      <c r="R1300" s="347"/>
      <c r="S1300" s="597"/>
      <c r="T1300" s="347"/>
      <c r="U1300" s="579"/>
      <c r="V1300" s="579"/>
      <c r="W1300" s="574"/>
      <c r="X1300" s="347"/>
      <c r="Y1300" s="347"/>
      <c r="Z1300" s="347"/>
      <c r="AA1300" s="579"/>
      <c r="AB1300" s="581"/>
      <c r="AC1300" s="347"/>
      <c r="AD1300" s="347"/>
      <c r="AE1300" s="347"/>
      <c r="AF1300" s="347"/>
      <c r="AG1300" s="579"/>
      <c r="AH1300" s="579"/>
      <c r="AI1300" s="582"/>
      <c r="AJ1300" s="582"/>
      <c r="AK1300" s="582"/>
      <c r="AL1300" s="582"/>
      <c r="AM1300" s="579"/>
      <c r="AN1300" s="579"/>
      <c r="AO1300" s="347"/>
      <c r="AP1300" s="586"/>
      <c r="AQ1300" s="596"/>
      <c r="AR1300" s="596"/>
      <c r="AS1300" s="348"/>
      <c r="AT1300" s="348"/>
      <c r="AU1300" s="348"/>
      <c r="AV1300" s="348"/>
      <c r="AW1300" s="348"/>
      <c r="AX1300" s="584"/>
      <c r="AY1300" s="581"/>
      <c r="AZ1300" s="581"/>
      <c r="BA1300" s="596"/>
      <c r="BB1300" s="596"/>
      <c r="BC1300" s="348"/>
      <c r="BD1300" s="581"/>
      <c r="BE1300" s="581"/>
      <c r="BF1300" s="347"/>
      <c r="BG1300" s="347"/>
      <c r="BH1300" s="347"/>
      <c r="BI1300" s="347"/>
      <c r="BJ1300" s="586"/>
      <c r="BK1300" s="581"/>
      <c r="BL1300" s="347"/>
      <c r="BM1300" s="347"/>
      <c r="BN1300" s="347"/>
      <c r="BO1300" s="586"/>
      <c r="BP1300" s="584"/>
      <c r="BQ1300" s="347"/>
      <c r="BR1300" s="586"/>
      <c r="BS1300" s="588"/>
      <c r="BT1300" s="586"/>
      <c r="BU1300" s="589"/>
      <c r="BV1300" s="581"/>
      <c r="BW1300" s="590"/>
      <c r="BX1300" s="347"/>
      <c r="BY1300" s="347"/>
      <c r="BZ1300" s="347"/>
      <c r="CA1300" s="586"/>
      <c r="CB1300" s="581"/>
      <c r="CC1300" s="581"/>
      <c r="CD1300" s="581"/>
      <c r="CE1300" s="581"/>
      <c r="CF1300" s="581"/>
      <c r="CG1300" s="586"/>
      <c r="CH1300" s="608"/>
      <c r="CI1300" s="603"/>
      <c r="CJ1300" s="347"/>
      <c r="CK1300" s="347"/>
      <c r="CL1300" s="347"/>
      <c r="CM1300" s="347"/>
      <c r="CN1300" s="347"/>
      <c r="CO1300" s="347"/>
      <c r="CP1300" s="347"/>
    </row>
    <row r="1301">
      <c r="A1301" s="574"/>
      <c r="B1301" s="574"/>
      <c r="C1301" s="347"/>
      <c r="D1301" s="574"/>
      <c r="E1301" s="347"/>
      <c r="F1301" s="596"/>
      <c r="G1301" s="596"/>
      <c r="H1301" s="347"/>
      <c r="I1301" s="347"/>
      <c r="J1301" s="596"/>
      <c r="K1301" s="609"/>
      <c r="L1301" s="1"/>
      <c r="M1301" s="347"/>
      <c r="N1301" s="347"/>
      <c r="O1301" s="579"/>
      <c r="P1301" s="579"/>
      <c r="Q1301" s="574"/>
      <c r="R1301" s="347"/>
      <c r="S1301" s="597"/>
      <c r="T1301" s="347"/>
      <c r="U1301" s="579"/>
      <c r="V1301" s="579"/>
      <c r="W1301" s="574"/>
      <c r="X1301" s="347"/>
      <c r="Y1301" s="347"/>
      <c r="Z1301" s="347"/>
      <c r="AA1301" s="579"/>
      <c r="AB1301" s="581"/>
      <c r="AC1301" s="347"/>
      <c r="AD1301" s="347"/>
      <c r="AE1301" s="347"/>
      <c r="AF1301" s="347"/>
      <c r="AG1301" s="579"/>
      <c r="AH1301" s="579"/>
      <c r="AI1301" s="582"/>
      <c r="AJ1301" s="582"/>
      <c r="AK1301" s="582"/>
      <c r="AL1301" s="582"/>
      <c r="AM1301" s="579"/>
      <c r="AN1301" s="579"/>
      <c r="AO1301" s="347"/>
      <c r="AP1301" s="586"/>
      <c r="AQ1301" s="596"/>
      <c r="AR1301" s="596"/>
      <c r="AS1301" s="348"/>
      <c r="AT1301" s="348"/>
      <c r="AU1301" s="348"/>
      <c r="AV1301" s="348"/>
      <c r="AW1301" s="348"/>
      <c r="AX1301" s="584"/>
      <c r="AY1301" s="581"/>
      <c r="AZ1301" s="581"/>
      <c r="BA1301" s="596"/>
      <c r="BB1301" s="596"/>
      <c r="BC1301" s="348"/>
      <c r="BD1301" s="581"/>
      <c r="BE1301" s="581"/>
      <c r="BF1301" s="347"/>
      <c r="BG1301" s="347"/>
      <c r="BH1301" s="347"/>
      <c r="BI1301" s="347"/>
      <c r="BJ1301" s="586"/>
      <c r="BK1301" s="581"/>
      <c r="BL1301" s="347"/>
      <c r="BM1301" s="347"/>
      <c r="BN1301" s="347"/>
      <c r="BO1301" s="586"/>
      <c r="BP1301" s="584"/>
      <c r="BQ1301" s="347"/>
      <c r="BR1301" s="586"/>
      <c r="BS1301" s="588"/>
      <c r="BT1301" s="586"/>
      <c r="BU1301" s="589"/>
      <c r="BV1301" s="581"/>
      <c r="BW1301" s="590"/>
      <c r="BX1301" s="347"/>
      <c r="BY1301" s="347"/>
      <c r="BZ1301" s="347"/>
      <c r="CA1301" s="586"/>
      <c r="CB1301" s="581"/>
      <c r="CC1301" s="581"/>
      <c r="CD1301" s="581"/>
      <c r="CE1301" s="581"/>
      <c r="CF1301" s="581"/>
      <c r="CG1301" s="586"/>
      <c r="CH1301" s="608"/>
      <c r="CI1301" s="603"/>
      <c r="CJ1301" s="347"/>
      <c r="CK1301" s="347"/>
      <c r="CL1301" s="347"/>
      <c r="CM1301" s="347"/>
      <c r="CN1301" s="347"/>
      <c r="CO1301" s="347"/>
      <c r="CP1301" s="347"/>
    </row>
    <row r="1302">
      <c r="A1302" s="574"/>
      <c r="B1302" s="574"/>
      <c r="C1302" s="347"/>
      <c r="D1302" s="574"/>
      <c r="E1302" s="347"/>
      <c r="F1302" s="596"/>
      <c r="G1302" s="596"/>
      <c r="H1302" s="347"/>
      <c r="I1302" s="347"/>
      <c r="J1302" s="596"/>
      <c r="K1302" s="609"/>
      <c r="L1302" s="1"/>
      <c r="M1302" s="347"/>
      <c r="N1302" s="347"/>
      <c r="O1302" s="579"/>
      <c r="P1302" s="579"/>
      <c r="Q1302" s="574"/>
      <c r="R1302" s="347"/>
      <c r="S1302" s="597"/>
      <c r="T1302" s="347"/>
      <c r="U1302" s="579"/>
      <c r="V1302" s="579"/>
      <c r="W1302" s="574"/>
      <c r="X1302" s="347"/>
      <c r="Y1302" s="347"/>
      <c r="Z1302" s="347"/>
      <c r="AA1302" s="579"/>
      <c r="AB1302" s="581"/>
      <c r="AC1302" s="347"/>
      <c r="AD1302" s="347"/>
      <c r="AE1302" s="347"/>
      <c r="AF1302" s="347"/>
      <c r="AG1302" s="579"/>
      <c r="AH1302" s="579"/>
      <c r="AI1302" s="582"/>
      <c r="AJ1302" s="582"/>
      <c r="AK1302" s="582"/>
      <c r="AL1302" s="582"/>
      <c r="AM1302" s="579"/>
      <c r="AN1302" s="579"/>
      <c r="AO1302" s="347"/>
      <c r="AP1302" s="586"/>
      <c r="AQ1302" s="596"/>
      <c r="AR1302" s="596"/>
      <c r="AS1302" s="348"/>
      <c r="AT1302" s="348"/>
      <c r="AU1302" s="348"/>
      <c r="AV1302" s="348"/>
      <c r="AW1302" s="348"/>
      <c r="AX1302" s="584"/>
      <c r="AY1302" s="581"/>
      <c r="AZ1302" s="581"/>
      <c r="BA1302" s="596"/>
      <c r="BB1302" s="596"/>
      <c r="BC1302" s="348"/>
      <c r="BD1302" s="581"/>
      <c r="BE1302" s="581"/>
      <c r="BF1302" s="347"/>
      <c r="BG1302" s="347"/>
      <c r="BH1302" s="347"/>
      <c r="BI1302" s="347"/>
      <c r="BJ1302" s="586"/>
      <c r="BK1302" s="581"/>
      <c r="BL1302" s="347"/>
      <c r="BM1302" s="347"/>
      <c r="BN1302" s="347"/>
      <c r="BO1302" s="586"/>
      <c r="BP1302" s="584"/>
      <c r="BQ1302" s="347"/>
      <c r="BR1302" s="586"/>
      <c r="BS1302" s="588"/>
      <c r="BT1302" s="586"/>
      <c r="BU1302" s="589"/>
      <c r="BV1302" s="581"/>
      <c r="BW1302" s="590"/>
      <c r="BX1302" s="347"/>
      <c r="BY1302" s="347"/>
      <c r="BZ1302" s="347"/>
      <c r="CA1302" s="586"/>
      <c r="CB1302" s="581"/>
      <c r="CC1302" s="581"/>
      <c r="CD1302" s="581"/>
      <c r="CE1302" s="581"/>
      <c r="CF1302" s="581"/>
      <c r="CG1302" s="586"/>
      <c r="CH1302" s="608"/>
      <c r="CI1302" s="603"/>
      <c r="CJ1302" s="347"/>
      <c r="CK1302" s="347"/>
      <c r="CL1302" s="347"/>
      <c r="CM1302" s="347"/>
      <c r="CN1302" s="347"/>
      <c r="CO1302" s="347"/>
      <c r="CP1302" s="347"/>
    </row>
    <row r="1303">
      <c r="A1303" s="574"/>
      <c r="B1303" s="574"/>
      <c r="C1303" s="347"/>
      <c r="D1303" s="574"/>
      <c r="E1303" s="347"/>
      <c r="F1303" s="596"/>
      <c r="G1303" s="596"/>
      <c r="H1303" s="347"/>
      <c r="I1303" s="347"/>
      <c r="J1303" s="596"/>
      <c r="K1303" s="609"/>
      <c r="L1303" s="1"/>
      <c r="M1303" s="347"/>
      <c r="N1303" s="347"/>
      <c r="O1303" s="579"/>
      <c r="P1303" s="579"/>
      <c r="Q1303" s="574"/>
      <c r="R1303" s="347"/>
      <c r="S1303" s="597"/>
      <c r="T1303" s="347"/>
      <c r="U1303" s="579"/>
      <c r="V1303" s="579"/>
      <c r="W1303" s="574"/>
      <c r="X1303" s="347"/>
      <c r="Y1303" s="347"/>
      <c r="Z1303" s="347"/>
      <c r="AA1303" s="579"/>
      <c r="AB1303" s="581"/>
      <c r="AC1303" s="347"/>
      <c r="AD1303" s="347"/>
      <c r="AE1303" s="347"/>
      <c r="AF1303" s="347"/>
      <c r="AG1303" s="579"/>
      <c r="AH1303" s="579"/>
      <c r="AI1303" s="582"/>
      <c r="AJ1303" s="582"/>
      <c r="AK1303" s="582"/>
      <c r="AL1303" s="582"/>
      <c r="AM1303" s="579"/>
      <c r="AN1303" s="579"/>
      <c r="AO1303" s="347"/>
      <c r="AP1303" s="586"/>
      <c r="AQ1303" s="596"/>
      <c r="AR1303" s="596"/>
      <c r="AS1303" s="348"/>
      <c r="AT1303" s="348"/>
      <c r="AU1303" s="348"/>
      <c r="AV1303" s="348"/>
      <c r="AW1303" s="348"/>
      <c r="AX1303" s="584"/>
      <c r="AY1303" s="581"/>
      <c r="AZ1303" s="581"/>
      <c r="BA1303" s="596"/>
      <c r="BB1303" s="596"/>
      <c r="BC1303" s="348"/>
      <c r="BD1303" s="581"/>
      <c r="BE1303" s="581"/>
      <c r="BF1303" s="347"/>
      <c r="BG1303" s="347"/>
      <c r="BH1303" s="347"/>
      <c r="BI1303" s="347"/>
      <c r="BJ1303" s="586"/>
      <c r="BK1303" s="581"/>
      <c r="BL1303" s="347"/>
      <c r="BM1303" s="347"/>
      <c r="BN1303" s="347"/>
      <c r="BO1303" s="586"/>
      <c r="BP1303" s="584"/>
      <c r="BQ1303" s="347"/>
      <c r="BR1303" s="586"/>
      <c r="BS1303" s="588"/>
      <c r="BT1303" s="586"/>
      <c r="BU1303" s="589"/>
      <c r="BV1303" s="581"/>
      <c r="BW1303" s="590"/>
      <c r="BX1303" s="347"/>
      <c r="BY1303" s="347"/>
      <c r="BZ1303" s="347"/>
      <c r="CA1303" s="586"/>
      <c r="CB1303" s="581"/>
      <c r="CC1303" s="581"/>
      <c r="CD1303" s="581"/>
      <c r="CE1303" s="581"/>
      <c r="CF1303" s="581"/>
      <c r="CG1303" s="586"/>
      <c r="CH1303" s="608"/>
      <c r="CI1303" s="603"/>
      <c r="CJ1303" s="347"/>
      <c r="CK1303" s="347"/>
      <c r="CL1303" s="347"/>
      <c r="CM1303" s="347"/>
      <c r="CN1303" s="347"/>
      <c r="CO1303" s="347"/>
      <c r="CP1303" s="347"/>
    </row>
    <row r="1304">
      <c r="A1304" s="574"/>
      <c r="B1304" s="574"/>
      <c r="C1304" s="347"/>
      <c r="D1304" s="574"/>
      <c r="E1304" s="347"/>
      <c r="F1304" s="596"/>
      <c r="G1304" s="596"/>
      <c r="H1304" s="347"/>
      <c r="I1304" s="347"/>
      <c r="J1304" s="596"/>
      <c r="K1304" s="609"/>
      <c r="L1304" s="1"/>
      <c r="M1304" s="347"/>
      <c r="N1304" s="347"/>
      <c r="O1304" s="579"/>
      <c r="P1304" s="579"/>
      <c r="Q1304" s="574"/>
      <c r="R1304" s="347"/>
      <c r="S1304" s="597"/>
      <c r="T1304" s="347"/>
      <c r="U1304" s="579"/>
      <c r="V1304" s="579"/>
      <c r="W1304" s="574"/>
      <c r="X1304" s="347"/>
      <c r="Y1304" s="347"/>
      <c r="Z1304" s="347"/>
      <c r="AA1304" s="579"/>
      <c r="AB1304" s="581"/>
      <c r="AC1304" s="347"/>
      <c r="AD1304" s="347"/>
      <c r="AE1304" s="347"/>
      <c r="AF1304" s="347"/>
      <c r="AG1304" s="579"/>
      <c r="AH1304" s="579"/>
      <c r="AI1304" s="582"/>
      <c r="AJ1304" s="582"/>
      <c r="AK1304" s="582"/>
      <c r="AL1304" s="582"/>
      <c r="AM1304" s="579"/>
      <c r="AN1304" s="579"/>
      <c r="AO1304" s="347"/>
      <c r="AP1304" s="586"/>
      <c r="AQ1304" s="596"/>
      <c r="AR1304" s="596"/>
      <c r="AS1304" s="348"/>
      <c r="AT1304" s="348"/>
      <c r="AU1304" s="348"/>
      <c r="AV1304" s="348"/>
      <c r="AW1304" s="348"/>
      <c r="AX1304" s="584"/>
      <c r="AY1304" s="581"/>
      <c r="AZ1304" s="581"/>
      <c r="BA1304" s="596"/>
      <c r="BB1304" s="596"/>
      <c r="BC1304" s="348"/>
      <c r="BD1304" s="581"/>
      <c r="BE1304" s="581"/>
      <c r="BF1304" s="347"/>
      <c r="BG1304" s="347"/>
      <c r="BH1304" s="347"/>
      <c r="BI1304" s="347"/>
      <c r="BJ1304" s="586"/>
      <c r="BK1304" s="581"/>
      <c r="BL1304" s="347"/>
      <c r="BM1304" s="347"/>
      <c r="BN1304" s="347"/>
      <c r="BO1304" s="586"/>
      <c r="BP1304" s="584"/>
      <c r="BQ1304" s="347"/>
      <c r="BR1304" s="586"/>
      <c r="BS1304" s="588"/>
      <c r="BT1304" s="586"/>
      <c r="BU1304" s="589"/>
      <c r="BV1304" s="581"/>
      <c r="BW1304" s="590"/>
      <c r="BX1304" s="347"/>
      <c r="BY1304" s="347"/>
      <c r="BZ1304" s="347"/>
      <c r="CA1304" s="586"/>
      <c r="CB1304" s="581"/>
      <c r="CC1304" s="581"/>
      <c r="CD1304" s="581"/>
      <c r="CE1304" s="581"/>
      <c r="CF1304" s="581"/>
      <c r="CG1304" s="586"/>
      <c r="CH1304" s="608"/>
      <c r="CI1304" s="603"/>
      <c r="CJ1304" s="347"/>
      <c r="CK1304" s="347"/>
      <c r="CL1304" s="347"/>
      <c r="CM1304" s="347"/>
      <c r="CN1304" s="347"/>
      <c r="CO1304" s="347"/>
      <c r="CP1304" s="347"/>
    </row>
    <row r="1305">
      <c r="A1305" s="574"/>
      <c r="B1305" s="574"/>
      <c r="C1305" s="347"/>
      <c r="D1305" s="574"/>
      <c r="E1305" s="347"/>
      <c r="F1305" s="596"/>
      <c r="G1305" s="596"/>
      <c r="H1305" s="347"/>
      <c r="I1305" s="347"/>
      <c r="J1305" s="596"/>
      <c r="K1305" s="609"/>
      <c r="L1305" s="1"/>
      <c r="M1305" s="347"/>
      <c r="N1305" s="347"/>
      <c r="O1305" s="579"/>
      <c r="P1305" s="579"/>
      <c r="Q1305" s="574"/>
      <c r="R1305" s="347"/>
      <c r="S1305" s="597"/>
      <c r="T1305" s="347"/>
      <c r="U1305" s="579"/>
      <c r="V1305" s="579"/>
      <c r="W1305" s="574"/>
      <c r="X1305" s="347"/>
      <c r="Y1305" s="347"/>
      <c r="Z1305" s="347"/>
      <c r="AA1305" s="579"/>
      <c r="AB1305" s="581"/>
      <c r="AC1305" s="347"/>
      <c r="AD1305" s="347"/>
      <c r="AE1305" s="347"/>
      <c r="AF1305" s="347"/>
      <c r="AG1305" s="579"/>
      <c r="AH1305" s="579"/>
      <c r="AI1305" s="582"/>
      <c r="AJ1305" s="582"/>
      <c r="AK1305" s="582"/>
      <c r="AL1305" s="582"/>
      <c r="AM1305" s="579"/>
      <c r="AN1305" s="579"/>
      <c r="AO1305" s="347"/>
      <c r="AP1305" s="586"/>
      <c r="AQ1305" s="596"/>
      <c r="AR1305" s="596"/>
      <c r="AS1305" s="348"/>
      <c r="AT1305" s="348"/>
      <c r="AU1305" s="348"/>
      <c r="AV1305" s="348"/>
      <c r="AW1305" s="348"/>
      <c r="AX1305" s="584"/>
      <c r="AY1305" s="581"/>
      <c r="AZ1305" s="581"/>
      <c r="BA1305" s="596"/>
      <c r="BB1305" s="596"/>
      <c r="BC1305" s="348"/>
      <c r="BD1305" s="581"/>
      <c r="BE1305" s="581"/>
      <c r="BF1305" s="347"/>
      <c r="BG1305" s="347"/>
      <c r="BH1305" s="347"/>
      <c r="BI1305" s="347"/>
      <c r="BJ1305" s="586"/>
      <c r="BK1305" s="581"/>
      <c r="BL1305" s="347"/>
      <c r="BM1305" s="347"/>
      <c r="BN1305" s="347"/>
      <c r="BO1305" s="586"/>
      <c r="BP1305" s="584"/>
      <c r="BQ1305" s="347"/>
      <c r="BR1305" s="586"/>
      <c r="BS1305" s="588"/>
      <c r="BT1305" s="586"/>
      <c r="BU1305" s="589"/>
      <c r="BV1305" s="581"/>
      <c r="BW1305" s="590"/>
      <c r="BX1305" s="347"/>
      <c r="BY1305" s="347"/>
      <c r="BZ1305" s="347"/>
      <c r="CA1305" s="586"/>
      <c r="CB1305" s="581"/>
      <c r="CC1305" s="581"/>
      <c r="CD1305" s="581"/>
      <c r="CE1305" s="581"/>
      <c r="CF1305" s="581"/>
      <c r="CG1305" s="586"/>
      <c r="CH1305" s="608"/>
      <c r="CI1305" s="603"/>
      <c r="CJ1305" s="347"/>
      <c r="CK1305" s="347"/>
      <c r="CL1305" s="347"/>
      <c r="CM1305" s="347"/>
      <c r="CN1305" s="347"/>
      <c r="CO1305" s="347"/>
      <c r="CP1305" s="347"/>
    </row>
    <row r="1306">
      <c r="A1306" s="574"/>
      <c r="B1306" s="574"/>
      <c r="C1306" s="347"/>
      <c r="D1306" s="574"/>
      <c r="E1306" s="347"/>
      <c r="F1306" s="596"/>
      <c r="G1306" s="596"/>
      <c r="H1306" s="347"/>
      <c r="I1306" s="347"/>
      <c r="J1306" s="596"/>
      <c r="K1306" s="609"/>
      <c r="L1306" s="1"/>
      <c r="M1306" s="347"/>
      <c r="N1306" s="347"/>
      <c r="O1306" s="579"/>
      <c r="P1306" s="579"/>
      <c r="Q1306" s="574"/>
      <c r="R1306" s="347"/>
      <c r="S1306" s="597"/>
      <c r="T1306" s="347"/>
      <c r="U1306" s="579"/>
      <c r="V1306" s="579"/>
      <c r="W1306" s="574"/>
      <c r="X1306" s="347"/>
      <c r="Y1306" s="347"/>
      <c r="Z1306" s="347"/>
      <c r="AA1306" s="579"/>
      <c r="AB1306" s="581"/>
      <c r="AC1306" s="347"/>
      <c r="AD1306" s="347"/>
      <c r="AE1306" s="347"/>
      <c r="AF1306" s="347"/>
      <c r="AG1306" s="579"/>
      <c r="AH1306" s="579"/>
      <c r="AI1306" s="582"/>
      <c r="AJ1306" s="582"/>
      <c r="AK1306" s="582"/>
      <c r="AL1306" s="582"/>
      <c r="AM1306" s="579"/>
      <c r="AN1306" s="579"/>
      <c r="AO1306" s="347"/>
      <c r="AP1306" s="586"/>
      <c r="AQ1306" s="596"/>
      <c r="AR1306" s="596"/>
      <c r="AS1306" s="348"/>
      <c r="AT1306" s="348"/>
      <c r="AU1306" s="348"/>
      <c r="AV1306" s="348"/>
      <c r="AW1306" s="348"/>
      <c r="AX1306" s="584"/>
      <c r="AY1306" s="581"/>
      <c r="AZ1306" s="581"/>
      <c r="BA1306" s="596"/>
      <c r="BB1306" s="596"/>
      <c r="BC1306" s="348"/>
      <c r="BD1306" s="581"/>
      <c r="BE1306" s="581"/>
      <c r="BF1306" s="347"/>
      <c r="BG1306" s="347"/>
      <c r="BH1306" s="347"/>
      <c r="BI1306" s="347"/>
      <c r="BJ1306" s="586"/>
      <c r="BK1306" s="581"/>
      <c r="BL1306" s="347"/>
      <c r="BM1306" s="347"/>
      <c r="BN1306" s="347"/>
      <c r="BO1306" s="586"/>
      <c r="BP1306" s="584"/>
      <c r="BQ1306" s="347"/>
      <c r="BR1306" s="586"/>
      <c r="BS1306" s="588"/>
      <c r="BT1306" s="586"/>
      <c r="BU1306" s="589"/>
      <c r="BV1306" s="581"/>
      <c r="BW1306" s="590"/>
      <c r="BX1306" s="347"/>
      <c r="BY1306" s="347"/>
      <c r="BZ1306" s="347"/>
      <c r="CA1306" s="586"/>
      <c r="CB1306" s="581"/>
      <c r="CC1306" s="581"/>
      <c r="CD1306" s="581"/>
      <c r="CE1306" s="581"/>
      <c r="CF1306" s="581"/>
      <c r="CG1306" s="586"/>
      <c r="CH1306" s="608"/>
      <c r="CI1306" s="603"/>
      <c r="CJ1306" s="347"/>
      <c r="CK1306" s="347"/>
      <c r="CL1306" s="347"/>
      <c r="CM1306" s="347"/>
      <c r="CN1306" s="347"/>
      <c r="CO1306" s="347"/>
      <c r="CP1306" s="347"/>
    </row>
    <row r="1307">
      <c r="A1307" s="574"/>
      <c r="B1307" s="574"/>
      <c r="C1307" s="347"/>
      <c r="D1307" s="574"/>
      <c r="E1307" s="347"/>
      <c r="F1307" s="596"/>
      <c r="G1307" s="596"/>
      <c r="H1307" s="347"/>
      <c r="I1307" s="347"/>
      <c r="J1307" s="596"/>
      <c r="K1307" s="609"/>
      <c r="L1307" s="1"/>
      <c r="M1307" s="347"/>
      <c r="N1307" s="347"/>
      <c r="O1307" s="579"/>
      <c r="P1307" s="579"/>
      <c r="Q1307" s="574"/>
      <c r="R1307" s="347"/>
      <c r="S1307" s="597"/>
      <c r="T1307" s="347"/>
      <c r="U1307" s="579"/>
      <c r="V1307" s="579"/>
      <c r="W1307" s="574"/>
      <c r="X1307" s="347"/>
      <c r="Y1307" s="347"/>
      <c r="Z1307" s="347"/>
      <c r="AA1307" s="579"/>
      <c r="AB1307" s="581"/>
      <c r="AC1307" s="347"/>
      <c r="AD1307" s="347"/>
      <c r="AE1307" s="347"/>
      <c r="AF1307" s="347"/>
      <c r="AG1307" s="579"/>
      <c r="AH1307" s="579"/>
      <c r="AI1307" s="582"/>
      <c r="AJ1307" s="582"/>
      <c r="AK1307" s="582"/>
      <c r="AL1307" s="582"/>
      <c r="AM1307" s="579"/>
      <c r="AN1307" s="579"/>
      <c r="AO1307" s="347"/>
      <c r="AP1307" s="586"/>
      <c r="AQ1307" s="596"/>
      <c r="AR1307" s="596"/>
      <c r="AS1307" s="348"/>
      <c r="AT1307" s="348"/>
      <c r="AU1307" s="348"/>
      <c r="AV1307" s="348"/>
      <c r="AW1307" s="348"/>
      <c r="AX1307" s="584"/>
      <c r="AY1307" s="581"/>
      <c r="AZ1307" s="581"/>
      <c r="BA1307" s="596"/>
      <c r="BB1307" s="596"/>
      <c r="BC1307" s="348"/>
      <c r="BD1307" s="581"/>
      <c r="BE1307" s="581"/>
      <c r="BF1307" s="347"/>
      <c r="BG1307" s="347"/>
      <c r="BH1307" s="347"/>
      <c r="BI1307" s="347"/>
      <c r="BJ1307" s="586"/>
      <c r="BK1307" s="581"/>
      <c r="BL1307" s="347"/>
      <c r="BM1307" s="347"/>
      <c r="BN1307" s="347"/>
      <c r="BO1307" s="586"/>
      <c r="BP1307" s="584"/>
      <c r="BQ1307" s="347"/>
      <c r="BR1307" s="586"/>
      <c r="BS1307" s="588"/>
      <c r="BT1307" s="586"/>
      <c r="BU1307" s="589"/>
      <c r="BV1307" s="581"/>
      <c r="BW1307" s="590"/>
      <c r="BX1307" s="347"/>
      <c r="BY1307" s="347"/>
      <c r="BZ1307" s="347"/>
      <c r="CA1307" s="586"/>
      <c r="CB1307" s="581"/>
      <c r="CC1307" s="581"/>
      <c r="CD1307" s="581"/>
      <c r="CE1307" s="581"/>
      <c r="CF1307" s="581"/>
      <c r="CG1307" s="586"/>
      <c r="CH1307" s="608"/>
      <c r="CI1307" s="603"/>
      <c r="CJ1307" s="347"/>
      <c r="CK1307" s="347"/>
      <c r="CL1307" s="347"/>
      <c r="CM1307" s="347"/>
      <c r="CN1307" s="347"/>
      <c r="CO1307" s="347"/>
      <c r="CP1307" s="347"/>
    </row>
    <row r="1308">
      <c r="A1308" s="574"/>
      <c r="B1308" s="574"/>
      <c r="C1308" s="347"/>
      <c r="D1308" s="574"/>
      <c r="E1308" s="347"/>
      <c r="F1308" s="596"/>
      <c r="G1308" s="596"/>
      <c r="H1308" s="347"/>
      <c r="I1308" s="347"/>
      <c r="J1308" s="596"/>
      <c r="K1308" s="609"/>
      <c r="L1308" s="1"/>
      <c r="M1308" s="347"/>
      <c r="N1308" s="347"/>
      <c r="O1308" s="579"/>
      <c r="P1308" s="579"/>
      <c r="Q1308" s="574"/>
      <c r="R1308" s="347"/>
      <c r="S1308" s="597"/>
      <c r="T1308" s="347"/>
      <c r="U1308" s="579"/>
      <c r="V1308" s="579"/>
      <c r="W1308" s="574"/>
      <c r="X1308" s="347"/>
      <c r="Y1308" s="347"/>
      <c r="Z1308" s="347"/>
      <c r="AA1308" s="579"/>
      <c r="AB1308" s="581"/>
      <c r="AC1308" s="347"/>
      <c r="AD1308" s="347"/>
      <c r="AE1308" s="347"/>
      <c r="AF1308" s="347"/>
      <c r="AG1308" s="579"/>
      <c r="AH1308" s="579"/>
      <c r="AI1308" s="582"/>
      <c r="AJ1308" s="582"/>
      <c r="AK1308" s="582"/>
      <c r="AL1308" s="582"/>
      <c r="AM1308" s="579"/>
      <c r="AN1308" s="579"/>
      <c r="AO1308" s="347"/>
      <c r="AP1308" s="586"/>
      <c r="AQ1308" s="596"/>
      <c r="AR1308" s="596"/>
      <c r="AS1308" s="348"/>
      <c r="AT1308" s="348"/>
      <c r="AU1308" s="348"/>
      <c r="AV1308" s="348"/>
      <c r="AW1308" s="348"/>
      <c r="AX1308" s="584"/>
      <c r="AY1308" s="581"/>
      <c r="AZ1308" s="581"/>
      <c r="BA1308" s="596"/>
      <c r="BB1308" s="596"/>
      <c r="BC1308" s="348"/>
      <c r="BD1308" s="581"/>
      <c r="BE1308" s="581"/>
      <c r="BF1308" s="347"/>
      <c r="BG1308" s="347"/>
      <c r="BH1308" s="347"/>
      <c r="BI1308" s="347"/>
      <c r="BJ1308" s="586"/>
      <c r="BK1308" s="581"/>
      <c r="BL1308" s="347"/>
      <c r="BM1308" s="347"/>
      <c r="BN1308" s="347"/>
      <c r="BO1308" s="586"/>
      <c r="BP1308" s="584"/>
      <c r="BQ1308" s="347"/>
      <c r="BR1308" s="586"/>
      <c r="BS1308" s="588"/>
      <c r="BT1308" s="586"/>
      <c r="BU1308" s="589"/>
      <c r="BV1308" s="581"/>
      <c r="BW1308" s="590"/>
      <c r="BX1308" s="347"/>
      <c r="BY1308" s="347"/>
      <c r="BZ1308" s="347"/>
      <c r="CA1308" s="586"/>
      <c r="CB1308" s="581"/>
      <c r="CC1308" s="581"/>
      <c r="CD1308" s="581"/>
      <c r="CE1308" s="581"/>
      <c r="CF1308" s="581"/>
      <c r="CG1308" s="586"/>
      <c r="CH1308" s="608"/>
      <c r="CI1308" s="603"/>
      <c r="CJ1308" s="347"/>
      <c r="CK1308" s="347"/>
      <c r="CL1308" s="347"/>
      <c r="CM1308" s="347"/>
      <c r="CN1308" s="347"/>
      <c r="CO1308" s="347"/>
      <c r="CP1308" s="347"/>
    </row>
    <row r="1309">
      <c r="A1309" s="574"/>
      <c r="B1309" s="574"/>
      <c r="C1309" s="347"/>
      <c r="D1309" s="574"/>
      <c r="E1309" s="347"/>
      <c r="F1309" s="596"/>
      <c r="G1309" s="596"/>
      <c r="H1309" s="347"/>
      <c r="I1309" s="347"/>
      <c r="J1309" s="596"/>
      <c r="K1309" s="609"/>
      <c r="L1309" s="1"/>
      <c r="M1309" s="347"/>
      <c r="N1309" s="347"/>
      <c r="O1309" s="579"/>
      <c r="P1309" s="579"/>
      <c r="Q1309" s="574"/>
      <c r="R1309" s="347"/>
      <c r="S1309" s="597"/>
      <c r="T1309" s="347"/>
      <c r="U1309" s="579"/>
      <c r="V1309" s="579"/>
      <c r="W1309" s="574"/>
      <c r="X1309" s="347"/>
      <c r="Y1309" s="347"/>
      <c r="Z1309" s="347"/>
      <c r="AA1309" s="579"/>
      <c r="AB1309" s="581"/>
      <c r="AC1309" s="347"/>
      <c r="AD1309" s="347"/>
      <c r="AE1309" s="347"/>
      <c r="AF1309" s="347"/>
      <c r="AG1309" s="579"/>
      <c r="AH1309" s="579"/>
      <c r="AI1309" s="582"/>
      <c r="AJ1309" s="582"/>
      <c r="AK1309" s="582"/>
      <c r="AL1309" s="582"/>
      <c r="AM1309" s="579"/>
      <c r="AN1309" s="579"/>
      <c r="AO1309" s="347"/>
      <c r="AP1309" s="586"/>
      <c r="AQ1309" s="596"/>
      <c r="AR1309" s="596"/>
      <c r="AS1309" s="348"/>
      <c r="AT1309" s="348"/>
      <c r="AU1309" s="348"/>
      <c r="AV1309" s="348"/>
      <c r="AW1309" s="348"/>
      <c r="AX1309" s="584"/>
      <c r="AY1309" s="581"/>
      <c r="AZ1309" s="581"/>
      <c r="BA1309" s="596"/>
      <c r="BB1309" s="596"/>
      <c r="BC1309" s="348"/>
      <c r="BD1309" s="581"/>
      <c r="BE1309" s="581"/>
      <c r="BF1309" s="347"/>
      <c r="BG1309" s="347"/>
      <c r="BH1309" s="347"/>
      <c r="BI1309" s="347"/>
      <c r="BJ1309" s="586"/>
      <c r="BK1309" s="581"/>
      <c r="BL1309" s="347"/>
      <c r="BM1309" s="347"/>
      <c r="BN1309" s="347"/>
      <c r="BO1309" s="586"/>
      <c r="BP1309" s="584"/>
      <c r="BQ1309" s="347"/>
      <c r="BR1309" s="586"/>
      <c r="BS1309" s="588"/>
      <c r="BT1309" s="586"/>
      <c r="BU1309" s="589"/>
      <c r="BV1309" s="581"/>
      <c r="BW1309" s="590"/>
      <c r="BX1309" s="347"/>
      <c r="BY1309" s="347"/>
      <c r="BZ1309" s="347"/>
      <c r="CA1309" s="586"/>
      <c r="CB1309" s="581"/>
      <c r="CC1309" s="581"/>
      <c r="CD1309" s="581"/>
      <c r="CE1309" s="581"/>
      <c r="CF1309" s="581"/>
      <c r="CG1309" s="586"/>
      <c r="CH1309" s="608"/>
      <c r="CI1309" s="603"/>
      <c r="CJ1309" s="347"/>
      <c r="CK1309" s="347"/>
      <c r="CL1309" s="347"/>
      <c r="CM1309" s="347"/>
      <c r="CN1309" s="347"/>
      <c r="CO1309" s="347"/>
      <c r="CP1309" s="347"/>
    </row>
    <row r="1310">
      <c r="A1310" s="574"/>
      <c r="B1310" s="574"/>
      <c r="C1310" s="347"/>
      <c r="D1310" s="574"/>
      <c r="E1310" s="347"/>
      <c r="F1310" s="596"/>
      <c r="G1310" s="596"/>
      <c r="H1310" s="347"/>
      <c r="I1310" s="347"/>
      <c r="J1310" s="596"/>
      <c r="K1310" s="609"/>
      <c r="L1310" s="1"/>
      <c r="M1310" s="347"/>
      <c r="N1310" s="347"/>
      <c r="O1310" s="579"/>
      <c r="P1310" s="579"/>
      <c r="Q1310" s="574"/>
      <c r="R1310" s="347"/>
      <c r="S1310" s="597"/>
      <c r="T1310" s="347"/>
      <c r="U1310" s="579"/>
      <c r="V1310" s="579"/>
      <c r="W1310" s="574"/>
      <c r="X1310" s="347"/>
      <c r="Y1310" s="347"/>
      <c r="Z1310" s="347"/>
      <c r="AA1310" s="579"/>
      <c r="AB1310" s="581"/>
      <c r="AC1310" s="347"/>
      <c r="AD1310" s="347"/>
      <c r="AE1310" s="347"/>
      <c r="AF1310" s="347"/>
      <c r="AG1310" s="579"/>
      <c r="AH1310" s="579"/>
      <c r="AI1310" s="582"/>
      <c r="AJ1310" s="582"/>
      <c r="AK1310" s="582"/>
      <c r="AL1310" s="582"/>
      <c r="AM1310" s="579"/>
      <c r="AN1310" s="579"/>
      <c r="AO1310" s="347"/>
      <c r="AP1310" s="586"/>
      <c r="AQ1310" s="596"/>
      <c r="AR1310" s="596"/>
      <c r="AS1310" s="348"/>
      <c r="AT1310" s="348"/>
      <c r="AU1310" s="348"/>
      <c r="AV1310" s="348"/>
      <c r="AW1310" s="348"/>
      <c r="AX1310" s="584"/>
      <c r="AY1310" s="581"/>
      <c r="AZ1310" s="581"/>
      <c r="BA1310" s="596"/>
      <c r="BB1310" s="596"/>
      <c r="BC1310" s="348"/>
      <c r="BD1310" s="581"/>
      <c r="BE1310" s="581"/>
      <c r="BF1310" s="347"/>
      <c r="BG1310" s="347"/>
      <c r="BH1310" s="347"/>
      <c r="BI1310" s="347"/>
      <c r="BJ1310" s="586"/>
      <c r="BK1310" s="581"/>
      <c r="BL1310" s="347"/>
      <c r="BM1310" s="347"/>
      <c r="BN1310" s="347"/>
      <c r="BO1310" s="586"/>
      <c r="BP1310" s="584"/>
      <c r="BQ1310" s="347"/>
      <c r="BR1310" s="586"/>
      <c r="BS1310" s="588"/>
      <c r="BT1310" s="586"/>
      <c r="BU1310" s="589"/>
      <c r="BV1310" s="581"/>
      <c r="BW1310" s="590"/>
      <c r="BX1310" s="347"/>
      <c r="BY1310" s="347"/>
      <c r="BZ1310" s="347"/>
      <c r="CA1310" s="586"/>
      <c r="CB1310" s="581"/>
      <c r="CC1310" s="581"/>
      <c r="CD1310" s="581"/>
      <c r="CE1310" s="581"/>
      <c r="CF1310" s="581"/>
      <c r="CG1310" s="586"/>
      <c r="CH1310" s="608"/>
      <c r="CI1310" s="603"/>
      <c r="CJ1310" s="347"/>
      <c r="CK1310" s="347"/>
      <c r="CL1310" s="347"/>
      <c r="CM1310" s="347"/>
      <c r="CN1310" s="347"/>
      <c r="CO1310" s="347"/>
      <c r="CP1310" s="347"/>
    </row>
    <row r="1311">
      <c r="A1311" s="574"/>
      <c r="B1311" s="574"/>
      <c r="C1311" s="347"/>
      <c r="D1311" s="574"/>
      <c r="E1311" s="347"/>
      <c r="F1311" s="596"/>
      <c r="G1311" s="596"/>
      <c r="H1311" s="347"/>
      <c r="I1311" s="347"/>
      <c r="J1311" s="596"/>
      <c r="K1311" s="609"/>
      <c r="L1311" s="1"/>
      <c r="M1311" s="347"/>
      <c r="N1311" s="347"/>
      <c r="O1311" s="579"/>
      <c r="P1311" s="579"/>
      <c r="Q1311" s="574"/>
      <c r="R1311" s="347"/>
      <c r="S1311" s="597"/>
      <c r="T1311" s="347"/>
      <c r="U1311" s="579"/>
      <c r="V1311" s="579"/>
      <c r="W1311" s="574"/>
      <c r="X1311" s="347"/>
      <c r="Y1311" s="347"/>
      <c r="Z1311" s="347"/>
      <c r="AA1311" s="579"/>
      <c r="AB1311" s="581"/>
      <c r="AC1311" s="347"/>
      <c r="AD1311" s="347"/>
      <c r="AE1311" s="347"/>
      <c r="AF1311" s="347"/>
      <c r="AG1311" s="579"/>
      <c r="AH1311" s="579"/>
      <c r="AI1311" s="582"/>
      <c r="AJ1311" s="582"/>
      <c r="AK1311" s="582"/>
      <c r="AL1311" s="582"/>
      <c r="AM1311" s="579"/>
      <c r="AN1311" s="579"/>
      <c r="AO1311" s="347"/>
      <c r="AP1311" s="586"/>
      <c r="AQ1311" s="596"/>
      <c r="AR1311" s="596"/>
      <c r="AS1311" s="348"/>
      <c r="AT1311" s="348"/>
      <c r="AU1311" s="348"/>
      <c r="AV1311" s="348"/>
      <c r="AW1311" s="348"/>
      <c r="AX1311" s="584"/>
      <c r="AY1311" s="581"/>
      <c r="AZ1311" s="581"/>
      <c r="BA1311" s="596"/>
      <c r="BB1311" s="596"/>
      <c r="BC1311" s="348"/>
      <c r="BD1311" s="581"/>
      <c r="BE1311" s="581"/>
      <c r="BF1311" s="347"/>
      <c r="BG1311" s="347"/>
      <c r="BH1311" s="347"/>
      <c r="BI1311" s="347"/>
      <c r="BJ1311" s="586"/>
      <c r="BK1311" s="581"/>
      <c r="BL1311" s="347"/>
      <c r="BM1311" s="347"/>
      <c r="BN1311" s="347"/>
      <c r="BO1311" s="586"/>
      <c r="BP1311" s="584"/>
      <c r="BQ1311" s="347"/>
      <c r="BR1311" s="586"/>
      <c r="BS1311" s="588"/>
      <c r="BT1311" s="586"/>
      <c r="BU1311" s="589"/>
      <c r="BV1311" s="581"/>
      <c r="BW1311" s="590"/>
      <c r="BX1311" s="347"/>
      <c r="BY1311" s="347"/>
      <c r="BZ1311" s="347"/>
      <c r="CA1311" s="586"/>
      <c r="CB1311" s="581"/>
      <c r="CC1311" s="581"/>
      <c r="CD1311" s="581"/>
      <c r="CE1311" s="581"/>
      <c r="CF1311" s="581"/>
      <c r="CG1311" s="586"/>
      <c r="CH1311" s="608"/>
      <c r="CI1311" s="603"/>
      <c r="CJ1311" s="347"/>
      <c r="CK1311" s="347"/>
      <c r="CL1311" s="347"/>
      <c r="CM1311" s="347"/>
      <c r="CN1311" s="347"/>
      <c r="CO1311" s="347"/>
      <c r="CP1311" s="347"/>
    </row>
    <row r="1312">
      <c r="A1312" s="574"/>
      <c r="B1312" s="574"/>
      <c r="C1312" s="347"/>
      <c r="D1312" s="574"/>
      <c r="E1312" s="347"/>
      <c r="F1312" s="596"/>
      <c r="G1312" s="596"/>
      <c r="H1312" s="347"/>
      <c r="I1312" s="347"/>
      <c r="J1312" s="596"/>
      <c r="K1312" s="609"/>
      <c r="L1312" s="1"/>
      <c r="M1312" s="347"/>
      <c r="N1312" s="347"/>
      <c r="O1312" s="579"/>
      <c r="P1312" s="579"/>
      <c r="Q1312" s="574"/>
      <c r="R1312" s="347"/>
      <c r="S1312" s="597"/>
      <c r="T1312" s="347"/>
      <c r="U1312" s="579"/>
      <c r="V1312" s="579"/>
      <c r="W1312" s="574"/>
      <c r="X1312" s="347"/>
      <c r="Y1312" s="347"/>
      <c r="Z1312" s="347"/>
      <c r="AA1312" s="579"/>
      <c r="AB1312" s="581"/>
      <c r="AC1312" s="347"/>
      <c r="AD1312" s="347"/>
      <c r="AE1312" s="347"/>
      <c r="AF1312" s="347"/>
      <c r="AG1312" s="579"/>
      <c r="AH1312" s="579"/>
      <c r="AI1312" s="582"/>
      <c r="AJ1312" s="582"/>
      <c r="AK1312" s="582"/>
      <c r="AL1312" s="582"/>
      <c r="AM1312" s="579"/>
      <c r="AN1312" s="579"/>
      <c r="AO1312" s="347"/>
      <c r="AP1312" s="586"/>
      <c r="AQ1312" s="596"/>
      <c r="AR1312" s="596"/>
      <c r="AS1312" s="348"/>
      <c r="AT1312" s="348"/>
      <c r="AU1312" s="348"/>
      <c r="AV1312" s="348"/>
      <c r="AW1312" s="348"/>
      <c r="AX1312" s="584"/>
      <c r="AY1312" s="581"/>
      <c r="AZ1312" s="581"/>
      <c r="BA1312" s="596"/>
      <c r="BB1312" s="596"/>
      <c r="BC1312" s="348"/>
      <c r="BD1312" s="581"/>
      <c r="BE1312" s="581"/>
      <c r="BF1312" s="347"/>
      <c r="BG1312" s="347"/>
      <c r="BH1312" s="347"/>
      <c r="BI1312" s="347"/>
      <c r="BJ1312" s="586"/>
      <c r="BK1312" s="581"/>
      <c r="BL1312" s="347"/>
      <c r="BM1312" s="347"/>
      <c r="BN1312" s="347"/>
      <c r="BO1312" s="586"/>
      <c r="BP1312" s="584"/>
      <c r="BQ1312" s="347"/>
      <c r="BR1312" s="586"/>
      <c r="BS1312" s="588"/>
      <c r="BT1312" s="586"/>
      <c r="BU1312" s="589"/>
      <c r="BV1312" s="581"/>
      <c r="BW1312" s="590"/>
      <c r="BX1312" s="347"/>
      <c r="BY1312" s="347"/>
      <c r="BZ1312" s="347"/>
      <c r="CA1312" s="586"/>
      <c r="CB1312" s="581"/>
      <c r="CC1312" s="581"/>
      <c r="CD1312" s="581"/>
      <c r="CE1312" s="581"/>
      <c r="CF1312" s="581"/>
      <c r="CG1312" s="586"/>
      <c r="CH1312" s="608"/>
      <c r="CI1312" s="603"/>
      <c r="CJ1312" s="347"/>
      <c r="CK1312" s="347"/>
      <c r="CL1312" s="347"/>
      <c r="CM1312" s="347"/>
      <c r="CN1312" s="347"/>
      <c r="CO1312" s="347"/>
      <c r="CP1312" s="347"/>
    </row>
    <row r="1313">
      <c r="A1313" s="574"/>
      <c r="B1313" s="574"/>
      <c r="C1313" s="347"/>
      <c r="D1313" s="574"/>
      <c r="E1313" s="347"/>
      <c r="F1313" s="596"/>
      <c r="G1313" s="596"/>
      <c r="H1313" s="347"/>
      <c r="I1313" s="347"/>
      <c r="J1313" s="596"/>
      <c r="K1313" s="609"/>
      <c r="L1313" s="1"/>
      <c r="M1313" s="347"/>
      <c r="N1313" s="347"/>
      <c r="O1313" s="579"/>
      <c r="P1313" s="579"/>
      <c r="Q1313" s="574"/>
      <c r="R1313" s="347"/>
      <c r="S1313" s="597"/>
      <c r="T1313" s="347"/>
      <c r="U1313" s="579"/>
      <c r="V1313" s="579"/>
      <c r="W1313" s="574"/>
      <c r="X1313" s="347"/>
      <c r="Y1313" s="347"/>
      <c r="Z1313" s="347"/>
      <c r="AA1313" s="579"/>
      <c r="AB1313" s="581"/>
      <c r="AC1313" s="347"/>
      <c r="AD1313" s="347"/>
      <c r="AE1313" s="347"/>
      <c r="AF1313" s="347"/>
      <c r="AG1313" s="579"/>
      <c r="AH1313" s="579"/>
      <c r="AI1313" s="582"/>
      <c r="AJ1313" s="582"/>
      <c r="AK1313" s="582"/>
      <c r="AL1313" s="582"/>
      <c r="AM1313" s="579"/>
      <c r="AN1313" s="579"/>
      <c r="AO1313" s="347"/>
      <c r="AP1313" s="586"/>
      <c r="AQ1313" s="596"/>
      <c r="AR1313" s="596"/>
      <c r="AS1313" s="348"/>
      <c r="AT1313" s="348"/>
      <c r="AU1313" s="348"/>
      <c r="AV1313" s="348"/>
      <c r="AW1313" s="348"/>
      <c r="AX1313" s="584"/>
      <c r="AY1313" s="581"/>
      <c r="AZ1313" s="581"/>
      <c r="BA1313" s="596"/>
      <c r="BB1313" s="596"/>
      <c r="BC1313" s="348"/>
      <c r="BD1313" s="581"/>
      <c r="BE1313" s="581"/>
      <c r="BF1313" s="347"/>
      <c r="BG1313" s="347"/>
      <c r="BH1313" s="347"/>
      <c r="BI1313" s="347"/>
      <c r="BJ1313" s="586"/>
      <c r="BK1313" s="581"/>
      <c r="BL1313" s="347"/>
      <c r="BM1313" s="347"/>
      <c r="BN1313" s="347"/>
      <c r="BO1313" s="586"/>
      <c r="BP1313" s="584"/>
      <c r="BQ1313" s="347"/>
      <c r="BR1313" s="586"/>
      <c r="BS1313" s="588"/>
      <c r="BT1313" s="586"/>
      <c r="BU1313" s="589"/>
      <c r="BV1313" s="581"/>
      <c r="BW1313" s="590"/>
      <c r="BX1313" s="347"/>
      <c r="BY1313" s="347"/>
      <c r="BZ1313" s="347"/>
      <c r="CA1313" s="586"/>
      <c r="CB1313" s="581"/>
      <c r="CC1313" s="581"/>
      <c r="CD1313" s="581"/>
      <c r="CE1313" s="581"/>
      <c r="CF1313" s="581"/>
      <c r="CG1313" s="586"/>
      <c r="CH1313" s="608"/>
      <c r="CI1313" s="603"/>
      <c r="CJ1313" s="347"/>
      <c r="CK1313" s="347"/>
      <c r="CL1313" s="347"/>
      <c r="CM1313" s="347"/>
      <c r="CN1313" s="347"/>
      <c r="CO1313" s="347"/>
      <c r="CP1313" s="347"/>
    </row>
    <row r="1314">
      <c r="A1314" s="574"/>
      <c r="B1314" s="574"/>
      <c r="C1314" s="347"/>
      <c r="D1314" s="574"/>
      <c r="E1314" s="347"/>
      <c r="F1314" s="596"/>
      <c r="G1314" s="596"/>
      <c r="H1314" s="347"/>
      <c r="I1314" s="347"/>
      <c r="J1314" s="596"/>
      <c r="K1314" s="609"/>
      <c r="L1314" s="1"/>
      <c r="M1314" s="347"/>
      <c r="N1314" s="347"/>
      <c r="O1314" s="579"/>
      <c r="P1314" s="579"/>
      <c r="Q1314" s="574"/>
      <c r="R1314" s="347"/>
      <c r="S1314" s="597"/>
      <c r="T1314" s="347"/>
      <c r="U1314" s="579"/>
      <c r="V1314" s="579"/>
      <c r="W1314" s="574"/>
      <c r="X1314" s="347"/>
      <c r="Y1314" s="347"/>
      <c r="Z1314" s="347"/>
      <c r="AA1314" s="579"/>
      <c r="AB1314" s="581"/>
      <c r="AC1314" s="347"/>
      <c r="AD1314" s="347"/>
      <c r="AE1314" s="347"/>
      <c r="AF1314" s="347"/>
      <c r="AG1314" s="579"/>
      <c r="AH1314" s="579"/>
      <c r="AI1314" s="582"/>
      <c r="AJ1314" s="582"/>
      <c r="AK1314" s="582"/>
      <c r="AL1314" s="582"/>
      <c r="AM1314" s="579"/>
      <c r="AN1314" s="579"/>
      <c r="AO1314" s="347"/>
      <c r="AP1314" s="586"/>
      <c r="AQ1314" s="596"/>
      <c r="AR1314" s="596"/>
      <c r="AS1314" s="348"/>
      <c r="AT1314" s="348"/>
      <c r="AU1314" s="348"/>
      <c r="AV1314" s="348"/>
      <c r="AW1314" s="348"/>
      <c r="AX1314" s="584"/>
      <c r="AY1314" s="581"/>
      <c r="AZ1314" s="581"/>
      <c r="BA1314" s="596"/>
      <c r="BB1314" s="596"/>
      <c r="BC1314" s="348"/>
      <c r="BD1314" s="581"/>
      <c r="BE1314" s="581"/>
      <c r="BF1314" s="347"/>
      <c r="BG1314" s="347"/>
      <c r="BH1314" s="347"/>
      <c r="BI1314" s="347"/>
      <c r="BJ1314" s="586"/>
      <c r="BK1314" s="581"/>
      <c r="BL1314" s="347"/>
      <c r="BM1314" s="347"/>
      <c r="BN1314" s="347"/>
      <c r="BO1314" s="586"/>
      <c r="BP1314" s="584"/>
      <c r="BQ1314" s="347"/>
      <c r="BR1314" s="586"/>
      <c r="BS1314" s="588"/>
      <c r="BT1314" s="586"/>
      <c r="BU1314" s="589"/>
      <c r="BV1314" s="581"/>
      <c r="BW1314" s="590"/>
      <c r="BX1314" s="347"/>
      <c r="BY1314" s="347"/>
      <c r="BZ1314" s="347"/>
      <c r="CA1314" s="586"/>
      <c r="CB1314" s="581"/>
      <c r="CC1314" s="581"/>
      <c r="CD1314" s="581"/>
      <c r="CE1314" s="581"/>
      <c r="CF1314" s="581"/>
      <c r="CG1314" s="586"/>
      <c r="CH1314" s="608"/>
      <c r="CI1314" s="603"/>
      <c r="CJ1314" s="347"/>
      <c r="CK1314" s="347"/>
      <c r="CL1314" s="347"/>
      <c r="CM1314" s="347"/>
      <c r="CN1314" s="347"/>
      <c r="CO1314" s="347"/>
      <c r="CP1314" s="347"/>
    </row>
    <row r="1315">
      <c r="A1315" s="574"/>
      <c r="B1315" s="574"/>
      <c r="C1315" s="347"/>
      <c r="D1315" s="574"/>
      <c r="E1315" s="347"/>
      <c r="F1315" s="596"/>
      <c r="G1315" s="596"/>
      <c r="H1315" s="347"/>
      <c r="I1315" s="347"/>
      <c r="J1315" s="596"/>
      <c r="K1315" s="609"/>
      <c r="L1315" s="1"/>
      <c r="M1315" s="347"/>
      <c r="N1315" s="347"/>
      <c r="O1315" s="579"/>
      <c r="P1315" s="579"/>
      <c r="Q1315" s="574"/>
      <c r="R1315" s="347"/>
      <c r="S1315" s="597"/>
      <c r="T1315" s="347"/>
      <c r="U1315" s="579"/>
      <c r="V1315" s="579"/>
      <c r="W1315" s="574"/>
      <c r="X1315" s="347"/>
      <c r="Y1315" s="347"/>
      <c r="Z1315" s="347"/>
      <c r="AA1315" s="579"/>
      <c r="AB1315" s="581"/>
      <c r="AC1315" s="347"/>
      <c r="AD1315" s="347"/>
      <c r="AE1315" s="347"/>
      <c r="AF1315" s="347"/>
      <c r="AG1315" s="579"/>
      <c r="AH1315" s="579"/>
      <c r="AI1315" s="582"/>
      <c r="AJ1315" s="582"/>
      <c r="AK1315" s="582"/>
      <c r="AL1315" s="582"/>
      <c r="AM1315" s="579"/>
      <c r="AN1315" s="579"/>
      <c r="AO1315" s="347"/>
      <c r="AP1315" s="586"/>
      <c r="AQ1315" s="596"/>
      <c r="AR1315" s="596"/>
      <c r="AS1315" s="348"/>
      <c r="AT1315" s="348"/>
      <c r="AU1315" s="348"/>
      <c r="AV1315" s="348"/>
      <c r="AW1315" s="348"/>
      <c r="AX1315" s="584"/>
      <c r="AY1315" s="581"/>
      <c r="AZ1315" s="581"/>
      <c r="BA1315" s="596"/>
      <c r="BB1315" s="596"/>
      <c r="BC1315" s="348"/>
      <c r="BD1315" s="581"/>
      <c r="BE1315" s="581"/>
      <c r="BF1315" s="347"/>
      <c r="BG1315" s="347"/>
      <c r="BH1315" s="347"/>
      <c r="BI1315" s="347"/>
      <c r="BJ1315" s="586"/>
      <c r="BK1315" s="581"/>
      <c r="BL1315" s="347"/>
      <c r="BM1315" s="347"/>
      <c r="BN1315" s="347"/>
      <c r="BO1315" s="586"/>
      <c r="BP1315" s="584"/>
      <c r="BQ1315" s="347"/>
      <c r="BR1315" s="586"/>
      <c r="BS1315" s="588"/>
      <c r="BT1315" s="586"/>
      <c r="BU1315" s="589"/>
      <c r="BV1315" s="581"/>
      <c r="BW1315" s="590"/>
      <c r="BX1315" s="347"/>
      <c r="BY1315" s="347"/>
      <c r="BZ1315" s="347"/>
      <c r="CA1315" s="586"/>
      <c r="CB1315" s="581"/>
      <c r="CC1315" s="581"/>
      <c r="CD1315" s="581"/>
      <c r="CE1315" s="581"/>
      <c r="CF1315" s="581"/>
      <c r="CG1315" s="586"/>
      <c r="CH1315" s="608"/>
      <c r="CI1315" s="603"/>
      <c r="CJ1315" s="347"/>
      <c r="CK1315" s="347"/>
      <c r="CL1315" s="347"/>
      <c r="CM1315" s="347"/>
      <c r="CN1315" s="347"/>
      <c r="CO1315" s="347"/>
      <c r="CP1315" s="347"/>
    </row>
    <row r="1316">
      <c r="A1316" s="574"/>
      <c r="B1316" s="574"/>
      <c r="C1316" s="347"/>
      <c r="D1316" s="574"/>
      <c r="E1316" s="347"/>
      <c r="F1316" s="596"/>
      <c r="G1316" s="596"/>
      <c r="H1316" s="347"/>
      <c r="I1316" s="347"/>
      <c r="J1316" s="596"/>
      <c r="K1316" s="609"/>
      <c r="L1316" s="1"/>
      <c r="M1316" s="347"/>
      <c r="N1316" s="347"/>
      <c r="O1316" s="579"/>
      <c r="P1316" s="579"/>
      <c r="Q1316" s="574"/>
      <c r="R1316" s="347"/>
      <c r="S1316" s="597"/>
      <c r="T1316" s="347"/>
      <c r="U1316" s="579"/>
      <c r="V1316" s="579"/>
      <c r="W1316" s="574"/>
      <c r="X1316" s="347"/>
      <c r="Y1316" s="347"/>
      <c r="Z1316" s="347"/>
      <c r="AA1316" s="579"/>
      <c r="AB1316" s="581"/>
      <c r="AC1316" s="347"/>
      <c r="AD1316" s="347"/>
      <c r="AE1316" s="347"/>
      <c r="AF1316" s="347"/>
      <c r="AG1316" s="579"/>
      <c r="AH1316" s="579"/>
      <c r="AI1316" s="582"/>
      <c r="AJ1316" s="582"/>
      <c r="AK1316" s="582"/>
      <c r="AL1316" s="582"/>
      <c r="AM1316" s="579"/>
      <c r="AN1316" s="579"/>
      <c r="AO1316" s="347"/>
      <c r="AP1316" s="586"/>
      <c r="AQ1316" s="596"/>
      <c r="AR1316" s="596"/>
      <c r="AS1316" s="348"/>
      <c r="AT1316" s="348"/>
      <c r="AU1316" s="348"/>
      <c r="AV1316" s="348"/>
      <c r="AW1316" s="348"/>
      <c r="AX1316" s="584"/>
      <c r="AY1316" s="581"/>
      <c r="AZ1316" s="581"/>
      <c r="BA1316" s="596"/>
      <c r="BB1316" s="596"/>
      <c r="BC1316" s="348"/>
      <c r="BD1316" s="581"/>
      <c r="BE1316" s="581"/>
      <c r="BF1316" s="347"/>
      <c r="BG1316" s="347"/>
      <c r="BH1316" s="347"/>
      <c r="BI1316" s="347"/>
      <c r="BJ1316" s="586"/>
      <c r="BK1316" s="581"/>
      <c r="BL1316" s="347"/>
      <c r="BM1316" s="347"/>
      <c r="BN1316" s="347"/>
      <c r="BO1316" s="586"/>
      <c r="BP1316" s="584"/>
      <c r="BQ1316" s="347"/>
      <c r="BR1316" s="586"/>
      <c r="BS1316" s="588"/>
      <c r="BT1316" s="586"/>
      <c r="BU1316" s="589"/>
      <c r="BV1316" s="581"/>
      <c r="BW1316" s="590"/>
      <c r="BX1316" s="347"/>
      <c r="BY1316" s="347"/>
      <c r="BZ1316" s="347"/>
      <c r="CA1316" s="586"/>
      <c r="CB1316" s="581"/>
      <c r="CC1316" s="581"/>
      <c r="CD1316" s="581"/>
      <c r="CE1316" s="581"/>
      <c r="CF1316" s="581"/>
      <c r="CG1316" s="586"/>
      <c r="CH1316" s="608"/>
      <c r="CI1316" s="603"/>
      <c r="CJ1316" s="347"/>
      <c r="CK1316" s="347"/>
      <c r="CL1316" s="347"/>
      <c r="CM1316" s="347"/>
      <c r="CN1316" s="347"/>
      <c r="CO1316" s="347"/>
      <c r="CP1316" s="347"/>
    </row>
    <row r="1317">
      <c r="A1317" s="574"/>
      <c r="B1317" s="574"/>
      <c r="C1317" s="347"/>
      <c r="D1317" s="574"/>
      <c r="E1317" s="347"/>
      <c r="F1317" s="596"/>
      <c r="G1317" s="596"/>
      <c r="H1317" s="347"/>
      <c r="I1317" s="347"/>
      <c r="J1317" s="596"/>
      <c r="K1317" s="609"/>
      <c r="L1317" s="1"/>
      <c r="M1317" s="347"/>
      <c r="N1317" s="347"/>
      <c r="O1317" s="579"/>
      <c r="P1317" s="579"/>
      <c r="Q1317" s="574"/>
      <c r="R1317" s="347"/>
      <c r="S1317" s="597"/>
      <c r="T1317" s="347"/>
      <c r="U1317" s="579"/>
      <c r="V1317" s="579"/>
      <c r="W1317" s="574"/>
      <c r="X1317" s="347"/>
      <c r="Y1317" s="347"/>
      <c r="Z1317" s="347"/>
      <c r="AA1317" s="579"/>
      <c r="AB1317" s="581"/>
      <c r="AC1317" s="347"/>
      <c r="AD1317" s="347"/>
      <c r="AE1317" s="347"/>
      <c r="AF1317" s="347"/>
      <c r="AG1317" s="579"/>
      <c r="AH1317" s="579"/>
      <c r="AI1317" s="582"/>
      <c r="AJ1317" s="582"/>
      <c r="AK1317" s="582"/>
      <c r="AL1317" s="582"/>
      <c r="AM1317" s="579"/>
      <c r="AN1317" s="579"/>
      <c r="AO1317" s="347"/>
      <c r="AP1317" s="586"/>
      <c r="AQ1317" s="596"/>
      <c r="AR1317" s="596"/>
      <c r="AS1317" s="348"/>
      <c r="AT1317" s="348"/>
      <c r="AU1317" s="348"/>
      <c r="AV1317" s="348"/>
      <c r="AW1317" s="348"/>
      <c r="AX1317" s="584"/>
      <c r="AY1317" s="581"/>
      <c r="AZ1317" s="581"/>
      <c r="BA1317" s="596"/>
      <c r="BB1317" s="596"/>
      <c r="BC1317" s="348"/>
      <c r="BD1317" s="581"/>
      <c r="BE1317" s="581"/>
      <c r="BF1317" s="347"/>
      <c r="BG1317" s="347"/>
      <c r="BH1317" s="347"/>
      <c r="BI1317" s="347"/>
      <c r="BJ1317" s="586"/>
      <c r="BK1317" s="581"/>
      <c r="BL1317" s="347"/>
      <c r="BM1317" s="347"/>
      <c r="BN1317" s="347"/>
      <c r="BO1317" s="586"/>
      <c r="BP1317" s="584"/>
      <c r="BQ1317" s="347"/>
      <c r="BR1317" s="586"/>
      <c r="BS1317" s="588"/>
      <c r="BT1317" s="586"/>
      <c r="BU1317" s="589"/>
      <c r="BV1317" s="581"/>
      <c r="BW1317" s="590"/>
      <c r="BX1317" s="347"/>
      <c r="BY1317" s="347"/>
      <c r="BZ1317" s="347"/>
      <c r="CA1317" s="586"/>
      <c r="CB1317" s="581"/>
      <c r="CC1317" s="581"/>
      <c r="CD1317" s="581"/>
      <c r="CE1317" s="581"/>
      <c r="CF1317" s="581"/>
      <c r="CG1317" s="586"/>
      <c r="CH1317" s="608"/>
      <c r="CI1317" s="603"/>
      <c r="CJ1317" s="347"/>
      <c r="CK1317" s="347"/>
      <c r="CL1317" s="347"/>
      <c r="CM1317" s="347"/>
      <c r="CN1317" s="347"/>
      <c r="CO1317" s="347"/>
      <c r="CP1317" s="347"/>
    </row>
    <row r="1318">
      <c r="A1318" s="574"/>
      <c r="B1318" s="574"/>
      <c r="C1318" s="347"/>
      <c r="D1318" s="574"/>
      <c r="E1318" s="347"/>
      <c r="F1318" s="596"/>
      <c r="G1318" s="596"/>
      <c r="H1318" s="347"/>
      <c r="I1318" s="347"/>
      <c r="J1318" s="596"/>
      <c r="K1318" s="609"/>
      <c r="L1318" s="1"/>
      <c r="M1318" s="347"/>
      <c r="N1318" s="347"/>
      <c r="O1318" s="579"/>
      <c r="P1318" s="579"/>
      <c r="Q1318" s="574"/>
      <c r="R1318" s="347"/>
      <c r="S1318" s="597"/>
      <c r="T1318" s="347"/>
      <c r="U1318" s="579"/>
      <c r="V1318" s="579"/>
      <c r="W1318" s="574"/>
      <c r="X1318" s="347"/>
      <c r="Y1318" s="347"/>
      <c r="Z1318" s="347"/>
      <c r="AA1318" s="579"/>
      <c r="AB1318" s="581"/>
      <c r="AC1318" s="347"/>
      <c r="AD1318" s="347"/>
      <c r="AE1318" s="347"/>
      <c r="AF1318" s="347"/>
      <c r="AG1318" s="579"/>
      <c r="AH1318" s="579"/>
      <c r="AI1318" s="582"/>
      <c r="AJ1318" s="582"/>
      <c r="AK1318" s="582"/>
      <c r="AL1318" s="582"/>
      <c r="AM1318" s="579"/>
      <c r="AN1318" s="579"/>
      <c r="AO1318" s="347"/>
      <c r="AP1318" s="586"/>
      <c r="AQ1318" s="596"/>
      <c r="AR1318" s="596"/>
      <c r="AS1318" s="348"/>
      <c r="AT1318" s="348"/>
      <c r="AU1318" s="348"/>
      <c r="AV1318" s="348"/>
      <c r="AW1318" s="348"/>
      <c r="AX1318" s="584"/>
      <c r="AY1318" s="581"/>
      <c r="AZ1318" s="581"/>
      <c r="BA1318" s="596"/>
      <c r="BB1318" s="596"/>
      <c r="BC1318" s="348"/>
      <c r="BD1318" s="581"/>
      <c r="BE1318" s="581"/>
      <c r="BF1318" s="347"/>
      <c r="BG1318" s="347"/>
      <c r="BH1318" s="347"/>
      <c r="BI1318" s="347"/>
      <c r="BJ1318" s="586"/>
      <c r="BK1318" s="581"/>
      <c r="BL1318" s="347"/>
      <c r="BM1318" s="347"/>
      <c r="BN1318" s="347"/>
      <c r="BO1318" s="586"/>
      <c r="BP1318" s="584"/>
      <c r="BQ1318" s="347"/>
      <c r="BR1318" s="586"/>
      <c r="BS1318" s="588"/>
      <c r="BT1318" s="586"/>
      <c r="BU1318" s="589"/>
      <c r="BV1318" s="581"/>
      <c r="BW1318" s="590"/>
      <c r="BX1318" s="347"/>
      <c r="BY1318" s="347"/>
      <c r="BZ1318" s="347"/>
      <c r="CA1318" s="586"/>
      <c r="CB1318" s="581"/>
      <c r="CC1318" s="581"/>
      <c r="CD1318" s="581"/>
      <c r="CE1318" s="581"/>
      <c r="CF1318" s="581"/>
      <c r="CG1318" s="586"/>
      <c r="CH1318" s="608"/>
      <c r="CI1318" s="603"/>
      <c r="CJ1318" s="347"/>
      <c r="CK1318" s="347"/>
      <c r="CL1318" s="347"/>
      <c r="CM1318" s="347"/>
      <c r="CN1318" s="347"/>
      <c r="CO1318" s="347"/>
      <c r="CP1318" s="347"/>
    </row>
    <row r="1319">
      <c r="A1319" s="574"/>
      <c r="B1319" s="574"/>
      <c r="C1319" s="347"/>
      <c r="D1319" s="574"/>
      <c r="E1319" s="347"/>
      <c r="F1319" s="596"/>
      <c r="G1319" s="596"/>
      <c r="H1319" s="347"/>
      <c r="I1319" s="347"/>
      <c r="J1319" s="596"/>
      <c r="K1319" s="609"/>
      <c r="L1319" s="1"/>
      <c r="M1319" s="347"/>
      <c r="N1319" s="347"/>
      <c r="O1319" s="579"/>
      <c r="P1319" s="579"/>
      <c r="Q1319" s="574"/>
      <c r="R1319" s="347"/>
      <c r="S1319" s="597"/>
      <c r="T1319" s="347"/>
      <c r="U1319" s="579"/>
      <c r="V1319" s="579"/>
      <c r="W1319" s="574"/>
      <c r="X1319" s="347"/>
      <c r="Y1319" s="347"/>
      <c r="Z1319" s="347"/>
      <c r="AA1319" s="579"/>
      <c r="AB1319" s="581"/>
      <c r="AC1319" s="347"/>
      <c r="AD1319" s="347"/>
      <c r="AE1319" s="347"/>
      <c r="AF1319" s="347"/>
      <c r="AG1319" s="579"/>
      <c r="AH1319" s="579"/>
      <c r="AI1319" s="582"/>
      <c r="AJ1319" s="582"/>
      <c r="AK1319" s="582"/>
      <c r="AL1319" s="582"/>
      <c r="AM1319" s="579"/>
      <c r="AN1319" s="579"/>
      <c r="AO1319" s="347"/>
      <c r="AP1319" s="586"/>
      <c r="AQ1319" s="596"/>
      <c r="AR1319" s="596"/>
      <c r="AS1319" s="348"/>
      <c r="AT1319" s="348"/>
      <c r="AU1319" s="348"/>
      <c r="AV1319" s="348"/>
      <c r="AW1319" s="348"/>
      <c r="AX1319" s="584"/>
      <c r="AY1319" s="581"/>
      <c r="AZ1319" s="581"/>
      <c r="BA1319" s="596"/>
      <c r="BB1319" s="596"/>
      <c r="BC1319" s="348"/>
      <c r="BD1319" s="581"/>
      <c r="BE1319" s="581"/>
      <c r="BF1319" s="347"/>
      <c r="BG1319" s="347"/>
      <c r="BH1319" s="347"/>
      <c r="BI1319" s="347"/>
      <c r="BJ1319" s="586"/>
      <c r="BK1319" s="581"/>
      <c r="BL1319" s="347"/>
      <c r="BM1319" s="347"/>
      <c r="BN1319" s="347"/>
      <c r="BO1319" s="586"/>
      <c r="BP1319" s="584"/>
      <c r="BQ1319" s="347"/>
      <c r="BR1319" s="586"/>
      <c r="BS1319" s="588"/>
      <c r="BT1319" s="586"/>
      <c r="BU1319" s="589"/>
      <c r="BV1319" s="581"/>
      <c r="BW1319" s="590"/>
      <c r="BX1319" s="347"/>
      <c r="BY1319" s="347"/>
      <c r="BZ1319" s="347"/>
      <c r="CA1319" s="586"/>
      <c r="CB1319" s="581"/>
      <c r="CC1319" s="581"/>
      <c r="CD1319" s="581"/>
      <c r="CE1319" s="581"/>
      <c r="CF1319" s="581"/>
      <c r="CG1319" s="586"/>
      <c r="CH1319" s="608"/>
      <c r="CI1319" s="603"/>
      <c r="CJ1319" s="347"/>
      <c r="CK1319" s="347"/>
      <c r="CL1319" s="347"/>
      <c r="CM1319" s="347"/>
      <c r="CN1319" s="347"/>
      <c r="CO1319" s="347"/>
      <c r="CP1319" s="347"/>
    </row>
    <row r="1320">
      <c r="A1320" s="574"/>
      <c r="B1320" s="574"/>
      <c r="C1320" s="347"/>
      <c r="D1320" s="574"/>
      <c r="E1320" s="347"/>
      <c r="F1320" s="596"/>
      <c r="G1320" s="596"/>
      <c r="H1320" s="347"/>
      <c r="I1320" s="347"/>
      <c r="J1320" s="596"/>
      <c r="K1320" s="609"/>
      <c r="L1320" s="1"/>
      <c r="M1320" s="347"/>
      <c r="N1320" s="347"/>
      <c r="O1320" s="579"/>
      <c r="P1320" s="579"/>
      <c r="Q1320" s="574"/>
      <c r="R1320" s="347"/>
      <c r="S1320" s="597"/>
      <c r="T1320" s="347"/>
      <c r="U1320" s="579"/>
      <c r="V1320" s="579"/>
      <c r="W1320" s="574"/>
      <c r="X1320" s="347"/>
      <c r="Y1320" s="347"/>
      <c r="Z1320" s="347"/>
      <c r="AA1320" s="579"/>
      <c r="AB1320" s="581"/>
      <c r="AC1320" s="347"/>
      <c r="AD1320" s="347"/>
      <c r="AE1320" s="347"/>
      <c r="AF1320" s="347"/>
      <c r="AG1320" s="579"/>
      <c r="AH1320" s="579"/>
      <c r="AI1320" s="582"/>
      <c r="AJ1320" s="582"/>
      <c r="AK1320" s="582"/>
      <c r="AL1320" s="582"/>
      <c r="AM1320" s="579"/>
      <c r="AN1320" s="579"/>
      <c r="AO1320" s="347"/>
      <c r="AP1320" s="586"/>
      <c r="AQ1320" s="596"/>
      <c r="AR1320" s="596"/>
      <c r="AS1320" s="348"/>
      <c r="AT1320" s="348"/>
      <c r="AU1320" s="348"/>
      <c r="AV1320" s="348"/>
      <c r="AW1320" s="348"/>
      <c r="AX1320" s="584"/>
      <c r="AY1320" s="581"/>
      <c r="AZ1320" s="581"/>
      <c r="BA1320" s="596"/>
      <c r="BB1320" s="596"/>
      <c r="BC1320" s="348"/>
      <c r="BD1320" s="581"/>
      <c r="BE1320" s="581"/>
      <c r="BF1320" s="347"/>
      <c r="BG1320" s="347"/>
      <c r="BH1320" s="347"/>
      <c r="BI1320" s="347"/>
      <c r="BJ1320" s="586"/>
      <c r="BK1320" s="581"/>
      <c r="BL1320" s="347"/>
      <c r="BM1320" s="347"/>
      <c r="BN1320" s="347"/>
      <c r="BO1320" s="586"/>
      <c r="BP1320" s="584"/>
      <c r="BQ1320" s="347"/>
      <c r="BR1320" s="586"/>
      <c r="BS1320" s="588"/>
      <c r="BT1320" s="586"/>
      <c r="BU1320" s="589"/>
      <c r="BV1320" s="581"/>
      <c r="BW1320" s="590"/>
      <c r="BX1320" s="347"/>
      <c r="BY1320" s="347"/>
      <c r="BZ1320" s="347"/>
      <c r="CA1320" s="586"/>
      <c r="CB1320" s="581"/>
      <c r="CC1320" s="581"/>
      <c r="CD1320" s="581"/>
      <c r="CE1320" s="581"/>
      <c r="CF1320" s="581"/>
      <c r="CG1320" s="586"/>
      <c r="CH1320" s="608"/>
      <c r="CI1320" s="603"/>
      <c r="CJ1320" s="347"/>
      <c r="CK1320" s="347"/>
      <c r="CL1320" s="347"/>
      <c r="CM1320" s="347"/>
      <c r="CN1320" s="347"/>
      <c r="CO1320" s="347"/>
      <c r="CP1320" s="347"/>
    </row>
    <row r="1321">
      <c r="A1321" s="574"/>
      <c r="B1321" s="574"/>
      <c r="C1321" s="347"/>
      <c r="D1321" s="574"/>
      <c r="E1321" s="347"/>
      <c r="F1321" s="596"/>
      <c r="G1321" s="596"/>
      <c r="H1321" s="347"/>
      <c r="I1321" s="347"/>
      <c r="J1321" s="596"/>
      <c r="K1321" s="609"/>
      <c r="L1321" s="1"/>
      <c r="M1321" s="347"/>
      <c r="N1321" s="347"/>
      <c r="O1321" s="579"/>
      <c r="P1321" s="579"/>
      <c r="Q1321" s="574"/>
      <c r="R1321" s="347"/>
      <c r="S1321" s="597"/>
      <c r="T1321" s="347"/>
      <c r="U1321" s="579"/>
      <c r="V1321" s="579"/>
      <c r="W1321" s="574"/>
      <c r="X1321" s="347"/>
      <c r="Y1321" s="347"/>
      <c r="Z1321" s="347"/>
      <c r="AA1321" s="579"/>
      <c r="AB1321" s="581"/>
      <c r="AC1321" s="347"/>
      <c r="AD1321" s="347"/>
      <c r="AE1321" s="347"/>
      <c r="AF1321" s="347"/>
      <c r="AG1321" s="579"/>
      <c r="AH1321" s="579"/>
      <c r="AI1321" s="582"/>
      <c r="AJ1321" s="582"/>
      <c r="AK1321" s="582"/>
      <c r="AL1321" s="582"/>
      <c r="AM1321" s="579"/>
      <c r="AN1321" s="579"/>
      <c r="AO1321" s="347"/>
      <c r="AP1321" s="586"/>
      <c r="AQ1321" s="596"/>
      <c r="AR1321" s="596"/>
      <c r="AS1321" s="348"/>
      <c r="AT1321" s="348"/>
      <c r="AU1321" s="348"/>
      <c r="AV1321" s="348"/>
      <c r="AW1321" s="348"/>
      <c r="AX1321" s="584"/>
      <c r="AY1321" s="581"/>
      <c r="AZ1321" s="581"/>
      <c r="BA1321" s="596"/>
      <c r="BB1321" s="596"/>
      <c r="BC1321" s="348"/>
      <c r="BD1321" s="581"/>
      <c r="BE1321" s="581"/>
      <c r="BF1321" s="347"/>
      <c r="BG1321" s="347"/>
      <c r="BH1321" s="347"/>
      <c r="BI1321" s="347"/>
      <c r="BJ1321" s="586"/>
      <c r="BK1321" s="581"/>
      <c r="BL1321" s="347"/>
      <c r="BM1321" s="347"/>
      <c r="BN1321" s="347"/>
      <c r="BO1321" s="586"/>
      <c r="BP1321" s="584"/>
      <c r="BQ1321" s="347"/>
      <c r="BR1321" s="586"/>
      <c r="BS1321" s="588"/>
      <c r="BT1321" s="586"/>
      <c r="BU1321" s="589"/>
      <c r="BV1321" s="581"/>
      <c r="BW1321" s="590"/>
      <c r="BX1321" s="347"/>
      <c r="BY1321" s="347"/>
      <c r="BZ1321" s="347"/>
      <c r="CA1321" s="586"/>
      <c r="CB1321" s="581"/>
      <c r="CC1321" s="581"/>
      <c r="CD1321" s="581"/>
      <c r="CE1321" s="581"/>
      <c r="CF1321" s="581"/>
      <c r="CG1321" s="586"/>
      <c r="CH1321" s="608"/>
      <c r="CI1321" s="603"/>
      <c r="CJ1321" s="347"/>
      <c r="CK1321" s="347"/>
      <c r="CL1321" s="347"/>
      <c r="CM1321" s="347"/>
      <c r="CN1321" s="347"/>
      <c r="CO1321" s="347"/>
      <c r="CP1321" s="347"/>
    </row>
    <row r="1322">
      <c r="A1322" s="574"/>
      <c r="B1322" s="574"/>
      <c r="C1322" s="347"/>
      <c r="D1322" s="574"/>
      <c r="E1322" s="347"/>
      <c r="F1322" s="596"/>
      <c r="G1322" s="596"/>
      <c r="H1322" s="347"/>
      <c r="I1322" s="347"/>
      <c r="J1322" s="596"/>
      <c r="K1322" s="609"/>
      <c r="L1322" s="1"/>
      <c r="M1322" s="347"/>
      <c r="N1322" s="347"/>
      <c r="O1322" s="579"/>
      <c r="P1322" s="579"/>
      <c r="Q1322" s="574"/>
      <c r="R1322" s="347"/>
      <c r="S1322" s="597"/>
      <c r="T1322" s="347"/>
      <c r="U1322" s="579"/>
      <c r="V1322" s="579"/>
      <c r="W1322" s="574"/>
      <c r="X1322" s="347"/>
      <c r="Y1322" s="347"/>
      <c r="Z1322" s="347"/>
      <c r="AA1322" s="579"/>
      <c r="AB1322" s="581"/>
      <c r="AC1322" s="347"/>
      <c r="AD1322" s="347"/>
      <c r="AE1322" s="347"/>
      <c r="AF1322" s="347"/>
      <c r="AG1322" s="579"/>
      <c r="AH1322" s="579"/>
      <c r="AI1322" s="582"/>
      <c r="AJ1322" s="582"/>
      <c r="AK1322" s="582"/>
      <c r="AL1322" s="582"/>
      <c r="AM1322" s="579"/>
      <c r="AN1322" s="579"/>
      <c r="AO1322" s="347"/>
      <c r="AP1322" s="586"/>
      <c r="AQ1322" s="596"/>
      <c r="AR1322" s="596"/>
      <c r="AS1322" s="348"/>
      <c r="AT1322" s="348"/>
      <c r="AU1322" s="348"/>
      <c r="AV1322" s="348"/>
      <c r="AW1322" s="348"/>
      <c r="AX1322" s="584"/>
      <c r="AY1322" s="581"/>
      <c r="AZ1322" s="581"/>
      <c r="BA1322" s="596"/>
      <c r="BB1322" s="596"/>
      <c r="BC1322" s="348"/>
      <c r="BD1322" s="581"/>
      <c r="BE1322" s="581"/>
      <c r="BF1322" s="347"/>
      <c r="BG1322" s="347"/>
      <c r="BH1322" s="347"/>
      <c r="BI1322" s="347"/>
      <c r="BJ1322" s="586"/>
      <c r="BK1322" s="581"/>
      <c r="BL1322" s="347"/>
      <c r="BM1322" s="347"/>
      <c r="BN1322" s="347"/>
      <c r="BO1322" s="586"/>
      <c r="BP1322" s="584"/>
      <c r="BQ1322" s="347"/>
      <c r="BR1322" s="586"/>
      <c r="BS1322" s="588"/>
      <c r="BT1322" s="586"/>
      <c r="BU1322" s="589"/>
      <c r="BV1322" s="581"/>
      <c r="BW1322" s="590"/>
      <c r="BX1322" s="347"/>
      <c r="BY1322" s="347"/>
      <c r="BZ1322" s="347"/>
      <c r="CA1322" s="586"/>
      <c r="CB1322" s="581"/>
      <c r="CC1322" s="581"/>
      <c r="CD1322" s="581"/>
      <c r="CE1322" s="581"/>
      <c r="CF1322" s="581"/>
      <c r="CG1322" s="586"/>
      <c r="CH1322" s="608"/>
      <c r="CI1322" s="603"/>
      <c r="CJ1322" s="347"/>
      <c r="CK1322" s="347"/>
      <c r="CL1322" s="347"/>
      <c r="CM1322" s="347"/>
      <c r="CN1322" s="347"/>
      <c r="CO1322" s="347"/>
      <c r="CP1322" s="347"/>
    </row>
    <row r="1323">
      <c r="A1323" s="574"/>
      <c r="B1323" s="574"/>
      <c r="C1323" s="347"/>
      <c r="D1323" s="574"/>
      <c r="E1323" s="347"/>
      <c r="F1323" s="596"/>
      <c r="G1323" s="596"/>
      <c r="H1323" s="347"/>
      <c r="I1323" s="347"/>
      <c r="J1323" s="596"/>
      <c r="K1323" s="609"/>
      <c r="L1323" s="1"/>
      <c r="M1323" s="347"/>
      <c r="N1323" s="347"/>
      <c r="O1323" s="579"/>
      <c r="P1323" s="579"/>
      <c r="Q1323" s="574"/>
      <c r="R1323" s="347"/>
      <c r="S1323" s="597"/>
      <c r="T1323" s="347"/>
      <c r="U1323" s="579"/>
      <c r="V1323" s="579"/>
      <c r="W1323" s="574"/>
      <c r="X1323" s="347"/>
      <c r="Y1323" s="347"/>
      <c r="Z1323" s="347"/>
      <c r="AA1323" s="579"/>
      <c r="AB1323" s="581"/>
      <c r="AC1323" s="347"/>
      <c r="AD1323" s="347"/>
      <c r="AE1323" s="347"/>
      <c r="AF1323" s="347"/>
      <c r="AG1323" s="579"/>
      <c r="AH1323" s="579"/>
      <c r="AI1323" s="582"/>
      <c r="AJ1323" s="582"/>
      <c r="AK1323" s="582"/>
      <c r="AL1323" s="582"/>
      <c r="AM1323" s="579"/>
      <c r="AN1323" s="579"/>
      <c r="AO1323" s="347"/>
      <c r="AP1323" s="586"/>
      <c r="AQ1323" s="596"/>
      <c r="AR1323" s="596"/>
      <c r="AS1323" s="348"/>
      <c r="AT1323" s="348"/>
      <c r="AU1323" s="348"/>
      <c r="AV1323" s="348"/>
      <c r="AW1323" s="348"/>
      <c r="AX1323" s="584"/>
      <c r="AY1323" s="581"/>
      <c r="AZ1323" s="581"/>
      <c r="BA1323" s="596"/>
      <c r="BB1323" s="596"/>
      <c r="BC1323" s="348"/>
      <c r="BD1323" s="581"/>
      <c r="BE1323" s="581"/>
      <c r="BF1323" s="347"/>
      <c r="BG1323" s="347"/>
      <c r="BH1323" s="347"/>
      <c r="BI1323" s="347"/>
      <c r="BJ1323" s="586"/>
      <c r="BK1323" s="581"/>
      <c r="BL1323" s="347"/>
      <c r="BM1323" s="347"/>
      <c r="BN1323" s="347"/>
      <c r="BO1323" s="586"/>
      <c r="BP1323" s="584"/>
      <c r="BQ1323" s="347"/>
      <c r="BR1323" s="586"/>
      <c r="BS1323" s="588"/>
      <c r="BT1323" s="586"/>
      <c r="BU1323" s="589"/>
      <c r="BV1323" s="581"/>
      <c r="BW1323" s="590"/>
      <c r="BX1323" s="347"/>
      <c r="BY1323" s="347"/>
      <c r="BZ1323" s="347"/>
      <c r="CA1323" s="586"/>
      <c r="CB1323" s="581"/>
      <c r="CC1323" s="581"/>
      <c r="CD1323" s="581"/>
      <c r="CE1323" s="581"/>
      <c r="CF1323" s="581"/>
      <c r="CG1323" s="586"/>
      <c r="CH1323" s="608"/>
      <c r="CI1323" s="603"/>
      <c r="CJ1323" s="347"/>
      <c r="CK1323" s="347"/>
      <c r="CL1323" s="347"/>
      <c r="CM1323" s="347"/>
      <c r="CN1323" s="347"/>
      <c r="CO1323" s="347"/>
      <c r="CP1323" s="347"/>
    </row>
    <row r="1324">
      <c r="A1324" s="574"/>
      <c r="B1324" s="574"/>
      <c r="C1324" s="347"/>
      <c r="D1324" s="574"/>
      <c r="E1324" s="347"/>
      <c r="F1324" s="596"/>
      <c r="G1324" s="596"/>
      <c r="H1324" s="347"/>
      <c r="I1324" s="347"/>
      <c r="J1324" s="596"/>
      <c r="K1324" s="609"/>
      <c r="L1324" s="1"/>
      <c r="M1324" s="347"/>
      <c r="N1324" s="347"/>
      <c r="O1324" s="579"/>
      <c r="P1324" s="579"/>
      <c r="Q1324" s="574"/>
      <c r="R1324" s="347"/>
      <c r="S1324" s="597"/>
      <c r="T1324" s="347"/>
      <c r="U1324" s="579"/>
      <c r="V1324" s="579"/>
      <c r="W1324" s="574"/>
      <c r="X1324" s="347"/>
      <c r="Y1324" s="347"/>
      <c r="Z1324" s="347"/>
      <c r="AA1324" s="579"/>
      <c r="AB1324" s="581"/>
      <c r="AC1324" s="347"/>
      <c r="AD1324" s="347"/>
      <c r="AE1324" s="347"/>
      <c r="AF1324" s="347"/>
      <c r="AG1324" s="579"/>
      <c r="AH1324" s="579"/>
      <c r="AI1324" s="582"/>
      <c r="AJ1324" s="582"/>
      <c r="AK1324" s="582"/>
      <c r="AL1324" s="582"/>
      <c r="AM1324" s="579"/>
      <c r="AN1324" s="579"/>
      <c r="AO1324" s="347"/>
      <c r="AP1324" s="586"/>
      <c r="AQ1324" s="596"/>
      <c r="AR1324" s="596"/>
      <c r="AS1324" s="348"/>
      <c r="AT1324" s="348"/>
      <c r="AU1324" s="348"/>
      <c r="AV1324" s="348"/>
      <c r="AW1324" s="348"/>
      <c r="AX1324" s="584"/>
      <c r="AY1324" s="581"/>
      <c r="AZ1324" s="581"/>
      <c r="BA1324" s="596"/>
      <c r="BB1324" s="596"/>
      <c r="BC1324" s="348"/>
      <c r="BD1324" s="581"/>
      <c r="BE1324" s="581"/>
      <c r="BF1324" s="347"/>
      <c r="BG1324" s="347"/>
      <c r="BH1324" s="347"/>
      <c r="BI1324" s="347"/>
      <c r="BJ1324" s="586"/>
      <c r="BK1324" s="581"/>
      <c r="BL1324" s="347"/>
      <c r="BM1324" s="347"/>
      <c r="BN1324" s="347"/>
      <c r="BO1324" s="586"/>
      <c r="BP1324" s="584"/>
      <c r="BQ1324" s="347"/>
      <c r="BR1324" s="586"/>
      <c r="BS1324" s="588"/>
      <c r="BT1324" s="586"/>
      <c r="BU1324" s="589"/>
      <c r="BV1324" s="581"/>
      <c r="BW1324" s="590"/>
      <c r="BX1324" s="347"/>
      <c r="BY1324" s="347"/>
      <c r="BZ1324" s="347"/>
      <c r="CA1324" s="586"/>
      <c r="CB1324" s="581"/>
      <c r="CC1324" s="581"/>
      <c r="CD1324" s="581"/>
      <c r="CE1324" s="581"/>
      <c r="CF1324" s="581"/>
      <c r="CG1324" s="586"/>
      <c r="CH1324" s="608"/>
      <c r="CI1324" s="603"/>
      <c r="CJ1324" s="347"/>
      <c r="CK1324" s="347"/>
      <c r="CL1324" s="347"/>
      <c r="CM1324" s="347"/>
      <c r="CN1324" s="347"/>
      <c r="CO1324" s="347"/>
      <c r="CP1324" s="347"/>
    </row>
    <row r="1325">
      <c r="A1325" s="574"/>
      <c r="B1325" s="574"/>
      <c r="C1325" s="347"/>
      <c r="D1325" s="574"/>
      <c r="E1325" s="347"/>
      <c r="F1325" s="596"/>
      <c r="G1325" s="596"/>
      <c r="H1325" s="347"/>
      <c r="I1325" s="347"/>
      <c r="J1325" s="596"/>
      <c r="K1325" s="609"/>
      <c r="L1325" s="1"/>
      <c r="M1325" s="347"/>
      <c r="N1325" s="347"/>
      <c r="O1325" s="579"/>
      <c r="P1325" s="579"/>
      <c r="Q1325" s="574"/>
      <c r="R1325" s="347"/>
      <c r="S1325" s="597"/>
      <c r="T1325" s="347"/>
      <c r="U1325" s="579"/>
      <c r="V1325" s="579"/>
      <c r="W1325" s="574"/>
      <c r="X1325" s="347"/>
      <c r="Y1325" s="347"/>
      <c r="Z1325" s="347"/>
      <c r="AA1325" s="579"/>
      <c r="AB1325" s="581"/>
      <c r="AC1325" s="347"/>
      <c r="AD1325" s="347"/>
      <c r="AE1325" s="347"/>
      <c r="AF1325" s="347"/>
      <c r="AG1325" s="579"/>
      <c r="AH1325" s="579"/>
      <c r="AI1325" s="582"/>
      <c r="AJ1325" s="582"/>
      <c r="AK1325" s="582"/>
      <c r="AL1325" s="582"/>
      <c r="AM1325" s="579"/>
      <c r="AN1325" s="579"/>
      <c r="AO1325" s="347"/>
      <c r="AP1325" s="586"/>
      <c r="AQ1325" s="596"/>
      <c r="AR1325" s="596"/>
      <c r="AS1325" s="348"/>
      <c r="AT1325" s="348"/>
      <c r="AU1325" s="348"/>
      <c r="AV1325" s="348"/>
      <c r="AW1325" s="348"/>
      <c r="AX1325" s="584"/>
      <c r="AY1325" s="581"/>
      <c r="AZ1325" s="581"/>
      <c r="BA1325" s="596"/>
      <c r="BB1325" s="596"/>
      <c r="BC1325" s="348"/>
      <c r="BD1325" s="581"/>
      <c r="BE1325" s="581"/>
      <c r="BF1325" s="347"/>
      <c r="BG1325" s="347"/>
      <c r="BH1325" s="347"/>
      <c r="BI1325" s="347"/>
      <c r="BJ1325" s="586"/>
      <c r="BK1325" s="581"/>
      <c r="BL1325" s="347"/>
      <c r="BM1325" s="347"/>
      <c r="BN1325" s="347"/>
      <c r="BO1325" s="586"/>
      <c r="BP1325" s="584"/>
      <c r="BQ1325" s="347"/>
      <c r="BR1325" s="586"/>
      <c r="BS1325" s="588"/>
      <c r="BT1325" s="586"/>
      <c r="BU1325" s="589"/>
      <c r="BV1325" s="581"/>
      <c r="BW1325" s="590"/>
      <c r="BX1325" s="347"/>
      <c r="BY1325" s="347"/>
      <c r="BZ1325" s="347"/>
      <c r="CA1325" s="586"/>
      <c r="CB1325" s="581"/>
      <c r="CC1325" s="581"/>
      <c r="CD1325" s="581"/>
      <c r="CE1325" s="581"/>
      <c r="CF1325" s="581"/>
      <c r="CG1325" s="586"/>
      <c r="CH1325" s="608"/>
      <c r="CI1325" s="603"/>
      <c r="CJ1325" s="347"/>
      <c r="CK1325" s="347"/>
      <c r="CL1325" s="347"/>
      <c r="CM1325" s="347"/>
      <c r="CN1325" s="347"/>
      <c r="CO1325" s="347"/>
      <c r="CP1325" s="347"/>
    </row>
    <row r="1326">
      <c r="A1326" s="574"/>
      <c r="B1326" s="574"/>
      <c r="C1326" s="347"/>
      <c r="D1326" s="574"/>
      <c r="E1326" s="347"/>
      <c r="F1326" s="596"/>
      <c r="G1326" s="596"/>
      <c r="H1326" s="347"/>
      <c r="I1326" s="347"/>
      <c r="J1326" s="596"/>
      <c r="K1326" s="609"/>
      <c r="L1326" s="1"/>
      <c r="M1326" s="347"/>
      <c r="N1326" s="347"/>
      <c r="O1326" s="579"/>
      <c r="P1326" s="579"/>
      <c r="Q1326" s="574"/>
      <c r="R1326" s="347"/>
      <c r="S1326" s="597"/>
      <c r="T1326" s="347"/>
      <c r="U1326" s="579"/>
      <c r="V1326" s="579"/>
      <c r="W1326" s="574"/>
      <c r="X1326" s="347"/>
      <c r="Y1326" s="347"/>
      <c r="Z1326" s="347"/>
      <c r="AA1326" s="579"/>
      <c r="AB1326" s="581"/>
      <c r="AC1326" s="347"/>
      <c r="AD1326" s="347"/>
      <c r="AE1326" s="347"/>
      <c r="AF1326" s="347"/>
      <c r="AG1326" s="579"/>
      <c r="AH1326" s="579"/>
      <c r="AI1326" s="582"/>
      <c r="AJ1326" s="582"/>
      <c r="AK1326" s="582"/>
      <c r="AL1326" s="582"/>
      <c r="AM1326" s="579"/>
      <c r="AN1326" s="579"/>
      <c r="AO1326" s="347"/>
      <c r="AP1326" s="586"/>
      <c r="AQ1326" s="596"/>
      <c r="AR1326" s="596"/>
      <c r="AS1326" s="348"/>
      <c r="AT1326" s="348"/>
      <c r="AU1326" s="348"/>
      <c r="AV1326" s="348"/>
      <c r="AW1326" s="348"/>
      <c r="AX1326" s="584"/>
      <c r="AY1326" s="581"/>
      <c r="AZ1326" s="581"/>
      <c r="BA1326" s="596"/>
      <c r="BB1326" s="596"/>
      <c r="BC1326" s="348"/>
      <c r="BD1326" s="581"/>
      <c r="BE1326" s="581"/>
      <c r="BF1326" s="347"/>
      <c r="BG1326" s="347"/>
      <c r="BH1326" s="347"/>
      <c r="BI1326" s="347"/>
      <c r="BJ1326" s="586"/>
      <c r="BK1326" s="581"/>
      <c r="BL1326" s="347"/>
      <c r="BM1326" s="347"/>
      <c r="BN1326" s="347"/>
      <c r="BO1326" s="586"/>
      <c r="BP1326" s="584"/>
      <c r="BQ1326" s="347"/>
      <c r="BR1326" s="586"/>
      <c r="BS1326" s="588"/>
      <c r="BT1326" s="586"/>
      <c r="BU1326" s="589"/>
      <c r="BV1326" s="581"/>
      <c r="BW1326" s="590"/>
      <c r="BX1326" s="347"/>
      <c r="BY1326" s="347"/>
      <c r="BZ1326" s="347"/>
      <c r="CA1326" s="586"/>
      <c r="CB1326" s="581"/>
      <c r="CC1326" s="581"/>
      <c r="CD1326" s="581"/>
      <c r="CE1326" s="581"/>
      <c r="CF1326" s="581"/>
      <c r="CG1326" s="586"/>
      <c r="CH1326" s="608"/>
      <c r="CI1326" s="603"/>
      <c r="CJ1326" s="347"/>
      <c r="CK1326" s="347"/>
      <c r="CL1326" s="347"/>
      <c r="CM1326" s="347"/>
      <c r="CN1326" s="347"/>
      <c r="CO1326" s="347"/>
      <c r="CP1326" s="347"/>
    </row>
    <row r="1327">
      <c r="A1327" s="574"/>
      <c r="B1327" s="574"/>
      <c r="C1327" s="347"/>
      <c r="D1327" s="574"/>
      <c r="E1327" s="347"/>
      <c r="F1327" s="596"/>
      <c r="G1327" s="596"/>
      <c r="H1327" s="347"/>
      <c r="I1327" s="347"/>
      <c r="J1327" s="596"/>
      <c r="K1327" s="609"/>
      <c r="L1327" s="1"/>
      <c r="M1327" s="347"/>
      <c r="N1327" s="347"/>
      <c r="O1327" s="579"/>
      <c r="P1327" s="579"/>
      <c r="Q1327" s="574"/>
      <c r="R1327" s="347"/>
      <c r="S1327" s="597"/>
      <c r="T1327" s="347"/>
      <c r="U1327" s="579"/>
      <c r="V1327" s="579"/>
      <c r="W1327" s="574"/>
      <c r="X1327" s="347"/>
      <c r="Y1327" s="347"/>
      <c r="Z1327" s="347"/>
      <c r="AA1327" s="579"/>
      <c r="AB1327" s="581"/>
      <c r="AC1327" s="347"/>
      <c r="AD1327" s="347"/>
      <c r="AE1327" s="347"/>
      <c r="AF1327" s="347"/>
      <c r="AG1327" s="579"/>
      <c r="AH1327" s="579"/>
      <c r="AI1327" s="582"/>
      <c r="AJ1327" s="582"/>
      <c r="AK1327" s="582"/>
      <c r="AL1327" s="582"/>
      <c r="AM1327" s="579"/>
      <c r="AN1327" s="579"/>
      <c r="AO1327" s="347"/>
      <c r="AP1327" s="586"/>
      <c r="AQ1327" s="596"/>
      <c r="AR1327" s="596"/>
      <c r="AS1327" s="348"/>
      <c r="AT1327" s="348"/>
      <c r="AU1327" s="348"/>
      <c r="AV1327" s="348"/>
      <c r="AW1327" s="348"/>
      <c r="AX1327" s="584"/>
      <c r="AY1327" s="581"/>
      <c r="AZ1327" s="581"/>
      <c r="BA1327" s="596"/>
      <c r="BB1327" s="596"/>
      <c r="BC1327" s="348"/>
      <c r="BD1327" s="581"/>
      <c r="BE1327" s="581"/>
      <c r="BF1327" s="347"/>
      <c r="BG1327" s="347"/>
      <c r="BH1327" s="347"/>
      <c r="BI1327" s="347"/>
      <c r="BJ1327" s="586"/>
      <c r="BK1327" s="581"/>
      <c r="BL1327" s="347"/>
      <c r="BM1327" s="347"/>
      <c r="BN1327" s="347"/>
      <c r="BO1327" s="586"/>
      <c r="BP1327" s="584"/>
      <c r="BQ1327" s="347"/>
      <c r="BR1327" s="586"/>
      <c r="BS1327" s="588"/>
      <c r="BT1327" s="586"/>
      <c r="BU1327" s="589"/>
      <c r="BV1327" s="581"/>
      <c r="BW1327" s="590"/>
      <c r="BX1327" s="347"/>
      <c r="BY1327" s="347"/>
      <c r="BZ1327" s="347"/>
      <c r="CA1327" s="586"/>
      <c r="CB1327" s="581"/>
      <c r="CC1327" s="581"/>
      <c r="CD1327" s="581"/>
      <c r="CE1327" s="581"/>
      <c r="CF1327" s="581"/>
      <c r="CG1327" s="586"/>
      <c r="CH1327" s="608"/>
      <c r="CI1327" s="603"/>
      <c r="CJ1327" s="347"/>
      <c r="CK1327" s="347"/>
      <c r="CL1327" s="347"/>
      <c r="CM1327" s="347"/>
      <c r="CN1327" s="347"/>
      <c r="CO1327" s="347"/>
      <c r="CP1327" s="347"/>
    </row>
    <row r="1328">
      <c r="A1328" s="574"/>
      <c r="B1328" s="574"/>
      <c r="C1328" s="347"/>
      <c r="D1328" s="574"/>
      <c r="E1328" s="347"/>
      <c r="F1328" s="596"/>
      <c r="G1328" s="596"/>
      <c r="H1328" s="347"/>
      <c r="I1328" s="347"/>
      <c r="J1328" s="596"/>
      <c r="K1328" s="609"/>
      <c r="L1328" s="1"/>
      <c r="M1328" s="347"/>
      <c r="N1328" s="347"/>
      <c r="O1328" s="579"/>
      <c r="P1328" s="579"/>
      <c r="Q1328" s="574"/>
      <c r="R1328" s="347"/>
      <c r="S1328" s="597"/>
      <c r="T1328" s="347"/>
      <c r="U1328" s="579"/>
      <c r="V1328" s="579"/>
      <c r="W1328" s="574"/>
      <c r="X1328" s="347"/>
      <c r="Y1328" s="347"/>
      <c r="Z1328" s="347"/>
      <c r="AA1328" s="579"/>
      <c r="AB1328" s="581"/>
      <c r="AC1328" s="347"/>
      <c r="AD1328" s="347"/>
      <c r="AE1328" s="347"/>
      <c r="AF1328" s="347"/>
      <c r="AG1328" s="579"/>
      <c r="AH1328" s="579"/>
      <c r="AI1328" s="582"/>
      <c r="AJ1328" s="582"/>
      <c r="AK1328" s="582"/>
      <c r="AL1328" s="582"/>
      <c r="AM1328" s="579"/>
      <c r="AN1328" s="579"/>
      <c r="AO1328" s="347"/>
      <c r="AP1328" s="586"/>
      <c r="AQ1328" s="596"/>
      <c r="AR1328" s="596"/>
      <c r="AS1328" s="348"/>
      <c r="AT1328" s="348"/>
      <c r="AU1328" s="348"/>
      <c r="AV1328" s="348"/>
      <c r="AW1328" s="348"/>
      <c r="AX1328" s="584"/>
      <c r="AY1328" s="581"/>
      <c r="AZ1328" s="581"/>
      <c r="BA1328" s="596"/>
      <c r="BB1328" s="596"/>
      <c r="BC1328" s="348"/>
      <c r="BD1328" s="581"/>
      <c r="BE1328" s="581"/>
      <c r="BF1328" s="347"/>
      <c r="BG1328" s="347"/>
      <c r="BH1328" s="347"/>
      <c r="BI1328" s="347"/>
      <c r="BJ1328" s="586"/>
      <c r="BK1328" s="581"/>
      <c r="BL1328" s="347"/>
      <c r="BM1328" s="347"/>
      <c r="BN1328" s="347"/>
      <c r="BO1328" s="586"/>
      <c r="BP1328" s="584"/>
      <c r="BQ1328" s="347"/>
      <c r="BR1328" s="586"/>
      <c r="BS1328" s="588"/>
      <c r="BT1328" s="586"/>
      <c r="BU1328" s="589"/>
      <c r="BV1328" s="581"/>
      <c r="BW1328" s="590"/>
      <c r="BX1328" s="347"/>
      <c r="BY1328" s="347"/>
      <c r="BZ1328" s="347"/>
      <c r="CA1328" s="586"/>
      <c r="CB1328" s="581"/>
      <c r="CC1328" s="581"/>
      <c r="CD1328" s="581"/>
      <c r="CE1328" s="581"/>
      <c r="CF1328" s="581"/>
      <c r="CG1328" s="586"/>
      <c r="CH1328" s="608"/>
      <c r="CI1328" s="603"/>
      <c r="CJ1328" s="347"/>
      <c r="CK1328" s="347"/>
      <c r="CL1328" s="347"/>
      <c r="CM1328" s="347"/>
      <c r="CN1328" s="347"/>
      <c r="CO1328" s="347"/>
      <c r="CP1328" s="347"/>
    </row>
    <row r="1329">
      <c r="A1329" s="574"/>
      <c r="B1329" s="574"/>
      <c r="C1329" s="347"/>
      <c r="D1329" s="574"/>
      <c r="E1329" s="347"/>
      <c r="F1329" s="596"/>
      <c r="G1329" s="596"/>
      <c r="H1329" s="347"/>
      <c r="I1329" s="347"/>
      <c r="J1329" s="596"/>
      <c r="K1329" s="609"/>
      <c r="L1329" s="1"/>
      <c r="M1329" s="347"/>
      <c r="N1329" s="347"/>
      <c r="O1329" s="579"/>
      <c r="P1329" s="579"/>
      <c r="Q1329" s="574"/>
      <c r="R1329" s="347"/>
      <c r="S1329" s="597"/>
      <c r="T1329" s="347"/>
      <c r="U1329" s="579"/>
      <c r="V1329" s="579"/>
      <c r="W1329" s="574"/>
      <c r="X1329" s="347"/>
      <c r="Y1329" s="347"/>
      <c r="Z1329" s="347"/>
      <c r="AA1329" s="579"/>
      <c r="AB1329" s="581"/>
      <c r="AC1329" s="347"/>
      <c r="AD1329" s="347"/>
      <c r="AE1329" s="347"/>
      <c r="AF1329" s="347"/>
      <c r="AG1329" s="579"/>
      <c r="AH1329" s="579"/>
      <c r="AI1329" s="582"/>
      <c r="AJ1329" s="582"/>
      <c r="AK1329" s="582"/>
      <c r="AL1329" s="582"/>
      <c r="AM1329" s="579"/>
      <c r="AN1329" s="579"/>
      <c r="AO1329" s="347"/>
      <c r="AP1329" s="586"/>
      <c r="AQ1329" s="596"/>
      <c r="AR1329" s="596"/>
      <c r="AS1329" s="348"/>
      <c r="AT1329" s="348"/>
      <c r="AU1329" s="348"/>
      <c r="AV1329" s="348"/>
      <c r="AW1329" s="348"/>
      <c r="AX1329" s="584"/>
      <c r="AY1329" s="581"/>
      <c r="AZ1329" s="581"/>
      <c r="BA1329" s="596"/>
      <c r="BB1329" s="596"/>
      <c r="BC1329" s="348"/>
      <c r="BD1329" s="581"/>
      <c r="BE1329" s="581"/>
      <c r="BF1329" s="347"/>
      <c r="BG1329" s="347"/>
      <c r="BH1329" s="347"/>
      <c r="BI1329" s="347"/>
      <c r="BJ1329" s="586"/>
      <c r="BK1329" s="581"/>
      <c r="BL1329" s="347"/>
      <c r="BM1329" s="347"/>
      <c r="BN1329" s="347"/>
      <c r="BO1329" s="586"/>
      <c r="BP1329" s="584"/>
      <c r="BQ1329" s="347"/>
      <c r="BR1329" s="586"/>
      <c r="BS1329" s="588"/>
      <c r="BT1329" s="586"/>
      <c r="BU1329" s="589"/>
      <c r="BV1329" s="581"/>
      <c r="BW1329" s="590"/>
      <c r="BX1329" s="347"/>
      <c r="BY1329" s="347"/>
      <c r="BZ1329" s="347"/>
      <c r="CA1329" s="586"/>
      <c r="CB1329" s="581"/>
      <c r="CC1329" s="581"/>
      <c r="CD1329" s="581"/>
      <c r="CE1329" s="581"/>
      <c r="CF1329" s="581"/>
      <c r="CG1329" s="586"/>
      <c r="CH1329" s="608"/>
      <c r="CI1329" s="603"/>
      <c r="CJ1329" s="347"/>
      <c r="CK1329" s="347"/>
      <c r="CL1329" s="347"/>
      <c r="CM1329" s="347"/>
      <c r="CN1329" s="347"/>
      <c r="CO1329" s="347"/>
      <c r="CP1329" s="347"/>
    </row>
    <row r="1330">
      <c r="A1330" s="574"/>
      <c r="B1330" s="574"/>
      <c r="C1330" s="347"/>
      <c r="D1330" s="574"/>
      <c r="E1330" s="347"/>
      <c r="F1330" s="596"/>
      <c r="G1330" s="596"/>
      <c r="H1330" s="347"/>
      <c r="I1330" s="347"/>
      <c r="J1330" s="596"/>
      <c r="K1330" s="609"/>
      <c r="L1330" s="1"/>
      <c r="M1330" s="347"/>
      <c r="N1330" s="347"/>
      <c r="O1330" s="579"/>
      <c r="P1330" s="579"/>
      <c r="Q1330" s="574"/>
      <c r="R1330" s="347"/>
      <c r="S1330" s="597"/>
      <c r="T1330" s="347"/>
      <c r="U1330" s="579"/>
      <c r="V1330" s="579"/>
      <c r="W1330" s="574"/>
      <c r="X1330" s="347"/>
      <c r="Y1330" s="347"/>
      <c r="Z1330" s="347"/>
      <c r="AA1330" s="579"/>
      <c r="AB1330" s="581"/>
      <c r="AC1330" s="347"/>
      <c r="AD1330" s="347"/>
      <c r="AE1330" s="347"/>
      <c r="AF1330" s="347"/>
      <c r="AG1330" s="579"/>
      <c r="AH1330" s="579"/>
      <c r="AI1330" s="582"/>
      <c r="AJ1330" s="582"/>
      <c r="AK1330" s="582"/>
      <c r="AL1330" s="582"/>
      <c r="AM1330" s="579"/>
      <c r="AN1330" s="579"/>
      <c r="AO1330" s="347"/>
      <c r="AP1330" s="586"/>
      <c r="AQ1330" s="596"/>
      <c r="AR1330" s="596"/>
      <c r="AS1330" s="348"/>
      <c r="AT1330" s="348"/>
      <c r="AU1330" s="348"/>
      <c r="AV1330" s="348"/>
      <c r="AW1330" s="348"/>
      <c r="AX1330" s="584"/>
      <c r="AY1330" s="581"/>
      <c r="AZ1330" s="581"/>
      <c r="BA1330" s="596"/>
      <c r="BB1330" s="596"/>
      <c r="BC1330" s="348"/>
      <c r="BD1330" s="581"/>
      <c r="BE1330" s="581"/>
      <c r="BF1330" s="347"/>
      <c r="BG1330" s="347"/>
      <c r="BH1330" s="347"/>
      <c r="BI1330" s="347"/>
      <c r="BJ1330" s="586"/>
      <c r="BK1330" s="581"/>
      <c r="BL1330" s="347"/>
      <c r="BM1330" s="347"/>
      <c r="BN1330" s="347"/>
      <c r="BO1330" s="586"/>
      <c r="BP1330" s="584"/>
      <c r="BQ1330" s="347"/>
      <c r="BR1330" s="586"/>
      <c r="BS1330" s="588"/>
      <c r="BT1330" s="586"/>
      <c r="BU1330" s="589"/>
      <c r="BV1330" s="581"/>
      <c r="BW1330" s="590"/>
      <c r="BX1330" s="347"/>
      <c r="BY1330" s="347"/>
      <c r="BZ1330" s="347"/>
      <c r="CA1330" s="586"/>
      <c r="CB1330" s="581"/>
      <c r="CC1330" s="581"/>
      <c r="CD1330" s="581"/>
      <c r="CE1330" s="581"/>
      <c r="CF1330" s="581"/>
      <c r="CG1330" s="586"/>
      <c r="CH1330" s="608"/>
      <c r="CI1330" s="603"/>
      <c r="CJ1330" s="347"/>
      <c r="CK1330" s="347"/>
      <c r="CL1330" s="347"/>
      <c r="CM1330" s="347"/>
      <c r="CN1330" s="347"/>
      <c r="CO1330" s="347"/>
      <c r="CP1330" s="347"/>
    </row>
    <row r="1331">
      <c r="A1331" s="574"/>
      <c r="B1331" s="574"/>
      <c r="C1331" s="347"/>
      <c r="D1331" s="574"/>
      <c r="E1331" s="347"/>
      <c r="F1331" s="596"/>
      <c r="G1331" s="596"/>
      <c r="H1331" s="347"/>
      <c r="I1331" s="347"/>
      <c r="J1331" s="596"/>
      <c r="K1331" s="609"/>
      <c r="L1331" s="1"/>
      <c r="M1331" s="347"/>
      <c r="N1331" s="347"/>
      <c r="O1331" s="579"/>
      <c r="P1331" s="579"/>
      <c r="Q1331" s="574"/>
      <c r="R1331" s="347"/>
      <c r="S1331" s="597"/>
      <c r="T1331" s="347"/>
      <c r="U1331" s="579"/>
      <c r="V1331" s="579"/>
      <c r="W1331" s="574"/>
      <c r="X1331" s="347"/>
      <c r="Y1331" s="347"/>
      <c r="Z1331" s="347"/>
      <c r="AA1331" s="579"/>
      <c r="AB1331" s="581"/>
      <c r="AC1331" s="347"/>
      <c r="AD1331" s="347"/>
      <c r="AE1331" s="347"/>
      <c r="AF1331" s="347"/>
      <c r="AG1331" s="579"/>
      <c r="AH1331" s="579"/>
      <c r="AI1331" s="582"/>
      <c r="AJ1331" s="582"/>
      <c r="AK1331" s="582"/>
      <c r="AL1331" s="582"/>
      <c r="AM1331" s="579"/>
      <c r="AN1331" s="579"/>
      <c r="AO1331" s="347"/>
      <c r="AP1331" s="586"/>
      <c r="AQ1331" s="596"/>
      <c r="AR1331" s="596"/>
      <c r="AS1331" s="348"/>
      <c r="AT1331" s="348"/>
      <c r="AU1331" s="348"/>
      <c r="AV1331" s="348"/>
      <c r="AW1331" s="348"/>
      <c r="AX1331" s="584"/>
      <c r="AY1331" s="581"/>
      <c r="AZ1331" s="581"/>
      <c r="BA1331" s="596"/>
      <c r="BB1331" s="596"/>
      <c r="BC1331" s="348"/>
      <c r="BD1331" s="581"/>
      <c r="BE1331" s="581"/>
      <c r="BF1331" s="347"/>
      <c r="BG1331" s="347"/>
      <c r="BH1331" s="347"/>
      <c r="BI1331" s="347"/>
      <c r="BJ1331" s="586"/>
      <c r="BK1331" s="581"/>
      <c r="BL1331" s="347"/>
      <c r="BM1331" s="347"/>
      <c r="BN1331" s="347"/>
      <c r="BO1331" s="586"/>
      <c r="BP1331" s="584"/>
      <c r="BQ1331" s="347"/>
      <c r="BR1331" s="586"/>
      <c r="BS1331" s="588"/>
      <c r="BT1331" s="586"/>
      <c r="BU1331" s="589"/>
      <c r="BV1331" s="581"/>
      <c r="BW1331" s="590"/>
      <c r="BX1331" s="347"/>
      <c r="BY1331" s="347"/>
      <c r="BZ1331" s="347"/>
      <c r="CA1331" s="586"/>
      <c r="CB1331" s="581"/>
      <c r="CC1331" s="581"/>
      <c r="CD1331" s="581"/>
      <c r="CE1331" s="581"/>
      <c r="CF1331" s="581"/>
      <c r="CG1331" s="586"/>
      <c r="CH1331" s="608"/>
      <c r="CI1331" s="603"/>
      <c r="CJ1331" s="347"/>
      <c r="CK1331" s="347"/>
      <c r="CL1331" s="347"/>
      <c r="CM1331" s="347"/>
      <c r="CN1331" s="347"/>
      <c r="CO1331" s="347"/>
      <c r="CP1331" s="347"/>
    </row>
    <row r="1332">
      <c r="A1332" s="574"/>
      <c r="B1332" s="574"/>
      <c r="C1332" s="347"/>
      <c r="D1332" s="574"/>
      <c r="E1332" s="347"/>
      <c r="F1332" s="596"/>
      <c r="G1332" s="596"/>
      <c r="H1332" s="347"/>
      <c r="I1332" s="347"/>
      <c r="J1332" s="596"/>
      <c r="K1332" s="609"/>
      <c r="L1332" s="1"/>
      <c r="M1332" s="347"/>
      <c r="N1332" s="347"/>
      <c r="O1332" s="579"/>
      <c r="P1332" s="579"/>
      <c r="Q1332" s="574"/>
      <c r="R1332" s="347"/>
      <c r="S1332" s="597"/>
      <c r="T1332" s="347"/>
      <c r="U1332" s="579"/>
      <c r="V1332" s="579"/>
      <c r="W1332" s="574"/>
      <c r="X1332" s="347"/>
      <c r="Y1332" s="347"/>
      <c r="Z1332" s="347"/>
      <c r="AA1332" s="579"/>
      <c r="AB1332" s="581"/>
      <c r="AC1332" s="347"/>
      <c r="AD1332" s="347"/>
      <c r="AE1332" s="347"/>
      <c r="AF1332" s="347"/>
      <c r="AG1332" s="579"/>
      <c r="AH1332" s="579"/>
      <c r="AI1332" s="582"/>
      <c r="AJ1332" s="582"/>
      <c r="AK1332" s="582"/>
      <c r="AL1332" s="582"/>
      <c r="AM1332" s="579"/>
      <c r="AN1332" s="579"/>
      <c r="AO1332" s="347"/>
      <c r="AP1332" s="586"/>
      <c r="AQ1332" s="596"/>
      <c r="AR1332" s="596"/>
      <c r="AS1332" s="348"/>
      <c r="AT1332" s="348"/>
      <c r="AU1332" s="348"/>
      <c r="AV1332" s="348"/>
      <c r="AW1332" s="348"/>
      <c r="AX1332" s="584"/>
      <c r="AY1332" s="581"/>
      <c r="AZ1332" s="581"/>
      <c r="BA1332" s="596"/>
      <c r="BB1332" s="596"/>
      <c r="BC1332" s="348"/>
      <c r="BD1332" s="581"/>
      <c r="BE1332" s="581"/>
      <c r="BF1332" s="347"/>
      <c r="BG1332" s="347"/>
      <c r="BH1332" s="347"/>
      <c r="BI1332" s="347"/>
      <c r="BJ1332" s="586"/>
      <c r="BK1332" s="581"/>
      <c r="BL1332" s="347"/>
      <c r="BM1332" s="347"/>
      <c r="BN1332" s="347"/>
      <c r="BO1332" s="586"/>
      <c r="BP1332" s="584"/>
      <c r="BQ1332" s="347"/>
      <c r="BR1332" s="586"/>
      <c r="BS1332" s="588"/>
      <c r="BT1332" s="586"/>
      <c r="BU1332" s="589"/>
      <c r="BV1332" s="581"/>
      <c r="BW1332" s="590"/>
      <c r="BX1332" s="347"/>
      <c r="BY1332" s="347"/>
      <c r="BZ1332" s="347"/>
      <c r="CA1332" s="586"/>
      <c r="CB1332" s="581"/>
      <c r="CC1332" s="581"/>
      <c r="CD1332" s="581"/>
      <c r="CE1332" s="581"/>
      <c r="CF1332" s="581"/>
      <c r="CG1332" s="586"/>
      <c r="CH1332" s="608"/>
      <c r="CI1332" s="603"/>
      <c r="CJ1332" s="347"/>
      <c r="CK1332" s="347"/>
      <c r="CL1332" s="347"/>
      <c r="CM1332" s="347"/>
      <c r="CN1332" s="347"/>
      <c r="CO1332" s="347"/>
      <c r="CP1332" s="347"/>
    </row>
    <row r="1333">
      <c r="A1333" s="574"/>
      <c r="B1333" s="574"/>
      <c r="C1333" s="347"/>
      <c r="D1333" s="574"/>
      <c r="E1333" s="347"/>
      <c r="F1333" s="596"/>
      <c r="G1333" s="596"/>
      <c r="H1333" s="347"/>
      <c r="I1333" s="347"/>
      <c r="J1333" s="596"/>
      <c r="K1333" s="609"/>
      <c r="L1333" s="1"/>
      <c r="M1333" s="347"/>
      <c r="N1333" s="347"/>
      <c r="O1333" s="579"/>
      <c r="P1333" s="579"/>
      <c r="Q1333" s="574"/>
      <c r="R1333" s="347"/>
      <c r="S1333" s="597"/>
      <c r="T1333" s="347"/>
      <c r="U1333" s="579"/>
      <c r="V1333" s="579"/>
      <c r="W1333" s="574"/>
      <c r="X1333" s="347"/>
      <c r="Y1333" s="347"/>
      <c r="Z1333" s="347"/>
      <c r="AA1333" s="579"/>
      <c r="AB1333" s="581"/>
      <c r="AC1333" s="347"/>
      <c r="AD1333" s="347"/>
      <c r="AE1333" s="347"/>
      <c r="AF1333" s="347"/>
      <c r="AG1333" s="579"/>
      <c r="AH1333" s="579"/>
      <c r="AI1333" s="582"/>
      <c r="AJ1333" s="582"/>
      <c r="AK1333" s="582"/>
      <c r="AL1333" s="582"/>
      <c r="AM1333" s="579"/>
      <c r="AN1333" s="579"/>
      <c r="AO1333" s="347"/>
      <c r="AP1333" s="586"/>
      <c r="AQ1333" s="596"/>
      <c r="AR1333" s="596"/>
      <c r="AS1333" s="348"/>
      <c r="AT1333" s="348"/>
      <c r="AU1333" s="348"/>
      <c r="AV1333" s="348"/>
      <c r="AW1333" s="348"/>
      <c r="AX1333" s="584"/>
      <c r="AY1333" s="581"/>
      <c r="AZ1333" s="581"/>
      <c r="BA1333" s="596"/>
      <c r="BB1333" s="596"/>
      <c r="BC1333" s="348"/>
      <c r="BD1333" s="581"/>
      <c r="BE1333" s="581"/>
      <c r="BF1333" s="347"/>
      <c r="BG1333" s="347"/>
      <c r="BH1333" s="347"/>
      <c r="BI1333" s="347"/>
      <c r="BJ1333" s="586"/>
      <c r="BK1333" s="581"/>
      <c r="BL1333" s="347"/>
      <c r="BM1333" s="347"/>
      <c r="BN1333" s="347"/>
      <c r="BO1333" s="586"/>
      <c r="BP1333" s="584"/>
      <c r="BQ1333" s="347"/>
      <c r="BR1333" s="586"/>
      <c r="BS1333" s="588"/>
      <c r="BT1333" s="586"/>
      <c r="BU1333" s="589"/>
      <c r="BV1333" s="581"/>
      <c r="BW1333" s="590"/>
      <c r="BX1333" s="347"/>
      <c r="BY1333" s="347"/>
      <c r="BZ1333" s="347"/>
      <c r="CA1333" s="586"/>
      <c r="CB1333" s="581"/>
      <c r="CC1333" s="581"/>
      <c r="CD1333" s="581"/>
      <c r="CE1333" s="581"/>
      <c r="CF1333" s="581"/>
      <c r="CG1333" s="586"/>
      <c r="CH1333" s="608"/>
      <c r="CI1333" s="603"/>
      <c r="CJ1333" s="347"/>
      <c r="CK1333" s="347"/>
      <c r="CL1333" s="347"/>
      <c r="CM1333" s="347"/>
      <c r="CN1333" s="347"/>
      <c r="CO1333" s="347"/>
      <c r="CP1333" s="347"/>
    </row>
    <row r="1334">
      <c r="A1334" s="574"/>
      <c r="B1334" s="574"/>
      <c r="C1334" s="347"/>
      <c r="D1334" s="574"/>
      <c r="E1334" s="347"/>
      <c r="F1334" s="596"/>
      <c r="G1334" s="596"/>
      <c r="H1334" s="347"/>
      <c r="I1334" s="347"/>
      <c r="J1334" s="596"/>
      <c r="K1334" s="609"/>
      <c r="L1334" s="1"/>
      <c r="M1334" s="347"/>
      <c r="N1334" s="347"/>
      <c r="O1334" s="579"/>
      <c r="P1334" s="579"/>
      <c r="Q1334" s="574"/>
      <c r="R1334" s="347"/>
      <c r="S1334" s="597"/>
      <c r="T1334" s="347"/>
      <c r="U1334" s="579"/>
      <c r="V1334" s="579"/>
      <c r="W1334" s="574"/>
      <c r="X1334" s="347"/>
      <c r="Y1334" s="347"/>
      <c r="Z1334" s="347"/>
      <c r="AA1334" s="579"/>
      <c r="AB1334" s="581"/>
      <c r="AC1334" s="347"/>
      <c r="AD1334" s="347"/>
      <c r="AE1334" s="347"/>
      <c r="AF1334" s="347"/>
      <c r="AG1334" s="579"/>
      <c r="AH1334" s="579"/>
      <c r="AI1334" s="582"/>
      <c r="AJ1334" s="582"/>
      <c r="AK1334" s="582"/>
      <c r="AL1334" s="582"/>
      <c r="AM1334" s="579"/>
      <c r="AN1334" s="579"/>
      <c r="AO1334" s="347"/>
      <c r="AP1334" s="586"/>
      <c r="AQ1334" s="596"/>
      <c r="AR1334" s="596"/>
      <c r="AS1334" s="348"/>
      <c r="AT1334" s="348"/>
      <c r="AU1334" s="348"/>
      <c r="AV1334" s="348"/>
      <c r="AW1334" s="348"/>
      <c r="AX1334" s="584"/>
      <c r="AY1334" s="581"/>
      <c r="AZ1334" s="581"/>
      <c r="BA1334" s="596"/>
      <c r="BB1334" s="596"/>
      <c r="BC1334" s="348"/>
      <c r="BD1334" s="581"/>
      <c r="BE1334" s="581"/>
      <c r="BF1334" s="347"/>
      <c r="BG1334" s="347"/>
      <c r="BH1334" s="347"/>
      <c r="BI1334" s="347"/>
      <c r="BJ1334" s="586"/>
      <c r="BK1334" s="581"/>
      <c r="BL1334" s="347"/>
      <c r="BM1334" s="347"/>
      <c r="BN1334" s="347"/>
      <c r="BO1334" s="586"/>
      <c r="BP1334" s="584"/>
      <c r="BQ1334" s="347"/>
      <c r="BR1334" s="586"/>
      <c r="BS1334" s="588"/>
      <c r="BT1334" s="586"/>
      <c r="BU1334" s="589"/>
      <c r="BV1334" s="581"/>
      <c r="BW1334" s="590"/>
      <c r="BX1334" s="347"/>
      <c r="BY1334" s="347"/>
      <c r="BZ1334" s="347"/>
      <c r="CA1334" s="586"/>
      <c r="CB1334" s="581"/>
      <c r="CC1334" s="581"/>
      <c r="CD1334" s="581"/>
      <c r="CE1334" s="581"/>
      <c r="CF1334" s="581"/>
      <c r="CG1334" s="586"/>
      <c r="CH1334" s="608"/>
      <c r="CI1334" s="603"/>
      <c r="CJ1334" s="347"/>
      <c r="CK1334" s="347"/>
      <c r="CL1334" s="347"/>
      <c r="CM1334" s="347"/>
      <c r="CN1334" s="347"/>
      <c r="CO1334" s="347"/>
      <c r="CP1334" s="347"/>
    </row>
    <row r="1335">
      <c r="A1335" s="574"/>
      <c r="B1335" s="574"/>
      <c r="C1335" s="347"/>
      <c r="D1335" s="574"/>
      <c r="E1335" s="347"/>
      <c r="F1335" s="596"/>
      <c r="G1335" s="596"/>
      <c r="H1335" s="347"/>
      <c r="I1335" s="347"/>
      <c r="J1335" s="596"/>
      <c r="K1335" s="609"/>
      <c r="L1335" s="1"/>
      <c r="M1335" s="347"/>
      <c r="N1335" s="347"/>
      <c r="O1335" s="579"/>
      <c r="P1335" s="579"/>
      <c r="Q1335" s="574"/>
      <c r="R1335" s="347"/>
      <c r="S1335" s="597"/>
      <c r="T1335" s="347"/>
      <c r="U1335" s="579"/>
      <c r="V1335" s="579"/>
      <c r="W1335" s="574"/>
      <c r="X1335" s="347"/>
      <c r="Y1335" s="347"/>
      <c r="Z1335" s="347"/>
      <c r="AA1335" s="579"/>
      <c r="AB1335" s="581"/>
      <c r="AC1335" s="347"/>
      <c r="AD1335" s="347"/>
      <c r="AE1335" s="347"/>
      <c r="AF1335" s="347"/>
      <c r="AG1335" s="579"/>
      <c r="AH1335" s="579"/>
      <c r="AI1335" s="582"/>
      <c r="AJ1335" s="582"/>
      <c r="AK1335" s="582"/>
      <c r="AL1335" s="582"/>
      <c r="AM1335" s="579"/>
      <c r="AN1335" s="579"/>
      <c r="AO1335" s="347"/>
      <c r="AP1335" s="586"/>
      <c r="AQ1335" s="596"/>
      <c r="AR1335" s="596"/>
      <c r="AS1335" s="348"/>
      <c r="AT1335" s="348"/>
      <c r="AU1335" s="348"/>
      <c r="AV1335" s="348"/>
      <c r="AW1335" s="348"/>
      <c r="AX1335" s="584"/>
      <c r="AY1335" s="581"/>
      <c r="AZ1335" s="581"/>
      <c r="BA1335" s="596"/>
      <c r="BB1335" s="596"/>
      <c r="BC1335" s="348"/>
      <c r="BD1335" s="581"/>
      <c r="BE1335" s="581"/>
      <c r="BF1335" s="347"/>
      <c r="BG1335" s="347"/>
      <c r="BH1335" s="347"/>
      <c r="BI1335" s="347"/>
      <c r="BJ1335" s="586"/>
      <c r="BK1335" s="581"/>
      <c r="BL1335" s="347"/>
      <c r="BM1335" s="347"/>
      <c r="BN1335" s="347"/>
      <c r="BO1335" s="586"/>
      <c r="BP1335" s="584"/>
      <c r="BQ1335" s="347"/>
      <c r="BR1335" s="586"/>
      <c r="BS1335" s="588"/>
      <c r="BT1335" s="586"/>
      <c r="BU1335" s="589"/>
      <c r="BV1335" s="581"/>
      <c r="BW1335" s="590"/>
      <c r="BX1335" s="347"/>
      <c r="BY1335" s="347"/>
      <c r="BZ1335" s="347"/>
      <c r="CA1335" s="586"/>
      <c r="CB1335" s="581"/>
      <c r="CC1335" s="581"/>
      <c r="CD1335" s="581"/>
      <c r="CE1335" s="581"/>
      <c r="CF1335" s="581"/>
      <c r="CG1335" s="586"/>
      <c r="CH1335" s="608"/>
      <c r="CI1335" s="603"/>
      <c r="CJ1335" s="347"/>
      <c r="CK1335" s="347"/>
      <c r="CL1335" s="347"/>
      <c r="CM1335" s="347"/>
      <c r="CN1335" s="347"/>
      <c r="CO1335" s="347"/>
      <c r="CP1335" s="347"/>
    </row>
    <row r="1336">
      <c r="A1336" s="574"/>
      <c r="B1336" s="574"/>
      <c r="C1336" s="347"/>
      <c r="D1336" s="574"/>
      <c r="E1336" s="347"/>
      <c r="F1336" s="596"/>
      <c r="G1336" s="596"/>
      <c r="H1336" s="347"/>
      <c r="I1336" s="347"/>
      <c r="J1336" s="596"/>
      <c r="K1336" s="609"/>
      <c r="L1336" s="1"/>
      <c r="M1336" s="347"/>
      <c r="N1336" s="347"/>
      <c r="O1336" s="579"/>
      <c r="P1336" s="579"/>
      <c r="Q1336" s="574"/>
      <c r="R1336" s="347"/>
      <c r="S1336" s="597"/>
      <c r="T1336" s="347"/>
      <c r="U1336" s="579"/>
      <c r="V1336" s="579"/>
      <c r="W1336" s="574"/>
      <c r="X1336" s="347"/>
      <c r="Y1336" s="347"/>
      <c r="Z1336" s="347"/>
      <c r="AA1336" s="579"/>
      <c r="AB1336" s="581"/>
      <c r="AC1336" s="347"/>
      <c r="AD1336" s="347"/>
      <c r="AE1336" s="347"/>
      <c r="AF1336" s="347"/>
      <c r="AG1336" s="579"/>
      <c r="AH1336" s="579"/>
      <c r="AI1336" s="582"/>
      <c r="AJ1336" s="582"/>
      <c r="AK1336" s="582"/>
      <c r="AL1336" s="582"/>
      <c r="AM1336" s="579"/>
      <c r="AN1336" s="579"/>
      <c r="AO1336" s="347"/>
      <c r="AP1336" s="586"/>
      <c r="AQ1336" s="596"/>
      <c r="AR1336" s="596"/>
      <c r="AS1336" s="348"/>
      <c r="AT1336" s="348"/>
      <c r="AU1336" s="348"/>
      <c r="AV1336" s="348"/>
      <c r="AW1336" s="348"/>
      <c r="AX1336" s="584"/>
      <c r="AY1336" s="581"/>
      <c r="AZ1336" s="581"/>
      <c r="BA1336" s="596"/>
      <c r="BB1336" s="596"/>
      <c r="BC1336" s="348"/>
      <c r="BD1336" s="581"/>
      <c r="BE1336" s="581"/>
      <c r="BF1336" s="347"/>
      <c r="BG1336" s="347"/>
      <c r="BH1336" s="347"/>
      <c r="BI1336" s="347"/>
      <c r="BJ1336" s="586"/>
      <c r="BK1336" s="581"/>
      <c r="BL1336" s="347"/>
      <c r="BM1336" s="347"/>
      <c r="BN1336" s="347"/>
      <c r="BO1336" s="586"/>
      <c r="BP1336" s="584"/>
      <c r="BQ1336" s="347"/>
      <c r="BR1336" s="586"/>
      <c r="BS1336" s="588"/>
      <c r="BT1336" s="586"/>
      <c r="BU1336" s="589"/>
      <c r="BV1336" s="581"/>
      <c r="BW1336" s="590"/>
      <c r="BX1336" s="347"/>
      <c r="BY1336" s="347"/>
      <c r="BZ1336" s="347"/>
      <c r="CA1336" s="586"/>
      <c r="CB1336" s="581"/>
      <c r="CC1336" s="581"/>
      <c r="CD1336" s="581"/>
      <c r="CE1336" s="581"/>
      <c r="CF1336" s="581"/>
      <c r="CG1336" s="586"/>
      <c r="CH1336" s="608"/>
      <c r="CI1336" s="603"/>
      <c r="CJ1336" s="347"/>
      <c r="CK1336" s="347"/>
      <c r="CL1336" s="347"/>
      <c r="CM1336" s="347"/>
      <c r="CN1336" s="347"/>
      <c r="CO1336" s="347"/>
      <c r="CP1336" s="347"/>
    </row>
    <row r="1337">
      <c r="A1337" s="574"/>
      <c r="B1337" s="574"/>
      <c r="C1337" s="347"/>
      <c r="D1337" s="574"/>
      <c r="E1337" s="347"/>
      <c r="F1337" s="596"/>
      <c r="G1337" s="596"/>
      <c r="H1337" s="347"/>
      <c r="I1337" s="347"/>
      <c r="J1337" s="596"/>
      <c r="K1337" s="609"/>
      <c r="L1337" s="1"/>
      <c r="M1337" s="347"/>
      <c r="N1337" s="347"/>
      <c r="O1337" s="579"/>
      <c r="P1337" s="579"/>
      <c r="Q1337" s="574"/>
      <c r="R1337" s="347"/>
      <c r="S1337" s="597"/>
      <c r="T1337" s="347"/>
      <c r="U1337" s="579"/>
      <c r="V1337" s="579"/>
      <c r="W1337" s="574"/>
      <c r="X1337" s="347"/>
      <c r="Y1337" s="347"/>
      <c r="Z1337" s="347"/>
      <c r="AA1337" s="579"/>
      <c r="AB1337" s="581"/>
      <c r="AC1337" s="347"/>
      <c r="AD1337" s="347"/>
      <c r="AE1337" s="347"/>
      <c r="AF1337" s="347"/>
      <c r="AG1337" s="579"/>
      <c r="AH1337" s="579"/>
      <c r="AI1337" s="582"/>
      <c r="AJ1337" s="582"/>
      <c r="AK1337" s="582"/>
      <c r="AL1337" s="582"/>
      <c r="AM1337" s="579"/>
      <c r="AN1337" s="579"/>
      <c r="AO1337" s="347"/>
      <c r="AP1337" s="586"/>
      <c r="AQ1337" s="596"/>
      <c r="AR1337" s="596"/>
      <c r="AS1337" s="348"/>
      <c r="AT1337" s="348"/>
      <c r="AU1337" s="348"/>
      <c r="AV1337" s="348"/>
      <c r="AW1337" s="348"/>
      <c r="AX1337" s="584"/>
      <c r="AY1337" s="581"/>
      <c r="AZ1337" s="581"/>
      <c r="BA1337" s="596"/>
      <c r="BB1337" s="596"/>
      <c r="BC1337" s="348"/>
      <c r="BD1337" s="581"/>
      <c r="BE1337" s="581"/>
      <c r="BF1337" s="347"/>
      <c r="BG1337" s="347"/>
      <c r="BH1337" s="347"/>
      <c r="BI1337" s="347"/>
      <c r="BJ1337" s="586"/>
      <c r="BK1337" s="581"/>
      <c r="BL1337" s="347"/>
      <c r="BM1337" s="347"/>
      <c r="BN1337" s="347"/>
      <c r="BO1337" s="586"/>
      <c r="BP1337" s="584"/>
      <c r="BQ1337" s="347"/>
      <c r="BR1337" s="586"/>
      <c r="BS1337" s="588"/>
      <c r="BT1337" s="586"/>
      <c r="BU1337" s="589"/>
      <c r="BV1337" s="581"/>
      <c r="BW1337" s="590"/>
      <c r="BX1337" s="347"/>
      <c r="BY1337" s="347"/>
      <c r="BZ1337" s="347"/>
      <c r="CA1337" s="586"/>
      <c r="CB1337" s="581"/>
      <c r="CC1337" s="581"/>
      <c r="CD1337" s="581"/>
      <c r="CE1337" s="581"/>
      <c r="CF1337" s="581"/>
      <c r="CG1337" s="586"/>
      <c r="CH1337" s="608"/>
      <c r="CI1337" s="603"/>
      <c r="CJ1337" s="347"/>
      <c r="CK1337" s="347"/>
      <c r="CL1337" s="347"/>
      <c r="CM1337" s="347"/>
      <c r="CN1337" s="347"/>
      <c r="CO1337" s="347"/>
      <c r="CP1337" s="347"/>
    </row>
    <row r="1338">
      <c r="A1338" s="574"/>
      <c r="B1338" s="574"/>
      <c r="C1338" s="347"/>
      <c r="D1338" s="574"/>
      <c r="E1338" s="347"/>
      <c r="F1338" s="596"/>
      <c r="G1338" s="596"/>
      <c r="H1338" s="347"/>
      <c r="I1338" s="347"/>
      <c r="J1338" s="596"/>
      <c r="K1338" s="609"/>
      <c r="L1338" s="1"/>
      <c r="M1338" s="347"/>
      <c r="N1338" s="347"/>
      <c r="O1338" s="579"/>
      <c r="P1338" s="579"/>
      <c r="Q1338" s="574"/>
      <c r="R1338" s="347"/>
      <c r="S1338" s="597"/>
      <c r="T1338" s="347"/>
      <c r="U1338" s="579"/>
      <c r="V1338" s="579"/>
      <c r="W1338" s="574"/>
      <c r="X1338" s="347"/>
      <c r="Y1338" s="347"/>
      <c r="Z1338" s="347"/>
      <c r="AA1338" s="579"/>
      <c r="AB1338" s="581"/>
      <c r="AC1338" s="347"/>
      <c r="AD1338" s="347"/>
      <c r="AE1338" s="347"/>
      <c r="AF1338" s="347"/>
      <c r="AG1338" s="579"/>
      <c r="AH1338" s="579"/>
      <c r="AI1338" s="582"/>
      <c r="AJ1338" s="582"/>
      <c r="AK1338" s="582"/>
      <c r="AL1338" s="582"/>
      <c r="AM1338" s="579"/>
      <c r="AN1338" s="579"/>
      <c r="AO1338" s="347"/>
      <c r="AP1338" s="586"/>
      <c r="AQ1338" s="596"/>
      <c r="AR1338" s="596"/>
      <c r="AS1338" s="348"/>
      <c r="AT1338" s="348"/>
      <c r="AU1338" s="348"/>
      <c r="AV1338" s="348"/>
      <c r="AW1338" s="348"/>
      <c r="AX1338" s="584"/>
      <c r="AY1338" s="581"/>
      <c r="AZ1338" s="581"/>
      <c r="BA1338" s="596"/>
      <c r="BB1338" s="596"/>
      <c r="BC1338" s="348"/>
      <c r="BD1338" s="581"/>
      <c r="BE1338" s="581"/>
      <c r="BF1338" s="347"/>
      <c r="BG1338" s="347"/>
      <c r="BH1338" s="347"/>
      <c r="BI1338" s="347"/>
      <c r="BJ1338" s="586"/>
      <c r="BK1338" s="581"/>
      <c r="BL1338" s="347"/>
      <c r="BM1338" s="347"/>
      <c r="BN1338" s="347"/>
      <c r="BO1338" s="586"/>
      <c r="BP1338" s="584"/>
      <c r="BQ1338" s="347"/>
      <c r="BR1338" s="586"/>
      <c r="BS1338" s="588"/>
      <c r="BT1338" s="586"/>
      <c r="BU1338" s="589"/>
      <c r="BV1338" s="581"/>
      <c r="BW1338" s="590"/>
      <c r="BX1338" s="347"/>
      <c r="BY1338" s="347"/>
      <c r="BZ1338" s="347"/>
      <c r="CA1338" s="586"/>
      <c r="CB1338" s="581"/>
      <c r="CC1338" s="581"/>
      <c r="CD1338" s="581"/>
      <c r="CE1338" s="581"/>
      <c r="CF1338" s="581"/>
      <c r="CG1338" s="586"/>
      <c r="CH1338" s="608"/>
      <c r="CI1338" s="603"/>
      <c r="CJ1338" s="347"/>
      <c r="CK1338" s="347"/>
      <c r="CL1338" s="347"/>
      <c r="CM1338" s="347"/>
      <c r="CN1338" s="347"/>
      <c r="CO1338" s="347"/>
      <c r="CP1338" s="347"/>
    </row>
    <row r="1339">
      <c r="A1339" s="574"/>
      <c r="B1339" s="574"/>
      <c r="C1339" s="347"/>
      <c r="D1339" s="574"/>
      <c r="E1339" s="347"/>
      <c r="F1339" s="596"/>
      <c r="G1339" s="596"/>
      <c r="H1339" s="347"/>
      <c r="I1339" s="347"/>
      <c r="J1339" s="596"/>
      <c r="K1339" s="609"/>
      <c r="L1339" s="1"/>
      <c r="M1339" s="347"/>
      <c r="N1339" s="347"/>
      <c r="O1339" s="579"/>
      <c r="P1339" s="579"/>
      <c r="Q1339" s="574"/>
      <c r="R1339" s="347"/>
      <c r="S1339" s="597"/>
      <c r="T1339" s="347"/>
      <c r="U1339" s="579"/>
      <c r="V1339" s="579"/>
      <c r="W1339" s="574"/>
      <c r="X1339" s="347"/>
      <c r="Y1339" s="347"/>
      <c r="Z1339" s="347"/>
      <c r="AA1339" s="579"/>
      <c r="AB1339" s="581"/>
      <c r="AC1339" s="347"/>
      <c r="AD1339" s="347"/>
      <c r="AE1339" s="347"/>
      <c r="AF1339" s="347"/>
      <c r="AG1339" s="579"/>
      <c r="AH1339" s="579"/>
      <c r="AI1339" s="582"/>
      <c r="AJ1339" s="582"/>
      <c r="AK1339" s="582"/>
      <c r="AL1339" s="582"/>
      <c r="AM1339" s="579"/>
      <c r="AN1339" s="579"/>
      <c r="AO1339" s="347"/>
      <c r="AP1339" s="586"/>
      <c r="AQ1339" s="596"/>
      <c r="AR1339" s="596"/>
      <c r="AS1339" s="348"/>
      <c r="AT1339" s="348"/>
      <c r="AU1339" s="348"/>
      <c r="AV1339" s="348"/>
      <c r="AW1339" s="348"/>
      <c r="AX1339" s="584"/>
      <c r="AY1339" s="581"/>
      <c r="AZ1339" s="581"/>
      <c r="BA1339" s="596"/>
      <c r="BB1339" s="596"/>
      <c r="BC1339" s="348"/>
      <c r="BD1339" s="581"/>
      <c r="BE1339" s="581"/>
      <c r="BF1339" s="347"/>
      <c r="BG1339" s="347"/>
      <c r="BH1339" s="347"/>
      <c r="BI1339" s="347"/>
      <c r="BJ1339" s="586"/>
      <c r="BK1339" s="581"/>
      <c r="BL1339" s="347"/>
      <c r="BM1339" s="347"/>
      <c r="BN1339" s="347"/>
      <c r="BO1339" s="586"/>
      <c r="BP1339" s="584"/>
      <c r="BQ1339" s="347"/>
      <c r="BR1339" s="586"/>
      <c r="BS1339" s="588"/>
      <c r="BT1339" s="586"/>
      <c r="BU1339" s="589"/>
      <c r="BV1339" s="581"/>
      <c r="BW1339" s="590"/>
      <c r="BX1339" s="347"/>
      <c r="BY1339" s="347"/>
      <c r="BZ1339" s="347"/>
      <c r="CA1339" s="586"/>
      <c r="CB1339" s="581"/>
      <c r="CC1339" s="581"/>
      <c r="CD1339" s="581"/>
      <c r="CE1339" s="581"/>
      <c r="CF1339" s="581"/>
      <c r="CG1339" s="586"/>
      <c r="CH1339" s="608"/>
      <c r="CI1339" s="603"/>
      <c r="CJ1339" s="347"/>
      <c r="CK1339" s="347"/>
      <c r="CL1339" s="347"/>
      <c r="CM1339" s="347"/>
      <c r="CN1339" s="347"/>
      <c r="CO1339" s="347"/>
      <c r="CP1339" s="347"/>
    </row>
    <row r="1340">
      <c r="A1340" s="574"/>
      <c r="B1340" s="574"/>
      <c r="C1340" s="347"/>
      <c r="D1340" s="574"/>
      <c r="E1340" s="347"/>
      <c r="F1340" s="596"/>
      <c r="G1340" s="596"/>
      <c r="H1340" s="347"/>
      <c r="I1340" s="347"/>
      <c r="J1340" s="596"/>
      <c r="K1340" s="609"/>
      <c r="L1340" s="1"/>
      <c r="M1340" s="347"/>
      <c r="N1340" s="347"/>
      <c r="O1340" s="579"/>
      <c r="P1340" s="579"/>
      <c r="Q1340" s="574"/>
      <c r="R1340" s="347"/>
      <c r="S1340" s="597"/>
      <c r="T1340" s="347"/>
      <c r="U1340" s="579"/>
      <c r="V1340" s="579"/>
      <c r="W1340" s="574"/>
      <c r="X1340" s="347"/>
      <c r="Y1340" s="347"/>
      <c r="Z1340" s="347"/>
      <c r="AA1340" s="579"/>
      <c r="AB1340" s="581"/>
      <c r="AC1340" s="347"/>
      <c r="AD1340" s="347"/>
      <c r="AE1340" s="347"/>
      <c r="AF1340" s="347"/>
      <c r="AG1340" s="579"/>
      <c r="AH1340" s="579"/>
      <c r="AI1340" s="582"/>
      <c r="AJ1340" s="582"/>
      <c r="AK1340" s="582"/>
      <c r="AL1340" s="582"/>
      <c r="AM1340" s="579"/>
      <c r="AN1340" s="579"/>
      <c r="AO1340" s="347"/>
      <c r="AP1340" s="586"/>
      <c r="AQ1340" s="596"/>
      <c r="AR1340" s="596"/>
      <c r="AS1340" s="348"/>
      <c r="AT1340" s="348"/>
      <c r="AU1340" s="348"/>
      <c r="AV1340" s="348"/>
      <c r="AW1340" s="348"/>
      <c r="AX1340" s="584"/>
      <c r="AY1340" s="581"/>
      <c r="AZ1340" s="581"/>
      <c r="BA1340" s="596"/>
      <c r="BB1340" s="596"/>
      <c r="BC1340" s="348"/>
      <c r="BD1340" s="581"/>
      <c r="BE1340" s="581"/>
      <c r="BF1340" s="347"/>
      <c r="BG1340" s="347"/>
      <c r="BH1340" s="347"/>
      <c r="BI1340" s="347"/>
      <c r="BJ1340" s="586"/>
      <c r="BK1340" s="581"/>
      <c r="BL1340" s="347"/>
      <c r="BM1340" s="347"/>
      <c r="BN1340" s="347"/>
      <c r="BO1340" s="586"/>
      <c r="BP1340" s="584"/>
      <c r="BQ1340" s="347"/>
      <c r="BR1340" s="586"/>
      <c r="BS1340" s="588"/>
      <c r="BT1340" s="586"/>
      <c r="BU1340" s="589"/>
      <c r="BV1340" s="581"/>
      <c r="BW1340" s="590"/>
      <c r="BX1340" s="347"/>
      <c r="BY1340" s="347"/>
      <c r="BZ1340" s="347"/>
      <c r="CA1340" s="586"/>
      <c r="CB1340" s="581"/>
      <c r="CC1340" s="581"/>
      <c r="CD1340" s="581"/>
      <c r="CE1340" s="581"/>
      <c r="CF1340" s="581"/>
      <c r="CG1340" s="586"/>
      <c r="CH1340" s="608"/>
      <c r="CI1340" s="603"/>
      <c r="CJ1340" s="347"/>
      <c r="CK1340" s="347"/>
      <c r="CL1340" s="347"/>
      <c r="CM1340" s="347"/>
      <c r="CN1340" s="347"/>
      <c r="CO1340" s="347"/>
      <c r="CP1340" s="347"/>
    </row>
    <row r="1341">
      <c r="A1341" s="574"/>
      <c r="B1341" s="574"/>
      <c r="C1341" s="347"/>
      <c r="D1341" s="574"/>
      <c r="E1341" s="347"/>
      <c r="F1341" s="596"/>
      <c r="G1341" s="596"/>
      <c r="H1341" s="347"/>
      <c r="I1341" s="347"/>
      <c r="J1341" s="596"/>
      <c r="K1341" s="609"/>
      <c r="L1341" s="1"/>
      <c r="M1341" s="347"/>
      <c r="N1341" s="347"/>
      <c r="O1341" s="579"/>
      <c r="P1341" s="579"/>
      <c r="Q1341" s="574"/>
      <c r="R1341" s="347"/>
      <c r="S1341" s="597"/>
      <c r="T1341" s="347"/>
      <c r="U1341" s="579"/>
      <c r="V1341" s="579"/>
      <c r="W1341" s="574"/>
      <c r="X1341" s="347"/>
      <c r="Y1341" s="347"/>
      <c r="Z1341" s="347"/>
      <c r="AA1341" s="579"/>
      <c r="AB1341" s="581"/>
      <c r="AC1341" s="347"/>
      <c r="AD1341" s="347"/>
      <c r="AE1341" s="347"/>
      <c r="AF1341" s="347"/>
      <c r="AG1341" s="579"/>
      <c r="AH1341" s="579"/>
      <c r="AI1341" s="582"/>
      <c r="AJ1341" s="582"/>
      <c r="AK1341" s="582"/>
      <c r="AL1341" s="582"/>
      <c r="AM1341" s="579"/>
      <c r="AN1341" s="579"/>
      <c r="AO1341" s="347"/>
      <c r="AP1341" s="586"/>
      <c r="AQ1341" s="596"/>
      <c r="AR1341" s="596"/>
      <c r="AS1341" s="348"/>
      <c r="AT1341" s="348"/>
      <c r="AU1341" s="348"/>
      <c r="AV1341" s="348"/>
      <c r="AW1341" s="348"/>
      <c r="AX1341" s="584"/>
      <c r="AY1341" s="581"/>
      <c r="AZ1341" s="581"/>
      <c r="BA1341" s="596"/>
      <c r="BB1341" s="596"/>
      <c r="BC1341" s="348"/>
      <c r="BD1341" s="581"/>
      <c r="BE1341" s="581"/>
      <c r="BF1341" s="347"/>
      <c r="BG1341" s="347"/>
      <c r="BH1341" s="347"/>
      <c r="BI1341" s="347"/>
      <c r="BJ1341" s="586"/>
      <c r="BK1341" s="581"/>
      <c r="BL1341" s="347"/>
      <c r="BM1341" s="347"/>
      <c r="BN1341" s="347"/>
      <c r="BO1341" s="586"/>
      <c r="BP1341" s="584"/>
      <c r="BQ1341" s="347"/>
      <c r="BR1341" s="586"/>
      <c r="BS1341" s="588"/>
      <c r="BT1341" s="586"/>
      <c r="BU1341" s="589"/>
      <c r="BV1341" s="581"/>
      <c r="BW1341" s="590"/>
      <c r="BX1341" s="347"/>
      <c r="BY1341" s="347"/>
      <c r="BZ1341" s="347"/>
      <c r="CA1341" s="586"/>
      <c r="CB1341" s="581"/>
      <c r="CC1341" s="581"/>
      <c r="CD1341" s="581"/>
      <c r="CE1341" s="581"/>
      <c r="CF1341" s="581"/>
      <c r="CG1341" s="586"/>
      <c r="CH1341" s="608"/>
      <c r="CI1341" s="603"/>
      <c r="CJ1341" s="347"/>
      <c r="CK1341" s="347"/>
      <c r="CL1341" s="347"/>
      <c r="CM1341" s="347"/>
      <c r="CN1341" s="347"/>
      <c r="CO1341" s="347"/>
      <c r="CP1341" s="347"/>
    </row>
    <row r="1342">
      <c r="A1342" s="574"/>
      <c r="B1342" s="574"/>
      <c r="C1342" s="347"/>
      <c r="D1342" s="574"/>
      <c r="E1342" s="347"/>
      <c r="F1342" s="596"/>
      <c r="G1342" s="596"/>
      <c r="H1342" s="347"/>
      <c r="I1342" s="347"/>
      <c r="J1342" s="596"/>
      <c r="K1342" s="609"/>
      <c r="L1342" s="1"/>
      <c r="M1342" s="347"/>
      <c r="N1342" s="347"/>
      <c r="O1342" s="579"/>
      <c r="P1342" s="579"/>
      <c r="Q1342" s="574"/>
      <c r="R1342" s="347"/>
      <c r="S1342" s="597"/>
      <c r="T1342" s="347"/>
      <c r="U1342" s="579"/>
      <c r="V1342" s="579"/>
      <c r="W1342" s="574"/>
      <c r="X1342" s="347"/>
      <c r="Y1342" s="347"/>
      <c r="Z1342" s="347"/>
      <c r="AA1342" s="579"/>
      <c r="AB1342" s="581"/>
      <c r="AC1342" s="347"/>
      <c r="AD1342" s="347"/>
      <c r="AE1342" s="347"/>
      <c r="AF1342" s="347"/>
      <c r="AG1342" s="579"/>
      <c r="AH1342" s="579"/>
      <c r="AI1342" s="582"/>
      <c r="AJ1342" s="582"/>
      <c r="AK1342" s="582"/>
      <c r="AL1342" s="582"/>
      <c r="AM1342" s="579"/>
      <c r="AN1342" s="579"/>
      <c r="AO1342" s="347"/>
      <c r="AP1342" s="586"/>
      <c r="AQ1342" s="596"/>
      <c r="AR1342" s="596"/>
      <c r="AS1342" s="348"/>
      <c r="AT1342" s="348"/>
      <c r="AU1342" s="348"/>
      <c r="AV1342" s="348"/>
      <c r="AW1342" s="348"/>
      <c r="AX1342" s="584"/>
      <c r="AY1342" s="581"/>
      <c r="AZ1342" s="581"/>
      <c r="BA1342" s="596"/>
      <c r="BB1342" s="596"/>
      <c r="BC1342" s="348"/>
      <c r="BD1342" s="581"/>
      <c r="BE1342" s="581"/>
      <c r="BF1342" s="347"/>
      <c r="BG1342" s="347"/>
      <c r="BH1342" s="347"/>
      <c r="BI1342" s="347"/>
      <c r="BJ1342" s="586"/>
      <c r="BK1342" s="581"/>
      <c r="BL1342" s="347"/>
      <c r="BM1342" s="347"/>
      <c r="BN1342" s="347"/>
      <c r="BO1342" s="586"/>
      <c r="BP1342" s="584"/>
      <c r="BQ1342" s="347"/>
      <c r="BR1342" s="586"/>
      <c r="BS1342" s="588"/>
      <c r="BT1342" s="586"/>
      <c r="BU1342" s="589"/>
      <c r="BV1342" s="581"/>
      <c r="BW1342" s="590"/>
      <c r="BX1342" s="347"/>
      <c r="BY1342" s="347"/>
      <c r="BZ1342" s="347"/>
      <c r="CA1342" s="586"/>
      <c r="CB1342" s="581"/>
      <c r="CC1342" s="581"/>
      <c r="CD1342" s="581"/>
      <c r="CE1342" s="581"/>
      <c r="CF1342" s="581"/>
      <c r="CG1342" s="586"/>
      <c r="CH1342" s="608"/>
      <c r="CI1342" s="603"/>
      <c r="CJ1342" s="347"/>
      <c r="CK1342" s="347"/>
      <c r="CL1342" s="347"/>
      <c r="CM1342" s="347"/>
      <c r="CN1342" s="347"/>
      <c r="CO1342" s="347"/>
      <c r="CP1342" s="347"/>
    </row>
    <row r="1343">
      <c r="A1343" s="574"/>
      <c r="B1343" s="574"/>
      <c r="C1343" s="347"/>
      <c r="D1343" s="574"/>
      <c r="E1343" s="347"/>
      <c r="F1343" s="596"/>
      <c r="G1343" s="596"/>
      <c r="H1343" s="347"/>
      <c r="I1343" s="347"/>
      <c r="J1343" s="596"/>
      <c r="K1343" s="609"/>
      <c r="L1343" s="1"/>
      <c r="M1343" s="347"/>
      <c r="N1343" s="347"/>
      <c r="O1343" s="579"/>
      <c r="P1343" s="579"/>
      <c r="Q1343" s="574"/>
      <c r="R1343" s="347"/>
      <c r="S1343" s="597"/>
      <c r="T1343" s="347"/>
      <c r="U1343" s="579"/>
      <c r="V1343" s="579"/>
      <c r="W1343" s="574"/>
      <c r="X1343" s="347"/>
      <c r="Y1343" s="347"/>
      <c r="Z1343" s="347"/>
      <c r="AA1343" s="579"/>
      <c r="AB1343" s="581"/>
      <c r="AC1343" s="347"/>
      <c r="AD1343" s="347"/>
      <c r="AE1343" s="347"/>
      <c r="AF1343" s="347"/>
      <c r="AG1343" s="579"/>
      <c r="AH1343" s="579"/>
      <c r="AI1343" s="582"/>
      <c r="AJ1343" s="582"/>
      <c r="AK1343" s="582"/>
      <c r="AL1343" s="582"/>
      <c r="AM1343" s="579"/>
      <c r="AN1343" s="579"/>
      <c r="AO1343" s="347"/>
      <c r="AP1343" s="586"/>
      <c r="AQ1343" s="596"/>
      <c r="AR1343" s="596"/>
      <c r="AS1343" s="348"/>
      <c r="AT1343" s="348"/>
      <c r="AU1343" s="348"/>
      <c r="AV1343" s="348"/>
      <c r="AW1343" s="348"/>
      <c r="AX1343" s="584"/>
      <c r="AY1343" s="581"/>
      <c r="AZ1343" s="581"/>
      <c r="BA1343" s="596"/>
      <c r="BB1343" s="596"/>
      <c r="BC1343" s="348"/>
      <c r="BD1343" s="581"/>
      <c r="BE1343" s="581"/>
      <c r="BF1343" s="347"/>
      <c r="BG1343" s="347"/>
      <c r="BH1343" s="347"/>
      <c r="BI1343" s="347"/>
      <c r="BJ1343" s="586"/>
      <c r="BK1343" s="581"/>
      <c r="BL1343" s="347"/>
      <c r="BM1343" s="347"/>
      <c r="BN1343" s="347"/>
      <c r="BO1343" s="586"/>
      <c r="BP1343" s="584"/>
      <c r="BQ1343" s="347"/>
      <c r="BR1343" s="586"/>
      <c r="BS1343" s="588"/>
      <c r="BT1343" s="586"/>
      <c r="BU1343" s="589"/>
      <c r="BV1343" s="581"/>
      <c r="BW1343" s="590"/>
      <c r="BX1343" s="347"/>
      <c r="BY1343" s="347"/>
      <c r="BZ1343" s="347"/>
      <c r="CA1343" s="586"/>
      <c r="CB1343" s="581"/>
      <c r="CC1343" s="581"/>
      <c r="CD1343" s="581"/>
      <c r="CE1343" s="581"/>
      <c r="CF1343" s="581"/>
      <c r="CG1343" s="586"/>
      <c r="CH1343" s="608"/>
      <c r="CI1343" s="603"/>
      <c r="CJ1343" s="347"/>
      <c r="CK1343" s="347"/>
      <c r="CL1343" s="347"/>
      <c r="CM1343" s="347"/>
      <c r="CN1343" s="347"/>
      <c r="CO1343" s="347"/>
      <c r="CP1343" s="347"/>
    </row>
    <row r="1344">
      <c r="A1344" s="574"/>
      <c r="B1344" s="574"/>
      <c r="C1344" s="347"/>
      <c r="D1344" s="574"/>
      <c r="E1344" s="347"/>
      <c r="F1344" s="596"/>
      <c r="G1344" s="596"/>
      <c r="H1344" s="347"/>
      <c r="I1344" s="347"/>
      <c r="J1344" s="596"/>
      <c r="K1344" s="609"/>
      <c r="L1344" s="1"/>
      <c r="M1344" s="347"/>
      <c r="N1344" s="347"/>
      <c r="O1344" s="579"/>
      <c r="P1344" s="579"/>
      <c r="Q1344" s="574"/>
      <c r="R1344" s="347"/>
      <c r="S1344" s="597"/>
      <c r="T1344" s="347"/>
      <c r="U1344" s="579"/>
      <c r="V1344" s="579"/>
      <c r="W1344" s="574"/>
      <c r="X1344" s="347"/>
      <c r="Y1344" s="347"/>
      <c r="Z1344" s="347"/>
      <c r="AA1344" s="579"/>
      <c r="AB1344" s="581"/>
      <c r="AC1344" s="347"/>
      <c r="AD1344" s="347"/>
      <c r="AE1344" s="347"/>
      <c r="AF1344" s="347"/>
      <c r="AG1344" s="579"/>
      <c r="AH1344" s="579"/>
      <c r="AI1344" s="582"/>
      <c r="AJ1344" s="582"/>
      <c r="AK1344" s="582"/>
      <c r="AL1344" s="582"/>
      <c r="AM1344" s="579"/>
      <c r="AN1344" s="579"/>
      <c r="AO1344" s="347"/>
      <c r="AP1344" s="586"/>
      <c r="AQ1344" s="596"/>
      <c r="AR1344" s="596"/>
      <c r="AS1344" s="348"/>
      <c r="AT1344" s="348"/>
      <c r="AU1344" s="348"/>
      <c r="AV1344" s="348"/>
      <c r="AW1344" s="348"/>
      <c r="AX1344" s="584"/>
      <c r="AY1344" s="581"/>
      <c r="AZ1344" s="581"/>
      <c r="BA1344" s="596"/>
      <c r="BB1344" s="596"/>
      <c r="BC1344" s="348"/>
      <c r="BD1344" s="581"/>
      <c r="BE1344" s="581"/>
      <c r="BF1344" s="347"/>
      <c r="BG1344" s="347"/>
      <c r="BH1344" s="347"/>
      <c r="BI1344" s="347"/>
      <c r="BJ1344" s="586"/>
      <c r="BK1344" s="581"/>
      <c r="BL1344" s="347"/>
      <c r="BM1344" s="347"/>
      <c r="BN1344" s="347"/>
      <c r="BO1344" s="586"/>
      <c r="BP1344" s="584"/>
      <c r="BQ1344" s="347"/>
      <c r="BR1344" s="586"/>
      <c r="BS1344" s="588"/>
      <c r="BT1344" s="586"/>
      <c r="BU1344" s="589"/>
      <c r="BV1344" s="581"/>
      <c r="BW1344" s="590"/>
      <c r="BX1344" s="347"/>
      <c r="BY1344" s="347"/>
      <c r="BZ1344" s="347"/>
      <c r="CA1344" s="586"/>
      <c r="CB1344" s="581"/>
      <c r="CC1344" s="581"/>
      <c r="CD1344" s="581"/>
      <c r="CE1344" s="581"/>
      <c r="CF1344" s="581"/>
      <c r="CG1344" s="586"/>
      <c r="CH1344" s="608"/>
      <c r="CI1344" s="603"/>
      <c r="CJ1344" s="347"/>
      <c r="CK1344" s="347"/>
      <c r="CL1344" s="347"/>
      <c r="CM1344" s="347"/>
      <c r="CN1344" s="347"/>
      <c r="CO1344" s="347"/>
      <c r="CP1344" s="347"/>
    </row>
    <row r="1345">
      <c r="A1345" s="574"/>
      <c r="B1345" s="574"/>
      <c r="C1345" s="347"/>
      <c r="D1345" s="574"/>
      <c r="E1345" s="347"/>
      <c r="F1345" s="596"/>
      <c r="G1345" s="596"/>
      <c r="H1345" s="347"/>
      <c r="I1345" s="347"/>
      <c r="J1345" s="596"/>
      <c r="K1345" s="609"/>
      <c r="L1345" s="1"/>
      <c r="M1345" s="347"/>
      <c r="N1345" s="347"/>
      <c r="O1345" s="579"/>
      <c r="P1345" s="579"/>
      <c r="Q1345" s="574"/>
      <c r="R1345" s="347"/>
      <c r="S1345" s="597"/>
      <c r="T1345" s="347"/>
      <c r="U1345" s="579"/>
      <c r="V1345" s="579"/>
      <c r="W1345" s="574"/>
      <c r="X1345" s="347"/>
      <c r="Y1345" s="347"/>
      <c r="Z1345" s="347"/>
      <c r="AA1345" s="579"/>
      <c r="AB1345" s="581"/>
      <c r="AC1345" s="347"/>
      <c r="AD1345" s="347"/>
      <c r="AE1345" s="347"/>
      <c r="AF1345" s="347"/>
      <c r="AG1345" s="579"/>
      <c r="AH1345" s="579"/>
      <c r="AI1345" s="582"/>
      <c r="AJ1345" s="582"/>
      <c r="AK1345" s="582"/>
      <c r="AL1345" s="582"/>
      <c r="AM1345" s="579"/>
      <c r="AN1345" s="579"/>
      <c r="AO1345" s="347"/>
      <c r="AP1345" s="586"/>
      <c r="AQ1345" s="596"/>
      <c r="AR1345" s="596"/>
      <c r="AS1345" s="348"/>
      <c r="AT1345" s="348"/>
      <c r="AU1345" s="348"/>
      <c r="AV1345" s="348"/>
      <c r="AW1345" s="348"/>
      <c r="AX1345" s="584"/>
      <c r="AY1345" s="581"/>
      <c r="AZ1345" s="581"/>
      <c r="BA1345" s="596"/>
      <c r="BB1345" s="596"/>
      <c r="BC1345" s="348"/>
      <c r="BD1345" s="581"/>
      <c r="BE1345" s="581"/>
      <c r="BF1345" s="347"/>
      <c r="BG1345" s="347"/>
      <c r="BH1345" s="347"/>
      <c r="BI1345" s="347"/>
      <c r="BJ1345" s="586"/>
      <c r="BK1345" s="581"/>
      <c r="BL1345" s="347"/>
      <c r="BM1345" s="347"/>
      <c r="BN1345" s="347"/>
      <c r="BO1345" s="586"/>
      <c r="BP1345" s="584"/>
      <c r="BQ1345" s="347"/>
      <c r="BR1345" s="586"/>
      <c r="BS1345" s="588"/>
      <c r="BT1345" s="586"/>
      <c r="BU1345" s="589"/>
      <c r="BV1345" s="581"/>
      <c r="BW1345" s="590"/>
      <c r="BX1345" s="347"/>
      <c r="BY1345" s="347"/>
      <c r="BZ1345" s="347"/>
      <c r="CA1345" s="586"/>
      <c r="CB1345" s="581"/>
      <c r="CC1345" s="581"/>
      <c r="CD1345" s="581"/>
      <c r="CE1345" s="581"/>
      <c r="CF1345" s="581"/>
      <c r="CG1345" s="586"/>
      <c r="CH1345" s="608"/>
      <c r="CI1345" s="603"/>
      <c r="CJ1345" s="347"/>
      <c r="CK1345" s="347"/>
      <c r="CL1345" s="347"/>
      <c r="CM1345" s="347"/>
      <c r="CN1345" s="347"/>
      <c r="CO1345" s="347"/>
      <c r="CP1345" s="347"/>
    </row>
    <row r="1346">
      <c r="A1346" s="574"/>
      <c r="B1346" s="574"/>
      <c r="C1346" s="347"/>
      <c r="D1346" s="574"/>
      <c r="E1346" s="347"/>
      <c r="F1346" s="596"/>
      <c r="G1346" s="596"/>
      <c r="H1346" s="347"/>
      <c r="I1346" s="347"/>
      <c r="J1346" s="596"/>
      <c r="K1346" s="609"/>
      <c r="L1346" s="1"/>
      <c r="M1346" s="347"/>
      <c r="N1346" s="347"/>
      <c r="O1346" s="579"/>
      <c r="P1346" s="579"/>
      <c r="Q1346" s="574"/>
      <c r="R1346" s="347"/>
      <c r="S1346" s="597"/>
      <c r="T1346" s="347"/>
      <c r="U1346" s="579"/>
      <c r="V1346" s="579"/>
      <c r="W1346" s="574"/>
      <c r="X1346" s="347"/>
      <c r="Y1346" s="347"/>
      <c r="Z1346" s="347"/>
      <c r="AA1346" s="579"/>
      <c r="AB1346" s="581"/>
      <c r="AC1346" s="347"/>
      <c r="AD1346" s="347"/>
      <c r="AE1346" s="347"/>
      <c r="AF1346" s="347"/>
      <c r="AG1346" s="579"/>
      <c r="AH1346" s="579"/>
      <c r="AI1346" s="582"/>
      <c r="AJ1346" s="582"/>
      <c r="AK1346" s="582"/>
      <c r="AL1346" s="582"/>
      <c r="AM1346" s="579"/>
      <c r="AN1346" s="579"/>
      <c r="AO1346" s="347"/>
      <c r="AP1346" s="586"/>
      <c r="AQ1346" s="596"/>
      <c r="AR1346" s="596"/>
      <c r="AS1346" s="348"/>
      <c r="AT1346" s="348"/>
      <c r="AU1346" s="348"/>
      <c r="AV1346" s="348"/>
      <c r="AW1346" s="348"/>
      <c r="AX1346" s="584"/>
      <c r="AY1346" s="581"/>
      <c r="AZ1346" s="581"/>
      <c r="BA1346" s="596"/>
      <c r="BB1346" s="596"/>
      <c r="BC1346" s="348"/>
      <c r="BD1346" s="581"/>
      <c r="BE1346" s="581"/>
      <c r="BF1346" s="347"/>
      <c r="BG1346" s="347"/>
      <c r="BH1346" s="347"/>
      <c r="BI1346" s="347"/>
      <c r="BJ1346" s="586"/>
      <c r="BK1346" s="581"/>
      <c r="BL1346" s="347"/>
      <c r="BM1346" s="347"/>
      <c r="BN1346" s="347"/>
      <c r="BO1346" s="586"/>
      <c r="BP1346" s="584"/>
      <c r="BQ1346" s="347"/>
      <c r="BR1346" s="586"/>
      <c r="BS1346" s="588"/>
      <c r="BT1346" s="586"/>
      <c r="BU1346" s="589"/>
      <c r="BV1346" s="581"/>
      <c r="BW1346" s="590"/>
      <c r="BX1346" s="347"/>
      <c r="BY1346" s="347"/>
      <c r="BZ1346" s="347"/>
      <c r="CA1346" s="586"/>
      <c r="CB1346" s="581"/>
      <c r="CC1346" s="581"/>
      <c r="CD1346" s="581"/>
      <c r="CE1346" s="581"/>
      <c r="CF1346" s="581"/>
      <c r="CG1346" s="586"/>
      <c r="CH1346" s="608"/>
      <c r="CI1346" s="603"/>
      <c r="CJ1346" s="347"/>
      <c r="CK1346" s="347"/>
      <c r="CL1346" s="347"/>
      <c r="CM1346" s="347"/>
      <c r="CN1346" s="347"/>
      <c r="CO1346" s="347"/>
      <c r="CP1346" s="347"/>
    </row>
    <row r="1347">
      <c r="A1347" s="574"/>
      <c r="B1347" s="574"/>
      <c r="C1347" s="347"/>
      <c r="D1347" s="574"/>
      <c r="E1347" s="347"/>
      <c r="F1347" s="596"/>
      <c r="G1347" s="596"/>
      <c r="H1347" s="347"/>
      <c r="I1347" s="347"/>
      <c r="J1347" s="596"/>
      <c r="K1347" s="609"/>
      <c r="L1347" s="1"/>
      <c r="M1347" s="347"/>
      <c r="N1347" s="347"/>
      <c r="O1347" s="579"/>
      <c r="P1347" s="579"/>
      <c r="Q1347" s="574"/>
      <c r="R1347" s="347"/>
      <c r="S1347" s="597"/>
      <c r="T1347" s="347"/>
      <c r="U1347" s="579"/>
      <c r="V1347" s="579"/>
      <c r="W1347" s="574"/>
      <c r="X1347" s="347"/>
      <c r="Y1347" s="347"/>
      <c r="Z1347" s="347"/>
      <c r="AA1347" s="579"/>
      <c r="AB1347" s="581"/>
      <c r="AC1347" s="347"/>
      <c r="AD1347" s="347"/>
      <c r="AE1347" s="347"/>
      <c r="AF1347" s="347"/>
      <c r="AG1347" s="579"/>
      <c r="AH1347" s="579"/>
      <c r="AI1347" s="582"/>
      <c r="AJ1347" s="582"/>
      <c r="AK1347" s="582"/>
      <c r="AL1347" s="582"/>
      <c r="AM1347" s="579"/>
      <c r="AN1347" s="579"/>
      <c r="AO1347" s="347"/>
      <c r="AP1347" s="586"/>
      <c r="AQ1347" s="596"/>
      <c r="AR1347" s="596"/>
      <c r="AS1347" s="348"/>
      <c r="AT1347" s="348"/>
      <c r="AU1347" s="348"/>
      <c r="AV1347" s="348"/>
      <c r="AW1347" s="348"/>
      <c r="AX1347" s="584"/>
      <c r="AY1347" s="581"/>
      <c r="AZ1347" s="581"/>
      <c r="BA1347" s="596"/>
      <c r="BB1347" s="596"/>
      <c r="BC1347" s="348"/>
      <c r="BD1347" s="581"/>
      <c r="BE1347" s="581"/>
      <c r="BF1347" s="347"/>
      <c r="BG1347" s="347"/>
      <c r="BH1347" s="347"/>
      <c r="BI1347" s="347"/>
      <c r="BJ1347" s="586"/>
      <c r="BK1347" s="581"/>
      <c r="BL1347" s="347"/>
      <c r="BM1347" s="347"/>
      <c r="BN1347" s="347"/>
      <c r="BO1347" s="586"/>
      <c r="BP1347" s="584"/>
      <c r="BQ1347" s="347"/>
      <c r="BR1347" s="586"/>
      <c r="BS1347" s="588"/>
      <c r="BT1347" s="586"/>
      <c r="BU1347" s="589"/>
      <c r="BV1347" s="581"/>
      <c r="BW1347" s="590"/>
      <c r="BX1347" s="347"/>
      <c r="BY1347" s="347"/>
      <c r="BZ1347" s="347"/>
      <c r="CA1347" s="586"/>
      <c r="CB1347" s="581"/>
      <c r="CC1347" s="581"/>
      <c r="CD1347" s="581"/>
      <c r="CE1347" s="581"/>
      <c r="CF1347" s="581"/>
      <c r="CG1347" s="586"/>
      <c r="CH1347" s="608"/>
      <c r="CI1347" s="603"/>
      <c r="CJ1347" s="347"/>
      <c r="CK1347" s="347"/>
      <c r="CL1347" s="347"/>
      <c r="CM1347" s="347"/>
      <c r="CN1347" s="347"/>
      <c r="CO1347" s="347"/>
      <c r="CP1347" s="347"/>
    </row>
    <row r="1348">
      <c r="A1348" s="574"/>
      <c r="B1348" s="574"/>
      <c r="C1348" s="347"/>
      <c r="D1348" s="574"/>
      <c r="E1348" s="347"/>
      <c r="F1348" s="596"/>
      <c r="G1348" s="596"/>
      <c r="H1348" s="347"/>
      <c r="I1348" s="347"/>
      <c r="J1348" s="596"/>
      <c r="K1348" s="609"/>
      <c r="L1348" s="1"/>
      <c r="M1348" s="347"/>
      <c r="N1348" s="347"/>
      <c r="O1348" s="579"/>
      <c r="P1348" s="579"/>
      <c r="Q1348" s="574"/>
      <c r="R1348" s="347"/>
      <c r="S1348" s="597"/>
      <c r="T1348" s="347"/>
      <c r="U1348" s="579"/>
      <c r="V1348" s="579"/>
      <c r="W1348" s="574"/>
      <c r="X1348" s="347"/>
      <c r="Y1348" s="347"/>
      <c r="Z1348" s="347"/>
      <c r="AA1348" s="579"/>
      <c r="AB1348" s="581"/>
      <c r="AC1348" s="347"/>
      <c r="AD1348" s="347"/>
      <c r="AE1348" s="347"/>
      <c r="AF1348" s="347"/>
      <c r="AG1348" s="579"/>
      <c r="AH1348" s="579"/>
      <c r="AI1348" s="582"/>
      <c r="AJ1348" s="582"/>
      <c r="AK1348" s="582"/>
      <c r="AL1348" s="582"/>
      <c r="AM1348" s="579"/>
      <c r="AN1348" s="579"/>
      <c r="AO1348" s="347"/>
      <c r="AP1348" s="586"/>
      <c r="AQ1348" s="596"/>
      <c r="AR1348" s="596"/>
      <c r="AS1348" s="348"/>
      <c r="AT1348" s="348"/>
      <c r="AU1348" s="348"/>
      <c r="AV1348" s="348"/>
      <c r="AW1348" s="348"/>
      <c r="AX1348" s="584"/>
      <c r="AY1348" s="581"/>
      <c r="AZ1348" s="581"/>
      <c r="BA1348" s="596"/>
      <c r="BB1348" s="596"/>
      <c r="BC1348" s="348"/>
      <c r="BD1348" s="581"/>
      <c r="BE1348" s="581"/>
      <c r="BF1348" s="347"/>
      <c r="BG1348" s="347"/>
      <c r="BH1348" s="347"/>
      <c r="BI1348" s="347"/>
      <c r="BJ1348" s="586"/>
      <c r="BK1348" s="581"/>
      <c r="BL1348" s="347"/>
      <c r="BM1348" s="347"/>
      <c r="BN1348" s="347"/>
      <c r="BO1348" s="586"/>
      <c r="BP1348" s="584"/>
      <c r="BQ1348" s="347"/>
      <c r="BR1348" s="586"/>
      <c r="BS1348" s="588"/>
      <c r="BT1348" s="586"/>
      <c r="BU1348" s="589"/>
      <c r="BV1348" s="581"/>
      <c r="BW1348" s="590"/>
      <c r="BX1348" s="347"/>
      <c r="BY1348" s="347"/>
      <c r="BZ1348" s="347"/>
      <c r="CA1348" s="586"/>
      <c r="CB1348" s="581"/>
      <c r="CC1348" s="581"/>
      <c r="CD1348" s="581"/>
      <c r="CE1348" s="581"/>
      <c r="CF1348" s="581"/>
      <c r="CG1348" s="586"/>
      <c r="CH1348" s="608"/>
      <c r="CI1348" s="603"/>
      <c r="CJ1348" s="347"/>
      <c r="CK1348" s="347"/>
      <c r="CL1348" s="347"/>
      <c r="CM1348" s="347"/>
      <c r="CN1348" s="347"/>
      <c r="CO1348" s="347"/>
      <c r="CP1348" s="347"/>
    </row>
    <row r="1349">
      <c r="A1349" s="574"/>
      <c r="B1349" s="574"/>
      <c r="C1349" s="347"/>
      <c r="D1349" s="574"/>
      <c r="E1349" s="347"/>
      <c r="F1349" s="596"/>
      <c r="G1349" s="596"/>
      <c r="H1349" s="347"/>
      <c r="I1349" s="347"/>
      <c r="J1349" s="596"/>
      <c r="K1349" s="609"/>
      <c r="L1349" s="1"/>
      <c r="M1349" s="347"/>
      <c r="N1349" s="347"/>
      <c r="O1349" s="579"/>
      <c r="P1349" s="579"/>
      <c r="Q1349" s="574"/>
      <c r="R1349" s="347"/>
      <c r="S1349" s="597"/>
      <c r="T1349" s="347"/>
      <c r="U1349" s="579"/>
      <c r="V1349" s="579"/>
      <c r="W1349" s="574"/>
      <c r="X1349" s="347"/>
      <c r="Y1349" s="347"/>
      <c r="Z1349" s="347"/>
      <c r="AA1349" s="579"/>
      <c r="AB1349" s="581"/>
      <c r="AC1349" s="347"/>
      <c r="AD1349" s="347"/>
      <c r="AE1349" s="347"/>
      <c r="AF1349" s="347"/>
      <c r="AG1349" s="579"/>
      <c r="AH1349" s="579"/>
      <c r="AI1349" s="582"/>
      <c r="AJ1349" s="582"/>
      <c r="AK1349" s="582"/>
      <c r="AL1349" s="582"/>
      <c r="AM1349" s="579"/>
      <c r="AN1349" s="579"/>
      <c r="AO1349" s="347"/>
      <c r="AP1349" s="586"/>
      <c r="AQ1349" s="596"/>
      <c r="AR1349" s="596"/>
      <c r="AS1349" s="348"/>
      <c r="AT1349" s="348"/>
      <c r="AU1349" s="348"/>
      <c r="AV1349" s="348"/>
      <c r="AW1349" s="348"/>
      <c r="AX1349" s="584"/>
      <c r="AY1349" s="581"/>
      <c r="AZ1349" s="581"/>
      <c r="BA1349" s="596"/>
      <c r="BB1349" s="596"/>
      <c r="BC1349" s="348"/>
      <c r="BD1349" s="581"/>
      <c r="BE1349" s="581"/>
      <c r="BF1349" s="347"/>
      <c r="BG1349" s="347"/>
      <c r="BH1349" s="347"/>
      <c r="BI1349" s="347"/>
      <c r="BJ1349" s="586"/>
      <c r="BK1349" s="581"/>
      <c r="BL1349" s="347"/>
      <c r="BM1349" s="347"/>
      <c r="BN1349" s="347"/>
      <c r="BO1349" s="586"/>
      <c r="BP1349" s="584"/>
      <c r="BQ1349" s="347"/>
      <c r="BR1349" s="586"/>
      <c r="BS1349" s="588"/>
      <c r="BT1349" s="586"/>
      <c r="BU1349" s="589"/>
      <c r="BV1349" s="581"/>
      <c r="BW1349" s="590"/>
      <c r="BX1349" s="347"/>
      <c r="BY1349" s="347"/>
      <c r="BZ1349" s="347"/>
      <c r="CA1349" s="586"/>
      <c r="CB1349" s="581"/>
      <c r="CC1349" s="581"/>
      <c r="CD1349" s="581"/>
      <c r="CE1349" s="581"/>
      <c r="CF1349" s="581"/>
      <c r="CG1349" s="586"/>
      <c r="CH1349" s="608"/>
      <c r="CI1349" s="603"/>
      <c r="CJ1349" s="347"/>
      <c r="CK1349" s="347"/>
      <c r="CL1349" s="347"/>
      <c r="CM1349" s="347"/>
      <c r="CN1349" s="347"/>
      <c r="CO1349" s="347"/>
      <c r="CP1349" s="347"/>
    </row>
    <row r="1350">
      <c r="A1350" s="574"/>
      <c r="B1350" s="574"/>
      <c r="C1350" s="347"/>
      <c r="D1350" s="574"/>
      <c r="E1350" s="347"/>
      <c r="F1350" s="596"/>
      <c r="G1350" s="596"/>
      <c r="H1350" s="347"/>
      <c r="I1350" s="347"/>
      <c r="J1350" s="596"/>
      <c r="K1350" s="609"/>
      <c r="L1350" s="1"/>
      <c r="M1350" s="347"/>
      <c r="N1350" s="347"/>
      <c r="O1350" s="579"/>
      <c r="P1350" s="579"/>
      <c r="Q1350" s="574"/>
      <c r="R1350" s="347"/>
      <c r="S1350" s="597"/>
      <c r="T1350" s="347"/>
      <c r="U1350" s="579"/>
      <c r="V1350" s="579"/>
      <c r="W1350" s="574"/>
      <c r="X1350" s="347"/>
      <c r="Y1350" s="347"/>
      <c r="Z1350" s="347"/>
      <c r="AA1350" s="579"/>
      <c r="AB1350" s="581"/>
      <c r="AC1350" s="347"/>
      <c r="AD1350" s="347"/>
      <c r="AE1350" s="347"/>
      <c r="AF1350" s="347"/>
      <c r="AG1350" s="579"/>
      <c r="AH1350" s="579"/>
      <c r="AI1350" s="582"/>
      <c r="AJ1350" s="582"/>
      <c r="AK1350" s="582"/>
      <c r="AL1350" s="582"/>
      <c r="AM1350" s="579"/>
      <c r="AN1350" s="579"/>
      <c r="AO1350" s="347"/>
      <c r="AP1350" s="586"/>
      <c r="AQ1350" s="596"/>
      <c r="AR1350" s="596"/>
      <c r="AS1350" s="348"/>
      <c r="AT1350" s="348"/>
      <c r="AU1350" s="348"/>
      <c r="AV1350" s="348"/>
      <c r="AW1350" s="348"/>
      <c r="AX1350" s="584"/>
      <c r="AY1350" s="581"/>
      <c r="AZ1350" s="581"/>
      <c r="BA1350" s="596"/>
      <c r="BB1350" s="596"/>
      <c r="BC1350" s="348"/>
      <c r="BD1350" s="581"/>
      <c r="BE1350" s="581"/>
      <c r="BF1350" s="347"/>
      <c r="BG1350" s="347"/>
      <c r="BH1350" s="347"/>
      <c r="BI1350" s="347"/>
      <c r="BJ1350" s="586"/>
      <c r="BK1350" s="581"/>
      <c r="BL1350" s="347"/>
      <c r="BM1350" s="347"/>
      <c r="BN1350" s="347"/>
      <c r="BO1350" s="586"/>
      <c r="BP1350" s="584"/>
      <c r="BQ1350" s="347"/>
      <c r="BR1350" s="586"/>
      <c r="BS1350" s="588"/>
      <c r="BT1350" s="586"/>
      <c r="BU1350" s="589"/>
      <c r="BV1350" s="581"/>
      <c r="BW1350" s="590"/>
      <c r="BX1350" s="347"/>
      <c r="BY1350" s="347"/>
      <c r="BZ1350" s="347"/>
      <c r="CA1350" s="586"/>
      <c r="CB1350" s="581"/>
      <c r="CC1350" s="581"/>
      <c r="CD1350" s="581"/>
      <c r="CE1350" s="581"/>
      <c r="CF1350" s="581"/>
      <c r="CG1350" s="586"/>
      <c r="CH1350" s="608"/>
      <c r="CI1350" s="603"/>
      <c r="CJ1350" s="347"/>
      <c r="CK1350" s="347"/>
      <c r="CL1350" s="347"/>
      <c r="CM1350" s="347"/>
      <c r="CN1350" s="347"/>
      <c r="CO1350" s="347"/>
      <c r="CP1350" s="347"/>
    </row>
    <row r="1351">
      <c r="A1351" s="574"/>
      <c r="B1351" s="574"/>
      <c r="C1351" s="347"/>
      <c r="D1351" s="574"/>
      <c r="E1351" s="347"/>
      <c r="F1351" s="596"/>
      <c r="G1351" s="596"/>
      <c r="H1351" s="347"/>
      <c r="I1351" s="347"/>
      <c r="J1351" s="596"/>
      <c r="K1351" s="609"/>
      <c r="L1351" s="1"/>
      <c r="M1351" s="347"/>
      <c r="N1351" s="347"/>
      <c r="O1351" s="579"/>
      <c r="P1351" s="579"/>
      <c r="Q1351" s="574"/>
      <c r="R1351" s="347"/>
      <c r="S1351" s="597"/>
      <c r="T1351" s="347"/>
      <c r="U1351" s="579"/>
      <c r="V1351" s="579"/>
      <c r="W1351" s="574"/>
      <c r="X1351" s="347"/>
      <c r="Y1351" s="347"/>
      <c r="Z1351" s="347"/>
      <c r="AA1351" s="579"/>
      <c r="AB1351" s="581"/>
      <c r="AC1351" s="347"/>
      <c r="AD1351" s="347"/>
      <c r="AE1351" s="347"/>
      <c r="AF1351" s="347"/>
      <c r="AG1351" s="579"/>
      <c r="AH1351" s="579"/>
      <c r="AI1351" s="582"/>
      <c r="AJ1351" s="582"/>
      <c r="AK1351" s="582"/>
      <c r="AL1351" s="582"/>
      <c r="AM1351" s="579"/>
      <c r="AN1351" s="579"/>
      <c r="AO1351" s="347"/>
      <c r="AP1351" s="586"/>
      <c r="AQ1351" s="596"/>
      <c r="AR1351" s="596"/>
      <c r="AS1351" s="348"/>
      <c r="AT1351" s="348"/>
      <c r="AU1351" s="348"/>
      <c r="AV1351" s="348"/>
      <c r="AW1351" s="348"/>
      <c r="AX1351" s="584"/>
      <c r="AY1351" s="581"/>
      <c r="AZ1351" s="581"/>
      <c r="BA1351" s="596"/>
      <c r="BB1351" s="596"/>
      <c r="BC1351" s="348"/>
      <c r="BD1351" s="581"/>
      <c r="BE1351" s="581"/>
      <c r="BF1351" s="347"/>
      <c r="BG1351" s="347"/>
      <c r="BH1351" s="347"/>
      <c r="BI1351" s="347"/>
      <c r="BJ1351" s="586"/>
      <c r="BK1351" s="581"/>
      <c r="BL1351" s="347"/>
      <c r="BM1351" s="347"/>
      <c r="BN1351" s="347"/>
      <c r="BO1351" s="586"/>
      <c r="BP1351" s="584"/>
      <c r="BQ1351" s="347"/>
      <c r="BR1351" s="586"/>
      <c r="BS1351" s="588"/>
      <c r="BT1351" s="586"/>
      <c r="BU1351" s="589"/>
      <c r="BV1351" s="581"/>
      <c r="BW1351" s="590"/>
      <c r="BX1351" s="347"/>
      <c r="BY1351" s="347"/>
      <c r="BZ1351" s="347"/>
      <c r="CA1351" s="586"/>
      <c r="CB1351" s="581"/>
      <c r="CC1351" s="581"/>
      <c r="CD1351" s="581"/>
      <c r="CE1351" s="581"/>
      <c r="CF1351" s="581"/>
      <c r="CG1351" s="586"/>
      <c r="CH1351" s="608"/>
      <c r="CI1351" s="603"/>
      <c r="CJ1351" s="347"/>
      <c r="CK1351" s="347"/>
      <c r="CL1351" s="347"/>
      <c r="CM1351" s="347"/>
      <c r="CN1351" s="347"/>
      <c r="CO1351" s="347"/>
      <c r="CP1351" s="347"/>
    </row>
    <row r="1352">
      <c r="A1352" s="574"/>
      <c r="B1352" s="574"/>
      <c r="C1352" s="347"/>
      <c r="D1352" s="574"/>
      <c r="E1352" s="347"/>
      <c r="F1352" s="596"/>
      <c r="G1352" s="596"/>
      <c r="H1352" s="347"/>
      <c r="I1352" s="347"/>
      <c r="J1352" s="596"/>
      <c r="K1352" s="609"/>
      <c r="L1352" s="1"/>
      <c r="M1352" s="347"/>
      <c r="N1352" s="347"/>
      <c r="O1352" s="579"/>
      <c r="P1352" s="579"/>
      <c r="Q1352" s="574"/>
      <c r="R1352" s="347"/>
      <c r="S1352" s="597"/>
      <c r="T1352" s="347"/>
      <c r="U1352" s="579"/>
      <c r="V1352" s="579"/>
      <c r="W1352" s="574"/>
      <c r="X1352" s="347"/>
      <c r="Y1352" s="347"/>
      <c r="Z1352" s="347"/>
      <c r="AA1352" s="579"/>
      <c r="AB1352" s="581"/>
      <c r="AC1352" s="347"/>
      <c r="AD1352" s="347"/>
      <c r="AE1352" s="347"/>
      <c r="AF1352" s="347"/>
      <c r="AG1352" s="579"/>
      <c r="AH1352" s="579"/>
      <c r="AI1352" s="582"/>
      <c r="AJ1352" s="582"/>
      <c r="AK1352" s="582"/>
      <c r="AL1352" s="582"/>
      <c r="AM1352" s="579"/>
      <c r="AN1352" s="579"/>
      <c r="AO1352" s="347"/>
      <c r="AP1352" s="586"/>
      <c r="AQ1352" s="596"/>
      <c r="AR1352" s="596"/>
      <c r="AS1352" s="348"/>
      <c r="AT1352" s="348"/>
      <c r="AU1352" s="348"/>
      <c r="AV1352" s="348"/>
      <c r="AW1352" s="348"/>
      <c r="AX1352" s="584"/>
      <c r="AY1352" s="581"/>
      <c r="AZ1352" s="581"/>
      <c r="BA1352" s="596"/>
      <c r="BB1352" s="596"/>
      <c r="BC1352" s="348"/>
      <c r="BD1352" s="581"/>
      <c r="BE1352" s="581"/>
      <c r="BF1352" s="347"/>
      <c r="BG1352" s="347"/>
      <c r="BH1352" s="347"/>
      <c r="BI1352" s="347"/>
      <c r="BJ1352" s="586"/>
      <c r="BK1352" s="581"/>
      <c r="BL1352" s="347"/>
      <c r="BM1352" s="347"/>
      <c r="BN1352" s="347"/>
      <c r="BO1352" s="586"/>
      <c r="BP1352" s="584"/>
      <c r="BQ1352" s="347"/>
      <c r="BR1352" s="586"/>
      <c r="BS1352" s="588"/>
      <c r="BT1352" s="586"/>
      <c r="BU1352" s="589"/>
      <c r="BV1352" s="581"/>
      <c r="BW1352" s="590"/>
      <c r="BX1352" s="347"/>
      <c r="BY1352" s="347"/>
      <c r="BZ1352" s="347"/>
      <c r="CA1352" s="586"/>
      <c r="CB1352" s="581"/>
      <c r="CC1352" s="581"/>
      <c r="CD1352" s="581"/>
      <c r="CE1352" s="581"/>
      <c r="CF1352" s="581"/>
      <c r="CG1352" s="586"/>
      <c r="CH1352" s="608"/>
      <c r="CI1352" s="603"/>
      <c r="CJ1352" s="347"/>
      <c r="CK1352" s="347"/>
      <c r="CL1352" s="347"/>
      <c r="CM1352" s="347"/>
      <c r="CN1352" s="347"/>
      <c r="CO1352" s="347"/>
      <c r="CP1352" s="347"/>
    </row>
    <row r="1353">
      <c r="A1353" s="574"/>
      <c r="B1353" s="574"/>
      <c r="C1353" s="347"/>
      <c r="D1353" s="574"/>
      <c r="E1353" s="347"/>
      <c r="F1353" s="596"/>
      <c r="G1353" s="596"/>
      <c r="H1353" s="347"/>
      <c r="I1353" s="347"/>
      <c r="J1353" s="596"/>
      <c r="K1353" s="609"/>
      <c r="L1353" s="1"/>
      <c r="M1353" s="347"/>
      <c r="N1353" s="347"/>
      <c r="O1353" s="579"/>
      <c r="P1353" s="579"/>
      <c r="Q1353" s="574"/>
      <c r="R1353" s="347"/>
      <c r="S1353" s="597"/>
      <c r="T1353" s="347"/>
      <c r="U1353" s="579"/>
      <c r="V1353" s="579"/>
      <c r="W1353" s="574"/>
      <c r="X1353" s="347"/>
      <c r="Y1353" s="347"/>
      <c r="Z1353" s="347"/>
      <c r="AA1353" s="579"/>
      <c r="AB1353" s="581"/>
      <c r="AC1353" s="347"/>
      <c r="AD1353" s="347"/>
      <c r="AE1353" s="347"/>
      <c r="AF1353" s="347"/>
      <c r="AG1353" s="579"/>
      <c r="AH1353" s="579"/>
      <c r="AI1353" s="582"/>
      <c r="AJ1353" s="582"/>
      <c r="AK1353" s="582"/>
      <c r="AL1353" s="582"/>
      <c r="AM1353" s="579"/>
      <c r="AN1353" s="579"/>
      <c r="AO1353" s="347"/>
      <c r="AP1353" s="586"/>
      <c r="AQ1353" s="596"/>
      <c r="AR1353" s="596"/>
      <c r="AS1353" s="348"/>
      <c r="AT1353" s="348"/>
      <c r="AU1353" s="348"/>
      <c r="AV1353" s="348"/>
      <c r="AW1353" s="348"/>
      <c r="AX1353" s="584"/>
      <c r="AY1353" s="581"/>
      <c r="AZ1353" s="581"/>
      <c r="BA1353" s="596"/>
      <c r="BB1353" s="596"/>
      <c r="BC1353" s="348"/>
      <c r="BD1353" s="581"/>
      <c r="BE1353" s="581"/>
      <c r="BF1353" s="347"/>
      <c r="BG1353" s="347"/>
      <c r="BH1353" s="347"/>
      <c r="BI1353" s="347"/>
      <c r="BJ1353" s="586"/>
      <c r="BK1353" s="581"/>
      <c r="BL1353" s="347"/>
      <c r="BM1353" s="347"/>
      <c r="BN1353" s="347"/>
      <c r="BO1353" s="586"/>
      <c r="BP1353" s="584"/>
      <c r="BQ1353" s="347"/>
      <c r="BR1353" s="586"/>
      <c r="BS1353" s="588"/>
      <c r="BT1353" s="586"/>
      <c r="BU1353" s="589"/>
      <c r="BV1353" s="581"/>
      <c r="BW1353" s="590"/>
      <c r="BX1353" s="347"/>
      <c r="BY1353" s="347"/>
      <c r="BZ1353" s="347"/>
      <c r="CA1353" s="586"/>
      <c r="CB1353" s="581"/>
      <c r="CC1353" s="581"/>
      <c r="CD1353" s="581"/>
      <c r="CE1353" s="581"/>
      <c r="CF1353" s="581"/>
      <c r="CG1353" s="586"/>
      <c r="CH1353" s="608"/>
      <c r="CI1353" s="603"/>
      <c r="CJ1353" s="347"/>
      <c r="CK1353" s="347"/>
      <c r="CL1353" s="347"/>
      <c r="CM1353" s="347"/>
      <c r="CN1353" s="347"/>
      <c r="CO1353" s="347"/>
      <c r="CP1353" s="347"/>
    </row>
    <row r="1354">
      <c r="A1354" s="574"/>
      <c r="B1354" s="574"/>
      <c r="C1354" s="347"/>
      <c r="D1354" s="574"/>
      <c r="E1354" s="347"/>
      <c r="F1354" s="596"/>
      <c r="G1354" s="596"/>
      <c r="H1354" s="347"/>
      <c r="I1354" s="347"/>
      <c r="J1354" s="596"/>
      <c r="K1354" s="609"/>
      <c r="L1354" s="1"/>
      <c r="M1354" s="347"/>
      <c r="N1354" s="347"/>
      <c r="O1354" s="579"/>
      <c r="P1354" s="579"/>
      <c r="Q1354" s="574"/>
      <c r="R1354" s="347"/>
      <c r="S1354" s="597"/>
      <c r="T1354" s="347"/>
      <c r="U1354" s="579"/>
      <c r="V1354" s="579"/>
      <c r="W1354" s="574"/>
      <c r="X1354" s="347"/>
      <c r="Y1354" s="347"/>
      <c r="Z1354" s="347"/>
      <c r="AA1354" s="579"/>
      <c r="AB1354" s="581"/>
      <c r="AC1354" s="347"/>
      <c r="AD1354" s="347"/>
      <c r="AE1354" s="347"/>
      <c r="AF1354" s="347"/>
      <c r="AG1354" s="579"/>
      <c r="AH1354" s="579"/>
      <c r="AI1354" s="582"/>
      <c r="AJ1354" s="582"/>
      <c r="AK1354" s="582"/>
      <c r="AL1354" s="582"/>
      <c r="AM1354" s="579"/>
      <c r="AN1354" s="579"/>
      <c r="AO1354" s="347"/>
      <c r="AP1354" s="586"/>
      <c r="AQ1354" s="596"/>
      <c r="AR1354" s="596"/>
      <c r="AS1354" s="348"/>
      <c r="AT1354" s="348"/>
      <c r="AU1354" s="348"/>
      <c r="AV1354" s="348"/>
      <c r="AW1354" s="348"/>
      <c r="AX1354" s="584"/>
      <c r="AY1354" s="581"/>
      <c r="AZ1354" s="581"/>
      <c r="BA1354" s="596"/>
      <c r="BB1354" s="596"/>
      <c r="BC1354" s="348"/>
      <c r="BD1354" s="581"/>
      <c r="BE1354" s="581"/>
      <c r="BF1354" s="347"/>
      <c r="BG1354" s="347"/>
      <c r="BH1354" s="347"/>
      <c r="BI1354" s="347"/>
      <c r="BJ1354" s="586"/>
      <c r="BK1354" s="581"/>
      <c r="BL1354" s="347"/>
      <c r="BM1354" s="347"/>
      <c r="BN1354" s="347"/>
      <c r="BO1354" s="586"/>
      <c r="BP1354" s="584"/>
      <c r="BQ1354" s="347"/>
      <c r="BR1354" s="586"/>
      <c r="BS1354" s="588"/>
      <c r="BT1354" s="586"/>
      <c r="BU1354" s="589"/>
      <c r="BV1354" s="581"/>
      <c r="BW1354" s="590"/>
      <c r="BX1354" s="347"/>
      <c r="BY1354" s="347"/>
      <c r="BZ1354" s="347"/>
      <c r="CA1354" s="586"/>
      <c r="CB1354" s="581"/>
      <c r="CC1354" s="581"/>
      <c r="CD1354" s="581"/>
      <c r="CE1354" s="581"/>
      <c r="CF1354" s="581"/>
      <c r="CG1354" s="586"/>
      <c r="CH1354" s="608"/>
      <c r="CI1354" s="603"/>
      <c r="CJ1354" s="347"/>
      <c r="CK1354" s="347"/>
      <c r="CL1354" s="347"/>
      <c r="CM1354" s="347"/>
      <c r="CN1354" s="347"/>
      <c r="CO1354" s="347"/>
      <c r="CP1354" s="347"/>
    </row>
    <row r="1355">
      <c r="A1355" s="574"/>
      <c r="B1355" s="574"/>
      <c r="C1355" s="347"/>
      <c r="D1355" s="574"/>
      <c r="E1355" s="347"/>
      <c r="F1355" s="596"/>
      <c r="G1355" s="596"/>
      <c r="H1355" s="347"/>
      <c r="I1355" s="347"/>
      <c r="J1355" s="596"/>
      <c r="K1355" s="609"/>
      <c r="L1355" s="1"/>
      <c r="M1355" s="347"/>
      <c r="N1355" s="347"/>
      <c r="O1355" s="579"/>
      <c r="P1355" s="579"/>
      <c r="Q1355" s="574"/>
      <c r="R1355" s="347"/>
      <c r="S1355" s="597"/>
      <c r="T1355" s="347"/>
      <c r="U1355" s="579"/>
      <c r="V1355" s="579"/>
      <c r="W1355" s="574"/>
      <c r="X1355" s="347"/>
      <c r="Y1355" s="347"/>
      <c r="Z1355" s="347"/>
      <c r="AA1355" s="579"/>
      <c r="AB1355" s="581"/>
      <c r="AC1355" s="347"/>
      <c r="AD1355" s="347"/>
      <c r="AE1355" s="347"/>
      <c r="AF1355" s="347"/>
      <c r="AG1355" s="579"/>
      <c r="AH1355" s="579"/>
      <c r="AI1355" s="582"/>
      <c r="AJ1355" s="582"/>
      <c r="AK1355" s="582"/>
      <c r="AL1355" s="582"/>
      <c r="AM1355" s="579"/>
      <c r="AN1355" s="579"/>
      <c r="AO1355" s="347"/>
      <c r="AP1355" s="586"/>
      <c r="AQ1355" s="596"/>
      <c r="AR1355" s="596"/>
      <c r="AS1355" s="348"/>
      <c r="AT1355" s="348"/>
      <c r="AU1355" s="348"/>
      <c r="AV1355" s="348"/>
      <c r="AW1355" s="348"/>
      <c r="AX1355" s="584"/>
      <c r="AY1355" s="581"/>
      <c r="AZ1355" s="581"/>
      <c r="BA1355" s="596"/>
      <c r="BB1355" s="596"/>
      <c r="BC1355" s="348"/>
      <c r="BD1355" s="581"/>
      <c r="BE1355" s="581"/>
      <c r="BF1355" s="347"/>
      <c r="BG1355" s="347"/>
      <c r="BH1355" s="347"/>
      <c r="BI1355" s="347"/>
      <c r="BJ1355" s="586"/>
      <c r="BK1355" s="581"/>
      <c r="BL1355" s="347"/>
      <c r="BM1355" s="347"/>
      <c r="BN1355" s="347"/>
      <c r="BO1355" s="586"/>
      <c r="BP1355" s="584"/>
      <c r="BQ1355" s="347"/>
      <c r="BR1355" s="586"/>
      <c r="BS1355" s="588"/>
      <c r="BT1355" s="586"/>
      <c r="BU1355" s="589"/>
      <c r="BV1355" s="581"/>
      <c r="BW1355" s="590"/>
      <c r="BX1355" s="347"/>
      <c r="BY1355" s="347"/>
      <c r="BZ1355" s="347"/>
      <c r="CA1355" s="586"/>
      <c r="CB1355" s="581"/>
      <c r="CC1355" s="581"/>
      <c r="CD1355" s="581"/>
      <c r="CE1355" s="581"/>
      <c r="CF1355" s="581"/>
      <c r="CG1355" s="586"/>
      <c r="CH1355" s="608"/>
      <c r="CI1355" s="603"/>
      <c r="CJ1355" s="347"/>
      <c r="CK1355" s="347"/>
      <c r="CL1355" s="347"/>
      <c r="CM1355" s="347"/>
      <c r="CN1355" s="347"/>
      <c r="CO1355" s="347"/>
      <c r="CP1355" s="347"/>
    </row>
    <row r="1356">
      <c r="A1356" s="574"/>
      <c r="B1356" s="574"/>
      <c r="C1356" s="347"/>
      <c r="D1356" s="574"/>
      <c r="E1356" s="347"/>
      <c r="F1356" s="596"/>
      <c r="G1356" s="596"/>
      <c r="H1356" s="347"/>
      <c r="I1356" s="347"/>
      <c r="J1356" s="596"/>
      <c r="K1356" s="609"/>
      <c r="L1356" s="1"/>
      <c r="M1356" s="347"/>
      <c r="N1356" s="347"/>
      <c r="O1356" s="579"/>
      <c r="P1356" s="579"/>
      <c r="Q1356" s="574"/>
      <c r="R1356" s="347"/>
      <c r="S1356" s="597"/>
      <c r="T1356" s="347"/>
      <c r="U1356" s="579"/>
      <c r="V1356" s="579"/>
      <c r="W1356" s="574"/>
      <c r="X1356" s="347"/>
      <c r="Y1356" s="347"/>
      <c r="Z1356" s="347"/>
      <c r="AA1356" s="579"/>
      <c r="AB1356" s="581"/>
      <c r="AC1356" s="347"/>
      <c r="AD1356" s="347"/>
      <c r="AE1356" s="347"/>
      <c r="AF1356" s="347"/>
      <c r="AG1356" s="579"/>
      <c r="AH1356" s="579"/>
      <c r="AI1356" s="582"/>
      <c r="AJ1356" s="582"/>
      <c r="AK1356" s="582"/>
      <c r="AL1356" s="582"/>
      <c r="AM1356" s="579"/>
      <c r="AN1356" s="579"/>
      <c r="AO1356" s="347"/>
      <c r="AP1356" s="586"/>
      <c r="AQ1356" s="596"/>
      <c r="AR1356" s="596"/>
      <c r="AS1356" s="348"/>
      <c r="AT1356" s="348"/>
      <c r="AU1356" s="348"/>
      <c r="AV1356" s="348"/>
      <c r="AW1356" s="348"/>
      <c r="AX1356" s="584"/>
      <c r="AY1356" s="581"/>
      <c r="AZ1356" s="581"/>
      <c r="BA1356" s="596"/>
      <c r="BB1356" s="596"/>
      <c r="BC1356" s="348"/>
      <c r="BD1356" s="581"/>
      <c r="BE1356" s="581"/>
      <c r="BF1356" s="347"/>
      <c r="BG1356" s="347"/>
      <c r="BH1356" s="347"/>
      <c r="BI1356" s="347"/>
      <c r="BJ1356" s="586"/>
      <c r="BK1356" s="581"/>
      <c r="BL1356" s="347"/>
      <c r="BM1356" s="347"/>
      <c r="BN1356" s="347"/>
      <c r="BO1356" s="586"/>
      <c r="BP1356" s="584"/>
      <c r="BQ1356" s="347"/>
      <c r="BR1356" s="586"/>
      <c r="BS1356" s="588"/>
      <c r="BT1356" s="586"/>
      <c r="BU1356" s="589"/>
      <c r="BV1356" s="581"/>
      <c r="BW1356" s="590"/>
      <c r="BX1356" s="347"/>
      <c r="BY1356" s="347"/>
      <c r="BZ1356" s="347"/>
      <c r="CA1356" s="586"/>
      <c r="CB1356" s="581"/>
      <c r="CC1356" s="581"/>
      <c r="CD1356" s="581"/>
      <c r="CE1356" s="581"/>
      <c r="CF1356" s="581"/>
      <c r="CG1356" s="586"/>
      <c r="CH1356" s="608"/>
      <c r="CI1356" s="603"/>
      <c r="CJ1356" s="347"/>
      <c r="CK1356" s="347"/>
      <c r="CL1356" s="347"/>
      <c r="CM1356" s="347"/>
      <c r="CN1356" s="347"/>
      <c r="CO1356" s="347"/>
      <c r="CP1356" s="347"/>
    </row>
    <row r="1357">
      <c r="A1357" s="574"/>
      <c r="B1357" s="574"/>
      <c r="C1357" s="347"/>
      <c r="D1357" s="574"/>
      <c r="E1357" s="347"/>
      <c r="F1357" s="596"/>
      <c r="G1357" s="596"/>
      <c r="H1357" s="347"/>
      <c r="I1357" s="347"/>
      <c r="J1357" s="596"/>
      <c r="K1357" s="609"/>
      <c r="L1357" s="1"/>
      <c r="M1357" s="347"/>
      <c r="N1357" s="347"/>
      <c r="O1357" s="579"/>
      <c r="P1357" s="579"/>
      <c r="Q1357" s="574"/>
      <c r="R1357" s="347"/>
      <c r="S1357" s="597"/>
      <c r="T1357" s="347"/>
      <c r="U1357" s="579"/>
      <c r="V1357" s="579"/>
      <c r="W1357" s="574"/>
      <c r="X1357" s="347"/>
      <c r="Y1357" s="347"/>
      <c r="Z1357" s="347"/>
      <c r="AA1357" s="579"/>
      <c r="AB1357" s="581"/>
      <c r="AC1357" s="347"/>
      <c r="AD1357" s="347"/>
      <c r="AE1357" s="347"/>
      <c r="AF1357" s="347"/>
      <c r="AG1357" s="579"/>
      <c r="AH1357" s="579"/>
      <c r="AI1357" s="582"/>
      <c r="AJ1357" s="582"/>
      <c r="AK1357" s="582"/>
      <c r="AL1357" s="582"/>
      <c r="AM1357" s="579"/>
      <c r="AN1357" s="579"/>
      <c r="AO1357" s="347"/>
      <c r="AP1357" s="586"/>
      <c r="AQ1357" s="596"/>
      <c r="AR1357" s="596"/>
      <c r="AS1357" s="348"/>
      <c r="AT1357" s="348"/>
      <c r="AU1357" s="348"/>
      <c r="AV1357" s="348"/>
      <c r="AW1357" s="348"/>
      <c r="AX1357" s="584"/>
      <c r="AY1357" s="581"/>
      <c r="AZ1357" s="581"/>
      <c r="BA1357" s="596"/>
      <c r="BB1357" s="596"/>
      <c r="BC1357" s="348"/>
      <c r="BD1357" s="581"/>
      <c r="BE1357" s="581"/>
      <c r="BF1357" s="347"/>
      <c r="BG1357" s="347"/>
      <c r="BH1357" s="347"/>
      <c r="BI1357" s="347"/>
      <c r="BJ1357" s="586"/>
      <c r="BK1357" s="581"/>
      <c r="BL1357" s="347"/>
      <c r="BM1357" s="347"/>
      <c r="BN1357" s="347"/>
      <c r="BO1357" s="586"/>
      <c r="BP1357" s="584"/>
      <c r="BQ1357" s="347"/>
      <c r="BR1357" s="586"/>
      <c r="BS1357" s="588"/>
      <c r="BT1357" s="586"/>
      <c r="BU1357" s="589"/>
      <c r="BV1357" s="581"/>
      <c r="BW1357" s="590"/>
      <c r="BX1357" s="347"/>
      <c r="BY1357" s="347"/>
      <c r="BZ1357" s="347"/>
      <c r="CA1357" s="586"/>
      <c r="CB1357" s="581"/>
      <c r="CC1357" s="581"/>
      <c r="CD1357" s="581"/>
      <c r="CE1357" s="581"/>
      <c r="CF1357" s="581"/>
      <c r="CG1357" s="586"/>
      <c r="CH1357" s="608"/>
      <c r="CI1357" s="603"/>
      <c r="CJ1357" s="347"/>
      <c r="CK1357" s="347"/>
      <c r="CL1357" s="347"/>
      <c r="CM1357" s="347"/>
      <c r="CN1357" s="347"/>
      <c r="CO1357" s="347"/>
      <c r="CP1357" s="347"/>
    </row>
    <row r="1358">
      <c r="A1358" s="574"/>
      <c r="B1358" s="574"/>
      <c r="C1358" s="347"/>
      <c r="D1358" s="574"/>
      <c r="E1358" s="347"/>
      <c r="F1358" s="596"/>
      <c r="G1358" s="596"/>
      <c r="H1358" s="347"/>
      <c r="I1358" s="347"/>
      <c r="J1358" s="596"/>
      <c r="K1358" s="609"/>
      <c r="L1358" s="1"/>
      <c r="M1358" s="347"/>
      <c r="N1358" s="347"/>
      <c r="O1358" s="579"/>
      <c r="P1358" s="579"/>
      <c r="Q1358" s="574"/>
      <c r="R1358" s="347"/>
      <c r="S1358" s="597"/>
      <c r="T1358" s="347"/>
      <c r="U1358" s="579"/>
      <c r="V1358" s="579"/>
      <c r="W1358" s="574"/>
      <c r="X1358" s="347"/>
      <c r="Y1358" s="347"/>
      <c r="Z1358" s="347"/>
      <c r="AA1358" s="579"/>
      <c r="AB1358" s="581"/>
      <c r="AC1358" s="347"/>
      <c r="AD1358" s="347"/>
      <c r="AE1358" s="347"/>
      <c r="AF1358" s="347"/>
      <c r="AG1358" s="579"/>
      <c r="AH1358" s="579"/>
      <c r="AI1358" s="582"/>
      <c r="AJ1358" s="582"/>
      <c r="AK1358" s="582"/>
      <c r="AL1358" s="582"/>
      <c r="AM1358" s="579"/>
      <c r="AN1358" s="579"/>
      <c r="AO1358" s="347"/>
      <c r="AP1358" s="586"/>
      <c r="AQ1358" s="596"/>
      <c r="AR1358" s="596"/>
      <c r="AS1358" s="348"/>
      <c r="AT1358" s="348"/>
      <c r="AU1358" s="348"/>
      <c r="AV1358" s="348"/>
      <c r="AW1358" s="348"/>
      <c r="AX1358" s="584"/>
      <c r="AY1358" s="581"/>
      <c r="AZ1358" s="581"/>
      <c r="BA1358" s="596"/>
      <c r="BB1358" s="596"/>
      <c r="BC1358" s="348"/>
      <c r="BD1358" s="581"/>
      <c r="BE1358" s="581"/>
      <c r="BF1358" s="347"/>
      <c r="BG1358" s="347"/>
      <c r="BH1358" s="347"/>
      <c r="BI1358" s="347"/>
      <c r="BJ1358" s="586"/>
      <c r="BK1358" s="581"/>
      <c r="BL1358" s="347"/>
      <c r="BM1358" s="347"/>
      <c r="BN1358" s="347"/>
      <c r="BO1358" s="586"/>
      <c r="BP1358" s="584"/>
      <c r="BQ1358" s="347"/>
      <c r="BR1358" s="586"/>
      <c r="BS1358" s="588"/>
      <c r="BT1358" s="586"/>
      <c r="BU1358" s="589"/>
      <c r="BV1358" s="581"/>
      <c r="BW1358" s="590"/>
      <c r="BX1358" s="347"/>
      <c r="BY1358" s="347"/>
      <c r="BZ1358" s="347"/>
      <c r="CA1358" s="586"/>
      <c r="CB1358" s="581"/>
      <c r="CC1358" s="581"/>
      <c r="CD1358" s="581"/>
      <c r="CE1358" s="581"/>
      <c r="CF1358" s="581"/>
      <c r="CG1358" s="586"/>
      <c r="CH1358" s="608"/>
      <c r="CI1358" s="603"/>
      <c r="CJ1358" s="347"/>
      <c r="CK1358" s="347"/>
      <c r="CL1358" s="347"/>
      <c r="CM1358" s="347"/>
      <c r="CN1358" s="347"/>
      <c r="CO1358" s="347"/>
      <c r="CP1358" s="347"/>
    </row>
    <row r="1359">
      <c r="A1359" s="574"/>
      <c r="B1359" s="574"/>
      <c r="C1359" s="347"/>
      <c r="D1359" s="574"/>
      <c r="E1359" s="347"/>
      <c r="F1359" s="596"/>
      <c r="G1359" s="596"/>
      <c r="H1359" s="347"/>
      <c r="I1359" s="347"/>
      <c r="J1359" s="596"/>
      <c r="K1359" s="609"/>
      <c r="L1359" s="1"/>
      <c r="M1359" s="347"/>
      <c r="N1359" s="347"/>
      <c r="O1359" s="579"/>
      <c r="P1359" s="579"/>
      <c r="Q1359" s="574"/>
      <c r="R1359" s="347"/>
      <c r="S1359" s="597"/>
      <c r="T1359" s="347"/>
      <c r="U1359" s="579"/>
      <c r="V1359" s="579"/>
      <c r="W1359" s="574"/>
      <c r="X1359" s="347"/>
      <c r="Y1359" s="347"/>
      <c r="Z1359" s="347"/>
      <c r="AA1359" s="579"/>
      <c r="AB1359" s="581"/>
      <c r="AC1359" s="347"/>
      <c r="AD1359" s="347"/>
      <c r="AE1359" s="347"/>
      <c r="AF1359" s="347"/>
      <c r="AG1359" s="579"/>
      <c r="AH1359" s="579"/>
      <c r="AI1359" s="582"/>
      <c r="AJ1359" s="582"/>
      <c r="AK1359" s="582"/>
      <c r="AL1359" s="582"/>
      <c r="AM1359" s="579"/>
      <c r="AN1359" s="579"/>
      <c r="AO1359" s="347"/>
      <c r="AP1359" s="586"/>
      <c r="AQ1359" s="596"/>
      <c r="AR1359" s="596"/>
      <c r="AS1359" s="348"/>
      <c r="AT1359" s="348"/>
      <c r="AU1359" s="348"/>
      <c r="AV1359" s="348"/>
      <c r="AW1359" s="348"/>
      <c r="AX1359" s="584"/>
      <c r="AY1359" s="581"/>
      <c r="AZ1359" s="581"/>
      <c r="BA1359" s="596"/>
      <c r="BB1359" s="596"/>
      <c r="BC1359" s="348"/>
      <c r="BD1359" s="581"/>
      <c r="BE1359" s="581"/>
      <c r="BF1359" s="347"/>
      <c r="BG1359" s="347"/>
      <c r="BH1359" s="347"/>
      <c r="BI1359" s="347"/>
      <c r="BJ1359" s="586"/>
      <c r="BK1359" s="581"/>
      <c r="BL1359" s="347"/>
      <c r="BM1359" s="347"/>
      <c r="BN1359" s="347"/>
      <c r="BO1359" s="586"/>
      <c r="BP1359" s="584"/>
      <c r="BQ1359" s="347"/>
      <c r="BR1359" s="586"/>
      <c r="BS1359" s="588"/>
      <c r="BT1359" s="586"/>
      <c r="BU1359" s="589"/>
      <c r="BV1359" s="581"/>
      <c r="BW1359" s="590"/>
      <c r="BX1359" s="347"/>
      <c r="BY1359" s="347"/>
      <c r="BZ1359" s="347"/>
      <c r="CA1359" s="586"/>
      <c r="CB1359" s="581"/>
      <c r="CC1359" s="581"/>
      <c r="CD1359" s="581"/>
      <c r="CE1359" s="581"/>
      <c r="CF1359" s="581"/>
      <c r="CG1359" s="586"/>
      <c r="CH1359" s="608"/>
      <c r="CI1359" s="603"/>
      <c r="CJ1359" s="347"/>
      <c r="CK1359" s="347"/>
      <c r="CL1359" s="347"/>
      <c r="CM1359" s="347"/>
      <c r="CN1359" s="347"/>
      <c r="CO1359" s="347"/>
      <c r="CP1359" s="347"/>
    </row>
    <row r="1360">
      <c r="A1360" s="574"/>
      <c r="B1360" s="574"/>
      <c r="C1360" s="347"/>
      <c r="D1360" s="574"/>
      <c r="E1360" s="347"/>
      <c r="F1360" s="596"/>
      <c r="G1360" s="596"/>
      <c r="H1360" s="347"/>
      <c r="I1360" s="347"/>
      <c r="J1360" s="596"/>
      <c r="K1360" s="609"/>
      <c r="L1360" s="1"/>
      <c r="M1360" s="347"/>
      <c r="N1360" s="347"/>
      <c r="O1360" s="579"/>
      <c r="P1360" s="579"/>
      <c r="Q1360" s="574"/>
      <c r="R1360" s="347"/>
      <c r="S1360" s="597"/>
      <c r="T1360" s="347"/>
      <c r="U1360" s="579"/>
      <c r="V1360" s="579"/>
      <c r="W1360" s="574"/>
      <c r="X1360" s="347"/>
      <c r="Y1360" s="347"/>
      <c r="Z1360" s="347"/>
      <c r="AA1360" s="579"/>
      <c r="AB1360" s="581"/>
      <c r="AC1360" s="347"/>
      <c r="AD1360" s="347"/>
      <c r="AE1360" s="347"/>
      <c r="AF1360" s="347"/>
      <c r="AG1360" s="579"/>
      <c r="AH1360" s="579"/>
      <c r="AI1360" s="582"/>
      <c r="AJ1360" s="582"/>
      <c r="AK1360" s="582"/>
      <c r="AL1360" s="582"/>
      <c r="AM1360" s="579"/>
      <c r="AN1360" s="579"/>
      <c r="AO1360" s="347"/>
      <c r="AP1360" s="586"/>
      <c r="AQ1360" s="596"/>
      <c r="AR1360" s="596"/>
      <c r="AS1360" s="348"/>
      <c r="AT1360" s="348"/>
      <c r="AU1360" s="348"/>
      <c r="AV1360" s="348"/>
      <c r="AW1360" s="348"/>
      <c r="AX1360" s="584"/>
      <c r="AY1360" s="581"/>
      <c r="AZ1360" s="581"/>
      <c r="BA1360" s="596"/>
      <c r="BB1360" s="596"/>
      <c r="BC1360" s="348"/>
      <c r="BD1360" s="581"/>
      <c r="BE1360" s="581"/>
      <c r="BF1360" s="347"/>
      <c r="BG1360" s="347"/>
      <c r="BH1360" s="347"/>
      <c r="BI1360" s="347"/>
      <c r="BJ1360" s="586"/>
      <c r="BK1360" s="581"/>
      <c r="BL1360" s="347"/>
      <c r="BM1360" s="347"/>
      <c r="BN1360" s="347"/>
      <c r="BO1360" s="586"/>
      <c r="BP1360" s="584"/>
      <c r="BQ1360" s="347"/>
      <c r="BR1360" s="586"/>
      <c r="BS1360" s="588"/>
      <c r="BT1360" s="586"/>
      <c r="BU1360" s="589"/>
      <c r="BV1360" s="581"/>
      <c r="BW1360" s="590"/>
      <c r="BX1360" s="347"/>
      <c r="BY1360" s="347"/>
      <c r="BZ1360" s="347"/>
      <c r="CA1360" s="586"/>
      <c r="CB1360" s="581"/>
      <c r="CC1360" s="581"/>
      <c r="CD1360" s="581"/>
      <c r="CE1360" s="581"/>
      <c r="CF1360" s="581"/>
      <c r="CG1360" s="586"/>
      <c r="CH1360" s="608"/>
      <c r="CI1360" s="603"/>
      <c r="CJ1360" s="347"/>
      <c r="CK1360" s="347"/>
      <c r="CL1360" s="347"/>
      <c r="CM1360" s="347"/>
      <c r="CN1360" s="347"/>
      <c r="CO1360" s="347"/>
      <c r="CP1360" s="347"/>
    </row>
    <row r="1361">
      <c r="A1361" s="574"/>
      <c r="B1361" s="574"/>
      <c r="C1361" s="347"/>
      <c r="D1361" s="574"/>
      <c r="E1361" s="347"/>
      <c r="F1361" s="596"/>
      <c r="G1361" s="596"/>
      <c r="H1361" s="347"/>
      <c r="I1361" s="347"/>
      <c r="J1361" s="596"/>
      <c r="K1361" s="609"/>
      <c r="L1361" s="1"/>
      <c r="M1361" s="347"/>
      <c r="N1361" s="347"/>
      <c r="O1361" s="579"/>
      <c r="P1361" s="579"/>
      <c r="Q1361" s="574"/>
      <c r="R1361" s="347"/>
      <c r="S1361" s="597"/>
      <c r="T1361" s="347"/>
      <c r="U1361" s="579"/>
      <c r="V1361" s="579"/>
      <c r="W1361" s="574"/>
      <c r="X1361" s="347"/>
      <c r="Y1361" s="347"/>
      <c r="Z1361" s="347"/>
      <c r="AA1361" s="579"/>
      <c r="AB1361" s="581"/>
      <c r="AC1361" s="347"/>
      <c r="AD1361" s="347"/>
      <c r="AE1361" s="347"/>
      <c r="AF1361" s="347"/>
      <c r="AG1361" s="579"/>
      <c r="AH1361" s="579"/>
      <c r="AI1361" s="582"/>
      <c r="AJ1361" s="582"/>
      <c r="AK1361" s="582"/>
      <c r="AL1361" s="582"/>
      <c r="AM1361" s="579"/>
      <c r="AN1361" s="579"/>
      <c r="AO1361" s="347"/>
      <c r="AP1361" s="586"/>
      <c r="AQ1361" s="596"/>
      <c r="AR1361" s="596"/>
      <c r="AS1361" s="348"/>
      <c r="AT1361" s="348"/>
      <c r="AU1361" s="348"/>
      <c r="AV1361" s="348"/>
      <c r="AW1361" s="348"/>
      <c r="AX1361" s="584"/>
      <c r="AY1361" s="581"/>
      <c r="AZ1361" s="581"/>
      <c r="BA1361" s="596"/>
      <c r="BB1361" s="596"/>
      <c r="BC1361" s="348"/>
      <c r="BD1361" s="581"/>
      <c r="BE1361" s="581"/>
      <c r="BF1361" s="347"/>
      <c r="BG1361" s="347"/>
      <c r="BH1361" s="347"/>
      <c r="BI1361" s="347"/>
      <c r="BJ1361" s="586"/>
      <c r="BK1361" s="581"/>
      <c r="BL1361" s="347"/>
      <c r="BM1361" s="347"/>
      <c r="BN1361" s="347"/>
      <c r="BO1361" s="586"/>
      <c r="BP1361" s="584"/>
      <c r="BQ1361" s="347"/>
      <c r="BR1361" s="586"/>
      <c r="BS1361" s="588"/>
      <c r="BT1361" s="586"/>
      <c r="BU1361" s="589"/>
      <c r="BV1361" s="581"/>
      <c r="BW1361" s="590"/>
      <c r="BX1361" s="347"/>
      <c r="BY1361" s="347"/>
      <c r="BZ1361" s="347"/>
      <c r="CA1361" s="586"/>
      <c r="CB1361" s="581"/>
      <c r="CC1361" s="581"/>
      <c r="CD1361" s="581"/>
      <c r="CE1361" s="581"/>
      <c r="CF1361" s="581"/>
      <c r="CG1361" s="586"/>
      <c r="CH1361" s="608"/>
      <c r="CI1361" s="603"/>
      <c r="CJ1361" s="347"/>
      <c r="CK1361" s="347"/>
      <c r="CL1361" s="347"/>
      <c r="CM1361" s="347"/>
      <c r="CN1361" s="347"/>
      <c r="CO1361" s="347"/>
      <c r="CP1361" s="347"/>
    </row>
    <row r="1362">
      <c r="A1362" s="574"/>
      <c r="B1362" s="574"/>
      <c r="C1362" s="347"/>
      <c r="D1362" s="574"/>
      <c r="E1362" s="347"/>
      <c r="F1362" s="596"/>
      <c r="G1362" s="596"/>
      <c r="H1362" s="347"/>
      <c r="I1362" s="347"/>
      <c r="J1362" s="596"/>
      <c r="K1362" s="609"/>
      <c r="L1362" s="1"/>
      <c r="M1362" s="347"/>
      <c r="N1362" s="347"/>
      <c r="O1362" s="579"/>
      <c r="P1362" s="579"/>
      <c r="Q1362" s="574"/>
      <c r="R1362" s="347"/>
      <c r="S1362" s="597"/>
      <c r="T1362" s="347"/>
      <c r="U1362" s="579"/>
      <c r="V1362" s="579"/>
      <c r="W1362" s="574"/>
      <c r="X1362" s="347"/>
      <c r="Y1362" s="347"/>
      <c r="Z1362" s="347"/>
      <c r="AA1362" s="579"/>
      <c r="AB1362" s="581"/>
      <c r="AC1362" s="347"/>
      <c r="AD1362" s="347"/>
      <c r="AE1362" s="347"/>
      <c r="AF1362" s="347"/>
      <c r="AG1362" s="579"/>
      <c r="AH1362" s="579"/>
      <c r="AI1362" s="582"/>
      <c r="AJ1362" s="582"/>
      <c r="AK1362" s="582"/>
      <c r="AL1362" s="582"/>
      <c r="AM1362" s="579"/>
      <c r="AN1362" s="579"/>
      <c r="AO1362" s="347"/>
      <c r="AP1362" s="586"/>
      <c r="AQ1362" s="596"/>
      <c r="AR1362" s="596"/>
      <c r="AS1362" s="348"/>
      <c r="AT1362" s="348"/>
      <c r="AU1362" s="348"/>
      <c r="AV1362" s="348"/>
      <c r="AW1362" s="348"/>
      <c r="AX1362" s="584"/>
      <c r="AY1362" s="581"/>
      <c r="AZ1362" s="581"/>
      <c r="BA1362" s="596"/>
      <c r="BB1362" s="596"/>
      <c r="BC1362" s="348"/>
      <c r="BD1362" s="581"/>
      <c r="BE1362" s="581"/>
      <c r="BF1362" s="347"/>
      <c r="BG1362" s="347"/>
      <c r="BH1362" s="347"/>
      <c r="BI1362" s="347"/>
      <c r="BJ1362" s="586"/>
      <c r="BK1362" s="581"/>
      <c r="BL1362" s="347"/>
      <c r="BM1362" s="347"/>
      <c r="BN1362" s="347"/>
      <c r="BO1362" s="586"/>
      <c r="BP1362" s="584"/>
      <c r="BQ1362" s="347"/>
      <c r="BR1362" s="586"/>
      <c r="BS1362" s="588"/>
      <c r="BT1362" s="586"/>
      <c r="BU1362" s="589"/>
      <c r="BV1362" s="581"/>
      <c r="BW1362" s="590"/>
      <c r="BX1362" s="347"/>
      <c r="BY1362" s="347"/>
      <c r="BZ1362" s="347"/>
      <c r="CA1362" s="586"/>
      <c r="CB1362" s="581"/>
      <c r="CC1362" s="581"/>
      <c r="CD1362" s="581"/>
      <c r="CE1362" s="581"/>
      <c r="CF1362" s="581"/>
      <c r="CG1362" s="586"/>
      <c r="CH1362" s="608"/>
      <c r="CI1362" s="603"/>
      <c r="CJ1362" s="347"/>
      <c r="CK1362" s="347"/>
      <c r="CL1362" s="347"/>
      <c r="CM1362" s="347"/>
      <c r="CN1362" s="347"/>
      <c r="CO1362" s="347"/>
      <c r="CP1362" s="347"/>
    </row>
    <row r="1363">
      <c r="A1363" s="574"/>
      <c r="B1363" s="574"/>
      <c r="C1363" s="347"/>
      <c r="D1363" s="574"/>
      <c r="E1363" s="347"/>
      <c r="F1363" s="596"/>
      <c r="G1363" s="596"/>
      <c r="H1363" s="347"/>
      <c r="I1363" s="347"/>
      <c r="J1363" s="596"/>
      <c r="K1363" s="609"/>
      <c r="L1363" s="1"/>
      <c r="M1363" s="347"/>
      <c r="N1363" s="347"/>
      <c r="O1363" s="579"/>
      <c r="P1363" s="579"/>
      <c r="Q1363" s="574"/>
      <c r="R1363" s="347"/>
      <c r="S1363" s="597"/>
      <c r="T1363" s="347"/>
      <c r="U1363" s="579"/>
      <c r="V1363" s="579"/>
      <c r="W1363" s="574"/>
      <c r="X1363" s="347"/>
      <c r="Y1363" s="347"/>
      <c r="Z1363" s="347"/>
      <c r="AA1363" s="579"/>
      <c r="AB1363" s="581"/>
      <c r="AC1363" s="347"/>
      <c r="AD1363" s="347"/>
      <c r="AE1363" s="347"/>
      <c r="AF1363" s="347"/>
      <c r="AG1363" s="579"/>
      <c r="AH1363" s="579"/>
      <c r="AI1363" s="582"/>
      <c r="AJ1363" s="582"/>
      <c r="AK1363" s="582"/>
      <c r="AL1363" s="582"/>
      <c r="AM1363" s="579"/>
      <c r="AN1363" s="579"/>
      <c r="AO1363" s="347"/>
      <c r="AP1363" s="586"/>
      <c r="AQ1363" s="596"/>
      <c r="AR1363" s="596"/>
      <c r="AS1363" s="348"/>
      <c r="AT1363" s="348"/>
      <c r="AU1363" s="348"/>
      <c r="AV1363" s="348"/>
      <c r="AW1363" s="348"/>
      <c r="AX1363" s="584"/>
      <c r="AY1363" s="581"/>
      <c r="AZ1363" s="581"/>
      <c r="BA1363" s="596"/>
      <c r="BB1363" s="596"/>
      <c r="BC1363" s="348"/>
      <c r="BD1363" s="581"/>
      <c r="BE1363" s="581"/>
      <c r="BF1363" s="347"/>
      <c r="BG1363" s="347"/>
      <c r="BH1363" s="347"/>
      <c r="BI1363" s="347"/>
      <c r="BJ1363" s="586"/>
      <c r="BK1363" s="581"/>
      <c r="BL1363" s="347"/>
      <c r="BM1363" s="347"/>
      <c r="BN1363" s="347"/>
      <c r="BO1363" s="586"/>
      <c r="BP1363" s="584"/>
      <c r="BQ1363" s="347"/>
      <c r="BR1363" s="586"/>
      <c r="BS1363" s="588"/>
      <c r="BT1363" s="586"/>
      <c r="BU1363" s="589"/>
      <c r="BV1363" s="581"/>
      <c r="BW1363" s="590"/>
      <c r="BX1363" s="347"/>
      <c r="BY1363" s="347"/>
      <c r="BZ1363" s="347"/>
      <c r="CA1363" s="586"/>
      <c r="CB1363" s="581"/>
      <c r="CC1363" s="581"/>
      <c r="CD1363" s="581"/>
      <c r="CE1363" s="581"/>
      <c r="CF1363" s="581"/>
      <c r="CG1363" s="586"/>
      <c r="CH1363" s="608"/>
      <c r="CI1363" s="603"/>
      <c r="CJ1363" s="347"/>
      <c r="CK1363" s="347"/>
      <c r="CL1363" s="347"/>
      <c r="CM1363" s="347"/>
      <c r="CN1363" s="347"/>
      <c r="CO1363" s="347"/>
      <c r="CP1363" s="347"/>
    </row>
    <row r="1364">
      <c r="A1364" s="574"/>
      <c r="B1364" s="574"/>
      <c r="C1364" s="347"/>
      <c r="D1364" s="574"/>
      <c r="E1364" s="347"/>
      <c r="F1364" s="596"/>
      <c r="G1364" s="596"/>
      <c r="H1364" s="347"/>
      <c r="I1364" s="347"/>
      <c r="J1364" s="596"/>
      <c r="K1364" s="609"/>
      <c r="L1364" s="1"/>
      <c r="M1364" s="347"/>
      <c r="N1364" s="347"/>
      <c r="O1364" s="579"/>
      <c r="P1364" s="579"/>
      <c r="Q1364" s="574"/>
      <c r="R1364" s="347"/>
      <c r="S1364" s="597"/>
      <c r="T1364" s="347"/>
      <c r="U1364" s="579"/>
      <c r="V1364" s="579"/>
      <c r="W1364" s="574"/>
      <c r="X1364" s="347"/>
      <c r="Y1364" s="347"/>
      <c r="Z1364" s="347"/>
      <c r="AA1364" s="579"/>
      <c r="AB1364" s="581"/>
      <c r="AC1364" s="347"/>
      <c r="AD1364" s="347"/>
      <c r="AE1364" s="347"/>
      <c r="AF1364" s="347"/>
      <c r="AG1364" s="579"/>
      <c r="AH1364" s="579"/>
      <c r="AI1364" s="582"/>
      <c r="AJ1364" s="582"/>
      <c r="AK1364" s="582"/>
      <c r="AL1364" s="582"/>
      <c r="AM1364" s="579"/>
      <c r="AN1364" s="579"/>
      <c r="AO1364" s="347"/>
      <c r="AP1364" s="586"/>
      <c r="AQ1364" s="596"/>
      <c r="AR1364" s="596"/>
      <c r="AS1364" s="348"/>
      <c r="AT1364" s="348"/>
      <c r="AU1364" s="348"/>
      <c r="AV1364" s="348"/>
      <c r="AW1364" s="348"/>
      <c r="AX1364" s="584"/>
      <c r="AY1364" s="581"/>
      <c r="AZ1364" s="581"/>
      <c r="BA1364" s="596"/>
      <c r="BB1364" s="596"/>
      <c r="BC1364" s="348"/>
      <c r="BD1364" s="581"/>
      <c r="BE1364" s="581"/>
      <c r="BF1364" s="347"/>
      <c r="BG1364" s="347"/>
      <c r="BH1364" s="347"/>
      <c r="BI1364" s="347"/>
      <c r="BJ1364" s="586"/>
      <c r="BK1364" s="581"/>
      <c r="BL1364" s="347"/>
      <c r="BM1364" s="347"/>
      <c r="BN1364" s="347"/>
      <c r="BO1364" s="586"/>
      <c r="BP1364" s="584"/>
      <c r="BQ1364" s="347"/>
      <c r="BR1364" s="586"/>
      <c r="BS1364" s="588"/>
      <c r="BT1364" s="586"/>
      <c r="BU1364" s="589"/>
      <c r="BV1364" s="581"/>
      <c r="BW1364" s="590"/>
      <c r="BX1364" s="347"/>
      <c r="BY1364" s="347"/>
      <c r="BZ1364" s="347"/>
      <c r="CA1364" s="586"/>
      <c r="CB1364" s="581"/>
      <c r="CC1364" s="581"/>
      <c r="CD1364" s="581"/>
      <c r="CE1364" s="581"/>
      <c r="CF1364" s="581"/>
      <c r="CG1364" s="586"/>
      <c r="CH1364" s="608"/>
      <c r="CI1364" s="603"/>
      <c r="CJ1364" s="347"/>
      <c r="CK1364" s="347"/>
      <c r="CL1364" s="347"/>
      <c r="CM1364" s="347"/>
      <c r="CN1364" s="347"/>
      <c r="CO1364" s="347"/>
      <c r="CP1364" s="347"/>
    </row>
    <row r="1365">
      <c r="A1365" s="574"/>
      <c r="B1365" s="574"/>
      <c r="C1365" s="347"/>
      <c r="D1365" s="574"/>
      <c r="E1365" s="347"/>
      <c r="F1365" s="596"/>
      <c r="G1365" s="596"/>
      <c r="H1365" s="347"/>
      <c r="I1365" s="347"/>
      <c r="J1365" s="596"/>
      <c r="K1365" s="609"/>
      <c r="L1365" s="1"/>
      <c r="M1365" s="347"/>
      <c r="N1365" s="347"/>
      <c r="O1365" s="579"/>
      <c r="P1365" s="579"/>
      <c r="Q1365" s="574"/>
      <c r="R1365" s="347"/>
      <c r="S1365" s="597"/>
      <c r="T1365" s="347"/>
      <c r="U1365" s="579"/>
      <c r="V1365" s="579"/>
      <c r="W1365" s="574"/>
      <c r="X1365" s="347"/>
      <c r="Y1365" s="347"/>
      <c r="Z1365" s="347"/>
      <c r="AA1365" s="579"/>
      <c r="AB1365" s="581"/>
      <c r="AC1365" s="347"/>
      <c r="AD1365" s="347"/>
      <c r="AE1365" s="347"/>
      <c r="AF1365" s="347"/>
      <c r="AG1365" s="579"/>
      <c r="AH1365" s="579"/>
      <c r="AI1365" s="582"/>
      <c r="AJ1365" s="582"/>
      <c r="AK1365" s="582"/>
      <c r="AL1365" s="582"/>
      <c r="AM1365" s="579"/>
      <c r="AN1365" s="579"/>
      <c r="AO1365" s="347"/>
      <c r="AP1365" s="586"/>
      <c r="AQ1365" s="596"/>
      <c r="AR1365" s="596"/>
      <c r="AS1365" s="348"/>
      <c r="AT1365" s="348"/>
      <c r="AU1365" s="348"/>
      <c r="AV1365" s="348"/>
      <c r="AW1365" s="348"/>
      <c r="AX1365" s="584"/>
      <c r="AY1365" s="581"/>
      <c r="AZ1365" s="581"/>
      <c r="BA1365" s="596"/>
      <c r="BB1365" s="596"/>
      <c r="BC1365" s="348"/>
      <c r="BD1365" s="581"/>
      <c r="BE1365" s="581"/>
      <c r="BF1365" s="347"/>
      <c r="BG1365" s="347"/>
      <c r="BH1365" s="347"/>
      <c r="BI1365" s="347"/>
      <c r="BJ1365" s="586"/>
      <c r="BK1365" s="581"/>
      <c r="BL1365" s="347"/>
      <c r="BM1365" s="347"/>
      <c r="BN1365" s="347"/>
      <c r="BO1365" s="586"/>
      <c r="BP1365" s="584"/>
      <c r="BQ1365" s="347"/>
      <c r="BR1365" s="586"/>
      <c r="BS1365" s="588"/>
      <c r="BT1365" s="586"/>
      <c r="BU1365" s="589"/>
      <c r="BV1365" s="581"/>
      <c r="BW1365" s="590"/>
      <c r="BX1365" s="347"/>
      <c r="BY1365" s="347"/>
      <c r="BZ1365" s="347"/>
      <c r="CA1365" s="586"/>
      <c r="CB1365" s="581"/>
      <c r="CC1365" s="581"/>
      <c r="CD1365" s="581"/>
      <c r="CE1365" s="581"/>
      <c r="CF1365" s="581"/>
      <c r="CG1365" s="586"/>
      <c r="CH1365" s="608"/>
      <c r="CI1365" s="603"/>
      <c r="CJ1365" s="347"/>
      <c r="CK1365" s="347"/>
      <c r="CL1365" s="347"/>
      <c r="CM1365" s="347"/>
      <c r="CN1365" s="347"/>
      <c r="CO1365" s="347"/>
      <c r="CP1365" s="347"/>
    </row>
    <row r="1366">
      <c r="A1366" s="574"/>
      <c r="B1366" s="574"/>
      <c r="C1366" s="347"/>
      <c r="D1366" s="574"/>
      <c r="E1366" s="347"/>
      <c r="F1366" s="596"/>
      <c r="G1366" s="596"/>
      <c r="H1366" s="347"/>
      <c r="I1366" s="347"/>
      <c r="J1366" s="596"/>
      <c r="K1366" s="609"/>
      <c r="L1366" s="1"/>
      <c r="M1366" s="347"/>
      <c r="N1366" s="347"/>
      <c r="O1366" s="579"/>
      <c r="P1366" s="579"/>
      <c r="Q1366" s="574"/>
      <c r="R1366" s="347"/>
      <c r="S1366" s="597"/>
      <c r="T1366" s="347"/>
      <c r="U1366" s="579"/>
      <c r="V1366" s="579"/>
      <c r="W1366" s="574"/>
      <c r="X1366" s="347"/>
      <c r="Y1366" s="347"/>
      <c r="Z1366" s="347"/>
      <c r="AA1366" s="579"/>
      <c r="AB1366" s="581"/>
      <c r="AC1366" s="347"/>
      <c r="AD1366" s="347"/>
      <c r="AE1366" s="347"/>
      <c r="AF1366" s="347"/>
      <c r="AG1366" s="579"/>
      <c r="AH1366" s="579"/>
      <c r="AI1366" s="582"/>
      <c r="AJ1366" s="582"/>
      <c r="AK1366" s="582"/>
      <c r="AL1366" s="582"/>
      <c r="AM1366" s="579"/>
      <c r="AN1366" s="579"/>
      <c r="AO1366" s="347"/>
      <c r="AP1366" s="586"/>
      <c r="AQ1366" s="596"/>
      <c r="AR1366" s="596"/>
      <c r="AS1366" s="348"/>
      <c r="AT1366" s="348"/>
      <c r="AU1366" s="348"/>
      <c r="AV1366" s="348"/>
      <c r="AW1366" s="348"/>
      <c r="AX1366" s="584"/>
      <c r="AY1366" s="581"/>
      <c r="AZ1366" s="581"/>
      <c r="BA1366" s="596"/>
      <c r="BB1366" s="596"/>
      <c r="BC1366" s="348"/>
      <c r="BD1366" s="581"/>
      <c r="BE1366" s="581"/>
      <c r="BF1366" s="347"/>
      <c r="BG1366" s="347"/>
      <c r="BH1366" s="347"/>
      <c r="BI1366" s="347"/>
      <c r="BJ1366" s="586"/>
      <c r="BK1366" s="581"/>
      <c r="BL1366" s="347"/>
      <c r="BM1366" s="347"/>
      <c r="BN1366" s="347"/>
      <c r="BO1366" s="586"/>
      <c r="BP1366" s="584"/>
      <c r="BQ1366" s="347"/>
      <c r="BR1366" s="586"/>
      <c r="BS1366" s="588"/>
      <c r="BT1366" s="586"/>
      <c r="BU1366" s="589"/>
      <c r="BV1366" s="581"/>
      <c r="BW1366" s="590"/>
      <c r="BX1366" s="347"/>
      <c r="BY1366" s="347"/>
      <c r="BZ1366" s="347"/>
      <c r="CA1366" s="586"/>
      <c r="CB1366" s="581"/>
      <c r="CC1366" s="581"/>
      <c r="CD1366" s="581"/>
      <c r="CE1366" s="581"/>
      <c r="CF1366" s="581"/>
      <c r="CG1366" s="586"/>
      <c r="CH1366" s="608"/>
      <c r="CI1366" s="603"/>
      <c r="CJ1366" s="347"/>
      <c r="CK1366" s="347"/>
      <c r="CL1366" s="347"/>
      <c r="CM1366" s="347"/>
      <c r="CN1366" s="347"/>
      <c r="CO1366" s="347"/>
      <c r="CP1366" s="347"/>
    </row>
    <row r="1367">
      <c r="A1367" s="574"/>
      <c r="B1367" s="574"/>
      <c r="C1367" s="347"/>
      <c r="D1367" s="574"/>
      <c r="E1367" s="347"/>
      <c r="F1367" s="596"/>
      <c r="G1367" s="596"/>
      <c r="H1367" s="347"/>
      <c r="I1367" s="347"/>
      <c r="J1367" s="596"/>
      <c r="K1367" s="609"/>
      <c r="L1367" s="1"/>
      <c r="M1367" s="347"/>
      <c r="N1367" s="347"/>
      <c r="O1367" s="579"/>
      <c r="P1367" s="579"/>
      <c r="Q1367" s="574"/>
      <c r="R1367" s="347"/>
      <c r="S1367" s="597"/>
      <c r="T1367" s="347"/>
      <c r="U1367" s="579"/>
      <c r="V1367" s="579"/>
      <c r="W1367" s="574"/>
      <c r="X1367" s="347"/>
      <c r="Y1367" s="347"/>
      <c r="Z1367" s="347"/>
      <c r="AA1367" s="579"/>
      <c r="AB1367" s="581"/>
      <c r="AC1367" s="347"/>
      <c r="AD1367" s="347"/>
      <c r="AE1367" s="347"/>
      <c r="AF1367" s="347"/>
      <c r="AG1367" s="579"/>
      <c r="AH1367" s="579"/>
      <c r="AI1367" s="582"/>
      <c r="AJ1367" s="582"/>
      <c r="AK1367" s="582"/>
      <c r="AL1367" s="582"/>
      <c r="AM1367" s="579"/>
      <c r="AN1367" s="579"/>
      <c r="AO1367" s="347"/>
      <c r="AP1367" s="586"/>
      <c r="AQ1367" s="596"/>
      <c r="AR1367" s="596"/>
      <c r="AS1367" s="348"/>
      <c r="AT1367" s="348"/>
      <c r="AU1367" s="348"/>
      <c r="AV1367" s="348"/>
      <c r="AW1367" s="348"/>
      <c r="AX1367" s="584"/>
      <c r="AY1367" s="581"/>
      <c r="AZ1367" s="581"/>
      <c r="BA1367" s="596"/>
      <c r="BB1367" s="596"/>
      <c r="BC1367" s="348"/>
      <c r="BD1367" s="581"/>
      <c r="BE1367" s="581"/>
      <c r="BF1367" s="347"/>
      <c r="BG1367" s="347"/>
      <c r="BH1367" s="347"/>
      <c r="BI1367" s="347"/>
      <c r="BJ1367" s="586"/>
      <c r="BK1367" s="581"/>
      <c r="BL1367" s="347"/>
      <c r="BM1367" s="347"/>
      <c r="BN1367" s="347"/>
      <c r="BO1367" s="586"/>
      <c r="BP1367" s="584"/>
      <c r="BQ1367" s="347"/>
      <c r="BR1367" s="586"/>
      <c r="BS1367" s="588"/>
      <c r="BT1367" s="586"/>
      <c r="BU1367" s="589"/>
      <c r="BV1367" s="581"/>
      <c r="BW1367" s="590"/>
      <c r="BX1367" s="347"/>
      <c r="BY1367" s="347"/>
      <c r="BZ1367" s="347"/>
      <c r="CA1367" s="586"/>
      <c r="CB1367" s="581"/>
      <c r="CC1367" s="581"/>
      <c r="CD1367" s="581"/>
      <c r="CE1367" s="581"/>
      <c r="CF1367" s="581"/>
      <c r="CG1367" s="586"/>
      <c r="CH1367" s="608"/>
      <c r="CI1367" s="603"/>
      <c r="CJ1367" s="347"/>
      <c r="CK1367" s="347"/>
      <c r="CL1367" s="347"/>
      <c r="CM1367" s="347"/>
      <c r="CN1367" s="347"/>
      <c r="CO1367" s="347"/>
      <c r="CP1367" s="347"/>
    </row>
    <row r="1368">
      <c r="A1368" s="574"/>
      <c r="B1368" s="574"/>
      <c r="C1368" s="347"/>
      <c r="D1368" s="574"/>
      <c r="E1368" s="347"/>
      <c r="F1368" s="596"/>
      <c r="G1368" s="596"/>
      <c r="H1368" s="347"/>
      <c r="I1368" s="347"/>
      <c r="J1368" s="596"/>
      <c r="K1368" s="609"/>
      <c r="L1368" s="1"/>
      <c r="M1368" s="347"/>
      <c r="N1368" s="347"/>
      <c r="O1368" s="579"/>
      <c r="P1368" s="579"/>
      <c r="Q1368" s="574"/>
      <c r="R1368" s="347"/>
      <c r="S1368" s="597"/>
      <c r="T1368" s="347"/>
      <c r="U1368" s="579"/>
      <c r="V1368" s="579"/>
      <c r="W1368" s="574"/>
      <c r="X1368" s="347"/>
      <c r="Y1368" s="347"/>
      <c r="Z1368" s="347"/>
      <c r="AA1368" s="579"/>
      <c r="AB1368" s="581"/>
      <c r="AC1368" s="347"/>
      <c r="AD1368" s="347"/>
      <c r="AE1368" s="347"/>
      <c r="AF1368" s="347"/>
      <c r="AG1368" s="579"/>
      <c r="AH1368" s="579"/>
      <c r="AI1368" s="582"/>
      <c r="AJ1368" s="582"/>
      <c r="AK1368" s="582"/>
      <c r="AL1368" s="582"/>
      <c r="AM1368" s="579"/>
      <c r="AN1368" s="579"/>
      <c r="AO1368" s="347"/>
      <c r="AP1368" s="586"/>
      <c r="AQ1368" s="596"/>
      <c r="AR1368" s="596"/>
      <c r="AS1368" s="348"/>
      <c r="AT1368" s="348"/>
      <c r="AU1368" s="348"/>
      <c r="AV1368" s="348"/>
      <c r="AW1368" s="348"/>
      <c r="AX1368" s="584"/>
      <c r="AY1368" s="581"/>
      <c r="AZ1368" s="581"/>
      <c r="BA1368" s="596"/>
      <c r="BB1368" s="596"/>
      <c r="BC1368" s="348"/>
      <c r="BD1368" s="581"/>
      <c r="BE1368" s="581"/>
      <c r="BF1368" s="347"/>
      <c r="BG1368" s="347"/>
      <c r="BH1368" s="347"/>
      <c r="BI1368" s="347"/>
      <c r="BJ1368" s="586"/>
      <c r="BK1368" s="581"/>
      <c r="BL1368" s="347"/>
      <c r="BM1368" s="347"/>
      <c r="BN1368" s="347"/>
      <c r="BO1368" s="586"/>
      <c r="BP1368" s="584"/>
      <c r="BQ1368" s="347"/>
      <c r="BR1368" s="586"/>
      <c r="BS1368" s="588"/>
      <c r="BT1368" s="586"/>
      <c r="BU1368" s="589"/>
      <c r="BV1368" s="581"/>
      <c r="BW1368" s="590"/>
      <c r="BX1368" s="347"/>
      <c r="BY1368" s="347"/>
      <c r="BZ1368" s="347"/>
      <c r="CA1368" s="586"/>
      <c r="CB1368" s="581"/>
      <c r="CC1368" s="581"/>
      <c r="CD1368" s="581"/>
      <c r="CE1368" s="581"/>
      <c r="CF1368" s="581"/>
      <c r="CG1368" s="586"/>
      <c r="CH1368" s="608"/>
      <c r="CI1368" s="603"/>
      <c r="CJ1368" s="347"/>
      <c r="CK1368" s="347"/>
      <c r="CL1368" s="347"/>
      <c r="CM1368" s="347"/>
      <c r="CN1368" s="347"/>
      <c r="CO1368" s="347"/>
      <c r="CP1368" s="347"/>
    </row>
    <row r="1369">
      <c r="A1369" s="574"/>
      <c r="B1369" s="574"/>
      <c r="C1369" s="347"/>
      <c r="D1369" s="574"/>
      <c r="E1369" s="347"/>
      <c r="F1369" s="596"/>
      <c r="G1369" s="596"/>
      <c r="H1369" s="347"/>
      <c r="I1369" s="347"/>
      <c r="J1369" s="596"/>
      <c r="K1369" s="609"/>
      <c r="L1369" s="1"/>
      <c r="M1369" s="347"/>
      <c r="N1369" s="347"/>
      <c r="O1369" s="579"/>
      <c r="P1369" s="579"/>
      <c r="Q1369" s="574"/>
      <c r="R1369" s="347"/>
      <c r="S1369" s="597"/>
      <c r="T1369" s="347"/>
      <c r="U1369" s="579"/>
      <c r="V1369" s="579"/>
      <c r="W1369" s="574"/>
      <c r="X1369" s="347"/>
      <c r="Y1369" s="347"/>
      <c r="Z1369" s="347"/>
      <c r="AA1369" s="579"/>
      <c r="AB1369" s="581"/>
      <c r="AC1369" s="347"/>
      <c r="AD1369" s="347"/>
      <c r="AE1369" s="347"/>
      <c r="AF1369" s="347"/>
      <c r="AG1369" s="579"/>
      <c r="AH1369" s="579"/>
      <c r="AI1369" s="582"/>
      <c r="AJ1369" s="582"/>
      <c r="AK1369" s="582"/>
      <c r="AL1369" s="582"/>
      <c r="AM1369" s="579"/>
      <c r="AN1369" s="579"/>
      <c r="AO1369" s="347"/>
      <c r="AP1369" s="586"/>
      <c r="AQ1369" s="596"/>
      <c r="AR1369" s="596"/>
      <c r="AS1369" s="348"/>
      <c r="AT1369" s="348"/>
      <c r="AU1369" s="348"/>
      <c r="AV1369" s="348"/>
      <c r="AW1369" s="348"/>
      <c r="AX1369" s="584"/>
      <c r="AY1369" s="581"/>
      <c r="AZ1369" s="581"/>
      <c r="BA1369" s="596"/>
      <c r="BB1369" s="596"/>
      <c r="BC1369" s="348"/>
      <c r="BD1369" s="581"/>
      <c r="BE1369" s="581"/>
      <c r="BF1369" s="347"/>
      <c r="BG1369" s="347"/>
      <c r="BH1369" s="347"/>
      <c r="BI1369" s="347"/>
      <c r="BJ1369" s="586"/>
      <c r="BK1369" s="581"/>
      <c r="BL1369" s="347"/>
      <c r="BM1369" s="347"/>
      <c r="BN1369" s="347"/>
      <c r="BO1369" s="586"/>
      <c r="BP1369" s="584"/>
      <c r="BQ1369" s="347"/>
      <c r="BR1369" s="586"/>
      <c r="BS1369" s="588"/>
      <c r="BT1369" s="586"/>
      <c r="BU1369" s="589"/>
      <c r="BV1369" s="581"/>
      <c r="BW1369" s="590"/>
      <c r="BX1369" s="347"/>
      <c r="BY1369" s="347"/>
      <c r="BZ1369" s="347"/>
      <c r="CA1369" s="586"/>
      <c r="CB1369" s="581"/>
      <c r="CC1369" s="581"/>
      <c r="CD1369" s="581"/>
      <c r="CE1369" s="581"/>
      <c r="CF1369" s="581"/>
      <c r="CG1369" s="586"/>
      <c r="CH1369" s="608"/>
      <c r="CI1369" s="603"/>
      <c r="CJ1369" s="347"/>
      <c r="CK1369" s="347"/>
      <c r="CL1369" s="347"/>
      <c r="CM1369" s="347"/>
      <c r="CN1369" s="347"/>
      <c r="CO1369" s="347"/>
      <c r="CP1369" s="347"/>
    </row>
    <row r="1370">
      <c r="A1370" s="574"/>
      <c r="B1370" s="574"/>
      <c r="C1370" s="347"/>
      <c r="D1370" s="574"/>
      <c r="E1370" s="347"/>
      <c r="F1370" s="596"/>
      <c r="G1370" s="596"/>
      <c r="H1370" s="347"/>
      <c r="I1370" s="347"/>
      <c r="J1370" s="596"/>
      <c r="K1370" s="609"/>
      <c r="L1370" s="1"/>
      <c r="M1370" s="347"/>
      <c r="N1370" s="347"/>
      <c r="O1370" s="579"/>
      <c r="P1370" s="579"/>
      <c r="Q1370" s="574"/>
      <c r="R1370" s="347"/>
      <c r="S1370" s="597"/>
      <c r="T1370" s="347"/>
      <c r="U1370" s="579"/>
      <c r="V1370" s="579"/>
      <c r="W1370" s="574"/>
      <c r="X1370" s="347"/>
      <c r="Y1370" s="347"/>
      <c r="Z1370" s="347"/>
      <c r="AA1370" s="579"/>
      <c r="AB1370" s="581"/>
      <c r="AC1370" s="347"/>
      <c r="AD1370" s="347"/>
      <c r="AE1370" s="347"/>
      <c r="AF1370" s="347"/>
      <c r="AG1370" s="579"/>
      <c r="AH1370" s="579"/>
      <c r="AI1370" s="582"/>
      <c r="AJ1370" s="582"/>
      <c r="AK1370" s="582"/>
      <c r="AL1370" s="582"/>
      <c r="AM1370" s="579"/>
      <c r="AN1370" s="579"/>
      <c r="AO1370" s="347"/>
      <c r="AP1370" s="586"/>
      <c r="AQ1370" s="596"/>
      <c r="AR1370" s="596"/>
      <c r="AS1370" s="348"/>
      <c r="AT1370" s="348"/>
      <c r="AU1370" s="348"/>
      <c r="AV1370" s="348"/>
      <c r="AW1370" s="348"/>
      <c r="AX1370" s="584"/>
      <c r="AY1370" s="581"/>
      <c r="AZ1370" s="581"/>
      <c r="BA1370" s="596"/>
      <c r="BB1370" s="596"/>
      <c r="BC1370" s="348"/>
      <c r="BD1370" s="581"/>
      <c r="BE1370" s="581"/>
      <c r="BF1370" s="347"/>
      <c r="BG1370" s="347"/>
      <c r="BH1370" s="347"/>
      <c r="BI1370" s="347"/>
      <c r="BJ1370" s="586"/>
      <c r="BK1370" s="581"/>
      <c r="BL1370" s="347"/>
      <c r="BM1370" s="347"/>
      <c r="BN1370" s="347"/>
      <c r="BO1370" s="586"/>
      <c r="BP1370" s="584"/>
      <c r="BQ1370" s="347"/>
      <c r="BR1370" s="586"/>
      <c r="BS1370" s="588"/>
      <c r="BT1370" s="586"/>
      <c r="BU1370" s="589"/>
      <c r="BV1370" s="581"/>
      <c r="BW1370" s="590"/>
      <c r="BX1370" s="347"/>
      <c r="BY1370" s="347"/>
      <c r="BZ1370" s="347"/>
      <c r="CA1370" s="586"/>
      <c r="CB1370" s="581"/>
      <c r="CC1370" s="581"/>
      <c r="CD1370" s="581"/>
      <c r="CE1370" s="581"/>
      <c r="CF1370" s="581"/>
      <c r="CG1370" s="586"/>
      <c r="CH1370" s="608"/>
      <c r="CI1370" s="603"/>
      <c r="CJ1370" s="347"/>
      <c r="CK1370" s="347"/>
      <c r="CL1370" s="347"/>
      <c r="CM1370" s="347"/>
      <c r="CN1370" s="347"/>
      <c r="CO1370" s="347"/>
      <c r="CP1370" s="347"/>
    </row>
    <row r="1371">
      <c r="A1371" s="574"/>
      <c r="B1371" s="574"/>
      <c r="C1371" s="347"/>
      <c r="D1371" s="574"/>
      <c r="E1371" s="347"/>
      <c r="F1371" s="596"/>
      <c r="G1371" s="596"/>
      <c r="H1371" s="347"/>
      <c r="I1371" s="347"/>
      <c r="J1371" s="596"/>
      <c r="K1371" s="609"/>
      <c r="L1371" s="1"/>
      <c r="M1371" s="347"/>
      <c r="N1371" s="347"/>
      <c r="O1371" s="579"/>
      <c r="P1371" s="579"/>
      <c r="Q1371" s="574"/>
      <c r="R1371" s="347"/>
      <c r="S1371" s="597"/>
      <c r="T1371" s="347"/>
      <c r="U1371" s="579"/>
      <c r="V1371" s="579"/>
      <c r="W1371" s="574"/>
      <c r="X1371" s="347"/>
      <c r="Y1371" s="347"/>
      <c r="Z1371" s="347"/>
      <c r="AA1371" s="579"/>
      <c r="AB1371" s="581"/>
      <c r="AC1371" s="347"/>
      <c r="AD1371" s="347"/>
      <c r="AE1371" s="347"/>
      <c r="AF1371" s="347"/>
      <c r="AG1371" s="579"/>
      <c r="AH1371" s="579"/>
      <c r="AI1371" s="582"/>
      <c r="AJ1371" s="582"/>
      <c r="AK1371" s="582"/>
      <c r="AL1371" s="582"/>
      <c r="AM1371" s="579"/>
      <c r="AN1371" s="579"/>
      <c r="AO1371" s="347"/>
      <c r="AP1371" s="586"/>
      <c r="AQ1371" s="596"/>
      <c r="AR1371" s="596"/>
      <c r="AS1371" s="348"/>
      <c r="AT1371" s="348"/>
      <c r="AU1371" s="348"/>
      <c r="AV1371" s="348"/>
      <c r="AW1371" s="348"/>
      <c r="AX1371" s="584"/>
      <c r="AY1371" s="581"/>
      <c r="AZ1371" s="581"/>
      <c r="BA1371" s="596"/>
      <c r="BB1371" s="596"/>
      <c r="BC1371" s="348"/>
      <c r="BD1371" s="581"/>
      <c r="BE1371" s="581"/>
      <c r="BF1371" s="347"/>
      <c r="BG1371" s="347"/>
      <c r="BH1371" s="347"/>
      <c r="BI1371" s="347"/>
      <c r="BJ1371" s="586"/>
      <c r="BK1371" s="581"/>
      <c r="BL1371" s="347"/>
      <c r="BM1371" s="347"/>
      <c r="BN1371" s="347"/>
      <c r="BO1371" s="586"/>
      <c r="BP1371" s="584"/>
      <c r="BQ1371" s="347"/>
      <c r="BR1371" s="586"/>
      <c r="BS1371" s="588"/>
      <c r="BT1371" s="586"/>
      <c r="BU1371" s="589"/>
      <c r="BV1371" s="581"/>
      <c r="BW1371" s="590"/>
      <c r="BX1371" s="347"/>
      <c r="BY1371" s="347"/>
      <c r="BZ1371" s="347"/>
      <c r="CA1371" s="586"/>
      <c r="CB1371" s="581"/>
      <c r="CC1371" s="581"/>
      <c r="CD1371" s="581"/>
      <c r="CE1371" s="581"/>
      <c r="CF1371" s="581"/>
      <c r="CG1371" s="586"/>
      <c r="CH1371" s="608"/>
      <c r="CI1371" s="603"/>
      <c r="CJ1371" s="347"/>
      <c r="CK1371" s="347"/>
      <c r="CL1371" s="347"/>
      <c r="CM1371" s="347"/>
      <c r="CN1371" s="347"/>
      <c r="CO1371" s="347"/>
      <c r="CP1371" s="347"/>
    </row>
    <row r="1372">
      <c r="A1372" s="574"/>
      <c r="B1372" s="574"/>
      <c r="C1372" s="347"/>
      <c r="D1372" s="574"/>
      <c r="E1372" s="347"/>
      <c r="F1372" s="596"/>
      <c r="G1372" s="596"/>
      <c r="H1372" s="347"/>
      <c r="I1372" s="347"/>
      <c r="J1372" s="596"/>
      <c r="K1372" s="609"/>
      <c r="L1372" s="1"/>
      <c r="M1372" s="347"/>
      <c r="N1372" s="347"/>
      <c r="O1372" s="579"/>
      <c r="P1372" s="579"/>
      <c r="Q1372" s="574"/>
      <c r="R1372" s="347"/>
      <c r="S1372" s="597"/>
      <c r="T1372" s="347"/>
      <c r="U1372" s="579"/>
      <c r="V1372" s="579"/>
      <c r="W1372" s="574"/>
      <c r="X1372" s="347"/>
      <c r="Y1372" s="347"/>
      <c r="Z1372" s="347"/>
      <c r="AA1372" s="579"/>
      <c r="AB1372" s="581"/>
      <c r="AC1372" s="347"/>
      <c r="AD1372" s="347"/>
      <c r="AE1372" s="347"/>
      <c r="AF1372" s="347"/>
      <c r="AG1372" s="579"/>
      <c r="AH1372" s="579"/>
      <c r="AI1372" s="582"/>
      <c r="AJ1372" s="582"/>
      <c r="AK1372" s="582"/>
      <c r="AL1372" s="582"/>
      <c r="AM1372" s="579"/>
      <c r="AN1372" s="579"/>
      <c r="AO1372" s="347"/>
      <c r="AP1372" s="586"/>
      <c r="AQ1372" s="596"/>
      <c r="AR1372" s="596"/>
      <c r="AS1372" s="348"/>
      <c r="AT1372" s="348"/>
      <c r="AU1372" s="348"/>
      <c r="AV1372" s="348"/>
      <c r="AW1372" s="348"/>
      <c r="AX1372" s="584"/>
      <c r="AY1372" s="581"/>
      <c r="AZ1372" s="581"/>
      <c r="BA1372" s="596"/>
      <c r="BB1372" s="596"/>
      <c r="BC1372" s="348"/>
      <c r="BD1372" s="581"/>
      <c r="BE1372" s="581"/>
      <c r="BF1372" s="347"/>
      <c r="BG1372" s="347"/>
      <c r="BH1372" s="347"/>
      <c r="BI1372" s="347"/>
      <c r="BJ1372" s="586"/>
      <c r="BK1372" s="581"/>
      <c r="BL1372" s="347"/>
      <c r="BM1372" s="347"/>
      <c r="BN1372" s="347"/>
      <c r="BO1372" s="586"/>
      <c r="BP1372" s="584"/>
      <c r="BQ1372" s="347"/>
      <c r="BR1372" s="586"/>
      <c r="BS1372" s="588"/>
      <c r="BT1372" s="586"/>
      <c r="BU1372" s="589"/>
      <c r="BV1372" s="581"/>
      <c r="BW1372" s="590"/>
      <c r="BX1372" s="347"/>
      <c r="BY1372" s="347"/>
      <c r="BZ1372" s="347"/>
      <c r="CA1372" s="586"/>
      <c r="CB1372" s="581"/>
      <c r="CC1372" s="581"/>
      <c r="CD1372" s="581"/>
      <c r="CE1372" s="581"/>
      <c r="CF1372" s="581"/>
      <c r="CG1372" s="586"/>
      <c r="CH1372" s="608"/>
      <c r="CI1372" s="603"/>
      <c r="CJ1372" s="347"/>
      <c r="CK1372" s="347"/>
      <c r="CL1372" s="347"/>
      <c r="CM1372" s="347"/>
      <c r="CN1372" s="347"/>
      <c r="CO1372" s="347"/>
      <c r="CP1372" s="347"/>
    </row>
    <row r="1373">
      <c r="A1373" s="574"/>
      <c r="B1373" s="574"/>
      <c r="C1373" s="347"/>
      <c r="D1373" s="574"/>
      <c r="E1373" s="347"/>
      <c r="F1373" s="596"/>
      <c r="G1373" s="596"/>
      <c r="H1373" s="347"/>
      <c r="I1373" s="347"/>
      <c r="J1373" s="596"/>
      <c r="K1373" s="609"/>
      <c r="L1373" s="1"/>
      <c r="M1373" s="347"/>
      <c r="N1373" s="347"/>
      <c r="O1373" s="579"/>
      <c r="P1373" s="579"/>
      <c r="Q1373" s="574"/>
      <c r="R1373" s="347"/>
      <c r="S1373" s="597"/>
      <c r="T1373" s="347"/>
      <c r="U1373" s="579"/>
      <c r="V1373" s="579"/>
      <c r="W1373" s="574"/>
      <c r="X1373" s="347"/>
      <c r="Y1373" s="347"/>
      <c r="Z1373" s="347"/>
      <c r="AA1373" s="579"/>
      <c r="AB1373" s="581"/>
      <c r="AC1373" s="347"/>
      <c r="AD1373" s="347"/>
      <c r="AE1373" s="347"/>
      <c r="AF1373" s="347"/>
      <c r="AG1373" s="579"/>
      <c r="AH1373" s="579"/>
      <c r="AI1373" s="582"/>
      <c r="AJ1373" s="582"/>
      <c r="AK1373" s="582"/>
      <c r="AL1373" s="582"/>
      <c r="AM1373" s="579"/>
      <c r="AN1373" s="579"/>
      <c r="AO1373" s="347"/>
      <c r="AP1373" s="586"/>
      <c r="AQ1373" s="596"/>
      <c r="AR1373" s="596"/>
      <c r="AS1373" s="348"/>
      <c r="AT1373" s="348"/>
      <c r="AU1373" s="348"/>
      <c r="AV1373" s="348"/>
      <c r="AW1373" s="348"/>
      <c r="AX1373" s="584"/>
      <c r="AY1373" s="581"/>
      <c r="AZ1373" s="581"/>
      <c r="BA1373" s="596"/>
      <c r="BB1373" s="596"/>
      <c r="BC1373" s="348"/>
      <c r="BD1373" s="581"/>
      <c r="BE1373" s="581"/>
      <c r="BF1373" s="347"/>
      <c r="BG1373" s="347"/>
      <c r="BH1373" s="347"/>
      <c r="BI1373" s="347"/>
      <c r="BJ1373" s="586"/>
      <c r="BK1373" s="581"/>
      <c r="BL1373" s="347"/>
      <c r="BM1373" s="347"/>
      <c r="BN1373" s="347"/>
      <c r="BO1373" s="586"/>
      <c r="BP1373" s="584"/>
      <c r="BQ1373" s="347"/>
      <c r="BR1373" s="586"/>
      <c r="BS1373" s="588"/>
      <c r="BT1373" s="586"/>
      <c r="BU1373" s="589"/>
      <c r="BV1373" s="581"/>
      <c r="BW1373" s="590"/>
      <c r="BX1373" s="347"/>
      <c r="BY1373" s="347"/>
      <c r="BZ1373" s="347"/>
      <c r="CA1373" s="586"/>
      <c r="CB1373" s="581"/>
      <c r="CC1373" s="581"/>
      <c r="CD1373" s="581"/>
      <c r="CE1373" s="581"/>
      <c r="CF1373" s="581"/>
      <c r="CG1373" s="586"/>
      <c r="CH1373" s="608"/>
      <c r="CI1373" s="603"/>
      <c r="CJ1373" s="347"/>
      <c r="CK1373" s="347"/>
      <c r="CL1373" s="347"/>
      <c r="CM1373" s="347"/>
      <c r="CN1373" s="347"/>
      <c r="CO1373" s="347"/>
      <c r="CP1373" s="347"/>
    </row>
    <row r="1374">
      <c r="A1374" s="574"/>
      <c r="B1374" s="574"/>
      <c r="C1374" s="347"/>
      <c r="D1374" s="574"/>
      <c r="E1374" s="347"/>
      <c r="F1374" s="596"/>
      <c r="G1374" s="596"/>
      <c r="H1374" s="347"/>
      <c r="I1374" s="347"/>
      <c r="J1374" s="596"/>
      <c r="K1374" s="609"/>
      <c r="L1374" s="1"/>
      <c r="M1374" s="347"/>
      <c r="N1374" s="347"/>
      <c r="O1374" s="579"/>
      <c r="P1374" s="579"/>
      <c r="Q1374" s="574"/>
      <c r="R1374" s="347"/>
      <c r="S1374" s="597"/>
      <c r="T1374" s="347"/>
      <c r="U1374" s="579"/>
      <c r="V1374" s="579"/>
      <c r="W1374" s="574"/>
      <c r="X1374" s="347"/>
      <c r="Y1374" s="347"/>
      <c r="Z1374" s="347"/>
      <c r="AA1374" s="579"/>
      <c r="AB1374" s="581"/>
      <c r="AC1374" s="347"/>
      <c r="AD1374" s="347"/>
      <c r="AE1374" s="347"/>
      <c r="AF1374" s="347"/>
      <c r="AG1374" s="579"/>
      <c r="AH1374" s="579"/>
      <c r="AI1374" s="582"/>
      <c r="AJ1374" s="582"/>
      <c r="AK1374" s="582"/>
      <c r="AL1374" s="582"/>
      <c r="AM1374" s="579"/>
      <c r="AN1374" s="579"/>
      <c r="AO1374" s="347"/>
      <c r="AP1374" s="586"/>
      <c r="AQ1374" s="596"/>
      <c r="AR1374" s="596"/>
      <c r="AS1374" s="348"/>
      <c r="AT1374" s="348"/>
      <c r="AU1374" s="348"/>
      <c r="AV1374" s="348"/>
      <c r="AW1374" s="348"/>
      <c r="AX1374" s="584"/>
      <c r="AY1374" s="581"/>
      <c r="AZ1374" s="581"/>
      <c r="BA1374" s="596"/>
      <c r="BB1374" s="596"/>
      <c r="BC1374" s="348"/>
      <c r="BD1374" s="581"/>
      <c r="BE1374" s="581"/>
      <c r="BF1374" s="347"/>
      <c r="BG1374" s="347"/>
      <c r="BH1374" s="347"/>
      <c r="BI1374" s="347"/>
      <c r="BJ1374" s="586"/>
      <c r="BK1374" s="581"/>
      <c r="BL1374" s="347"/>
      <c r="BM1374" s="347"/>
      <c r="BN1374" s="347"/>
      <c r="BO1374" s="586"/>
      <c r="BP1374" s="584"/>
      <c r="BQ1374" s="347"/>
      <c r="BR1374" s="586"/>
      <c r="BS1374" s="588"/>
      <c r="BT1374" s="586"/>
      <c r="BU1374" s="589"/>
      <c r="BV1374" s="581"/>
      <c r="BW1374" s="590"/>
      <c r="BX1374" s="347"/>
      <c r="BY1374" s="347"/>
      <c r="BZ1374" s="347"/>
      <c r="CA1374" s="586"/>
      <c r="CB1374" s="581"/>
      <c r="CC1374" s="581"/>
      <c r="CD1374" s="581"/>
      <c r="CE1374" s="581"/>
      <c r="CF1374" s="581"/>
      <c r="CG1374" s="586"/>
      <c r="CH1374" s="608"/>
      <c r="CI1374" s="603"/>
      <c r="CJ1374" s="347"/>
      <c r="CK1374" s="347"/>
      <c r="CL1374" s="347"/>
      <c r="CM1374" s="347"/>
      <c r="CN1374" s="347"/>
      <c r="CO1374" s="347"/>
      <c r="CP1374" s="347"/>
    </row>
    <row r="1375">
      <c r="A1375" s="574"/>
      <c r="B1375" s="574"/>
      <c r="C1375" s="347"/>
      <c r="D1375" s="574"/>
      <c r="E1375" s="347"/>
      <c r="F1375" s="596"/>
      <c r="G1375" s="596"/>
      <c r="H1375" s="347"/>
      <c r="I1375" s="347"/>
      <c r="J1375" s="596"/>
      <c r="K1375" s="609"/>
      <c r="L1375" s="1"/>
      <c r="M1375" s="347"/>
      <c r="N1375" s="347"/>
      <c r="O1375" s="579"/>
      <c r="P1375" s="579"/>
      <c r="Q1375" s="574"/>
      <c r="R1375" s="347"/>
      <c r="S1375" s="597"/>
      <c r="T1375" s="347"/>
      <c r="U1375" s="579"/>
      <c r="V1375" s="579"/>
      <c r="W1375" s="574"/>
      <c r="X1375" s="347"/>
      <c r="Y1375" s="347"/>
      <c r="Z1375" s="347"/>
      <c r="AA1375" s="579"/>
      <c r="AB1375" s="581"/>
      <c r="AC1375" s="347"/>
      <c r="AD1375" s="347"/>
      <c r="AE1375" s="347"/>
      <c r="AF1375" s="347"/>
      <c r="AG1375" s="579"/>
      <c r="AH1375" s="579"/>
      <c r="AI1375" s="582"/>
      <c r="AJ1375" s="582"/>
      <c r="AK1375" s="582"/>
      <c r="AL1375" s="582"/>
      <c r="AM1375" s="579"/>
      <c r="AN1375" s="579"/>
      <c r="AO1375" s="347"/>
      <c r="AP1375" s="586"/>
      <c r="AQ1375" s="596"/>
      <c r="AR1375" s="596"/>
      <c r="AS1375" s="348"/>
      <c r="AT1375" s="348"/>
      <c r="AU1375" s="348"/>
      <c r="AV1375" s="348"/>
      <c r="AW1375" s="348"/>
      <c r="AX1375" s="584"/>
      <c r="AY1375" s="581"/>
      <c r="AZ1375" s="581"/>
      <c r="BA1375" s="596"/>
      <c r="BB1375" s="596"/>
      <c r="BC1375" s="348"/>
      <c r="BD1375" s="581"/>
      <c r="BE1375" s="581"/>
      <c r="BF1375" s="347"/>
      <c r="BG1375" s="347"/>
      <c r="BH1375" s="347"/>
      <c r="BI1375" s="347"/>
      <c r="BJ1375" s="586"/>
      <c r="BK1375" s="581"/>
      <c r="BL1375" s="347"/>
      <c r="BM1375" s="347"/>
      <c r="BN1375" s="347"/>
      <c r="BO1375" s="586"/>
      <c r="BP1375" s="584"/>
      <c r="BQ1375" s="347"/>
      <c r="BR1375" s="586"/>
      <c r="BS1375" s="588"/>
      <c r="BT1375" s="586"/>
      <c r="BU1375" s="589"/>
      <c r="BV1375" s="581"/>
      <c r="BW1375" s="590"/>
      <c r="BX1375" s="347"/>
      <c r="BY1375" s="347"/>
      <c r="BZ1375" s="347"/>
      <c r="CA1375" s="586"/>
      <c r="CB1375" s="581"/>
      <c r="CC1375" s="581"/>
      <c r="CD1375" s="581"/>
      <c r="CE1375" s="581"/>
      <c r="CF1375" s="581"/>
      <c r="CG1375" s="586"/>
      <c r="CH1375" s="608"/>
      <c r="CI1375" s="603"/>
      <c r="CJ1375" s="347"/>
      <c r="CK1375" s="347"/>
      <c r="CL1375" s="347"/>
      <c r="CM1375" s="347"/>
      <c r="CN1375" s="347"/>
      <c r="CO1375" s="347"/>
      <c r="CP1375" s="347"/>
    </row>
    <row r="1376">
      <c r="A1376" s="574"/>
      <c r="B1376" s="574"/>
      <c r="C1376" s="347"/>
      <c r="D1376" s="574"/>
      <c r="E1376" s="347"/>
      <c r="F1376" s="596"/>
      <c r="G1376" s="596"/>
      <c r="H1376" s="347"/>
      <c r="I1376" s="347"/>
      <c r="J1376" s="596"/>
      <c r="K1376" s="609"/>
      <c r="L1376" s="1"/>
      <c r="M1376" s="347"/>
      <c r="N1376" s="347"/>
      <c r="O1376" s="579"/>
      <c r="P1376" s="579"/>
      <c r="Q1376" s="574"/>
      <c r="R1376" s="347"/>
      <c r="S1376" s="597"/>
      <c r="T1376" s="347"/>
      <c r="U1376" s="579"/>
      <c r="V1376" s="579"/>
      <c r="W1376" s="574"/>
      <c r="X1376" s="347"/>
      <c r="Y1376" s="347"/>
      <c r="Z1376" s="347"/>
      <c r="AA1376" s="579"/>
      <c r="AB1376" s="581"/>
      <c r="AC1376" s="347"/>
      <c r="AD1376" s="347"/>
      <c r="AE1376" s="347"/>
      <c r="AF1376" s="347"/>
      <c r="AG1376" s="579"/>
      <c r="AH1376" s="579"/>
      <c r="AI1376" s="582"/>
      <c r="AJ1376" s="582"/>
      <c r="AK1376" s="582"/>
      <c r="AL1376" s="582"/>
      <c r="AM1376" s="579"/>
      <c r="AN1376" s="579"/>
      <c r="AO1376" s="347"/>
      <c r="AP1376" s="586"/>
      <c r="AQ1376" s="596"/>
      <c r="AR1376" s="596"/>
      <c r="AS1376" s="348"/>
      <c r="AT1376" s="348"/>
      <c r="AU1376" s="348"/>
      <c r="AV1376" s="348"/>
      <c r="AW1376" s="348"/>
      <c r="AX1376" s="584"/>
      <c r="AY1376" s="581"/>
      <c r="AZ1376" s="581"/>
      <c r="BA1376" s="596"/>
      <c r="BB1376" s="596"/>
      <c r="BC1376" s="348"/>
      <c r="BD1376" s="581"/>
      <c r="BE1376" s="581"/>
      <c r="BF1376" s="347"/>
      <c r="BG1376" s="347"/>
      <c r="BH1376" s="347"/>
      <c r="BI1376" s="347"/>
      <c r="BJ1376" s="586"/>
      <c r="BK1376" s="581"/>
      <c r="BL1376" s="347"/>
      <c r="BM1376" s="347"/>
      <c r="BN1376" s="347"/>
      <c r="BO1376" s="586"/>
      <c r="BP1376" s="584"/>
      <c r="BQ1376" s="347"/>
      <c r="BR1376" s="586"/>
      <c r="BS1376" s="588"/>
      <c r="BT1376" s="586"/>
      <c r="BU1376" s="589"/>
      <c r="BV1376" s="581"/>
      <c r="BW1376" s="590"/>
      <c r="BX1376" s="347"/>
      <c r="BY1376" s="347"/>
      <c r="BZ1376" s="347"/>
      <c r="CA1376" s="586"/>
      <c r="CB1376" s="581"/>
      <c r="CC1376" s="581"/>
      <c r="CD1376" s="581"/>
      <c r="CE1376" s="581"/>
      <c r="CF1376" s="581"/>
      <c r="CG1376" s="586"/>
      <c r="CH1376" s="608"/>
      <c r="CI1376" s="603"/>
      <c r="CJ1376" s="347"/>
      <c r="CK1376" s="347"/>
      <c r="CL1376" s="347"/>
      <c r="CM1376" s="347"/>
      <c r="CN1376" s="347"/>
      <c r="CO1376" s="347"/>
      <c r="CP1376" s="347"/>
    </row>
    <row r="1377">
      <c r="A1377" s="574"/>
      <c r="B1377" s="574"/>
      <c r="C1377" s="347"/>
      <c r="D1377" s="574"/>
      <c r="E1377" s="347"/>
      <c r="F1377" s="596"/>
      <c r="G1377" s="596"/>
      <c r="H1377" s="347"/>
      <c r="I1377" s="347"/>
      <c r="J1377" s="596"/>
      <c r="K1377" s="609"/>
      <c r="L1377" s="1"/>
      <c r="M1377" s="347"/>
      <c r="N1377" s="347"/>
      <c r="O1377" s="579"/>
      <c r="P1377" s="579"/>
      <c r="Q1377" s="574"/>
      <c r="R1377" s="347"/>
      <c r="S1377" s="597"/>
      <c r="T1377" s="347"/>
      <c r="U1377" s="579"/>
      <c r="V1377" s="579"/>
      <c r="W1377" s="574"/>
      <c r="X1377" s="347"/>
      <c r="Y1377" s="347"/>
      <c r="Z1377" s="347"/>
      <c r="AA1377" s="579"/>
      <c r="AB1377" s="581"/>
      <c r="AC1377" s="347"/>
      <c r="AD1377" s="347"/>
      <c r="AE1377" s="347"/>
      <c r="AF1377" s="347"/>
      <c r="AG1377" s="579"/>
      <c r="AH1377" s="579"/>
      <c r="AI1377" s="582"/>
      <c r="AJ1377" s="582"/>
      <c r="AK1377" s="582"/>
      <c r="AL1377" s="582"/>
      <c r="AM1377" s="579"/>
      <c r="AN1377" s="579"/>
      <c r="AO1377" s="347"/>
      <c r="AP1377" s="586"/>
      <c r="AQ1377" s="596"/>
      <c r="AR1377" s="596"/>
      <c r="AS1377" s="348"/>
      <c r="AT1377" s="348"/>
      <c r="AU1377" s="348"/>
      <c r="AV1377" s="348"/>
      <c r="AW1377" s="348"/>
      <c r="AX1377" s="584"/>
      <c r="AY1377" s="581"/>
      <c r="AZ1377" s="581"/>
      <c r="BA1377" s="596"/>
      <c r="BB1377" s="596"/>
      <c r="BC1377" s="348"/>
      <c r="BD1377" s="581"/>
      <c r="BE1377" s="581"/>
      <c r="BF1377" s="347"/>
      <c r="BG1377" s="347"/>
      <c r="BH1377" s="347"/>
      <c r="BI1377" s="347"/>
      <c r="BJ1377" s="586"/>
      <c r="BK1377" s="581"/>
      <c r="BL1377" s="347"/>
      <c r="BM1377" s="347"/>
      <c r="BN1377" s="347"/>
      <c r="BO1377" s="586"/>
      <c r="BP1377" s="584"/>
      <c r="BQ1377" s="347"/>
      <c r="BR1377" s="586"/>
      <c r="BS1377" s="588"/>
      <c r="BT1377" s="586"/>
      <c r="BU1377" s="589"/>
      <c r="BV1377" s="581"/>
      <c r="BW1377" s="590"/>
      <c r="BX1377" s="347"/>
      <c r="BY1377" s="347"/>
      <c r="BZ1377" s="347"/>
      <c r="CA1377" s="586"/>
      <c r="CB1377" s="581"/>
      <c r="CC1377" s="581"/>
      <c r="CD1377" s="581"/>
      <c r="CE1377" s="581"/>
      <c r="CF1377" s="581"/>
      <c r="CG1377" s="586"/>
      <c r="CH1377" s="608"/>
      <c r="CI1377" s="603"/>
      <c r="CJ1377" s="347"/>
      <c r="CK1377" s="347"/>
      <c r="CL1377" s="347"/>
      <c r="CM1377" s="347"/>
      <c r="CN1377" s="347"/>
      <c r="CO1377" s="347"/>
      <c r="CP1377" s="347"/>
    </row>
    <row r="1378">
      <c r="A1378" s="574"/>
      <c r="B1378" s="574"/>
      <c r="C1378" s="347"/>
      <c r="D1378" s="574"/>
      <c r="E1378" s="347"/>
      <c r="F1378" s="596"/>
      <c r="G1378" s="596"/>
      <c r="H1378" s="347"/>
      <c r="I1378" s="347"/>
      <c r="J1378" s="596"/>
      <c r="K1378" s="609"/>
      <c r="L1378" s="1"/>
      <c r="M1378" s="347"/>
      <c r="N1378" s="347"/>
      <c r="O1378" s="579"/>
      <c r="P1378" s="579"/>
      <c r="Q1378" s="574"/>
      <c r="R1378" s="347"/>
      <c r="S1378" s="597"/>
      <c r="T1378" s="347"/>
      <c r="U1378" s="579"/>
      <c r="V1378" s="579"/>
      <c r="W1378" s="574"/>
      <c r="X1378" s="347"/>
      <c r="Y1378" s="347"/>
      <c r="Z1378" s="347"/>
      <c r="AA1378" s="579"/>
      <c r="AB1378" s="581"/>
      <c r="AC1378" s="347"/>
      <c r="AD1378" s="347"/>
      <c r="AE1378" s="347"/>
      <c r="AF1378" s="347"/>
      <c r="AG1378" s="579"/>
      <c r="AH1378" s="579"/>
      <c r="AI1378" s="582"/>
      <c r="AJ1378" s="582"/>
      <c r="AK1378" s="582"/>
      <c r="AL1378" s="582"/>
      <c r="AM1378" s="579"/>
      <c r="AN1378" s="579"/>
      <c r="AO1378" s="347"/>
      <c r="AP1378" s="586"/>
      <c r="AQ1378" s="596"/>
      <c r="AR1378" s="596"/>
      <c r="AS1378" s="348"/>
      <c r="AT1378" s="348"/>
      <c r="AU1378" s="348"/>
      <c r="AV1378" s="348"/>
      <c r="AW1378" s="348"/>
      <c r="AX1378" s="584"/>
      <c r="AY1378" s="581"/>
      <c r="AZ1378" s="581"/>
      <c r="BA1378" s="596"/>
      <c r="BB1378" s="596"/>
      <c r="BC1378" s="348"/>
      <c r="BD1378" s="581"/>
      <c r="BE1378" s="581"/>
      <c r="BF1378" s="347"/>
      <c r="BG1378" s="347"/>
      <c r="BH1378" s="347"/>
      <c r="BI1378" s="347"/>
      <c r="BJ1378" s="586"/>
      <c r="BK1378" s="581"/>
      <c r="BL1378" s="347"/>
      <c r="BM1378" s="347"/>
      <c r="BN1378" s="347"/>
      <c r="BO1378" s="586"/>
      <c r="BP1378" s="584"/>
      <c r="BQ1378" s="347"/>
      <c r="BR1378" s="586"/>
      <c r="BS1378" s="588"/>
      <c r="BT1378" s="586"/>
      <c r="BU1378" s="589"/>
      <c r="BV1378" s="581"/>
      <c r="BW1378" s="590"/>
      <c r="BX1378" s="347"/>
      <c r="BY1378" s="347"/>
      <c r="BZ1378" s="347"/>
      <c r="CA1378" s="586"/>
      <c r="CB1378" s="581"/>
      <c r="CC1378" s="581"/>
      <c r="CD1378" s="581"/>
      <c r="CE1378" s="581"/>
      <c r="CF1378" s="581"/>
      <c r="CG1378" s="586"/>
      <c r="CH1378" s="608"/>
      <c r="CI1378" s="603"/>
      <c r="CJ1378" s="347"/>
      <c r="CK1378" s="347"/>
      <c r="CL1378" s="347"/>
      <c r="CM1378" s="347"/>
      <c r="CN1378" s="347"/>
      <c r="CO1378" s="347"/>
      <c r="CP1378" s="347"/>
    </row>
    <row r="1379">
      <c r="A1379" s="574"/>
      <c r="B1379" s="574"/>
      <c r="C1379" s="347"/>
      <c r="D1379" s="574"/>
      <c r="E1379" s="347"/>
      <c r="F1379" s="596"/>
      <c r="G1379" s="596"/>
      <c r="H1379" s="347"/>
      <c r="I1379" s="347"/>
      <c r="J1379" s="596"/>
      <c r="K1379" s="609"/>
      <c r="L1379" s="1"/>
      <c r="M1379" s="347"/>
      <c r="N1379" s="347"/>
      <c r="O1379" s="579"/>
      <c r="P1379" s="579"/>
      <c r="Q1379" s="574"/>
      <c r="R1379" s="347"/>
      <c r="S1379" s="597"/>
      <c r="T1379" s="347"/>
      <c r="U1379" s="579"/>
      <c r="V1379" s="579"/>
      <c r="W1379" s="574"/>
      <c r="X1379" s="347"/>
      <c r="Y1379" s="347"/>
      <c r="Z1379" s="347"/>
      <c r="AA1379" s="579"/>
      <c r="AB1379" s="581"/>
      <c r="AC1379" s="347"/>
      <c r="AD1379" s="347"/>
      <c r="AE1379" s="347"/>
      <c r="AF1379" s="347"/>
      <c r="AG1379" s="579"/>
      <c r="AH1379" s="579"/>
      <c r="AI1379" s="582"/>
      <c r="AJ1379" s="582"/>
      <c r="AK1379" s="582"/>
      <c r="AL1379" s="582"/>
      <c r="AM1379" s="579"/>
      <c r="AN1379" s="579"/>
      <c r="AO1379" s="347"/>
      <c r="AP1379" s="586"/>
      <c r="AQ1379" s="596"/>
      <c r="AR1379" s="596"/>
      <c r="AS1379" s="348"/>
      <c r="AT1379" s="348"/>
      <c r="AU1379" s="348"/>
      <c r="AV1379" s="348"/>
      <c r="AW1379" s="348"/>
      <c r="AX1379" s="584"/>
      <c r="AY1379" s="581"/>
      <c r="AZ1379" s="581"/>
      <c r="BA1379" s="596"/>
      <c r="BB1379" s="596"/>
      <c r="BC1379" s="348"/>
      <c r="BD1379" s="581"/>
      <c r="BE1379" s="581"/>
      <c r="BF1379" s="347"/>
      <c r="BG1379" s="347"/>
      <c r="BH1379" s="347"/>
      <c r="BI1379" s="347"/>
      <c r="BJ1379" s="586"/>
      <c r="BK1379" s="581"/>
      <c r="BL1379" s="347"/>
      <c r="BM1379" s="347"/>
      <c r="BN1379" s="347"/>
      <c r="BO1379" s="586"/>
      <c r="BP1379" s="584"/>
      <c r="BQ1379" s="347"/>
      <c r="BR1379" s="586"/>
      <c r="BS1379" s="588"/>
      <c r="BT1379" s="586"/>
      <c r="BU1379" s="589"/>
      <c r="BV1379" s="581"/>
      <c r="BW1379" s="590"/>
      <c r="BX1379" s="347"/>
      <c r="BY1379" s="347"/>
      <c r="BZ1379" s="347"/>
      <c r="CA1379" s="586"/>
      <c r="CB1379" s="581"/>
      <c r="CC1379" s="581"/>
      <c r="CD1379" s="581"/>
      <c r="CE1379" s="581"/>
      <c r="CF1379" s="581"/>
      <c r="CG1379" s="586"/>
      <c r="CH1379" s="608"/>
      <c r="CI1379" s="603"/>
      <c r="CJ1379" s="347"/>
      <c r="CK1379" s="347"/>
      <c r="CL1379" s="347"/>
      <c r="CM1379" s="347"/>
      <c r="CN1379" s="347"/>
      <c r="CO1379" s="347"/>
      <c r="CP1379" s="347"/>
    </row>
    <row r="1380">
      <c r="A1380" s="574"/>
      <c r="B1380" s="574"/>
      <c r="C1380" s="347"/>
      <c r="D1380" s="574"/>
      <c r="E1380" s="347"/>
      <c r="F1380" s="596"/>
      <c r="G1380" s="596"/>
      <c r="H1380" s="347"/>
      <c r="I1380" s="347"/>
      <c r="J1380" s="596"/>
      <c r="K1380" s="609"/>
      <c r="L1380" s="1"/>
      <c r="M1380" s="347"/>
      <c r="N1380" s="347"/>
      <c r="O1380" s="579"/>
      <c r="P1380" s="579"/>
      <c r="Q1380" s="574"/>
      <c r="R1380" s="347"/>
      <c r="S1380" s="597"/>
      <c r="T1380" s="347"/>
      <c r="U1380" s="579"/>
      <c r="V1380" s="579"/>
      <c r="W1380" s="574"/>
      <c r="X1380" s="347"/>
      <c r="Y1380" s="347"/>
      <c r="Z1380" s="347"/>
      <c r="AA1380" s="579"/>
      <c r="AB1380" s="581"/>
      <c r="AC1380" s="347"/>
      <c r="AD1380" s="347"/>
      <c r="AE1380" s="347"/>
      <c r="AF1380" s="347"/>
      <c r="AG1380" s="579"/>
      <c r="AH1380" s="579"/>
      <c r="AI1380" s="582"/>
      <c r="AJ1380" s="582"/>
      <c r="AK1380" s="582"/>
      <c r="AL1380" s="582"/>
      <c r="AM1380" s="579"/>
      <c r="AN1380" s="579"/>
      <c r="AO1380" s="347"/>
      <c r="AP1380" s="586"/>
      <c r="AQ1380" s="596"/>
      <c r="AR1380" s="596"/>
      <c r="AS1380" s="348"/>
      <c r="AT1380" s="348"/>
      <c r="AU1380" s="348"/>
      <c r="AV1380" s="348"/>
      <c r="AW1380" s="348"/>
      <c r="AX1380" s="584"/>
      <c r="AY1380" s="581"/>
      <c r="AZ1380" s="581"/>
      <c r="BA1380" s="596"/>
      <c r="BB1380" s="596"/>
      <c r="BC1380" s="348"/>
      <c r="BD1380" s="581"/>
      <c r="BE1380" s="581"/>
      <c r="BF1380" s="347"/>
      <c r="BG1380" s="347"/>
      <c r="BH1380" s="347"/>
      <c r="BI1380" s="347"/>
      <c r="BJ1380" s="586"/>
      <c r="BK1380" s="581"/>
      <c r="BL1380" s="347"/>
      <c r="BM1380" s="347"/>
      <c r="BN1380" s="347"/>
      <c r="BO1380" s="586"/>
      <c r="BP1380" s="584"/>
      <c r="BQ1380" s="347"/>
      <c r="BR1380" s="586"/>
      <c r="BS1380" s="588"/>
      <c r="BT1380" s="586"/>
      <c r="BU1380" s="589"/>
      <c r="BV1380" s="581"/>
      <c r="BW1380" s="590"/>
      <c r="BX1380" s="347"/>
      <c r="BY1380" s="347"/>
      <c r="BZ1380" s="347"/>
      <c r="CA1380" s="586"/>
      <c r="CB1380" s="581"/>
      <c r="CC1380" s="581"/>
      <c r="CD1380" s="581"/>
      <c r="CE1380" s="581"/>
      <c r="CF1380" s="581"/>
      <c r="CG1380" s="586"/>
      <c r="CH1380" s="608"/>
      <c r="CI1380" s="603"/>
      <c r="CJ1380" s="347"/>
      <c r="CK1380" s="347"/>
      <c r="CL1380" s="347"/>
      <c r="CM1380" s="347"/>
      <c r="CN1380" s="347"/>
      <c r="CO1380" s="347"/>
      <c r="CP1380" s="347"/>
    </row>
    <row r="1381">
      <c r="A1381" s="574"/>
      <c r="B1381" s="574"/>
      <c r="C1381" s="347"/>
      <c r="D1381" s="574"/>
      <c r="E1381" s="347"/>
      <c r="F1381" s="596"/>
      <c r="G1381" s="596"/>
      <c r="H1381" s="347"/>
      <c r="I1381" s="347"/>
      <c r="J1381" s="596"/>
      <c r="K1381" s="609"/>
      <c r="L1381" s="1"/>
      <c r="M1381" s="347"/>
      <c r="N1381" s="347"/>
      <c r="O1381" s="579"/>
      <c r="P1381" s="579"/>
      <c r="Q1381" s="574"/>
      <c r="R1381" s="347"/>
      <c r="S1381" s="597"/>
      <c r="T1381" s="347"/>
      <c r="U1381" s="579"/>
      <c r="V1381" s="579"/>
      <c r="W1381" s="574"/>
      <c r="X1381" s="347"/>
      <c r="Y1381" s="347"/>
      <c r="Z1381" s="347"/>
      <c r="AA1381" s="579"/>
      <c r="AB1381" s="581"/>
      <c r="AC1381" s="347"/>
      <c r="AD1381" s="347"/>
      <c r="AE1381" s="347"/>
      <c r="AF1381" s="347"/>
      <c r="AG1381" s="579"/>
      <c r="AH1381" s="579"/>
      <c r="AI1381" s="582"/>
      <c r="AJ1381" s="582"/>
      <c r="AK1381" s="582"/>
      <c r="AL1381" s="582"/>
      <c r="AM1381" s="579"/>
      <c r="AN1381" s="579"/>
      <c r="AO1381" s="347"/>
      <c r="AP1381" s="586"/>
      <c r="AQ1381" s="596"/>
      <c r="AR1381" s="596"/>
      <c r="AS1381" s="348"/>
      <c r="AT1381" s="348"/>
      <c r="AU1381" s="348"/>
      <c r="AV1381" s="348"/>
      <c r="AW1381" s="348"/>
      <c r="AX1381" s="584"/>
      <c r="AY1381" s="581"/>
      <c r="AZ1381" s="581"/>
      <c r="BA1381" s="596"/>
      <c r="BB1381" s="596"/>
      <c r="BC1381" s="348"/>
      <c r="BD1381" s="581"/>
      <c r="BE1381" s="581"/>
      <c r="BF1381" s="347"/>
      <c r="BG1381" s="347"/>
      <c r="BH1381" s="347"/>
      <c r="BI1381" s="347"/>
      <c r="BJ1381" s="586"/>
      <c r="BK1381" s="581"/>
      <c r="BL1381" s="347"/>
      <c r="BM1381" s="347"/>
      <c r="BN1381" s="347"/>
      <c r="BO1381" s="586"/>
      <c r="BP1381" s="584"/>
      <c r="BQ1381" s="347"/>
      <c r="BR1381" s="586"/>
      <c r="BS1381" s="588"/>
      <c r="BT1381" s="586"/>
      <c r="BU1381" s="589"/>
      <c r="BV1381" s="581"/>
      <c r="BW1381" s="590"/>
      <c r="BX1381" s="347"/>
      <c r="BY1381" s="347"/>
      <c r="BZ1381" s="347"/>
      <c r="CA1381" s="586"/>
      <c r="CB1381" s="581"/>
      <c r="CC1381" s="581"/>
      <c r="CD1381" s="581"/>
      <c r="CE1381" s="581"/>
      <c r="CF1381" s="581"/>
      <c r="CG1381" s="586"/>
      <c r="CH1381" s="608"/>
      <c r="CI1381" s="603"/>
      <c r="CJ1381" s="347"/>
      <c r="CK1381" s="347"/>
      <c r="CL1381" s="347"/>
      <c r="CM1381" s="347"/>
      <c r="CN1381" s="347"/>
      <c r="CO1381" s="347"/>
      <c r="CP1381" s="347"/>
    </row>
    <row r="1382">
      <c r="A1382" s="574"/>
      <c r="B1382" s="574"/>
      <c r="C1382" s="347"/>
      <c r="D1382" s="574"/>
      <c r="E1382" s="347"/>
      <c r="F1382" s="596"/>
      <c r="G1382" s="596"/>
      <c r="H1382" s="347"/>
      <c r="I1382" s="347"/>
      <c r="J1382" s="596"/>
      <c r="K1382" s="609"/>
      <c r="L1382" s="1"/>
      <c r="M1382" s="347"/>
      <c r="N1382" s="347"/>
      <c r="O1382" s="579"/>
      <c r="P1382" s="579"/>
      <c r="Q1382" s="574"/>
      <c r="R1382" s="347"/>
      <c r="S1382" s="597"/>
      <c r="T1382" s="347"/>
      <c r="U1382" s="579"/>
      <c r="V1382" s="579"/>
      <c r="W1382" s="574"/>
      <c r="X1382" s="347"/>
      <c r="Y1382" s="347"/>
      <c r="Z1382" s="347"/>
      <c r="AA1382" s="579"/>
      <c r="AB1382" s="581"/>
      <c r="AC1382" s="347"/>
      <c r="AD1382" s="347"/>
      <c r="AE1382" s="347"/>
      <c r="AF1382" s="347"/>
      <c r="AG1382" s="579"/>
      <c r="AH1382" s="579"/>
      <c r="AI1382" s="582"/>
      <c r="AJ1382" s="582"/>
      <c r="AK1382" s="582"/>
      <c r="AL1382" s="582"/>
      <c r="AM1382" s="579"/>
      <c r="AN1382" s="579"/>
      <c r="AO1382" s="347"/>
      <c r="AP1382" s="586"/>
      <c r="AQ1382" s="596"/>
      <c r="AR1382" s="596"/>
      <c r="AS1382" s="348"/>
      <c r="AT1382" s="348"/>
      <c r="AU1382" s="348"/>
      <c r="AV1382" s="348"/>
      <c r="AW1382" s="348"/>
      <c r="AX1382" s="584"/>
      <c r="AY1382" s="581"/>
      <c r="AZ1382" s="581"/>
      <c r="BA1382" s="596"/>
      <c r="BB1382" s="596"/>
      <c r="BC1382" s="348"/>
      <c r="BD1382" s="581"/>
      <c r="BE1382" s="581"/>
      <c r="BF1382" s="347"/>
      <c r="BG1382" s="347"/>
      <c r="BH1382" s="347"/>
      <c r="BI1382" s="347"/>
      <c r="BJ1382" s="586"/>
      <c r="BK1382" s="581"/>
      <c r="BL1382" s="347"/>
      <c r="BM1382" s="347"/>
      <c r="BN1382" s="347"/>
      <c r="BO1382" s="586"/>
      <c r="BP1382" s="584"/>
      <c r="BQ1382" s="347"/>
      <c r="BR1382" s="586"/>
      <c r="BS1382" s="588"/>
      <c r="BT1382" s="586"/>
      <c r="BU1382" s="589"/>
      <c r="BV1382" s="581"/>
      <c r="BW1382" s="590"/>
      <c r="BX1382" s="347"/>
      <c r="BY1382" s="347"/>
      <c r="BZ1382" s="347"/>
      <c r="CA1382" s="586"/>
      <c r="CB1382" s="581"/>
      <c r="CC1382" s="581"/>
      <c r="CD1382" s="581"/>
      <c r="CE1382" s="581"/>
      <c r="CF1382" s="581"/>
      <c r="CG1382" s="586"/>
      <c r="CH1382" s="608"/>
      <c r="CI1382" s="603"/>
      <c r="CJ1382" s="347"/>
      <c r="CK1382" s="347"/>
      <c r="CL1382" s="347"/>
      <c r="CM1382" s="347"/>
      <c r="CN1382" s="347"/>
      <c r="CO1382" s="347"/>
      <c r="CP1382" s="347"/>
    </row>
    <row r="1383">
      <c r="A1383" s="574"/>
      <c r="B1383" s="574"/>
      <c r="C1383" s="347"/>
      <c r="D1383" s="574"/>
      <c r="E1383" s="347"/>
      <c r="F1383" s="596"/>
      <c r="G1383" s="596"/>
      <c r="H1383" s="347"/>
      <c r="I1383" s="347"/>
      <c r="J1383" s="596"/>
      <c r="K1383" s="609"/>
      <c r="L1383" s="1"/>
      <c r="M1383" s="347"/>
      <c r="N1383" s="347"/>
      <c r="O1383" s="579"/>
      <c r="P1383" s="579"/>
      <c r="Q1383" s="574"/>
      <c r="R1383" s="347"/>
      <c r="S1383" s="597"/>
      <c r="T1383" s="347"/>
      <c r="U1383" s="579"/>
      <c r="V1383" s="579"/>
      <c r="W1383" s="574"/>
      <c r="X1383" s="347"/>
      <c r="Y1383" s="347"/>
      <c r="Z1383" s="347"/>
      <c r="AA1383" s="579"/>
      <c r="AB1383" s="581"/>
      <c r="AC1383" s="347"/>
      <c r="AD1383" s="347"/>
      <c r="AE1383" s="347"/>
      <c r="AF1383" s="347"/>
      <c r="AG1383" s="579"/>
      <c r="AH1383" s="579"/>
      <c r="AI1383" s="582"/>
      <c r="AJ1383" s="582"/>
      <c r="AK1383" s="582"/>
      <c r="AL1383" s="582"/>
      <c r="AM1383" s="579"/>
      <c r="AN1383" s="579"/>
      <c r="AO1383" s="347"/>
      <c r="AP1383" s="586"/>
      <c r="AQ1383" s="596"/>
      <c r="AR1383" s="596"/>
      <c r="AS1383" s="348"/>
      <c r="AT1383" s="348"/>
      <c r="AU1383" s="348"/>
      <c r="AV1383" s="348"/>
      <c r="AW1383" s="348"/>
      <c r="AX1383" s="584"/>
      <c r="AY1383" s="581"/>
      <c r="AZ1383" s="581"/>
      <c r="BA1383" s="596"/>
      <c r="BB1383" s="596"/>
      <c r="BC1383" s="348"/>
      <c r="BD1383" s="581"/>
      <c r="BE1383" s="581"/>
      <c r="BF1383" s="347"/>
      <c r="BG1383" s="347"/>
      <c r="BH1383" s="347"/>
      <c r="BI1383" s="347"/>
      <c r="BJ1383" s="586"/>
      <c r="BK1383" s="581"/>
      <c r="BL1383" s="347"/>
      <c r="BM1383" s="347"/>
      <c r="BN1383" s="347"/>
      <c r="BO1383" s="586"/>
      <c r="BP1383" s="584"/>
      <c r="BQ1383" s="347"/>
      <c r="BR1383" s="586"/>
      <c r="BS1383" s="588"/>
      <c r="BT1383" s="586"/>
      <c r="BU1383" s="589"/>
      <c r="BV1383" s="581"/>
      <c r="BW1383" s="590"/>
      <c r="BX1383" s="347"/>
      <c r="BY1383" s="347"/>
      <c r="BZ1383" s="347"/>
      <c r="CA1383" s="586"/>
      <c r="CB1383" s="581"/>
      <c r="CC1383" s="581"/>
      <c r="CD1383" s="581"/>
      <c r="CE1383" s="581"/>
      <c r="CF1383" s="581"/>
      <c r="CG1383" s="586"/>
      <c r="CH1383" s="608"/>
      <c r="CI1383" s="603"/>
      <c r="CJ1383" s="347"/>
      <c r="CK1383" s="347"/>
      <c r="CL1383" s="347"/>
      <c r="CM1383" s="347"/>
      <c r="CN1383" s="347"/>
      <c r="CO1383" s="347"/>
      <c r="CP1383" s="347"/>
    </row>
    <row r="1384">
      <c r="A1384" s="574"/>
      <c r="B1384" s="574"/>
      <c r="C1384" s="347"/>
      <c r="D1384" s="574"/>
      <c r="E1384" s="347"/>
      <c r="F1384" s="596"/>
      <c r="G1384" s="596"/>
      <c r="H1384" s="347"/>
      <c r="I1384" s="347"/>
      <c r="J1384" s="596"/>
      <c r="K1384" s="609"/>
      <c r="L1384" s="1"/>
      <c r="M1384" s="347"/>
      <c r="N1384" s="347"/>
      <c r="O1384" s="579"/>
      <c r="P1384" s="579"/>
      <c r="Q1384" s="574"/>
      <c r="R1384" s="347"/>
      <c r="S1384" s="597"/>
      <c r="T1384" s="347"/>
      <c r="U1384" s="579"/>
      <c r="V1384" s="579"/>
      <c r="W1384" s="574"/>
      <c r="X1384" s="347"/>
      <c r="Y1384" s="347"/>
      <c r="Z1384" s="347"/>
      <c r="AA1384" s="579"/>
      <c r="AB1384" s="581"/>
      <c r="AC1384" s="347"/>
      <c r="AD1384" s="347"/>
      <c r="AE1384" s="347"/>
      <c r="AF1384" s="347"/>
      <c r="AG1384" s="579"/>
      <c r="AH1384" s="579"/>
      <c r="AI1384" s="582"/>
      <c r="AJ1384" s="582"/>
      <c r="AK1384" s="582"/>
      <c r="AL1384" s="582"/>
      <c r="AM1384" s="579"/>
      <c r="AN1384" s="579"/>
      <c r="AO1384" s="347"/>
      <c r="AP1384" s="586"/>
      <c r="AQ1384" s="596"/>
      <c r="AR1384" s="596"/>
      <c r="AS1384" s="348"/>
      <c r="AT1384" s="348"/>
      <c r="AU1384" s="348"/>
      <c r="AV1384" s="348"/>
      <c r="AW1384" s="348"/>
      <c r="AX1384" s="584"/>
      <c r="AY1384" s="581"/>
      <c r="AZ1384" s="581"/>
      <c r="BA1384" s="596"/>
      <c r="BB1384" s="596"/>
      <c r="BC1384" s="348"/>
      <c r="BD1384" s="581"/>
      <c r="BE1384" s="581"/>
      <c r="BF1384" s="347"/>
      <c r="BG1384" s="347"/>
      <c r="BH1384" s="347"/>
      <c r="BI1384" s="347"/>
      <c r="BJ1384" s="586"/>
      <c r="BK1384" s="581"/>
      <c r="BL1384" s="347"/>
      <c r="BM1384" s="347"/>
      <c r="BN1384" s="347"/>
      <c r="BO1384" s="586"/>
      <c r="BP1384" s="584"/>
      <c r="BQ1384" s="347"/>
      <c r="BR1384" s="586"/>
      <c r="BS1384" s="588"/>
      <c r="BT1384" s="586"/>
      <c r="BU1384" s="589"/>
      <c r="BV1384" s="581"/>
      <c r="BW1384" s="590"/>
      <c r="BX1384" s="347"/>
      <c r="BY1384" s="347"/>
      <c r="BZ1384" s="347"/>
      <c r="CA1384" s="586"/>
      <c r="CB1384" s="581"/>
      <c r="CC1384" s="581"/>
      <c r="CD1384" s="581"/>
      <c r="CE1384" s="581"/>
      <c r="CF1384" s="581"/>
      <c r="CG1384" s="586"/>
      <c r="CH1384" s="608"/>
      <c r="CI1384" s="603"/>
      <c r="CJ1384" s="347"/>
      <c r="CK1384" s="347"/>
      <c r="CL1384" s="347"/>
      <c r="CM1384" s="347"/>
      <c r="CN1384" s="347"/>
      <c r="CO1384" s="347"/>
      <c r="CP1384" s="347"/>
    </row>
    <row r="1385">
      <c r="A1385" s="574"/>
      <c r="B1385" s="574"/>
      <c r="C1385" s="347"/>
      <c r="D1385" s="574"/>
      <c r="E1385" s="347"/>
      <c r="F1385" s="596"/>
      <c r="G1385" s="596"/>
      <c r="H1385" s="347"/>
      <c r="I1385" s="347"/>
      <c r="J1385" s="596"/>
      <c r="K1385" s="609"/>
      <c r="L1385" s="1"/>
      <c r="M1385" s="347"/>
      <c r="N1385" s="347"/>
      <c r="O1385" s="579"/>
      <c r="P1385" s="579"/>
      <c r="Q1385" s="574"/>
      <c r="R1385" s="347"/>
      <c r="S1385" s="597"/>
      <c r="T1385" s="347"/>
      <c r="U1385" s="579"/>
      <c r="V1385" s="579"/>
      <c r="W1385" s="574"/>
      <c r="X1385" s="347"/>
      <c r="Y1385" s="347"/>
      <c r="Z1385" s="347"/>
      <c r="AA1385" s="579"/>
      <c r="AB1385" s="581"/>
      <c r="AC1385" s="347"/>
      <c r="AD1385" s="347"/>
      <c r="AE1385" s="347"/>
      <c r="AF1385" s="347"/>
      <c r="AG1385" s="579"/>
      <c r="AH1385" s="579"/>
      <c r="AI1385" s="582"/>
      <c r="AJ1385" s="582"/>
      <c r="AK1385" s="582"/>
      <c r="AL1385" s="582"/>
      <c r="AM1385" s="579"/>
      <c r="AN1385" s="579"/>
      <c r="AO1385" s="347"/>
      <c r="AP1385" s="586"/>
      <c r="AQ1385" s="596"/>
      <c r="AR1385" s="596"/>
      <c r="AS1385" s="348"/>
      <c r="AT1385" s="348"/>
      <c r="AU1385" s="348"/>
      <c r="AV1385" s="348"/>
      <c r="AW1385" s="348"/>
      <c r="AX1385" s="584"/>
      <c r="AY1385" s="581"/>
      <c r="AZ1385" s="581"/>
      <c r="BA1385" s="596"/>
      <c r="BB1385" s="596"/>
      <c r="BC1385" s="348"/>
      <c r="BD1385" s="581"/>
      <c r="BE1385" s="581"/>
      <c r="BF1385" s="347"/>
      <c r="BG1385" s="347"/>
      <c r="BH1385" s="347"/>
      <c r="BI1385" s="347"/>
      <c r="BJ1385" s="586"/>
      <c r="BK1385" s="581"/>
      <c r="BL1385" s="347"/>
      <c r="BM1385" s="347"/>
      <c r="BN1385" s="347"/>
      <c r="BO1385" s="586"/>
      <c r="BP1385" s="584"/>
      <c r="BQ1385" s="347"/>
      <c r="BR1385" s="586"/>
      <c r="BS1385" s="588"/>
      <c r="BT1385" s="586"/>
      <c r="BU1385" s="589"/>
      <c r="BV1385" s="581"/>
      <c r="BW1385" s="590"/>
      <c r="BX1385" s="347"/>
      <c r="BY1385" s="347"/>
      <c r="BZ1385" s="347"/>
      <c r="CA1385" s="586"/>
      <c r="CB1385" s="581"/>
      <c r="CC1385" s="581"/>
      <c r="CD1385" s="581"/>
      <c r="CE1385" s="581"/>
      <c r="CF1385" s="581"/>
      <c r="CG1385" s="586"/>
      <c r="CH1385" s="608"/>
      <c r="CI1385" s="603"/>
      <c r="CJ1385" s="347"/>
      <c r="CK1385" s="347"/>
      <c r="CL1385" s="347"/>
      <c r="CM1385" s="347"/>
      <c r="CN1385" s="347"/>
      <c r="CO1385" s="347"/>
      <c r="CP1385" s="347"/>
    </row>
    <row r="1386">
      <c r="A1386" s="574"/>
      <c r="B1386" s="574"/>
      <c r="C1386" s="347"/>
      <c r="D1386" s="574"/>
      <c r="E1386" s="347"/>
      <c r="F1386" s="596"/>
      <c r="G1386" s="596"/>
      <c r="H1386" s="347"/>
      <c r="I1386" s="347"/>
      <c r="J1386" s="596"/>
      <c r="K1386" s="609"/>
      <c r="L1386" s="1"/>
      <c r="M1386" s="347"/>
      <c r="N1386" s="347"/>
      <c r="O1386" s="579"/>
      <c r="P1386" s="579"/>
      <c r="Q1386" s="574"/>
      <c r="R1386" s="347"/>
      <c r="S1386" s="597"/>
      <c r="T1386" s="347"/>
      <c r="U1386" s="579"/>
      <c r="V1386" s="579"/>
      <c r="W1386" s="574"/>
      <c r="X1386" s="347"/>
      <c r="Y1386" s="347"/>
      <c r="Z1386" s="347"/>
      <c r="AA1386" s="579"/>
      <c r="AB1386" s="581"/>
      <c r="AC1386" s="347"/>
      <c r="AD1386" s="347"/>
      <c r="AE1386" s="347"/>
      <c r="AF1386" s="347"/>
      <c r="AG1386" s="579"/>
      <c r="AH1386" s="579"/>
      <c r="AI1386" s="582"/>
      <c r="AJ1386" s="582"/>
      <c r="AK1386" s="582"/>
      <c r="AL1386" s="582"/>
      <c r="AM1386" s="579"/>
      <c r="AN1386" s="579"/>
      <c r="AO1386" s="347"/>
      <c r="AP1386" s="586"/>
      <c r="AQ1386" s="596"/>
      <c r="AR1386" s="596"/>
      <c r="AS1386" s="348"/>
      <c r="AT1386" s="348"/>
      <c r="AU1386" s="348"/>
      <c r="AV1386" s="348"/>
      <c r="AW1386" s="348"/>
      <c r="AX1386" s="584"/>
      <c r="AY1386" s="581"/>
      <c r="AZ1386" s="581"/>
      <c r="BA1386" s="596"/>
      <c r="BB1386" s="596"/>
      <c r="BC1386" s="348"/>
      <c r="BD1386" s="581"/>
      <c r="BE1386" s="581"/>
      <c r="BF1386" s="347"/>
      <c r="BG1386" s="347"/>
      <c r="BH1386" s="347"/>
      <c r="BI1386" s="347"/>
      <c r="BJ1386" s="586"/>
      <c r="BK1386" s="581"/>
      <c r="BL1386" s="347"/>
      <c r="BM1386" s="347"/>
      <c r="BN1386" s="347"/>
      <c r="BO1386" s="586"/>
      <c r="BP1386" s="584"/>
      <c r="BQ1386" s="347"/>
      <c r="BR1386" s="586"/>
      <c r="BS1386" s="588"/>
      <c r="BT1386" s="586"/>
      <c r="BU1386" s="589"/>
      <c r="BV1386" s="581"/>
      <c r="BW1386" s="590"/>
      <c r="BX1386" s="347"/>
      <c r="BY1386" s="347"/>
      <c r="BZ1386" s="347"/>
      <c r="CA1386" s="586"/>
      <c r="CB1386" s="581"/>
      <c r="CC1386" s="581"/>
      <c r="CD1386" s="581"/>
      <c r="CE1386" s="581"/>
      <c r="CF1386" s="581"/>
      <c r="CG1386" s="586"/>
      <c r="CH1386" s="608"/>
      <c r="CI1386" s="603"/>
      <c r="CJ1386" s="347"/>
      <c r="CK1386" s="347"/>
      <c r="CL1386" s="347"/>
      <c r="CM1386" s="347"/>
      <c r="CN1386" s="347"/>
      <c r="CO1386" s="347"/>
      <c r="CP1386" s="347"/>
    </row>
    <row r="1387">
      <c r="A1387" s="574"/>
      <c r="B1387" s="574"/>
      <c r="C1387" s="347"/>
      <c r="D1387" s="574"/>
      <c r="E1387" s="347"/>
      <c r="F1387" s="596"/>
      <c r="G1387" s="596"/>
      <c r="H1387" s="347"/>
      <c r="I1387" s="347"/>
      <c r="J1387" s="596"/>
      <c r="K1387" s="609"/>
      <c r="L1387" s="1"/>
      <c r="M1387" s="347"/>
      <c r="N1387" s="347"/>
      <c r="O1387" s="579"/>
      <c r="P1387" s="579"/>
      <c r="Q1387" s="574"/>
      <c r="R1387" s="347"/>
      <c r="S1387" s="597"/>
      <c r="T1387" s="347"/>
      <c r="U1387" s="579"/>
      <c r="V1387" s="579"/>
      <c r="W1387" s="574"/>
      <c r="X1387" s="347"/>
      <c r="Y1387" s="347"/>
      <c r="Z1387" s="347"/>
      <c r="AA1387" s="579"/>
      <c r="AB1387" s="581"/>
      <c r="AC1387" s="347"/>
      <c r="AD1387" s="347"/>
      <c r="AE1387" s="347"/>
      <c r="AF1387" s="347"/>
      <c r="AG1387" s="579"/>
      <c r="AH1387" s="579"/>
      <c r="AI1387" s="582"/>
      <c r="AJ1387" s="582"/>
      <c r="AK1387" s="582"/>
      <c r="AL1387" s="582"/>
      <c r="AM1387" s="579"/>
      <c r="AN1387" s="579"/>
      <c r="AO1387" s="347"/>
      <c r="AP1387" s="586"/>
      <c r="AQ1387" s="596"/>
      <c r="AR1387" s="596"/>
      <c r="AS1387" s="348"/>
      <c r="AT1387" s="348"/>
      <c r="AU1387" s="348"/>
      <c r="AV1387" s="348"/>
      <c r="AW1387" s="348"/>
      <c r="AX1387" s="584"/>
      <c r="AY1387" s="581"/>
      <c r="AZ1387" s="581"/>
      <c r="BA1387" s="596"/>
      <c r="BB1387" s="596"/>
      <c r="BC1387" s="348"/>
      <c r="BD1387" s="581"/>
      <c r="BE1387" s="581"/>
      <c r="BF1387" s="347"/>
      <c r="BG1387" s="347"/>
      <c r="BH1387" s="347"/>
      <c r="BI1387" s="347"/>
      <c r="BJ1387" s="586"/>
      <c r="BK1387" s="581"/>
      <c r="BL1387" s="347"/>
      <c r="BM1387" s="347"/>
      <c r="BN1387" s="347"/>
      <c r="BO1387" s="586"/>
      <c r="BP1387" s="584"/>
      <c r="BQ1387" s="347"/>
      <c r="BR1387" s="586"/>
      <c r="BS1387" s="588"/>
      <c r="BT1387" s="586"/>
      <c r="BU1387" s="589"/>
      <c r="BV1387" s="581"/>
      <c r="BW1387" s="590"/>
      <c r="BX1387" s="347"/>
      <c r="BY1387" s="347"/>
      <c r="BZ1387" s="347"/>
      <c r="CA1387" s="586"/>
      <c r="CB1387" s="581"/>
      <c r="CC1387" s="581"/>
      <c r="CD1387" s="581"/>
      <c r="CE1387" s="581"/>
      <c r="CF1387" s="581"/>
      <c r="CG1387" s="586"/>
      <c r="CH1387" s="608"/>
      <c r="CI1387" s="603"/>
      <c r="CJ1387" s="347"/>
      <c r="CK1387" s="347"/>
      <c r="CL1387" s="347"/>
      <c r="CM1387" s="347"/>
      <c r="CN1387" s="347"/>
      <c r="CO1387" s="347"/>
      <c r="CP1387" s="347"/>
    </row>
    <row r="1388">
      <c r="A1388" s="574"/>
      <c r="B1388" s="574"/>
      <c r="C1388" s="347"/>
      <c r="D1388" s="574"/>
      <c r="E1388" s="347"/>
      <c r="F1388" s="596"/>
      <c r="G1388" s="596"/>
      <c r="H1388" s="347"/>
      <c r="I1388" s="347"/>
      <c r="J1388" s="596"/>
      <c r="K1388" s="609"/>
      <c r="L1388" s="1"/>
      <c r="M1388" s="347"/>
      <c r="N1388" s="347"/>
      <c r="O1388" s="579"/>
      <c r="P1388" s="579"/>
      <c r="Q1388" s="574"/>
      <c r="R1388" s="347"/>
      <c r="S1388" s="597"/>
      <c r="T1388" s="347"/>
      <c r="U1388" s="579"/>
      <c r="V1388" s="579"/>
      <c r="W1388" s="574"/>
      <c r="X1388" s="347"/>
      <c r="Y1388" s="347"/>
      <c r="Z1388" s="347"/>
      <c r="AA1388" s="579"/>
      <c r="AB1388" s="581"/>
      <c r="AC1388" s="347"/>
      <c r="AD1388" s="347"/>
      <c r="AE1388" s="347"/>
      <c r="AF1388" s="347"/>
      <c r="AG1388" s="579"/>
      <c r="AH1388" s="579"/>
      <c r="AI1388" s="582"/>
      <c r="AJ1388" s="582"/>
      <c r="AK1388" s="582"/>
      <c r="AL1388" s="582"/>
      <c r="AM1388" s="579"/>
      <c r="AN1388" s="579"/>
      <c r="AO1388" s="347"/>
      <c r="AP1388" s="586"/>
      <c r="AQ1388" s="596"/>
      <c r="AR1388" s="596"/>
      <c r="AS1388" s="348"/>
      <c r="AT1388" s="348"/>
      <c r="AU1388" s="348"/>
      <c r="AV1388" s="348"/>
      <c r="AW1388" s="348"/>
      <c r="AX1388" s="584"/>
      <c r="AY1388" s="581"/>
      <c r="AZ1388" s="581"/>
      <c r="BA1388" s="596"/>
      <c r="BB1388" s="596"/>
      <c r="BC1388" s="348"/>
      <c r="BD1388" s="581"/>
      <c r="BE1388" s="581"/>
      <c r="BF1388" s="347"/>
      <c r="BG1388" s="347"/>
      <c r="BH1388" s="347"/>
      <c r="BI1388" s="347"/>
      <c r="BJ1388" s="586"/>
      <c r="BK1388" s="581"/>
      <c r="BL1388" s="347"/>
      <c r="BM1388" s="347"/>
      <c r="BN1388" s="347"/>
      <c r="BO1388" s="586"/>
      <c r="BP1388" s="584"/>
      <c r="BQ1388" s="347"/>
      <c r="BR1388" s="586"/>
      <c r="BS1388" s="588"/>
      <c r="BT1388" s="586"/>
      <c r="BU1388" s="589"/>
      <c r="BV1388" s="581"/>
      <c r="BW1388" s="590"/>
      <c r="BX1388" s="347"/>
      <c r="BY1388" s="347"/>
      <c r="BZ1388" s="347"/>
      <c r="CA1388" s="586"/>
      <c r="CB1388" s="581"/>
      <c r="CC1388" s="581"/>
      <c r="CD1388" s="581"/>
      <c r="CE1388" s="581"/>
      <c r="CF1388" s="581"/>
      <c r="CG1388" s="586"/>
      <c r="CH1388" s="608"/>
      <c r="CI1388" s="603"/>
      <c r="CJ1388" s="347"/>
      <c r="CK1388" s="347"/>
      <c r="CL1388" s="347"/>
      <c r="CM1388" s="347"/>
      <c r="CN1388" s="347"/>
      <c r="CO1388" s="347"/>
      <c r="CP1388" s="347"/>
    </row>
    <row r="1389">
      <c r="A1389" s="574"/>
      <c r="B1389" s="574"/>
      <c r="C1389" s="347"/>
      <c r="D1389" s="574"/>
      <c r="E1389" s="347"/>
      <c r="F1389" s="596"/>
      <c r="G1389" s="596"/>
      <c r="H1389" s="347"/>
      <c r="I1389" s="347"/>
      <c r="J1389" s="596"/>
      <c r="K1389" s="609"/>
      <c r="L1389" s="1"/>
      <c r="M1389" s="347"/>
      <c r="N1389" s="347"/>
      <c r="O1389" s="579"/>
      <c r="P1389" s="579"/>
      <c r="Q1389" s="574"/>
      <c r="R1389" s="347"/>
      <c r="S1389" s="597"/>
      <c r="T1389" s="347"/>
      <c r="U1389" s="579"/>
      <c r="V1389" s="579"/>
      <c r="W1389" s="574"/>
      <c r="X1389" s="347"/>
      <c r="Y1389" s="347"/>
      <c r="Z1389" s="347"/>
      <c r="AA1389" s="579"/>
      <c r="AB1389" s="581"/>
      <c r="AC1389" s="347"/>
      <c r="AD1389" s="347"/>
      <c r="AE1389" s="347"/>
      <c r="AF1389" s="347"/>
      <c r="AG1389" s="579"/>
      <c r="AH1389" s="579"/>
      <c r="AI1389" s="582"/>
      <c r="AJ1389" s="582"/>
      <c r="AK1389" s="582"/>
      <c r="AL1389" s="582"/>
      <c r="AM1389" s="579"/>
      <c r="AN1389" s="579"/>
      <c r="AO1389" s="347"/>
      <c r="AP1389" s="586"/>
      <c r="AQ1389" s="596"/>
      <c r="AR1389" s="596"/>
      <c r="AS1389" s="348"/>
      <c r="AT1389" s="348"/>
      <c r="AU1389" s="348"/>
      <c r="AV1389" s="348"/>
      <c r="AW1389" s="348"/>
      <c r="AX1389" s="584"/>
      <c r="AY1389" s="581"/>
      <c r="AZ1389" s="581"/>
      <c r="BA1389" s="596"/>
      <c r="BB1389" s="596"/>
      <c r="BC1389" s="348"/>
      <c r="BD1389" s="581"/>
      <c r="BE1389" s="581"/>
      <c r="BF1389" s="347"/>
      <c r="BG1389" s="347"/>
      <c r="BH1389" s="347"/>
      <c r="BI1389" s="347"/>
      <c r="BJ1389" s="586"/>
      <c r="BK1389" s="581"/>
      <c r="BL1389" s="347"/>
      <c r="BM1389" s="347"/>
      <c r="BN1389" s="347"/>
      <c r="BO1389" s="586"/>
      <c r="BP1389" s="584"/>
      <c r="BQ1389" s="347"/>
      <c r="BR1389" s="586"/>
      <c r="BS1389" s="588"/>
      <c r="BT1389" s="586"/>
      <c r="BU1389" s="589"/>
      <c r="BV1389" s="581"/>
      <c r="BW1389" s="590"/>
      <c r="BX1389" s="347"/>
      <c r="BY1389" s="347"/>
      <c r="BZ1389" s="347"/>
      <c r="CA1389" s="586"/>
      <c r="CB1389" s="581"/>
      <c r="CC1389" s="581"/>
      <c r="CD1389" s="581"/>
      <c r="CE1389" s="581"/>
      <c r="CF1389" s="581"/>
      <c r="CG1389" s="586"/>
      <c r="CH1389" s="608"/>
      <c r="CI1389" s="603"/>
      <c r="CJ1389" s="347"/>
      <c r="CK1389" s="347"/>
      <c r="CL1389" s="347"/>
      <c r="CM1389" s="347"/>
      <c r="CN1389" s="347"/>
      <c r="CO1389" s="347"/>
      <c r="CP1389" s="347"/>
    </row>
    <row r="1390">
      <c r="A1390" s="574"/>
      <c r="B1390" s="574"/>
      <c r="C1390" s="347"/>
      <c r="D1390" s="574"/>
      <c r="E1390" s="347"/>
      <c r="F1390" s="596"/>
      <c r="G1390" s="596"/>
      <c r="H1390" s="347"/>
      <c r="I1390" s="347"/>
      <c r="J1390" s="596"/>
      <c r="K1390" s="609"/>
      <c r="L1390" s="1"/>
      <c r="M1390" s="347"/>
      <c r="N1390" s="347"/>
      <c r="O1390" s="579"/>
      <c r="P1390" s="579"/>
      <c r="Q1390" s="574"/>
      <c r="R1390" s="347"/>
      <c r="S1390" s="597"/>
      <c r="T1390" s="347"/>
      <c r="U1390" s="579"/>
      <c r="V1390" s="579"/>
      <c r="W1390" s="574"/>
      <c r="X1390" s="347"/>
      <c r="Y1390" s="347"/>
      <c r="Z1390" s="347"/>
      <c r="AA1390" s="579"/>
      <c r="AB1390" s="581"/>
      <c r="AC1390" s="347"/>
      <c r="AD1390" s="347"/>
      <c r="AE1390" s="347"/>
      <c r="AF1390" s="347"/>
      <c r="AG1390" s="579"/>
      <c r="AH1390" s="579"/>
      <c r="AI1390" s="582"/>
      <c r="AJ1390" s="582"/>
      <c r="AK1390" s="582"/>
      <c r="AL1390" s="582"/>
      <c r="AM1390" s="579"/>
      <c r="AN1390" s="579"/>
      <c r="AO1390" s="347"/>
      <c r="AP1390" s="586"/>
      <c r="AQ1390" s="596"/>
      <c r="AR1390" s="596"/>
      <c r="AS1390" s="348"/>
      <c r="AT1390" s="348"/>
      <c r="AU1390" s="348"/>
      <c r="AV1390" s="348"/>
      <c r="AW1390" s="348"/>
      <c r="AX1390" s="584"/>
      <c r="AY1390" s="581"/>
      <c r="AZ1390" s="581"/>
      <c r="BA1390" s="596"/>
      <c r="BB1390" s="596"/>
      <c r="BC1390" s="348"/>
      <c r="BD1390" s="581"/>
      <c r="BE1390" s="581"/>
      <c r="BF1390" s="347"/>
      <c r="BG1390" s="347"/>
      <c r="BH1390" s="347"/>
      <c r="BI1390" s="347"/>
      <c r="BJ1390" s="586"/>
      <c r="BK1390" s="581"/>
      <c r="BL1390" s="347"/>
      <c r="BM1390" s="347"/>
      <c r="BN1390" s="347"/>
      <c r="BO1390" s="586"/>
      <c r="BP1390" s="584"/>
      <c r="BQ1390" s="347"/>
      <c r="BR1390" s="586"/>
      <c r="BS1390" s="588"/>
      <c r="BT1390" s="586"/>
      <c r="BU1390" s="589"/>
      <c r="BV1390" s="581"/>
      <c r="BW1390" s="590"/>
      <c r="BX1390" s="347"/>
      <c r="BY1390" s="347"/>
      <c r="BZ1390" s="347"/>
      <c r="CA1390" s="586"/>
      <c r="CB1390" s="581"/>
      <c r="CC1390" s="581"/>
      <c r="CD1390" s="581"/>
      <c r="CE1390" s="581"/>
      <c r="CF1390" s="581"/>
      <c r="CG1390" s="586"/>
      <c r="CH1390" s="608"/>
      <c r="CI1390" s="603"/>
      <c r="CJ1390" s="347"/>
      <c r="CK1390" s="347"/>
      <c r="CL1390" s="347"/>
      <c r="CM1390" s="347"/>
      <c r="CN1390" s="347"/>
      <c r="CO1390" s="347"/>
      <c r="CP1390" s="347"/>
    </row>
    <row r="1391">
      <c r="A1391" s="574"/>
      <c r="B1391" s="574"/>
      <c r="C1391" s="347"/>
      <c r="D1391" s="574"/>
      <c r="E1391" s="347"/>
      <c r="F1391" s="596"/>
      <c r="G1391" s="596"/>
      <c r="H1391" s="347"/>
      <c r="I1391" s="347"/>
      <c r="J1391" s="596"/>
      <c r="K1391" s="609"/>
      <c r="L1391" s="1"/>
      <c r="M1391" s="347"/>
      <c r="N1391" s="347"/>
      <c r="O1391" s="579"/>
      <c r="P1391" s="579"/>
      <c r="Q1391" s="574"/>
      <c r="R1391" s="347"/>
      <c r="S1391" s="597"/>
      <c r="T1391" s="347"/>
      <c r="U1391" s="579"/>
      <c r="V1391" s="579"/>
      <c r="W1391" s="574"/>
      <c r="X1391" s="347"/>
      <c r="Y1391" s="347"/>
      <c r="Z1391" s="347"/>
      <c r="AA1391" s="579"/>
      <c r="AB1391" s="581"/>
      <c r="AC1391" s="347"/>
      <c r="AD1391" s="347"/>
      <c r="AE1391" s="347"/>
      <c r="AF1391" s="347"/>
      <c r="AG1391" s="579"/>
      <c r="AH1391" s="579"/>
      <c r="AI1391" s="582"/>
      <c r="AJ1391" s="582"/>
      <c r="AK1391" s="582"/>
      <c r="AL1391" s="582"/>
      <c r="AM1391" s="579"/>
      <c r="AN1391" s="579"/>
      <c r="AO1391" s="347"/>
      <c r="AP1391" s="586"/>
      <c r="AQ1391" s="596"/>
      <c r="AR1391" s="596"/>
      <c r="AS1391" s="348"/>
      <c r="AT1391" s="348"/>
      <c r="AU1391" s="348"/>
      <c r="AV1391" s="348"/>
      <c r="AW1391" s="348"/>
      <c r="AX1391" s="584"/>
      <c r="AY1391" s="581"/>
      <c r="AZ1391" s="581"/>
      <c r="BA1391" s="596"/>
      <c r="BB1391" s="596"/>
      <c r="BC1391" s="348"/>
      <c r="BD1391" s="581"/>
      <c r="BE1391" s="581"/>
      <c r="BF1391" s="347"/>
      <c r="BG1391" s="347"/>
      <c r="BH1391" s="347"/>
      <c r="BI1391" s="347"/>
      <c r="BJ1391" s="586"/>
      <c r="BK1391" s="581"/>
      <c r="BL1391" s="347"/>
      <c r="BM1391" s="347"/>
      <c r="BN1391" s="347"/>
      <c r="BO1391" s="586"/>
      <c r="BP1391" s="584"/>
      <c r="BQ1391" s="347"/>
      <c r="BR1391" s="586"/>
      <c r="BS1391" s="588"/>
      <c r="BT1391" s="586"/>
      <c r="BU1391" s="589"/>
      <c r="BV1391" s="581"/>
      <c r="BW1391" s="590"/>
      <c r="BX1391" s="347"/>
      <c r="BY1391" s="347"/>
      <c r="BZ1391" s="347"/>
      <c r="CA1391" s="586"/>
      <c r="CB1391" s="581"/>
      <c r="CC1391" s="581"/>
      <c r="CD1391" s="581"/>
      <c r="CE1391" s="581"/>
      <c r="CF1391" s="581"/>
      <c r="CG1391" s="586"/>
      <c r="CH1391" s="608"/>
      <c r="CI1391" s="603"/>
      <c r="CJ1391" s="347"/>
      <c r="CK1391" s="347"/>
      <c r="CL1391" s="347"/>
      <c r="CM1391" s="347"/>
      <c r="CN1391" s="347"/>
      <c r="CO1391" s="347"/>
      <c r="CP1391" s="347"/>
    </row>
    <row r="1392">
      <c r="A1392" s="574"/>
      <c r="B1392" s="574"/>
      <c r="C1392" s="347"/>
      <c r="D1392" s="574"/>
      <c r="E1392" s="347"/>
      <c r="F1392" s="596"/>
      <c r="G1392" s="596"/>
      <c r="H1392" s="347"/>
      <c r="I1392" s="347"/>
      <c r="J1392" s="596"/>
      <c r="K1392" s="609"/>
      <c r="L1392" s="1"/>
      <c r="M1392" s="347"/>
      <c r="N1392" s="347"/>
      <c r="O1392" s="579"/>
      <c r="P1392" s="579"/>
      <c r="Q1392" s="574"/>
      <c r="R1392" s="347"/>
      <c r="S1392" s="597"/>
      <c r="T1392" s="347"/>
      <c r="U1392" s="579"/>
      <c r="V1392" s="579"/>
      <c r="W1392" s="574"/>
      <c r="X1392" s="347"/>
      <c r="Y1392" s="347"/>
      <c r="Z1392" s="347"/>
      <c r="AA1392" s="579"/>
      <c r="AB1392" s="581"/>
      <c r="AC1392" s="347"/>
      <c r="AD1392" s="347"/>
      <c r="AE1392" s="347"/>
      <c r="AF1392" s="347"/>
      <c r="AG1392" s="579"/>
      <c r="AH1392" s="579"/>
      <c r="AI1392" s="582"/>
      <c r="AJ1392" s="582"/>
      <c r="AK1392" s="582"/>
      <c r="AL1392" s="582"/>
      <c r="AM1392" s="579"/>
      <c r="AN1392" s="579"/>
      <c r="AO1392" s="347"/>
      <c r="AP1392" s="586"/>
      <c r="AQ1392" s="596"/>
      <c r="AR1392" s="596"/>
      <c r="AS1392" s="348"/>
      <c r="AT1392" s="348"/>
      <c r="AU1392" s="348"/>
      <c r="AV1392" s="348"/>
      <c r="AW1392" s="348"/>
      <c r="AX1392" s="584"/>
      <c r="AY1392" s="581"/>
      <c r="AZ1392" s="581"/>
      <c r="BA1392" s="596"/>
      <c r="BB1392" s="596"/>
      <c r="BC1392" s="348"/>
      <c r="BD1392" s="581"/>
      <c r="BE1392" s="581"/>
      <c r="BF1392" s="347"/>
      <c r="BG1392" s="347"/>
      <c r="BH1392" s="347"/>
      <c r="BI1392" s="347"/>
      <c r="BJ1392" s="586"/>
      <c r="BK1392" s="581"/>
      <c r="BL1392" s="347"/>
      <c r="BM1392" s="347"/>
      <c r="BN1392" s="347"/>
      <c r="BO1392" s="586"/>
      <c r="BP1392" s="584"/>
      <c r="BQ1392" s="347"/>
      <c r="BR1392" s="586"/>
      <c r="BS1392" s="588"/>
      <c r="BT1392" s="586"/>
      <c r="BU1392" s="589"/>
      <c r="BV1392" s="581"/>
      <c r="BW1392" s="590"/>
      <c r="BX1392" s="347"/>
      <c r="BY1392" s="347"/>
      <c r="BZ1392" s="347"/>
      <c r="CA1392" s="586"/>
      <c r="CB1392" s="581"/>
      <c r="CC1392" s="581"/>
      <c r="CD1392" s="581"/>
      <c r="CE1392" s="581"/>
      <c r="CF1392" s="581"/>
      <c r="CG1392" s="586"/>
      <c r="CH1392" s="608"/>
      <c r="CI1392" s="603"/>
      <c r="CJ1392" s="347"/>
      <c r="CK1392" s="347"/>
      <c r="CL1392" s="347"/>
      <c r="CM1392" s="347"/>
      <c r="CN1392" s="347"/>
      <c r="CO1392" s="347"/>
      <c r="CP1392" s="347"/>
    </row>
    <row r="1393">
      <c r="A1393" s="574"/>
      <c r="B1393" s="574"/>
      <c r="C1393" s="347"/>
      <c r="D1393" s="574"/>
      <c r="E1393" s="347"/>
      <c r="F1393" s="596"/>
      <c r="G1393" s="596"/>
      <c r="H1393" s="347"/>
      <c r="I1393" s="347"/>
      <c r="J1393" s="596"/>
      <c r="K1393" s="609"/>
      <c r="L1393" s="1"/>
      <c r="M1393" s="347"/>
      <c r="N1393" s="347"/>
      <c r="O1393" s="579"/>
      <c r="P1393" s="579"/>
      <c r="Q1393" s="574"/>
      <c r="R1393" s="347"/>
      <c r="S1393" s="597"/>
      <c r="T1393" s="347"/>
      <c r="U1393" s="579"/>
      <c r="V1393" s="579"/>
      <c r="W1393" s="574"/>
      <c r="X1393" s="347"/>
      <c r="Y1393" s="347"/>
      <c r="Z1393" s="347"/>
      <c r="AA1393" s="579"/>
      <c r="AB1393" s="581"/>
      <c r="AC1393" s="347"/>
      <c r="AD1393" s="347"/>
      <c r="AE1393" s="347"/>
      <c r="AF1393" s="347"/>
      <c r="AG1393" s="579"/>
      <c r="AH1393" s="579"/>
      <c r="AI1393" s="582"/>
      <c r="AJ1393" s="582"/>
      <c r="AK1393" s="582"/>
      <c r="AL1393" s="582"/>
      <c r="AM1393" s="579"/>
      <c r="AN1393" s="579"/>
      <c r="AO1393" s="347"/>
      <c r="AP1393" s="586"/>
      <c r="AQ1393" s="596"/>
      <c r="AR1393" s="596"/>
      <c r="AS1393" s="348"/>
      <c r="AT1393" s="348"/>
      <c r="AU1393" s="348"/>
      <c r="AV1393" s="348"/>
      <c r="AW1393" s="348"/>
      <c r="AX1393" s="584"/>
      <c r="AY1393" s="581"/>
      <c r="AZ1393" s="581"/>
      <c r="BA1393" s="596"/>
      <c r="BB1393" s="596"/>
      <c r="BC1393" s="348"/>
      <c r="BD1393" s="581"/>
      <c r="BE1393" s="581"/>
      <c r="BF1393" s="347"/>
      <c r="BG1393" s="347"/>
      <c r="BH1393" s="347"/>
      <c r="BI1393" s="347"/>
      <c r="BJ1393" s="586"/>
      <c r="BK1393" s="581"/>
      <c r="BL1393" s="347"/>
      <c r="BM1393" s="347"/>
      <c r="BN1393" s="347"/>
      <c r="BO1393" s="586"/>
      <c r="BP1393" s="584"/>
      <c r="BQ1393" s="347"/>
      <c r="BR1393" s="586"/>
      <c r="BS1393" s="588"/>
      <c r="BT1393" s="586"/>
      <c r="BU1393" s="589"/>
      <c r="BV1393" s="581"/>
      <c r="BW1393" s="590"/>
      <c r="BX1393" s="347"/>
      <c r="BY1393" s="347"/>
      <c r="BZ1393" s="347"/>
      <c r="CA1393" s="586"/>
      <c r="CB1393" s="581"/>
      <c r="CC1393" s="581"/>
      <c r="CD1393" s="581"/>
      <c r="CE1393" s="581"/>
      <c r="CF1393" s="581"/>
      <c r="CG1393" s="586"/>
      <c r="CH1393" s="608"/>
      <c r="CI1393" s="603"/>
      <c r="CJ1393" s="347"/>
      <c r="CK1393" s="347"/>
      <c r="CL1393" s="347"/>
      <c r="CM1393" s="347"/>
      <c r="CN1393" s="347"/>
      <c r="CO1393" s="347"/>
      <c r="CP1393" s="347"/>
    </row>
    <row r="1394">
      <c r="A1394" s="574"/>
      <c r="B1394" s="574"/>
      <c r="C1394" s="347"/>
      <c r="D1394" s="574"/>
      <c r="E1394" s="347"/>
      <c r="F1394" s="596"/>
      <c r="G1394" s="596"/>
      <c r="H1394" s="347"/>
      <c r="I1394" s="347"/>
      <c r="J1394" s="596"/>
      <c r="K1394" s="609"/>
      <c r="L1394" s="1"/>
      <c r="M1394" s="347"/>
      <c r="N1394" s="347"/>
      <c r="O1394" s="579"/>
      <c r="P1394" s="579"/>
      <c r="Q1394" s="574"/>
      <c r="R1394" s="347"/>
      <c r="S1394" s="597"/>
      <c r="T1394" s="347"/>
      <c r="U1394" s="579"/>
      <c r="V1394" s="579"/>
      <c r="W1394" s="574"/>
      <c r="X1394" s="347"/>
      <c r="Y1394" s="347"/>
      <c r="Z1394" s="347"/>
      <c r="AA1394" s="579"/>
      <c r="AB1394" s="581"/>
      <c r="AC1394" s="347"/>
      <c r="AD1394" s="347"/>
      <c r="AE1394" s="347"/>
      <c r="AF1394" s="347"/>
      <c r="AG1394" s="579"/>
      <c r="AH1394" s="579"/>
      <c r="AI1394" s="582"/>
      <c r="AJ1394" s="582"/>
      <c r="AK1394" s="582"/>
      <c r="AL1394" s="582"/>
      <c r="AM1394" s="579"/>
      <c r="AN1394" s="579"/>
      <c r="AO1394" s="347"/>
      <c r="AP1394" s="586"/>
      <c r="AQ1394" s="596"/>
      <c r="AR1394" s="596"/>
      <c r="AS1394" s="348"/>
      <c r="AT1394" s="348"/>
      <c r="AU1394" s="348"/>
      <c r="AV1394" s="348"/>
      <c r="AW1394" s="348"/>
      <c r="AX1394" s="584"/>
      <c r="AY1394" s="581"/>
      <c r="AZ1394" s="581"/>
      <c r="BA1394" s="596"/>
      <c r="BB1394" s="596"/>
      <c r="BC1394" s="348"/>
      <c r="BD1394" s="581"/>
      <c r="BE1394" s="581"/>
      <c r="BF1394" s="347"/>
      <c r="BG1394" s="347"/>
      <c r="BH1394" s="347"/>
      <c r="BI1394" s="347"/>
      <c r="BJ1394" s="586"/>
      <c r="BK1394" s="581"/>
      <c r="BL1394" s="347"/>
      <c r="BM1394" s="347"/>
      <c r="BN1394" s="347"/>
      <c r="BO1394" s="586"/>
      <c r="BP1394" s="584"/>
      <c r="BQ1394" s="347"/>
      <c r="BR1394" s="586"/>
      <c r="BS1394" s="588"/>
      <c r="BT1394" s="586"/>
      <c r="BU1394" s="589"/>
      <c r="BV1394" s="581"/>
      <c r="BW1394" s="590"/>
      <c r="BX1394" s="347"/>
      <c r="BY1394" s="347"/>
      <c r="BZ1394" s="347"/>
      <c r="CA1394" s="586"/>
      <c r="CB1394" s="581"/>
      <c r="CC1394" s="581"/>
      <c r="CD1394" s="581"/>
      <c r="CE1394" s="581"/>
      <c r="CF1394" s="581"/>
      <c r="CG1394" s="586"/>
      <c r="CH1394" s="608"/>
      <c r="CI1394" s="603"/>
      <c r="CJ1394" s="347"/>
      <c r="CK1394" s="347"/>
      <c r="CL1394" s="347"/>
      <c r="CM1394" s="347"/>
      <c r="CN1394" s="347"/>
      <c r="CO1394" s="347"/>
      <c r="CP1394" s="347"/>
    </row>
    <row r="1395">
      <c r="A1395" s="574"/>
      <c r="B1395" s="574"/>
      <c r="C1395" s="347"/>
      <c r="D1395" s="574"/>
      <c r="E1395" s="347"/>
      <c r="F1395" s="596"/>
      <c r="G1395" s="596"/>
      <c r="H1395" s="347"/>
      <c r="I1395" s="347"/>
      <c r="J1395" s="596"/>
      <c r="K1395" s="609"/>
      <c r="L1395" s="1"/>
      <c r="M1395" s="347"/>
      <c r="N1395" s="347"/>
      <c r="O1395" s="579"/>
      <c r="P1395" s="579"/>
      <c r="Q1395" s="574"/>
      <c r="R1395" s="347"/>
      <c r="S1395" s="597"/>
      <c r="T1395" s="347"/>
      <c r="U1395" s="579"/>
      <c r="V1395" s="579"/>
      <c r="W1395" s="574"/>
      <c r="X1395" s="347"/>
      <c r="Y1395" s="347"/>
      <c r="Z1395" s="347"/>
      <c r="AA1395" s="579"/>
      <c r="AB1395" s="581"/>
      <c r="AC1395" s="347"/>
      <c r="AD1395" s="347"/>
      <c r="AE1395" s="347"/>
      <c r="AF1395" s="347"/>
      <c r="AG1395" s="579"/>
      <c r="AH1395" s="579"/>
      <c r="AI1395" s="582"/>
      <c r="AJ1395" s="582"/>
      <c r="AK1395" s="582"/>
      <c r="AL1395" s="582"/>
      <c r="AM1395" s="579"/>
      <c r="AN1395" s="579"/>
      <c r="AO1395" s="347"/>
      <c r="AP1395" s="586"/>
      <c r="AQ1395" s="596"/>
      <c r="AR1395" s="596"/>
      <c r="AS1395" s="348"/>
      <c r="AT1395" s="348"/>
      <c r="AU1395" s="348"/>
      <c r="AV1395" s="348"/>
      <c r="AW1395" s="348"/>
      <c r="AX1395" s="584"/>
      <c r="AY1395" s="581"/>
      <c r="AZ1395" s="581"/>
      <c r="BA1395" s="596"/>
      <c r="BB1395" s="596"/>
      <c r="BC1395" s="348"/>
      <c r="BD1395" s="581"/>
      <c r="BE1395" s="581"/>
      <c r="BF1395" s="347"/>
      <c r="BG1395" s="347"/>
      <c r="BH1395" s="347"/>
      <c r="BI1395" s="347"/>
      <c r="BJ1395" s="586"/>
      <c r="BK1395" s="581"/>
      <c r="BL1395" s="347"/>
      <c r="BM1395" s="347"/>
      <c r="BN1395" s="347"/>
      <c r="BO1395" s="586"/>
      <c r="BP1395" s="584"/>
      <c r="BQ1395" s="347"/>
      <c r="BR1395" s="586"/>
      <c r="BS1395" s="588"/>
      <c r="BT1395" s="586"/>
      <c r="BU1395" s="589"/>
      <c r="BV1395" s="581"/>
      <c r="BW1395" s="590"/>
      <c r="BX1395" s="347"/>
      <c r="BY1395" s="347"/>
      <c r="BZ1395" s="347"/>
      <c r="CA1395" s="586"/>
      <c r="CB1395" s="581"/>
      <c r="CC1395" s="581"/>
      <c r="CD1395" s="581"/>
      <c r="CE1395" s="581"/>
      <c r="CF1395" s="581"/>
      <c r="CG1395" s="586"/>
      <c r="CH1395" s="608"/>
      <c r="CI1395" s="603"/>
      <c r="CJ1395" s="347"/>
      <c r="CK1395" s="347"/>
      <c r="CL1395" s="347"/>
      <c r="CM1395" s="347"/>
      <c r="CN1395" s="347"/>
      <c r="CO1395" s="347"/>
      <c r="CP1395" s="347"/>
    </row>
    <row r="1396">
      <c r="A1396" s="574"/>
      <c r="B1396" s="574"/>
      <c r="C1396" s="347"/>
      <c r="D1396" s="574"/>
      <c r="E1396" s="347"/>
      <c r="F1396" s="596"/>
      <c r="G1396" s="596"/>
      <c r="H1396" s="347"/>
      <c r="I1396" s="347"/>
      <c r="J1396" s="596"/>
      <c r="K1396" s="609"/>
      <c r="L1396" s="1"/>
      <c r="M1396" s="347"/>
      <c r="N1396" s="347"/>
      <c r="O1396" s="579"/>
      <c r="P1396" s="579"/>
      <c r="Q1396" s="574"/>
      <c r="R1396" s="347"/>
      <c r="S1396" s="597"/>
      <c r="T1396" s="347"/>
      <c r="U1396" s="579"/>
      <c r="V1396" s="579"/>
      <c r="W1396" s="574"/>
      <c r="X1396" s="347"/>
      <c r="Y1396" s="347"/>
      <c r="Z1396" s="347"/>
      <c r="AA1396" s="579"/>
      <c r="AB1396" s="581"/>
      <c r="AC1396" s="347"/>
      <c r="AD1396" s="347"/>
      <c r="AE1396" s="347"/>
      <c r="AF1396" s="347"/>
      <c r="AG1396" s="579"/>
      <c r="AH1396" s="579"/>
      <c r="AI1396" s="582"/>
      <c r="AJ1396" s="582"/>
      <c r="AK1396" s="582"/>
      <c r="AL1396" s="582"/>
      <c r="AM1396" s="579"/>
      <c r="AN1396" s="579"/>
      <c r="AO1396" s="347"/>
      <c r="AP1396" s="586"/>
      <c r="AQ1396" s="596"/>
      <c r="AR1396" s="596"/>
      <c r="AS1396" s="348"/>
      <c r="AT1396" s="348"/>
      <c r="AU1396" s="348"/>
      <c r="AV1396" s="348"/>
      <c r="AW1396" s="348"/>
      <c r="AX1396" s="584"/>
      <c r="AY1396" s="581"/>
      <c r="AZ1396" s="581"/>
      <c r="BA1396" s="596"/>
      <c r="BB1396" s="596"/>
      <c r="BC1396" s="348"/>
      <c r="BD1396" s="581"/>
      <c r="BE1396" s="581"/>
      <c r="BF1396" s="347"/>
      <c r="BG1396" s="347"/>
      <c r="BH1396" s="347"/>
      <c r="BI1396" s="347"/>
      <c r="BJ1396" s="586"/>
      <c r="BK1396" s="581"/>
      <c r="BL1396" s="347"/>
      <c r="BM1396" s="347"/>
      <c r="BN1396" s="347"/>
      <c r="BO1396" s="586"/>
      <c r="BP1396" s="584"/>
      <c r="BQ1396" s="347"/>
      <c r="BR1396" s="586"/>
      <c r="BS1396" s="588"/>
      <c r="BT1396" s="586"/>
      <c r="BU1396" s="589"/>
      <c r="BV1396" s="581"/>
      <c r="BW1396" s="590"/>
      <c r="BX1396" s="347"/>
      <c r="BY1396" s="347"/>
      <c r="BZ1396" s="347"/>
      <c r="CA1396" s="586"/>
      <c r="CB1396" s="581"/>
      <c r="CC1396" s="581"/>
      <c r="CD1396" s="581"/>
      <c r="CE1396" s="581"/>
      <c r="CF1396" s="581"/>
      <c r="CG1396" s="586"/>
      <c r="CH1396" s="608"/>
      <c r="CI1396" s="603"/>
      <c r="CJ1396" s="347"/>
      <c r="CK1396" s="347"/>
      <c r="CL1396" s="347"/>
      <c r="CM1396" s="347"/>
      <c r="CN1396" s="347"/>
      <c r="CO1396" s="347"/>
      <c r="CP1396" s="347"/>
    </row>
    <row r="1397">
      <c r="A1397" s="574"/>
      <c r="B1397" s="574"/>
      <c r="C1397" s="347"/>
      <c r="D1397" s="574"/>
      <c r="E1397" s="347"/>
      <c r="F1397" s="596"/>
      <c r="G1397" s="596"/>
      <c r="H1397" s="347"/>
      <c r="I1397" s="347"/>
      <c r="J1397" s="596"/>
      <c r="K1397" s="609"/>
      <c r="L1397" s="1"/>
      <c r="M1397" s="347"/>
      <c r="N1397" s="347"/>
      <c r="O1397" s="579"/>
      <c r="P1397" s="579"/>
      <c r="Q1397" s="574"/>
      <c r="R1397" s="347"/>
      <c r="S1397" s="597"/>
      <c r="T1397" s="347"/>
      <c r="U1397" s="579"/>
      <c r="V1397" s="579"/>
      <c r="W1397" s="574"/>
      <c r="X1397" s="347"/>
      <c r="Y1397" s="347"/>
      <c r="Z1397" s="347"/>
      <c r="AA1397" s="579"/>
      <c r="AB1397" s="581"/>
      <c r="AC1397" s="347"/>
      <c r="AD1397" s="347"/>
      <c r="AE1397" s="347"/>
      <c r="AF1397" s="347"/>
      <c r="AG1397" s="579"/>
      <c r="AH1397" s="579"/>
      <c r="AI1397" s="582"/>
      <c r="AJ1397" s="582"/>
      <c r="AK1397" s="582"/>
      <c r="AL1397" s="582"/>
      <c r="AM1397" s="579"/>
      <c r="AN1397" s="579"/>
      <c r="AO1397" s="347"/>
      <c r="AP1397" s="586"/>
      <c r="AQ1397" s="596"/>
      <c r="AR1397" s="596"/>
      <c r="AS1397" s="348"/>
      <c r="AT1397" s="348"/>
      <c r="AU1397" s="348"/>
      <c r="AV1397" s="348"/>
      <c r="AW1397" s="348"/>
      <c r="AX1397" s="584"/>
      <c r="AY1397" s="581"/>
      <c r="AZ1397" s="581"/>
      <c r="BA1397" s="596"/>
      <c r="BB1397" s="596"/>
      <c r="BC1397" s="348"/>
      <c r="BD1397" s="581"/>
      <c r="BE1397" s="581"/>
      <c r="BF1397" s="347"/>
      <c r="BG1397" s="347"/>
      <c r="BH1397" s="347"/>
      <c r="BI1397" s="347"/>
      <c r="BJ1397" s="586"/>
      <c r="BK1397" s="581"/>
      <c r="BL1397" s="347"/>
      <c r="BM1397" s="347"/>
      <c r="BN1397" s="347"/>
      <c r="BO1397" s="586"/>
      <c r="BP1397" s="584"/>
      <c r="BQ1397" s="347"/>
      <c r="BR1397" s="586"/>
      <c r="BS1397" s="588"/>
      <c r="BT1397" s="586"/>
      <c r="BU1397" s="589"/>
      <c r="BV1397" s="581"/>
      <c r="BW1397" s="590"/>
      <c r="BX1397" s="347"/>
      <c r="BY1397" s="347"/>
      <c r="BZ1397" s="347"/>
      <c r="CA1397" s="586"/>
      <c r="CB1397" s="581"/>
      <c r="CC1397" s="581"/>
      <c r="CD1397" s="581"/>
      <c r="CE1397" s="581"/>
      <c r="CF1397" s="581"/>
      <c r="CG1397" s="586"/>
      <c r="CH1397" s="608"/>
      <c r="CI1397" s="603"/>
      <c r="CJ1397" s="347"/>
      <c r="CK1397" s="347"/>
      <c r="CL1397" s="347"/>
      <c r="CM1397" s="347"/>
      <c r="CN1397" s="347"/>
      <c r="CO1397" s="347"/>
      <c r="CP1397" s="347"/>
    </row>
    <row r="1398">
      <c r="A1398" s="574"/>
      <c r="B1398" s="574"/>
      <c r="C1398" s="347"/>
      <c r="D1398" s="574"/>
      <c r="E1398" s="347"/>
      <c r="F1398" s="596"/>
      <c r="G1398" s="596"/>
      <c r="H1398" s="347"/>
      <c r="I1398" s="347"/>
      <c r="J1398" s="596"/>
      <c r="K1398" s="609"/>
      <c r="L1398" s="1"/>
      <c r="M1398" s="347"/>
      <c r="N1398" s="347"/>
      <c r="O1398" s="579"/>
      <c r="P1398" s="579"/>
      <c r="Q1398" s="574"/>
      <c r="R1398" s="347"/>
      <c r="S1398" s="597"/>
      <c r="T1398" s="347"/>
      <c r="U1398" s="579"/>
      <c r="V1398" s="579"/>
      <c r="W1398" s="574"/>
      <c r="X1398" s="347"/>
      <c r="Y1398" s="347"/>
      <c r="Z1398" s="347"/>
      <c r="AA1398" s="579"/>
      <c r="AB1398" s="581"/>
      <c r="AC1398" s="347"/>
      <c r="AD1398" s="347"/>
      <c r="AE1398" s="347"/>
      <c r="AF1398" s="347"/>
      <c r="AG1398" s="579"/>
      <c r="AH1398" s="579"/>
      <c r="AI1398" s="582"/>
      <c r="AJ1398" s="582"/>
      <c r="AK1398" s="582"/>
      <c r="AL1398" s="582"/>
      <c r="AM1398" s="579"/>
      <c r="AN1398" s="579"/>
      <c r="AO1398" s="347"/>
      <c r="AP1398" s="586"/>
      <c r="AQ1398" s="596"/>
      <c r="AR1398" s="596"/>
      <c r="AS1398" s="348"/>
      <c r="AT1398" s="348"/>
      <c r="AU1398" s="348"/>
      <c r="AV1398" s="348"/>
      <c r="AW1398" s="348"/>
      <c r="AX1398" s="584"/>
      <c r="AY1398" s="581"/>
      <c r="AZ1398" s="581"/>
      <c r="BA1398" s="596"/>
      <c r="BB1398" s="596"/>
      <c r="BC1398" s="348"/>
      <c r="BD1398" s="581"/>
      <c r="BE1398" s="581"/>
      <c r="BF1398" s="347"/>
      <c r="BG1398" s="347"/>
      <c r="BH1398" s="347"/>
      <c r="BI1398" s="347"/>
      <c r="BJ1398" s="586"/>
      <c r="BK1398" s="581"/>
      <c r="BL1398" s="347"/>
      <c r="BM1398" s="347"/>
      <c r="BN1398" s="347"/>
      <c r="BO1398" s="586"/>
      <c r="BP1398" s="584"/>
      <c r="BQ1398" s="347"/>
      <c r="BR1398" s="586"/>
      <c r="BS1398" s="588"/>
      <c r="BT1398" s="586"/>
      <c r="BU1398" s="589"/>
      <c r="BV1398" s="581"/>
      <c r="BW1398" s="590"/>
      <c r="BX1398" s="347"/>
      <c r="BY1398" s="347"/>
      <c r="BZ1398" s="347"/>
      <c r="CA1398" s="586"/>
      <c r="CB1398" s="581"/>
      <c r="CC1398" s="581"/>
      <c r="CD1398" s="581"/>
      <c r="CE1398" s="581"/>
      <c r="CF1398" s="581"/>
      <c r="CG1398" s="586"/>
      <c r="CH1398" s="608"/>
      <c r="CI1398" s="603"/>
      <c r="CJ1398" s="347"/>
      <c r="CK1398" s="347"/>
      <c r="CL1398" s="347"/>
      <c r="CM1398" s="347"/>
      <c r="CN1398" s="347"/>
      <c r="CO1398" s="347"/>
      <c r="CP1398" s="347"/>
    </row>
    <row r="1399">
      <c r="A1399" s="574"/>
      <c r="B1399" s="574"/>
      <c r="C1399" s="347"/>
      <c r="D1399" s="574"/>
      <c r="E1399" s="347"/>
      <c r="F1399" s="596"/>
      <c r="G1399" s="596"/>
      <c r="H1399" s="347"/>
      <c r="I1399" s="347"/>
      <c r="J1399" s="596"/>
      <c r="K1399" s="609"/>
      <c r="L1399" s="1"/>
      <c r="M1399" s="347"/>
      <c r="N1399" s="347"/>
      <c r="O1399" s="579"/>
      <c r="P1399" s="579"/>
      <c r="Q1399" s="574"/>
      <c r="R1399" s="347"/>
      <c r="S1399" s="597"/>
      <c r="T1399" s="347"/>
      <c r="U1399" s="579"/>
      <c r="V1399" s="579"/>
      <c r="W1399" s="574"/>
      <c r="X1399" s="347"/>
      <c r="Y1399" s="347"/>
      <c r="Z1399" s="347"/>
      <c r="AA1399" s="579"/>
      <c r="AB1399" s="581"/>
      <c r="AC1399" s="347"/>
      <c r="AD1399" s="347"/>
      <c r="AE1399" s="347"/>
      <c r="AF1399" s="347"/>
      <c r="AG1399" s="579"/>
      <c r="AH1399" s="579"/>
      <c r="AI1399" s="582"/>
      <c r="AJ1399" s="582"/>
      <c r="AK1399" s="582"/>
      <c r="AL1399" s="582"/>
      <c r="AM1399" s="579"/>
      <c r="AN1399" s="579"/>
      <c r="AO1399" s="347"/>
      <c r="AP1399" s="586"/>
      <c r="AQ1399" s="596"/>
      <c r="AR1399" s="596"/>
      <c r="AS1399" s="348"/>
      <c r="AT1399" s="348"/>
      <c r="AU1399" s="348"/>
      <c r="AV1399" s="348"/>
      <c r="AW1399" s="348"/>
      <c r="AX1399" s="584"/>
      <c r="AY1399" s="581"/>
      <c r="AZ1399" s="581"/>
      <c r="BA1399" s="596"/>
      <c r="BB1399" s="596"/>
      <c r="BC1399" s="348"/>
      <c r="BD1399" s="581"/>
      <c r="BE1399" s="581"/>
      <c r="BF1399" s="347"/>
      <c r="BG1399" s="347"/>
      <c r="BH1399" s="347"/>
      <c r="BI1399" s="347"/>
      <c r="BJ1399" s="586"/>
      <c r="BK1399" s="581"/>
      <c r="BL1399" s="347"/>
      <c r="BM1399" s="347"/>
      <c r="BN1399" s="347"/>
      <c r="BO1399" s="586"/>
      <c r="BP1399" s="584"/>
      <c r="BQ1399" s="347"/>
      <c r="BR1399" s="586"/>
      <c r="BS1399" s="588"/>
      <c r="BT1399" s="586"/>
      <c r="BU1399" s="589"/>
      <c r="BV1399" s="581"/>
      <c r="BW1399" s="590"/>
      <c r="BX1399" s="347"/>
      <c r="BY1399" s="347"/>
      <c r="BZ1399" s="347"/>
      <c r="CA1399" s="586"/>
      <c r="CB1399" s="581"/>
      <c r="CC1399" s="581"/>
      <c r="CD1399" s="581"/>
      <c r="CE1399" s="581"/>
      <c r="CF1399" s="581"/>
      <c r="CG1399" s="586"/>
      <c r="CH1399" s="608"/>
      <c r="CI1399" s="603"/>
      <c r="CJ1399" s="347"/>
      <c r="CK1399" s="347"/>
      <c r="CL1399" s="347"/>
      <c r="CM1399" s="347"/>
      <c r="CN1399" s="347"/>
      <c r="CO1399" s="347"/>
      <c r="CP1399" s="347"/>
    </row>
    <row r="1400">
      <c r="A1400" s="574"/>
      <c r="B1400" s="574"/>
      <c r="C1400" s="347"/>
      <c r="D1400" s="574"/>
      <c r="E1400" s="347"/>
      <c r="F1400" s="596"/>
      <c r="G1400" s="596"/>
      <c r="H1400" s="347"/>
      <c r="I1400" s="347"/>
      <c r="J1400" s="596"/>
      <c r="K1400" s="609"/>
      <c r="L1400" s="1"/>
      <c r="M1400" s="347"/>
      <c r="N1400" s="347"/>
      <c r="O1400" s="579"/>
      <c r="P1400" s="579"/>
      <c r="Q1400" s="574"/>
      <c r="R1400" s="347"/>
      <c r="S1400" s="597"/>
      <c r="T1400" s="347"/>
      <c r="U1400" s="579"/>
      <c r="V1400" s="579"/>
      <c r="W1400" s="574"/>
      <c r="X1400" s="347"/>
      <c r="Y1400" s="347"/>
      <c r="Z1400" s="347"/>
      <c r="AA1400" s="579"/>
      <c r="AB1400" s="581"/>
      <c r="AC1400" s="347"/>
      <c r="AD1400" s="347"/>
      <c r="AE1400" s="347"/>
      <c r="AF1400" s="347"/>
      <c r="AG1400" s="579"/>
      <c r="AH1400" s="579"/>
      <c r="AI1400" s="582"/>
      <c r="AJ1400" s="582"/>
      <c r="AK1400" s="582"/>
      <c r="AL1400" s="582"/>
      <c r="AM1400" s="579"/>
      <c r="AN1400" s="579"/>
      <c r="AO1400" s="347"/>
      <c r="AP1400" s="586"/>
      <c r="AQ1400" s="596"/>
      <c r="AR1400" s="596"/>
      <c r="AS1400" s="348"/>
      <c r="AT1400" s="348"/>
      <c r="AU1400" s="348"/>
      <c r="AV1400" s="348"/>
      <c r="AW1400" s="348"/>
      <c r="AX1400" s="584"/>
      <c r="AY1400" s="581"/>
      <c r="AZ1400" s="581"/>
      <c r="BA1400" s="596"/>
      <c r="BB1400" s="596"/>
      <c r="BC1400" s="348"/>
      <c r="BD1400" s="581"/>
      <c r="BE1400" s="581"/>
      <c r="BF1400" s="347"/>
      <c r="BG1400" s="347"/>
      <c r="BH1400" s="347"/>
      <c r="BI1400" s="347"/>
      <c r="BJ1400" s="586"/>
      <c r="BK1400" s="581"/>
      <c r="BL1400" s="347"/>
      <c r="BM1400" s="347"/>
      <c r="BN1400" s="347"/>
      <c r="BO1400" s="586"/>
      <c r="BP1400" s="584"/>
      <c r="BQ1400" s="347"/>
      <c r="BR1400" s="586"/>
      <c r="BS1400" s="588"/>
      <c r="BT1400" s="586"/>
      <c r="BU1400" s="589"/>
      <c r="BV1400" s="581"/>
      <c r="BW1400" s="590"/>
      <c r="BX1400" s="347"/>
      <c r="BY1400" s="347"/>
      <c r="BZ1400" s="347"/>
      <c r="CA1400" s="586"/>
      <c r="CB1400" s="581"/>
      <c r="CC1400" s="581"/>
      <c r="CD1400" s="581"/>
      <c r="CE1400" s="581"/>
      <c r="CF1400" s="581"/>
      <c r="CG1400" s="586"/>
      <c r="CH1400" s="608"/>
      <c r="CI1400" s="603"/>
      <c r="CJ1400" s="347"/>
      <c r="CK1400" s="347"/>
      <c r="CL1400" s="347"/>
      <c r="CM1400" s="347"/>
      <c r="CN1400" s="347"/>
      <c r="CO1400" s="347"/>
      <c r="CP1400" s="347"/>
    </row>
    <row r="1401">
      <c r="A1401" s="574"/>
      <c r="B1401" s="574"/>
      <c r="C1401" s="347"/>
      <c r="D1401" s="574"/>
      <c r="E1401" s="347"/>
      <c r="F1401" s="596"/>
      <c r="G1401" s="596"/>
      <c r="H1401" s="347"/>
      <c r="I1401" s="347"/>
      <c r="J1401" s="596"/>
      <c r="K1401" s="609"/>
      <c r="L1401" s="1"/>
      <c r="M1401" s="347"/>
      <c r="N1401" s="347"/>
      <c r="O1401" s="579"/>
      <c r="P1401" s="579"/>
      <c r="Q1401" s="574"/>
      <c r="R1401" s="347"/>
      <c r="S1401" s="597"/>
      <c r="T1401" s="347"/>
      <c r="U1401" s="579"/>
      <c r="V1401" s="579"/>
      <c r="W1401" s="574"/>
      <c r="X1401" s="347"/>
      <c r="Y1401" s="347"/>
      <c r="Z1401" s="347"/>
      <c r="AA1401" s="579"/>
      <c r="AB1401" s="581"/>
      <c r="AC1401" s="347"/>
      <c r="AD1401" s="347"/>
      <c r="AE1401" s="347"/>
      <c r="AF1401" s="347"/>
      <c r="AG1401" s="579"/>
      <c r="AH1401" s="579"/>
      <c r="AI1401" s="582"/>
      <c r="AJ1401" s="582"/>
      <c r="AK1401" s="582"/>
      <c r="AL1401" s="582"/>
      <c r="AM1401" s="579"/>
      <c r="AN1401" s="579"/>
      <c r="AO1401" s="347"/>
      <c r="AP1401" s="586"/>
      <c r="AQ1401" s="596"/>
      <c r="AR1401" s="596"/>
      <c r="AS1401" s="348"/>
      <c r="AT1401" s="348"/>
      <c r="AU1401" s="348"/>
      <c r="AV1401" s="348"/>
      <c r="AW1401" s="348"/>
      <c r="AX1401" s="584"/>
      <c r="AY1401" s="581"/>
      <c r="AZ1401" s="581"/>
      <c r="BA1401" s="596"/>
      <c r="BB1401" s="596"/>
      <c r="BC1401" s="348"/>
      <c r="BD1401" s="581"/>
      <c r="BE1401" s="581"/>
      <c r="BF1401" s="347"/>
      <c r="BG1401" s="347"/>
      <c r="BH1401" s="347"/>
      <c r="BI1401" s="347"/>
      <c r="BJ1401" s="586"/>
      <c r="BK1401" s="581"/>
      <c r="BL1401" s="347"/>
      <c r="BM1401" s="347"/>
      <c r="BN1401" s="347"/>
      <c r="BO1401" s="586"/>
      <c r="BP1401" s="584"/>
      <c r="BQ1401" s="347"/>
      <c r="BR1401" s="586"/>
      <c r="BS1401" s="588"/>
      <c r="BT1401" s="586"/>
      <c r="BU1401" s="589"/>
      <c r="BV1401" s="581"/>
      <c r="BW1401" s="590"/>
      <c r="BX1401" s="347"/>
      <c r="BY1401" s="347"/>
      <c r="BZ1401" s="347"/>
      <c r="CA1401" s="586"/>
      <c r="CB1401" s="581"/>
      <c r="CC1401" s="581"/>
      <c r="CD1401" s="581"/>
      <c r="CE1401" s="581"/>
      <c r="CF1401" s="581"/>
      <c r="CG1401" s="586"/>
      <c r="CH1401" s="608"/>
      <c r="CI1401" s="603"/>
      <c r="CJ1401" s="347"/>
      <c r="CK1401" s="347"/>
      <c r="CL1401" s="347"/>
      <c r="CM1401" s="347"/>
      <c r="CN1401" s="347"/>
      <c r="CO1401" s="347"/>
      <c r="CP1401" s="347"/>
    </row>
    <row r="1402">
      <c r="A1402" s="574"/>
      <c r="B1402" s="574"/>
      <c r="C1402" s="347"/>
      <c r="D1402" s="574"/>
      <c r="E1402" s="347"/>
      <c r="F1402" s="596"/>
      <c r="G1402" s="596"/>
      <c r="H1402" s="347"/>
      <c r="I1402" s="347"/>
      <c r="J1402" s="596"/>
      <c r="K1402" s="609"/>
      <c r="L1402" s="1"/>
      <c r="M1402" s="347"/>
      <c r="N1402" s="347"/>
      <c r="O1402" s="579"/>
      <c r="P1402" s="579"/>
      <c r="Q1402" s="574"/>
      <c r="R1402" s="347"/>
      <c r="S1402" s="597"/>
      <c r="T1402" s="347"/>
      <c r="U1402" s="579"/>
      <c r="V1402" s="579"/>
      <c r="W1402" s="574"/>
      <c r="X1402" s="347"/>
      <c r="Y1402" s="347"/>
      <c r="Z1402" s="347"/>
      <c r="AA1402" s="579"/>
      <c r="AB1402" s="581"/>
      <c r="AC1402" s="347"/>
      <c r="AD1402" s="347"/>
      <c r="AE1402" s="347"/>
      <c r="AF1402" s="347"/>
      <c r="AG1402" s="579"/>
      <c r="AH1402" s="579"/>
      <c r="AI1402" s="582"/>
      <c r="AJ1402" s="582"/>
      <c r="AK1402" s="582"/>
      <c r="AL1402" s="582"/>
      <c r="AM1402" s="579"/>
      <c r="AN1402" s="579"/>
      <c r="AO1402" s="347"/>
      <c r="AP1402" s="586"/>
      <c r="AQ1402" s="596"/>
      <c r="AR1402" s="596"/>
      <c r="AS1402" s="348"/>
      <c r="AT1402" s="348"/>
      <c r="AU1402" s="348"/>
      <c r="AV1402" s="348"/>
      <c r="AW1402" s="348"/>
      <c r="AX1402" s="584"/>
      <c r="AY1402" s="581"/>
      <c r="AZ1402" s="581"/>
      <c r="BA1402" s="596"/>
      <c r="BB1402" s="596"/>
      <c r="BC1402" s="348"/>
      <c r="BD1402" s="581"/>
      <c r="BE1402" s="581"/>
      <c r="BF1402" s="347"/>
      <c r="BG1402" s="347"/>
      <c r="BH1402" s="347"/>
      <c r="BI1402" s="347"/>
      <c r="BJ1402" s="586"/>
      <c r="BK1402" s="581"/>
      <c r="BL1402" s="347"/>
      <c r="BM1402" s="347"/>
      <c r="BN1402" s="347"/>
      <c r="BO1402" s="586"/>
      <c r="BP1402" s="584"/>
      <c r="BQ1402" s="347"/>
      <c r="BR1402" s="586"/>
      <c r="BS1402" s="588"/>
      <c r="BT1402" s="586"/>
      <c r="BU1402" s="589"/>
      <c r="BV1402" s="581"/>
      <c r="BW1402" s="590"/>
      <c r="BX1402" s="347"/>
      <c r="BY1402" s="347"/>
      <c r="BZ1402" s="347"/>
      <c r="CA1402" s="586"/>
      <c r="CB1402" s="581"/>
      <c r="CC1402" s="581"/>
      <c r="CD1402" s="581"/>
      <c r="CE1402" s="581"/>
      <c r="CF1402" s="581"/>
      <c r="CG1402" s="586"/>
      <c r="CH1402" s="608"/>
      <c r="CI1402" s="603"/>
      <c r="CJ1402" s="347"/>
      <c r="CK1402" s="347"/>
      <c r="CL1402" s="347"/>
      <c r="CM1402" s="347"/>
      <c r="CN1402" s="347"/>
      <c r="CO1402" s="347"/>
      <c r="CP1402" s="347"/>
    </row>
    <row r="1403">
      <c r="A1403" s="574"/>
      <c r="B1403" s="574"/>
      <c r="C1403" s="347"/>
      <c r="D1403" s="574"/>
      <c r="E1403" s="347"/>
      <c r="F1403" s="596"/>
      <c r="G1403" s="596"/>
      <c r="H1403" s="347"/>
      <c r="I1403" s="347"/>
      <c r="J1403" s="596"/>
      <c r="K1403" s="609"/>
      <c r="L1403" s="1"/>
      <c r="M1403" s="347"/>
      <c r="N1403" s="347"/>
      <c r="O1403" s="579"/>
      <c r="P1403" s="579"/>
      <c r="Q1403" s="574"/>
      <c r="R1403" s="347"/>
      <c r="S1403" s="597"/>
      <c r="T1403" s="347"/>
      <c r="U1403" s="579"/>
      <c r="V1403" s="579"/>
      <c r="W1403" s="574"/>
      <c r="X1403" s="347"/>
      <c r="Y1403" s="347"/>
      <c r="Z1403" s="347"/>
      <c r="AA1403" s="579"/>
      <c r="AB1403" s="581"/>
      <c r="AC1403" s="347"/>
      <c r="AD1403" s="347"/>
      <c r="AE1403" s="347"/>
      <c r="AF1403" s="347"/>
      <c r="AG1403" s="579"/>
      <c r="AH1403" s="579"/>
      <c r="AI1403" s="582"/>
      <c r="AJ1403" s="582"/>
      <c r="AK1403" s="582"/>
      <c r="AL1403" s="582"/>
      <c r="AM1403" s="579"/>
      <c r="AN1403" s="579"/>
      <c r="AO1403" s="347"/>
      <c r="AP1403" s="586"/>
      <c r="AQ1403" s="596"/>
      <c r="AR1403" s="596"/>
      <c r="AS1403" s="348"/>
      <c r="AT1403" s="348"/>
      <c r="AU1403" s="348"/>
      <c r="AV1403" s="348"/>
      <c r="AW1403" s="348"/>
      <c r="AX1403" s="584"/>
      <c r="AY1403" s="581"/>
      <c r="AZ1403" s="581"/>
      <c r="BA1403" s="596"/>
      <c r="BB1403" s="596"/>
      <c r="BC1403" s="348"/>
      <c r="BD1403" s="581"/>
      <c r="BE1403" s="581"/>
      <c r="BF1403" s="347"/>
      <c r="BG1403" s="347"/>
      <c r="BH1403" s="347"/>
      <c r="BI1403" s="347"/>
      <c r="BJ1403" s="586"/>
      <c r="BK1403" s="581"/>
      <c r="BL1403" s="347"/>
      <c r="BM1403" s="347"/>
      <c r="BN1403" s="347"/>
      <c r="BO1403" s="586"/>
      <c r="BP1403" s="584"/>
      <c r="BQ1403" s="347"/>
      <c r="BR1403" s="586"/>
      <c r="BS1403" s="588"/>
      <c r="BT1403" s="586"/>
      <c r="BU1403" s="589"/>
      <c r="BV1403" s="581"/>
      <c r="BW1403" s="590"/>
      <c r="BX1403" s="347"/>
      <c r="BY1403" s="347"/>
      <c r="BZ1403" s="347"/>
      <c r="CA1403" s="586"/>
      <c r="CB1403" s="581"/>
      <c r="CC1403" s="581"/>
      <c r="CD1403" s="581"/>
      <c r="CE1403" s="581"/>
      <c r="CF1403" s="581"/>
      <c r="CG1403" s="586"/>
      <c r="CH1403" s="608"/>
      <c r="CI1403" s="603"/>
      <c r="CJ1403" s="347"/>
      <c r="CK1403" s="347"/>
      <c r="CL1403" s="347"/>
      <c r="CM1403" s="347"/>
      <c r="CN1403" s="347"/>
      <c r="CO1403" s="347"/>
      <c r="CP1403" s="347"/>
    </row>
    <row r="1404">
      <c r="A1404" s="574"/>
      <c r="B1404" s="574"/>
      <c r="C1404" s="347"/>
      <c r="D1404" s="574"/>
      <c r="E1404" s="347"/>
      <c r="F1404" s="596"/>
      <c r="G1404" s="596"/>
      <c r="H1404" s="347"/>
      <c r="I1404" s="347"/>
      <c r="J1404" s="596"/>
      <c r="K1404" s="609"/>
      <c r="L1404" s="1"/>
      <c r="M1404" s="347"/>
      <c r="N1404" s="347"/>
      <c r="O1404" s="579"/>
      <c r="P1404" s="579"/>
      <c r="Q1404" s="574"/>
      <c r="R1404" s="347"/>
      <c r="S1404" s="597"/>
      <c r="T1404" s="347"/>
      <c r="U1404" s="579"/>
      <c r="V1404" s="579"/>
      <c r="W1404" s="574"/>
      <c r="X1404" s="347"/>
      <c r="Y1404" s="347"/>
      <c r="Z1404" s="347"/>
      <c r="AA1404" s="579"/>
      <c r="AB1404" s="581"/>
      <c r="AC1404" s="347"/>
      <c r="AD1404" s="347"/>
      <c r="AE1404" s="347"/>
      <c r="AF1404" s="347"/>
      <c r="AG1404" s="579"/>
      <c r="AH1404" s="579"/>
      <c r="AI1404" s="582"/>
      <c r="AJ1404" s="582"/>
      <c r="AK1404" s="582"/>
      <c r="AL1404" s="582"/>
      <c r="AM1404" s="579"/>
      <c r="AN1404" s="579"/>
      <c r="AO1404" s="347"/>
      <c r="AP1404" s="586"/>
      <c r="AQ1404" s="596"/>
      <c r="AR1404" s="596"/>
      <c r="AS1404" s="348"/>
      <c r="AT1404" s="348"/>
      <c r="AU1404" s="348"/>
      <c r="AV1404" s="348"/>
      <c r="AW1404" s="348"/>
      <c r="AX1404" s="584"/>
      <c r="AY1404" s="581"/>
      <c r="AZ1404" s="581"/>
      <c r="BA1404" s="596"/>
      <c r="BB1404" s="596"/>
      <c r="BC1404" s="348"/>
      <c r="BD1404" s="581"/>
      <c r="BE1404" s="581"/>
      <c r="BF1404" s="347"/>
      <c r="BG1404" s="347"/>
      <c r="BH1404" s="347"/>
      <c r="BI1404" s="347"/>
      <c r="BJ1404" s="586"/>
      <c r="BK1404" s="581"/>
      <c r="BL1404" s="347"/>
      <c r="BM1404" s="347"/>
      <c r="BN1404" s="347"/>
      <c r="BO1404" s="586"/>
      <c r="BP1404" s="584"/>
      <c r="BQ1404" s="347"/>
      <c r="BR1404" s="586"/>
      <c r="BS1404" s="588"/>
      <c r="BT1404" s="586"/>
      <c r="BU1404" s="589"/>
      <c r="BV1404" s="581"/>
      <c r="BW1404" s="590"/>
      <c r="BX1404" s="347"/>
      <c r="BY1404" s="347"/>
      <c r="BZ1404" s="347"/>
      <c r="CA1404" s="586"/>
      <c r="CB1404" s="581"/>
      <c r="CC1404" s="581"/>
      <c r="CD1404" s="581"/>
      <c r="CE1404" s="581"/>
      <c r="CF1404" s="581"/>
      <c r="CG1404" s="586"/>
      <c r="CH1404" s="608"/>
      <c r="CI1404" s="603"/>
      <c r="CJ1404" s="347"/>
      <c r="CK1404" s="347"/>
      <c r="CL1404" s="347"/>
      <c r="CM1404" s="347"/>
      <c r="CN1404" s="347"/>
      <c r="CO1404" s="347"/>
      <c r="CP1404" s="347"/>
    </row>
    <row r="1405">
      <c r="A1405" s="574"/>
      <c r="B1405" s="574"/>
      <c r="C1405" s="347"/>
      <c r="D1405" s="574"/>
      <c r="E1405" s="347"/>
      <c r="F1405" s="596"/>
      <c r="G1405" s="596"/>
      <c r="H1405" s="347"/>
      <c r="I1405" s="347"/>
      <c r="J1405" s="596"/>
      <c r="K1405" s="609"/>
      <c r="L1405" s="1"/>
      <c r="M1405" s="347"/>
      <c r="N1405" s="347"/>
      <c r="O1405" s="579"/>
      <c r="P1405" s="579"/>
      <c r="Q1405" s="574"/>
      <c r="R1405" s="347"/>
      <c r="S1405" s="597"/>
      <c r="T1405" s="347"/>
      <c r="U1405" s="579"/>
      <c r="V1405" s="579"/>
      <c r="W1405" s="574"/>
      <c r="X1405" s="347"/>
      <c r="Y1405" s="347"/>
      <c r="Z1405" s="347"/>
      <c r="AA1405" s="579"/>
      <c r="AB1405" s="581"/>
      <c r="AC1405" s="347"/>
      <c r="AD1405" s="347"/>
      <c r="AE1405" s="347"/>
      <c r="AF1405" s="347"/>
      <c r="AG1405" s="579"/>
      <c r="AH1405" s="579"/>
      <c r="AI1405" s="582"/>
      <c r="AJ1405" s="582"/>
      <c r="AK1405" s="582"/>
      <c r="AL1405" s="582"/>
      <c r="AM1405" s="579"/>
      <c r="AN1405" s="579"/>
      <c r="AO1405" s="347"/>
      <c r="AP1405" s="586"/>
      <c r="AQ1405" s="596"/>
      <c r="AR1405" s="596"/>
      <c r="AS1405" s="348"/>
      <c r="AT1405" s="348"/>
      <c r="AU1405" s="348"/>
      <c r="AV1405" s="348"/>
      <c r="AW1405" s="348"/>
      <c r="AX1405" s="584"/>
      <c r="AY1405" s="581"/>
      <c r="AZ1405" s="581"/>
      <c r="BA1405" s="596"/>
      <c r="BB1405" s="596"/>
      <c r="BC1405" s="348"/>
      <c r="BD1405" s="581"/>
      <c r="BE1405" s="581"/>
      <c r="BF1405" s="347"/>
      <c r="BG1405" s="347"/>
      <c r="BH1405" s="347"/>
      <c r="BI1405" s="347"/>
      <c r="BJ1405" s="586"/>
      <c r="BK1405" s="581"/>
      <c r="BL1405" s="347"/>
      <c r="BM1405" s="347"/>
      <c r="BN1405" s="347"/>
      <c r="BO1405" s="586"/>
      <c r="BP1405" s="584"/>
      <c r="BQ1405" s="347"/>
      <c r="BR1405" s="586"/>
      <c r="BS1405" s="588"/>
      <c r="BT1405" s="586"/>
      <c r="BU1405" s="589"/>
      <c r="BV1405" s="581"/>
      <c r="BW1405" s="590"/>
      <c r="BX1405" s="347"/>
      <c r="BY1405" s="347"/>
      <c r="BZ1405" s="347"/>
      <c r="CA1405" s="586"/>
      <c r="CB1405" s="581"/>
      <c r="CC1405" s="581"/>
      <c r="CD1405" s="581"/>
      <c r="CE1405" s="581"/>
      <c r="CF1405" s="581"/>
      <c r="CG1405" s="586"/>
      <c r="CH1405" s="608"/>
      <c r="CI1405" s="603"/>
      <c r="CJ1405" s="347"/>
      <c r="CK1405" s="347"/>
      <c r="CL1405" s="347"/>
      <c r="CM1405" s="347"/>
      <c r="CN1405" s="347"/>
      <c r="CO1405" s="347"/>
      <c r="CP1405" s="347"/>
    </row>
    <row r="1406">
      <c r="A1406" s="574"/>
      <c r="B1406" s="574"/>
      <c r="C1406" s="347"/>
      <c r="D1406" s="574"/>
      <c r="E1406" s="347"/>
      <c r="F1406" s="596"/>
      <c r="G1406" s="596"/>
      <c r="H1406" s="347"/>
      <c r="I1406" s="347"/>
      <c r="J1406" s="596"/>
      <c r="K1406" s="609"/>
      <c r="L1406" s="1"/>
      <c r="M1406" s="347"/>
      <c r="N1406" s="347"/>
      <c r="O1406" s="579"/>
      <c r="P1406" s="579"/>
      <c r="Q1406" s="574"/>
      <c r="R1406" s="347"/>
      <c r="S1406" s="597"/>
      <c r="T1406" s="347"/>
      <c r="U1406" s="579"/>
      <c r="V1406" s="579"/>
      <c r="W1406" s="574"/>
      <c r="X1406" s="347"/>
      <c r="Y1406" s="347"/>
      <c r="Z1406" s="347"/>
      <c r="AA1406" s="579"/>
      <c r="AB1406" s="581"/>
      <c r="AC1406" s="347"/>
      <c r="AD1406" s="347"/>
      <c r="AE1406" s="347"/>
      <c r="AF1406" s="347"/>
      <c r="AG1406" s="579"/>
      <c r="AH1406" s="579"/>
      <c r="AI1406" s="582"/>
      <c r="AJ1406" s="582"/>
      <c r="AK1406" s="582"/>
      <c r="AL1406" s="582"/>
      <c r="AM1406" s="579"/>
      <c r="AN1406" s="579"/>
      <c r="AO1406" s="347"/>
      <c r="AP1406" s="586"/>
      <c r="AQ1406" s="596"/>
      <c r="AR1406" s="596"/>
      <c r="AS1406" s="348"/>
      <c r="AT1406" s="348"/>
      <c r="AU1406" s="348"/>
      <c r="AV1406" s="348"/>
      <c r="AW1406" s="348"/>
      <c r="AX1406" s="584"/>
      <c r="AY1406" s="581"/>
      <c r="AZ1406" s="581"/>
      <c r="BA1406" s="596"/>
      <c r="BB1406" s="596"/>
      <c r="BC1406" s="348"/>
      <c r="BD1406" s="581"/>
      <c r="BE1406" s="581"/>
      <c r="BF1406" s="347"/>
      <c r="BG1406" s="347"/>
      <c r="BH1406" s="347"/>
      <c r="BI1406" s="347"/>
      <c r="BJ1406" s="586"/>
      <c r="BK1406" s="581"/>
      <c r="BL1406" s="347"/>
      <c r="BM1406" s="347"/>
      <c r="BN1406" s="347"/>
      <c r="BO1406" s="586"/>
      <c r="BP1406" s="584"/>
      <c r="BQ1406" s="347"/>
      <c r="BR1406" s="586"/>
      <c r="BS1406" s="588"/>
      <c r="BT1406" s="586"/>
      <c r="BU1406" s="589"/>
      <c r="BV1406" s="581"/>
      <c r="BW1406" s="590"/>
      <c r="BX1406" s="347"/>
      <c r="BY1406" s="347"/>
      <c r="BZ1406" s="347"/>
      <c r="CA1406" s="586"/>
      <c r="CB1406" s="581"/>
      <c r="CC1406" s="581"/>
      <c r="CD1406" s="581"/>
      <c r="CE1406" s="581"/>
      <c r="CF1406" s="581"/>
      <c r="CG1406" s="586"/>
      <c r="CH1406" s="608"/>
      <c r="CI1406" s="603"/>
      <c r="CJ1406" s="347"/>
      <c r="CK1406" s="347"/>
      <c r="CL1406" s="347"/>
      <c r="CM1406" s="347"/>
      <c r="CN1406" s="347"/>
      <c r="CO1406" s="347"/>
      <c r="CP1406" s="347"/>
    </row>
    <row r="1407">
      <c r="A1407" s="574"/>
      <c r="B1407" s="574"/>
      <c r="C1407" s="347"/>
      <c r="D1407" s="574"/>
      <c r="E1407" s="347"/>
      <c r="F1407" s="596"/>
      <c r="G1407" s="596"/>
      <c r="H1407" s="347"/>
      <c r="I1407" s="347"/>
      <c r="J1407" s="596"/>
      <c r="K1407" s="609"/>
      <c r="L1407" s="1"/>
      <c r="M1407" s="347"/>
      <c r="N1407" s="347"/>
      <c r="O1407" s="579"/>
      <c r="P1407" s="579"/>
      <c r="Q1407" s="574"/>
      <c r="R1407" s="347"/>
      <c r="S1407" s="597"/>
      <c r="T1407" s="347"/>
      <c r="U1407" s="579"/>
      <c r="V1407" s="579"/>
      <c r="W1407" s="574"/>
      <c r="X1407" s="347"/>
      <c r="Y1407" s="347"/>
      <c r="Z1407" s="347"/>
      <c r="AA1407" s="579"/>
      <c r="AB1407" s="581"/>
      <c r="AC1407" s="347"/>
      <c r="AD1407" s="347"/>
      <c r="AE1407" s="347"/>
      <c r="AF1407" s="347"/>
      <c r="AG1407" s="579"/>
      <c r="AH1407" s="579"/>
      <c r="AI1407" s="582"/>
      <c r="AJ1407" s="582"/>
      <c r="AK1407" s="582"/>
      <c r="AL1407" s="582"/>
      <c r="AM1407" s="579"/>
      <c r="AN1407" s="579"/>
      <c r="AO1407" s="347"/>
      <c r="AP1407" s="586"/>
      <c r="AQ1407" s="596"/>
      <c r="AR1407" s="596"/>
      <c r="AS1407" s="348"/>
      <c r="AT1407" s="348"/>
      <c r="AU1407" s="348"/>
      <c r="AV1407" s="348"/>
      <c r="AW1407" s="348"/>
      <c r="AX1407" s="584"/>
      <c r="AY1407" s="581"/>
      <c r="AZ1407" s="581"/>
      <c r="BA1407" s="596"/>
      <c r="BB1407" s="596"/>
      <c r="BC1407" s="348"/>
      <c r="BD1407" s="581"/>
      <c r="BE1407" s="581"/>
      <c r="BF1407" s="347"/>
      <c r="BG1407" s="347"/>
      <c r="BH1407" s="347"/>
      <c r="BI1407" s="347"/>
      <c r="BJ1407" s="586"/>
      <c r="BK1407" s="581"/>
      <c r="BL1407" s="347"/>
      <c r="BM1407" s="347"/>
      <c r="BN1407" s="347"/>
      <c r="BO1407" s="586"/>
      <c r="BP1407" s="584"/>
      <c r="BQ1407" s="347"/>
      <c r="BR1407" s="586"/>
      <c r="BS1407" s="588"/>
      <c r="BT1407" s="586"/>
      <c r="BU1407" s="589"/>
      <c r="BV1407" s="581"/>
      <c r="BW1407" s="590"/>
      <c r="BX1407" s="347"/>
      <c r="BY1407" s="347"/>
      <c r="BZ1407" s="347"/>
      <c r="CA1407" s="586"/>
      <c r="CB1407" s="581"/>
      <c r="CC1407" s="581"/>
      <c r="CD1407" s="581"/>
      <c r="CE1407" s="581"/>
      <c r="CF1407" s="581"/>
      <c r="CG1407" s="586"/>
      <c r="CH1407" s="608"/>
      <c r="CI1407" s="603"/>
      <c r="CJ1407" s="347"/>
      <c r="CK1407" s="347"/>
      <c r="CL1407" s="347"/>
      <c r="CM1407" s="347"/>
      <c r="CN1407" s="347"/>
      <c r="CO1407" s="347"/>
      <c r="CP1407" s="347"/>
    </row>
    <row r="1408">
      <c r="A1408" s="574"/>
      <c r="B1408" s="574"/>
      <c r="C1408" s="347"/>
      <c r="D1408" s="574"/>
      <c r="E1408" s="347"/>
      <c r="F1408" s="596"/>
      <c r="G1408" s="596"/>
      <c r="H1408" s="347"/>
      <c r="I1408" s="347"/>
      <c r="J1408" s="596"/>
      <c r="K1408" s="609"/>
      <c r="L1408" s="1"/>
      <c r="M1408" s="347"/>
      <c r="N1408" s="347"/>
      <c r="O1408" s="579"/>
      <c r="P1408" s="579"/>
      <c r="Q1408" s="574"/>
      <c r="R1408" s="347"/>
      <c r="S1408" s="597"/>
      <c r="T1408" s="347"/>
      <c r="U1408" s="579"/>
      <c r="V1408" s="579"/>
      <c r="W1408" s="574"/>
      <c r="X1408" s="347"/>
      <c r="Y1408" s="347"/>
      <c r="Z1408" s="347"/>
      <c r="AA1408" s="579"/>
      <c r="AB1408" s="581"/>
      <c r="AC1408" s="347"/>
      <c r="AD1408" s="347"/>
      <c r="AE1408" s="347"/>
      <c r="AF1408" s="347"/>
      <c r="AG1408" s="579"/>
      <c r="AH1408" s="579"/>
      <c r="AI1408" s="582"/>
      <c r="AJ1408" s="582"/>
      <c r="AK1408" s="582"/>
      <c r="AL1408" s="582"/>
      <c r="AM1408" s="579"/>
      <c r="AN1408" s="579"/>
      <c r="AO1408" s="347"/>
      <c r="AP1408" s="586"/>
      <c r="AQ1408" s="596"/>
      <c r="AR1408" s="596"/>
      <c r="AS1408" s="348"/>
      <c r="AT1408" s="348"/>
      <c r="AU1408" s="348"/>
      <c r="AV1408" s="348"/>
      <c r="AW1408" s="348"/>
      <c r="AX1408" s="584"/>
      <c r="AY1408" s="581"/>
      <c r="AZ1408" s="581"/>
      <c r="BA1408" s="596"/>
      <c r="BB1408" s="596"/>
      <c r="BC1408" s="348"/>
      <c r="BD1408" s="581"/>
      <c r="BE1408" s="581"/>
      <c r="BF1408" s="347"/>
      <c r="BG1408" s="347"/>
      <c r="BH1408" s="347"/>
      <c r="BI1408" s="347"/>
      <c r="BJ1408" s="586"/>
      <c r="BK1408" s="581"/>
      <c r="BL1408" s="347"/>
      <c r="BM1408" s="347"/>
      <c r="BN1408" s="347"/>
      <c r="BO1408" s="586"/>
      <c r="BP1408" s="584"/>
      <c r="BQ1408" s="347"/>
      <c r="BR1408" s="586"/>
      <c r="BS1408" s="588"/>
      <c r="BT1408" s="586"/>
      <c r="BU1408" s="589"/>
      <c r="BV1408" s="581"/>
      <c r="BW1408" s="590"/>
      <c r="BX1408" s="347"/>
      <c r="BY1408" s="347"/>
      <c r="BZ1408" s="347"/>
      <c r="CA1408" s="586"/>
      <c r="CB1408" s="581"/>
      <c r="CC1408" s="581"/>
      <c r="CD1408" s="581"/>
      <c r="CE1408" s="581"/>
      <c r="CF1408" s="581"/>
      <c r="CG1408" s="586"/>
      <c r="CH1408" s="608"/>
      <c r="CI1408" s="603"/>
      <c r="CJ1408" s="347"/>
      <c r="CK1408" s="347"/>
      <c r="CL1408" s="347"/>
      <c r="CM1408" s="347"/>
      <c r="CN1408" s="347"/>
      <c r="CO1408" s="347"/>
      <c r="CP1408" s="347"/>
    </row>
    <row r="1409">
      <c r="A1409" s="574"/>
      <c r="B1409" s="574"/>
      <c r="C1409" s="347"/>
      <c r="D1409" s="574"/>
      <c r="E1409" s="347"/>
      <c r="F1409" s="596"/>
      <c r="G1409" s="596"/>
      <c r="H1409" s="347"/>
      <c r="I1409" s="347"/>
      <c r="J1409" s="596"/>
      <c r="K1409" s="609"/>
      <c r="L1409" s="1"/>
      <c r="M1409" s="347"/>
      <c r="N1409" s="347"/>
      <c r="O1409" s="579"/>
      <c r="P1409" s="579"/>
      <c r="Q1409" s="574"/>
      <c r="R1409" s="347"/>
      <c r="S1409" s="597"/>
      <c r="T1409" s="347"/>
      <c r="U1409" s="579"/>
      <c r="V1409" s="579"/>
      <c r="W1409" s="574"/>
      <c r="X1409" s="347"/>
      <c r="Y1409" s="347"/>
      <c r="Z1409" s="347"/>
      <c r="AA1409" s="579"/>
      <c r="AB1409" s="581"/>
      <c r="AC1409" s="347"/>
      <c r="AD1409" s="347"/>
      <c r="AE1409" s="347"/>
      <c r="AF1409" s="347"/>
      <c r="AG1409" s="579"/>
      <c r="AH1409" s="579"/>
      <c r="AI1409" s="582"/>
      <c r="AJ1409" s="582"/>
      <c r="AK1409" s="582"/>
      <c r="AL1409" s="582"/>
      <c r="AM1409" s="579"/>
      <c r="AN1409" s="579"/>
      <c r="AO1409" s="347"/>
      <c r="AP1409" s="586"/>
      <c r="AQ1409" s="596"/>
      <c r="AR1409" s="596"/>
      <c r="AS1409" s="348"/>
      <c r="AT1409" s="348"/>
      <c r="AU1409" s="348"/>
      <c r="AV1409" s="348"/>
      <c r="AW1409" s="348"/>
      <c r="AX1409" s="584"/>
      <c r="AY1409" s="581"/>
      <c r="AZ1409" s="581"/>
      <c r="BA1409" s="596"/>
      <c r="BB1409" s="596"/>
      <c r="BC1409" s="348"/>
      <c r="BD1409" s="581"/>
      <c r="BE1409" s="581"/>
      <c r="BF1409" s="347"/>
      <c r="BG1409" s="347"/>
      <c r="BH1409" s="347"/>
      <c r="BI1409" s="347"/>
      <c r="BJ1409" s="586"/>
      <c r="BK1409" s="581"/>
      <c r="BL1409" s="347"/>
      <c r="BM1409" s="347"/>
      <c r="BN1409" s="347"/>
      <c r="BO1409" s="586"/>
      <c r="BP1409" s="584"/>
      <c r="BQ1409" s="347"/>
      <c r="BR1409" s="586"/>
      <c r="BS1409" s="588"/>
      <c r="BT1409" s="586"/>
      <c r="BU1409" s="589"/>
      <c r="BV1409" s="581"/>
      <c r="BW1409" s="590"/>
      <c r="BX1409" s="347"/>
      <c r="BY1409" s="347"/>
      <c r="BZ1409" s="347"/>
      <c r="CA1409" s="586"/>
      <c r="CB1409" s="581"/>
      <c r="CC1409" s="581"/>
      <c r="CD1409" s="581"/>
      <c r="CE1409" s="581"/>
      <c r="CF1409" s="581"/>
      <c r="CG1409" s="586"/>
      <c r="CH1409" s="608"/>
      <c r="CI1409" s="603"/>
      <c r="CJ1409" s="347"/>
      <c r="CK1409" s="347"/>
      <c r="CL1409" s="347"/>
      <c r="CM1409" s="347"/>
      <c r="CN1409" s="347"/>
      <c r="CO1409" s="347"/>
      <c r="CP1409" s="347"/>
    </row>
    <row r="1410">
      <c r="A1410" s="574"/>
      <c r="B1410" s="574"/>
      <c r="C1410" s="347"/>
      <c r="D1410" s="574"/>
      <c r="E1410" s="347"/>
      <c r="F1410" s="596"/>
      <c r="G1410" s="596"/>
      <c r="H1410" s="347"/>
      <c r="I1410" s="347"/>
      <c r="J1410" s="596"/>
      <c r="K1410" s="609"/>
      <c r="L1410" s="1"/>
      <c r="M1410" s="347"/>
      <c r="N1410" s="347"/>
      <c r="O1410" s="579"/>
      <c r="P1410" s="579"/>
      <c r="Q1410" s="574"/>
      <c r="R1410" s="347"/>
      <c r="S1410" s="597"/>
      <c r="T1410" s="347"/>
      <c r="U1410" s="579"/>
      <c r="V1410" s="579"/>
      <c r="W1410" s="574"/>
      <c r="X1410" s="347"/>
      <c r="Y1410" s="347"/>
      <c r="Z1410" s="347"/>
      <c r="AA1410" s="579"/>
      <c r="AB1410" s="581"/>
      <c r="AC1410" s="347"/>
      <c r="AD1410" s="347"/>
      <c r="AE1410" s="347"/>
      <c r="AF1410" s="347"/>
      <c r="AG1410" s="579"/>
      <c r="AH1410" s="579"/>
      <c r="AI1410" s="582"/>
      <c r="AJ1410" s="582"/>
      <c r="AK1410" s="582"/>
      <c r="AL1410" s="582"/>
      <c r="AM1410" s="579"/>
      <c r="AN1410" s="579"/>
      <c r="AO1410" s="347"/>
      <c r="AP1410" s="586"/>
      <c r="AQ1410" s="596"/>
      <c r="AR1410" s="596"/>
      <c r="AS1410" s="348"/>
      <c r="AT1410" s="348"/>
      <c r="AU1410" s="348"/>
      <c r="AV1410" s="348"/>
      <c r="AW1410" s="348"/>
      <c r="AX1410" s="584"/>
      <c r="AY1410" s="581"/>
      <c r="AZ1410" s="581"/>
      <c r="BA1410" s="596"/>
      <c r="BB1410" s="596"/>
      <c r="BC1410" s="348"/>
      <c r="BD1410" s="581"/>
      <c r="BE1410" s="581"/>
      <c r="BF1410" s="347"/>
      <c r="BG1410" s="347"/>
      <c r="BH1410" s="347"/>
      <c r="BI1410" s="347"/>
      <c r="BJ1410" s="586"/>
      <c r="BK1410" s="581"/>
      <c r="BL1410" s="347"/>
      <c r="BM1410" s="347"/>
      <c r="BN1410" s="347"/>
      <c r="BO1410" s="586"/>
      <c r="BP1410" s="584"/>
      <c r="BQ1410" s="347"/>
      <c r="BR1410" s="586"/>
      <c r="BS1410" s="588"/>
      <c r="BT1410" s="586"/>
      <c r="BU1410" s="589"/>
      <c r="BV1410" s="581"/>
      <c r="BW1410" s="590"/>
      <c r="BX1410" s="347"/>
      <c r="BY1410" s="347"/>
      <c r="BZ1410" s="347"/>
      <c r="CA1410" s="586"/>
      <c r="CB1410" s="581"/>
      <c r="CC1410" s="581"/>
      <c r="CD1410" s="581"/>
      <c r="CE1410" s="581"/>
      <c r="CF1410" s="581"/>
      <c r="CG1410" s="586"/>
      <c r="CH1410" s="608"/>
      <c r="CI1410" s="603"/>
      <c r="CJ1410" s="347"/>
      <c r="CK1410" s="347"/>
      <c r="CL1410" s="347"/>
      <c r="CM1410" s="347"/>
      <c r="CN1410" s="347"/>
      <c r="CO1410" s="347"/>
      <c r="CP1410" s="347"/>
    </row>
    <row r="1411">
      <c r="A1411" s="574"/>
      <c r="B1411" s="574"/>
      <c r="C1411" s="347"/>
      <c r="D1411" s="574"/>
      <c r="E1411" s="347"/>
      <c r="F1411" s="596"/>
      <c r="G1411" s="596"/>
      <c r="H1411" s="347"/>
      <c r="I1411" s="347"/>
      <c r="J1411" s="596"/>
      <c r="K1411" s="609"/>
      <c r="L1411" s="1"/>
      <c r="M1411" s="347"/>
      <c r="N1411" s="347"/>
      <c r="O1411" s="579"/>
      <c r="P1411" s="579"/>
      <c r="Q1411" s="574"/>
      <c r="R1411" s="347"/>
      <c r="S1411" s="597"/>
      <c r="T1411" s="347"/>
      <c r="U1411" s="579"/>
      <c r="V1411" s="579"/>
      <c r="W1411" s="574"/>
      <c r="X1411" s="347"/>
      <c r="Y1411" s="347"/>
      <c r="Z1411" s="347"/>
      <c r="AA1411" s="579"/>
      <c r="AB1411" s="581"/>
      <c r="AC1411" s="347"/>
      <c r="AD1411" s="347"/>
      <c r="AE1411" s="347"/>
      <c r="AF1411" s="347"/>
      <c r="AG1411" s="579"/>
      <c r="AH1411" s="579"/>
      <c r="AI1411" s="582"/>
      <c r="AJ1411" s="582"/>
      <c r="AK1411" s="582"/>
      <c r="AL1411" s="582"/>
      <c r="AM1411" s="579"/>
      <c r="AN1411" s="579"/>
      <c r="AO1411" s="347"/>
      <c r="AP1411" s="586"/>
      <c r="AQ1411" s="596"/>
      <c r="AR1411" s="596"/>
      <c r="AS1411" s="348"/>
      <c r="AT1411" s="348"/>
      <c r="AU1411" s="348"/>
      <c r="AV1411" s="348"/>
      <c r="AW1411" s="348"/>
      <c r="AX1411" s="584"/>
      <c r="AY1411" s="581"/>
      <c r="AZ1411" s="581"/>
      <c r="BA1411" s="596"/>
      <c r="BB1411" s="596"/>
      <c r="BC1411" s="348"/>
      <c r="BD1411" s="581"/>
      <c r="BE1411" s="581"/>
      <c r="BF1411" s="347"/>
      <c r="BG1411" s="347"/>
      <c r="BH1411" s="347"/>
      <c r="BI1411" s="347"/>
      <c r="BJ1411" s="586"/>
      <c r="BK1411" s="581"/>
      <c r="BL1411" s="347"/>
      <c r="BM1411" s="347"/>
      <c r="BN1411" s="347"/>
      <c r="BO1411" s="586"/>
      <c r="BP1411" s="584"/>
      <c r="BQ1411" s="347"/>
      <c r="BR1411" s="586"/>
      <c r="BS1411" s="588"/>
      <c r="BT1411" s="586"/>
      <c r="BU1411" s="589"/>
      <c r="BV1411" s="581"/>
      <c r="BW1411" s="590"/>
      <c r="BX1411" s="347"/>
      <c r="BY1411" s="347"/>
      <c r="BZ1411" s="347"/>
      <c r="CA1411" s="586"/>
      <c r="CB1411" s="581"/>
      <c r="CC1411" s="581"/>
      <c r="CD1411" s="581"/>
      <c r="CE1411" s="581"/>
      <c r="CF1411" s="581"/>
      <c r="CG1411" s="586"/>
      <c r="CH1411" s="608"/>
      <c r="CI1411" s="603"/>
      <c r="CJ1411" s="347"/>
      <c r="CK1411" s="347"/>
      <c r="CL1411" s="347"/>
      <c r="CM1411" s="347"/>
      <c r="CN1411" s="347"/>
      <c r="CO1411" s="347"/>
      <c r="CP1411" s="347"/>
    </row>
    <row r="1412">
      <c r="A1412" s="574"/>
      <c r="B1412" s="574"/>
      <c r="C1412" s="347"/>
      <c r="D1412" s="574"/>
      <c r="E1412" s="347"/>
      <c r="F1412" s="596"/>
      <c r="G1412" s="596"/>
      <c r="H1412" s="347"/>
      <c r="I1412" s="347"/>
      <c r="J1412" s="596"/>
      <c r="K1412" s="609"/>
      <c r="L1412" s="1"/>
      <c r="M1412" s="347"/>
      <c r="N1412" s="347"/>
      <c r="O1412" s="579"/>
      <c r="P1412" s="579"/>
      <c r="Q1412" s="574"/>
      <c r="R1412" s="347"/>
      <c r="S1412" s="597"/>
      <c r="T1412" s="347"/>
      <c r="U1412" s="579"/>
      <c r="V1412" s="579"/>
      <c r="W1412" s="574"/>
      <c r="X1412" s="347"/>
      <c r="Y1412" s="347"/>
      <c r="Z1412" s="347"/>
      <c r="AA1412" s="579"/>
      <c r="AB1412" s="581"/>
      <c r="AC1412" s="347"/>
      <c r="AD1412" s="347"/>
      <c r="AE1412" s="347"/>
      <c r="AF1412" s="347"/>
      <c r="AG1412" s="579"/>
      <c r="AH1412" s="579"/>
      <c r="AI1412" s="582"/>
      <c r="AJ1412" s="582"/>
      <c r="AK1412" s="582"/>
      <c r="AL1412" s="582"/>
      <c r="AM1412" s="579"/>
      <c r="AN1412" s="579"/>
      <c r="AO1412" s="347"/>
      <c r="AP1412" s="586"/>
      <c r="AQ1412" s="596"/>
      <c r="AR1412" s="596"/>
      <c r="AS1412" s="348"/>
      <c r="AT1412" s="348"/>
      <c r="AU1412" s="348"/>
      <c r="AV1412" s="348"/>
      <c r="AW1412" s="348"/>
      <c r="AX1412" s="584"/>
      <c r="AY1412" s="581"/>
      <c r="AZ1412" s="581"/>
      <c r="BA1412" s="596"/>
      <c r="BB1412" s="596"/>
      <c r="BC1412" s="348"/>
      <c r="BD1412" s="581"/>
      <c r="BE1412" s="581"/>
      <c r="BF1412" s="347"/>
      <c r="BG1412" s="347"/>
      <c r="BH1412" s="347"/>
      <c r="BI1412" s="347"/>
      <c r="BJ1412" s="586"/>
      <c r="BK1412" s="581"/>
      <c r="BL1412" s="347"/>
      <c r="BM1412" s="347"/>
      <c r="BN1412" s="347"/>
      <c r="BO1412" s="586"/>
      <c r="BP1412" s="584"/>
      <c r="BQ1412" s="347"/>
      <c r="BR1412" s="586"/>
      <c r="BS1412" s="588"/>
      <c r="BT1412" s="586"/>
      <c r="BU1412" s="589"/>
      <c r="BV1412" s="581"/>
      <c r="BW1412" s="590"/>
      <c r="BX1412" s="347"/>
      <c r="BY1412" s="347"/>
      <c r="BZ1412" s="347"/>
      <c r="CA1412" s="586"/>
      <c r="CB1412" s="581"/>
      <c r="CC1412" s="581"/>
      <c r="CD1412" s="581"/>
      <c r="CE1412" s="581"/>
      <c r="CF1412" s="581"/>
      <c r="CG1412" s="586"/>
      <c r="CH1412" s="608"/>
      <c r="CI1412" s="603"/>
      <c r="CJ1412" s="347"/>
      <c r="CK1412" s="347"/>
      <c r="CL1412" s="347"/>
      <c r="CM1412" s="347"/>
      <c r="CN1412" s="347"/>
      <c r="CO1412" s="347"/>
      <c r="CP1412" s="347"/>
    </row>
    <row r="1413">
      <c r="A1413" s="574"/>
      <c r="B1413" s="574"/>
      <c r="C1413" s="347"/>
      <c r="D1413" s="574"/>
      <c r="E1413" s="347"/>
      <c r="F1413" s="596"/>
      <c r="G1413" s="596"/>
      <c r="H1413" s="347"/>
      <c r="I1413" s="347"/>
      <c r="J1413" s="596"/>
      <c r="K1413" s="609"/>
      <c r="L1413" s="1"/>
      <c r="M1413" s="347"/>
      <c r="N1413" s="347"/>
      <c r="O1413" s="579"/>
      <c r="P1413" s="579"/>
      <c r="Q1413" s="574"/>
      <c r="R1413" s="347"/>
      <c r="S1413" s="597"/>
      <c r="T1413" s="347"/>
      <c r="U1413" s="579"/>
      <c r="V1413" s="579"/>
      <c r="W1413" s="574"/>
      <c r="X1413" s="347"/>
      <c r="Y1413" s="347"/>
      <c r="Z1413" s="347"/>
      <c r="AA1413" s="579"/>
      <c r="AB1413" s="581"/>
      <c r="AC1413" s="347"/>
      <c r="AD1413" s="347"/>
      <c r="AE1413" s="347"/>
      <c r="AF1413" s="347"/>
      <c r="AG1413" s="579"/>
      <c r="AH1413" s="579"/>
      <c r="AI1413" s="582"/>
      <c r="AJ1413" s="582"/>
      <c r="AK1413" s="582"/>
      <c r="AL1413" s="582"/>
      <c r="AM1413" s="579"/>
      <c r="AN1413" s="579"/>
      <c r="AO1413" s="347"/>
      <c r="AP1413" s="586"/>
      <c r="AQ1413" s="596"/>
      <c r="AR1413" s="596"/>
      <c r="AS1413" s="348"/>
      <c r="AT1413" s="348"/>
      <c r="AU1413" s="348"/>
      <c r="AV1413" s="348"/>
      <c r="AW1413" s="348"/>
      <c r="AX1413" s="584"/>
      <c r="AY1413" s="581"/>
      <c r="AZ1413" s="581"/>
      <c r="BA1413" s="596"/>
      <c r="BB1413" s="596"/>
      <c r="BC1413" s="348"/>
      <c r="BD1413" s="581"/>
      <c r="BE1413" s="581"/>
      <c r="BF1413" s="347"/>
      <c r="BG1413" s="347"/>
      <c r="BH1413" s="347"/>
      <c r="BI1413" s="347"/>
      <c r="BJ1413" s="586"/>
      <c r="BK1413" s="581"/>
      <c r="BL1413" s="347"/>
      <c r="BM1413" s="347"/>
      <c r="BN1413" s="347"/>
      <c r="BO1413" s="586"/>
      <c r="BP1413" s="584"/>
      <c r="BQ1413" s="347"/>
      <c r="BR1413" s="586"/>
      <c r="BS1413" s="588"/>
      <c r="BT1413" s="586"/>
      <c r="BU1413" s="589"/>
      <c r="BV1413" s="581"/>
      <c r="BW1413" s="590"/>
      <c r="BX1413" s="347"/>
      <c r="BY1413" s="347"/>
      <c r="BZ1413" s="347"/>
      <c r="CA1413" s="586"/>
      <c r="CB1413" s="581"/>
      <c r="CC1413" s="581"/>
      <c r="CD1413" s="581"/>
      <c r="CE1413" s="581"/>
      <c r="CF1413" s="581"/>
      <c r="CG1413" s="586"/>
      <c r="CH1413" s="608"/>
      <c r="CI1413" s="603"/>
      <c r="CJ1413" s="347"/>
      <c r="CK1413" s="347"/>
      <c r="CL1413" s="347"/>
      <c r="CM1413" s="347"/>
      <c r="CN1413" s="347"/>
      <c r="CO1413" s="347"/>
      <c r="CP1413" s="347"/>
    </row>
    <row r="1414">
      <c r="A1414" s="574"/>
      <c r="B1414" s="574"/>
      <c r="C1414" s="347"/>
      <c r="D1414" s="574"/>
      <c r="E1414" s="347"/>
      <c r="F1414" s="596"/>
      <c r="G1414" s="596"/>
      <c r="H1414" s="347"/>
      <c r="I1414" s="347"/>
      <c r="J1414" s="596"/>
      <c r="K1414" s="609"/>
      <c r="L1414" s="1"/>
      <c r="M1414" s="347"/>
      <c r="N1414" s="347"/>
      <c r="O1414" s="579"/>
      <c r="P1414" s="579"/>
      <c r="Q1414" s="574"/>
      <c r="R1414" s="347"/>
      <c r="S1414" s="597"/>
      <c r="T1414" s="347"/>
      <c r="U1414" s="579"/>
      <c r="V1414" s="579"/>
      <c r="W1414" s="574"/>
      <c r="X1414" s="347"/>
      <c r="Y1414" s="347"/>
      <c r="Z1414" s="347"/>
      <c r="AA1414" s="579"/>
      <c r="AB1414" s="581"/>
      <c r="AC1414" s="347"/>
      <c r="AD1414" s="347"/>
      <c r="AE1414" s="347"/>
      <c r="AF1414" s="347"/>
      <c r="AG1414" s="579"/>
      <c r="AH1414" s="579"/>
      <c r="AI1414" s="582"/>
      <c r="AJ1414" s="582"/>
      <c r="AK1414" s="582"/>
      <c r="AL1414" s="582"/>
      <c r="AM1414" s="579"/>
      <c r="AN1414" s="579"/>
      <c r="AO1414" s="347"/>
      <c r="AP1414" s="586"/>
      <c r="AQ1414" s="596"/>
      <c r="AR1414" s="596"/>
      <c r="AS1414" s="348"/>
      <c r="AT1414" s="348"/>
      <c r="AU1414" s="348"/>
      <c r="AV1414" s="348"/>
      <c r="AW1414" s="348"/>
      <c r="AX1414" s="584"/>
      <c r="AY1414" s="581"/>
      <c r="AZ1414" s="581"/>
      <c r="BA1414" s="596"/>
      <c r="BB1414" s="596"/>
      <c r="BC1414" s="348"/>
      <c r="BD1414" s="581"/>
      <c r="BE1414" s="581"/>
      <c r="BF1414" s="347"/>
      <c r="BG1414" s="347"/>
      <c r="BH1414" s="347"/>
      <c r="BI1414" s="347"/>
      <c r="BJ1414" s="586"/>
      <c r="BK1414" s="581"/>
      <c r="BL1414" s="347"/>
      <c r="BM1414" s="347"/>
      <c r="BN1414" s="347"/>
      <c r="BO1414" s="586"/>
      <c r="BP1414" s="584"/>
      <c r="BQ1414" s="347"/>
      <c r="BR1414" s="586"/>
      <c r="BS1414" s="588"/>
      <c r="BT1414" s="586"/>
      <c r="BU1414" s="589"/>
      <c r="BV1414" s="581"/>
      <c r="BW1414" s="590"/>
      <c r="BX1414" s="347"/>
      <c r="BY1414" s="347"/>
      <c r="BZ1414" s="347"/>
      <c r="CA1414" s="586"/>
      <c r="CB1414" s="581"/>
      <c r="CC1414" s="581"/>
      <c r="CD1414" s="581"/>
      <c r="CE1414" s="581"/>
      <c r="CF1414" s="581"/>
      <c r="CG1414" s="586"/>
      <c r="CH1414" s="608"/>
      <c r="CI1414" s="603"/>
      <c r="CJ1414" s="347"/>
      <c r="CK1414" s="347"/>
      <c r="CL1414" s="347"/>
      <c r="CM1414" s="347"/>
      <c r="CN1414" s="347"/>
      <c r="CO1414" s="347"/>
      <c r="CP1414" s="347"/>
    </row>
    <row r="1415">
      <c r="A1415" s="574"/>
      <c r="B1415" s="574"/>
      <c r="C1415" s="347"/>
      <c r="D1415" s="574"/>
      <c r="E1415" s="347"/>
      <c r="F1415" s="596"/>
      <c r="G1415" s="596"/>
      <c r="H1415" s="347"/>
      <c r="I1415" s="347"/>
      <c r="J1415" s="596"/>
      <c r="K1415" s="609"/>
      <c r="L1415" s="1"/>
      <c r="M1415" s="347"/>
      <c r="N1415" s="347"/>
      <c r="O1415" s="579"/>
      <c r="P1415" s="579"/>
      <c r="Q1415" s="574"/>
      <c r="R1415" s="347"/>
      <c r="S1415" s="597"/>
      <c r="T1415" s="347"/>
      <c r="U1415" s="579"/>
      <c r="V1415" s="579"/>
      <c r="W1415" s="574"/>
      <c r="X1415" s="347"/>
      <c r="Y1415" s="347"/>
      <c r="Z1415" s="347"/>
      <c r="AA1415" s="579"/>
      <c r="AB1415" s="581"/>
      <c r="AC1415" s="347"/>
      <c r="AD1415" s="347"/>
      <c r="AE1415" s="347"/>
      <c r="AF1415" s="347"/>
      <c r="AG1415" s="579"/>
      <c r="AH1415" s="579"/>
      <c r="AI1415" s="582"/>
      <c r="AJ1415" s="582"/>
      <c r="AK1415" s="582"/>
      <c r="AL1415" s="582"/>
      <c r="AM1415" s="579"/>
      <c r="AN1415" s="579"/>
      <c r="AO1415" s="347"/>
      <c r="AP1415" s="586"/>
      <c r="AQ1415" s="596"/>
      <c r="AR1415" s="596"/>
      <c r="AS1415" s="348"/>
      <c r="AT1415" s="348"/>
      <c r="AU1415" s="348"/>
      <c r="AV1415" s="348"/>
      <c r="AW1415" s="348"/>
      <c r="AX1415" s="584"/>
      <c r="AY1415" s="581"/>
      <c r="AZ1415" s="581"/>
      <c r="BA1415" s="596"/>
      <c r="BB1415" s="596"/>
      <c r="BC1415" s="348"/>
      <c r="BD1415" s="581"/>
      <c r="BE1415" s="581"/>
      <c r="BF1415" s="347"/>
      <c r="BG1415" s="347"/>
      <c r="BH1415" s="347"/>
      <c r="BI1415" s="347"/>
      <c r="BJ1415" s="586"/>
      <c r="BK1415" s="581"/>
      <c r="BL1415" s="347"/>
      <c r="BM1415" s="347"/>
      <c r="BN1415" s="347"/>
      <c r="BO1415" s="586"/>
      <c r="BP1415" s="584"/>
      <c r="BQ1415" s="347"/>
      <c r="BR1415" s="586"/>
      <c r="BS1415" s="588"/>
      <c r="BT1415" s="586"/>
      <c r="BU1415" s="589"/>
      <c r="BV1415" s="581"/>
      <c r="BW1415" s="590"/>
      <c r="BX1415" s="347"/>
      <c r="BY1415" s="347"/>
      <c r="BZ1415" s="347"/>
      <c r="CA1415" s="586"/>
      <c r="CB1415" s="581"/>
      <c r="CC1415" s="581"/>
      <c r="CD1415" s="581"/>
      <c r="CE1415" s="581"/>
      <c r="CF1415" s="581"/>
      <c r="CG1415" s="586"/>
      <c r="CH1415" s="608"/>
      <c r="CI1415" s="603"/>
      <c r="CJ1415" s="347"/>
      <c r="CK1415" s="347"/>
      <c r="CL1415" s="347"/>
      <c r="CM1415" s="347"/>
      <c r="CN1415" s="347"/>
      <c r="CO1415" s="347"/>
      <c r="CP1415" s="347"/>
    </row>
    <row r="1416">
      <c r="A1416" s="574"/>
      <c r="B1416" s="574"/>
      <c r="C1416" s="347"/>
      <c r="D1416" s="574"/>
      <c r="E1416" s="347"/>
      <c r="F1416" s="596"/>
      <c r="G1416" s="596"/>
      <c r="H1416" s="347"/>
      <c r="I1416" s="347"/>
      <c r="J1416" s="596"/>
      <c r="K1416" s="609"/>
      <c r="L1416" s="1"/>
      <c r="M1416" s="347"/>
      <c r="N1416" s="347"/>
      <c r="O1416" s="579"/>
      <c r="P1416" s="579"/>
      <c r="Q1416" s="574"/>
      <c r="R1416" s="347"/>
      <c r="S1416" s="597"/>
      <c r="T1416" s="347"/>
      <c r="U1416" s="579"/>
      <c r="V1416" s="579"/>
      <c r="W1416" s="574"/>
      <c r="X1416" s="347"/>
      <c r="Y1416" s="347"/>
      <c r="Z1416" s="347"/>
      <c r="AA1416" s="579"/>
      <c r="AB1416" s="581"/>
      <c r="AC1416" s="347"/>
      <c r="AD1416" s="347"/>
      <c r="AE1416" s="347"/>
      <c r="AF1416" s="347"/>
      <c r="AG1416" s="579"/>
      <c r="AH1416" s="579"/>
      <c r="AI1416" s="582"/>
      <c r="AJ1416" s="582"/>
      <c r="AK1416" s="582"/>
      <c r="AL1416" s="582"/>
      <c r="AM1416" s="579"/>
      <c r="AN1416" s="579"/>
      <c r="AO1416" s="347"/>
      <c r="AP1416" s="586"/>
      <c r="AQ1416" s="596"/>
      <c r="AR1416" s="596"/>
      <c r="AS1416" s="348"/>
      <c r="AT1416" s="348"/>
      <c r="AU1416" s="348"/>
      <c r="AV1416" s="348"/>
      <c r="AW1416" s="348"/>
      <c r="AX1416" s="584"/>
      <c r="AY1416" s="581"/>
      <c r="AZ1416" s="581"/>
      <c r="BA1416" s="596"/>
      <c r="BB1416" s="596"/>
      <c r="BC1416" s="348"/>
      <c r="BD1416" s="581"/>
      <c r="BE1416" s="581"/>
      <c r="BF1416" s="347"/>
      <c r="BG1416" s="347"/>
      <c r="BH1416" s="347"/>
      <c r="BI1416" s="347"/>
      <c r="BJ1416" s="586"/>
      <c r="BK1416" s="581"/>
      <c r="BL1416" s="347"/>
      <c r="BM1416" s="347"/>
      <c r="BN1416" s="347"/>
      <c r="BO1416" s="586"/>
      <c r="BP1416" s="584"/>
      <c r="BQ1416" s="347"/>
      <c r="BR1416" s="586"/>
      <c r="BS1416" s="588"/>
      <c r="BT1416" s="586"/>
      <c r="BU1416" s="589"/>
      <c r="BV1416" s="581"/>
      <c r="BW1416" s="590"/>
      <c r="BX1416" s="347"/>
      <c r="BY1416" s="347"/>
      <c r="BZ1416" s="347"/>
      <c r="CA1416" s="586"/>
      <c r="CB1416" s="581"/>
      <c r="CC1416" s="581"/>
      <c r="CD1416" s="581"/>
      <c r="CE1416" s="581"/>
      <c r="CF1416" s="581"/>
      <c r="CG1416" s="586"/>
      <c r="CH1416" s="608"/>
      <c r="CI1416" s="603"/>
      <c r="CJ1416" s="347"/>
      <c r="CK1416" s="347"/>
      <c r="CL1416" s="347"/>
      <c r="CM1416" s="347"/>
      <c r="CN1416" s="347"/>
      <c r="CO1416" s="347"/>
      <c r="CP1416" s="347"/>
    </row>
    <row r="1417">
      <c r="A1417" s="574"/>
      <c r="B1417" s="574"/>
      <c r="C1417" s="347"/>
      <c r="D1417" s="574"/>
      <c r="E1417" s="347"/>
      <c r="F1417" s="596"/>
      <c r="G1417" s="596"/>
      <c r="H1417" s="347"/>
      <c r="I1417" s="347"/>
      <c r="J1417" s="596"/>
      <c r="K1417" s="609"/>
      <c r="L1417" s="1"/>
      <c r="M1417" s="347"/>
      <c r="N1417" s="347"/>
      <c r="O1417" s="579"/>
      <c r="P1417" s="579"/>
      <c r="Q1417" s="574"/>
      <c r="R1417" s="347"/>
      <c r="S1417" s="597"/>
      <c r="T1417" s="347"/>
      <c r="U1417" s="579"/>
      <c r="V1417" s="579"/>
      <c r="W1417" s="574"/>
      <c r="X1417" s="347"/>
      <c r="Y1417" s="347"/>
      <c r="Z1417" s="347"/>
      <c r="AA1417" s="579"/>
      <c r="AB1417" s="581"/>
      <c r="AC1417" s="347"/>
      <c r="AD1417" s="347"/>
      <c r="AE1417" s="347"/>
      <c r="AF1417" s="347"/>
      <c r="AG1417" s="579"/>
      <c r="AH1417" s="579"/>
      <c r="AI1417" s="582"/>
      <c r="AJ1417" s="582"/>
      <c r="AK1417" s="582"/>
      <c r="AL1417" s="582"/>
      <c r="AM1417" s="579"/>
      <c r="AN1417" s="579"/>
      <c r="AO1417" s="347"/>
      <c r="AP1417" s="586"/>
      <c r="AQ1417" s="596"/>
      <c r="AR1417" s="596"/>
      <c r="AS1417" s="348"/>
      <c r="AT1417" s="348"/>
      <c r="AU1417" s="348"/>
      <c r="AV1417" s="348"/>
      <c r="AW1417" s="348"/>
      <c r="AX1417" s="584"/>
      <c r="AY1417" s="581"/>
      <c r="AZ1417" s="581"/>
      <c r="BA1417" s="596"/>
      <c r="BB1417" s="596"/>
      <c r="BC1417" s="348"/>
      <c r="BD1417" s="581"/>
      <c r="BE1417" s="581"/>
      <c r="BF1417" s="347"/>
      <c r="BG1417" s="347"/>
      <c r="BH1417" s="347"/>
      <c r="BI1417" s="347"/>
      <c r="BJ1417" s="586"/>
      <c r="BK1417" s="581"/>
      <c r="BL1417" s="347"/>
      <c r="BM1417" s="347"/>
      <c r="BN1417" s="347"/>
      <c r="BO1417" s="586"/>
      <c r="BP1417" s="584"/>
      <c r="BQ1417" s="347"/>
      <c r="BR1417" s="586"/>
      <c r="BS1417" s="588"/>
      <c r="BT1417" s="586"/>
      <c r="BU1417" s="589"/>
      <c r="BV1417" s="581"/>
      <c r="BW1417" s="590"/>
      <c r="BX1417" s="347"/>
      <c r="BY1417" s="347"/>
      <c r="BZ1417" s="347"/>
      <c r="CA1417" s="586"/>
      <c r="CB1417" s="581"/>
      <c r="CC1417" s="581"/>
      <c r="CD1417" s="581"/>
      <c r="CE1417" s="581"/>
      <c r="CF1417" s="581"/>
      <c r="CG1417" s="586"/>
      <c r="CH1417" s="608"/>
      <c r="CI1417" s="603"/>
      <c r="CJ1417" s="347"/>
      <c r="CK1417" s="347"/>
      <c r="CL1417" s="347"/>
      <c r="CM1417" s="347"/>
      <c r="CN1417" s="347"/>
      <c r="CO1417" s="347"/>
      <c r="CP1417" s="347"/>
    </row>
    <row r="1418">
      <c r="A1418" s="574"/>
      <c r="B1418" s="574"/>
      <c r="C1418" s="347"/>
      <c r="D1418" s="574"/>
      <c r="E1418" s="347"/>
      <c r="F1418" s="596"/>
      <c r="G1418" s="596"/>
      <c r="H1418" s="347"/>
      <c r="I1418" s="347"/>
      <c r="J1418" s="596"/>
      <c r="K1418" s="609"/>
      <c r="L1418" s="1"/>
      <c r="M1418" s="347"/>
      <c r="N1418" s="347"/>
      <c r="O1418" s="579"/>
      <c r="P1418" s="579"/>
      <c r="Q1418" s="574"/>
      <c r="R1418" s="347"/>
      <c r="S1418" s="597"/>
      <c r="T1418" s="347"/>
      <c r="U1418" s="579"/>
      <c r="V1418" s="579"/>
      <c r="W1418" s="574"/>
      <c r="X1418" s="347"/>
      <c r="Y1418" s="347"/>
      <c r="Z1418" s="347"/>
      <c r="AA1418" s="579"/>
      <c r="AB1418" s="581"/>
      <c r="AC1418" s="347"/>
      <c r="AD1418" s="347"/>
      <c r="AE1418" s="347"/>
      <c r="AF1418" s="347"/>
      <c r="AG1418" s="579"/>
      <c r="AH1418" s="579"/>
      <c r="AI1418" s="582"/>
      <c r="AJ1418" s="582"/>
      <c r="AK1418" s="582"/>
      <c r="AL1418" s="582"/>
      <c r="AM1418" s="579"/>
      <c r="AN1418" s="579"/>
      <c r="AO1418" s="347"/>
      <c r="AP1418" s="586"/>
      <c r="AQ1418" s="596"/>
      <c r="AR1418" s="596"/>
      <c r="AS1418" s="348"/>
      <c r="AT1418" s="348"/>
      <c r="AU1418" s="348"/>
      <c r="AV1418" s="348"/>
      <c r="AW1418" s="348"/>
      <c r="AX1418" s="584"/>
      <c r="AY1418" s="581"/>
      <c r="AZ1418" s="581"/>
      <c r="BA1418" s="596"/>
      <c r="BB1418" s="596"/>
      <c r="BC1418" s="348"/>
      <c r="BD1418" s="581"/>
      <c r="BE1418" s="581"/>
      <c r="BF1418" s="347"/>
      <c r="BG1418" s="347"/>
      <c r="BH1418" s="347"/>
      <c r="BI1418" s="347"/>
      <c r="BJ1418" s="586"/>
      <c r="BK1418" s="581"/>
      <c r="BL1418" s="347"/>
      <c r="BM1418" s="347"/>
      <c r="BN1418" s="347"/>
      <c r="BO1418" s="586"/>
      <c r="BP1418" s="584"/>
      <c r="BQ1418" s="347"/>
      <c r="BR1418" s="586"/>
      <c r="BS1418" s="588"/>
      <c r="BT1418" s="586"/>
      <c r="BU1418" s="589"/>
      <c r="BV1418" s="581"/>
      <c r="BW1418" s="590"/>
      <c r="BX1418" s="347"/>
      <c r="BY1418" s="347"/>
      <c r="BZ1418" s="347"/>
      <c r="CA1418" s="586"/>
      <c r="CB1418" s="581"/>
      <c r="CC1418" s="581"/>
      <c r="CD1418" s="581"/>
      <c r="CE1418" s="581"/>
      <c r="CF1418" s="581"/>
      <c r="CG1418" s="586"/>
      <c r="CH1418" s="608"/>
      <c r="CI1418" s="603"/>
      <c r="CJ1418" s="347"/>
      <c r="CK1418" s="347"/>
      <c r="CL1418" s="347"/>
      <c r="CM1418" s="347"/>
      <c r="CN1418" s="347"/>
      <c r="CO1418" s="347"/>
      <c r="CP1418" s="347"/>
    </row>
    <row r="1419">
      <c r="A1419" s="574"/>
      <c r="B1419" s="574"/>
      <c r="C1419" s="347"/>
      <c r="D1419" s="574"/>
      <c r="E1419" s="347"/>
      <c r="F1419" s="596"/>
      <c r="G1419" s="596"/>
      <c r="H1419" s="347"/>
      <c r="I1419" s="347"/>
      <c r="J1419" s="596"/>
      <c r="K1419" s="609"/>
      <c r="L1419" s="1"/>
      <c r="M1419" s="347"/>
      <c r="N1419" s="347"/>
      <c r="O1419" s="579"/>
      <c r="P1419" s="579"/>
      <c r="Q1419" s="574"/>
      <c r="R1419" s="347"/>
      <c r="S1419" s="597"/>
      <c r="T1419" s="347"/>
      <c r="U1419" s="579"/>
      <c r="V1419" s="579"/>
      <c r="W1419" s="574"/>
      <c r="X1419" s="347"/>
      <c r="Y1419" s="347"/>
      <c r="Z1419" s="347"/>
      <c r="AA1419" s="579"/>
      <c r="AB1419" s="581"/>
      <c r="AC1419" s="347"/>
      <c r="AD1419" s="347"/>
      <c r="AE1419" s="347"/>
      <c r="AF1419" s="347"/>
      <c r="AG1419" s="579"/>
      <c r="AH1419" s="579"/>
      <c r="AI1419" s="582"/>
      <c r="AJ1419" s="582"/>
      <c r="AK1419" s="582"/>
      <c r="AL1419" s="582"/>
      <c r="AM1419" s="579"/>
      <c r="AN1419" s="579"/>
      <c r="AO1419" s="347"/>
      <c r="AP1419" s="586"/>
      <c r="AQ1419" s="596"/>
      <c r="AR1419" s="596"/>
      <c r="AS1419" s="348"/>
      <c r="AT1419" s="348"/>
      <c r="AU1419" s="348"/>
      <c r="AV1419" s="348"/>
      <c r="AW1419" s="348"/>
      <c r="AX1419" s="584"/>
      <c r="AY1419" s="581"/>
      <c r="AZ1419" s="581"/>
      <c r="BA1419" s="596"/>
      <c r="BB1419" s="596"/>
      <c r="BC1419" s="348"/>
      <c r="BD1419" s="581"/>
      <c r="BE1419" s="581"/>
      <c r="BF1419" s="347"/>
      <c r="BG1419" s="347"/>
      <c r="BH1419" s="347"/>
      <c r="BI1419" s="347"/>
      <c r="BJ1419" s="586"/>
      <c r="BK1419" s="581"/>
      <c r="BL1419" s="347"/>
      <c r="BM1419" s="347"/>
      <c r="BN1419" s="347"/>
      <c r="BO1419" s="586"/>
      <c r="BP1419" s="584"/>
      <c r="BQ1419" s="347"/>
      <c r="BR1419" s="586"/>
      <c r="BS1419" s="588"/>
      <c r="BT1419" s="586"/>
      <c r="BU1419" s="589"/>
      <c r="BV1419" s="581"/>
      <c r="BW1419" s="590"/>
      <c r="BX1419" s="347"/>
      <c r="BY1419" s="347"/>
      <c r="BZ1419" s="347"/>
      <c r="CA1419" s="586"/>
      <c r="CB1419" s="581"/>
      <c r="CC1419" s="581"/>
      <c r="CD1419" s="581"/>
      <c r="CE1419" s="581"/>
      <c r="CF1419" s="581"/>
      <c r="CG1419" s="586"/>
      <c r="CH1419" s="608"/>
      <c r="CI1419" s="603"/>
      <c r="CJ1419" s="347"/>
      <c r="CK1419" s="347"/>
      <c r="CL1419" s="347"/>
      <c r="CM1419" s="347"/>
      <c r="CN1419" s="347"/>
      <c r="CO1419" s="347"/>
      <c r="CP1419" s="347"/>
    </row>
    <row r="1420">
      <c r="A1420" s="574"/>
      <c r="B1420" s="574"/>
      <c r="C1420" s="347"/>
      <c r="D1420" s="574"/>
      <c r="E1420" s="347"/>
      <c r="F1420" s="596"/>
      <c r="G1420" s="596"/>
      <c r="H1420" s="347"/>
      <c r="I1420" s="347"/>
      <c r="J1420" s="596"/>
      <c r="K1420" s="609"/>
      <c r="L1420" s="1"/>
      <c r="M1420" s="347"/>
      <c r="N1420" s="347"/>
      <c r="O1420" s="579"/>
      <c r="P1420" s="579"/>
      <c r="Q1420" s="574"/>
      <c r="R1420" s="347"/>
      <c r="S1420" s="597"/>
      <c r="T1420" s="347"/>
      <c r="U1420" s="579"/>
      <c r="V1420" s="579"/>
      <c r="W1420" s="574"/>
      <c r="X1420" s="347"/>
      <c r="Y1420" s="347"/>
      <c r="Z1420" s="347"/>
      <c r="AA1420" s="579"/>
      <c r="AB1420" s="581"/>
      <c r="AC1420" s="347"/>
      <c r="AD1420" s="347"/>
      <c r="AE1420" s="347"/>
      <c r="AF1420" s="347"/>
      <c r="AG1420" s="579"/>
      <c r="AH1420" s="579"/>
      <c r="AI1420" s="582"/>
      <c r="AJ1420" s="582"/>
      <c r="AK1420" s="582"/>
      <c r="AL1420" s="582"/>
      <c r="AM1420" s="579"/>
      <c r="AN1420" s="579"/>
      <c r="AO1420" s="347"/>
      <c r="AP1420" s="586"/>
      <c r="AQ1420" s="596"/>
      <c r="AR1420" s="596"/>
      <c r="AS1420" s="348"/>
      <c r="AT1420" s="348"/>
      <c r="AU1420" s="348"/>
      <c r="AV1420" s="348"/>
      <c r="AW1420" s="348"/>
      <c r="AX1420" s="584"/>
      <c r="AY1420" s="581"/>
      <c r="AZ1420" s="581"/>
      <c r="BA1420" s="596"/>
      <c r="BB1420" s="596"/>
      <c r="BC1420" s="348"/>
      <c r="BD1420" s="581"/>
      <c r="BE1420" s="581"/>
      <c r="BF1420" s="347"/>
      <c r="BG1420" s="347"/>
      <c r="BH1420" s="347"/>
      <c r="BI1420" s="347"/>
      <c r="BJ1420" s="586"/>
      <c r="BK1420" s="581"/>
      <c r="BL1420" s="347"/>
      <c r="BM1420" s="347"/>
      <c r="BN1420" s="347"/>
      <c r="BO1420" s="586"/>
      <c r="BP1420" s="584"/>
      <c r="BQ1420" s="347"/>
      <c r="BR1420" s="586"/>
      <c r="BS1420" s="588"/>
      <c r="BT1420" s="586"/>
      <c r="BU1420" s="589"/>
      <c r="BV1420" s="581"/>
      <c r="BW1420" s="590"/>
      <c r="BX1420" s="347"/>
      <c r="BY1420" s="347"/>
      <c r="BZ1420" s="347"/>
      <c r="CA1420" s="586"/>
      <c r="CB1420" s="581"/>
      <c r="CC1420" s="581"/>
      <c r="CD1420" s="581"/>
      <c r="CE1420" s="581"/>
      <c r="CF1420" s="581"/>
      <c r="CG1420" s="586"/>
      <c r="CH1420" s="608"/>
      <c r="CI1420" s="603"/>
      <c r="CJ1420" s="347"/>
      <c r="CK1420" s="347"/>
      <c r="CL1420" s="347"/>
      <c r="CM1420" s="347"/>
      <c r="CN1420" s="347"/>
      <c r="CO1420" s="347"/>
      <c r="CP1420" s="347"/>
    </row>
    <row r="1421">
      <c r="A1421" s="574"/>
      <c r="B1421" s="574"/>
      <c r="C1421" s="347"/>
      <c r="D1421" s="574"/>
      <c r="E1421" s="347"/>
      <c r="F1421" s="596"/>
      <c r="G1421" s="596"/>
      <c r="H1421" s="347"/>
      <c r="I1421" s="347"/>
      <c r="J1421" s="596"/>
      <c r="K1421" s="609"/>
      <c r="L1421" s="1"/>
      <c r="M1421" s="347"/>
      <c r="N1421" s="347"/>
      <c r="O1421" s="579"/>
      <c r="P1421" s="579"/>
      <c r="Q1421" s="574"/>
      <c r="R1421" s="347"/>
      <c r="S1421" s="597"/>
      <c r="T1421" s="347"/>
      <c r="U1421" s="579"/>
      <c r="V1421" s="579"/>
      <c r="W1421" s="574"/>
      <c r="X1421" s="347"/>
      <c r="Y1421" s="347"/>
      <c r="Z1421" s="347"/>
      <c r="AA1421" s="579"/>
      <c r="AB1421" s="581"/>
      <c r="AC1421" s="347"/>
      <c r="AD1421" s="347"/>
      <c r="AE1421" s="347"/>
      <c r="AF1421" s="347"/>
      <c r="AG1421" s="579"/>
      <c r="AH1421" s="579"/>
      <c r="AI1421" s="582"/>
      <c r="AJ1421" s="582"/>
      <c r="AK1421" s="582"/>
      <c r="AL1421" s="582"/>
      <c r="AM1421" s="579"/>
      <c r="AN1421" s="579"/>
      <c r="AO1421" s="347"/>
      <c r="AP1421" s="586"/>
      <c r="AQ1421" s="596"/>
      <c r="AR1421" s="596"/>
      <c r="AS1421" s="348"/>
      <c r="AT1421" s="348"/>
      <c r="AU1421" s="348"/>
      <c r="AV1421" s="348"/>
      <c r="AW1421" s="348"/>
      <c r="AX1421" s="584"/>
      <c r="AY1421" s="581"/>
      <c r="AZ1421" s="581"/>
      <c r="BA1421" s="596"/>
      <c r="BB1421" s="596"/>
      <c r="BC1421" s="348"/>
      <c r="BD1421" s="581"/>
      <c r="BE1421" s="581"/>
      <c r="BF1421" s="347"/>
      <c r="BG1421" s="347"/>
      <c r="BH1421" s="347"/>
      <c r="BI1421" s="347"/>
      <c r="BJ1421" s="586"/>
      <c r="BK1421" s="581"/>
      <c r="BL1421" s="347"/>
      <c r="BM1421" s="347"/>
      <c r="BN1421" s="347"/>
      <c r="BO1421" s="586"/>
      <c r="BP1421" s="584"/>
      <c r="BQ1421" s="347"/>
      <c r="BR1421" s="586"/>
      <c r="BS1421" s="588"/>
      <c r="BT1421" s="586"/>
      <c r="BU1421" s="589"/>
      <c r="BV1421" s="581"/>
      <c r="BW1421" s="590"/>
      <c r="BX1421" s="347"/>
      <c r="BY1421" s="347"/>
      <c r="BZ1421" s="347"/>
      <c r="CA1421" s="586"/>
      <c r="CB1421" s="581"/>
      <c r="CC1421" s="581"/>
      <c r="CD1421" s="581"/>
      <c r="CE1421" s="581"/>
      <c r="CF1421" s="581"/>
      <c r="CG1421" s="586"/>
      <c r="CH1421" s="608"/>
      <c r="CI1421" s="603"/>
      <c r="CJ1421" s="347"/>
      <c r="CK1421" s="347"/>
      <c r="CL1421" s="347"/>
      <c r="CM1421" s="347"/>
      <c r="CN1421" s="347"/>
      <c r="CO1421" s="347"/>
      <c r="CP1421" s="347"/>
    </row>
    <row r="1422">
      <c r="A1422" s="574"/>
      <c r="B1422" s="574"/>
      <c r="C1422" s="347"/>
      <c r="D1422" s="574"/>
      <c r="E1422" s="347"/>
      <c r="F1422" s="596"/>
      <c r="G1422" s="596"/>
      <c r="H1422" s="347"/>
      <c r="I1422" s="347"/>
      <c r="J1422" s="596"/>
      <c r="K1422" s="609"/>
      <c r="L1422" s="1"/>
      <c r="M1422" s="347"/>
      <c r="N1422" s="347"/>
      <c r="O1422" s="579"/>
      <c r="P1422" s="579"/>
      <c r="Q1422" s="574"/>
      <c r="R1422" s="347"/>
      <c r="S1422" s="597"/>
      <c r="T1422" s="347"/>
      <c r="U1422" s="579"/>
      <c r="V1422" s="579"/>
      <c r="W1422" s="574"/>
      <c r="X1422" s="347"/>
      <c r="Y1422" s="347"/>
      <c r="Z1422" s="347"/>
      <c r="AA1422" s="579"/>
      <c r="AB1422" s="581"/>
      <c r="AC1422" s="347"/>
      <c r="AD1422" s="347"/>
      <c r="AE1422" s="347"/>
      <c r="AF1422" s="347"/>
      <c r="AG1422" s="579"/>
      <c r="AH1422" s="579"/>
      <c r="AI1422" s="582"/>
      <c r="AJ1422" s="582"/>
      <c r="AK1422" s="582"/>
      <c r="AL1422" s="582"/>
      <c r="AM1422" s="579"/>
      <c r="AN1422" s="579"/>
      <c r="AO1422" s="347"/>
      <c r="AP1422" s="586"/>
      <c r="AQ1422" s="596"/>
      <c r="AR1422" s="596"/>
      <c r="AS1422" s="348"/>
      <c r="AT1422" s="348"/>
      <c r="AU1422" s="348"/>
      <c r="AV1422" s="348"/>
      <c r="AW1422" s="348"/>
      <c r="AX1422" s="584"/>
      <c r="AY1422" s="581"/>
      <c r="AZ1422" s="581"/>
      <c r="BA1422" s="596"/>
      <c r="BB1422" s="596"/>
      <c r="BC1422" s="348"/>
      <c r="BD1422" s="581"/>
      <c r="BE1422" s="581"/>
      <c r="BF1422" s="347"/>
      <c r="BG1422" s="347"/>
      <c r="BH1422" s="347"/>
      <c r="BI1422" s="347"/>
      <c r="BJ1422" s="586"/>
      <c r="BK1422" s="581"/>
      <c r="BL1422" s="347"/>
      <c r="BM1422" s="347"/>
      <c r="BN1422" s="347"/>
      <c r="BO1422" s="586"/>
      <c r="BP1422" s="584"/>
      <c r="BQ1422" s="347"/>
      <c r="BR1422" s="586"/>
      <c r="BS1422" s="588"/>
      <c r="BT1422" s="586"/>
      <c r="BU1422" s="589"/>
      <c r="BV1422" s="581"/>
      <c r="BW1422" s="590"/>
      <c r="BX1422" s="347"/>
      <c r="BY1422" s="347"/>
      <c r="BZ1422" s="347"/>
      <c r="CA1422" s="586"/>
      <c r="CB1422" s="581"/>
      <c r="CC1422" s="581"/>
      <c r="CD1422" s="581"/>
      <c r="CE1422" s="581"/>
      <c r="CF1422" s="581"/>
      <c r="CG1422" s="586"/>
      <c r="CH1422" s="608"/>
      <c r="CI1422" s="603"/>
      <c r="CJ1422" s="347"/>
      <c r="CK1422" s="347"/>
      <c r="CL1422" s="347"/>
      <c r="CM1422" s="347"/>
      <c r="CN1422" s="347"/>
      <c r="CO1422" s="347"/>
      <c r="CP1422" s="347"/>
    </row>
    <row r="1423">
      <c r="A1423" s="574"/>
      <c r="B1423" s="574"/>
      <c r="C1423" s="347"/>
      <c r="D1423" s="574"/>
      <c r="E1423" s="347"/>
      <c r="F1423" s="596"/>
      <c r="G1423" s="596"/>
      <c r="H1423" s="347"/>
      <c r="I1423" s="347"/>
      <c r="J1423" s="596"/>
      <c r="K1423" s="609"/>
      <c r="L1423" s="1"/>
      <c r="M1423" s="347"/>
      <c r="N1423" s="347"/>
      <c r="O1423" s="579"/>
      <c r="P1423" s="579"/>
      <c r="Q1423" s="574"/>
      <c r="R1423" s="347"/>
      <c r="S1423" s="597"/>
      <c r="T1423" s="347"/>
      <c r="U1423" s="579"/>
      <c r="V1423" s="579"/>
      <c r="W1423" s="574"/>
      <c r="X1423" s="347"/>
      <c r="Y1423" s="347"/>
      <c r="Z1423" s="347"/>
      <c r="AA1423" s="579"/>
      <c r="AB1423" s="581"/>
      <c r="AC1423" s="347"/>
      <c r="AD1423" s="347"/>
      <c r="AE1423" s="347"/>
      <c r="AF1423" s="347"/>
      <c r="AG1423" s="579"/>
      <c r="AH1423" s="579"/>
      <c r="AI1423" s="582"/>
      <c r="AJ1423" s="582"/>
      <c r="AK1423" s="582"/>
      <c r="AL1423" s="582"/>
      <c r="AM1423" s="579"/>
      <c r="AN1423" s="579"/>
      <c r="AO1423" s="347"/>
      <c r="AP1423" s="586"/>
      <c r="AQ1423" s="596"/>
      <c r="AR1423" s="596"/>
      <c r="AS1423" s="348"/>
      <c r="AT1423" s="348"/>
      <c r="AU1423" s="348"/>
      <c r="AV1423" s="348"/>
      <c r="AW1423" s="348"/>
      <c r="AX1423" s="584"/>
      <c r="AY1423" s="581"/>
      <c r="AZ1423" s="581"/>
      <c r="BA1423" s="596"/>
      <c r="BB1423" s="596"/>
      <c r="BC1423" s="348"/>
      <c r="BD1423" s="581"/>
      <c r="BE1423" s="581"/>
      <c r="BF1423" s="347"/>
      <c r="BG1423" s="347"/>
      <c r="BH1423" s="347"/>
      <c r="BI1423" s="347"/>
      <c r="BJ1423" s="586"/>
      <c r="BK1423" s="581"/>
      <c r="BL1423" s="347"/>
      <c r="BM1423" s="347"/>
      <c r="BN1423" s="347"/>
      <c r="BO1423" s="586"/>
      <c r="BP1423" s="584"/>
      <c r="BQ1423" s="347"/>
      <c r="BR1423" s="586"/>
      <c r="BS1423" s="588"/>
      <c r="BT1423" s="586"/>
      <c r="BU1423" s="589"/>
      <c r="BV1423" s="581"/>
      <c r="BW1423" s="590"/>
      <c r="BX1423" s="347"/>
      <c r="BY1423" s="347"/>
      <c r="BZ1423" s="347"/>
      <c r="CA1423" s="586"/>
      <c r="CB1423" s="581"/>
      <c r="CC1423" s="581"/>
      <c r="CD1423" s="581"/>
      <c r="CE1423" s="581"/>
      <c r="CF1423" s="581"/>
      <c r="CG1423" s="586"/>
      <c r="CH1423" s="608"/>
      <c r="CI1423" s="603"/>
      <c r="CJ1423" s="347"/>
      <c r="CK1423" s="347"/>
      <c r="CL1423" s="347"/>
      <c r="CM1423" s="347"/>
      <c r="CN1423" s="347"/>
      <c r="CO1423" s="347"/>
      <c r="CP1423" s="347"/>
    </row>
    <row r="1424">
      <c r="A1424" s="574"/>
      <c r="B1424" s="574"/>
      <c r="C1424" s="347"/>
      <c r="D1424" s="574"/>
      <c r="E1424" s="347"/>
      <c r="F1424" s="596"/>
      <c r="G1424" s="596"/>
      <c r="H1424" s="347"/>
      <c r="I1424" s="347"/>
      <c r="J1424" s="596"/>
      <c r="K1424" s="609"/>
      <c r="L1424" s="1"/>
      <c r="M1424" s="347"/>
      <c r="N1424" s="347"/>
      <c r="O1424" s="579"/>
      <c r="P1424" s="579"/>
      <c r="Q1424" s="574"/>
      <c r="R1424" s="347"/>
      <c r="S1424" s="597"/>
      <c r="T1424" s="347"/>
      <c r="U1424" s="579"/>
      <c r="V1424" s="579"/>
      <c r="W1424" s="574"/>
      <c r="X1424" s="347"/>
      <c r="Y1424" s="347"/>
      <c r="Z1424" s="347"/>
      <c r="AA1424" s="579"/>
      <c r="AB1424" s="581"/>
      <c r="AC1424" s="347"/>
      <c r="AD1424" s="347"/>
      <c r="AE1424" s="347"/>
      <c r="AF1424" s="347"/>
      <c r="AG1424" s="579"/>
      <c r="AH1424" s="579"/>
      <c r="AI1424" s="582"/>
      <c r="AJ1424" s="582"/>
      <c r="AK1424" s="582"/>
      <c r="AL1424" s="582"/>
      <c r="AM1424" s="579"/>
      <c r="AN1424" s="579"/>
      <c r="AO1424" s="347"/>
      <c r="AP1424" s="586"/>
      <c r="AQ1424" s="596"/>
      <c r="AR1424" s="596"/>
      <c r="AS1424" s="348"/>
      <c r="AT1424" s="348"/>
      <c r="AU1424" s="348"/>
      <c r="AV1424" s="348"/>
      <c r="AW1424" s="348"/>
      <c r="AX1424" s="584"/>
      <c r="AY1424" s="581"/>
      <c r="AZ1424" s="581"/>
      <c r="BA1424" s="596"/>
      <c r="BB1424" s="596"/>
      <c r="BC1424" s="348"/>
      <c r="BD1424" s="581"/>
      <c r="BE1424" s="581"/>
      <c r="BF1424" s="347"/>
      <c r="BG1424" s="347"/>
      <c r="BH1424" s="347"/>
      <c r="BI1424" s="347"/>
      <c r="BJ1424" s="586"/>
      <c r="BK1424" s="581"/>
      <c r="BL1424" s="347"/>
      <c r="BM1424" s="347"/>
      <c r="BN1424" s="347"/>
      <c r="BO1424" s="586"/>
      <c r="BP1424" s="584"/>
      <c r="BQ1424" s="347"/>
      <c r="BR1424" s="586"/>
      <c r="BS1424" s="588"/>
      <c r="BT1424" s="586"/>
      <c r="BU1424" s="589"/>
      <c r="BV1424" s="581"/>
      <c r="BW1424" s="590"/>
      <c r="BX1424" s="347"/>
      <c r="BY1424" s="347"/>
      <c r="BZ1424" s="347"/>
      <c r="CA1424" s="586"/>
      <c r="CB1424" s="581"/>
      <c r="CC1424" s="581"/>
      <c r="CD1424" s="581"/>
      <c r="CE1424" s="581"/>
      <c r="CF1424" s="581"/>
      <c r="CG1424" s="586"/>
      <c r="CH1424" s="608"/>
      <c r="CI1424" s="603"/>
      <c r="CJ1424" s="347"/>
      <c r="CK1424" s="347"/>
      <c r="CL1424" s="347"/>
      <c r="CM1424" s="347"/>
      <c r="CN1424" s="347"/>
      <c r="CO1424" s="347"/>
      <c r="CP1424" s="347"/>
    </row>
    <row r="1425">
      <c r="A1425" s="574"/>
      <c r="B1425" s="574"/>
      <c r="C1425" s="347"/>
      <c r="D1425" s="574"/>
      <c r="E1425" s="347"/>
      <c r="F1425" s="596"/>
      <c r="G1425" s="596"/>
      <c r="H1425" s="347"/>
      <c r="I1425" s="347"/>
      <c r="J1425" s="596"/>
      <c r="K1425" s="609"/>
      <c r="L1425" s="1"/>
      <c r="M1425" s="347"/>
      <c r="N1425" s="347"/>
      <c r="O1425" s="579"/>
      <c r="P1425" s="579"/>
      <c r="Q1425" s="574"/>
      <c r="R1425" s="347"/>
      <c r="S1425" s="597"/>
      <c r="T1425" s="347"/>
      <c r="U1425" s="579"/>
      <c r="V1425" s="579"/>
      <c r="W1425" s="574"/>
      <c r="X1425" s="347"/>
      <c r="Y1425" s="347"/>
      <c r="Z1425" s="347"/>
      <c r="AA1425" s="579"/>
      <c r="AB1425" s="581"/>
      <c r="AC1425" s="347"/>
      <c r="AD1425" s="347"/>
      <c r="AE1425" s="347"/>
      <c r="AF1425" s="347"/>
      <c r="AG1425" s="579"/>
      <c r="AH1425" s="579"/>
      <c r="AI1425" s="582"/>
      <c r="AJ1425" s="582"/>
      <c r="AK1425" s="582"/>
      <c r="AL1425" s="582"/>
      <c r="AM1425" s="579"/>
      <c r="AN1425" s="579"/>
      <c r="AO1425" s="347"/>
      <c r="AP1425" s="586"/>
      <c r="AQ1425" s="596"/>
      <c r="AR1425" s="596"/>
      <c r="AS1425" s="348"/>
      <c r="AT1425" s="348"/>
      <c r="AU1425" s="348"/>
      <c r="AV1425" s="348"/>
      <c r="AW1425" s="348"/>
      <c r="AX1425" s="584"/>
      <c r="AY1425" s="581"/>
      <c r="AZ1425" s="581"/>
      <c r="BA1425" s="596"/>
      <c r="BB1425" s="596"/>
      <c r="BC1425" s="348"/>
      <c r="BD1425" s="581"/>
      <c r="BE1425" s="581"/>
      <c r="BF1425" s="347"/>
      <c r="BG1425" s="347"/>
      <c r="BH1425" s="347"/>
      <c r="BI1425" s="347"/>
      <c r="BJ1425" s="586"/>
      <c r="BK1425" s="581"/>
      <c r="BL1425" s="347"/>
      <c r="BM1425" s="347"/>
      <c r="BN1425" s="347"/>
      <c r="BO1425" s="586"/>
      <c r="BP1425" s="584"/>
      <c r="BQ1425" s="347"/>
      <c r="BR1425" s="586"/>
      <c r="BS1425" s="588"/>
      <c r="BT1425" s="586"/>
      <c r="BU1425" s="589"/>
      <c r="BV1425" s="581"/>
      <c r="BW1425" s="590"/>
      <c r="BX1425" s="347"/>
      <c r="BY1425" s="347"/>
      <c r="BZ1425" s="347"/>
      <c r="CA1425" s="586"/>
      <c r="CB1425" s="581"/>
      <c r="CC1425" s="581"/>
      <c r="CD1425" s="581"/>
      <c r="CE1425" s="581"/>
      <c r="CF1425" s="581"/>
      <c r="CG1425" s="586"/>
      <c r="CH1425" s="608"/>
      <c r="CI1425" s="603"/>
      <c r="CJ1425" s="347"/>
      <c r="CK1425" s="347"/>
      <c r="CL1425" s="347"/>
      <c r="CM1425" s="347"/>
      <c r="CN1425" s="347"/>
      <c r="CO1425" s="347"/>
      <c r="CP1425" s="347"/>
    </row>
    <row r="1426">
      <c r="A1426" s="574"/>
      <c r="B1426" s="574"/>
      <c r="C1426" s="347"/>
      <c r="D1426" s="574"/>
      <c r="E1426" s="347"/>
      <c r="F1426" s="596"/>
      <c r="G1426" s="596"/>
      <c r="H1426" s="347"/>
      <c r="I1426" s="347"/>
      <c r="J1426" s="596"/>
      <c r="K1426" s="609"/>
      <c r="L1426" s="1"/>
      <c r="M1426" s="347"/>
      <c r="N1426" s="347"/>
      <c r="O1426" s="579"/>
      <c r="P1426" s="579"/>
      <c r="Q1426" s="574"/>
      <c r="R1426" s="347"/>
      <c r="S1426" s="597"/>
      <c r="T1426" s="347"/>
      <c r="U1426" s="579"/>
      <c r="V1426" s="579"/>
      <c r="W1426" s="574"/>
      <c r="X1426" s="347"/>
      <c r="Y1426" s="347"/>
      <c r="Z1426" s="347"/>
      <c r="AA1426" s="579"/>
      <c r="AB1426" s="581"/>
      <c r="AC1426" s="347"/>
      <c r="AD1426" s="347"/>
      <c r="AE1426" s="347"/>
      <c r="AF1426" s="347"/>
      <c r="AG1426" s="579"/>
      <c r="AH1426" s="579"/>
      <c r="AI1426" s="582"/>
      <c r="AJ1426" s="582"/>
      <c r="AK1426" s="582"/>
      <c r="AL1426" s="582"/>
      <c r="AM1426" s="579"/>
      <c r="AN1426" s="579"/>
      <c r="AO1426" s="347"/>
      <c r="AP1426" s="586"/>
      <c r="AQ1426" s="596"/>
      <c r="AR1426" s="596"/>
      <c r="AS1426" s="348"/>
      <c r="AT1426" s="348"/>
      <c r="AU1426" s="348"/>
      <c r="AV1426" s="348"/>
      <c r="AW1426" s="348"/>
      <c r="AX1426" s="584"/>
      <c r="AY1426" s="581"/>
      <c r="AZ1426" s="581"/>
      <c r="BA1426" s="596"/>
      <c r="BB1426" s="596"/>
      <c r="BC1426" s="348"/>
      <c r="BD1426" s="581"/>
      <c r="BE1426" s="581"/>
      <c r="BF1426" s="347"/>
      <c r="BG1426" s="347"/>
      <c r="BH1426" s="347"/>
      <c r="BI1426" s="347"/>
      <c r="BJ1426" s="586"/>
      <c r="BK1426" s="581"/>
      <c r="BL1426" s="347"/>
      <c r="BM1426" s="347"/>
      <c r="BN1426" s="347"/>
      <c r="BO1426" s="586"/>
      <c r="BP1426" s="584"/>
      <c r="BQ1426" s="347"/>
      <c r="BR1426" s="586"/>
      <c r="BS1426" s="588"/>
      <c r="BT1426" s="586"/>
      <c r="BU1426" s="589"/>
      <c r="BV1426" s="581"/>
      <c r="BW1426" s="590"/>
      <c r="BX1426" s="347"/>
      <c r="BY1426" s="347"/>
      <c r="BZ1426" s="347"/>
      <c r="CA1426" s="586"/>
      <c r="CB1426" s="581"/>
      <c r="CC1426" s="581"/>
      <c r="CD1426" s="581"/>
      <c r="CE1426" s="581"/>
      <c r="CF1426" s="581"/>
      <c r="CG1426" s="586"/>
      <c r="CH1426" s="608"/>
      <c r="CI1426" s="603"/>
      <c r="CJ1426" s="347"/>
      <c r="CK1426" s="347"/>
      <c r="CL1426" s="347"/>
      <c r="CM1426" s="347"/>
      <c r="CN1426" s="347"/>
      <c r="CO1426" s="347"/>
      <c r="CP1426" s="347"/>
    </row>
    <row r="1427">
      <c r="A1427" s="574"/>
      <c r="B1427" s="574"/>
      <c r="C1427" s="347"/>
      <c r="D1427" s="574"/>
      <c r="E1427" s="347"/>
      <c r="F1427" s="596"/>
      <c r="G1427" s="596"/>
      <c r="H1427" s="347"/>
      <c r="I1427" s="347"/>
      <c r="J1427" s="596"/>
      <c r="K1427" s="609"/>
      <c r="L1427" s="1"/>
      <c r="M1427" s="347"/>
      <c r="N1427" s="347"/>
      <c r="O1427" s="579"/>
      <c r="P1427" s="579"/>
      <c r="Q1427" s="574"/>
      <c r="R1427" s="347"/>
      <c r="S1427" s="597"/>
      <c r="T1427" s="347"/>
      <c r="U1427" s="579"/>
      <c r="V1427" s="579"/>
      <c r="W1427" s="574"/>
      <c r="X1427" s="347"/>
      <c r="Y1427" s="347"/>
      <c r="Z1427" s="347"/>
      <c r="AA1427" s="579"/>
      <c r="AB1427" s="581"/>
      <c r="AC1427" s="347"/>
      <c r="AD1427" s="347"/>
      <c r="AE1427" s="347"/>
      <c r="AF1427" s="347"/>
      <c r="AG1427" s="579"/>
      <c r="AH1427" s="579"/>
      <c r="AI1427" s="582"/>
      <c r="AJ1427" s="582"/>
      <c r="AK1427" s="582"/>
      <c r="AL1427" s="582"/>
      <c r="AM1427" s="579"/>
      <c r="AN1427" s="579"/>
      <c r="AO1427" s="347"/>
      <c r="AP1427" s="586"/>
      <c r="AQ1427" s="596"/>
      <c r="AR1427" s="596"/>
      <c r="AS1427" s="348"/>
      <c r="AT1427" s="348"/>
      <c r="AU1427" s="348"/>
      <c r="AV1427" s="348"/>
      <c r="AW1427" s="348"/>
      <c r="AX1427" s="584"/>
      <c r="AY1427" s="581"/>
      <c r="AZ1427" s="581"/>
      <c r="BA1427" s="596"/>
      <c r="BB1427" s="596"/>
      <c r="BC1427" s="348"/>
      <c r="BD1427" s="581"/>
      <c r="BE1427" s="581"/>
      <c r="BF1427" s="347"/>
      <c r="BG1427" s="347"/>
      <c r="BH1427" s="347"/>
      <c r="BI1427" s="347"/>
      <c r="BJ1427" s="586"/>
      <c r="BK1427" s="581"/>
      <c r="BL1427" s="347"/>
      <c r="BM1427" s="347"/>
      <c r="BN1427" s="347"/>
      <c r="BO1427" s="586"/>
      <c r="BP1427" s="584"/>
      <c r="BQ1427" s="347"/>
      <c r="BR1427" s="586"/>
      <c r="BS1427" s="588"/>
      <c r="BT1427" s="586"/>
      <c r="BU1427" s="589"/>
      <c r="BV1427" s="581"/>
      <c r="BW1427" s="590"/>
      <c r="BX1427" s="347"/>
      <c r="BY1427" s="347"/>
      <c r="BZ1427" s="347"/>
      <c r="CA1427" s="586"/>
      <c r="CB1427" s="581"/>
      <c r="CC1427" s="581"/>
      <c r="CD1427" s="581"/>
      <c r="CE1427" s="581"/>
      <c r="CF1427" s="581"/>
      <c r="CG1427" s="586"/>
      <c r="CH1427" s="608"/>
      <c r="CI1427" s="603"/>
      <c r="CJ1427" s="347"/>
      <c r="CK1427" s="347"/>
      <c r="CL1427" s="347"/>
      <c r="CM1427" s="347"/>
      <c r="CN1427" s="347"/>
      <c r="CO1427" s="347"/>
      <c r="CP1427" s="347"/>
    </row>
    <row r="1428">
      <c r="A1428" s="574"/>
      <c r="B1428" s="574"/>
      <c r="C1428" s="347"/>
      <c r="D1428" s="574"/>
      <c r="E1428" s="347"/>
      <c r="F1428" s="596"/>
      <c r="G1428" s="596"/>
      <c r="H1428" s="347"/>
      <c r="I1428" s="347"/>
      <c r="J1428" s="596"/>
      <c r="K1428" s="609"/>
      <c r="L1428" s="1"/>
      <c r="M1428" s="347"/>
      <c r="N1428" s="347"/>
      <c r="O1428" s="579"/>
      <c r="P1428" s="579"/>
      <c r="Q1428" s="574"/>
      <c r="R1428" s="347"/>
      <c r="S1428" s="597"/>
      <c r="T1428" s="347"/>
      <c r="U1428" s="579"/>
      <c r="V1428" s="579"/>
      <c r="W1428" s="574"/>
      <c r="X1428" s="347"/>
      <c r="Y1428" s="347"/>
      <c r="Z1428" s="347"/>
      <c r="AA1428" s="579"/>
      <c r="AB1428" s="581"/>
      <c r="AC1428" s="347"/>
      <c r="AD1428" s="347"/>
      <c r="AE1428" s="347"/>
      <c r="AF1428" s="347"/>
      <c r="AG1428" s="579"/>
      <c r="AH1428" s="579"/>
      <c r="AI1428" s="582"/>
      <c r="AJ1428" s="582"/>
      <c r="AK1428" s="582"/>
      <c r="AL1428" s="582"/>
      <c r="AM1428" s="579"/>
      <c r="AN1428" s="579"/>
      <c r="AO1428" s="347"/>
      <c r="AP1428" s="586"/>
      <c r="AQ1428" s="596"/>
      <c r="AR1428" s="596"/>
      <c r="AS1428" s="348"/>
      <c r="AT1428" s="348"/>
      <c r="AU1428" s="348"/>
      <c r="AV1428" s="348"/>
      <c r="AW1428" s="348"/>
      <c r="AX1428" s="584"/>
      <c r="AY1428" s="581"/>
      <c r="AZ1428" s="581"/>
      <c r="BA1428" s="596"/>
      <c r="BB1428" s="596"/>
      <c r="BC1428" s="348"/>
      <c r="BD1428" s="581"/>
      <c r="BE1428" s="581"/>
      <c r="BF1428" s="347"/>
      <c r="BG1428" s="347"/>
      <c r="BH1428" s="347"/>
      <c r="BI1428" s="347"/>
      <c r="BJ1428" s="586"/>
      <c r="BK1428" s="581"/>
      <c r="BL1428" s="347"/>
      <c r="BM1428" s="347"/>
      <c r="BN1428" s="347"/>
      <c r="BO1428" s="586"/>
      <c r="BP1428" s="584"/>
      <c r="BQ1428" s="347"/>
      <c r="BR1428" s="586"/>
      <c r="BS1428" s="588"/>
      <c r="BT1428" s="586"/>
      <c r="BU1428" s="589"/>
      <c r="BV1428" s="581"/>
      <c r="BW1428" s="590"/>
      <c r="BX1428" s="347"/>
      <c r="BY1428" s="347"/>
      <c r="BZ1428" s="347"/>
      <c r="CA1428" s="586"/>
      <c r="CB1428" s="581"/>
      <c r="CC1428" s="581"/>
      <c r="CD1428" s="581"/>
      <c r="CE1428" s="581"/>
      <c r="CF1428" s="581"/>
      <c r="CG1428" s="586"/>
      <c r="CH1428" s="608"/>
      <c r="CI1428" s="603"/>
      <c r="CJ1428" s="347"/>
      <c r="CK1428" s="347"/>
      <c r="CL1428" s="347"/>
      <c r="CM1428" s="347"/>
      <c r="CN1428" s="347"/>
      <c r="CO1428" s="347"/>
      <c r="CP1428" s="347"/>
    </row>
    <row r="1429">
      <c r="A1429" s="574"/>
      <c r="B1429" s="574"/>
      <c r="C1429" s="347"/>
      <c r="D1429" s="574"/>
      <c r="E1429" s="347"/>
      <c r="F1429" s="596"/>
      <c r="G1429" s="596"/>
      <c r="H1429" s="347"/>
      <c r="I1429" s="347"/>
      <c r="J1429" s="596"/>
      <c r="K1429" s="609"/>
      <c r="L1429" s="1"/>
      <c r="M1429" s="347"/>
      <c r="N1429" s="347"/>
      <c r="O1429" s="579"/>
      <c r="P1429" s="579"/>
      <c r="Q1429" s="574"/>
      <c r="R1429" s="347"/>
      <c r="S1429" s="597"/>
      <c r="T1429" s="347"/>
      <c r="U1429" s="579"/>
      <c r="V1429" s="579"/>
      <c r="W1429" s="574"/>
      <c r="X1429" s="347"/>
      <c r="Y1429" s="347"/>
      <c r="Z1429" s="347"/>
      <c r="AA1429" s="579"/>
      <c r="AB1429" s="581"/>
      <c r="AC1429" s="347"/>
      <c r="AD1429" s="347"/>
      <c r="AE1429" s="347"/>
      <c r="AF1429" s="347"/>
      <c r="AG1429" s="579"/>
      <c r="AH1429" s="579"/>
      <c r="AI1429" s="582"/>
      <c r="AJ1429" s="582"/>
      <c r="AK1429" s="582"/>
      <c r="AL1429" s="582"/>
      <c r="AM1429" s="579"/>
      <c r="AN1429" s="579"/>
      <c r="AO1429" s="347"/>
      <c r="AP1429" s="586"/>
      <c r="AQ1429" s="596"/>
      <c r="AR1429" s="596"/>
      <c r="AS1429" s="348"/>
      <c r="AT1429" s="348"/>
      <c r="AU1429" s="348"/>
      <c r="AV1429" s="348"/>
      <c r="AW1429" s="348"/>
      <c r="AX1429" s="584"/>
      <c r="AY1429" s="581"/>
      <c r="AZ1429" s="581"/>
      <c r="BA1429" s="596"/>
      <c r="BB1429" s="596"/>
      <c r="BC1429" s="348"/>
      <c r="BD1429" s="581"/>
      <c r="BE1429" s="581"/>
      <c r="BF1429" s="347"/>
      <c r="BG1429" s="347"/>
      <c r="BH1429" s="347"/>
      <c r="BI1429" s="347"/>
      <c r="BJ1429" s="586"/>
      <c r="BK1429" s="581"/>
      <c r="BL1429" s="347"/>
      <c r="BM1429" s="347"/>
      <c r="BN1429" s="347"/>
      <c r="BO1429" s="586"/>
      <c r="BP1429" s="584"/>
      <c r="BQ1429" s="347"/>
      <c r="BR1429" s="586"/>
      <c r="BS1429" s="588"/>
      <c r="BT1429" s="586"/>
      <c r="BU1429" s="589"/>
      <c r="BV1429" s="581"/>
      <c r="BW1429" s="590"/>
      <c r="BX1429" s="347"/>
      <c r="BY1429" s="347"/>
      <c r="BZ1429" s="347"/>
      <c r="CA1429" s="586"/>
      <c r="CB1429" s="581"/>
      <c r="CC1429" s="581"/>
      <c r="CD1429" s="581"/>
      <c r="CE1429" s="581"/>
      <c r="CF1429" s="581"/>
      <c r="CG1429" s="586"/>
      <c r="CH1429" s="608"/>
      <c r="CI1429" s="603"/>
      <c r="CJ1429" s="347"/>
      <c r="CK1429" s="347"/>
      <c r="CL1429" s="347"/>
      <c r="CM1429" s="347"/>
      <c r="CN1429" s="347"/>
      <c r="CO1429" s="347"/>
      <c r="CP1429" s="347"/>
    </row>
    <row r="1430">
      <c r="A1430" s="574"/>
      <c r="B1430" s="574"/>
      <c r="C1430" s="347"/>
      <c r="D1430" s="574"/>
      <c r="E1430" s="347"/>
      <c r="F1430" s="596"/>
      <c r="G1430" s="596"/>
      <c r="H1430" s="347"/>
      <c r="I1430" s="347"/>
      <c r="J1430" s="596"/>
      <c r="K1430" s="609"/>
      <c r="L1430" s="1"/>
      <c r="M1430" s="347"/>
      <c r="N1430" s="347"/>
      <c r="O1430" s="579"/>
      <c r="P1430" s="579"/>
      <c r="Q1430" s="574"/>
      <c r="R1430" s="347"/>
      <c r="S1430" s="597"/>
      <c r="T1430" s="347"/>
      <c r="U1430" s="579"/>
      <c r="V1430" s="579"/>
      <c r="W1430" s="574"/>
      <c r="X1430" s="347"/>
      <c r="Y1430" s="347"/>
      <c r="Z1430" s="347"/>
      <c r="AA1430" s="579"/>
      <c r="AB1430" s="581"/>
      <c r="AC1430" s="347"/>
      <c r="AD1430" s="347"/>
      <c r="AE1430" s="347"/>
      <c r="AF1430" s="347"/>
      <c r="AG1430" s="579"/>
      <c r="AH1430" s="579"/>
      <c r="AI1430" s="582"/>
      <c r="AJ1430" s="582"/>
      <c r="AK1430" s="582"/>
      <c r="AL1430" s="582"/>
      <c r="AM1430" s="579"/>
      <c r="AN1430" s="579"/>
      <c r="AO1430" s="347"/>
      <c r="AP1430" s="586"/>
      <c r="AQ1430" s="596"/>
      <c r="AR1430" s="596"/>
      <c r="AS1430" s="348"/>
      <c r="AT1430" s="348"/>
      <c r="AU1430" s="348"/>
      <c r="AV1430" s="348"/>
      <c r="AW1430" s="348"/>
      <c r="AX1430" s="584"/>
      <c r="AY1430" s="581"/>
      <c r="AZ1430" s="581"/>
      <c r="BA1430" s="596"/>
      <c r="BB1430" s="596"/>
      <c r="BC1430" s="348"/>
      <c r="BD1430" s="581"/>
      <c r="BE1430" s="581"/>
      <c r="BF1430" s="347"/>
      <c r="BG1430" s="347"/>
      <c r="BH1430" s="347"/>
      <c r="BI1430" s="347"/>
      <c r="BJ1430" s="586"/>
      <c r="BK1430" s="581"/>
      <c r="BL1430" s="347"/>
      <c r="BM1430" s="347"/>
      <c r="BN1430" s="347"/>
      <c r="BO1430" s="586"/>
      <c r="BP1430" s="584"/>
      <c r="BQ1430" s="347"/>
      <c r="BR1430" s="586"/>
      <c r="BS1430" s="588"/>
      <c r="BT1430" s="586"/>
      <c r="BU1430" s="589"/>
      <c r="BV1430" s="581"/>
      <c r="BW1430" s="590"/>
      <c r="BX1430" s="347"/>
      <c r="BY1430" s="347"/>
      <c r="BZ1430" s="347"/>
      <c r="CA1430" s="586"/>
      <c r="CB1430" s="581"/>
      <c r="CC1430" s="581"/>
      <c r="CD1430" s="581"/>
      <c r="CE1430" s="581"/>
      <c r="CF1430" s="581"/>
      <c r="CG1430" s="586"/>
      <c r="CH1430" s="608"/>
      <c r="CI1430" s="603"/>
      <c r="CJ1430" s="347"/>
      <c r="CK1430" s="347"/>
      <c r="CL1430" s="347"/>
      <c r="CM1430" s="347"/>
      <c r="CN1430" s="347"/>
      <c r="CO1430" s="347"/>
      <c r="CP1430" s="347"/>
    </row>
    <row r="1431">
      <c r="A1431" s="574"/>
      <c r="B1431" s="574"/>
      <c r="C1431" s="347"/>
      <c r="D1431" s="574"/>
      <c r="E1431" s="347"/>
      <c r="F1431" s="596"/>
      <c r="G1431" s="596"/>
      <c r="H1431" s="347"/>
      <c r="I1431" s="347"/>
      <c r="J1431" s="596"/>
      <c r="K1431" s="609"/>
      <c r="L1431" s="1"/>
      <c r="M1431" s="347"/>
      <c r="N1431" s="347"/>
      <c r="O1431" s="579"/>
      <c r="P1431" s="579"/>
      <c r="Q1431" s="574"/>
      <c r="R1431" s="347"/>
      <c r="S1431" s="597"/>
      <c r="T1431" s="347"/>
      <c r="U1431" s="579"/>
      <c r="V1431" s="579"/>
      <c r="W1431" s="574"/>
      <c r="X1431" s="347"/>
      <c r="Y1431" s="347"/>
      <c r="Z1431" s="347"/>
      <c r="AA1431" s="579"/>
      <c r="AB1431" s="581"/>
      <c r="AC1431" s="347"/>
      <c r="AD1431" s="347"/>
      <c r="AE1431" s="347"/>
      <c r="AF1431" s="347"/>
      <c r="AG1431" s="579"/>
      <c r="AH1431" s="579"/>
      <c r="AI1431" s="582"/>
      <c r="AJ1431" s="582"/>
      <c r="AK1431" s="582"/>
      <c r="AL1431" s="582"/>
      <c r="AM1431" s="579"/>
      <c r="AN1431" s="579"/>
      <c r="AO1431" s="347"/>
      <c r="AP1431" s="586"/>
      <c r="AQ1431" s="596"/>
      <c r="AR1431" s="596"/>
      <c r="AS1431" s="348"/>
      <c r="AT1431" s="348"/>
      <c r="AU1431" s="348"/>
      <c r="AV1431" s="348"/>
      <c r="AW1431" s="348"/>
      <c r="AX1431" s="584"/>
      <c r="AY1431" s="581"/>
      <c r="AZ1431" s="581"/>
      <c r="BA1431" s="596"/>
      <c r="BB1431" s="596"/>
      <c r="BC1431" s="348"/>
      <c r="BD1431" s="581"/>
      <c r="BE1431" s="581"/>
      <c r="BF1431" s="347"/>
      <c r="BG1431" s="347"/>
      <c r="BH1431" s="347"/>
      <c r="BI1431" s="347"/>
      <c r="BJ1431" s="586"/>
      <c r="BK1431" s="581"/>
      <c r="BL1431" s="347"/>
      <c r="BM1431" s="347"/>
      <c r="BN1431" s="347"/>
      <c r="BO1431" s="586"/>
      <c r="BP1431" s="584"/>
      <c r="BQ1431" s="347"/>
      <c r="BR1431" s="586"/>
      <c r="BS1431" s="588"/>
      <c r="BT1431" s="586"/>
      <c r="BU1431" s="589"/>
      <c r="BV1431" s="581"/>
      <c r="BW1431" s="590"/>
      <c r="BX1431" s="347"/>
      <c r="BY1431" s="347"/>
      <c r="BZ1431" s="347"/>
      <c r="CA1431" s="586"/>
      <c r="CB1431" s="581"/>
      <c r="CC1431" s="581"/>
      <c r="CD1431" s="581"/>
      <c r="CE1431" s="581"/>
      <c r="CF1431" s="581"/>
      <c r="CG1431" s="586"/>
      <c r="CH1431" s="608"/>
      <c r="CI1431" s="603"/>
      <c r="CJ1431" s="347"/>
      <c r="CK1431" s="347"/>
      <c r="CL1431" s="347"/>
      <c r="CM1431" s="347"/>
      <c r="CN1431" s="347"/>
      <c r="CO1431" s="347"/>
      <c r="CP1431" s="347"/>
    </row>
    <row r="1432">
      <c r="A1432" s="574"/>
      <c r="B1432" s="574"/>
      <c r="C1432" s="347"/>
      <c r="D1432" s="574"/>
      <c r="E1432" s="347"/>
      <c r="F1432" s="596"/>
      <c r="G1432" s="596"/>
      <c r="H1432" s="347"/>
      <c r="I1432" s="347"/>
      <c r="J1432" s="596"/>
      <c r="K1432" s="609"/>
      <c r="L1432" s="1"/>
      <c r="M1432" s="347"/>
      <c r="N1432" s="347"/>
      <c r="O1432" s="579"/>
      <c r="P1432" s="579"/>
      <c r="Q1432" s="574"/>
      <c r="R1432" s="347"/>
      <c r="S1432" s="597"/>
      <c r="T1432" s="347"/>
      <c r="U1432" s="579"/>
      <c r="V1432" s="579"/>
      <c r="W1432" s="574"/>
      <c r="X1432" s="347"/>
      <c r="Y1432" s="347"/>
      <c r="Z1432" s="347"/>
      <c r="AA1432" s="579"/>
      <c r="AB1432" s="581"/>
      <c r="AC1432" s="347"/>
      <c r="AD1432" s="347"/>
      <c r="AE1432" s="347"/>
      <c r="AF1432" s="347"/>
      <c r="AG1432" s="579"/>
      <c r="AH1432" s="579"/>
      <c r="AI1432" s="582"/>
      <c r="AJ1432" s="582"/>
      <c r="AK1432" s="582"/>
      <c r="AL1432" s="582"/>
      <c r="AM1432" s="579"/>
      <c r="AN1432" s="579"/>
      <c r="AO1432" s="347"/>
      <c r="AP1432" s="586"/>
      <c r="AQ1432" s="596"/>
      <c r="AR1432" s="596"/>
      <c r="AS1432" s="348"/>
      <c r="AT1432" s="348"/>
      <c r="AU1432" s="348"/>
      <c r="AV1432" s="348"/>
      <c r="AW1432" s="348"/>
      <c r="AX1432" s="584"/>
      <c r="AY1432" s="581"/>
      <c r="AZ1432" s="581"/>
      <c r="BA1432" s="596"/>
      <c r="BB1432" s="596"/>
      <c r="BC1432" s="348"/>
      <c r="BD1432" s="581"/>
      <c r="BE1432" s="581"/>
      <c r="BF1432" s="347"/>
      <c r="BG1432" s="347"/>
      <c r="BH1432" s="347"/>
      <c r="BI1432" s="347"/>
      <c r="BJ1432" s="586"/>
      <c r="BK1432" s="581"/>
      <c r="BL1432" s="347"/>
      <c r="BM1432" s="347"/>
      <c r="BN1432" s="347"/>
      <c r="BO1432" s="586"/>
      <c r="BP1432" s="584"/>
      <c r="BQ1432" s="347"/>
      <c r="BR1432" s="586"/>
      <c r="BS1432" s="588"/>
      <c r="BT1432" s="586"/>
      <c r="BU1432" s="589"/>
      <c r="BV1432" s="581"/>
      <c r="BW1432" s="590"/>
      <c r="BX1432" s="347"/>
      <c r="BY1432" s="347"/>
      <c r="BZ1432" s="347"/>
      <c r="CA1432" s="586"/>
      <c r="CB1432" s="581"/>
      <c r="CC1432" s="581"/>
      <c r="CD1432" s="581"/>
      <c r="CE1432" s="581"/>
      <c r="CF1432" s="581"/>
      <c r="CG1432" s="586"/>
      <c r="CH1432" s="608"/>
      <c r="CI1432" s="603"/>
      <c r="CJ1432" s="347"/>
      <c r="CK1432" s="347"/>
      <c r="CL1432" s="347"/>
      <c r="CM1432" s="347"/>
      <c r="CN1432" s="347"/>
      <c r="CO1432" s="347"/>
      <c r="CP1432" s="347"/>
    </row>
    <row r="1433">
      <c r="A1433" s="574"/>
      <c r="B1433" s="574"/>
      <c r="C1433" s="347"/>
      <c r="D1433" s="574"/>
      <c r="E1433" s="347"/>
      <c r="F1433" s="596"/>
      <c r="G1433" s="596"/>
      <c r="H1433" s="347"/>
      <c r="I1433" s="347"/>
      <c r="J1433" s="596"/>
      <c r="K1433" s="609"/>
      <c r="L1433" s="1"/>
      <c r="M1433" s="347"/>
      <c r="N1433" s="347"/>
      <c r="O1433" s="579"/>
      <c r="P1433" s="579"/>
      <c r="Q1433" s="574"/>
      <c r="R1433" s="347"/>
      <c r="S1433" s="597"/>
      <c r="T1433" s="347"/>
      <c r="U1433" s="579"/>
      <c r="V1433" s="579"/>
      <c r="W1433" s="574"/>
      <c r="X1433" s="347"/>
      <c r="Y1433" s="347"/>
      <c r="Z1433" s="347"/>
      <c r="AA1433" s="579"/>
      <c r="AB1433" s="581"/>
      <c r="AC1433" s="347"/>
      <c r="AD1433" s="347"/>
      <c r="AE1433" s="347"/>
      <c r="AF1433" s="347"/>
      <c r="AG1433" s="579"/>
      <c r="AH1433" s="579"/>
      <c r="AI1433" s="582"/>
      <c r="AJ1433" s="582"/>
      <c r="AK1433" s="582"/>
      <c r="AL1433" s="582"/>
      <c r="AM1433" s="579"/>
      <c r="AN1433" s="579"/>
      <c r="AO1433" s="347"/>
      <c r="AP1433" s="586"/>
      <c r="AQ1433" s="596"/>
      <c r="AR1433" s="596"/>
      <c r="AS1433" s="348"/>
      <c r="AT1433" s="348"/>
      <c r="AU1433" s="348"/>
      <c r="AV1433" s="348"/>
      <c r="AW1433" s="348"/>
      <c r="AX1433" s="584"/>
      <c r="AY1433" s="581"/>
      <c r="AZ1433" s="581"/>
      <c r="BA1433" s="596"/>
      <c r="BB1433" s="596"/>
      <c r="BC1433" s="348"/>
      <c r="BD1433" s="581"/>
      <c r="BE1433" s="581"/>
      <c r="BF1433" s="347"/>
      <c r="BG1433" s="347"/>
      <c r="BH1433" s="347"/>
      <c r="BI1433" s="347"/>
      <c r="BJ1433" s="586"/>
      <c r="BK1433" s="581"/>
      <c r="BL1433" s="347"/>
      <c r="BM1433" s="347"/>
      <c r="BN1433" s="347"/>
      <c r="BO1433" s="586"/>
      <c r="BP1433" s="584"/>
      <c r="BQ1433" s="347"/>
      <c r="BR1433" s="586"/>
      <c r="BS1433" s="588"/>
      <c r="BT1433" s="586"/>
      <c r="BU1433" s="589"/>
      <c r="BV1433" s="581"/>
      <c r="BW1433" s="590"/>
      <c r="BX1433" s="347"/>
      <c r="BY1433" s="347"/>
      <c r="BZ1433" s="347"/>
      <c r="CA1433" s="586"/>
      <c r="CB1433" s="581"/>
      <c r="CC1433" s="581"/>
      <c r="CD1433" s="581"/>
      <c r="CE1433" s="581"/>
      <c r="CF1433" s="581"/>
      <c r="CG1433" s="586"/>
      <c r="CH1433" s="608"/>
      <c r="CI1433" s="603"/>
      <c r="CJ1433" s="347"/>
      <c r="CK1433" s="347"/>
      <c r="CL1433" s="347"/>
      <c r="CM1433" s="347"/>
      <c r="CN1433" s="347"/>
      <c r="CO1433" s="347"/>
      <c r="CP1433" s="347"/>
    </row>
    <row r="1434">
      <c r="A1434" s="574"/>
      <c r="B1434" s="574"/>
      <c r="C1434" s="347"/>
      <c r="D1434" s="574"/>
      <c r="E1434" s="347"/>
      <c r="F1434" s="596"/>
      <c r="G1434" s="596"/>
      <c r="H1434" s="347"/>
      <c r="I1434" s="347"/>
      <c r="J1434" s="596"/>
      <c r="K1434" s="609"/>
      <c r="L1434" s="1"/>
      <c r="M1434" s="347"/>
      <c r="N1434" s="347"/>
      <c r="O1434" s="579"/>
      <c r="P1434" s="579"/>
      <c r="Q1434" s="574"/>
      <c r="R1434" s="347"/>
      <c r="S1434" s="597"/>
      <c r="T1434" s="347"/>
      <c r="U1434" s="579"/>
      <c r="V1434" s="579"/>
      <c r="W1434" s="574"/>
      <c r="X1434" s="347"/>
      <c r="Y1434" s="347"/>
      <c r="Z1434" s="347"/>
      <c r="AA1434" s="579"/>
      <c r="AB1434" s="581"/>
      <c r="AC1434" s="347"/>
      <c r="AD1434" s="347"/>
      <c r="AE1434" s="347"/>
      <c r="AF1434" s="347"/>
      <c r="AG1434" s="579"/>
      <c r="AH1434" s="579"/>
      <c r="AI1434" s="582"/>
      <c r="AJ1434" s="582"/>
      <c r="AK1434" s="582"/>
      <c r="AL1434" s="582"/>
      <c r="AM1434" s="579"/>
      <c r="AN1434" s="579"/>
      <c r="AO1434" s="347"/>
      <c r="AP1434" s="586"/>
      <c r="AQ1434" s="596"/>
      <c r="AR1434" s="596"/>
      <c r="AS1434" s="348"/>
      <c r="AT1434" s="348"/>
      <c r="AU1434" s="348"/>
      <c r="AV1434" s="348"/>
      <c r="AW1434" s="348"/>
      <c r="AX1434" s="584"/>
      <c r="AY1434" s="581"/>
      <c r="AZ1434" s="581"/>
      <c r="BA1434" s="596"/>
      <c r="BB1434" s="596"/>
      <c r="BC1434" s="348"/>
      <c r="BD1434" s="581"/>
      <c r="BE1434" s="581"/>
      <c r="BF1434" s="347"/>
      <c r="BG1434" s="347"/>
      <c r="BH1434" s="347"/>
      <c r="BI1434" s="347"/>
      <c r="BJ1434" s="586"/>
      <c r="BK1434" s="581"/>
      <c r="BL1434" s="347"/>
      <c r="BM1434" s="347"/>
      <c r="BN1434" s="347"/>
      <c r="BO1434" s="586"/>
      <c r="BP1434" s="584"/>
      <c r="BQ1434" s="347"/>
      <c r="BR1434" s="586"/>
      <c r="BS1434" s="588"/>
      <c r="BT1434" s="586"/>
      <c r="BU1434" s="589"/>
      <c r="BV1434" s="581"/>
      <c r="BW1434" s="590"/>
      <c r="BX1434" s="347"/>
      <c r="BY1434" s="347"/>
      <c r="BZ1434" s="347"/>
      <c r="CA1434" s="586"/>
      <c r="CB1434" s="581"/>
      <c r="CC1434" s="581"/>
      <c r="CD1434" s="581"/>
      <c r="CE1434" s="581"/>
      <c r="CF1434" s="581"/>
      <c r="CG1434" s="586"/>
      <c r="CH1434" s="608"/>
      <c r="CI1434" s="603"/>
      <c r="CJ1434" s="347"/>
      <c r="CK1434" s="347"/>
      <c r="CL1434" s="347"/>
      <c r="CM1434" s="347"/>
      <c r="CN1434" s="347"/>
      <c r="CO1434" s="347"/>
      <c r="CP1434" s="347"/>
    </row>
    <row r="1435">
      <c r="A1435" s="574"/>
      <c r="B1435" s="574"/>
      <c r="C1435" s="347"/>
      <c r="D1435" s="574"/>
      <c r="E1435" s="347"/>
      <c r="F1435" s="596"/>
      <c r="G1435" s="596"/>
      <c r="H1435" s="347"/>
      <c r="I1435" s="347"/>
      <c r="J1435" s="596"/>
      <c r="K1435" s="609"/>
      <c r="L1435" s="1"/>
      <c r="M1435" s="347"/>
      <c r="N1435" s="347"/>
      <c r="O1435" s="579"/>
      <c r="P1435" s="579"/>
      <c r="Q1435" s="574"/>
      <c r="R1435" s="347"/>
      <c r="S1435" s="597"/>
      <c r="T1435" s="347"/>
      <c r="U1435" s="579"/>
      <c r="V1435" s="579"/>
      <c r="W1435" s="574"/>
      <c r="X1435" s="347"/>
      <c r="Y1435" s="347"/>
      <c r="Z1435" s="347"/>
      <c r="AA1435" s="579"/>
      <c r="AB1435" s="581"/>
      <c r="AC1435" s="347"/>
      <c r="AD1435" s="347"/>
      <c r="AE1435" s="347"/>
      <c r="AF1435" s="347"/>
      <c r="AG1435" s="579"/>
      <c r="AH1435" s="579"/>
      <c r="AI1435" s="582"/>
      <c r="AJ1435" s="582"/>
      <c r="AK1435" s="582"/>
      <c r="AL1435" s="582"/>
      <c r="AM1435" s="579"/>
      <c r="AN1435" s="579"/>
      <c r="AO1435" s="347"/>
      <c r="AP1435" s="586"/>
      <c r="AQ1435" s="596"/>
      <c r="AR1435" s="596"/>
      <c r="AS1435" s="348"/>
      <c r="AT1435" s="348"/>
      <c r="AU1435" s="348"/>
      <c r="AV1435" s="348"/>
      <c r="AW1435" s="348"/>
      <c r="AX1435" s="584"/>
      <c r="AY1435" s="581"/>
      <c r="AZ1435" s="581"/>
      <c r="BA1435" s="596"/>
      <c r="BB1435" s="596"/>
      <c r="BC1435" s="348"/>
      <c r="BD1435" s="581"/>
      <c r="BE1435" s="581"/>
      <c r="BF1435" s="347"/>
      <c r="BG1435" s="347"/>
      <c r="BH1435" s="347"/>
      <c r="BI1435" s="347"/>
      <c r="BJ1435" s="586"/>
      <c r="BK1435" s="581"/>
      <c r="BL1435" s="347"/>
      <c r="BM1435" s="347"/>
      <c r="BN1435" s="347"/>
      <c r="BO1435" s="586"/>
      <c r="BP1435" s="584"/>
      <c r="BQ1435" s="347"/>
      <c r="BR1435" s="586"/>
      <c r="BS1435" s="588"/>
      <c r="BT1435" s="586"/>
      <c r="BU1435" s="589"/>
      <c r="BV1435" s="581"/>
      <c r="BW1435" s="590"/>
      <c r="BX1435" s="347"/>
      <c r="BY1435" s="347"/>
      <c r="BZ1435" s="347"/>
      <c r="CA1435" s="586"/>
      <c r="CB1435" s="581"/>
      <c r="CC1435" s="581"/>
      <c r="CD1435" s="581"/>
      <c r="CE1435" s="581"/>
      <c r="CF1435" s="581"/>
      <c r="CG1435" s="586"/>
      <c r="CH1435" s="608"/>
      <c r="CI1435" s="603"/>
      <c r="CJ1435" s="347"/>
      <c r="CK1435" s="347"/>
      <c r="CL1435" s="347"/>
      <c r="CM1435" s="347"/>
      <c r="CN1435" s="347"/>
      <c r="CO1435" s="347"/>
      <c r="CP1435" s="347"/>
    </row>
    <row r="1436">
      <c r="A1436" s="574"/>
      <c r="B1436" s="574"/>
      <c r="C1436" s="347"/>
      <c r="D1436" s="574"/>
      <c r="E1436" s="347"/>
      <c r="F1436" s="596"/>
      <c r="G1436" s="596"/>
      <c r="H1436" s="347"/>
      <c r="I1436" s="347"/>
      <c r="J1436" s="596"/>
      <c r="K1436" s="609"/>
      <c r="L1436" s="1"/>
      <c r="M1436" s="347"/>
      <c r="N1436" s="347"/>
      <c r="O1436" s="579"/>
      <c r="P1436" s="579"/>
      <c r="Q1436" s="574"/>
      <c r="R1436" s="347"/>
      <c r="S1436" s="597"/>
      <c r="T1436" s="347"/>
      <c r="U1436" s="579"/>
      <c r="V1436" s="579"/>
      <c r="W1436" s="574"/>
      <c r="X1436" s="347"/>
      <c r="Y1436" s="347"/>
      <c r="Z1436" s="347"/>
      <c r="AA1436" s="579"/>
      <c r="AB1436" s="581"/>
      <c r="AC1436" s="347"/>
      <c r="AD1436" s="347"/>
      <c r="AE1436" s="347"/>
      <c r="AF1436" s="347"/>
      <c r="AG1436" s="579"/>
      <c r="AH1436" s="579"/>
      <c r="AI1436" s="582"/>
      <c r="AJ1436" s="582"/>
      <c r="AK1436" s="582"/>
      <c r="AL1436" s="582"/>
      <c r="AM1436" s="579"/>
      <c r="AN1436" s="579"/>
      <c r="AO1436" s="347"/>
      <c r="AP1436" s="586"/>
      <c r="AQ1436" s="596"/>
      <c r="AR1436" s="596"/>
      <c r="AS1436" s="348"/>
      <c r="AT1436" s="348"/>
      <c r="AU1436" s="348"/>
      <c r="AV1436" s="348"/>
      <c r="AW1436" s="348"/>
      <c r="AX1436" s="584"/>
      <c r="AY1436" s="581"/>
      <c r="AZ1436" s="581"/>
      <c r="BA1436" s="596"/>
      <c r="BB1436" s="596"/>
      <c r="BC1436" s="348"/>
      <c r="BD1436" s="581"/>
      <c r="BE1436" s="581"/>
      <c r="BF1436" s="347"/>
      <c r="BG1436" s="347"/>
      <c r="BH1436" s="347"/>
      <c r="BI1436" s="347"/>
      <c r="BJ1436" s="586"/>
      <c r="BK1436" s="581"/>
      <c r="BL1436" s="347"/>
      <c r="BM1436" s="347"/>
      <c r="BN1436" s="347"/>
      <c r="BO1436" s="586"/>
      <c r="BP1436" s="584"/>
      <c r="BQ1436" s="347"/>
      <c r="BR1436" s="586"/>
      <c r="BS1436" s="588"/>
      <c r="BT1436" s="586"/>
      <c r="BU1436" s="589"/>
      <c r="BV1436" s="581"/>
      <c r="BW1436" s="590"/>
      <c r="BX1436" s="347"/>
      <c r="BY1436" s="347"/>
      <c r="BZ1436" s="347"/>
      <c r="CA1436" s="586"/>
      <c r="CB1436" s="581"/>
      <c r="CC1436" s="581"/>
      <c r="CD1436" s="581"/>
      <c r="CE1436" s="581"/>
      <c r="CF1436" s="581"/>
      <c r="CG1436" s="586"/>
      <c r="CH1436" s="608"/>
      <c r="CI1436" s="603"/>
      <c r="CJ1436" s="347"/>
      <c r="CK1436" s="347"/>
      <c r="CL1436" s="347"/>
      <c r="CM1436" s="347"/>
      <c r="CN1436" s="347"/>
      <c r="CO1436" s="347"/>
      <c r="CP1436" s="347"/>
    </row>
    <row r="1437">
      <c r="A1437" s="574"/>
      <c r="B1437" s="574"/>
      <c r="C1437" s="347"/>
      <c r="D1437" s="574"/>
      <c r="E1437" s="347"/>
      <c r="F1437" s="596"/>
      <c r="G1437" s="596"/>
      <c r="H1437" s="347"/>
      <c r="I1437" s="347"/>
      <c r="J1437" s="596"/>
      <c r="K1437" s="609"/>
      <c r="L1437" s="1"/>
      <c r="M1437" s="347"/>
      <c r="N1437" s="347"/>
      <c r="O1437" s="579"/>
      <c r="P1437" s="579"/>
      <c r="Q1437" s="574"/>
      <c r="R1437" s="347"/>
      <c r="S1437" s="597"/>
      <c r="T1437" s="347"/>
      <c r="U1437" s="579"/>
      <c r="V1437" s="579"/>
      <c r="W1437" s="574"/>
      <c r="X1437" s="347"/>
      <c r="Y1437" s="347"/>
      <c r="Z1437" s="347"/>
      <c r="AA1437" s="579"/>
      <c r="AB1437" s="581"/>
      <c r="AC1437" s="347"/>
      <c r="AD1437" s="347"/>
      <c r="AE1437" s="347"/>
      <c r="AF1437" s="347"/>
      <c r="AG1437" s="579"/>
      <c r="AH1437" s="579"/>
      <c r="AI1437" s="582"/>
      <c r="AJ1437" s="582"/>
      <c r="AK1437" s="582"/>
      <c r="AL1437" s="582"/>
      <c r="AM1437" s="579"/>
      <c r="AN1437" s="579"/>
      <c r="AO1437" s="347"/>
      <c r="AP1437" s="586"/>
      <c r="AQ1437" s="596"/>
      <c r="AR1437" s="596"/>
      <c r="AS1437" s="348"/>
      <c r="AT1437" s="348"/>
      <c r="AU1437" s="348"/>
      <c r="AV1437" s="348"/>
      <c r="AW1437" s="348"/>
      <c r="AX1437" s="584"/>
      <c r="AY1437" s="581"/>
      <c r="AZ1437" s="581"/>
      <c r="BA1437" s="596"/>
      <c r="BB1437" s="596"/>
      <c r="BC1437" s="348"/>
      <c r="BD1437" s="581"/>
      <c r="BE1437" s="581"/>
      <c r="BF1437" s="347"/>
      <c r="BG1437" s="347"/>
      <c r="BH1437" s="347"/>
      <c r="BI1437" s="347"/>
      <c r="BJ1437" s="586"/>
      <c r="BK1437" s="581"/>
      <c r="BL1437" s="347"/>
      <c r="BM1437" s="347"/>
      <c r="BN1437" s="347"/>
      <c r="BO1437" s="586"/>
      <c r="BP1437" s="584"/>
      <c r="BQ1437" s="347"/>
      <c r="BR1437" s="586"/>
      <c r="BS1437" s="588"/>
      <c r="BT1437" s="586"/>
      <c r="BU1437" s="589"/>
      <c r="BV1437" s="581"/>
      <c r="BW1437" s="590"/>
      <c r="BX1437" s="347"/>
      <c r="BY1437" s="347"/>
      <c r="BZ1437" s="347"/>
      <c r="CA1437" s="586"/>
      <c r="CB1437" s="581"/>
      <c r="CC1437" s="581"/>
      <c r="CD1437" s="581"/>
      <c r="CE1437" s="581"/>
      <c r="CF1437" s="581"/>
      <c r="CG1437" s="586"/>
      <c r="CH1437" s="608"/>
      <c r="CI1437" s="603"/>
      <c r="CJ1437" s="347"/>
      <c r="CK1437" s="347"/>
      <c r="CL1437" s="347"/>
      <c r="CM1437" s="347"/>
      <c r="CN1437" s="347"/>
      <c r="CO1437" s="347"/>
      <c r="CP1437" s="347"/>
    </row>
    <row r="1438">
      <c r="A1438" s="574"/>
      <c r="B1438" s="574"/>
      <c r="C1438" s="347"/>
      <c r="D1438" s="574"/>
      <c r="E1438" s="347"/>
      <c r="F1438" s="596"/>
      <c r="G1438" s="596"/>
      <c r="H1438" s="347"/>
      <c r="I1438" s="347"/>
      <c r="J1438" s="596"/>
      <c r="K1438" s="609"/>
      <c r="L1438" s="1"/>
      <c r="M1438" s="347"/>
      <c r="N1438" s="347"/>
      <c r="O1438" s="579"/>
      <c r="P1438" s="579"/>
      <c r="Q1438" s="574"/>
      <c r="R1438" s="347"/>
      <c r="S1438" s="597"/>
      <c r="T1438" s="347"/>
      <c r="U1438" s="579"/>
      <c r="V1438" s="579"/>
      <c r="W1438" s="574"/>
      <c r="X1438" s="347"/>
      <c r="Y1438" s="347"/>
      <c r="Z1438" s="347"/>
      <c r="AA1438" s="579"/>
      <c r="AB1438" s="581"/>
      <c r="AC1438" s="347"/>
      <c r="AD1438" s="347"/>
      <c r="AE1438" s="347"/>
      <c r="AF1438" s="347"/>
      <c r="AG1438" s="579"/>
      <c r="AH1438" s="579"/>
      <c r="AI1438" s="582"/>
      <c r="AJ1438" s="582"/>
      <c r="AK1438" s="582"/>
      <c r="AL1438" s="582"/>
      <c r="AM1438" s="579"/>
      <c r="AN1438" s="579"/>
      <c r="AO1438" s="347"/>
      <c r="AP1438" s="586"/>
      <c r="AQ1438" s="596"/>
      <c r="AR1438" s="596"/>
      <c r="AS1438" s="348"/>
      <c r="AT1438" s="348"/>
      <c r="AU1438" s="348"/>
      <c r="AV1438" s="348"/>
      <c r="AW1438" s="348"/>
      <c r="AX1438" s="584"/>
      <c r="AY1438" s="581"/>
      <c r="AZ1438" s="581"/>
      <c r="BA1438" s="596"/>
      <c r="BB1438" s="596"/>
      <c r="BC1438" s="348"/>
      <c r="BD1438" s="581"/>
      <c r="BE1438" s="581"/>
      <c r="BF1438" s="347"/>
      <c r="BG1438" s="347"/>
      <c r="BH1438" s="347"/>
      <c r="BI1438" s="347"/>
      <c r="BJ1438" s="586"/>
      <c r="BK1438" s="581"/>
      <c r="BL1438" s="347"/>
      <c r="BM1438" s="347"/>
      <c r="BN1438" s="347"/>
      <c r="BO1438" s="586"/>
      <c r="BP1438" s="584"/>
      <c r="BQ1438" s="347"/>
      <c r="BR1438" s="586"/>
      <c r="BS1438" s="588"/>
      <c r="BT1438" s="586"/>
      <c r="BU1438" s="589"/>
      <c r="BV1438" s="581"/>
      <c r="BW1438" s="590"/>
      <c r="BX1438" s="347"/>
      <c r="BY1438" s="347"/>
      <c r="BZ1438" s="347"/>
      <c r="CA1438" s="586"/>
      <c r="CB1438" s="581"/>
      <c r="CC1438" s="581"/>
      <c r="CD1438" s="581"/>
      <c r="CE1438" s="581"/>
      <c r="CF1438" s="581"/>
      <c r="CG1438" s="586"/>
      <c r="CH1438" s="608"/>
      <c r="CI1438" s="603"/>
      <c r="CJ1438" s="347"/>
      <c r="CK1438" s="347"/>
      <c r="CL1438" s="347"/>
      <c r="CM1438" s="347"/>
      <c r="CN1438" s="347"/>
      <c r="CO1438" s="347"/>
      <c r="CP1438" s="347"/>
    </row>
    <row r="1439">
      <c r="A1439" s="574"/>
      <c r="B1439" s="574"/>
      <c r="C1439" s="347"/>
      <c r="D1439" s="574"/>
      <c r="E1439" s="347"/>
      <c r="F1439" s="596"/>
      <c r="G1439" s="596"/>
      <c r="H1439" s="347"/>
      <c r="I1439" s="347"/>
      <c r="J1439" s="596"/>
      <c r="K1439" s="609"/>
      <c r="L1439" s="1"/>
      <c r="M1439" s="347"/>
      <c r="N1439" s="347"/>
      <c r="O1439" s="579"/>
      <c r="P1439" s="579"/>
      <c r="Q1439" s="574"/>
      <c r="R1439" s="347"/>
      <c r="S1439" s="597"/>
      <c r="T1439" s="347"/>
      <c r="U1439" s="579"/>
      <c r="V1439" s="579"/>
      <c r="W1439" s="574"/>
      <c r="X1439" s="347"/>
      <c r="Y1439" s="347"/>
      <c r="Z1439" s="347"/>
      <c r="AA1439" s="579"/>
      <c r="AB1439" s="581"/>
      <c r="AC1439" s="347"/>
      <c r="AD1439" s="347"/>
      <c r="AE1439" s="347"/>
      <c r="AF1439" s="347"/>
      <c r="AG1439" s="579"/>
      <c r="AH1439" s="579"/>
      <c r="AI1439" s="582"/>
      <c r="AJ1439" s="582"/>
      <c r="AK1439" s="582"/>
      <c r="AL1439" s="582"/>
      <c r="AM1439" s="579"/>
      <c r="AN1439" s="579"/>
      <c r="AO1439" s="347"/>
      <c r="AP1439" s="586"/>
      <c r="AQ1439" s="596"/>
      <c r="AR1439" s="596"/>
      <c r="AS1439" s="348"/>
      <c r="AT1439" s="348"/>
      <c r="AU1439" s="348"/>
      <c r="AV1439" s="348"/>
      <c r="AW1439" s="348"/>
      <c r="AX1439" s="584"/>
      <c r="AY1439" s="581"/>
      <c r="AZ1439" s="581"/>
      <c r="BA1439" s="596"/>
      <c r="BB1439" s="596"/>
      <c r="BC1439" s="348"/>
      <c r="BD1439" s="581"/>
      <c r="BE1439" s="581"/>
      <c r="BF1439" s="347"/>
      <c r="BG1439" s="347"/>
      <c r="BH1439" s="347"/>
      <c r="BI1439" s="347"/>
      <c r="BJ1439" s="586"/>
      <c r="BK1439" s="581"/>
      <c r="BL1439" s="347"/>
      <c r="BM1439" s="347"/>
      <c r="BN1439" s="347"/>
      <c r="BO1439" s="586"/>
      <c r="BP1439" s="584"/>
      <c r="BQ1439" s="347"/>
      <c r="BR1439" s="586"/>
      <c r="BS1439" s="588"/>
      <c r="BT1439" s="586"/>
      <c r="BU1439" s="589"/>
      <c r="BV1439" s="581"/>
      <c r="BW1439" s="590"/>
      <c r="BX1439" s="347"/>
      <c r="BY1439" s="347"/>
      <c r="BZ1439" s="347"/>
      <c r="CA1439" s="586"/>
      <c r="CB1439" s="581"/>
      <c r="CC1439" s="581"/>
      <c r="CD1439" s="581"/>
      <c r="CE1439" s="581"/>
      <c r="CF1439" s="581"/>
      <c r="CG1439" s="586"/>
      <c r="CH1439" s="608"/>
      <c r="CI1439" s="603"/>
      <c r="CJ1439" s="347"/>
      <c r="CK1439" s="347"/>
      <c r="CL1439" s="347"/>
      <c r="CM1439" s="347"/>
      <c r="CN1439" s="347"/>
      <c r="CO1439" s="347"/>
      <c r="CP1439" s="347"/>
    </row>
    <row r="1440">
      <c r="A1440" s="574"/>
      <c r="B1440" s="574"/>
      <c r="C1440" s="347"/>
      <c r="D1440" s="574"/>
      <c r="E1440" s="347"/>
      <c r="F1440" s="596"/>
      <c r="G1440" s="596"/>
      <c r="H1440" s="347"/>
      <c r="I1440" s="347"/>
      <c r="J1440" s="596"/>
      <c r="K1440" s="609"/>
      <c r="L1440" s="1"/>
      <c r="M1440" s="347"/>
      <c r="N1440" s="347"/>
      <c r="O1440" s="579"/>
      <c r="P1440" s="579"/>
      <c r="Q1440" s="574"/>
      <c r="R1440" s="347"/>
      <c r="S1440" s="597"/>
      <c r="T1440" s="347"/>
      <c r="U1440" s="579"/>
      <c r="V1440" s="579"/>
      <c r="W1440" s="574"/>
      <c r="X1440" s="347"/>
      <c r="Y1440" s="347"/>
      <c r="Z1440" s="347"/>
      <c r="AA1440" s="579"/>
      <c r="AB1440" s="581"/>
      <c r="AC1440" s="347"/>
      <c r="AD1440" s="347"/>
      <c r="AE1440" s="347"/>
      <c r="AF1440" s="347"/>
      <c r="AG1440" s="579"/>
      <c r="AH1440" s="579"/>
      <c r="AI1440" s="582"/>
      <c r="AJ1440" s="582"/>
      <c r="AK1440" s="582"/>
      <c r="AL1440" s="582"/>
      <c r="AM1440" s="579"/>
      <c r="AN1440" s="579"/>
      <c r="AO1440" s="347"/>
      <c r="AP1440" s="586"/>
      <c r="AQ1440" s="596"/>
      <c r="AR1440" s="596"/>
      <c r="AS1440" s="348"/>
      <c r="AT1440" s="348"/>
      <c r="AU1440" s="348"/>
      <c r="AV1440" s="348"/>
      <c r="AW1440" s="348"/>
      <c r="AX1440" s="584"/>
      <c r="AY1440" s="581"/>
      <c r="AZ1440" s="581"/>
      <c r="BA1440" s="596"/>
      <c r="BB1440" s="596"/>
      <c r="BC1440" s="348"/>
      <c r="BD1440" s="581"/>
      <c r="BE1440" s="581"/>
      <c r="BF1440" s="347"/>
      <c r="BG1440" s="347"/>
      <c r="BH1440" s="347"/>
      <c r="BI1440" s="347"/>
      <c r="BJ1440" s="586"/>
      <c r="BK1440" s="581"/>
      <c r="BL1440" s="347"/>
      <c r="BM1440" s="347"/>
      <c r="BN1440" s="347"/>
      <c r="BO1440" s="586"/>
      <c r="BP1440" s="584"/>
      <c r="BQ1440" s="347"/>
      <c r="BR1440" s="586"/>
      <c r="BS1440" s="588"/>
      <c r="BT1440" s="586"/>
      <c r="BU1440" s="589"/>
      <c r="BV1440" s="581"/>
      <c r="BW1440" s="590"/>
      <c r="BX1440" s="347"/>
      <c r="BY1440" s="347"/>
      <c r="BZ1440" s="347"/>
      <c r="CA1440" s="586"/>
      <c r="CB1440" s="581"/>
      <c r="CC1440" s="581"/>
      <c r="CD1440" s="581"/>
      <c r="CE1440" s="581"/>
      <c r="CF1440" s="581"/>
      <c r="CG1440" s="586"/>
      <c r="CH1440" s="608"/>
      <c r="CI1440" s="603"/>
      <c r="CJ1440" s="347"/>
      <c r="CK1440" s="347"/>
      <c r="CL1440" s="347"/>
      <c r="CM1440" s="347"/>
      <c r="CN1440" s="347"/>
      <c r="CO1440" s="347"/>
      <c r="CP1440" s="347"/>
    </row>
    <row r="1441">
      <c r="A1441" s="574"/>
      <c r="B1441" s="574"/>
      <c r="C1441" s="347"/>
      <c r="D1441" s="574"/>
      <c r="E1441" s="347"/>
      <c r="F1441" s="596"/>
      <c r="G1441" s="596"/>
      <c r="H1441" s="347"/>
      <c r="I1441" s="347"/>
      <c r="J1441" s="596"/>
      <c r="K1441" s="609"/>
      <c r="L1441" s="1"/>
      <c r="M1441" s="347"/>
      <c r="N1441" s="347"/>
      <c r="O1441" s="579"/>
      <c r="P1441" s="579"/>
      <c r="Q1441" s="574"/>
      <c r="R1441" s="347"/>
      <c r="S1441" s="597"/>
      <c r="T1441" s="347"/>
      <c r="U1441" s="579"/>
      <c r="V1441" s="579"/>
      <c r="W1441" s="574"/>
      <c r="X1441" s="347"/>
      <c r="Y1441" s="347"/>
      <c r="Z1441" s="347"/>
      <c r="AA1441" s="579"/>
      <c r="AB1441" s="581"/>
      <c r="AC1441" s="347"/>
      <c r="AD1441" s="347"/>
      <c r="AE1441" s="347"/>
      <c r="AF1441" s="347"/>
      <c r="AG1441" s="579"/>
      <c r="AH1441" s="579"/>
      <c r="AI1441" s="582"/>
      <c r="AJ1441" s="582"/>
      <c r="AK1441" s="582"/>
      <c r="AL1441" s="582"/>
      <c r="AM1441" s="579"/>
      <c r="AN1441" s="579"/>
      <c r="AO1441" s="347"/>
      <c r="AP1441" s="586"/>
      <c r="AQ1441" s="596"/>
      <c r="AR1441" s="596"/>
      <c r="AS1441" s="348"/>
      <c r="AT1441" s="348"/>
      <c r="AU1441" s="348"/>
      <c r="AV1441" s="348"/>
      <c r="AW1441" s="348"/>
      <c r="AX1441" s="584"/>
      <c r="AY1441" s="581"/>
      <c r="AZ1441" s="581"/>
      <c r="BA1441" s="596"/>
      <c r="BB1441" s="596"/>
      <c r="BC1441" s="348"/>
      <c r="BD1441" s="581"/>
      <c r="BE1441" s="581"/>
      <c r="BF1441" s="347"/>
      <c r="BG1441" s="347"/>
      <c r="BH1441" s="347"/>
      <c r="BI1441" s="347"/>
      <c r="BJ1441" s="586"/>
      <c r="BK1441" s="581"/>
      <c r="BL1441" s="347"/>
      <c r="BM1441" s="347"/>
      <c r="BN1441" s="347"/>
      <c r="BO1441" s="586"/>
      <c r="BP1441" s="584"/>
      <c r="BQ1441" s="347"/>
      <c r="BR1441" s="586"/>
      <c r="BS1441" s="588"/>
      <c r="BT1441" s="586"/>
      <c r="BU1441" s="589"/>
      <c r="BV1441" s="581"/>
      <c r="BW1441" s="590"/>
      <c r="BX1441" s="347"/>
      <c r="BY1441" s="347"/>
      <c r="BZ1441" s="347"/>
      <c r="CA1441" s="586"/>
      <c r="CB1441" s="581"/>
      <c r="CC1441" s="581"/>
      <c r="CD1441" s="581"/>
      <c r="CE1441" s="581"/>
      <c r="CF1441" s="581"/>
      <c r="CG1441" s="586"/>
      <c r="CH1441" s="608"/>
      <c r="CI1441" s="603"/>
      <c r="CJ1441" s="347"/>
      <c r="CK1441" s="347"/>
      <c r="CL1441" s="347"/>
      <c r="CM1441" s="347"/>
      <c r="CN1441" s="347"/>
      <c r="CO1441" s="347"/>
      <c r="CP1441" s="347"/>
    </row>
    <row r="1442">
      <c r="A1442" s="574"/>
      <c r="B1442" s="574"/>
      <c r="C1442" s="347"/>
      <c r="D1442" s="574"/>
      <c r="E1442" s="347"/>
      <c r="F1442" s="596"/>
      <c r="G1442" s="596"/>
      <c r="H1442" s="347"/>
      <c r="I1442" s="347"/>
      <c r="J1442" s="596"/>
      <c r="K1442" s="609"/>
      <c r="L1442" s="1"/>
      <c r="M1442" s="347"/>
      <c r="N1442" s="347"/>
      <c r="O1442" s="579"/>
      <c r="P1442" s="579"/>
      <c r="Q1442" s="574"/>
      <c r="R1442" s="347"/>
      <c r="S1442" s="597"/>
      <c r="T1442" s="347"/>
      <c r="U1442" s="579"/>
      <c r="V1442" s="579"/>
      <c r="W1442" s="574"/>
      <c r="X1442" s="347"/>
      <c r="Y1442" s="347"/>
      <c r="Z1442" s="347"/>
      <c r="AA1442" s="579"/>
      <c r="AB1442" s="581"/>
      <c r="AC1442" s="347"/>
      <c r="AD1442" s="347"/>
      <c r="AE1442" s="347"/>
      <c r="AF1442" s="347"/>
      <c r="AG1442" s="579"/>
      <c r="AH1442" s="579"/>
      <c r="AI1442" s="582"/>
      <c r="AJ1442" s="582"/>
      <c r="AK1442" s="582"/>
      <c r="AL1442" s="582"/>
      <c r="AM1442" s="579"/>
      <c r="AN1442" s="579"/>
      <c r="AO1442" s="347"/>
      <c r="AP1442" s="586"/>
      <c r="AQ1442" s="596"/>
      <c r="AR1442" s="596"/>
      <c r="AS1442" s="348"/>
      <c r="AT1442" s="348"/>
      <c r="AU1442" s="348"/>
      <c r="AV1442" s="348"/>
      <c r="AW1442" s="348"/>
      <c r="AX1442" s="584"/>
      <c r="AY1442" s="581"/>
      <c r="AZ1442" s="581"/>
      <c r="BA1442" s="596"/>
      <c r="BB1442" s="596"/>
      <c r="BC1442" s="348"/>
      <c r="BD1442" s="581"/>
      <c r="BE1442" s="581"/>
      <c r="BF1442" s="347"/>
      <c r="BG1442" s="347"/>
      <c r="BH1442" s="347"/>
      <c r="BI1442" s="347"/>
      <c r="BJ1442" s="586"/>
      <c r="BK1442" s="581"/>
      <c r="BL1442" s="347"/>
      <c r="BM1442" s="347"/>
      <c r="BN1442" s="347"/>
      <c r="BO1442" s="586"/>
      <c r="BP1442" s="584"/>
      <c r="BQ1442" s="347"/>
      <c r="BR1442" s="586"/>
      <c r="BS1442" s="588"/>
      <c r="BT1442" s="586"/>
      <c r="BU1442" s="589"/>
      <c r="BV1442" s="581"/>
      <c r="BW1442" s="590"/>
      <c r="BX1442" s="347"/>
      <c r="BY1442" s="347"/>
      <c r="BZ1442" s="347"/>
      <c r="CA1442" s="586"/>
      <c r="CB1442" s="581"/>
      <c r="CC1442" s="581"/>
      <c r="CD1442" s="581"/>
      <c r="CE1442" s="581"/>
      <c r="CF1442" s="581"/>
      <c r="CG1442" s="586"/>
      <c r="CH1442" s="608"/>
      <c r="CI1442" s="603"/>
      <c r="CJ1442" s="347"/>
      <c r="CK1442" s="347"/>
      <c r="CL1442" s="347"/>
      <c r="CM1442" s="347"/>
      <c r="CN1442" s="347"/>
      <c r="CO1442" s="347"/>
      <c r="CP1442" s="347"/>
    </row>
    <row r="1443">
      <c r="A1443" s="574"/>
      <c r="B1443" s="574"/>
      <c r="C1443" s="347"/>
      <c r="D1443" s="574"/>
      <c r="E1443" s="347"/>
      <c r="F1443" s="596"/>
      <c r="G1443" s="596"/>
      <c r="H1443" s="347"/>
      <c r="I1443" s="347"/>
      <c r="J1443" s="596"/>
      <c r="K1443" s="609"/>
      <c r="L1443" s="1"/>
      <c r="M1443" s="347"/>
      <c r="N1443" s="347"/>
      <c r="O1443" s="579"/>
      <c r="P1443" s="579"/>
      <c r="Q1443" s="574"/>
      <c r="R1443" s="347"/>
      <c r="S1443" s="597"/>
      <c r="T1443" s="347"/>
      <c r="U1443" s="579"/>
      <c r="V1443" s="579"/>
      <c r="W1443" s="574"/>
      <c r="X1443" s="347"/>
      <c r="Y1443" s="347"/>
      <c r="Z1443" s="347"/>
      <c r="AA1443" s="579"/>
      <c r="AB1443" s="581"/>
      <c r="AC1443" s="347"/>
      <c r="AD1443" s="347"/>
      <c r="AE1443" s="347"/>
      <c r="AF1443" s="347"/>
      <c r="AG1443" s="579"/>
      <c r="AH1443" s="579"/>
      <c r="AI1443" s="582"/>
      <c r="AJ1443" s="582"/>
      <c r="AK1443" s="582"/>
      <c r="AL1443" s="582"/>
      <c r="AM1443" s="579"/>
      <c r="AN1443" s="579"/>
      <c r="AO1443" s="347"/>
      <c r="AP1443" s="586"/>
      <c r="AQ1443" s="596"/>
      <c r="AR1443" s="596"/>
      <c r="AS1443" s="348"/>
      <c r="AT1443" s="348"/>
      <c r="AU1443" s="348"/>
      <c r="AV1443" s="348"/>
      <c r="AW1443" s="348"/>
      <c r="AX1443" s="584"/>
      <c r="AY1443" s="581"/>
      <c r="AZ1443" s="581"/>
      <c r="BA1443" s="596"/>
      <c r="BB1443" s="596"/>
      <c r="BC1443" s="348"/>
      <c r="BD1443" s="581"/>
      <c r="BE1443" s="581"/>
      <c r="BF1443" s="347"/>
      <c r="BG1443" s="347"/>
      <c r="BH1443" s="347"/>
      <c r="BI1443" s="347"/>
      <c r="BJ1443" s="586"/>
      <c r="BK1443" s="581"/>
      <c r="BL1443" s="347"/>
      <c r="BM1443" s="347"/>
      <c r="BN1443" s="347"/>
      <c r="BO1443" s="586"/>
      <c r="BP1443" s="584"/>
      <c r="BQ1443" s="347"/>
      <c r="BR1443" s="586"/>
      <c r="BS1443" s="588"/>
      <c r="BT1443" s="586"/>
      <c r="BU1443" s="589"/>
      <c r="BV1443" s="581"/>
      <c r="BW1443" s="590"/>
      <c r="BX1443" s="347"/>
      <c r="BY1443" s="347"/>
      <c r="BZ1443" s="347"/>
      <c r="CA1443" s="586"/>
      <c r="CB1443" s="581"/>
      <c r="CC1443" s="581"/>
      <c r="CD1443" s="581"/>
      <c r="CE1443" s="581"/>
      <c r="CF1443" s="581"/>
      <c r="CG1443" s="586"/>
      <c r="CH1443" s="608"/>
      <c r="CI1443" s="603"/>
      <c r="CJ1443" s="347"/>
      <c r="CK1443" s="347"/>
      <c r="CL1443" s="347"/>
      <c r="CM1443" s="347"/>
      <c r="CN1443" s="347"/>
      <c r="CO1443" s="347"/>
      <c r="CP1443" s="347"/>
    </row>
    <row r="1444">
      <c r="A1444" s="574"/>
      <c r="B1444" s="574"/>
      <c r="C1444" s="347"/>
      <c r="D1444" s="574"/>
      <c r="E1444" s="347"/>
      <c r="F1444" s="596"/>
      <c r="G1444" s="596"/>
      <c r="H1444" s="347"/>
      <c r="I1444" s="347"/>
      <c r="J1444" s="596"/>
      <c r="K1444" s="609"/>
      <c r="L1444" s="1"/>
      <c r="M1444" s="347"/>
      <c r="N1444" s="347"/>
      <c r="O1444" s="579"/>
      <c r="P1444" s="579"/>
      <c r="Q1444" s="574"/>
      <c r="R1444" s="347"/>
      <c r="S1444" s="597"/>
      <c r="T1444" s="347"/>
      <c r="U1444" s="579"/>
      <c r="V1444" s="579"/>
      <c r="W1444" s="574"/>
      <c r="X1444" s="347"/>
      <c r="Y1444" s="347"/>
      <c r="Z1444" s="347"/>
      <c r="AA1444" s="579"/>
      <c r="AB1444" s="581"/>
      <c r="AC1444" s="347"/>
      <c r="AD1444" s="347"/>
      <c r="AE1444" s="347"/>
      <c r="AF1444" s="347"/>
      <c r="AG1444" s="579"/>
      <c r="AH1444" s="579"/>
      <c r="AI1444" s="582"/>
      <c r="AJ1444" s="582"/>
      <c r="AK1444" s="582"/>
      <c r="AL1444" s="582"/>
      <c r="AM1444" s="579"/>
      <c r="AN1444" s="579"/>
      <c r="AO1444" s="347"/>
      <c r="AP1444" s="586"/>
      <c r="AQ1444" s="596"/>
      <c r="AR1444" s="596"/>
      <c r="AS1444" s="348"/>
      <c r="AT1444" s="348"/>
      <c r="AU1444" s="348"/>
      <c r="AV1444" s="348"/>
      <c r="AW1444" s="348"/>
      <c r="AX1444" s="584"/>
      <c r="AY1444" s="581"/>
      <c r="AZ1444" s="581"/>
      <c r="BA1444" s="596"/>
      <c r="BB1444" s="596"/>
      <c r="BC1444" s="348"/>
      <c r="BD1444" s="581"/>
      <c r="BE1444" s="581"/>
      <c r="BF1444" s="347"/>
      <c r="BG1444" s="347"/>
      <c r="BH1444" s="347"/>
      <c r="BI1444" s="347"/>
      <c r="BJ1444" s="586"/>
      <c r="BK1444" s="581"/>
      <c r="BL1444" s="347"/>
      <c r="BM1444" s="347"/>
      <c r="BN1444" s="347"/>
      <c r="BO1444" s="586"/>
      <c r="BP1444" s="584"/>
      <c r="BQ1444" s="347"/>
      <c r="BR1444" s="586"/>
      <c r="BS1444" s="588"/>
      <c r="BT1444" s="586"/>
      <c r="BU1444" s="589"/>
      <c r="BV1444" s="581"/>
      <c r="BW1444" s="590"/>
      <c r="BX1444" s="347"/>
      <c r="BY1444" s="347"/>
      <c r="BZ1444" s="347"/>
      <c r="CA1444" s="586"/>
      <c r="CB1444" s="581"/>
      <c r="CC1444" s="581"/>
      <c r="CD1444" s="581"/>
      <c r="CE1444" s="581"/>
      <c r="CF1444" s="581"/>
      <c r="CG1444" s="586"/>
      <c r="CH1444" s="608"/>
      <c r="CI1444" s="603"/>
      <c r="CJ1444" s="347"/>
      <c r="CK1444" s="347"/>
      <c r="CL1444" s="347"/>
      <c r="CM1444" s="347"/>
      <c r="CN1444" s="347"/>
      <c r="CO1444" s="347"/>
      <c r="CP1444" s="347"/>
    </row>
    <row r="1445">
      <c r="A1445" s="574"/>
      <c r="B1445" s="574"/>
      <c r="C1445" s="347"/>
      <c r="D1445" s="574"/>
      <c r="E1445" s="347"/>
      <c r="F1445" s="596"/>
      <c r="G1445" s="596"/>
      <c r="H1445" s="347"/>
      <c r="I1445" s="347"/>
      <c r="J1445" s="596"/>
      <c r="K1445" s="609"/>
      <c r="L1445" s="1"/>
      <c r="M1445" s="347"/>
      <c r="N1445" s="347"/>
      <c r="O1445" s="579"/>
      <c r="P1445" s="579"/>
      <c r="Q1445" s="574"/>
      <c r="R1445" s="347"/>
      <c r="S1445" s="597"/>
      <c r="T1445" s="347"/>
      <c r="U1445" s="579"/>
      <c r="V1445" s="579"/>
      <c r="W1445" s="574"/>
      <c r="X1445" s="347"/>
      <c r="Y1445" s="347"/>
      <c r="Z1445" s="347"/>
      <c r="AA1445" s="579"/>
      <c r="AB1445" s="581"/>
      <c r="AC1445" s="347"/>
      <c r="AD1445" s="347"/>
      <c r="AE1445" s="347"/>
      <c r="AF1445" s="347"/>
      <c r="AG1445" s="579"/>
      <c r="AH1445" s="579"/>
      <c r="AI1445" s="582"/>
      <c r="AJ1445" s="582"/>
      <c r="AK1445" s="582"/>
      <c r="AL1445" s="582"/>
      <c r="AM1445" s="579"/>
      <c r="AN1445" s="579"/>
      <c r="AO1445" s="347"/>
      <c r="AP1445" s="586"/>
      <c r="AQ1445" s="596"/>
      <c r="AR1445" s="596"/>
      <c r="AS1445" s="348"/>
      <c r="AT1445" s="348"/>
      <c r="AU1445" s="348"/>
      <c r="AV1445" s="348"/>
      <c r="AW1445" s="348"/>
      <c r="AX1445" s="584"/>
      <c r="AY1445" s="581"/>
      <c r="AZ1445" s="581"/>
      <c r="BA1445" s="596"/>
      <c r="BB1445" s="596"/>
      <c r="BC1445" s="348"/>
      <c r="BD1445" s="581"/>
      <c r="BE1445" s="581"/>
      <c r="BF1445" s="347"/>
      <c r="BG1445" s="347"/>
      <c r="BH1445" s="347"/>
      <c r="BI1445" s="347"/>
      <c r="BJ1445" s="586"/>
      <c r="BK1445" s="581"/>
      <c r="BL1445" s="347"/>
      <c r="BM1445" s="347"/>
      <c r="BN1445" s="347"/>
      <c r="BO1445" s="586"/>
      <c r="BP1445" s="584"/>
      <c r="BQ1445" s="347"/>
      <c r="BR1445" s="586"/>
      <c r="BS1445" s="588"/>
      <c r="BT1445" s="586"/>
      <c r="BU1445" s="589"/>
      <c r="BV1445" s="581"/>
      <c r="BW1445" s="590"/>
      <c r="BX1445" s="347"/>
      <c r="BY1445" s="347"/>
      <c r="BZ1445" s="347"/>
      <c r="CA1445" s="586"/>
      <c r="CB1445" s="581"/>
      <c r="CC1445" s="581"/>
      <c r="CD1445" s="581"/>
      <c r="CE1445" s="581"/>
      <c r="CF1445" s="581"/>
      <c r="CG1445" s="586"/>
      <c r="CH1445" s="608"/>
      <c r="CI1445" s="603"/>
      <c r="CJ1445" s="347"/>
      <c r="CK1445" s="347"/>
      <c r="CL1445" s="347"/>
      <c r="CM1445" s="347"/>
      <c r="CN1445" s="347"/>
      <c r="CO1445" s="347"/>
      <c r="CP1445" s="347"/>
    </row>
    <row r="1446">
      <c r="A1446" s="574"/>
      <c r="B1446" s="574"/>
      <c r="C1446" s="347"/>
      <c r="D1446" s="574"/>
      <c r="E1446" s="347"/>
      <c r="F1446" s="596"/>
      <c r="G1446" s="596"/>
      <c r="H1446" s="347"/>
      <c r="I1446" s="347"/>
      <c r="J1446" s="596"/>
      <c r="K1446" s="609"/>
      <c r="L1446" s="1"/>
      <c r="M1446" s="347"/>
      <c r="N1446" s="347"/>
      <c r="O1446" s="579"/>
      <c r="P1446" s="579"/>
      <c r="Q1446" s="574"/>
      <c r="R1446" s="347"/>
      <c r="S1446" s="597"/>
      <c r="T1446" s="347"/>
      <c r="U1446" s="579"/>
      <c r="V1446" s="579"/>
      <c r="W1446" s="574"/>
      <c r="X1446" s="347"/>
      <c r="Y1446" s="347"/>
      <c r="Z1446" s="347"/>
      <c r="AA1446" s="579"/>
      <c r="AB1446" s="581"/>
      <c r="AC1446" s="347"/>
      <c r="AD1446" s="347"/>
      <c r="AE1446" s="347"/>
      <c r="AF1446" s="347"/>
      <c r="AG1446" s="579"/>
      <c r="AH1446" s="579"/>
      <c r="AI1446" s="582"/>
      <c r="AJ1446" s="582"/>
      <c r="AK1446" s="582"/>
      <c r="AL1446" s="582"/>
      <c r="AM1446" s="579"/>
      <c r="AN1446" s="579"/>
      <c r="AO1446" s="347"/>
      <c r="AP1446" s="586"/>
      <c r="AQ1446" s="596"/>
      <c r="AR1446" s="596"/>
      <c r="AS1446" s="348"/>
      <c r="AT1446" s="348"/>
      <c r="AU1446" s="348"/>
      <c r="AV1446" s="348"/>
      <c r="AW1446" s="348"/>
      <c r="AX1446" s="584"/>
      <c r="AY1446" s="581"/>
      <c r="AZ1446" s="581"/>
      <c r="BA1446" s="596"/>
      <c r="BB1446" s="596"/>
      <c r="BC1446" s="348"/>
      <c r="BD1446" s="581"/>
      <c r="BE1446" s="581"/>
      <c r="BF1446" s="347"/>
      <c r="BG1446" s="347"/>
      <c r="BH1446" s="347"/>
      <c r="BI1446" s="347"/>
      <c r="BJ1446" s="586"/>
      <c r="BK1446" s="581"/>
      <c r="BL1446" s="347"/>
      <c r="BM1446" s="347"/>
      <c r="BN1446" s="347"/>
      <c r="BO1446" s="586"/>
      <c r="BP1446" s="584"/>
      <c r="BQ1446" s="347"/>
      <c r="BR1446" s="586"/>
      <c r="BS1446" s="588"/>
      <c r="BT1446" s="586"/>
      <c r="BU1446" s="589"/>
      <c r="BV1446" s="581"/>
      <c r="BW1446" s="590"/>
      <c r="BX1446" s="347"/>
      <c r="BY1446" s="347"/>
      <c r="BZ1446" s="347"/>
      <c r="CA1446" s="586"/>
      <c r="CB1446" s="581"/>
      <c r="CC1446" s="581"/>
      <c r="CD1446" s="581"/>
      <c r="CE1446" s="581"/>
      <c r="CF1446" s="581"/>
      <c r="CG1446" s="586"/>
      <c r="CH1446" s="608"/>
      <c r="CI1446" s="603"/>
      <c r="CJ1446" s="347"/>
      <c r="CK1446" s="347"/>
      <c r="CL1446" s="347"/>
      <c r="CM1446" s="347"/>
      <c r="CN1446" s="347"/>
      <c r="CO1446" s="347"/>
      <c r="CP1446" s="347"/>
    </row>
    <row r="1447">
      <c r="A1447" s="574"/>
      <c r="B1447" s="574"/>
      <c r="C1447" s="347"/>
      <c r="D1447" s="574"/>
      <c r="E1447" s="347"/>
      <c r="F1447" s="596"/>
      <c r="G1447" s="596"/>
      <c r="H1447" s="347"/>
      <c r="I1447" s="347"/>
      <c r="J1447" s="596"/>
      <c r="K1447" s="609"/>
      <c r="L1447" s="1"/>
      <c r="M1447" s="347"/>
      <c r="N1447" s="347"/>
      <c r="O1447" s="579"/>
      <c r="P1447" s="579"/>
      <c r="Q1447" s="574"/>
      <c r="R1447" s="347"/>
      <c r="S1447" s="597"/>
      <c r="T1447" s="347"/>
      <c r="U1447" s="579"/>
      <c r="V1447" s="579"/>
      <c r="W1447" s="574"/>
      <c r="X1447" s="347"/>
      <c r="Y1447" s="347"/>
      <c r="Z1447" s="347"/>
      <c r="AA1447" s="579"/>
      <c r="AB1447" s="581"/>
      <c r="AC1447" s="347"/>
      <c r="AD1447" s="347"/>
      <c r="AE1447" s="347"/>
      <c r="AF1447" s="347"/>
      <c r="AG1447" s="579"/>
      <c r="AH1447" s="579"/>
      <c r="AI1447" s="582"/>
      <c r="AJ1447" s="582"/>
      <c r="AK1447" s="582"/>
      <c r="AL1447" s="582"/>
      <c r="AM1447" s="579"/>
      <c r="AN1447" s="579"/>
      <c r="AO1447" s="347"/>
      <c r="AP1447" s="586"/>
      <c r="AQ1447" s="596"/>
      <c r="AR1447" s="596"/>
      <c r="AS1447" s="348"/>
      <c r="AT1447" s="348"/>
      <c r="AU1447" s="348"/>
      <c r="AV1447" s="348"/>
      <c r="AW1447" s="348"/>
      <c r="AX1447" s="584"/>
      <c r="AY1447" s="581"/>
      <c r="AZ1447" s="581"/>
      <c r="BA1447" s="596"/>
      <c r="BB1447" s="596"/>
      <c r="BC1447" s="348"/>
      <c r="BD1447" s="581"/>
      <c r="BE1447" s="581"/>
      <c r="BF1447" s="347"/>
      <c r="BG1447" s="347"/>
      <c r="BH1447" s="347"/>
      <c r="BI1447" s="347"/>
      <c r="BJ1447" s="586"/>
      <c r="BK1447" s="581"/>
      <c r="BL1447" s="347"/>
      <c r="BM1447" s="347"/>
      <c r="BN1447" s="347"/>
      <c r="BO1447" s="586"/>
      <c r="BP1447" s="584"/>
      <c r="BQ1447" s="347"/>
      <c r="BR1447" s="586"/>
      <c r="BS1447" s="588"/>
      <c r="BT1447" s="586"/>
      <c r="BU1447" s="589"/>
      <c r="BV1447" s="581"/>
      <c r="BW1447" s="590"/>
      <c r="BX1447" s="347"/>
      <c r="BY1447" s="347"/>
      <c r="BZ1447" s="347"/>
      <c r="CA1447" s="586"/>
      <c r="CB1447" s="581"/>
      <c r="CC1447" s="581"/>
      <c r="CD1447" s="581"/>
      <c r="CE1447" s="581"/>
      <c r="CF1447" s="581"/>
      <c r="CG1447" s="586"/>
      <c r="CH1447" s="608"/>
      <c r="CI1447" s="603"/>
      <c r="CJ1447" s="347"/>
      <c r="CK1447" s="347"/>
      <c r="CL1447" s="347"/>
      <c r="CM1447" s="347"/>
      <c r="CN1447" s="347"/>
      <c r="CO1447" s="347"/>
      <c r="CP1447" s="347"/>
    </row>
    <row r="1448">
      <c r="A1448" s="574"/>
      <c r="B1448" s="574"/>
      <c r="C1448" s="347"/>
      <c r="D1448" s="574"/>
      <c r="E1448" s="347"/>
      <c r="F1448" s="596"/>
      <c r="G1448" s="596"/>
      <c r="H1448" s="347"/>
      <c r="I1448" s="347"/>
      <c r="J1448" s="596"/>
      <c r="K1448" s="609"/>
      <c r="L1448" s="1"/>
      <c r="M1448" s="347"/>
      <c r="N1448" s="347"/>
      <c r="O1448" s="579"/>
      <c r="P1448" s="579"/>
      <c r="Q1448" s="574"/>
      <c r="R1448" s="347"/>
      <c r="S1448" s="597"/>
      <c r="T1448" s="347"/>
      <c r="U1448" s="579"/>
      <c r="V1448" s="579"/>
      <c r="W1448" s="574"/>
      <c r="X1448" s="347"/>
      <c r="Y1448" s="347"/>
      <c r="Z1448" s="347"/>
      <c r="AA1448" s="579"/>
      <c r="AB1448" s="581"/>
      <c r="AC1448" s="347"/>
      <c r="AD1448" s="347"/>
      <c r="AE1448" s="347"/>
      <c r="AF1448" s="347"/>
      <c r="AG1448" s="579"/>
      <c r="AH1448" s="579"/>
      <c r="AI1448" s="582"/>
      <c r="AJ1448" s="582"/>
      <c r="AK1448" s="582"/>
      <c r="AL1448" s="582"/>
      <c r="AM1448" s="579"/>
      <c r="AN1448" s="579"/>
      <c r="AO1448" s="347"/>
      <c r="AP1448" s="586"/>
      <c r="AQ1448" s="596"/>
      <c r="AR1448" s="596"/>
      <c r="AS1448" s="348"/>
      <c r="AT1448" s="348"/>
      <c r="AU1448" s="348"/>
      <c r="AV1448" s="348"/>
      <c r="AW1448" s="348"/>
      <c r="AX1448" s="584"/>
      <c r="AY1448" s="581"/>
      <c r="AZ1448" s="581"/>
      <c r="BA1448" s="596"/>
      <c r="BB1448" s="596"/>
      <c r="BC1448" s="348"/>
      <c r="BD1448" s="581"/>
      <c r="BE1448" s="581"/>
      <c r="BF1448" s="347"/>
      <c r="BG1448" s="347"/>
      <c r="BH1448" s="347"/>
      <c r="BI1448" s="347"/>
      <c r="BJ1448" s="586"/>
      <c r="BK1448" s="581"/>
      <c r="BL1448" s="347"/>
      <c r="BM1448" s="347"/>
      <c r="BN1448" s="347"/>
      <c r="BO1448" s="586"/>
      <c r="BP1448" s="584"/>
      <c r="BQ1448" s="347"/>
      <c r="BR1448" s="586"/>
      <c r="BS1448" s="588"/>
      <c r="BT1448" s="586"/>
      <c r="BU1448" s="589"/>
      <c r="BV1448" s="581"/>
      <c r="BW1448" s="590"/>
      <c r="BX1448" s="347"/>
      <c r="BY1448" s="347"/>
      <c r="BZ1448" s="347"/>
      <c r="CA1448" s="586"/>
      <c r="CB1448" s="581"/>
      <c r="CC1448" s="581"/>
      <c r="CD1448" s="581"/>
      <c r="CE1448" s="581"/>
      <c r="CF1448" s="581"/>
      <c r="CG1448" s="586"/>
      <c r="CH1448" s="608"/>
      <c r="CI1448" s="603"/>
      <c r="CJ1448" s="347"/>
      <c r="CK1448" s="347"/>
      <c r="CL1448" s="347"/>
      <c r="CM1448" s="347"/>
      <c r="CN1448" s="347"/>
      <c r="CO1448" s="347"/>
      <c r="CP1448" s="347"/>
    </row>
    <row r="1449">
      <c r="A1449" s="574"/>
      <c r="B1449" s="574"/>
      <c r="C1449" s="347"/>
      <c r="D1449" s="574"/>
      <c r="E1449" s="347"/>
      <c r="F1449" s="596"/>
      <c r="G1449" s="596"/>
      <c r="H1449" s="347"/>
      <c r="I1449" s="347"/>
      <c r="J1449" s="596"/>
      <c r="K1449" s="609"/>
      <c r="L1449" s="1"/>
      <c r="M1449" s="347"/>
      <c r="N1449" s="347"/>
      <c r="O1449" s="579"/>
      <c r="P1449" s="579"/>
      <c r="Q1449" s="574"/>
      <c r="R1449" s="347"/>
      <c r="S1449" s="597"/>
      <c r="T1449" s="347"/>
      <c r="U1449" s="579"/>
      <c r="V1449" s="579"/>
      <c r="W1449" s="574"/>
      <c r="X1449" s="347"/>
      <c r="Y1449" s="347"/>
      <c r="Z1449" s="347"/>
      <c r="AA1449" s="579"/>
      <c r="AB1449" s="581"/>
      <c r="AC1449" s="347"/>
      <c r="AD1449" s="347"/>
      <c r="AE1449" s="347"/>
      <c r="AF1449" s="347"/>
      <c r="AG1449" s="579"/>
      <c r="AH1449" s="579"/>
      <c r="AI1449" s="582"/>
      <c r="AJ1449" s="582"/>
      <c r="AK1449" s="582"/>
      <c r="AL1449" s="582"/>
      <c r="AM1449" s="579"/>
      <c r="AN1449" s="579"/>
      <c r="AO1449" s="347"/>
      <c r="AP1449" s="586"/>
      <c r="AQ1449" s="596"/>
      <c r="AR1449" s="596"/>
      <c r="AS1449" s="348"/>
      <c r="AT1449" s="348"/>
      <c r="AU1449" s="348"/>
      <c r="AV1449" s="348"/>
      <c r="AW1449" s="348"/>
      <c r="AX1449" s="584"/>
      <c r="AY1449" s="581"/>
      <c r="AZ1449" s="581"/>
      <c r="BA1449" s="596"/>
      <c r="BB1449" s="596"/>
      <c r="BC1449" s="348"/>
      <c r="BD1449" s="581"/>
      <c r="BE1449" s="581"/>
      <c r="BF1449" s="347"/>
      <c r="BG1449" s="347"/>
      <c r="BH1449" s="347"/>
      <c r="BI1449" s="347"/>
      <c r="BJ1449" s="586"/>
      <c r="BK1449" s="581"/>
      <c r="BL1449" s="347"/>
      <c r="BM1449" s="347"/>
      <c r="BN1449" s="347"/>
      <c r="BO1449" s="586"/>
      <c r="BP1449" s="584"/>
      <c r="BQ1449" s="347"/>
      <c r="BR1449" s="586"/>
      <c r="BS1449" s="588"/>
      <c r="BT1449" s="586"/>
      <c r="BU1449" s="589"/>
      <c r="BV1449" s="581"/>
      <c r="BW1449" s="590"/>
      <c r="BX1449" s="347"/>
      <c r="BY1449" s="347"/>
      <c r="BZ1449" s="347"/>
      <c r="CA1449" s="586"/>
      <c r="CB1449" s="581"/>
      <c r="CC1449" s="581"/>
      <c r="CD1449" s="581"/>
      <c r="CE1449" s="581"/>
      <c r="CF1449" s="581"/>
      <c r="CG1449" s="586"/>
      <c r="CH1449" s="608"/>
      <c r="CI1449" s="603"/>
      <c r="CJ1449" s="347"/>
      <c r="CK1449" s="347"/>
      <c r="CL1449" s="347"/>
      <c r="CM1449" s="347"/>
      <c r="CN1449" s="347"/>
      <c r="CO1449" s="347"/>
      <c r="CP1449" s="347"/>
    </row>
    <row r="1450">
      <c r="A1450" s="574"/>
      <c r="B1450" s="574"/>
      <c r="C1450" s="347"/>
      <c r="D1450" s="574"/>
      <c r="E1450" s="347"/>
      <c r="F1450" s="596"/>
      <c r="G1450" s="596"/>
      <c r="H1450" s="347"/>
      <c r="I1450" s="347"/>
      <c r="J1450" s="596"/>
      <c r="K1450" s="609"/>
      <c r="L1450" s="1"/>
      <c r="M1450" s="347"/>
      <c r="N1450" s="347"/>
      <c r="O1450" s="579"/>
      <c r="P1450" s="579"/>
      <c r="Q1450" s="574"/>
      <c r="R1450" s="347"/>
      <c r="S1450" s="597"/>
      <c r="T1450" s="347"/>
      <c r="U1450" s="579"/>
      <c r="V1450" s="579"/>
      <c r="W1450" s="574"/>
      <c r="X1450" s="347"/>
      <c r="Y1450" s="347"/>
      <c r="Z1450" s="347"/>
      <c r="AA1450" s="579"/>
      <c r="AB1450" s="581"/>
      <c r="AC1450" s="347"/>
      <c r="AD1450" s="347"/>
      <c r="AE1450" s="347"/>
      <c r="AF1450" s="347"/>
      <c r="AG1450" s="579"/>
      <c r="AH1450" s="579"/>
      <c r="AI1450" s="582"/>
      <c r="AJ1450" s="582"/>
      <c r="AK1450" s="582"/>
      <c r="AL1450" s="582"/>
      <c r="AM1450" s="579"/>
      <c r="AN1450" s="579"/>
      <c r="AO1450" s="347"/>
      <c r="AP1450" s="586"/>
      <c r="AQ1450" s="596"/>
      <c r="AR1450" s="596"/>
      <c r="AS1450" s="348"/>
      <c r="AT1450" s="348"/>
      <c r="AU1450" s="348"/>
      <c r="AV1450" s="348"/>
      <c r="AW1450" s="348"/>
      <c r="AX1450" s="584"/>
      <c r="AY1450" s="581"/>
      <c r="AZ1450" s="581"/>
      <c r="BA1450" s="596"/>
      <c r="BB1450" s="596"/>
      <c r="BC1450" s="348"/>
      <c r="BD1450" s="581"/>
      <c r="BE1450" s="581"/>
      <c r="BF1450" s="347"/>
      <c r="BG1450" s="347"/>
      <c r="BH1450" s="347"/>
      <c r="BI1450" s="347"/>
      <c r="BJ1450" s="586"/>
      <c r="BK1450" s="581"/>
      <c r="BL1450" s="347"/>
      <c r="BM1450" s="347"/>
      <c r="BN1450" s="347"/>
      <c r="BO1450" s="586"/>
      <c r="BP1450" s="584"/>
      <c r="BQ1450" s="347"/>
      <c r="BR1450" s="586"/>
      <c r="BS1450" s="588"/>
      <c r="BT1450" s="586"/>
      <c r="BU1450" s="589"/>
      <c r="BV1450" s="581"/>
      <c r="BW1450" s="590"/>
      <c r="BX1450" s="347"/>
      <c r="BY1450" s="347"/>
      <c r="BZ1450" s="347"/>
      <c r="CA1450" s="586"/>
      <c r="CB1450" s="581"/>
      <c r="CC1450" s="581"/>
      <c r="CD1450" s="581"/>
      <c r="CE1450" s="581"/>
      <c r="CF1450" s="581"/>
      <c r="CG1450" s="586"/>
      <c r="CH1450" s="608"/>
      <c r="CI1450" s="603"/>
      <c r="CJ1450" s="347"/>
      <c r="CK1450" s="347"/>
      <c r="CL1450" s="347"/>
      <c r="CM1450" s="347"/>
      <c r="CN1450" s="347"/>
      <c r="CO1450" s="347"/>
      <c r="CP1450" s="347"/>
    </row>
    <row r="1451">
      <c r="A1451" s="574"/>
      <c r="B1451" s="574"/>
      <c r="C1451" s="347"/>
      <c r="D1451" s="574"/>
      <c r="E1451" s="347"/>
      <c r="F1451" s="596"/>
      <c r="G1451" s="596"/>
      <c r="H1451" s="347"/>
      <c r="I1451" s="347"/>
      <c r="J1451" s="596"/>
      <c r="K1451" s="609"/>
      <c r="L1451" s="1"/>
      <c r="M1451" s="347"/>
      <c r="N1451" s="347"/>
      <c r="O1451" s="579"/>
      <c r="P1451" s="579"/>
      <c r="Q1451" s="574"/>
      <c r="R1451" s="347"/>
      <c r="S1451" s="597"/>
      <c r="T1451" s="347"/>
      <c r="U1451" s="579"/>
      <c r="V1451" s="579"/>
      <c r="W1451" s="574"/>
      <c r="X1451" s="347"/>
      <c r="Y1451" s="347"/>
      <c r="Z1451" s="347"/>
      <c r="AA1451" s="579"/>
      <c r="AB1451" s="581"/>
      <c r="AC1451" s="347"/>
      <c r="AD1451" s="347"/>
      <c r="AE1451" s="347"/>
      <c r="AF1451" s="347"/>
      <c r="AG1451" s="579"/>
      <c r="AH1451" s="579"/>
      <c r="AI1451" s="582"/>
      <c r="AJ1451" s="582"/>
      <c r="AK1451" s="582"/>
      <c r="AL1451" s="582"/>
      <c r="AM1451" s="579"/>
      <c r="AN1451" s="579"/>
      <c r="AO1451" s="347"/>
      <c r="AP1451" s="586"/>
      <c r="AQ1451" s="596"/>
      <c r="AR1451" s="596"/>
      <c r="AS1451" s="348"/>
      <c r="AT1451" s="348"/>
      <c r="AU1451" s="348"/>
      <c r="AV1451" s="348"/>
      <c r="AW1451" s="348"/>
      <c r="AX1451" s="584"/>
      <c r="AY1451" s="581"/>
      <c r="AZ1451" s="581"/>
      <c r="BA1451" s="596"/>
      <c r="BB1451" s="596"/>
      <c r="BC1451" s="348"/>
      <c r="BD1451" s="581"/>
      <c r="BE1451" s="581"/>
      <c r="BF1451" s="347"/>
      <c r="BG1451" s="347"/>
      <c r="BH1451" s="347"/>
      <c r="BI1451" s="347"/>
      <c r="BJ1451" s="586"/>
      <c r="BK1451" s="581"/>
      <c r="BL1451" s="347"/>
      <c r="BM1451" s="347"/>
      <c r="BN1451" s="347"/>
      <c r="BO1451" s="586"/>
      <c r="BP1451" s="584"/>
      <c r="BQ1451" s="347"/>
      <c r="BR1451" s="586"/>
      <c r="BS1451" s="588"/>
      <c r="BT1451" s="586"/>
      <c r="BU1451" s="589"/>
      <c r="BV1451" s="581"/>
      <c r="BW1451" s="590"/>
      <c r="BX1451" s="347"/>
      <c r="BY1451" s="347"/>
      <c r="BZ1451" s="347"/>
      <c r="CA1451" s="586"/>
      <c r="CB1451" s="581"/>
      <c r="CC1451" s="581"/>
      <c r="CD1451" s="581"/>
      <c r="CE1451" s="581"/>
      <c r="CF1451" s="581"/>
      <c r="CG1451" s="586"/>
      <c r="CH1451" s="608"/>
      <c r="CI1451" s="603"/>
      <c r="CJ1451" s="347"/>
      <c r="CK1451" s="347"/>
      <c r="CL1451" s="347"/>
      <c r="CM1451" s="347"/>
      <c r="CN1451" s="347"/>
      <c r="CO1451" s="347"/>
      <c r="CP1451" s="347"/>
    </row>
    <row r="1452">
      <c r="A1452" s="574"/>
      <c r="B1452" s="574"/>
      <c r="C1452" s="347"/>
      <c r="D1452" s="574"/>
      <c r="E1452" s="347"/>
      <c r="F1452" s="596"/>
      <c r="G1452" s="596"/>
      <c r="H1452" s="347"/>
      <c r="I1452" s="347"/>
      <c r="J1452" s="596"/>
      <c r="K1452" s="609"/>
      <c r="L1452" s="1"/>
      <c r="M1452" s="347"/>
      <c r="N1452" s="347"/>
      <c r="O1452" s="579"/>
      <c r="P1452" s="579"/>
      <c r="Q1452" s="574"/>
      <c r="R1452" s="347"/>
      <c r="S1452" s="597"/>
      <c r="T1452" s="347"/>
      <c r="U1452" s="579"/>
      <c r="V1452" s="579"/>
      <c r="W1452" s="574"/>
      <c r="X1452" s="347"/>
      <c r="Y1452" s="347"/>
      <c r="Z1452" s="347"/>
      <c r="AA1452" s="579"/>
      <c r="AB1452" s="581"/>
      <c r="AC1452" s="347"/>
      <c r="AD1452" s="347"/>
      <c r="AE1452" s="347"/>
      <c r="AF1452" s="347"/>
      <c r="AG1452" s="579"/>
      <c r="AH1452" s="579"/>
      <c r="AI1452" s="582"/>
      <c r="AJ1452" s="582"/>
      <c r="AK1452" s="582"/>
      <c r="AL1452" s="582"/>
      <c r="AM1452" s="579"/>
      <c r="AN1452" s="579"/>
      <c r="AO1452" s="347"/>
      <c r="AP1452" s="586"/>
      <c r="AQ1452" s="596"/>
      <c r="AR1452" s="596"/>
      <c r="AS1452" s="348"/>
      <c r="AT1452" s="348"/>
      <c r="AU1452" s="348"/>
      <c r="AV1452" s="348"/>
      <c r="AW1452" s="348"/>
      <c r="AX1452" s="584"/>
      <c r="AY1452" s="581"/>
      <c r="AZ1452" s="581"/>
      <c r="BA1452" s="596"/>
      <c r="BB1452" s="596"/>
      <c r="BC1452" s="348"/>
      <c r="BD1452" s="581"/>
      <c r="BE1452" s="581"/>
      <c r="BF1452" s="347"/>
      <c r="BG1452" s="347"/>
      <c r="BH1452" s="347"/>
      <c r="BI1452" s="347"/>
      <c r="BJ1452" s="586"/>
      <c r="BK1452" s="581"/>
      <c r="BL1452" s="347"/>
      <c r="BM1452" s="347"/>
      <c r="BN1452" s="347"/>
      <c r="BO1452" s="586"/>
      <c r="BP1452" s="584"/>
      <c r="BQ1452" s="347"/>
      <c r="BR1452" s="586"/>
      <c r="BS1452" s="588"/>
      <c r="BT1452" s="586"/>
      <c r="BU1452" s="589"/>
      <c r="BV1452" s="581"/>
      <c r="BW1452" s="590"/>
      <c r="BX1452" s="347"/>
      <c r="BY1452" s="347"/>
      <c r="BZ1452" s="347"/>
      <c r="CA1452" s="586"/>
      <c r="CB1452" s="581"/>
      <c r="CC1452" s="581"/>
      <c r="CD1452" s="581"/>
      <c r="CE1452" s="581"/>
      <c r="CF1452" s="581"/>
      <c r="CG1452" s="586"/>
      <c r="CH1452" s="608"/>
      <c r="CI1452" s="603"/>
      <c r="CJ1452" s="347"/>
      <c r="CK1452" s="347"/>
      <c r="CL1452" s="347"/>
      <c r="CM1452" s="347"/>
      <c r="CN1452" s="347"/>
      <c r="CO1452" s="347"/>
      <c r="CP1452" s="347"/>
    </row>
    <row r="1453">
      <c r="A1453" s="574"/>
      <c r="B1453" s="574"/>
      <c r="C1453" s="347"/>
      <c r="D1453" s="574"/>
      <c r="E1453" s="347"/>
      <c r="F1453" s="596"/>
      <c r="G1453" s="596"/>
      <c r="H1453" s="347"/>
      <c r="I1453" s="347"/>
      <c r="J1453" s="596"/>
      <c r="K1453" s="609"/>
      <c r="L1453" s="1"/>
      <c r="M1453" s="347"/>
      <c r="N1453" s="347"/>
      <c r="O1453" s="579"/>
      <c r="P1453" s="579"/>
      <c r="Q1453" s="574"/>
      <c r="R1453" s="347"/>
      <c r="S1453" s="597"/>
      <c r="T1453" s="347"/>
      <c r="U1453" s="579"/>
      <c r="V1453" s="579"/>
      <c r="W1453" s="574"/>
      <c r="X1453" s="347"/>
      <c r="Y1453" s="347"/>
      <c r="Z1453" s="347"/>
      <c r="AA1453" s="579"/>
      <c r="AB1453" s="581"/>
      <c r="AC1453" s="347"/>
      <c r="AD1453" s="347"/>
      <c r="AE1453" s="347"/>
      <c r="AF1453" s="347"/>
      <c r="AG1453" s="579"/>
      <c r="AH1453" s="579"/>
      <c r="AI1453" s="582"/>
      <c r="AJ1453" s="582"/>
      <c r="AK1453" s="582"/>
      <c r="AL1453" s="582"/>
      <c r="AM1453" s="579"/>
      <c r="AN1453" s="579"/>
      <c r="AO1453" s="347"/>
      <c r="AP1453" s="586"/>
      <c r="AQ1453" s="596"/>
      <c r="AR1453" s="596"/>
      <c r="AS1453" s="348"/>
      <c r="AT1453" s="348"/>
      <c r="AU1453" s="348"/>
      <c r="AV1453" s="348"/>
      <c r="AW1453" s="348"/>
      <c r="AX1453" s="584"/>
      <c r="AY1453" s="581"/>
      <c r="AZ1453" s="581"/>
      <c r="BA1453" s="596"/>
      <c r="BB1453" s="596"/>
      <c r="BC1453" s="348"/>
      <c r="BD1453" s="581"/>
      <c r="BE1453" s="581"/>
      <c r="BF1453" s="347"/>
      <c r="BG1453" s="347"/>
      <c r="BH1453" s="347"/>
      <c r="BI1453" s="347"/>
      <c r="BJ1453" s="586"/>
      <c r="BK1453" s="581"/>
      <c r="BL1453" s="347"/>
      <c r="BM1453" s="347"/>
      <c r="BN1453" s="347"/>
      <c r="BO1453" s="586"/>
      <c r="BP1453" s="584"/>
      <c r="BQ1453" s="347"/>
      <c r="BR1453" s="586"/>
      <c r="BS1453" s="588"/>
      <c r="BT1453" s="586"/>
      <c r="BU1453" s="589"/>
      <c r="BV1453" s="581"/>
      <c r="BW1453" s="590"/>
      <c r="BX1453" s="347"/>
      <c r="BY1453" s="347"/>
      <c r="BZ1453" s="347"/>
      <c r="CA1453" s="586"/>
      <c r="CB1453" s="581"/>
      <c r="CC1453" s="581"/>
      <c r="CD1453" s="581"/>
      <c r="CE1453" s="581"/>
      <c r="CF1453" s="581"/>
      <c r="CG1453" s="586"/>
      <c r="CH1453" s="608"/>
      <c r="CI1453" s="603"/>
      <c r="CJ1453" s="347"/>
      <c r="CK1453" s="347"/>
      <c r="CL1453" s="347"/>
      <c r="CM1453" s="347"/>
      <c r="CN1453" s="347"/>
      <c r="CO1453" s="347"/>
      <c r="CP1453" s="347"/>
    </row>
    <row r="1454">
      <c r="A1454" s="574"/>
      <c r="B1454" s="574"/>
      <c r="C1454" s="347"/>
      <c r="D1454" s="574"/>
      <c r="E1454" s="347"/>
      <c r="F1454" s="596"/>
      <c r="G1454" s="596"/>
      <c r="H1454" s="347"/>
      <c r="I1454" s="347"/>
      <c r="J1454" s="596"/>
      <c r="K1454" s="609"/>
      <c r="L1454" s="1"/>
      <c r="M1454" s="347"/>
      <c r="N1454" s="347"/>
      <c r="O1454" s="579"/>
      <c r="P1454" s="579"/>
      <c r="Q1454" s="574"/>
      <c r="R1454" s="347"/>
      <c r="S1454" s="597"/>
      <c r="T1454" s="347"/>
      <c r="U1454" s="579"/>
      <c r="V1454" s="579"/>
      <c r="W1454" s="574"/>
      <c r="X1454" s="347"/>
      <c r="Y1454" s="347"/>
      <c r="Z1454" s="347"/>
      <c r="AA1454" s="579"/>
      <c r="AB1454" s="581"/>
      <c r="AC1454" s="347"/>
      <c r="AD1454" s="347"/>
      <c r="AE1454" s="347"/>
      <c r="AF1454" s="347"/>
      <c r="AG1454" s="579"/>
      <c r="AH1454" s="579"/>
      <c r="AI1454" s="582"/>
      <c r="AJ1454" s="582"/>
      <c r="AK1454" s="582"/>
      <c r="AL1454" s="582"/>
      <c r="AM1454" s="579"/>
      <c r="AN1454" s="579"/>
      <c r="AO1454" s="347"/>
      <c r="AP1454" s="586"/>
      <c r="AQ1454" s="596"/>
      <c r="AR1454" s="596"/>
      <c r="AS1454" s="348"/>
      <c r="AT1454" s="348"/>
      <c r="AU1454" s="348"/>
      <c r="AV1454" s="348"/>
      <c r="AW1454" s="348"/>
      <c r="AX1454" s="584"/>
      <c r="AY1454" s="581"/>
      <c r="AZ1454" s="581"/>
      <c r="BA1454" s="596"/>
      <c r="BB1454" s="596"/>
      <c r="BC1454" s="348"/>
      <c r="BD1454" s="581"/>
      <c r="BE1454" s="581"/>
      <c r="BF1454" s="347"/>
      <c r="BG1454" s="347"/>
      <c r="BH1454" s="347"/>
      <c r="BI1454" s="347"/>
      <c r="BJ1454" s="586"/>
      <c r="BK1454" s="581"/>
      <c r="BL1454" s="347"/>
      <c r="BM1454" s="347"/>
      <c r="BN1454" s="347"/>
      <c r="BO1454" s="586"/>
      <c r="BP1454" s="584"/>
      <c r="BQ1454" s="347"/>
      <c r="BR1454" s="586"/>
      <c r="BS1454" s="588"/>
      <c r="BT1454" s="586"/>
      <c r="BU1454" s="589"/>
      <c r="BV1454" s="581"/>
      <c r="BW1454" s="590"/>
      <c r="BX1454" s="347"/>
      <c r="BY1454" s="347"/>
      <c r="BZ1454" s="347"/>
      <c r="CA1454" s="586"/>
      <c r="CB1454" s="581"/>
      <c r="CC1454" s="581"/>
      <c r="CD1454" s="581"/>
      <c r="CE1454" s="581"/>
      <c r="CF1454" s="581"/>
      <c r="CG1454" s="586"/>
      <c r="CH1454" s="608"/>
      <c r="CI1454" s="603"/>
      <c r="CJ1454" s="347"/>
      <c r="CK1454" s="347"/>
      <c r="CL1454" s="347"/>
      <c r="CM1454" s="347"/>
      <c r="CN1454" s="347"/>
      <c r="CO1454" s="347"/>
      <c r="CP1454" s="347"/>
    </row>
    <row r="1455">
      <c r="A1455" s="574"/>
      <c r="B1455" s="574"/>
      <c r="C1455" s="347"/>
      <c r="D1455" s="574"/>
      <c r="E1455" s="347"/>
      <c r="F1455" s="596"/>
      <c r="G1455" s="596"/>
      <c r="H1455" s="347"/>
      <c r="I1455" s="347"/>
      <c r="J1455" s="596"/>
      <c r="K1455" s="609"/>
      <c r="L1455" s="1"/>
      <c r="M1455" s="347"/>
      <c r="N1455" s="347"/>
      <c r="O1455" s="579"/>
      <c r="P1455" s="579"/>
      <c r="Q1455" s="574"/>
      <c r="R1455" s="347"/>
      <c r="S1455" s="597"/>
      <c r="T1455" s="347"/>
      <c r="U1455" s="579"/>
      <c r="V1455" s="579"/>
      <c r="W1455" s="574"/>
      <c r="X1455" s="347"/>
      <c r="Y1455" s="347"/>
      <c r="Z1455" s="347"/>
      <c r="AA1455" s="579"/>
      <c r="AB1455" s="581"/>
      <c r="AC1455" s="347"/>
      <c r="AD1455" s="347"/>
      <c r="AE1455" s="347"/>
      <c r="AF1455" s="347"/>
      <c r="AG1455" s="579"/>
      <c r="AH1455" s="579"/>
      <c r="AI1455" s="582"/>
      <c r="AJ1455" s="582"/>
      <c r="AK1455" s="582"/>
      <c r="AL1455" s="582"/>
      <c r="AM1455" s="579"/>
      <c r="AN1455" s="579"/>
      <c r="AO1455" s="347"/>
      <c r="AP1455" s="586"/>
      <c r="AQ1455" s="596"/>
      <c r="AR1455" s="596"/>
      <c r="AS1455" s="348"/>
      <c r="AT1455" s="348"/>
      <c r="AU1455" s="348"/>
      <c r="AV1455" s="348"/>
      <c r="AW1455" s="348"/>
      <c r="AX1455" s="584"/>
      <c r="AY1455" s="581"/>
      <c r="AZ1455" s="581"/>
      <c r="BA1455" s="596"/>
      <c r="BB1455" s="596"/>
      <c r="BC1455" s="348"/>
      <c r="BD1455" s="581"/>
      <c r="BE1455" s="581"/>
      <c r="BF1455" s="347"/>
      <c r="BG1455" s="347"/>
      <c r="BH1455" s="347"/>
      <c r="BI1455" s="347"/>
      <c r="BJ1455" s="586"/>
      <c r="BK1455" s="581"/>
      <c r="BL1455" s="347"/>
      <c r="BM1455" s="347"/>
      <c r="BN1455" s="347"/>
      <c r="BO1455" s="586"/>
      <c r="BP1455" s="584"/>
      <c r="BQ1455" s="347"/>
      <c r="BR1455" s="586"/>
      <c r="BS1455" s="588"/>
      <c r="BT1455" s="586"/>
      <c r="BU1455" s="589"/>
      <c r="BV1455" s="581"/>
      <c r="BW1455" s="590"/>
      <c r="BX1455" s="347"/>
      <c r="BY1455" s="347"/>
      <c r="BZ1455" s="347"/>
      <c r="CA1455" s="586"/>
      <c r="CB1455" s="581"/>
      <c r="CC1455" s="581"/>
      <c r="CD1455" s="581"/>
      <c r="CE1455" s="581"/>
      <c r="CF1455" s="581"/>
      <c r="CG1455" s="586"/>
      <c r="CH1455" s="608"/>
      <c r="CI1455" s="603"/>
      <c r="CJ1455" s="347"/>
      <c r="CK1455" s="347"/>
      <c r="CL1455" s="347"/>
      <c r="CM1455" s="347"/>
      <c r="CN1455" s="347"/>
      <c r="CO1455" s="347"/>
      <c r="CP1455" s="347"/>
    </row>
    <row r="1456">
      <c r="A1456" s="574"/>
      <c r="B1456" s="574"/>
      <c r="C1456" s="347"/>
      <c r="D1456" s="574"/>
      <c r="E1456" s="347"/>
      <c r="F1456" s="596"/>
      <c r="G1456" s="596"/>
      <c r="H1456" s="347"/>
      <c r="I1456" s="347"/>
      <c r="J1456" s="596"/>
      <c r="K1456" s="609"/>
      <c r="L1456" s="1"/>
      <c r="M1456" s="347"/>
      <c r="N1456" s="347"/>
      <c r="O1456" s="579"/>
      <c r="P1456" s="579"/>
      <c r="Q1456" s="574"/>
      <c r="R1456" s="347"/>
      <c r="S1456" s="597"/>
      <c r="T1456" s="347"/>
      <c r="U1456" s="579"/>
      <c r="V1456" s="579"/>
      <c r="W1456" s="574"/>
      <c r="X1456" s="347"/>
      <c r="Y1456" s="347"/>
      <c r="Z1456" s="347"/>
      <c r="AA1456" s="579"/>
      <c r="AB1456" s="581"/>
      <c r="AC1456" s="347"/>
      <c r="AD1456" s="347"/>
      <c r="AE1456" s="347"/>
      <c r="AF1456" s="347"/>
      <c r="AG1456" s="579"/>
      <c r="AH1456" s="579"/>
      <c r="AI1456" s="582"/>
      <c r="AJ1456" s="582"/>
      <c r="AK1456" s="582"/>
      <c r="AL1456" s="582"/>
      <c r="AM1456" s="579"/>
      <c r="AN1456" s="579"/>
      <c r="AO1456" s="347"/>
      <c r="AP1456" s="586"/>
      <c r="AQ1456" s="596"/>
      <c r="AR1456" s="596"/>
      <c r="AS1456" s="348"/>
      <c r="AT1456" s="348"/>
      <c r="AU1456" s="348"/>
      <c r="AV1456" s="348"/>
      <c r="AW1456" s="348"/>
      <c r="AX1456" s="584"/>
      <c r="AY1456" s="581"/>
      <c r="AZ1456" s="581"/>
      <c r="BA1456" s="596"/>
      <c r="BB1456" s="596"/>
      <c r="BC1456" s="348"/>
      <c r="BD1456" s="581"/>
      <c r="BE1456" s="581"/>
      <c r="BF1456" s="347"/>
      <c r="BG1456" s="347"/>
      <c r="BH1456" s="347"/>
      <c r="BI1456" s="347"/>
      <c r="BJ1456" s="586"/>
      <c r="BK1456" s="581"/>
      <c r="BL1456" s="347"/>
      <c r="BM1456" s="347"/>
      <c r="BN1456" s="347"/>
      <c r="BO1456" s="586"/>
      <c r="BP1456" s="584"/>
      <c r="BQ1456" s="347"/>
      <c r="BR1456" s="586"/>
      <c r="BS1456" s="588"/>
      <c r="BT1456" s="586"/>
      <c r="BU1456" s="589"/>
      <c r="BV1456" s="581"/>
      <c r="BW1456" s="590"/>
      <c r="BX1456" s="347"/>
      <c r="BY1456" s="347"/>
      <c r="BZ1456" s="347"/>
      <c r="CA1456" s="586"/>
      <c r="CB1456" s="581"/>
      <c r="CC1456" s="581"/>
      <c r="CD1456" s="581"/>
      <c r="CE1456" s="581"/>
      <c r="CF1456" s="581"/>
      <c r="CG1456" s="586"/>
      <c r="CH1456" s="608"/>
      <c r="CI1456" s="603"/>
      <c r="CJ1456" s="347"/>
      <c r="CK1456" s="347"/>
      <c r="CL1456" s="347"/>
      <c r="CM1456" s="347"/>
      <c r="CN1456" s="347"/>
      <c r="CO1456" s="347"/>
      <c r="CP1456" s="347"/>
    </row>
    <row r="1457">
      <c r="A1457" s="574"/>
      <c r="B1457" s="574"/>
      <c r="C1457" s="347"/>
      <c r="D1457" s="574"/>
      <c r="E1457" s="347"/>
      <c r="F1457" s="596"/>
      <c r="G1457" s="596"/>
      <c r="H1457" s="347"/>
      <c r="I1457" s="347"/>
      <c r="J1457" s="596"/>
      <c r="K1457" s="609"/>
      <c r="L1457" s="1"/>
      <c r="M1457" s="347"/>
      <c r="N1457" s="347"/>
      <c r="O1457" s="579"/>
      <c r="P1457" s="579"/>
      <c r="Q1457" s="574"/>
      <c r="R1457" s="347"/>
      <c r="S1457" s="597"/>
      <c r="T1457" s="347"/>
      <c r="U1457" s="579"/>
      <c r="V1457" s="579"/>
      <c r="W1457" s="574"/>
      <c r="X1457" s="347"/>
      <c r="Y1457" s="347"/>
      <c r="Z1457" s="347"/>
      <c r="AA1457" s="579"/>
      <c r="AB1457" s="581"/>
      <c r="AC1457" s="347"/>
      <c r="AD1457" s="347"/>
      <c r="AE1457" s="347"/>
      <c r="AF1457" s="347"/>
      <c r="AG1457" s="579"/>
      <c r="AH1457" s="579"/>
      <c r="AI1457" s="582"/>
      <c r="AJ1457" s="582"/>
      <c r="AK1457" s="582"/>
      <c r="AL1457" s="582"/>
      <c r="AM1457" s="579"/>
      <c r="AN1457" s="579"/>
      <c r="AO1457" s="347"/>
      <c r="AP1457" s="586"/>
      <c r="AQ1457" s="596"/>
      <c r="AR1457" s="596"/>
      <c r="AS1457" s="348"/>
      <c r="AT1457" s="348"/>
      <c r="AU1457" s="348"/>
      <c r="AV1457" s="348"/>
      <c r="AW1457" s="348"/>
      <c r="AX1457" s="584"/>
      <c r="AY1457" s="581"/>
      <c r="AZ1457" s="581"/>
      <c r="BA1457" s="596"/>
      <c r="BB1457" s="596"/>
      <c r="BC1457" s="348"/>
      <c r="BD1457" s="581"/>
      <c r="BE1457" s="581"/>
      <c r="BF1457" s="347"/>
      <c r="BG1457" s="347"/>
      <c r="BH1457" s="347"/>
      <c r="BI1457" s="347"/>
      <c r="BJ1457" s="586"/>
      <c r="BK1457" s="581"/>
      <c r="BL1457" s="347"/>
      <c r="BM1457" s="347"/>
      <c r="BN1457" s="347"/>
      <c r="BO1457" s="586"/>
      <c r="BP1457" s="584"/>
      <c r="BQ1457" s="347"/>
      <c r="BR1457" s="586"/>
      <c r="BS1457" s="588"/>
      <c r="BT1457" s="586"/>
      <c r="BU1457" s="589"/>
      <c r="BV1457" s="581"/>
      <c r="BW1457" s="590"/>
      <c r="BX1457" s="347"/>
      <c r="BY1457" s="347"/>
      <c r="BZ1457" s="347"/>
      <c r="CA1457" s="586"/>
      <c r="CB1457" s="581"/>
      <c r="CC1457" s="581"/>
      <c r="CD1457" s="581"/>
      <c r="CE1457" s="581"/>
      <c r="CF1457" s="581"/>
      <c r="CG1457" s="586"/>
      <c r="CH1457" s="608"/>
      <c r="CI1457" s="603"/>
      <c r="CJ1457" s="347"/>
      <c r="CK1457" s="347"/>
      <c r="CL1457" s="347"/>
      <c r="CM1457" s="347"/>
      <c r="CN1457" s="347"/>
      <c r="CO1457" s="347"/>
      <c r="CP1457" s="347"/>
    </row>
    <row r="1458">
      <c r="A1458" s="574"/>
      <c r="B1458" s="574"/>
      <c r="C1458" s="347"/>
      <c r="D1458" s="574"/>
      <c r="E1458" s="347"/>
      <c r="F1458" s="596"/>
      <c r="G1458" s="596"/>
      <c r="H1458" s="347"/>
      <c r="I1458" s="347"/>
      <c r="J1458" s="596"/>
      <c r="K1458" s="609"/>
      <c r="L1458" s="1"/>
      <c r="M1458" s="347"/>
      <c r="N1458" s="347"/>
      <c r="O1458" s="579"/>
      <c r="P1458" s="579"/>
      <c r="Q1458" s="574"/>
      <c r="R1458" s="347"/>
      <c r="S1458" s="597"/>
      <c r="T1458" s="347"/>
      <c r="U1458" s="579"/>
      <c r="V1458" s="579"/>
      <c r="W1458" s="574"/>
      <c r="X1458" s="347"/>
      <c r="Y1458" s="347"/>
      <c r="Z1458" s="347"/>
      <c r="AA1458" s="579"/>
      <c r="AB1458" s="581"/>
      <c r="AC1458" s="347"/>
      <c r="AD1458" s="347"/>
      <c r="AE1458" s="347"/>
      <c r="AF1458" s="347"/>
      <c r="AG1458" s="579"/>
      <c r="AH1458" s="579"/>
      <c r="AI1458" s="582"/>
      <c r="AJ1458" s="582"/>
      <c r="AK1458" s="582"/>
      <c r="AL1458" s="582"/>
      <c r="AM1458" s="579"/>
      <c r="AN1458" s="579"/>
      <c r="AO1458" s="347"/>
      <c r="AP1458" s="586"/>
      <c r="AQ1458" s="596"/>
      <c r="AR1458" s="596"/>
      <c r="AS1458" s="348"/>
      <c r="AT1458" s="348"/>
      <c r="AU1458" s="348"/>
      <c r="AV1458" s="348"/>
      <c r="AW1458" s="348"/>
      <c r="AX1458" s="584"/>
      <c r="AY1458" s="581"/>
      <c r="AZ1458" s="581"/>
      <c r="BA1458" s="596"/>
      <c r="BB1458" s="596"/>
      <c r="BC1458" s="348"/>
      <c r="BD1458" s="581"/>
      <c r="BE1458" s="581"/>
      <c r="BF1458" s="347"/>
      <c r="BG1458" s="347"/>
      <c r="BH1458" s="347"/>
      <c r="BI1458" s="347"/>
      <c r="BJ1458" s="586"/>
      <c r="BK1458" s="581"/>
      <c r="BL1458" s="347"/>
      <c r="BM1458" s="347"/>
      <c r="BN1458" s="347"/>
      <c r="BO1458" s="586"/>
      <c r="BP1458" s="584"/>
      <c r="BQ1458" s="347"/>
      <c r="BR1458" s="586"/>
      <c r="BS1458" s="588"/>
      <c r="BT1458" s="586"/>
      <c r="BU1458" s="589"/>
      <c r="BV1458" s="581"/>
      <c r="BW1458" s="590"/>
      <c r="BX1458" s="347"/>
      <c r="BY1458" s="347"/>
      <c r="BZ1458" s="347"/>
      <c r="CA1458" s="586"/>
      <c r="CB1458" s="581"/>
      <c r="CC1458" s="581"/>
      <c r="CD1458" s="581"/>
      <c r="CE1458" s="581"/>
      <c r="CF1458" s="581"/>
      <c r="CG1458" s="586"/>
      <c r="CH1458" s="608"/>
      <c r="CI1458" s="603"/>
      <c r="CJ1458" s="347"/>
      <c r="CK1458" s="347"/>
      <c r="CL1458" s="347"/>
      <c r="CM1458" s="347"/>
      <c r="CN1458" s="347"/>
      <c r="CO1458" s="347"/>
      <c r="CP1458" s="347"/>
    </row>
    <row r="1459">
      <c r="A1459" s="574"/>
      <c r="B1459" s="574"/>
      <c r="C1459" s="347"/>
      <c r="D1459" s="574"/>
      <c r="E1459" s="347"/>
      <c r="F1459" s="596"/>
      <c r="G1459" s="596"/>
      <c r="H1459" s="347"/>
      <c r="I1459" s="347"/>
      <c r="J1459" s="596"/>
      <c r="K1459" s="609"/>
      <c r="L1459" s="1"/>
      <c r="M1459" s="347"/>
      <c r="N1459" s="347"/>
      <c r="O1459" s="579"/>
      <c r="P1459" s="579"/>
      <c r="Q1459" s="574"/>
      <c r="R1459" s="347"/>
      <c r="S1459" s="597"/>
      <c r="T1459" s="347"/>
      <c r="U1459" s="579"/>
      <c r="V1459" s="579"/>
      <c r="W1459" s="574"/>
      <c r="X1459" s="347"/>
      <c r="Y1459" s="347"/>
      <c r="Z1459" s="347"/>
      <c r="AA1459" s="579"/>
      <c r="AB1459" s="581"/>
      <c r="AC1459" s="347"/>
      <c r="AD1459" s="347"/>
      <c r="AE1459" s="347"/>
      <c r="AF1459" s="347"/>
      <c r="AG1459" s="579"/>
      <c r="AH1459" s="579"/>
      <c r="AI1459" s="582"/>
      <c r="AJ1459" s="582"/>
      <c r="AK1459" s="582"/>
      <c r="AL1459" s="582"/>
      <c r="AM1459" s="579"/>
      <c r="AN1459" s="579"/>
      <c r="AO1459" s="347"/>
      <c r="AP1459" s="586"/>
      <c r="AQ1459" s="596"/>
      <c r="AR1459" s="596"/>
      <c r="AS1459" s="348"/>
      <c r="AT1459" s="348"/>
      <c r="AU1459" s="348"/>
      <c r="AV1459" s="348"/>
      <c r="AW1459" s="348"/>
      <c r="AX1459" s="584"/>
      <c r="AY1459" s="581"/>
      <c r="AZ1459" s="581"/>
      <c r="BA1459" s="596"/>
      <c r="BB1459" s="596"/>
      <c r="BC1459" s="348"/>
      <c r="BD1459" s="581"/>
      <c r="BE1459" s="581"/>
      <c r="BF1459" s="347"/>
      <c r="BG1459" s="347"/>
      <c r="BH1459" s="347"/>
      <c r="BI1459" s="347"/>
      <c r="BJ1459" s="586"/>
      <c r="BK1459" s="581"/>
      <c r="BL1459" s="347"/>
      <c r="BM1459" s="347"/>
      <c r="BN1459" s="347"/>
      <c r="BO1459" s="586"/>
      <c r="BP1459" s="584"/>
      <c r="BQ1459" s="347"/>
      <c r="BR1459" s="586"/>
      <c r="BS1459" s="588"/>
      <c r="BT1459" s="586"/>
      <c r="BU1459" s="589"/>
      <c r="BV1459" s="581"/>
      <c r="BW1459" s="590"/>
      <c r="BX1459" s="347"/>
      <c r="BY1459" s="347"/>
      <c r="BZ1459" s="347"/>
      <c r="CA1459" s="586"/>
      <c r="CB1459" s="581"/>
      <c r="CC1459" s="581"/>
      <c r="CD1459" s="581"/>
      <c r="CE1459" s="581"/>
      <c r="CF1459" s="581"/>
      <c r="CG1459" s="586"/>
      <c r="CH1459" s="608"/>
      <c r="CI1459" s="603"/>
      <c r="CJ1459" s="347"/>
      <c r="CK1459" s="347"/>
      <c r="CL1459" s="347"/>
      <c r="CM1459" s="347"/>
      <c r="CN1459" s="347"/>
      <c r="CO1459" s="347"/>
      <c r="CP1459" s="347"/>
    </row>
    <row r="1460">
      <c r="A1460" s="574"/>
      <c r="B1460" s="574"/>
      <c r="C1460" s="347"/>
      <c r="D1460" s="574"/>
      <c r="E1460" s="347"/>
      <c r="F1460" s="596"/>
      <c r="G1460" s="596"/>
      <c r="H1460" s="347"/>
      <c r="I1460" s="347"/>
      <c r="J1460" s="596"/>
      <c r="K1460" s="609"/>
      <c r="L1460" s="1"/>
      <c r="M1460" s="347"/>
      <c r="N1460" s="347"/>
      <c r="O1460" s="579"/>
      <c r="P1460" s="579"/>
      <c r="Q1460" s="574"/>
      <c r="R1460" s="347"/>
      <c r="S1460" s="597"/>
      <c r="T1460" s="347"/>
      <c r="U1460" s="579"/>
      <c r="V1460" s="579"/>
      <c r="W1460" s="574"/>
      <c r="X1460" s="347"/>
      <c r="Y1460" s="347"/>
      <c r="Z1460" s="347"/>
      <c r="AA1460" s="579"/>
      <c r="AB1460" s="581"/>
      <c r="AC1460" s="347"/>
      <c r="AD1460" s="347"/>
      <c r="AE1460" s="347"/>
      <c r="AF1460" s="347"/>
      <c r="AG1460" s="579"/>
      <c r="AH1460" s="579"/>
      <c r="AI1460" s="582"/>
      <c r="AJ1460" s="582"/>
      <c r="AK1460" s="582"/>
      <c r="AL1460" s="582"/>
      <c r="AM1460" s="579"/>
      <c r="AN1460" s="579"/>
      <c r="AO1460" s="347"/>
      <c r="AP1460" s="586"/>
      <c r="AQ1460" s="596"/>
      <c r="AR1460" s="596"/>
      <c r="AS1460" s="348"/>
      <c r="AT1460" s="348"/>
      <c r="AU1460" s="348"/>
      <c r="AV1460" s="348"/>
      <c r="AW1460" s="348"/>
      <c r="AX1460" s="584"/>
      <c r="AY1460" s="581"/>
      <c r="AZ1460" s="581"/>
      <c r="BA1460" s="596"/>
      <c r="BB1460" s="596"/>
      <c r="BC1460" s="348"/>
      <c r="BD1460" s="581"/>
      <c r="BE1460" s="581"/>
      <c r="BF1460" s="347"/>
      <c r="BG1460" s="347"/>
      <c r="BH1460" s="347"/>
      <c r="BI1460" s="347"/>
      <c r="BJ1460" s="586"/>
      <c r="BK1460" s="581"/>
      <c r="BL1460" s="347"/>
      <c r="BM1460" s="347"/>
      <c r="BN1460" s="347"/>
      <c r="BO1460" s="586"/>
      <c r="BP1460" s="584"/>
      <c r="BQ1460" s="347"/>
      <c r="BR1460" s="586"/>
      <c r="BS1460" s="588"/>
      <c r="BT1460" s="586"/>
      <c r="BU1460" s="589"/>
      <c r="BV1460" s="581"/>
      <c r="BW1460" s="590"/>
      <c r="BX1460" s="347"/>
      <c r="BY1460" s="347"/>
      <c r="BZ1460" s="347"/>
      <c r="CA1460" s="586"/>
      <c r="CB1460" s="581"/>
      <c r="CC1460" s="581"/>
      <c r="CD1460" s="581"/>
      <c r="CE1460" s="581"/>
      <c r="CF1460" s="581"/>
      <c r="CG1460" s="586"/>
      <c r="CH1460" s="608"/>
      <c r="CI1460" s="603"/>
      <c r="CJ1460" s="347"/>
      <c r="CK1460" s="347"/>
      <c r="CL1460" s="347"/>
      <c r="CM1460" s="347"/>
      <c r="CN1460" s="347"/>
      <c r="CO1460" s="347"/>
      <c r="CP1460" s="347"/>
    </row>
    <row r="1461">
      <c r="A1461" s="574"/>
      <c r="B1461" s="574"/>
      <c r="C1461" s="347"/>
      <c r="D1461" s="574"/>
      <c r="E1461" s="347"/>
      <c r="F1461" s="596"/>
      <c r="G1461" s="596"/>
      <c r="H1461" s="347"/>
      <c r="I1461" s="347"/>
      <c r="J1461" s="596"/>
      <c r="K1461" s="609"/>
      <c r="L1461" s="1"/>
      <c r="M1461" s="347"/>
      <c r="N1461" s="347"/>
      <c r="O1461" s="579"/>
      <c r="P1461" s="579"/>
      <c r="Q1461" s="574"/>
      <c r="R1461" s="347"/>
      <c r="S1461" s="597"/>
      <c r="T1461" s="347"/>
      <c r="U1461" s="579"/>
      <c r="V1461" s="579"/>
      <c r="W1461" s="574"/>
      <c r="X1461" s="347"/>
      <c r="Y1461" s="347"/>
      <c r="Z1461" s="347"/>
      <c r="AA1461" s="579"/>
      <c r="AB1461" s="581"/>
      <c r="AC1461" s="347"/>
      <c r="AD1461" s="347"/>
      <c r="AE1461" s="347"/>
      <c r="AF1461" s="347"/>
      <c r="AG1461" s="579"/>
      <c r="AH1461" s="579"/>
      <c r="AI1461" s="582"/>
      <c r="AJ1461" s="582"/>
      <c r="AK1461" s="582"/>
      <c r="AL1461" s="582"/>
      <c r="AM1461" s="579"/>
      <c r="AN1461" s="579"/>
      <c r="AO1461" s="347"/>
      <c r="AP1461" s="586"/>
      <c r="AQ1461" s="596"/>
      <c r="AR1461" s="596"/>
      <c r="AS1461" s="348"/>
      <c r="AT1461" s="348"/>
      <c r="AU1461" s="348"/>
      <c r="AV1461" s="348"/>
      <c r="AW1461" s="348"/>
      <c r="AX1461" s="584"/>
      <c r="AY1461" s="581"/>
      <c r="AZ1461" s="581"/>
      <c r="BA1461" s="596"/>
      <c r="BB1461" s="596"/>
      <c r="BC1461" s="348"/>
      <c r="BD1461" s="581"/>
      <c r="BE1461" s="581"/>
      <c r="BF1461" s="347"/>
      <c r="BG1461" s="347"/>
      <c r="BH1461" s="347"/>
      <c r="BI1461" s="347"/>
      <c r="BJ1461" s="586"/>
      <c r="BK1461" s="581"/>
      <c r="BL1461" s="347"/>
      <c r="BM1461" s="347"/>
      <c r="BN1461" s="347"/>
      <c r="BO1461" s="586"/>
      <c r="BP1461" s="584"/>
      <c r="BQ1461" s="347"/>
      <c r="BR1461" s="586"/>
      <c r="BS1461" s="588"/>
      <c r="BT1461" s="586"/>
      <c r="BU1461" s="589"/>
      <c r="BV1461" s="581"/>
      <c r="BW1461" s="590"/>
      <c r="BX1461" s="347"/>
      <c r="BY1461" s="347"/>
      <c r="BZ1461" s="347"/>
      <c r="CA1461" s="586"/>
      <c r="CB1461" s="581"/>
      <c r="CC1461" s="581"/>
      <c r="CD1461" s="581"/>
      <c r="CE1461" s="581"/>
      <c r="CF1461" s="581"/>
      <c r="CG1461" s="586"/>
      <c r="CH1461" s="608"/>
      <c r="CI1461" s="603"/>
      <c r="CJ1461" s="347"/>
      <c r="CK1461" s="347"/>
      <c r="CL1461" s="347"/>
      <c r="CM1461" s="347"/>
      <c r="CN1461" s="347"/>
      <c r="CO1461" s="347"/>
      <c r="CP1461" s="347"/>
    </row>
    <row r="1462">
      <c r="A1462" s="574"/>
      <c r="B1462" s="574"/>
      <c r="C1462" s="347"/>
      <c r="D1462" s="574"/>
      <c r="E1462" s="347"/>
      <c r="F1462" s="596"/>
      <c r="G1462" s="596"/>
      <c r="H1462" s="347"/>
      <c r="I1462" s="347"/>
      <c r="J1462" s="596"/>
      <c r="K1462" s="609"/>
      <c r="L1462" s="1"/>
      <c r="M1462" s="347"/>
      <c r="N1462" s="347"/>
      <c r="O1462" s="579"/>
      <c r="P1462" s="579"/>
      <c r="Q1462" s="574"/>
      <c r="R1462" s="347"/>
      <c r="S1462" s="597"/>
      <c r="T1462" s="347"/>
      <c r="U1462" s="579"/>
      <c r="V1462" s="579"/>
      <c r="W1462" s="574"/>
      <c r="X1462" s="347"/>
      <c r="Y1462" s="347"/>
      <c r="Z1462" s="347"/>
      <c r="AA1462" s="579"/>
      <c r="AB1462" s="581"/>
      <c r="AC1462" s="347"/>
      <c r="AD1462" s="347"/>
      <c r="AE1462" s="347"/>
      <c r="AF1462" s="347"/>
      <c r="AG1462" s="579"/>
      <c r="AH1462" s="579"/>
      <c r="AI1462" s="582"/>
      <c r="AJ1462" s="582"/>
      <c r="AK1462" s="582"/>
      <c r="AL1462" s="582"/>
      <c r="AM1462" s="579"/>
      <c r="AN1462" s="579"/>
      <c r="AO1462" s="347"/>
      <c r="AP1462" s="586"/>
      <c r="AQ1462" s="596"/>
      <c r="AR1462" s="596"/>
      <c r="AS1462" s="348"/>
      <c r="AT1462" s="348"/>
      <c r="AU1462" s="348"/>
      <c r="AV1462" s="348"/>
      <c r="AW1462" s="348"/>
      <c r="AX1462" s="584"/>
      <c r="AY1462" s="581"/>
      <c r="AZ1462" s="581"/>
      <c r="BA1462" s="596"/>
      <c r="BB1462" s="596"/>
      <c r="BC1462" s="348"/>
      <c r="BD1462" s="581"/>
      <c r="BE1462" s="581"/>
      <c r="BF1462" s="347"/>
      <c r="BG1462" s="347"/>
      <c r="BH1462" s="347"/>
      <c r="BI1462" s="347"/>
      <c r="BJ1462" s="586"/>
      <c r="BK1462" s="581"/>
      <c r="BL1462" s="347"/>
      <c r="BM1462" s="347"/>
      <c r="BN1462" s="347"/>
      <c r="BO1462" s="586"/>
      <c r="BP1462" s="584"/>
      <c r="BQ1462" s="347"/>
      <c r="BR1462" s="586"/>
      <c r="BS1462" s="588"/>
      <c r="BT1462" s="586"/>
      <c r="BU1462" s="589"/>
      <c r="BV1462" s="581"/>
      <c r="BW1462" s="590"/>
      <c r="BX1462" s="347"/>
      <c r="BY1462" s="347"/>
      <c r="BZ1462" s="347"/>
      <c r="CA1462" s="586"/>
      <c r="CB1462" s="581"/>
      <c r="CC1462" s="581"/>
      <c r="CD1462" s="581"/>
      <c r="CE1462" s="581"/>
      <c r="CF1462" s="581"/>
      <c r="CG1462" s="586"/>
      <c r="CH1462" s="608"/>
      <c r="CI1462" s="603"/>
      <c r="CJ1462" s="347"/>
      <c r="CK1462" s="347"/>
      <c r="CL1462" s="347"/>
      <c r="CM1462" s="347"/>
      <c r="CN1462" s="347"/>
      <c r="CO1462" s="347"/>
      <c r="CP1462" s="347"/>
    </row>
    <row r="1463">
      <c r="A1463" s="574"/>
      <c r="B1463" s="574"/>
      <c r="C1463" s="347"/>
      <c r="D1463" s="574"/>
      <c r="E1463" s="347"/>
      <c r="F1463" s="596"/>
      <c r="G1463" s="596"/>
      <c r="H1463" s="347"/>
      <c r="I1463" s="347"/>
      <c r="J1463" s="596"/>
      <c r="K1463" s="609"/>
      <c r="L1463" s="1"/>
      <c r="M1463" s="347"/>
      <c r="N1463" s="347"/>
      <c r="O1463" s="579"/>
      <c r="P1463" s="579"/>
      <c r="Q1463" s="574"/>
      <c r="R1463" s="347"/>
      <c r="S1463" s="597"/>
      <c r="T1463" s="347"/>
      <c r="U1463" s="579"/>
      <c r="V1463" s="579"/>
      <c r="W1463" s="574"/>
      <c r="X1463" s="347"/>
      <c r="Y1463" s="347"/>
      <c r="Z1463" s="347"/>
      <c r="AA1463" s="579"/>
      <c r="AB1463" s="581"/>
      <c r="AC1463" s="347"/>
      <c r="AD1463" s="347"/>
      <c r="AE1463" s="347"/>
      <c r="AF1463" s="347"/>
      <c r="AG1463" s="579"/>
      <c r="AH1463" s="579"/>
      <c r="AI1463" s="582"/>
      <c r="AJ1463" s="582"/>
      <c r="AK1463" s="582"/>
      <c r="AL1463" s="582"/>
      <c r="AM1463" s="579"/>
      <c r="AN1463" s="579"/>
      <c r="AO1463" s="347"/>
      <c r="AP1463" s="586"/>
      <c r="AQ1463" s="596"/>
      <c r="AR1463" s="596"/>
      <c r="AS1463" s="348"/>
      <c r="AT1463" s="348"/>
      <c r="AU1463" s="348"/>
      <c r="AV1463" s="348"/>
      <c r="AW1463" s="348"/>
      <c r="AX1463" s="584"/>
      <c r="AY1463" s="581"/>
      <c r="AZ1463" s="581"/>
      <c r="BA1463" s="596"/>
      <c r="BB1463" s="596"/>
      <c r="BC1463" s="348"/>
      <c r="BD1463" s="581"/>
      <c r="BE1463" s="581"/>
      <c r="BF1463" s="347"/>
      <c r="BG1463" s="347"/>
      <c r="BH1463" s="347"/>
      <c r="BI1463" s="347"/>
      <c r="BJ1463" s="586"/>
      <c r="BK1463" s="581"/>
      <c r="BL1463" s="347"/>
      <c r="BM1463" s="347"/>
      <c r="BN1463" s="347"/>
      <c r="BO1463" s="586"/>
      <c r="BP1463" s="584"/>
      <c r="BQ1463" s="347"/>
      <c r="BR1463" s="586"/>
      <c r="BS1463" s="588"/>
      <c r="BT1463" s="586"/>
      <c r="BU1463" s="589"/>
      <c r="BV1463" s="581"/>
      <c r="BW1463" s="590"/>
      <c r="BX1463" s="347"/>
      <c r="BY1463" s="347"/>
      <c r="BZ1463" s="347"/>
      <c r="CA1463" s="586"/>
      <c r="CB1463" s="581"/>
      <c r="CC1463" s="581"/>
      <c r="CD1463" s="581"/>
      <c r="CE1463" s="581"/>
      <c r="CF1463" s="581"/>
      <c r="CG1463" s="586"/>
      <c r="CH1463" s="608"/>
      <c r="CI1463" s="603"/>
      <c r="CJ1463" s="347"/>
      <c r="CK1463" s="347"/>
      <c r="CL1463" s="347"/>
      <c r="CM1463" s="347"/>
      <c r="CN1463" s="347"/>
      <c r="CO1463" s="347"/>
      <c r="CP1463" s="347"/>
    </row>
    <row r="1464">
      <c r="A1464" s="574"/>
      <c r="B1464" s="574"/>
      <c r="C1464" s="347"/>
      <c r="D1464" s="574"/>
      <c r="E1464" s="347"/>
      <c r="F1464" s="596"/>
      <c r="G1464" s="596"/>
      <c r="H1464" s="347"/>
      <c r="I1464" s="347"/>
      <c r="J1464" s="596"/>
      <c r="K1464" s="609"/>
      <c r="L1464" s="1"/>
      <c r="M1464" s="347"/>
      <c r="N1464" s="347"/>
      <c r="O1464" s="579"/>
      <c r="P1464" s="579"/>
      <c r="Q1464" s="574"/>
      <c r="R1464" s="347"/>
      <c r="S1464" s="597"/>
      <c r="T1464" s="347"/>
      <c r="U1464" s="579"/>
      <c r="V1464" s="579"/>
      <c r="W1464" s="574"/>
      <c r="X1464" s="347"/>
      <c r="Y1464" s="347"/>
      <c r="Z1464" s="347"/>
      <c r="AA1464" s="579"/>
      <c r="AB1464" s="581"/>
      <c r="AC1464" s="347"/>
      <c r="AD1464" s="347"/>
      <c r="AE1464" s="347"/>
      <c r="AF1464" s="347"/>
      <c r="AG1464" s="579"/>
      <c r="AH1464" s="579"/>
      <c r="AI1464" s="582"/>
      <c r="AJ1464" s="582"/>
      <c r="AK1464" s="582"/>
      <c r="AL1464" s="582"/>
      <c r="AM1464" s="579"/>
      <c r="AN1464" s="579"/>
      <c r="AO1464" s="347"/>
      <c r="AP1464" s="586"/>
      <c r="AQ1464" s="596"/>
      <c r="AR1464" s="596"/>
      <c r="AS1464" s="348"/>
      <c r="AT1464" s="348"/>
      <c r="AU1464" s="348"/>
      <c r="AV1464" s="348"/>
      <c r="AW1464" s="348"/>
      <c r="AX1464" s="584"/>
      <c r="AY1464" s="581"/>
      <c r="AZ1464" s="581"/>
      <c r="BA1464" s="596"/>
      <c r="BB1464" s="596"/>
      <c r="BC1464" s="348"/>
      <c r="BD1464" s="581"/>
      <c r="BE1464" s="581"/>
      <c r="BF1464" s="347"/>
      <c r="BG1464" s="347"/>
      <c r="BH1464" s="347"/>
      <c r="BI1464" s="347"/>
      <c r="BJ1464" s="586"/>
      <c r="BK1464" s="581"/>
      <c r="BL1464" s="347"/>
      <c r="BM1464" s="347"/>
      <c r="BN1464" s="347"/>
      <c r="BO1464" s="586"/>
      <c r="BP1464" s="584"/>
      <c r="BQ1464" s="347"/>
      <c r="BR1464" s="586"/>
      <c r="BS1464" s="588"/>
      <c r="BT1464" s="586"/>
      <c r="BU1464" s="589"/>
      <c r="BV1464" s="581"/>
      <c r="BW1464" s="590"/>
      <c r="BX1464" s="347"/>
      <c r="BY1464" s="347"/>
      <c r="BZ1464" s="347"/>
      <c r="CA1464" s="586"/>
      <c r="CB1464" s="581"/>
      <c r="CC1464" s="581"/>
      <c r="CD1464" s="581"/>
      <c r="CE1464" s="581"/>
      <c r="CF1464" s="581"/>
      <c r="CG1464" s="586"/>
      <c r="CH1464" s="608"/>
      <c r="CI1464" s="603"/>
      <c r="CJ1464" s="347"/>
      <c r="CK1464" s="347"/>
      <c r="CL1464" s="347"/>
      <c r="CM1464" s="347"/>
      <c r="CN1464" s="347"/>
      <c r="CO1464" s="347"/>
      <c r="CP1464" s="347"/>
    </row>
    <row r="1465">
      <c r="A1465" s="574"/>
      <c r="B1465" s="574"/>
      <c r="C1465" s="347"/>
      <c r="D1465" s="574"/>
      <c r="E1465" s="347"/>
      <c r="F1465" s="596"/>
      <c r="G1465" s="596"/>
      <c r="H1465" s="347"/>
      <c r="I1465" s="347"/>
      <c r="J1465" s="596"/>
      <c r="K1465" s="609"/>
      <c r="L1465" s="1"/>
      <c r="M1465" s="347"/>
      <c r="N1465" s="347"/>
      <c r="O1465" s="579"/>
      <c r="P1465" s="579"/>
      <c r="Q1465" s="574"/>
      <c r="R1465" s="347"/>
      <c r="S1465" s="597"/>
      <c r="T1465" s="347"/>
      <c r="U1465" s="579"/>
      <c r="V1465" s="579"/>
      <c r="W1465" s="574"/>
      <c r="X1465" s="347"/>
      <c r="Y1465" s="347"/>
      <c r="Z1465" s="347"/>
      <c r="AA1465" s="579"/>
      <c r="AB1465" s="581"/>
      <c r="AC1465" s="347"/>
      <c r="AD1465" s="347"/>
      <c r="AE1465" s="347"/>
      <c r="AF1465" s="347"/>
      <c r="AG1465" s="579"/>
      <c r="AH1465" s="579"/>
      <c r="AI1465" s="582"/>
      <c r="AJ1465" s="582"/>
      <c r="AK1465" s="582"/>
      <c r="AL1465" s="582"/>
      <c r="AM1465" s="579"/>
      <c r="AN1465" s="579"/>
      <c r="AO1465" s="347"/>
      <c r="AP1465" s="586"/>
      <c r="AQ1465" s="596"/>
      <c r="AR1465" s="596"/>
      <c r="AS1465" s="348"/>
      <c r="AT1465" s="348"/>
      <c r="AU1465" s="348"/>
      <c r="AV1465" s="348"/>
      <c r="AW1465" s="348"/>
      <c r="AX1465" s="584"/>
      <c r="AY1465" s="581"/>
      <c r="AZ1465" s="581"/>
      <c r="BA1465" s="596"/>
      <c r="BB1465" s="596"/>
      <c r="BC1465" s="348"/>
      <c r="BD1465" s="581"/>
      <c r="BE1465" s="581"/>
      <c r="BF1465" s="347"/>
      <c r="BG1465" s="347"/>
      <c r="BH1465" s="347"/>
      <c r="BI1465" s="347"/>
      <c r="BJ1465" s="586"/>
      <c r="BK1465" s="581"/>
      <c r="BL1465" s="347"/>
      <c r="BM1465" s="347"/>
      <c r="BN1465" s="347"/>
      <c r="BO1465" s="586"/>
      <c r="BP1465" s="584"/>
      <c r="BQ1465" s="347"/>
      <c r="BR1465" s="586"/>
      <c r="BS1465" s="588"/>
      <c r="BT1465" s="586"/>
      <c r="BU1465" s="589"/>
      <c r="BV1465" s="581"/>
      <c r="BW1465" s="590"/>
      <c r="BX1465" s="347"/>
      <c r="BY1465" s="347"/>
      <c r="BZ1465" s="347"/>
      <c r="CA1465" s="586"/>
      <c r="CB1465" s="581"/>
      <c r="CC1465" s="581"/>
      <c r="CD1465" s="581"/>
      <c r="CE1465" s="581"/>
      <c r="CF1465" s="581"/>
      <c r="CG1465" s="586"/>
      <c r="CH1465" s="608"/>
      <c r="CI1465" s="603"/>
      <c r="CJ1465" s="347"/>
      <c r="CK1465" s="347"/>
      <c r="CL1465" s="347"/>
      <c r="CM1465" s="347"/>
      <c r="CN1465" s="347"/>
      <c r="CO1465" s="347"/>
      <c r="CP1465" s="347"/>
    </row>
    <row r="1466">
      <c r="A1466" s="574"/>
      <c r="B1466" s="574"/>
      <c r="C1466" s="347"/>
      <c r="D1466" s="574"/>
      <c r="E1466" s="347"/>
      <c r="F1466" s="596"/>
      <c r="G1466" s="596"/>
      <c r="H1466" s="347"/>
      <c r="I1466" s="347"/>
      <c r="J1466" s="596"/>
      <c r="K1466" s="609"/>
      <c r="L1466" s="1"/>
      <c r="M1466" s="347"/>
      <c r="N1466" s="347"/>
      <c r="O1466" s="579"/>
      <c r="P1466" s="579"/>
      <c r="Q1466" s="574"/>
      <c r="R1466" s="347"/>
      <c r="S1466" s="597"/>
      <c r="T1466" s="347"/>
      <c r="U1466" s="579"/>
      <c r="V1466" s="579"/>
      <c r="W1466" s="574"/>
      <c r="X1466" s="347"/>
      <c r="Y1466" s="347"/>
      <c r="Z1466" s="347"/>
      <c r="AA1466" s="579"/>
      <c r="AB1466" s="581"/>
      <c r="AC1466" s="347"/>
      <c r="AD1466" s="347"/>
      <c r="AE1466" s="347"/>
      <c r="AF1466" s="347"/>
      <c r="AG1466" s="579"/>
      <c r="AH1466" s="579"/>
      <c r="AI1466" s="582"/>
      <c r="AJ1466" s="582"/>
      <c r="AK1466" s="582"/>
      <c r="AL1466" s="582"/>
      <c r="AM1466" s="579"/>
      <c r="AN1466" s="579"/>
      <c r="AO1466" s="347"/>
      <c r="AP1466" s="586"/>
      <c r="AQ1466" s="596"/>
      <c r="AR1466" s="596"/>
      <c r="AS1466" s="348"/>
      <c r="AT1466" s="348"/>
      <c r="AU1466" s="348"/>
      <c r="AV1466" s="348"/>
      <c r="AW1466" s="348"/>
      <c r="AX1466" s="584"/>
      <c r="AY1466" s="581"/>
      <c r="AZ1466" s="581"/>
      <c r="BA1466" s="596"/>
      <c r="BB1466" s="596"/>
      <c r="BC1466" s="348"/>
      <c r="BD1466" s="581"/>
      <c r="BE1466" s="581"/>
      <c r="BF1466" s="347"/>
      <c r="BG1466" s="347"/>
      <c r="BH1466" s="347"/>
      <c r="BI1466" s="347"/>
      <c r="BJ1466" s="586"/>
      <c r="BK1466" s="581"/>
      <c r="BL1466" s="347"/>
      <c r="BM1466" s="347"/>
      <c r="BN1466" s="347"/>
      <c r="BO1466" s="586"/>
      <c r="BP1466" s="584"/>
      <c r="BQ1466" s="347"/>
      <c r="BR1466" s="586"/>
      <c r="BS1466" s="588"/>
      <c r="BT1466" s="586"/>
      <c r="BU1466" s="589"/>
      <c r="BV1466" s="581"/>
      <c r="BW1466" s="590"/>
      <c r="BX1466" s="347"/>
      <c r="BY1466" s="347"/>
      <c r="BZ1466" s="347"/>
      <c r="CA1466" s="586"/>
      <c r="CB1466" s="581"/>
      <c r="CC1466" s="581"/>
      <c r="CD1466" s="581"/>
      <c r="CE1466" s="581"/>
      <c r="CF1466" s="581"/>
      <c r="CG1466" s="586"/>
      <c r="CH1466" s="608"/>
      <c r="CI1466" s="603"/>
      <c r="CJ1466" s="347"/>
      <c r="CK1466" s="347"/>
      <c r="CL1466" s="347"/>
      <c r="CM1466" s="347"/>
      <c r="CN1466" s="347"/>
      <c r="CO1466" s="347"/>
      <c r="CP1466" s="347"/>
    </row>
    <row r="1467">
      <c r="A1467" s="574"/>
      <c r="B1467" s="574"/>
      <c r="C1467" s="347"/>
      <c r="D1467" s="574"/>
      <c r="E1467" s="347"/>
      <c r="F1467" s="596"/>
      <c r="G1467" s="596"/>
      <c r="H1467" s="347"/>
      <c r="I1467" s="347"/>
      <c r="J1467" s="596"/>
      <c r="K1467" s="609"/>
      <c r="L1467" s="1"/>
      <c r="M1467" s="347"/>
      <c r="N1467" s="347"/>
      <c r="O1467" s="579"/>
      <c r="P1467" s="579"/>
      <c r="Q1467" s="574"/>
      <c r="R1467" s="347"/>
      <c r="S1467" s="597"/>
      <c r="T1467" s="347"/>
      <c r="U1467" s="579"/>
      <c r="V1467" s="579"/>
      <c r="W1467" s="574"/>
      <c r="X1467" s="347"/>
      <c r="Y1467" s="347"/>
      <c r="Z1467" s="347"/>
      <c r="AA1467" s="579"/>
      <c r="AB1467" s="581"/>
      <c r="AC1467" s="347"/>
      <c r="AD1467" s="347"/>
      <c r="AE1467" s="347"/>
      <c r="AF1467" s="347"/>
      <c r="AG1467" s="579"/>
      <c r="AH1467" s="579"/>
      <c r="AI1467" s="582"/>
      <c r="AJ1467" s="582"/>
      <c r="AK1467" s="582"/>
      <c r="AL1467" s="582"/>
      <c r="AM1467" s="579"/>
      <c r="AN1467" s="579"/>
      <c r="AO1467" s="347"/>
      <c r="AP1467" s="586"/>
      <c r="AQ1467" s="596"/>
      <c r="AR1467" s="596"/>
      <c r="AS1467" s="348"/>
      <c r="AT1467" s="348"/>
      <c r="AU1467" s="348"/>
      <c r="AV1467" s="348"/>
      <c r="AW1467" s="348"/>
      <c r="AX1467" s="584"/>
      <c r="AY1467" s="581"/>
      <c r="AZ1467" s="581"/>
      <c r="BA1467" s="596"/>
      <c r="BB1467" s="596"/>
      <c r="BC1467" s="348"/>
      <c r="BD1467" s="581"/>
      <c r="BE1467" s="581"/>
      <c r="BF1467" s="347"/>
      <c r="BG1467" s="347"/>
      <c r="BH1467" s="347"/>
      <c r="BI1467" s="347"/>
      <c r="BJ1467" s="586"/>
      <c r="BK1467" s="581"/>
      <c r="BL1467" s="347"/>
      <c r="BM1467" s="347"/>
      <c r="BN1467" s="347"/>
      <c r="BO1467" s="586"/>
      <c r="BP1467" s="584"/>
      <c r="BQ1467" s="347"/>
      <c r="BR1467" s="586"/>
      <c r="BS1467" s="588"/>
      <c r="BT1467" s="586"/>
      <c r="BU1467" s="589"/>
      <c r="BV1467" s="581"/>
      <c r="BW1467" s="590"/>
      <c r="BX1467" s="347"/>
      <c r="BY1467" s="347"/>
      <c r="BZ1467" s="347"/>
      <c r="CA1467" s="586"/>
      <c r="CB1467" s="581"/>
      <c r="CC1467" s="581"/>
      <c r="CD1467" s="581"/>
      <c r="CE1467" s="581"/>
      <c r="CF1467" s="581"/>
      <c r="CG1467" s="586"/>
      <c r="CH1467" s="608"/>
      <c r="CI1467" s="603"/>
      <c r="CJ1467" s="347"/>
      <c r="CK1467" s="347"/>
      <c r="CL1467" s="347"/>
      <c r="CM1467" s="347"/>
      <c r="CN1467" s="347"/>
      <c r="CO1467" s="347"/>
      <c r="CP1467" s="347"/>
    </row>
    <row r="1468">
      <c r="A1468" s="574"/>
      <c r="B1468" s="574"/>
      <c r="C1468" s="347"/>
      <c r="D1468" s="574"/>
      <c r="E1468" s="347"/>
      <c r="F1468" s="596"/>
      <c r="G1468" s="596"/>
      <c r="H1468" s="347"/>
      <c r="I1468" s="347"/>
      <c r="J1468" s="596"/>
      <c r="K1468" s="609"/>
      <c r="L1468" s="1"/>
      <c r="M1468" s="347"/>
      <c r="N1468" s="347"/>
      <c r="O1468" s="579"/>
      <c r="P1468" s="579"/>
      <c r="Q1468" s="574"/>
      <c r="R1468" s="347"/>
      <c r="S1468" s="597"/>
      <c r="T1468" s="347"/>
      <c r="U1468" s="579"/>
      <c r="V1468" s="579"/>
      <c r="W1468" s="574"/>
      <c r="X1468" s="347"/>
      <c r="Y1468" s="347"/>
      <c r="Z1468" s="347"/>
      <c r="AA1468" s="579"/>
      <c r="AB1468" s="581"/>
      <c r="AC1468" s="347"/>
      <c r="AD1468" s="347"/>
      <c r="AE1468" s="347"/>
      <c r="AF1468" s="347"/>
      <c r="AG1468" s="579"/>
      <c r="AH1468" s="579"/>
      <c r="AI1468" s="582"/>
      <c r="AJ1468" s="582"/>
      <c r="AK1468" s="582"/>
      <c r="AL1468" s="582"/>
      <c r="AM1468" s="579"/>
      <c r="AN1468" s="579"/>
      <c r="AO1468" s="347"/>
      <c r="AP1468" s="586"/>
      <c r="AQ1468" s="596"/>
      <c r="AR1468" s="596"/>
      <c r="AS1468" s="348"/>
      <c r="AT1468" s="348"/>
      <c r="AU1468" s="348"/>
      <c r="AV1468" s="348"/>
      <c r="AW1468" s="348"/>
      <c r="AX1468" s="584"/>
      <c r="AY1468" s="581"/>
      <c r="AZ1468" s="581"/>
      <c r="BA1468" s="596"/>
      <c r="BB1468" s="596"/>
      <c r="BC1468" s="348"/>
      <c r="BD1468" s="581"/>
      <c r="BE1468" s="581"/>
      <c r="BF1468" s="347"/>
      <c r="BG1468" s="347"/>
      <c r="BH1468" s="347"/>
      <c r="BI1468" s="347"/>
      <c r="BJ1468" s="586"/>
      <c r="BK1468" s="581"/>
      <c r="BL1468" s="347"/>
      <c r="BM1468" s="347"/>
      <c r="BN1468" s="347"/>
      <c r="BO1468" s="586"/>
      <c r="BP1468" s="584"/>
      <c r="BQ1468" s="347"/>
      <c r="BR1468" s="586"/>
      <c r="BS1468" s="588"/>
      <c r="BT1468" s="586"/>
      <c r="BU1468" s="589"/>
      <c r="BV1468" s="581"/>
      <c r="BW1468" s="590"/>
      <c r="BX1468" s="347"/>
      <c r="BY1468" s="347"/>
      <c r="BZ1468" s="347"/>
      <c r="CA1468" s="586"/>
      <c r="CB1468" s="581"/>
      <c r="CC1468" s="581"/>
      <c r="CD1468" s="581"/>
      <c r="CE1468" s="581"/>
      <c r="CF1468" s="581"/>
      <c r="CG1468" s="586"/>
      <c r="CH1468" s="608"/>
      <c r="CI1468" s="603"/>
      <c r="CJ1468" s="347"/>
      <c r="CK1468" s="347"/>
      <c r="CL1468" s="347"/>
      <c r="CM1468" s="347"/>
      <c r="CN1468" s="347"/>
      <c r="CO1468" s="347"/>
      <c r="CP1468" s="347"/>
    </row>
    <row r="1469">
      <c r="A1469" s="574"/>
      <c r="B1469" s="574"/>
      <c r="C1469" s="347"/>
      <c r="D1469" s="574"/>
      <c r="E1469" s="347"/>
      <c r="F1469" s="596"/>
      <c r="G1469" s="596"/>
      <c r="H1469" s="347"/>
      <c r="I1469" s="347"/>
      <c r="J1469" s="596"/>
      <c r="K1469" s="609"/>
      <c r="L1469" s="1"/>
      <c r="M1469" s="347"/>
      <c r="N1469" s="347"/>
      <c r="O1469" s="579"/>
      <c r="P1469" s="579"/>
      <c r="Q1469" s="574"/>
      <c r="R1469" s="347"/>
      <c r="S1469" s="597"/>
      <c r="T1469" s="347"/>
      <c r="U1469" s="579"/>
      <c r="V1469" s="579"/>
      <c r="W1469" s="574"/>
      <c r="X1469" s="347"/>
      <c r="Y1469" s="347"/>
      <c r="Z1469" s="347"/>
      <c r="AA1469" s="579"/>
      <c r="AB1469" s="581"/>
      <c r="AC1469" s="347"/>
      <c r="AD1469" s="347"/>
      <c r="AE1469" s="347"/>
      <c r="AF1469" s="347"/>
      <c r="AG1469" s="579"/>
      <c r="AH1469" s="579"/>
      <c r="AI1469" s="582"/>
      <c r="AJ1469" s="582"/>
      <c r="AK1469" s="582"/>
      <c r="AL1469" s="582"/>
      <c r="AM1469" s="579"/>
      <c r="AN1469" s="579"/>
      <c r="AO1469" s="347"/>
      <c r="AP1469" s="586"/>
      <c r="AQ1469" s="596"/>
      <c r="AR1469" s="596"/>
      <c r="AS1469" s="348"/>
      <c r="AT1469" s="348"/>
      <c r="AU1469" s="348"/>
      <c r="AV1469" s="348"/>
      <c r="AW1469" s="348"/>
      <c r="AX1469" s="584"/>
      <c r="AY1469" s="581"/>
      <c r="AZ1469" s="581"/>
      <c r="BA1469" s="596"/>
      <c r="BB1469" s="596"/>
      <c r="BC1469" s="348"/>
      <c r="BD1469" s="581"/>
      <c r="BE1469" s="581"/>
      <c r="BF1469" s="347"/>
      <c r="BG1469" s="347"/>
      <c r="BH1469" s="347"/>
      <c r="BI1469" s="347"/>
      <c r="BJ1469" s="586"/>
      <c r="BK1469" s="581"/>
      <c r="BL1469" s="347"/>
      <c r="BM1469" s="347"/>
      <c r="BN1469" s="347"/>
      <c r="BO1469" s="586"/>
      <c r="BP1469" s="584"/>
      <c r="BQ1469" s="347"/>
      <c r="BR1469" s="586"/>
      <c r="BS1469" s="588"/>
      <c r="BT1469" s="586"/>
      <c r="BU1469" s="589"/>
      <c r="BV1469" s="581"/>
      <c r="BW1469" s="590"/>
      <c r="BX1469" s="347"/>
      <c r="BY1469" s="347"/>
      <c r="BZ1469" s="347"/>
      <c r="CA1469" s="586"/>
      <c r="CB1469" s="581"/>
      <c r="CC1469" s="581"/>
      <c r="CD1469" s="581"/>
      <c r="CE1469" s="581"/>
      <c r="CF1469" s="581"/>
      <c r="CG1469" s="586"/>
      <c r="CH1469" s="608"/>
      <c r="CI1469" s="603"/>
      <c r="CJ1469" s="347"/>
      <c r="CK1469" s="347"/>
      <c r="CL1469" s="347"/>
      <c r="CM1469" s="347"/>
      <c r="CN1469" s="347"/>
      <c r="CO1469" s="347"/>
      <c r="CP1469" s="347"/>
    </row>
    <row r="1470">
      <c r="A1470" s="574"/>
      <c r="B1470" s="574"/>
      <c r="C1470" s="347"/>
      <c r="D1470" s="574"/>
      <c r="E1470" s="347"/>
      <c r="F1470" s="596"/>
      <c r="G1470" s="596"/>
      <c r="H1470" s="347"/>
      <c r="I1470" s="347"/>
      <c r="J1470" s="596"/>
      <c r="K1470" s="609"/>
      <c r="L1470" s="1"/>
      <c r="M1470" s="347"/>
      <c r="N1470" s="347"/>
      <c r="O1470" s="579"/>
      <c r="P1470" s="579"/>
      <c r="Q1470" s="574"/>
      <c r="R1470" s="347"/>
      <c r="S1470" s="597"/>
      <c r="T1470" s="347"/>
      <c r="U1470" s="579"/>
      <c r="V1470" s="579"/>
      <c r="W1470" s="574"/>
      <c r="X1470" s="347"/>
      <c r="Y1470" s="347"/>
      <c r="Z1470" s="347"/>
      <c r="AA1470" s="579"/>
      <c r="AB1470" s="581"/>
      <c r="AC1470" s="347"/>
      <c r="AD1470" s="347"/>
      <c r="AE1470" s="347"/>
      <c r="AF1470" s="347"/>
      <c r="AG1470" s="579"/>
      <c r="AH1470" s="579"/>
      <c r="AI1470" s="582"/>
      <c r="AJ1470" s="582"/>
      <c r="AK1470" s="582"/>
      <c r="AL1470" s="582"/>
      <c r="AM1470" s="579"/>
      <c r="AN1470" s="579"/>
      <c r="AO1470" s="347"/>
      <c r="AP1470" s="586"/>
      <c r="AQ1470" s="596"/>
      <c r="AR1470" s="596"/>
      <c r="AS1470" s="348"/>
      <c r="AT1470" s="348"/>
      <c r="AU1470" s="348"/>
      <c r="AV1470" s="348"/>
      <c r="AW1470" s="348"/>
      <c r="AX1470" s="584"/>
      <c r="AY1470" s="581"/>
      <c r="AZ1470" s="581"/>
      <c r="BA1470" s="596"/>
      <c r="BB1470" s="596"/>
      <c r="BC1470" s="348"/>
      <c r="BD1470" s="581"/>
      <c r="BE1470" s="581"/>
      <c r="BF1470" s="347"/>
      <c r="BG1470" s="347"/>
      <c r="BH1470" s="347"/>
      <c r="BI1470" s="347"/>
      <c r="BJ1470" s="586"/>
      <c r="BK1470" s="581"/>
      <c r="BL1470" s="347"/>
      <c r="BM1470" s="347"/>
      <c r="BN1470" s="347"/>
      <c r="BO1470" s="586"/>
      <c r="BP1470" s="584"/>
      <c r="BQ1470" s="347"/>
      <c r="BR1470" s="586"/>
      <c r="BS1470" s="588"/>
      <c r="BT1470" s="586"/>
      <c r="BU1470" s="589"/>
      <c r="BV1470" s="581"/>
      <c r="BW1470" s="590"/>
      <c r="BX1470" s="347"/>
      <c r="BY1470" s="347"/>
      <c r="BZ1470" s="347"/>
      <c r="CA1470" s="586"/>
      <c r="CB1470" s="581"/>
      <c r="CC1470" s="581"/>
      <c r="CD1470" s="581"/>
      <c r="CE1470" s="581"/>
      <c r="CF1470" s="581"/>
      <c r="CG1470" s="586"/>
      <c r="CH1470" s="608"/>
      <c r="CI1470" s="603"/>
      <c r="CJ1470" s="347"/>
      <c r="CK1470" s="347"/>
      <c r="CL1470" s="347"/>
      <c r="CM1470" s="347"/>
      <c r="CN1470" s="347"/>
      <c r="CO1470" s="347"/>
      <c r="CP1470" s="347"/>
    </row>
    <row r="1471">
      <c r="A1471" s="574"/>
      <c r="B1471" s="574"/>
      <c r="C1471" s="347"/>
      <c r="D1471" s="574"/>
      <c r="E1471" s="347"/>
      <c r="F1471" s="596"/>
      <c r="G1471" s="596"/>
      <c r="H1471" s="347"/>
      <c r="I1471" s="347"/>
      <c r="J1471" s="596"/>
      <c r="K1471" s="609"/>
      <c r="L1471" s="1"/>
      <c r="M1471" s="347"/>
      <c r="N1471" s="347"/>
      <c r="O1471" s="579"/>
      <c r="P1471" s="579"/>
      <c r="Q1471" s="574"/>
      <c r="R1471" s="347"/>
      <c r="S1471" s="597"/>
      <c r="T1471" s="347"/>
      <c r="U1471" s="579"/>
      <c r="V1471" s="579"/>
      <c r="W1471" s="574"/>
      <c r="X1471" s="347"/>
      <c r="Y1471" s="347"/>
      <c r="Z1471" s="347"/>
      <c r="AA1471" s="579"/>
      <c r="AB1471" s="581"/>
      <c r="AC1471" s="347"/>
      <c r="AD1471" s="347"/>
      <c r="AE1471" s="347"/>
      <c r="AF1471" s="347"/>
      <c r="AG1471" s="579"/>
      <c r="AH1471" s="579"/>
      <c r="AI1471" s="582"/>
      <c r="AJ1471" s="582"/>
      <c r="AK1471" s="582"/>
      <c r="AL1471" s="582"/>
      <c r="AM1471" s="579"/>
      <c r="AN1471" s="579"/>
      <c r="AO1471" s="347"/>
      <c r="AP1471" s="586"/>
      <c r="AQ1471" s="596"/>
      <c r="AR1471" s="596"/>
      <c r="AS1471" s="348"/>
      <c r="AT1471" s="348"/>
      <c r="AU1471" s="348"/>
      <c r="AV1471" s="348"/>
      <c r="AW1471" s="348"/>
      <c r="AX1471" s="584"/>
      <c r="AY1471" s="581"/>
      <c r="AZ1471" s="581"/>
      <c r="BA1471" s="596"/>
      <c r="BB1471" s="596"/>
      <c r="BC1471" s="348"/>
      <c r="BD1471" s="581"/>
      <c r="BE1471" s="581"/>
      <c r="BF1471" s="347"/>
      <c r="BG1471" s="347"/>
      <c r="BH1471" s="347"/>
      <c r="BI1471" s="347"/>
      <c r="BJ1471" s="586"/>
      <c r="BK1471" s="581"/>
      <c r="BL1471" s="347"/>
      <c r="BM1471" s="347"/>
      <c r="BN1471" s="347"/>
      <c r="BO1471" s="586"/>
      <c r="BP1471" s="584"/>
      <c r="BQ1471" s="347"/>
      <c r="BR1471" s="586"/>
      <c r="BS1471" s="588"/>
      <c r="BT1471" s="586"/>
      <c r="BU1471" s="589"/>
      <c r="BV1471" s="581"/>
      <c r="BW1471" s="590"/>
      <c r="BX1471" s="347"/>
      <c r="BY1471" s="347"/>
      <c r="BZ1471" s="347"/>
      <c r="CA1471" s="586"/>
      <c r="CB1471" s="581"/>
      <c r="CC1471" s="581"/>
      <c r="CD1471" s="581"/>
      <c r="CE1471" s="581"/>
      <c r="CF1471" s="581"/>
      <c r="CG1471" s="586"/>
      <c r="CH1471" s="608"/>
      <c r="CI1471" s="603"/>
      <c r="CJ1471" s="347"/>
      <c r="CK1471" s="347"/>
      <c r="CL1471" s="347"/>
      <c r="CM1471" s="347"/>
      <c r="CN1471" s="347"/>
      <c r="CO1471" s="347"/>
      <c r="CP1471" s="347"/>
    </row>
    <row r="1472">
      <c r="A1472" s="574"/>
      <c r="B1472" s="574"/>
      <c r="C1472" s="347"/>
      <c r="D1472" s="574"/>
      <c r="E1472" s="347"/>
      <c r="F1472" s="596"/>
      <c r="G1472" s="596"/>
      <c r="H1472" s="347"/>
      <c r="I1472" s="347"/>
      <c r="J1472" s="596"/>
      <c r="K1472" s="609"/>
      <c r="L1472" s="1"/>
      <c r="M1472" s="347"/>
      <c r="N1472" s="347"/>
      <c r="O1472" s="579"/>
      <c r="P1472" s="579"/>
      <c r="Q1472" s="574"/>
      <c r="R1472" s="347"/>
      <c r="S1472" s="597"/>
      <c r="T1472" s="347"/>
      <c r="U1472" s="579"/>
      <c r="V1472" s="579"/>
      <c r="W1472" s="574"/>
      <c r="X1472" s="347"/>
      <c r="Y1472" s="347"/>
      <c r="Z1472" s="347"/>
      <c r="AA1472" s="579"/>
      <c r="AB1472" s="581"/>
      <c r="AC1472" s="347"/>
      <c r="AD1472" s="347"/>
      <c r="AE1472" s="347"/>
      <c r="AF1472" s="347"/>
      <c r="AG1472" s="579"/>
      <c r="AH1472" s="579"/>
      <c r="AI1472" s="582"/>
      <c r="AJ1472" s="582"/>
      <c r="AK1472" s="582"/>
      <c r="AL1472" s="582"/>
      <c r="AM1472" s="579"/>
      <c r="AN1472" s="579"/>
      <c r="AO1472" s="347"/>
      <c r="AP1472" s="586"/>
      <c r="AQ1472" s="596"/>
      <c r="AR1472" s="596"/>
      <c r="AS1472" s="348"/>
      <c r="AT1472" s="348"/>
      <c r="AU1472" s="348"/>
      <c r="AV1472" s="348"/>
      <c r="AW1472" s="348"/>
      <c r="AX1472" s="584"/>
      <c r="AY1472" s="581"/>
      <c r="AZ1472" s="581"/>
      <c r="BA1472" s="596"/>
      <c r="BB1472" s="596"/>
      <c r="BC1472" s="348"/>
      <c r="BD1472" s="581"/>
      <c r="BE1472" s="581"/>
      <c r="BF1472" s="347"/>
      <c r="BG1472" s="347"/>
      <c r="BH1472" s="347"/>
      <c r="BI1472" s="347"/>
      <c r="BJ1472" s="586"/>
      <c r="BK1472" s="581"/>
      <c r="BL1472" s="347"/>
      <c r="BM1472" s="347"/>
      <c r="BN1472" s="347"/>
      <c r="BO1472" s="586"/>
      <c r="BP1472" s="584"/>
      <c r="BQ1472" s="347"/>
      <c r="BR1472" s="586"/>
      <c r="BS1472" s="588"/>
      <c r="BT1472" s="586"/>
      <c r="BU1472" s="589"/>
      <c r="BV1472" s="581"/>
      <c r="BW1472" s="590"/>
      <c r="BX1472" s="347"/>
      <c r="BY1472" s="347"/>
      <c r="BZ1472" s="347"/>
      <c r="CA1472" s="586"/>
      <c r="CB1472" s="581"/>
      <c r="CC1472" s="581"/>
      <c r="CD1472" s="581"/>
      <c r="CE1472" s="581"/>
      <c r="CF1472" s="581"/>
      <c r="CG1472" s="586"/>
      <c r="CH1472" s="608"/>
      <c r="CI1472" s="603"/>
      <c r="CJ1472" s="347"/>
      <c r="CK1472" s="347"/>
      <c r="CL1472" s="347"/>
      <c r="CM1472" s="347"/>
      <c r="CN1472" s="347"/>
      <c r="CO1472" s="347"/>
      <c r="CP1472" s="347"/>
    </row>
    <row r="1473">
      <c r="A1473" s="574"/>
      <c r="B1473" s="574"/>
      <c r="C1473" s="347"/>
      <c r="D1473" s="574"/>
      <c r="E1473" s="347"/>
      <c r="F1473" s="596"/>
      <c r="G1473" s="596"/>
      <c r="H1473" s="347"/>
      <c r="I1473" s="347"/>
      <c r="J1473" s="596"/>
      <c r="K1473" s="609"/>
      <c r="L1473" s="1"/>
      <c r="M1473" s="347"/>
      <c r="N1473" s="347"/>
      <c r="O1473" s="579"/>
      <c r="P1473" s="579"/>
      <c r="Q1473" s="574"/>
      <c r="R1473" s="347"/>
      <c r="S1473" s="597"/>
      <c r="T1473" s="347"/>
      <c r="U1473" s="579"/>
      <c r="V1473" s="579"/>
      <c r="W1473" s="574"/>
      <c r="X1473" s="347"/>
      <c r="Y1473" s="347"/>
      <c r="Z1473" s="347"/>
      <c r="AA1473" s="579"/>
      <c r="AB1473" s="581"/>
      <c r="AC1473" s="347"/>
      <c r="AD1473" s="347"/>
      <c r="AE1473" s="347"/>
      <c r="AF1473" s="347"/>
      <c r="AG1473" s="579"/>
      <c r="AH1473" s="579"/>
      <c r="AI1473" s="582"/>
      <c r="AJ1473" s="582"/>
      <c r="AK1473" s="582"/>
      <c r="AL1473" s="582"/>
      <c r="AM1473" s="579"/>
      <c r="AN1473" s="579"/>
      <c r="AO1473" s="347"/>
      <c r="AP1473" s="586"/>
      <c r="AQ1473" s="596"/>
      <c r="AR1473" s="596"/>
      <c r="AS1473" s="348"/>
      <c r="AT1473" s="348"/>
      <c r="AU1473" s="348"/>
      <c r="AV1473" s="348"/>
      <c r="AW1473" s="348"/>
      <c r="AX1473" s="584"/>
      <c r="AY1473" s="581"/>
      <c r="AZ1473" s="581"/>
      <c r="BA1473" s="596"/>
      <c r="BB1473" s="596"/>
      <c r="BC1473" s="348"/>
      <c r="BD1473" s="581"/>
      <c r="BE1473" s="581"/>
      <c r="BF1473" s="347"/>
      <c r="BG1473" s="347"/>
      <c r="BH1473" s="347"/>
      <c r="BI1473" s="347"/>
      <c r="BJ1473" s="586"/>
      <c r="BK1473" s="581"/>
      <c r="BL1473" s="347"/>
      <c r="BM1473" s="347"/>
      <c r="BN1473" s="347"/>
      <c r="BO1473" s="586"/>
      <c r="BP1473" s="584"/>
      <c r="BQ1473" s="347"/>
      <c r="BR1473" s="586"/>
      <c r="BS1473" s="588"/>
      <c r="BT1473" s="586"/>
      <c r="BU1473" s="589"/>
      <c r="BV1473" s="581"/>
      <c r="BW1473" s="590"/>
      <c r="BX1473" s="347"/>
      <c r="BY1473" s="347"/>
      <c r="BZ1473" s="347"/>
      <c r="CA1473" s="586"/>
      <c r="CB1473" s="581"/>
      <c r="CC1473" s="581"/>
      <c r="CD1473" s="581"/>
      <c r="CE1473" s="581"/>
      <c r="CF1473" s="581"/>
      <c r="CG1473" s="586"/>
      <c r="CH1473" s="608"/>
      <c r="CI1473" s="603"/>
      <c r="CJ1473" s="347"/>
      <c r="CK1473" s="347"/>
      <c r="CL1473" s="347"/>
      <c r="CM1473" s="347"/>
      <c r="CN1473" s="347"/>
      <c r="CO1473" s="347"/>
      <c r="CP1473" s="347"/>
    </row>
    <row r="1474">
      <c r="A1474" s="574"/>
      <c r="B1474" s="574"/>
      <c r="C1474" s="347"/>
      <c r="D1474" s="574"/>
      <c r="E1474" s="347"/>
      <c r="F1474" s="596"/>
      <c r="G1474" s="596"/>
      <c r="H1474" s="347"/>
      <c r="I1474" s="347"/>
      <c r="J1474" s="596"/>
      <c r="K1474" s="609"/>
      <c r="L1474" s="1"/>
      <c r="M1474" s="347"/>
      <c r="N1474" s="347"/>
      <c r="O1474" s="579"/>
      <c r="P1474" s="579"/>
      <c r="Q1474" s="574"/>
      <c r="R1474" s="347"/>
      <c r="S1474" s="597"/>
      <c r="T1474" s="347"/>
      <c r="U1474" s="579"/>
      <c r="V1474" s="579"/>
      <c r="W1474" s="574"/>
      <c r="X1474" s="347"/>
      <c r="Y1474" s="347"/>
      <c r="Z1474" s="347"/>
      <c r="AA1474" s="579"/>
      <c r="AB1474" s="581"/>
      <c r="AC1474" s="347"/>
      <c r="AD1474" s="347"/>
      <c r="AE1474" s="347"/>
      <c r="AF1474" s="347"/>
      <c r="AG1474" s="579"/>
      <c r="AH1474" s="579"/>
      <c r="AI1474" s="582"/>
      <c r="AJ1474" s="582"/>
      <c r="AK1474" s="582"/>
      <c r="AL1474" s="582"/>
      <c r="AM1474" s="579"/>
      <c r="AN1474" s="579"/>
      <c r="AO1474" s="347"/>
      <c r="AP1474" s="586"/>
      <c r="AQ1474" s="596"/>
      <c r="AR1474" s="596"/>
      <c r="AS1474" s="348"/>
      <c r="AT1474" s="348"/>
      <c r="AU1474" s="348"/>
      <c r="AV1474" s="348"/>
      <c r="AW1474" s="348"/>
      <c r="AX1474" s="584"/>
      <c r="AY1474" s="581"/>
      <c r="AZ1474" s="581"/>
      <c r="BA1474" s="596"/>
      <c r="BB1474" s="596"/>
      <c r="BC1474" s="348"/>
      <c r="BD1474" s="581"/>
      <c r="BE1474" s="581"/>
      <c r="BF1474" s="347"/>
      <c r="BG1474" s="347"/>
      <c r="BH1474" s="347"/>
      <c r="BI1474" s="347"/>
      <c r="BJ1474" s="586"/>
      <c r="BK1474" s="581"/>
      <c r="BL1474" s="347"/>
      <c r="BM1474" s="347"/>
      <c r="BN1474" s="347"/>
      <c r="BO1474" s="586"/>
      <c r="BP1474" s="584"/>
      <c r="BQ1474" s="347"/>
      <c r="BR1474" s="586"/>
      <c r="BS1474" s="588"/>
      <c r="BT1474" s="586"/>
      <c r="BU1474" s="589"/>
      <c r="BV1474" s="581"/>
      <c r="BW1474" s="590"/>
      <c r="BX1474" s="347"/>
      <c r="BY1474" s="347"/>
      <c r="BZ1474" s="347"/>
      <c r="CA1474" s="586"/>
      <c r="CB1474" s="581"/>
      <c r="CC1474" s="581"/>
      <c r="CD1474" s="581"/>
      <c r="CE1474" s="581"/>
      <c r="CF1474" s="581"/>
      <c r="CG1474" s="586"/>
      <c r="CH1474" s="608"/>
      <c r="CI1474" s="603"/>
      <c r="CJ1474" s="347"/>
      <c r="CK1474" s="347"/>
      <c r="CL1474" s="347"/>
      <c r="CM1474" s="347"/>
      <c r="CN1474" s="347"/>
      <c r="CO1474" s="347"/>
      <c r="CP1474" s="347"/>
    </row>
    <row r="1475">
      <c r="A1475" s="574"/>
      <c r="B1475" s="574"/>
      <c r="C1475" s="347"/>
      <c r="D1475" s="574"/>
      <c r="E1475" s="347"/>
      <c r="F1475" s="596"/>
      <c r="G1475" s="596"/>
      <c r="H1475" s="347"/>
      <c r="I1475" s="347"/>
      <c r="J1475" s="596"/>
      <c r="K1475" s="609"/>
      <c r="L1475" s="1"/>
      <c r="M1475" s="347"/>
      <c r="N1475" s="347"/>
      <c r="O1475" s="579"/>
      <c r="P1475" s="579"/>
      <c r="Q1475" s="574"/>
      <c r="R1475" s="347"/>
      <c r="S1475" s="597"/>
      <c r="T1475" s="347"/>
      <c r="U1475" s="579"/>
      <c r="V1475" s="579"/>
      <c r="W1475" s="574"/>
      <c r="X1475" s="347"/>
      <c r="Y1475" s="347"/>
      <c r="Z1475" s="347"/>
      <c r="AA1475" s="579"/>
      <c r="AB1475" s="581"/>
      <c r="AC1475" s="347"/>
      <c r="AD1475" s="347"/>
      <c r="AE1475" s="347"/>
      <c r="AF1475" s="347"/>
      <c r="AG1475" s="579"/>
      <c r="AH1475" s="579"/>
      <c r="AI1475" s="582"/>
      <c r="AJ1475" s="582"/>
      <c r="AK1475" s="582"/>
      <c r="AL1475" s="582"/>
      <c r="AM1475" s="579"/>
      <c r="AN1475" s="579"/>
      <c r="AO1475" s="347"/>
      <c r="AP1475" s="586"/>
      <c r="AQ1475" s="596"/>
      <c r="AR1475" s="596"/>
      <c r="AS1475" s="348"/>
      <c r="AT1475" s="348"/>
      <c r="AU1475" s="348"/>
      <c r="AV1475" s="348"/>
      <c r="AW1475" s="348"/>
      <c r="AX1475" s="584"/>
      <c r="AY1475" s="581"/>
      <c r="AZ1475" s="581"/>
      <c r="BA1475" s="596"/>
      <c r="BB1475" s="596"/>
      <c r="BC1475" s="348"/>
      <c r="BD1475" s="581"/>
      <c r="BE1475" s="581"/>
      <c r="BF1475" s="347"/>
      <c r="BG1475" s="347"/>
      <c r="BH1475" s="347"/>
      <c r="BI1475" s="347"/>
      <c r="BJ1475" s="586"/>
      <c r="BK1475" s="581"/>
      <c r="BL1475" s="347"/>
      <c r="BM1475" s="347"/>
      <c r="BN1475" s="347"/>
      <c r="BO1475" s="586"/>
      <c r="BP1475" s="584"/>
      <c r="BQ1475" s="347"/>
      <c r="BR1475" s="586"/>
      <c r="BS1475" s="588"/>
      <c r="BT1475" s="586"/>
      <c r="BU1475" s="589"/>
      <c r="BV1475" s="581"/>
      <c r="BW1475" s="590"/>
      <c r="BX1475" s="347"/>
      <c r="BY1475" s="347"/>
      <c r="BZ1475" s="347"/>
      <c r="CA1475" s="586"/>
      <c r="CB1475" s="581"/>
      <c r="CC1475" s="581"/>
      <c r="CD1475" s="581"/>
      <c r="CE1475" s="581"/>
      <c r="CF1475" s="581"/>
      <c r="CG1475" s="586"/>
      <c r="CH1475" s="608"/>
      <c r="CI1475" s="603"/>
      <c r="CJ1475" s="347"/>
      <c r="CK1475" s="347"/>
      <c r="CL1475" s="347"/>
      <c r="CM1475" s="347"/>
      <c r="CN1475" s="347"/>
      <c r="CO1475" s="347"/>
      <c r="CP1475" s="347"/>
    </row>
    <row r="1476">
      <c r="A1476" s="574"/>
      <c r="B1476" s="574"/>
      <c r="C1476" s="347"/>
      <c r="D1476" s="574"/>
      <c r="E1476" s="347"/>
      <c r="F1476" s="596"/>
      <c r="G1476" s="596"/>
      <c r="H1476" s="347"/>
      <c r="I1476" s="347"/>
      <c r="J1476" s="596"/>
      <c r="K1476" s="609"/>
      <c r="L1476" s="1"/>
      <c r="M1476" s="347"/>
      <c r="N1476" s="347"/>
      <c r="O1476" s="579"/>
      <c r="P1476" s="579"/>
      <c r="Q1476" s="574"/>
      <c r="R1476" s="347"/>
      <c r="S1476" s="597"/>
      <c r="T1476" s="347"/>
      <c r="U1476" s="579"/>
      <c r="V1476" s="579"/>
      <c r="W1476" s="574"/>
      <c r="X1476" s="347"/>
      <c r="Y1476" s="347"/>
      <c r="Z1476" s="347"/>
      <c r="AA1476" s="579"/>
      <c r="AB1476" s="581"/>
      <c r="AC1476" s="347"/>
      <c r="AD1476" s="347"/>
      <c r="AE1476" s="347"/>
      <c r="AF1476" s="347"/>
      <c r="AG1476" s="579"/>
      <c r="AH1476" s="579"/>
      <c r="AI1476" s="582"/>
      <c r="AJ1476" s="582"/>
      <c r="AK1476" s="582"/>
      <c r="AL1476" s="582"/>
      <c r="AM1476" s="579"/>
      <c r="AN1476" s="579"/>
      <c r="AO1476" s="347"/>
      <c r="AP1476" s="586"/>
      <c r="AQ1476" s="596"/>
      <c r="AR1476" s="596"/>
      <c r="AS1476" s="348"/>
      <c r="AT1476" s="348"/>
      <c r="AU1476" s="348"/>
      <c r="AV1476" s="348"/>
      <c r="AW1476" s="348"/>
      <c r="AX1476" s="584"/>
      <c r="AY1476" s="581"/>
      <c r="AZ1476" s="581"/>
      <c r="BA1476" s="596"/>
      <c r="BB1476" s="596"/>
      <c r="BC1476" s="348"/>
      <c r="BD1476" s="581"/>
      <c r="BE1476" s="581"/>
      <c r="BF1476" s="347"/>
      <c r="BG1476" s="347"/>
      <c r="BH1476" s="347"/>
      <c r="BI1476" s="347"/>
      <c r="BJ1476" s="586"/>
      <c r="BK1476" s="581"/>
      <c r="BL1476" s="347"/>
      <c r="BM1476" s="347"/>
      <c r="BN1476" s="347"/>
      <c r="BO1476" s="586"/>
      <c r="BP1476" s="584"/>
      <c r="BQ1476" s="347"/>
      <c r="BR1476" s="586"/>
      <c r="BS1476" s="588"/>
      <c r="BT1476" s="586"/>
      <c r="BU1476" s="589"/>
      <c r="BV1476" s="581"/>
      <c r="BW1476" s="590"/>
      <c r="BX1476" s="347"/>
      <c r="BY1476" s="347"/>
      <c r="BZ1476" s="347"/>
      <c r="CA1476" s="586"/>
      <c r="CB1476" s="581"/>
      <c r="CC1476" s="581"/>
      <c r="CD1476" s="581"/>
      <c r="CE1476" s="581"/>
      <c r="CF1476" s="581"/>
      <c r="CG1476" s="586"/>
      <c r="CH1476" s="608"/>
      <c r="CI1476" s="603"/>
      <c r="CJ1476" s="347"/>
      <c r="CK1476" s="347"/>
      <c r="CL1476" s="347"/>
      <c r="CM1476" s="347"/>
      <c r="CN1476" s="347"/>
      <c r="CO1476" s="347"/>
      <c r="CP1476" s="347"/>
    </row>
    <row r="1477">
      <c r="A1477" s="574"/>
      <c r="B1477" s="574"/>
      <c r="C1477" s="347"/>
      <c r="D1477" s="574"/>
      <c r="E1477" s="347"/>
      <c r="F1477" s="596"/>
      <c r="G1477" s="596"/>
      <c r="H1477" s="347"/>
      <c r="I1477" s="347"/>
      <c r="J1477" s="596"/>
      <c r="K1477" s="609"/>
      <c r="L1477" s="1"/>
      <c r="M1477" s="347"/>
      <c r="N1477" s="347"/>
      <c r="O1477" s="579"/>
      <c r="P1477" s="579"/>
      <c r="Q1477" s="574"/>
      <c r="R1477" s="347"/>
      <c r="S1477" s="597"/>
      <c r="T1477" s="347"/>
      <c r="U1477" s="579"/>
      <c r="V1477" s="579"/>
      <c r="W1477" s="574"/>
      <c r="X1477" s="347"/>
      <c r="Y1477" s="347"/>
      <c r="Z1477" s="347"/>
      <c r="AA1477" s="579"/>
      <c r="AB1477" s="581"/>
      <c r="AC1477" s="347"/>
      <c r="AD1477" s="347"/>
      <c r="AE1477" s="347"/>
      <c r="AF1477" s="347"/>
      <c r="AG1477" s="579"/>
      <c r="AH1477" s="579"/>
      <c r="AI1477" s="582"/>
      <c r="AJ1477" s="582"/>
      <c r="AK1477" s="582"/>
      <c r="AL1477" s="582"/>
      <c r="AM1477" s="579"/>
      <c r="AN1477" s="579"/>
      <c r="AO1477" s="347"/>
      <c r="AP1477" s="586"/>
      <c r="AQ1477" s="596"/>
      <c r="AR1477" s="596"/>
      <c r="AS1477" s="348"/>
      <c r="AT1477" s="348"/>
      <c r="AU1477" s="348"/>
      <c r="AV1477" s="348"/>
      <c r="AW1477" s="348"/>
      <c r="AX1477" s="584"/>
      <c r="AY1477" s="581"/>
      <c r="AZ1477" s="581"/>
      <c r="BA1477" s="596"/>
      <c r="BB1477" s="596"/>
      <c r="BC1477" s="348"/>
      <c r="BD1477" s="581"/>
      <c r="BE1477" s="581"/>
      <c r="BF1477" s="347"/>
      <c r="BG1477" s="347"/>
      <c r="BH1477" s="347"/>
      <c r="BI1477" s="347"/>
      <c r="BJ1477" s="586"/>
      <c r="BK1477" s="581"/>
      <c r="BL1477" s="347"/>
      <c r="BM1477" s="347"/>
      <c r="BN1477" s="347"/>
      <c r="BO1477" s="586"/>
      <c r="BP1477" s="584"/>
      <c r="BQ1477" s="347"/>
      <c r="BR1477" s="586"/>
      <c r="BS1477" s="588"/>
      <c r="BT1477" s="586"/>
      <c r="BU1477" s="589"/>
      <c r="BV1477" s="581"/>
      <c r="BW1477" s="590"/>
      <c r="BX1477" s="347"/>
      <c r="BY1477" s="347"/>
      <c r="BZ1477" s="347"/>
      <c r="CA1477" s="586"/>
      <c r="CB1477" s="581"/>
      <c r="CC1477" s="581"/>
      <c r="CD1477" s="581"/>
      <c r="CE1477" s="581"/>
      <c r="CF1477" s="581"/>
      <c r="CG1477" s="586"/>
      <c r="CH1477" s="608"/>
      <c r="CI1477" s="603"/>
      <c r="CJ1477" s="347"/>
      <c r="CK1477" s="347"/>
      <c r="CL1477" s="347"/>
      <c r="CM1477" s="347"/>
      <c r="CN1477" s="347"/>
      <c r="CO1477" s="347"/>
      <c r="CP1477" s="347"/>
    </row>
    <row r="1478">
      <c r="A1478" s="574"/>
      <c r="B1478" s="574"/>
      <c r="C1478" s="347"/>
      <c r="D1478" s="574"/>
      <c r="E1478" s="347"/>
      <c r="F1478" s="596"/>
      <c r="G1478" s="596"/>
      <c r="H1478" s="347"/>
      <c r="I1478" s="347"/>
      <c r="J1478" s="596"/>
      <c r="K1478" s="609"/>
      <c r="L1478" s="1"/>
      <c r="M1478" s="347"/>
      <c r="N1478" s="347"/>
      <c r="O1478" s="579"/>
      <c r="P1478" s="579"/>
      <c r="Q1478" s="574"/>
      <c r="R1478" s="347"/>
      <c r="S1478" s="597"/>
      <c r="T1478" s="347"/>
      <c r="U1478" s="579"/>
      <c r="V1478" s="579"/>
      <c r="W1478" s="574"/>
      <c r="X1478" s="347"/>
      <c r="Y1478" s="347"/>
      <c r="Z1478" s="347"/>
      <c r="AA1478" s="579"/>
      <c r="AB1478" s="581"/>
      <c r="AC1478" s="347"/>
      <c r="AD1478" s="347"/>
      <c r="AE1478" s="347"/>
      <c r="AF1478" s="347"/>
      <c r="AG1478" s="579"/>
      <c r="AH1478" s="579"/>
      <c r="AI1478" s="582"/>
      <c r="AJ1478" s="582"/>
      <c r="AK1478" s="582"/>
      <c r="AL1478" s="582"/>
      <c r="AM1478" s="579"/>
      <c r="AN1478" s="579"/>
      <c r="AO1478" s="347"/>
      <c r="AP1478" s="586"/>
      <c r="AQ1478" s="596"/>
      <c r="AR1478" s="596"/>
      <c r="AS1478" s="348"/>
      <c r="AT1478" s="348"/>
      <c r="AU1478" s="348"/>
      <c r="AV1478" s="348"/>
      <c r="AW1478" s="348"/>
      <c r="AX1478" s="584"/>
      <c r="AY1478" s="581"/>
      <c r="AZ1478" s="581"/>
      <c r="BA1478" s="596"/>
      <c r="BB1478" s="596"/>
      <c r="BC1478" s="348"/>
      <c r="BD1478" s="581"/>
      <c r="BE1478" s="581"/>
      <c r="BF1478" s="347"/>
      <c r="BG1478" s="347"/>
      <c r="BH1478" s="347"/>
      <c r="BI1478" s="347"/>
      <c r="BJ1478" s="586"/>
      <c r="BK1478" s="581"/>
      <c r="BL1478" s="347"/>
      <c r="BM1478" s="347"/>
      <c r="BN1478" s="347"/>
      <c r="BO1478" s="586"/>
      <c r="BP1478" s="584"/>
      <c r="BQ1478" s="347"/>
      <c r="BR1478" s="586"/>
      <c r="BS1478" s="588"/>
      <c r="BT1478" s="586"/>
      <c r="BU1478" s="589"/>
      <c r="BV1478" s="581"/>
      <c r="BW1478" s="590"/>
      <c r="BX1478" s="347"/>
      <c r="BY1478" s="347"/>
      <c r="BZ1478" s="347"/>
      <c r="CA1478" s="586"/>
      <c r="CB1478" s="581"/>
      <c r="CC1478" s="581"/>
      <c r="CD1478" s="581"/>
      <c r="CE1478" s="581"/>
      <c r="CF1478" s="581"/>
      <c r="CG1478" s="586"/>
      <c r="CH1478" s="608"/>
      <c r="CI1478" s="603"/>
      <c r="CJ1478" s="347"/>
      <c r="CK1478" s="347"/>
      <c r="CL1478" s="347"/>
      <c r="CM1478" s="347"/>
      <c r="CN1478" s="347"/>
      <c r="CO1478" s="347"/>
      <c r="CP1478" s="347"/>
    </row>
    <row r="1479">
      <c r="A1479" s="574"/>
      <c r="B1479" s="574"/>
      <c r="C1479" s="347"/>
      <c r="D1479" s="574"/>
      <c r="E1479" s="347"/>
      <c r="F1479" s="596"/>
      <c r="G1479" s="596"/>
      <c r="H1479" s="347"/>
      <c r="I1479" s="347"/>
      <c r="J1479" s="596"/>
      <c r="K1479" s="609"/>
      <c r="L1479" s="1"/>
      <c r="M1479" s="347"/>
      <c r="N1479" s="347"/>
      <c r="O1479" s="579"/>
      <c r="P1479" s="579"/>
      <c r="Q1479" s="574"/>
      <c r="R1479" s="347"/>
      <c r="S1479" s="597"/>
      <c r="T1479" s="347"/>
      <c r="U1479" s="579"/>
      <c r="V1479" s="579"/>
      <c r="W1479" s="574"/>
      <c r="X1479" s="347"/>
      <c r="Y1479" s="347"/>
      <c r="Z1479" s="347"/>
      <c r="AA1479" s="579"/>
      <c r="AB1479" s="581"/>
      <c r="AC1479" s="347"/>
      <c r="AD1479" s="347"/>
      <c r="AE1479" s="347"/>
      <c r="AF1479" s="347"/>
      <c r="AG1479" s="579"/>
      <c r="AH1479" s="579"/>
      <c r="AI1479" s="582"/>
      <c r="AJ1479" s="582"/>
      <c r="AK1479" s="582"/>
      <c r="AL1479" s="582"/>
      <c r="AM1479" s="579"/>
      <c r="AN1479" s="579"/>
      <c r="AO1479" s="347"/>
      <c r="AP1479" s="586"/>
      <c r="AQ1479" s="596"/>
      <c r="AR1479" s="596"/>
      <c r="AS1479" s="348"/>
      <c r="AT1479" s="348"/>
      <c r="AU1479" s="348"/>
      <c r="AV1479" s="348"/>
      <c r="AW1479" s="348"/>
      <c r="AX1479" s="584"/>
      <c r="AY1479" s="581"/>
      <c r="AZ1479" s="581"/>
      <c r="BA1479" s="596"/>
      <c r="BB1479" s="596"/>
      <c r="BC1479" s="348"/>
      <c r="BD1479" s="581"/>
      <c r="BE1479" s="581"/>
      <c r="BF1479" s="347"/>
      <c r="BG1479" s="347"/>
      <c r="BH1479" s="347"/>
      <c r="BI1479" s="347"/>
      <c r="BJ1479" s="586"/>
      <c r="BK1479" s="581"/>
      <c r="BL1479" s="347"/>
      <c r="BM1479" s="347"/>
      <c r="BN1479" s="347"/>
      <c r="BO1479" s="586"/>
      <c r="BP1479" s="584"/>
      <c r="BQ1479" s="347"/>
      <c r="BR1479" s="586"/>
      <c r="BS1479" s="588"/>
      <c r="BT1479" s="586"/>
      <c r="BU1479" s="589"/>
      <c r="BV1479" s="581"/>
      <c r="BW1479" s="590"/>
      <c r="BX1479" s="347"/>
      <c r="BY1479" s="347"/>
      <c r="BZ1479" s="347"/>
      <c r="CA1479" s="586"/>
      <c r="CB1479" s="581"/>
      <c r="CC1479" s="581"/>
      <c r="CD1479" s="581"/>
      <c r="CE1479" s="581"/>
      <c r="CF1479" s="581"/>
      <c r="CG1479" s="586"/>
      <c r="CH1479" s="608"/>
      <c r="CI1479" s="603"/>
      <c r="CJ1479" s="347"/>
      <c r="CK1479" s="347"/>
      <c r="CL1479" s="347"/>
      <c r="CM1479" s="347"/>
      <c r="CN1479" s="347"/>
      <c r="CO1479" s="347"/>
      <c r="CP1479" s="347"/>
    </row>
    <row r="1480">
      <c r="A1480" s="574"/>
      <c r="B1480" s="574"/>
      <c r="C1480" s="347"/>
      <c r="D1480" s="574"/>
      <c r="E1480" s="347"/>
      <c r="F1480" s="596"/>
      <c r="G1480" s="596"/>
      <c r="H1480" s="347"/>
      <c r="I1480" s="347"/>
      <c r="J1480" s="596"/>
      <c r="K1480" s="609"/>
      <c r="L1480" s="1"/>
      <c r="M1480" s="347"/>
      <c r="N1480" s="347"/>
      <c r="O1480" s="579"/>
      <c r="P1480" s="579"/>
      <c r="Q1480" s="574"/>
      <c r="R1480" s="347"/>
      <c r="S1480" s="597"/>
      <c r="T1480" s="347"/>
      <c r="U1480" s="579"/>
      <c r="V1480" s="579"/>
      <c r="W1480" s="574"/>
      <c r="X1480" s="347"/>
      <c r="Y1480" s="347"/>
      <c r="Z1480" s="347"/>
      <c r="AA1480" s="579"/>
      <c r="AB1480" s="581"/>
      <c r="AC1480" s="347"/>
      <c r="AD1480" s="347"/>
      <c r="AE1480" s="347"/>
      <c r="AF1480" s="347"/>
      <c r="AG1480" s="579"/>
      <c r="AH1480" s="579"/>
      <c r="AI1480" s="582"/>
      <c r="AJ1480" s="582"/>
      <c r="AK1480" s="582"/>
      <c r="AL1480" s="582"/>
      <c r="AM1480" s="579"/>
      <c r="AN1480" s="579"/>
      <c r="AO1480" s="347"/>
      <c r="AP1480" s="586"/>
      <c r="AQ1480" s="596"/>
      <c r="AR1480" s="596"/>
      <c r="AS1480" s="348"/>
      <c r="AT1480" s="348"/>
      <c r="AU1480" s="348"/>
      <c r="AV1480" s="348"/>
      <c r="AW1480" s="348"/>
      <c r="AX1480" s="584"/>
      <c r="AY1480" s="581"/>
      <c r="AZ1480" s="581"/>
      <c r="BA1480" s="596"/>
      <c r="BB1480" s="596"/>
      <c r="BC1480" s="348"/>
      <c r="BD1480" s="581"/>
      <c r="BE1480" s="581"/>
      <c r="BF1480" s="347"/>
      <c r="BG1480" s="347"/>
      <c r="BH1480" s="347"/>
      <c r="BI1480" s="347"/>
      <c r="BJ1480" s="586"/>
      <c r="BK1480" s="581"/>
      <c r="BL1480" s="347"/>
      <c r="BM1480" s="347"/>
      <c r="BN1480" s="347"/>
      <c r="BO1480" s="586"/>
      <c r="BP1480" s="584"/>
      <c r="BQ1480" s="347"/>
      <c r="BR1480" s="586"/>
      <c r="BS1480" s="588"/>
      <c r="BT1480" s="586"/>
      <c r="BU1480" s="589"/>
      <c r="BV1480" s="581"/>
      <c r="BW1480" s="590"/>
      <c r="BX1480" s="347"/>
      <c r="BY1480" s="347"/>
      <c r="BZ1480" s="347"/>
      <c r="CA1480" s="586"/>
      <c r="CB1480" s="581"/>
      <c r="CC1480" s="581"/>
      <c r="CD1480" s="581"/>
      <c r="CE1480" s="581"/>
      <c r="CF1480" s="581"/>
      <c r="CG1480" s="586"/>
      <c r="CH1480" s="608"/>
      <c r="CI1480" s="603"/>
      <c r="CJ1480" s="347"/>
      <c r="CK1480" s="347"/>
      <c r="CL1480" s="347"/>
      <c r="CM1480" s="347"/>
      <c r="CN1480" s="347"/>
      <c r="CO1480" s="347"/>
      <c r="CP1480" s="347"/>
    </row>
    <row r="1481">
      <c r="A1481" s="574"/>
      <c r="B1481" s="574"/>
      <c r="C1481" s="347"/>
      <c r="D1481" s="574"/>
      <c r="E1481" s="347"/>
      <c r="F1481" s="596"/>
      <c r="G1481" s="596"/>
      <c r="H1481" s="347"/>
      <c r="I1481" s="347"/>
      <c r="J1481" s="596"/>
      <c r="K1481" s="609"/>
      <c r="L1481" s="1"/>
      <c r="M1481" s="347"/>
      <c r="N1481" s="347"/>
      <c r="O1481" s="579"/>
      <c r="P1481" s="579"/>
      <c r="Q1481" s="574"/>
      <c r="R1481" s="347"/>
      <c r="S1481" s="597"/>
      <c r="T1481" s="347"/>
      <c r="U1481" s="579"/>
      <c r="V1481" s="579"/>
      <c r="W1481" s="574"/>
      <c r="X1481" s="347"/>
      <c r="Y1481" s="347"/>
      <c r="Z1481" s="347"/>
      <c r="AA1481" s="579"/>
      <c r="AB1481" s="581"/>
      <c r="AC1481" s="347"/>
      <c r="AD1481" s="347"/>
      <c r="AE1481" s="347"/>
      <c r="AF1481" s="347"/>
      <c r="AG1481" s="579"/>
      <c r="AH1481" s="579"/>
      <c r="AI1481" s="582"/>
      <c r="AJ1481" s="582"/>
      <c r="AK1481" s="582"/>
      <c r="AL1481" s="582"/>
      <c r="AM1481" s="579"/>
      <c r="AN1481" s="579"/>
      <c r="AO1481" s="347"/>
      <c r="AP1481" s="586"/>
      <c r="AQ1481" s="596"/>
      <c r="AR1481" s="596"/>
      <c r="AS1481" s="348"/>
      <c r="AT1481" s="348"/>
      <c r="AU1481" s="348"/>
      <c r="AV1481" s="348"/>
      <c r="AW1481" s="348"/>
      <c r="AX1481" s="584"/>
      <c r="AY1481" s="581"/>
      <c r="AZ1481" s="581"/>
      <c r="BA1481" s="596"/>
      <c r="BB1481" s="596"/>
      <c r="BC1481" s="348"/>
      <c r="BD1481" s="581"/>
      <c r="BE1481" s="581"/>
      <c r="BF1481" s="347"/>
      <c r="BG1481" s="347"/>
      <c r="BH1481" s="347"/>
      <c r="BI1481" s="347"/>
      <c r="BJ1481" s="586"/>
      <c r="BK1481" s="581"/>
      <c r="BL1481" s="347"/>
      <c r="BM1481" s="347"/>
      <c r="BN1481" s="347"/>
      <c r="BO1481" s="586"/>
      <c r="BP1481" s="584"/>
      <c r="BQ1481" s="347"/>
      <c r="BR1481" s="586"/>
      <c r="BS1481" s="588"/>
      <c r="BT1481" s="586"/>
      <c r="BU1481" s="589"/>
      <c r="BV1481" s="581"/>
      <c r="BW1481" s="590"/>
      <c r="BX1481" s="347"/>
      <c r="BY1481" s="347"/>
      <c r="BZ1481" s="347"/>
      <c r="CA1481" s="586"/>
      <c r="CB1481" s="581"/>
      <c r="CC1481" s="581"/>
      <c r="CD1481" s="581"/>
      <c r="CE1481" s="581"/>
      <c r="CF1481" s="581"/>
      <c r="CG1481" s="586"/>
      <c r="CH1481" s="608"/>
      <c r="CI1481" s="603"/>
      <c r="CJ1481" s="347"/>
      <c r="CK1481" s="347"/>
      <c r="CL1481" s="347"/>
      <c r="CM1481" s="347"/>
      <c r="CN1481" s="347"/>
      <c r="CO1481" s="347"/>
      <c r="CP1481" s="347"/>
    </row>
    <row r="1482">
      <c r="A1482" s="574"/>
      <c r="B1482" s="574"/>
      <c r="C1482" s="347"/>
      <c r="D1482" s="574"/>
      <c r="E1482" s="347"/>
      <c r="F1482" s="596"/>
      <c r="G1482" s="596"/>
      <c r="H1482" s="347"/>
      <c r="I1482" s="347"/>
      <c r="J1482" s="596"/>
      <c r="K1482" s="609"/>
      <c r="L1482" s="1"/>
      <c r="M1482" s="347"/>
      <c r="N1482" s="347"/>
      <c r="O1482" s="579"/>
      <c r="P1482" s="579"/>
      <c r="Q1482" s="574"/>
      <c r="R1482" s="347"/>
      <c r="S1482" s="597"/>
      <c r="T1482" s="347"/>
      <c r="U1482" s="579"/>
      <c r="V1482" s="579"/>
      <c r="W1482" s="574"/>
      <c r="X1482" s="347"/>
      <c r="Y1482" s="347"/>
      <c r="Z1482" s="347"/>
      <c r="AA1482" s="579"/>
      <c r="AB1482" s="581"/>
      <c r="AC1482" s="347"/>
      <c r="AD1482" s="347"/>
      <c r="AE1482" s="347"/>
      <c r="AF1482" s="347"/>
      <c r="AG1482" s="579"/>
      <c r="AH1482" s="579"/>
      <c r="AI1482" s="582"/>
      <c r="AJ1482" s="582"/>
      <c r="AK1482" s="582"/>
      <c r="AL1482" s="582"/>
      <c r="AM1482" s="579"/>
      <c r="AN1482" s="579"/>
      <c r="AO1482" s="347"/>
      <c r="AP1482" s="586"/>
      <c r="AQ1482" s="596"/>
      <c r="AR1482" s="596"/>
      <c r="AS1482" s="348"/>
      <c r="AT1482" s="348"/>
      <c r="AU1482" s="348"/>
      <c r="AV1482" s="348"/>
      <c r="AW1482" s="348"/>
      <c r="AX1482" s="584"/>
      <c r="AY1482" s="581"/>
      <c r="AZ1482" s="581"/>
      <c r="BA1482" s="596"/>
      <c r="BB1482" s="596"/>
      <c r="BC1482" s="348"/>
      <c r="BD1482" s="581"/>
      <c r="BE1482" s="581"/>
      <c r="BF1482" s="347"/>
      <c r="BG1482" s="347"/>
      <c r="BH1482" s="347"/>
      <c r="BI1482" s="347"/>
      <c r="BJ1482" s="586"/>
      <c r="BK1482" s="581"/>
      <c r="BL1482" s="347"/>
      <c r="BM1482" s="347"/>
      <c r="BN1482" s="347"/>
      <c r="BO1482" s="586"/>
      <c r="BP1482" s="584"/>
      <c r="BQ1482" s="347"/>
      <c r="BR1482" s="586"/>
      <c r="BS1482" s="588"/>
      <c r="BT1482" s="586"/>
      <c r="BU1482" s="589"/>
      <c r="BV1482" s="581"/>
      <c r="BW1482" s="590"/>
      <c r="BX1482" s="347"/>
      <c r="BY1482" s="347"/>
      <c r="BZ1482" s="347"/>
      <c r="CA1482" s="586"/>
      <c r="CB1482" s="581"/>
      <c r="CC1482" s="581"/>
      <c r="CD1482" s="581"/>
      <c r="CE1482" s="581"/>
      <c r="CF1482" s="581"/>
      <c r="CG1482" s="586"/>
      <c r="CH1482" s="608"/>
      <c r="CI1482" s="603"/>
      <c r="CJ1482" s="347"/>
      <c r="CK1482" s="347"/>
      <c r="CL1482" s="347"/>
      <c r="CM1482" s="347"/>
      <c r="CN1482" s="347"/>
      <c r="CO1482" s="347"/>
      <c r="CP1482" s="347"/>
    </row>
    <row r="1483">
      <c r="A1483" s="574"/>
      <c r="B1483" s="574"/>
      <c r="C1483" s="347"/>
      <c r="D1483" s="574"/>
      <c r="E1483" s="347"/>
      <c r="F1483" s="596"/>
      <c r="G1483" s="596"/>
      <c r="H1483" s="347"/>
      <c r="I1483" s="347"/>
      <c r="J1483" s="596"/>
      <c r="K1483" s="609"/>
      <c r="L1483" s="1"/>
      <c r="M1483" s="347"/>
      <c r="N1483" s="347"/>
      <c r="O1483" s="579"/>
      <c r="P1483" s="579"/>
      <c r="Q1483" s="574"/>
      <c r="R1483" s="347"/>
      <c r="S1483" s="597"/>
      <c r="T1483" s="347"/>
      <c r="U1483" s="579"/>
      <c r="V1483" s="579"/>
      <c r="W1483" s="574"/>
      <c r="X1483" s="347"/>
      <c r="Y1483" s="347"/>
      <c r="Z1483" s="347"/>
      <c r="AA1483" s="579"/>
      <c r="AB1483" s="581"/>
      <c r="AC1483" s="347"/>
      <c r="AD1483" s="347"/>
      <c r="AE1483" s="347"/>
      <c r="AF1483" s="347"/>
      <c r="AG1483" s="579"/>
      <c r="AH1483" s="579"/>
      <c r="AI1483" s="582"/>
      <c r="AJ1483" s="582"/>
      <c r="AK1483" s="582"/>
      <c r="AL1483" s="582"/>
      <c r="AM1483" s="579"/>
      <c r="AN1483" s="579"/>
      <c r="AO1483" s="347"/>
      <c r="AP1483" s="586"/>
      <c r="AQ1483" s="596"/>
      <c r="AR1483" s="596"/>
      <c r="AS1483" s="348"/>
      <c r="AT1483" s="348"/>
      <c r="AU1483" s="348"/>
      <c r="AV1483" s="348"/>
      <c r="AW1483" s="348"/>
      <c r="AX1483" s="584"/>
      <c r="AY1483" s="581"/>
      <c r="AZ1483" s="581"/>
      <c r="BA1483" s="596"/>
      <c r="BB1483" s="596"/>
      <c r="BC1483" s="348"/>
      <c r="BD1483" s="581"/>
      <c r="BE1483" s="581"/>
      <c r="BF1483" s="347"/>
      <c r="BG1483" s="347"/>
      <c r="BH1483" s="347"/>
      <c r="BI1483" s="347"/>
      <c r="BJ1483" s="586"/>
      <c r="BK1483" s="581"/>
      <c r="BL1483" s="347"/>
      <c r="BM1483" s="347"/>
      <c r="BN1483" s="347"/>
      <c r="BO1483" s="586"/>
      <c r="BP1483" s="584"/>
      <c r="BQ1483" s="347"/>
      <c r="BR1483" s="586"/>
      <c r="BS1483" s="588"/>
      <c r="BT1483" s="586"/>
      <c r="BU1483" s="589"/>
      <c r="BV1483" s="581"/>
      <c r="BW1483" s="590"/>
      <c r="BX1483" s="347"/>
      <c r="BY1483" s="347"/>
      <c r="BZ1483" s="347"/>
      <c r="CA1483" s="586"/>
      <c r="CB1483" s="581"/>
      <c r="CC1483" s="581"/>
      <c r="CD1483" s="581"/>
      <c r="CE1483" s="581"/>
      <c r="CF1483" s="581"/>
      <c r="CG1483" s="586"/>
      <c r="CH1483" s="608"/>
      <c r="CI1483" s="603"/>
      <c r="CJ1483" s="347"/>
      <c r="CK1483" s="347"/>
      <c r="CL1483" s="347"/>
      <c r="CM1483" s="347"/>
      <c r="CN1483" s="347"/>
      <c r="CO1483" s="347"/>
      <c r="CP1483" s="347"/>
    </row>
    <row r="1484">
      <c r="A1484" s="574"/>
      <c r="B1484" s="574"/>
      <c r="C1484" s="347"/>
      <c r="D1484" s="574"/>
      <c r="E1484" s="347"/>
      <c r="F1484" s="596"/>
      <c r="G1484" s="596"/>
      <c r="H1484" s="347"/>
      <c r="I1484" s="347"/>
      <c r="J1484" s="596"/>
      <c r="K1484" s="609"/>
      <c r="L1484" s="1"/>
      <c r="M1484" s="347"/>
      <c r="N1484" s="347"/>
      <c r="O1484" s="579"/>
      <c r="P1484" s="579"/>
      <c r="Q1484" s="574"/>
      <c r="R1484" s="347"/>
      <c r="S1484" s="597"/>
      <c r="T1484" s="347"/>
      <c r="U1484" s="579"/>
      <c r="V1484" s="579"/>
      <c r="W1484" s="574"/>
      <c r="X1484" s="347"/>
      <c r="Y1484" s="347"/>
      <c r="Z1484" s="347"/>
      <c r="AA1484" s="579"/>
      <c r="AB1484" s="581"/>
      <c r="AC1484" s="347"/>
      <c r="AD1484" s="347"/>
      <c r="AE1484" s="347"/>
      <c r="AF1484" s="347"/>
      <c r="AG1484" s="579"/>
      <c r="AH1484" s="579"/>
      <c r="AI1484" s="582"/>
      <c r="AJ1484" s="582"/>
      <c r="AK1484" s="582"/>
      <c r="AL1484" s="582"/>
      <c r="AM1484" s="579"/>
      <c r="AN1484" s="579"/>
      <c r="AO1484" s="347"/>
      <c r="AP1484" s="586"/>
      <c r="AQ1484" s="596"/>
      <c r="AR1484" s="596"/>
      <c r="AS1484" s="348"/>
      <c r="AT1484" s="348"/>
      <c r="AU1484" s="348"/>
      <c r="AV1484" s="348"/>
      <c r="AW1484" s="348"/>
      <c r="AX1484" s="584"/>
      <c r="AY1484" s="581"/>
      <c r="AZ1484" s="581"/>
      <c r="BA1484" s="596"/>
      <c r="BB1484" s="596"/>
      <c r="BC1484" s="348"/>
      <c r="BD1484" s="581"/>
      <c r="BE1484" s="581"/>
      <c r="BF1484" s="347"/>
      <c r="BG1484" s="347"/>
      <c r="BH1484" s="347"/>
      <c r="BI1484" s="347"/>
      <c r="BJ1484" s="586"/>
      <c r="BK1484" s="581"/>
      <c r="BL1484" s="347"/>
      <c r="BM1484" s="347"/>
      <c r="BN1484" s="347"/>
      <c r="BO1484" s="586"/>
      <c r="BP1484" s="584"/>
      <c r="BQ1484" s="347"/>
      <c r="BR1484" s="586"/>
      <c r="BS1484" s="588"/>
      <c r="BT1484" s="586"/>
      <c r="BU1484" s="589"/>
      <c r="BV1484" s="581"/>
      <c r="BW1484" s="590"/>
      <c r="BX1484" s="347"/>
      <c r="BY1484" s="347"/>
      <c r="BZ1484" s="347"/>
      <c r="CA1484" s="586"/>
      <c r="CB1484" s="581"/>
      <c r="CC1484" s="581"/>
      <c r="CD1484" s="581"/>
      <c r="CE1484" s="581"/>
      <c r="CF1484" s="581"/>
      <c r="CG1484" s="586"/>
      <c r="CH1484" s="608"/>
      <c r="CI1484" s="603"/>
      <c r="CJ1484" s="347"/>
      <c r="CK1484" s="347"/>
      <c r="CL1484" s="347"/>
      <c r="CM1484" s="347"/>
      <c r="CN1484" s="347"/>
      <c r="CO1484" s="347"/>
      <c r="CP1484" s="347"/>
    </row>
    <row r="1485">
      <c r="A1485" s="574"/>
      <c r="B1485" s="574"/>
      <c r="C1485" s="347"/>
      <c r="D1485" s="574"/>
      <c r="E1485" s="347"/>
      <c r="F1485" s="596"/>
      <c r="G1485" s="596"/>
      <c r="H1485" s="347"/>
      <c r="I1485" s="347"/>
      <c r="J1485" s="596"/>
      <c r="K1485" s="609"/>
      <c r="L1485" s="1"/>
      <c r="M1485" s="347"/>
      <c r="N1485" s="347"/>
      <c r="O1485" s="579"/>
      <c r="P1485" s="579"/>
      <c r="Q1485" s="574"/>
      <c r="R1485" s="347"/>
      <c r="S1485" s="597"/>
      <c r="T1485" s="347"/>
      <c r="U1485" s="579"/>
      <c r="V1485" s="579"/>
      <c r="W1485" s="574"/>
      <c r="X1485" s="347"/>
      <c r="Y1485" s="347"/>
      <c r="Z1485" s="347"/>
      <c r="AA1485" s="579"/>
      <c r="AB1485" s="581"/>
      <c r="AC1485" s="347"/>
      <c r="AD1485" s="347"/>
      <c r="AE1485" s="347"/>
      <c r="AF1485" s="347"/>
      <c r="AG1485" s="579"/>
      <c r="AH1485" s="579"/>
      <c r="AI1485" s="582"/>
      <c r="AJ1485" s="582"/>
      <c r="AK1485" s="582"/>
      <c r="AL1485" s="582"/>
      <c r="AM1485" s="579"/>
      <c r="AN1485" s="579"/>
      <c r="AO1485" s="347"/>
      <c r="AP1485" s="586"/>
      <c r="AQ1485" s="596"/>
      <c r="AR1485" s="596"/>
      <c r="AS1485" s="348"/>
      <c r="AT1485" s="348"/>
      <c r="AU1485" s="348"/>
      <c r="AV1485" s="348"/>
      <c r="AW1485" s="348"/>
      <c r="AX1485" s="584"/>
      <c r="AY1485" s="581"/>
      <c r="AZ1485" s="581"/>
      <c r="BA1485" s="596"/>
      <c r="BB1485" s="596"/>
      <c r="BC1485" s="348"/>
      <c r="BD1485" s="581"/>
      <c r="BE1485" s="581"/>
      <c r="BF1485" s="347"/>
      <c r="BG1485" s="347"/>
      <c r="BH1485" s="347"/>
      <c r="BI1485" s="347"/>
      <c r="BJ1485" s="586"/>
      <c r="BK1485" s="581"/>
      <c r="BL1485" s="347"/>
      <c r="BM1485" s="347"/>
      <c r="BN1485" s="347"/>
      <c r="BO1485" s="586"/>
      <c r="BP1485" s="584"/>
      <c r="BQ1485" s="347"/>
      <c r="BR1485" s="586"/>
      <c r="BS1485" s="588"/>
      <c r="BT1485" s="586"/>
      <c r="BU1485" s="589"/>
      <c r="BV1485" s="581"/>
      <c r="BW1485" s="590"/>
      <c r="BX1485" s="347"/>
      <c r="BY1485" s="347"/>
      <c r="BZ1485" s="347"/>
      <c r="CA1485" s="586"/>
      <c r="CB1485" s="581"/>
      <c r="CC1485" s="581"/>
      <c r="CD1485" s="581"/>
      <c r="CE1485" s="581"/>
      <c r="CF1485" s="581"/>
      <c r="CG1485" s="586"/>
      <c r="CH1485" s="608"/>
      <c r="CI1485" s="603"/>
      <c r="CJ1485" s="347"/>
      <c r="CK1485" s="347"/>
      <c r="CL1485" s="347"/>
      <c r="CM1485" s="347"/>
      <c r="CN1485" s="347"/>
      <c r="CO1485" s="347"/>
      <c r="CP1485" s="347"/>
    </row>
    <row r="1486">
      <c r="A1486" s="574"/>
      <c r="B1486" s="574"/>
      <c r="C1486" s="347"/>
      <c r="D1486" s="574"/>
      <c r="E1486" s="347"/>
      <c r="F1486" s="596"/>
      <c r="G1486" s="596"/>
      <c r="H1486" s="347"/>
      <c r="I1486" s="347"/>
      <c r="J1486" s="596"/>
      <c r="K1486" s="609"/>
      <c r="L1486" s="1"/>
      <c r="M1486" s="347"/>
      <c r="N1486" s="347"/>
      <c r="O1486" s="579"/>
      <c r="P1486" s="579"/>
      <c r="Q1486" s="574"/>
      <c r="R1486" s="347"/>
      <c r="S1486" s="597"/>
      <c r="T1486" s="347"/>
      <c r="U1486" s="579"/>
      <c r="V1486" s="579"/>
      <c r="W1486" s="574"/>
      <c r="X1486" s="347"/>
      <c r="Y1486" s="347"/>
      <c r="Z1486" s="347"/>
      <c r="AA1486" s="579"/>
      <c r="AB1486" s="581"/>
      <c r="AC1486" s="347"/>
      <c r="AD1486" s="347"/>
      <c r="AE1486" s="347"/>
      <c r="AF1486" s="347"/>
      <c r="AG1486" s="579"/>
      <c r="AH1486" s="579"/>
      <c r="AI1486" s="582"/>
      <c r="AJ1486" s="582"/>
      <c r="AK1486" s="582"/>
      <c r="AL1486" s="582"/>
      <c r="AM1486" s="579"/>
      <c r="AN1486" s="579"/>
      <c r="AO1486" s="347"/>
      <c r="AP1486" s="586"/>
      <c r="AQ1486" s="596"/>
      <c r="AR1486" s="596"/>
      <c r="AS1486" s="348"/>
      <c r="AT1486" s="348"/>
      <c r="AU1486" s="348"/>
      <c r="AV1486" s="348"/>
      <c r="AW1486" s="348"/>
      <c r="AX1486" s="584"/>
      <c r="AY1486" s="581"/>
      <c r="AZ1486" s="581"/>
      <c r="BA1486" s="596"/>
      <c r="BB1486" s="596"/>
      <c r="BC1486" s="348"/>
      <c r="BD1486" s="581"/>
      <c r="BE1486" s="581"/>
      <c r="BF1486" s="347"/>
      <c r="BG1486" s="347"/>
      <c r="BH1486" s="347"/>
      <c r="BI1486" s="347"/>
      <c r="BJ1486" s="586"/>
      <c r="BK1486" s="581"/>
      <c r="BL1486" s="347"/>
      <c r="BM1486" s="347"/>
      <c r="BN1486" s="347"/>
      <c r="BO1486" s="586"/>
      <c r="BP1486" s="584"/>
      <c r="BQ1486" s="347"/>
      <c r="BR1486" s="586"/>
      <c r="BS1486" s="588"/>
      <c r="BT1486" s="586"/>
      <c r="BU1486" s="589"/>
      <c r="BV1486" s="581"/>
      <c r="BW1486" s="590"/>
      <c r="BX1486" s="347"/>
      <c r="BY1486" s="347"/>
      <c r="BZ1486" s="347"/>
      <c r="CA1486" s="586"/>
      <c r="CB1486" s="581"/>
      <c r="CC1486" s="581"/>
      <c r="CD1486" s="581"/>
      <c r="CE1486" s="581"/>
      <c r="CF1486" s="581"/>
      <c r="CG1486" s="586"/>
      <c r="CH1486" s="608"/>
      <c r="CI1486" s="603"/>
      <c r="CJ1486" s="347"/>
      <c r="CK1486" s="347"/>
      <c r="CL1486" s="347"/>
      <c r="CM1486" s="347"/>
      <c r="CN1486" s="347"/>
      <c r="CO1486" s="347"/>
      <c r="CP1486" s="347"/>
    </row>
    <row r="1487">
      <c r="A1487" s="574"/>
      <c r="B1487" s="574"/>
      <c r="C1487" s="347"/>
      <c r="D1487" s="574"/>
      <c r="E1487" s="347"/>
      <c r="F1487" s="596"/>
      <c r="G1487" s="596"/>
      <c r="H1487" s="347"/>
      <c r="I1487" s="347"/>
      <c r="J1487" s="596"/>
      <c r="K1487" s="609"/>
      <c r="L1487" s="1"/>
      <c r="M1487" s="347"/>
      <c r="N1487" s="347"/>
      <c r="O1487" s="579"/>
      <c r="P1487" s="579"/>
      <c r="Q1487" s="574"/>
      <c r="R1487" s="347"/>
      <c r="S1487" s="597"/>
      <c r="T1487" s="347"/>
      <c r="U1487" s="579"/>
      <c r="V1487" s="579"/>
      <c r="W1487" s="574"/>
      <c r="X1487" s="347"/>
      <c r="Y1487" s="347"/>
      <c r="Z1487" s="347"/>
      <c r="AA1487" s="579"/>
      <c r="AB1487" s="581"/>
      <c r="AC1487" s="347"/>
      <c r="AD1487" s="347"/>
      <c r="AE1487" s="347"/>
      <c r="AF1487" s="347"/>
      <c r="AG1487" s="579"/>
      <c r="AH1487" s="579"/>
      <c r="AI1487" s="582"/>
      <c r="AJ1487" s="582"/>
      <c r="AK1487" s="582"/>
      <c r="AL1487" s="582"/>
      <c r="AM1487" s="579"/>
      <c r="AN1487" s="579"/>
      <c r="AO1487" s="347"/>
      <c r="AP1487" s="586"/>
      <c r="AQ1487" s="596"/>
      <c r="AR1487" s="596"/>
      <c r="AS1487" s="348"/>
      <c r="AT1487" s="348"/>
      <c r="AU1487" s="348"/>
      <c r="AV1487" s="348"/>
      <c r="AW1487" s="348"/>
      <c r="AX1487" s="584"/>
      <c r="AY1487" s="581"/>
      <c r="AZ1487" s="581"/>
      <c r="BA1487" s="596"/>
      <c r="BB1487" s="596"/>
      <c r="BC1487" s="348"/>
      <c r="BD1487" s="581"/>
      <c r="BE1487" s="581"/>
      <c r="BF1487" s="347"/>
      <c r="BG1487" s="347"/>
      <c r="BH1487" s="347"/>
      <c r="BI1487" s="347"/>
      <c r="BJ1487" s="586"/>
      <c r="BK1487" s="581"/>
      <c r="BL1487" s="347"/>
      <c r="BM1487" s="347"/>
      <c r="BN1487" s="347"/>
      <c r="BO1487" s="586"/>
      <c r="BP1487" s="584"/>
      <c r="BQ1487" s="347"/>
      <c r="BR1487" s="586"/>
      <c r="BS1487" s="588"/>
      <c r="BT1487" s="586"/>
      <c r="BU1487" s="589"/>
      <c r="BV1487" s="581"/>
      <c r="BW1487" s="590"/>
      <c r="BX1487" s="347"/>
      <c r="BY1487" s="347"/>
      <c r="BZ1487" s="347"/>
      <c r="CA1487" s="586"/>
      <c r="CB1487" s="581"/>
      <c r="CC1487" s="581"/>
      <c r="CD1487" s="581"/>
      <c r="CE1487" s="581"/>
      <c r="CF1487" s="581"/>
      <c r="CG1487" s="586"/>
      <c r="CH1487" s="608"/>
      <c r="CI1487" s="603"/>
      <c r="CJ1487" s="347"/>
      <c r="CK1487" s="347"/>
      <c r="CL1487" s="347"/>
      <c r="CM1487" s="347"/>
      <c r="CN1487" s="347"/>
      <c r="CO1487" s="347"/>
      <c r="CP1487" s="347"/>
    </row>
    <row r="1488">
      <c r="A1488" s="574"/>
      <c r="B1488" s="574"/>
      <c r="C1488" s="347"/>
      <c r="D1488" s="574"/>
      <c r="E1488" s="347"/>
      <c r="F1488" s="596"/>
      <c r="G1488" s="596"/>
      <c r="H1488" s="347"/>
      <c r="I1488" s="347"/>
      <c r="J1488" s="596"/>
      <c r="K1488" s="609"/>
      <c r="L1488" s="1"/>
      <c r="M1488" s="347"/>
      <c r="N1488" s="347"/>
      <c r="O1488" s="579"/>
      <c r="P1488" s="579"/>
      <c r="Q1488" s="574"/>
      <c r="R1488" s="347"/>
      <c r="S1488" s="597"/>
      <c r="T1488" s="347"/>
      <c r="U1488" s="579"/>
      <c r="V1488" s="579"/>
      <c r="W1488" s="574"/>
      <c r="X1488" s="347"/>
      <c r="Y1488" s="347"/>
      <c r="Z1488" s="347"/>
      <c r="AA1488" s="579"/>
      <c r="AB1488" s="581"/>
      <c r="AC1488" s="347"/>
      <c r="AD1488" s="347"/>
      <c r="AE1488" s="347"/>
      <c r="AF1488" s="347"/>
      <c r="AG1488" s="579"/>
      <c r="AH1488" s="579"/>
      <c r="AI1488" s="582"/>
      <c r="AJ1488" s="582"/>
      <c r="AK1488" s="582"/>
      <c r="AL1488" s="582"/>
      <c r="AM1488" s="579"/>
      <c r="AN1488" s="579"/>
      <c r="AO1488" s="347"/>
      <c r="AP1488" s="586"/>
      <c r="AQ1488" s="596"/>
      <c r="AR1488" s="596"/>
      <c r="AS1488" s="348"/>
      <c r="AT1488" s="348"/>
      <c r="AU1488" s="348"/>
      <c r="AV1488" s="348"/>
      <c r="AW1488" s="348"/>
      <c r="AX1488" s="584"/>
      <c r="AY1488" s="581"/>
      <c r="AZ1488" s="581"/>
      <c r="BA1488" s="596"/>
      <c r="BB1488" s="596"/>
      <c r="BC1488" s="348"/>
      <c r="BD1488" s="581"/>
      <c r="BE1488" s="581"/>
      <c r="BF1488" s="347"/>
      <c r="BG1488" s="347"/>
      <c r="BH1488" s="347"/>
      <c r="BI1488" s="347"/>
      <c r="BJ1488" s="586"/>
      <c r="BK1488" s="581"/>
      <c r="BL1488" s="347"/>
      <c r="BM1488" s="347"/>
      <c r="BN1488" s="347"/>
      <c r="BO1488" s="586"/>
      <c r="BP1488" s="584"/>
      <c r="BQ1488" s="347"/>
      <c r="BR1488" s="586"/>
      <c r="BS1488" s="588"/>
      <c r="BT1488" s="586"/>
      <c r="BU1488" s="589"/>
      <c r="BV1488" s="581"/>
      <c r="BW1488" s="590"/>
      <c r="BX1488" s="347"/>
      <c r="BY1488" s="347"/>
      <c r="BZ1488" s="347"/>
      <c r="CA1488" s="586"/>
      <c r="CB1488" s="581"/>
      <c r="CC1488" s="581"/>
      <c r="CD1488" s="581"/>
      <c r="CE1488" s="581"/>
      <c r="CF1488" s="581"/>
      <c r="CG1488" s="586"/>
      <c r="CH1488" s="608"/>
      <c r="CI1488" s="603"/>
      <c r="CJ1488" s="347"/>
      <c r="CK1488" s="347"/>
      <c r="CL1488" s="347"/>
      <c r="CM1488" s="347"/>
      <c r="CN1488" s="347"/>
      <c r="CO1488" s="347"/>
      <c r="CP1488" s="347"/>
    </row>
    <row r="1489">
      <c r="A1489" s="574"/>
      <c r="B1489" s="574"/>
      <c r="C1489" s="347"/>
      <c r="D1489" s="574"/>
      <c r="E1489" s="347"/>
      <c r="F1489" s="596"/>
      <c r="G1489" s="596"/>
      <c r="H1489" s="347"/>
      <c r="I1489" s="347"/>
      <c r="J1489" s="596"/>
      <c r="K1489" s="609"/>
      <c r="L1489" s="1"/>
      <c r="M1489" s="347"/>
      <c r="N1489" s="347"/>
      <c r="O1489" s="579"/>
      <c r="P1489" s="579"/>
      <c r="Q1489" s="574"/>
      <c r="R1489" s="347"/>
      <c r="S1489" s="597"/>
      <c r="T1489" s="347"/>
      <c r="U1489" s="579"/>
      <c r="V1489" s="579"/>
      <c r="W1489" s="574"/>
      <c r="X1489" s="347"/>
      <c r="Y1489" s="347"/>
      <c r="Z1489" s="347"/>
      <c r="AA1489" s="579"/>
      <c r="AB1489" s="581"/>
      <c r="AC1489" s="347"/>
      <c r="AD1489" s="347"/>
      <c r="AE1489" s="347"/>
      <c r="AF1489" s="347"/>
      <c r="AG1489" s="579"/>
      <c r="AH1489" s="579"/>
      <c r="AI1489" s="582"/>
      <c r="AJ1489" s="582"/>
      <c r="AK1489" s="582"/>
      <c r="AL1489" s="582"/>
      <c r="AM1489" s="579"/>
      <c r="AN1489" s="579"/>
      <c r="AO1489" s="347"/>
      <c r="AP1489" s="586"/>
      <c r="AQ1489" s="596"/>
      <c r="AR1489" s="596"/>
      <c r="AS1489" s="348"/>
      <c r="AT1489" s="348"/>
      <c r="AU1489" s="348"/>
      <c r="AV1489" s="348"/>
      <c r="AW1489" s="348"/>
      <c r="AX1489" s="584"/>
      <c r="AY1489" s="581"/>
      <c r="AZ1489" s="581"/>
      <c r="BA1489" s="596"/>
      <c r="BB1489" s="596"/>
      <c r="BC1489" s="348"/>
      <c r="BD1489" s="581"/>
      <c r="BE1489" s="581"/>
      <c r="BF1489" s="347"/>
      <c r="BG1489" s="347"/>
      <c r="BH1489" s="347"/>
      <c r="BI1489" s="347"/>
      <c r="BJ1489" s="586"/>
      <c r="BK1489" s="581"/>
      <c r="BL1489" s="347"/>
      <c r="BM1489" s="347"/>
      <c r="BN1489" s="347"/>
      <c r="BO1489" s="586"/>
      <c r="BP1489" s="584"/>
      <c r="BQ1489" s="347"/>
      <c r="BR1489" s="586"/>
      <c r="BS1489" s="588"/>
      <c r="BT1489" s="586"/>
      <c r="BU1489" s="589"/>
      <c r="BV1489" s="581"/>
      <c r="BW1489" s="590"/>
      <c r="BX1489" s="347"/>
      <c r="BY1489" s="347"/>
      <c r="BZ1489" s="347"/>
      <c r="CA1489" s="586"/>
      <c r="CB1489" s="581"/>
      <c r="CC1489" s="581"/>
      <c r="CD1489" s="581"/>
      <c r="CE1489" s="581"/>
      <c r="CF1489" s="581"/>
      <c r="CG1489" s="586"/>
      <c r="CH1489" s="608"/>
      <c r="CI1489" s="603"/>
      <c r="CJ1489" s="347"/>
      <c r="CK1489" s="347"/>
      <c r="CL1489" s="347"/>
      <c r="CM1489" s="347"/>
      <c r="CN1489" s="347"/>
      <c r="CO1489" s="347"/>
      <c r="CP1489" s="347"/>
    </row>
    <row r="1490">
      <c r="A1490" s="574"/>
      <c r="B1490" s="574"/>
      <c r="C1490" s="347"/>
      <c r="D1490" s="574"/>
      <c r="E1490" s="347"/>
      <c r="F1490" s="596"/>
      <c r="G1490" s="596"/>
      <c r="H1490" s="347"/>
      <c r="I1490" s="347"/>
      <c r="J1490" s="596"/>
      <c r="K1490" s="609"/>
      <c r="L1490" s="1"/>
      <c r="M1490" s="347"/>
      <c r="N1490" s="347"/>
      <c r="O1490" s="579"/>
      <c r="P1490" s="579"/>
      <c r="Q1490" s="574"/>
      <c r="R1490" s="347"/>
      <c r="S1490" s="597"/>
      <c r="T1490" s="347"/>
      <c r="U1490" s="579"/>
      <c r="V1490" s="579"/>
      <c r="W1490" s="574"/>
      <c r="X1490" s="347"/>
      <c r="Y1490" s="347"/>
      <c r="Z1490" s="347"/>
      <c r="AA1490" s="579"/>
      <c r="AB1490" s="581"/>
      <c r="AC1490" s="347"/>
      <c r="AD1490" s="347"/>
      <c r="AE1490" s="347"/>
      <c r="AF1490" s="347"/>
      <c r="AG1490" s="579"/>
      <c r="AH1490" s="579"/>
      <c r="AI1490" s="582"/>
      <c r="AJ1490" s="582"/>
      <c r="AK1490" s="582"/>
      <c r="AL1490" s="582"/>
      <c r="AM1490" s="579"/>
      <c r="AN1490" s="579"/>
      <c r="AO1490" s="347"/>
      <c r="AP1490" s="586"/>
      <c r="AQ1490" s="596"/>
      <c r="AR1490" s="596"/>
      <c r="AS1490" s="348"/>
      <c r="AT1490" s="348"/>
      <c r="AU1490" s="348"/>
      <c r="AV1490" s="348"/>
      <c r="AW1490" s="348"/>
      <c r="AX1490" s="584"/>
      <c r="AY1490" s="581"/>
      <c r="AZ1490" s="581"/>
      <c r="BA1490" s="596"/>
      <c r="BB1490" s="596"/>
      <c r="BC1490" s="348"/>
      <c r="BD1490" s="581"/>
      <c r="BE1490" s="581"/>
      <c r="BF1490" s="347"/>
      <c r="BG1490" s="347"/>
      <c r="BH1490" s="347"/>
      <c r="BI1490" s="347"/>
      <c r="BJ1490" s="586"/>
      <c r="BK1490" s="581"/>
      <c r="BL1490" s="347"/>
      <c r="BM1490" s="347"/>
      <c r="BN1490" s="347"/>
      <c r="BO1490" s="586"/>
      <c r="BP1490" s="584"/>
      <c r="BQ1490" s="347"/>
      <c r="BR1490" s="586"/>
      <c r="BS1490" s="588"/>
      <c r="BT1490" s="586"/>
      <c r="BU1490" s="589"/>
      <c r="BV1490" s="581"/>
      <c r="BW1490" s="590"/>
      <c r="BX1490" s="347"/>
      <c r="BY1490" s="347"/>
      <c r="BZ1490" s="347"/>
      <c r="CA1490" s="586"/>
      <c r="CB1490" s="581"/>
      <c r="CC1490" s="581"/>
      <c r="CD1490" s="581"/>
      <c r="CE1490" s="581"/>
      <c r="CF1490" s="581"/>
      <c r="CG1490" s="586"/>
      <c r="CH1490" s="608"/>
      <c r="CI1490" s="603"/>
      <c r="CJ1490" s="347"/>
      <c r="CK1490" s="347"/>
      <c r="CL1490" s="347"/>
      <c r="CM1490" s="347"/>
      <c r="CN1490" s="347"/>
      <c r="CO1490" s="347"/>
      <c r="CP1490" s="347"/>
    </row>
    <row r="1491">
      <c r="A1491" s="574"/>
      <c r="B1491" s="574"/>
      <c r="C1491" s="347"/>
      <c r="D1491" s="574"/>
      <c r="E1491" s="347"/>
      <c r="F1491" s="596"/>
      <c r="G1491" s="596"/>
      <c r="H1491" s="347"/>
      <c r="I1491" s="347"/>
      <c r="J1491" s="596"/>
      <c r="K1491" s="609"/>
      <c r="L1491" s="1"/>
      <c r="M1491" s="347"/>
      <c r="N1491" s="347"/>
      <c r="O1491" s="579"/>
      <c r="P1491" s="579"/>
      <c r="Q1491" s="574"/>
      <c r="R1491" s="347"/>
      <c r="S1491" s="597"/>
      <c r="T1491" s="347"/>
      <c r="U1491" s="579"/>
      <c r="V1491" s="579"/>
      <c r="W1491" s="574"/>
      <c r="X1491" s="347"/>
      <c r="Y1491" s="347"/>
      <c r="Z1491" s="347"/>
      <c r="AA1491" s="579"/>
      <c r="AB1491" s="581"/>
      <c r="AC1491" s="347"/>
      <c r="AD1491" s="347"/>
      <c r="AE1491" s="347"/>
      <c r="AF1491" s="347"/>
      <c r="AG1491" s="579"/>
      <c r="AH1491" s="579"/>
      <c r="AI1491" s="582"/>
      <c r="AJ1491" s="582"/>
      <c r="AK1491" s="582"/>
      <c r="AL1491" s="582"/>
      <c r="AM1491" s="579"/>
      <c r="AN1491" s="579"/>
      <c r="AO1491" s="347"/>
      <c r="AP1491" s="586"/>
      <c r="AQ1491" s="596"/>
      <c r="AR1491" s="596"/>
      <c r="AS1491" s="348"/>
      <c r="AT1491" s="348"/>
      <c r="AU1491" s="348"/>
      <c r="AV1491" s="348"/>
      <c r="AW1491" s="348"/>
      <c r="AX1491" s="584"/>
      <c r="AY1491" s="581"/>
      <c r="AZ1491" s="581"/>
      <c r="BA1491" s="596"/>
      <c r="BB1491" s="596"/>
      <c r="BC1491" s="348"/>
      <c r="BD1491" s="581"/>
      <c r="BE1491" s="581"/>
      <c r="BF1491" s="347"/>
      <c r="BG1491" s="347"/>
      <c r="BH1491" s="347"/>
      <c r="BI1491" s="347"/>
      <c r="BJ1491" s="586"/>
      <c r="BK1491" s="581"/>
      <c r="BL1491" s="347"/>
      <c r="BM1491" s="347"/>
      <c r="BN1491" s="347"/>
      <c r="BO1491" s="586"/>
      <c r="BP1491" s="584"/>
      <c r="BQ1491" s="347"/>
      <c r="BR1491" s="586"/>
      <c r="BS1491" s="588"/>
      <c r="BT1491" s="586"/>
      <c r="BU1491" s="589"/>
      <c r="BV1491" s="581"/>
      <c r="BW1491" s="590"/>
      <c r="BX1491" s="347"/>
      <c r="BY1491" s="347"/>
      <c r="BZ1491" s="347"/>
      <c r="CA1491" s="586"/>
      <c r="CB1491" s="581"/>
      <c r="CC1491" s="581"/>
      <c r="CD1491" s="581"/>
      <c r="CE1491" s="581"/>
      <c r="CF1491" s="581"/>
      <c r="CG1491" s="586"/>
      <c r="CH1491" s="608"/>
      <c r="CI1491" s="603"/>
      <c r="CJ1491" s="347"/>
      <c r="CK1491" s="347"/>
      <c r="CL1491" s="347"/>
      <c r="CM1491" s="347"/>
      <c r="CN1491" s="347"/>
      <c r="CO1491" s="347"/>
      <c r="CP1491" s="347"/>
    </row>
    <row r="1492">
      <c r="A1492" s="574"/>
      <c r="B1492" s="574"/>
      <c r="C1492" s="347"/>
      <c r="D1492" s="574"/>
      <c r="E1492" s="347"/>
      <c r="F1492" s="596"/>
      <c r="G1492" s="596"/>
      <c r="H1492" s="347"/>
      <c r="I1492" s="347"/>
      <c r="J1492" s="596"/>
      <c r="K1492" s="609"/>
      <c r="L1492" s="1"/>
      <c r="M1492" s="347"/>
      <c r="N1492" s="347"/>
      <c r="O1492" s="579"/>
      <c r="P1492" s="579"/>
      <c r="Q1492" s="574"/>
      <c r="R1492" s="347"/>
      <c r="S1492" s="597"/>
      <c r="T1492" s="347"/>
      <c r="U1492" s="579"/>
      <c r="V1492" s="579"/>
      <c r="W1492" s="574"/>
      <c r="X1492" s="347"/>
      <c r="Y1492" s="347"/>
      <c r="Z1492" s="347"/>
      <c r="AA1492" s="579"/>
      <c r="AB1492" s="581"/>
      <c r="AC1492" s="347"/>
      <c r="AD1492" s="347"/>
      <c r="AE1492" s="347"/>
      <c r="AF1492" s="347"/>
      <c r="AG1492" s="579"/>
      <c r="AH1492" s="579"/>
      <c r="AI1492" s="582"/>
      <c r="AJ1492" s="582"/>
      <c r="AK1492" s="582"/>
      <c r="AL1492" s="582"/>
      <c r="AM1492" s="579"/>
      <c r="AN1492" s="579"/>
      <c r="AO1492" s="347"/>
      <c r="AP1492" s="586"/>
      <c r="AQ1492" s="596"/>
      <c r="AR1492" s="596"/>
      <c r="AS1492" s="348"/>
      <c r="AT1492" s="348"/>
      <c r="AU1492" s="348"/>
      <c r="AV1492" s="348"/>
      <c r="AW1492" s="348"/>
      <c r="AX1492" s="584"/>
      <c r="AY1492" s="581"/>
      <c r="AZ1492" s="581"/>
      <c r="BA1492" s="596"/>
      <c r="BB1492" s="596"/>
      <c r="BC1492" s="348"/>
      <c r="BD1492" s="581"/>
      <c r="BE1492" s="581"/>
      <c r="BF1492" s="347"/>
      <c r="BG1492" s="347"/>
      <c r="BH1492" s="347"/>
      <c r="BI1492" s="347"/>
      <c r="BJ1492" s="586"/>
      <c r="BK1492" s="581"/>
      <c r="BL1492" s="347"/>
      <c r="BM1492" s="347"/>
      <c r="BN1492" s="347"/>
      <c r="BO1492" s="586"/>
      <c r="BP1492" s="584"/>
      <c r="BQ1492" s="347"/>
      <c r="BR1492" s="586"/>
      <c r="BS1492" s="588"/>
      <c r="BT1492" s="586"/>
      <c r="BU1492" s="589"/>
      <c r="BV1492" s="581"/>
      <c r="BW1492" s="590"/>
      <c r="BX1492" s="347"/>
      <c r="BY1492" s="347"/>
      <c r="BZ1492" s="347"/>
      <c r="CA1492" s="586"/>
      <c r="CB1492" s="581"/>
      <c r="CC1492" s="581"/>
      <c r="CD1492" s="581"/>
      <c r="CE1492" s="581"/>
      <c r="CF1492" s="581"/>
      <c r="CG1492" s="586"/>
      <c r="CH1492" s="608"/>
      <c r="CI1492" s="603"/>
      <c r="CJ1492" s="347"/>
      <c r="CK1492" s="347"/>
      <c r="CL1492" s="347"/>
      <c r="CM1492" s="347"/>
      <c r="CN1492" s="347"/>
      <c r="CO1492" s="347"/>
      <c r="CP1492" s="347"/>
    </row>
    <row r="1493">
      <c r="A1493" s="574"/>
      <c r="B1493" s="574"/>
      <c r="C1493" s="347"/>
      <c r="D1493" s="574"/>
      <c r="E1493" s="347"/>
      <c r="F1493" s="596"/>
      <c r="G1493" s="596"/>
      <c r="H1493" s="347"/>
      <c r="I1493" s="347"/>
      <c r="J1493" s="596"/>
      <c r="K1493" s="609"/>
      <c r="L1493" s="1"/>
      <c r="M1493" s="347"/>
      <c r="N1493" s="347"/>
      <c r="O1493" s="579"/>
      <c r="P1493" s="579"/>
      <c r="Q1493" s="574"/>
      <c r="R1493" s="347"/>
      <c r="S1493" s="597"/>
      <c r="T1493" s="347"/>
      <c r="U1493" s="579"/>
      <c r="V1493" s="579"/>
      <c r="W1493" s="574"/>
      <c r="X1493" s="347"/>
      <c r="Y1493" s="347"/>
      <c r="Z1493" s="347"/>
      <c r="AA1493" s="579"/>
      <c r="AB1493" s="581"/>
      <c r="AC1493" s="347"/>
      <c r="AD1493" s="347"/>
      <c r="AE1493" s="347"/>
      <c r="AF1493" s="347"/>
      <c r="AG1493" s="579"/>
      <c r="AH1493" s="579"/>
      <c r="AI1493" s="582"/>
      <c r="AJ1493" s="582"/>
      <c r="AK1493" s="582"/>
      <c r="AL1493" s="582"/>
      <c r="AM1493" s="579"/>
      <c r="AN1493" s="579"/>
      <c r="AO1493" s="347"/>
      <c r="AP1493" s="586"/>
      <c r="AQ1493" s="596"/>
      <c r="AR1493" s="596"/>
      <c r="AS1493" s="348"/>
      <c r="AT1493" s="348"/>
      <c r="AU1493" s="348"/>
      <c r="AV1493" s="348"/>
      <c r="AW1493" s="348"/>
      <c r="AX1493" s="584"/>
      <c r="AY1493" s="581"/>
      <c r="AZ1493" s="581"/>
      <c r="BA1493" s="596"/>
      <c r="BB1493" s="596"/>
      <c r="BC1493" s="348"/>
      <c r="BD1493" s="581"/>
      <c r="BE1493" s="581"/>
      <c r="BF1493" s="347"/>
      <c r="BG1493" s="347"/>
      <c r="BH1493" s="347"/>
      <c r="BI1493" s="347"/>
      <c r="BJ1493" s="586"/>
      <c r="BK1493" s="581"/>
      <c r="BL1493" s="347"/>
      <c r="BM1493" s="347"/>
      <c r="BN1493" s="347"/>
      <c r="BO1493" s="586"/>
      <c r="BP1493" s="584"/>
      <c r="BQ1493" s="347"/>
      <c r="BR1493" s="586"/>
      <c r="BS1493" s="588"/>
      <c r="BT1493" s="586"/>
      <c r="BU1493" s="589"/>
      <c r="BV1493" s="581"/>
      <c r="BW1493" s="590"/>
      <c r="BX1493" s="347"/>
      <c r="BY1493" s="347"/>
      <c r="BZ1493" s="347"/>
      <c r="CA1493" s="586"/>
      <c r="CB1493" s="581"/>
      <c r="CC1493" s="581"/>
      <c r="CD1493" s="581"/>
      <c r="CE1493" s="581"/>
      <c r="CF1493" s="581"/>
      <c r="CG1493" s="586"/>
      <c r="CH1493" s="608"/>
      <c r="CI1493" s="603"/>
      <c r="CJ1493" s="347"/>
      <c r="CK1493" s="347"/>
      <c r="CL1493" s="347"/>
      <c r="CM1493" s="347"/>
      <c r="CN1493" s="347"/>
      <c r="CO1493" s="347"/>
      <c r="CP1493" s="347"/>
    </row>
    <row r="1494">
      <c r="A1494" s="574"/>
      <c r="B1494" s="574"/>
      <c r="C1494" s="347"/>
      <c r="D1494" s="574"/>
      <c r="E1494" s="347"/>
      <c r="F1494" s="596"/>
      <c r="G1494" s="596"/>
      <c r="H1494" s="347"/>
      <c r="I1494" s="347"/>
      <c r="J1494" s="596"/>
      <c r="K1494" s="609"/>
      <c r="L1494" s="1"/>
      <c r="M1494" s="347"/>
      <c r="N1494" s="347"/>
      <c r="O1494" s="579"/>
      <c r="P1494" s="579"/>
      <c r="Q1494" s="574"/>
      <c r="R1494" s="347"/>
      <c r="S1494" s="597"/>
      <c r="T1494" s="347"/>
      <c r="U1494" s="579"/>
      <c r="V1494" s="579"/>
      <c r="W1494" s="574"/>
      <c r="X1494" s="347"/>
      <c r="Y1494" s="347"/>
      <c r="Z1494" s="347"/>
      <c r="AA1494" s="579"/>
      <c r="AB1494" s="581"/>
      <c r="AC1494" s="347"/>
      <c r="AD1494" s="347"/>
      <c r="AE1494" s="347"/>
      <c r="AF1494" s="347"/>
      <c r="AG1494" s="579"/>
      <c r="AH1494" s="579"/>
      <c r="AI1494" s="582"/>
      <c r="AJ1494" s="582"/>
      <c r="AK1494" s="582"/>
      <c r="AL1494" s="582"/>
      <c r="AM1494" s="579"/>
      <c r="AN1494" s="579"/>
      <c r="AO1494" s="347"/>
      <c r="AP1494" s="586"/>
      <c r="AQ1494" s="596"/>
      <c r="AR1494" s="596"/>
      <c r="AS1494" s="348"/>
      <c r="AT1494" s="348"/>
      <c r="AU1494" s="348"/>
      <c r="AV1494" s="348"/>
      <c r="AW1494" s="348"/>
      <c r="AX1494" s="584"/>
      <c r="AY1494" s="581"/>
      <c r="AZ1494" s="581"/>
      <c r="BA1494" s="596"/>
      <c r="BB1494" s="596"/>
      <c r="BC1494" s="348"/>
      <c r="BD1494" s="581"/>
      <c r="BE1494" s="581"/>
      <c r="BF1494" s="347"/>
      <c r="BG1494" s="347"/>
      <c r="BH1494" s="347"/>
      <c r="BI1494" s="347"/>
      <c r="BJ1494" s="586"/>
      <c r="BK1494" s="581"/>
      <c r="BL1494" s="347"/>
      <c r="BM1494" s="347"/>
      <c r="BN1494" s="347"/>
      <c r="BO1494" s="586"/>
      <c r="BP1494" s="584"/>
      <c r="BQ1494" s="347"/>
      <c r="BR1494" s="586"/>
      <c r="BS1494" s="588"/>
      <c r="BT1494" s="586"/>
      <c r="BU1494" s="589"/>
      <c r="BV1494" s="581"/>
      <c r="BW1494" s="590"/>
      <c r="BX1494" s="347"/>
      <c r="BY1494" s="347"/>
      <c r="BZ1494" s="347"/>
      <c r="CA1494" s="586"/>
      <c r="CB1494" s="581"/>
      <c r="CC1494" s="581"/>
      <c r="CD1494" s="581"/>
      <c r="CE1494" s="581"/>
      <c r="CF1494" s="581"/>
      <c r="CG1494" s="586"/>
      <c r="CH1494" s="608"/>
      <c r="CI1494" s="603"/>
      <c r="CJ1494" s="347"/>
      <c r="CK1494" s="347"/>
      <c r="CL1494" s="347"/>
      <c r="CM1494" s="347"/>
      <c r="CN1494" s="347"/>
      <c r="CO1494" s="347"/>
      <c r="CP1494" s="347"/>
    </row>
    <row r="1495">
      <c r="A1495" s="574"/>
      <c r="B1495" s="574"/>
      <c r="C1495" s="347"/>
      <c r="D1495" s="574"/>
      <c r="E1495" s="347"/>
      <c r="F1495" s="596"/>
      <c r="G1495" s="596"/>
      <c r="H1495" s="347"/>
      <c r="I1495" s="347"/>
      <c r="J1495" s="596"/>
      <c r="K1495" s="609"/>
      <c r="L1495" s="1"/>
      <c r="M1495" s="347"/>
      <c r="N1495" s="347"/>
      <c r="O1495" s="579"/>
      <c r="P1495" s="579"/>
      <c r="Q1495" s="574"/>
      <c r="R1495" s="347"/>
      <c r="S1495" s="597"/>
      <c r="T1495" s="347"/>
      <c r="U1495" s="579"/>
      <c r="V1495" s="579"/>
      <c r="W1495" s="574"/>
      <c r="X1495" s="347"/>
      <c r="Y1495" s="347"/>
      <c r="Z1495" s="347"/>
      <c r="AA1495" s="579"/>
      <c r="AB1495" s="581"/>
      <c r="AC1495" s="347"/>
      <c r="AD1495" s="347"/>
      <c r="AE1495" s="347"/>
      <c r="AF1495" s="347"/>
      <c r="AG1495" s="579"/>
      <c r="AH1495" s="579"/>
      <c r="AI1495" s="582"/>
      <c r="AJ1495" s="582"/>
      <c r="AK1495" s="582"/>
      <c r="AL1495" s="582"/>
      <c r="AM1495" s="579"/>
      <c r="AN1495" s="579"/>
      <c r="AO1495" s="347"/>
      <c r="AP1495" s="586"/>
      <c r="AQ1495" s="596"/>
      <c r="AR1495" s="596"/>
      <c r="AS1495" s="348"/>
      <c r="AT1495" s="348"/>
      <c r="AU1495" s="348"/>
      <c r="AV1495" s="348"/>
      <c r="AW1495" s="348"/>
      <c r="AX1495" s="584"/>
      <c r="AY1495" s="581"/>
      <c r="AZ1495" s="581"/>
      <c r="BA1495" s="596"/>
      <c r="BB1495" s="596"/>
      <c r="BC1495" s="348"/>
      <c r="BD1495" s="581"/>
      <c r="BE1495" s="581"/>
      <c r="BF1495" s="347"/>
      <c r="BG1495" s="347"/>
      <c r="BH1495" s="347"/>
      <c r="BI1495" s="347"/>
      <c r="BJ1495" s="586"/>
      <c r="BK1495" s="581"/>
      <c r="BL1495" s="347"/>
      <c r="BM1495" s="347"/>
      <c r="BN1495" s="347"/>
      <c r="BO1495" s="586"/>
      <c r="BP1495" s="584"/>
      <c r="BQ1495" s="347"/>
      <c r="BR1495" s="586"/>
      <c r="BS1495" s="588"/>
      <c r="BT1495" s="586"/>
      <c r="BU1495" s="589"/>
      <c r="BV1495" s="581"/>
      <c r="BW1495" s="590"/>
      <c r="BX1495" s="347"/>
      <c r="BY1495" s="347"/>
      <c r="BZ1495" s="347"/>
      <c r="CA1495" s="586"/>
      <c r="CB1495" s="581"/>
      <c r="CC1495" s="581"/>
      <c r="CD1495" s="581"/>
      <c r="CE1495" s="581"/>
      <c r="CF1495" s="581"/>
      <c r="CG1495" s="586"/>
      <c r="CH1495" s="608"/>
      <c r="CI1495" s="603"/>
      <c r="CJ1495" s="347"/>
      <c r="CK1495" s="347"/>
      <c r="CL1495" s="347"/>
      <c r="CM1495" s="347"/>
      <c r="CN1495" s="347"/>
      <c r="CO1495" s="347"/>
      <c r="CP1495" s="347"/>
    </row>
    <row r="1496">
      <c r="A1496" s="574"/>
      <c r="B1496" s="574"/>
      <c r="C1496" s="347"/>
      <c r="D1496" s="574"/>
      <c r="E1496" s="347"/>
      <c r="F1496" s="596"/>
      <c r="G1496" s="596"/>
      <c r="H1496" s="347"/>
      <c r="I1496" s="347"/>
      <c r="J1496" s="596"/>
      <c r="K1496" s="609"/>
      <c r="L1496" s="1"/>
      <c r="M1496" s="347"/>
      <c r="N1496" s="347"/>
      <c r="O1496" s="579"/>
      <c r="P1496" s="579"/>
      <c r="Q1496" s="574"/>
      <c r="R1496" s="347"/>
      <c r="S1496" s="597"/>
      <c r="T1496" s="347"/>
      <c r="U1496" s="579"/>
      <c r="V1496" s="579"/>
      <c r="W1496" s="574"/>
      <c r="X1496" s="347"/>
      <c r="Y1496" s="347"/>
      <c r="Z1496" s="347"/>
      <c r="AA1496" s="579"/>
      <c r="AB1496" s="581"/>
      <c r="AC1496" s="347"/>
      <c r="AD1496" s="347"/>
      <c r="AE1496" s="347"/>
      <c r="AF1496" s="347"/>
      <c r="AG1496" s="579"/>
      <c r="AH1496" s="579"/>
      <c r="AI1496" s="582"/>
      <c r="AJ1496" s="582"/>
      <c r="AK1496" s="582"/>
      <c r="AL1496" s="582"/>
      <c r="AM1496" s="579"/>
      <c r="AN1496" s="579"/>
      <c r="AO1496" s="347"/>
      <c r="AP1496" s="586"/>
      <c r="AQ1496" s="596"/>
      <c r="AR1496" s="596"/>
      <c r="AS1496" s="348"/>
      <c r="AT1496" s="348"/>
      <c r="AU1496" s="348"/>
      <c r="AV1496" s="348"/>
      <c r="AW1496" s="348"/>
      <c r="AX1496" s="584"/>
      <c r="AY1496" s="581"/>
      <c r="AZ1496" s="581"/>
      <c r="BA1496" s="596"/>
      <c r="BB1496" s="596"/>
      <c r="BC1496" s="348"/>
      <c r="BD1496" s="581"/>
      <c r="BE1496" s="581"/>
      <c r="BF1496" s="347"/>
      <c r="BG1496" s="347"/>
      <c r="BH1496" s="347"/>
      <c r="BI1496" s="347"/>
      <c r="BJ1496" s="586"/>
      <c r="BK1496" s="581"/>
      <c r="BL1496" s="347"/>
      <c r="BM1496" s="347"/>
      <c r="BN1496" s="347"/>
      <c r="BO1496" s="586"/>
      <c r="BP1496" s="584"/>
      <c r="BQ1496" s="347"/>
      <c r="BR1496" s="586"/>
      <c r="BS1496" s="588"/>
      <c r="BT1496" s="586"/>
      <c r="BU1496" s="589"/>
      <c r="BV1496" s="581"/>
      <c r="BW1496" s="590"/>
      <c r="BX1496" s="347"/>
      <c r="BY1496" s="347"/>
      <c r="BZ1496" s="347"/>
      <c r="CA1496" s="586"/>
      <c r="CB1496" s="581"/>
      <c r="CC1496" s="581"/>
      <c r="CD1496" s="581"/>
      <c r="CE1496" s="581"/>
      <c r="CF1496" s="581"/>
      <c r="CG1496" s="586"/>
      <c r="CH1496" s="608"/>
      <c r="CI1496" s="603"/>
      <c r="CJ1496" s="347"/>
      <c r="CK1496" s="347"/>
      <c r="CL1496" s="347"/>
      <c r="CM1496" s="347"/>
      <c r="CN1496" s="347"/>
      <c r="CO1496" s="347"/>
      <c r="CP1496" s="347"/>
    </row>
    <row r="1497">
      <c r="A1497" s="574"/>
      <c r="B1497" s="574"/>
      <c r="C1497" s="347"/>
      <c r="D1497" s="574"/>
      <c r="E1497" s="347"/>
      <c r="F1497" s="596"/>
      <c r="G1497" s="596"/>
      <c r="H1497" s="347"/>
      <c r="I1497" s="347"/>
      <c r="J1497" s="596"/>
      <c r="K1497" s="609"/>
      <c r="L1497" s="1"/>
      <c r="M1497" s="347"/>
      <c r="N1497" s="347"/>
      <c r="O1497" s="579"/>
      <c r="P1497" s="579"/>
      <c r="Q1497" s="574"/>
      <c r="R1497" s="347"/>
      <c r="S1497" s="597"/>
      <c r="T1497" s="347"/>
      <c r="U1497" s="579"/>
      <c r="V1497" s="579"/>
      <c r="W1497" s="574"/>
      <c r="X1497" s="347"/>
      <c r="Y1497" s="347"/>
      <c r="Z1497" s="347"/>
      <c r="AA1497" s="579"/>
      <c r="AB1497" s="581"/>
      <c r="AC1497" s="347"/>
      <c r="AD1497" s="347"/>
      <c r="AE1497" s="347"/>
      <c r="AF1497" s="347"/>
      <c r="AG1497" s="579"/>
      <c r="AH1497" s="579"/>
      <c r="AI1497" s="582"/>
      <c r="AJ1497" s="582"/>
      <c r="AK1497" s="582"/>
      <c r="AL1497" s="582"/>
      <c r="AM1497" s="579"/>
      <c r="AN1497" s="579"/>
      <c r="AO1497" s="347"/>
      <c r="AP1497" s="586"/>
      <c r="AQ1497" s="596"/>
      <c r="AR1497" s="596"/>
      <c r="AS1497" s="348"/>
      <c r="AT1497" s="348"/>
      <c r="AU1497" s="348"/>
      <c r="AV1497" s="348"/>
      <c r="AW1497" s="348"/>
      <c r="AX1497" s="584"/>
      <c r="AY1497" s="581"/>
      <c r="AZ1497" s="581"/>
      <c r="BA1497" s="596"/>
      <c r="BB1497" s="596"/>
      <c r="BC1497" s="348"/>
      <c r="BD1497" s="581"/>
      <c r="BE1497" s="581"/>
      <c r="BF1497" s="347"/>
      <c r="BG1497" s="347"/>
      <c r="BH1497" s="347"/>
      <c r="BI1497" s="347"/>
      <c r="BJ1497" s="586"/>
      <c r="BK1497" s="581"/>
      <c r="BL1497" s="347"/>
      <c r="BM1497" s="347"/>
      <c r="BN1497" s="347"/>
      <c r="BO1497" s="586"/>
      <c r="BP1497" s="584"/>
      <c r="BQ1497" s="347"/>
      <c r="BR1497" s="586"/>
      <c r="BS1497" s="588"/>
      <c r="BT1497" s="586"/>
      <c r="BU1497" s="589"/>
      <c r="BV1497" s="581"/>
      <c r="BW1497" s="590"/>
      <c r="BX1497" s="347"/>
      <c r="BY1497" s="347"/>
      <c r="BZ1497" s="347"/>
      <c r="CA1497" s="586"/>
      <c r="CB1497" s="581"/>
      <c r="CC1497" s="581"/>
      <c r="CD1497" s="581"/>
      <c r="CE1497" s="581"/>
      <c r="CF1497" s="581"/>
      <c r="CG1497" s="586"/>
      <c r="CH1497" s="608"/>
      <c r="CI1497" s="603"/>
      <c r="CJ1497" s="347"/>
      <c r="CK1497" s="347"/>
      <c r="CL1497" s="347"/>
      <c r="CM1497" s="347"/>
      <c r="CN1497" s="347"/>
      <c r="CO1497" s="347"/>
      <c r="CP1497" s="347"/>
    </row>
    <row r="1498">
      <c r="A1498" s="574"/>
      <c r="B1498" s="574"/>
      <c r="C1498" s="347"/>
      <c r="D1498" s="574"/>
      <c r="E1498" s="347"/>
      <c r="F1498" s="596"/>
      <c r="G1498" s="596"/>
      <c r="H1498" s="347"/>
      <c r="I1498" s="347"/>
      <c r="J1498" s="596"/>
      <c r="K1498" s="609"/>
      <c r="L1498" s="1"/>
      <c r="M1498" s="347"/>
      <c r="N1498" s="347"/>
      <c r="O1498" s="579"/>
      <c r="P1498" s="579"/>
      <c r="Q1498" s="574"/>
      <c r="R1498" s="347"/>
      <c r="S1498" s="597"/>
      <c r="T1498" s="347"/>
      <c r="U1498" s="579"/>
      <c r="V1498" s="579"/>
      <c r="W1498" s="574"/>
      <c r="X1498" s="347"/>
      <c r="Y1498" s="347"/>
      <c r="Z1498" s="347"/>
      <c r="AA1498" s="579"/>
      <c r="AB1498" s="581"/>
      <c r="AC1498" s="347"/>
      <c r="AD1498" s="347"/>
      <c r="AE1498" s="347"/>
      <c r="AF1498" s="347"/>
      <c r="AG1498" s="579"/>
      <c r="AH1498" s="579"/>
      <c r="AI1498" s="582"/>
      <c r="AJ1498" s="582"/>
      <c r="AK1498" s="582"/>
      <c r="AL1498" s="582"/>
      <c r="AM1498" s="579"/>
      <c r="AN1498" s="579"/>
      <c r="AO1498" s="347"/>
      <c r="AP1498" s="586"/>
      <c r="AQ1498" s="596"/>
      <c r="AR1498" s="596"/>
      <c r="AS1498" s="348"/>
      <c r="AT1498" s="348"/>
      <c r="AU1498" s="348"/>
      <c r="AV1498" s="348"/>
      <c r="AW1498" s="348"/>
      <c r="AX1498" s="584"/>
      <c r="AY1498" s="581"/>
      <c r="AZ1498" s="581"/>
      <c r="BA1498" s="596"/>
      <c r="BB1498" s="596"/>
      <c r="BC1498" s="348"/>
      <c r="BD1498" s="581"/>
      <c r="BE1498" s="581"/>
      <c r="BF1498" s="347"/>
      <c r="BG1498" s="347"/>
      <c r="BH1498" s="347"/>
      <c r="BI1498" s="347"/>
      <c r="BJ1498" s="586"/>
      <c r="BK1498" s="581"/>
      <c r="BL1498" s="347"/>
      <c r="BM1498" s="347"/>
      <c r="BN1498" s="347"/>
      <c r="BO1498" s="586"/>
      <c r="BP1498" s="584"/>
      <c r="BQ1498" s="347"/>
      <c r="BR1498" s="586"/>
      <c r="BS1498" s="588"/>
      <c r="BT1498" s="586"/>
      <c r="BU1498" s="589"/>
      <c r="BV1498" s="581"/>
      <c r="BW1498" s="590"/>
      <c r="BX1498" s="347"/>
      <c r="BY1498" s="347"/>
      <c r="BZ1498" s="347"/>
      <c r="CA1498" s="586"/>
      <c r="CB1498" s="581"/>
      <c r="CC1498" s="581"/>
      <c r="CD1498" s="581"/>
      <c r="CE1498" s="581"/>
      <c r="CF1498" s="581"/>
      <c r="CG1498" s="586"/>
      <c r="CH1498" s="608"/>
      <c r="CI1498" s="603"/>
      <c r="CJ1498" s="347"/>
      <c r="CK1498" s="347"/>
      <c r="CL1498" s="347"/>
      <c r="CM1498" s="347"/>
      <c r="CN1498" s="347"/>
      <c r="CO1498" s="347"/>
      <c r="CP1498" s="347"/>
    </row>
    <row r="1499">
      <c r="A1499" s="574"/>
      <c r="B1499" s="574"/>
      <c r="C1499" s="347"/>
      <c r="D1499" s="574"/>
      <c r="E1499" s="347"/>
      <c r="F1499" s="596"/>
      <c r="G1499" s="596"/>
      <c r="H1499" s="347"/>
      <c r="I1499" s="347"/>
      <c r="J1499" s="596"/>
      <c r="K1499" s="609"/>
      <c r="L1499" s="1"/>
      <c r="M1499" s="347"/>
      <c r="N1499" s="347"/>
      <c r="O1499" s="579"/>
      <c r="P1499" s="579"/>
      <c r="Q1499" s="574"/>
      <c r="R1499" s="347"/>
      <c r="S1499" s="597"/>
      <c r="T1499" s="347"/>
      <c r="U1499" s="579"/>
      <c r="V1499" s="579"/>
      <c r="W1499" s="574"/>
      <c r="X1499" s="347"/>
      <c r="Y1499" s="347"/>
      <c r="Z1499" s="347"/>
      <c r="AA1499" s="579"/>
      <c r="AB1499" s="581"/>
      <c r="AC1499" s="347"/>
      <c r="AD1499" s="347"/>
      <c r="AE1499" s="347"/>
      <c r="AF1499" s="347"/>
      <c r="AG1499" s="579"/>
      <c r="AH1499" s="579"/>
      <c r="AI1499" s="582"/>
      <c r="AJ1499" s="582"/>
      <c r="AK1499" s="582"/>
      <c r="AL1499" s="582"/>
      <c r="AM1499" s="579"/>
      <c r="AN1499" s="579"/>
      <c r="AO1499" s="347"/>
      <c r="AP1499" s="586"/>
      <c r="AQ1499" s="596"/>
      <c r="AR1499" s="596"/>
      <c r="AS1499" s="348"/>
      <c r="AT1499" s="348"/>
      <c r="AU1499" s="348"/>
      <c r="AV1499" s="348"/>
      <c r="AW1499" s="348"/>
      <c r="AX1499" s="584"/>
      <c r="AY1499" s="581"/>
      <c r="AZ1499" s="581"/>
      <c r="BA1499" s="596"/>
      <c r="BB1499" s="596"/>
      <c r="BC1499" s="348"/>
      <c r="BD1499" s="581"/>
      <c r="BE1499" s="581"/>
      <c r="BF1499" s="347"/>
      <c r="BG1499" s="347"/>
      <c r="BH1499" s="347"/>
      <c r="BI1499" s="347"/>
      <c r="BJ1499" s="586"/>
      <c r="BK1499" s="581"/>
      <c r="BL1499" s="347"/>
      <c r="BM1499" s="347"/>
      <c r="BN1499" s="347"/>
      <c r="BO1499" s="586"/>
      <c r="BP1499" s="584"/>
      <c r="BQ1499" s="347"/>
      <c r="BR1499" s="586"/>
      <c r="BS1499" s="588"/>
      <c r="BT1499" s="586"/>
      <c r="BU1499" s="589"/>
      <c r="BV1499" s="581"/>
      <c r="BW1499" s="590"/>
      <c r="BX1499" s="347"/>
      <c r="BY1499" s="347"/>
      <c r="BZ1499" s="347"/>
      <c r="CA1499" s="586"/>
      <c r="CB1499" s="581"/>
      <c r="CC1499" s="581"/>
      <c r="CD1499" s="581"/>
      <c r="CE1499" s="581"/>
      <c r="CF1499" s="581"/>
      <c r="CG1499" s="586"/>
      <c r="CH1499" s="608"/>
      <c r="CI1499" s="603"/>
      <c r="CJ1499" s="347"/>
      <c r="CK1499" s="347"/>
      <c r="CL1499" s="347"/>
      <c r="CM1499" s="347"/>
      <c r="CN1499" s="347"/>
      <c r="CO1499" s="347"/>
      <c r="CP1499" s="347"/>
    </row>
    <row r="1500">
      <c r="A1500" s="574"/>
      <c r="B1500" s="574"/>
      <c r="C1500" s="347"/>
      <c r="D1500" s="574"/>
      <c r="E1500" s="347"/>
      <c r="F1500" s="596"/>
      <c r="G1500" s="596"/>
      <c r="H1500" s="347"/>
      <c r="I1500" s="347"/>
      <c r="J1500" s="596"/>
      <c r="K1500" s="609"/>
      <c r="L1500" s="1"/>
      <c r="M1500" s="347"/>
      <c r="N1500" s="347"/>
      <c r="O1500" s="579"/>
      <c r="P1500" s="579"/>
      <c r="Q1500" s="574"/>
      <c r="R1500" s="347"/>
      <c r="S1500" s="597"/>
      <c r="T1500" s="347"/>
      <c r="U1500" s="579"/>
      <c r="V1500" s="579"/>
      <c r="W1500" s="574"/>
      <c r="X1500" s="347"/>
      <c r="Y1500" s="347"/>
      <c r="Z1500" s="347"/>
      <c r="AA1500" s="579"/>
      <c r="AB1500" s="581"/>
      <c r="AC1500" s="347"/>
      <c r="AD1500" s="347"/>
      <c r="AE1500" s="347"/>
      <c r="AF1500" s="347"/>
      <c r="AG1500" s="579"/>
      <c r="AH1500" s="579"/>
      <c r="AI1500" s="582"/>
      <c r="AJ1500" s="582"/>
      <c r="AK1500" s="582"/>
      <c r="AL1500" s="582"/>
      <c r="AM1500" s="579"/>
      <c r="AN1500" s="579"/>
      <c r="AO1500" s="347"/>
      <c r="AP1500" s="586"/>
      <c r="AQ1500" s="596"/>
      <c r="AR1500" s="596"/>
      <c r="AS1500" s="348"/>
      <c r="AT1500" s="348"/>
      <c r="AU1500" s="348"/>
      <c r="AV1500" s="348"/>
      <c r="AW1500" s="348"/>
      <c r="AX1500" s="584"/>
      <c r="AY1500" s="581"/>
      <c r="AZ1500" s="581"/>
      <c r="BA1500" s="596"/>
      <c r="BB1500" s="596"/>
      <c r="BC1500" s="348"/>
      <c r="BD1500" s="581"/>
      <c r="BE1500" s="581"/>
      <c r="BF1500" s="347"/>
      <c r="BG1500" s="347"/>
      <c r="BH1500" s="347"/>
      <c r="BI1500" s="347"/>
      <c r="BJ1500" s="586"/>
      <c r="BK1500" s="581"/>
      <c r="BL1500" s="347"/>
      <c r="BM1500" s="347"/>
      <c r="BN1500" s="347"/>
      <c r="BO1500" s="586"/>
      <c r="BP1500" s="584"/>
      <c r="BQ1500" s="347"/>
      <c r="BR1500" s="586"/>
      <c r="BS1500" s="588"/>
      <c r="BT1500" s="586"/>
      <c r="BU1500" s="589"/>
      <c r="BV1500" s="581"/>
      <c r="BW1500" s="590"/>
      <c r="BX1500" s="347"/>
      <c r="BY1500" s="347"/>
      <c r="BZ1500" s="347"/>
      <c r="CA1500" s="586"/>
      <c r="CB1500" s="581"/>
      <c r="CC1500" s="581"/>
      <c r="CD1500" s="581"/>
      <c r="CE1500" s="581"/>
      <c r="CF1500" s="581"/>
      <c r="CG1500" s="586"/>
      <c r="CH1500" s="608"/>
      <c r="CI1500" s="603"/>
      <c r="CJ1500" s="347"/>
      <c r="CK1500" s="347"/>
      <c r="CL1500" s="347"/>
      <c r="CM1500" s="347"/>
      <c r="CN1500" s="347"/>
      <c r="CO1500" s="347"/>
      <c r="CP1500" s="347"/>
    </row>
    <row r="1501">
      <c r="A1501" s="574"/>
      <c r="B1501" s="574"/>
      <c r="C1501" s="347"/>
      <c r="D1501" s="574"/>
      <c r="E1501" s="347"/>
      <c r="F1501" s="596"/>
      <c r="G1501" s="596"/>
      <c r="H1501" s="347"/>
      <c r="I1501" s="347"/>
      <c r="J1501" s="596"/>
      <c r="K1501" s="609"/>
      <c r="L1501" s="1"/>
      <c r="M1501" s="347"/>
      <c r="N1501" s="347"/>
      <c r="O1501" s="579"/>
      <c r="P1501" s="579"/>
      <c r="Q1501" s="574"/>
      <c r="R1501" s="347"/>
      <c r="S1501" s="597"/>
      <c r="T1501" s="347"/>
      <c r="U1501" s="579"/>
      <c r="V1501" s="579"/>
      <c r="W1501" s="574"/>
      <c r="X1501" s="347"/>
      <c r="Y1501" s="347"/>
      <c r="Z1501" s="347"/>
      <c r="AA1501" s="579"/>
      <c r="AB1501" s="581"/>
      <c r="AC1501" s="347"/>
      <c r="AD1501" s="347"/>
      <c r="AE1501" s="347"/>
      <c r="AF1501" s="347"/>
      <c r="AG1501" s="579"/>
      <c r="AH1501" s="579"/>
      <c r="AI1501" s="582"/>
      <c r="AJ1501" s="582"/>
      <c r="AK1501" s="582"/>
      <c r="AL1501" s="582"/>
      <c r="AM1501" s="579"/>
      <c r="AN1501" s="579"/>
      <c r="AO1501" s="347"/>
      <c r="AP1501" s="586"/>
      <c r="AQ1501" s="596"/>
      <c r="AR1501" s="596"/>
      <c r="AS1501" s="348"/>
      <c r="AT1501" s="348"/>
      <c r="AU1501" s="348"/>
      <c r="AV1501" s="348"/>
      <c r="AW1501" s="348"/>
      <c r="AX1501" s="584"/>
      <c r="AY1501" s="581"/>
      <c r="AZ1501" s="581"/>
      <c r="BA1501" s="596"/>
      <c r="BB1501" s="596"/>
      <c r="BC1501" s="348"/>
      <c r="BD1501" s="581"/>
      <c r="BE1501" s="581"/>
      <c r="BF1501" s="347"/>
      <c r="BG1501" s="347"/>
      <c r="BH1501" s="347"/>
      <c r="BI1501" s="347"/>
      <c r="BJ1501" s="586"/>
      <c r="BK1501" s="581"/>
      <c r="BL1501" s="347"/>
      <c r="BM1501" s="347"/>
      <c r="BN1501" s="347"/>
      <c r="BO1501" s="586"/>
      <c r="BP1501" s="584"/>
      <c r="BQ1501" s="347"/>
      <c r="BR1501" s="586"/>
      <c r="BS1501" s="588"/>
      <c r="BT1501" s="586"/>
      <c r="BU1501" s="589"/>
      <c r="BV1501" s="581"/>
      <c r="BW1501" s="590"/>
      <c r="BX1501" s="347"/>
      <c r="BY1501" s="347"/>
      <c r="BZ1501" s="347"/>
      <c r="CA1501" s="586"/>
      <c r="CB1501" s="581"/>
      <c r="CC1501" s="581"/>
      <c r="CD1501" s="581"/>
      <c r="CE1501" s="581"/>
      <c r="CF1501" s="581"/>
      <c r="CG1501" s="586"/>
      <c r="CH1501" s="608"/>
      <c r="CI1501" s="603"/>
      <c r="CJ1501" s="347"/>
      <c r="CK1501" s="347"/>
      <c r="CL1501" s="347"/>
      <c r="CM1501" s="347"/>
      <c r="CN1501" s="347"/>
      <c r="CO1501" s="347"/>
      <c r="CP1501" s="347"/>
    </row>
    <row r="1502">
      <c r="A1502" s="574"/>
      <c r="B1502" s="574"/>
      <c r="C1502" s="347"/>
      <c r="D1502" s="574"/>
      <c r="E1502" s="347"/>
      <c r="F1502" s="596"/>
      <c r="G1502" s="596"/>
      <c r="H1502" s="347"/>
      <c r="I1502" s="347"/>
      <c r="J1502" s="596"/>
      <c r="K1502" s="609"/>
      <c r="L1502" s="1"/>
      <c r="M1502" s="347"/>
      <c r="N1502" s="347"/>
      <c r="O1502" s="579"/>
      <c r="P1502" s="579"/>
      <c r="Q1502" s="574"/>
      <c r="R1502" s="347"/>
      <c r="S1502" s="597"/>
      <c r="T1502" s="347"/>
      <c r="U1502" s="579"/>
      <c r="V1502" s="579"/>
      <c r="W1502" s="574"/>
      <c r="X1502" s="347"/>
      <c r="Y1502" s="347"/>
      <c r="Z1502" s="347"/>
      <c r="AA1502" s="579"/>
      <c r="AB1502" s="581"/>
      <c r="AC1502" s="347"/>
      <c r="AD1502" s="347"/>
      <c r="AE1502" s="347"/>
      <c r="AF1502" s="347"/>
      <c r="AG1502" s="579"/>
      <c r="AH1502" s="579"/>
      <c r="AI1502" s="582"/>
      <c r="AJ1502" s="582"/>
      <c r="AK1502" s="582"/>
      <c r="AL1502" s="582"/>
      <c r="AM1502" s="579"/>
      <c r="AN1502" s="579"/>
      <c r="AO1502" s="347"/>
      <c r="AP1502" s="586"/>
      <c r="AQ1502" s="596"/>
      <c r="AR1502" s="596"/>
      <c r="AS1502" s="348"/>
      <c r="AT1502" s="348"/>
      <c r="AU1502" s="348"/>
      <c r="AV1502" s="348"/>
      <c r="AW1502" s="348"/>
      <c r="AX1502" s="584"/>
      <c r="AY1502" s="581"/>
      <c r="AZ1502" s="581"/>
      <c r="BA1502" s="596"/>
      <c r="BB1502" s="596"/>
      <c r="BC1502" s="348"/>
      <c r="BD1502" s="581"/>
      <c r="BE1502" s="581"/>
      <c r="BF1502" s="347"/>
      <c r="BG1502" s="347"/>
      <c r="BH1502" s="347"/>
      <c r="BI1502" s="347"/>
      <c r="BJ1502" s="586"/>
      <c r="BK1502" s="581"/>
      <c r="BL1502" s="347"/>
      <c r="BM1502" s="347"/>
      <c r="BN1502" s="347"/>
      <c r="BO1502" s="586"/>
      <c r="BP1502" s="584"/>
      <c r="BQ1502" s="347"/>
      <c r="BR1502" s="586"/>
      <c r="BS1502" s="588"/>
      <c r="BT1502" s="586"/>
      <c r="BU1502" s="589"/>
      <c r="BV1502" s="581"/>
      <c r="BW1502" s="590"/>
      <c r="BX1502" s="347"/>
      <c r="BY1502" s="347"/>
      <c r="BZ1502" s="347"/>
      <c r="CA1502" s="586"/>
      <c r="CB1502" s="581"/>
      <c r="CC1502" s="581"/>
      <c r="CD1502" s="581"/>
      <c r="CE1502" s="581"/>
      <c r="CF1502" s="581"/>
      <c r="CG1502" s="586"/>
      <c r="CH1502" s="608"/>
      <c r="CI1502" s="603"/>
      <c r="CJ1502" s="347"/>
      <c r="CK1502" s="347"/>
      <c r="CL1502" s="347"/>
      <c r="CM1502" s="347"/>
      <c r="CN1502" s="347"/>
      <c r="CO1502" s="347"/>
      <c r="CP1502" s="347"/>
    </row>
    <row r="1503">
      <c r="A1503" s="574"/>
      <c r="B1503" s="574"/>
      <c r="C1503" s="347"/>
      <c r="D1503" s="574"/>
      <c r="E1503" s="347"/>
      <c r="F1503" s="596"/>
      <c r="G1503" s="596"/>
      <c r="H1503" s="347"/>
      <c r="I1503" s="347"/>
      <c r="J1503" s="596"/>
      <c r="K1503" s="609"/>
      <c r="L1503" s="1"/>
      <c r="M1503" s="347"/>
      <c r="N1503" s="347"/>
      <c r="O1503" s="579"/>
      <c r="P1503" s="579"/>
      <c r="Q1503" s="574"/>
      <c r="R1503" s="347"/>
      <c r="S1503" s="597"/>
      <c r="T1503" s="347"/>
      <c r="U1503" s="579"/>
      <c r="V1503" s="579"/>
      <c r="W1503" s="574"/>
      <c r="X1503" s="347"/>
      <c r="Y1503" s="347"/>
      <c r="Z1503" s="347"/>
      <c r="AA1503" s="579"/>
      <c r="AB1503" s="581"/>
      <c r="AC1503" s="347"/>
      <c r="AD1503" s="347"/>
      <c r="AE1503" s="347"/>
      <c r="AF1503" s="347"/>
      <c r="AG1503" s="579"/>
      <c r="AH1503" s="579"/>
      <c r="AI1503" s="582"/>
      <c r="AJ1503" s="582"/>
      <c r="AK1503" s="582"/>
      <c r="AL1503" s="582"/>
      <c r="AM1503" s="579"/>
      <c r="AN1503" s="579"/>
      <c r="AO1503" s="347"/>
      <c r="AP1503" s="586"/>
      <c r="AQ1503" s="596"/>
      <c r="AR1503" s="596"/>
      <c r="AS1503" s="348"/>
      <c r="AT1503" s="348"/>
      <c r="AU1503" s="348"/>
      <c r="AV1503" s="348"/>
      <c r="AW1503" s="348"/>
      <c r="AX1503" s="584"/>
      <c r="AY1503" s="581"/>
      <c r="AZ1503" s="581"/>
      <c r="BA1503" s="596"/>
      <c r="BB1503" s="596"/>
      <c r="BC1503" s="348"/>
      <c r="BD1503" s="581"/>
      <c r="BE1503" s="581"/>
      <c r="BF1503" s="347"/>
      <c r="BG1503" s="347"/>
      <c r="BH1503" s="347"/>
      <c r="BI1503" s="347"/>
      <c r="BJ1503" s="586"/>
      <c r="BK1503" s="581"/>
      <c r="BL1503" s="347"/>
      <c r="BM1503" s="347"/>
      <c r="BN1503" s="347"/>
      <c r="BO1503" s="586"/>
      <c r="BP1503" s="584"/>
      <c r="BQ1503" s="347"/>
      <c r="BR1503" s="586"/>
      <c r="BS1503" s="588"/>
      <c r="BT1503" s="586"/>
      <c r="BU1503" s="589"/>
      <c r="BV1503" s="581"/>
      <c r="BW1503" s="590"/>
      <c r="BX1503" s="347"/>
      <c r="BY1503" s="347"/>
      <c r="BZ1503" s="347"/>
      <c r="CA1503" s="586"/>
      <c r="CB1503" s="581"/>
      <c r="CC1503" s="581"/>
      <c r="CD1503" s="581"/>
      <c r="CE1503" s="581"/>
      <c r="CF1503" s="581"/>
      <c r="CG1503" s="586"/>
      <c r="CH1503" s="608"/>
      <c r="CI1503" s="603"/>
      <c r="CJ1503" s="347"/>
      <c r="CK1503" s="347"/>
      <c r="CL1503" s="347"/>
      <c r="CM1503" s="347"/>
      <c r="CN1503" s="347"/>
      <c r="CO1503" s="347"/>
      <c r="CP1503" s="347"/>
    </row>
    <row r="1504">
      <c r="A1504" s="574"/>
      <c r="B1504" s="574"/>
      <c r="C1504" s="347"/>
      <c r="D1504" s="574"/>
      <c r="E1504" s="347"/>
      <c r="F1504" s="596"/>
      <c r="G1504" s="596"/>
      <c r="H1504" s="347"/>
      <c r="I1504" s="347"/>
      <c r="J1504" s="596"/>
      <c r="K1504" s="609"/>
      <c r="L1504" s="1"/>
      <c r="M1504" s="347"/>
      <c r="N1504" s="347"/>
      <c r="O1504" s="579"/>
      <c r="P1504" s="579"/>
      <c r="Q1504" s="574"/>
      <c r="R1504" s="347"/>
      <c r="S1504" s="597"/>
      <c r="T1504" s="347"/>
      <c r="U1504" s="579"/>
      <c r="V1504" s="579"/>
      <c r="W1504" s="574"/>
      <c r="X1504" s="347"/>
      <c r="Y1504" s="347"/>
      <c r="Z1504" s="347"/>
      <c r="AA1504" s="579"/>
      <c r="AB1504" s="581"/>
      <c r="AC1504" s="347"/>
      <c r="AD1504" s="347"/>
      <c r="AE1504" s="347"/>
      <c r="AF1504" s="347"/>
      <c r="AG1504" s="579"/>
      <c r="AH1504" s="579"/>
      <c r="AI1504" s="582"/>
      <c r="AJ1504" s="582"/>
      <c r="AK1504" s="582"/>
      <c r="AL1504" s="582"/>
      <c r="AM1504" s="579"/>
      <c r="AN1504" s="579"/>
      <c r="AO1504" s="347"/>
      <c r="AP1504" s="586"/>
      <c r="AQ1504" s="596"/>
      <c r="AR1504" s="596"/>
      <c r="AS1504" s="348"/>
      <c r="AT1504" s="348"/>
      <c r="AU1504" s="348"/>
      <c r="AV1504" s="348"/>
      <c r="AW1504" s="348"/>
      <c r="AX1504" s="584"/>
      <c r="AY1504" s="581"/>
      <c r="AZ1504" s="581"/>
      <c r="BA1504" s="596"/>
      <c r="BB1504" s="596"/>
      <c r="BC1504" s="348"/>
      <c r="BD1504" s="581"/>
      <c r="BE1504" s="581"/>
      <c r="BF1504" s="347"/>
      <c r="BG1504" s="347"/>
      <c r="BH1504" s="347"/>
      <c r="BI1504" s="347"/>
      <c r="BJ1504" s="586"/>
      <c r="BK1504" s="581"/>
      <c r="BL1504" s="347"/>
      <c r="BM1504" s="347"/>
      <c r="BN1504" s="347"/>
      <c r="BO1504" s="586"/>
      <c r="BP1504" s="584"/>
      <c r="BQ1504" s="347"/>
      <c r="BR1504" s="586"/>
      <c r="BS1504" s="588"/>
      <c r="BT1504" s="586"/>
      <c r="BU1504" s="589"/>
      <c r="BV1504" s="581"/>
      <c r="BW1504" s="590"/>
      <c r="BX1504" s="347"/>
      <c r="BY1504" s="347"/>
      <c r="BZ1504" s="347"/>
      <c r="CA1504" s="586"/>
      <c r="CB1504" s="581"/>
      <c r="CC1504" s="581"/>
      <c r="CD1504" s="581"/>
      <c r="CE1504" s="581"/>
      <c r="CF1504" s="581"/>
      <c r="CG1504" s="586"/>
      <c r="CH1504" s="608"/>
      <c r="CI1504" s="603"/>
      <c r="CJ1504" s="347"/>
      <c r="CK1504" s="347"/>
      <c r="CL1504" s="347"/>
      <c r="CM1504" s="347"/>
      <c r="CN1504" s="347"/>
      <c r="CO1504" s="347"/>
      <c r="CP1504" s="347"/>
    </row>
    <row r="1505">
      <c r="A1505" s="574"/>
      <c r="B1505" s="574"/>
      <c r="C1505" s="347"/>
      <c r="D1505" s="574"/>
      <c r="E1505" s="347"/>
      <c r="F1505" s="596"/>
      <c r="G1505" s="596"/>
      <c r="H1505" s="347"/>
      <c r="I1505" s="347"/>
      <c r="J1505" s="596"/>
      <c r="K1505" s="609"/>
      <c r="L1505" s="1"/>
      <c r="M1505" s="347"/>
      <c r="N1505" s="347"/>
      <c r="O1505" s="579"/>
      <c r="P1505" s="579"/>
      <c r="Q1505" s="574"/>
      <c r="R1505" s="347"/>
      <c r="S1505" s="597"/>
      <c r="T1505" s="347"/>
      <c r="U1505" s="579"/>
      <c r="V1505" s="579"/>
      <c r="W1505" s="574"/>
      <c r="X1505" s="347"/>
      <c r="Y1505" s="347"/>
      <c r="Z1505" s="347"/>
      <c r="AA1505" s="579"/>
      <c r="AB1505" s="581"/>
      <c r="AC1505" s="347"/>
      <c r="AD1505" s="347"/>
      <c r="AE1505" s="347"/>
      <c r="AF1505" s="347"/>
      <c r="AG1505" s="579"/>
      <c r="AH1505" s="579"/>
      <c r="AI1505" s="582"/>
      <c r="AJ1505" s="582"/>
      <c r="AK1505" s="582"/>
      <c r="AL1505" s="582"/>
      <c r="AM1505" s="579"/>
      <c r="AN1505" s="579"/>
      <c r="AO1505" s="347"/>
      <c r="AP1505" s="586"/>
      <c r="AQ1505" s="596"/>
      <c r="AR1505" s="596"/>
      <c r="AS1505" s="348"/>
      <c r="AT1505" s="348"/>
      <c r="AU1505" s="348"/>
      <c r="AV1505" s="348"/>
      <c r="AW1505" s="348"/>
      <c r="AX1505" s="584"/>
      <c r="AY1505" s="581"/>
      <c r="AZ1505" s="581"/>
      <c r="BA1505" s="596"/>
      <c r="BB1505" s="596"/>
      <c r="BC1505" s="348"/>
      <c r="BD1505" s="581"/>
      <c r="BE1505" s="581"/>
      <c r="BF1505" s="347"/>
      <c r="BG1505" s="347"/>
      <c r="BH1505" s="347"/>
      <c r="BI1505" s="347"/>
      <c r="BJ1505" s="586"/>
      <c r="BK1505" s="581"/>
      <c r="BL1505" s="347"/>
      <c r="BM1505" s="347"/>
      <c r="BN1505" s="347"/>
      <c r="BO1505" s="586"/>
      <c r="BP1505" s="584"/>
      <c r="BQ1505" s="347"/>
      <c r="BR1505" s="586"/>
      <c r="BS1505" s="588"/>
      <c r="BT1505" s="586"/>
      <c r="BU1505" s="589"/>
      <c r="BV1505" s="581"/>
      <c r="BW1505" s="590"/>
      <c r="BX1505" s="347"/>
      <c r="BY1505" s="347"/>
      <c r="BZ1505" s="347"/>
      <c r="CA1505" s="586"/>
      <c r="CB1505" s="581"/>
      <c r="CC1505" s="581"/>
      <c r="CD1505" s="581"/>
      <c r="CE1505" s="581"/>
      <c r="CF1505" s="581"/>
      <c r="CG1505" s="586"/>
      <c r="CH1505" s="608"/>
      <c r="CI1505" s="603"/>
      <c r="CJ1505" s="347"/>
      <c r="CK1505" s="347"/>
      <c r="CL1505" s="347"/>
      <c r="CM1505" s="347"/>
      <c r="CN1505" s="347"/>
      <c r="CO1505" s="347"/>
      <c r="CP1505" s="347"/>
    </row>
    <row r="1506">
      <c r="A1506" s="574"/>
      <c r="B1506" s="574"/>
      <c r="C1506" s="347"/>
      <c r="D1506" s="574"/>
      <c r="E1506" s="347"/>
      <c r="F1506" s="596"/>
      <c r="G1506" s="596"/>
      <c r="H1506" s="347"/>
      <c r="I1506" s="347"/>
      <c r="J1506" s="596"/>
      <c r="K1506" s="609"/>
      <c r="L1506" s="1"/>
      <c r="M1506" s="347"/>
      <c r="N1506" s="347"/>
      <c r="O1506" s="579"/>
      <c r="P1506" s="579"/>
      <c r="Q1506" s="574"/>
      <c r="R1506" s="347"/>
      <c r="S1506" s="597"/>
      <c r="T1506" s="347"/>
      <c r="U1506" s="579"/>
      <c r="V1506" s="579"/>
      <c r="W1506" s="574"/>
      <c r="X1506" s="347"/>
      <c r="Y1506" s="347"/>
      <c r="Z1506" s="347"/>
      <c r="AA1506" s="579"/>
      <c r="AB1506" s="581"/>
      <c r="AC1506" s="347"/>
      <c r="AD1506" s="347"/>
      <c r="AE1506" s="347"/>
      <c r="AF1506" s="347"/>
      <c r="AG1506" s="579"/>
      <c r="AH1506" s="579"/>
      <c r="AI1506" s="582"/>
      <c r="AJ1506" s="582"/>
      <c r="AK1506" s="582"/>
      <c r="AL1506" s="582"/>
      <c r="AM1506" s="579"/>
      <c r="AN1506" s="579"/>
      <c r="AO1506" s="347"/>
      <c r="AP1506" s="586"/>
      <c r="AQ1506" s="596"/>
      <c r="AR1506" s="596"/>
      <c r="AS1506" s="348"/>
      <c r="AT1506" s="348"/>
      <c r="AU1506" s="348"/>
      <c r="AV1506" s="348"/>
      <c r="AW1506" s="348"/>
      <c r="AX1506" s="584"/>
      <c r="AY1506" s="581"/>
      <c r="AZ1506" s="581"/>
      <c r="BA1506" s="596"/>
      <c r="BB1506" s="596"/>
      <c r="BC1506" s="348"/>
      <c r="BD1506" s="581"/>
      <c r="BE1506" s="581"/>
      <c r="BF1506" s="347"/>
      <c r="BG1506" s="347"/>
      <c r="BH1506" s="347"/>
      <c r="BI1506" s="347"/>
      <c r="BJ1506" s="586"/>
      <c r="BK1506" s="581"/>
      <c r="BL1506" s="347"/>
      <c r="BM1506" s="347"/>
      <c r="BN1506" s="347"/>
      <c r="BO1506" s="586"/>
      <c r="BP1506" s="584"/>
      <c r="BQ1506" s="347"/>
      <c r="BR1506" s="586"/>
      <c r="BS1506" s="588"/>
      <c r="BT1506" s="586"/>
      <c r="BU1506" s="589"/>
      <c r="BV1506" s="581"/>
      <c r="BW1506" s="590"/>
      <c r="BX1506" s="347"/>
      <c r="BY1506" s="347"/>
      <c r="BZ1506" s="347"/>
      <c r="CA1506" s="586"/>
      <c r="CB1506" s="581"/>
      <c r="CC1506" s="581"/>
      <c r="CD1506" s="581"/>
      <c r="CE1506" s="581"/>
      <c r="CF1506" s="581"/>
      <c r="CG1506" s="586"/>
      <c r="CH1506" s="608"/>
      <c r="CI1506" s="603"/>
      <c r="CJ1506" s="347"/>
      <c r="CK1506" s="347"/>
      <c r="CL1506" s="347"/>
      <c r="CM1506" s="347"/>
      <c r="CN1506" s="347"/>
      <c r="CO1506" s="347"/>
      <c r="CP1506" s="347"/>
    </row>
    <row r="1507">
      <c r="A1507" s="574"/>
      <c r="B1507" s="574"/>
      <c r="C1507" s="347"/>
      <c r="D1507" s="574"/>
      <c r="E1507" s="347"/>
      <c r="F1507" s="596"/>
      <c r="G1507" s="596"/>
      <c r="H1507" s="347"/>
      <c r="I1507" s="347"/>
      <c r="J1507" s="596"/>
      <c r="K1507" s="609"/>
      <c r="L1507" s="1"/>
      <c r="M1507" s="347"/>
      <c r="N1507" s="347"/>
      <c r="O1507" s="579"/>
      <c r="P1507" s="579"/>
      <c r="Q1507" s="574"/>
      <c r="R1507" s="347"/>
      <c r="S1507" s="597"/>
      <c r="T1507" s="347"/>
      <c r="U1507" s="579"/>
      <c r="V1507" s="579"/>
      <c r="W1507" s="574"/>
      <c r="X1507" s="347"/>
      <c r="Y1507" s="347"/>
      <c r="Z1507" s="347"/>
      <c r="AA1507" s="579"/>
      <c r="AB1507" s="581"/>
      <c r="AC1507" s="347"/>
      <c r="AD1507" s="347"/>
      <c r="AE1507" s="347"/>
      <c r="AF1507" s="347"/>
      <c r="AG1507" s="579"/>
      <c r="AH1507" s="579"/>
      <c r="AI1507" s="582"/>
      <c r="AJ1507" s="582"/>
      <c r="AK1507" s="582"/>
      <c r="AL1507" s="582"/>
      <c r="AM1507" s="579"/>
      <c r="AN1507" s="579"/>
      <c r="AO1507" s="347"/>
      <c r="AP1507" s="586"/>
      <c r="AQ1507" s="596"/>
      <c r="AR1507" s="596"/>
      <c r="AS1507" s="348"/>
      <c r="AT1507" s="348"/>
      <c r="AU1507" s="348"/>
      <c r="AV1507" s="348"/>
      <c r="AW1507" s="348"/>
      <c r="AX1507" s="584"/>
      <c r="AY1507" s="581"/>
      <c r="AZ1507" s="581"/>
      <c r="BA1507" s="596"/>
      <c r="BB1507" s="596"/>
      <c r="BC1507" s="348"/>
      <c r="BD1507" s="581"/>
      <c r="BE1507" s="581"/>
      <c r="BF1507" s="347"/>
      <c r="BG1507" s="347"/>
      <c r="BH1507" s="347"/>
      <c r="BI1507" s="347"/>
      <c r="BJ1507" s="586"/>
      <c r="BK1507" s="581"/>
      <c r="BL1507" s="347"/>
      <c r="BM1507" s="347"/>
      <c r="BN1507" s="347"/>
      <c r="BO1507" s="586"/>
      <c r="BP1507" s="584"/>
      <c r="BQ1507" s="347"/>
      <c r="BR1507" s="586"/>
      <c r="BS1507" s="588"/>
      <c r="BT1507" s="586"/>
      <c r="BU1507" s="589"/>
      <c r="BV1507" s="581"/>
      <c r="BW1507" s="590"/>
      <c r="BX1507" s="347"/>
      <c r="BY1507" s="347"/>
      <c r="BZ1507" s="347"/>
      <c r="CA1507" s="586"/>
      <c r="CB1507" s="581"/>
      <c r="CC1507" s="581"/>
      <c r="CD1507" s="581"/>
      <c r="CE1507" s="581"/>
      <c r="CF1507" s="581"/>
      <c r="CG1507" s="586"/>
      <c r="CH1507" s="608"/>
      <c r="CI1507" s="603"/>
      <c r="CJ1507" s="347"/>
      <c r="CK1507" s="347"/>
      <c r="CL1507" s="347"/>
      <c r="CM1507" s="347"/>
      <c r="CN1507" s="347"/>
      <c r="CO1507" s="347"/>
      <c r="CP1507" s="347"/>
    </row>
    <row r="1508">
      <c r="A1508" s="574"/>
      <c r="B1508" s="574"/>
      <c r="C1508" s="347"/>
      <c r="D1508" s="574"/>
      <c r="E1508" s="347"/>
      <c r="F1508" s="596"/>
      <c r="G1508" s="596"/>
      <c r="H1508" s="347"/>
      <c r="I1508" s="347"/>
      <c r="J1508" s="596"/>
      <c r="K1508" s="609"/>
      <c r="L1508" s="1"/>
      <c r="M1508" s="347"/>
      <c r="N1508" s="347"/>
      <c r="O1508" s="579"/>
      <c r="P1508" s="579"/>
      <c r="Q1508" s="574"/>
      <c r="R1508" s="347"/>
      <c r="S1508" s="597"/>
      <c r="T1508" s="347"/>
      <c r="U1508" s="579"/>
      <c r="V1508" s="579"/>
      <c r="W1508" s="574"/>
      <c r="X1508" s="347"/>
      <c r="Y1508" s="347"/>
      <c r="Z1508" s="347"/>
      <c r="AA1508" s="579"/>
      <c r="AB1508" s="581"/>
      <c r="AC1508" s="347"/>
      <c r="AD1508" s="347"/>
      <c r="AE1508" s="347"/>
      <c r="AF1508" s="347"/>
      <c r="AG1508" s="579"/>
      <c r="AH1508" s="579"/>
      <c r="AI1508" s="582"/>
      <c r="AJ1508" s="582"/>
      <c r="AK1508" s="582"/>
      <c r="AL1508" s="582"/>
      <c r="AM1508" s="579"/>
      <c r="AN1508" s="579"/>
      <c r="AO1508" s="347"/>
      <c r="AP1508" s="586"/>
      <c r="AQ1508" s="596"/>
      <c r="AR1508" s="596"/>
      <c r="AS1508" s="348"/>
      <c r="AT1508" s="348"/>
      <c r="AU1508" s="348"/>
      <c r="AV1508" s="348"/>
      <c r="AW1508" s="348"/>
      <c r="AX1508" s="584"/>
      <c r="AY1508" s="581"/>
      <c r="AZ1508" s="581"/>
      <c r="BA1508" s="596"/>
      <c r="BB1508" s="596"/>
      <c r="BC1508" s="348"/>
      <c r="BD1508" s="581"/>
      <c r="BE1508" s="581"/>
      <c r="BF1508" s="347"/>
      <c r="BG1508" s="347"/>
      <c r="BH1508" s="347"/>
      <c r="BI1508" s="347"/>
      <c r="BJ1508" s="586"/>
      <c r="BK1508" s="581"/>
      <c r="BL1508" s="347"/>
      <c r="BM1508" s="347"/>
      <c r="BN1508" s="347"/>
      <c r="BO1508" s="586"/>
      <c r="BP1508" s="584"/>
      <c r="BQ1508" s="347"/>
      <c r="BR1508" s="586"/>
      <c r="BS1508" s="588"/>
      <c r="BT1508" s="586"/>
      <c r="BU1508" s="589"/>
      <c r="BV1508" s="581"/>
      <c r="BW1508" s="590"/>
      <c r="BX1508" s="347"/>
      <c r="BY1508" s="347"/>
      <c r="BZ1508" s="347"/>
      <c r="CA1508" s="586"/>
      <c r="CB1508" s="581"/>
      <c r="CC1508" s="581"/>
      <c r="CD1508" s="581"/>
      <c r="CE1508" s="581"/>
      <c r="CF1508" s="581"/>
      <c r="CG1508" s="586"/>
      <c r="CH1508" s="608"/>
      <c r="CI1508" s="603"/>
      <c r="CJ1508" s="347"/>
      <c r="CK1508" s="347"/>
      <c r="CL1508" s="347"/>
      <c r="CM1508" s="347"/>
      <c r="CN1508" s="347"/>
      <c r="CO1508" s="347"/>
      <c r="CP1508" s="347"/>
    </row>
    <row r="1509">
      <c r="A1509" s="574"/>
      <c r="B1509" s="574"/>
      <c r="C1509" s="347"/>
      <c r="D1509" s="574"/>
      <c r="E1509" s="347"/>
      <c r="F1509" s="596"/>
      <c r="G1509" s="596"/>
      <c r="H1509" s="347"/>
      <c r="I1509" s="347"/>
      <c r="J1509" s="596"/>
      <c r="K1509" s="609"/>
      <c r="L1509" s="1"/>
      <c r="M1509" s="347"/>
      <c r="N1509" s="347"/>
      <c r="O1509" s="579"/>
      <c r="P1509" s="579"/>
      <c r="Q1509" s="574"/>
      <c r="R1509" s="347"/>
      <c r="S1509" s="597"/>
      <c r="T1509" s="347"/>
      <c r="U1509" s="579"/>
      <c r="V1509" s="579"/>
      <c r="W1509" s="574"/>
      <c r="X1509" s="347"/>
      <c r="Y1509" s="347"/>
      <c r="Z1509" s="347"/>
      <c r="AA1509" s="579"/>
      <c r="AB1509" s="581"/>
      <c r="AC1509" s="347"/>
      <c r="AD1509" s="347"/>
      <c r="AE1509" s="347"/>
      <c r="AF1509" s="347"/>
      <c r="AG1509" s="579"/>
      <c r="AH1509" s="579"/>
      <c r="AI1509" s="582"/>
      <c r="AJ1509" s="582"/>
      <c r="AK1509" s="582"/>
      <c r="AL1509" s="582"/>
      <c r="AM1509" s="579"/>
      <c r="AN1509" s="579"/>
      <c r="AO1509" s="347"/>
      <c r="AP1509" s="586"/>
      <c r="AQ1509" s="596"/>
      <c r="AR1509" s="596"/>
      <c r="AS1509" s="348"/>
      <c r="AT1509" s="348"/>
      <c r="AU1509" s="348"/>
      <c r="AV1509" s="348"/>
      <c r="AW1509" s="348"/>
      <c r="AX1509" s="584"/>
      <c r="AY1509" s="581"/>
      <c r="AZ1509" s="581"/>
      <c r="BA1509" s="596"/>
      <c r="BB1509" s="596"/>
      <c r="BC1509" s="348"/>
      <c r="BD1509" s="581"/>
      <c r="BE1509" s="581"/>
      <c r="BF1509" s="347"/>
      <c r="BG1509" s="347"/>
      <c r="BH1509" s="347"/>
      <c r="BI1509" s="347"/>
      <c r="BJ1509" s="586"/>
      <c r="BK1509" s="581"/>
      <c r="BL1509" s="347"/>
      <c r="BM1509" s="347"/>
      <c r="BN1509" s="347"/>
      <c r="BO1509" s="586"/>
      <c r="BP1509" s="584"/>
      <c r="BQ1509" s="347"/>
      <c r="BR1509" s="586"/>
      <c r="BS1509" s="588"/>
      <c r="BT1509" s="586"/>
      <c r="BU1509" s="589"/>
      <c r="BV1509" s="581"/>
      <c r="BW1509" s="590"/>
      <c r="BX1509" s="347"/>
      <c r="BY1509" s="347"/>
      <c r="BZ1509" s="347"/>
      <c r="CA1509" s="586"/>
      <c r="CB1509" s="581"/>
      <c r="CC1509" s="581"/>
      <c r="CD1509" s="581"/>
      <c r="CE1509" s="581"/>
      <c r="CF1509" s="581"/>
      <c r="CG1509" s="586"/>
      <c r="CH1509" s="608"/>
      <c r="CI1509" s="603"/>
      <c r="CJ1509" s="347"/>
      <c r="CK1509" s="347"/>
      <c r="CL1509" s="347"/>
      <c r="CM1509" s="347"/>
      <c r="CN1509" s="347"/>
      <c r="CO1509" s="347"/>
      <c r="CP1509" s="347"/>
    </row>
    <row r="1510">
      <c r="A1510" s="574"/>
      <c r="B1510" s="574"/>
      <c r="C1510" s="347"/>
      <c r="D1510" s="574"/>
      <c r="E1510" s="347"/>
      <c r="F1510" s="596"/>
      <c r="G1510" s="596"/>
      <c r="H1510" s="347"/>
      <c r="I1510" s="347"/>
      <c r="J1510" s="596"/>
      <c r="K1510" s="609"/>
      <c r="L1510" s="1"/>
      <c r="M1510" s="347"/>
      <c r="N1510" s="347"/>
      <c r="O1510" s="579"/>
      <c r="P1510" s="579"/>
      <c r="Q1510" s="574"/>
      <c r="R1510" s="347"/>
      <c r="S1510" s="597"/>
      <c r="T1510" s="347"/>
      <c r="U1510" s="579"/>
      <c r="V1510" s="579"/>
      <c r="W1510" s="574"/>
      <c r="X1510" s="347"/>
      <c r="Y1510" s="347"/>
      <c r="Z1510" s="347"/>
      <c r="AA1510" s="579"/>
      <c r="AB1510" s="581"/>
      <c r="AC1510" s="347"/>
      <c r="AD1510" s="347"/>
      <c r="AE1510" s="347"/>
      <c r="AF1510" s="347"/>
      <c r="AG1510" s="579"/>
      <c r="AH1510" s="579"/>
      <c r="AI1510" s="582"/>
      <c r="AJ1510" s="582"/>
      <c r="AK1510" s="582"/>
      <c r="AL1510" s="582"/>
      <c r="AM1510" s="579"/>
      <c r="AN1510" s="579"/>
      <c r="AO1510" s="347"/>
      <c r="AP1510" s="586"/>
      <c r="AQ1510" s="596"/>
      <c r="AR1510" s="596"/>
      <c r="AS1510" s="348"/>
      <c r="AT1510" s="348"/>
      <c r="AU1510" s="348"/>
      <c r="AV1510" s="348"/>
      <c r="AW1510" s="348"/>
      <c r="AX1510" s="584"/>
      <c r="AY1510" s="581"/>
      <c r="AZ1510" s="581"/>
      <c r="BA1510" s="596"/>
      <c r="BB1510" s="596"/>
      <c r="BC1510" s="348"/>
      <c r="BD1510" s="581"/>
      <c r="BE1510" s="581"/>
      <c r="BF1510" s="347"/>
      <c r="BG1510" s="347"/>
      <c r="BH1510" s="347"/>
      <c r="BI1510" s="347"/>
      <c r="BJ1510" s="586"/>
      <c r="BK1510" s="581"/>
      <c r="BL1510" s="347"/>
      <c r="BM1510" s="347"/>
      <c r="BN1510" s="347"/>
      <c r="BO1510" s="586"/>
      <c r="BP1510" s="584"/>
      <c r="BQ1510" s="347"/>
      <c r="BR1510" s="586"/>
      <c r="BS1510" s="588"/>
      <c r="BT1510" s="586"/>
      <c r="BU1510" s="589"/>
      <c r="BV1510" s="581"/>
      <c r="BW1510" s="590"/>
      <c r="BX1510" s="347"/>
      <c r="BY1510" s="347"/>
      <c r="BZ1510" s="347"/>
      <c r="CA1510" s="586"/>
      <c r="CB1510" s="581"/>
      <c r="CC1510" s="581"/>
      <c r="CD1510" s="581"/>
      <c r="CE1510" s="581"/>
      <c r="CF1510" s="581"/>
      <c r="CG1510" s="586"/>
      <c r="CH1510" s="608"/>
      <c r="CI1510" s="603"/>
      <c r="CJ1510" s="347"/>
      <c r="CK1510" s="347"/>
      <c r="CL1510" s="347"/>
      <c r="CM1510" s="347"/>
      <c r="CN1510" s="347"/>
      <c r="CO1510" s="347"/>
      <c r="CP1510" s="347"/>
    </row>
    <row r="1511">
      <c r="A1511" s="574"/>
      <c r="B1511" s="574"/>
      <c r="C1511" s="347"/>
      <c r="D1511" s="574"/>
      <c r="E1511" s="347"/>
      <c r="F1511" s="596"/>
      <c r="G1511" s="596"/>
      <c r="H1511" s="347"/>
      <c r="I1511" s="347"/>
      <c r="J1511" s="596"/>
      <c r="K1511" s="609"/>
      <c r="L1511" s="1"/>
      <c r="M1511" s="347"/>
      <c r="N1511" s="347"/>
      <c r="O1511" s="579"/>
      <c r="P1511" s="579"/>
      <c r="Q1511" s="574"/>
      <c r="R1511" s="347"/>
      <c r="S1511" s="597"/>
      <c r="T1511" s="347"/>
      <c r="U1511" s="579"/>
      <c r="V1511" s="579"/>
      <c r="W1511" s="574"/>
      <c r="X1511" s="347"/>
      <c r="Y1511" s="347"/>
      <c r="Z1511" s="347"/>
      <c r="AA1511" s="579"/>
      <c r="AB1511" s="581"/>
      <c r="AC1511" s="347"/>
      <c r="AD1511" s="347"/>
      <c r="AE1511" s="347"/>
      <c r="AF1511" s="347"/>
      <c r="AG1511" s="579"/>
      <c r="AH1511" s="579"/>
      <c r="AI1511" s="582"/>
      <c r="AJ1511" s="582"/>
      <c r="AK1511" s="582"/>
      <c r="AL1511" s="582"/>
      <c r="AM1511" s="579"/>
      <c r="AN1511" s="579"/>
      <c r="AO1511" s="347"/>
      <c r="AP1511" s="586"/>
      <c r="AQ1511" s="596"/>
      <c r="AR1511" s="596"/>
      <c r="AS1511" s="348"/>
      <c r="AT1511" s="348"/>
      <c r="AU1511" s="348"/>
      <c r="AV1511" s="348"/>
      <c r="AW1511" s="348"/>
      <c r="AX1511" s="584"/>
      <c r="AY1511" s="581"/>
      <c r="AZ1511" s="581"/>
      <c r="BA1511" s="596"/>
      <c r="BB1511" s="596"/>
      <c r="BC1511" s="348"/>
      <c r="BD1511" s="581"/>
      <c r="BE1511" s="581"/>
      <c r="BF1511" s="347"/>
      <c r="BG1511" s="347"/>
      <c r="BH1511" s="347"/>
      <c r="BI1511" s="347"/>
      <c r="BJ1511" s="586"/>
      <c r="BK1511" s="581"/>
      <c r="BL1511" s="347"/>
      <c r="BM1511" s="347"/>
      <c r="BN1511" s="347"/>
      <c r="BO1511" s="586"/>
      <c r="BP1511" s="584"/>
      <c r="BQ1511" s="347"/>
      <c r="BR1511" s="586"/>
      <c r="BS1511" s="588"/>
      <c r="BT1511" s="586"/>
      <c r="BU1511" s="589"/>
      <c r="BV1511" s="581"/>
      <c r="BW1511" s="590"/>
      <c r="BX1511" s="347"/>
      <c r="BY1511" s="347"/>
      <c r="BZ1511" s="347"/>
      <c r="CA1511" s="586"/>
      <c r="CB1511" s="581"/>
      <c r="CC1511" s="581"/>
      <c r="CD1511" s="581"/>
      <c r="CE1511" s="581"/>
      <c r="CF1511" s="581"/>
      <c r="CG1511" s="586"/>
      <c r="CH1511" s="608"/>
      <c r="CI1511" s="603"/>
      <c r="CJ1511" s="347"/>
      <c r="CK1511" s="347"/>
      <c r="CL1511" s="347"/>
      <c r="CM1511" s="347"/>
      <c r="CN1511" s="347"/>
      <c r="CO1511" s="347"/>
      <c r="CP1511" s="347"/>
    </row>
    <row r="1512">
      <c r="A1512" s="574"/>
      <c r="B1512" s="574"/>
      <c r="C1512" s="347"/>
      <c r="D1512" s="574"/>
      <c r="E1512" s="347"/>
      <c r="F1512" s="596"/>
      <c r="G1512" s="596"/>
      <c r="H1512" s="347"/>
      <c r="I1512" s="347"/>
      <c r="J1512" s="596"/>
      <c r="K1512" s="609"/>
      <c r="L1512" s="1"/>
      <c r="M1512" s="347"/>
      <c r="N1512" s="347"/>
      <c r="O1512" s="579"/>
      <c r="P1512" s="579"/>
      <c r="Q1512" s="574"/>
      <c r="R1512" s="347"/>
      <c r="S1512" s="597"/>
      <c r="T1512" s="347"/>
      <c r="U1512" s="579"/>
      <c r="V1512" s="579"/>
      <c r="W1512" s="574"/>
      <c r="X1512" s="347"/>
      <c r="Y1512" s="347"/>
      <c r="Z1512" s="347"/>
      <c r="AA1512" s="579"/>
      <c r="AB1512" s="581"/>
      <c r="AC1512" s="347"/>
      <c r="AD1512" s="347"/>
      <c r="AE1512" s="347"/>
      <c r="AF1512" s="347"/>
      <c r="AG1512" s="579"/>
      <c r="AH1512" s="579"/>
      <c r="AI1512" s="582"/>
      <c r="AJ1512" s="582"/>
      <c r="AK1512" s="582"/>
      <c r="AL1512" s="582"/>
      <c r="AM1512" s="579"/>
      <c r="AN1512" s="579"/>
      <c r="AO1512" s="347"/>
      <c r="AP1512" s="586"/>
      <c r="AQ1512" s="596"/>
      <c r="AR1512" s="596"/>
      <c r="AS1512" s="348"/>
      <c r="AT1512" s="348"/>
      <c r="AU1512" s="348"/>
      <c r="AV1512" s="348"/>
      <c r="AW1512" s="348"/>
      <c r="AX1512" s="584"/>
      <c r="AY1512" s="581"/>
      <c r="AZ1512" s="581"/>
      <c r="BA1512" s="596"/>
      <c r="BB1512" s="596"/>
      <c r="BC1512" s="348"/>
      <c r="BD1512" s="581"/>
      <c r="BE1512" s="581"/>
      <c r="BF1512" s="347"/>
      <c r="BG1512" s="347"/>
      <c r="BH1512" s="347"/>
      <c r="BI1512" s="347"/>
      <c r="BJ1512" s="586"/>
      <c r="BK1512" s="581"/>
      <c r="BL1512" s="347"/>
      <c r="BM1512" s="347"/>
      <c r="BN1512" s="347"/>
      <c r="BO1512" s="586"/>
      <c r="BP1512" s="584"/>
      <c r="BQ1512" s="347"/>
      <c r="BR1512" s="586"/>
      <c r="BS1512" s="588"/>
      <c r="BT1512" s="586"/>
      <c r="BU1512" s="589"/>
      <c r="BV1512" s="581"/>
      <c r="BW1512" s="590"/>
      <c r="BX1512" s="347"/>
      <c r="BY1512" s="347"/>
      <c r="BZ1512" s="347"/>
      <c r="CA1512" s="586"/>
      <c r="CB1512" s="581"/>
      <c r="CC1512" s="581"/>
      <c r="CD1512" s="581"/>
      <c r="CE1512" s="581"/>
      <c r="CF1512" s="581"/>
      <c r="CG1512" s="586"/>
      <c r="CH1512" s="608"/>
      <c r="CI1512" s="603"/>
      <c r="CJ1512" s="347"/>
      <c r="CK1512" s="347"/>
      <c r="CL1512" s="347"/>
      <c r="CM1512" s="347"/>
      <c r="CN1512" s="347"/>
      <c r="CO1512" s="347"/>
      <c r="CP1512" s="347"/>
    </row>
    <row r="1513">
      <c r="A1513" s="574"/>
      <c r="B1513" s="574"/>
      <c r="C1513" s="347"/>
      <c r="D1513" s="574"/>
      <c r="E1513" s="347"/>
      <c r="F1513" s="596"/>
      <c r="G1513" s="596"/>
      <c r="H1513" s="347"/>
      <c r="I1513" s="347"/>
      <c r="J1513" s="596"/>
      <c r="K1513" s="609"/>
      <c r="L1513" s="1"/>
      <c r="M1513" s="347"/>
      <c r="N1513" s="347"/>
      <c r="O1513" s="579"/>
      <c r="P1513" s="579"/>
      <c r="Q1513" s="574"/>
      <c r="R1513" s="347"/>
      <c r="S1513" s="597"/>
      <c r="T1513" s="347"/>
      <c r="U1513" s="579"/>
      <c r="V1513" s="579"/>
      <c r="W1513" s="574"/>
      <c r="X1513" s="347"/>
      <c r="Y1513" s="347"/>
      <c r="Z1513" s="347"/>
      <c r="AA1513" s="579"/>
      <c r="AB1513" s="581"/>
      <c r="AC1513" s="347"/>
      <c r="AD1513" s="347"/>
      <c r="AE1513" s="347"/>
      <c r="AF1513" s="347"/>
      <c r="AG1513" s="579"/>
      <c r="AH1513" s="579"/>
      <c r="AI1513" s="582"/>
      <c r="AJ1513" s="582"/>
      <c r="AK1513" s="582"/>
      <c r="AL1513" s="582"/>
      <c r="AM1513" s="579"/>
      <c r="AN1513" s="579"/>
      <c r="AO1513" s="347"/>
      <c r="AP1513" s="586"/>
      <c r="AQ1513" s="596"/>
      <c r="AR1513" s="596"/>
      <c r="AS1513" s="348"/>
      <c r="AT1513" s="348"/>
      <c r="AU1513" s="348"/>
      <c r="AV1513" s="348"/>
      <c r="AW1513" s="348"/>
      <c r="AX1513" s="584"/>
      <c r="AY1513" s="581"/>
      <c r="AZ1513" s="581"/>
      <c r="BA1513" s="596"/>
      <c r="BB1513" s="596"/>
      <c r="BC1513" s="348"/>
      <c r="BD1513" s="581"/>
      <c r="BE1513" s="581"/>
      <c r="BF1513" s="347"/>
      <c r="BG1513" s="347"/>
      <c r="BH1513" s="347"/>
      <c r="BI1513" s="347"/>
      <c r="BJ1513" s="586"/>
      <c r="BK1513" s="581"/>
      <c r="BL1513" s="347"/>
      <c r="BM1513" s="347"/>
      <c r="BN1513" s="347"/>
      <c r="BO1513" s="586"/>
      <c r="BP1513" s="584"/>
      <c r="BQ1513" s="347"/>
      <c r="BR1513" s="586"/>
      <c r="BS1513" s="588"/>
      <c r="BT1513" s="586"/>
      <c r="BU1513" s="589"/>
      <c r="BV1513" s="581"/>
      <c r="BW1513" s="590"/>
      <c r="BX1513" s="347"/>
      <c r="BY1513" s="347"/>
      <c r="BZ1513" s="347"/>
      <c r="CA1513" s="586"/>
      <c r="CB1513" s="581"/>
      <c r="CC1513" s="581"/>
      <c r="CD1513" s="581"/>
      <c r="CE1513" s="581"/>
      <c r="CF1513" s="581"/>
      <c r="CG1513" s="586"/>
      <c r="CH1513" s="608"/>
      <c r="CI1513" s="603"/>
      <c r="CJ1513" s="347"/>
      <c r="CK1513" s="347"/>
      <c r="CL1513" s="347"/>
      <c r="CM1513" s="347"/>
      <c r="CN1513" s="347"/>
      <c r="CO1513" s="347"/>
      <c r="CP1513" s="347"/>
    </row>
    <row r="1514">
      <c r="A1514" s="574"/>
      <c r="B1514" s="574"/>
      <c r="C1514" s="347"/>
      <c r="D1514" s="574"/>
      <c r="E1514" s="347"/>
      <c r="F1514" s="596"/>
      <c r="G1514" s="596"/>
      <c r="H1514" s="347"/>
      <c r="I1514" s="347"/>
      <c r="J1514" s="596"/>
      <c r="K1514" s="609"/>
      <c r="L1514" s="1"/>
      <c r="M1514" s="347"/>
      <c r="N1514" s="347"/>
      <c r="O1514" s="579"/>
      <c r="P1514" s="579"/>
      <c r="Q1514" s="574"/>
      <c r="R1514" s="347"/>
      <c r="S1514" s="597"/>
      <c r="T1514" s="347"/>
      <c r="U1514" s="579"/>
      <c r="V1514" s="579"/>
      <c r="W1514" s="574"/>
      <c r="X1514" s="347"/>
      <c r="Y1514" s="347"/>
      <c r="Z1514" s="347"/>
      <c r="AA1514" s="579"/>
      <c r="AB1514" s="581"/>
      <c r="AC1514" s="347"/>
      <c r="AD1514" s="347"/>
      <c r="AE1514" s="347"/>
      <c r="AF1514" s="347"/>
      <c r="AG1514" s="579"/>
      <c r="AH1514" s="579"/>
      <c r="AI1514" s="582"/>
      <c r="AJ1514" s="582"/>
      <c r="AK1514" s="582"/>
      <c r="AL1514" s="582"/>
      <c r="AM1514" s="579"/>
      <c r="AN1514" s="579"/>
      <c r="AO1514" s="347"/>
      <c r="AP1514" s="586"/>
      <c r="AQ1514" s="596"/>
      <c r="AR1514" s="596"/>
      <c r="AS1514" s="348"/>
      <c r="AT1514" s="348"/>
      <c r="AU1514" s="348"/>
      <c r="AV1514" s="348"/>
      <c r="AW1514" s="348"/>
      <c r="AX1514" s="584"/>
      <c r="AY1514" s="581"/>
      <c r="AZ1514" s="581"/>
      <c r="BA1514" s="596"/>
      <c r="BB1514" s="596"/>
      <c r="BC1514" s="348"/>
      <c r="BD1514" s="581"/>
      <c r="BE1514" s="581"/>
      <c r="BF1514" s="347"/>
      <c r="BG1514" s="347"/>
      <c r="BH1514" s="347"/>
      <c r="BI1514" s="347"/>
      <c r="BJ1514" s="586"/>
      <c r="BK1514" s="581"/>
      <c r="BL1514" s="347"/>
      <c r="BM1514" s="347"/>
      <c r="BN1514" s="347"/>
      <c r="BO1514" s="586"/>
      <c r="BP1514" s="584"/>
      <c r="BQ1514" s="347"/>
      <c r="BR1514" s="586"/>
      <c r="BS1514" s="588"/>
      <c r="BT1514" s="586"/>
      <c r="BU1514" s="589"/>
      <c r="BV1514" s="581"/>
      <c r="BW1514" s="590"/>
      <c r="BX1514" s="347"/>
      <c r="BY1514" s="347"/>
      <c r="BZ1514" s="347"/>
      <c r="CA1514" s="586"/>
      <c r="CB1514" s="581"/>
      <c r="CC1514" s="581"/>
      <c r="CD1514" s="581"/>
      <c r="CE1514" s="581"/>
      <c r="CF1514" s="581"/>
      <c r="CG1514" s="586"/>
      <c r="CH1514" s="608"/>
      <c r="CI1514" s="603"/>
      <c r="CJ1514" s="347"/>
      <c r="CK1514" s="347"/>
      <c r="CL1514" s="347"/>
      <c r="CM1514" s="347"/>
      <c r="CN1514" s="347"/>
      <c r="CO1514" s="347"/>
      <c r="CP1514" s="347"/>
    </row>
    <row r="1515">
      <c r="A1515" s="574"/>
      <c r="B1515" s="574"/>
      <c r="C1515" s="347"/>
      <c r="D1515" s="574"/>
      <c r="E1515" s="347"/>
      <c r="F1515" s="596"/>
      <c r="G1515" s="596"/>
      <c r="H1515" s="347"/>
      <c r="I1515" s="347"/>
      <c r="J1515" s="596"/>
      <c r="K1515" s="609"/>
      <c r="L1515" s="1"/>
      <c r="M1515" s="347"/>
      <c r="N1515" s="347"/>
      <c r="O1515" s="579"/>
      <c r="P1515" s="579"/>
      <c r="Q1515" s="574"/>
      <c r="R1515" s="347"/>
      <c r="S1515" s="597"/>
      <c r="T1515" s="347"/>
      <c r="U1515" s="579"/>
      <c r="V1515" s="579"/>
      <c r="W1515" s="574"/>
      <c r="X1515" s="347"/>
      <c r="Y1515" s="347"/>
      <c r="Z1515" s="347"/>
      <c r="AA1515" s="579"/>
      <c r="AB1515" s="581"/>
      <c r="AC1515" s="347"/>
      <c r="AD1515" s="347"/>
      <c r="AE1515" s="347"/>
      <c r="AF1515" s="347"/>
      <c r="AG1515" s="579"/>
      <c r="AH1515" s="579"/>
      <c r="AI1515" s="582"/>
      <c r="AJ1515" s="582"/>
      <c r="AK1515" s="582"/>
      <c r="AL1515" s="582"/>
      <c r="AM1515" s="579"/>
      <c r="AN1515" s="579"/>
      <c r="AO1515" s="347"/>
      <c r="AP1515" s="586"/>
      <c r="AQ1515" s="596"/>
      <c r="AR1515" s="596"/>
      <c r="AS1515" s="348"/>
      <c r="AT1515" s="348"/>
      <c r="AU1515" s="348"/>
      <c r="AV1515" s="348"/>
      <c r="AW1515" s="348"/>
      <c r="AX1515" s="584"/>
      <c r="AY1515" s="581"/>
      <c r="AZ1515" s="581"/>
      <c r="BA1515" s="596"/>
      <c r="BB1515" s="596"/>
      <c r="BC1515" s="348"/>
      <c r="BD1515" s="581"/>
      <c r="BE1515" s="581"/>
      <c r="BF1515" s="347"/>
      <c r="BG1515" s="347"/>
      <c r="BH1515" s="347"/>
      <c r="BI1515" s="347"/>
      <c r="BJ1515" s="586"/>
      <c r="BK1515" s="581"/>
      <c r="BL1515" s="347"/>
      <c r="BM1515" s="347"/>
      <c r="BN1515" s="347"/>
      <c r="BO1515" s="586"/>
      <c r="BP1515" s="584"/>
      <c r="BQ1515" s="347"/>
      <c r="BR1515" s="586"/>
      <c r="BS1515" s="588"/>
      <c r="BT1515" s="586"/>
      <c r="BU1515" s="589"/>
      <c r="BV1515" s="581"/>
      <c r="BW1515" s="590"/>
      <c r="BX1515" s="347"/>
      <c r="BY1515" s="347"/>
      <c r="BZ1515" s="347"/>
      <c r="CA1515" s="586"/>
      <c r="CB1515" s="581"/>
      <c r="CC1515" s="581"/>
      <c r="CD1515" s="581"/>
      <c r="CE1515" s="581"/>
      <c r="CF1515" s="581"/>
      <c r="CG1515" s="586"/>
      <c r="CH1515" s="608"/>
      <c r="CI1515" s="603"/>
      <c r="CJ1515" s="347"/>
      <c r="CK1515" s="347"/>
      <c r="CL1515" s="347"/>
      <c r="CM1515" s="347"/>
      <c r="CN1515" s="347"/>
      <c r="CO1515" s="347"/>
      <c r="CP1515" s="347"/>
    </row>
    <row r="1516">
      <c r="A1516" s="574"/>
      <c r="B1516" s="574"/>
      <c r="C1516" s="347"/>
      <c r="D1516" s="574"/>
      <c r="E1516" s="347"/>
      <c r="F1516" s="596"/>
      <c r="G1516" s="596"/>
      <c r="H1516" s="347"/>
      <c r="I1516" s="347"/>
      <c r="J1516" s="596"/>
      <c r="K1516" s="609"/>
      <c r="L1516" s="1"/>
      <c r="M1516" s="347"/>
      <c r="N1516" s="347"/>
      <c r="O1516" s="579"/>
      <c r="P1516" s="579"/>
      <c r="Q1516" s="574"/>
      <c r="R1516" s="347"/>
      <c r="S1516" s="597"/>
      <c r="T1516" s="347"/>
      <c r="U1516" s="579"/>
      <c r="V1516" s="579"/>
      <c r="W1516" s="574"/>
      <c r="X1516" s="347"/>
      <c r="Y1516" s="347"/>
      <c r="Z1516" s="347"/>
      <c r="AA1516" s="579"/>
      <c r="AB1516" s="581"/>
      <c r="AC1516" s="347"/>
      <c r="AD1516" s="347"/>
      <c r="AE1516" s="347"/>
      <c r="AF1516" s="347"/>
      <c r="AG1516" s="579"/>
      <c r="AH1516" s="579"/>
      <c r="AI1516" s="582"/>
      <c r="AJ1516" s="582"/>
      <c r="AK1516" s="582"/>
      <c r="AL1516" s="582"/>
      <c r="AM1516" s="579"/>
      <c r="AN1516" s="579"/>
      <c r="AO1516" s="347"/>
      <c r="AP1516" s="586"/>
      <c r="AQ1516" s="596"/>
      <c r="AR1516" s="596"/>
      <c r="AS1516" s="348"/>
      <c r="AT1516" s="348"/>
      <c r="AU1516" s="348"/>
      <c r="AV1516" s="348"/>
      <c r="AW1516" s="348"/>
      <c r="AX1516" s="584"/>
      <c r="AY1516" s="581"/>
      <c r="AZ1516" s="581"/>
      <c r="BA1516" s="596"/>
      <c r="BB1516" s="596"/>
      <c r="BC1516" s="348"/>
      <c r="BD1516" s="581"/>
      <c r="BE1516" s="581"/>
      <c r="BF1516" s="347"/>
      <c r="BG1516" s="347"/>
      <c r="BH1516" s="347"/>
      <c r="BI1516" s="347"/>
      <c r="BJ1516" s="586"/>
      <c r="BK1516" s="581"/>
      <c r="BL1516" s="347"/>
      <c r="BM1516" s="347"/>
      <c r="BN1516" s="347"/>
      <c r="BO1516" s="586"/>
      <c r="BP1516" s="584"/>
      <c r="BQ1516" s="347"/>
      <c r="BR1516" s="586"/>
      <c r="BS1516" s="588"/>
      <c r="BT1516" s="586"/>
      <c r="BU1516" s="589"/>
      <c r="BV1516" s="581"/>
      <c r="BW1516" s="590"/>
      <c r="BX1516" s="347"/>
      <c r="BY1516" s="347"/>
      <c r="BZ1516" s="347"/>
      <c r="CA1516" s="586"/>
      <c r="CB1516" s="581"/>
      <c r="CC1516" s="581"/>
      <c r="CD1516" s="581"/>
      <c r="CE1516" s="581"/>
      <c r="CF1516" s="581"/>
      <c r="CG1516" s="586"/>
      <c r="CH1516" s="608"/>
      <c r="CI1516" s="603"/>
      <c r="CJ1516" s="347"/>
      <c r="CK1516" s="347"/>
      <c r="CL1516" s="347"/>
      <c r="CM1516" s="347"/>
      <c r="CN1516" s="347"/>
      <c r="CO1516" s="347"/>
      <c r="CP1516" s="347"/>
    </row>
    <row r="1517">
      <c r="A1517" s="574"/>
      <c r="B1517" s="574"/>
      <c r="C1517" s="347"/>
      <c r="D1517" s="574"/>
      <c r="E1517" s="347"/>
      <c r="F1517" s="596"/>
      <c r="G1517" s="596"/>
      <c r="H1517" s="347"/>
      <c r="I1517" s="347"/>
      <c r="J1517" s="596"/>
      <c r="K1517" s="609"/>
      <c r="L1517" s="1"/>
      <c r="M1517" s="347"/>
      <c r="N1517" s="347"/>
      <c r="O1517" s="579"/>
      <c r="P1517" s="579"/>
      <c r="Q1517" s="574"/>
      <c r="R1517" s="347"/>
      <c r="S1517" s="597"/>
      <c r="T1517" s="347"/>
      <c r="U1517" s="579"/>
      <c r="V1517" s="579"/>
      <c r="W1517" s="574"/>
      <c r="X1517" s="347"/>
      <c r="Y1517" s="347"/>
      <c r="Z1517" s="347"/>
      <c r="AA1517" s="579"/>
      <c r="AB1517" s="581"/>
      <c r="AC1517" s="347"/>
      <c r="AD1517" s="347"/>
      <c r="AE1517" s="347"/>
      <c r="AF1517" s="347"/>
      <c r="AG1517" s="579"/>
      <c r="AH1517" s="579"/>
      <c r="AI1517" s="582"/>
      <c r="AJ1517" s="582"/>
      <c r="AK1517" s="582"/>
      <c r="AL1517" s="582"/>
      <c r="AM1517" s="579"/>
      <c r="AN1517" s="579"/>
      <c r="AO1517" s="347"/>
      <c r="AP1517" s="586"/>
      <c r="AQ1517" s="596"/>
      <c r="AR1517" s="596"/>
      <c r="AS1517" s="348"/>
      <c r="AT1517" s="348"/>
      <c r="AU1517" s="348"/>
      <c r="AV1517" s="348"/>
      <c r="AW1517" s="348"/>
      <c r="AX1517" s="584"/>
      <c r="AY1517" s="581"/>
      <c r="AZ1517" s="581"/>
      <c r="BA1517" s="596"/>
      <c r="BB1517" s="596"/>
      <c r="BC1517" s="348"/>
      <c r="BD1517" s="581"/>
      <c r="BE1517" s="581"/>
      <c r="BF1517" s="347"/>
      <c r="BG1517" s="347"/>
      <c r="BH1517" s="347"/>
      <c r="BI1517" s="347"/>
      <c r="BJ1517" s="586"/>
      <c r="BK1517" s="581"/>
      <c r="BL1517" s="347"/>
      <c r="BM1517" s="347"/>
      <c r="BN1517" s="347"/>
      <c r="BO1517" s="586"/>
      <c r="BP1517" s="584"/>
      <c r="BQ1517" s="347"/>
      <c r="BR1517" s="586"/>
      <c r="BS1517" s="588"/>
      <c r="BT1517" s="586"/>
      <c r="BU1517" s="589"/>
      <c r="BV1517" s="581"/>
      <c r="BW1517" s="590"/>
      <c r="BX1517" s="347"/>
      <c r="BY1517" s="347"/>
      <c r="BZ1517" s="347"/>
      <c r="CA1517" s="586"/>
      <c r="CB1517" s="581"/>
      <c r="CC1517" s="581"/>
      <c r="CD1517" s="581"/>
      <c r="CE1517" s="581"/>
      <c r="CF1517" s="581"/>
      <c r="CG1517" s="586"/>
      <c r="CH1517" s="608"/>
      <c r="CI1517" s="603"/>
      <c r="CJ1517" s="347"/>
      <c r="CK1517" s="347"/>
      <c r="CL1517" s="347"/>
      <c r="CM1517" s="347"/>
      <c r="CN1517" s="347"/>
      <c r="CO1517" s="347"/>
      <c r="CP1517" s="347"/>
    </row>
    <row r="1518">
      <c r="A1518" s="574"/>
      <c r="B1518" s="574"/>
      <c r="C1518" s="347"/>
      <c r="D1518" s="574"/>
      <c r="E1518" s="347"/>
      <c r="F1518" s="596"/>
      <c r="G1518" s="596"/>
      <c r="H1518" s="347"/>
      <c r="I1518" s="347"/>
      <c r="J1518" s="596"/>
      <c r="K1518" s="609"/>
      <c r="L1518" s="1"/>
      <c r="M1518" s="347"/>
      <c r="N1518" s="347"/>
      <c r="O1518" s="579"/>
      <c r="P1518" s="579"/>
      <c r="Q1518" s="574"/>
      <c r="R1518" s="347"/>
      <c r="S1518" s="597"/>
      <c r="T1518" s="347"/>
      <c r="U1518" s="579"/>
      <c r="V1518" s="579"/>
      <c r="W1518" s="574"/>
      <c r="X1518" s="347"/>
      <c r="Y1518" s="347"/>
      <c r="Z1518" s="347"/>
      <c r="AA1518" s="579"/>
      <c r="AB1518" s="581"/>
      <c r="AC1518" s="347"/>
      <c r="AD1518" s="347"/>
      <c r="AE1518" s="347"/>
      <c r="AF1518" s="347"/>
      <c r="AG1518" s="579"/>
      <c r="AH1518" s="579"/>
      <c r="AI1518" s="582"/>
      <c r="AJ1518" s="582"/>
      <c r="AK1518" s="582"/>
      <c r="AL1518" s="582"/>
      <c r="AM1518" s="579"/>
      <c r="AN1518" s="579"/>
      <c r="AO1518" s="347"/>
      <c r="AP1518" s="586"/>
      <c r="AQ1518" s="596"/>
      <c r="AR1518" s="596"/>
      <c r="AS1518" s="348"/>
      <c r="AT1518" s="348"/>
      <c r="AU1518" s="348"/>
      <c r="AV1518" s="348"/>
      <c r="AW1518" s="348"/>
      <c r="AX1518" s="584"/>
      <c r="AY1518" s="581"/>
      <c r="AZ1518" s="581"/>
      <c r="BA1518" s="596"/>
      <c r="BB1518" s="596"/>
      <c r="BC1518" s="348"/>
      <c r="BD1518" s="581"/>
      <c r="BE1518" s="581"/>
      <c r="BF1518" s="347"/>
      <c r="BG1518" s="347"/>
      <c r="BH1518" s="347"/>
      <c r="BI1518" s="347"/>
      <c r="BJ1518" s="586"/>
      <c r="BK1518" s="581"/>
      <c r="BL1518" s="347"/>
      <c r="BM1518" s="347"/>
      <c r="BN1518" s="347"/>
      <c r="BO1518" s="586"/>
      <c r="BP1518" s="584"/>
      <c r="BQ1518" s="347"/>
      <c r="BR1518" s="586"/>
      <c r="BS1518" s="588"/>
      <c r="BT1518" s="586"/>
      <c r="BU1518" s="589"/>
      <c r="BV1518" s="581"/>
      <c r="BW1518" s="590"/>
      <c r="BX1518" s="347"/>
      <c r="BY1518" s="347"/>
      <c r="BZ1518" s="347"/>
      <c r="CA1518" s="586"/>
      <c r="CB1518" s="581"/>
      <c r="CC1518" s="581"/>
      <c r="CD1518" s="581"/>
      <c r="CE1518" s="581"/>
      <c r="CF1518" s="581"/>
      <c r="CG1518" s="586"/>
      <c r="CH1518" s="608"/>
      <c r="CI1518" s="603"/>
      <c r="CJ1518" s="347"/>
      <c r="CK1518" s="347"/>
      <c r="CL1518" s="347"/>
      <c r="CM1518" s="347"/>
      <c r="CN1518" s="347"/>
      <c r="CO1518" s="347"/>
      <c r="CP1518" s="347"/>
    </row>
    <row r="1519">
      <c r="A1519" s="574"/>
      <c r="B1519" s="574"/>
      <c r="C1519" s="347"/>
      <c r="D1519" s="574"/>
      <c r="E1519" s="347"/>
      <c r="F1519" s="596"/>
      <c r="G1519" s="596"/>
      <c r="H1519" s="347"/>
      <c r="I1519" s="347"/>
      <c r="J1519" s="596"/>
      <c r="K1519" s="609"/>
      <c r="L1519" s="1"/>
      <c r="M1519" s="347"/>
      <c r="N1519" s="347"/>
      <c r="O1519" s="579"/>
      <c r="P1519" s="579"/>
      <c r="Q1519" s="574"/>
      <c r="R1519" s="347"/>
      <c r="S1519" s="597"/>
      <c r="T1519" s="347"/>
      <c r="U1519" s="579"/>
      <c r="V1519" s="579"/>
      <c r="W1519" s="574"/>
      <c r="X1519" s="347"/>
      <c r="Y1519" s="347"/>
      <c r="Z1519" s="347"/>
      <c r="AA1519" s="579"/>
      <c r="AB1519" s="581"/>
      <c r="AC1519" s="347"/>
      <c r="AD1519" s="347"/>
      <c r="AE1519" s="347"/>
      <c r="AF1519" s="347"/>
      <c r="AG1519" s="579"/>
      <c r="AH1519" s="579"/>
      <c r="AI1519" s="582"/>
      <c r="AJ1519" s="582"/>
      <c r="AK1519" s="582"/>
      <c r="AL1519" s="582"/>
      <c r="AM1519" s="579"/>
      <c r="AN1519" s="579"/>
      <c r="AO1519" s="347"/>
      <c r="AP1519" s="586"/>
      <c r="AQ1519" s="596"/>
      <c r="AR1519" s="596"/>
      <c r="AS1519" s="348"/>
      <c r="AT1519" s="348"/>
      <c r="AU1519" s="348"/>
      <c r="AV1519" s="348"/>
      <c r="AW1519" s="348"/>
      <c r="AX1519" s="584"/>
      <c r="AY1519" s="581"/>
      <c r="AZ1519" s="581"/>
      <c r="BA1519" s="596"/>
      <c r="BB1519" s="596"/>
      <c r="BC1519" s="348"/>
      <c r="BD1519" s="581"/>
      <c r="BE1519" s="581"/>
      <c r="BF1519" s="347"/>
      <c r="BG1519" s="347"/>
      <c r="BH1519" s="347"/>
      <c r="BI1519" s="347"/>
      <c r="BJ1519" s="586"/>
      <c r="BK1519" s="581"/>
      <c r="BL1519" s="347"/>
      <c r="BM1519" s="347"/>
      <c r="BN1519" s="347"/>
      <c r="BO1519" s="586"/>
      <c r="BP1519" s="584"/>
      <c r="BQ1519" s="347"/>
      <c r="BR1519" s="586"/>
      <c r="BS1519" s="588"/>
      <c r="BT1519" s="586"/>
      <c r="BU1519" s="589"/>
      <c r="BV1519" s="581"/>
      <c r="BW1519" s="590"/>
      <c r="BX1519" s="347"/>
      <c r="BY1519" s="347"/>
      <c r="BZ1519" s="347"/>
      <c r="CA1519" s="586"/>
      <c r="CB1519" s="581"/>
      <c r="CC1519" s="581"/>
      <c r="CD1519" s="581"/>
      <c r="CE1519" s="581"/>
      <c r="CF1519" s="581"/>
      <c r="CG1519" s="586"/>
      <c r="CH1519" s="608"/>
      <c r="CI1519" s="603"/>
      <c r="CJ1519" s="347"/>
      <c r="CK1519" s="347"/>
      <c r="CL1519" s="347"/>
      <c r="CM1519" s="347"/>
      <c r="CN1519" s="347"/>
      <c r="CO1519" s="347"/>
      <c r="CP1519" s="347"/>
    </row>
    <row r="1520">
      <c r="A1520" s="574"/>
      <c r="B1520" s="574"/>
      <c r="C1520" s="347"/>
      <c r="D1520" s="574"/>
      <c r="E1520" s="347"/>
      <c r="F1520" s="596"/>
      <c r="G1520" s="596"/>
      <c r="H1520" s="347"/>
      <c r="I1520" s="347"/>
      <c r="J1520" s="596"/>
      <c r="K1520" s="609"/>
      <c r="L1520" s="1"/>
      <c r="M1520" s="347"/>
      <c r="N1520" s="347"/>
      <c r="O1520" s="579"/>
      <c r="P1520" s="579"/>
      <c r="Q1520" s="574"/>
      <c r="R1520" s="347"/>
      <c r="S1520" s="597"/>
      <c r="T1520" s="347"/>
      <c r="U1520" s="579"/>
      <c r="V1520" s="579"/>
      <c r="W1520" s="574"/>
      <c r="X1520" s="347"/>
      <c r="Y1520" s="347"/>
      <c r="Z1520" s="347"/>
      <c r="AA1520" s="579"/>
      <c r="AB1520" s="581"/>
      <c r="AC1520" s="347"/>
      <c r="AD1520" s="347"/>
      <c r="AE1520" s="347"/>
      <c r="AF1520" s="347"/>
      <c r="AG1520" s="579"/>
      <c r="AH1520" s="579"/>
      <c r="AI1520" s="582"/>
      <c r="AJ1520" s="582"/>
      <c r="AK1520" s="582"/>
      <c r="AL1520" s="582"/>
      <c r="AM1520" s="579"/>
      <c r="AN1520" s="579"/>
      <c r="AO1520" s="347"/>
      <c r="AP1520" s="586"/>
      <c r="AQ1520" s="596"/>
      <c r="AR1520" s="596"/>
      <c r="AS1520" s="348"/>
      <c r="AT1520" s="348"/>
      <c r="AU1520" s="348"/>
      <c r="AV1520" s="348"/>
      <c r="AW1520" s="348"/>
      <c r="AX1520" s="584"/>
      <c r="AY1520" s="581"/>
      <c r="AZ1520" s="581"/>
      <c r="BA1520" s="596"/>
      <c r="BB1520" s="596"/>
      <c r="BC1520" s="348"/>
      <c r="BD1520" s="581"/>
      <c r="BE1520" s="581"/>
      <c r="BF1520" s="347"/>
      <c r="BG1520" s="347"/>
      <c r="BH1520" s="347"/>
      <c r="BI1520" s="347"/>
      <c r="BJ1520" s="586"/>
      <c r="BK1520" s="581"/>
      <c r="BL1520" s="347"/>
      <c r="BM1520" s="347"/>
      <c r="BN1520" s="347"/>
      <c r="BO1520" s="586"/>
      <c r="BP1520" s="584"/>
      <c r="BQ1520" s="347"/>
      <c r="BR1520" s="586"/>
      <c r="BS1520" s="588"/>
      <c r="BT1520" s="586"/>
      <c r="BU1520" s="589"/>
      <c r="BV1520" s="581"/>
      <c r="BW1520" s="590"/>
      <c r="BX1520" s="347"/>
      <c r="BY1520" s="347"/>
      <c r="BZ1520" s="347"/>
      <c r="CA1520" s="586"/>
      <c r="CB1520" s="581"/>
      <c r="CC1520" s="581"/>
      <c r="CD1520" s="581"/>
      <c r="CE1520" s="581"/>
      <c r="CF1520" s="581"/>
      <c r="CG1520" s="586"/>
      <c r="CH1520" s="608"/>
      <c r="CI1520" s="603"/>
      <c r="CJ1520" s="347"/>
      <c r="CK1520" s="347"/>
      <c r="CL1520" s="347"/>
      <c r="CM1520" s="347"/>
      <c r="CN1520" s="347"/>
      <c r="CO1520" s="347"/>
      <c r="CP1520" s="347"/>
    </row>
    <row r="1521">
      <c r="A1521" s="574"/>
      <c r="B1521" s="574"/>
      <c r="C1521" s="347"/>
      <c r="D1521" s="574"/>
      <c r="E1521" s="347"/>
      <c r="F1521" s="596"/>
      <c r="G1521" s="596"/>
      <c r="H1521" s="347"/>
      <c r="I1521" s="347"/>
      <c r="J1521" s="596"/>
      <c r="K1521" s="609"/>
      <c r="L1521" s="1"/>
      <c r="M1521" s="347"/>
      <c r="N1521" s="347"/>
      <c r="O1521" s="579"/>
      <c r="P1521" s="579"/>
      <c r="Q1521" s="574"/>
      <c r="R1521" s="347"/>
      <c r="S1521" s="597"/>
      <c r="T1521" s="347"/>
      <c r="U1521" s="579"/>
      <c r="V1521" s="579"/>
      <c r="W1521" s="574"/>
      <c r="X1521" s="347"/>
      <c r="Y1521" s="347"/>
      <c r="Z1521" s="347"/>
      <c r="AA1521" s="579"/>
      <c r="AB1521" s="581"/>
      <c r="AC1521" s="347"/>
      <c r="AD1521" s="347"/>
      <c r="AE1521" s="347"/>
      <c r="AF1521" s="347"/>
      <c r="AG1521" s="579"/>
      <c r="AH1521" s="579"/>
      <c r="AI1521" s="582"/>
      <c r="AJ1521" s="582"/>
      <c r="AK1521" s="582"/>
      <c r="AL1521" s="582"/>
      <c r="AM1521" s="579"/>
      <c r="AN1521" s="579"/>
      <c r="AO1521" s="347"/>
      <c r="AP1521" s="586"/>
      <c r="AQ1521" s="596"/>
      <c r="AR1521" s="596"/>
      <c r="AS1521" s="348"/>
      <c r="AT1521" s="348"/>
      <c r="AU1521" s="348"/>
      <c r="AV1521" s="348"/>
      <c r="AW1521" s="348"/>
      <c r="AX1521" s="584"/>
      <c r="AY1521" s="581"/>
      <c r="AZ1521" s="581"/>
      <c r="BA1521" s="596"/>
      <c r="BB1521" s="596"/>
      <c r="BC1521" s="348"/>
      <c r="BD1521" s="581"/>
      <c r="BE1521" s="581"/>
      <c r="BF1521" s="347"/>
      <c r="BG1521" s="347"/>
      <c r="BH1521" s="347"/>
      <c r="BI1521" s="347"/>
      <c r="BJ1521" s="586"/>
      <c r="BK1521" s="581"/>
      <c r="BL1521" s="347"/>
      <c r="BM1521" s="347"/>
      <c r="BN1521" s="347"/>
      <c r="BO1521" s="586"/>
      <c r="BP1521" s="584"/>
      <c r="BQ1521" s="347"/>
      <c r="BR1521" s="586"/>
      <c r="BS1521" s="588"/>
      <c r="BT1521" s="586"/>
      <c r="BU1521" s="589"/>
      <c r="BV1521" s="581"/>
      <c r="BW1521" s="590"/>
      <c r="BX1521" s="347"/>
      <c r="BY1521" s="347"/>
      <c r="BZ1521" s="347"/>
      <c r="CA1521" s="586"/>
      <c r="CB1521" s="581"/>
      <c r="CC1521" s="581"/>
      <c r="CD1521" s="581"/>
      <c r="CE1521" s="581"/>
      <c r="CF1521" s="581"/>
      <c r="CG1521" s="586"/>
      <c r="CH1521" s="608"/>
      <c r="CI1521" s="603"/>
      <c r="CJ1521" s="347"/>
      <c r="CK1521" s="347"/>
      <c r="CL1521" s="347"/>
      <c r="CM1521" s="347"/>
      <c r="CN1521" s="347"/>
      <c r="CO1521" s="347"/>
      <c r="CP1521" s="347"/>
    </row>
    <row r="1522">
      <c r="A1522" s="574"/>
      <c r="B1522" s="574"/>
      <c r="C1522" s="347"/>
      <c r="D1522" s="574"/>
      <c r="E1522" s="347"/>
      <c r="F1522" s="596"/>
      <c r="G1522" s="596"/>
      <c r="H1522" s="347"/>
      <c r="I1522" s="347"/>
      <c r="J1522" s="596"/>
      <c r="K1522" s="609"/>
      <c r="L1522" s="1"/>
      <c r="M1522" s="347"/>
      <c r="N1522" s="347"/>
      <c r="O1522" s="579"/>
      <c r="P1522" s="579"/>
      <c r="Q1522" s="574"/>
      <c r="R1522" s="347"/>
      <c r="S1522" s="597"/>
      <c r="T1522" s="347"/>
      <c r="U1522" s="579"/>
      <c r="V1522" s="579"/>
      <c r="W1522" s="574"/>
      <c r="X1522" s="347"/>
      <c r="Y1522" s="347"/>
      <c r="Z1522" s="347"/>
      <c r="AA1522" s="579"/>
      <c r="AB1522" s="581"/>
      <c r="AC1522" s="347"/>
      <c r="AD1522" s="347"/>
      <c r="AE1522" s="347"/>
      <c r="AF1522" s="347"/>
      <c r="AG1522" s="579"/>
      <c r="AH1522" s="579"/>
      <c r="AI1522" s="582"/>
      <c r="AJ1522" s="582"/>
      <c r="AK1522" s="582"/>
      <c r="AL1522" s="582"/>
      <c r="AM1522" s="579"/>
      <c r="AN1522" s="579"/>
      <c r="AO1522" s="347"/>
      <c r="AP1522" s="586"/>
      <c r="AQ1522" s="596"/>
      <c r="AR1522" s="596"/>
      <c r="AS1522" s="348"/>
      <c r="AT1522" s="348"/>
      <c r="AU1522" s="348"/>
      <c r="AV1522" s="348"/>
      <c r="AW1522" s="348"/>
      <c r="AX1522" s="584"/>
      <c r="AY1522" s="581"/>
      <c r="AZ1522" s="581"/>
      <c r="BA1522" s="596"/>
      <c r="BB1522" s="596"/>
      <c r="BC1522" s="348"/>
      <c r="BD1522" s="581"/>
      <c r="BE1522" s="581"/>
      <c r="BF1522" s="347"/>
      <c r="BG1522" s="347"/>
      <c r="BH1522" s="347"/>
      <c r="BI1522" s="347"/>
      <c r="BJ1522" s="586"/>
      <c r="BK1522" s="581"/>
      <c r="BL1522" s="347"/>
      <c r="BM1522" s="347"/>
      <c r="BN1522" s="347"/>
      <c r="BO1522" s="586"/>
      <c r="BP1522" s="584"/>
      <c r="BQ1522" s="347"/>
      <c r="BR1522" s="586"/>
      <c r="BS1522" s="588"/>
      <c r="BT1522" s="586"/>
      <c r="BU1522" s="589"/>
      <c r="BV1522" s="581"/>
      <c r="BW1522" s="590"/>
      <c r="BX1522" s="347"/>
      <c r="BY1522" s="347"/>
      <c r="BZ1522" s="347"/>
      <c r="CA1522" s="586"/>
      <c r="CB1522" s="581"/>
      <c r="CC1522" s="581"/>
      <c r="CD1522" s="581"/>
      <c r="CE1522" s="581"/>
      <c r="CF1522" s="581"/>
      <c r="CG1522" s="586"/>
      <c r="CH1522" s="608"/>
      <c r="CI1522" s="603"/>
      <c r="CJ1522" s="347"/>
      <c r="CK1522" s="347"/>
      <c r="CL1522" s="347"/>
      <c r="CM1522" s="347"/>
      <c r="CN1522" s="347"/>
      <c r="CO1522" s="347"/>
      <c r="CP1522" s="347"/>
    </row>
    <row r="1523">
      <c r="A1523" s="574"/>
      <c r="B1523" s="574"/>
      <c r="C1523" s="347"/>
      <c r="D1523" s="574"/>
      <c r="E1523" s="347"/>
      <c r="F1523" s="596"/>
      <c r="G1523" s="596"/>
      <c r="H1523" s="347"/>
      <c r="I1523" s="347"/>
      <c r="J1523" s="596"/>
      <c r="K1523" s="609"/>
      <c r="L1523" s="1"/>
      <c r="M1523" s="347"/>
      <c r="N1523" s="347"/>
      <c r="O1523" s="579"/>
      <c r="P1523" s="579"/>
      <c r="Q1523" s="574"/>
      <c r="R1523" s="347"/>
      <c r="S1523" s="597"/>
      <c r="T1523" s="347"/>
      <c r="U1523" s="579"/>
      <c r="V1523" s="579"/>
      <c r="W1523" s="574"/>
      <c r="X1523" s="347"/>
      <c r="Y1523" s="347"/>
      <c r="Z1523" s="347"/>
      <c r="AA1523" s="579"/>
      <c r="AB1523" s="581"/>
      <c r="AC1523" s="347"/>
      <c r="AD1523" s="347"/>
      <c r="AE1523" s="347"/>
      <c r="AF1523" s="347"/>
      <c r="AG1523" s="579"/>
      <c r="AH1523" s="579"/>
      <c r="AI1523" s="582"/>
      <c r="AJ1523" s="582"/>
      <c r="AK1523" s="582"/>
      <c r="AL1523" s="582"/>
      <c r="AM1523" s="579"/>
      <c r="AN1523" s="579"/>
      <c r="AO1523" s="347"/>
      <c r="AP1523" s="586"/>
      <c r="AQ1523" s="596"/>
      <c r="AR1523" s="596"/>
      <c r="AS1523" s="348"/>
      <c r="AT1523" s="348"/>
      <c r="AU1523" s="348"/>
      <c r="AV1523" s="348"/>
      <c r="AW1523" s="348"/>
      <c r="AX1523" s="584"/>
      <c r="AY1523" s="581"/>
      <c r="AZ1523" s="581"/>
      <c r="BA1523" s="596"/>
      <c r="BB1523" s="596"/>
      <c r="BC1523" s="348"/>
      <c r="BD1523" s="581"/>
      <c r="BE1523" s="581"/>
      <c r="BF1523" s="347"/>
      <c r="BG1523" s="347"/>
      <c r="BH1523" s="347"/>
      <c r="BI1523" s="347"/>
      <c r="BJ1523" s="586"/>
      <c r="BK1523" s="581"/>
      <c r="BL1523" s="347"/>
      <c r="BM1523" s="347"/>
      <c r="BN1523" s="347"/>
      <c r="BO1523" s="586"/>
      <c r="BP1523" s="584"/>
      <c r="BQ1523" s="347"/>
      <c r="BR1523" s="586"/>
      <c r="BS1523" s="588"/>
      <c r="BT1523" s="586"/>
      <c r="BU1523" s="589"/>
      <c r="BV1523" s="581"/>
      <c r="BW1523" s="590"/>
      <c r="BX1523" s="347"/>
      <c r="BY1523" s="347"/>
      <c r="BZ1523" s="347"/>
      <c r="CA1523" s="586"/>
      <c r="CB1523" s="581"/>
      <c r="CC1523" s="581"/>
      <c r="CD1523" s="581"/>
      <c r="CE1523" s="581"/>
      <c r="CF1523" s="581"/>
      <c r="CG1523" s="586"/>
      <c r="CH1523" s="608"/>
      <c r="CI1523" s="603"/>
      <c r="CJ1523" s="347"/>
      <c r="CK1523" s="347"/>
      <c r="CL1523" s="347"/>
      <c r="CM1523" s="347"/>
      <c r="CN1523" s="347"/>
      <c r="CO1523" s="347"/>
      <c r="CP1523" s="347"/>
    </row>
    <row r="1524">
      <c r="A1524" s="574"/>
      <c r="B1524" s="574"/>
      <c r="C1524" s="347"/>
      <c r="D1524" s="574"/>
      <c r="E1524" s="347"/>
      <c r="F1524" s="596"/>
      <c r="G1524" s="596"/>
      <c r="H1524" s="347"/>
      <c r="I1524" s="347"/>
      <c r="J1524" s="596"/>
      <c r="K1524" s="609"/>
      <c r="L1524" s="1"/>
      <c r="M1524" s="347"/>
      <c r="N1524" s="347"/>
      <c r="O1524" s="579"/>
      <c r="P1524" s="579"/>
      <c r="Q1524" s="574"/>
      <c r="R1524" s="347"/>
      <c r="S1524" s="597"/>
      <c r="T1524" s="347"/>
      <c r="U1524" s="579"/>
      <c r="V1524" s="579"/>
      <c r="W1524" s="574"/>
      <c r="X1524" s="347"/>
      <c r="Y1524" s="347"/>
      <c r="Z1524" s="347"/>
      <c r="AA1524" s="579"/>
      <c r="AB1524" s="581"/>
      <c r="AC1524" s="347"/>
      <c r="AD1524" s="347"/>
      <c r="AE1524" s="347"/>
      <c r="AF1524" s="347"/>
      <c r="AG1524" s="579"/>
      <c r="AH1524" s="579"/>
      <c r="AI1524" s="582"/>
      <c r="AJ1524" s="582"/>
      <c r="AK1524" s="582"/>
      <c r="AL1524" s="582"/>
      <c r="AM1524" s="579"/>
      <c r="AN1524" s="579"/>
      <c r="AO1524" s="347"/>
      <c r="AP1524" s="586"/>
      <c r="AQ1524" s="596"/>
      <c r="AR1524" s="596"/>
      <c r="AS1524" s="348"/>
      <c r="AT1524" s="348"/>
      <c r="AU1524" s="348"/>
      <c r="AV1524" s="348"/>
      <c r="AW1524" s="348"/>
      <c r="AX1524" s="584"/>
      <c r="AY1524" s="581"/>
      <c r="AZ1524" s="581"/>
      <c r="BA1524" s="596"/>
      <c r="BB1524" s="596"/>
      <c r="BC1524" s="348"/>
      <c r="BD1524" s="581"/>
      <c r="BE1524" s="581"/>
      <c r="BF1524" s="347"/>
      <c r="BG1524" s="347"/>
      <c r="BH1524" s="347"/>
      <c r="BI1524" s="347"/>
      <c r="BJ1524" s="586"/>
      <c r="BK1524" s="581"/>
      <c r="BL1524" s="347"/>
      <c r="BM1524" s="347"/>
      <c r="BN1524" s="347"/>
      <c r="BO1524" s="586"/>
      <c r="BP1524" s="584"/>
      <c r="BQ1524" s="347"/>
      <c r="BR1524" s="586"/>
      <c r="BS1524" s="588"/>
      <c r="BT1524" s="586"/>
      <c r="BU1524" s="589"/>
      <c r="BV1524" s="581"/>
      <c r="BW1524" s="590"/>
      <c r="BX1524" s="347"/>
      <c r="BY1524" s="347"/>
      <c r="BZ1524" s="347"/>
      <c r="CA1524" s="586"/>
      <c r="CB1524" s="581"/>
      <c r="CC1524" s="581"/>
      <c r="CD1524" s="581"/>
      <c r="CE1524" s="581"/>
      <c r="CF1524" s="581"/>
      <c r="CG1524" s="586"/>
      <c r="CH1524" s="608"/>
      <c r="CI1524" s="603"/>
      <c r="CJ1524" s="347"/>
      <c r="CK1524" s="347"/>
      <c r="CL1524" s="347"/>
      <c r="CM1524" s="347"/>
      <c r="CN1524" s="347"/>
      <c r="CO1524" s="347"/>
      <c r="CP1524" s="347"/>
    </row>
    <row r="1525">
      <c r="A1525" s="574"/>
      <c r="B1525" s="574"/>
      <c r="C1525" s="347"/>
      <c r="D1525" s="574"/>
      <c r="E1525" s="347"/>
      <c r="F1525" s="596"/>
      <c r="G1525" s="596"/>
      <c r="H1525" s="347"/>
      <c r="I1525" s="347"/>
      <c r="J1525" s="596"/>
      <c r="K1525" s="609"/>
      <c r="L1525" s="1"/>
      <c r="M1525" s="347"/>
      <c r="N1525" s="347"/>
      <c r="O1525" s="579"/>
      <c r="P1525" s="579"/>
      <c r="Q1525" s="574"/>
      <c r="R1525" s="347"/>
      <c r="S1525" s="597"/>
      <c r="T1525" s="347"/>
      <c r="U1525" s="579"/>
      <c r="V1525" s="579"/>
      <c r="W1525" s="574"/>
      <c r="X1525" s="347"/>
      <c r="Y1525" s="347"/>
      <c r="Z1525" s="347"/>
      <c r="AA1525" s="579"/>
      <c r="AB1525" s="581"/>
      <c r="AC1525" s="347"/>
      <c r="AD1525" s="347"/>
      <c r="AE1525" s="347"/>
      <c r="AF1525" s="347"/>
      <c r="AG1525" s="579"/>
      <c r="AH1525" s="579"/>
      <c r="AI1525" s="582"/>
      <c r="AJ1525" s="582"/>
      <c r="AK1525" s="582"/>
      <c r="AL1525" s="582"/>
      <c r="AM1525" s="579"/>
      <c r="AN1525" s="579"/>
      <c r="AO1525" s="347"/>
      <c r="AP1525" s="586"/>
      <c r="AQ1525" s="596"/>
      <c r="AR1525" s="596"/>
      <c r="AS1525" s="348"/>
      <c r="AT1525" s="348"/>
      <c r="AU1525" s="348"/>
      <c r="AV1525" s="348"/>
      <c r="AW1525" s="348"/>
      <c r="AX1525" s="584"/>
      <c r="AY1525" s="581"/>
      <c r="AZ1525" s="581"/>
      <c r="BA1525" s="596"/>
      <c r="BB1525" s="596"/>
      <c r="BC1525" s="348"/>
      <c r="BD1525" s="581"/>
      <c r="BE1525" s="581"/>
      <c r="BF1525" s="347"/>
      <c r="BG1525" s="347"/>
      <c r="BH1525" s="347"/>
      <c r="BI1525" s="347"/>
      <c r="BJ1525" s="586"/>
      <c r="BK1525" s="581"/>
      <c r="BL1525" s="347"/>
      <c r="BM1525" s="347"/>
      <c r="BN1525" s="347"/>
      <c r="BO1525" s="586"/>
      <c r="BP1525" s="584"/>
      <c r="BQ1525" s="347"/>
      <c r="BR1525" s="586"/>
      <c r="BS1525" s="588"/>
      <c r="BT1525" s="586"/>
      <c r="BU1525" s="589"/>
      <c r="BV1525" s="581"/>
      <c r="BW1525" s="590"/>
      <c r="BX1525" s="347"/>
      <c r="BY1525" s="347"/>
      <c r="BZ1525" s="347"/>
      <c r="CA1525" s="586"/>
      <c r="CB1525" s="581"/>
      <c r="CC1525" s="581"/>
      <c r="CD1525" s="581"/>
      <c r="CE1525" s="581"/>
      <c r="CF1525" s="581"/>
      <c r="CG1525" s="586"/>
      <c r="CH1525" s="608"/>
      <c r="CI1525" s="603"/>
      <c r="CJ1525" s="347"/>
      <c r="CK1525" s="347"/>
      <c r="CL1525" s="347"/>
      <c r="CM1525" s="347"/>
      <c r="CN1525" s="347"/>
      <c r="CO1525" s="347"/>
      <c r="CP1525" s="347"/>
    </row>
    <row r="1526">
      <c r="A1526" s="574"/>
      <c r="B1526" s="574"/>
      <c r="C1526" s="347"/>
      <c r="D1526" s="574"/>
      <c r="E1526" s="347"/>
      <c r="F1526" s="596"/>
      <c r="G1526" s="596"/>
      <c r="H1526" s="347"/>
      <c r="I1526" s="347"/>
      <c r="J1526" s="596"/>
      <c r="K1526" s="609"/>
      <c r="L1526" s="1"/>
      <c r="M1526" s="347"/>
      <c r="N1526" s="347"/>
      <c r="O1526" s="579"/>
      <c r="P1526" s="579"/>
      <c r="Q1526" s="574"/>
      <c r="R1526" s="347"/>
      <c r="S1526" s="597"/>
      <c r="T1526" s="347"/>
      <c r="U1526" s="579"/>
      <c r="V1526" s="579"/>
      <c r="W1526" s="574"/>
      <c r="X1526" s="347"/>
      <c r="Y1526" s="347"/>
      <c r="Z1526" s="347"/>
      <c r="AA1526" s="579"/>
      <c r="AB1526" s="581"/>
      <c r="AC1526" s="347"/>
      <c r="AD1526" s="347"/>
      <c r="AE1526" s="347"/>
      <c r="AF1526" s="347"/>
      <c r="AG1526" s="579"/>
      <c r="AH1526" s="579"/>
      <c r="AI1526" s="582"/>
      <c r="AJ1526" s="582"/>
      <c r="AK1526" s="582"/>
      <c r="AL1526" s="582"/>
      <c r="AM1526" s="579"/>
      <c r="AN1526" s="579"/>
      <c r="AO1526" s="347"/>
      <c r="AP1526" s="586"/>
      <c r="AQ1526" s="596"/>
      <c r="AR1526" s="596"/>
      <c r="AS1526" s="348"/>
      <c r="AT1526" s="348"/>
      <c r="AU1526" s="348"/>
      <c r="AV1526" s="348"/>
      <c r="AW1526" s="348"/>
      <c r="AX1526" s="584"/>
      <c r="AY1526" s="581"/>
      <c r="AZ1526" s="581"/>
      <c r="BA1526" s="596"/>
      <c r="BB1526" s="596"/>
      <c r="BC1526" s="348"/>
      <c r="BD1526" s="581"/>
      <c r="BE1526" s="581"/>
      <c r="BF1526" s="347"/>
      <c r="BG1526" s="347"/>
      <c r="BH1526" s="347"/>
      <c r="BI1526" s="347"/>
      <c r="BJ1526" s="586"/>
      <c r="BK1526" s="581"/>
      <c r="BL1526" s="347"/>
      <c r="BM1526" s="347"/>
      <c r="BN1526" s="347"/>
      <c r="BO1526" s="586"/>
      <c r="BP1526" s="584"/>
      <c r="BQ1526" s="347"/>
      <c r="BR1526" s="586"/>
      <c r="BS1526" s="588"/>
      <c r="BT1526" s="586"/>
      <c r="BU1526" s="589"/>
      <c r="BV1526" s="581"/>
      <c r="BW1526" s="590"/>
      <c r="BX1526" s="347"/>
      <c r="BY1526" s="347"/>
      <c r="BZ1526" s="347"/>
      <c r="CA1526" s="586"/>
      <c r="CB1526" s="581"/>
      <c r="CC1526" s="581"/>
      <c r="CD1526" s="581"/>
      <c r="CE1526" s="581"/>
      <c r="CF1526" s="581"/>
      <c r="CG1526" s="586"/>
      <c r="CH1526" s="608"/>
      <c r="CI1526" s="603"/>
      <c r="CJ1526" s="347"/>
      <c r="CK1526" s="347"/>
      <c r="CL1526" s="347"/>
      <c r="CM1526" s="347"/>
      <c r="CN1526" s="347"/>
      <c r="CO1526" s="347"/>
      <c r="CP1526" s="347"/>
    </row>
    <row r="1527">
      <c r="A1527" s="574"/>
      <c r="B1527" s="574"/>
      <c r="C1527" s="347"/>
      <c r="D1527" s="574"/>
      <c r="E1527" s="347"/>
      <c r="F1527" s="596"/>
      <c r="G1527" s="596"/>
      <c r="H1527" s="347"/>
      <c r="I1527" s="347"/>
      <c r="J1527" s="596"/>
      <c r="K1527" s="609"/>
      <c r="L1527" s="1"/>
      <c r="M1527" s="347"/>
      <c r="N1527" s="347"/>
      <c r="O1527" s="579"/>
      <c r="P1527" s="579"/>
      <c r="Q1527" s="574"/>
      <c r="R1527" s="347"/>
      <c r="S1527" s="597"/>
      <c r="T1527" s="347"/>
      <c r="U1527" s="579"/>
      <c r="V1527" s="579"/>
      <c r="W1527" s="574"/>
      <c r="X1527" s="347"/>
      <c r="Y1527" s="347"/>
      <c r="Z1527" s="347"/>
      <c r="AA1527" s="579"/>
      <c r="AB1527" s="581"/>
      <c r="AC1527" s="347"/>
      <c r="AD1527" s="347"/>
      <c r="AE1527" s="347"/>
      <c r="AF1527" s="347"/>
      <c r="AG1527" s="579"/>
      <c r="AH1527" s="579"/>
      <c r="AI1527" s="582"/>
      <c r="AJ1527" s="582"/>
      <c r="AK1527" s="582"/>
      <c r="AL1527" s="582"/>
      <c r="AM1527" s="579"/>
      <c r="AN1527" s="579"/>
      <c r="AO1527" s="347"/>
      <c r="AP1527" s="586"/>
      <c r="AQ1527" s="596"/>
      <c r="AR1527" s="596"/>
      <c r="AS1527" s="348"/>
      <c r="AT1527" s="348"/>
      <c r="AU1527" s="348"/>
      <c r="AV1527" s="348"/>
      <c r="AW1527" s="348"/>
      <c r="AX1527" s="584"/>
      <c r="AY1527" s="581"/>
      <c r="AZ1527" s="581"/>
      <c r="BA1527" s="596"/>
      <c r="BB1527" s="596"/>
      <c r="BC1527" s="348"/>
      <c r="BD1527" s="581"/>
      <c r="BE1527" s="581"/>
      <c r="BF1527" s="347"/>
      <c r="BG1527" s="347"/>
      <c r="BH1527" s="347"/>
      <c r="BI1527" s="347"/>
      <c r="BJ1527" s="586"/>
      <c r="BK1527" s="581"/>
      <c r="BL1527" s="347"/>
      <c r="BM1527" s="347"/>
      <c r="BN1527" s="347"/>
      <c r="BO1527" s="586"/>
      <c r="BP1527" s="584"/>
      <c r="BQ1527" s="347"/>
      <c r="BR1527" s="586"/>
      <c r="BS1527" s="588"/>
      <c r="BT1527" s="586"/>
      <c r="BU1527" s="589"/>
      <c r="BV1527" s="581"/>
      <c r="BW1527" s="590"/>
      <c r="BX1527" s="347"/>
      <c r="BY1527" s="347"/>
      <c r="BZ1527" s="347"/>
      <c r="CA1527" s="586"/>
      <c r="CB1527" s="581"/>
      <c r="CC1527" s="581"/>
      <c r="CD1527" s="581"/>
      <c r="CE1527" s="581"/>
      <c r="CF1527" s="581"/>
      <c r="CG1527" s="586"/>
      <c r="CH1527" s="608"/>
      <c r="CI1527" s="603"/>
      <c r="CJ1527" s="347"/>
      <c r="CK1527" s="347"/>
      <c r="CL1527" s="347"/>
      <c r="CM1527" s="347"/>
      <c r="CN1527" s="347"/>
      <c r="CO1527" s="347"/>
      <c r="CP1527" s="347"/>
    </row>
    <row r="1528">
      <c r="A1528" s="574"/>
      <c r="B1528" s="574"/>
      <c r="C1528" s="347"/>
      <c r="D1528" s="574"/>
      <c r="E1528" s="347"/>
      <c r="F1528" s="596"/>
      <c r="G1528" s="596"/>
      <c r="H1528" s="347"/>
      <c r="I1528" s="347"/>
      <c r="J1528" s="596"/>
      <c r="K1528" s="609"/>
      <c r="L1528" s="1"/>
      <c r="M1528" s="347"/>
      <c r="N1528" s="347"/>
      <c r="O1528" s="579"/>
      <c r="P1528" s="579"/>
      <c r="Q1528" s="574"/>
      <c r="R1528" s="347"/>
      <c r="S1528" s="597"/>
      <c r="T1528" s="347"/>
      <c r="U1528" s="579"/>
      <c r="V1528" s="579"/>
      <c r="W1528" s="574"/>
      <c r="X1528" s="347"/>
      <c r="Y1528" s="347"/>
      <c r="Z1528" s="347"/>
      <c r="AA1528" s="579"/>
      <c r="AB1528" s="581"/>
      <c r="AC1528" s="347"/>
      <c r="AD1528" s="347"/>
      <c r="AE1528" s="347"/>
      <c r="AF1528" s="347"/>
      <c r="AG1528" s="579"/>
      <c r="AH1528" s="579"/>
      <c r="AI1528" s="582"/>
      <c r="AJ1528" s="582"/>
      <c r="AK1528" s="582"/>
      <c r="AL1528" s="582"/>
      <c r="AM1528" s="579"/>
      <c r="AN1528" s="579"/>
      <c r="AO1528" s="347"/>
      <c r="AP1528" s="586"/>
      <c r="AQ1528" s="596"/>
      <c r="AR1528" s="596"/>
      <c r="AS1528" s="348"/>
      <c r="AT1528" s="348"/>
      <c r="AU1528" s="348"/>
      <c r="AV1528" s="348"/>
      <c r="AW1528" s="348"/>
      <c r="AX1528" s="584"/>
      <c r="AY1528" s="581"/>
      <c r="AZ1528" s="581"/>
      <c r="BA1528" s="596"/>
      <c r="BB1528" s="596"/>
      <c r="BC1528" s="348"/>
      <c r="BD1528" s="581"/>
      <c r="BE1528" s="581"/>
      <c r="BF1528" s="347"/>
      <c r="BG1528" s="347"/>
      <c r="BH1528" s="347"/>
      <c r="BI1528" s="347"/>
      <c r="BJ1528" s="586"/>
      <c r="BK1528" s="581"/>
      <c r="BL1528" s="347"/>
      <c r="BM1528" s="347"/>
      <c r="BN1528" s="347"/>
      <c r="BO1528" s="586"/>
      <c r="BP1528" s="584"/>
      <c r="BQ1528" s="347"/>
      <c r="BR1528" s="586"/>
      <c r="BS1528" s="588"/>
      <c r="BT1528" s="586"/>
      <c r="BU1528" s="589"/>
      <c r="BV1528" s="581"/>
      <c r="BW1528" s="590"/>
      <c r="BX1528" s="347"/>
      <c r="BY1528" s="347"/>
      <c r="BZ1528" s="347"/>
      <c r="CA1528" s="586"/>
      <c r="CB1528" s="581"/>
      <c r="CC1528" s="581"/>
      <c r="CD1528" s="581"/>
      <c r="CE1528" s="581"/>
      <c r="CF1528" s="581"/>
      <c r="CG1528" s="586"/>
      <c r="CH1528" s="608"/>
      <c r="CI1528" s="603"/>
      <c r="CJ1528" s="347"/>
      <c r="CK1528" s="347"/>
      <c r="CL1528" s="347"/>
      <c r="CM1528" s="347"/>
      <c r="CN1528" s="347"/>
      <c r="CO1528" s="347"/>
      <c r="CP1528" s="347"/>
    </row>
    <row r="1529">
      <c r="A1529" s="574"/>
      <c r="B1529" s="574"/>
      <c r="C1529" s="347"/>
      <c r="D1529" s="574"/>
      <c r="E1529" s="347"/>
      <c r="F1529" s="596"/>
      <c r="G1529" s="596"/>
      <c r="H1529" s="347"/>
      <c r="I1529" s="347"/>
      <c r="J1529" s="596"/>
      <c r="K1529" s="609"/>
      <c r="L1529" s="1"/>
      <c r="M1529" s="347"/>
      <c r="N1529" s="347"/>
      <c r="O1529" s="579"/>
      <c r="P1529" s="579"/>
      <c r="Q1529" s="574"/>
      <c r="R1529" s="347"/>
      <c r="S1529" s="597"/>
      <c r="T1529" s="347"/>
      <c r="U1529" s="579"/>
      <c r="V1529" s="579"/>
      <c r="W1529" s="574"/>
      <c r="X1529" s="347"/>
      <c r="Y1529" s="347"/>
      <c r="Z1529" s="347"/>
      <c r="AA1529" s="579"/>
      <c r="AB1529" s="581"/>
      <c r="AC1529" s="347"/>
      <c r="AD1529" s="347"/>
      <c r="AE1529" s="347"/>
      <c r="AF1529" s="347"/>
      <c r="AG1529" s="579"/>
      <c r="AH1529" s="579"/>
      <c r="AI1529" s="582"/>
      <c r="AJ1529" s="582"/>
      <c r="AK1529" s="582"/>
      <c r="AL1529" s="582"/>
      <c r="AM1529" s="579"/>
      <c r="AN1529" s="579"/>
      <c r="AO1529" s="347"/>
      <c r="AP1529" s="586"/>
      <c r="AQ1529" s="596"/>
      <c r="AR1529" s="596"/>
      <c r="AS1529" s="348"/>
      <c r="AT1529" s="348"/>
      <c r="AU1529" s="348"/>
      <c r="AV1529" s="348"/>
      <c r="AW1529" s="348"/>
      <c r="AX1529" s="584"/>
      <c r="AY1529" s="581"/>
      <c r="AZ1529" s="581"/>
      <c r="BA1529" s="596"/>
      <c r="BB1529" s="596"/>
      <c r="BC1529" s="348"/>
      <c r="BD1529" s="581"/>
      <c r="BE1529" s="581"/>
      <c r="BF1529" s="347"/>
      <c r="BG1529" s="347"/>
      <c r="BH1529" s="347"/>
      <c r="BI1529" s="347"/>
      <c r="BJ1529" s="586"/>
      <c r="BK1529" s="581"/>
      <c r="BL1529" s="347"/>
      <c r="BM1529" s="347"/>
      <c r="BN1529" s="347"/>
      <c r="BO1529" s="586"/>
      <c r="BP1529" s="584"/>
      <c r="BQ1529" s="347"/>
      <c r="BR1529" s="586"/>
      <c r="BS1529" s="588"/>
      <c r="BT1529" s="586"/>
      <c r="BU1529" s="589"/>
      <c r="BV1529" s="581"/>
      <c r="BW1529" s="590"/>
      <c r="BX1529" s="347"/>
      <c r="BY1529" s="347"/>
      <c r="BZ1529" s="347"/>
      <c r="CA1529" s="586"/>
      <c r="CB1529" s="581"/>
      <c r="CC1529" s="581"/>
      <c r="CD1529" s="581"/>
      <c r="CE1529" s="581"/>
      <c r="CF1529" s="581"/>
      <c r="CG1529" s="586"/>
      <c r="CH1529" s="608"/>
      <c r="CI1529" s="603"/>
      <c r="CJ1529" s="347"/>
      <c r="CK1529" s="347"/>
      <c r="CL1529" s="347"/>
      <c r="CM1529" s="347"/>
      <c r="CN1529" s="347"/>
      <c r="CO1529" s="347"/>
      <c r="CP1529" s="347"/>
    </row>
    <row r="1530">
      <c r="A1530" s="574"/>
      <c r="B1530" s="574"/>
      <c r="C1530" s="347"/>
      <c r="D1530" s="574"/>
      <c r="E1530" s="347"/>
      <c r="F1530" s="596"/>
      <c r="G1530" s="596"/>
      <c r="H1530" s="347"/>
      <c r="I1530" s="347"/>
      <c r="J1530" s="596"/>
      <c r="K1530" s="609"/>
      <c r="L1530" s="1"/>
      <c r="M1530" s="347"/>
      <c r="N1530" s="347"/>
      <c r="O1530" s="579"/>
      <c r="P1530" s="579"/>
      <c r="Q1530" s="574"/>
      <c r="R1530" s="347"/>
      <c r="S1530" s="597"/>
      <c r="T1530" s="347"/>
      <c r="U1530" s="579"/>
      <c r="V1530" s="579"/>
      <c r="W1530" s="574"/>
      <c r="X1530" s="347"/>
      <c r="Y1530" s="347"/>
      <c r="Z1530" s="347"/>
      <c r="AA1530" s="579"/>
      <c r="AB1530" s="581"/>
      <c r="AC1530" s="347"/>
      <c r="AD1530" s="347"/>
      <c r="AE1530" s="347"/>
      <c r="AF1530" s="347"/>
      <c r="AG1530" s="579"/>
      <c r="AH1530" s="579"/>
      <c r="AI1530" s="582"/>
      <c r="AJ1530" s="582"/>
      <c r="AK1530" s="582"/>
      <c r="AL1530" s="582"/>
      <c r="AM1530" s="579"/>
      <c r="AN1530" s="579"/>
      <c r="AO1530" s="347"/>
      <c r="AP1530" s="586"/>
      <c r="AQ1530" s="596"/>
      <c r="AR1530" s="596"/>
      <c r="AS1530" s="348"/>
      <c r="AT1530" s="348"/>
      <c r="AU1530" s="348"/>
      <c r="AV1530" s="348"/>
      <c r="AW1530" s="348"/>
      <c r="AX1530" s="584"/>
      <c r="AY1530" s="581"/>
      <c r="AZ1530" s="581"/>
      <c r="BA1530" s="596"/>
      <c r="BB1530" s="596"/>
      <c r="BC1530" s="348"/>
      <c r="BD1530" s="581"/>
      <c r="BE1530" s="581"/>
      <c r="BF1530" s="347"/>
      <c r="BG1530" s="347"/>
      <c r="BH1530" s="347"/>
      <c r="BI1530" s="347"/>
      <c r="BJ1530" s="586"/>
      <c r="BK1530" s="581"/>
      <c r="BL1530" s="347"/>
      <c r="BM1530" s="347"/>
      <c r="BN1530" s="347"/>
      <c r="BO1530" s="586"/>
      <c r="BP1530" s="584"/>
      <c r="BQ1530" s="347"/>
      <c r="BR1530" s="586"/>
      <c r="BS1530" s="588"/>
      <c r="BT1530" s="586"/>
      <c r="BU1530" s="589"/>
      <c r="BV1530" s="581"/>
      <c r="BW1530" s="590"/>
      <c r="BX1530" s="347"/>
      <c r="BY1530" s="347"/>
      <c r="BZ1530" s="347"/>
      <c r="CA1530" s="586"/>
      <c r="CB1530" s="581"/>
      <c r="CC1530" s="581"/>
      <c r="CD1530" s="581"/>
      <c r="CE1530" s="581"/>
      <c r="CF1530" s="581"/>
      <c r="CG1530" s="586"/>
      <c r="CH1530" s="608"/>
      <c r="CI1530" s="603"/>
      <c r="CJ1530" s="347"/>
      <c r="CK1530" s="347"/>
      <c r="CL1530" s="347"/>
      <c r="CM1530" s="347"/>
      <c r="CN1530" s="347"/>
      <c r="CO1530" s="347"/>
      <c r="CP1530" s="347"/>
    </row>
    <row r="1531">
      <c r="A1531" s="574"/>
      <c r="B1531" s="574"/>
      <c r="C1531" s="347"/>
      <c r="D1531" s="574"/>
      <c r="E1531" s="347"/>
      <c r="F1531" s="596"/>
      <c r="G1531" s="596"/>
      <c r="H1531" s="347"/>
      <c r="I1531" s="347"/>
      <c r="J1531" s="596"/>
      <c r="K1531" s="609"/>
      <c r="L1531" s="1"/>
      <c r="M1531" s="347"/>
      <c r="N1531" s="347"/>
      <c r="O1531" s="579"/>
      <c r="P1531" s="579"/>
      <c r="Q1531" s="574"/>
      <c r="R1531" s="347"/>
      <c r="S1531" s="597"/>
      <c r="T1531" s="347"/>
      <c r="U1531" s="579"/>
      <c r="V1531" s="579"/>
      <c r="W1531" s="574"/>
      <c r="X1531" s="347"/>
      <c r="Y1531" s="347"/>
      <c r="Z1531" s="347"/>
      <c r="AA1531" s="579"/>
      <c r="AB1531" s="581"/>
      <c r="AC1531" s="347"/>
      <c r="AD1531" s="347"/>
      <c r="AE1531" s="347"/>
      <c r="AF1531" s="347"/>
      <c r="AG1531" s="579"/>
      <c r="AH1531" s="579"/>
      <c r="AI1531" s="582"/>
      <c r="AJ1531" s="582"/>
      <c r="AK1531" s="582"/>
      <c r="AL1531" s="582"/>
      <c r="AM1531" s="579"/>
      <c r="AN1531" s="579"/>
      <c r="AO1531" s="347"/>
      <c r="AP1531" s="586"/>
      <c r="AQ1531" s="596"/>
      <c r="AR1531" s="596"/>
      <c r="AS1531" s="348"/>
      <c r="AT1531" s="348"/>
      <c r="AU1531" s="348"/>
      <c r="AV1531" s="348"/>
      <c r="AW1531" s="348"/>
      <c r="AX1531" s="584"/>
      <c r="AY1531" s="581"/>
      <c r="AZ1531" s="581"/>
      <c r="BA1531" s="596"/>
      <c r="BB1531" s="596"/>
      <c r="BC1531" s="348"/>
      <c r="BD1531" s="581"/>
      <c r="BE1531" s="581"/>
      <c r="BF1531" s="347"/>
      <c r="BG1531" s="347"/>
      <c r="BH1531" s="347"/>
      <c r="BI1531" s="347"/>
      <c r="BJ1531" s="586"/>
      <c r="BK1531" s="581"/>
      <c r="BL1531" s="347"/>
      <c r="BM1531" s="347"/>
      <c r="BN1531" s="347"/>
      <c r="BO1531" s="586"/>
      <c r="BP1531" s="584"/>
      <c r="BQ1531" s="347"/>
      <c r="BR1531" s="586"/>
      <c r="BS1531" s="588"/>
      <c r="BT1531" s="586"/>
      <c r="BU1531" s="589"/>
      <c r="BV1531" s="581"/>
      <c r="BW1531" s="590"/>
      <c r="BX1531" s="347"/>
      <c r="BY1531" s="347"/>
      <c r="BZ1531" s="347"/>
      <c r="CA1531" s="586"/>
      <c r="CB1531" s="581"/>
      <c r="CC1531" s="581"/>
      <c r="CD1531" s="581"/>
      <c r="CE1531" s="581"/>
      <c r="CF1531" s="581"/>
      <c r="CG1531" s="586"/>
      <c r="CH1531" s="608"/>
      <c r="CI1531" s="603"/>
      <c r="CJ1531" s="347"/>
      <c r="CK1531" s="347"/>
      <c r="CL1531" s="347"/>
      <c r="CM1531" s="347"/>
      <c r="CN1531" s="347"/>
      <c r="CO1531" s="347"/>
      <c r="CP1531" s="347"/>
    </row>
    <row r="1532">
      <c r="A1532" s="574"/>
      <c r="B1532" s="574"/>
      <c r="C1532" s="347"/>
      <c r="D1532" s="574"/>
      <c r="E1532" s="347"/>
      <c r="F1532" s="596"/>
      <c r="G1532" s="596"/>
      <c r="H1532" s="347"/>
      <c r="I1532" s="347"/>
      <c r="J1532" s="596"/>
      <c r="K1532" s="609"/>
      <c r="L1532" s="1"/>
      <c r="M1532" s="347"/>
      <c r="N1532" s="347"/>
      <c r="O1532" s="579"/>
      <c r="P1532" s="579"/>
      <c r="Q1532" s="574"/>
      <c r="R1532" s="347"/>
      <c r="S1532" s="597"/>
      <c r="T1532" s="347"/>
      <c r="U1532" s="579"/>
      <c r="V1532" s="579"/>
      <c r="W1532" s="574"/>
      <c r="X1532" s="347"/>
      <c r="Y1532" s="347"/>
      <c r="Z1532" s="347"/>
      <c r="AA1532" s="579"/>
      <c r="AB1532" s="581"/>
      <c r="AC1532" s="347"/>
      <c r="AD1532" s="347"/>
      <c r="AE1532" s="347"/>
      <c r="AF1532" s="347"/>
      <c r="AG1532" s="579"/>
      <c r="AH1532" s="579"/>
      <c r="AI1532" s="582"/>
      <c r="AJ1532" s="582"/>
      <c r="AK1532" s="582"/>
      <c r="AL1532" s="582"/>
      <c r="AM1532" s="579"/>
      <c r="AN1532" s="579"/>
      <c r="AO1532" s="347"/>
      <c r="AP1532" s="586"/>
      <c r="AQ1532" s="596"/>
      <c r="AR1532" s="596"/>
      <c r="AS1532" s="348"/>
      <c r="AT1532" s="348"/>
      <c r="AU1532" s="348"/>
      <c r="AV1532" s="348"/>
      <c r="AW1532" s="348"/>
      <c r="AX1532" s="584"/>
      <c r="AY1532" s="581"/>
      <c r="AZ1532" s="581"/>
      <c r="BA1532" s="596"/>
      <c r="BB1532" s="596"/>
      <c r="BC1532" s="348"/>
      <c r="BD1532" s="581"/>
      <c r="BE1532" s="581"/>
      <c r="BF1532" s="347"/>
      <c r="BG1532" s="347"/>
      <c r="BH1532" s="347"/>
      <c r="BI1532" s="347"/>
      <c r="BJ1532" s="586"/>
      <c r="BK1532" s="581"/>
      <c r="BL1532" s="347"/>
      <c r="BM1532" s="347"/>
      <c r="BN1532" s="347"/>
      <c r="BO1532" s="586"/>
      <c r="BP1532" s="584"/>
      <c r="BQ1532" s="347"/>
      <c r="BR1532" s="586"/>
      <c r="BS1532" s="588"/>
      <c r="BT1532" s="586"/>
      <c r="BU1532" s="589"/>
      <c r="BV1532" s="581"/>
      <c r="BW1532" s="590"/>
      <c r="BX1532" s="347"/>
      <c r="BY1532" s="347"/>
      <c r="BZ1532" s="347"/>
      <c r="CA1532" s="586"/>
      <c r="CB1532" s="581"/>
      <c r="CC1532" s="581"/>
      <c r="CD1532" s="581"/>
      <c r="CE1532" s="581"/>
      <c r="CF1532" s="581"/>
      <c r="CG1532" s="586"/>
      <c r="CH1532" s="608"/>
      <c r="CI1532" s="603"/>
      <c r="CJ1532" s="347"/>
      <c r="CK1532" s="347"/>
      <c r="CL1532" s="347"/>
      <c r="CM1532" s="347"/>
      <c r="CN1532" s="347"/>
      <c r="CO1532" s="347"/>
      <c r="CP1532" s="347"/>
    </row>
    <row r="1533">
      <c r="A1533" s="574"/>
      <c r="B1533" s="574"/>
      <c r="C1533" s="347"/>
      <c r="D1533" s="574"/>
      <c r="E1533" s="347"/>
      <c r="F1533" s="596"/>
      <c r="G1533" s="596"/>
      <c r="H1533" s="347"/>
      <c r="I1533" s="347"/>
      <c r="J1533" s="596"/>
      <c r="K1533" s="609"/>
      <c r="L1533" s="1"/>
      <c r="M1533" s="347"/>
      <c r="N1533" s="347"/>
      <c r="O1533" s="579"/>
      <c r="P1533" s="579"/>
      <c r="Q1533" s="574"/>
      <c r="R1533" s="347"/>
      <c r="S1533" s="597"/>
      <c r="T1533" s="347"/>
      <c r="U1533" s="579"/>
      <c r="V1533" s="579"/>
      <c r="W1533" s="574"/>
      <c r="X1533" s="347"/>
      <c r="Y1533" s="347"/>
      <c r="Z1533" s="347"/>
      <c r="AA1533" s="579"/>
      <c r="AB1533" s="581"/>
      <c r="AC1533" s="347"/>
      <c r="AD1533" s="347"/>
      <c r="AE1533" s="347"/>
      <c r="AF1533" s="347"/>
      <c r="AG1533" s="579"/>
      <c r="AH1533" s="579"/>
      <c r="AI1533" s="582"/>
      <c r="AJ1533" s="582"/>
      <c r="AK1533" s="582"/>
      <c r="AL1533" s="582"/>
      <c r="AM1533" s="579"/>
      <c r="AN1533" s="579"/>
      <c r="AO1533" s="347"/>
      <c r="AP1533" s="586"/>
      <c r="AQ1533" s="596"/>
      <c r="AR1533" s="596"/>
      <c r="AS1533" s="348"/>
      <c r="AT1533" s="348"/>
      <c r="AU1533" s="348"/>
      <c r="AV1533" s="348"/>
      <c r="AW1533" s="348"/>
      <c r="AX1533" s="584"/>
      <c r="AY1533" s="581"/>
      <c r="AZ1533" s="581"/>
      <c r="BA1533" s="596"/>
      <c r="BB1533" s="596"/>
      <c r="BC1533" s="348"/>
      <c r="BD1533" s="581"/>
      <c r="BE1533" s="581"/>
      <c r="BF1533" s="347"/>
      <c r="BG1533" s="347"/>
      <c r="BH1533" s="347"/>
      <c r="BI1533" s="347"/>
      <c r="BJ1533" s="586"/>
      <c r="BK1533" s="581"/>
      <c r="BL1533" s="347"/>
      <c r="BM1533" s="347"/>
      <c r="BN1533" s="347"/>
      <c r="BO1533" s="586"/>
      <c r="BP1533" s="584"/>
      <c r="BQ1533" s="347"/>
      <c r="BR1533" s="586"/>
      <c r="BS1533" s="588"/>
      <c r="BT1533" s="586"/>
      <c r="BU1533" s="589"/>
      <c r="BV1533" s="581"/>
      <c r="BW1533" s="590"/>
      <c r="BX1533" s="347"/>
      <c r="BY1533" s="347"/>
      <c r="BZ1533" s="347"/>
      <c r="CA1533" s="586"/>
      <c r="CB1533" s="581"/>
      <c r="CC1533" s="581"/>
      <c r="CD1533" s="581"/>
      <c r="CE1533" s="581"/>
      <c r="CF1533" s="581"/>
      <c r="CG1533" s="586"/>
      <c r="CH1533" s="608"/>
      <c r="CI1533" s="603"/>
      <c r="CJ1533" s="347"/>
      <c r="CK1533" s="347"/>
      <c r="CL1533" s="347"/>
      <c r="CM1533" s="347"/>
      <c r="CN1533" s="347"/>
      <c r="CO1533" s="347"/>
      <c r="CP1533" s="347"/>
    </row>
    <row r="1534">
      <c r="A1534" s="574"/>
      <c r="B1534" s="574"/>
      <c r="C1534" s="347"/>
      <c r="D1534" s="574"/>
      <c r="E1534" s="347"/>
      <c r="F1534" s="596"/>
      <c r="G1534" s="596"/>
      <c r="H1534" s="347"/>
      <c r="I1534" s="347"/>
      <c r="J1534" s="596"/>
      <c r="K1534" s="609"/>
      <c r="L1534" s="1"/>
      <c r="M1534" s="347"/>
      <c r="N1534" s="347"/>
      <c r="O1534" s="579"/>
      <c r="P1534" s="579"/>
      <c r="Q1534" s="574"/>
      <c r="R1534" s="347"/>
      <c r="S1534" s="597"/>
      <c r="T1534" s="347"/>
      <c r="U1534" s="579"/>
      <c r="V1534" s="579"/>
      <c r="W1534" s="574"/>
      <c r="X1534" s="347"/>
      <c r="Y1534" s="347"/>
      <c r="Z1534" s="347"/>
      <c r="AA1534" s="579"/>
      <c r="AB1534" s="581"/>
      <c r="AC1534" s="347"/>
      <c r="AD1534" s="347"/>
      <c r="AE1534" s="347"/>
      <c r="AF1534" s="347"/>
      <c r="AG1534" s="579"/>
      <c r="AH1534" s="579"/>
      <c r="AI1534" s="582"/>
      <c r="AJ1534" s="582"/>
      <c r="AK1534" s="582"/>
      <c r="AL1534" s="582"/>
      <c r="AM1534" s="579"/>
      <c r="AN1534" s="579"/>
      <c r="AO1534" s="347"/>
      <c r="AP1534" s="586"/>
      <c r="AQ1534" s="596"/>
      <c r="AR1534" s="596"/>
      <c r="AS1534" s="348"/>
      <c r="AT1534" s="348"/>
      <c r="AU1534" s="348"/>
      <c r="AV1534" s="348"/>
      <c r="AW1534" s="348"/>
      <c r="AX1534" s="584"/>
      <c r="AY1534" s="581"/>
      <c r="AZ1534" s="581"/>
      <c r="BA1534" s="596"/>
      <c r="BB1534" s="596"/>
      <c r="BC1534" s="348"/>
      <c r="BD1534" s="581"/>
      <c r="BE1534" s="581"/>
      <c r="BF1534" s="347"/>
      <c r="BG1534" s="347"/>
      <c r="BH1534" s="347"/>
      <c r="BI1534" s="347"/>
      <c r="BJ1534" s="586"/>
      <c r="BK1534" s="581"/>
      <c r="BL1534" s="347"/>
      <c r="BM1534" s="347"/>
      <c r="BN1534" s="347"/>
      <c r="BO1534" s="586"/>
      <c r="BP1534" s="584"/>
      <c r="BQ1534" s="347"/>
      <c r="BR1534" s="586"/>
      <c r="BS1534" s="588"/>
      <c r="BT1534" s="586"/>
      <c r="BU1534" s="589"/>
      <c r="BV1534" s="581"/>
      <c r="BW1534" s="590"/>
      <c r="BX1534" s="347"/>
      <c r="BY1534" s="347"/>
      <c r="BZ1534" s="347"/>
      <c r="CA1534" s="586"/>
      <c r="CB1534" s="581"/>
      <c r="CC1534" s="581"/>
      <c r="CD1534" s="581"/>
      <c r="CE1534" s="581"/>
      <c r="CF1534" s="581"/>
      <c r="CG1534" s="586"/>
      <c r="CH1534" s="608"/>
      <c r="CI1534" s="603"/>
      <c r="CJ1534" s="347"/>
      <c r="CK1534" s="347"/>
      <c r="CL1534" s="347"/>
      <c r="CM1534" s="347"/>
      <c r="CN1534" s="347"/>
      <c r="CO1534" s="347"/>
      <c r="CP1534" s="347"/>
    </row>
    <row r="1535">
      <c r="A1535" s="574"/>
      <c r="B1535" s="574"/>
      <c r="C1535" s="347"/>
      <c r="D1535" s="574"/>
      <c r="E1535" s="347"/>
      <c r="F1535" s="596"/>
      <c r="G1535" s="596"/>
      <c r="H1535" s="347"/>
      <c r="I1535" s="347"/>
      <c r="J1535" s="596"/>
      <c r="K1535" s="609"/>
      <c r="L1535" s="1"/>
      <c r="M1535" s="347"/>
      <c r="N1535" s="347"/>
      <c r="O1535" s="579"/>
      <c r="P1535" s="579"/>
      <c r="Q1535" s="574"/>
      <c r="R1535" s="347"/>
      <c r="S1535" s="597"/>
      <c r="T1535" s="347"/>
      <c r="U1535" s="579"/>
      <c r="V1535" s="579"/>
      <c r="W1535" s="574"/>
      <c r="X1535" s="347"/>
      <c r="Y1535" s="347"/>
      <c r="Z1535" s="347"/>
      <c r="AA1535" s="579"/>
      <c r="AB1535" s="581"/>
      <c r="AC1535" s="347"/>
      <c r="AD1535" s="347"/>
      <c r="AE1535" s="347"/>
      <c r="AF1535" s="347"/>
      <c r="AG1535" s="579"/>
      <c r="AH1535" s="579"/>
      <c r="AI1535" s="582"/>
      <c r="AJ1535" s="582"/>
      <c r="AK1535" s="582"/>
      <c r="AL1535" s="582"/>
      <c r="AM1535" s="579"/>
      <c r="AN1535" s="579"/>
      <c r="AO1535" s="347"/>
      <c r="AP1535" s="586"/>
      <c r="AQ1535" s="596"/>
      <c r="AR1535" s="596"/>
      <c r="AS1535" s="348"/>
      <c r="AT1535" s="348"/>
      <c r="AU1535" s="348"/>
      <c r="AV1535" s="348"/>
      <c r="AW1535" s="348"/>
      <c r="AX1535" s="584"/>
      <c r="AY1535" s="581"/>
      <c r="AZ1535" s="581"/>
      <c r="BA1535" s="596"/>
      <c r="BB1535" s="596"/>
      <c r="BC1535" s="348"/>
      <c r="BD1535" s="581"/>
      <c r="BE1535" s="581"/>
      <c r="BF1535" s="347"/>
      <c r="BG1535" s="347"/>
      <c r="BH1535" s="347"/>
      <c r="BI1535" s="347"/>
      <c r="BJ1535" s="586"/>
      <c r="BK1535" s="581"/>
      <c r="BL1535" s="347"/>
      <c r="BM1535" s="347"/>
      <c r="BN1535" s="347"/>
      <c r="BO1535" s="586"/>
      <c r="BP1535" s="584"/>
      <c r="BQ1535" s="347"/>
      <c r="BR1535" s="586"/>
      <c r="BS1535" s="588"/>
      <c r="BT1535" s="586"/>
      <c r="BU1535" s="589"/>
      <c r="BV1535" s="581"/>
      <c r="BW1535" s="590"/>
      <c r="BX1535" s="347"/>
      <c r="BY1535" s="347"/>
      <c r="BZ1535" s="347"/>
      <c r="CA1535" s="586"/>
      <c r="CB1535" s="581"/>
      <c r="CC1535" s="581"/>
      <c r="CD1535" s="581"/>
      <c r="CE1535" s="581"/>
      <c r="CF1535" s="581"/>
      <c r="CG1535" s="586"/>
      <c r="CH1535" s="608"/>
      <c r="CI1535" s="603"/>
      <c r="CJ1535" s="347"/>
      <c r="CK1535" s="347"/>
      <c r="CL1535" s="347"/>
      <c r="CM1535" s="347"/>
      <c r="CN1535" s="347"/>
      <c r="CO1535" s="347"/>
      <c r="CP1535" s="347"/>
    </row>
    <row r="1536">
      <c r="A1536" s="574"/>
      <c r="B1536" s="574"/>
      <c r="C1536" s="347"/>
      <c r="D1536" s="574"/>
      <c r="E1536" s="347"/>
      <c r="F1536" s="596"/>
      <c r="G1536" s="596"/>
      <c r="H1536" s="347"/>
      <c r="I1536" s="347"/>
      <c r="J1536" s="596"/>
      <c r="K1536" s="609"/>
      <c r="L1536" s="1"/>
      <c r="M1536" s="347"/>
      <c r="N1536" s="347"/>
      <c r="O1536" s="579"/>
      <c r="P1536" s="579"/>
      <c r="Q1536" s="574"/>
      <c r="R1536" s="347"/>
      <c r="S1536" s="597"/>
      <c r="T1536" s="347"/>
      <c r="U1536" s="579"/>
      <c r="V1536" s="579"/>
      <c r="W1536" s="574"/>
      <c r="X1536" s="347"/>
      <c r="Y1536" s="347"/>
      <c r="Z1536" s="347"/>
      <c r="AA1536" s="579"/>
      <c r="AB1536" s="581"/>
      <c r="AC1536" s="347"/>
      <c r="AD1536" s="347"/>
      <c r="AE1536" s="347"/>
      <c r="AF1536" s="347"/>
      <c r="AG1536" s="579"/>
      <c r="AH1536" s="579"/>
      <c r="AI1536" s="582"/>
      <c r="AJ1536" s="582"/>
      <c r="AK1536" s="582"/>
      <c r="AL1536" s="582"/>
      <c r="AM1536" s="579"/>
      <c r="AN1536" s="579"/>
      <c r="AO1536" s="347"/>
      <c r="AP1536" s="586"/>
      <c r="AQ1536" s="596"/>
      <c r="AR1536" s="596"/>
      <c r="AS1536" s="348"/>
      <c r="AT1536" s="348"/>
      <c r="AU1536" s="348"/>
      <c r="AV1536" s="348"/>
      <c r="AW1536" s="348"/>
      <c r="AX1536" s="584"/>
      <c r="AY1536" s="581"/>
      <c r="AZ1536" s="581"/>
      <c r="BA1536" s="596"/>
      <c r="BB1536" s="596"/>
      <c r="BC1536" s="348"/>
      <c r="BD1536" s="581"/>
      <c r="BE1536" s="581"/>
      <c r="BF1536" s="347"/>
      <c r="BG1536" s="347"/>
      <c r="BH1536" s="347"/>
      <c r="BI1536" s="347"/>
      <c r="BJ1536" s="586"/>
      <c r="BK1536" s="581"/>
      <c r="BL1536" s="347"/>
      <c r="BM1536" s="347"/>
      <c r="BN1536" s="347"/>
      <c r="BO1536" s="586"/>
      <c r="BP1536" s="584"/>
      <c r="BQ1536" s="347"/>
      <c r="BR1536" s="586"/>
      <c r="BS1536" s="588"/>
      <c r="BT1536" s="586"/>
      <c r="BU1536" s="589"/>
      <c r="BV1536" s="581"/>
      <c r="BW1536" s="590"/>
      <c r="BX1536" s="347"/>
      <c r="BY1536" s="347"/>
      <c r="BZ1536" s="347"/>
      <c r="CA1536" s="586"/>
      <c r="CB1536" s="581"/>
      <c r="CC1536" s="581"/>
      <c r="CD1536" s="581"/>
      <c r="CE1536" s="581"/>
      <c r="CF1536" s="581"/>
      <c r="CG1536" s="586"/>
      <c r="CH1536" s="608"/>
      <c r="CI1536" s="603"/>
      <c r="CJ1536" s="347"/>
      <c r="CK1536" s="347"/>
      <c r="CL1536" s="347"/>
      <c r="CM1536" s="347"/>
      <c r="CN1536" s="347"/>
      <c r="CO1536" s="347"/>
      <c r="CP1536" s="347"/>
    </row>
    <row r="1537">
      <c r="A1537" s="574"/>
      <c r="B1537" s="574"/>
      <c r="C1537" s="347"/>
      <c r="D1537" s="574"/>
      <c r="E1537" s="347"/>
      <c r="F1537" s="596"/>
      <c r="G1537" s="596"/>
      <c r="H1537" s="347"/>
      <c r="I1537" s="347"/>
      <c r="J1537" s="596"/>
      <c r="K1537" s="609"/>
      <c r="L1537" s="1"/>
      <c r="M1537" s="347"/>
      <c r="N1537" s="347"/>
      <c r="O1537" s="579"/>
      <c r="P1537" s="579"/>
      <c r="Q1537" s="574"/>
      <c r="R1537" s="347"/>
      <c r="S1537" s="597"/>
      <c r="T1537" s="347"/>
      <c r="U1537" s="579"/>
      <c r="V1537" s="579"/>
      <c r="W1537" s="574"/>
      <c r="X1537" s="347"/>
      <c r="Y1537" s="347"/>
      <c r="Z1537" s="347"/>
      <c r="AA1537" s="579"/>
      <c r="AB1537" s="581"/>
      <c r="AC1537" s="347"/>
      <c r="AD1537" s="347"/>
      <c r="AE1537" s="347"/>
      <c r="AF1537" s="347"/>
      <c r="AG1537" s="579"/>
      <c r="AH1537" s="579"/>
      <c r="AI1537" s="582"/>
      <c r="AJ1537" s="582"/>
      <c r="AK1537" s="582"/>
      <c r="AL1537" s="582"/>
      <c r="AM1537" s="579"/>
      <c r="AN1537" s="579"/>
      <c r="AO1537" s="347"/>
      <c r="AP1537" s="586"/>
      <c r="AQ1537" s="596"/>
      <c r="AR1537" s="596"/>
      <c r="AS1537" s="348"/>
      <c r="AT1537" s="348"/>
      <c r="AU1537" s="348"/>
      <c r="AV1537" s="348"/>
      <c r="AW1537" s="348"/>
      <c r="AX1537" s="584"/>
      <c r="AY1537" s="581"/>
      <c r="AZ1537" s="581"/>
      <c r="BA1537" s="596"/>
      <c r="BB1537" s="596"/>
      <c r="BC1537" s="348"/>
      <c r="BD1537" s="581"/>
      <c r="BE1537" s="581"/>
      <c r="BF1537" s="347"/>
      <c r="BG1537" s="347"/>
      <c r="BH1537" s="347"/>
      <c r="BI1537" s="347"/>
      <c r="BJ1537" s="586"/>
      <c r="BK1537" s="581"/>
      <c r="BL1537" s="347"/>
      <c r="BM1537" s="347"/>
      <c r="BN1537" s="347"/>
      <c r="BO1537" s="586"/>
      <c r="BP1537" s="584"/>
      <c r="BQ1537" s="347"/>
      <c r="BR1537" s="586"/>
      <c r="BS1537" s="588"/>
      <c r="BT1537" s="586"/>
      <c r="BU1537" s="589"/>
      <c r="BV1537" s="581"/>
      <c r="BW1537" s="590"/>
      <c r="BX1537" s="347"/>
      <c r="BY1537" s="347"/>
      <c r="BZ1537" s="347"/>
      <c r="CA1537" s="586"/>
      <c r="CB1537" s="581"/>
      <c r="CC1537" s="581"/>
      <c r="CD1537" s="581"/>
      <c r="CE1537" s="581"/>
      <c r="CF1537" s="581"/>
      <c r="CG1537" s="586"/>
      <c r="CH1537" s="608"/>
      <c r="CI1537" s="603"/>
      <c r="CJ1537" s="347"/>
      <c r="CK1537" s="347"/>
      <c r="CL1537" s="347"/>
      <c r="CM1537" s="347"/>
      <c r="CN1537" s="347"/>
      <c r="CO1537" s="347"/>
      <c r="CP1537" s="347"/>
    </row>
    <row r="1538">
      <c r="A1538" s="574"/>
      <c r="B1538" s="574"/>
      <c r="C1538" s="347"/>
      <c r="D1538" s="574"/>
      <c r="E1538" s="347"/>
      <c r="F1538" s="596"/>
      <c r="G1538" s="596"/>
      <c r="H1538" s="347"/>
      <c r="I1538" s="347"/>
      <c r="J1538" s="596"/>
      <c r="K1538" s="609"/>
      <c r="L1538" s="1"/>
      <c r="M1538" s="347"/>
      <c r="N1538" s="347"/>
      <c r="O1538" s="579"/>
      <c r="P1538" s="579"/>
      <c r="Q1538" s="574"/>
      <c r="R1538" s="347"/>
      <c r="S1538" s="597"/>
      <c r="T1538" s="347"/>
      <c r="U1538" s="579"/>
      <c r="V1538" s="579"/>
      <c r="W1538" s="574"/>
      <c r="X1538" s="347"/>
      <c r="Y1538" s="347"/>
      <c r="Z1538" s="347"/>
      <c r="AA1538" s="579"/>
      <c r="AB1538" s="581"/>
      <c r="AC1538" s="347"/>
      <c r="AD1538" s="347"/>
      <c r="AE1538" s="347"/>
      <c r="AF1538" s="347"/>
      <c r="AG1538" s="579"/>
      <c r="AH1538" s="579"/>
      <c r="AI1538" s="582"/>
      <c r="AJ1538" s="582"/>
      <c r="AK1538" s="582"/>
      <c r="AL1538" s="582"/>
      <c r="AM1538" s="579"/>
      <c r="AN1538" s="579"/>
      <c r="AO1538" s="347"/>
      <c r="AP1538" s="586"/>
      <c r="AQ1538" s="596"/>
      <c r="AR1538" s="596"/>
      <c r="AS1538" s="348"/>
      <c r="AT1538" s="348"/>
      <c r="AU1538" s="348"/>
      <c r="AV1538" s="348"/>
      <c r="AW1538" s="348"/>
      <c r="AX1538" s="584"/>
      <c r="AY1538" s="581"/>
      <c r="AZ1538" s="581"/>
      <c r="BA1538" s="596"/>
      <c r="BB1538" s="596"/>
      <c r="BC1538" s="348"/>
      <c r="BD1538" s="581"/>
      <c r="BE1538" s="581"/>
      <c r="BF1538" s="347"/>
      <c r="BG1538" s="347"/>
      <c r="BH1538" s="347"/>
      <c r="BI1538" s="347"/>
      <c r="BJ1538" s="586"/>
      <c r="BK1538" s="581"/>
      <c r="BL1538" s="347"/>
      <c r="BM1538" s="347"/>
      <c r="BN1538" s="347"/>
      <c r="BO1538" s="586"/>
      <c r="BP1538" s="584"/>
      <c r="BQ1538" s="347"/>
      <c r="BR1538" s="586"/>
      <c r="BS1538" s="588"/>
      <c r="BT1538" s="586"/>
      <c r="BU1538" s="589"/>
      <c r="BV1538" s="581"/>
      <c r="BW1538" s="590"/>
      <c r="BX1538" s="347"/>
      <c r="BY1538" s="347"/>
      <c r="BZ1538" s="347"/>
      <c r="CA1538" s="586"/>
      <c r="CB1538" s="581"/>
      <c r="CC1538" s="581"/>
      <c r="CD1538" s="581"/>
      <c r="CE1538" s="581"/>
      <c r="CF1538" s="581"/>
      <c r="CG1538" s="586"/>
      <c r="CH1538" s="608"/>
      <c r="CI1538" s="603"/>
      <c r="CJ1538" s="347"/>
      <c r="CK1538" s="347"/>
      <c r="CL1538" s="347"/>
      <c r="CM1538" s="347"/>
      <c r="CN1538" s="347"/>
      <c r="CO1538" s="347"/>
      <c r="CP1538" s="347"/>
    </row>
    <row r="1539">
      <c r="A1539" s="574"/>
      <c r="B1539" s="574"/>
      <c r="C1539" s="347"/>
      <c r="D1539" s="574"/>
      <c r="E1539" s="347"/>
      <c r="F1539" s="596"/>
      <c r="G1539" s="596"/>
      <c r="H1539" s="347"/>
      <c r="I1539" s="347"/>
      <c r="J1539" s="596"/>
      <c r="K1539" s="609"/>
      <c r="L1539" s="1"/>
      <c r="M1539" s="347"/>
      <c r="N1539" s="347"/>
      <c r="O1539" s="579"/>
      <c r="P1539" s="579"/>
      <c r="Q1539" s="574"/>
      <c r="R1539" s="347"/>
      <c r="S1539" s="597"/>
      <c r="T1539" s="347"/>
      <c r="U1539" s="579"/>
      <c r="V1539" s="579"/>
      <c r="W1539" s="574"/>
      <c r="X1539" s="347"/>
      <c r="Y1539" s="347"/>
      <c r="Z1539" s="347"/>
      <c r="AA1539" s="579"/>
      <c r="AB1539" s="581"/>
      <c r="AC1539" s="347"/>
      <c r="AD1539" s="347"/>
      <c r="AE1539" s="347"/>
      <c r="AF1539" s="347"/>
      <c r="AG1539" s="579"/>
      <c r="AH1539" s="579"/>
      <c r="AI1539" s="582"/>
      <c r="AJ1539" s="582"/>
      <c r="AK1539" s="582"/>
      <c r="AL1539" s="582"/>
      <c r="AM1539" s="579"/>
      <c r="AN1539" s="579"/>
      <c r="AO1539" s="347"/>
      <c r="AP1539" s="586"/>
      <c r="AQ1539" s="596"/>
      <c r="AR1539" s="596"/>
      <c r="AS1539" s="348"/>
      <c r="AT1539" s="348"/>
      <c r="AU1539" s="348"/>
      <c r="AV1539" s="348"/>
      <c r="AW1539" s="348"/>
      <c r="AX1539" s="584"/>
      <c r="AY1539" s="581"/>
      <c r="AZ1539" s="581"/>
      <c r="BA1539" s="596"/>
      <c r="BB1539" s="596"/>
      <c r="BC1539" s="348"/>
      <c r="BD1539" s="581"/>
      <c r="BE1539" s="581"/>
      <c r="BF1539" s="347"/>
      <c r="BG1539" s="347"/>
      <c r="BH1539" s="347"/>
      <c r="BI1539" s="347"/>
      <c r="BJ1539" s="586"/>
      <c r="BK1539" s="581"/>
      <c r="BL1539" s="347"/>
      <c r="BM1539" s="347"/>
      <c r="BN1539" s="347"/>
      <c r="BO1539" s="586"/>
      <c r="BP1539" s="584"/>
      <c r="BQ1539" s="347"/>
      <c r="BR1539" s="586"/>
      <c r="BS1539" s="588"/>
      <c r="BT1539" s="586"/>
      <c r="BU1539" s="589"/>
      <c r="BV1539" s="581"/>
      <c r="BW1539" s="590"/>
      <c r="BX1539" s="347"/>
      <c r="BY1539" s="347"/>
      <c r="BZ1539" s="347"/>
      <c r="CA1539" s="586"/>
      <c r="CB1539" s="581"/>
      <c r="CC1539" s="581"/>
      <c r="CD1539" s="581"/>
      <c r="CE1539" s="581"/>
      <c r="CF1539" s="581"/>
      <c r="CG1539" s="586"/>
      <c r="CH1539" s="608"/>
      <c r="CI1539" s="603"/>
      <c r="CJ1539" s="347"/>
      <c r="CK1539" s="347"/>
      <c r="CL1539" s="347"/>
      <c r="CM1539" s="347"/>
      <c r="CN1539" s="347"/>
      <c r="CO1539" s="347"/>
      <c r="CP1539" s="347"/>
    </row>
    <row r="1540">
      <c r="A1540" s="574"/>
      <c r="B1540" s="574"/>
      <c r="C1540" s="347"/>
      <c r="D1540" s="574"/>
      <c r="E1540" s="347"/>
      <c r="F1540" s="596"/>
      <c r="G1540" s="596"/>
      <c r="H1540" s="347"/>
      <c r="I1540" s="347"/>
      <c r="J1540" s="596"/>
      <c r="K1540" s="609"/>
      <c r="L1540" s="1"/>
      <c r="M1540" s="347"/>
      <c r="N1540" s="347"/>
      <c r="O1540" s="579"/>
      <c r="P1540" s="579"/>
      <c r="Q1540" s="574"/>
      <c r="R1540" s="347"/>
      <c r="S1540" s="597"/>
      <c r="T1540" s="347"/>
      <c r="U1540" s="579"/>
      <c r="V1540" s="579"/>
      <c r="W1540" s="574"/>
      <c r="X1540" s="347"/>
      <c r="Y1540" s="347"/>
      <c r="Z1540" s="347"/>
      <c r="AA1540" s="579"/>
      <c r="AB1540" s="581"/>
      <c r="AC1540" s="347"/>
      <c r="AD1540" s="347"/>
      <c r="AE1540" s="347"/>
      <c r="AF1540" s="347"/>
      <c r="AG1540" s="579"/>
      <c r="AH1540" s="579"/>
      <c r="AI1540" s="582"/>
      <c r="AJ1540" s="582"/>
      <c r="AK1540" s="582"/>
      <c r="AL1540" s="582"/>
      <c r="AM1540" s="579"/>
      <c r="AN1540" s="579"/>
      <c r="AO1540" s="347"/>
      <c r="AP1540" s="586"/>
      <c r="AQ1540" s="596"/>
      <c r="AR1540" s="596"/>
      <c r="AS1540" s="348"/>
      <c r="AT1540" s="348"/>
      <c r="AU1540" s="348"/>
      <c r="AV1540" s="348"/>
      <c r="AW1540" s="348"/>
      <c r="AX1540" s="584"/>
      <c r="AY1540" s="581"/>
      <c r="AZ1540" s="581"/>
      <c r="BA1540" s="596"/>
      <c r="BB1540" s="596"/>
      <c r="BC1540" s="348"/>
      <c r="BD1540" s="581"/>
      <c r="BE1540" s="581"/>
      <c r="BF1540" s="347"/>
      <c r="BG1540" s="347"/>
      <c r="BH1540" s="347"/>
      <c r="BI1540" s="347"/>
      <c r="BJ1540" s="586"/>
      <c r="BK1540" s="581"/>
      <c r="BL1540" s="347"/>
      <c r="BM1540" s="347"/>
      <c r="BN1540" s="347"/>
      <c r="BO1540" s="586"/>
      <c r="BP1540" s="584"/>
      <c r="BQ1540" s="347"/>
      <c r="BR1540" s="586"/>
      <c r="BS1540" s="588"/>
      <c r="BT1540" s="586"/>
      <c r="BU1540" s="589"/>
      <c r="BV1540" s="581"/>
      <c r="BW1540" s="590"/>
      <c r="BX1540" s="347"/>
      <c r="BY1540" s="347"/>
      <c r="BZ1540" s="347"/>
      <c r="CA1540" s="586"/>
      <c r="CB1540" s="581"/>
      <c r="CC1540" s="581"/>
      <c r="CD1540" s="581"/>
      <c r="CE1540" s="581"/>
      <c r="CF1540" s="581"/>
      <c r="CG1540" s="586"/>
      <c r="CH1540" s="608"/>
      <c r="CI1540" s="603"/>
      <c r="CJ1540" s="347"/>
      <c r="CK1540" s="347"/>
      <c r="CL1540" s="347"/>
      <c r="CM1540" s="347"/>
      <c r="CN1540" s="347"/>
      <c r="CO1540" s="347"/>
      <c r="CP1540" s="347"/>
    </row>
    <row r="1541">
      <c r="A1541" s="574"/>
      <c r="B1541" s="574"/>
      <c r="C1541" s="347"/>
      <c r="D1541" s="574"/>
      <c r="E1541" s="347"/>
      <c r="F1541" s="596"/>
      <c r="G1541" s="596"/>
      <c r="H1541" s="347"/>
      <c r="I1541" s="347"/>
      <c r="J1541" s="596"/>
      <c r="K1541" s="609"/>
      <c r="L1541" s="1"/>
      <c r="M1541" s="347"/>
      <c r="N1541" s="347"/>
      <c r="O1541" s="579"/>
      <c r="P1541" s="579"/>
      <c r="Q1541" s="574"/>
      <c r="R1541" s="347"/>
      <c r="S1541" s="597"/>
      <c r="T1541" s="347"/>
      <c r="U1541" s="579"/>
      <c r="V1541" s="579"/>
      <c r="W1541" s="574"/>
      <c r="X1541" s="347"/>
      <c r="Y1541" s="347"/>
      <c r="Z1541" s="347"/>
      <c r="AA1541" s="579"/>
      <c r="AB1541" s="581"/>
      <c r="AC1541" s="347"/>
      <c r="AD1541" s="347"/>
      <c r="AE1541" s="347"/>
      <c r="AF1541" s="347"/>
      <c r="AG1541" s="579"/>
      <c r="AH1541" s="579"/>
      <c r="AI1541" s="582"/>
      <c r="AJ1541" s="582"/>
      <c r="AK1541" s="582"/>
      <c r="AL1541" s="582"/>
      <c r="AM1541" s="579"/>
      <c r="AN1541" s="579"/>
      <c r="AO1541" s="347"/>
      <c r="AP1541" s="586"/>
      <c r="AQ1541" s="596"/>
      <c r="AR1541" s="596"/>
      <c r="AS1541" s="348"/>
      <c r="AT1541" s="348"/>
      <c r="AU1541" s="348"/>
      <c r="AV1541" s="348"/>
      <c r="AW1541" s="348"/>
      <c r="AX1541" s="584"/>
      <c r="AY1541" s="581"/>
      <c r="AZ1541" s="581"/>
      <c r="BA1541" s="596"/>
      <c r="BB1541" s="596"/>
      <c r="BC1541" s="348"/>
      <c r="BD1541" s="581"/>
      <c r="BE1541" s="581"/>
      <c r="BF1541" s="347"/>
      <c r="BG1541" s="347"/>
      <c r="BH1541" s="347"/>
      <c r="BI1541" s="347"/>
      <c r="BJ1541" s="586"/>
      <c r="BK1541" s="581"/>
      <c r="BL1541" s="347"/>
      <c r="BM1541" s="347"/>
      <c r="BN1541" s="347"/>
      <c r="BO1541" s="586"/>
      <c r="BP1541" s="584"/>
      <c r="BQ1541" s="347"/>
      <c r="BR1541" s="586"/>
      <c r="BS1541" s="588"/>
      <c r="BT1541" s="586"/>
      <c r="BU1541" s="589"/>
      <c r="BV1541" s="581"/>
      <c r="BW1541" s="590"/>
      <c r="BX1541" s="347"/>
      <c r="BY1541" s="347"/>
      <c r="BZ1541" s="347"/>
      <c r="CA1541" s="586"/>
      <c r="CB1541" s="581"/>
      <c r="CC1541" s="581"/>
      <c r="CD1541" s="581"/>
      <c r="CE1541" s="581"/>
      <c r="CF1541" s="581"/>
      <c r="CG1541" s="586"/>
      <c r="CH1541" s="608"/>
      <c r="CI1541" s="603"/>
      <c r="CJ1541" s="347"/>
      <c r="CK1541" s="347"/>
      <c r="CL1541" s="347"/>
      <c r="CM1541" s="347"/>
      <c r="CN1541" s="347"/>
      <c r="CO1541" s="347"/>
      <c r="CP1541" s="347"/>
    </row>
    <row r="1542">
      <c r="A1542" s="574"/>
      <c r="B1542" s="574"/>
      <c r="C1542" s="347"/>
      <c r="D1542" s="574"/>
      <c r="E1542" s="347"/>
      <c r="F1542" s="596"/>
      <c r="G1542" s="596"/>
      <c r="H1542" s="347"/>
      <c r="I1542" s="347"/>
      <c r="J1542" s="596"/>
      <c r="K1542" s="609"/>
      <c r="L1542" s="1"/>
      <c r="M1542" s="347"/>
      <c r="N1542" s="347"/>
      <c r="O1542" s="579"/>
      <c r="P1542" s="579"/>
      <c r="Q1542" s="574"/>
      <c r="R1542" s="347"/>
      <c r="S1542" s="597"/>
      <c r="T1542" s="347"/>
      <c r="U1542" s="579"/>
      <c r="V1542" s="579"/>
      <c r="W1542" s="574"/>
      <c r="X1542" s="347"/>
      <c r="Y1542" s="347"/>
      <c r="Z1542" s="347"/>
      <c r="AA1542" s="579"/>
      <c r="AB1542" s="581"/>
      <c r="AC1542" s="347"/>
      <c r="AD1542" s="347"/>
      <c r="AE1542" s="347"/>
      <c r="AF1542" s="347"/>
      <c r="AG1542" s="579"/>
      <c r="AH1542" s="579"/>
      <c r="AI1542" s="582"/>
      <c r="AJ1542" s="582"/>
      <c r="AK1542" s="582"/>
      <c r="AL1542" s="582"/>
      <c r="AM1542" s="579"/>
      <c r="AN1542" s="579"/>
      <c r="AO1542" s="347"/>
      <c r="AP1542" s="586"/>
      <c r="AQ1542" s="596"/>
      <c r="AR1542" s="596"/>
      <c r="AS1542" s="348"/>
      <c r="AT1542" s="348"/>
      <c r="AU1542" s="348"/>
      <c r="AV1542" s="348"/>
      <c r="AW1542" s="348"/>
      <c r="AX1542" s="584"/>
      <c r="AY1542" s="581"/>
      <c r="AZ1542" s="581"/>
      <c r="BA1542" s="596"/>
      <c r="BB1542" s="596"/>
      <c r="BC1542" s="348"/>
      <c r="BD1542" s="581"/>
      <c r="BE1542" s="581"/>
      <c r="BF1542" s="347"/>
      <c r="BG1542" s="347"/>
      <c r="BH1542" s="347"/>
      <c r="BI1542" s="347"/>
      <c r="BJ1542" s="586"/>
      <c r="BK1542" s="581"/>
      <c r="BL1542" s="347"/>
      <c r="BM1542" s="347"/>
      <c r="BN1542" s="347"/>
      <c r="BO1542" s="586"/>
      <c r="BP1542" s="584"/>
      <c r="BQ1542" s="347"/>
      <c r="BR1542" s="586"/>
      <c r="BS1542" s="588"/>
      <c r="BT1542" s="586"/>
      <c r="BU1542" s="589"/>
      <c r="BV1542" s="581"/>
      <c r="BW1542" s="590"/>
      <c r="BX1542" s="347"/>
      <c r="BY1542" s="347"/>
      <c r="BZ1542" s="347"/>
      <c r="CA1542" s="586"/>
      <c r="CB1542" s="581"/>
      <c r="CC1542" s="581"/>
      <c r="CD1542" s="581"/>
      <c r="CE1542" s="581"/>
      <c r="CF1542" s="581"/>
      <c r="CG1542" s="586"/>
      <c r="CH1542" s="608"/>
      <c r="CI1542" s="603"/>
      <c r="CJ1542" s="347"/>
      <c r="CK1542" s="347"/>
      <c r="CL1542" s="347"/>
      <c r="CM1542" s="347"/>
      <c r="CN1542" s="347"/>
      <c r="CO1542" s="347"/>
      <c r="CP1542" s="347"/>
    </row>
    <row r="1543">
      <c r="A1543" s="574"/>
      <c r="B1543" s="574"/>
      <c r="C1543" s="347"/>
      <c r="D1543" s="574"/>
      <c r="E1543" s="347"/>
      <c r="F1543" s="596"/>
      <c r="G1543" s="596"/>
      <c r="H1543" s="347"/>
      <c r="I1543" s="347"/>
      <c r="J1543" s="596"/>
      <c r="K1543" s="609"/>
      <c r="L1543" s="1"/>
      <c r="M1543" s="347"/>
      <c r="N1543" s="347"/>
      <c r="O1543" s="579"/>
      <c r="P1543" s="579"/>
      <c r="Q1543" s="574"/>
      <c r="R1543" s="347"/>
      <c r="S1543" s="597"/>
      <c r="T1543" s="347"/>
      <c r="U1543" s="579"/>
      <c r="V1543" s="579"/>
      <c r="W1543" s="574"/>
      <c r="X1543" s="347"/>
      <c r="Y1543" s="347"/>
      <c r="Z1543" s="347"/>
      <c r="AA1543" s="579"/>
      <c r="AB1543" s="581"/>
      <c r="AC1543" s="347"/>
      <c r="AD1543" s="347"/>
      <c r="AE1543" s="347"/>
      <c r="AF1543" s="347"/>
      <c r="AG1543" s="579"/>
      <c r="AH1543" s="579"/>
      <c r="AI1543" s="582"/>
      <c r="AJ1543" s="582"/>
      <c r="AK1543" s="582"/>
      <c r="AL1543" s="582"/>
      <c r="AM1543" s="579"/>
      <c r="AN1543" s="579"/>
      <c r="AO1543" s="347"/>
      <c r="AP1543" s="586"/>
      <c r="AQ1543" s="596"/>
      <c r="AR1543" s="596"/>
      <c r="AS1543" s="348"/>
      <c r="AT1543" s="348"/>
      <c r="AU1543" s="348"/>
      <c r="AV1543" s="348"/>
      <c r="AW1543" s="348"/>
      <c r="AX1543" s="584"/>
      <c r="AY1543" s="581"/>
      <c r="AZ1543" s="581"/>
      <c r="BA1543" s="596"/>
      <c r="BB1543" s="596"/>
      <c r="BC1543" s="348"/>
      <c r="BD1543" s="581"/>
      <c r="BE1543" s="581"/>
      <c r="BF1543" s="347"/>
      <c r="BG1543" s="347"/>
      <c r="BH1543" s="347"/>
      <c r="BI1543" s="347"/>
      <c r="BJ1543" s="586"/>
      <c r="BK1543" s="581"/>
      <c r="BL1543" s="347"/>
      <c r="BM1543" s="347"/>
      <c r="BN1543" s="347"/>
      <c r="BO1543" s="586"/>
      <c r="BP1543" s="584"/>
      <c r="BQ1543" s="347"/>
      <c r="BR1543" s="586"/>
      <c r="BS1543" s="588"/>
      <c r="BT1543" s="586"/>
      <c r="BU1543" s="589"/>
      <c r="BV1543" s="581"/>
      <c r="BW1543" s="590"/>
      <c r="BX1543" s="347"/>
      <c r="BY1543" s="347"/>
      <c r="BZ1543" s="347"/>
      <c r="CA1543" s="586"/>
      <c r="CB1543" s="581"/>
      <c r="CC1543" s="581"/>
      <c r="CD1543" s="581"/>
      <c r="CE1543" s="581"/>
      <c r="CF1543" s="581"/>
      <c r="CG1543" s="586"/>
      <c r="CH1543" s="608"/>
      <c r="CI1543" s="603"/>
      <c r="CJ1543" s="347"/>
      <c r="CK1543" s="347"/>
      <c r="CL1543" s="347"/>
      <c r="CM1543" s="347"/>
      <c r="CN1543" s="347"/>
      <c r="CO1543" s="347"/>
      <c r="CP1543" s="347"/>
    </row>
    <row r="1544">
      <c r="A1544" s="574"/>
      <c r="B1544" s="574"/>
      <c r="C1544" s="347"/>
      <c r="D1544" s="574"/>
      <c r="E1544" s="347"/>
      <c r="F1544" s="596"/>
      <c r="G1544" s="596"/>
      <c r="H1544" s="347"/>
      <c r="I1544" s="347"/>
      <c r="J1544" s="596"/>
      <c r="K1544" s="609"/>
      <c r="L1544" s="1"/>
      <c r="M1544" s="347"/>
      <c r="N1544" s="347"/>
      <c r="O1544" s="579"/>
      <c r="P1544" s="579"/>
      <c r="Q1544" s="574"/>
      <c r="R1544" s="347"/>
      <c r="S1544" s="597"/>
      <c r="T1544" s="347"/>
      <c r="U1544" s="579"/>
      <c r="V1544" s="579"/>
      <c r="W1544" s="574"/>
      <c r="X1544" s="347"/>
      <c r="Y1544" s="347"/>
      <c r="Z1544" s="347"/>
      <c r="AA1544" s="579"/>
      <c r="AB1544" s="581"/>
      <c r="AC1544" s="347"/>
      <c r="AD1544" s="347"/>
      <c r="AE1544" s="347"/>
      <c r="AF1544" s="347"/>
      <c r="AG1544" s="579"/>
      <c r="AH1544" s="579"/>
      <c r="AI1544" s="582"/>
      <c r="AJ1544" s="582"/>
      <c r="AK1544" s="582"/>
      <c r="AL1544" s="582"/>
      <c r="AM1544" s="579"/>
      <c r="AN1544" s="579"/>
      <c r="AO1544" s="347"/>
      <c r="AP1544" s="586"/>
      <c r="AQ1544" s="596"/>
      <c r="AR1544" s="596"/>
      <c r="AS1544" s="348"/>
      <c r="AT1544" s="348"/>
      <c r="AU1544" s="348"/>
      <c r="AV1544" s="348"/>
      <c r="AW1544" s="348"/>
      <c r="AX1544" s="584"/>
      <c r="AY1544" s="581"/>
      <c r="AZ1544" s="581"/>
      <c r="BA1544" s="596"/>
      <c r="BB1544" s="596"/>
      <c r="BC1544" s="348"/>
      <c r="BD1544" s="581"/>
      <c r="BE1544" s="581"/>
      <c r="BF1544" s="347"/>
      <c r="BG1544" s="347"/>
      <c r="BH1544" s="347"/>
      <c r="BI1544" s="347"/>
      <c r="BJ1544" s="586"/>
      <c r="BK1544" s="581"/>
      <c r="BL1544" s="347"/>
      <c r="BM1544" s="347"/>
      <c r="BN1544" s="347"/>
      <c r="BO1544" s="586"/>
      <c r="BP1544" s="584"/>
      <c r="BQ1544" s="347"/>
      <c r="BR1544" s="586"/>
      <c r="BS1544" s="588"/>
      <c r="BT1544" s="586"/>
      <c r="BU1544" s="589"/>
      <c r="BV1544" s="581"/>
      <c r="BW1544" s="590"/>
      <c r="BX1544" s="347"/>
      <c r="BY1544" s="347"/>
      <c r="BZ1544" s="347"/>
      <c r="CA1544" s="586"/>
      <c r="CB1544" s="581"/>
      <c r="CC1544" s="581"/>
      <c r="CD1544" s="581"/>
      <c r="CE1544" s="581"/>
      <c r="CF1544" s="581"/>
      <c r="CG1544" s="586"/>
      <c r="CH1544" s="608"/>
      <c r="CI1544" s="603"/>
      <c r="CJ1544" s="347"/>
      <c r="CK1544" s="347"/>
      <c r="CL1544" s="347"/>
      <c r="CM1544" s="347"/>
      <c r="CN1544" s="347"/>
      <c r="CO1544" s="347"/>
      <c r="CP1544" s="347"/>
    </row>
    <row r="1545">
      <c r="A1545" s="574"/>
      <c r="B1545" s="574"/>
      <c r="C1545" s="347"/>
      <c r="D1545" s="574"/>
      <c r="E1545" s="347"/>
      <c r="F1545" s="596"/>
      <c r="G1545" s="596"/>
      <c r="H1545" s="347"/>
      <c r="I1545" s="347"/>
      <c r="J1545" s="596"/>
      <c r="K1545" s="609"/>
      <c r="L1545" s="1"/>
      <c r="M1545" s="347"/>
      <c r="N1545" s="347"/>
      <c r="O1545" s="579"/>
      <c r="P1545" s="579"/>
      <c r="Q1545" s="574"/>
      <c r="R1545" s="347"/>
      <c r="S1545" s="597"/>
      <c r="T1545" s="347"/>
      <c r="U1545" s="579"/>
      <c r="V1545" s="579"/>
      <c r="W1545" s="574"/>
      <c r="X1545" s="347"/>
      <c r="Y1545" s="347"/>
      <c r="Z1545" s="347"/>
      <c r="AA1545" s="579"/>
      <c r="AB1545" s="581"/>
      <c r="AC1545" s="347"/>
      <c r="AD1545" s="347"/>
      <c r="AE1545" s="347"/>
      <c r="AF1545" s="347"/>
      <c r="AG1545" s="579"/>
      <c r="AH1545" s="579"/>
      <c r="AI1545" s="582"/>
      <c r="AJ1545" s="582"/>
      <c r="AK1545" s="582"/>
      <c r="AL1545" s="582"/>
      <c r="AM1545" s="579"/>
      <c r="AN1545" s="579"/>
      <c r="AO1545" s="347"/>
      <c r="AP1545" s="586"/>
      <c r="AQ1545" s="596"/>
      <c r="AR1545" s="596"/>
      <c r="AS1545" s="348"/>
      <c r="AT1545" s="348"/>
      <c r="AU1545" s="348"/>
      <c r="AV1545" s="348"/>
      <c r="AW1545" s="348"/>
      <c r="AX1545" s="584"/>
      <c r="AY1545" s="581"/>
      <c r="AZ1545" s="581"/>
      <c r="BA1545" s="596"/>
      <c r="BB1545" s="596"/>
      <c r="BC1545" s="348"/>
      <c r="BD1545" s="581"/>
      <c r="BE1545" s="581"/>
      <c r="BF1545" s="347"/>
      <c r="BG1545" s="347"/>
      <c r="BH1545" s="347"/>
      <c r="BI1545" s="347"/>
      <c r="BJ1545" s="586"/>
      <c r="BK1545" s="581"/>
      <c r="BL1545" s="347"/>
      <c r="BM1545" s="347"/>
      <c r="BN1545" s="347"/>
      <c r="BO1545" s="586"/>
      <c r="BP1545" s="584"/>
      <c r="BQ1545" s="347"/>
      <c r="BR1545" s="586"/>
      <c r="BS1545" s="588"/>
      <c r="BT1545" s="586"/>
      <c r="BU1545" s="589"/>
      <c r="BV1545" s="581"/>
      <c r="BW1545" s="590"/>
      <c r="BX1545" s="347"/>
      <c r="BY1545" s="347"/>
      <c r="BZ1545" s="347"/>
      <c r="CA1545" s="586"/>
      <c r="CB1545" s="581"/>
      <c r="CC1545" s="581"/>
      <c r="CD1545" s="581"/>
      <c r="CE1545" s="581"/>
      <c r="CF1545" s="581"/>
      <c r="CG1545" s="586"/>
      <c r="CH1545" s="608"/>
      <c r="CI1545" s="603"/>
      <c r="CJ1545" s="347"/>
      <c r="CK1545" s="347"/>
      <c r="CL1545" s="347"/>
      <c r="CM1545" s="347"/>
      <c r="CN1545" s="347"/>
      <c r="CO1545" s="347"/>
      <c r="CP1545" s="347"/>
    </row>
    <row r="1546">
      <c r="A1546" s="574"/>
      <c r="B1546" s="574"/>
      <c r="C1546" s="347"/>
      <c r="D1546" s="574"/>
      <c r="E1546" s="347"/>
      <c r="F1546" s="596"/>
      <c r="G1546" s="596"/>
      <c r="H1546" s="347"/>
      <c r="I1546" s="347"/>
      <c r="J1546" s="596"/>
      <c r="K1546" s="609"/>
      <c r="L1546" s="1"/>
      <c r="M1546" s="347"/>
      <c r="N1546" s="347"/>
      <c r="O1546" s="579"/>
      <c r="P1546" s="579"/>
      <c r="Q1546" s="574"/>
      <c r="R1546" s="347"/>
      <c r="S1546" s="597"/>
      <c r="T1546" s="347"/>
      <c r="U1546" s="579"/>
      <c r="V1546" s="579"/>
      <c r="W1546" s="574"/>
      <c r="X1546" s="347"/>
      <c r="Y1546" s="347"/>
      <c r="Z1546" s="347"/>
      <c r="AA1546" s="579"/>
      <c r="AB1546" s="581"/>
      <c r="AC1546" s="347"/>
      <c r="AD1546" s="347"/>
      <c r="AE1546" s="347"/>
      <c r="AF1546" s="347"/>
      <c r="AG1546" s="579"/>
      <c r="AH1546" s="579"/>
      <c r="AI1546" s="582"/>
      <c r="AJ1546" s="582"/>
      <c r="AK1546" s="582"/>
      <c r="AL1546" s="582"/>
      <c r="AM1546" s="579"/>
      <c r="AN1546" s="579"/>
      <c r="AO1546" s="347"/>
      <c r="AP1546" s="586"/>
      <c r="AQ1546" s="596"/>
      <c r="AR1546" s="596"/>
      <c r="AS1546" s="348"/>
      <c r="AT1546" s="348"/>
      <c r="AU1546" s="348"/>
      <c r="AV1546" s="348"/>
      <c r="AW1546" s="348"/>
      <c r="AX1546" s="584"/>
      <c r="AY1546" s="581"/>
      <c r="AZ1546" s="581"/>
      <c r="BA1546" s="596"/>
      <c r="BB1546" s="596"/>
      <c r="BC1546" s="348"/>
      <c r="BD1546" s="581"/>
      <c r="BE1546" s="581"/>
      <c r="BF1546" s="347"/>
      <c r="BG1546" s="347"/>
      <c r="BH1546" s="347"/>
      <c r="BI1546" s="347"/>
      <c r="BJ1546" s="586"/>
      <c r="BK1546" s="581"/>
      <c r="BL1546" s="347"/>
      <c r="BM1546" s="347"/>
      <c r="BN1546" s="347"/>
      <c r="BO1546" s="586"/>
      <c r="BP1546" s="584"/>
      <c r="BQ1546" s="347"/>
      <c r="BR1546" s="586"/>
      <c r="BS1546" s="588"/>
      <c r="BT1546" s="586"/>
      <c r="BU1546" s="589"/>
      <c r="BV1546" s="581"/>
      <c r="BW1546" s="590"/>
      <c r="BX1546" s="347"/>
      <c r="BY1546" s="347"/>
      <c r="BZ1546" s="347"/>
      <c r="CA1546" s="586"/>
      <c r="CB1546" s="581"/>
      <c r="CC1546" s="581"/>
      <c r="CD1546" s="581"/>
      <c r="CE1546" s="581"/>
      <c r="CF1546" s="581"/>
      <c r="CG1546" s="586"/>
      <c r="CH1546" s="608"/>
      <c r="CI1546" s="603"/>
      <c r="CJ1546" s="347"/>
      <c r="CK1546" s="347"/>
      <c r="CL1546" s="347"/>
      <c r="CM1546" s="347"/>
      <c r="CN1546" s="347"/>
      <c r="CO1546" s="347"/>
      <c r="CP1546" s="347"/>
    </row>
    <row r="1547">
      <c r="A1547" s="574"/>
      <c r="B1547" s="574"/>
      <c r="C1547" s="347"/>
      <c r="D1547" s="574"/>
      <c r="E1547" s="347"/>
      <c r="F1547" s="596"/>
      <c r="G1547" s="596"/>
      <c r="H1547" s="347"/>
      <c r="I1547" s="347"/>
      <c r="J1547" s="596"/>
      <c r="K1547" s="609"/>
      <c r="L1547" s="1"/>
      <c r="M1547" s="347"/>
      <c r="N1547" s="347"/>
      <c r="O1547" s="579"/>
      <c r="P1547" s="579"/>
      <c r="Q1547" s="574"/>
      <c r="R1547" s="347"/>
      <c r="S1547" s="597"/>
      <c r="T1547" s="347"/>
      <c r="U1547" s="579"/>
      <c r="V1547" s="579"/>
      <c r="W1547" s="574"/>
      <c r="X1547" s="347"/>
      <c r="Y1547" s="347"/>
      <c r="Z1547" s="347"/>
      <c r="AA1547" s="579"/>
      <c r="AB1547" s="581"/>
      <c r="AC1547" s="347"/>
      <c r="AD1547" s="347"/>
      <c r="AE1547" s="347"/>
      <c r="AF1547" s="347"/>
      <c r="AG1547" s="579"/>
      <c r="AH1547" s="579"/>
      <c r="AI1547" s="582"/>
      <c r="AJ1547" s="582"/>
      <c r="AK1547" s="582"/>
      <c r="AL1547" s="582"/>
      <c r="AM1547" s="579"/>
      <c r="AN1547" s="579"/>
      <c r="AO1547" s="347"/>
      <c r="AP1547" s="586"/>
      <c r="AQ1547" s="596"/>
      <c r="AR1547" s="596"/>
      <c r="AS1547" s="348"/>
      <c r="AT1547" s="348"/>
      <c r="AU1547" s="348"/>
      <c r="AV1547" s="348"/>
      <c r="AW1547" s="348"/>
      <c r="AX1547" s="584"/>
      <c r="AY1547" s="581"/>
      <c r="AZ1547" s="581"/>
      <c r="BA1547" s="596"/>
      <c r="BB1547" s="596"/>
      <c r="BC1547" s="348"/>
      <c r="BD1547" s="581"/>
      <c r="BE1547" s="581"/>
      <c r="BF1547" s="347"/>
      <c r="BG1547" s="347"/>
      <c r="BH1547" s="347"/>
      <c r="BI1547" s="347"/>
      <c r="BJ1547" s="586"/>
      <c r="BK1547" s="581"/>
      <c r="BL1547" s="347"/>
      <c r="BM1547" s="347"/>
      <c r="BN1547" s="347"/>
      <c r="BO1547" s="586"/>
      <c r="BP1547" s="584"/>
      <c r="BQ1547" s="347"/>
      <c r="BR1547" s="586"/>
      <c r="BS1547" s="588"/>
      <c r="BT1547" s="586"/>
      <c r="BU1547" s="589"/>
      <c r="BV1547" s="581"/>
      <c r="BW1547" s="590"/>
      <c r="BX1547" s="347"/>
      <c r="BY1547" s="347"/>
      <c r="BZ1547" s="347"/>
      <c r="CA1547" s="586"/>
      <c r="CB1547" s="581"/>
      <c r="CC1547" s="581"/>
      <c r="CD1547" s="581"/>
      <c r="CE1547" s="581"/>
      <c r="CF1547" s="581"/>
      <c r="CG1547" s="586"/>
      <c r="CH1547" s="608"/>
      <c r="CI1547" s="603"/>
      <c r="CJ1547" s="347"/>
      <c r="CK1547" s="347"/>
      <c r="CL1547" s="347"/>
      <c r="CM1547" s="347"/>
      <c r="CN1547" s="347"/>
      <c r="CO1547" s="347"/>
      <c r="CP1547" s="347"/>
    </row>
    <row r="1548">
      <c r="A1548" s="574"/>
      <c r="B1548" s="574"/>
      <c r="C1548" s="347"/>
      <c r="D1548" s="574"/>
      <c r="E1548" s="347"/>
      <c r="F1548" s="596"/>
      <c r="G1548" s="596"/>
      <c r="H1548" s="347"/>
      <c r="I1548" s="347"/>
      <c r="J1548" s="596"/>
      <c r="K1548" s="609"/>
      <c r="L1548" s="1"/>
      <c r="M1548" s="347"/>
      <c r="N1548" s="347"/>
      <c r="O1548" s="579"/>
      <c r="P1548" s="579"/>
      <c r="Q1548" s="574"/>
      <c r="R1548" s="347"/>
      <c r="S1548" s="597"/>
      <c r="T1548" s="347"/>
      <c r="U1548" s="579"/>
      <c r="V1548" s="579"/>
      <c r="W1548" s="574"/>
      <c r="X1548" s="347"/>
      <c r="Y1548" s="347"/>
      <c r="Z1548" s="347"/>
      <c r="AA1548" s="579"/>
      <c r="AB1548" s="581"/>
      <c r="AC1548" s="347"/>
      <c r="AD1548" s="347"/>
      <c r="AE1548" s="347"/>
      <c r="AF1548" s="347"/>
      <c r="AG1548" s="579"/>
      <c r="AH1548" s="579"/>
      <c r="AI1548" s="582"/>
      <c r="AJ1548" s="582"/>
      <c r="AK1548" s="582"/>
      <c r="AL1548" s="582"/>
      <c r="AM1548" s="579"/>
      <c r="AN1548" s="579"/>
      <c r="AO1548" s="347"/>
      <c r="AP1548" s="586"/>
      <c r="AQ1548" s="596"/>
      <c r="AR1548" s="596"/>
      <c r="AS1548" s="348"/>
      <c r="AT1548" s="348"/>
      <c r="AU1548" s="348"/>
      <c r="AV1548" s="348"/>
      <c r="AW1548" s="348"/>
      <c r="AX1548" s="584"/>
      <c r="AY1548" s="581"/>
      <c r="AZ1548" s="581"/>
      <c r="BA1548" s="596"/>
      <c r="BB1548" s="596"/>
      <c r="BC1548" s="348"/>
      <c r="BD1548" s="581"/>
      <c r="BE1548" s="581"/>
      <c r="BF1548" s="347"/>
      <c r="BG1548" s="347"/>
      <c r="BH1548" s="347"/>
      <c r="BI1548" s="347"/>
      <c r="BJ1548" s="586"/>
      <c r="BK1548" s="581"/>
      <c r="BL1548" s="347"/>
      <c r="BM1548" s="347"/>
      <c r="BN1548" s="347"/>
      <c r="BO1548" s="586"/>
      <c r="BP1548" s="584"/>
      <c r="BQ1548" s="347"/>
      <c r="BR1548" s="586"/>
      <c r="BS1548" s="588"/>
      <c r="BT1548" s="586"/>
      <c r="BU1548" s="589"/>
      <c r="BV1548" s="581"/>
      <c r="BW1548" s="590"/>
      <c r="BX1548" s="347"/>
      <c r="BY1548" s="347"/>
      <c r="BZ1548" s="347"/>
      <c r="CA1548" s="586"/>
      <c r="CB1548" s="581"/>
      <c r="CC1548" s="581"/>
      <c r="CD1548" s="581"/>
      <c r="CE1548" s="581"/>
      <c r="CF1548" s="581"/>
      <c r="CG1548" s="586"/>
      <c r="CH1548" s="608"/>
      <c r="CI1548" s="603"/>
      <c r="CJ1548" s="347"/>
      <c r="CK1548" s="347"/>
      <c r="CL1548" s="347"/>
      <c r="CM1548" s="347"/>
      <c r="CN1548" s="347"/>
      <c r="CO1548" s="347"/>
      <c r="CP1548" s="347"/>
    </row>
    <row r="1549">
      <c r="A1549" s="574"/>
      <c r="B1549" s="574"/>
      <c r="C1549" s="347"/>
      <c r="D1549" s="574"/>
      <c r="E1549" s="347"/>
      <c r="F1549" s="596"/>
      <c r="G1549" s="596"/>
      <c r="H1549" s="347"/>
      <c r="I1549" s="347"/>
      <c r="J1549" s="596"/>
      <c r="K1549" s="609"/>
      <c r="L1549" s="1"/>
      <c r="M1549" s="347"/>
      <c r="N1549" s="347"/>
      <c r="O1549" s="579"/>
      <c r="P1549" s="579"/>
      <c r="Q1549" s="574"/>
      <c r="R1549" s="347"/>
      <c r="S1549" s="597"/>
      <c r="T1549" s="347"/>
      <c r="U1549" s="579"/>
      <c r="V1549" s="579"/>
      <c r="W1549" s="574"/>
      <c r="X1549" s="347"/>
      <c r="Y1549" s="347"/>
      <c r="Z1549" s="347"/>
      <c r="AA1549" s="579"/>
      <c r="AB1549" s="581"/>
      <c r="AC1549" s="347"/>
      <c r="AD1549" s="347"/>
      <c r="AE1549" s="347"/>
      <c r="AF1549" s="347"/>
      <c r="AG1549" s="579"/>
      <c r="AH1549" s="579"/>
      <c r="AI1549" s="582"/>
      <c r="AJ1549" s="582"/>
      <c r="AK1549" s="582"/>
      <c r="AL1549" s="582"/>
      <c r="AM1549" s="579"/>
      <c r="AN1549" s="579"/>
      <c r="AO1549" s="347"/>
      <c r="AP1549" s="586"/>
      <c r="AQ1549" s="596"/>
      <c r="AR1549" s="596"/>
      <c r="AS1549" s="348"/>
      <c r="AT1549" s="348"/>
      <c r="AU1549" s="348"/>
      <c r="AV1549" s="348"/>
      <c r="AW1549" s="348"/>
      <c r="AX1549" s="584"/>
      <c r="AY1549" s="581"/>
      <c r="AZ1549" s="581"/>
      <c r="BA1549" s="596"/>
      <c r="BB1549" s="596"/>
      <c r="BC1549" s="348"/>
      <c r="BD1549" s="581"/>
      <c r="BE1549" s="581"/>
      <c r="BF1549" s="347"/>
      <c r="BG1549" s="347"/>
      <c r="BH1549" s="347"/>
      <c r="BI1549" s="347"/>
      <c r="BJ1549" s="586"/>
      <c r="BK1549" s="581"/>
      <c r="BL1549" s="347"/>
      <c r="BM1549" s="347"/>
      <c r="BN1549" s="347"/>
      <c r="BO1549" s="586"/>
      <c r="BP1549" s="584"/>
      <c r="BQ1549" s="347"/>
      <c r="BR1549" s="586"/>
      <c r="BS1549" s="588"/>
      <c r="BT1549" s="586"/>
      <c r="BU1549" s="589"/>
      <c r="BV1549" s="581"/>
      <c r="BW1549" s="590"/>
      <c r="BX1549" s="347"/>
      <c r="BY1549" s="347"/>
      <c r="BZ1549" s="347"/>
      <c r="CA1549" s="586"/>
      <c r="CB1549" s="581"/>
      <c r="CC1549" s="581"/>
      <c r="CD1549" s="581"/>
      <c r="CE1549" s="581"/>
      <c r="CF1549" s="581"/>
      <c r="CG1549" s="586"/>
      <c r="CH1549" s="608"/>
      <c r="CI1549" s="603"/>
      <c r="CJ1549" s="347"/>
      <c r="CK1549" s="347"/>
      <c r="CL1549" s="347"/>
      <c r="CM1549" s="347"/>
      <c r="CN1549" s="347"/>
      <c r="CO1549" s="347"/>
      <c r="CP1549" s="347"/>
    </row>
    <row r="1550">
      <c r="A1550" s="574"/>
      <c r="B1550" s="574"/>
      <c r="C1550" s="347"/>
      <c r="D1550" s="574"/>
      <c r="E1550" s="347"/>
      <c r="F1550" s="596"/>
      <c r="G1550" s="596"/>
      <c r="H1550" s="347"/>
      <c r="I1550" s="347"/>
      <c r="J1550" s="596"/>
      <c r="K1550" s="609"/>
      <c r="L1550" s="1"/>
      <c r="M1550" s="347"/>
      <c r="N1550" s="347"/>
      <c r="O1550" s="579"/>
      <c r="P1550" s="579"/>
      <c r="Q1550" s="574"/>
      <c r="R1550" s="347"/>
      <c r="S1550" s="597"/>
      <c r="T1550" s="347"/>
      <c r="U1550" s="579"/>
      <c r="V1550" s="579"/>
      <c r="W1550" s="574"/>
      <c r="X1550" s="347"/>
      <c r="Y1550" s="347"/>
      <c r="Z1550" s="347"/>
      <c r="AA1550" s="579"/>
      <c r="AB1550" s="581"/>
      <c r="AC1550" s="347"/>
      <c r="AD1550" s="347"/>
      <c r="AE1550" s="347"/>
      <c r="AF1550" s="347"/>
      <c r="AG1550" s="579"/>
      <c r="AH1550" s="579"/>
      <c r="AI1550" s="582"/>
      <c r="AJ1550" s="582"/>
      <c r="AK1550" s="582"/>
      <c r="AL1550" s="582"/>
      <c r="AM1550" s="579"/>
      <c r="AN1550" s="579"/>
      <c r="AO1550" s="347"/>
      <c r="AP1550" s="586"/>
      <c r="AQ1550" s="596"/>
      <c r="AR1550" s="596"/>
      <c r="AS1550" s="348"/>
      <c r="AT1550" s="348"/>
      <c r="AU1550" s="348"/>
      <c r="AV1550" s="348"/>
      <c r="AW1550" s="348"/>
      <c r="AX1550" s="584"/>
      <c r="AY1550" s="581"/>
      <c r="AZ1550" s="581"/>
      <c r="BA1550" s="596"/>
      <c r="BB1550" s="596"/>
      <c r="BC1550" s="348"/>
      <c r="BD1550" s="581"/>
      <c r="BE1550" s="581"/>
      <c r="BF1550" s="347"/>
      <c r="BG1550" s="347"/>
      <c r="BH1550" s="347"/>
      <c r="BI1550" s="347"/>
      <c r="BJ1550" s="586"/>
      <c r="BK1550" s="581"/>
      <c r="BL1550" s="347"/>
      <c r="BM1550" s="347"/>
      <c r="BN1550" s="347"/>
      <c r="BO1550" s="586"/>
      <c r="BP1550" s="584"/>
      <c r="BQ1550" s="347"/>
      <c r="BR1550" s="586"/>
      <c r="BS1550" s="588"/>
      <c r="BT1550" s="586"/>
      <c r="BU1550" s="589"/>
      <c r="BV1550" s="581"/>
      <c r="BW1550" s="590"/>
      <c r="BX1550" s="347"/>
      <c r="BY1550" s="347"/>
      <c r="BZ1550" s="347"/>
      <c r="CA1550" s="586"/>
      <c r="CB1550" s="581"/>
      <c r="CC1550" s="581"/>
      <c r="CD1550" s="581"/>
      <c r="CE1550" s="581"/>
      <c r="CF1550" s="581"/>
      <c r="CG1550" s="586"/>
      <c r="CH1550" s="608"/>
      <c r="CI1550" s="603"/>
      <c r="CJ1550" s="347"/>
      <c r="CK1550" s="347"/>
      <c r="CL1550" s="347"/>
      <c r="CM1550" s="347"/>
      <c r="CN1550" s="347"/>
      <c r="CO1550" s="347"/>
      <c r="CP1550" s="347"/>
    </row>
    <row r="1551">
      <c r="A1551" s="574"/>
      <c r="B1551" s="574"/>
      <c r="C1551" s="347"/>
      <c r="D1551" s="574"/>
      <c r="E1551" s="347"/>
      <c r="F1551" s="596"/>
      <c r="G1551" s="596"/>
      <c r="H1551" s="347"/>
      <c r="I1551" s="347"/>
      <c r="J1551" s="596"/>
      <c r="K1551" s="609"/>
      <c r="L1551" s="1"/>
      <c r="M1551" s="347"/>
      <c r="N1551" s="347"/>
      <c r="O1551" s="579"/>
      <c r="P1551" s="579"/>
      <c r="Q1551" s="574"/>
      <c r="R1551" s="347"/>
      <c r="S1551" s="597"/>
      <c r="T1551" s="347"/>
      <c r="U1551" s="579"/>
      <c r="V1551" s="579"/>
      <c r="W1551" s="574"/>
      <c r="X1551" s="347"/>
      <c r="Y1551" s="347"/>
      <c r="Z1551" s="347"/>
      <c r="AA1551" s="579"/>
      <c r="AB1551" s="581"/>
      <c r="AC1551" s="347"/>
      <c r="AD1551" s="347"/>
      <c r="AE1551" s="347"/>
      <c r="AF1551" s="347"/>
      <c r="AG1551" s="579"/>
      <c r="AH1551" s="579"/>
      <c r="AI1551" s="582"/>
      <c r="AJ1551" s="582"/>
      <c r="AK1551" s="582"/>
      <c r="AL1551" s="582"/>
      <c r="AM1551" s="579"/>
      <c r="AN1551" s="579"/>
      <c r="AO1551" s="347"/>
      <c r="AP1551" s="586"/>
      <c r="AQ1551" s="596"/>
      <c r="AR1551" s="596"/>
      <c r="AS1551" s="348"/>
      <c r="AT1551" s="348"/>
      <c r="AU1551" s="348"/>
      <c r="AV1551" s="348"/>
      <c r="AW1551" s="348"/>
      <c r="AX1551" s="584"/>
      <c r="AY1551" s="581"/>
      <c r="AZ1551" s="581"/>
      <c r="BA1551" s="596"/>
      <c r="BB1551" s="596"/>
      <c r="BC1551" s="348"/>
      <c r="BD1551" s="581"/>
      <c r="BE1551" s="581"/>
      <c r="BF1551" s="347"/>
      <c r="BG1551" s="347"/>
      <c r="BH1551" s="347"/>
      <c r="BI1551" s="347"/>
      <c r="BJ1551" s="586"/>
      <c r="BK1551" s="581"/>
      <c r="BL1551" s="347"/>
      <c r="BM1551" s="347"/>
      <c r="BN1551" s="347"/>
      <c r="BO1551" s="586"/>
      <c r="BP1551" s="584"/>
      <c r="BQ1551" s="347"/>
      <c r="BR1551" s="586"/>
      <c r="BS1551" s="588"/>
      <c r="BT1551" s="586"/>
      <c r="BU1551" s="589"/>
      <c r="BV1551" s="581"/>
      <c r="BW1551" s="590"/>
      <c r="BX1551" s="347"/>
      <c r="BY1551" s="347"/>
      <c r="BZ1551" s="347"/>
      <c r="CA1551" s="586"/>
      <c r="CB1551" s="581"/>
      <c r="CC1551" s="581"/>
      <c r="CD1551" s="581"/>
      <c r="CE1551" s="581"/>
      <c r="CF1551" s="581"/>
      <c r="CG1551" s="586"/>
      <c r="CH1551" s="608"/>
      <c r="CI1551" s="603"/>
      <c r="CJ1551" s="347"/>
      <c r="CK1551" s="347"/>
      <c r="CL1551" s="347"/>
      <c r="CM1551" s="347"/>
      <c r="CN1551" s="347"/>
      <c r="CO1551" s="347"/>
      <c r="CP1551" s="347"/>
    </row>
    <row r="1552">
      <c r="A1552" s="574"/>
      <c r="B1552" s="574"/>
      <c r="C1552" s="347"/>
      <c r="D1552" s="574"/>
      <c r="E1552" s="347"/>
      <c r="F1552" s="596"/>
      <c r="G1552" s="596"/>
      <c r="H1552" s="347"/>
      <c r="I1552" s="347"/>
      <c r="J1552" s="596"/>
      <c r="K1552" s="609"/>
      <c r="L1552" s="1"/>
      <c r="M1552" s="347"/>
      <c r="N1552" s="347"/>
      <c r="O1552" s="579"/>
      <c r="P1552" s="579"/>
      <c r="Q1552" s="574"/>
      <c r="R1552" s="347"/>
      <c r="S1552" s="597"/>
      <c r="T1552" s="347"/>
      <c r="U1552" s="579"/>
      <c r="V1552" s="579"/>
      <c r="W1552" s="574"/>
      <c r="X1552" s="347"/>
      <c r="Y1552" s="347"/>
      <c r="Z1552" s="347"/>
      <c r="AA1552" s="579"/>
      <c r="AB1552" s="581"/>
      <c r="AC1552" s="347"/>
      <c r="AD1552" s="347"/>
      <c r="AE1552" s="347"/>
      <c r="AF1552" s="347"/>
      <c r="AG1552" s="579"/>
      <c r="AH1552" s="579"/>
      <c r="AI1552" s="582"/>
      <c r="AJ1552" s="582"/>
      <c r="AK1552" s="582"/>
      <c r="AL1552" s="582"/>
      <c r="AM1552" s="579"/>
      <c r="AN1552" s="579"/>
      <c r="AO1552" s="347"/>
      <c r="AP1552" s="586"/>
      <c r="AQ1552" s="596"/>
      <c r="AR1552" s="596"/>
      <c r="AS1552" s="348"/>
      <c r="AT1552" s="348"/>
      <c r="AU1552" s="348"/>
      <c r="AV1552" s="348"/>
      <c r="AW1552" s="348"/>
      <c r="AX1552" s="584"/>
      <c r="AY1552" s="581"/>
      <c r="AZ1552" s="581"/>
      <c r="BA1552" s="596"/>
      <c r="BB1552" s="596"/>
      <c r="BC1552" s="348"/>
      <c r="BD1552" s="581"/>
      <c r="BE1552" s="581"/>
      <c r="BF1552" s="347"/>
      <c r="BG1552" s="347"/>
      <c r="BH1552" s="347"/>
      <c r="BI1552" s="347"/>
      <c r="BJ1552" s="586"/>
      <c r="BK1552" s="581"/>
      <c r="BL1552" s="347"/>
      <c r="BM1552" s="347"/>
      <c r="BN1552" s="347"/>
      <c r="BO1552" s="586"/>
      <c r="BP1552" s="584"/>
      <c r="BQ1552" s="347"/>
      <c r="BR1552" s="586"/>
      <c r="BS1552" s="588"/>
      <c r="BT1552" s="586"/>
      <c r="BU1552" s="589"/>
      <c r="BV1552" s="581"/>
      <c r="BW1552" s="590"/>
      <c r="BX1552" s="347"/>
      <c r="BY1552" s="347"/>
      <c r="BZ1552" s="347"/>
      <c r="CA1552" s="586"/>
      <c r="CB1552" s="581"/>
      <c r="CC1552" s="581"/>
      <c r="CD1552" s="581"/>
      <c r="CE1552" s="581"/>
      <c r="CF1552" s="581"/>
      <c r="CG1552" s="586"/>
      <c r="CH1552" s="608"/>
      <c r="CI1552" s="603"/>
      <c r="CJ1552" s="347"/>
      <c r="CK1552" s="347"/>
      <c r="CL1552" s="347"/>
      <c r="CM1552" s="347"/>
      <c r="CN1552" s="347"/>
      <c r="CO1552" s="347"/>
      <c r="CP1552" s="347"/>
    </row>
    <row r="1553">
      <c r="A1553" s="574"/>
      <c r="B1553" s="574"/>
      <c r="C1553" s="347"/>
      <c r="D1553" s="574"/>
      <c r="E1553" s="347"/>
      <c r="F1553" s="596"/>
      <c r="G1553" s="596"/>
      <c r="H1553" s="347"/>
      <c r="I1553" s="347"/>
      <c r="J1553" s="596"/>
      <c r="K1553" s="609"/>
      <c r="L1553" s="1"/>
      <c r="M1553" s="347"/>
      <c r="N1553" s="347"/>
      <c r="O1553" s="579"/>
      <c r="P1553" s="579"/>
      <c r="Q1553" s="574"/>
      <c r="R1553" s="347"/>
      <c r="S1553" s="597"/>
      <c r="T1553" s="347"/>
      <c r="U1553" s="579"/>
      <c r="V1553" s="579"/>
      <c r="W1553" s="574"/>
      <c r="X1553" s="347"/>
      <c r="Y1553" s="347"/>
      <c r="Z1553" s="347"/>
      <c r="AA1553" s="579"/>
      <c r="AB1553" s="581"/>
      <c r="AC1553" s="347"/>
      <c r="AD1553" s="347"/>
      <c r="AE1553" s="347"/>
      <c r="AF1553" s="347"/>
      <c r="AG1553" s="579"/>
      <c r="AH1553" s="579"/>
      <c r="AI1553" s="582"/>
      <c r="AJ1553" s="582"/>
      <c r="AK1553" s="582"/>
      <c r="AL1553" s="582"/>
      <c r="AM1553" s="579"/>
      <c r="AN1553" s="579"/>
      <c r="AO1553" s="347"/>
      <c r="AP1553" s="586"/>
      <c r="AQ1553" s="596"/>
      <c r="AR1553" s="596"/>
      <c r="AS1553" s="348"/>
      <c r="AT1553" s="348"/>
      <c r="AU1553" s="348"/>
      <c r="AV1553" s="348"/>
      <c r="AW1553" s="348"/>
      <c r="AX1553" s="584"/>
      <c r="AY1553" s="581"/>
      <c r="AZ1553" s="581"/>
      <c r="BA1553" s="596"/>
      <c r="BB1553" s="596"/>
      <c r="BC1553" s="348"/>
      <c r="BD1553" s="581"/>
      <c r="BE1553" s="581"/>
      <c r="BF1553" s="347"/>
      <c r="BG1553" s="347"/>
      <c r="BH1553" s="347"/>
      <c r="BI1553" s="347"/>
      <c r="BJ1553" s="586"/>
      <c r="BK1553" s="581"/>
      <c r="BL1553" s="347"/>
      <c r="BM1553" s="347"/>
      <c r="BN1553" s="347"/>
      <c r="BO1553" s="586"/>
      <c r="BP1553" s="584"/>
      <c r="BQ1553" s="347"/>
      <c r="BR1553" s="586"/>
      <c r="BS1553" s="588"/>
      <c r="BT1553" s="586"/>
      <c r="BU1553" s="589"/>
      <c r="BV1553" s="581"/>
      <c r="BW1553" s="590"/>
      <c r="BX1553" s="347"/>
      <c r="BY1553" s="347"/>
      <c r="BZ1553" s="347"/>
      <c r="CA1553" s="586"/>
      <c r="CB1553" s="581"/>
      <c r="CC1553" s="581"/>
      <c r="CD1553" s="581"/>
      <c r="CE1553" s="581"/>
      <c r="CF1553" s="581"/>
      <c r="CG1553" s="586"/>
      <c r="CH1553" s="608"/>
      <c r="CI1553" s="603"/>
      <c r="CJ1553" s="347"/>
      <c r="CK1553" s="347"/>
      <c r="CL1553" s="347"/>
      <c r="CM1553" s="347"/>
      <c r="CN1553" s="347"/>
      <c r="CO1553" s="347"/>
      <c r="CP1553" s="347"/>
    </row>
    <row r="1554">
      <c r="A1554" s="574"/>
      <c r="B1554" s="574"/>
      <c r="C1554" s="347"/>
      <c r="D1554" s="574"/>
      <c r="E1554" s="347"/>
      <c r="F1554" s="596"/>
      <c r="G1554" s="596"/>
      <c r="H1554" s="347"/>
      <c r="I1554" s="347"/>
      <c r="J1554" s="596"/>
      <c r="K1554" s="609"/>
      <c r="L1554" s="1"/>
      <c r="M1554" s="347"/>
      <c r="N1554" s="347"/>
      <c r="O1554" s="579"/>
      <c r="P1554" s="579"/>
      <c r="Q1554" s="574"/>
      <c r="R1554" s="347"/>
      <c r="S1554" s="597"/>
      <c r="T1554" s="347"/>
      <c r="U1554" s="579"/>
      <c r="V1554" s="579"/>
      <c r="W1554" s="574"/>
      <c r="X1554" s="347"/>
      <c r="Y1554" s="347"/>
      <c r="Z1554" s="347"/>
      <c r="AA1554" s="579"/>
      <c r="AB1554" s="581"/>
      <c r="AC1554" s="347"/>
      <c r="AD1554" s="347"/>
      <c r="AE1554" s="347"/>
      <c r="AF1554" s="347"/>
      <c r="AG1554" s="579"/>
      <c r="AH1554" s="579"/>
      <c r="AI1554" s="582"/>
      <c r="AJ1554" s="582"/>
      <c r="AK1554" s="582"/>
      <c r="AL1554" s="582"/>
      <c r="AM1554" s="579"/>
      <c r="AN1554" s="579"/>
      <c r="AO1554" s="347"/>
      <c r="AP1554" s="586"/>
      <c r="AQ1554" s="596"/>
      <c r="AR1554" s="596"/>
      <c r="AS1554" s="348"/>
      <c r="AT1554" s="348"/>
      <c r="AU1554" s="348"/>
      <c r="AV1554" s="348"/>
      <c r="AW1554" s="348"/>
      <c r="AX1554" s="584"/>
      <c r="AY1554" s="581"/>
      <c r="AZ1554" s="581"/>
      <c r="BA1554" s="596"/>
      <c r="BB1554" s="596"/>
      <c r="BC1554" s="348"/>
      <c r="BD1554" s="581"/>
      <c r="BE1554" s="581"/>
      <c r="BF1554" s="347"/>
      <c r="BG1554" s="347"/>
      <c r="BH1554" s="347"/>
      <c r="BI1554" s="347"/>
      <c r="BJ1554" s="586"/>
      <c r="BK1554" s="581"/>
      <c r="BL1554" s="347"/>
      <c r="BM1554" s="347"/>
      <c r="BN1554" s="347"/>
      <c r="BO1554" s="586"/>
      <c r="BP1554" s="584"/>
      <c r="BQ1554" s="347"/>
      <c r="BR1554" s="586"/>
      <c r="BS1554" s="588"/>
      <c r="BT1554" s="586"/>
      <c r="BU1554" s="589"/>
      <c r="BV1554" s="581"/>
      <c r="BW1554" s="590"/>
      <c r="BX1554" s="347"/>
      <c r="BY1554" s="347"/>
      <c r="BZ1554" s="347"/>
      <c r="CA1554" s="586"/>
      <c r="CB1554" s="581"/>
      <c r="CC1554" s="581"/>
      <c r="CD1554" s="581"/>
      <c r="CE1554" s="581"/>
      <c r="CF1554" s="581"/>
      <c r="CG1554" s="586"/>
      <c r="CH1554" s="608"/>
      <c r="CI1554" s="603"/>
      <c r="CJ1554" s="347"/>
      <c r="CK1554" s="347"/>
      <c r="CL1554" s="347"/>
      <c r="CM1554" s="347"/>
      <c r="CN1554" s="347"/>
      <c r="CO1554" s="347"/>
      <c r="CP1554" s="347"/>
    </row>
    <row r="1555">
      <c r="A1555" s="574"/>
      <c r="B1555" s="574"/>
      <c r="C1555" s="347"/>
      <c r="D1555" s="574"/>
      <c r="E1555" s="347"/>
      <c r="F1555" s="596"/>
      <c r="G1555" s="596"/>
      <c r="H1555" s="347"/>
      <c r="I1555" s="347"/>
      <c r="J1555" s="596"/>
      <c r="K1555" s="609"/>
      <c r="L1555" s="1"/>
      <c r="M1555" s="347"/>
      <c r="N1555" s="347"/>
      <c r="O1555" s="579"/>
      <c r="P1555" s="579"/>
      <c r="Q1555" s="574"/>
      <c r="R1555" s="347"/>
      <c r="S1555" s="597"/>
      <c r="T1555" s="347"/>
      <c r="U1555" s="579"/>
      <c r="V1555" s="579"/>
      <c r="W1555" s="574"/>
      <c r="X1555" s="347"/>
      <c r="Y1555" s="347"/>
      <c r="Z1555" s="347"/>
      <c r="AA1555" s="579"/>
      <c r="AB1555" s="581"/>
      <c r="AC1555" s="347"/>
      <c r="AD1555" s="347"/>
      <c r="AE1555" s="347"/>
      <c r="AF1555" s="347"/>
      <c r="AG1555" s="579"/>
      <c r="AH1555" s="579"/>
      <c r="AI1555" s="582"/>
      <c r="AJ1555" s="582"/>
      <c r="AK1555" s="582"/>
      <c r="AL1555" s="582"/>
      <c r="AM1555" s="579"/>
      <c r="AN1555" s="579"/>
      <c r="AO1555" s="347"/>
      <c r="AP1555" s="586"/>
      <c r="AQ1555" s="596"/>
      <c r="AR1555" s="596"/>
      <c r="AS1555" s="348"/>
      <c r="AT1555" s="348"/>
      <c r="AU1555" s="348"/>
      <c r="AV1555" s="348"/>
      <c r="AW1555" s="348"/>
      <c r="AX1555" s="584"/>
      <c r="AY1555" s="581"/>
      <c r="AZ1555" s="581"/>
      <c r="BA1555" s="596"/>
      <c r="BB1555" s="596"/>
      <c r="BC1555" s="348"/>
      <c r="BD1555" s="581"/>
      <c r="BE1555" s="581"/>
      <c r="BF1555" s="347"/>
      <c r="BG1555" s="347"/>
      <c r="BH1555" s="347"/>
      <c r="BI1555" s="347"/>
      <c r="BJ1555" s="586"/>
      <c r="BK1555" s="581"/>
      <c r="BL1555" s="347"/>
      <c r="BM1555" s="347"/>
      <c r="BN1555" s="347"/>
      <c r="BO1555" s="586"/>
      <c r="BP1555" s="584"/>
      <c r="BQ1555" s="347"/>
      <c r="BR1555" s="586"/>
      <c r="BS1555" s="588"/>
      <c r="BT1555" s="586"/>
      <c r="BU1555" s="589"/>
      <c r="BV1555" s="581"/>
      <c r="BW1555" s="590"/>
      <c r="BX1555" s="347"/>
      <c r="BY1555" s="347"/>
      <c r="BZ1555" s="347"/>
      <c r="CA1555" s="586"/>
      <c r="CB1555" s="581"/>
      <c r="CC1555" s="581"/>
      <c r="CD1555" s="581"/>
      <c r="CE1555" s="581"/>
      <c r="CF1555" s="581"/>
      <c r="CG1555" s="586"/>
      <c r="CH1555" s="608"/>
      <c r="CI1555" s="603"/>
      <c r="CJ1555" s="347"/>
      <c r="CK1555" s="347"/>
      <c r="CL1555" s="347"/>
      <c r="CM1555" s="347"/>
      <c r="CN1555" s="347"/>
      <c r="CO1555" s="347"/>
      <c r="CP1555" s="347"/>
    </row>
    <row r="1556">
      <c r="A1556" s="574"/>
      <c r="B1556" s="574"/>
      <c r="C1556" s="347"/>
      <c r="D1556" s="574"/>
      <c r="E1556" s="347"/>
      <c r="F1556" s="596"/>
      <c r="G1556" s="596"/>
      <c r="H1556" s="347"/>
      <c r="I1556" s="347"/>
      <c r="J1556" s="596"/>
      <c r="K1556" s="609"/>
      <c r="L1556" s="1"/>
      <c r="M1556" s="347"/>
      <c r="N1556" s="347"/>
      <c r="O1556" s="579"/>
      <c r="P1556" s="579"/>
      <c r="Q1556" s="574"/>
      <c r="R1556" s="347"/>
      <c r="S1556" s="597"/>
      <c r="T1556" s="347"/>
      <c r="U1556" s="579"/>
      <c r="V1556" s="579"/>
      <c r="W1556" s="574"/>
      <c r="X1556" s="347"/>
      <c r="Y1556" s="347"/>
      <c r="Z1556" s="347"/>
      <c r="AA1556" s="579"/>
      <c r="AB1556" s="581"/>
      <c r="AC1556" s="347"/>
      <c r="AD1556" s="347"/>
      <c r="AE1556" s="347"/>
      <c r="AF1556" s="347"/>
      <c r="AG1556" s="579"/>
      <c r="AH1556" s="579"/>
      <c r="AI1556" s="582"/>
      <c r="AJ1556" s="582"/>
      <c r="AK1556" s="582"/>
      <c r="AL1556" s="582"/>
      <c r="AM1556" s="579"/>
      <c r="AN1556" s="579"/>
      <c r="AO1556" s="347"/>
      <c r="AP1556" s="586"/>
      <c r="AQ1556" s="596"/>
      <c r="AR1556" s="596"/>
      <c r="AS1556" s="348"/>
      <c r="AT1556" s="348"/>
      <c r="AU1556" s="348"/>
      <c r="AV1556" s="348"/>
      <c r="AW1556" s="348"/>
      <c r="AX1556" s="584"/>
      <c r="AY1556" s="581"/>
      <c r="AZ1556" s="581"/>
      <c r="BA1556" s="596"/>
      <c r="BB1556" s="596"/>
      <c r="BC1556" s="348"/>
      <c r="BD1556" s="581"/>
      <c r="BE1556" s="581"/>
      <c r="BF1556" s="347"/>
      <c r="BG1556" s="347"/>
      <c r="BH1556" s="347"/>
      <c r="BI1556" s="347"/>
      <c r="BJ1556" s="586"/>
      <c r="BK1556" s="581"/>
      <c r="BL1556" s="347"/>
      <c r="BM1556" s="347"/>
      <c r="BN1556" s="347"/>
      <c r="BO1556" s="586"/>
      <c r="BP1556" s="584"/>
      <c r="BQ1556" s="347"/>
      <c r="BR1556" s="586"/>
      <c r="BS1556" s="588"/>
      <c r="BT1556" s="586"/>
      <c r="BU1556" s="589"/>
      <c r="BV1556" s="581"/>
      <c r="BW1556" s="590"/>
      <c r="BX1556" s="347"/>
      <c r="BY1556" s="347"/>
      <c r="BZ1556" s="347"/>
      <c r="CA1556" s="586"/>
      <c r="CB1556" s="581"/>
      <c r="CC1556" s="581"/>
      <c r="CD1556" s="581"/>
      <c r="CE1556" s="581"/>
      <c r="CF1556" s="581"/>
      <c r="CG1556" s="586"/>
      <c r="CH1556" s="608"/>
      <c r="CI1556" s="603"/>
      <c r="CJ1556" s="347"/>
      <c r="CK1556" s="347"/>
      <c r="CL1556" s="347"/>
      <c r="CM1556" s="347"/>
      <c r="CN1556" s="347"/>
      <c r="CO1556" s="347"/>
      <c r="CP1556" s="347"/>
    </row>
    <row r="1557">
      <c r="A1557" s="574"/>
      <c r="B1557" s="574"/>
      <c r="C1557" s="347"/>
      <c r="D1557" s="574"/>
      <c r="E1557" s="347"/>
      <c r="F1557" s="596"/>
      <c r="G1557" s="596"/>
      <c r="H1557" s="347"/>
      <c r="I1557" s="347"/>
      <c r="J1557" s="596"/>
      <c r="K1557" s="609"/>
      <c r="L1557" s="1"/>
      <c r="M1557" s="347"/>
      <c r="N1557" s="347"/>
      <c r="O1557" s="579"/>
      <c r="P1557" s="579"/>
      <c r="Q1557" s="574"/>
      <c r="R1557" s="347"/>
      <c r="S1557" s="597"/>
      <c r="T1557" s="347"/>
      <c r="U1557" s="579"/>
      <c r="V1557" s="579"/>
      <c r="W1557" s="574"/>
      <c r="X1557" s="347"/>
      <c r="Y1557" s="347"/>
      <c r="Z1557" s="347"/>
      <c r="AA1557" s="579"/>
      <c r="AB1557" s="581"/>
      <c r="AC1557" s="347"/>
      <c r="AD1557" s="347"/>
      <c r="AE1557" s="347"/>
      <c r="AF1557" s="347"/>
      <c r="AG1557" s="579"/>
      <c r="AH1557" s="579"/>
      <c r="AI1557" s="582"/>
      <c r="AJ1557" s="582"/>
      <c r="AK1557" s="582"/>
      <c r="AL1557" s="582"/>
      <c r="AM1557" s="579"/>
      <c r="AN1557" s="579"/>
      <c r="AO1557" s="347"/>
      <c r="AP1557" s="586"/>
      <c r="AQ1557" s="596"/>
      <c r="AR1557" s="596"/>
      <c r="AS1557" s="348"/>
      <c r="AT1557" s="348"/>
      <c r="AU1557" s="348"/>
      <c r="AV1557" s="348"/>
      <c r="AW1557" s="348"/>
      <c r="AX1557" s="584"/>
      <c r="AY1557" s="581"/>
      <c r="AZ1557" s="581"/>
      <c r="BA1557" s="596"/>
      <c r="BB1557" s="596"/>
      <c r="BC1557" s="348"/>
      <c r="BD1557" s="581"/>
      <c r="BE1557" s="581"/>
      <c r="BF1557" s="347"/>
      <c r="BG1557" s="347"/>
      <c r="BH1557" s="347"/>
      <c r="BI1557" s="347"/>
      <c r="BJ1557" s="586"/>
      <c r="BK1557" s="581"/>
      <c r="BL1557" s="347"/>
      <c r="BM1557" s="347"/>
      <c r="BN1557" s="347"/>
      <c r="BO1557" s="586"/>
      <c r="BP1557" s="584"/>
      <c r="BQ1557" s="347"/>
      <c r="BR1557" s="586"/>
      <c r="BS1557" s="588"/>
      <c r="BT1557" s="586"/>
      <c r="BU1557" s="589"/>
      <c r="BV1557" s="581"/>
      <c r="BW1557" s="590"/>
      <c r="BX1557" s="347"/>
      <c r="BY1557" s="347"/>
      <c r="BZ1557" s="347"/>
      <c r="CA1557" s="586"/>
      <c r="CB1557" s="581"/>
      <c r="CC1557" s="581"/>
      <c r="CD1557" s="581"/>
      <c r="CE1557" s="581"/>
      <c r="CF1557" s="581"/>
      <c r="CG1557" s="586"/>
      <c r="CH1557" s="608"/>
      <c r="CI1557" s="603"/>
      <c r="CJ1557" s="347"/>
      <c r="CK1557" s="347"/>
      <c r="CL1557" s="347"/>
      <c r="CM1557" s="347"/>
      <c r="CN1557" s="347"/>
      <c r="CO1557" s="347"/>
      <c r="CP1557" s="347"/>
    </row>
    <row r="1558">
      <c r="A1558" s="574"/>
      <c r="B1558" s="574"/>
      <c r="C1558" s="347"/>
      <c r="D1558" s="574"/>
      <c r="E1558" s="347"/>
      <c r="F1558" s="596"/>
      <c r="G1558" s="596"/>
      <c r="H1558" s="347"/>
      <c r="I1558" s="347"/>
      <c r="J1558" s="596"/>
      <c r="K1558" s="609"/>
      <c r="L1558" s="1"/>
      <c r="M1558" s="347"/>
      <c r="N1558" s="347"/>
      <c r="O1558" s="579"/>
      <c r="P1558" s="579"/>
      <c r="Q1558" s="574"/>
      <c r="R1558" s="347"/>
      <c r="S1558" s="597"/>
      <c r="T1558" s="347"/>
      <c r="U1558" s="579"/>
      <c r="V1558" s="579"/>
      <c r="W1558" s="574"/>
      <c r="X1558" s="347"/>
      <c r="Y1558" s="347"/>
      <c r="Z1558" s="347"/>
      <c r="AA1558" s="579"/>
      <c r="AB1558" s="581"/>
      <c r="AC1558" s="347"/>
      <c r="AD1558" s="347"/>
      <c r="AE1558" s="347"/>
      <c r="AF1558" s="347"/>
      <c r="AG1558" s="579"/>
      <c r="AH1558" s="579"/>
      <c r="AI1558" s="582"/>
      <c r="AJ1558" s="582"/>
      <c r="AK1558" s="582"/>
      <c r="AL1558" s="582"/>
      <c r="AM1558" s="579"/>
      <c r="AN1558" s="579"/>
      <c r="AO1558" s="347"/>
      <c r="AP1558" s="586"/>
      <c r="AQ1558" s="596"/>
      <c r="AR1558" s="596"/>
      <c r="AS1558" s="348"/>
      <c r="AT1558" s="348"/>
      <c r="AU1558" s="348"/>
      <c r="AV1558" s="348"/>
      <c r="AW1558" s="348"/>
      <c r="AX1558" s="584"/>
      <c r="AY1558" s="581"/>
      <c r="AZ1558" s="581"/>
      <c r="BA1558" s="596"/>
      <c r="BB1558" s="596"/>
      <c r="BC1558" s="348"/>
      <c r="BD1558" s="581"/>
      <c r="BE1558" s="581"/>
      <c r="BF1558" s="347"/>
      <c r="BG1558" s="347"/>
      <c r="BH1558" s="347"/>
      <c r="BI1558" s="347"/>
      <c r="BJ1558" s="586"/>
      <c r="BK1558" s="581"/>
      <c r="BL1558" s="347"/>
      <c r="BM1558" s="347"/>
      <c r="BN1558" s="347"/>
      <c r="BO1558" s="586"/>
      <c r="BP1558" s="584"/>
      <c r="BQ1558" s="347"/>
      <c r="BR1558" s="586"/>
      <c r="BS1558" s="588"/>
      <c r="BT1558" s="586"/>
      <c r="BU1558" s="589"/>
      <c r="BV1558" s="581"/>
      <c r="BW1558" s="590"/>
      <c r="BX1558" s="347"/>
      <c r="BY1558" s="347"/>
      <c r="BZ1558" s="347"/>
      <c r="CA1558" s="586"/>
      <c r="CB1558" s="581"/>
      <c r="CC1558" s="581"/>
      <c r="CD1558" s="581"/>
      <c r="CE1558" s="581"/>
      <c r="CF1558" s="581"/>
      <c r="CG1558" s="586"/>
      <c r="CH1558" s="608"/>
      <c r="CI1558" s="603"/>
      <c r="CJ1558" s="347"/>
      <c r="CK1558" s="347"/>
      <c r="CL1558" s="347"/>
      <c r="CM1558" s="347"/>
      <c r="CN1558" s="347"/>
      <c r="CO1558" s="347"/>
      <c r="CP1558" s="347"/>
    </row>
    <row r="1559">
      <c r="A1559" s="574"/>
      <c r="B1559" s="574"/>
      <c r="C1559" s="347"/>
      <c r="D1559" s="574"/>
      <c r="E1559" s="347"/>
      <c r="F1559" s="596"/>
      <c r="G1559" s="596"/>
      <c r="H1559" s="347"/>
      <c r="I1559" s="347"/>
      <c r="J1559" s="596"/>
      <c r="K1559" s="609"/>
      <c r="L1559" s="1"/>
      <c r="M1559" s="347"/>
      <c r="N1559" s="347"/>
      <c r="O1559" s="579"/>
      <c r="P1559" s="579"/>
      <c r="Q1559" s="574"/>
      <c r="R1559" s="347"/>
      <c r="S1559" s="597"/>
      <c r="T1559" s="347"/>
      <c r="U1559" s="579"/>
      <c r="V1559" s="579"/>
      <c r="W1559" s="574"/>
      <c r="X1559" s="347"/>
      <c r="Y1559" s="347"/>
      <c r="Z1559" s="347"/>
      <c r="AA1559" s="579"/>
      <c r="AB1559" s="581"/>
      <c r="AC1559" s="347"/>
      <c r="AD1559" s="347"/>
      <c r="AE1559" s="347"/>
      <c r="AF1559" s="347"/>
      <c r="AG1559" s="579"/>
      <c r="AH1559" s="579"/>
      <c r="AI1559" s="582"/>
      <c r="AJ1559" s="582"/>
      <c r="AK1559" s="582"/>
      <c r="AL1559" s="582"/>
      <c r="AM1559" s="579"/>
      <c r="AN1559" s="579"/>
      <c r="AO1559" s="347"/>
      <c r="AP1559" s="586"/>
      <c r="AQ1559" s="596"/>
      <c r="AR1559" s="596"/>
      <c r="AS1559" s="348"/>
      <c r="AT1559" s="348"/>
      <c r="AU1559" s="348"/>
      <c r="AV1559" s="348"/>
      <c r="AW1559" s="348"/>
      <c r="AX1559" s="584"/>
      <c r="AY1559" s="581"/>
      <c r="AZ1559" s="581"/>
      <c r="BA1559" s="596"/>
      <c r="BB1559" s="596"/>
      <c r="BC1559" s="348"/>
      <c r="BD1559" s="581"/>
      <c r="BE1559" s="581"/>
      <c r="BF1559" s="347"/>
      <c r="BG1559" s="347"/>
      <c r="BH1559" s="347"/>
      <c r="BI1559" s="347"/>
      <c r="BJ1559" s="586"/>
      <c r="BK1559" s="581"/>
      <c r="BL1559" s="347"/>
      <c r="BM1559" s="347"/>
      <c r="BN1559" s="347"/>
      <c r="BO1559" s="586"/>
      <c r="BP1559" s="584"/>
      <c r="BQ1559" s="347"/>
      <c r="BR1559" s="586"/>
      <c r="BS1559" s="588"/>
      <c r="BT1559" s="586"/>
      <c r="BU1559" s="589"/>
      <c r="BV1559" s="581"/>
      <c r="BW1559" s="590"/>
      <c r="BX1559" s="347"/>
      <c r="BY1559" s="347"/>
      <c r="BZ1559" s="347"/>
      <c r="CA1559" s="586"/>
      <c r="CB1559" s="581"/>
      <c r="CC1559" s="581"/>
      <c r="CD1559" s="581"/>
      <c r="CE1559" s="581"/>
      <c r="CF1559" s="581"/>
      <c r="CG1559" s="586"/>
      <c r="CH1559" s="608"/>
      <c r="CI1559" s="603"/>
      <c r="CJ1559" s="347"/>
      <c r="CK1559" s="347"/>
      <c r="CL1559" s="347"/>
      <c r="CM1559" s="347"/>
      <c r="CN1559" s="347"/>
      <c r="CO1559" s="347"/>
      <c r="CP1559" s="347"/>
    </row>
    <row r="1560">
      <c r="A1560" s="574"/>
      <c r="B1560" s="574"/>
      <c r="C1560" s="347"/>
      <c r="D1560" s="574"/>
      <c r="E1560" s="347"/>
      <c r="F1560" s="596"/>
      <c r="G1560" s="596"/>
      <c r="H1560" s="347"/>
      <c r="I1560" s="347"/>
      <c r="J1560" s="596"/>
      <c r="K1560" s="609"/>
      <c r="L1560" s="1"/>
      <c r="M1560" s="347"/>
      <c r="N1560" s="347"/>
      <c r="O1560" s="579"/>
      <c r="P1560" s="579"/>
      <c r="Q1560" s="574"/>
      <c r="R1560" s="347"/>
      <c r="S1560" s="597"/>
      <c r="T1560" s="347"/>
      <c r="U1560" s="579"/>
      <c r="V1560" s="579"/>
      <c r="W1560" s="574"/>
      <c r="X1560" s="347"/>
      <c r="Y1560" s="347"/>
      <c r="Z1560" s="347"/>
      <c r="AA1560" s="579"/>
      <c r="AB1560" s="581"/>
      <c r="AC1560" s="347"/>
      <c r="AD1560" s="347"/>
      <c r="AE1560" s="347"/>
      <c r="AF1560" s="347"/>
      <c r="AG1560" s="579"/>
      <c r="AH1560" s="579"/>
      <c r="AI1560" s="582"/>
      <c r="AJ1560" s="582"/>
      <c r="AK1560" s="582"/>
      <c r="AL1560" s="582"/>
      <c r="AM1560" s="579"/>
      <c r="AN1560" s="579"/>
      <c r="AO1560" s="347"/>
      <c r="AP1560" s="586"/>
      <c r="AQ1560" s="596"/>
      <c r="AR1560" s="596"/>
      <c r="AS1560" s="348"/>
      <c r="AT1560" s="348"/>
      <c r="AU1560" s="348"/>
      <c r="AV1560" s="348"/>
      <c r="AW1560" s="348"/>
      <c r="AX1560" s="584"/>
      <c r="AY1560" s="581"/>
      <c r="AZ1560" s="581"/>
      <c r="BA1560" s="596"/>
      <c r="BB1560" s="596"/>
      <c r="BC1560" s="348"/>
      <c r="BD1560" s="581"/>
      <c r="BE1560" s="581"/>
      <c r="BF1560" s="347"/>
      <c r="BG1560" s="347"/>
      <c r="BH1560" s="347"/>
      <c r="BI1560" s="347"/>
      <c r="BJ1560" s="586"/>
      <c r="BK1560" s="581"/>
      <c r="BL1560" s="347"/>
      <c r="BM1560" s="347"/>
      <c r="BN1560" s="347"/>
      <c r="BO1560" s="586"/>
      <c r="BP1560" s="584"/>
      <c r="BQ1560" s="347"/>
      <c r="BR1560" s="586"/>
      <c r="BS1560" s="588"/>
      <c r="BT1560" s="586"/>
      <c r="BU1560" s="589"/>
      <c r="BV1560" s="581"/>
      <c r="BW1560" s="590"/>
      <c r="BX1560" s="347"/>
      <c r="BY1560" s="347"/>
      <c r="BZ1560" s="347"/>
      <c r="CA1560" s="586"/>
      <c r="CB1560" s="581"/>
      <c r="CC1560" s="581"/>
      <c r="CD1560" s="581"/>
      <c r="CE1560" s="581"/>
      <c r="CF1560" s="581"/>
      <c r="CG1560" s="586"/>
      <c r="CH1560" s="608"/>
      <c r="CI1560" s="603"/>
      <c r="CJ1560" s="347"/>
      <c r="CK1560" s="347"/>
      <c r="CL1560" s="347"/>
      <c r="CM1560" s="347"/>
      <c r="CN1560" s="347"/>
      <c r="CO1560" s="347"/>
      <c r="CP1560" s="347"/>
    </row>
    <row r="1561">
      <c r="A1561" s="574"/>
      <c r="B1561" s="574"/>
      <c r="C1561" s="347"/>
      <c r="D1561" s="574"/>
      <c r="E1561" s="347"/>
      <c r="F1561" s="596"/>
      <c r="G1561" s="596"/>
      <c r="H1561" s="347"/>
      <c r="I1561" s="347"/>
      <c r="J1561" s="596"/>
      <c r="K1561" s="609"/>
      <c r="L1561" s="1"/>
      <c r="M1561" s="347"/>
      <c r="N1561" s="347"/>
      <c r="O1561" s="579"/>
      <c r="P1561" s="579"/>
      <c r="Q1561" s="574"/>
      <c r="R1561" s="347"/>
      <c r="S1561" s="597"/>
      <c r="T1561" s="347"/>
      <c r="U1561" s="579"/>
      <c r="V1561" s="579"/>
      <c r="W1561" s="574"/>
      <c r="X1561" s="347"/>
      <c r="Y1561" s="347"/>
      <c r="Z1561" s="347"/>
      <c r="AA1561" s="579"/>
      <c r="AB1561" s="581"/>
      <c r="AC1561" s="347"/>
      <c r="AD1561" s="347"/>
      <c r="AE1561" s="347"/>
      <c r="AF1561" s="347"/>
      <c r="AG1561" s="579"/>
      <c r="AH1561" s="579"/>
      <c r="AI1561" s="582"/>
      <c r="AJ1561" s="582"/>
      <c r="AK1561" s="582"/>
      <c r="AL1561" s="582"/>
      <c r="AM1561" s="579"/>
      <c r="AN1561" s="579"/>
      <c r="AO1561" s="347"/>
      <c r="AP1561" s="586"/>
      <c r="AQ1561" s="596"/>
      <c r="AR1561" s="596"/>
      <c r="AS1561" s="348"/>
      <c r="AT1561" s="348"/>
      <c r="AU1561" s="348"/>
      <c r="AV1561" s="348"/>
      <c r="AW1561" s="348"/>
      <c r="AX1561" s="584"/>
      <c r="AY1561" s="581"/>
      <c r="AZ1561" s="581"/>
      <c r="BA1561" s="596"/>
      <c r="BB1561" s="596"/>
      <c r="BC1561" s="348"/>
      <c r="BD1561" s="581"/>
      <c r="BE1561" s="581"/>
      <c r="BF1561" s="347"/>
      <c r="BG1561" s="347"/>
      <c r="BH1561" s="347"/>
      <c r="BI1561" s="347"/>
      <c r="BJ1561" s="586"/>
      <c r="BK1561" s="581"/>
      <c r="BL1561" s="347"/>
      <c r="BM1561" s="347"/>
      <c r="BN1561" s="347"/>
      <c r="BO1561" s="586"/>
      <c r="BP1561" s="584"/>
      <c r="BQ1561" s="347"/>
      <c r="BR1561" s="586"/>
      <c r="BS1561" s="588"/>
      <c r="BT1561" s="586"/>
      <c r="BU1561" s="589"/>
      <c r="BV1561" s="581"/>
      <c r="BW1561" s="590"/>
      <c r="BX1561" s="347"/>
      <c r="BY1561" s="347"/>
      <c r="BZ1561" s="347"/>
      <c r="CA1561" s="586"/>
      <c r="CB1561" s="581"/>
      <c r="CC1561" s="581"/>
      <c r="CD1561" s="581"/>
      <c r="CE1561" s="581"/>
      <c r="CF1561" s="581"/>
      <c r="CG1561" s="586"/>
      <c r="CH1561" s="608"/>
      <c r="CI1561" s="603"/>
      <c r="CJ1561" s="347"/>
      <c r="CK1561" s="347"/>
      <c r="CL1561" s="347"/>
      <c r="CM1561" s="347"/>
      <c r="CN1561" s="347"/>
      <c r="CO1561" s="347"/>
      <c r="CP1561" s="347"/>
    </row>
    <row r="1562">
      <c r="A1562" s="574"/>
      <c r="B1562" s="574"/>
      <c r="C1562" s="347"/>
      <c r="D1562" s="574"/>
      <c r="E1562" s="347"/>
      <c r="F1562" s="596"/>
      <c r="G1562" s="596"/>
      <c r="H1562" s="347"/>
      <c r="I1562" s="347"/>
      <c r="J1562" s="596"/>
      <c r="K1562" s="609"/>
      <c r="L1562" s="1"/>
      <c r="M1562" s="347"/>
      <c r="N1562" s="347"/>
      <c r="O1562" s="579"/>
      <c r="P1562" s="579"/>
      <c r="Q1562" s="574"/>
      <c r="R1562" s="347"/>
      <c r="S1562" s="597"/>
      <c r="T1562" s="347"/>
      <c r="U1562" s="579"/>
      <c r="V1562" s="579"/>
      <c r="W1562" s="574"/>
      <c r="X1562" s="347"/>
      <c r="Y1562" s="347"/>
      <c r="Z1562" s="347"/>
      <c r="AA1562" s="579"/>
      <c r="AB1562" s="581"/>
      <c r="AC1562" s="347"/>
      <c r="AD1562" s="347"/>
      <c r="AE1562" s="347"/>
      <c r="AF1562" s="347"/>
      <c r="AG1562" s="579"/>
      <c r="AH1562" s="579"/>
      <c r="AI1562" s="582"/>
      <c r="AJ1562" s="582"/>
      <c r="AK1562" s="582"/>
      <c r="AL1562" s="582"/>
      <c r="AM1562" s="579"/>
      <c r="AN1562" s="579"/>
      <c r="AO1562" s="347"/>
      <c r="AP1562" s="586"/>
      <c r="AQ1562" s="596"/>
      <c r="AR1562" s="596"/>
      <c r="AS1562" s="348"/>
      <c r="AT1562" s="348"/>
      <c r="AU1562" s="348"/>
      <c r="AV1562" s="348"/>
      <c r="AW1562" s="348"/>
      <c r="AX1562" s="584"/>
      <c r="AY1562" s="581"/>
      <c r="AZ1562" s="581"/>
      <c r="BA1562" s="596"/>
      <c r="BB1562" s="596"/>
      <c r="BC1562" s="348"/>
      <c r="BD1562" s="581"/>
      <c r="BE1562" s="581"/>
      <c r="BF1562" s="347"/>
      <c r="BG1562" s="347"/>
      <c r="BH1562" s="347"/>
      <c r="BI1562" s="347"/>
      <c r="BJ1562" s="586"/>
      <c r="BK1562" s="581"/>
      <c r="BL1562" s="347"/>
      <c r="BM1562" s="347"/>
      <c r="BN1562" s="347"/>
      <c r="BO1562" s="586"/>
      <c r="BP1562" s="584"/>
      <c r="BQ1562" s="347"/>
      <c r="BR1562" s="586"/>
      <c r="BS1562" s="588"/>
      <c r="BT1562" s="586"/>
      <c r="BU1562" s="589"/>
      <c r="BV1562" s="581"/>
      <c r="BW1562" s="590"/>
      <c r="BX1562" s="347"/>
      <c r="BY1562" s="347"/>
      <c r="BZ1562" s="347"/>
      <c r="CA1562" s="586"/>
      <c r="CB1562" s="581"/>
      <c r="CC1562" s="581"/>
      <c r="CD1562" s="581"/>
      <c r="CE1562" s="581"/>
      <c r="CF1562" s="581"/>
      <c r="CG1562" s="586"/>
      <c r="CH1562" s="608"/>
      <c r="CI1562" s="603"/>
      <c r="CJ1562" s="347"/>
      <c r="CK1562" s="347"/>
      <c r="CL1562" s="347"/>
      <c r="CM1562" s="347"/>
      <c r="CN1562" s="347"/>
      <c r="CO1562" s="347"/>
      <c r="CP1562" s="347"/>
    </row>
    <row r="1563">
      <c r="A1563" s="574"/>
      <c r="B1563" s="574"/>
      <c r="C1563" s="347"/>
      <c r="D1563" s="574"/>
      <c r="E1563" s="347"/>
      <c r="F1563" s="596"/>
      <c r="G1563" s="596"/>
      <c r="H1563" s="347"/>
      <c r="I1563" s="347"/>
      <c r="J1563" s="596"/>
      <c r="K1563" s="609"/>
      <c r="L1563" s="1"/>
      <c r="M1563" s="347"/>
      <c r="N1563" s="347"/>
      <c r="O1563" s="579"/>
      <c r="P1563" s="579"/>
      <c r="Q1563" s="574"/>
      <c r="R1563" s="347"/>
      <c r="S1563" s="597"/>
      <c r="T1563" s="347"/>
      <c r="U1563" s="579"/>
      <c r="V1563" s="579"/>
      <c r="W1563" s="574"/>
      <c r="X1563" s="347"/>
      <c r="Y1563" s="347"/>
      <c r="Z1563" s="347"/>
      <c r="AA1563" s="579"/>
      <c r="AB1563" s="581"/>
      <c r="AC1563" s="347"/>
      <c r="AD1563" s="347"/>
      <c r="AE1563" s="347"/>
      <c r="AF1563" s="347"/>
      <c r="AG1563" s="579"/>
      <c r="AH1563" s="579"/>
      <c r="AI1563" s="582"/>
      <c r="AJ1563" s="582"/>
      <c r="AK1563" s="582"/>
      <c r="AL1563" s="582"/>
      <c r="AM1563" s="579"/>
      <c r="AN1563" s="579"/>
      <c r="AO1563" s="347"/>
      <c r="AP1563" s="586"/>
      <c r="AQ1563" s="596"/>
      <c r="AR1563" s="596"/>
      <c r="AS1563" s="348"/>
      <c r="AT1563" s="348"/>
      <c r="AU1563" s="348"/>
      <c r="AV1563" s="348"/>
      <c r="AW1563" s="348"/>
      <c r="AX1563" s="584"/>
      <c r="AY1563" s="581"/>
      <c r="AZ1563" s="581"/>
      <c r="BA1563" s="596"/>
      <c r="BB1563" s="596"/>
      <c r="BC1563" s="348"/>
      <c r="BD1563" s="581"/>
      <c r="BE1563" s="581"/>
      <c r="BF1563" s="347"/>
      <c r="BG1563" s="347"/>
      <c r="BH1563" s="347"/>
      <c r="BI1563" s="347"/>
      <c r="BJ1563" s="586"/>
      <c r="BK1563" s="581"/>
      <c r="BL1563" s="347"/>
      <c r="BM1563" s="347"/>
      <c r="BN1563" s="347"/>
      <c r="BO1563" s="586"/>
      <c r="BP1563" s="584"/>
      <c r="BQ1563" s="347"/>
      <c r="BR1563" s="586"/>
      <c r="BS1563" s="588"/>
      <c r="BT1563" s="586"/>
      <c r="BU1563" s="589"/>
      <c r="BV1563" s="581"/>
      <c r="BW1563" s="590"/>
      <c r="BX1563" s="347"/>
      <c r="BY1563" s="347"/>
      <c r="BZ1563" s="347"/>
      <c r="CA1563" s="586"/>
      <c r="CB1563" s="581"/>
      <c r="CC1563" s="581"/>
      <c r="CD1563" s="581"/>
      <c r="CE1563" s="581"/>
      <c r="CF1563" s="581"/>
      <c r="CG1563" s="586"/>
      <c r="CH1563" s="608"/>
      <c r="CI1563" s="603"/>
      <c r="CJ1563" s="347"/>
      <c r="CK1563" s="347"/>
      <c r="CL1563" s="347"/>
      <c r="CM1563" s="347"/>
      <c r="CN1563" s="347"/>
      <c r="CO1563" s="347"/>
      <c r="CP1563" s="347"/>
    </row>
    <row r="1564">
      <c r="A1564" s="574"/>
      <c r="B1564" s="574"/>
      <c r="C1564" s="347"/>
      <c r="D1564" s="574"/>
      <c r="E1564" s="347"/>
      <c r="F1564" s="596"/>
      <c r="G1564" s="596"/>
      <c r="H1564" s="347"/>
      <c r="I1564" s="347"/>
      <c r="J1564" s="596"/>
      <c r="K1564" s="609"/>
      <c r="L1564" s="1"/>
      <c r="M1564" s="347"/>
      <c r="N1564" s="347"/>
      <c r="O1564" s="579"/>
      <c r="P1564" s="579"/>
      <c r="Q1564" s="574"/>
      <c r="R1564" s="347"/>
      <c r="S1564" s="597"/>
      <c r="T1564" s="347"/>
      <c r="U1564" s="579"/>
      <c r="V1564" s="579"/>
      <c r="W1564" s="574"/>
      <c r="X1564" s="347"/>
      <c r="Y1564" s="347"/>
      <c r="Z1564" s="347"/>
      <c r="AA1564" s="579"/>
      <c r="AB1564" s="581"/>
      <c r="AC1564" s="347"/>
      <c r="AD1564" s="347"/>
      <c r="AE1564" s="347"/>
      <c r="AF1564" s="347"/>
      <c r="AG1564" s="579"/>
      <c r="AH1564" s="579"/>
      <c r="AI1564" s="582"/>
      <c r="AJ1564" s="582"/>
      <c r="AK1564" s="582"/>
      <c r="AL1564" s="582"/>
      <c r="AM1564" s="579"/>
      <c r="AN1564" s="579"/>
      <c r="AO1564" s="347"/>
      <c r="AP1564" s="586"/>
      <c r="AQ1564" s="596"/>
      <c r="AR1564" s="596"/>
      <c r="AS1564" s="348"/>
      <c r="AT1564" s="348"/>
      <c r="AU1564" s="348"/>
      <c r="AV1564" s="348"/>
      <c r="AW1564" s="348"/>
      <c r="AX1564" s="584"/>
      <c r="AY1564" s="581"/>
      <c r="AZ1564" s="581"/>
      <c r="BA1564" s="596"/>
      <c r="BB1564" s="596"/>
      <c r="BC1564" s="348"/>
      <c r="BD1564" s="581"/>
      <c r="BE1564" s="581"/>
      <c r="BF1564" s="347"/>
      <c r="BG1564" s="347"/>
      <c r="BH1564" s="347"/>
      <c r="BI1564" s="347"/>
      <c r="BJ1564" s="586"/>
      <c r="BK1564" s="581"/>
      <c r="BL1564" s="347"/>
      <c r="BM1564" s="347"/>
      <c r="BN1564" s="347"/>
      <c r="BO1564" s="586"/>
      <c r="BP1564" s="584"/>
      <c r="BQ1564" s="347"/>
      <c r="BR1564" s="586"/>
      <c r="BS1564" s="588"/>
      <c r="BT1564" s="586"/>
      <c r="BU1564" s="589"/>
      <c r="BV1564" s="581"/>
      <c r="BW1564" s="590"/>
      <c r="BX1564" s="347"/>
      <c r="BY1564" s="347"/>
      <c r="BZ1564" s="347"/>
      <c r="CA1564" s="586"/>
      <c r="CB1564" s="581"/>
      <c r="CC1564" s="581"/>
      <c r="CD1564" s="581"/>
      <c r="CE1564" s="581"/>
      <c r="CF1564" s="581"/>
      <c r="CG1564" s="586"/>
      <c r="CH1564" s="608"/>
      <c r="CI1564" s="603"/>
      <c r="CJ1564" s="347"/>
      <c r="CK1564" s="347"/>
      <c r="CL1564" s="347"/>
      <c r="CM1564" s="347"/>
      <c r="CN1564" s="347"/>
      <c r="CO1564" s="347"/>
      <c r="CP1564" s="347"/>
    </row>
    <row r="1565">
      <c r="A1565" s="574"/>
      <c r="B1565" s="574"/>
      <c r="C1565" s="347"/>
      <c r="D1565" s="574"/>
      <c r="E1565" s="347"/>
      <c r="F1565" s="596"/>
      <c r="G1565" s="596"/>
      <c r="H1565" s="347"/>
      <c r="I1565" s="347"/>
      <c r="J1565" s="596"/>
      <c r="K1565" s="609"/>
      <c r="L1565" s="1"/>
      <c r="M1565" s="347"/>
      <c r="N1565" s="347"/>
      <c r="O1565" s="579"/>
      <c r="P1565" s="579"/>
      <c r="Q1565" s="574"/>
      <c r="R1565" s="347"/>
      <c r="S1565" s="597"/>
      <c r="T1565" s="347"/>
      <c r="U1565" s="579"/>
      <c r="V1565" s="579"/>
      <c r="W1565" s="574"/>
      <c r="X1565" s="347"/>
      <c r="Y1565" s="347"/>
      <c r="Z1565" s="347"/>
      <c r="AA1565" s="579"/>
      <c r="AB1565" s="581"/>
      <c r="AC1565" s="347"/>
      <c r="AD1565" s="347"/>
      <c r="AE1565" s="347"/>
      <c r="AF1565" s="347"/>
      <c r="AG1565" s="579"/>
      <c r="AH1565" s="579"/>
      <c r="AI1565" s="582"/>
      <c r="AJ1565" s="582"/>
      <c r="AK1565" s="582"/>
      <c r="AL1565" s="582"/>
      <c r="AM1565" s="579"/>
      <c r="AN1565" s="579"/>
      <c r="AO1565" s="347"/>
      <c r="AP1565" s="586"/>
      <c r="AQ1565" s="596"/>
      <c r="AR1565" s="596"/>
      <c r="AS1565" s="348"/>
      <c r="AT1565" s="348"/>
      <c r="AU1565" s="348"/>
      <c r="AV1565" s="348"/>
      <c r="AW1565" s="348"/>
      <c r="AX1565" s="584"/>
      <c r="AY1565" s="581"/>
      <c r="AZ1565" s="581"/>
      <c r="BA1565" s="596"/>
      <c r="BB1565" s="596"/>
      <c r="BC1565" s="348"/>
      <c r="BD1565" s="581"/>
      <c r="BE1565" s="581"/>
      <c r="BF1565" s="347"/>
      <c r="BG1565" s="347"/>
      <c r="BH1565" s="347"/>
      <c r="BI1565" s="347"/>
      <c r="BJ1565" s="586"/>
      <c r="BK1565" s="581"/>
      <c r="BL1565" s="347"/>
      <c r="BM1565" s="347"/>
      <c r="BN1565" s="347"/>
      <c r="BO1565" s="586"/>
      <c r="BP1565" s="584"/>
      <c r="BQ1565" s="347"/>
      <c r="BR1565" s="586"/>
      <c r="BS1565" s="588"/>
      <c r="BT1565" s="586"/>
      <c r="BU1565" s="589"/>
      <c r="BV1565" s="581"/>
      <c r="BW1565" s="590"/>
      <c r="BX1565" s="347"/>
      <c r="BY1565" s="347"/>
      <c r="BZ1565" s="347"/>
      <c r="CA1565" s="586"/>
      <c r="CB1565" s="581"/>
      <c r="CC1565" s="581"/>
      <c r="CD1565" s="581"/>
      <c r="CE1565" s="581"/>
      <c r="CF1565" s="581"/>
      <c r="CG1565" s="586"/>
      <c r="CH1565" s="608"/>
      <c r="CI1565" s="603"/>
      <c r="CJ1565" s="347"/>
      <c r="CK1565" s="347"/>
      <c r="CL1565" s="347"/>
      <c r="CM1565" s="347"/>
      <c r="CN1565" s="347"/>
      <c r="CO1565" s="347"/>
      <c r="CP1565" s="347"/>
    </row>
    <row r="1566">
      <c r="A1566" s="574"/>
      <c r="B1566" s="574"/>
      <c r="C1566" s="347"/>
      <c r="D1566" s="574"/>
      <c r="E1566" s="347"/>
      <c r="F1566" s="596"/>
      <c r="G1566" s="596"/>
      <c r="H1566" s="347"/>
      <c r="I1566" s="347"/>
      <c r="J1566" s="596"/>
      <c r="K1566" s="609"/>
      <c r="L1566" s="1"/>
      <c r="M1566" s="347"/>
      <c r="N1566" s="347"/>
      <c r="O1566" s="579"/>
      <c r="P1566" s="579"/>
      <c r="Q1566" s="574"/>
      <c r="R1566" s="347"/>
      <c r="S1566" s="597"/>
      <c r="T1566" s="347"/>
      <c r="U1566" s="579"/>
      <c r="V1566" s="579"/>
      <c r="W1566" s="574"/>
      <c r="X1566" s="347"/>
      <c r="Y1566" s="347"/>
      <c r="Z1566" s="347"/>
      <c r="AA1566" s="579"/>
      <c r="AB1566" s="581"/>
      <c r="AC1566" s="347"/>
      <c r="AD1566" s="347"/>
      <c r="AE1566" s="347"/>
      <c r="AF1566" s="347"/>
      <c r="AG1566" s="579"/>
      <c r="AH1566" s="579"/>
      <c r="AI1566" s="582"/>
      <c r="AJ1566" s="582"/>
      <c r="AK1566" s="582"/>
      <c r="AL1566" s="582"/>
      <c r="AM1566" s="579"/>
      <c r="AN1566" s="579"/>
      <c r="AO1566" s="347"/>
      <c r="AP1566" s="586"/>
      <c r="AQ1566" s="596"/>
      <c r="AR1566" s="596"/>
      <c r="AS1566" s="348"/>
      <c r="AT1566" s="348"/>
      <c r="AU1566" s="348"/>
      <c r="AV1566" s="348"/>
      <c r="AW1566" s="348"/>
      <c r="AX1566" s="584"/>
      <c r="AY1566" s="581"/>
      <c r="AZ1566" s="581"/>
      <c r="BA1566" s="596"/>
      <c r="BB1566" s="596"/>
      <c r="BC1566" s="348"/>
      <c r="BD1566" s="581"/>
      <c r="BE1566" s="581"/>
      <c r="BF1566" s="347"/>
      <c r="BG1566" s="347"/>
      <c r="BH1566" s="347"/>
      <c r="BI1566" s="347"/>
      <c r="BJ1566" s="586"/>
      <c r="BK1566" s="581"/>
      <c r="BL1566" s="347"/>
      <c r="BM1566" s="347"/>
      <c r="BN1566" s="347"/>
      <c r="BO1566" s="586"/>
      <c r="BP1566" s="584"/>
      <c r="BQ1566" s="347"/>
      <c r="BR1566" s="586"/>
      <c r="BS1566" s="588"/>
      <c r="BT1566" s="586"/>
      <c r="BU1566" s="589"/>
      <c r="BV1566" s="581"/>
      <c r="BW1566" s="590"/>
      <c r="BX1566" s="347"/>
      <c r="BY1566" s="347"/>
      <c r="BZ1566" s="347"/>
      <c r="CA1566" s="586"/>
      <c r="CB1566" s="581"/>
      <c r="CC1566" s="581"/>
      <c r="CD1566" s="581"/>
      <c r="CE1566" s="581"/>
      <c r="CF1566" s="581"/>
      <c r="CG1566" s="586"/>
      <c r="CH1566" s="608"/>
      <c r="CI1566" s="603"/>
      <c r="CJ1566" s="347"/>
      <c r="CK1566" s="347"/>
      <c r="CL1566" s="347"/>
      <c r="CM1566" s="347"/>
      <c r="CN1566" s="347"/>
      <c r="CO1566" s="347"/>
      <c r="CP1566" s="347"/>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5.38"/>
    <col customWidth="1" min="2" max="2" width="20.5"/>
    <col customWidth="1" min="3" max="6" width="15.38"/>
    <col customWidth="1" min="7" max="7" width="66.25"/>
    <col customWidth="1" min="8" max="11" width="15.38"/>
    <col customWidth="1" min="12" max="36" width="11.5"/>
  </cols>
  <sheetData>
    <row r="1" ht="33.75" customHeight="1">
      <c r="A1" s="664" t="str">
        <f>CONCATENATE(
            "              ", "Microsoft SQL Server Import", char(10),
            "              ", "⚠️   ",
            IFERROR(IFS(
                (now()-"2026/05/03 14:19") &lt;= 0,
                    "",
                AND((now()-"2026/05/03 14:19") * 1440 &gt;= 0, (now()-"2026/05/03 14:19") * 1440 &lt;= 5),
                    "Last updated just now",
                (now()-"2026/05/03 14:19") * 1440 &lt;= 60,
                    "Last updated "&amp;FLOOR((now()-"2026/05/03 14:19")*1440,1)&amp;" minutes ago",
                (now()-"2026/05/03 14:19") * 24 &lt;= 24,
                    "Last updated "&amp;FLOOR((now()-"2026/05/03 14:19")*24,1) &amp;
                        IF(FLOOR((now()-"2026/05/03 14:19")*24,1) &lt;= 1, " hour ago", " hours ago"),
                (now()-"2026/05/03 14:19") &lt;= 30,
                    "Last updated "&amp;FLOOR((now()-"2026/05/03 14:19"),1) &amp;
                        IF(FLOOR((now()-"2026/05/03 14:19"),1) &lt;= 1, " day ago", " days ago"),
                (now()-"2026/05/03 14:19") &gt; 30,
                    "Last updated " &amp;
                        FLOOR((now()-"2026/05/03 14:19")/7,1) &amp;
                        IF(FLOOR((now()-"2026/05/03 14:19"),1) &lt;= 1, " week ago", " weeks ago")
            ),"Last updated on 2026/05/03 14:19")
        )</f>
        <v>              Microsoft SQL Server Import
              ⚠️   Last updated 19 hours ago</v>
      </c>
      <c r="B1" s="452" t="s">
        <v>2155</v>
      </c>
      <c r="C1" s="452" t="str">
        <f>IFERROR(IF(NOW(), _COEFF_ssop()),"")</f>
        <v/>
      </c>
      <c r="D1" s="452" t="s">
        <v>2155</v>
      </c>
      <c r="E1" s="452" t="s">
        <v>2155</v>
      </c>
      <c r="F1" s="452" t="s">
        <v>2155</v>
      </c>
      <c r="G1" s="665" t="s">
        <v>2155</v>
      </c>
      <c r="H1" s="454"/>
      <c r="I1" s="454"/>
      <c r="J1" s="454"/>
      <c r="K1" s="454"/>
      <c r="L1" s="174"/>
      <c r="N1" s="90">
        <f>44/12</f>
        <v>3.666666667</v>
      </c>
      <c r="P1" s="454"/>
      <c r="Q1" s="454"/>
      <c r="R1" s="454"/>
      <c r="S1" s="454"/>
      <c r="T1" s="454"/>
      <c r="U1" s="454"/>
      <c r="V1" s="454"/>
      <c r="W1" s="454"/>
      <c r="X1" s="454"/>
      <c r="Y1" s="454"/>
      <c r="Z1" s="454"/>
      <c r="AA1" s="454"/>
      <c r="AB1" s="454"/>
      <c r="AC1" s="454"/>
      <c r="AD1" s="454"/>
      <c r="AE1" s="454"/>
      <c r="AF1" s="454"/>
      <c r="AG1" s="454"/>
      <c r="AH1" s="454"/>
      <c r="AI1" s="454"/>
      <c r="AJ1" s="454"/>
    </row>
    <row r="2" ht="22.5" customHeight="1">
      <c r="A2" s="666" t="s">
        <v>2156</v>
      </c>
      <c r="B2" s="667" t="s">
        <v>2158</v>
      </c>
      <c r="C2" s="667" t="s">
        <v>2994</v>
      </c>
      <c r="D2" s="667" t="s">
        <v>2995</v>
      </c>
      <c r="E2" s="667" t="s">
        <v>2996</v>
      </c>
      <c r="F2" s="667" t="s">
        <v>2997</v>
      </c>
      <c r="G2" s="667" t="s">
        <v>2998</v>
      </c>
      <c r="H2" s="668" t="s">
        <v>2999</v>
      </c>
      <c r="I2" s="668" t="s">
        <v>3000</v>
      </c>
      <c r="J2" s="668" t="s">
        <v>3001</v>
      </c>
      <c r="K2" s="668" t="s">
        <v>3002</v>
      </c>
      <c r="L2" s="669" t="s">
        <v>3003</v>
      </c>
      <c r="M2" s="196" t="s">
        <v>3004</v>
      </c>
      <c r="N2" s="196" t="s">
        <v>2761</v>
      </c>
      <c r="O2" s="196" t="s">
        <v>3005</v>
      </c>
      <c r="P2" s="668" t="s">
        <v>3006</v>
      </c>
      <c r="Q2" s="670"/>
      <c r="R2" s="670"/>
      <c r="S2" s="668" t="s">
        <v>3007</v>
      </c>
      <c r="T2" s="668" t="s">
        <v>3008</v>
      </c>
      <c r="U2" s="668" t="s">
        <v>3009</v>
      </c>
      <c r="V2" s="668" t="s">
        <v>3010</v>
      </c>
      <c r="W2" s="670"/>
      <c r="X2" s="670"/>
      <c r="Y2" s="670"/>
      <c r="Z2" s="670"/>
      <c r="AA2" s="670"/>
      <c r="AB2" s="670"/>
      <c r="AC2" s="670"/>
      <c r="AD2" s="670"/>
      <c r="AE2" s="670"/>
      <c r="AF2" s="670"/>
      <c r="AG2" s="670"/>
      <c r="AH2" s="670"/>
      <c r="AI2" s="670"/>
      <c r="AJ2" s="670"/>
    </row>
    <row r="3">
      <c r="A3" s="609" t="s">
        <v>1810</v>
      </c>
      <c r="B3" s="463"/>
      <c r="C3" s="1"/>
      <c r="D3" s="1"/>
      <c r="E3" s="1"/>
      <c r="F3" s="1"/>
      <c r="G3" s="287"/>
      <c r="H3" s="90" t="str">
        <f>SUMIFS(#REF!, 'Basco Injection -- COBB'!A:A, A3, 'Basco Injection -- COBB'!E:E, "oily_fraction")</f>
        <v>#N/A</v>
      </c>
      <c r="I3" s="90" t="str">
        <f>SUMIFS(#REF!, 'Basco Injection -- COBB'!A:A, A3, 'Basco Injection -- COBB'!E:E, "aqueous_fraction")</f>
        <v>#N/A</v>
      </c>
      <c r="J3" s="90" t="str">
        <f>SUMIFS(#REF!, 'Basco Injection -- COBB'!A:A, A3, 'Basco Injection -- COBB'!E:E, "bio_oil")</f>
        <v>#N/A</v>
      </c>
      <c r="L3" s="174"/>
      <c r="T3" s="90" t="str">
        <f>J3+J5+J6+J7+J8+J10+J11</f>
        <v>#N/A</v>
      </c>
      <c r="U3" s="90" t="str">
        <f>(T3*3.78541)*1.22</f>
        <v>#N/A</v>
      </c>
      <c r="V3" s="90" t="str">
        <f>SUM(I4+I9+I13+I14+I15+H3+H6+H7+H8+H10+H11)</f>
        <v>#N/A</v>
      </c>
      <c r="Y3" s="671">
        <f t="shared" ref="Y3:Y45" si="1">eomonth(B3,0)</f>
        <v>1</v>
      </c>
      <c r="Z3" s="672" t="str">
        <f t="shared" ref="Z3:Z45" si="2">H3+I3</f>
        <v>#N/A</v>
      </c>
      <c r="AA3" s="672" t="str">
        <f t="shared" ref="AA3:AA45" si="3">3.78541*1.22*J3</f>
        <v>#N/A</v>
      </c>
      <c r="AC3" s="343">
        <v>45900.0</v>
      </c>
      <c r="AD3" s="672">
        <f t="shared" ref="AD3:AD7" si="4">sumif($Y$3:$Y$45,$AC3,$Z$3:$Z$45)</f>
        <v>0</v>
      </c>
      <c r="AE3" s="672">
        <f t="shared" ref="AE3:AE7" si="5">sumif($Y$3:$Y$45,$AC3,$AA$3:$AA$45)</f>
        <v>0</v>
      </c>
      <c r="AF3" s="672">
        <f t="shared" ref="AF3:AF7" si="6">sum(AD3:AE3)</f>
        <v>0</v>
      </c>
      <c r="AG3" s="672">
        <f t="shared" ref="AG3:AG7" si="7">AF3/1000</f>
        <v>0</v>
      </c>
    </row>
    <row r="4">
      <c r="A4" s="673" t="s">
        <v>1810</v>
      </c>
      <c r="B4" s="674"/>
      <c r="C4" s="675"/>
      <c r="D4" s="675"/>
      <c r="E4" s="675"/>
      <c r="F4" s="675"/>
      <c r="G4" s="676"/>
      <c r="H4" s="90" t="str">
        <f>SUMIFS(#REF!, 'Basco Injection -- COBB'!A:A, A4, 'Basco Injection -- COBB'!E:E, "oily_fraction")</f>
        <v>#N/A</v>
      </c>
      <c r="I4" s="90" t="str">
        <f>SUMIFS(#REF!, 'Basco Injection -- COBB'!A:A, A4, 'Basco Injection -- COBB'!E:E, "aqueous_fraction")</f>
        <v>#N/A</v>
      </c>
      <c r="J4" s="90" t="str">
        <f>SUMIFS(#REF!, 'Basco Injection -- COBB'!A:A, A4, 'Basco Injection -- COBB'!E:E, "bio_oil")</f>
        <v>#N/A</v>
      </c>
      <c r="L4" s="311">
        <v>0.343</v>
      </c>
      <c r="M4" s="1">
        <v>56925.8</v>
      </c>
      <c r="N4" s="90">
        <f>L4*M4*$N$1</f>
        <v>71593.68113</v>
      </c>
      <c r="O4" s="90">
        <f>M4*N1*0.41</f>
        <v>85578.45267</v>
      </c>
      <c r="P4" s="90">
        <f>O4-N4</f>
        <v>13984.77153</v>
      </c>
      <c r="W4" s="1" t="s">
        <v>1810</v>
      </c>
      <c r="Y4" s="671">
        <f t="shared" si="1"/>
        <v>1</v>
      </c>
      <c r="Z4" s="672" t="str">
        <f t="shared" si="2"/>
        <v>#N/A</v>
      </c>
      <c r="AA4" s="672" t="str">
        <f t="shared" si="3"/>
        <v>#N/A</v>
      </c>
      <c r="AC4" s="388">
        <f t="shared" ref="AC4:AC7" si="8">eomonth(AC3,1)</f>
        <v>45930</v>
      </c>
      <c r="AD4" s="672">
        <f t="shared" si="4"/>
        <v>0</v>
      </c>
      <c r="AE4" s="672">
        <f t="shared" si="5"/>
        <v>0</v>
      </c>
      <c r="AF4" s="672">
        <f t="shared" si="6"/>
        <v>0</v>
      </c>
      <c r="AG4" s="672">
        <f t="shared" si="7"/>
        <v>0</v>
      </c>
    </row>
    <row r="5">
      <c r="A5" s="673" t="s">
        <v>1810</v>
      </c>
      <c r="B5" s="674"/>
      <c r="C5" s="675"/>
      <c r="D5" s="675"/>
      <c r="E5" s="675"/>
      <c r="F5" s="675"/>
      <c r="G5" s="676"/>
      <c r="H5" s="90" t="str">
        <f>SUMIFS(#REF!, 'Basco Injection -- COBB'!A:A, A5, 'Basco Injection -- COBB'!E:E, "oily_fraction")</f>
        <v>#N/A</v>
      </c>
      <c r="I5" s="90" t="str">
        <f>SUMIFS(#REF!, 'Basco Injection -- COBB'!A:A, A5, 'Basco Injection -- COBB'!E:E, "aqueous_fraction")</f>
        <v>#N/A</v>
      </c>
      <c r="J5" s="90" t="str">
        <f>SUMIFS(#REF!, 'Basco Injection -- COBB'!A:A, A5, 'Basco Injection -- COBB'!E:E, "bio_oil")</f>
        <v>#N/A</v>
      </c>
      <c r="L5" s="311">
        <v>0.518</v>
      </c>
      <c r="S5" s="1" t="s">
        <v>3011</v>
      </c>
      <c r="U5" s="90" t="str">
        <f>(U3+V3)/1000</f>
        <v>#N/A</v>
      </c>
      <c r="W5" s="1" t="s">
        <v>3012</v>
      </c>
      <c r="Y5" s="671">
        <f t="shared" si="1"/>
        <v>1</v>
      </c>
      <c r="Z5" s="672" t="str">
        <f t="shared" si="2"/>
        <v>#N/A</v>
      </c>
      <c r="AA5" s="672" t="str">
        <f t="shared" si="3"/>
        <v>#N/A</v>
      </c>
      <c r="AC5" s="388">
        <f t="shared" si="8"/>
        <v>45961</v>
      </c>
      <c r="AD5" s="672">
        <f t="shared" si="4"/>
        <v>0</v>
      </c>
      <c r="AE5" s="672">
        <f t="shared" si="5"/>
        <v>0</v>
      </c>
      <c r="AF5" s="672">
        <f t="shared" si="6"/>
        <v>0</v>
      </c>
      <c r="AG5" s="672">
        <f t="shared" si="7"/>
        <v>0</v>
      </c>
    </row>
    <row r="6">
      <c r="A6" s="673" t="s">
        <v>3013</v>
      </c>
      <c r="B6" s="674"/>
      <c r="C6" s="675"/>
      <c r="D6" s="675"/>
      <c r="E6" s="675"/>
      <c r="F6" s="675"/>
      <c r="G6" s="676"/>
      <c r="H6" s="90" t="str">
        <f>SUMIFS(#REF!, 'Basco Injection -- COBB'!A:A, A6, 'Basco Injection -- COBB'!E:E, "oily_fraction")</f>
        <v>#N/A</v>
      </c>
      <c r="I6" s="90" t="str">
        <f>SUMIFS(#REF!, 'Basco Injection -- COBB'!A:A, A6, 'Basco Injection -- COBB'!E:E, "aqueous_fraction")</f>
        <v>#N/A</v>
      </c>
      <c r="J6" s="90" t="str">
        <f>SUMIFS(#REF!, 'Basco Injection -- COBB'!A:A, A6, 'Basco Injection -- COBB'!E:E, "bio_oil")</f>
        <v>#N/A</v>
      </c>
      <c r="L6" s="311">
        <v>0.43</v>
      </c>
      <c r="S6" s="1" t="s">
        <v>3014</v>
      </c>
      <c r="U6" s="1">
        <f>(643130*0.453592)/1000</f>
        <v>291.718623</v>
      </c>
      <c r="W6" s="90" t="str">
        <f>U5-U6</f>
        <v>#N/A</v>
      </c>
      <c r="Y6" s="671">
        <f t="shared" si="1"/>
        <v>1</v>
      </c>
      <c r="Z6" s="672" t="str">
        <f t="shared" si="2"/>
        <v>#N/A</v>
      </c>
      <c r="AA6" s="672" t="str">
        <f t="shared" si="3"/>
        <v>#N/A</v>
      </c>
      <c r="AC6" s="388">
        <f t="shared" si="8"/>
        <v>45991</v>
      </c>
      <c r="AD6" s="672">
        <f t="shared" si="4"/>
        <v>0</v>
      </c>
      <c r="AE6" s="672">
        <f t="shared" si="5"/>
        <v>0</v>
      </c>
      <c r="AF6" s="672">
        <f t="shared" si="6"/>
        <v>0</v>
      </c>
      <c r="AG6" s="672">
        <f t="shared" si="7"/>
        <v>0</v>
      </c>
    </row>
    <row r="7">
      <c r="A7" s="673"/>
      <c r="B7" s="674"/>
      <c r="C7" s="675"/>
      <c r="D7" s="675"/>
      <c r="E7" s="675"/>
      <c r="F7" s="675"/>
      <c r="G7" s="676"/>
      <c r="L7" s="311">
        <v>0.387</v>
      </c>
      <c r="Y7" s="671">
        <f t="shared" si="1"/>
        <v>1</v>
      </c>
      <c r="Z7" s="672">
        <f t="shared" si="2"/>
        <v>0</v>
      </c>
      <c r="AA7" s="672">
        <f t="shared" si="3"/>
        <v>0</v>
      </c>
      <c r="AC7" s="388">
        <f t="shared" si="8"/>
        <v>46022</v>
      </c>
      <c r="AD7" s="672">
        <f t="shared" si="4"/>
        <v>0</v>
      </c>
      <c r="AE7" s="672">
        <f t="shared" si="5"/>
        <v>0</v>
      </c>
      <c r="AF7" s="672">
        <f t="shared" si="6"/>
        <v>0</v>
      </c>
      <c r="AG7" s="672">
        <f t="shared" si="7"/>
        <v>0</v>
      </c>
    </row>
    <row r="8" ht="18.75" customHeight="1">
      <c r="A8" s="609"/>
      <c r="B8" s="463"/>
      <c r="C8" s="1"/>
      <c r="D8" s="1"/>
      <c r="E8" s="1"/>
      <c r="F8" s="1"/>
      <c r="G8" s="287"/>
      <c r="L8" s="174"/>
      <c r="S8" s="668" t="s">
        <v>3015</v>
      </c>
      <c r="T8" s="668" t="s">
        <v>3008</v>
      </c>
      <c r="U8" s="668" t="s">
        <v>3009</v>
      </c>
      <c r="V8" s="668" t="s">
        <v>3010</v>
      </c>
      <c r="Y8" s="671">
        <f t="shared" si="1"/>
        <v>1</v>
      </c>
      <c r="Z8" s="672">
        <f t="shared" si="2"/>
        <v>0</v>
      </c>
      <c r="AA8" s="672">
        <f t="shared" si="3"/>
        <v>0</v>
      </c>
    </row>
    <row r="9">
      <c r="A9" s="609"/>
      <c r="B9" s="463"/>
      <c r="C9" s="1"/>
      <c r="D9" s="1"/>
      <c r="E9" s="1"/>
      <c r="F9" s="1"/>
      <c r="G9" s="287"/>
      <c r="L9" s="311">
        <v>0.415</v>
      </c>
      <c r="T9" s="90">
        <f>SUM(J16+J17+J18+J19+J20+J21+J22+J23+J24+J25+J26)</f>
        <v>0</v>
      </c>
      <c r="U9" s="90">
        <f>(T9*3.78541)*1.22</f>
        <v>0</v>
      </c>
      <c r="V9" s="90">
        <f>SUM(H18+I27)</f>
        <v>0</v>
      </c>
      <c r="Y9" s="671">
        <f t="shared" si="1"/>
        <v>1</v>
      </c>
      <c r="Z9" s="672">
        <f t="shared" si="2"/>
        <v>0</v>
      </c>
      <c r="AA9" s="672">
        <f t="shared" si="3"/>
        <v>0</v>
      </c>
    </row>
    <row r="10">
      <c r="A10" s="609"/>
      <c r="B10" s="463"/>
      <c r="C10" s="1"/>
      <c r="D10" s="1"/>
      <c r="E10" s="1"/>
      <c r="F10" s="1"/>
      <c r="G10" s="287"/>
      <c r="L10" s="311">
        <v>0.417</v>
      </c>
      <c r="Y10" s="671">
        <f t="shared" si="1"/>
        <v>1</v>
      </c>
      <c r="Z10" s="672">
        <f t="shared" si="2"/>
        <v>0</v>
      </c>
      <c r="AA10" s="672">
        <f t="shared" si="3"/>
        <v>0</v>
      </c>
    </row>
    <row r="11">
      <c r="A11" s="609"/>
      <c r="B11" s="463"/>
      <c r="C11" s="1"/>
      <c r="D11" s="1"/>
      <c r="E11" s="1"/>
      <c r="F11" s="1"/>
      <c r="G11" s="287"/>
      <c r="L11" s="174"/>
      <c r="S11" s="1" t="s">
        <v>3011</v>
      </c>
      <c r="U11" s="90">
        <f>(U9+V9)/1000</f>
        <v>0</v>
      </c>
      <c r="W11" s="1" t="s">
        <v>3012</v>
      </c>
      <c r="Y11" s="671">
        <f t="shared" si="1"/>
        <v>1</v>
      </c>
      <c r="Z11" s="672">
        <f t="shared" si="2"/>
        <v>0</v>
      </c>
      <c r="AA11" s="672">
        <f t="shared" si="3"/>
        <v>0</v>
      </c>
    </row>
    <row r="12">
      <c r="A12" s="609"/>
      <c r="B12" s="463"/>
      <c r="C12" s="84"/>
      <c r="D12" s="1"/>
      <c r="E12" s="1"/>
      <c r="F12" s="1"/>
      <c r="G12" s="287"/>
      <c r="L12" s="174"/>
      <c r="S12" s="1" t="s">
        <v>3014</v>
      </c>
      <c r="U12" s="90">
        <f>(692180*0.453592)/1000</f>
        <v>313.9673106</v>
      </c>
      <c r="W12" s="90">
        <f>U11-U12</f>
        <v>-313.9673106</v>
      </c>
      <c r="Y12" s="671">
        <f t="shared" si="1"/>
        <v>1</v>
      </c>
      <c r="Z12" s="672">
        <f t="shared" si="2"/>
        <v>0</v>
      </c>
      <c r="AA12" s="672">
        <f t="shared" si="3"/>
        <v>0</v>
      </c>
    </row>
    <row r="13">
      <c r="A13" s="609"/>
      <c r="B13" s="463"/>
      <c r="C13" s="84"/>
      <c r="D13" s="1"/>
      <c r="E13" s="1"/>
      <c r="F13" s="1"/>
      <c r="G13" s="287"/>
      <c r="L13" s="174"/>
      <c r="Y13" s="671">
        <f t="shared" si="1"/>
        <v>1</v>
      </c>
      <c r="Z13" s="672">
        <f t="shared" si="2"/>
        <v>0</v>
      </c>
      <c r="AA13" s="672">
        <f t="shared" si="3"/>
        <v>0</v>
      </c>
    </row>
    <row r="14">
      <c r="A14" s="609"/>
      <c r="B14" s="463"/>
      <c r="C14" s="84"/>
      <c r="D14" s="1"/>
      <c r="E14" s="1"/>
      <c r="F14" s="1"/>
      <c r="G14" s="287"/>
      <c r="L14" s="311">
        <v>0.083</v>
      </c>
      <c r="S14" s="1">
        <v>0.41</v>
      </c>
      <c r="Y14" s="671">
        <f t="shared" si="1"/>
        <v>1</v>
      </c>
      <c r="Z14" s="672">
        <f t="shared" si="2"/>
        <v>0</v>
      </c>
      <c r="AA14" s="672">
        <f t="shared" si="3"/>
        <v>0</v>
      </c>
    </row>
    <row r="15">
      <c r="A15" s="609"/>
      <c r="B15" s="463"/>
      <c r="C15" s="84"/>
      <c r="D15" s="1"/>
      <c r="E15" s="1"/>
      <c r="F15" s="1"/>
      <c r="G15" s="287"/>
      <c r="L15" s="311">
        <v>0.363</v>
      </c>
      <c r="M15" s="90">
        <f>40523.91</f>
        <v>40523.91</v>
      </c>
      <c r="N15" s="90">
        <f t="shared" ref="N15:N26" si="9">L15*M15*$N$1</f>
        <v>53937.32421</v>
      </c>
      <c r="O15" s="90">
        <f>M15*N1*S14</f>
        <v>60920.9447</v>
      </c>
      <c r="P15" s="90">
        <f t="shared" ref="P15:P18" si="10">O15-N15</f>
        <v>6983.62049</v>
      </c>
      <c r="Y15" s="671">
        <f t="shared" si="1"/>
        <v>1</v>
      </c>
      <c r="Z15" s="672">
        <f t="shared" si="2"/>
        <v>0</v>
      </c>
      <c r="AA15" s="672">
        <f t="shared" si="3"/>
        <v>0</v>
      </c>
    </row>
    <row r="16">
      <c r="A16" s="609"/>
      <c r="B16" s="463"/>
      <c r="C16" s="1"/>
      <c r="D16" s="1"/>
      <c r="E16" s="1"/>
      <c r="F16" s="1"/>
      <c r="G16" s="287"/>
      <c r="L16" s="311">
        <v>0.388</v>
      </c>
      <c r="M16" s="1">
        <v>20955.95</v>
      </c>
      <c r="N16" s="90">
        <f t="shared" si="9"/>
        <v>29813.33153</v>
      </c>
      <c r="O16" s="90">
        <f>M16*N1*S14</f>
        <v>31503.77817</v>
      </c>
      <c r="P16" s="90">
        <f t="shared" si="10"/>
        <v>1690.446633</v>
      </c>
      <c r="Y16" s="671">
        <f t="shared" si="1"/>
        <v>1</v>
      </c>
      <c r="Z16" s="672">
        <f t="shared" si="2"/>
        <v>0</v>
      </c>
      <c r="AA16" s="672">
        <f t="shared" si="3"/>
        <v>0</v>
      </c>
    </row>
    <row r="17">
      <c r="A17" s="609"/>
      <c r="B17" s="463"/>
      <c r="C17" s="84"/>
      <c r="D17" s="1"/>
      <c r="E17" s="1"/>
      <c r="F17" s="1"/>
      <c r="G17" s="287"/>
      <c r="L17" s="311">
        <v>0.366</v>
      </c>
      <c r="M17" s="1">
        <v>35482.18</v>
      </c>
      <c r="N17" s="90">
        <f t="shared" si="9"/>
        <v>47617.08556</v>
      </c>
      <c r="O17" s="90">
        <f>M17*N1*S14</f>
        <v>53341.54393</v>
      </c>
      <c r="P17" s="90">
        <f t="shared" si="10"/>
        <v>5724.458373</v>
      </c>
      <c r="Y17" s="671">
        <f t="shared" si="1"/>
        <v>1</v>
      </c>
      <c r="Z17" s="672">
        <f t="shared" si="2"/>
        <v>0</v>
      </c>
      <c r="AA17" s="672">
        <f t="shared" si="3"/>
        <v>0</v>
      </c>
    </row>
    <row r="18">
      <c r="A18" s="609"/>
      <c r="B18" s="463"/>
      <c r="C18" s="84"/>
      <c r="D18" s="1"/>
      <c r="E18" s="1"/>
      <c r="F18" s="1"/>
      <c r="G18" s="287"/>
      <c r="L18" s="311">
        <v>0.398</v>
      </c>
      <c r="M18" s="1">
        <v>20892.45</v>
      </c>
      <c r="N18" s="677">
        <f t="shared" si="9"/>
        <v>30489.0487</v>
      </c>
      <c r="O18" s="1">
        <f>M18*N1*S14</f>
        <v>31408.3165</v>
      </c>
      <c r="P18" s="90">
        <f t="shared" si="10"/>
        <v>919.2678</v>
      </c>
      <c r="Y18" s="671">
        <f t="shared" si="1"/>
        <v>1</v>
      </c>
      <c r="Z18" s="672">
        <f t="shared" si="2"/>
        <v>0</v>
      </c>
      <c r="AA18" s="672">
        <f t="shared" si="3"/>
        <v>0</v>
      </c>
    </row>
    <row r="19">
      <c r="A19" s="609"/>
      <c r="B19" s="463"/>
      <c r="C19" s="84"/>
      <c r="D19" s="1"/>
      <c r="E19" s="1"/>
      <c r="F19" s="1"/>
      <c r="G19" s="287"/>
      <c r="L19" s="311">
        <v>0.413</v>
      </c>
      <c r="M19" s="1">
        <v>20792.66</v>
      </c>
      <c r="N19" s="677">
        <f t="shared" si="9"/>
        <v>31487.01813</v>
      </c>
      <c r="Y19" s="671">
        <f t="shared" si="1"/>
        <v>1</v>
      </c>
      <c r="Z19" s="672">
        <f t="shared" si="2"/>
        <v>0</v>
      </c>
      <c r="AA19" s="672">
        <f t="shared" si="3"/>
        <v>0</v>
      </c>
    </row>
    <row r="20">
      <c r="A20" s="609"/>
      <c r="B20" s="463"/>
      <c r="C20" s="84"/>
      <c r="D20" s="1"/>
      <c r="E20" s="1"/>
      <c r="F20" s="1"/>
      <c r="G20" s="287"/>
      <c r="L20" s="311">
        <v>0.408</v>
      </c>
      <c r="M20" s="1">
        <v>20357.21</v>
      </c>
      <c r="N20" s="677">
        <f t="shared" si="9"/>
        <v>30454.38616</v>
      </c>
      <c r="Y20" s="671">
        <f t="shared" si="1"/>
        <v>1</v>
      </c>
      <c r="Z20" s="672">
        <f t="shared" si="2"/>
        <v>0</v>
      </c>
      <c r="AA20" s="672">
        <f t="shared" si="3"/>
        <v>0</v>
      </c>
    </row>
    <row r="21">
      <c r="A21" s="609"/>
      <c r="B21" s="463"/>
      <c r="C21" s="84"/>
      <c r="D21" s="1"/>
      <c r="E21" s="1"/>
      <c r="F21" s="1"/>
      <c r="G21" s="287"/>
      <c r="L21" s="311">
        <v>0.425</v>
      </c>
      <c r="M21" s="1">
        <v>21110.17</v>
      </c>
      <c r="N21" s="677">
        <f t="shared" si="9"/>
        <v>32896.68158</v>
      </c>
      <c r="Y21" s="671">
        <f t="shared" si="1"/>
        <v>1</v>
      </c>
      <c r="Z21" s="672">
        <f t="shared" si="2"/>
        <v>0</v>
      </c>
      <c r="AA21" s="672">
        <f t="shared" si="3"/>
        <v>0</v>
      </c>
    </row>
    <row r="22">
      <c r="A22" s="609"/>
      <c r="B22" s="463"/>
      <c r="C22" s="84"/>
      <c r="D22" s="1"/>
      <c r="E22" s="1"/>
      <c r="F22" s="1"/>
      <c r="G22" s="287"/>
      <c r="L22" s="311">
        <v>0.422</v>
      </c>
      <c r="M22" s="1">
        <v>20066.91</v>
      </c>
      <c r="N22" s="677">
        <f t="shared" si="9"/>
        <v>31050.19874</v>
      </c>
      <c r="Y22" s="671">
        <f t="shared" si="1"/>
        <v>1</v>
      </c>
      <c r="Z22" s="672">
        <f t="shared" si="2"/>
        <v>0</v>
      </c>
      <c r="AA22" s="672">
        <f t="shared" si="3"/>
        <v>0</v>
      </c>
    </row>
    <row r="23">
      <c r="A23" s="609"/>
      <c r="B23" s="463"/>
      <c r="C23" s="84"/>
      <c r="D23" s="1"/>
      <c r="E23" s="1"/>
      <c r="F23" s="1"/>
      <c r="G23" s="287"/>
      <c r="L23" s="311">
        <v>0.424</v>
      </c>
      <c r="M23" s="1">
        <v>19722.18</v>
      </c>
      <c r="N23" s="677">
        <f t="shared" si="9"/>
        <v>30661.41584</v>
      </c>
      <c r="Y23" s="671">
        <f t="shared" si="1"/>
        <v>1</v>
      </c>
      <c r="Z23" s="672">
        <f t="shared" si="2"/>
        <v>0</v>
      </c>
      <c r="AA23" s="672">
        <f t="shared" si="3"/>
        <v>0</v>
      </c>
    </row>
    <row r="24">
      <c r="A24" s="609"/>
      <c r="B24" s="463"/>
      <c r="C24" s="84"/>
      <c r="D24" s="1"/>
      <c r="E24" s="1"/>
      <c r="F24" s="1"/>
      <c r="G24" s="287"/>
      <c r="L24" s="311">
        <v>0.431</v>
      </c>
      <c r="M24" s="1">
        <v>21300.68</v>
      </c>
      <c r="N24" s="677">
        <f t="shared" si="9"/>
        <v>33662.17463</v>
      </c>
      <c r="Y24" s="671">
        <f t="shared" si="1"/>
        <v>1</v>
      </c>
      <c r="Z24" s="672">
        <f t="shared" si="2"/>
        <v>0</v>
      </c>
      <c r="AA24" s="672">
        <f t="shared" si="3"/>
        <v>0</v>
      </c>
    </row>
    <row r="25">
      <c r="A25" s="609"/>
      <c r="B25" s="463"/>
      <c r="C25" s="84"/>
      <c r="D25" s="1"/>
      <c r="E25" s="1"/>
      <c r="F25" s="1"/>
      <c r="G25" s="287"/>
      <c r="L25" s="311">
        <v>0.433</v>
      </c>
      <c r="M25" s="1">
        <v>40977.5</v>
      </c>
      <c r="N25" s="677">
        <f t="shared" si="9"/>
        <v>65058.61083</v>
      </c>
      <c r="Y25" s="671">
        <f t="shared" si="1"/>
        <v>1</v>
      </c>
      <c r="Z25" s="672">
        <f t="shared" si="2"/>
        <v>0</v>
      </c>
      <c r="AA25" s="672">
        <f t="shared" si="3"/>
        <v>0</v>
      </c>
    </row>
    <row r="26">
      <c r="A26" s="609"/>
      <c r="B26" s="463"/>
      <c r="C26" s="84"/>
      <c r="D26" s="1"/>
      <c r="E26" s="1"/>
      <c r="F26" s="1"/>
      <c r="G26" s="287"/>
      <c r="L26" s="311">
        <v>0.076</v>
      </c>
      <c r="M26" s="1">
        <v>31503.1</v>
      </c>
      <c r="N26" s="677">
        <f t="shared" si="9"/>
        <v>8778.863867</v>
      </c>
      <c r="Y26" s="671">
        <f t="shared" si="1"/>
        <v>1</v>
      </c>
      <c r="Z26" s="672">
        <f t="shared" si="2"/>
        <v>0</v>
      </c>
      <c r="AA26" s="672">
        <f t="shared" si="3"/>
        <v>0</v>
      </c>
    </row>
    <row r="27">
      <c r="A27" s="609"/>
      <c r="B27" s="463"/>
      <c r="C27" s="84"/>
      <c r="D27" s="1"/>
      <c r="E27" s="1"/>
      <c r="F27" s="1"/>
      <c r="G27" s="287"/>
      <c r="L27" s="311">
        <v>0.425</v>
      </c>
      <c r="Y27" s="671">
        <f t="shared" si="1"/>
        <v>1</v>
      </c>
      <c r="Z27" s="672">
        <f t="shared" si="2"/>
        <v>0</v>
      </c>
      <c r="AA27" s="672">
        <f t="shared" si="3"/>
        <v>0</v>
      </c>
    </row>
    <row r="28">
      <c r="A28" s="609"/>
      <c r="B28" s="463"/>
      <c r="C28" s="84"/>
      <c r="D28" s="1"/>
      <c r="E28" s="1"/>
      <c r="F28" s="1"/>
      <c r="G28" s="287"/>
      <c r="L28" s="311">
        <v>0.433</v>
      </c>
      <c r="Y28" s="671">
        <f t="shared" si="1"/>
        <v>1</v>
      </c>
      <c r="Z28" s="672">
        <f t="shared" si="2"/>
        <v>0</v>
      </c>
      <c r="AA28" s="672">
        <f t="shared" si="3"/>
        <v>0</v>
      </c>
    </row>
    <row r="29">
      <c r="A29" s="609"/>
      <c r="B29" s="463"/>
      <c r="C29" s="84"/>
      <c r="D29" s="1"/>
      <c r="E29" s="1"/>
      <c r="F29" s="1"/>
      <c r="G29" s="287"/>
      <c r="L29" s="311">
        <v>0.426</v>
      </c>
      <c r="Y29" s="671">
        <f t="shared" si="1"/>
        <v>1</v>
      </c>
      <c r="Z29" s="672">
        <f t="shared" si="2"/>
        <v>0</v>
      </c>
      <c r="AA29" s="672">
        <f t="shared" si="3"/>
        <v>0</v>
      </c>
    </row>
    <row r="30">
      <c r="A30" s="609"/>
      <c r="B30" s="463"/>
      <c r="C30" s="84"/>
      <c r="D30" s="1"/>
      <c r="E30" s="1"/>
      <c r="F30" s="1"/>
      <c r="G30" s="287"/>
      <c r="L30" s="174"/>
      <c r="Y30" s="671">
        <f t="shared" si="1"/>
        <v>1</v>
      </c>
      <c r="Z30" s="672">
        <f t="shared" si="2"/>
        <v>0</v>
      </c>
      <c r="AA30" s="672">
        <f t="shared" si="3"/>
        <v>0</v>
      </c>
    </row>
    <row r="31">
      <c r="A31" s="609"/>
      <c r="B31" s="463"/>
      <c r="C31" s="84"/>
      <c r="D31" s="1"/>
      <c r="E31" s="1"/>
      <c r="F31" s="1"/>
      <c r="G31" s="287"/>
      <c r="L31" s="174"/>
      <c r="Y31" s="671">
        <f t="shared" si="1"/>
        <v>1</v>
      </c>
      <c r="Z31" s="672">
        <f t="shared" si="2"/>
        <v>0</v>
      </c>
      <c r="AA31" s="672">
        <f t="shared" si="3"/>
        <v>0</v>
      </c>
    </row>
    <row r="32">
      <c r="A32" s="609"/>
      <c r="B32" s="463"/>
      <c r="C32" s="84"/>
      <c r="D32" s="1"/>
      <c r="E32" s="1"/>
      <c r="F32" s="1"/>
      <c r="G32" s="287"/>
      <c r="L32" s="174"/>
      <c r="Y32" s="671">
        <f t="shared" si="1"/>
        <v>1</v>
      </c>
      <c r="Z32" s="672">
        <f t="shared" si="2"/>
        <v>0</v>
      </c>
      <c r="AA32" s="672">
        <f t="shared" si="3"/>
        <v>0</v>
      </c>
    </row>
    <row r="33">
      <c r="A33" s="609"/>
      <c r="B33" s="463"/>
      <c r="C33" s="84"/>
      <c r="D33" s="1"/>
      <c r="E33" s="1"/>
      <c r="F33" s="1"/>
      <c r="G33" s="287"/>
      <c r="L33" s="174"/>
      <c r="Y33" s="671">
        <f t="shared" si="1"/>
        <v>1</v>
      </c>
      <c r="Z33" s="672">
        <f t="shared" si="2"/>
        <v>0</v>
      </c>
      <c r="AA33" s="672">
        <f t="shared" si="3"/>
        <v>0</v>
      </c>
    </row>
    <row r="34">
      <c r="A34" s="609"/>
      <c r="B34" s="463"/>
      <c r="C34" s="84"/>
      <c r="D34" s="1"/>
      <c r="E34" s="1"/>
      <c r="F34" s="1"/>
      <c r="G34" s="287"/>
      <c r="L34" s="174"/>
      <c r="Y34" s="671">
        <f t="shared" si="1"/>
        <v>1</v>
      </c>
      <c r="Z34" s="672">
        <f t="shared" si="2"/>
        <v>0</v>
      </c>
      <c r="AA34" s="672">
        <f t="shared" si="3"/>
        <v>0</v>
      </c>
    </row>
    <row r="35">
      <c r="A35" s="609"/>
      <c r="B35" s="463"/>
      <c r="C35" s="84"/>
      <c r="D35" s="1"/>
      <c r="E35" s="1"/>
      <c r="F35" s="1"/>
      <c r="G35" s="287"/>
      <c r="L35" s="174"/>
      <c r="Y35" s="671">
        <f t="shared" si="1"/>
        <v>1</v>
      </c>
      <c r="Z35" s="672">
        <f t="shared" si="2"/>
        <v>0</v>
      </c>
      <c r="AA35" s="672">
        <f t="shared" si="3"/>
        <v>0</v>
      </c>
    </row>
    <row r="36">
      <c r="A36" s="609"/>
      <c r="B36" s="463"/>
      <c r="C36" s="84"/>
      <c r="D36" s="1"/>
      <c r="E36" s="1"/>
      <c r="F36" s="1"/>
      <c r="G36" s="287"/>
      <c r="L36" s="174"/>
      <c r="Y36" s="671">
        <f t="shared" si="1"/>
        <v>1</v>
      </c>
      <c r="Z36" s="672">
        <f t="shared" si="2"/>
        <v>0</v>
      </c>
      <c r="AA36" s="672">
        <f t="shared" si="3"/>
        <v>0</v>
      </c>
    </row>
    <row r="37">
      <c r="A37" s="609"/>
      <c r="B37" s="463"/>
      <c r="C37" s="84"/>
      <c r="D37" s="1"/>
      <c r="E37" s="1"/>
      <c r="F37" s="1"/>
      <c r="G37" s="287"/>
      <c r="L37" s="174"/>
      <c r="Y37" s="671">
        <f t="shared" si="1"/>
        <v>1</v>
      </c>
      <c r="Z37" s="672">
        <f t="shared" si="2"/>
        <v>0</v>
      </c>
      <c r="AA37" s="672">
        <f t="shared" si="3"/>
        <v>0</v>
      </c>
    </row>
    <row r="38">
      <c r="A38" s="609"/>
      <c r="B38" s="463"/>
      <c r="C38" s="84"/>
      <c r="D38" s="1"/>
      <c r="E38" s="1"/>
      <c r="F38" s="1"/>
      <c r="G38" s="287"/>
      <c r="L38" s="174"/>
      <c r="Y38" s="671">
        <f t="shared" si="1"/>
        <v>1</v>
      </c>
      <c r="Z38" s="672">
        <f t="shared" si="2"/>
        <v>0</v>
      </c>
      <c r="AA38" s="672">
        <f t="shared" si="3"/>
        <v>0</v>
      </c>
    </row>
    <row r="39">
      <c r="A39" s="609"/>
      <c r="B39" s="463"/>
      <c r="C39" s="84"/>
      <c r="D39" s="1"/>
      <c r="E39" s="1"/>
      <c r="F39" s="1"/>
      <c r="G39" s="287"/>
      <c r="L39" s="174"/>
      <c r="Y39" s="671">
        <f t="shared" si="1"/>
        <v>1</v>
      </c>
      <c r="Z39" s="672">
        <f t="shared" si="2"/>
        <v>0</v>
      </c>
      <c r="AA39" s="672">
        <f t="shared" si="3"/>
        <v>0</v>
      </c>
    </row>
    <row r="40">
      <c r="A40" s="609"/>
      <c r="B40" s="463"/>
      <c r="C40" s="84"/>
      <c r="D40" s="1"/>
      <c r="E40" s="1"/>
      <c r="F40" s="1"/>
      <c r="G40" s="287"/>
      <c r="L40" s="174"/>
      <c r="Y40" s="671">
        <f t="shared" si="1"/>
        <v>1</v>
      </c>
      <c r="Z40" s="672">
        <f t="shared" si="2"/>
        <v>0</v>
      </c>
      <c r="AA40" s="672">
        <f t="shared" si="3"/>
        <v>0</v>
      </c>
    </row>
    <row r="41">
      <c r="A41" s="609"/>
      <c r="B41" s="463"/>
      <c r="C41" s="84"/>
      <c r="D41" s="1"/>
      <c r="E41" s="1"/>
      <c r="F41" s="1"/>
      <c r="G41" s="287"/>
      <c r="L41" s="174"/>
      <c r="Y41" s="671">
        <f t="shared" si="1"/>
        <v>1</v>
      </c>
      <c r="Z41" s="672">
        <f t="shared" si="2"/>
        <v>0</v>
      </c>
      <c r="AA41" s="672">
        <f t="shared" si="3"/>
        <v>0</v>
      </c>
    </row>
    <row r="42">
      <c r="A42" s="609"/>
      <c r="B42" s="463"/>
      <c r="C42" s="84"/>
      <c r="D42" s="1"/>
      <c r="E42" s="1"/>
      <c r="F42" s="1"/>
      <c r="G42" s="287"/>
      <c r="L42" s="174"/>
      <c r="Y42" s="671">
        <f t="shared" si="1"/>
        <v>1</v>
      </c>
      <c r="Z42" s="672">
        <f t="shared" si="2"/>
        <v>0</v>
      </c>
      <c r="AA42" s="672">
        <f t="shared" si="3"/>
        <v>0</v>
      </c>
    </row>
    <row r="43">
      <c r="A43" s="609"/>
      <c r="B43" s="463"/>
      <c r="C43" s="84"/>
      <c r="D43" s="1"/>
      <c r="E43" s="1"/>
      <c r="F43" s="1"/>
      <c r="G43" s="287"/>
      <c r="L43" s="174"/>
      <c r="Y43" s="671">
        <f t="shared" si="1"/>
        <v>1</v>
      </c>
      <c r="Z43" s="672">
        <f t="shared" si="2"/>
        <v>0</v>
      </c>
      <c r="AA43" s="672">
        <f t="shared" si="3"/>
        <v>0</v>
      </c>
    </row>
    <row r="44">
      <c r="A44" s="609"/>
      <c r="B44" s="463"/>
      <c r="D44" s="1"/>
      <c r="E44" s="1"/>
      <c r="F44" s="1"/>
      <c r="G44" s="288"/>
      <c r="L44" s="174"/>
      <c r="Y44" s="671">
        <f t="shared" si="1"/>
        <v>1</v>
      </c>
      <c r="Z44" s="672">
        <f t="shared" si="2"/>
        <v>0</v>
      </c>
      <c r="AA44" s="672">
        <f t="shared" si="3"/>
        <v>0</v>
      </c>
    </row>
    <row r="45">
      <c r="A45" s="609"/>
      <c r="B45" s="463"/>
      <c r="D45" s="1"/>
      <c r="E45" s="1"/>
      <c r="F45" s="1"/>
      <c r="G45" s="288"/>
      <c r="L45" s="174"/>
      <c r="Y45" s="671">
        <f t="shared" si="1"/>
        <v>1</v>
      </c>
      <c r="Z45" s="672">
        <f t="shared" si="2"/>
        <v>0</v>
      </c>
      <c r="AA45" s="672">
        <f t="shared" si="3"/>
        <v>0</v>
      </c>
    </row>
    <row r="46">
      <c r="A46" s="609"/>
      <c r="B46" s="463"/>
      <c r="D46" s="1"/>
      <c r="E46" s="1"/>
      <c r="F46" s="1"/>
      <c r="G46" s="288"/>
      <c r="L46" s="174"/>
    </row>
    <row r="47">
      <c r="A47" s="609"/>
      <c r="B47" s="463"/>
      <c r="D47" s="1"/>
      <c r="E47" s="1"/>
      <c r="F47" s="1"/>
      <c r="G47" s="288"/>
      <c r="L47" s="174"/>
    </row>
    <row r="48">
      <c r="A48" s="609"/>
      <c r="B48" s="463"/>
      <c r="D48" s="1"/>
      <c r="E48" s="1"/>
      <c r="F48" s="1"/>
      <c r="G48" s="288"/>
      <c r="L48" s="174"/>
    </row>
    <row r="49">
      <c r="A49" s="609"/>
      <c r="B49" s="463"/>
      <c r="D49" s="1"/>
      <c r="E49" s="1"/>
      <c r="F49" s="1"/>
      <c r="G49" s="288"/>
      <c r="L49" s="174"/>
    </row>
    <row r="50">
      <c r="A50" s="678"/>
      <c r="G50" s="288"/>
      <c r="L50" s="174"/>
    </row>
    <row r="51">
      <c r="A51" s="678"/>
      <c r="G51" s="288"/>
      <c r="L51" s="174"/>
    </row>
    <row r="52">
      <c r="A52" s="678"/>
      <c r="G52" s="288"/>
      <c r="L52" s="174"/>
    </row>
    <row r="53">
      <c r="A53" s="678"/>
      <c r="G53" s="288"/>
      <c r="L53" s="174"/>
    </row>
    <row r="54">
      <c r="A54" s="678"/>
      <c r="G54" s="288"/>
      <c r="L54" s="174"/>
    </row>
    <row r="55">
      <c r="A55" s="678"/>
      <c r="G55" s="288"/>
      <c r="L55" s="174"/>
    </row>
    <row r="56">
      <c r="A56" s="678"/>
      <c r="G56" s="288"/>
      <c r="L56" s="174"/>
    </row>
    <row r="57">
      <c r="A57" s="678"/>
      <c r="G57" s="288"/>
      <c r="L57" s="174"/>
    </row>
    <row r="58">
      <c r="A58" s="678"/>
      <c r="G58" s="288"/>
      <c r="L58" s="174"/>
    </row>
    <row r="59">
      <c r="A59" s="678"/>
      <c r="G59" s="288"/>
      <c r="L59" s="174"/>
    </row>
    <row r="60">
      <c r="A60" s="678"/>
      <c r="G60" s="288"/>
      <c r="L60" s="174"/>
    </row>
    <row r="61">
      <c r="A61" s="678"/>
      <c r="G61" s="288"/>
      <c r="L61" s="174"/>
    </row>
    <row r="62">
      <c r="A62" s="678"/>
      <c r="G62" s="288"/>
      <c r="L62" s="174"/>
    </row>
    <row r="63">
      <c r="A63" s="678"/>
      <c r="G63" s="288"/>
      <c r="L63" s="174"/>
    </row>
    <row r="64">
      <c r="A64" s="678"/>
      <c r="G64" s="288"/>
      <c r="L64" s="174"/>
    </row>
    <row r="65">
      <c r="A65" s="678"/>
      <c r="G65" s="288"/>
      <c r="L65" s="174"/>
    </row>
    <row r="66">
      <c r="A66" s="678"/>
      <c r="G66" s="288"/>
      <c r="L66" s="174"/>
    </row>
    <row r="67">
      <c r="A67" s="678"/>
      <c r="G67" s="288"/>
      <c r="L67" s="174"/>
    </row>
    <row r="68">
      <c r="A68" s="678"/>
      <c r="G68" s="288"/>
      <c r="L68" s="174"/>
    </row>
    <row r="69">
      <c r="A69" s="678"/>
      <c r="G69" s="288"/>
      <c r="L69" s="174"/>
    </row>
    <row r="70">
      <c r="A70" s="678"/>
      <c r="G70" s="288"/>
      <c r="L70" s="174"/>
    </row>
    <row r="71">
      <c r="A71" s="678"/>
      <c r="G71" s="288"/>
      <c r="L71" s="174"/>
    </row>
    <row r="72">
      <c r="A72" s="678"/>
      <c r="G72" s="288"/>
      <c r="L72" s="174"/>
    </row>
    <row r="73">
      <c r="A73" s="678"/>
      <c r="G73" s="288"/>
      <c r="L73" s="174"/>
    </row>
    <row r="74">
      <c r="A74" s="678"/>
      <c r="G74" s="288"/>
      <c r="L74" s="174"/>
    </row>
    <row r="75">
      <c r="A75" s="678"/>
      <c r="G75" s="288"/>
      <c r="L75" s="174"/>
    </row>
    <row r="76">
      <c r="A76" s="678"/>
      <c r="G76" s="288"/>
      <c r="L76" s="174"/>
    </row>
    <row r="77">
      <c r="A77" s="678"/>
      <c r="G77" s="288"/>
      <c r="L77" s="174"/>
    </row>
    <row r="78">
      <c r="A78" s="678"/>
      <c r="G78" s="288"/>
      <c r="L78" s="174"/>
    </row>
    <row r="79">
      <c r="A79" s="678"/>
      <c r="G79" s="288"/>
      <c r="L79" s="174"/>
    </row>
    <row r="80">
      <c r="A80" s="678"/>
      <c r="G80" s="288"/>
      <c r="L80" s="174"/>
    </row>
    <row r="81">
      <c r="A81" s="678"/>
      <c r="G81" s="288"/>
      <c r="L81" s="174"/>
    </row>
    <row r="82">
      <c r="A82" s="678"/>
      <c r="G82" s="288"/>
      <c r="L82" s="174"/>
    </row>
    <row r="83">
      <c r="A83" s="678"/>
      <c r="G83" s="288"/>
      <c r="L83" s="174"/>
    </row>
    <row r="84">
      <c r="A84" s="678"/>
      <c r="G84" s="288"/>
      <c r="L84" s="174"/>
    </row>
    <row r="85">
      <c r="A85" s="678"/>
      <c r="G85" s="288"/>
      <c r="L85" s="174"/>
    </row>
    <row r="86">
      <c r="A86" s="678"/>
      <c r="G86" s="288"/>
      <c r="L86" s="174"/>
    </row>
    <row r="87">
      <c r="A87" s="678"/>
      <c r="G87" s="288"/>
      <c r="L87" s="174"/>
    </row>
    <row r="88">
      <c r="A88" s="678"/>
      <c r="G88" s="288"/>
      <c r="L88" s="174"/>
    </row>
    <row r="89">
      <c r="A89" s="678"/>
      <c r="G89" s="288"/>
      <c r="L89" s="174"/>
    </row>
    <row r="90">
      <c r="A90" s="678"/>
      <c r="G90" s="288"/>
      <c r="L90" s="174"/>
    </row>
    <row r="91">
      <c r="A91" s="678"/>
      <c r="G91" s="288"/>
      <c r="L91" s="174"/>
    </row>
    <row r="92">
      <c r="A92" s="678"/>
      <c r="G92" s="288"/>
      <c r="L92" s="174"/>
    </row>
    <row r="93">
      <c r="A93" s="678"/>
      <c r="G93" s="288"/>
      <c r="L93" s="174"/>
    </row>
    <row r="94">
      <c r="A94" s="678"/>
      <c r="G94" s="288"/>
      <c r="L94" s="174"/>
    </row>
    <row r="95">
      <c r="A95" s="678"/>
      <c r="G95" s="288"/>
      <c r="L95" s="174"/>
    </row>
    <row r="96">
      <c r="A96" s="678"/>
      <c r="G96" s="288"/>
      <c r="L96" s="174"/>
    </row>
    <row r="97">
      <c r="A97" s="678"/>
      <c r="G97" s="288"/>
      <c r="L97" s="174"/>
    </row>
    <row r="98">
      <c r="A98" s="678"/>
      <c r="G98" s="288"/>
      <c r="L98" s="174"/>
    </row>
    <row r="99">
      <c r="A99" s="678"/>
      <c r="G99" s="288"/>
      <c r="L99" s="174"/>
    </row>
    <row r="100">
      <c r="A100" s="678"/>
      <c r="G100" s="288"/>
      <c r="L100" s="174"/>
    </row>
    <row r="101">
      <c r="A101" s="678"/>
      <c r="G101" s="288"/>
      <c r="L101" s="174"/>
    </row>
    <row r="102">
      <c r="A102" s="678"/>
      <c r="G102" s="288"/>
      <c r="L102" s="174"/>
    </row>
    <row r="103">
      <c r="A103" s="678"/>
      <c r="G103" s="288"/>
      <c r="L103" s="174"/>
    </row>
    <row r="104">
      <c r="A104" s="678"/>
      <c r="G104" s="288"/>
      <c r="L104" s="174"/>
    </row>
    <row r="105">
      <c r="A105" s="678"/>
      <c r="G105" s="288"/>
      <c r="L105" s="174"/>
    </row>
    <row r="106">
      <c r="A106" s="678"/>
      <c r="G106" s="288"/>
      <c r="L106" s="174"/>
    </row>
    <row r="107">
      <c r="A107" s="678"/>
      <c r="G107" s="288"/>
      <c r="L107" s="174"/>
    </row>
    <row r="108">
      <c r="A108" s="678"/>
      <c r="G108" s="288"/>
      <c r="L108" s="174"/>
    </row>
    <row r="109">
      <c r="A109" s="678"/>
      <c r="G109" s="288"/>
      <c r="L109" s="174"/>
    </row>
    <row r="110">
      <c r="A110" s="678"/>
      <c r="G110" s="288"/>
      <c r="L110" s="174"/>
    </row>
    <row r="111">
      <c r="A111" s="678"/>
      <c r="G111" s="288"/>
      <c r="L111" s="174"/>
    </row>
    <row r="112">
      <c r="A112" s="678"/>
      <c r="G112" s="288"/>
      <c r="L112" s="174"/>
    </row>
    <row r="113">
      <c r="A113" s="678"/>
      <c r="G113" s="288"/>
      <c r="L113" s="174"/>
    </row>
    <row r="114">
      <c r="A114" s="678"/>
      <c r="G114" s="288"/>
      <c r="L114" s="174"/>
    </row>
    <row r="115">
      <c r="A115" s="678"/>
      <c r="G115" s="288"/>
      <c r="L115" s="174"/>
    </row>
    <row r="116">
      <c r="A116" s="678"/>
      <c r="G116" s="288"/>
      <c r="L116" s="174"/>
    </row>
    <row r="117">
      <c r="A117" s="678"/>
      <c r="G117" s="288"/>
      <c r="L117" s="174"/>
    </row>
    <row r="118">
      <c r="A118" s="678"/>
      <c r="G118" s="288"/>
      <c r="L118" s="174"/>
    </row>
    <row r="119">
      <c r="A119" s="678"/>
      <c r="G119" s="288"/>
      <c r="L119" s="174"/>
    </row>
    <row r="120">
      <c r="A120" s="678"/>
      <c r="G120" s="288"/>
      <c r="L120" s="174"/>
    </row>
    <row r="121">
      <c r="A121" s="678"/>
      <c r="G121" s="288"/>
      <c r="L121" s="174"/>
    </row>
    <row r="122">
      <c r="A122" s="678"/>
      <c r="G122" s="288"/>
      <c r="L122" s="174"/>
    </row>
    <row r="123">
      <c r="A123" s="678"/>
      <c r="G123" s="288"/>
      <c r="L123" s="174"/>
    </row>
    <row r="124">
      <c r="A124" s="678"/>
      <c r="G124" s="288"/>
      <c r="L124" s="174"/>
    </row>
    <row r="125">
      <c r="A125" s="678"/>
      <c r="G125" s="288"/>
      <c r="L125" s="174"/>
    </row>
    <row r="126">
      <c r="A126" s="678"/>
      <c r="G126" s="288"/>
      <c r="L126" s="174"/>
    </row>
    <row r="127">
      <c r="A127" s="678"/>
      <c r="G127" s="288"/>
      <c r="L127" s="174"/>
    </row>
    <row r="128">
      <c r="A128" s="678"/>
      <c r="G128" s="288"/>
      <c r="L128" s="174"/>
    </row>
    <row r="129">
      <c r="A129" s="678"/>
      <c r="G129" s="288"/>
      <c r="L129" s="174"/>
    </row>
    <row r="130">
      <c r="A130" s="678"/>
      <c r="G130" s="288"/>
      <c r="L130" s="174"/>
    </row>
    <row r="131">
      <c r="A131" s="678"/>
      <c r="G131" s="288"/>
      <c r="L131" s="174"/>
    </row>
    <row r="132">
      <c r="A132" s="678"/>
      <c r="G132" s="288"/>
      <c r="L132" s="174"/>
    </row>
    <row r="133">
      <c r="A133" s="678"/>
      <c r="G133" s="288"/>
      <c r="L133" s="174"/>
    </row>
    <row r="134">
      <c r="A134" s="678"/>
      <c r="G134" s="288"/>
      <c r="L134" s="174"/>
    </row>
    <row r="135">
      <c r="A135" s="678"/>
      <c r="G135" s="288"/>
      <c r="L135" s="174"/>
    </row>
    <row r="136">
      <c r="A136" s="678"/>
      <c r="G136" s="288"/>
      <c r="L136" s="174"/>
    </row>
    <row r="137">
      <c r="A137" s="678"/>
      <c r="G137" s="288"/>
      <c r="L137" s="174"/>
    </row>
    <row r="138">
      <c r="A138" s="678"/>
      <c r="G138" s="288"/>
      <c r="L138" s="174"/>
    </row>
    <row r="139">
      <c r="A139" s="678"/>
      <c r="G139" s="288"/>
      <c r="L139" s="174"/>
    </row>
    <row r="140">
      <c r="A140" s="678"/>
      <c r="G140" s="288"/>
      <c r="L140" s="174"/>
    </row>
    <row r="141">
      <c r="A141" s="678"/>
      <c r="G141" s="288"/>
      <c r="L141" s="174"/>
    </row>
    <row r="142">
      <c r="A142" s="678"/>
      <c r="G142" s="288"/>
      <c r="L142" s="174"/>
    </row>
    <row r="143">
      <c r="A143" s="678"/>
      <c r="G143" s="288"/>
      <c r="L143" s="174"/>
    </row>
    <row r="144">
      <c r="A144" s="678"/>
      <c r="G144" s="288"/>
      <c r="L144" s="174"/>
    </row>
    <row r="145">
      <c r="A145" s="678"/>
      <c r="G145" s="288"/>
      <c r="L145" s="174"/>
    </row>
    <row r="146">
      <c r="A146" s="678"/>
      <c r="G146" s="288"/>
      <c r="L146" s="174"/>
    </row>
    <row r="147">
      <c r="A147" s="678"/>
      <c r="G147" s="288"/>
      <c r="L147" s="174"/>
    </row>
    <row r="148">
      <c r="A148" s="678"/>
      <c r="G148" s="288"/>
      <c r="L148" s="174"/>
    </row>
    <row r="149">
      <c r="A149" s="678"/>
      <c r="G149" s="288"/>
      <c r="L149" s="174"/>
    </row>
    <row r="150">
      <c r="A150" s="678"/>
      <c r="G150" s="288"/>
      <c r="L150" s="174"/>
    </row>
    <row r="151">
      <c r="A151" s="678"/>
      <c r="G151" s="288"/>
      <c r="L151" s="174"/>
    </row>
    <row r="152">
      <c r="A152" s="678"/>
      <c r="G152" s="288"/>
      <c r="L152" s="174"/>
    </row>
    <row r="153">
      <c r="A153" s="678"/>
      <c r="G153" s="288"/>
      <c r="L153" s="174"/>
    </row>
    <row r="154">
      <c r="A154" s="678"/>
      <c r="G154" s="288"/>
      <c r="L154" s="174"/>
    </row>
    <row r="155">
      <c r="A155" s="678"/>
      <c r="G155" s="288"/>
      <c r="L155" s="174"/>
    </row>
    <row r="156">
      <c r="A156" s="678"/>
      <c r="G156" s="288"/>
      <c r="L156" s="174"/>
    </row>
    <row r="157">
      <c r="A157" s="678"/>
      <c r="G157" s="288"/>
      <c r="L157" s="174"/>
    </row>
    <row r="158">
      <c r="A158" s="678"/>
      <c r="G158" s="288"/>
      <c r="L158" s="174"/>
    </row>
    <row r="159">
      <c r="A159" s="678"/>
      <c r="G159" s="288"/>
      <c r="L159" s="174"/>
    </row>
    <row r="160">
      <c r="A160" s="678"/>
      <c r="G160" s="288"/>
      <c r="L160" s="174"/>
    </row>
    <row r="161">
      <c r="A161" s="678"/>
      <c r="G161" s="288"/>
      <c r="L161" s="174"/>
    </row>
    <row r="162">
      <c r="A162" s="678"/>
      <c r="G162" s="288"/>
      <c r="L162" s="174"/>
    </row>
    <row r="163">
      <c r="A163" s="678"/>
      <c r="G163" s="288"/>
      <c r="L163" s="174"/>
    </row>
    <row r="164">
      <c r="A164" s="678"/>
      <c r="G164" s="288"/>
      <c r="L164" s="174"/>
    </row>
    <row r="165">
      <c r="A165" s="678"/>
      <c r="G165" s="288"/>
      <c r="L165" s="174"/>
    </row>
    <row r="166">
      <c r="A166" s="678"/>
      <c r="G166" s="288"/>
      <c r="L166" s="174"/>
    </row>
    <row r="167">
      <c r="A167" s="678"/>
      <c r="G167" s="288"/>
      <c r="L167" s="174"/>
    </row>
    <row r="168">
      <c r="A168" s="678"/>
      <c r="G168" s="288"/>
      <c r="L168" s="174"/>
    </row>
    <row r="169">
      <c r="A169" s="678"/>
      <c r="G169" s="288"/>
      <c r="L169" s="174"/>
    </row>
    <row r="170">
      <c r="A170" s="678"/>
      <c r="G170" s="288"/>
      <c r="L170" s="174"/>
    </row>
    <row r="171">
      <c r="A171" s="678"/>
      <c r="G171" s="288"/>
      <c r="L171" s="174"/>
    </row>
    <row r="172">
      <c r="A172" s="678"/>
      <c r="G172" s="288"/>
      <c r="L172" s="174"/>
    </row>
    <row r="173">
      <c r="A173" s="678"/>
      <c r="G173" s="288"/>
      <c r="L173" s="174"/>
    </row>
    <row r="174">
      <c r="A174" s="678"/>
      <c r="G174" s="288"/>
      <c r="L174" s="174"/>
    </row>
    <row r="175">
      <c r="A175" s="678"/>
      <c r="G175" s="288"/>
      <c r="L175" s="174"/>
    </row>
    <row r="176">
      <c r="A176" s="678"/>
      <c r="G176" s="288"/>
      <c r="L176" s="174"/>
    </row>
    <row r="177">
      <c r="A177" s="678"/>
      <c r="G177" s="288"/>
      <c r="L177" s="174"/>
    </row>
    <row r="178">
      <c r="A178" s="678"/>
      <c r="G178" s="288"/>
      <c r="L178" s="174"/>
    </row>
    <row r="179">
      <c r="A179" s="678"/>
      <c r="G179" s="288"/>
      <c r="L179" s="174"/>
    </row>
    <row r="180">
      <c r="A180" s="678"/>
      <c r="G180" s="288"/>
      <c r="L180" s="174"/>
    </row>
    <row r="181">
      <c r="A181" s="678"/>
      <c r="G181" s="288"/>
      <c r="L181" s="174"/>
    </row>
    <row r="182">
      <c r="A182" s="678"/>
      <c r="G182" s="288"/>
      <c r="L182" s="174"/>
    </row>
    <row r="183">
      <c r="A183" s="678"/>
      <c r="G183" s="288"/>
      <c r="L183" s="174"/>
    </row>
    <row r="184">
      <c r="A184" s="678"/>
      <c r="G184" s="288"/>
      <c r="L184" s="174"/>
    </row>
    <row r="185">
      <c r="A185" s="678"/>
      <c r="G185" s="288"/>
      <c r="L185" s="174"/>
    </row>
    <row r="186">
      <c r="A186" s="678"/>
      <c r="G186" s="288"/>
      <c r="L186" s="174"/>
    </row>
    <row r="187">
      <c r="A187" s="678"/>
      <c r="G187" s="288"/>
      <c r="L187" s="174"/>
    </row>
    <row r="188">
      <c r="A188" s="678"/>
      <c r="G188" s="288"/>
      <c r="L188" s="174"/>
    </row>
    <row r="189">
      <c r="A189" s="678"/>
      <c r="G189" s="288"/>
      <c r="L189" s="174"/>
    </row>
    <row r="190">
      <c r="A190" s="678"/>
      <c r="G190" s="288"/>
      <c r="L190" s="174"/>
    </row>
    <row r="191">
      <c r="A191" s="678"/>
      <c r="G191" s="288"/>
      <c r="L191" s="174"/>
    </row>
    <row r="192">
      <c r="A192" s="678"/>
      <c r="G192" s="288"/>
      <c r="L192" s="174"/>
    </row>
    <row r="193">
      <c r="A193" s="678"/>
      <c r="G193" s="288"/>
      <c r="L193" s="174"/>
    </row>
    <row r="194">
      <c r="A194" s="678"/>
      <c r="G194" s="288"/>
      <c r="L194" s="174"/>
    </row>
    <row r="195">
      <c r="A195" s="678"/>
      <c r="G195" s="288"/>
      <c r="L195" s="174"/>
    </row>
    <row r="196">
      <c r="A196" s="678"/>
      <c r="G196" s="288"/>
      <c r="L196" s="174"/>
    </row>
    <row r="197">
      <c r="A197" s="678"/>
      <c r="G197" s="288"/>
      <c r="L197" s="174"/>
    </row>
    <row r="198">
      <c r="A198" s="678"/>
      <c r="G198" s="288"/>
      <c r="L198" s="174"/>
    </row>
    <row r="199">
      <c r="A199" s="678"/>
      <c r="G199" s="288"/>
      <c r="L199" s="174"/>
    </row>
    <row r="200">
      <c r="A200" s="678"/>
      <c r="G200" s="288"/>
      <c r="L200" s="174"/>
    </row>
    <row r="201">
      <c r="A201" s="678"/>
      <c r="G201" s="288"/>
      <c r="L201" s="174"/>
    </row>
    <row r="202">
      <c r="A202" s="678"/>
      <c r="G202" s="288"/>
      <c r="L202" s="174"/>
    </row>
    <row r="203">
      <c r="A203" s="678"/>
      <c r="G203" s="288"/>
      <c r="L203" s="174"/>
    </row>
    <row r="204">
      <c r="A204" s="678"/>
      <c r="G204" s="288"/>
      <c r="L204" s="174"/>
    </row>
    <row r="205">
      <c r="A205" s="678"/>
      <c r="G205" s="288"/>
      <c r="L205" s="174"/>
    </row>
    <row r="206">
      <c r="A206" s="678"/>
      <c r="G206" s="288"/>
      <c r="L206" s="174"/>
    </row>
    <row r="207">
      <c r="A207" s="678"/>
      <c r="G207" s="288"/>
      <c r="L207" s="174"/>
    </row>
    <row r="208">
      <c r="A208" s="678"/>
      <c r="G208" s="288"/>
      <c r="L208" s="174"/>
    </row>
    <row r="209">
      <c r="A209" s="678"/>
      <c r="G209" s="288"/>
      <c r="L209" s="174"/>
    </row>
    <row r="210">
      <c r="A210" s="678"/>
      <c r="G210" s="288"/>
      <c r="L210" s="174"/>
    </row>
    <row r="211">
      <c r="A211" s="678"/>
      <c r="G211" s="288"/>
      <c r="L211" s="174"/>
    </row>
    <row r="212">
      <c r="A212" s="678"/>
      <c r="G212" s="288"/>
      <c r="L212" s="174"/>
    </row>
    <row r="213">
      <c r="A213" s="678"/>
      <c r="G213" s="288"/>
      <c r="L213" s="174"/>
    </row>
    <row r="214">
      <c r="A214" s="678"/>
      <c r="G214" s="288"/>
      <c r="L214" s="174"/>
    </row>
    <row r="215">
      <c r="A215" s="678"/>
      <c r="G215" s="288"/>
      <c r="L215" s="174"/>
    </row>
    <row r="216">
      <c r="A216" s="678"/>
      <c r="G216" s="288"/>
      <c r="L216" s="174"/>
    </row>
    <row r="217">
      <c r="A217" s="678"/>
      <c r="G217" s="288"/>
      <c r="L217" s="174"/>
    </row>
    <row r="218">
      <c r="A218" s="678"/>
      <c r="G218" s="288"/>
      <c r="L218" s="174"/>
    </row>
    <row r="219">
      <c r="A219" s="678"/>
      <c r="G219" s="288"/>
      <c r="L219" s="174"/>
    </row>
    <row r="220">
      <c r="A220" s="678"/>
      <c r="G220" s="288"/>
      <c r="L220" s="174"/>
    </row>
    <row r="221">
      <c r="A221" s="678"/>
      <c r="G221" s="288"/>
      <c r="L221" s="174"/>
    </row>
    <row r="222">
      <c r="A222" s="678"/>
      <c r="G222" s="288"/>
      <c r="L222" s="174"/>
    </row>
    <row r="223">
      <c r="A223" s="678"/>
      <c r="G223" s="288"/>
      <c r="L223" s="174"/>
    </row>
    <row r="224">
      <c r="A224" s="678"/>
      <c r="G224" s="288"/>
      <c r="L224" s="174"/>
    </row>
    <row r="225">
      <c r="A225" s="678"/>
      <c r="G225" s="288"/>
      <c r="L225" s="174"/>
    </row>
    <row r="226">
      <c r="A226" s="678"/>
      <c r="G226" s="288"/>
      <c r="L226" s="174"/>
    </row>
    <row r="227">
      <c r="A227" s="678"/>
      <c r="G227" s="288"/>
      <c r="L227" s="174"/>
    </row>
    <row r="228">
      <c r="A228" s="678"/>
      <c r="G228" s="288"/>
      <c r="L228" s="174"/>
    </row>
    <row r="229">
      <c r="A229" s="678"/>
      <c r="G229" s="288"/>
      <c r="L229" s="174"/>
    </row>
    <row r="230">
      <c r="A230" s="678"/>
      <c r="G230" s="288"/>
      <c r="L230" s="174"/>
    </row>
    <row r="231">
      <c r="A231" s="678"/>
      <c r="G231" s="288"/>
      <c r="L231" s="174"/>
    </row>
    <row r="232">
      <c r="A232" s="678"/>
      <c r="G232" s="288"/>
      <c r="L232" s="174"/>
    </row>
    <row r="233">
      <c r="A233" s="678"/>
      <c r="G233" s="288"/>
      <c r="L233" s="174"/>
    </row>
    <row r="234">
      <c r="A234" s="678"/>
      <c r="G234" s="288"/>
      <c r="L234" s="174"/>
    </row>
    <row r="235">
      <c r="A235" s="678"/>
      <c r="G235" s="288"/>
      <c r="L235" s="174"/>
    </row>
    <row r="236">
      <c r="A236" s="678"/>
      <c r="G236" s="288"/>
      <c r="L236" s="174"/>
    </row>
    <row r="237">
      <c r="A237" s="678"/>
      <c r="G237" s="288"/>
      <c r="L237" s="174"/>
    </row>
    <row r="238">
      <c r="A238" s="678"/>
      <c r="G238" s="288"/>
      <c r="L238" s="174"/>
    </row>
    <row r="239">
      <c r="A239" s="678"/>
      <c r="G239" s="288"/>
      <c r="L239" s="174"/>
    </row>
    <row r="240">
      <c r="A240" s="678"/>
      <c r="G240" s="288"/>
      <c r="L240" s="174"/>
    </row>
    <row r="241">
      <c r="A241" s="678"/>
      <c r="G241" s="288"/>
      <c r="L241" s="174"/>
    </row>
    <row r="242">
      <c r="A242" s="678"/>
      <c r="G242" s="288"/>
      <c r="L242" s="174"/>
    </row>
    <row r="243">
      <c r="A243" s="678"/>
      <c r="G243" s="288"/>
      <c r="L243" s="174"/>
    </row>
    <row r="244">
      <c r="A244" s="678"/>
      <c r="G244" s="288"/>
      <c r="L244" s="174"/>
    </row>
    <row r="245">
      <c r="A245" s="678"/>
      <c r="G245" s="288"/>
      <c r="L245" s="174"/>
    </row>
    <row r="246">
      <c r="A246" s="678"/>
      <c r="G246" s="288"/>
      <c r="L246" s="174"/>
    </row>
    <row r="247">
      <c r="A247" s="678"/>
      <c r="G247" s="288"/>
      <c r="L247" s="174"/>
    </row>
    <row r="248">
      <c r="A248" s="678"/>
      <c r="G248" s="288"/>
      <c r="L248" s="174"/>
    </row>
    <row r="249">
      <c r="A249" s="678"/>
      <c r="G249" s="288"/>
      <c r="L249" s="174"/>
    </row>
    <row r="250">
      <c r="A250" s="678"/>
      <c r="G250" s="288"/>
      <c r="L250" s="174"/>
    </row>
    <row r="251">
      <c r="A251" s="678"/>
      <c r="G251" s="288"/>
      <c r="L251" s="174"/>
    </row>
    <row r="252">
      <c r="A252" s="678"/>
      <c r="G252" s="288"/>
      <c r="L252" s="174"/>
    </row>
    <row r="253">
      <c r="A253" s="678"/>
      <c r="G253" s="288"/>
      <c r="L253" s="174"/>
    </row>
    <row r="254">
      <c r="A254" s="678"/>
      <c r="G254" s="288"/>
      <c r="L254" s="174"/>
    </row>
    <row r="255">
      <c r="A255" s="678"/>
      <c r="G255" s="288"/>
      <c r="L255" s="174"/>
    </row>
    <row r="256">
      <c r="A256" s="678"/>
      <c r="G256" s="288"/>
      <c r="L256" s="174"/>
    </row>
    <row r="257">
      <c r="A257" s="678"/>
      <c r="G257" s="288"/>
      <c r="L257" s="174"/>
    </row>
    <row r="258">
      <c r="A258" s="678"/>
      <c r="G258" s="288"/>
      <c r="L258" s="174"/>
    </row>
    <row r="259">
      <c r="A259" s="678"/>
      <c r="G259" s="288"/>
      <c r="L259" s="174"/>
    </row>
    <row r="260">
      <c r="A260" s="678"/>
      <c r="G260" s="288"/>
      <c r="L260" s="174"/>
    </row>
    <row r="261">
      <c r="A261" s="678"/>
      <c r="G261" s="288"/>
      <c r="L261" s="174"/>
    </row>
    <row r="262">
      <c r="A262" s="678"/>
      <c r="G262" s="288"/>
      <c r="L262" s="174"/>
    </row>
    <row r="263">
      <c r="A263" s="678"/>
      <c r="G263" s="288"/>
      <c r="L263" s="174"/>
    </row>
    <row r="264">
      <c r="A264" s="678"/>
      <c r="G264" s="288"/>
      <c r="L264" s="174"/>
    </row>
    <row r="265">
      <c r="A265" s="678"/>
      <c r="G265" s="288"/>
      <c r="L265" s="174"/>
    </row>
    <row r="266">
      <c r="A266" s="678"/>
      <c r="G266" s="288"/>
      <c r="L266" s="174"/>
    </row>
    <row r="267">
      <c r="A267" s="678"/>
      <c r="G267" s="288"/>
      <c r="L267" s="174"/>
    </row>
    <row r="268">
      <c r="A268" s="678"/>
      <c r="G268" s="288"/>
      <c r="L268" s="174"/>
    </row>
    <row r="269">
      <c r="A269" s="678"/>
      <c r="G269" s="288"/>
      <c r="L269" s="174"/>
    </row>
    <row r="270">
      <c r="A270" s="678"/>
      <c r="G270" s="288"/>
      <c r="L270" s="174"/>
    </row>
    <row r="271">
      <c r="A271" s="678"/>
      <c r="G271" s="288"/>
      <c r="L271" s="174"/>
    </row>
    <row r="272">
      <c r="A272" s="678"/>
      <c r="G272" s="288"/>
      <c r="L272" s="174"/>
    </row>
    <row r="273">
      <c r="A273" s="678"/>
      <c r="G273" s="288"/>
      <c r="L273" s="174"/>
    </row>
    <row r="274">
      <c r="A274" s="678"/>
      <c r="G274" s="288"/>
      <c r="L274" s="174"/>
    </row>
    <row r="275">
      <c r="A275" s="678"/>
      <c r="G275" s="288"/>
      <c r="L275" s="174"/>
    </row>
    <row r="276">
      <c r="A276" s="678"/>
      <c r="G276" s="288"/>
      <c r="L276" s="174"/>
    </row>
    <row r="277">
      <c r="A277" s="678"/>
      <c r="G277" s="288"/>
      <c r="L277" s="174"/>
    </row>
    <row r="278">
      <c r="A278" s="678"/>
      <c r="G278" s="288"/>
      <c r="L278" s="174"/>
    </row>
    <row r="279">
      <c r="A279" s="678"/>
      <c r="G279" s="288"/>
      <c r="L279" s="174"/>
    </row>
    <row r="280">
      <c r="A280" s="678"/>
      <c r="G280" s="288"/>
      <c r="L280" s="174"/>
    </row>
    <row r="281">
      <c r="A281" s="678"/>
      <c r="G281" s="288"/>
      <c r="L281" s="174"/>
    </row>
    <row r="282">
      <c r="A282" s="678"/>
      <c r="G282" s="288"/>
      <c r="L282" s="174"/>
    </row>
    <row r="283">
      <c r="A283" s="678"/>
      <c r="G283" s="288"/>
      <c r="L283" s="174"/>
    </row>
    <row r="284">
      <c r="A284" s="678"/>
      <c r="G284" s="288"/>
      <c r="L284" s="174"/>
    </row>
    <row r="285">
      <c r="A285" s="678"/>
      <c r="G285" s="288"/>
      <c r="L285" s="174"/>
    </row>
    <row r="286">
      <c r="A286" s="678"/>
      <c r="G286" s="288"/>
      <c r="L286" s="174"/>
    </row>
    <row r="287">
      <c r="A287" s="678"/>
      <c r="G287" s="288"/>
      <c r="L287" s="174"/>
    </row>
    <row r="288">
      <c r="A288" s="678"/>
      <c r="G288" s="288"/>
      <c r="L288" s="174"/>
    </row>
    <row r="289">
      <c r="A289" s="678"/>
      <c r="G289" s="288"/>
      <c r="L289" s="174"/>
    </row>
    <row r="290">
      <c r="A290" s="678"/>
      <c r="G290" s="288"/>
      <c r="L290" s="174"/>
    </row>
    <row r="291">
      <c r="A291" s="678"/>
      <c r="G291" s="288"/>
      <c r="L291" s="174"/>
    </row>
    <row r="292">
      <c r="A292" s="678"/>
      <c r="G292" s="288"/>
      <c r="L292" s="174"/>
    </row>
    <row r="293">
      <c r="A293" s="678"/>
      <c r="G293" s="288"/>
      <c r="L293" s="174"/>
    </row>
    <row r="294">
      <c r="A294" s="678"/>
      <c r="G294" s="288"/>
      <c r="L294" s="174"/>
    </row>
    <row r="295">
      <c r="A295" s="678"/>
      <c r="G295" s="288"/>
      <c r="L295" s="174"/>
    </row>
    <row r="296">
      <c r="A296" s="678"/>
      <c r="G296" s="288"/>
      <c r="L296" s="174"/>
    </row>
    <row r="297">
      <c r="A297" s="678"/>
      <c r="G297" s="288"/>
      <c r="L297" s="174"/>
    </row>
    <row r="298">
      <c r="A298" s="678"/>
      <c r="G298" s="288"/>
      <c r="L298" s="174"/>
    </row>
    <row r="299">
      <c r="A299" s="678"/>
      <c r="G299" s="288"/>
      <c r="L299" s="174"/>
    </row>
    <row r="300">
      <c r="A300" s="678"/>
      <c r="G300" s="288"/>
      <c r="L300" s="174"/>
    </row>
    <row r="301">
      <c r="A301" s="678"/>
      <c r="G301" s="288"/>
      <c r="L301" s="174"/>
    </row>
    <row r="302">
      <c r="A302" s="678"/>
      <c r="G302" s="288"/>
      <c r="L302" s="174"/>
    </row>
    <row r="303">
      <c r="A303" s="678"/>
      <c r="G303" s="288"/>
      <c r="L303" s="174"/>
    </row>
    <row r="304">
      <c r="A304" s="678"/>
      <c r="G304" s="288"/>
      <c r="L304" s="174"/>
    </row>
    <row r="305">
      <c r="A305" s="678"/>
      <c r="G305" s="288"/>
      <c r="L305" s="174"/>
    </row>
    <row r="306">
      <c r="A306" s="678"/>
      <c r="G306" s="288"/>
      <c r="L306" s="174"/>
    </row>
    <row r="307">
      <c r="A307" s="678"/>
      <c r="G307" s="288"/>
      <c r="L307" s="174"/>
    </row>
    <row r="308">
      <c r="A308" s="678"/>
      <c r="G308" s="288"/>
      <c r="L308" s="174"/>
    </row>
    <row r="309">
      <c r="A309" s="678"/>
      <c r="G309" s="288"/>
      <c r="L309" s="174"/>
    </row>
    <row r="310">
      <c r="A310" s="678"/>
      <c r="G310" s="288"/>
      <c r="L310" s="174"/>
    </row>
    <row r="311">
      <c r="A311" s="678"/>
      <c r="G311" s="288"/>
      <c r="L311" s="174"/>
    </row>
    <row r="312">
      <c r="A312" s="678"/>
      <c r="G312" s="288"/>
      <c r="L312" s="174"/>
    </row>
    <row r="313">
      <c r="A313" s="678"/>
      <c r="G313" s="288"/>
      <c r="L313" s="174"/>
    </row>
    <row r="314">
      <c r="A314" s="678"/>
      <c r="G314" s="288"/>
      <c r="L314" s="174"/>
    </row>
    <row r="315">
      <c r="A315" s="678"/>
      <c r="G315" s="288"/>
      <c r="L315" s="174"/>
    </row>
    <row r="316">
      <c r="A316" s="678"/>
      <c r="G316" s="288"/>
      <c r="L316" s="174"/>
    </row>
    <row r="317">
      <c r="A317" s="678"/>
      <c r="G317" s="288"/>
      <c r="L317" s="174"/>
    </row>
    <row r="318">
      <c r="A318" s="678"/>
      <c r="G318" s="288"/>
      <c r="L318" s="174"/>
    </row>
    <row r="319">
      <c r="A319" s="678"/>
      <c r="G319" s="288"/>
      <c r="L319" s="174"/>
    </row>
    <row r="320">
      <c r="A320" s="678"/>
      <c r="G320" s="288"/>
      <c r="L320" s="174"/>
    </row>
    <row r="321">
      <c r="A321" s="678"/>
      <c r="G321" s="288"/>
      <c r="L321" s="174"/>
    </row>
    <row r="322">
      <c r="A322" s="678"/>
      <c r="G322" s="288"/>
      <c r="L322" s="174"/>
    </row>
    <row r="323">
      <c r="A323" s="678"/>
      <c r="G323" s="288"/>
      <c r="L323" s="174"/>
    </row>
    <row r="324">
      <c r="A324" s="678"/>
      <c r="G324" s="288"/>
      <c r="L324" s="174"/>
    </row>
    <row r="325">
      <c r="A325" s="678"/>
      <c r="G325" s="288"/>
      <c r="L325" s="174"/>
    </row>
    <row r="326">
      <c r="A326" s="678"/>
      <c r="G326" s="288"/>
      <c r="L326" s="174"/>
    </row>
    <row r="327">
      <c r="A327" s="678"/>
      <c r="G327" s="288"/>
      <c r="L327" s="174"/>
    </row>
    <row r="328">
      <c r="A328" s="678"/>
      <c r="G328" s="288"/>
      <c r="L328" s="174"/>
    </row>
    <row r="329">
      <c r="A329" s="678"/>
      <c r="G329" s="288"/>
      <c r="L329" s="174"/>
    </row>
    <row r="330">
      <c r="A330" s="678"/>
      <c r="G330" s="288"/>
      <c r="L330" s="174"/>
    </row>
    <row r="331">
      <c r="A331" s="678"/>
      <c r="G331" s="288"/>
      <c r="L331" s="174"/>
    </row>
    <row r="332">
      <c r="A332" s="678"/>
      <c r="G332" s="288"/>
      <c r="L332" s="174"/>
    </row>
    <row r="333">
      <c r="A333" s="678"/>
      <c r="G333" s="288"/>
      <c r="L333" s="174"/>
    </row>
    <row r="334">
      <c r="A334" s="678"/>
      <c r="G334" s="288"/>
      <c r="L334" s="174"/>
    </row>
    <row r="335">
      <c r="A335" s="678"/>
      <c r="G335" s="288"/>
      <c r="L335" s="174"/>
    </row>
    <row r="336">
      <c r="A336" s="678"/>
      <c r="G336" s="288"/>
      <c r="L336" s="174"/>
    </row>
    <row r="337">
      <c r="A337" s="678"/>
      <c r="G337" s="288"/>
      <c r="L337" s="174"/>
    </row>
    <row r="338">
      <c r="A338" s="678"/>
      <c r="G338" s="288"/>
      <c r="L338" s="174"/>
    </row>
    <row r="339">
      <c r="A339" s="678"/>
      <c r="G339" s="288"/>
      <c r="L339" s="174"/>
    </row>
    <row r="340">
      <c r="A340" s="678"/>
      <c r="G340" s="288"/>
      <c r="L340" s="174"/>
    </row>
    <row r="341">
      <c r="A341" s="678"/>
      <c r="G341" s="288"/>
      <c r="L341" s="174"/>
    </row>
    <row r="342">
      <c r="A342" s="678"/>
      <c r="G342" s="288"/>
      <c r="L342" s="174"/>
    </row>
    <row r="343">
      <c r="A343" s="678"/>
      <c r="G343" s="288"/>
      <c r="L343" s="174"/>
    </row>
    <row r="344">
      <c r="A344" s="678"/>
      <c r="G344" s="288"/>
      <c r="L344" s="174"/>
    </row>
    <row r="345">
      <c r="A345" s="678"/>
      <c r="G345" s="288"/>
      <c r="L345" s="174"/>
    </row>
    <row r="346">
      <c r="A346" s="678"/>
      <c r="G346" s="288"/>
      <c r="L346" s="174"/>
    </row>
    <row r="347">
      <c r="A347" s="678"/>
      <c r="G347" s="288"/>
      <c r="L347" s="174"/>
    </row>
    <row r="348">
      <c r="A348" s="678"/>
      <c r="G348" s="288"/>
      <c r="L348" s="174"/>
    </row>
    <row r="349">
      <c r="A349" s="678"/>
      <c r="G349" s="288"/>
      <c r="L349" s="174"/>
    </row>
    <row r="350">
      <c r="A350" s="678"/>
      <c r="G350" s="288"/>
      <c r="L350" s="174"/>
    </row>
    <row r="351">
      <c r="A351" s="678"/>
      <c r="G351" s="288"/>
      <c r="L351" s="174"/>
    </row>
    <row r="352">
      <c r="A352" s="678"/>
      <c r="G352" s="288"/>
      <c r="L352" s="174"/>
    </row>
    <row r="353">
      <c r="A353" s="678"/>
      <c r="G353" s="288"/>
      <c r="L353" s="174"/>
    </row>
    <row r="354">
      <c r="A354" s="678"/>
      <c r="G354" s="288"/>
      <c r="L354" s="174"/>
    </row>
    <row r="355">
      <c r="A355" s="678"/>
      <c r="G355" s="288"/>
      <c r="L355" s="174"/>
    </row>
    <row r="356">
      <c r="A356" s="678"/>
      <c r="G356" s="288"/>
      <c r="L356" s="174"/>
    </row>
    <row r="357">
      <c r="A357" s="678"/>
      <c r="G357" s="288"/>
      <c r="L357" s="174"/>
    </row>
    <row r="358">
      <c r="A358" s="678"/>
      <c r="G358" s="288"/>
      <c r="L358" s="174"/>
    </row>
    <row r="359">
      <c r="A359" s="678"/>
      <c r="G359" s="288"/>
      <c r="L359" s="174"/>
    </row>
    <row r="360">
      <c r="A360" s="678"/>
      <c r="G360" s="288"/>
      <c r="L360" s="174"/>
    </row>
    <row r="361">
      <c r="A361" s="678"/>
      <c r="G361" s="288"/>
      <c r="L361" s="174"/>
    </row>
    <row r="362">
      <c r="A362" s="678"/>
      <c r="G362" s="288"/>
      <c r="L362" s="174"/>
    </row>
    <row r="363">
      <c r="A363" s="678"/>
      <c r="G363" s="288"/>
      <c r="L363" s="174"/>
    </row>
    <row r="364">
      <c r="A364" s="678"/>
      <c r="G364" s="288"/>
      <c r="L364" s="174"/>
    </row>
    <row r="365">
      <c r="A365" s="678"/>
      <c r="G365" s="288"/>
      <c r="L365" s="174"/>
    </row>
    <row r="366">
      <c r="A366" s="678"/>
      <c r="G366" s="288"/>
      <c r="L366" s="174"/>
    </row>
    <row r="367">
      <c r="A367" s="678"/>
      <c r="G367" s="288"/>
      <c r="L367" s="174"/>
    </row>
    <row r="368">
      <c r="A368" s="678"/>
      <c r="G368" s="288"/>
      <c r="L368" s="174"/>
    </row>
    <row r="369">
      <c r="A369" s="678"/>
      <c r="G369" s="288"/>
      <c r="L369" s="174"/>
    </row>
    <row r="370">
      <c r="A370" s="678"/>
      <c r="G370" s="288"/>
      <c r="L370" s="174"/>
    </row>
    <row r="371">
      <c r="A371" s="678"/>
      <c r="G371" s="288"/>
      <c r="L371" s="174"/>
    </row>
    <row r="372">
      <c r="A372" s="678"/>
      <c r="G372" s="288"/>
      <c r="L372" s="174"/>
    </row>
    <row r="373">
      <c r="A373" s="678"/>
      <c r="G373" s="288"/>
      <c r="L373" s="174"/>
    </row>
    <row r="374">
      <c r="A374" s="678"/>
      <c r="G374" s="288"/>
      <c r="L374" s="174"/>
    </row>
    <row r="375">
      <c r="A375" s="678"/>
      <c r="G375" s="288"/>
      <c r="L375" s="174"/>
    </row>
    <row r="376">
      <c r="A376" s="678"/>
      <c r="G376" s="288"/>
      <c r="L376" s="174"/>
    </row>
    <row r="377">
      <c r="A377" s="678"/>
      <c r="G377" s="288"/>
      <c r="L377" s="174"/>
    </row>
    <row r="378">
      <c r="A378" s="678"/>
      <c r="G378" s="288"/>
      <c r="L378" s="174"/>
    </row>
    <row r="379">
      <c r="A379" s="678"/>
      <c r="G379" s="288"/>
      <c r="L379" s="174"/>
    </row>
    <row r="380">
      <c r="A380" s="678"/>
      <c r="G380" s="288"/>
      <c r="L380" s="174"/>
    </row>
    <row r="381">
      <c r="A381" s="678"/>
      <c r="G381" s="288"/>
      <c r="L381" s="174"/>
    </row>
    <row r="382">
      <c r="A382" s="678"/>
      <c r="G382" s="288"/>
      <c r="L382" s="174"/>
    </row>
    <row r="383">
      <c r="A383" s="678"/>
      <c r="G383" s="288"/>
      <c r="L383" s="174"/>
    </row>
    <row r="384">
      <c r="A384" s="678"/>
      <c r="G384" s="288"/>
      <c r="L384" s="174"/>
    </row>
    <row r="385">
      <c r="A385" s="678"/>
      <c r="G385" s="288"/>
      <c r="L385" s="174"/>
    </row>
    <row r="386">
      <c r="A386" s="678"/>
      <c r="G386" s="288"/>
      <c r="L386" s="174"/>
    </row>
    <row r="387">
      <c r="A387" s="678"/>
      <c r="G387" s="288"/>
      <c r="L387" s="174"/>
    </row>
    <row r="388">
      <c r="A388" s="678"/>
      <c r="G388" s="288"/>
      <c r="L388" s="174"/>
    </row>
    <row r="389">
      <c r="A389" s="678"/>
      <c r="G389" s="288"/>
      <c r="L389" s="174"/>
    </row>
    <row r="390">
      <c r="A390" s="678"/>
      <c r="G390" s="288"/>
      <c r="L390" s="174"/>
    </row>
    <row r="391">
      <c r="A391" s="678"/>
      <c r="G391" s="288"/>
      <c r="L391" s="174"/>
    </row>
    <row r="392">
      <c r="A392" s="678"/>
      <c r="G392" s="288"/>
      <c r="L392" s="174"/>
    </row>
    <row r="393">
      <c r="A393" s="678"/>
      <c r="G393" s="288"/>
      <c r="L393" s="174"/>
    </row>
    <row r="394">
      <c r="A394" s="678"/>
      <c r="G394" s="288"/>
      <c r="L394" s="174"/>
    </row>
    <row r="395">
      <c r="A395" s="678"/>
      <c r="G395" s="288"/>
      <c r="L395" s="174"/>
    </row>
    <row r="396">
      <c r="A396" s="678"/>
      <c r="G396" s="288"/>
      <c r="L396" s="174"/>
    </row>
    <row r="397">
      <c r="A397" s="678"/>
      <c r="G397" s="288"/>
      <c r="L397" s="174"/>
    </row>
    <row r="398">
      <c r="A398" s="678"/>
      <c r="G398" s="288"/>
      <c r="L398" s="174"/>
    </row>
    <row r="399">
      <c r="A399" s="678"/>
      <c r="G399" s="288"/>
      <c r="L399" s="174"/>
    </row>
    <row r="400">
      <c r="A400" s="678"/>
      <c r="G400" s="288"/>
      <c r="L400" s="174"/>
    </row>
    <row r="401">
      <c r="A401" s="678"/>
      <c r="G401" s="288"/>
      <c r="L401" s="174"/>
    </row>
    <row r="402">
      <c r="A402" s="678"/>
      <c r="G402" s="288"/>
      <c r="L402" s="174"/>
    </row>
    <row r="403">
      <c r="A403" s="678"/>
      <c r="G403" s="288"/>
      <c r="L403" s="174"/>
    </row>
    <row r="404">
      <c r="A404" s="678"/>
      <c r="G404" s="288"/>
      <c r="L404" s="174"/>
    </row>
    <row r="405">
      <c r="A405" s="678"/>
      <c r="G405" s="288"/>
      <c r="L405" s="174"/>
    </row>
    <row r="406">
      <c r="A406" s="678"/>
      <c r="G406" s="288"/>
      <c r="L406" s="174"/>
    </row>
    <row r="407">
      <c r="A407" s="678"/>
      <c r="G407" s="288"/>
      <c r="L407" s="174"/>
    </row>
    <row r="408">
      <c r="A408" s="678"/>
      <c r="G408" s="288"/>
      <c r="L408" s="174"/>
    </row>
    <row r="409">
      <c r="A409" s="678"/>
      <c r="G409" s="288"/>
      <c r="L409" s="174"/>
    </row>
    <row r="410">
      <c r="A410" s="678"/>
      <c r="G410" s="288"/>
      <c r="L410" s="174"/>
    </row>
    <row r="411">
      <c r="A411" s="678"/>
      <c r="G411" s="288"/>
      <c r="L411" s="174"/>
    </row>
    <row r="412">
      <c r="A412" s="678"/>
      <c r="G412" s="288"/>
      <c r="L412" s="174"/>
    </row>
    <row r="413">
      <c r="A413" s="678"/>
      <c r="G413" s="288"/>
      <c r="L413" s="174"/>
    </row>
    <row r="414">
      <c r="A414" s="678"/>
      <c r="G414" s="288"/>
      <c r="L414" s="174"/>
    </row>
    <row r="415">
      <c r="A415" s="678"/>
      <c r="G415" s="288"/>
      <c r="L415" s="174"/>
    </row>
    <row r="416">
      <c r="A416" s="678"/>
      <c r="G416" s="288"/>
      <c r="L416" s="174"/>
    </row>
    <row r="417">
      <c r="A417" s="678"/>
      <c r="G417" s="288"/>
      <c r="L417" s="174"/>
    </row>
    <row r="418">
      <c r="A418" s="678"/>
      <c r="G418" s="288"/>
      <c r="L418" s="174"/>
    </row>
    <row r="419">
      <c r="A419" s="678"/>
      <c r="G419" s="288"/>
      <c r="L419" s="174"/>
    </row>
    <row r="420">
      <c r="A420" s="678"/>
      <c r="G420" s="288"/>
      <c r="L420" s="174"/>
    </row>
    <row r="421">
      <c r="A421" s="678"/>
      <c r="G421" s="288"/>
      <c r="L421" s="174"/>
    </row>
    <row r="422">
      <c r="A422" s="678"/>
      <c r="G422" s="288"/>
      <c r="L422" s="174"/>
    </row>
    <row r="423">
      <c r="A423" s="678"/>
      <c r="G423" s="288"/>
      <c r="L423" s="174"/>
    </row>
    <row r="424">
      <c r="A424" s="678"/>
      <c r="G424" s="288"/>
      <c r="L424" s="174"/>
    </row>
    <row r="425">
      <c r="A425" s="678"/>
      <c r="G425" s="288"/>
      <c r="L425" s="174"/>
    </row>
    <row r="426">
      <c r="A426" s="678"/>
      <c r="G426" s="288"/>
      <c r="L426" s="174"/>
    </row>
    <row r="427">
      <c r="A427" s="678"/>
      <c r="G427" s="288"/>
      <c r="L427" s="174"/>
    </row>
    <row r="428">
      <c r="A428" s="678"/>
      <c r="G428" s="288"/>
      <c r="L428" s="174"/>
    </row>
    <row r="429">
      <c r="A429" s="678"/>
      <c r="G429" s="288"/>
      <c r="L429" s="174"/>
    </row>
    <row r="430">
      <c r="A430" s="678"/>
      <c r="G430" s="288"/>
      <c r="L430" s="174"/>
    </row>
    <row r="431">
      <c r="A431" s="678"/>
      <c r="G431" s="288"/>
      <c r="L431" s="174"/>
    </row>
    <row r="432">
      <c r="A432" s="678"/>
      <c r="G432" s="288"/>
      <c r="L432" s="174"/>
    </row>
    <row r="433">
      <c r="A433" s="678"/>
      <c r="G433" s="288"/>
      <c r="L433" s="174"/>
    </row>
    <row r="434">
      <c r="A434" s="678"/>
      <c r="G434" s="288"/>
      <c r="L434" s="174"/>
    </row>
    <row r="435">
      <c r="A435" s="678"/>
      <c r="G435" s="288"/>
      <c r="L435" s="174"/>
    </row>
    <row r="436">
      <c r="A436" s="678"/>
      <c r="G436" s="288"/>
      <c r="L436" s="174"/>
    </row>
    <row r="437">
      <c r="A437" s="678"/>
      <c r="G437" s="288"/>
      <c r="L437" s="174"/>
    </row>
    <row r="438">
      <c r="A438" s="678"/>
      <c r="G438" s="288"/>
      <c r="L438" s="174"/>
    </row>
    <row r="439">
      <c r="A439" s="678"/>
      <c r="G439" s="288"/>
      <c r="L439" s="174"/>
    </row>
    <row r="440">
      <c r="A440" s="678"/>
      <c r="G440" s="288"/>
      <c r="L440" s="174"/>
    </row>
    <row r="441">
      <c r="A441" s="678"/>
      <c r="G441" s="288"/>
      <c r="L441" s="174"/>
    </row>
    <row r="442">
      <c r="A442" s="678"/>
      <c r="G442" s="288"/>
      <c r="L442" s="174"/>
    </row>
    <row r="443">
      <c r="A443" s="678"/>
      <c r="G443" s="288"/>
      <c r="L443" s="174"/>
    </row>
    <row r="444">
      <c r="A444" s="678"/>
      <c r="G444" s="288"/>
      <c r="L444" s="174"/>
    </row>
    <row r="445">
      <c r="A445" s="678"/>
      <c r="G445" s="288"/>
      <c r="L445" s="174"/>
    </row>
    <row r="446">
      <c r="A446" s="678"/>
      <c r="G446" s="288"/>
      <c r="L446" s="174"/>
    </row>
    <row r="447">
      <c r="A447" s="678"/>
      <c r="G447" s="288"/>
      <c r="L447" s="174"/>
    </row>
    <row r="448">
      <c r="A448" s="678"/>
      <c r="G448" s="288"/>
      <c r="L448" s="174"/>
    </row>
    <row r="449">
      <c r="A449" s="678"/>
      <c r="G449" s="288"/>
      <c r="L449" s="174"/>
    </row>
    <row r="450">
      <c r="A450" s="678"/>
      <c r="G450" s="288"/>
      <c r="L450" s="174"/>
    </row>
    <row r="451">
      <c r="A451" s="678"/>
      <c r="G451" s="288"/>
      <c r="L451" s="174"/>
    </row>
    <row r="452">
      <c r="A452" s="678"/>
      <c r="G452" s="288"/>
      <c r="L452" s="174"/>
    </row>
    <row r="453">
      <c r="A453" s="678"/>
      <c r="G453" s="288"/>
      <c r="L453" s="174"/>
    </row>
    <row r="454">
      <c r="A454" s="678"/>
      <c r="G454" s="288"/>
      <c r="L454" s="174"/>
    </row>
    <row r="455">
      <c r="A455" s="678"/>
      <c r="G455" s="288"/>
      <c r="L455" s="174"/>
    </row>
    <row r="456">
      <c r="A456" s="678"/>
      <c r="G456" s="288"/>
      <c r="L456" s="174"/>
    </row>
    <row r="457">
      <c r="A457" s="678"/>
      <c r="G457" s="288"/>
      <c r="L457" s="174"/>
    </row>
    <row r="458">
      <c r="A458" s="678"/>
      <c r="G458" s="288"/>
      <c r="L458" s="174"/>
    </row>
    <row r="459">
      <c r="A459" s="678"/>
      <c r="G459" s="288"/>
      <c r="L459" s="174"/>
    </row>
    <row r="460">
      <c r="A460" s="678"/>
      <c r="G460" s="288"/>
      <c r="L460" s="174"/>
    </row>
    <row r="461">
      <c r="A461" s="678"/>
      <c r="G461" s="288"/>
      <c r="L461" s="174"/>
    </row>
    <row r="462">
      <c r="A462" s="678"/>
      <c r="G462" s="288"/>
      <c r="L462" s="174"/>
    </row>
    <row r="463">
      <c r="A463" s="678"/>
      <c r="G463" s="288"/>
      <c r="L463" s="174"/>
    </row>
    <row r="464">
      <c r="A464" s="678"/>
      <c r="G464" s="288"/>
      <c r="L464" s="174"/>
    </row>
    <row r="465">
      <c r="A465" s="678"/>
      <c r="G465" s="288"/>
      <c r="L465" s="174"/>
    </row>
    <row r="466">
      <c r="A466" s="678"/>
      <c r="G466" s="288"/>
      <c r="L466" s="174"/>
    </row>
    <row r="467">
      <c r="A467" s="678"/>
      <c r="G467" s="288"/>
      <c r="L467" s="174"/>
    </row>
    <row r="468">
      <c r="A468" s="678"/>
      <c r="G468" s="288"/>
      <c r="L468" s="174"/>
    </row>
    <row r="469">
      <c r="A469" s="678"/>
      <c r="G469" s="288"/>
      <c r="L469" s="174"/>
    </row>
    <row r="470">
      <c r="A470" s="678"/>
      <c r="G470" s="288"/>
      <c r="L470" s="174"/>
    </row>
    <row r="471">
      <c r="A471" s="678"/>
      <c r="G471" s="288"/>
      <c r="L471" s="174"/>
    </row>
    <row r="472">
      <c r="A472" s="678"/>
      <c r="G472" s="288"/>
      <c r="L472" s="174"/>
    </row>
    <row r="473">
      <c r="A473" s="678"/>
      <c r="G473" s="288"/>
      <c r="L473" s="174"/>
    </row>
    <row r="474">
      <c r="A474" s="678"/>
      <c r="G474" s="288"/>
      <c r="L474" s="174"/>
    </row>
    <row r="475">
      <c r="A475" s="678"/>
      <c r="G475" s="288"/>
      <c r="L475" s="174"/>
    </row>
    <row r="476">
      <c r="A476" s="678"/>
      <c r="G476" s="288"/>
      <c r="L476" s="174"/>
    </row>
    <row r="477">
      <c r="A477" s="678"/>
      <c r="G477" s="288"/>
      <c r="L477" s="174"/>
    </row>
    <row r="478">
      <c r="A478" s="678"/>
      <c r="G478" s="288"/>
      <c r="L478" s="174"/>
    </row>
    <row r="479">
      <c r="A479" s="678"/>
      <c r="G479" s="288"/>
      <c r="L479" s="174"/>
    </row>
    <row r="480">
      <c r="A480" s="678"/>
      <c r="G480" s="288"/>
      <c r="L480" s="174"/>
    </row>
    <row r="481">
      <c r="A481" s="678"/>
      <c r="G481" s="288"/>
      <c r="L481" s="174"/>
    </row>
    <row r="482">
      <c r="A482" s="678"/>
      <c r="G482" s="288"/>
      <c r="L482" s="174"/>
    </row>
    <row r="483">
      <c r="A483" s="678"/>
      <c r="G483" s="288"/>
      <c r="L483" s="174"/>
    </row>
    <row r="484">
      <c r="A484" s="678"/>
      <c r="G484" s="288"/>
      <c r="L484" s="174"/>
    </row>
    <row r="485">
      <c r="A485" s="678"/>
      <c r="G485" s="288"/>
      <c r="L485" s="174"/>
    </row>
    <row r="486">
      <c r="A486" s="678"/>
      <c r="G486" s="288"/>
      <c r="L486" s="174"/>
    </row>
    <row r="487">
      <c r="A487" s="678"/>
      <c r="G487" s="288"/>
      <c r="L487" s="174"/>
    </row>
    <row r="488">
      <c r="A488" s="678"/>
      <c r="G488" s="288"/>
      <c r="L488" s="174"/>
    </row>
    <row r="489">
      <c r="A489" s="678"/>
      <c r="G489" s="288"/>
      <c r="L489" s="174"/>
    </row>
    <row r="490">
      <c r="A490" s="678"/>
      <c r="G490" s="288"/>
      <c r="L490" s="174"/>
    </row>
    <row r="491">
      <c r="A491" s="678"/>
      <c r="G491" s="288"/>
      <c r="L491" s="174"/>
    </row>
    <row r="492">
      <c r="A492" s="678"/>
      <c r="G492" s="288"/>
      <c r="L492" s="174"/>
    </row>
    <row r="493">
      <c r="A493" s="678"/>
      <c r="G493" s="288"/>
      <c r="L493" s="174"/>
    </row>
    <row r="494">
      <c r="A494" s="678"/>
      <c r="G494" s="288"/>
      <c r="L494" s="174"/>
    </row>
    <row r="495">
      <c r="A495" s="678"/>
      <c r="G495" s="288"/>
      <c r="L495" s="174"/>
    </row>
    <row r="496">
      <c r="A496" s="678"/>
      <c r="G496" s="288"/>
      <c r="L496" s="174"/>
    </row>
    <row r="497">
      <c r="A497" s="678"/>
      <c r="G497" s="288"/>
      <c r="L497" s="174"/>
    </row>
    <row r="498">
      <c r="A498" s="678"/>
      <c r="G498" s="288"/>
      <c r="L498" s="174"/>
    </row>
    <row r="499">
      <c r="A499" s="678"/>
      <c r="G499" s="288"/>
      <c r="L499" s="174"/>
    </row>
    <row r="500">
      <c r="A500" s="678"/>
      <c r="G500" s="288"/>
      <c r="L500" s="174"/>
    </row>
    <row r="501">
      <c r="A501" s="678"/>
      <c r="G501" s="288"/>
      <c r="L501" s="174"/>
    </row>
    <row r="502">
      <c r="A502" s="678"/>
      <c r="G502" s="288"/>
      <c r="L502" s="174"/>
    </row>
    <row r="503">
      <c r="A503" s="678"/>
      <c r="G503" s="288"/>
      <c r="L503" s="174"/>
    </row>
    <row r="504">
      <c r="A504" s="678"/>
      <c r="G504" s="288"/>
      <c r="L504" s="174"/>
    </row>
    <row r="505">
      <c r="A505" s="678"/>
      <c r="G505" s="288"/>
      <c r="L505" s="174"/>
    </row>
    <row r="506">
      <c r="A506" s="678"/>
      <c r="G506" s="288"/>
      <c r="L506" s="174"/>
    </row>
    <row r="507">
      <c r="A507" s="678"/>
      <c r="G507" s="288"/>
      <c r="L507" s="174"/>
    </row>
    <row r="508">
      <c r="A508" s="678"/>
      <c r="G508" s="288"/>
      <c r="L508" s="174"/>
    </row>
    <row r="509">
      <c r="A509" s="678"/>
      <c r="G509" s="288"/>
      <c r="L509" s="174"/>
    </row>
    <row r="510">
      <c r="A510" s="678"/>
      <c r="G510" s="288"/>
      <c r="L510" s="174"/>
    </row>
    <row r="511">
      <c r="A511" s="678"/>
      <c r="G511" s="288"/>
      <c r="L511" s="174"/>
    </row>
    <row r="512">
      <c r="A512" s="678"/>
      <c r="G512" s="288"/>
      <c r="L512" s="174"/>
    </row>
    <row r="513">
      <c r="A513" s="678"/>
      <c r="G513" s="288"/>
      <c r="L513" s="174"/>
    </row>
    <row r="514">
      <c r="A514" s="678"/>
      <c r="G514" s="288"/>
      <c r="L514" s="174"/>
    </row>
    <row r="515">
      <c r="A515" s="678"/>
      <c r="G515" s="288"/>
      <c r="L515" s="174"/>
    </row>
    <row r="516">
      <c r="A516" s="678"/>
      <c r="G516" s="288"/>
      <c r="L516" s="174"/>
    </row>
    <row r="517">
      <c r="A517" s="678"/>
      <c r="G517" s="288"/>
      <c r="L517" s="174"/>
    </row>
    <row r="518">
      <c r="A518" s="678"/>
      <c r="G518" s="288"/>
      <c r="L518" s="174"/>
    </row>
    <row r="519">
      <c r="A519" s="678"/>
      <c r="G519" s="288"/>
      <c r="L519" s="174"/>
    </row>
    <row r="520">
      <c r="A520" s="678"/>
      <c r="G520" s="288"/>
      <c r="L520" s="174"/>
    </row>
    <row r="521">
      <c r="A521" s="678"/>
      <c r="G521" s="288"/>
      <c r="L521" s="174"/>
    </row>
    <row r="522">
      <c r="A522" s="678"/>
      <c r="G522" s="288"/>
      <c r="L522" s="174"/>
    </row>
    <row r="523">
      <c r="A523" s="678"/>
      <c r="G523" s="288"/>
      <c r="L523" s="174"/>
    </row>
    <row r="524">
      <c r="A524" s="678"/>
      <c r="G524" s="288"/>
      <c r="L524" s="174"/>
    </row>
    <row r="525">
      <c r="A525" s="678"/>
      <c r="G525" s="288"/>
      <c r="L525" s="174"/>
    </row>
    <row r="526">
      <c r="A526" s="678"/>
      <c r="G526" s="288"/>
      <c r="L526" s="174"/>
    </row>
    <row r="527">
      <c r="A527" s="678"/>
      <c r="G527" s="288"/>
      <c r="L527" s="174"/>
    </row>
    <row r="528">
      <c r="A528" s="678"/>
      <c r="G528" s="288"/>
      <c r="L528" s="174"/>
    </row>
    <row r="529">
      <c r="A529" s="678"/>
      <c r="G529" s="288"/>
      <c r="L529" s="174"/>
    </row>
    <row r="530">
      <c r="A530" s="678"/>
      <c r="G530" s="288"/>
      <c r="L530" s="174"/>
    </row>
    <row r="531">
      <c r="A531" s="678"/>
      <c r="G531" s="288"/>
      <c r="L531" s="174"/>
    </row>
    <row r="532">
      <c r="A532" s="678"/>
      <c r="G532" s="288"/>
      <c r="L532" s="174"/>
    </row>
    <row r="533">
      <c r="A533" s="678"/>
      <c r="G533" s="288"/>
      <c r="L533" s="174"/>
    </row>
    <row r="534">
      <c r="A534" s="678"/>
      <c r="G534" s="288"/>
      <c r="L534" s="174"/>
    </row>
    <row r="535">
      <c r="A535" s="678"/>
      <c r="G535" s="288"/>
      <c r="L535" s="174"/>
    </row>
    <row r="536">
      <c r="A536" s="678"/>
      <c r="G536" s="288"/>
      <c r="L536" s="174"/>
    </row>
    <row r="537">
      <c r="A537" s="678"/>
      <c r="G537" s="288"/>
      <c r="L537" s="174"/>
    </row>
    <row r="538">
      <c r="A538" s="678"/>
      <c r="G538" s="288"/>
      <c r="L538" s="174"/>
    </row>
    <row r="539">
      <c r="A539" s="678"/>
      <c r="G539" s="288"/>
      <c r="L539" s="174"/>
    </row>
    <row r="540">
      <c r="A540" s="678"/>
      <c r="G540" s="288"/>
      <c r="L540" s="174"/>
    </row>
    <row r="541">
      <c r="A541" s="678"/>
      <c r="G541" s="288"/>
      <c r="L541" s="174"/>
    </row>
    <row r="542">
      <c r="A542" s="678"/>
      <c r="G542" s="288"/>
      <c r="L542" s="174"/>
    </row>
    <row r="543">
      <c r="A543" s="678"/>
      <c r="G543" s="288"/>
      <c r="L543" s="174"/>
    </row>
    <row r="544">
      <c r="A544" s="678"/>
      <c r="G544" s="288"/>
      <c r="L544" s="174"/>
    </row>
    <row r="545">
      <c r="A545" s="678"/>
      <c r="G545" s="288"/>
      <c r="L545" s="174"/>
    </row>
    <row r="546">
      <c r="A546" s="678"/>
      <c r="G546" s="288"/>
      <c r="L546" s="174"/>
    </row>
    <row r="547">
      <c r="A547" s="678"/>
      <c r="G547" s="288"/>
      <c r="L547" s="174"/>
    </row>
    <row r="548">
      <c r="A548" s="678"/>
      <c r="G548" s="288"/>
      <c r="L548" s="174"/>
    </row>
    <row r="549">
      <c r="A549" s="678"/>
      <c r="G549" s="288"/>
      <c r="L549" s="174"/>
    </row>
    <row r="550">
      <c r="A550" s="678"/>
      <c r="G550" s="288"/>
      <c r="L550" s="174"/>
    </row>
    <row r="551">
      <c r="A551" s="678"/>
      <c r="G551" s="288"/>
      <c r="L551" s="174"/>
    </row>
    <row r="552">
      <c r="A552" s="678"/>
      <c r="G552" s="288"/>
      <c r="L552" s="174"/>
    </row>
    <row r="553">
      <c r="A553" s="678"/>
      <c r="G553" s="288"/>
      <c r="L553" s="174"/>
    </row>
    <row r="554">
      <c r="A554" s="678"/>
      <c r="G554" s="288"/>
      <c r="L554" s="174"/>
    </row>
    <row r="555">
      <c r="A555" s="678"/>
      <c r="G555" s="288"/>
      <c r="L555" s="174"/>
    </row>
    <row r="556">
      <c r="A556" s="678"/>
      <c r="G556" s="288"/>
      <c r="L556" s="174"/>
    </row>
    <row r="557">
      <c r="A557" s="678"/>
      <c r="G557" s="288"/>
      <c r="L557" s="174"/>
    </row>
    <row r="558">
      <c r="A558" s="678"/>
      <c r="G558" s="288"/>
      <c r="L558" s="174"/>
    </row>
    <row r="559">
      <c r="A559" s="678"/>
      <c r="G559" s="288"/>
      <c r="L559" s="174"/>
    </row>
    <row r="560">
      <c r="A560" s="678"/>
      <c r="G560" s="288"/>
      <c r="L560" s="174"/>
    </row>
    <row r="561">
      <c r="A561" s="678"/>
      <c r="G561" s="288"/>
      <c r="L561" s="174"/>
    </row>
    <row r="562">
      <c r="A562" s="678"/>
      <c r="G562" s="288"/>
      <c r="L562" s="174"/>
    </row>
    <row r="563">
      <c r="A563" s="678"/>
      <c r="G563" s="288"/>
      <c r="L563" s="174"/>
    </row>
    <row r="564">
      <c r="A564" s="678"/>
      <c r="G564" s="288"/>
      <c r="L564" s="174"/>
    </row>
    <row r="565">
      <c r="A565" s="678"/>
      <c r="G565" s="288"/>
      <c r="L565" s="174"/>
    </row>
    <row r="566">
      <c r="A566" s="678"/>
      <c r="G566" s="288"/>
      <c r="L566" s="174"/>
    </row>
    <row r="567">
      <c r="A567" s="678"/>
      <c r="G567" s="288"/>
      <c r="L567" s="174"/>
    </row>
    <row r="568">
      <c r="A568" s="678"/>
      <c r="G568" s="288"/>
      <c r="L568" s="174"/>
    </row>
    <row r="569">
      <c r="A569" s="678"/>
      <c r="G569" s="288"/>
      <c r="L569" s="174"/>
    </row>
    <row r="570">
      <c r="A570" s="678"/>
      <c r="G570" s="288"/>
      <c r="L570" s="174"/>
    </row>
    <row r="571">
      <c r="A571" s="678"/>
      <c r="G571" s="288"/>
      <c r="L571" s="174"/>
    </row>
    <row r="572">
      <c r="A572" s="678"/>
      <c r="G572" s="288"/>
      <c r="L572" s="174"/>
    </row>
    <row r="573">
      <c r="A573" s="678"/>
      <c r="G573" s="288"/>
      <c r="L573" s="174"/>
    </row>
    <row r="574">
      <c r="A574" s="678"/>
      <c r="G574" s="288"/>
      <c r="L574" s="174"/>
    </row>
    <row r="575">
      <c r="A575" s="678"/>
      <c r="G575" s="288"/>
      <c r="L575" s="174"/>
    </row>
    <row r="576">
      <c r="A576" s="678"/>
      <c r="G576" s="288"/>
      <c r="L576" s="174"/>
    </row>
    <row r="577">
      <c r="A577" s="678"/>
      <c r="G577" s="288"/>
      <c r="L577" s="174"/>
    </row>
    <row r="578">
      <c r="A578" s="678"/>
      <c r="G578" s="288"/>
      <c r="L578" s="174"/>
    </row>
    <row r="579">
      <c r="A579" s="678"/>
      <c r="G579" s="288"/>
      <c r="L579" s="174"/>
    </row>
    <row r="580">
      <c r="A580" s="678"/>
      <c r="G580" s="288"/>
      <c r="L580" s="174"/>
    </row>
    <row r="581">
      <c r="A581" s="678"/>
      <c r="G581" s="288"/>
      <c r="L581" s="174"/>
    </row>
    <row r="582">
      <c r="A582" s="678"/>
      <c r="G582" s="288"/>
      <c r="L582" s="174"/>
    </row>
    <row r="583">
      <c r="A583" s="678"/>
      <c r="G583" s="288"/>
      <c r="L583" s="174"/>
    </row>
    <row r="584">
      <c r="A584" s="678"/>
      <c r="G584" s="288"/>
      <c r="L584" s="174"/>
    </row>
    <row r="585">
      <c r="A585" s="678"/>
      <c r="G585" s="288"/>
      <c r="L585" s="174"/>
    </row>
    <row r="586">
      <c r="A586" s="678"/>
      <c r="G586" s="288"/>
      <c r="L586" s="174"/>
    </row>
    <row r="587">
      <c r="A587" s="678"/>
      <c r="G587" s="288"/>
      <c r="L587" s="174"/>
    </row>
    <row r="588">
      <c r="A588" s="678"/>
      <c r="G588" s="288"/>
      <c r="L588" s="174"/>
    </row>
    <row r="589">
      <c r="A589" s="678"/>
      <c r="G589" s="288"/>
      <c r="L589" s="174"/>
    </row>
    <row r="590">
      <c r="A590" s="678"/>
      <c r="G590" s="288"/>
      <c r="L590" s="174"/>
    </row>
    <row r="591">
      <c r="A591" s="678"/>
      <c r="G591" s="288"/>
      <c r="L591" s="174"/>
    </row>
    <row r="592">
      <c r="A592" s="678"/>
      <c r="G592" s="288"/>
      <c r="L592" s="174"/>
    </row>
    <row r="593">
      <c r="A593" s="678"/>
      <c r="G593" s="288"/>
      <c r="L593" s="174"/>
    </row>
    <row r="594">
      <c r="A594" s="678"/>
      <c r="G594" s="288"/>
      <c r="L594" s="174"/>
    </row>
    <row r="595">
      <c r="A595" s="678"/>
      <c r="G595" s="288"/>
      <c r="L595" s="174"/>
    </row>
    <row r="596">
      <c r="A596" s="678"/>
      <c r="G596" s="288"/>
      <c r="L596" s="174"/>
    </row>
    <row r="597">
      <c r="A597" s="678"/>
      <c r="G597" s="288"/>
      <c r="L597" s="174"/>
    </row>
    <row r="598">
      <c r="A598" s="678"/>
      <c r="G598" s="288"/>
      <c r="L598" s="174"/>
    </row>
    <row r="599">
      <c r="A599" s="678"/>
      <c r="G599" s="288"/>
      <c r="L599" s="174"/>
    </row>
    <row r="600">
      <c r="A600" s="678"/>
      <c r="G600" s="288"/>
      <c r="L600" s="174"/>
    </row>
    <row r="601">
      <c r="A601" s="678"/>
      <c r="G601" s="288"/>
      <c r="L601" s="174"/>
    </row>
    <row r="602">
      <c r="A602" s="678"/>
      <c r="G602" s="288"/>
      <c r="L602" s="174"/>
    </row>
    <row r="603">
      <c r="A603" s="678"/>
      <c r="G603" s="288"/>
      <c r="L603" s="174"/>
    </row>
    <row r="604">
      <c r="A604" s="678"/>
      <c r="G604" s="288"/>
      <c r="L604" s="174"/>
    </row>
    <row r="605">
      <c r="A605" s="678"/>
      <c r="G605" s="288"/>
      <c r="L605" s="174"/>
    </row>
    <row r="606">
      <c r="A606" s="678"/>
      <c r="G606" s="288"/>
      <c r="L606" s="174"/>
    </row>
    <row r="607">
      <c r="A607" s="678"/>
      <c r="G607" s="288"/>
      <c r="L607" s="174"/>
    </row>
    <row r="608">
      <c r="A608" s="678"/>
      <c r="G608" s="288"/>
      <c r="L608" s="174"/>
    </row>
    <row r="609">
      <c r="A609" s="678"/>
      <c r="G609" s="288"/>
      <c r="L609" s="174"/>
    </row>
    <row r="610">
      <c r="A610" s="678"/>
      <c r="G610" s="288"/>
      <c r="L610" s="174"/>
    </row>
    <row r="611">
      <c r="A611" s="678"/>
      <c r="G611" s="288"/>
      <c r="L611" s="174"/>
    </row>
    <row r="612">
      <c r="A612" s="678"/>
      <c r="G612" s="288"/>
      <c r="L612" s="174"/>
    </row>
    <row r="613">
      <c r="A613" s="678"/>
      <c r="G613" s="288"/>
      <c r="L613" s="174"/>
    </row>
    <row r="614">
      <c r="A614" s="678"/>
      <c r="G614" s="288"/>
      <c r="L614" s="174"/>
    </row>
    <row r="615">
      <c r="A615" s="678"/>
      <c r="G615" s="288"/>
      <c r="L615" s="174"/>
    </row>
    <row r="616">
      <c r="A616" s="678"/>
      <c r="G616" s="288"/>
      <c r="L616" s="174"/>
    </row>
    <row r="617">
      <c r="A617" s="678"/>
      <c r="G617" s="288"/>
      <c r="L617" s="174"/>
    </row>
    <row r="618">
      <c r="A618" s="678"/>
      <c r="G618" s="288"/>
      <c r="L618" s="174"/>
    </row>
    <row r="619">
      <c r="A619" s="678"/>
      <c r="G619" s="288"/>
      <c r="L619" s="174"/>
    </row>
    <row r="620">
      <c r="A620" s="678"/>
      <c r="G620" s="288"/>
      <c r="L620" s="174"/>
    </row>
    <row r="621">
      <c r="A621" s="678"/>
      <c r="G621" s="288"/>
      <c r="L621" s="174"/>
    </row>
    <row r="622">
      <c r="A622" s="678"/>
      <c r="G622" s="288"/>
      <c r="L622" s="174"/>
    </row>
    <row r="623">
      <c r="A623" s="678"/>
      <c r="G623" s="288"/>
      <c r="L623" s="174"/>
    </row>
    <row r="624">
      <c r="A624" s="678"/>
      <c r="G624" s="288"/>
      <c r="L624" s="174"/>
    </row>
    <row r="625">
      <c r="A625" s="678"/>
      <c r="G625" s="288"/>
      <c r="L625" s="174"/>
    </row>
    <row r="626">
      <c r="A626" s="678"/>
      <c r="G626" s="288"/>
      <c r="L626" s="174"/>
    </row>
    <row r="627">
      <c r="A627" s="678"/>
      <c r="G627" s="288"/>
      <c r="L627" s="174"/>
    </row>
    <row r="628">
      <c r="A628" s="678"/>
      <c r="G628" s="288"/>
      <c r="L628" s="174"/>
    </row>
    <row r="629">
      <c r="A629" s="678"/>
      <c r="G629" s="288"/>
      <c r="L629" s="174"/>
    </row>
    <row r="630">
      <c r="A630" s="678"/>
      <c r="G630" s="288"/>
      <c r="L630" s="174"/>
    </row>
    <row r="631">
      <c r="A631" s="678"/>
      <c r="G631" s="288"/>
      <c r="L631" s="174"/>
    </row>
    <row r="632">
      <c r="A632" s="678"/>
      <c r="G632" s="288"/>
      <c r="L632" s="174"/>
    </row>
    <row r="633">
      <c r="A633" s="678"/>
      <c r="G633" s="288"/>
      <c r="L633" s="174"/>
    </row>
    <row r="634">
      <c r="A634" s="678"/>
      <c r="G634" s="288"/>
      <c r="L634" s="174"/>
    </row>
    <row r="635">
      <c r="A635" s="678"/>
      <c r="G635" s="288"/>
      <c r="L635" s="174"/>
    </row>
    <row r="636">
      <c r="A636" s="678"/>
      <c r="G636" s="288"/>
      <c r="L636" s="174"/>
    </row>
    <row r="637">
      <c r="A637" s="678"/>
      <c r="G637" s="288"/>
      <c r="L637" s="174"/>
    </row>
    <row r="638">
      <c r="A638" s="678"/>
      <c r="G638" s="288"/>
      <c r="L638" s="174"/>
    </row>
    <row r="639">
      <c r="A639" s="678"/>
      <c r="G639" s="288"/>
      <c r="L639" s="174"/>
    </row>
    <row r="640">
      <c r="A640" s="678"/>
      <c r="G640" s="288"/>
      <c r="L640" s="174"/>
    </row>
    <row r="641">
      <c r="A641" s="678"/>
      <c r="G641" s="288"/>
      <c r="L641" s="174"/>
    </row>
    <row r="642">
      <c r="A642" s="678"/>
      <c r="G642" s="288"/>
      <c r="L642" s="174"/>
    </row>
    <row r="643">
      <c r="A643" s="678"/>
      <c r="G643" s="288"/>
      <c r="L643" s="174"/>
    </row>
    <row r="644">
      <c r="A644" s="678"/>
      <c r="G644" s="288"/>
      <c r="L644" s="174"/>
    </row>
    <row r="645">
      <c r="A645" s="678"/>
      <c r="G645" s="288"/>
      <c r="L645" s="174"/>
    </row>
    <row r="646">
      <c r="A646" s="678"/>
      <c r="G646" s="288"/>
      <c r="L646" s="174"/>
    </row>
    <row r="647">
      <c r="A647" s="678"/>
      <c r="G647" s="288"/>
      <c r="L647" s="174"/>
    </row>
    <row r="648">
      <c r="A648" s="678"/>
      <c r="G648" s="288"/>
      <c r="L648" s="174"/>
    </row>
    <row r="649">
      <c r="A649" s="678"/>
      <c r="G649" s="288"/>
      <c r="L649" s="174"/>
    </row>
    <row r="650">
      <c r="A650" s="678"/>
      <c r="G650" s="288"/>
      <c r="L650" s="174"/>
    </row>
    <row r="651">
      <c r="A651" s="678"/>
      <c r="G651" s="288"/>
      <c r="L651" s="174"/>
    </row>
    <row r="652">
      <c r="A652" s="678"/>
      <c r="G652" s="288"/>
      <c r="L652" s="174"/>
    </row>
    <row r="653">
      <c r="A653" s="678"/>
      <c r="G653" s="288"/>
      <c r="L653" s="174"/>
    </row>
    <row r="654">
      <c r="A654" s="678"/>
      <c r="G654" s="288"/>
      <c r="L654" s="174"/>
    </row>
    <row r="655">
      <c r="A655" s="678"/>
      <c r="G655" s="288"/>
      <c r="L655" s="174"/>
    </row>
    <row r="656">
      <c r="A656" s="678"/>
      <c r="G656" s="288"/>
      <c r="L656" s="174"/>
    </row>
    <row r="657">
      <c r="A657" s="678"/>
      <c r="G657" s="288"/>
      <c r="L657" s="174"/>
    </row>
    <row r="658">
      <c r="A658" s="678"/>
      <c r="G658" s="288"/>
      <c r="L658" s="174"/>
    </row>
    <row r="659">
      <c r="A659" s="678"/>
      <c r="G659" s="288"/>
      <c r="L659" s="174"/>
    </row>
    <row r="660">
      <c r="A660" s="678"/>
      <c r="G660" s="288"/>
      <c r="L660" s="174"/>
    </row>
    <row r="661">
      <c r="A661" s="678"/>
      <c r="G661" s="288"/>
      <c r="L661" s="174"/>
    </row>
    <row r="662">
      <c r="A662" s="678"/>
      <c r="G662" s="288"/>
      <c r="L662" s="174"/>
    </row>
    <row r="663">
      <c r="A663" s="678"/>
      <c r="G663" s="288"/>
      <c r="L663" s="174"/>
    </row>
    <row r="664">
      <c r="A664" s="678"/>
      <c r="G664" s="288"/>
      <c r="L664" s="174"/>
    </row>
    <row r="665">
      <c r="A665" s="678"/>
      <c r="G665" s="288"/>
      <c r="L665" s="174"/>
    </row>
    <row r="666">
      <c r="A666" s="678"/>
      <c r="G666" s="288"/>
      <c r="L666" s="174"/>
    </row>
    <row r="667">
      <c r="A667" s="678"/>
      <c r="G667" s="288"/>
      <c r="L667" s="174"/>
    </row>
    <row r="668">
      <c r="A668" s="678"/>
      <c r="G668" s="288"/>
      <c r="L668" s="174"/>
    </row>
    <row r="669">
      <c r="A669" s="678"/>
      <c r="G669" s="288"/>
      <c r="L669" s="174"/>
    </row>
    <row r="670">
      <c r="A670" s="678"/>
      <c r="G670" s="288"/>
      <c r="L670" s="174"/>
    </row>
    <row r="671">
      <c r="A671" s="678"/>
      <c r="G671" s="288"/>
      <c r="L671" s="174"/>
    </row>
    <row r="672">
      <c r="A672" s="678"/>
      <c r="G672" s="288"/>
      <c r="L672" s="174"/>
    </row>
    <row r="673">
      <c r="A673" s="678"/>
      <c r="G673" s="288"/>
      <c r="L673" s="174"/>
    </row>
    <row r="674">
      <c r="A674" s="678"/>
      <c r="G674" s="288"/>
      <c r="L674" s="174"/>
    </row>
    <row r="675">
      <c r="A675" s="678"/>
      <c r="G675" s="288"/>
      <c r="L675" s="174"/>
    </row>
    <row r="676">
      <c r="A676" s="678"/>
      <c r="G676" s="288"/>
      <c r="L676" s="174"/>
    </row>
    <row r="677">
      <c r="A677" s="678"/>
      <c r="G677" s="288"/>
      <c r="L677" s="174"/>
    </row>
    <row r="678">
      <c r="A678" s="678"/>
      <c r="G678" s="288"/>
      <c r="L678" s="174"/>
    </row>
    <row r="679">
      <c r="A679" s="678"/>
      <c r="G679" s="288"/>
      <c r="L679" s="174"/>
    </row>
    <row r="680">
      <c r="A680" s="678"/>
      <c r="G680" s="288"/>
      <c r="L680" s="174"/>
    </row>
    <row r="681">
      <c r="A681" s="678"/>
      <c r="G681" s="288"/>
      <c r="L681" s="174"/>
    </row>
    <row r="682">
      <c r="A682" s="678"/>
      <c r="G682" s="288"/>
      <c r="L682" s="174"/>
    </row>
    <row r="683">
      <c r="A683" s="678"/>
      <c r="G683" s="288"/>
      <c r="L683" s="174"/>
    </row>
    <row r="684">
      <c r="A684" s="678"/>
      <c r="G684" s="288"/>
      <c r="L684" s="174"/>
    </row>
    <row r="685">
      <c r="A685" s="678"/>
      <c r="G685" s="288"/>
      <c r="L685" s="174"/>
    </row>
    <row r="686">
      <c r="A686" s="678"/>
      <c r="G686" s="288"/>
      <c r="L686" s="174"/>
    </row>
    <row r="687">
      <c r="A687" s="678"/>
      <c r="G687" s="288"/>
      <c r="L687" s="174"/>
    </row>
    <row r="688">
      <c r="A688" s="678"/>
      <c r="G688" s="288"/>
      <c r="L688" s="174"/>
    </row>
    <row r="689">
      <c r="A689" s="678"/>
      <c r="G689" s="288"/>
      <c r="L689" s="174"/>
    </row>
    <row r="690">
      <c r="A690" s="678"/>
      <c r="G690" s="288"/>
      <c r="L690" s="174"/>
    </row>
    <row r="691">
      <c r="A691" s="678"/>
      <c r="G691" s="288"/>
      <c r="L691" s="174"/>
    </row>
    <row r="692">
      <c r="A692" s="678"/>
      <c r="G692" s="288"/>
      <c r="L692" s="174"/>
    </row>
    <row r="693">
      <c r="A693" s="678"/>
      <c r="G693" s="288"/>
      <c r="L693" s="174"/>
    </row>
    <row r="694">
      <c r="A694" s="678"/>
      <c r="G694" s="288"/>
      <c r="L694" s="174"/>
    </row>
    <row r="695">
      <c r="A695" s="678"/>
      <c r="G695" s="288"/>
      <c r="L695" s="174"/>
    </row>
    <row r="696">
      <c r="A696" s="678"/>
      <c r="G696" s="288"/>
      <c r="L696" s="174"/>
    </row>
    <row r="697">
      <c r="A697" s="678"/>
      <c r="G697" s="288"/>
      <c r="L697" s="174"/>
    </row>
    <row r="698">
      <c r="A698" s="678"/>
      <c r="G698" s="288"/>
      <c r="L698" s="174"/>
    </row>
    <row r="699">
      <c r="A699" s="678"/>
      <c r="G699" s="288"/>
      <c r="L699" s="174"/>
    </row>
    <row r="700">
      <c r="A700" s="678"/>
      <c r="G700" s="288"/>
      <c r="L700" s="174"/>
    </row>
    <row r="701">
      <c r="A701" s="678"/>
      <c r="G701" s="288"/>
      <c r="L701" s="174"/>
    </row>
    <row r="702">
      <c r="A702" s="678"/>
      <c r="G702" s="288"/>
      <c r="L702" s="174"/>
    </row>
    <row r="703">
      <c r="A703" s="678"/>
      <c r="G703" s="288"/>
      <c r="L703" s="174"/>
    </row>
    <row r="704">
      <c r="A704" s="678"/>
      <c r="G704" s="288"/>
      <c r="L704" s="174"/>
    </row>
    <row r="705">
      <c r="A705" s="678"/>
      <c r="G705" s="288"/>
      <c r="L705" s="174"/>
    </row>
    <row r="706">
      <c r="A706" s="678"/>
      <c r="G706" s="288"/>
      <c r="L706" s="174"/>
    </row>
    <row r="707">
      <c r="A707" s="678"/>
      <c r="G707" s="288"/>
      <c r="L707" s="174"/>
    </row>
    <row r="708">
      <c r="A708" s="678"/>
      <c r="G708" s="288"/>
      <c r="L708" s="174"/>
    </row>
    <row r="709">
      <c r="A709" s="678"/>
      <c r="G709" s="288"/>
      <c r="L709" s="174"/>
    </row>
    <row r="710">
      <c r="A710" s="678"/>
      <c r="G710" s="288"/>
      <c r="L710" s="174"/>
    </row>
    <row r="711">
      <c r="A711" s="678"/>
      <c r="G711" s="288"/>
      <c r="L711" s="174"/>
    </row>
    <row r="712">
      <c r="A712" s="678"/>
      <c r="G712" s="288"/>
      <c r="L712" s="174"/>
    </row>
    <row r="713">
      <c r="A713" s="678"/>
      <c r="G713" s="288"/>
      <c r="L713" s="174"/>
    </row>
    <row r="714">
      <c r="A714" s="678"/>
      <c r="G714" s="288"/>
      <c r="L714" s="174"/>
    </row>
    <row r="715">
      <c r="A715" s="678"/>
      <c r="G715" s="288"/>
      <c r="L715" s="174"/>
    </row>
    <row r="716">
      <c r="A716" s="678"/>
      <c r="G716" s="288"/>
      <c r="L716" s="174"/>
    </row>
    <row r="717">
      <c r="A717" s="678"/>
      <c r="G717" s="288"/>
      <c r="L717" s="174"/>
    </row>
    <row r="718">
      <c r="A718" s="678"/>
      <c r="G718" s="288"/>
      <c r="L718" s="174"/>
    </row>
    <row r="719">
      <c r="A719" s="678"/>
      <c r="G719" s="288"/>
      <c r="L719" s="174"/>
    </row>
    <row r="720">
      <c r="A720" s="678"/>
      <c r="G720" s="288"/>
      <c r="L720" s="174"/>
    </row>
    <row r="721">
      <c r="A721" s="678"/>
      <c r="G721" s="288"/>
      <c r="L721" s="174"/>
    </row>
    <row r="722">
      <c r="A722" s="678"/>
      <c r="G722" s="288"/>
      <c r="L722" s="174"/>
    </row>
    <row r="723">
      <c r="A723" s="678"/>
      <c r="G723" s="288"/>
      <c r="L723" s="174"/>
    </row>
    <row r="724">
      <c r="A724" s="678"/>
      <c r="G724" s="288"/>
      <c r="L724" s="174"/>
    </row>
    <row r="725">
      <c r="A725" s="678"/>
      <c r="G725" s="288"/>
      <c r="L725" s="174"/>
    </row>
    <row r="726">
      <c r="A726" s="678"/>
      <c r="G726" s="288"/>
      <c r="L726" s="174"/>
    </row>
    <row r="727">
      <c r="A727" s="678"/>
      <c r="G727" s="288"/>
      <c r="L727" s="174"/>
    </row>
    <row r="728">
      <c r="A728" s="678"/>
      <c r="G728" s="288"/>
      <c r="L728" s="174"/>
    </row>
    <row r="729">
      <c r="A729" s="678"/>
      <c r="G729" s="288"/>
      <c r="L729" s="174"/>
    </row>
    <row r="730">
      <c r="A730" s="678"/>
      <c r="G730" s="288"/>
      <c r="L730" s="174"/>
    </row>
    <row r="731">
      <c r="A731" s="678"/>
      <c r="G731" s="288"/>
      <c r="L731" s="174"/>
    </row>
    <row r="732">
      <c r="A732" s="678"/>
      <c r="G732" s="288"/>
      <c r="L732" s="174"/>
    </row>
    <row r="733">
      <c r="A733" s="678"/>
      <c r="G733" s="288"/>
      <c r="L733" s="174"/>
    </row>
    <row r="734">
      <c r="A734" s="678"/>
      <c r="G734" s="288"/>
      <c r="L734" s="174"/>
    </row>
    <row r="735">
      <c r="A735" s="678"/>
      <c r="G735" s="288"/>
      <c r="L735" s="174"/>
    </row>
    <row r="736">
      <c r="A736" s="678"/>
      <c r="G736" s="288"/>
      <c r="L736" s="174"/>
    </row>
    <row r="737">
      <c r="A737" s="678"/>
      <c r="G737" s="288"/>
      <c r="L737" s="174"/>
    </row>
    <row r="738">
      <c r="A738" s="678"/>
      <c r="G738" s="288"/>
      <c r="L738" s="174"/>
    </row>
    <row r="739">
      <c r="A739" s="678"/>
      <c r="G739" s="288"/>
      <c r="L739" s="174"/>
    </row>
    <row r="740">
      <c r="A740" s="678"/>
      <c r="G740" s="288"/>
      <c r="L740" s="174"/>
    </row>
    <row r="741">
      <c r="A741" s="678"/>
      <c r="G741" s="288"/>
      <c r="L741" s="174"/>
    </row>
    <row r="742">
      <c r="A742" s="678"/>
      <c r="G742" s="288"/>
      <c r="L742" s="174"/>
    </row>
    <row r="743">
      <c r="A743" s="678"/>
      <c r="G743" s="288"/>
      <c r="L743" s="174"/>
    </row>
    <row r="744">
      <c r="A744" s="678"/>
      <c r="G744" s="288"/>
      <c r="L744" s="174"/>
    </row>
    <row r="745">
      <c r="A745" s="678"/>
      <c r="G745" s="288"/>
      <c r="L745" s="174"/>
    </row>
    <row r="746">
      <c r="A746" s="678"/>
      <c r="G746" s="288"/>
      <c r="L746" s="174"/>
    </row>
    <row r="747">
      <c r="A747" s="678"/>
      <c r="G747" s="288"/>
      <c r="L747" s="174"/>
    </row>
    <row r="748">
      <c r="A748" s="678"/>
      <c r="G748" s="288"/>
      <c r="L748" s="174"/>
    </row>
    <row r="749">
      <c r="A749" s="678"/>
      <c r="G749" s="288"/>
      <c r="L749" s="174"/>
    </row>
    <row r="750">
      <c r="A750" s="678"/>
      <c r="G750" s="288"/>
      <c r="L750" s="174"/>
    </row>
    <row r="751">
      <c r="A751" s="678"/>
      <c r="G751" s="288"/>
      <c r="L751" s="174"/>
    </row>
    <row r="752">
      <c r="A752" s="678"/>
      <c r="G752" s="288"/>
      <c r="L752" s="174"/>
    </row>
    <row r="753">
      <c r="A753" s="678"/>
      <c r="G753" s="288"/>
      <c r="L753" s="174"/>
    </row>
    <row r="754">
      <c r="A754" s="678"/>
      <c r="G754" s="288"/>
      <c r="L754" s="174"/>
    </row>
    <row r="755">
      <c r="A755" s="678"/>
      <c r="G755" s="288"/>
      <c r="L755" s="174"/>
    </row>
    <row r="756">
      <c r="A756" s="678"/>
      <c r="G756" s="288"/>
      <c r="L756" s="174"/>
    </row>
    <row r="757">
      <c r="A757" s="678"/>
      <c r="G757" s="288"/>
      <c r="L757" s="174"/>
    </row>
    <row r="758">
      <c r="A758" s="678"/>
      <c r="G758" s="288"/>
      <c r="L758" s="174"/>
    </row>
    <row r="759">
      <c r="A759" s="678"/>
      <c r="G759" s="288"/>
      <c r="L759" s="174"/>
    </row>
    <row r="760">
      <c r="A760" s="678"/>
      <c r="G760" s="288"/>
      <c r="L760" s="174"/>
    </row>
    <row r="761">
      <c r="A761" s="678"/>
      <c r="G761" s="288"/>
      <c r="L761" s="174"/>
    </row>
    <row r="762">
      <c r="A762" s="678"/>
      <c r="G762" s="288"/>
      <c r="L762" s="174"/>
    </row>
    <row r="763">
      <c r="A763" s="678"/>
      <c r="G763" s="288"/>
      <c r="L763" s="174"/>
    </row>
    <row r="764">
      <c r="A764" s="678"/>
      <c r="G764" s="288"/>
      <c r="L764" s="174"/>
    </row>
    <row r="765">
      <c r="A765" s="678"/>
      <c r="G765" s="288"/>
      <c r="L765" s="174"/>
    </row>
    <row r="766">
      <c r="A766" s="678"/>
      <c r="G766" s="288"/>
      <c r="L766" s="174"/>
    </row>
    <row r="767">
      <c r="A767" s="678"/>
      <c r="G767" s="288"/>
      <c r="L767" s="174"/>
    </row>
    <row r="768">
      <c r="A768" s="678"/>
      <c r="G768" s="288"/>
      <c r="L768" s="174"/>
    </row>
    <row r="769">
      <c r="A769" s="678"/>
      <c r="G769" s="288"/>
      <c r="L769" s="174"/>
    </row>
    <row r="770">
      <c r="A770" s="678"/>
      <c r="G770" s="288"/>
      <c r="L770" s="174"/>
    </row>
    <row r="771">
      <c r="A771" s="678"/>
      <c r="G771" s="288"/>
      <c r="L771" s="174"/>
    </row>
    <row r="772">
      <c r="A772" s="678"/>
      <c r="G772" s="288"/>
      <c r="L772" s="174"/>
    </row>
    <row r="773">
      <c r="A773" s="678"/>
      <c r="G773" s="288"/>
      <c r="L773" s="174"/>
    </row>
    <row r="774">
      <c r="A774" s="678"/>
      <c r="G774" s="288"/>
      <c r="L774" s="174"/>
    </row>
    <row r="775">
      <c r="A775" s="678"/>
      <c r="G775" s="288"/>
      <c r="L775" s="174"/>
    </row>
    <row r="776">
      <c r="A776" s="678"/>
      <c r="G776" s="288"/>
      <c r="L776" s="174"/>
    </row>
    <row r="777">
      <c r="A777" s="678"/>
      <c r="G777" s="288"/>
      <c r="L777" s="174"/>
    </row>
    <row r="778">
      <c r="A778" s="678"/>
      <c r="G778" s="288"/>
      <c r="L778" s="174"/>
    </row>
    <row r="779">
      <c r="A779" s="678"/>
      <c r="G779" s="288"/>
      <c r="L779" s="174"/>
    </row>
    <row r="780">
      <c r="A780" s="678"/>
      <c r="G780" s="288"/>
      <c r="L780" s="174"/>
    </row>
    <row r="781">
      <c r="A781" s="678"/>
      <c r="G781" s="288"/>
      <c r="L781" s="174"/>
    </row>
    <row r="782">
      <c r="A782" s="678"/>
      <c r="G782" s="288"/>
      <c r="L782" s="174"/>
    </row>
    <row r="783">
      <c r="A783" s="678"/>
      <c r="G783" s="288"/>
      <c r="L783" s="174"/>
    </row>
    <row r="784">
      <c r="A784" s="678"/>
      <c r="G784" s="288"/>
      <c r="L784" s="174"/>
    </row>
    <row r="785">
      <c r="A785" s="678"/>
      <c r="G785" s="288"/>
      <c r="L785" s="174"/>
    </row>
    <row r="786">
      <c r="A786" s="678"/>
      <c r="G786" s="288"/>
      <c r="L786" s="174"/>
    </row>
    <row r="787">
      <c r="A787" s="678"/>
      <c r="G787" s="288"/>
      <c r="L787" s="174"/>
    </row>
    <row r="788">
      <c r="A788" s="678"/>
      <c r="G788" s="288"/>
      <c r="L788" s="174"/>
    </row>
    <row r="789">
      <c r="A789" s="678"/>
      <c r="G789" s="288"/>
      <c r="L789" s="174"/>
    </row>
    <row r="790">
      <c r="A790" s="678"/>
      <c r="G790" s="288"/>
      <c r="L790" s="174"/>
    </row>
    <row r="791">
      <c r="A791" s="678"/>
      <c r="G791" s="288"/>
      <c r="L791" s="174"/>
    </row>
    <row r="792">
      <c r="A792" s="678"/>
      <c r="G792" s="288"/>
      <c r="L792" s="174"/>
    </row>
    <row r="793">
      <c r="A793" s="678"/>
      <c r="G793" s="288"/>
      <c r="L793" s="174"/>
    </row>
    <row r="794">
      <c r="A794" s="678"/>
      <c r="G794" s="288"/>
      <c r="L794" s="174"/>
    </row>
    <row r="795">
      <c r="A795" s="678"/>
      <c r="G795" s="288"/>
      <c r="L795" s="174"/>
    </row>
    <row r="796">
      <c r="A796" s="678"/>
      <c r="G796" s="288"/>
      <c r="L796" s="174"/>
    </row>
    <row r="797">
      <c r="A797" s="678"/>
      <c r="G797" s="288"/>
      <c r="L797" s="174"/>
    </row>
    <row r="798">
      <c r="A798" s="678"/>
      <c r="G798" s="288"/>
      <c r="L798" s="174"/>
    </row>
    <row r="799">
      <c r="A799" s="678"/>
      <c r="G799" s="288"/>
      <c r="L799" s="174"/>
    </row>
    <row r="800">
      <c r="A800" s="678"/>
      <c r="G800" s="288"/>
      <c r="L800" s="174"/>
    </row>
    <row r="801">
      <c r="A801" s="678"/>
      <c r="G801" s="288"/>
      <c r="L801" s="174"/>
    </row>
    <row r="802">
      <c r="A802" s="678"/>
      <c r="G802" s="288"/>
      <c r="L802" s="174"/>
    </row>
    <row r="803">
      <c r="A803" s="678"/>
      <c r="G803" s="288"/>
      <c r="L803" s="174"/>
    </row>
    <row r="804">
      <c r="A804" s="678"/>
      <c r="G804" s="288"/>
      <c r="L804" s="174"/>
    </row>
    <row r="805">
      <c r="A805" s="678"/>
      <c r="G805" s="288"/>
      <c r="L805" s="174"/>
    </row>
    <row r="806">
      <c r="A806" s="678"/>
      <c r="G806" s="288"/>
      <c r="L806" s="174"/>
    </row>
    <row r="807">
      <c r="A807" s="678"/>
      <c r="G807" s="288"/>
      <c r="L807" s="174"/>
    </row>
    <row r="808">
      <c r="A808" s="678"/>
      <c r="G808" s="288"/>
      <c r="L808" s="174"/>
    </row>
    <row r="809">
      <c r="A809" s="678"/>
      <c r="G809" s="288"/>
      <c r="L809" s="174"/>
    </row>
    <row r="810">
      <c r="A810" s="678"/>
      <c r="G810" s="288"/>
      <c r="L810" s="174"/>
    </row>
    <row r="811">
      <c r="A811" s="678"/>
      <c r="G811" s="288"/>
      <c r="L811" s="174"/>
    </row>
    <row r="812">
      <c r="A812" s="678"/>
      <c r="G812" s="288"/>
      <c r="L812" s="174"/>
    </row>
    <row r="813">
      <c r="A813" s="678"/>
      <c r="G813" s="288"/>
      <c r="L813" s="174"/>
    </row>
    <row r="814">
      <c r="A814" s="678"/>
      <c r="G814" s="288"/>
      <c r="L814" s="174"/>
    </row>
    <row r="815">
      <c r="A815" s="678"/>
      <c r="G815" s="288"/>
      <c r="L815" s="174"/>
    </row>
    <row r="816">
      <c r="A816" s="678"/>
      <c r="G816" s="288"/>
      <c r="L816" s="174"/>
    </row>
    <row r="817">
      <c r="A817" s="678"/>
      <c r="G817" s="288"/>
      <c r="L817" s="174"/>
    </row>
    <row r="818">
      <c r="A818" s="678"/>
      <c r="G818" s="288"/>
      <c r="L818" s="174"/>
    </row>
    <row r="819">
      <c r="A819" s="678"/>
      <c r="G819" s="288"/>
      <c r="L819" s="174"/>
    </row>
    <row r="820">
      <c r="A820" s="678"/>
      <c r="G820" s="288"/>
      <c r="L820" s="174"/>
    </row>
    <row r="821">
      <c r="A821" s="678"/>
      <c r="G821" s="288"/>
      <c r="L821" s="174"/>
    </row>
    <row r="822">
      <c r="A822" s="678"/>
      <c r="G822" s="288"/>
      <c r="L822" s="174"/>
    </row>
    <row r="823">
      <c r="A823" s="678"/>
      <c r="G823" s="288"/>
      <c r="L823" s="174"/>
    </row>
    <row r="824">
      <c r="A824" s="678"/>
      <c r="G824" s="288"/>
      <c r="L824" s="174"/>
    </row>
    <row r="825">
      <c r="A825" s="678"/>
      <c r="G825" s="288"/>
      <c r="L825" s="174"/>
    </row>
    <row r="826">
      <c r="A826" s="678"/>
      <c r="G826" s="288"/>
      <c r="L826" s="174"/>
    </row>
    <row r="827">
      <c r="A827" s="678"/>
      <c r="G827" s="288"/>
      <c r="L827" s="174"/>
    </row>
    <row r="828">
      <c r="A828" s="678"/>
      <c r="G828" s="288"/>
      <c r="L828" s="174"/>
    </row>
    <row r="829">
      <c r="A829" s="678"/>
      <c r="G829" s="288"/>
      <c r="L829" s="174"/>
    </row>
    <row r="830">
      <c r="A830" s="678"/>
      <c r="G830" s="288"/>
      <c r="L830" s="174"/>
    </row>
    <row r="831">
      <c r="A831" s="678"/>
      <c r="G831" s="288"/>
      <c r="L831" s="174"/>
    </row>
    <row r="832">
      <c r="A832" s="678"/>
      <c r="G832" s="288"/>
      <c r="L832" s="174"/>
    </row>
    <row r="833">
      <c r="A833" s="678"/>
      <c r="G833" s="288"/>
      <c r="L833" s="174"/>
    </row>
    <row r="834">
      <c r="A834" s="678"/>
      <c r="G834" s="288"/>
      <c r="L834" s="174"/>
    </row>
    <row r="835">
      <c r="A835" s="678"/>
      <c r="G835" s="288"/>
      <c r="L835" s="174"/>
    </row>
    <row r="836">
      <c r="A836" s="678"/>
      <c r="G836" s="288"/>
      <c r="L836" s="174"/>
    </row>
    <row r="837">
      <c r="A837" s="678"/>
      <c r="G837" s="288"/>
      <c r="L837" s="174"/>
    </row>
    <row r="838">
      <c r="A838" s="678"/>
      <c r="G838" s="288"/>
      <c r="L838" s="174"/>
    </row>
    <row r="839">
      <c r="A839" s="678"/>
      <c r="G839" s="288"/>
      <c r="L839" s="174"/>
    </row>
    <row r="840">
      <c r="A840" s="678"/>
      <c r="G840" s="288"/>
      <c r="L840" s="174"/>
    </row>
    <row r="841">
      <c r="A841" s="678"/>
      <c r="G841" s="288"/>
      <c r="L841" s="174"/>
    </row>
    <row r="842">
      <c r="A842" s="678"/>
      <c r="G842" s="288"/>
      <c r="L842" s="174"/>
    </row>
    <row r="843">
      <c r="A843" s="678"/>
      <c r="G843" s="288"/>
      <c r="L843" s="174"/>
    </row>
    <row r="844">
      <c r="A844" s="678"/>
      <c r="G844" s="288"/>
      <c r="L844" s="174"/>
    </row>
    <row r="845">
      <c r="A845" s="678"/>
      <c r="G845" s="288"/>
      <c r="L845" s="174"/>
    </row>
    <row r="846">
      <c r="A846" s="678"/>
      <c r="G846" s="288"/>
      <c r="L846" s="174"/>
    </row>
    <row r="847">
      <c r="A847" s="678"/>
      <c r="G847" s="288"/>
      <c r="L847" s="174"/>
    </row>
    <row r="848">
      <c r="A848" s="678"/>
      <c r="G848" s="288"/>
      <c r="L848" s="174"/>
    </row>
    <row r="849">
      <c r="A849" s="678"/>
      <c r="G849" s="288"/>
      <c r="L849" s="174"/>
    </row>
    <row r="850">
      <c r="A850" s="678"/>
      <c r="G850" s="288"/>
      <c r="L850" s="174"/>
    </row>
    <row r="851">
      <c r="A851" s="678"/>
      <c r="G851" s="288"/>
      <c r="L851" s="174"/>
    </row>
    <row r="852">
      <c r="A852" s="678"/>
      <c r="G852" s="288"/>
      <c r="L852" s="174"/>
    </row>
    <row r="853">
      <c r="A853" s="678"/>
      <c r="G853" s="288"/>
      <c r="L853" s="174"/>
    </row>
    <row r="854">
      <c r="A854" s="678"/>
      <c r="G854" s="288"/>
      <c r="L854" s="174"/>
    </row>
    <row r="855">
      <c r="A855" s="678"/>
      <c r="G855" s="288"/>
      <c r="L855" s="174"/>
    </row>
    <row r="856">
      <c r="A856" s="678"/>
      <c r="G856" s="288"/>
      <c r="L856" s="174"/>
    </row>
    <row r="857">
      <c r="A857" s="678"/>
      <c r="G857" s="288"/>
      <c r="L857" s="174"/>
    </row>
    <row r="858">
      <c r="A858" s="678"/>
      <c r="G858" s="288"/>
      <c r="L858" s="174"/>
    </row>
    <row r="859">
      <c r="A859" s="678"/>
      <c r="G859" s="288"/>
      <c r="L859" s="174"/>
    </row>
    <row r="860">
      <c r="A860" s="678"/>
      <c r="G860" s="288"/>
      <c r="L860" s="174"/>
    </row>
    <row r="861">
      <c r="A861" s="678"/>
      <c r="G861" s="288"/>
      <c r="L861" s="174"/>
    </row>
    <row r="862">
      <c r="A862" s="678"/>
      <c r="G862" s="288"/>
      <c r="L862" s="174"/>
    </row>
    <row r="863">
      <c r="A863" s="678"/>
      <c r="G863" s="288"/>
      <c r="L863" s="174"/>
    </row>
    <row r="864">
      <c r="A864" s="678"/>
      <c r="G864" s="288"/>
      <c r="L864" s="174"/>
    </row>
    <row r="865">
      <c r="A865" s="678"/>
      <c r="G865" s="288"/>
      <c r="L865" s="174"/>
    </row>
    <row r="866">
      <c r="A866" s="678"/>
      <c r="G866" s="288"/>
      <c r="L866" s="174"/>
    </row>
    <row r="867">
      <c r="A867" s="678"/>
      <c r="G867" s="288"/>
      <c r="L867" s="174"/>
    </row>
    <row r="868">
      <c r="A868" s="678"/>
      <c r="G868" s="288"/>
      <c r="L868" s="174"/>
    </row>
    <row r="869">
      <c r="A869" s="678"/>
      <c r="G869" s="288"/>
      <c r="L869" s="174"/>
    </row>
    <row r="870">
      <c r="A870" s="678"/>
      <c r="G870" s="288"/>
      <c r="L870" s="174"/>
    </row>
    <row r="871">
      <c r="A871" s="678"/>
      <c r="G871" s="288"/>
      <c r="L871" s="174"/>
    </row>
    <row r="872">
      <c r="A872" s="678"/>
      <c r="G872" s="288"/>
      <c r="L872" s="174"/>
    </row>
    <row r="873">
      <c r="A873" s="678"/>
      <c r="G873" s="288"/>
      <c r="L873" s="174"/>
    </row>
    <row r="874">
      <c r="A874" s="678"/>
      <c r="G874" s="288"/>
      <c r="L874" s="174"/>
    </row>
    <row r="875">
      <c r="A875" s="678"/>
      <c r="G875" s="288"/>
      <c r="L875" s="174"/>
    </row>
    <row r="876">
      <c r="A876" s="678"/>
      <c r="G876" s="288"/>
      <c r="L876" s="174"/>
    </row>
    <row r="877">
      <c r="A877" s="678"/>
      <c r="G877" s="288"/>
      <c r="L877" s="174"/>
    </row>
    <row r="878">
      <c r="A878" s="678"/>
      <c r="G878" s="288"/>
      <c r="L878" s="174"/>
    </row>
    <row r="879">
      <c r="A879" s="678"/>
      <c r="G879" s="288"/>
      <c r="L879" s="174"/>
    </row>
    <row r="880">
      <c r="A880" s="678"/>
      <c r="G880" s="288"/>
      <c r="L880" s="174"/>
    </row>
    <row r="881">
      <c r="A881" s="678"/>
      <c r="G881" s="288"/>
      <c r="L881" s="174"/>
    </row>
    <row r="882">
      <c r="A882" s="678"/>
      <c r="G882" s="288"/>
      <c r="L882" s="174"/>
    </row>
    <row r="883">
      <c r="A883" s="678"/>
      <c r="G883" s="288"/>
      <c r="L883" s="174"/>
    </row>
    <row r="884">
      <c r="A884" s="678"/>
      <c r="G884" s="288"/>
      <c r="L884" s="174"/>
    </row>
    <row r="885">
      <c r="A885" s="678"/>
      <c r="G885" s="288"/>
      <c r="L885" s="174"/>
    </row>
    <row r="886">
      <c r="A886" s="678"/>
      <c r="G886" s="288"/>
      <c r="L886" s="174"/>
    </row>
    <row r="887">
      <c r="A887" s="678"/>
      <c r="G887" s="288"/>
      <c r="L887" s="174"/>
    </row>
    <row r="888">
      <c r="A888" s="678"/>
      <c r="G888" s="288"/>
      <c r="L888" s="174"/>
    </row>
    <row r="889">
      <c r="A889" s="678"/>
      <c r="G889" s="288"/>
      <c r="L889" s="174"/>
    </row>
    <row r="890">
      <c r="A890" s="678"/>
      <c r="G890" s="288"/>
      <c r="L890" s="174"/>
    </row>
    <row r="891">
      <c r="A891" s="678"/>
      <c r="G891" s="288"/>
      <c r="L891" s="174"/>
    </row>
    <row r="892">
      <c r="A892" s="678"/>
      <c r="G892" s="288"/>
      <c r="L892" s="174"/>
    </row>
    <row r="893">
      <c r="A893" s="678"/>
      <c r="G893" s="288"/>
      <c r="L893" s="174"/>
    </row>
    <row r="894">
      <c r="A894" s="678"/>
      <c r="G894" s="288"/>
      <c r="L894" s="174"/>
    </row>
    <row r="895">
      <c r="A895" s="678"/>
      <c r="G895" s="288"/>
      <c r="L895" s="174"/>
    </row>
    <row r="896">
      <c r="A896" s="678"/>
      <c r="G896" s="288"/>
      <c r="L896" s="174"/>
    </row>
    <row r="897">
      <c r="A897" s="678"/>
      <c r="G897" s="288"/>
      <c r="L897" s="174"/>
    </row>
    <row r="898">
      <c r="A898" s="678"/>
      <c r="G898" s="288"/>
      <c r="L898" s="174"/>
    </row>
    <row r="899">
      <c r="A899" s="678"/>
      <c r="G899" s="288"/>
      <c r="L899" s="174"/>
    </row>
    <row r="900">
      <c r="A900" s="678"/>
      <c r="G900" s="288"/>
      <c r="L900" s="174"/>
    </row>
    <row r="901">
      <c r="A901" s="678"/>
      <c r="G901" s="288"/>
      <c r="L901" s="174"/>
    </row>
    <row r="902">
      <c r="A902" s="678"/>
      <c r="G902" s="288"/>
      <c r="L902" s="174"/>
    </row>
    <row r="903">
      <c r="A903" s="678"/>
      <c r="G903" s="288"/>
      <c r="L903" s="174"/>
    </row>
    <row r="904">
      <c r="A904" s="678"/>
      <c r="G904" s="288"/>
      <c r="L904" s="174"/>
    </row>
    <row r="905">
      <c r="A905" s="678"/>
      <c r="G905" s="288"/>
      <c r="L905" s="174"/>
    </row>
    <row r="906">
      <c r="A906" s="678"/>
      <c r="G906" s="288"/>
      <c r="L906" s="174"/>
    </row>
    <row r="907">
      <c r="A907" s="678"/>
      <c r="G907" s="288"/>
      <c r="L907" s="174"/>
    </row>
    <row r="908">
      <c r="A908" s="678"/>
      <c r="G908" s="288"/>
      <c r="L908" s="174"/>
    </row>
    <row r="909">
      <c r="A909" s="678"/>
      <c r="G909" s="288"/>
      <c r="L909" s="174"/>
    </row>
    <row r="910">
      <c r="A910" s="678"/>
      <c r="G910" s="288"/>
      <c r="L910" s="174"/>
    </row>
    <row r="911">
      <c r="A911" s="678"/>
      <c r="G911" s="288"/>
      <c r="L911" s="174"/>
    </row>
    <row r="912">
      <c r="A912" s="678"/>
      <c r="G912" s="288"/>
      <c r="L912" s="174"/>
    </row>
    <row r="913">
      <c r="A913" s="678"/>
      <c r="G913" s="288"/>
      <c r="L913" s="174"/>
    </row>
    <row r="914">
      <c r="A914" s="678"/>
      <c r="G914" s="288"/>
      <c r="L914" s="174"/>
    </row>
    <row r="915">
      <c r="A915" s="678"/>
      <c r="G915" s="288"/>
      <c r="L915" s="174"/>
    </row>
    <row r="916">
      <c r="A916" s="678"/>
      <c r="G916" s="288"/>
      <c r="L916" s="174"/>
    </row>
    <row r="917">
      <c r="A917" s="678"/>
      <c r="G917" s="288"/>
      <c r="L917" s="174"/>
    </row>
    <row r="918">
      <c r="A918" s="678"/>
      <c r="G918" s="288"/>
      <c r="L918" s="174"/>
    </row>
    <row r="919">
      <c r="A919" s="678"/>
      <c r="G919" s="288"/>
      <c r="L919" s="174"/>
    </row>
    <row r="920">
      <c r="A920" s="678"/>
      <c r="G920" s="288"/>
      <c r="L920" s="174"/>
    </row>
    <row r="921">
      <c r="A921" s="678"/>
      <c r="G921" s="288"/>
      <c r="L921" s="174"/>
    </row>
    <row r="922">
      <c r="A922" s="678"/>
      <c r="G922" s="288"/>
      <c r="L922" s="174"/>
    </row>
    <row r="923">
      <c r="A923" s="678"/>
      <c r="G923" s="288"/>
      <c r="L923" s="174"/>
    </row>
    <row r="924">
      <c r="A924" s="678"/>
      <c r="G924" s="288"/>
      <c r="L924" s="174"/>
    </row>
    <row r="925">
      <c r="A925" s="678"/>
      <c r="G925" s="288"/>
      <c r="L925" s="174"/>
    </row>
    <row r="926">
      <c r="A926" s="678"/>
      <c r="G926" s="288"/>
      <c r="L926" s="174"/>
    </row>
    <row r="927">
      <c r="A927" s="678"/>
      <c r="G927" s="288"/>
      <c r="L927" s="174"/>
    </row>
    <row r="928">
      <c r="A928" s="678"/>
      <c r="G928" s="288"/>
      <c r="L928" s="174"/>
    </row>
    <row r="929">
      <c r="A929" s="678"/>
      <c r="G929" s="288"/>
      <c r="L929" s="174"/>
    </row>
    <row r="930">
      <c r="A930" s="678"/>
      <c r="G930" s="288"/>
      <c r="L930" s="174"/>
    </row>
    <row r="931">
      <c r="A931" s="678"/>
      <c r="G931" s="288"/>
      <c r="L931" s="174"/>
    </row>
    <row r="932">
      <c r="A932" s="678"/>
      <c r="G932" s="288"/>
      <c r="L932" s="174"/>
    </row>
    <row r="933">
      <c r="A933" s="678"/>
      <c r="G933" s="288"/>
      <c r="L933" s="174"/>
    </row>
    <row r="934">
      <c r="A934" s="678"/>
      <c r="G934" s="288"/>
      <c r="L934" s="174"/>
    </row>
    <row r="935">
      <c r="A935" s="678"/>
      <c r="G935" s="288"/>
      <c r="L935" s="174"/>
    </row>
    <row r="936">
      <c r="A936" s="678"/>
      <c r="G936" s="288"/>
      <c r="L936" s="174"/>
    </row>
    <row r="937">
      <c r="A937" s="678"/>
      <c r="G937" s="288"/>
      <c r="L937" s="174"/>
    </row>
    <row r="938">
      <c r="A938" s="678"/>
      <c r="G938" s="288"/>
      <c r="L938" s="174"/>
    </row>
    <row r="939">
      <c r="A939" s="678"/>
      <c r="G939" s="288"/>
      <c r="L939" s="174"/>
    </row>
    <row r="940">
      <c r="A940" s="678"/>
      <c r="G940" s="288"/>
      <c r="L940" s="174"/>
    </row>
    <row r="941">
      <c r="A941" s="678"/>
      <c r="G941" s="288"/>
      <c r="L941" s="174"/>
    </row>
    <row r="942">
      <c r="A942" s="678"/>
      <c r="G942" s="288"/>
      <c r="L942" s="174"/>
    </row>
    <row r="943">
      <c r="A943" s="678"/>
      <c r="G943" s="288"/>
      <c r="L943" s="174"/>
    </row>
    <row r="944">
      <c r="A944" s="678"/>
      <c r="G944" s="288"/>
      <c r="L944" s="174"/>
    </row>
    <row r="945">
      <c r="A945" s="678"/>
      <c r="G945" s="288"/>
      <c r="L945" s="174"/>
    </row>
    <row r="946">
      <c r="A946" s="678"/>
      <c r="G946" s="288"/>
      <c r="L946" s="174"/>
    </row>
    <row r="947">
      <c r="A947" s="678"/>
      <c r="G947" s="288"/>
      <c r="L947" s="174"/>
    </row>
    <row r="948">
      <c r="A948" s="678"/>
      <c r="G948" s="288"/>
      <c r="L948" s="174"/>
    </row>
    <row r="949">
      <c r="A949" s="678"/>
      <c r="G949" s="288"/>
      <c r="L949" s="174"/>
    </row>
    <row r="950">
      <c r="A950" s="678"/>
      <c r="G950" s="288"/>
      <c r="L950" s="174"/>
    </row>
    <row r="951">
      <c r="A951" s="678"/>
      <c r="G951" s="288"/>
      <c r="L951" s="174"/>
    </row>
    <row r="952">
      <c r="A952" s="678"/>
      <c r="G952" s="288"/>
      <c r="L952" s="174"/>
    </row>
    <row r="953">
      <c r="A953" s="678"/>
      <c r="G953" s="288"/>
      <c r="L953" s="174"/>
    </row>
    <row r="954">
      <c r="A954" s="678"/>
      <c r="G954" s="288"/>
      <c r="L954" s="174"/>
    </row>
    <row r="955">
      <c r="A955" s="678"/>
      <c r="G955" s="288"/>
      <c r="L955" s="174"/>
    </row>
    <row r="956">
      <c r="A956" s="678"/>
      <c r="G956" s="288"/>
      <c r="L956" s="174"/>
    </row>
    <row r="957">
      <c r="A957" s="678"/>
      <c r="G957" s="288"/>
      <c r="L957" s="174"/>
    </row>
    <row r="958">
      <c r="A958" s="678"/>
      <c r="G958" s="288"/>
      <c r="L958" s="174"/>
    </row>
    <row r="959">
      <c r="A959" s="678"/>
      <c r="G959" s="288"/>
      <c r="L959" s="174"/>
    </row>
    <row r="960">
      <c r="A960" s="678"/>
      <c r="G960" s="288"/>
      <c r="L960" s="174"/>
    </row>
    <row r="961">
      <c r="A961" s="678"/>
      <c r="G961" s="288"/>
      <c r="L961" s="174"/>
    </row>
    <row r="962">
      <c r="A962" s="678"/>
      <c r="G962" s="288"/>
      <c r="L962" s="174"/>
    </row>
    <row r="963">
      <c r="A963" s="678"/>
      <c r="G963" s="288"/>
      <c r="L963" s="174"/>
    </row>
    <row r="964">
      <c r="A964" s="678"/>
      <c r="G964" s="288"/>
      <c r="L964" s="174"/>
    </row>
    <row r="965">
      <c r="A965" s="678"/>
      <c r="G965" s="288"/>
      <c r="L965" s="174"/>
    </row>
    <row r="966">
      <c r="A966" s="678"/>
      <c r="G966" s="288"/>
      <c r="L966" s="174"/>
    </row>
    <row r="967">
      <c r="A967" s="678"/>
      <c r="G967" s="288"/>
      <c r="L967" s="174"/>
    </row>
    <row r="968">
      <c r="A968" s="678"/>
      <c r="G968" s="288"/>
      <c r="L968" s="174"/>
    </row>
    <row r="969">
      <c r="A969" s="678"/>
      <c r="G969" s="288"/>
      <c r="L969" s="174"/>
    </row>
    <row r="970">
      <c r="A970" s="678"/>
      <c r="G970" s="288"/>
      <c r="L970" s="174"/>
    </row>
    <row r="971">
      <c r="A971" s="678"/>
      <c r="G971" s="288"/>
      <c r="L971" s="174"/>
    </row>
    <row r="972">
      <c r="A972" s="678"/>
      <c r="G972" s="288"/>
      <c r="L972" s="174"/>
    </row>
    <row r="973">
      <c r="A973" s="678"/>
      <c r="G973" s="288"/>
      <c r="L973" s="174"/>
    </row>
    <row r="974">
      <c r="A974" s="678"/>
      <c r="G974" s="288"/>
      <c r="L974" s="174"/>
    </row>
    <row r="975">
      <c r="A975" s="678"/>
      <c r="G975" s="288"/>
      <c r="L975" s="174"/>
    </row>
    <row r="976">
      <c r="A976" s="678"/>
      <c r="G976" s="288"/>
      <c r="L976" s="174"/>
    </row>
    <row r="977">
      <c r="A977" s="678"/>
      <c r="G977" s="288"/>
      <c r="L977" s="174"/>
    </row>
    <row r="978">
      <c r="A978" s="678"/>
      <c r="G978" s="288"/>
      <c r="L978" s="174"/>
    </row>
    <row r="979">
      <c r="A979" s="678"/>
      <c r="G979" s="288"/>
      <c r="L979" s="174"/>
    </row>
    <row r="980">
      <c r="A980" s="678"/>
      <c r="G980" s="288"/>
      <c r="L980" s="174"/>
    </row>
    <row r="981">
      <c r="A981" s="678"/>
      <c r="G981" s="288"/>
      <c r="L981" s="174"/>
    </row>
    <row r="982">
      <c r="A982" s="678"/>
      <c r="G982" s="288"/>
      <c r="L982" s="174"/>
    </row>
    <row r="983">
      <c r="A983" s="678"/>
      <c r="G983" s="288"/>
      <c r="L983" s="174"/>
    </row>
    <row r="984">
      <c r="A984" s="678"/>
      <c r="G984" s="288"/>
      <c r="L984" s="174"/>
    </row>
    <row r="985">
      <c r="A985" s="678"/>
      <c r="G985" s="288"/>
      <c r="L985" s="174"/>
    </row>
    <row r="986">
      <c r="A986" s="678"/>
      <c r="G986" s="288"/>
      <c r="L986" s="174"/>
    </row>
    <row r="987">
      <c r="A987" s="678"/>
      <c r="G987" s="288"/>
      <c r="L987" s="174"/>
    </row>
    <row r="988">
      <c r="A988" s="678"/>
      <c r="G988" s="288"/>
      <c r="L988" s="174"/>
    </row>
    <row r="989">
      <c r="A989" s="678"/>
      <c r="G989" s="288"/>
      <c r="L989" s="174"/>
    </row>
    <row r="990">
      <c r="A990" s="678"/>
      <c r="G990" s="288"/>
      <c r="L990" s="174"/>
    </row>
    <row r="991">
      <c r="A991" s="678"/>
      <c r="G991" s="288"/>
      <c r="L991" s="174"/>
    </row>
    <row r="992">
      <c r="A992" s="678"/>
      <c r="G992" s="288"/>
      <c r="L992" s="174"/>
    </row>
    <row r="993">
      <c r="A993" s="678"/>
      <c r="G993" s="288"/>
      <c r="L993" s="174"/>
    </row>
    <row r="994">
      <c r="A994" s="678"/>
      <c r="G994" s="288"/>
      <c r="L994" s="174"/>
    </row>
    <row r="995">
      <c r="A995" s="678"/>
      <c r="G995" s="288"/>
      <c r="L995" s="174"/>
    </row>
    <row r="996">
      <c r="A996" s="678"/>
      <c r="G996" s="288"/>
      <c r="L996" s="174"/>
    </row>
    <row r="997">
      <c r="A997" s="678"/>
      <c r="G997" s="288"/>
      <c r="L997" s="174"/>
    </row>
    <row r="998">
      <c r="A998" s="678"/>
      <c r="G998" s="288"/>
      <c r="L998" s="174"/>
    </row>
    <row r="999">
      <c r="A999" s="678"/>
      <c r="G999" s="288"/>
      <c r="L999" s="174"/>
    </row>
    <row r="1000">
      <c r="A1000" s="678"/>
      <c r="G1000" s="288"/>
      <c r="L1000" s="174"/>
    </row>
  </sheetData>
  <drawing r:id="rId4"/>
  <legacyDrawing r:id="rId5"/>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5" t="str">
        <f>CONCATENATE(
            "              ", "Microsoft SQL Server Import", char(10),
            "              ", "⚠️   ",
            IFERROR(IFS(
                (now()-"2026/05/03 14:19") &lt;= 0,
                    "",
                AND((now()-"2026/05/03 14:19") * 1440 &gt;= 0, (now()-"2026/05/03 14:19") * 1440 &lt;= 5),
                    "Last updated just now",
                (now()-"2026/05/03 14:19") * 1440 &lt;= 60,
                    "Last updated "&amp;FLOOR((now()-"2026/05/03 14:19")*1440,1)&amp;" minutes ago",
                (now()-"2026/05/03 14:19") * 24 &lt;= 24,
                    "Last updated "&amp;FLOOR((now()-"2026/05/03 14:19")*24,1) &amp;
                        IF(FLOOR((now()-"2026/05/03 14:19")*24,1) &lt;= 1, " hour ago", " hours ago"),
                (now()-"2026/05/03 14:19") &lt;= 30,
                    "Last updated "&amp;FLOOR((now()-"2026/05/03 14:19"),1) &amp;
                        IF(FLOOR((now()-"2026/05/03 14:19"),1) &lt;= 1, " day ago", " days ago"),
                (now()-"2026/05/03 14:19") &gt; 30,
                    "Last updated " &amp;
                        FLOOR((now()-"2026/05/03 14:19")/7,1) &amp;
                        IF(FLOOR((now()-"2026/05/03 14:19"),1) &lt;= 1, " week ago", " weeks ago")
            ),"Last updated on 2026/05/03 14:19")
        )</f>
        <v>              Microsoft SQL Server Import
              ⚠️   Last updated 19 hours ago</v>
      </c>
      <c r="B1" s="455" t="s">
        <v>2155</v>
      </c>
      <c r="C1" s="452" t="str">
        <f>IFERROR(IF(NOW(), _COEFF_ssop()),"")</f>
        <v/>
      </c>
      <c r="D1" s="452" t="s">
        <v>2155</v>
      </c>
      <c r="E1" s="452" t="s">
        <v>2155</v>
      </c>
      <c r="F1" s="452" t="s">
        <v>2155</v>
      </c>
      <c r="G1" s="452" t="s">
        <v>2155</v>
      </c>
      <c r="H1" s="452" t="s">
        <v>2155</v>
      </c>
      <c r="I1" s="452" t="s">
        <v>2155</v>
      </c>
      <c r="J1" s="452" t="s">
        <v>2155</v>
      </c>
      <c r="K1" s="452" t="s">
        <v>2155</v>
      </c>
      <c r="L1" s="452" t="s">
        <v>2155</v>
      </c>
      <c r="M1" s="452" t="s">
        <v>2155</v>
      </c>
      <c r="N1" s="454"/>
      <c r="O1" s="454"/>
      <c r="P1" s="679"/>
      <c r="Q1" s="454"/>
      <c r="R1" s="454"/>
      <c r="S1" s="454"/>
      <c r="T1" s="454"/>
      <c r="U1" s="454"/>
      <c r="V1" s="454"/>
      <c r="W1" s="454"/>
      <c r="X1" s="454"/>
      <c r="Y1" s="454"/>
      <c r="Z1" s="454"/>
      <c r="AA1" s="454"/>
      <c r="AB1" s="454"/>
      <c r="AC1" s="454"/>
    </row>
    <row r="2" ht="22.5" customHeight="1">
      <c r="A2" s="458" t="s">
        <v>2156</v>
      </c>
      <c r="B2" s="458" t="s">
        <v>3016</v>
      </c>
      <c r="C2" s="458" t="s">
        <v>3017</v>
      </c>
      <c r="D2" s="458" t="s">
        <v>3018</v>
      </c>
      <c r="E2" s="458" t="s">
        <v>3019</v>
      </c>
      <c r="F2" s="458" t="s">
        <v>3020</v>
      </c>
      <c r="G2" s="458" t="s">
        <v>3021</v>
      </c>
      <c r="H2" s="458" t="s">
        <v>3022</v>
      </c>
      <c r="I2" s="458" t="s">
        <v>3023</v>
      </c>
      <c r="J2" s="458" t="s">
        <v>3024</v>
      </c>
      <c r="K2" s="458" t="s">
        <v>3025</v>
      </c>
      <c r="L2" s="458" t="s">
        <v>2158</v>
      </c>
      <c r="M2" s="458" t="s">
        <v>2995</v>
      </c>
      <c r="N2" s="460" t="s">
        <v>3026</v>
      </c>
      <c r="O2" s="460" t="s">
        <v>3027</v>
      </c>
      <c r="P2" s="461" t="s">
        <v>3028</v>
      </c>
      <c r="Q2" s="460" t="s">
        <v>3029</v>
      </c>
      <c r="R2" s="460" t="s">
        <v>3030</v>
      </c>
      <c r="S2" s="460" t="s">
        <v>3031</v>
      </c>
      <c r="T2" s="680"/>
      <c r="U2" s="680"/>
      <c r="V2" s="680"/>
      <c r="W2" s="680"/>
      <c r="X2" s="680"/>
      <c r="Y2" s="680"/>
      <c r="Z2" s="680"/>
      <c r="AA2" s="680"/>
      <c r="AB2" s="680"/>
      <c r="AC2" s="680"/>
    </row>
    <row r="3">
      <c r="A3" s="1" t="s">
        <v>3032</v>
      </c>
      <c r="B3" s="1" t="s">
        <v>3033</v>
      </c>
      <c r="C3" s="1" t="s">
        <v>3034</v>
      </c>
      <c r="D3" s="1"/>
      <c r="E3" s="1" t="s">
        <v>658</v>
      </c>
      <c r="F3" s="1">
        <v>19379.2</v>
      </c>
      <c r="G3" s="1">
        <v>19379.2</v>
      </c>
      <c r="H3" s="1">
        <v>19710.0</v>
      </c>
      <c r="I3" s="463">
        <v>46057.57194444445</v>
      </c>
      <c r="J3" s="86" t="s">
        <v>3035</v>
      </c>
      <c r="K3" s="86" t="s">
        <v>3036</v>
      </c>
      <c r="L3" s="515">
        <v>46062.0</v>
      </c>
      <c r="M3" s="1">
        <v>2.8</v>
      </c>
      <c r="N3" s="90" t="str">
        <f t="shared" ref="N3:N33" si="1">iferror(#REF!/I3,)</f>
        <v/>
      </c>
      <c r="O3" s="1" t="str">
        <f t="array" ref="O3">iferror(INDEX(Loads!Q:Q, MATCH(#REF!, Loads!C:C, 0)),)</f>
        <v/>
      </c>
      <c r="P3" s="87">
        <f t="shared" ref="P3:P89" si="2">iferror(O3*N3,)</f>
        <v>0</v>
      </c>
      <c r="Q3" s="90">
        <f>WEEKNUM(L3)</f>
        <v>7</v>
      </c>
      <c r="R3" s="90">
        <f t="shared" ref="R3:R89" si="3">WEEKDAY(L3)</f>
        <v>2</v>
      </c>
      <c r="S3" s="681">
        <f t="shared" ref="S3:S33" si="4">(L3-R3)+2</f>
        <v>46062</v>
      </c>
    </row>
    <row r="4">
      <c r="A4" s="1" t="s">
        <v>3037</v>
      </c>
      <c r="B4" s="1" t="s">
        <v>3033</v>
      </c>
      <c r="C4" s="1" t="s">
        <v>3038</v>
      </c>
      <c r="D4" s="1"/>
      <c r="E4" s="1" t="s">
        <v>662</v>
      </c>
      <c r="F4" s="1">
        <v>19940.0</v>
      </c>
      <c r="G4" s="1">
        <v>19940.0</v>
      </c>
      <c r="H4" s="1">
        <v>19940.0</v>
      </c>
      <c r="I4" s="463">
        <v>46062.11493055556</v>
      </c>
      <c r="J4" s="86" t="s">
        <v>3039</v>
      </c>
      <c r="K4" s="86" t="s">
        <v>3040</v>
      </c>
      <c r="L4" s="515">
        <v>46062.0</v>
      </c>
      <c r="M4" s="1">
        <v>2.8</v>
      </c>
      <c r="N4" s="90" t="str">
        <f t="shared" si="1"/>
        <v/>
      </c>
      <c r="O4" s="1" t="str">
        <f t="array" ref="O4">iferror(INDEX(Loads!Q:Q, MATCH(#REF!, Loads!C:C, 0)),)</f>
        <v/>
      </c>
      <c r="P4" s="87">
        <f t="shared" si="2"/>
        <v>0</v>
      </c>
      <c r="Q4" s="90">
        <f t="shared" ref="Q4:Q53" si="5">ISOWEEKNUM(L4)</f>
        <v>7</v>
      </c>
      <c r="R4" s="90">
        <f t="shared" si="3"/>
        <v>2</v>
      </c>
      <c r="S4" s="681">
        <f t="shared" si="4"/>
        <v>46062</v>
      </c>
    </row>
    <row r="5">
      <c r="A5" s="1" t="s">
        <v>3041</v>
      </c>
      <c r="B5" s="1" t="s">
        <v>3033</v>
      </c>
      <c r="C5" s="1" t="s">
        <v>3042</v>
      </c>
      <c r="D5" s="1"/>
      <c r="E5" s="1" t="s">
        <v>666</v>
      </c>
      <c r="F5" s="1">
        <v>19767.55</v>
      </c>
      <c r="G5" s="1">
        <v>19767.55</v>
      </c>
      <c r="H5" s="1">
        <v>19767.55</v>
      </c>
      <c r="I5" s="463">
        <v>46072.93231481482</v>
      </c>
      <c r="J5" s="86" t="s">
        <v>3043</v>
      </c>
      <c r="K5" s="86" t="s">
        <v>3044</v>
      </c>
      <c r="L5" s="515">
        <v>46063.0</v>
      </c>
      <c r="M5" s="1">
        <v>2.9</v>
      </c>
      <c r="N5" s="90" t="str">
        <f t="shared" si="1"/>
        <v/>
      </c>
      <c r="O5" s="1" t="str">
        <f t="array" ref="O5">iferror(INDEX(Loads!Q:Q, MATCH(#REF!, Loads!C:C, 0)),)</f>
        <v/>
      </c>
      <c r="P5" s="87">
        <f t="shared" si="2"/>
        <v>0</v>
      </c>
      <c r="Q5" s="90">
        <f t="shared" si="5"/>
        <v>7</v>
      </c>
      <c r="R5" s="90">
        <f t="shared" si="3"/>
        <v>3</v>
      </c>
      <c r="S5" s="681">
        <f t="shared" si="4"/>
        <v>46062</v>
      </c>
    </row>
    <row r="6">
      <c r="A6" s="1" t="s">
        <v>3045</v>
      </c>
      <c r="B6" s="1" t="s">
        <v>3033</v>
      </c>
      <c r="C6" s="1" t="s">
        <v>3046</v>
      </c>
      <c r="D6" s="1"/>
      <c r="E6" s="1" t="s">
        <v>671</v>
      </c>
      <c r="F6" s="1">
        <v>19900.0</v>
      </c>
      <c r="G6" s="1">
        <v>19900.0</v>
      </c>
      <c r="H6" s="1">
        <v>19900.0</v>
      </c>
      <c r="I6" s="463">
        <v>46063.581921296296</v>
      </c>
      <c r="J6" s="86" t="s">
        <v>3047</v>
      </c>
      <c r="K6" s="86" t="s">
        <v>3048</v>
      </c>
      <c r="L6" s="515">
        <v>46064.0</v>
      </c>
      <c r="M6" s="1">
        <v>2.8</v>
      </c>
      <c r="N6" s="90" t="str">
        <f t="shared" si="1"/>
        <v/>
      </c>
      <c r="O6" s="1" t="str">
        <f t="array" ref="O6">iferror(INDEX(Loads!Q:Q, MATCH(#REF!, Loads!C:C, 0)),)</f>
        <v/>
      </c>
      <c r="P6" s="87">
        <f t="shared" si="2"/>
        <v>0</v>
      </c>
      <c r="Q6" s="90">
        <f t="shared" si="5"/>
        <v>7</v>
      </c>
      <c r="R6" s="90">
        <f t="shared" si="3"/>
        <v>4</v>
      </c>
      <c r="S6" s="681">
        <f t="shared" si="4"/>
        <v>46062</v>
      </c>
    </row>
    <row r="7">
      <c r="A7" s="1" t="s">
        <v>3049</v>
      </c>
      <c r="B7" s="1" t="s">
        <v>3033</v>
      </c>
      <c r="C7" s="1" t="s">
        <v>3050</v>
      </c>
      <c r="D7" s="1"/>
      <c r="E7" s="1" t="s">
        <v>675</v>
      </c>
      <c r="F7" s="1">
        <v>19650.0</v>
      </c>
      <c r="G7" s="1">
        <v>19650.0</v>
      </c>
      <c r="H7" s="1">
        <v>19650.0</v>
      </c>
      <c r="I7" s="463">
        <v>46063.671643518515</v>
      </c>
      <c r="J7" s="86" t="s">
        <v>3051</v>
      </c>
      <c r="K7" s="86" t="s">
        <v>3052</v>
      </c>
      <c r="L7" s="515">
        <v>46066.0</v>
      </c>
      <c r="M7" s="1">
        <v>2.8</v>
      </c>
      <c r="N7" s="90" t="str">
        <f t="shared" si="1"/>
        <v/>
      </c>
      <c r="O7" s="1" t="str">
        <f t="array" ref="O7">iferror(INDEX(Loads!Q:Q, MATCH(#REF!, Loads!C:C, 0)),)</f>
        <v/>
      </c>
      <c r="P7" s="87">
        <f t="shared" si="2"/>
        <v>0</v>
      </c>
      <c r="Q7" s="90">
        <f t="shared" si="5"/>
        <v>7</v>
      </c>
      <c r="R7" s="90">
        <f t="shared" si="3"/>
        <v>6</v>
      </c>
      <c r="S7" s="681">
        <f t="shared" si="4"/>
        <v>46062</v>
      </c>
    </row>
    <row r="8">
      <c r="A8" s="1" t="s">
        <v>3053</v>
      </c>
      <c r="B8" s="1" t="s">
        <v>3033</v>
      </c>
      <c r="C8" s="1" t="s">
        <v>3054</v>
      </c>
      <c r="D8" s="1"/>
      <c r="E8" s="1" t="s">
        <v>679</v>
      </c>
      <c r="F8" s="1">
        <v>18906.193</v>
      </c>
      <c r="G8" s="1">
        <v>19820.0</v>
      </c>
      <c r="H8" s="1">
        <v>19820.0</v>
      </c>
      <c r="I8" s="463">
        <v>46064.75456018518</v>
      </c>
      <c r="J8" s="86" t="s">
        <v>3055</v>
      </c>
      <c r="K8" s="86" t="s">
        <v>3056</v>
      </c>
      <c r="L8" s="515">
        <v>46069.0</v>
      </c>
      <c r="M8" s="1">
        <v>3.2</v>
      </c>
      <c r="N8" s="90" t="str">
        <f t="shared" si="1"/>
        <v/>
      </c>
      <c r="O8" s="1" t="str">
        <f t="array" ref="O8">iferror(INDEX(Loads!Q:Q, MATCH(#REF!, Loads!C:C, 0)),)</f>
        <v/>
      </c>
      <c r="P8" s="87">
        <f t="shared" si="2"/>
        <v>0</v>
      </c>
      <c r="Q8" s="90">
        <f t="shared" si="5"/>
        <v>8</v>
      </c>
      <c r="R8" s="90">
        <f t="shared" si="3"/>
        <v>2</v>
      </c>
      <c r="S8" s="681">
        <f t="shared" si="4"/>
        <v>46069</v>
      </c>
    </row>
    <row r="9">
      <c r="A9" s="1" t="s">
        <v>3057</v>
      </c>
      <c r="B9" s="1" t="s">
        <v>3033</v>
      </c>
      <c r="C9" s="1" t="s">
        <v>3058</v>
      </c>
      <c r="D9" s="1"/>
      <c r="E9" s="1" t="s">
        <v>683</v>
      </c>
      <c r="F9" s="1">
        <v>20584.00496</v>
      </c>
      <c r="G9" s="1">
        <v>20584.00496</v>
      </c>
      <c r="H9" s="1">
        <v>20640.0</v>
      </c>
      <c r="I9" s="463">
        <v>46071.87086805556</v>
      </c>
      <c r="J9" s="86" t="s">
        <v>3059</v>
      </c>
      <c r="K9" s="86" t="s">
        <v>3060</v>
      </c>
      <c r="L9" s="515">
        <v>46073.0</v>
      </c>
      <c r="M9" s="1">
        <v>2.9</v>
      </c>
      <c r="N9" s="90" t="str">
        <f t="shared" si="1"/>
        <v/>
      </c>
      <c r="O9" s="1" t="str">
        <f t="array" ref="O9">iferror(INDEX(Loads!Q:Q, MATCH(#REF!, Loads!C:C, 0)),)</f>
        <v/>
      </c>
      <c r="P9" s="87">
        <f t="shared" si="2"/>
        <v>0</v>
      </c>
      <c r="Q9" s="90">
        <f t="shared" si="5"/>
        <v>8</v>
      </c>
      <c r="R9" s="90">
        <f t="shared" si="3"/>
        <v>6</v>
      </c>
      <c r="S9" s="681">
        <f t="shared" si="4"/>
        <v>46069</v>
      </c>
    </row>
    <row r="10">
      <c r="A10" s="1" t="s">
        <v>3061</v>
      </c>
      <c r="B10" s="1" t="s">
        <v>3033</v>
      </c>
      <c r="C10" s="1" t="s">
        <v>3062</v>
      </c>
      <c r="D10" s="1"/>
      <c r="E10" s="1">
        <v>10.0</v>
      </c>
      <c r="F10" s="1">
        <v>24312.5312</v>
      </c>
      <c r="G10" s="1">
        <v>24312.5312</v>
      </c>
      <c r="H10" s="1">
        <v>75560.0</v>
      </c>
      <c r="I10" s="463">
        <v>46071.65084490741</v>
      </c>
      <c r="J10" s="86" t="s">
        <v>3063</v>
      </c>
      <c r="K10" s="86" t="s">
        <v>3064</v>
      </c>
      <c r="L10" s="515">
        <v>46073.0</v>
      </c>
      <c r="M10" s="1">
        <v>2.9</v>
      </c>
      <c r="N10" s="90" t="str">
        <f t="shared" si="1"/>
        <v/>
      </c>
      <c r="O10" s="1" t="str">
        <f t="array" ref="O10">iferror(INDEX(Loads!Q:Q, MATCH(#REF!, Loads!C:C, 0)),)</f>
        <v/>
      </c>
      <c r="P10" s="87">
        <f t="shared" si="2"/>
        <v>0</v>
      </c>
      <c r="Q10" s="90">
        <f t="shared" si="5"/>
        <v>8</v>
      </c>
      <c r="R10" s="90">
        <f t="shared" si="3"/>
        <v>6</v>
      </c>
      <c r="S10" s="681">
        <f t="shared" si="4"/>
        <v>46069</v>
      </c>
    </row>
    <row r="11">
      <c r="A11" s="1" t="s">
        <v>3065</v>
      </c>
      <c r="B11" s="1" t="s">
        <v>3033</v>
      </c>
      <c r="C11" s="1" t="s">
        <v>3066</v>
      </c>
      <c r="D11" s="1"/>
      <c r="E11" s="1" t="s">
        <v>688</v>
      </c>
      <c r="F11" s="1">
        <v>20411.64</v>
      </c>
      <c r="G11" s="1">
        <v>20411.64</v>
      </c>
      <c r="H11" s="1">
        <v>20450.0</v>
      </c>
      <c r="I11" s="463">
        <v>46072.79332175926</v>
      </c>
      <c r="J11" s="86" t="s">
        <v>3067</v>
      </c>
      <c r="K11" s="86" t="s">
        <v>3068</v>
      </c>
      <c r="L11" s="515">
        <v>46074.0</v>
      </c>
      <c r="M11" s="1">
        <v>2.9</v>
      </c>
      <c r="N11" s="90" t="str">
        <f t="shared" si="1"/>
        <v/>
      </c>
      <c r="O11" s="1" t="str">
        <f t="array" ref="O11">iferror(INDEX(Loads!Q:Q, MATCH(#REF!, Loads!C:C, 0)),)</f>
        <v/>
      </c>
      <c r="P11" s="87">
        <f t="shared" si="2"/>
        <v>0</v>
      </c>
      <c r="Q11" s="90">
        <f t="shared" si="5"/>
        <v>8</v>
      </c>
      <c r="R11" s="90">
        <f t="shared" si="3"/>
        <v>7</v>
      </c>
      <c r="S11" s="681">
        <f t="shared" si="4"/>
        <v>46069</v>
      </c>
    </row>
    <row r="12">
      <c r="A12" s="682" t="s">
        <v>3069</v>
      </c>
      <c r="B12" s="682" t="s">
        <v>3033</v>
      </c>
      <c r="C12" s="682" t="s">
        <v>3070</v>
      </c>
      <c r="D12" s="682"/>
      <c r="E12" s="682">
        <v>10.0</v>
      </c>
      <c r="F12" s="682">
        <v>3882.75</v>
      </c>
      <c r="G12" s="682">
        <v>12029.25984</v>
      </c>
      <c r="H12" s="682">
        <v>75560.0</v>
      </c>
      <c r="I12" s="683">
        <v>46071.65084490741</v>
      </c>
      <c r="J12" s="684" t="s">
        <v>3063</v>
      </c>
      <c r="K12" s="684" t="s">
        <v>3071</v>
      </c>
      <c r="L12" s="685">
        <v>46074.0</v>
      </c>
      <c r="M12" s="682">
        <v>3.0</v>
      </c>
      <c r="N12" s="140" t="str">
        <f t="shared" si="1"/>
        <v/>
      </c>
      <c r="O12" s="682" t="str">
        <f t="array" ref="O12">iferror(INDEX(Loads!Q:Q, MATCH(#REF!, Loads!C:C, 0)),)</f>
        <v/>
      </c>
      <c r="P12" s="141">
        <f t="shared" si="2"/>
        <v>0</v>
      </c>
      <c r="Q12" s="90">
        <f t="shared" si="5"/>
        <v>8</v>
      </c>
      <c r="R12" s="90">
        <f t="shared" si="3"/>
        <v>7</v>
      </c>
      <c r="S12" s="681">
        <f t="shared" si="4"/>
        <v>46069</v>
      </c>
      <c r="T12" s="140"/>
      <c r="U12" s="140"/>
      <c r="V12" s="140"/>
      <c r="W12" s="140"/>
      <c r="X12" s="140"/>
      <c r="Y12" s="140"/>
      <c r="Z12" s="140"/>
      <c r="AA12" s="140"/>
    </row>
    <row r="13">
      <c r="A13" s="1" t="s">
        <v>3072</v>
      </c>
      <c r="B13" s="1" t="s">
        <v>3033</v>
      </c>
      <c r="C13" s="1" t="s">
        <v>3073</v>
      </c>
      <c r="D13" s="1"/>
      <c r="E13" s="1" t="s">
        <v>692</v>
      </c>
      <c r="F13" s="1">
        <v>20040.0</v>
      </c>
      <c r="G13" s="1">
        <v>20040.0</v>
      </c>
      <c r="H13" s="1">
        <v>20040.0</v>
      </c>
      <c r="I13" s="463">
        <v>46073.6877662037</v>
      </c>
      <c r="J13" s="86" t="s">
        <v>3074</v>
      </c>
      <c r="K13" s="86" t="s">
        <v>3075</v>
      </c>
      <c r="L13" s="515">
        <v>46076.0</v>
      </c>
      <c r="M13" s="1">
        <v>2.9</v>
      </c>
      <c r="N13" s="90" t="str">
        <f t="shared" si="1"/>
        <v/>
      </c>
      <c r="O13" s="1" t="str">
        <f t="array" ref="O13">iferror(INDEX(Loads!Q:Q, MATCH(#REF!, Loads!C:C, 0)),)</f>
        <v/>
      </c>
      <c r="P13" s="87">
        <f t="shared" si="2"/>
        <v>0</v>
      </c>
      <c r="Q13" s="90">
        <f t="shared" si="5"/>
        <v>9</v>
      </c>
      <c r="R13" s="90">
        <f t="shared" si="3"/>
        <v>2</v>
      </c>
      <c r="S13" s="681">
        <f t="shared" si="4"/>
        <v>46076</v>
      </c>
    </row>
    <row r="14">
      <c r="A14" s="1" t="s">
        <v>3076</v>
      </c>
      <c r="B14" s="1" t="s">
        <v>3033</v>
      </c>
      <c r="C14" s="1" t="s">
        <v>3077</v>
      </c>
      <c r="D14" s="1"/>
      <c r="E14" s="1" t="s">
        <v>697</v>
      </c>
      <c r="F14" s="1">
        <v>20110.0</v>
      </c>
      <c r="G14" s="1">
        <v>20110.0</v>
      </c>
      <c r="H14" s="1">
        <v>20110.0</v>
      </c>
      <c r="I14" s="463">
        <v>46073.844201388885</v>
      </c>
      <c r="J14" s="86" t="s">
        <v>3078</v>
      </c>
      <c r="K14" s="86" t="s">
        <v>3079</v>
      </c>
      <c r="L14" s="515">
        <v>46077.0</v>
      </c>
      <c r="M14" s="1">
        <v>3.0</v>
      </c>
      <c r="N14" s="90" t="str">
        <f t="shared" si="1"/>
        <v/>
      </c>
      <c r="O14" s="1" t="str">
        <f t="array" ref="O14">iferror(INDEX(Loads!Q:Q, MATCH(#REF!, Loads!C:C, 0)),)</f>
        <v/>
      </c>
      <c r="P14" s="87">
        <f t="shared" si="2"/>
        <v>0</v>
      </c>
      <c r="Q14" s="90">
        <f t="shared" si="5"/>
        <v>9</v>
      </c>
      <c r="R14" s="90">
        <f t="shared" si="3"/>
        <v>3</v>
      </c>
      <c r="S14" s="681">
        <f t="shared" si="4"/>
        <v>46076</v>
      </c>
    </row>
    <row r="15">
      <c r="A15" s="1" t="s">
        <v>3080</v>
      </c>
      <c r="B15" s="1" t="s">
        <v>3033</v>
      </c>
      <c r="C15" s="1" t="s">
        <v>3081</v>
      </c>
      <c r="D15" s="1"/>
      <c r="E15" s="1" t="s">
        <v>701</v>
      </c>
      <c r="F15" s="1">
        <v>19530.0</v>
      </c>
      <c r="G15" s="1">
        <v>19530.0</v>
      </c>
      <c r="H15" s="1">
        <v>19530.0</v>
      </c>
      <c r="I15" s="463">
        <v>46076.107939814814</v>
      </c>
      <c r="J15" s="86" t="s">
        <v>3082</v>
      </c>
      <c r="K15" s="86" t="s">
        <v>3083</v>
      </c>
      <c r="L15" s="515">
        <v>46077.0</v>
      </c>
      <c r="M15" s="1">
        <v>2.8</v>
      </c>
      <c r="N15" s="90" t="str">
        <f t="shared" si="1"/>
        <v/>
      </c>
      <c r="O15" s="1" t="str">
        <f t="array" ref="O15">iferror(INDEX(Loads!Q:Q, MATCH(#REF!, Loads!C:C, 0)),)</f>
        <v/>
      </c>
      <c r="P15" s="87">
        <f t="shared" si="2"/>
        <v>0</v>
      </c>
      <c r="Q15" s="90">
        <f t="shared" si="5"/>
        <v>9</v>
      </c>
      <c r="R15" s="90">
        <f t="shared" si="3"/>
        <v>3</v>
      </c>
      <c r="S15" s="681">
        <f t="shared" si="4"/>
        <v>46076</v>
      </c>
    </row>
    <row r="16">
      <c r="A16" s="1" t="s">
        <v>3084</v>
      </c>
      <c r="B16" s="1" t="s">
        <v>3033</v>
      </c>
      <c r="C16" s="1" t="s">
        <v>3085</v>
      </c>
      <c r="D16" s="1"/>
      <c r="E16" s="1" t="s">
        <v>704</v>
      </c>
      <c r="F16" s="1">
        <v>18588.20016</v>
      </c>
      <c r="G16" s="1">
        <v>18588.20016</v>
      </c>
      <c r="H16" s="1">
        <v>18590.0</v>
      </c>
      <c r="I16" s="463">
        <v>46073.72188657407</v>
      </c>
      <c r="J16" s="86" t="s">
        <v>3086</v>
      </c>
      <c r="K16" s="86" t="s">
        <v>3087</v>
      </c>
      <c r="L16" s="515">
        <v>46078.0</v>
      </c>
      <c r="M16" s="1">
        <v>2.7</v>
      </c>
      <c r="N16" s="90" t="str">
        <f t="shared" si="1"/>
        <v/>
      </c>
      <c r="O16" s="1" t="str">
        <f t="array" ref="O16">iferror(INDEX(Loads!Q:Q, MATCH(#REF!, Loads!C:C, 0)),)</f>
        <v/>
      </c>
      <c r="P16" s="87">
        <f t="shared" si="2"/>
        <v>0</v>
      </c>
      <c r="Q16" s="90">
        <f t="shared" si="5"/>
        <v>9</v>
      </c>
      <c r="R16" s="90">
        <f t="shared" si="3"/>
        <v>4</v>
      </c>
      <c r="S16" s="681">
        <f t="shared" si="4"/>
        <v>46076</v>
      </c>
    </row>
    <row r="17">
      <c r="A17" s="682" t="s">
        <v>3088</v>
      </c>
      <c r="B17" s="682" t="s">
        <v>3033</v>
      </c>
      <c r="C17" s="682" t="s">
        <v>3089</v>
      </c>
      <c r="D17" s="682"/>
      <c r="E17" s="682" t="s">
        <v>708</v>
      </c>
      <c r="F17" s="682">
        <v>19840.0</v>
      </c>
      <c r="G17" s="682">
        <v>19840.0</v>
      </c>
      <c r="H17" s="682">
        <v>19840.0</v>
      </c>
      <c r="I17" s="683">
        <v>46076.114224537036</v>
      </c>
      <c r="J17" s="684" t="s">
        <v>3090</v>
      </c>
      <c r="K17" s="684" t="s">
        <v>3091</v>
      </c>
      <c r="L17" s="685">
        <v>46078.0</v>
      </c>
      <c r="M17" s="682">
        <v>2.9</v>
      </c>
      <c r="N17" s="140" t="str">
        <f t="shared" si="1"/>
        <v/>
      </c>
      <c r="O17" s="682" t="str">
        <f t="array" ref="O17">iferror(INDEX(Loads!Q:Q, MATCH(#REF!, Loads!C:C, 0)),)</f>
        <v/>
      </c>
      <c r="P17" s="141">
        <f t="shared" si="2"/>
        <v>0</v>
      </c>
      <c r="Q17" s="90">
        <f t="shared" si="5"/>
        <v>9</v>
      </c>
      <c r="R17" s="90">
        <f t="shared" si="3"/>
        <v>4</v>
      </c>
      <c r="S17" s="681">
        <f t="shared" si="4"/>
        <v>46076</v>
      </c>
      <c r="T17" s="140"/>
      <c r="U17" s="140"/>
      <c r="V17" s="140"/>
      <c r="W17" s="140"/>
      <c r="X17" s="140"/>
      <c r="Y17" s="140"/>
      <c r="Z17" s="140"/>
      <c r="AA17" s="140"/>
    </row>
    <row r="18">
      <c r="A18" s="1" t="s">
        <v>3092</v>
      </c>
      <c r="B18" s="1" t="s">
        <v>3033</v>
      </c>
      <c r="C18" s="1" t="s">
        <v>3093</v>
      </c>
      <c r="D18" s="1"/>
      <c r="E18" s="1">
        <v>10.0</v>
      </c>
      <c r="F18" s="1">
        <v>21763.34416</v>
      </c>
      <c r="G18" s="1">
        <v>21763.34416</v>
      </c>
      <c r="H18" s="1">
        <v>75560.0</v>
      </c>
      <c r="I18" s="463">
        <v>46071.65084490741</v>
      </c>
      <c r="J18" s="86" t="s">
        <v>3063</v>
      </c>
      <c r="K18" s="86" t="s">
        <v>3094</v>
      </c>
      <c r="L18" s="515">
        <v>46078.0</v>
      </c>
      <c r="M18" s="1">
        <v>2.8</v>
      </c>
      <c r="N18" s="90" t="str">
        <f t="shared" si="1"/>
        <v/>
      </c>
      <c r="O18" s="1" t="str">
        <f t="array" ref="O18">iferror(INDEX(Loads!Q:Q, MATCH(#REF!, Loads!C:C, 0)),)</f>
        <v/>
      </c>
      <c r="P18" s="87">
        <f t="shared" si="2"/>
        <v>0</v>
      </c>
      <c r="Q18" s="90">
        <f t="shared" si="5"/>
        <v>9</v>
      </c>
      <c r="R18" s="90">
        <f t="shared" si="3"/>
        <v>4</v>
      </c>
      <c r="S18" s="681">
        <f t="shared" si="4"/>
        <v>46076</v>
      </c>
      <c r="AB18" s="140"/>
      <c r="AC18" s="140"/>
    </row>
    <row r="19">
      <c r="A19" s="1" t="s">
        <v>3095</v>
      </c>
      <c r="B19" s="1" t="s">
        <v>3033</v>
      </c>
      <c r="C19" s="1" t="s">
        <v>3096</v>
      </c>
      <c r="D19" s="1"/>
      <c r="E19" s="1">
        <v>10.0</v>
      </c>
      <c r="F19" s="1">
        <v>17227.42416</v>
      </c>
      <c r="G19" s="1">
        <v>17227.42416</v>
      </c>
      <c r="H19" s="1">
        <v>75560.0</v>
      </c>
      <c r="I19" s="463">
        <v>46071.65084490741</v>
      </c>
      <c r="J19" s="86" t="s">
        <v>3063</v>
      </c>
      <c r="K19" s="86" t="s">
        <v>3097</v>
      </c>
      <c r="L19" s="515">
        <v>46078.0</v>
      </c>
      <c r="M19" s="1">
        <v>2.9</v>
      </c>
      <c r="N19" s="90" t="str">
        <f t="shared" si="1"/>
        <v/>
      </c>
      <c r="O19" s="1" t="str">
        <f t="array" ref="O19">iferror(INDEX(Loads!Q:Q, MATCH(#REF!, Loads!C:C, 0)),)</f>
        <v/>
      </c>
      <c r="P19" s="87">
        <f t="shared" si="2"/>
        <v>0</v>
      </c>
      <c r="Q19" s="90">
        <f t="shared" si="5"/>
        <v>9</v>
      </c>
      <c r="R19" s="90">
        <f t="shared" si="3"/>
        <v>4</v>
      </c>
      <c r="S19" s="681">
        <f t="shared" si="4"/>
        <v>46076</v>
      </c>
    </row>
    <row r="20">
      <c r="A20" s="1" t="s">
        <v>3098</v>
      </c>
      <c r="B20" s="1" t="s">
        <v>3033</v>
      </c>
      <c r="C20" s="1" t="s">
        <v>3099</v>
      </c>
      <c r="D20" s="1"/>
      <c r="E20" s="1" t="s">
        <v>711</v>
      </c>
      <c r="F20" s="1">
        <v>19120.0</v>
      </c>
      <c r="G20" s="1">
        <v>19120.0</v>
      </c>
      <c r="H20" s="1">
        <v>19120.0</v>
      </c>
      <c r="I20" s="463">
        <v>46077.687256944446</v>
      </c>
      <c r="J20" s="86" t="s">
        <v>3100</v>
      </c>
      <c r="K20" s="86" t="s">
        <v>3101</v>
      </c>
      <c r="L20" s="515">
        <v>46078.0</v>
      </c>
      <c r="M20" s="1">
        <v>2.8</v>
      </c>
      <c r="N20" s="90" t="str">
        <f t="shared" si="1"/>
        <v/>
      </c>
      <c r="O20" s="1" t="str">
        <f t="array" ref="O20">iferror(INDEX(Loads!Q:Q, MATCH(#REF!, Loads!C:C, 0)),)</f>
        <v/>
      </c>
      <c r="P20" s="87">
        <f t="shared" si="2"/>
        <v>0</v>
      </c>
      <c r="Q20" s="90">
        <f t="shared" si="5"/>
        <v>9</v>
      </c>
      <c r="R20" s="90">
        <f t="shared" si="3"/>
        <v>4</v>
      </c>
      <c r="S20" s="681">
        <f t="shared" si="4"/>
        <v>46076</v>
      </c>
    </row>
    <row r="21">
      <c r="A21" s="1" t="s">
        <v>3102</v>
      </c>
      <c r="B21" s="1" t="s">
        <v>3033</v>
      </c>
      <c r="C21" s="1" t="s">
        <v>3103</v>
      </c>
      <c r="D21" s="1"/>
      <c r="E21" s="1">
        <v>10.0</v>
      </c>
      <c r="F21" s="1">
        <v>22498.1632</v>
      </c>
      <c r="G21" s="1">
        <v>22498.1632</v>
      </c>
      <c r="H21" s="1">
        <v>77110.0</v>
      </c>
      <c r="I21" s="463">
        <v>46077.68376157407</v>
      </c>
      <c r="J21" s="86" t="s">
        <v>3104</v>
      </c>
      <c r="K21" s="86" t="s">
        <v>3105</v>
      </c>
      <c r="L21" s="515">
        <v>46079.0</v>
      </c>
      <c r="M21" s="1">
        <v>2.8</v>
      </c>
      <c r="N21" s="90" t="str">
        <f t="shared" si="1"/>
        <v/>
      </c>
      <c r="O21" s="1" t="str">
        <f t="array" ref="O21">iferror(INDEX(Loads!Q:Q, MATCH(#REF!, Loads!C:C, 0)),)</f>
        <v/>
      </c>
      <c r="P21" s="87">
        <f t="shared" si="2"/>
        <v>0</v>
      </c>
      <c r="Q21" s="90">
        <f t="shared" si="5"/>
        <v>9</v>
      </c>
      <c r="R21" s="90">
        <f t="shared" si="3"/>
        <v>5</v>
      </c>
      <c r="S21" s="681">
        <f t="shared" si="4"/>
        <v>46076</v>
      </c>
    </row>
    <row r="22">
      <c r="A22" s="1" t="s">
        <v>3106</v>
      </c>
      <c r="B22" s="1" t="s">
        <v>3033</v>
      </c>
      <c r="C22" s="1" t="s">
        <v>3107</v>
      </c>
      <c r="D22" s="1"/>
      <c r="E22" s="1">
        <v>10.0</v>
      </c>
      <c r="F22" s="1">
        <v>22525.37872</v>
      </c>
      <c r="G22" s="1">
        <v>22525.37872</v>
      </c>
      <c r="H22" s="1">
        <v>77110.0</v>
      </c>
      <c r="I22" s="463">
        <v>46077.68376157407</v>
      </c>
      <c r="J22" s="86" t="s">
        <v>3104</v>
      </c>
      <c r="K22" s="86" t="s">
        <v>3108</v>
      </c>
      <c r="L22" s="515">
        <v>46079.0</v>
      </c>
      <c r="M22" s="1">
        <v>2.8</v>
      </c>
      <c r="N22" s="90" t="str">
        <f t="shared" si="1"/>
        <v/>
      </c>
      <c r="O22" s="1" t="str">
        <f t="array" ref="O22">iferror(INDEX(Loads!Q:Q, MATCH(#REF!, Loads!C:C, 0)),)</f>
        <v/>
      </c>
      <c r="P22" s="87">
        <f t="shared" si="2"/>
        <v>0</v>
      </c>
      <c r="Q22" s="90">
        <f t="shared" si="5"/>
        <v>9</v>
      </c>
      <c r="R22" s="90">
        <f t="shared" si="3"/>
        <v>5</v>
      </c>
      <c r="S22" s="681">
        <f t="shared" si="4"/>
        <v>46076</v>
      </c>
    </row>
    <row r="23">
      <c r="A23" s="1" t="s">
        <v>3109</v>
      </c>
      <c r="B23" s="1" t="s">
        <v>3033</v>
      </c>
      <c r="C23" s="1" t="s">
        <v>3110</v>
      </c>
      <c r="D23" s="1"/>
      <c r="E23" s="1" t="s">
        <v>715</v>
      </c>
      <c r="F23" s="1">
        <v>18890.0</v>
      </c>
      <c r="G23" s="1">
        <v>18890.0</v>
      </c>
      <c r="H23" s="1">
        <v>18890.0</v>
      </c>
      <c r="I23" s="463">
        <v>46078.522361111114</v>
      </c>
      <c r="J23" s="86" t="s">
        <v>3111</v>
      </c>
      <c r="K23" s="86" t="s">
        <v>3112</v>
      </c>
      <c r="L23" s="515">
        <v>46079.0</v>
      </c>
      <c r="M23" s="1">
        <v>2.8</v>
      </c>
      <c r="N23" s="90" t="str">
        <f t="shared" si="1"/>
        <v/>
      </c>
      <c r="O23" s="1" t="str">
        <f t="array" ref="O23">iferror(INDEX(Loads!Q:Q, MATCH(#REF!, Loads!C:C, 0)),)</f>
        <v/>
      </c>
      <c r="P23" s="87">
        <f t="shared" si="2"/>
        <v>0</v>
      </c>
      <c r="Q23" s="90">
        <f t="shared" si="5"/>
        <v>9</v>
      </c>
      <c r="R23" s="90">
        <f t="shared" si="3"/>
        <v>5</v>
      </c>
      <c r="S23" s="681">
        <f t="shared" si="4"/>
        <v>46076</v>
      </c>
    </row>
    <row r="24">
      <c r="A24" s="1" t="s">
        <v>3113</v>
      </c>
      <c r="B24" s="1" t="s">
        <v>3033</v>
      </c>
      <c r="C24" s="1" t="s">
        <v>3114</v>
      </c>
      <c r="D24" s="1"/>
      <c r="E24" s="1">
        <v>10.0</v>
      </c>
      <c r="F24" s="1">
        <v>23278.34144</v>
      </c>
      <c r="G24" s="1">
        <v>23278.34144</v>
      </c>
      <c r="H24" s="1">
        <v>77110.0</v>
      </c>
      <c r="I24" s="463">
        <v>46077.68376157407</v>
      </c>
      <c r="J24" s="86" t="s">
        <v>3104</v>
      </c>
      <c r="K24" s="86" t="s">
        <v>3115</v>
      </c>
      <c r="L24" s="515">
        <v>46079.0</v>
      </c>
      <c r="M24" s="1">
        <v>2.9</v>
      </c>
      <c r="N24" s="90" t="str">
        <f t="shared" si="1"/>
        <v/>
      </c>
      <c r="O24" s="1" t="str">
        <f t="array" ref="O24">iferror(INDEX(Loads!Q:Q, MATCH(#REF!, Loads!C:C, 0)),)</f>
        <v/>
      </c>
      <c r="P24" s="87">
        <f t="shared" si="2"/>
        <v>0</v>
      </c>
      <c r="Q24" s="90">
        <f t="shared" si="5"/>
        <v>9</v>
      </c>
      <c r="R24" s="90">
        <f t="shared" si="3"/>
        <v>5</v>
      </c>
      <c r="S24" s="681">
        <f t="shared" si="4"/>
        <v>46076</v>
      </c>
    </row>
    <row r="25">
      <c r="A25" s="1" t="s">
        <v>3116</v>
      </c>
      <c r="B25" s="1" t="s">
        <v>3033</v>
      </c>
      <c r="C25" s="1" t="s">
        <v>3117</v>
      </c>
      <c r="D25" s="1"/>
      <c r="E25" s="1">
        <v>10.0</v>
      </c>
      <c r="F25" s="1">
        <v>8699.8945</v>
      </c>
      <c r="G25" s="1">
        <v>8699.89456</v>
      </c>
      <c r="H25" s="1">
        <v>77110.0</v>
      </c>
      <c r="I25" s="463">
        <v>46077.68376157407</v>
      </c>
      <c r="J25" s="86" t="s">
        <v>3104</v>
      </c>
      <c r="K25" s="86" t="s">
        <v>3118</v>
      </c>
      <c r="L25" s="515">
        <v>46081.0</v>
      </c>
      <c r="M25" s="1">
        <v>2.8</v>
      </c>
      <c r="N25" s="90" t="str">
        <f t="shared" si="1"/>
        <v/>
      </c>
      <c r="O25" s="1" t="str">
        <f t="array" ref="O25">iferror(INDEX(Loads!Q:Q, MATCH(#REF!, Loads!C:C, 0)),)</f>
        <v/>
      </c>
      <c r="P25" s="87">
        <f t="shared" si="2"/>
        <v>0</v>
      </c>
      <c r="Q25" s="90">
        <f t="shared" si="5"/>
        <v>9</v>
      </c>
      <c r="R25" s="90">
        <f t="shared" si="3"/>
        <v>7</v>
      </c>
      <c r="S25" s="681">
        <f t="shared" si="4"/>
        <v>46076</v>
      </c>
      <c r="AB25" s="140"/>
      <c r="AC25" s="140"/>
    </row>
    <row r="26">
      <c r="A26" s="1" t="s">
        <v>3119</v>
      </c>
      <c r="B26" s="1" t="s">
        <v>3033</v>
      </c>
      <c r="C26" s="1" t="s">
        <v>3120</v>
      </c>
      <c r="D26" s="1"/>
      <c r="E26" s="1" t="s">
        <v>718</v>
      </c>
      <c r="F26" s="1">
        <v>19940.0</v>
      </c>
      <c r="G26" s="1">
        <v>19940.0</v>
      </c>
      <c r="H26" s="1">
        <v>19940.0</v>
      </c>
      <c r="I26" s="463">
        <v>46079.75016203704</v>
      </c>
      <c r="J26" s="86" t="s">
        <v>3121</v>
      </c>
      <c r="K26" s="86" t="s">
        <v>3122</v>
      </c>
      <c r="L26" s="515">
        <v>46082.0</v>
      </c>
      <c r="M26" s="1">
        <v>2.8</v>
      </c>
      <c r="N26" s="90" t="str">
        <f t="shared" si="1"/>
        <v/>
      </c>
      <c r="O26" s="1" t="str">
        <f t="array" ref="O26">iferror(INDEX(Loads!Q:Q, MATCH(#REF!, Loads!C:C, 0)),)</f>
        <v/>
      </c>
      <c r="P26" s="87">
        <f t="shared" si="2"/>
        <v>0</v>
      </c>
      <c r="Q26" s="90">
        <f t="shared" si="5"/>
        <v>9</v>
      </c>
      <c r="R26" s="90">
        <f t="shared" si="3"/>
        <v>1</v>
      </c>
      <c r="S26" s="681">
        <f t="shared" si="4"/>
        <v>46083</v>
      </c>
    </row>
    <row r="27">
      <c r="A27" s="1" t="s">
        <v>3123</v>
      </c>
      <c r="B27" s="1" t="s">
        <v>3033</v>
      </c>
      <c r="C27" s="1" t="s">
        <v>3124</v>
      </c>
      <c r="D27" s="1"/>
      <c r="E27" s="1" t="s">
        <v>723</v>
      </c>
      <c r="F27" s="1">
        <v>19970.0</v>
      </c>
      <c r="G27" s="1">
        <v>19970.0</v>
      </c>
      <c r="H27" s="1">
        <v>19970.0</v>
      </c>
      <c r="I27" s="463">
        <v>46079.58430555555</v>
      </c>
      <c r="J27" s="86" t="s">
        <v>3125</v>
      </c>
      <c r="K27" s="86" t="s">
        <v>3126</v>
      </c>
      <c r="L27" s="515">
        <v>46082.0</v>
      </c>
      <c r="M27" s="1">
        <v>2.9</v>
      </c>
      <c r="N27" s="90" t="str">
        <f t="shared" si="1"/>
        <v/>
      </c>
      <c r="O27" s="1" t="str">
        <f t="array" ref="O27">iferror(INDEX(Loads!Q:Q, MATCH(#REF!, Loads!C:C, 0)),)</f>
        <v/>
      </c>
      <c r="P27" s="87">
        <f t="shared" si="2"/>
        <v>0</v>
      </c>
      <c r="Q27" s="90">
        <f t="shared" si="5"/>
        <v>9</v>
      </c>
      <c r="R27" s="90">
        <f t="shared" si="3"/>
        <v>1</v>
      </c>
      <c r="S27" s="681">
        <f t="shared" si="4"/>
        <v>46083</v>
      </c>
    </row>
    <row r="28">
      <c r="A28" s="1" t="s">
        <v>3127</v>
      </c>
      <c r="B28" s="1" t="s">
        <v>3033</v>
      </c>
      <c r="C28" s="1" t="s">
        <v>3128</v>
      </c>
      <c r="D28" s="1"/>
      <c r="E28" s="1" t="s">
        <v>726</v>
      </c>
      <c r="F28" s="1">
        <v>19900.0</v>
      </c>
      <c r="G28" s="1">
        <v>19900.0</v>
      </c>
      <c r="H28" s="1">
        <v>19900.0</v>
      </c>
      <c r="I28" s="463">
        <v>46080.54481481481</v>
      </c>
      <c r="J28" s="86" t="s">
        <v>3129</v>
      </c>
      <c r="K28" s="86" t="s">
        <v>3130</v>
      </c>
      <c r="L28" s="515">
        <v>46082.0</v>
      </c>
      <c r="M28" s="1">
        <v>2.8</v>
      </c>
      <c r="N28" s="90" t="str">
        <f t="shared" si="1"/>
        <v/>
      </c>
      <c r="O28" s="1" t="str">
        <f t="array" ref="O28">iferror(INDEX(Loads!Q:Q, MATCH(#REF!, Loads!C:C, 0)),)</f>
        <v/>
      </c>
      <c r="P28" s="87">
        <f t="shared" si="2"/>
        <v>0</v>
      </c>
      <c r="Q28" s="90">
        <f t="shared" si="5"/>
        <v>9</v>
      </c>
      <c r="R28" s="90">
        <f t="shared" si="3"/>
        <v>1</v>
      </c>
      <c r="S28" s="681">
        <f t="shared" si="4"/>
        <v>46083</v>
      </c>
    </row>
    <row r="29">
      <c r="A29" s="1" t="s">
        <v>3131</v>
      </c>
      <c r="B29" s="1" t="s">
        <v>3033</v>
      </c>
      <c r="C29" s="1" t="s">
        <v>3132</v>
      </c>
      <c r="D29" s="1"/>
      <c r="E29" s="1" t="s">
        <v>729</v>
      </c>
      <c r="F29" s="1">
        <v>19690.0</v>
      </c>
      <c r="G29" s="1">
        <v>19690.0</v>
      </c>
      <c r="H29" s="1">
        <v>19690.0</v>
      </c>
      <c r="I29" s="463">
        <v>46080.54709490741</v>
      </c>
      <c r="J29" s="86" t="s">
        <v>3133</v>
      </c>
      <c r="K29" s="86" t="s">
        <v>3134</v>
      </c>
      <c r="L29" s="515">
        <v>46082.0</v>
      </c>
      <c r="M29" s="1">
        <v>2.7</v>
      </c>
      <c r="N29" s="90" t="str">
        <f t="shared" si="1"/>
        <v/>
      </c>
      <c r="O29" s="1" t="str">
        <f t="array" ref="O29">iferror(INDEX(Loads!Q:Q, MATCH(#REF!, Loads!C:C, 0)),)</f>
        <v/>
      </c>
      <c r="P29" s="87">
        <f t="shared" si="2"/>
        <v>0</v>
      </c>
      <c r="Q29" s="90">
        <f t="shared" si="5"/>
        <v>9</v>
      </c>
      <c r="R29" s="90">
        <f t="shared" si="3"/>
        <v>1</v>
      </c>
      <c r="S29" s="681">
        <f t="shared" si="4"/>
        <v>46083</v>
      </c>
    </row>
    <row r="30">
      <c r="A30" s="1" t="s">
        <v>3135</v>
      </c>
      <c r="B30" s="1" t="s">
        <v>3033</v>
      </c>
      <c r="C30" s="1" t="s">
        <v>3136</v>
      </c>
      <c r="D30" s="1"/>
      <c r="E30" s="1" t="s">
        <v>734</v>
      </c>
      <c r="F30" s="1">
        <v>18770.0</v>
      </c>
      <c r="G30" s="1">
        <v>18770.0</v>
      </c>
      <c r="H30" s="1">
        <v>18770.0</v>
      </c>
      <c r="I30" s="463">
        <v>46080.54800925926</v>
      </c>
      <c r="J30" s="86" t="s">
        <v>3137</v>
      </c>
      <c r="K30" s="86" t="s">
        <v>3138</v>
      </c>
      <c r="L30" s="515">
        <v>46082.0</v>
      </c>
      <c r="M30" s="1">
        <v>2.9</v>
      </c>
      <c r="N30" s="90" t="str">
        <f t="shared" si="1"/>
        <v/>
      </c>
      <c r="O30" s="1" t="str">
        <f t="array" ref="O30">iferror(INDEX(Loads!Q:Q, MATCH(#REF!, Loads!C:C, 0)),)</f>
        <v/>
      </c>
      <c r="P30" s="87">
        <f t="shared" si="2"/>
        <v>0</v>
      </c>
      <c r="Q30" s="90">
        <f t="shared" si="5"/>
        <v>9</v>
      </c>
      <c r="R30" s="90">
        <f t="shared" si="3"/>
        <v>1</v>
      </c>
      <c r="S30" s="681">
        <f t="shared" si="4"/>
        <v>46083</v>
      </c>
    </row>
    <row r="31">
      <c r="A31" s="1" t="s">
        <v>3139</v>
      </c>
      <c r="B31" s="1" t="s">
        <v>3033</v>
      </c>
      <c r="C31" s="1" t="s">
        <v>3140</v>
      </c>
      <c r="D31" s="1"/>
      <c r="E31" s="1" t="s">
        <v>738</v>
      </c>
      <c r="F31" s="1">
        <v>19649.60544</v>
      </c>
      <c r="G31" s="1">
        <v>19649.60544</v>
      </c>
      <c r="H31" s="1">
        <v>20050.0</v>
      </c>
      <c r="I31" s="463">
        <v>46082.599444444444</v>
      </c>
      <c r="J31" s="86" t="s">
        <v>3141</v>
      </c>
      <c r="K31" s="86" t="s">
        <v>3142</v>
      </c>
      <c r="L31" s="515">
        <v>46083.0</v>
      </c>
      <c r="M31" s="1">
        <v>2.8</v>
      </c>
      <c r="N31" s="90" t="str">
        <f t="shared" si="1"/>
        <v/>
      </c>
      <c r="O31" s="1" t="str">
        <f t="array" ref="O31">iferror(INDEX(Loads!Q:Q, MATCH(#REF!, Loads!C:C, 0)),)</f>
        <v/>
      </c>
      <c r="P31" s="87">
        <f t="shared" si="2"/>
        <v>0</v>
      </c>
      <c r="Q31" s="90">
        <f t="shared" si="5"/>
        <v>10</v>
      </c>
      <c r="R31" s="90">
        <f t="shared" si="3"/>
        <v>2</v>
      </c>
      <c r="S31" s="681">
        <f t="shared" si="4"/>
        <v>46083</v>
      </c>
    </row>
    <row r="32">
      <c r="A32" s="1" t="s">
        <v>3143</v>
      </c>
      <c r="B32" s="1" t="s">
        <v>3033</v>
      </c>
      <c r="C32" s="1" t="s">
        <v>3144</v>
      </c>
      <c r="D32" s="1"/>
      <c r="E32" s="1" t="s">
        <v>742</v>
      </c>
      <c r="F32" s="1">
        <v>19340.0</v>
      </c>
      <c r="G32" s="1">
        <v>19340.0</v>
      </c>
      <c r="H32" s="1">
        <v>19340.0</v>
      </c>
      <c r="I32" s="463">
        <v>46082.60039351852</v>
      </c>
      <c r="J32" s="86" t="s">
        <v>3145</v>
      </c>
      <c r="K32" s="86" t="s">
        <v>3146</v>
      </c>
      <c r="L32" s="515">
        <v>46083.0</v>
      </c>
      <c r="M32" s="1">
        <v>2.8</v>
      </c>
      <c r="N32" s="90" t="str">
        <f t="shared" si="1"/>
        <v/>
      </c>
      <c r="O32" s="1" t="str">
        <f t="array" ref="O32">iferror(INDEX(Loads!Q:Q, MATCH(#REF!, Loads!C:C, 0)),)</f>
        <v/>
      </c>
      <c r="P32" s="87">
        <f t="shared" si="2"/>
        <v>0</v>
      </c>
      <c r="Q32" s="90">
        <f t="shared" si="5"/>
        <v>10</v>
      </c>
      <c r="R32" s="90">
        <f t="shared" si="3"/>
        <v>2</v>
      </c>
      <c r="S32" s="681">
        <f t="shared" si="4"/>
        <v>46083</v>
      </c>
    </row>
    <row r="33">
      <c r="A33" s="1" t="s">
        <v>3147</v>
      </c>
      <c r="B33" s="1" t="s">
        <v>3033</v>
      </c>
      <c r="C33" s="1" t="s">
        <v>3148</v>
      </c>
      <c r="D33" s="1"/>
      <c r="E33" s="1" t="s">
        <v>745</v>
      </c>
      <c r="F33" s="1">
        <v>19590.0</v>
      </c>
      <c r="G33" s="1">
        <v>19590.0</v>
      </c>
      <c r="H33" s="1">
        <v>19590.0</v>
      </c>
      <c r="I33" s="463">
        <v>46083.73731481482</v>
      </c>
      <c r="J33" s="86" t="s">
        <v>3149</v>
      </c>
      <c r="K33" s="86" t="s">
        <v>3150</v>
      </c>
      <c r="L33" s="515">
        <v>46093.0</v>
      </c>
      <c r="M33" s="1">
        <v>2.9</v>
      </c>
      <c r="N33" s="90" t="str">
        <f t="shared" si="1"/>
        <v/>
      </c>
      <c r="O33" s="1" t="str">
        <f t="array" ref="O33">iferror(INDEX(Loads!Q:Q, MATCH(#REF!, Loads!C:C, 0)),)</f>
        <v/>
      </c>
      <c r="P33" s="87">
        <f t="shared" si="2"/>
        <v>0</v>
      </c>
      <c r="Q33" s="90">
        <f t="shared" si="5"/>
        <v>11</v>
      </c>
      <c r="R33" s="90">
        <f t="shared" si="3"/>
        <v>5</v>
      </c>
      <c r="S33" s="681">
        <f t="shared" si="4"/>
        <v>46090</v>
      </c>
    </row>
    <row r="34">
      <c r="A34" s="1" t="s">
        <v>3151</v>
      </c>
      <c r="B34" s="1" t="s">
        <v>3033</v>
      </c>
      <c r="C34" s="1" t="s">
        <v>3152</v>
      </c>
      <c r="D34" s="1"/>
      <c r="E34" s="1" t="s">
        <v>758</v>
      </c>
      <c r="F34" s="1">
        <v>18243.485</v>
      </c>
      <c r="G34" s="1">
        <v>18243.485</v>
      </c>
      <c r="H34" s="1">
        <v>19580.0</v>
      </c>
      <c r="I34" s="463">
        <v>46090.94002314815</v>
      </c>
      <c r="J34" s="86" t="s">
        <v>3153</v>
      </c>
      <c r="K34" s="86" t="s">
        <v>3154</v>
      </c>
      <c r="L34" s="515">
        <v>46093.0</v>
      </c>
      <c r="M34" s="1">
        <v>3.6</v>
      </c>
      <c r="N34" s="90" t="str">
        <f t="shared" ref="N34:N37" si="6">iferror(#REF!/I34,)</f>
        <v/>
      </c>
      <c r="O34" s="1" t="str">
        <f t="array" ref="O34">iferror(INDEX(Loads!Q:Q, MATCH(#REF!, Loads!C:C, 0)),)</f>
        <v/>
      </c>
      <c r="P34" s="87">
        <f t="shared" si="2"/>
        <v>0</v>
      </c>
      <c r="Q34" s="90">
        <f t="shared" si="5"/>
        <v>11</v>
      </c>
      <c r="R34" s="90">
        <f t="shared" si="3"/>
        <v>5</v>
      </c>
      <c r="S34" s="681">
        <f>(L34-R34)+2</f>
        <v>46090</v>
      </c>
    </row>
    <row r="35">
      <c r="A35" s="1" t="s">
        <v>3155</v>
      </c>
      <c r="B35" s="1" t="s">
        <v>3033</v>
      </c>
      <c r="C35" s="1" t="s">
        <v>3156</v>
      </c>
      <c r="D35" s="1"/>
      <c r="E35" s="1" t="s">
        <v>762</v>
      </c>
      <c r="F35" s="1">
        <v>20593.0768</v>
      </c>
      <c r="G35" s="1">
        <v>20593.0768</v>
      </c>
      <c r="H35" s="1">
        <v>20630.0</v>
      </c>
      <c r="I35" s="463">
        <v>46090.94775462963</v>
      </c>
      <c r="J35" s="86" t="s">
        <v>3157</v>
      </c>
      <c r="K35" s="86" t="s">
        <v>3158</v>
      </c>
      <c r="L35" s="515">
        <v>46094.0</v>
      </c>
      <c r="M35" s="1">
        <v>2.5</v>
      </c>
      <c r="N35" s="90" t="str">
        <f t="shared" si="6"/>
        <v/>
      </c>
      <c r="O35" s="90" t="str">
        <f t="array" ref="O35">iferror(INDEX(Loads!Q:Q, MATCH(#REF!, Loads!C:C, 0)),)</f>
        <v/>
      </c>
      <c r="P35" s="87">
        <f t="shared" si="2"/>
        <v>0</v>
      </c>
      <c r="Q35" s="90">
        <f t="shared" si="5"/>
        <v>11</v>
      </c>
      <c r="R35" s="90">
        <f t="shared" si="3"/>
        <v>6</v>
      </c>
      <c r="S35" s="681">
        <f t="shared" ref="S35:S53" si="7">(L35-R35)+2</f>
        <v>46090</v>
      </c>
    </row>
    <row r="36">
      <c r="A36" s="1" t="s">
        <v>3159</v>
      </c>
      <c r="B36" s="1" t="s">
        <v>3033</v>
      </c>
      <c r="C36" s="1" t="s">
        <v>3160</v>
      </c>
      <c r="D36" s="1"/>
      <c r="E36" s="1" t="s">
        <v>765</v>
      </c>
      <c r="F36" s="1">
        <v>19969.0</v>
      </c>
      <c r="G36" s="1">
        <v>19970.0</v>
      </c>
      <c r="H36" s="1">
        <v>19970.0</v>
      </c>
      <c r="I36" s="463">
        <v>46089.793587962966</v>
      </c>
      <c r="J36" s="86" t="s">
        <v>3161</v>
      </c>
      <c r="K36" s="86" t="s">
        <v>3162</v>
      </c>
      <c r="L36" s="515">
        <v>46094.0</v>
      </c>
      <c r="M36" s="1">
        <v>3.0</v>
      </c>
      <c r="N36" s="90" t="str">
        <f t="shared" si="6"/>
        <v/>
      </c>
      <c r="O36" s="90" t="str">
        <f t="array" ref="O36">iferror(INDEX(Loads!Q:Q, MATCH(#REF!, Loads!C:C, 0)),)</f>
        <v/>
      </c>
      <c r="P36" s="87">
        <f t="shared" si="2"/>
        <v>0</v>
      </c>
      <c r="Q36" s="90">
        <f t="shared" si="5"/>
        <v>11</v>
      </c>
      <c r="R36" s="90">
        <f t="shared" si="3"/>
        <v>6</v>
      </c>
      <c r="S36" s="681">
        <f t="shared" si="7"/>
        <v>46090</v>
      </c>
    </row>
    <row r="37">
      <c r="A37" s="1" t="s">
        <v>3163</v>
      </c>
      <c r="B37" s="1" t="s">
        <v>3033</v>
      </c>
      <c r="C37" s="1" t="s">
        <v>3164</v>
      </c>
      <c r="D37" s="1"/>
      <c r="E37" s="1" t="s">
        <v>770</v>
      </c>
      <c r="F37" s="1">
        <v>20000.0</v>
      </c>
      <c r="G37" s="1">
        <v>20000.0</v>
      </c>
      <c r="H37" s="1">
        <v>20000.0</v>
      </c>
      <c r="I37" s="463">
        <v>46089.79452546296</v>
      </c>
      <c r="J37" s="86" t="s">
        <v>3165</v>
      </c>
      <c r="K37" s="86" t="s">
        <v>3166</v>
      </c>
      <c r="L37" s="515">
        <v>46094.0</v>
      </c>
      <c r="M37" s="1">
        <v>2.7</v>
      </c>
      <c r="N37" s="90" t="str">
        <f t="shared" si="6"/>
        <v/>
      </c>
      <c r="O37" s="90" t="str">
        <f t="array" ref="O37">iferror(INDEX(Loads!Q:Q, MATCH(#REF!, Loads!C:C, 0)),)</f>
        <v/>
      </c>
      <c r="P37" s="87">
        <f t="shared" si="2"/>
        <v>0</v>
      </c>
      <c r="Q37" s="90">
        <f t="shared" si="5"/>
        <v>11</v>
      </c>
      <c r="R37" s="90">
        <f t="shared" si="3"/>
        <v>6</v>
      </c>
      <c r="S37" s="681">
        <f t="shared" si="7"/>
        <v>46090</v>
      </c>
    </row>
    <row r="38">
      <c r="A38" s="1" t="s">
        <v>3167</v>
      </c>
      <c r="B38" s="1" t="s">
        <v>3033</v>
      </c>
      <c r="C38" s="1" t="s">
        <v>3168</v>
      </c>
      <c r="D38" s="1"/>
      <c r="E38" s="1" t="s">
        <v>773</v>
      </c>
      <c r="F38" s="1">
        <v>19520.0</v>
      </c>
      <c r="G38" s="1">
        <v>19520.0</v>
      </c>
      <c r="H38" s="1">
        <v>19520.0</v>
      </c>
      <c r="I38" s="463">
        <v>46090.95638888889</v>
      </c>
      <c r="J38" s="86" t="s">
        <v>3169</v>
      </c>
      <c r="K38" s="86" t="s">
        <v>3170</v>
      </c>
      <c r="L38" s="515">
        <v>46094.0</v>
      </c>
      <c r="M38" s="1">
        <v>2.9</v>
      </c>
      <c r="N38" s="90" t="str">
        <f>iferror(#REF!/I38,)</f>
        <v/>
      </c>
      <c r="O38" s="1" t="str">
        <f t="array" ref="O38">iferror(INDEX(Loads!Q:Q, MATCH(#REF!, Loads!C:C, 0)),)</f>
        <v/>
      </c>
      <c r="P38" s="87">
        <f t="shared" si="2"/>
        <v>0</v>
      </c>
      <c r="Q38" s="90">
        <f t="shared" si="5"/>
        <v>11</v>
      </c>
      <c r="R38" s="90">
        <f t="shared" si="3"/>
        <v>6</v>
      </c>
      <c r="S38" s="681">
        <f t="shared" si="7"/>
        <v>46090</v>
      </c>
    </row>
    <row r="39" ht="15.0" customHeight="1">
      <c r="A39" s="1" t="s">
        <v>3171</v>
      </c>
      <c r="B39" s="1" t="s">
        <v>3033</v>
      </c>
      <c r="C39" s="1" t="s">
        <v>3172</v>
      </c>
      <c r="D39" s="1"/>
      <c r="E39" s="1" t="s">
        <v>777</v>
      </c>
      <c r="F39" s="1">
        <v>19990.0</v>
      </c>
      <c r="G39" s="1">
        <v>19990.0</v>
      </c>
      <c r="H39" s="1">
        <v>19990.0</v>
      </c>
      <c r="I39" s="463">
        <v>46097.50844907408</v>
      </c>
      <c r="J39" s="86" t="s">
        <v>3173</v>
      </c>
      <c r="K39" s="86" t="s">
        <v>3174</v>
      </c>
      <c r="L39" s="515">
        <v>46100.0</v>
      </c>
      <c r="M39" s="1">
        <v>3.0</v>
      </c>
      <c r="N39" s="90" t="str">
        <f t="shared" ref="N39:N40" si="8">iferror(#REF!/I39,)</f>
        <v/>
      </c>
      <c r="O39" s="90" t="str">
        <f t="array" ref="O39">iferror(INDEX(Loads!Q:Q, MATCH(#REF!, Loads!C:C, 0)),)</f>
        <v/>
      </c>
      <c r="P39" s="87">
        <f t="shared" si="2"/>
        <v>0</v>
      </c>
      <c r="Q39" s="90">
        <f t="shared" si="5"/>
        <v>12</v>
      </c>
      <c r="R39" s="90">
        <f t="shared" si="3"/>
        <v>5</v>
      </c>
      <c r="S39" s="681">
        <f t="shared" si="7"/>
        <v>46097</v>
      </c>
    </row>
    <row r="40">
      <c r="A40" s="1" t="s">
        <v>3175</v>
      </c>
      <c r="B40" s="1" t="s">
        <v>3033</v>
      </c>
      <c r="C40" s="1" t="s">
        <v>3176</v>
      </c>
      <c r="D40" s="1"/>
      <c r="E40" s="1" t="s">
        <v>781</v>
      </c>
      <c r="F40" s="1">
        <v>19880.0</v>
      </c>
      <c r="G40" s="1">
        <v>19880.0</v>
      </c>
      <c r="H40" s="1">
        <v>19880.0</v>
      </c>
      <c r="I40" s="463">
        <v>46097.838368055556</v>
      </c>
      <c r="J40" s="86" t="s">
        <v>3177</v>
      </c>
      <c r="K40" s="86" t="s">
        <v>3178</v>
      </c>
      <c r="L40" s="515">
        <v>46100.0</v>
      </c>
      <c r="M40" s="1">
        <v>2.6</v>
      </c>
      <c r="N40" s="90" t="str">
        <f t="shared" si="8"/>
        <v/>
      </c>
      <c r="O40" s="90" t="str">
        <f t="array" ref="O40">iferror(INDEX(Loads!Q:Q, MATCH(#REF!, Loads!C:C, 0)),)</f>
        <v/>
      </c>
      <c r="P40" s="87">
        <f t="shared" si="2"/>
        <v>0</v>
      </c>
      <c r="Q40" s="90">
        <f t="shared" si="5"/>
        <v>12</v>
      </c>
      <c r="R40" s="90">
        <f t="shared" si="3"/>
        <v>5</v>
      </c>
      <c r="S40" s="681">
        <f t="shared" si="7"/>
        <v>46097</v>
      </c>
    </row>
    <row r="41">
      <c r="A41" s="1" t="s">
        <v>3179</v>
      </c>
      <c r="B41" s="1" t="s">
        <v>3033</v>
      </c>
      <c r="C41" s="1" t="s">
        <v>3180</v>
      </c>
      <c r="D41" s="1"/>
      <c r="E41" s="1" t="s">
        <v>794</v>
      </c>
      <c r="F41" s="1">
        <v>19370.0</v>
      </c>
      <c r="G41" s="1">
        <v>19370.0</v>
      </c>
      <c r="H41" s="1">
        <v>19370.0</v>
      </c>
      <c r="I41" s="463">
        <v>46098.797581018516</v>
      </c>
      <c r="J41" s="86" t="s">
        <v>3181</v>
      </c>
      <c r="K41" s="86" t="s">
        <v>3182</v>
      </c>
      <c r="L41" s="515">
        <v>46100.0</v>
      </c>
      <c r="M41" s="1">
        <v>2.6</v>
      </c>
      <c r="N41" s="90" t="str">
        <f t="shared" ref="N41:N42" si="9">iferror(#REF!/I41,)</f>
        <v/>
      </c>
      <c r="O41" s="1" t="str">
        <f t="array" ref="O41">iferror(INDEX(Loads!Q:Q, MATCH(#REF!, Loads!C:C, 0)),)</f>
        <v/>
      </c>
      <c r="P41" s="87">
        <f t="shared" si="2"/>
        <v>0</v>
      </c>
      <c r="Q41" s="90">
        <f t="shared" si="5"/>
        <v>12</v>
      </c>
      <c r="R41" s="90">
        <f t="shared" si="3"/>
        <v>5</v>
      </c>
      <c r="S41" s="681">
        <f t="shared" si="7"/>
        <v>46097</v>
      </c>
    </row>
    <row r="42">
      <c r="A42" s="1" t="s">
        <v>3183</v>
      </c>
      <c r="B42" s="1" t="s">
        <v>3033</v>
      </c>
      <c r="C42" s="1" t="s">
        <v>3184</v>
      </c>
      <c r="D42" s="1"/>
      <c r="E42" s="1" t="s">
        <v>791</v>
      </c>
      <c r="F42" s="1">
        <v>18410.0</v>
      </c>
      <c r="G42" s="1">
        <v>18410.0</v>
      </c>
      <c r="H42" s="1">
        <v>18410.0</v>
      </c>
      <c r="I42" s="463">
        <v>46097.839895833335</v>
      </c>
      <c r="J42" s="86" t="s">
        <v>3185</v>
      </c>
      <c r="K42" s="86" t="s">
        <v>3186</v>
      </c>
      <c r="L42" s="515">
        <v>46101.0</v>
      </c>
      <c r="M42" s="1">
        <v>2.6</v>
      </c>
      <c r="N42" s="90" t="str">
        <f t="shared" si="9"/>
        <v/>
      </c>
      <c r="O42" s="90" t="str">
        <f t="array" ref="O42">iferror(INDEX(Loads!Q:Q, MATCH(#REF!, Loads!C:C, 0)),)</f>
        <v/>
      </c>
      <c r="P42" s="87">
        <f t="shared" si="2"/>
        <v>0</v>
      </c>
      <c r="Q42" s="90">
        <f t="shared" si="5"/>
        <v>12</v>
      </c>
      <c r="R42" s="90">
        <f t="shared" si="3"/>
        <v>6</v>
      </c>
      <c r="S42" s="681">
        <f t="shared" si="7"/>
        <v>46097</v>
      </c>
    </row>
    <row r="43">
      <c r="A43" s="1" t="s">
        <v>3187</v>
      </c>
      <c r="B43" s="1" t="s">
        <v>3033</v>
      </c>
      <c r="C43" s="1" t="s">
        <v>3188</v>
      </c>
      <c r="D43" s="1"/>
      <c r="E43" s="1" t="s">
        <v>786</v>
      </c>
      <c r="F43" s="1">
        <v>19800.0</v>
      </c>
      <c r="G43" s="1">
        <v>19800.0</v>
      </c>
      <c r="H43" s="1">
        <v>19800.0</v>
      </c>
      <c r="I43" s="463">
        <v>46097.83902777778</v>
      </c>
      <c r="J43" s="86" t="s">
        <v>3189</v>
      </c>
      <c r="K43" s="86" t="s">
        <v>3190</v>
      </c>
      <c r="L43" s="515">
        <v>46101.0</v>
      </c>
      <c r="M43" s="1">
        <v>2.5</v>
      </c>
      <c r="N43" s="90" t="str">
        <f t="shared" ref="N43:N44" si="10">iferror(#REF!/I43,)</f>
        <v/>
      </c>
      <c r="O43" s="90" t="str">
        <f t="array" ref="O43">iferror(INDEX(Loads!Q:Q, MATCH(#REF!, Loads!C:C, 0)),)</f>
        <v/>
      </c>
      <c r="P43" s="87">
        <f t="shared" si="2"/>
        <v>0</v>
      </c>
      <c r="Q43" s="90">
        <f t="shared" si="5"/>
        <v>12</v>
      </c>
      <c r="R43" s="90">
        <f t="shared" si="3"/>
        <v>6</v>
      </c>
      <c r="S43" s="681">
        <f t="shared" si="7"/>
        <v>46097</v>
      </c>
    </row>
    <row r="44">
      <c r="A44" s="1" t="s">
        <v>3191</v>
      </c>
      <c r="B44" s="1" t="s">
        <v>3033</v>
      </c>
      <c r="C44" s="1" t="s">
        <v>3192</v>
      </c>
      <c r="D44" s="1"/>
      <c r="E44" s="1" t="s">
        <v>797</v>
      </c>
      <c r="F44" s="1">
        <v>19760.0</v>
      </c>
      <c r="G44" s="1">
        <v>19760.0</v>
      </c>
      <c r="H44" s="1">
        <v>19760.0</v>
      </c>
      <c r="I44" s="463">
        <v>46099.55335648148</v>
      </c>
      <c r="J44" s="86" t="s">
        <v>3193</v>
      </c>
      <c r="K44" s="86" t="s">
        <v>3194</v>
      </c>
      <c r="L44" s="515">
        <v>46100.0</v>
      </c>
      <c r="M44" s="1">
        <v>2.6</v>
      </c>
      <c r="N44" s="90" t="str">
        <f t="shared" si="10"/>
        <v/>
      </c>
      <c r="O44" s="90" t="str">
        <f t="array" ref="O44">iferror(INDEX(Loads!Q:Q, MATCH(#REF!, Loads!C:C, 0)),)</f>
        <v/>
      </c>
      <c r="P44" s="87">
        <f t="shared" si="2"/>
        <v>0</v>
      </c>
      <c r="Q44" s="90">
        <f t="shared" si="5"/>
        <v>12</v>
      </c>
      <c r="R44" s="90">
        <f t="shared" si="3"/>
        <v>5</v>
      </c>
      <c r="S44" s="681">
        <f t="shared" si="7"/>
        <v>46097</v>
      </c>
    </row>
    <row r="45">
      <c r="A45" s="1" t="s">
        <v>3195</v>
      </c>
      <c r="B45" s="1" t="s">
        <v>3033</v>
      </c>
      <c r="C45" s="1" t="s">
        <v>3196</v>
      </c>
      <c r="D45" s="1"/>
      <c r="E45" s="1" t="s">
        <v>802</v>
      </c>
      <c r="F45" s="1">
        <v>20110.0</v>
      </c>
      <c r="G45" s="1">
        <v>20110.0</v>
      </c>
      <c r="H45" s="1">
        <v>20110.0</v>
      </c>
      <c r="I45" s="463">
        <v>46100.54913194444</v>
      </c>
      <c r="J45" s="86" t="s">
        <v>3197</v>
      </c>
      <c r="K45" s="86" t="s">
        <v>3198</v>
      </c>
      <c r="L45" s="515">
        <v>46101.0</v>
      </c>
      <c r="M45" s="1">
        <v>2.6</v>
      </c>
      <c r="N45" s="90" t="str">
        <f t="shared" ref="N45:N46" si="11">iferror(#REF!/I45,)</f>
        <v/>
      </c>
      <c r="O45" s="90" t="str">
        <f t="array" ref="O45">iferror(INDEX(Loads!Q:Q, MATCH(#REF!, Loads!C:C, 0)),)</f>
        <v/>
      </c>
      <c r="P45" s="87">
        <f t="shared" si="2"/>
        <v>0</v>
      </c>
      <c r="Q45" s="90">
        <f t="shared" si="5"/>
        <v>12</v>
      </c>
      <c r="R45" s="90">
        <f t="shared" si="3"/>
        <v>6</v>
      </c>
      <c r="S45" s="681">
        <f t="shared" si="7"/>
        <v>46097</v>
      </c>
    </row>
    <row r="46">
      <c r="A46" s="1" t="s">
        <v>3199</v>
      </c>
      <c r="B46" s="1" t="s">
        <v>3033</v>
      </c>
      <c r="C46" s="1" t="s">
        <v>3200</v>
      </c>
      <c r="D46" s="1"/>
      <c r="E46" s="1" t="s">
        <v>806</v>
      </c>
      <c r="F46" s="1">
        <v>19800.0</v>
      </c>
      <c r="G46" s="1">
        <v>19800.0</v>
      </c>
      <c r="H46" s="1">
        <v>19800.0</v>
      </c>
      <c r="I46" s="463">
        <v>46100.5496412037</v>
      </c>
      <c r="J46" s="86" t="s">
        <v>3201</v>
      </c>
      <c r="K46" s="86" t="s">
        <v>3202</v>
      </c>
      <c r="L46" s="515">
        <v>46102.0</v>
      </c>
      <c r="M46" s="1">
        <v>2.5</v>
      </c>
      <c r="N46" s="90" t="str">
        <f t="shared" si="11"/>
        <v/>
      </c>
      <c r="O46" s="1" t="str">
        <f t="array" ref="O46">iferror(INDEX(Loads!Q:Q, MATCH(#REF!, Loads!C:C, 0)),)</f>
        <v/>
      </c>
      <c r="P46" s="87">
        <f t="shared" si="2"/>
        <v>0</v>
      </c>
      <c r="Q46" s="90">
        <f t="shared" si="5"/>
        <v>12</v>
      </c>
      <c r="R46" s="90">
        <f t="shared" si="3"/>
        <v>7</v>
      </c>
      <c r="S46" s="681">
        <f t="shared" si="7"/>
        <v>46097</v>
      </c>
    </row>
    <row r="47">
      <c r="A47" s="1" t="s">
        <v>3203</v>
      </c>
      <c r="B47" s="1" t="s">
        <v>3033</v>
      </c>
      <c r="C47" s="1" t="s">
        <v>3204</v>
      </c>
      <c r="D47" s="1"/>
      <c r="E47" s="1" t="s">
        <v>810</v>
      </c>
      <c r="F47" s="1">
        <v>19190.0</v>
      </c>
      <c r="G47" s="1">
        <v>19190.0</v>
      </c>
      <c r="H47" s="1">
        <v>19190.0</v>
      </c>
      <c r="I47" s="463">
        <v>46101.545266203706</v>
      </c>
      <c r="J47" s="86" t="s">
        <v>3205</v>
      </c>
      <c r="K47" s="86" t="s">
        <v>3206</v>
      </c>
      <c r="L47" s="515">
        <v>46102.0</v>
      </c>
      <c r="M47" s="1">
        <v>2.6</v>
      </c>
      <c r="N47" s="90" t="str">
        <f t="shared" ref="N47:N49" si="12">iferror(#REF!/I47,)</f>
        <v/>
      </c>
      <c r="O47" s="90" t="str">
        <f t="array" ref="O47">iferror(INDEX(Loads!Q:Q, MATCH(#REF!, Loads!C:C, 0)),)</f>
        <v/>
      </c>
      <c r="P47" s="87">
        <f t="shared" si="2"/>
        <v>0</v>
      </c>
      <c r="Q47" s="90">
        <f t="shared" si="5"/>
        <v>12</v>
      </c>
      <c r="R47" s="90">
        <f t="shared" si="3"/>
        <v>7</v>
      </c>
      <c r="S47" s="681">
        <f t="shared" si="7"/>
        <v>46097</v>
      </c>
    </row>
    <row r="48">
      <c r="A48" s="1" t="s">
        <v>3207</v>
      </c>
      <c r="B48" s="1" t="s">
        <v>3033</v>
      </c>
      <c r="C48" s="1" t="s">
        <v>3208</v>
      </c>
      <c r="D48" s="1"/>
      <c r="E48" s="1" t="s">
        <v>814</v>
      </c>
      <c r="F48" s="1">
        <v>19760.0</v>
      </c>
      <c r="G48" s="1">
        <v>19760.0</v>
      </c>
      <c r="H48" s="1">
        <v>19760.0</v>
      </c>
      <c r="I48" s="463">
        <v>46101.546898148146</v>
      </c>
      <c r="J48" s="86" t="s">
        <v>3209</v>
      </c>
      <c r="K48" s="86" t="s">
        <v>3210</v>
      </c>
      <c r="L48" s="515">
        <v>46102.0</v>
      </c>
      <c r="M48" s="1">
        <v>2.6</v>
      </c>
      <c r="N48" s="90" t="str">
        <f t="shared" si="12"/>
        <v/>
      </c>
      <c r="O48" s="90" t="str">
        <f t="array" ref="O48">iferror(INDEX(Loads!Q:Q, MATCH(#REF!, Loads!C:C, 0)),)</f>
        <v/>
      </c>
      <c r="P48" s="87">
        <f t="shared" si="2"/>
        <v>0</v>
      </c>
      <c r="Q48" s="90">
        <f t="shared" si="5"/>
        <v>12</v>
      </c>
      <c r="R48" s="90">
        <f t="shared" si="3"/>
        <v>7</v>
      </c>
      <c r="S48" s="681">
        <f t="shared" si="7"/>
        <v>46097</v>
      </c>
    </row>
    <row r="49">
      <c r="A49" s="1" t="s">
        <v>3211</v>
      </c>
      <c r="B49" s="1" t="s">
        <v>3033</v>
      </c>
      <c r="C49" s="1" t="s">
        <v>3212</v>
      </c>
      <c r="D49" s="1"/>
      <c r="E49" s="1" t="s">
        <v>817</v>
      </c>
      <c r="F49" s="1">
        <v>19577.0</v>
      </c>
      <c r="G49" s="1">
        <v>19577.03072</v>
      </c>
      <c r="H49" s="1">
        <v>19660.0</v>
      </c>
      <c r="I49" s="463">
        <v>46101.547789351855</v>
      </c>
      <c r="J49" s="86" t="s">
        <v>3213</v>
      </c>
      <c r="K49" s="86" t="s">
        <v>3214</v>
      </c>
      <c r="L49" s="515">
        <v>46102.0</v>
      </c>
      <c r="M49" s="1">
        <v>2.6</v>
      </c>
      <c r="N49" s="90" t="str">
        <f t="shared" si="12"/>
        <v/>
      </c>
      <c r="O49" s="90" t="str">
        <f t="array" ref="O49">iferror(INDEX(Loads!Q:Q, MATCH(#REF!, Loads!C:C, 0)),)</f>
        <v/>
      </c>
      <c r="P49" s="87">
        <f t="shared" si="2"/>
        <v>0</v>
      </c>
      <c r="Q49" s="90">
        <f t="shared" si="5"/>
        <v>12</v>
      </c>
      <c r="R49" s="90">
        <f t="shared" si="3"/>
        <v>7</v>
      </c>
      <c r="S49" s="681">
        <f t="shared" si="7"/>
        <v>46097</v>
      </c>
    </row>
    <row r="50">
      <c r="A50" s="1" t="s">
        <v>3215</v>
      </c>
      <c r="B50" s="1" t="s">
        <v>3033</v>
      </c>
      <c r="C50" s="1" t="s">
        <v>3216</v>
      </c>
      <c r="D50" s="1"/>
      <c r="E50" s="1" t="s">
        <v>832</v>
      </c>
      <c r="F50" s="1">
        <v>20039.69456</v>
      </c>
      <c r="G50" s="1">
        <v>20039.69456</v>
      </c>
      <c r="H50" s="1">
        <v>20180.0</v>
      </c>
      <c r="I50" s="463">
        <v>46102.82144675926</v>
      </c>
      <c r="J50" s="86" t="s">
        <v>3217</v>
      </c>
      <c r="K50" s="86" t="s">
        <v>3218</v>
      </c>
      <c r="L50" s="515">
        <v>46102.0</v>
      </c>
      <c r="M50" s="1">
        <v>2.7</v>
      </c>
      <c r="N50" s="90" t="str">
        <f t="shared" ref="N50:N53" si="13">iferror(#REF!/I50,)</f>
        <v/>
      </c>
      <c r="O50" s="90" t="str">
        <f t="array" ref="O50">iferror(INDEX(Loads!Q:Q, MATCH(#REF!, Loads!C:C, 0)),)</f>
        <v/>
      </c>
      <c r="P50" s="87">
        <f t="shared" si="2"/>
        <v>0</v>
      </c>
      <c r="Q50" s="90">
        <f t="shared" si="5"/>
        <v>12</v>
      </c>
      <c r="R50" s="90">
        <f t="shared" si="3"/>
        <v>7</v>
      </c>
      <c r="S50" s="681">
        <f t="shared" si="7"/>
        <v>46097</v>
      </c>
    </row>
    <row r="51">
      <c r="A51" s="1" t="s">
        <v>3219</v>
      </c>
      <c r="B51" s="1" t="s">
        <v>3033</v>
      </c>
      <c r="C51" s="1" t="s">
        <v>3220</v>
      </c>
      <c r="D51" s="1"/>
      <c r="E51" s="1" t="s">
        <v>836</v>
      </c>
      <c r="F51" s="1">
        <v>19939.90432</v>
      </c>
      <c r="G51" s="1">
        <v>19939.90432</v>
      </c>
      <c r="H51" s="1">
        <v>19980.0</v>
      </c>
      <c r="I51" s="463">
        <v>46102.83423611111</v>
      </c>
      <c r="J51" s="86" t="s">
        <v>3221</v>
      </c>
      <c r="K51" s="86" t="s">
        <v>3222</v>
      </c>
      <c r="L51" s="515">
        <v>46102.0</v>
      </c>
      <c r="M51" s="1">
        <v>3.1</v>
      </c>
      <c r="N51" s="90" t="str">
        <f t="shared" si="13"/>
        <v/>
      </c>
      <c r="O51" s="90" t="str">
        <f t="array" ref="O51">iferror(INDEX(Loads!Q:Q, MATCH(#REF!, Loads!C:C, 0)),)</f>
        <v/>
      </c>
      <c r="P51" s="87">
        <f t="shared" si="2"/>
        <v>0</v>
      </c>
      <c r="Q51" s="90">
        <f t="shared" si="5"/>
        <v>12</v>
      </c>
      <c r="R51" s="90">
        <f t="shared" si="3"/>
        <v>7</v>
      </c>
      <c r="S51" s="681">
        <f t="shared" si="7"/>
        <v>46097</v>
      </c>
    </row>
    <row r="52">
      <c r="A52" s="1" t="s">
        <v>3223</v>
      </c>
      <c r="B52" s="1" t="s">
        <v>3033</v>
      </c>
      <c r="C52" s="1" t="s">
        <v>3224</v>
      </c>
      <c r="D52" s="1"/>
      <c r="E52" s="1" t="s">
        <v>628</v>
      </c>
      <c r="F52" s="1">
        <v>18678.91856</v>
      </c>
      <c r="G52" s="1">
        <v>18678.91856</v>
      </c>
      <c r="H52" s="1">
        <v>18930.0</v>
      </c>
      <c r="I52" s="463">
        <v>46090.68189814815</v>
      </c>
      <c r="J52" s="86" t="s">
        <v>3225</v>
      </c>
      <c r="K52" s="86" t="s">
        <v>3226</v>
      </c>
      <c r="L52" s="515">
        <v>46103.0</v>
      </c>
      <c r="M52" s="1">
        <v>31.0</v>
      </c>
      <c r="N52" s="90" t="str">
        <f t="shared" si="13"/>
        <v/>
      </c>
      <c r="O52" s="90" t="str">
        <f t="array" ref="O52">iferror(INDEX(Loads!Q:Q, MATCH(#REF!, Loads!C:C, 0)),)</f>
        <v/>
      </c>
      <c r="P52" s="87">
        <f t="shared" si="2"/>
        <v>0</v>
      </c>
      <c r="Q52" s="90">
        <f t="shared" si="5"/>
        <v>12</v>
      </c>
      <c r="R52" s="90">
        <f t="shared" si="3"/>
        <v>1</v>
      </c>
      <c r="S52" s="681">
        <f t="shared" si="7"/>
        <v>46104</v>
      </c>
    </row>
    <row r="53">
      <c r="A53" s="1" t="s">
        <v>3227</v>
      </c>
      <c r="B53" s="1" t="s">
        <v>3033</v>
      </c>
      <c r="C53" s="1" t="s">
        <v>3228</v>
      </c>
      <c r="D53" s="1"/>
      <c r="E53" s="1" t="s">
        <v>821</v>
      </c>
      <c r="F53" s="1">
        <v>19690.0</v>
      </c>
      <c r="G53" s="1">
        <v>19690.0</v>
      </c>
      <c r="H53" s="1">
        <v>19690.0</v>
      </c>
      <c r="I53" s="463">
        <v>46103.53700231481</v>
      </c>
      <c r="J53" s="86" t="s">
        <v>3229</v>
      </c>
      <c r="K53" s="86" t="s">
        <v>3230</v>
      </c>
      <c r="L53" s="515">
        <v>46106.0</v>
      </c>
      <c r="M53" s="1">
        <v>3.1</v>
      </c>
      <c r="N53" s="90" t="str">
        <f t="shared" si="13"/>
        <v/>
      </c>
      <c r="O53" s="90" t="str">
        <f t="array" ref="O53">iferror(INDEX(Loads!Q:Q, MATCH(#REF!, Loads!C:C, 0)),)</f>
        <v/>
      </c>
      <c r="P53" s="87">
        <f t="shared" si="2"/>
        <v>0</v>
      </c>
      <c r="Q53" s="90">
        <f t="shared" si="5"/>
        <v>13</v>
      </c>
      <c r="R53" s="90">
        <f t="shared" si="3"/>
        <v>4</v>
      </c>
      <c r="S53" s="681">
        <f t="shared" si="7"/>
        <v>46104</v>
      </c>
    </row>
    <row r="54">
      <c r="A54" s="1" t="s">
        <v>3231</v>
      </c>
      <c r="B54" s="1" t="s">
        <v>3033</v>
      </c>
      <c r="C54" s="1" t="s">
        <v>3232</v>
      </c>
      <c r="D54" s="1"/>
      <c r="E54" s="1" t="s">
        <v>828</v>
      </c>
      <c r="F54" s="1">
        <v>20510.0</v>
      </c>
      <c r="G54" s="1">
        <v>20510.0</v>
      </c>
      <c r="H54" s="1">
        <v>20510.0</v>
      </c>
      <c r="I54" s="463">
        <v>46104.50949074074</v>
      </c>
      <c r="J54" s="86" t="s">
        <v>3233</v>
      </c>
      <c r="K54" s="86" t="s">
        <v>3234</v>
      </c>
      <c r="L54" s="515">
        <v>46106.0</v>
      </c>
      <c r="M54" s="1">
        <v>3.1</v>
      </c>
      <c r="N54" s="90" t="str">
        <f>iferror(#REF!/I54,)</f>
        <v/>
      </c>
      <c r="O54" s="90" t="str">
        <f t="array" ref="O54">iferror(INDEX(Loads!Q:Q, MATCH(#REF!, Loads!C:C, 0)),)</f>
        <v/>
      </c>
      <c r="P54" s="87">
        <f t="shared" si="2"/>
        <v>0</v>
      </c>
      <c r="R54" s="90">
        <f t="shared" si="3"/>
        <v>4</v>
      </c>
      <c r="S54" s="681">
        <f>(L54-R54)+2</f>
        <v>46104</v>
      </c>
    </row>
    <row r="55">
      <c r="A55" s="1" t="s">
        <v>3235</v>
      </c>
      <c r="B55" s="1" t="s">
        <v>3033</v>
      </c>
      <c r="C55" s="1" t="s">
        <v>3236</v>
      </c>
      <c r="D55" s="1"/>
      <c r="E55" s="1" t="s">
        <v>825</v>
      </c>
      <c r="F55" s="1">
        <v>19731.252</v>
      </c>
      <c r="G55" s="1">
        <v>19731.252</v>
      </c>
      <c r="H55" s="1">
        <v>19750.0</v>
      </c>
      <c r="I55" s="463">
        <v>46105.57305555556</v>
      </c>
      <c r="J55" s="86" t="s">
        <v>3237</v>
      </c>
      <c r="K55" s="86" t="s">
        <v>3238</v>
      </c>
      <c r="L55" s="515">
        <v>46106.0</v>
      </c>
      <c r="M55" s="1">
        <v>3.1</v>
      </c>
      <c r="N55" s="90" t="str">
        <f t="shared" ref="N55:N58" si="14">iferror(#REF!/I55,)</f>
        <v/>
      </c>
      <c r="O55" s="90" t="str">
        <f t="array" ref="O55">iferror(INDEX(Loads!Q:Q, MATCH(#REF!, Loads!C:C, 0)),)</f>
        <v/>
      </c>
      <c r="P55" s="87">
        <f t="shared" si="2"/>
        <v>0</v>
      </c>
      <c r="Q55" s="90">
        <f t="shared" ref="Q55:Q61" si="15">ISOWEEKNUM(L55)</f>
        <v>13</v>
      </c>
      <c r="R55" s="90">
        <f t="shared" si="3"/>
        <v>4</v>
      </c>
      <c r="S55" s="681">
        <f t="shared" ref="S55:S61" si="16">(L55-R55)+2</f>
        <v>46104</v>
      </c>
    </row>
    <row r="56">
      <c r="A56" s="1" t="s">
        <v>3239</v>
      </c>
      <c r="B56" s="1" t="s">
        <v>3033</v>
      </c>
      <c r="C56" s="1" t="s">
        <v>3240</v>
      </c>
      <c r="D56" s="1"/>
      <c r="E56" s="1"/>
      <c r="F56" s="1">
        <v>15655.046</v>
      </c>
      <c r="G56" s="1"/>
      <c r="H56" s="1"/>
      <c r="I56" s="463"/>
      <c r="J56" s="1"/>
      <c r="K56" s="1"/>
      <c r="L56" s="515">
        <v>46107.0</v>
      </c>
      <c r="M56" s="1">
        <v>3.1</v>
      </c>
      <c r="N56" s="90" t="str">
        <f t="shared" si="14"/>
        <v/>
      </c>
      <c r="O56" s="90" t="str">
        <f t="array" ref="O56">iferror(INDEX(Loads!Q:Q, MATCH(#REF!, Loads!C:C, 0)),)</f>
        <v/>
      </c>
      <c r="P56" s="87">
        <f t="shared" si="2"/>
        <v>0</v>
      </c>
      <c r="Q56" s="90">
        <f t="shared" si="15"/>
        <v>13</v>
      </c>
      <c r="R56" s="90">
        <f t="shared" si="3"/>
        <v>5</v>
      </c>
      <c r="S56" s="681">
        <f t="shared" si="16"/>
        <v>46104</v>
      </c>
    </row>
    <row r="57">
      <c r="A57" s="1" t="s">
        <v>3241</v>
      </c>
      <c r="B57" s="1" t="s">
        <v>3033</v>
      </c>
      <c r="C57" s="1" t="s">
        <v>3242</v>
      </c>
      <c r="D57" s="1"/>
      <c r="E57" s="1" t="s">
        <v>842</v>
      </c>
      <c r="F57" s="1">
        <v>19885.0</v>
      </c>
      <c r="G57" s="1">
        <v>19885.47328</v>
      </c>
      <c r="H57" s="1">
        <v>19910.0</v>
      </c>
      <c r="I57" s="463">
        <v>46105.57034722222</v>
      </c>
      <c r="J57" s="86" t="s">
        <v>3243</v>
      </c>
      <c r="K57" s="86" t="s">
        <v>3244</v>
      </c>
      <c r="L57" s="515">
        <v>46113.0</v>
      </c>
      <c r="M57" s="1">
        <v>3.1</v>
      </c>
      <c r="N57" s="90" t="str">
        <f t="shared" si="14"/>
        <v/>
      </c>
      <c r="O57" s="1" t="str">
        <f t="array" ref="O57">iferror(INDEX(Loads!Q:Q, MATCH(#REF!, Loads!C:C, 0)),)</f>
        <v/>
      </c>
      <c r="P57" s="87">
        <f t="shared" si="2"/>
        <v>0</v>
      </c>
      <c r="Q57" s="90">
        <f t="shared" si="15"/>
        <v>14</v>
      </c>
      <c r="R57" s="90">
        <f t="shared" si="3"/>
        <v>4</v>
      </c>
      <c r="S57" s="681">
        <f t="shared" si="16"/>
        <v>46111</v>
      </c>
    </row>
    <row r="58">
      <c r="A58" s="1" t="s">
        <v>3245</v>
      </c>
      <c r="B58" s="1" t="s">
        <v>3033</v>
      </c>
      <c r="C58" s="1" t="s">
        <v>3246</v>
      </c>
      <c r="D58" s="1"/>
      <c r="E58" s="1" t="s">
        <v>839</v>
      </c>
      <c r="F58" s="1">
        <v>19921.76064</v>
      </c>
      <c r="G58" s="1">
        <v>19921.76064</v>
      </c>
      <c r="H58" s="1">
        <v>19950.0</v>
      </c>
      <c r="I58" s="463">
        <v>46105.570925925924</v>
      </c>
      <c r="J58" s="86" t="s">
        <v>3247</v>
      </c>
      <c r="K58" s="86" t="s">
        <v>3248</v>
      </c>
      <c r="L58" s="515">
        <v>46113.0</v>
      </c>
      <c r="M58" s="1">
        <v>34.8</v>
      </c>
      <c r="N58" s="90" t="str">
        <f t="shared" si="14"/>
        <v/>
      </c>
      <c r="O58" s="90" t="str">
        <f t="array" ref="O58">iferror(INDEX(Loads!Q:Q, MATCH(#REF!, Loads!C:C, 0)),)</f>
        <v/>
      </c>
      <c r="P58" s="87">
        <f t="shared" si="2"/>
        <v>0</v>
      </c>
      <c r="Q58" s="90">
        <f t="shared" si="15"/>
        <v>14</v>
      </c>
      <c r="R58" s="90">
        <f t="shared" si="3"/>
        <v>4</v>
      </c>
      <c r="S58" s="681">
        <f t="shared" si="16"/>
        <v>46111</v>
      </c>
    </row>
    <row r="59">
      <c r="A59" s="1" t="s">
        <v>3249</v>
      </c>
      <c r="B59" s="1" t="s">
        <v>3033</v>
      </c>
      <c r="C59" s="1" t="s">
        <v>3250</v>
      </c>
      <c r="D59" s="1"/>
      <c r="E59" s="1" t="s">
        <v>3251</v>
      </c>
      <c r="F59" s="1">
        <v>21509.33264</v>
      </c>
      <c r="G59" s="1">
        <v>21509.33264</v>
      </c>
      <c r="H59" s="1">
        <v>78020.0</v>
      </c>
      <c r="I59" s="463">
        <v>46108.8278125</v>
      </c>
      <c r="J59" s="86" t="s">
        <v>3252</v>
      </c>
      <c r="K59" s="86" t="s">
        <v>3253</v>
      </c>
      <c r="L59" s="515">
        <v>46114.0</v>
      </c>
      <c r="M59" s="1">
        <v>3.1</v>
      </c>
      <c r="N59" s="90" t="str">
        <f>iferror(#REF!/I59,)</f>
        <v/>
      </c>
      <c r="O59" s="90" t="str">
        <f t="array" ref="O59">iferror(INDEX(Loads!Q:Q, MATCH(#REF!, Loads!C:C, 0)),)</f>
        <v/>
      </c>
      <c r="P59" s="87">
        <f t="shared" si="2"/>
        <v>0</v>
      </c>
      <c r="Q59" s="90">
        <f t="shared" si="15"/>
        <v>14</v>
      </c>
      <c r="R59" s="90">
        <f t="shared" si="3"/>
        <v>5</v>
      </c>
      <c r="S59" s="681">
        <f t="shared" si="16"/>
        <v>46111</v>
      </c>
    </row>
    <row r="60">
      <c r="A60" s="1" t="s">
        <v>3254</v>
      </c>
      <c r="B60" s="1" t="s">
        <v>3033</v>
      </c>
      <c r="C60" s="1" t="s">
        <v>3255</v>
      </c>
      <c r="D60" s="1"/>
      <c r="E60" s="1" t="s">
        <v>3251</v>
      </c>
      <c r="F60" s="1">
        <v>22634.2408</v>
      </c>
      <c r="G60" s="1">
        <v>22634.2408</v>
      </c>
      <c r="H60" s="1">
        <v>78020.0</v>
      </c>
      <c r="I60" s="463">
        <v>46108.8278125</v>
      </c>
      <c r="J60" s="86" t="s">
        <v>3252</v>
      </c>
      <c r="K60" s="86" t="s">
        <v>3256</v>
      </c>
      <c r="L60" s="515">
        <v>46114.0</v>
      </c>
      <c r="M60" s="1">
        <v>3.0</v>
      </c>
      <c r="N60" s="90" t="str">
        <f>iferror(#REF!/I60,)</f>
        <v/>
      </c>
      <c r="O60" s="90" t="str">
        <f t="array" ref="O60">iferror(INDEX(Loads!Q:Q, MATCH(#REF!, Loads!C:C, 0)),)</f>
        <v/>
      </c>
      <c r="P60" s="87">
        <f t="shared" si="2"/>
        <v>0</v>
      </c>
      <c r="Q60" s="90">
        <f t="shared" si="15"/>
        <v>14</v>
      </c>
      <c r="R60" s="90">
        <f t="shared" si="3"/>
        <v>5</v>
      </c>
      <c r="S60" s="681">
        <f t="shared" si="16"/>
        <v>46111</v>
      </c>
    </row>
    <row r="61">
      <c r="A61" s="1" t="s">
        <v>3257</v>
      </c>
      <c r="B61" s="1" t="s">
        <v>3033</v>
      </c>
      <c r="C61" s="1" t="s">
        <v>3258</v>
      </c>
      <c r="D61" s="1"/>
      <c r="E61" s="1" t="s">
        <v>3251</v>
      </c>
      <c r="F61" s="1">
        <v>21457.0776</v>
      </c>
      <c r="G61" s="1">
        <v>21457.0776</v>
      </c>
      <c r="H61" s="1">
        <v>78020.0</v>
      </c>
      <c r="I61" s="463">
        <v>46108.8278125</v>
      </c>
      <c r="J61" s="86" t="s">
        <v>3252</v>
      </c>
      <c r="K61" s="86" t="s">
        <v>3259</v>
      </c>
      <c r="L61" s="515">
        <v>46114.0</v>
      </c>
      <c r="M61" s="1">
        <v>3.0</v>
      </c>
      <c r="N61" s="90" t="str">
        <f t="shared" ref="N61:N68" si="17">iferror(#REF!/I61,)</f>
        <v/>
      </c>
      <c r="O61" s="90" t="str">
        <f t="array" ref="O61">iferror(INDEX(Loads!Q:Q, MATCH(#REF!, Loads!C:C, 0)),)</f>
        <v/>
      </c>
      <c r="P61" s="87">
        <f t="shared" si="2"/>
        <v>0</v>
      </c>
      <c r="Q61" s="90">
        <f t="shared" si="15"/>
        <v>14</v>
      </c>
      <c r="R61" s="90">
        <f t="shared" si="3"/>
        <v>5</v>
      </c>
      <c r="S61" s="681">
        <f t="shared" si="16"/>
        <v>46111</v>
      </c>
    </row>
    <row r="62">
      <c r="A62" s="1" t="s">
        <v>3260</v>
      </c>
      <c r="B62" s="1" t="s">
        <v>3033</v>
      </c>
      <c r="C62" s="1" t="s">
        <v>3261</v>
      </c>
      <c r="D62" s="1"/>
      <c r="E62" s="1" t="s">
        <v>3251</v>
      </c>
      <c r="F62" s="1">
        <v>12419.34896</v>
      </c>
      <c r="G62" s="1">
        <v>12419.34896</v>
      </c>
      <c r="H62" s="1">
        <v>78020.0</v>
      </c>
      <c r="I62" s="463">
        <v>46108.8278125</v>
      </c>
      <c r="J62" s="86" t="s">
        <v>3252</v>
      </c>
      <c r="K62" s="86" t="s">
        <v>3262</v>
      </c>
      <c r="L62" s="515">
        <v>46114.0</v>
      </c>
      <c r="M62" s="1">
        <v>3.0</v>
      </c>
      <c r="N62" s="90" t="str">
        <f t="shared" si="17"/>
        <v/>
      </c>
      <c r="O62" s="1" t="str">
        <f t="array" ref="O62">iferror(INDEX(Loads!Q:Q, MATCH(#REF!, Loads!C:C, 0)),)</f>
        <v/>
      </c>
      <c r="P62" s="87">
        <f t="shared" si="2"/>
        <v>0</v>
      </c>
      <c r="R62" s="90">
        <f t="shared" si="3"/>
        <v>5</v>
      </c>
      <c r="S62" s="681">
        <f t="shared" ref="S62:S68" si="18">(L62-R62)+2</f>
        <v>46111</v>
      </c>
    </row>
    <row r="63">
      <c r="A63" s="1" t="s">
        <v>3263</v>
      </c>
      <c r="B63" s="1" t="s">
        <v>3033</v>
      </c>
      <c r="C63" s="1" t="s">
        <v>3264</v>
      </c>
      <c r="D63" s="1"/>
      <c r="E63" s="1" t="s">
        <v>3265</v>
      </c>
      <c r="F63" s="1">
        <v>21854.06256</v>
      </c>
      <c r="G63" s="1">
        <v>21854.06256</v>
      </c>
      <c r="H63" s="1">
        <v>71010.0</v>
      </c>
      <c r="I63" s="463">
        <v>46114.67085648148</v>
      </c>
      <c r="J63" s="86" t="s">
        <v>3266</v>
      </c>
      <c r="K63" s="86" t="s">
        <v>3267</v>
      </c>
      <c r="L63" s="515">
        <v>46115.0</v>
      </c>
      <c r="M63" s="1">
        <v>2.9</v>
      </c>
      <c r="N63" s="90" t="str">
        <f t="shared" si="17"/>
        <v/>
      </c>
      <c r="O63" s="90" t="str">
        <f t="array" ref="O63">iferror(INDEX(Loads!Q:Q, MATCH(#REF!, Loads!C:C, 0)),)</f>
        <v/>
      </c>
      <c r="P63" s="87">
        <f t="shared" si="2"/>
        <v>0</v>
      </c>
      <c r="R63" s="90">
        <f t="shared" si="3"/>
        <v>6</v>
      </c>
      <c r="S63" s="681">
        <f t="shared" si="18"/>
        <v>46111</v>
      </c>
    </row>
    <row r="64">
      <c r="A64" s="1" t="s">
        <v>3268</v>
      </c>
      <c r="B64" s="1" t="s">
        <v>3033</v>
      </c>
      <c r="C64" s="1" t="s">
        <v>3269</v>
      </c>
      <c r="D64" s="1"/>
      <c r="E64" s="1" t="s">
        <v>3265</v>
      </c>
      <c r="F64" s="1">
        <v>21736.12864</v>
      </c>
      <c r="G64" s="1">
        <v>21736.12864</v>
      </c>
      <c r="H64" s="1">
        <v>71010.0</v>
      </c>
      <c r="I64" s="463">
        <v>46114.67085648148</v>
      </c>
      <c r="J64" s="86" t="s">
        <v>3266</v>
      </c>
      <c r="K64" s="86" t="s">
        <v>3270</v>
      </c>
      <c r="L64" s="515">
        <v>46115.0</v>
      </c>
      <c r="M64" s="1">
        <v>33.0</v>
      </c>
      <c r="N64" s="90" t="str">
        <f t="shared" si="17"/>
        <v/>
      </c>
      <c r="O64" s="1" t="str">
        <f t="array" ref="O64">iferror(INDEX(Loads!Q:Q, MATCH(#REF!, Loads!C:C, 0)),)</f>
        <v/>
      </c>
      <c r="P64" s="87">
        <f t="shared" si="2"/>
        <v>0</v>
      </c>
      <c r="Q64" s="90">
        <f>ISOWEEKNUM(L64)</f>
        <v>14</v>
      </c>
      <c r="R64" s="90">
        <f t="shared" si="3"/>
        <v>6</v>
      </c>
      <c r="S64" s="681">
        <f t="shared" si="18"/>
        <v>46111</v>
      </c>
    </row>
    <row r="65">
      <c r="A65" s="1" t="s">
        <v>3271</v>
      </c>
      <c r="B65" s="1" t="s">
        <v>3033</v>
      </c>
      <c r="C65" s="1" t="s">
        <v>3272</v>
      </c>
      <c r="D65" s="1"/>
      <c r="E65" s="1" t="s">
        <v>3265</v>
      </c>
      <c r="F65" s="1">
        <v>5620.17728</v>
      </c>
      <c r="G65" s="1">
        <v>5620.17728</v>
      </c>
      <c r="H65" s="1">
        <v>71010.0</v>
      </c>
      <c r="I65" s="463">
        <v>46114.67085648148</v>
      </c>
      <c r="J65" s="86" t="s">
        <v>3266</v>
      </c>
      <c r="K65" s="86" t="s">
        <v>3273</v>
      </c>
      <c r="L65" s="515">
        <v>46115.0</v>
      </c>
      <c r="M65" s="1">
        <v>3.0</v>
      </c>
      <c r="N65" s="90" t="str">
        <f t="shared" si="17"/>
        <v/>
      </c>
      <c r="O65" s="90" t="str">
        <f t="array" ref="O65">iferror(INDEX(Loads!Q:Q, MATCH(#REF!, Loads!C:C, 0)),)</f>
        <v/>
      </c>
      <c r="P65" s="87">
        <f t="shared" si="2"/>
        <v>0</v>
      </c>
      <c r="R65" s="90">
        <f t="shared" si="3"/>
        <v>6</v>
      </c>
      <c r="S65" s="681">
        <f t="shared" si="18"/>
        <v>46111</v>
      </c>
    </row>
    <row r="66">
      <c r="A66" s="1" t="s">
        <v>3274</v>
      </c>
      <c r="B66" s="1" t="s">
        <v>3033</v>
      </c>
      <c r="C66" s="1" t="s">
        <v>3275</v>
      </c>
      <c r="D66" s="1"/>
      <c r="E66" s="1" t="s">
        <v>3265</v>
      </c>
      <c r="F66" s="1">
        <v>21799.63152</v>
      </c>
      <c r="G66" s="1">
        <v>21799.63152</v>
      </c>
      <c r="H66" s="1">
        <v>71010.0</v>
      </c>
      <c r="I66" s="463">
        <v>46114.67085648148</v>
      </c>
      <c r="J66" s="86" t="s">
        <v>3266</v>
      </c>
      <c r="K66" s="86" t="s">
        <v>3276</v>
      </c>
      <c r="L66" s="515">
        <v>46115.0</v>
      </c>
      <c r="M66" s="1">
        <v>3.0</v>
      </c>
      <c r="N66" s="90" t="str">
        <f t="shared" si="17"/>
        <v/>
      </c>
      <c r="O66" s="90" t="str">
        <f t="array" ref="O66">iferror(INDEX(Loads!Q:Q, MATCH(#REF!, Loads!C:C, 0)),)</f>
        <v/>
      </c>
      <c r="P66" s="87">
        <f t="shared" si="2"/>
        <v>0</v>
      </c>
      <c r="R66" s="90">
        <f t="shared" si="3"/>
        <v>6</v>
      </c>
      <c r="S66" s="681">
        <f t="shared" si="18"/>
        <v>46111</v>
      </c>
    </row>
    <row r="67">
      <c r="A67" s="1" t="s">
        <v>3277</v>
      </c>
      <c r="B67" s="1" t="s">
        <v>3033</v>
      </c>
      <c r="C67" s="1" t="s">
        <v>3278</v>
      </c>
      <c r="D67" s="1"/>
      <c r="E67" s="1" t="s">
        <v>3279</v>
      </c>
      <c r="F67" s="1">
        <v>21491.18896</v>
      </c>
      <c r="G67" s="1">
        <v>21491.18896</v>
      </c>
      <c r="H67" s="1">
        <v>77270.0</v>
      </c>
      <c r="I67" s="463">
        <v>46115.68079861111</v>
      </c>
      <c r="J67" s="86" t="s">
        <v>3280</v>
      </c>
      <c r="K67" s="86" t="s">
        <v>3281</v>
      </c>
      <c r="L67" s="515">
        <v>46122.0</v>
      </c>
      <c r="M67" s="1">
        <v>3.0</v>
      </c>
      <c r="N67" s="90" t="str">
        <f t="shared" si="17"/>
        <v/>
      </c>
      <c r="O67" s="90" t="str">
        <f t="array" ref="O67">iferror(INDEX(Loads!Q:Q, MATCH(#REF!, Loads!C:C, 0)),)</f>
        <v/>
      </c>
      <c r="P67" s="87">
        <f t="shared" si="2"/>
        <v>0</v>
      </c>
      <c r="R67" s="90">
        <f t="shared" si="3"/>
        <v>6</v>
      </c>
      <c r="S67" s="681">
        <f t="shared" si="18"/>
        <v>46118</v>
      </c>
    </row>
    <row r="68">
      <c r="A68" s="1" t="s">
        <v>3282</v>
      </c>
      <c r="B68" s="1" t="s">
        <v>3033</v>
      </c>
      <c r="C68" s="1" t="s">
        <v>3283</v>
      </c>
      <c r="D68" s="1"/>
      <c r="E68" s="1" t="s">
        <v>3279</v>
      </c>
      <c r="F68" s="1">
        <v>21409.5424</v>
      </c>
      <c r="G68" s="1">
        <v>21409.5424</v>
      </c>
      <c r="H68" s="1">
        <v>77270.0</v>
      </c>
      <c r="I68" s="463">
        <v>46115.68079861111</v>
      </c>
      <c r="J68" s="86" t="s">
        <v>3280</v>
      </c>
      <c r="K68" s="86" t="s">
        <v>3284</v>
      </c>
      <c r="L68" s="515">
        <v>46123.0</v>
      </c>
      <c r="M68" s="1">
        <v>3.0</v>
      </c>
      <c r="N68" s="90" t="str">
        <f t="shared" si="17"/>
        <v/>
      </c>
      <c r="O68" s="90" t="str">
        <f t="array" ref="O68">iferror(INDEX(Loads!Q:Q, MATCH(#REF!, Loads!C:C, 0)),)</f>
        <v/>
      </c>
      <c r="P68" s="87">
        <f t="shared" si="2"/>
        <v>0</v>
      </c>
      <c r="Q68" s="90">
        <f t="shared" ref="Q68:Q71" si="19">ISOWEEKNUM(L68)</f>
        <v>15</v>
      </c>
      <c r="R68" s="90">
        <f t="shared" si="3"/>
        <v>7</v>
      </c>
      <c r="S68" s="681">
        <f t="shared" si="18"/>
        <v>46118</v>
      </c>
    </row>
    <row r="69">
      <c r="A69" s="1" t="s">
        <v>3285</v>
      </c>
      <c r="B69" s="1" t="s">
        <v>3033</v>
      </c>
      <c r="C69" s="1" t="s">
        <v>3286</v>
      </c>
      <c r="D69" s="1"/>
      <c r="E69" s="1" t="s">
        <v>3279</v>
      </c>
      <c r="F69" s="1">
        <v>22434.66032</v>
      </c>
      <c r="G69" s="1">
        <v>22434.66032</v>
      </c>
      <c r="H69" s="1">
        <v>77270.0</v>
      </c>
      <c r="I69" s="463">
        <v>46115.68079861111</v>
      </c>
      <c r="J69" s="86" t="s">
        <v>3280</v>
      </c>
      <c r="K69" s="86" t="s">
        <v>3287</v>
      </c>
      <c r="L69" s="515">
        <v>46123.0</v>
      </c>
      <c r="M69" s="1">
        <v>3.0</v>
      </c>
      <c r="N69" s="90" t="str">
        <f>iferror(#REF!/I69,)</f>
        <v/>
      </c>
      <c r="O69" s="1" t="str">
        <f t="array" ref="O69">iferror(INDEX(Loads!Q:Q, MATCH(#REF!, Loads!C:C, 0)),)</f>
        <v/>
      </c>
      <c r="P69" s="87">
        <f t="shared" si="2"/>
        <v>0</v>
      </c>
      <c r="Q69" s="90">
        <f t="shared" si="19"/>
        <v>15</v>
      </c>
      <c r="R69" s="90">
        <f t="shared" si="3"/>
        <v>7</v>
      </c>
      <c r="S69" s="681">
        <f t="shared" ref="S69:S70" si="20">(L69-R69)+2</f>
        <v>46118</v>
      </c>
    </row>
    <row r="70">
      <c r="A70" s="1" t="s">
        <v>3288</v>
      </c>
      <c r="B70" s="1" t="s">
        <v>3033</v>
      </c>
      <c r="C70" s="1" t="s">
        <v>3289</v>
      </c>
      <c r="D70" s="1"/>
      <c r="E70" s="1" t="s">
        <v>123</v>
      </c>
      <c r="F70" s="1">
        <v>22679.6</v>
      </c>
      <c r="G70" s="1">
        <v>22679.6</v>
      </c>
      <c r="H70" s="1">
        <v>79350.0</v>
      </c>
      <c r="I70" s="463">
        <v>46122.66851851852</v>
      </c>
      <c r="J70" s="86" t="s">
        <v>3290</v>
      </c>
      <c r="K70" s="86" t="s">
        <v>3291</v>
      </c>
      <c r="L70" s="515">
        <v>46123.0</v>
      </c>
      <c r="M70" s="1">
        <v>3.0</v>
      </c>
      <c r="N70" s="90" t="str">
        <f t="shared" ref="N70:N72" si="21">iferror(#REF!/I70,)</f>
        <v/>
      </c>
      <c r="O70" s="90" t="str">
        <f t="array" ref="O70">iferror(INDEX(Loads!Q:Q, MATCH(#REF!, Loads!C:C, 0)),)</f>
        <v/>
      </c>
      <c r="P70" s="87">
        <f t="shared" si="2"/>
        <v>0</v>
      </c>
      <c r="Q70" s="90">
        <f t="shared" si="19"/>
        <v>15</v>
      </c>
      <c r="R70" s="90">
        <f t="shared" si="3"/>
        <v>7</v>
      </c>
      <c r="S70" s="681">
        <f t="shared" si="20"/>
        <v>46118</v>
      </c>
    </row>
    <row r="71">
      <c r="A71" s="1" t="s">
        <v>3288</v>
      </c>
      <c r="B71" s="1" t="s">
        <v>3033</v>
      </c>
      <c r="C71" s="1" t="s">
        <v>3292</v>
      </c>
      <c r="D71" s="1"/>
      <c r="E71" s="1" t="s">
        <v>123</v>
      </c>
      <c r="F71" s="1">
        <v>13562.4008</v>
      </c>
      <c r="G71" s="1">
        <v>13562.4008</v>
      </c>
      <c r="H71" s="1">
        <v>79350.0</v>
      </c>
      <c r="I71" s="463">
        <v>46122.66851851852</v>
      </c>
      <c r="J71" s="86" t="s">
        <v>3290</v>
      </c>
      <c r="K71" s="86" t="s">
        <v>3293</v>
      </c>
      <c r="L71" s="515">
        <v>46123.0</v>
      </c>
      <c r="M71" s="1">
        <v>3.0</v>
      </c>
      <c r="N71" s="90" t="str">
        <f t="shared" si="21"/>
        <v/>
      </c>
      <c r="O71" s="1" t="str">
        <f t="array" ref="O71">iferror(INDEX(Loads!Q:Q, MATCH(#REF!, Loads!C:C, 0)),)</f>
        <v/>
      </c>
      <c r="P71" s="87">
        <f t="shared" si="2"/>
        <v>0</v>
      </c>
      <c r="Q71" s="90">
        <f t="shared" si="19"/>
        <v>15</v>
      </c>
      <c r="R71" s="90">
        <f t="shared" si="3"/>
        <v>7</v>
      </c>
      <c r="S71" s="681">
        <f t="shared" ref="S71:S72" si="22">(L71-R71)+2</f>
        <v>46118</v>
      </c>
    </row>
    <row r="72">
      <c r="A72" s="1" t="s">
        <v>3288</v>
      </c>
      <c r="B72" s="1" t="s">
        <v>3033</v>
      </c>
      <c r="C72" s="1" t="s">
        <v>3294</v>
      </c>
      <c r="D72" s="1"/>
      <c r="E72" s="1" t="s">
        <v>119</v>
      </c>
      <c r="F72" s="1">
        <v>19459.0968</v>
      </c>
      <c r="G72" s="1">
        <v>19459.0968</v>
      </c>
      <c r="H72" s="1">
        <v>80300.0</v>
      </c>
      <c r="I72" s="463">
        <v>46122.67223379629</v>
      </c>
      <c r="J72" s="86" t="s">
        <v>3295</v>
      </c>
      <c r="K72" s="86" t="s">
        <v>3296</v>
      </c>
      <c r="L72" s="515">
        <v>46123.0</v>
      </c>
      <c r="M72" s="1">
        <v>3.0</v>
      </c>
      <c r="N72" s="90" t="str">
        <f t="shared" si="21"/>
        <v/>
      </c>
      <c r="O72" s="90" t="str">
        <f t="array" ref="O72">iferror(INDEX(Loads!Q:Q, MATCH(#REF!, Loads!C:C, 0)),)</f>
        <v/>
      </c>
      <c r="P72" s="87">
        <f t="shared" si="2"/>
        <v>0</v>
      </c>
      <c r="R72" s="90">
        <f t="shared" si="3"/>
        <v>7</v>
      </c>
      <c r="S72" s="681">
        <f t="shared" si="22"/>
        <v>46118</v>
      </c>
    </row>
    <row r="73">
      <c r="A73" s="1" t="s">
        <v>3297</v>
      </c>
      <c r="B73" s="1" t="s">
        <v>3033</v>
      </c>
      <c r="C73" s="1" t="s">
        <v>3298</v>
      </c>
      <c r="D73" s="1"/>
      <c r="E73" s="1" t="s">
        <v>868</v>
      </c>
      <c r="F73" s="1">
        <v>18080.0</v>
      </c>
      <c r="G73" s="1">
        <v>18080.0</v>
      </c>
      <c r="H73" s="1">
        <v>18080.0</v>
      </c>
      <c r="I73" s="463">
        <v>46127.715</v>
      </c>
      <c r="J73" s="86" t="s">
        <v>3299</v>
      </c>
      <c r="K73" s="86" t="s">
        <v>3300</v>
      </c>
      <c r="L73" s="515">
        <v>46135.0</v>
      </c>
      <c r="M73" s="1">
        <v>3.0</v>
      </c>
      <c r="N73" s="90" t="str">
        <f>iferror(#REF!/I73,)</f>
        <v/>
      </c>
      <c r="O73" s="1" t="str">
        <f t="array" ref="O73">iferror(INDEX(Loads!Q:Q, MATCH(#REF!, Loads!C:C, 0)),)</f>
        <v/>
      </c>
      <c r="P73" s="87">
        <f t="shared" si="2"/>
        <v>0</v>
      </c>
      <c r="Q73" s="90">
        <f t="shared" ref="Q73:Q77" si="23">ISOWEEKNUM(L73)</f>
        <v>17</v>
      </c>
      <c r="R73" s="90">
        <f t="shared" si="3"/>
        <v>5</v>
      </c>
      <c r="S73" s="681">
        <f t="shared" ref="S73:S77" si="24">(L73-R73)+2</f>
        <v>46132</v>
      </c>
    </row>
    <row r="74">
      <c r="A74" s="1" t="s">
        <v>3301</v>
      </c>
      <c r="B74" s="1" t="s">
        <v>3033</v>
      </c>
      <c r="C74" s="1" t="s">
        <v>3302</v>
      </c>
      <c r="D74" s="1"/>
      <c r="E74" s="1" t="s">
        <v>3303</v>
      </c>
      <c r="F74" s="1">
        <v>19145.0</v>
      </c>
      <c r="G74" s="1">
        <v>19145.0</v>
      </c>
      <c r="H74" s="1">
        <v>76580.0</v>
      </c>
      <c r="I74" s="463">
        <v>46128.62391203704</v>
      </c>
      <c r="J74" s="86" t="s">
        <v>3304</v>
      </c>
      <c r="K74" s="86" t="s">
        <v>3305</v>
      </c>
      <c r="L74" s="515">
        <v>46135.0</v>
      </c>
      <c r="M74" s="1">
        <v>2.9</v>
      </c>
      <c r="N74" s="90" t="str">
        <f>iferror(#REF!/I74,)</f>
        <v/>
      </c>
      <c r="O74" s="90" t="str">
        <f t="array" ref="O74">iferror(INDEX(Loads!Q:Q, MATCH(#REF!, Loads!C:C, 0)),)</f>
        <v/>
      </c>
      <c r="P74" s="87">
        <f t="shared" si="2"/>
        <v>0</v>
      </c>
      <c r="Q74" s="90">
        <f t="shared" si="23"/>
        <v>17</v>
      </c>
      <c r="R74" s="90">
        <f t="shared" si="3"/>
        <v>5</v>
      </c>
      <c r="S74" s="681">
        <f t="shared" si="24"/>
        <v>46132</v>
      </c>
    </row>
    <row r="75">
      <c r="A75" s="1" t="s">
        <v>3306</v>
      </c>
      <c r="B75" s="1" t="s">
        <v>3033</v>
      </c>
      <c r="C75" s="1" t="s">
        <v>3307</v>
      </c>
      <c r="D75" s="1"/>
      <c r="E75" s="1" t="s">
        <v>3303</v>
      </c>
      <c r="F75" s="1">
        <v>5805.9776</v>
      </c>
      <c r="G75" s="1">
        <v>5805.9776</v>
      </c>
      <c r="H75" s="1">
        <v>76580.0</v>
      </c>
      <c r="I75" s="463">
        <v>46128.62391203704</v>
      </c>
      <c r="J75" s="86" t="s">
        <v>3304</v>
      </c>
      <c r="K75" s="86" t="s">
        <v>3308</v>
      </c>
      <c r="L75" s="515">
        <v>46141.0</v>
      </c>
      <c r="M75" s="1">
        <v>3.01</v>
      </c>
      <c r="N75" s="90" t="str">
        <f>iferror(#REF!/I75,)</f>
        <v/>
      </c>
      <c r="O75" s="1" t="str">
        <f t="array" ref="O75">iferror(INDEX(Loads!Q:Q, MATCH(#REF!, Loads!C:C, 0)),)</f>
        <v/>
      </c>
      <c r="P75" s="87">
        <f t="shared" si="2"/>
        <v>0</v>
      </c>
      <c r="Q75" s="90">
        <f t="shared" si="23"/>
        <v>18</v>
      </c>
      <c r="R75" s="90">
        <f t="shared" si="3"/>
        <v>4</v>
      </c>
      <c r="S75" s="681">
        <f t="shared" si="24"/>
        <v>46139</v>
      </c>
    </row>
    <row r="76">
      <c r="A76" s="1" t="s">
        <v>3309</v>
      </c>
      <c r="B76" s="1" t="s">
        <v>3310</v>
      </c>
      <c r="C76" s="1" t="s">
        <v>3311</v>
      </c>
      <c r="D76" s="1"/>
      <c r="E76" s="1"/>
      <c r="F76" s="1">
        <v>1118.4</v>
      </c>
      <c r="G76" s="1"/>
      <c r="H76" s="1"/>
      <c r="I76" s="463"/>
      <c r="J76" s="1"/>
      <c r="K76" s="1"/>
      <c r="L76" s="515">
        <v>46113.0</v>
      </c>
      <c r="M76" s="1">
        <v>2.9</v>
      </c>
      <c r="N76" s="90" t="str">
        <f t="shared" ref="N76:N82" si="25">iferror(#REF!/I76,)</f>
        <v/>
      </c>
      <c r="O76" s="90" t="str">
        <f t="array" ref="O76">iferror(INDEX(Loads!Q:Q, MATCH(#REF!, Loads!C:C, 0)),)</f>
        <v/>
      </c>
      <c r="P76" s="87">
        <f t="shared" si="2"/>
        <v>0</v>
      </c>
      <c r="Q76" s="90">
        <f t="shared" si="23"/>
        <v>14</v>
      </c>
      <c r="R76" s="90">
        <f t="shared" si="3"/>
        <v>4</v>
      </c>
      <c r="S76" s="681">
        <f t="shared" si="24"/>
        <v>46111</v>
      </c>
    </row>
    <row r="77">
      <c r="A77" s="1" t="s">
        <v>3309</v>
      </c>
      <c r="B77" s="1" t="s">
        <v>3310</v>
      </c>
      <c r="C77" s="1" t="s">
        <v>3312</v>
      </c>
      <c r="D77" s="1"/>
      <c r="E77" s="1"/>
      <c r="F77" s="1">
        <v>1174.0</v>
      </c>
      <c r="G77" s="1"/>
      <c r="H77" s="1"/>
      <c r="I77" s="463"/>
      <c r="J77" s="1"/>
      <c r="K77" s="1"/>
      <c r="L77" s="515">
        <v>46113.0</v>
      </c>
      <c r="M77" s="1">
        <v>2.9</v>
      </c>
      <c r="N77" s="90" t="str">
        <f t="shared" si="25"/>
        <v/>
      </c>
      <c r="O77" s="90" t="str">
        <f t="array" ref="O77">iferror(INDEX(Loads!Q:Q, MATCH(#REF!, Loads!C:C, 0)),)</f>
        <v/>
      </c>
      <c r="P77" s="87">
        <f t="shared" si="2"/>
        <v>0</v>
      </c>
      <c r="Q77" s="90">
        <f t="shared" si="23"/>
        <v>14</v>
      </c>
      <c r="R77" s="90">
        <f t="shared" si="3"/>
        <v>4</v>
      </c>
      <c r="S77" s="681">
        <f t="shared" si="24"/>
        <v>46111</v>
      </c>
    </row>
    <row r="78">
      <c r="A78" s="1" t="s">
        <v>3309</v>
      </c>
      <c r="B78" s="1" t="s">
        <v>3310</v>
      </c>
      <c r="C78" s="1" t="s">
        <v>3313</v>
      </c>
      <c r="D78" s="1"/>
      <c r="E78" s="1"/>
      <c r="F78" s="1">
        <v>1031.0</v>
      </c>
      <c r="G78" s="1"/>
      <c r="H78" s="1"/>
      <c r="I78" s="463"/>
      <c r="J78" s="1"/>
      <c r="K78" s="1"/>
      <c r="L78" s="515">
        <v>46113.0</v>
      </c>
      <c r="M78" s="1">
        <v>2.9</v>
      </c>
      <c r="N78" s="90" t="str">
        <f t="shared" si="25"/>
        <v/>
      </c>
      <c r="O78" s="90" t="str">
        <f t="array" ref="O78">iferror(INDEX(Loads!Q:Q, MATCH(#REF!, Loads!C:C, 0)),)</f>
        <v/>
      </c>
      <c r="P78" s="87">
        <f t="shared" si="2"/>
        <v>0</v>
      </c>
      <c r="R78" s="90">
        <f t="shared" si="3"/>
        <v>4</v>
      </c>
      <c r="S78" s="681">
        <f t="shared" ref="S78:S82" si="26">(L78-R78)+2</f>
        <v>46111</v>
      </c>
    </row>
    <row r="79">
      <c r="A79" s="1" t="s">
        <v>3314</v>
      </c>
      <c r="B79" s="1" t="s">
        <v>3310</v>
      </c>
      <c r="C79" s="1" t="s">
        <v>3315</v>
      </c>
      <c r="D79" s="1"/>
      <c r="E79" s="1"/>
      <c r="F79" s="1">
        <v>1062.0</v>
      </c>
      <c r="G79" s="1"/>
      <c r="H79" s="1"/>
      <c r="I79" s="463"/>
      <c r="J79" s="1"/>
      <c r="K79" s="1"/>
      <c r="L79" s="515">
        <v>46114.0</v>
      </c>
      <c r="M79" s="1">
        <v>3.2</v>
      </c>
      <c r="N79" s="90" t="str">
        <f t="shared" si="25"/>
        <v/>
      </c>
      <c r="O79" s="90" t="str">
        <f t="array" ref="O79">iferror(INDEX(Loads!Q:Q, MATCH(#REF!, Loads!C:C, 0)),)</f>
        <v/>
      </c>
      <c r="P79" s="87">
        <f t="shared" si="2"/>
        <v>0</v>
      </c>
      <c r="R79" s="90">
        <f t="shared" si="3"/>
        <v>5</v>
      </c>
      <c r="S79" s="681">
        <f t="shared" si="26"/>
        <v>46111</v>
      </c>
    </row>
    <row r="80">
      <c r="A80" s="1" t="s">
        <v>3314</v>
      </c>
      <c r="B80" s="1" t="s">
        <v>3310</v>
      </c>
      <c r="C80" s="1" t="s">
        <v>3316</v>
      </c>
      <c r="D80" s="1"/>
      <c r="E80" s="1"/>
      <c r="F80" s="1">
        <v>1054.4</v>
      </c>
      <c r="G80" s="1"/>
      <c r="H80" s="1"/>
      <c r="I80" s="463"/>
      <c r="J80" s="1"/>
      <c r="K80" s="1"/>
      <c r="L80" s="515">
        <v>46114.0</v>
      </c>
      <c r="M80" s="1">
        <v>3.2</v>
      </c>
      <c r="N80" s="90" t="str">
        <f t="shared" si="25"/>
        <v/>
      </c>
      <c r="O80" s="1" t="str">
        <f t="array" ref="O80">iferror(INDEX(Loads!Q:Q, MATCH(#REF!, Loads!C:C, 0)),)</f>
        <v/>
      </c>
      <c r="P80" s="87">
        <f t="shared" si="2"/>
        <v>0</v>
      </c>
      <c r="R80" s="90">
        <f t="shared" si="3"/>
        <v>5</v>
      </c>
      <c r="S80" s="681">
        <f t="shared" si="26"/>
        <v>46111</v>
      </c>
    </row>
    <row r="81">
      <c r="A81" s="1" t="s">
        <v>3314</v>
      </c>
      <c r="B81" s="1" t="s">
        <v>3310</v>
      </c>
      <c r="C81" s="1" t="s">
        <v>3317</v>
      </c>
      <c r="D81" s="1"/>
      <c r="E81" s="1"/>
      <c r="F81" s="1">
        <v>1179.0</v>
      </c>
      <c r="G81" s="1"/>
      <c r="H81" s="1"/>
      <c r="I81" s="463"/>
      <c r="J81" s="1"/>
      <c r="K81" s="1"/>
      <c r="L81" s="515">
        <v>46114.0</v>
      </c>
      <c r="M81" s="1">
        <v>3.2</v>
      </c>
      <c r="N81" s="90" t="str">
        <f t="shared" si="25"/>
        <v/>
      </c>
      <c r="O81" s="1" t="str">
        <f t="array" ref="O81">iferror(INDEX(Loads!Q:Q, MATCH(#REF!, Loads!C:C, 0)),)</f>
        <v/>
      </c>
      <c r="P81" s="87">
        <f t="shared" si="2"/>
        <v>0</v>
      </c>
      <c r="R81" s="90">
        <f t="shared" si="3"/>
        <v>5</v>
      </c>
      <c r="S81" s="681">
        <f t="shared" si="26"/>
        <v>46111</v>
      </c>
    </row>
    <row r="82">
      <c r="A82" s="1" t="s">
        <v>3318</v>
      </c>
      <c r="B82" s="1" t="s">
        <v>3319</v>
      </c>
      <c r="C82" s="1" t="s">
        <v>3320</v>
      </c>
      <c r="D82" s="1"/>
      <c r="E82" s="1"/>
      <c r="F82" s="1">
        <v>999.0</v>
      </c>
      <c r="G82" s="1"/>
      <c r="H82" s="1">
        <v>1125.0</v>
      </c>
      <c r="I82" s="463"/>
      <c r="J82" s="1"/>
      <c r="K82" s="1"/>
      <c r="L82" s="515">
        <v>46102.0</v>
      </c>
      <c r="M82" s="1">
        <v>13.0</v>
      </c>
      <c r="N82" s="90" t="str">
        <f t="shared" si="25"/>
        <v/>
      </c>
      <c r="O82" s="90" t="str">
        <f t="array" ref="O82">iferror(INDEX(Loads!Q:Q, MATCH(#REF!, Loads!C:C, 0)),)</f>
        <v/>
      </c>
      <c r="P82" s="87">
        <f t="shared" si="2"/>
        <v>0</v>
      </c>
      <c r="R82" s="90">
        <f t="shared" si="3"/>
        <v>7</v>
      </c>
      <c r="S82" s="681">
        <f t="shared" si="26"/>
        <v>46097</v>
      </c>
    </row>
    <row r="83">
      <c r="A83" s="1" t="s">
        <v>3318</v>
      </c>
      <c r="B83" s="1" t="s">
        <v>3319</v>
      </c>
      <c r="C83" s="1" t="s">
        <v>3321</v>
      </c>
      <c r="D83" s="1"/>
      <c r="E83" s="1"/>
      <c r="F83" s="1">
        <v>1189.0</v>
      </c>
      <c r="G83" s="1"/>
      <c r="H83" s="1">
        <v>1273.0</v>
      </c>
      <c r="I83" s="463"/>
      <c r="J83" s="1"/>
      <c r="K83" s="1"/>
      <c r="L83" s="515">
        <v>46102.0</v>
      </c>
      <c r="M83" s="1">
        <v>13.0</v>
      </c>
      <c r="N83" s="90" t="str">
        <f>iferror(#REF!/I83,)</f>
        <v/>
      </c>
      <c r="O83" s="90" t="str">
        <f t="array" ref="O83">iferror(INDEX(Loads!Q:Q, MATCH(#REF!, Loads!C:C, 0)),)</f>
        <v/>
      </c>
      <c r="P83" s="87">
        <f t="shared" si="2"/>
        <v>0</v>
      </c>
      <c r="Q83" s="90">
        <f t="shared" ref="Q83:Q88" si="27">ISOWEEKNUM(L83)</f>
        <v>12</v>
      </c>
      <c r="R83" s="90">
        <f t="shared" si="3"/>
        <v>7</v>
      </c>
      <c r="S83" s="681">
        <f t="shared" ref="S83:S88" si="28">(L83-R83)+2</f>
        <v>46097</v>
      </c>
    </row>
    <row r="84">
      <c r="A84" s="1" t="s">
        <v>3318</v>
      </c>
      <c r="B84" s="1" t="s">
        <v>3319</v>
      </c>
      <c r="C84" s="1" t="s">
        <v>3322</v>
      </c>
      <c r="D84" s="1"/>
      <c r="E84" s="1"/>
      <c r="F84" s="1">
        <v>1165.0</v>
      </c>
      <c r="G84" s="1"/>
      <c r="H84" s="1">
        <v>1285.0</v>
      </c>
      <c r="I84" s="463"/>
      <c r="J84" s="1"/>
      <c r="K84" s="1"/>
      <c r="L84" s="515">
        <v>46102.0</v>
      </c>
      <c r="M84" s="1">
        <v>13.0</v>
      </c>
      <c r="N84" s="90" t="str">
        <f>iferror(#REF!/I84,)</f>
        <v/>
      </c>
      <c r="O84" s="90" t="str">
        <f t="array" ref="O84">iferror(INDEX(Loads!Q:Q, MATCH(#REF!, Loads!C:C, 0)),)</f>
        <v/>
      </c>
      <c r="P84" s="87">
        <f t="shared" si="2"/>
        <v>0</v>
      </c>
      <c r="Q84" s="90">
        <f t="shared" si="27"/>
        <v>12</v>
      </c>
      <c r="R84" s="90">
        <f t="shared" si="3"/>
        <v>7</v>
      </c>
      <c r="S84" s="681">
        <f t="shared" si="28"/>
        <v>46097</v>
      </c>
    </row>
    <row r="85">
      <c r="A85" s="1" t="s">
        <v>3318</v>
      </c>
      <c r="B85" s="1" t="s">
        <v>3319</v>
      </c>
      <c r="C85" s="1" t="s">
        <v>3323</v>
      </c>
      <c r="D85" s="1"/>
      <c r="E85" s="1"/>
      <c r="F85" s="1">
        <v>1185.0</v>
      </c>
      <c r="G85" s="1"/>
      <c r="H85" s="1">
        <v>1285.0</v>
      </c>
      <c r="I85" s="463"/>
      <c r="J85" s="1"/>
      <c r="K85" s="1"/>
      <c r="L85" s="515">
        <v>46102.0</v>
      </c>
      <c r="M85" s="1">
        <v>13.0</v>
      </c>
      <c r="N85" s="90" t="str">
        <f>iferror(#REF!/I85,)</f>
        <v/>
      </c>
      <c r="O85" s="90" t="str">
        <f t="array" ref="O85">iferror(INDEX(Loads!Q:Q, MATCH(#REF!, Loads!C:C, 0)),)</f>
        <v/>
      </c>
      <c r="P85" s="87">
        <f t="shared" si="2"/>
        <v>0</v>
      </c>
      <c r="Q85" s="90">
        <f t="shared" si="27"/>
        <v>12</v>
      </c>
      <c r="R85" s="90">
        <f t="shared" si="3"/>
        <v>7</v>
      </c>
      <c r="S85" s="681">
        <f t="shared" si="28"/>
        <v>46097</v>
      </c>
    </row>
    <row r="86">
      <c r="A86" s="1" t="s">
        <v>3324</v>
      </c>
      <c r="B86" s="1" t="s">
        <v>3319</v>
      </c>
      <c r="C86" s="1" t="s">
        <v>3325</v>
      </c>
      <c r="D86" s="1"/>
      <c r="E86" s="1"/>
      <c r="F86" s="1">
        <v>1092.0</v>
      </c>
      <c r="G86" s="1"/>
      <c r="H86" s="1">
        <v>1185.0</v>
      </c>
      <c r="I86" s="463"/>
      <c r="J86" s="1"/>
      <c r="K86" s="1"/>
      <c r="L86" s="515">
        <v>46133.0</v>
      </c>
      <c r="M86" s="1">
        <v>2.9</v>
      </c>
      <c r="N86" s="90" t="str">
        <f t="shared" ref="N86:N87" si="29">iferror(#REF!/I86,)</f>
        <v/>
      </c>
      <c r="O86" s="90" t="str">
        <f t="array" ref="O86">iferror(INDEX(Loads!Q:Q, MATCH(#REF!, Loads!C:C, 0)),)</f>
        <v/>
      </c>
      <c r="P86" s="87">
        <f t="shared" si="2"/>
        <v>0</v>
      </c>
      <c r="Q86" s="90">
        <f t="shared" si="27"/>
        <v>17</v>
      </c>
      <c r="R86" s="90">
        <f t="shared" si="3"/>
        <v>3</v>
      </c>
      <c r="S86" s="681">
        <f t="shared" si="28"/>
        <v>46132</v>
      </c>
    </row>
    <row r="87">
      <c r="A87" s="1" t="s">
        <v>3324</v>
      </c>
      <c r="B87" s="1" t="s">
        <v>3319</v>
      </c>
      <c r="C87" s="1" t="s">
        <v>3326</v>
      </c>
      <c r="D87" s="1"/>
      <c r="E87" s="1"/>
      <c r="F87" s="1">
        <v>1141.5</v>
      </c>
      <c r="G87" s="1"/>
      <c r="H87" s="1">
        <v>1232.0</v>
      </c>
      <c r="I87" s="463"/>
      <c r="J87" s="1"/>
      <c r="K87" s="1"/>
      <c r="L87" s="515">
        <v>46133.0</v>
      </c>
      <c r="M87" s="1">
        <v>2.9</v>
      </c>
      <c r="N87" s="90" t="str">
        <f t="shared" si="29"/>
        <v/>
      </c>
      <c r="O87" s="90" t="str">
        <f t="array" ref="O87">iferror(INDEX(Loads!Q:Q, MATCH(#REF!, Loads!C:C, 0)),)</f>
        <v/>
      </c>
      <c r="P87" s="87">
        <f t="shared" si="2"/>
        <v>0</v>
      </c>
      <c r="Q87" s="90">
        <f t="shared" si="27"/>
        <v>17</v>
      </c>
      <c r="R87" s="90">
        <f t="shared" si="3"/>
        <v>3</v>
      </c>
      <c r="S87" s="681">
        <f t="shared" si="28"/>
        <v>46132</v>
      </c>
    </row>
    <row r="88">
      <c r="A88" s="1" t="s">
        <v>3324</v>
      </c>
      <c r="B88" s="1" t="s">
        <v>3319</v>
      </c>
      <c r="C88" s="1" t="s">
        <v>3327</v>
      </c>
      <c r="D88" s="1"/>
      <c r="E88" s="1"/>
      <c r="F88" s="1">
        <v>1175.5</v>
      </c>
      <c r="G88" s="1"/>
      <c r="H88" s="1">
        <v>1261.0</v>
      </c>
      <c r="I88" s="463"/>
      <c r="J88" s="1"/>
      <c r="K88" s="1"/>
      <c r="L88" s="515">
        <v>46133.0</v>
      </c>
      <c r="M88" s="1">
        <v>2.9</v>
      </c>
      <c r="N88" s="90" t="str">
        <f>iferror(#REF!/I88,)</f>
        <v/>
      </c>
      <c r="O88" s="90" t="str">
        <f t="array" ref="O88">iferror(INDEX(Loads!Q:Q, MATCH(#REF!, Loads!C:C, 0)),)</f>
        <v/>
      </c>
      <c r="P88" s="87">
        <f t="shared" si="2"/>
        <v>0</v>
      </c>
      <c r="Q88" s="90">
        <f t="shared" si="27"/>
        <v>17</v>
      </c>
      <c r="R88" s="90">
        <f t="shared" si="3"/>
        <v>3</v>
      </c>
      <c r="S88" s="681">
        <f t="shared" si="28"/>
        <v>46132</v>
      </c>
    </row>
    <row r="89">
      <c r="A89" s="1" t="s">
        <v>3324</v>
      </c>
      <c r="B89" s="1" t="s">
        <v>3319</v>
      </c>
      <c r="C89" s="1" t="s">
        <v>3328</v>
      </c>
      <c r="D89" s="1"/>
      <c r="E89" s="1"/>
      <c r="F89" s="1">
        <v>1209.0</v>
      </c>
      <c r="G89" s="1"/>
      <c r="H89" s="1">
        <v>1284.0</v>
      </c>
      <c r="I89" s="463"/>
      <c r="J89" s="1"/>
      <c r="K89" s="1"/>
      <c r="L89" s="515">
        <v>46133.0</v>
      </c>
      <c r="M89" s="1">
        <v>2.9</v>
      </c>
      <c r="N89" s="90" t="str">
        <f>iferror(#REF!/I89,)</f>
        <v/>
      </c>
      <c r="O89" s="90" t="str">
        <f t="array" ref="O89">iferror(INDEX(Loads!Q:Q, MATCH(#REF!, Loads!C:C, 0)),)</f>
        <v/>
      </c>
      <c r="P89" s="87">
        <f t="shared" si="2"/>
        <v>0</v>
      </c>
      <c r="R89" s="90">
        <f t="shared" si="3"/>
        <v>3</v>
      </c>
      <c r="S89" s="681">
        <f>(L89-R89)+2</f>
        <v>46132</v>
      </c>
    </row>
    <row r="90">
      <c r="A90" s="1"/>
      <c r="B90" s="1"/>
      <c r="C90" s="463"/>
      <c r="D90" s="463"/>
      <c r="E90" s="1"/>
      <c r="F90" s="1"/>
      <c r="G90" s="1"/>
      <c r="H90" s="1"/>
      <c r="I90" s="1"/>
      <c r="J90" s="1"/>
      <c r="K90" s="1"/>
      <c r="L90" s="1"/>
      <c r="M90" s="1"/>
      <c r="P90" s="87"/>
    </row>
    <row r="91">
      <c r="A91" s="1"/>
      <c r="B91" s="1"/>
      <c r="C91" s="463"/>
      <c r="D91" s="463"/>
      <c r="E91" s="1"/>
      <c r="F91" s="1"/>
      <c r="G91" s="1"/>
      <c r="H91" s="1"/>
      <c r="I91" s="1"/>
      <c r="J91" s="1"/>
      <c r="K91" s="1"/>
      <c r="L91" s="1"/>
      <c r="M91" s="1"/>
      <c r="P91" s="87"/>
    </row>
    <row r="92">
      <c r="A92" s="1"/>
      <c r="B92" s="1"/>
      <c r="C92" s="463"/>
      <c r="D92" s="463"/>
      <c r="E92" s="1"/>
      <c r="F92" s="1"/>
      <c r="G92" s="1"/>
      <c r="H92" s="1"/>
      <c r="I92" s="1"/>
      <c r="J92" s="1"/>
      <c r="K92" s="1"/>
      <c r="L92" s="1"/>
      <c r="M92" s="1"/>
      <c r="P92" s="87"/>
    </row>
    <row r="93">
      <c r="A93" s="1"/>
      <c r="B93" s="1"/>
      <c r="C93" s="463"/>
      <c r="D93" s="463"/>
      <c r="E93" s="1"/>
      <c r="F93" s="1"/>
      <c r="G93" s="1"/>
      <c r="H93" s="1"/>
      <c r="I93" s="1"/>
      <c r="J93" s="1"/>
      <c r="K93" s="1"/>
      <c r="L93" s="1"/>
      <c r="M93" s="1"/>
      <c r="P93" s="87"/>
    </row>
    <row r="94">
      <c r="A94" s="1"/>
      <c r="B94" s="1"/>
      <c r="C94" s="463"/>
      <c r="D94" s="463"/>
      <c r="E94" s="1"/>
      <c r="F94" s="1"/>
      <c r="G94" s="1"/>
      <c r="H94" s="1"/>
      <c r="I94" s="1"/>
      <c r="J94" s="1"/>
      <c r="K94" s="1"/>
      <c r="L94" s="1"/>
      <c r="M94" s="1"/>
      <c r="P94" s="87"/>
    </row>
    <row r="95">
      <c r="A95" s="1"/>
      <c r="B95" s="1"/>
      <c r="C95" s="463"/>
      <c r="D95" s="463"/>
      <c r="E95" s="1"/>
      <c r="F95" s="1"/>
      <c r="G95" s="1"/>
      <c r="H95" s="1"/>
      <c r="I95" s="1"/>
      <c r="J95" s="1"/>
      <c r="K95" s="1"/>
      <c r="L95" s="1"/>
      <c r="M95" s="1"/>
      <c r="P95" s="87"/>
    </row>
    <row r="96">
      <c r="A96" s="1"/>
      <c r="B96" s="1"/>
      <c r="C96" s="463"/>
      <c r="D96" s="463"/>
      <c r="E96" s="1"/>
      <c r="F96" s="1"/>
      <c r="G96" s="1"/>
      <c r="H96" s="1"/>
      <c r="I96" s="1"/>
      <c r="J96" s="1"/>
      <c r="K96" s="1"/>
      <c r="L96" s="1"/>
      <c r="M96" s="1"/>
      <c r="P96" s="87"/>
    </row>
    <row r="97">
      <c r="A97" s="1"/>
      <c r="B97" s="1"/>
      <c r="C97" s="463"/>
      <c r="D97" s="463"/>
      <c r="E97" s="1"/>
      <c r="F97" s="1"/>
      <c r="G97" s="1"/>
      <c r="H97" s="1"/>
      <c r="I97" s="1"/>
      <c r="J97" s="1"/>
      <c r="K97" s="1"/>
      <c r="L97" s="1"/>
      <c r="M97" s="1"/>
      <c r="P97" s="87"/>
    </row>
    <row r="98">
      <c r="A98" s="1"/>
      <c r="B98" s="1"/>
      <c r="C98" s="463"/>
      <c r="D98" s="463"/>
      <c r="E98" s="1"/>
      <c r="F98" s="1"/>
      <c r="G98" s="1"/>
      <c r="H98" s="1"/>
      <c r="I98" s="1"/>
      <c r="J98" s="1"/>
      <c r="K98" s="1"/>
      <c r="L98" s="1"/>
      <c r="M98" s="1"/>
      <c r="P98" s="87"/>
    </row>
    <row r="99">
      <c r="A99" s="1"/>
      <c r="B99" s="1"/>
      <c r="C99" s="463"/>
      <c r="D99" s="463"/>
      <c r="E99" s="1"/>
      <c r="F99" s="1"/>
      <c r="G99" s="1"/>
      <c r="H99" s="1"/>
      <c r="I99" s="1"/>
      <c r="J99" s="1"/>
      <c r="K99" s="1"/>
      <c r="L99" s="1"/>
      <c r="M99" s="1"/>
      <c r="P99" s="87"/>
    </row>
    <row r="100">
      <c r="A100" s="1"/>
      <c r="B100" s="1"/>
      <c r="C100" s="463"/>
      <c r="D100" s="463"/>
      <c r="E100" s="1"/>
      <c r="F100" s="1"/>
      <c r="G100" s="1"/>
      <c r="H100" s="1"/>
      <c r="I100" s="1"/>
      <c r="J100" s="1"/>
      <c r="K100" s="1"/>
      <c r="L100" s="1"/>
      <c r="M100" s="1"/>
      <c r="P100" s="87"/>
    </row>
    <row r="101">
      <c r="A101" s="1"/>
      <c r="B101" s="1"/>
      <c r="C101" s="463"/>
      <c r="D101" s="463"/>
      <c r="E101" s="1"/>
      <c r="F101" s="1"/>
      <c r="G101" s="1"/>
      <c r="H101" s="1"/>
      <c r="I101" s="1"/>
      <c r="J101" s="1"/>
      <c r="K101" s="1"/>
      <c r="L101" s="1"/>
      <c r="M101" s="1"/>
      <c r="P101" s="87"/>
    </row>
    <row r="102">
      <c r="A102" s="1"/>
      <c r="B102" s="1"/>
      <c r="C102" s="463"/>
      <c r="D102" s="463"/>
      <c r="E102" s="1"/>
      <c r="F102" s="1"/>
      <c r="G102" s="1"/>
      <c r="H102" s="1"/>
      <c r="I102" s="1"/>
      <c r="J102" s="1"/>
      <c r="K102" s="1"/>
      <c r="L102" s="1"/>
      <c r="M102" s="1"/>
      <c r="P102" s="87"/>
    </row>
    <row r="103">
      <c r="A103" s="1"/>
      <c r="B103" s="1"/>
      <c r="C103" s="463"/>
      <c r="D103" s="463"/>
      <c r="E103" s="1"/>
      <c r="F103" s="1"/>
      <c r="G103" s="1"/>
      <c r="H103" s="1"/>
      <c r="I103" s="1"/>
      <c r="J103" s="1"/>
      <c r="K103" s="1"/>
      <c r="L103" s="1"/>
      <c r="M103" s="1"/>
      <c r="P103" s="87"/>
    </row>
    <row r="104">
      <c r="A104" s="1"/>
      <c r="B104" s="1"/>
      <c r="C104" s="463"/>
      <c r="D104" s="463"/>
      <c r="E104" s="1"/>
      <c r="F104" s="1"/>
      <c r="G104" s="1"/>
      <c r="H104" s="1"/>
      <c r="I104" s="1"/>
      <c r="J104" s="1"/>
      <c r="K104" s="1"/>
      <c r="L104" s="1"/>
      <c r="M104" s="1"/>
      <c r="P104" s="87"/>
    </row>
    <row r="105">
      <c r="A105" s="1"/>
      <c r="B105" s="1"/>
      <c r="C105" s="463"/>
      <c r="D105" s="463"/>
      <c r="E105" s="1"/>
      <c r="F105" s="1"/>
      <c r="G105" s="1"/>
      <c r="H105" s="1"/>
      <c r="I105" s="1"/>
      <c r="J105" s="1"/>
      <c r="K105" s="1"/>
      <c r="L105" s="1"/>
      <c r="M105" s="1"/>
      <c r="P105" s="87"/>
    </row>
    <row r="106">
      <c r="A106" s="1"/>
      <c r="B106" s="1"/>
      <c r="C106" s="463"/>
      <c r="D106" s="463"/>
      <c r="E106" s="1"/>
      <c r="F106" s="1"/>
      <c r="G106" s="1"/>
      <c r="H106" s="1"/>
      <c r="I106" s="1"/>
      <c r="J106" s="1"/>
      <c r="K106" s="1"/>
      <c r="L106" s="1"/>
      <c r="M106" s="1"/>
      <c r="P106" s="87"/>
    </row>
    <row r="107">
      <c r="A107" s="1"/>
      <c r="B107" s="1"/>
      <c r="C107" s="463"/>
      <c r="D107" s="463"/>
      <c r="E107" s="1"/>
      <c r="F107" s="1"/>
      <c r="G107" s="1"/>
      <c r="H107" s="1"/>
      <c r="I107" s="1"/>
      <c r="J107" s="1"/>
      <c r="K107" s="1"/>
      <c r="L107" s="1"/>
      <c r="M107" s="1"/>
      <c r="P107" s="87"/>
    </row>
    <row r="108">
      <c r="A108" s="1"/>
      <c r="B108" s="1"/>
      <c r="C108" s="463"/>
      <c r="D108" s="463"/>
      <c r="E108" s="1"/>
      <c r="F108" s="1"/>
      <c r="G108" s="1"/>
      <c r="H108" s="1"/>
      <c r="I108" s="1"/>
      <c r="J108" s="1"/>
      <c r="K108" s="1"/>
      <c r="L108" s="1"/>
      <c r="M108" s="1"/>
      <c r="P108" s="87"/>
    </row>
    <row r="109">
      <c r="A109" s="1"/>
      <c r="B109" s="1"/>
      <c r="C109" s="463"/>
      <c r="D109" s="463"/>
      <c r="E109" s="1"/>
      <c r="F109" s="1"/>
      <c r="G109" s="1"/>
      <c r="H109" s="1"/>
      <c r="I109" s="1"/>
      <c r="J109" s="1"/>
      <c r="K109" s="1"/>
      <c r="L109" s="1"/>
      <c r="M109" s="1"/>
      <c r="P109" s="87"/>
    </row>
    <row r="110">
      <c r="A110" s="1"/>
      <c r="B110" s="1"/>
      <c r="C110" s="463"/>
      <c r="D110" s="463"/>
      <c r="E110" s="1"/>
      <c r="F110" s="1"/>
      <c r="G110" s="1"/>
      <c r="H110" s="1"/>
      <c r="I110" s="1"/>
      <c r="J110" s="1"/>
      <c r="K110" s="1"/>
      <c r="L110" s="1"/>
      <c r="M110" s="1"/>
      <c r="P110" s="87"/>
    </row>
    <row r="111">
      <c r="A111" s="1"/>
      <c r="B111" s="1"/>
      <c r="C111" s="463"/>
      <c r="D111" s="463"/>
      <c r="E111" s="1"/>
      <c r="F111" s="1"/>
      <c r="G111" s="1"/>
      <c r="H111" s="1"/>
      <c r="I111" s="1"/>
      <c r="J111" s="1"/>
      <c r="K111" s="1"/>
      <c r="L111" s="1"/>
      <c r="M111" s="1"/>
      <c r="P111" s="87"/>
    </row>
    <row r="112">
      <c r="A112" s="1"/>
      <c r="B112" s="1"/>
      <c r="C112" s="463"/>
      <c r="D112" s="463"/>
      <c r="E112" s="1"/>
      <c r="F112" s="1"/>
      <c r="G112" s="1"/>
      <c r="H112" s="1"/>
      <c r="I112" s="1"/>
      <c r="J112" s="1"/>
      <c r="K112" s="1"/>
      <c r="L112" s="1"/>
      <c r="M112" s="1"/>
      <c r="P112" s="87"/>
    </row>
    <row r="113">
      <c r="A113" s="1"/>
      <c r="B113" s="1"/>
      <c r="C113" s="463"/>
      <c r="D113" s="463"/>
      <c r="E113" s="1"/>
      <c r="F113" s="1"/>
      <c r="G113" s="1"/>
      <c r="H113" s="1"/>
      <c r="I113" s="1"/>
      <c r="J113" s="1"/>
      <c r="K113" s="1"/>
      <c r="L113" s="1"/>
      <c r="M113" s="1"/>
      <c r="P113" s="87"/>
    </row>
    <row r="114">
      <c r="A114" s="1"/>
      <c r="B114" s="1"/>
      <c r="C114" s="463"/>
      <c r="D114" s="463"/>
      <c r="E114" s="1"/>
      <c r="F114" s="1"/>
      <c r="G114" s="1"/>
      <c r="H114" s="1"/>
      <c r="I114" s="1"/>
      <c r="J114" s="1"/>
      <c r="K114" s="1"/>
      <c r="L114" s="1"/>
      <c r="M114" s="1"/>
      <c r="P114" s="87"/>
    </row>
    <row r="115">
      <c r="A115" s="1"/>
      <c r="B115" s="1"/>
      <c r="C115" s="463"/>
      <c r="D115" s="463"/>
      <c r="E115" s="1"/>
      <c r="F115" s="1"/>
      <c r="G115" s="1"/>
      <c r="H115" s="1"/>
      <c r="I115" s="1"/>
      <c r="J115" s="1"/>
      <c r="K115" s="1"/>
      <c r="L115" s="1"/>
      <c r="M115" s="1"/>
      <c r="P115" s="87"/>
    </row>
    <row r="116">
      <c r="A116" s="1"/>
      <c r="B116" s="1"/>
      <c r="C116" s="463"/>
      <c r="D116" s="463"/>
      <c r="E116" s="1"/>
      <c r="F116" s="1"/>
      <c r="G116" s="1"/>
      <c r="H116" s="1"/>
      <c r="I116" s="1"/>
      <c r="J116" s="1"/>
      <c r="K116" s="1"/>
      <c r="L116" s="1"/>
      <c r="M116" s="1"/>
      <c r="P116" s="87"/>
    </row>
    <row r="117">
      <c r="A117" s="1"/>
      <c r="B117" s="1"/>
      <c r="C117" s="463"/>
      <c r="D117" s="463"/>
      <c r="E117" s="1"/>
      <c r="F117" s="1"/>
      <c r="G117" s="1"/>
      <c r="H117" s="1"/>
      <c r="I117" s="1"/>
      <c r="J117" s="1"/>
      <c r="K117" s="1"/>
      <c r="L117" s="1"/>
      <c r="M117" s="1"/>
      <c r="P117" s="87"/>
    </row>
    <row r="118">
      <c r="A118" s="1"/>
      <c r="B118" s="1"/>
      <c r="C118" s="463"/>
      <c r="D118" s="463"/>
      <c r="E118" s="1"/>
      <c r="F118" s="1"/>
      <c r="G118" s="1"/>
      <c r="H118" s="1"/>
      <c r="I118" s="1"/>
      <c r="J118" s="1"/>
      <c r="K118" s="1"/>
      <c r="L118" s="1"/>
      <c r="M118" s="1"/>
      <c r="P118" s="87"/>
    </row>
    <row r="119">
      <c r="A119" s="1"/>
      <c r="B119" s="1"/>
      <c r="C119" s="463"/>
      <c r="D119" s="463"/>
      <c r="E119" s="1"/>
      <c r="F119" s="1"/>
      <c r="G119" s="1"/>
      <c r="H119" s="1"/>
      <c r="I119" s="1"/>
      <c r="J119" s="1"/>
      <c r="K119" s="1"/>
      <c r="L119" s="1"/>
      <c r="M119" s="1"/>
      <c r="P119" s="87"/>
    </row>
    <row r="120">
      <c r="A120" s="1"/>
      <c r="B120" s="1"/>
      <c r="C120" s="463"/>
      <c r="D120" s="463"/>
      <c r="E120" s="1"/>
      <c r="F120" s="1"/>
      <c r="G120" s="1"/>
      <c r="H120" s="1"/>
      <c r="I120" s="1"/>
      <c r="J120" s="1"/>
      <c r="K120" s="1"/>
      <c r="L120" s="1"/>
      <c r="M120" s="1"/>
      <c r="P120" s="87"/>
    </row>
    <row r="121">
      <c r="A121" s="1"/>
      <c r="B121" s="1"/>
      <c r="C121" s="463"/>
      <c r="D121" s="463"/>
      <c r="E121" s="1"/>
      <c r="F121" s="1"/>
      <c r="G121" s="1"/>
      <c r="H121" s="1"/>
      <c r="I121" s="1"/>
      <c r="J121" s="1"/>
      <c r="K121" s="1"/>
      <c r="L121" s="1"/>
      <c r="M121" s="1"/>
      <c r="P121" s="87"/>
    </row>
    <row r="122">
      <c r="A122" s="1"/>
      <c r="B122" s="1"/>
      <c r="C122" s="463"/>
      <c r="D122" s="463"/>
      <c r="E122" s="1"/>
      <c r="F122" s="1"/>
      <c r="G122" s="1"/>
      <c r="H122" s="1"/>
      <c r="I122" s="1"/>
      <c r="J122" s="1"/>
      <c r="K122" s="1"/>
      <c r="L122" s="1"/>
      <c r="M122" s="1"/>
      <c r="P122" s="87"/>
    </row>
    <row r="123">
      <c r="A123" s="1"/>
      <c r="B123" s="1"/>
      <c r="C123" s="463"/>
      <c r="D123" s="463"/>
      <c r="E123" s="1"/>
      <c r="F123" s="1"/>
      <c r="G123" s="1"/>
      <c r="H123" s="1"/>
      <c r="I123" s="1"/>
      <c r="J123" s="1"/>
      <c r="K123" s="1"/>
      <c r="L123" s="1"/>
      <c r="M123" s="1"/>
      <c r="P123" s="87"/>
    </row>
    <row r="124">
      <c r="A124" s="1"/>
      <c r="B124" s="1"/>
      <c r="C124" s="463"/>
      <c r="D124" s="463"/>
      <c r="E124" s="1"/>
      <c r="F124" s="1"/>
      <c r="G124" s="1"/>
      <c r="H124" s="1"/>
      <c r="I124" s="1"/>
      <c r="J124" s="1"/>
      <c r="K124" s="1"/>
      <c r="L124" s="1"/>
      <c r="M124" s="1"/>
      <c r="P124" s="87"/>
    </row>
    <row r="125">
      <c r="A125" s="1"/>
      <c r="B125" s="1"/>
      <c r="C125" s="463"/>
      <c r="D125" s="463"/>
      <c r="E125" s="1"/>
      <c r="F125" s="1"/>
      <c r="G125" s="1"/>
      <c r="H125" s="1"/>
      <c r="I125" s="1"/>
      <c r="J125" s="1"/>
      <c r="K125" s="1"/>
      <c r="L125" s="1"/>
      <c r="M125" s="1"/>
      <c r="P125" s="87"/>
    </row>
    <row r="126">
      <c r="A126" s="1"/>
      <c r="B126" s="1"/>
      <c r="C126" s="463"/>
      <c r="D126" s="463"/>
      <c r="E126" s="1"/>
      <c r="F126" s="1"/>
      <c r="G126" s="1"/>
      <c r="H126" s="1"/>
      <c r="I126" s="1"/>
      <c r="J126" s="1"/>
      <c r="K126" s="1"/>
      <c r="L126" s="1"/>
      <c r="M126" s="1"/>
      <c r="P126" s="87"/>
    </row>
    <row r="127">
      <c r="A127" s="1"/>
      <c r="B127" s="1"/>
      <c r="C127" s="463"/>
      <c r="D127" s="463"/>
      <c r="E127" s="1"/>
      <c r="F127" s="1"/>
      <c r="G127" s="1"/>
      <c r="H127" s="1"/>
      <c r="I127" s="1"/>
      <c r="J127" s="1"/>
      <c r="K127" s="1"/>
      <c r="L127" s="1"/>
      <c r="M127" s="1"/>
      <c r="P127" s="87"/>
    </row>
    <row r="128">
      <c r="A128" s="1"/>
      <c r="B128" s="1"/>
      <c r="C128" s="463"/>
      <c r="D128" s="463"/>
      <c r="E128" s="1"/>
      <c r="F128" s="1"/>
      <c r="G128" s="1"/>
      <c r="H128" s="1"/>
      <c r="I128" s="1"/>
      <c r="J128" s="1"/>
      <c r="K128" s="1"/>
      <c r="L128" s="1"/>
      <c r="M128" s="1"/>
      <c r="P128" s="87"/>
    </row>
    <row r="129">
      <c r="A129" s="1"/>
      <c r="B129" s="1"/>
      <c r="C129" s="463"/>
      <c r="D129" s="463"/>
      <c r="E129" s="1"/>
      <c r="F129" s="1"/>
      <c r="G129" s="1"/>
      <c r="H129" s="1"/>
      <c r="I129" s="1"/>
      <c r="J129" s="1"/>
      <c r="K129" s="1"/>
      <c r="L129" s="1"/>
      <c r="M129" s="1"/>
      <c r="P129" s="87"/>
    </row>
    <row r="130">
      <c r="A130" s="1"/>
      <c r="B130" s="1"/>
      <c r="C130" s="463"/>
      <c r="D130" s="463"/>
      <c r="E130" s="1"/>
      <c r="F130" s="1"/>
      <c r="G130" s="1"/>
      <c r="H130" s="1"/>
      <c r="I130" s="1"/>
      <c r="J130" s="1"/>
      <c r="K130" s="1"/>
      <c r="L130" s="1"/>
      <c r="M130" s="1"/>
      <c r="P130" s="87"/>
    </row>
    <row r="131">
      <c r="A131" s="1"/>
      <c r="B131" s="1"/>
      <c r="C131" s="463"/>
      <c r="D131" s="463"/>
      <c r="E131" s="1"/>
      <c r="F131" s="1"/>
      <c r="G131" s="1"/>
      <c r="H131" s="1"/>
      <c r="I131" s="1"/>
      <c r="J131" s="1"/>
      <c r="K131" s="1"/>
      <c r="L131" s="1"/>
      <c r="M131" s="1"/>
      <c r="P131" s="87"/>
    </row>
    <row r="132">
      <c r="A132" s="1"/>
      <c r="B132" s="1"/>
      <c r="C132" s="463"/>
      <c r="D132" s="463"/>
      <c r="E132" s="1"/>
      <c r="F132" s="1"/>
      <c r="G132" s="1"/>
      <c r="H132" s="1"/>
      <c r="I132" s="1"/>
      <c r="J132" s="1"/>
      <c r="K132" s="1"/>
      <c r="L132" s="1"/>
      <c r="M132" s="1"/>
      <c r="P132" s="87"/>
    </row>
    <row r="133">
      <c r="A133" s="1"/>
      <c r="B133" s="1"/>
      <c r="C133" s="463"/>
      <c r="D133" s="463"/>
      <c r="E133" s="1"/>
      <c r="F133" s="1"/>
      <c r="G133" s="1"/>
      <c r="H133" s="1"/>
      <c r="I133" s="1"/>
      <c r="J133" s="1"/>
      <c r="K133" s="1"/>
      <c r="L133" s="1"/>
      <c r="M133" s="1"/>
      <c r="P133" s="87"/>
    </row>
    <row r="134">
      <c r="A134" s="1"/>
      <c r="B134" s="1"/>
      <c r="C134" s="463"/>
      <c r="D134" s="463"/>
      <c r="E134" s="1"/>
      <c r="F134" s="1"/>
      <c r="G134" s="1"/>
      <c r="H134" s="1"/>
      <c r="I134" s="1"/>
      <c r="J134" s="1"/>
      <c r="K134" s="1"/>
      <c r="L134" s="1"/>
      <c r="M134" s="1"/>
      <c r="P134" s="87"/>
    </row>
    <row r="135">
      <c r="A135" s="1"/>
      <c r="B135" s="1"/>
      <c r="C135" s="463"/>
      <c r="D135" s="463"/>
      <c r="E135" s="1"/>
      <c r="F135" s="1"/>
      <c r="G135" s="1"/>
      <c r="H135" s="1"/>
      <c r="I135" s="1"/>
      <c r="J135" s="1"/>
      <c r="K135" s="1"/>
      <c r="L135" s="1"/>
      <c r="M135" s="1"/>
      <c r="P135" s="87"/>
    </row>
    <row r="136">
      <c r="A136" s="1"/>
      <c r="B136" s="1"/>
      <c r="C136" s="463"/>
      <c r="D136" s="463"/>
      <c r="E136" s="1"/>
      <c r="F136" s="1"/>
      <c r="G136" s="1"/>
      <c r="H136" s="1"/>
      <c r="I136" s="1"/>
      <c r="J136" s="1"/>
      <c r="K136" s="1"/>
      <c r="L136" s="1"/>
      <c r="M136" s="1"/>
      <c r="P136" s="87"/>
    </row>
    <row r="137">
      <c r="A137" s="1"/>
      <c r="B137" s="1"/>
      <c r="C137" s="463"/>
      <c r="D137" s="463"/>
      <c r="E137" s="1"/>
      <c r="F137" s="1"/>
      <c r="G137" s="1"/>
      <c r="H137" s="1"/>
      <c r="I137" s="1"/>
      <c r="J137" s="1"/>
      <c r="K137" s="1"/>
      <c r="L137" s="1"/>
      <c r="M137" s="1"/>
      <c r="P137" s="87"/>
    </row>
    <row r="138">
      <c r="A138" s="1"/>
      <c r="B138" s="1"/>
      <c r="C138" s="463"/>
      <c r="D138" s="463"/>
      <c r="E138" s="1"/>
      <c r="F138" s="1"/>
      <c r="G138" s="1"/>
      <c r="H138" s="1"/>
      <c r="I138" s="1"/>
      <c r="J138" s="1"/>
      <c r="K138" s="1"/>
      <c r="L138" s="1"/>
      <c r="M138" s="1"/>
      <c r="P138" s="87"/>
    </row>
    <row r="139">
      <c r="A139" s="1"/>
      <c r="B139" s="1"/>
      <c r="C139" s="463"/>
      <c r="D139" s="463"/>
      <c r="E139" s="1"/>
      <c r="F139" s="1"/>
      <c r="G139" s="1"/>
      <c r="H139" s="1"/>
      <c r="I139" s="1"/>
      <c r="J139" s="1"/>
      <c r="K139" s="1"/>
      <c r="L139" s="1"/>
      <c r="M139" s="1"/>
      <c r="P139" s="87"/>
    </row>
    <row r="140">
      <c r="A140" s="1"/>
      <c r="B140" s="1"/>
      <c r="C140" s="463"/>
      <c r="D140" s="463"/>
      <c r="E140" s="1"/>
      <c r="F140" s="1"/>
      <c r="G140" s="1"/>
      <c r="H140" s="1"/>
      <c r="I140" s="1"/>
      <c r="J140" s="1"/>
      <c r="K140" s="1"/>
      <c r="L140" s="1"/>
      <c r="M140" s="1"/>
      <c r="P140" s="87"/>
    </row>
    <row r="141">
      <c r="A141" s="1"/>
      <c r="B141" s="1"/>
      <c r="C141" s="463"/>
      <c r="D141" s="463"/>
      <c r="E141" s="1"/>
      <c r="F141" s="1"/>
      <c r="G141" s="1"/>
      <c r="H141" s="1"/>
      <c r="I141" s="1"/>
      <c r="J141" s="1"/>
      <c r="K141" s="1"/>
      <c r="L141" s="1"/>
      <c r="M141" s="1"/>
      <c r="P141" s="87"/>
    </row>
    <row r="142">
      <c r="A142" s="1"/>
      <c r="B142" s="1"/>
      <c r="C142" s="463"/>
      <c r="D142" s="463"/>
      <c r="E142" s="1"/>
      <c r="F142" s="1"/>
      <c r="G142" s="1"/>
      <c r="H142" s="1"/>
      <c r="I142" s="1"/>
      <c r="J142" s="1"/>
      <c r="K142" s="1"/>
      <c r="L142" s="1"/>
      <c r="M142" s="1"/>
      <c r="P142" s="87"/>
    </row>
    <row r="143">
      <c r="A143" s="1"/>
      <c r="B143" s="1"/>
      <c r="C143" s="463"/>
      <c r="D143" s="463"/>
      <c r="E143" s="1"/>
      <c r="F143" s="1"/>
      <c r="G143" s="1"/>
      <c r="H143" s="1"/>
      <c r="I143" s="1"/>
      <c r="J143" s="1"/>
      <c r="K143" s="1"/>
      <c r="L143" s="1"/>
      <c r="M143" s="1"/>
      <c r="P143" s="87"/>
    </row>
    <row r="144">
      <c r="A144" s="1"/>
      <c r="B144" s="1"/>
      <c r="C144" s="463"/>
      <c r="D144" s="463"/>
      <c r="E144" s="1"/>
      <c r="F144" s="1"/>
      <c r="G144" s="1"/>
      <c r="H144" s="1"/>
      <c r="I144" s="1"/>
      <c r="J144" s="1"/>
      <c r="K144" s="1"/>
      <c r="L144" s="1"/>
      <c r="M144" s="1"/>
      <c r="P144" s="87"/>
    </row>
    <row r="145">
      <c r="A145" s="1"/>
      <c r="B145" s="1"/>
      <c r="C145" s="463"/>
      <c r="D145" s="463"/>
      <c r="E145" s="1"/>
      <c r="F145" s="1"/>
      <c r="G145" s="1"/>
      <c r="H145" s="1"/>
      <c r="I145" s="1"/>
      <c r="J145" s="1"/>
      <c r="K145" s="1"/>
      <c r="L145" s="1"/>
      <c r="M145" s="1"/>
      <c r="P145" s="87"/>
    </row>
    <row r="146">
      <c r="A146" s="1"/>
      <c r="B146" s="1"/>
      <c r="C146" s="463"/>
      <c r="D146" s="463"/>
      <c r="E146" s="1"/>
      <c r="F146" s="1"/>
      <c r="G146" s="1"/>
      <c r="H146" s="1"/>
      <c r="I146" s="1"/>
      <c r="J146" s="1"/>
      <c r="K146" s="1"/>
      <c r="L146" s="1"/>
      <c r="M146" s="1"/>
      <c r="P146" s="87"/>
    </row>
    <row r="147">
      <c r="A147" s="1"/>
      <c r="B147" s="1"/>
      <c r="C147" s="463"/>
      <c r="D147" s="463"/>
      <c r="E147" s="1"/>
      <c r="F147" s="1"/>
      <c r="G147" s="1"/>
      <c r="H147" s="1"/>
      <c r="I147" s="1"/>
      <c r="J147" s="1"/>
      <c r="K147" s="1"/>
      <c r="L147" s="1"/>
      <c r="M147" s="1"/>
      <c r="P147" s="87"/>
    </row>
    <row r="148">
      <c r="A148" s="1"/>
      <c r="B148" s="1"/>
      <c r="C148" s="463"/>
      <c r="D148" s="463"/>
      <c r="E148" s="1"/>
      <c r="F148" s="1"/>
      <c r="G148" s="1"/>
      <c r="H148" s="1"/>
      <c r="I148" s="1"/>
      <c r="J148" s="1"/>
      <c r="K148" s="1"/>
      <c r="L148" s="1"/>
      <c r="M148" s="1"/>
      <c r="P148" s="87"/>
    </row>
    <row r="149">
      <c r="A149" s="1"/>
      <c r="B149" s="1"/>
      <c r="C149" s="463"/>
      <c r="D149" s="463"/>
      <c r="E149" s="1"/>
      <c r="F149" s="1"/>
      <c r="G149" s="1"/>
      <c r="H149" s="1"/>
      <c r="I149" s="1"/>
      <c r="J149" s="1"/>
      <c r="K149" s="1"/>
      <c r="L149" s="1"/>
      <c r="M149" s="1"/>
      <c r="P149" s="87"/>
    </row>
    <row r="150">
      <c r="A150" s="1"/>
      <c r="B150" s="1"/>
      <c r="C150" s="463"/>
      <c r="D150" s="463"/>
      <c r="E150" s="1"/>
      <c r="F150" s="1"/>
      <c r="G150" s="1"/>
      <c r="H150" s="1"/>
      <c r="I150" s="1"/>
      <c r="J150" s="1"/>
      <c r="K150" s="1"/>
      <c r="L150" s="1"/>
      <c r="M150" s="1"/>
      <c r="P150" s="87"/>
    </row>
    <row r="151">
      <c r="A151" s="1"/>
      <c r="B151" s="1"/>
      <c r="C151" s="463"/>
      <c r="D151" s="463"/>
      <c r="E151" s="1"/>
      <c r="F151" s="1"/>
      <c r="G151" s="1"/>
      <c r="H151" s="1"/>
      <c r="I151" s="1"/>
      <c r="J151" s="1"/>
      <c r="K151" s="1"/>
      <c r="L151" s="1"/>
      <c r="M151" s="1"/>
      <c r="P151" s="87"/>
    </row>
    <row r="152">
      <c r="A152" s="1"/>
      <c r="B152" s="1"/>
      <c r="C152" s="463"/>
      <c r="D152" s="463"/>
      <c r="E152" s="1"/>
      <c r="F152" s="1"/>
      <c r="G152" s="1"/>
      <c r="H152" s="1"/>
      <c r="I152" s="1"/>
      <c r="J152" s="1"/>
      <c r="K152" s="1"/>
      <c r="L152" s="1"/>
      <c r="M152" s="1"/>
      <c r="P152" s="87"/>
    </row>
    <row r="153">
      <c r="A153" s="1"/>
      <c r="B153" s="1"/>
      <c r="C153" s="463"/>
      <c r="D153" s="463"/>
      <c r="E153" s="1"/>
      <c r="F153" s="1"/>
      <c r="G153" s="1"/>
      <c r="H153" s="1"/>
      <c r="I153" s="1"/>
      <c r="J153" s="1"/>
      <c r="K153" s="1"/>
      <c r="L153" s="1"/>
      <c r="M153" s="1"/>
      <c r="P153" s="87"/>
    </row>
    <row r="154">
      <c r="A154" s="1"/>
      <c r="B154" s="1"/>
      <c r="C154" s="463"/>
      <c r="D154" s="463"/>
      <c r="E154" s="1"/>
      <c r="F154" s="1"/>
      <c r="G154" s="1"/>
      <c r="H154" s="1"/>
      <c r="I154" s="1"/>
      <c r="J154" s="1"/>
      <c r="K154" s="1"/>
      <c r="L154" s="1"/>
      <c r="M154" s="1"/>
      <c r="P154" s="87"/>
    </row>
    <row r="155">
      <c r="A155" s="1"/>
      <c r="B155" s="1"/>
      <c r="C155" s="463"/>
      <c r="D155" s="463"/>
      <c r="E155" s="1"/>
      <c r="F155" s="1"/>
      <c r="G155" s="1"/>
      <c r="H155" s="1"/>
      <c r="I155" s="1"/>
      <c r="J155" s="1"/>
      <c r="K155" s="1"/>
      <c r="L155" s="1"/>
      <c r="M155" s="1"/>
      <c r="P155" s="87"/>
    </row>
    <row r="156">
      <c r="A156" s="1"/>
      <c r="B156" s="1"/>
      <c r="C156" s="463"/>
      <c r="D156" s="463"/>
      <c r="E156" s="1"/>
      <c r="F156" s="1"/>
      <c r="G156" s="1"/>
      <c r="H156" s="1"/>
      <c r="I156" s="1"/>
      <c r="J156" s="1"/>
      <c r="K156" s="1"/>
      <c r="L156" s="1"/>
      <c r="M156" s="1"/>
      <c r="P156" s="87"/>
    </row>
    <row r="157">
      <c r="A157" s="1"/>
      <c r="B157" s="1"/>
      <c r="C157" s="463"/>
      <c r="D157" s="463"/>
      <c r="E157" s="1"/>
      <c r="F157" s="1"/>
      <c r="G157" s="1"/>
      <c r="H157" s="1"/>
      <c r="I157" s="1"/>
      <c r="J157" s="1"/>
      <c r="K157" s="1"/>
      <c r="L157" s="1"/>
      <c r="M157" s="1"/>
      <c r="P157" s="87"/>
    </row>
    <row r="158">
      <c r="A158" s="1"/>
      <c r="B158" s="1"/>
      <c r="C158" s="463"/>
      <c r="D158" s="463"/>
      <c r="E158" s="1"/>
      <c r="F158" s="1"/>
      <c r="G158" s="1"/>
      <c r="H158" s="1"/>
      <c r="I158" s="1"/>
      <c r="J158" s="1"/>
      <c r="K158" s="1"/>
      <c r="L158" s="1"/>
      <c r="M158" s="1"/>
      <c r="P158" s="87"/>
    </row>
    <row r="159">
      <c r="A159" s="1"/>
      <c r="B159" s="1"/>
      <c r="C159" s="463"/>
      <c r="D159" s="463"/>
      <c r="E159" s="1"/>
      <c r="F159" s="1"/>
      <c r="G159" s="1"/>
      <c r="H159" s="1"/>
      <c r="I159" s="1"/>
      <c r="J159" s="1"/>
      <c r="K159" s="1"/>
      <c r="L159" s="1"/>
      <c r="M159" s="1"/>
      <c r="P159" s="87"/>
    </row>
    <row r="160">
      <c r="A160" s="1"/>
      <c r="B160" s="1"/>
      <c r="C160" s="463"/>
      <c r="D160" s="463"/>
      <c r="E160" s="1"/>
      <c r="F160" s="1"/>
      <c r="G160" s="1"/>
      <c r="H160" s="1"/>
      <c r="I160" s="1"/>
      <c r="J160" s="1"/>
      <c r="K160" s="1"/>
      <c r="L160" s="1"/>
      <c r="M160" s="1"/>
      <c r="P160" s="87"/>
    </row>
    <row r="161">
      <c r="A161" s="1"/>
      <c r="B161" s="1"/>
      <c r="C161" s="463"/>
      <c r="D161" s="463"/>
      <c r="E161" s="1"/>
      <c r="F161" s="1"/>
      <c r="G161" s="1"/>
      <c r="H161" s="1"/>
      <c r="I161" s="1"/>
      <c r="J161" s="1"/>
      <c r="K161" s="1"/>
      <c r="L161" s="1"/>
      <c r="M161" s="1"/>
      <c r="P161" s="87"/>
    </row>
    <row r="162">
      <c r="A162" s="1"/>
      <c r="B162" s="1"/>
      <c r="C162" s="463"/>
      <c r="D162" s="463"/>
      <c r="E162" s="1"/>
      <c r="F162" s="1"/>
      <c r="G162" s="1"/>
      <c r="H162" s="1"/>
      <c r="I162" s="1"/>
      <c r="J162" s="1"/>
      <c r="K162" s="1"/>
      <c r="L162" s="1"/>
      <c r="M162" s="1"/>
      <c r="P162" s="87"/>
    </row>
    <row r="163">
      <c r="A163" s="1"/>
      <c r="B163" s="1"/>
      <c r="C163" s="463"/>
      <c r="D163" s="463"/>
      <c r="E163" s="1"/>
      <c r="F163" s="1"/>
      <c r="G163" s="1"/>
      <c r="H163" s="1"/>
      <c r="I163" s="1"/>
      <c r="J163" s="1"/>
      <c r="K163" s="1"/>
      <c r="L163" s="1"/>
      <c r="M163" s="1"/>
      <c r="P163" s="87"/>
    </row>
    <row r="164">
      <c r="A164" s="1"/>
      <c r="B164" s="1"/>
      <c r="C164" s="463"/>
      <c r="D164" s="463"/>
      <c r="E164" s="1"/>
      <c r="F164" s="1"/>
      <c r="G164" s="1"/>
      <c r="H164" s="1"/>
      <c r="I164" s="1"/>
      <c r="J164" s="1"/>
      <c r="K164" s="1"/>
      <c r="L164" s="1"/>
      <c r="M164" s="1"/>
      <c r="P164" s="87"/>
    </row>
    <row r="165">
      <c r="A165" s="1"/>
      <c r="B165" s="1"/>
      <c r="C165" s="463"/>
      <c r="D165" s="463"/>
      <c r="E165" s="1"/>
      <c r="F165" s="1"/>
      <c r="G165" s="1"/>
      <c r="H165" s="1"/>
      <c r="I165" s="1"/>
      <c r="J165" s="1"/>
      <c r="K165" s="1"/>
      <c r="L165" s="1"/>
      <c r="M165" s="1"/>
      <c r="P165" s="87"/>
    </row>
    <row r="166">
      <c r="A166" s="1"/>
      <c r="B166" s="1"/>
      <c r="C166" s="463"/>
      <c r="D166" s="463"/>
      <c r="E166" s="1"/>
      <c r="F166" s="1"/>
      <c r="G166" s="1"/>
      <c r="H166" s="1"/>
      <c r="I166" s="1"/>
      <c r="J166" s="1"/>
      <c r="K166" s="1"/>
      <c r="L166" s="1"/>
      <c r="M166" s="1"/>
      <c r="P166" s="87"/>
    </row>
    <row r="167">
      <c r="A167" s="1"/>
      <c r="B167" s="1"/>
      <c r="C167" s="463"/>
      <c r="D167" s="463"/>
      <c r="E167" s="1"/>
      <c r="F167" s="1"/>
      <c r="G167" s="1"/>
      <c r="H167" s="1"/>
      <c r="I167" s="1"/>
      <c r="J167" s="1"/>
      <c r="K167" s="1"/>
      <c r="L167" s="1"/>
      <c r="M167" s="1"/>
      <c r="P167" s="87"/>
    </row>
    <row r="168">
      <c r="A168" s="1"/>
      <c r="B168" s="1"/>
      <c r="C168" s="463"/>
      <c r="D168" s="463"/>
      <c r="E168" s="1"/>
      <c r="F168" s="1"/>
      <c r="G168" s="1"/>
      <c r="H168" s="1"/>
      <c r="I168" s="1"/>
      <c r="J168" s="1"/>
      <c r="K168" s="1"/>
      <c r="L168" s="1"/>
      <c r="M168" s="1"/>
      <c r="P168" s="87"/>
    </row>
    <row r="169">
      <c r="A169" s="1"/>
      <c r="B169" s="1"/>
      <c r="C169" s="463"/>
      <c r="D169" s="463"/>
      <c r="E169" s="1"/>
      <c r="F169" s="1"/>
      <c r="G169" s="1"/>
      <c r="H169" s="1"/>
      <c r="I169" s="1"/>
      <c r="J169" s="1"/>
      <c r="K169" s="1"/>
      <c r="L169" s="1"/>
      <c r="M169" s="1"/>
      <c r="P169" s="87"/>
    </row>
    <row r="170">
      <c r="A170" s="1"/>
      <c r="B170" s="1"/>
      <c r="C170" s="463"/>
      <c r="D170" s="463"/>
      <c r="E170" s="1"/>
      <c r="F170" s="1"/>
      <c r="G170" s="1"/>
      <c r="H170" s="1"/>
      <c r="I170" s="1"/>
      <c r="J170" s="1"/>
      <c r="K170" s="1"/>
      <c r="L170" s="1"/>
      <c r="M170" s="1"/>
      <c r="P170" s="87"/>
    </row>
    <row r="171">
      <c r="A171" s="1"/>
      <c r="B171" s="1"/>
      <c r="C171" s="463"/>
      <c r="D171" s="463"/>
      <c r="E171" s="1"/>
      <c r="F171" s="1"/>
      <c r="G171" s="1"/>
      <c r="H171" s="1"/>
      <c r="I171" s="1"/>
      <c r="J171" s="1"/>
      <c r="K171" s="1"/>
      <c r="L171" s="1"/>
      <c r="M171" s="1"/>
      <c r="P171" s="87"/>
    </row>
    <row r="172">
      <c r="A172" s="1"/>
      <c r="B172" s="1"/>
      <c r="C172" s="463"/>
      <c r="D172" s="463"/>
      <c r="E172" s="1"/>
      <c r="F172" s="1"/>
      <c r="G172" s="1"/>
      <c r="H172" s="1"/>
      <c r="I172" s="1"/>
      <c r="J172" s="1"/>
      <c r="K172" s="1"/>
      <c r="L172" s="1"/>
      <c r="M172" s="1"/>
      <c r="P172" s="87"/>
    </row>
    <row r="173">
      <c r="A173" s="1"/>
      <c r="B173" s="1"/>
      <c r="C173" s="463"/>
      <c r="D173" s="463"/>
      <c r="E173" s="1"/>
      <c r="F173" s="1"/>
      <c r="G173" s="1"/>
      <c r="H173" s="1"/>
      <c r="I173" s="1"/>
      <c r="J173" s="1"/>
      <c r="K173" s="1"/>
      <c r="L173" s="1"/>
      <c r="M173" s="1"/>
      <c r="P173" s="87"/>
    </row>
    <row r="174">
      <c r="A174" s="1"/>
      <c r="B174" s="1"/>
      <c r="C174" s="463"/>
      <c r="D174" s="463"/>
      <c r="E174" s="1"/>
      <c r="F174" s="1"/>
      <c r="G174" s="1"/>
      <c r="H174" s="1"/>
      <c r="I174" s="1"/>
      <c r="J174" s="1"/>
      <c r="K174" s="1"/>
      <c r="L174" s="1"/>
      <c r="M174" s="1"/>
      <c r="P174" s="87"/>
    </row>
    <row r="175">
      <c r="A175" s="1"/>
      <c r="B175" s="1"/>
      <c r="C175" s="463"/>
      <c r="D175" s="463"/>
      <c r="E175" s="1"/>
      <c r="F175" s="1"/>
      <c r="G175" s="1"/>
      <c r="H175" s="1"/>
      <c r="I175" s="1"/>
      <c r="J175" s="1"/>
      <c r="K175" s="1"/>
      <c r="L175" s="1"/>
      <c r="M175" s="1"/>
      <c r="P175" s="87"/>
    </row>
    <row r="176">
      <c r="A176" s="1"/>
      <c r="B176" s="1"/>
      <c r="C176" s="463"/>
      <c r="D176" s="463"/>
      <c r="E176" s="1"/>
      <c r="F176" s="1"/>
      <c r="G176" s="1"/>
      <c r="H176" s="1"/>
      <c r="I176" s="1"/>
      <c r="J176" s="1"/>
      <c r="K176" s="1"/>
      <c r="L176" s="1"/>
      <c r="M176" s="1"/>
      <c r="P176" s="87"/>
    </row>
    <row r="177">
      <c r="A177" s="1"/>
      <c r="B177" s="1"/>
      <c r="C177" s="463"/>
      <c r="D177" s="463"/>
      <c r="E177" s="1"/>
      <c r="F177" s="1"/>
      <c r="G177" s="1"/>
      <c r="H177" s="1"/>
      <c r="I177" s="1"/>
      <c r="J177" s="1"/>
      <c r="K177" s="1"/>
      <c r="L177" s="1"/>
      <c r="M177" s="1"/>
      <c r="P177" s="87"/>
    </row>
    <row r="178">
      <c r="A178" s="1"/>
      <c r="B178" s="1"/>
      <c r="C178" s="463"/>
      <c r="D178" s="463"/>
      <c r="E178" s="1"/>
      <c r="F178" s="1"/>
      <c r="G178" s="1"/>
      <c r="H178" s="1"/>
      <c r="I178" s="1"/>
      <c r="J178" s="1"/>
      <c r="K178" s="1"/>
      <c r="L178" s="1"/>
      <c r="M178" s="1"/>
      <c r="P178" s="87"/>
    </row>
    <row r="179">
      <c r="A179" s="1"/>
      <c r="B179" s="1"/>
      <c r="C179" s="463"/>
      <c r="D179" s="463"/>
      <c r="E179" s="1"/>
      <c r="F179" s="1"/>
      <c r="G179" s="1"/>
      <c r="H179" s="1"/>
      <c r="I179" s="1"/>
      <c r="J179" s="1"/>
      <c r="K179" s="1"/>
      <c r="L179" s="1"/>
      <c r="M179" s="1"/>
      <c r="P179" s="87"/>
    </row>
    <row r="180">
      <c r="A180" s="1"/>
      <c r="B180" s="1"/>
      <c r="C180" s="463"/>
      <c r="D180" s="463"/>
      <c r="E180" s="1"/>
      <c r="F180" s="1"/>
      <c r="G180" s="1"/>
      <c r="H180" s="1"/>
      <c r="I180" s="1"/>
      <c r="J180" s="1"/>
      <c r="K180" s="1"/>
      <c r="L180" s="1"/>
      <c r="M180" s="1"/>
      <c r="P180" s="87"/>
    </row>
    <row r="181">
      <c r="A181" s="1"/>
      <c r="B181" s="1"/>
      <c r="C181" s="463"/>
      <c r="D181" s="463"/>
      <c r="E181" s="1"/>
      <c r="F181" s="1"/>
      <c r="G181" s="1"/>
      <c r="H181" s="1"/>
      <c r="I181" s="1"/>
      <c r="J181" s="1"/>
      <c r="K181" s="1"/>
      <c r="L181" s="1"/>
      <c r="M181" s="1"/>
      <c r="P181" s="87"/>
    </row>
    <row r="182">
      <c r="A182" s="1"/>
      <c r="B182" s="1"/>
      <c r="C182" s="463"/>
      <c r="D182" s="463"/>
      <c r="E182" s="1"/>
      <c r="F182" s="1"/>
      <c r="G182" s="1"/>
      <c r="H182" s="1"/>
      <c r="I182" s="1"/>
      <c r="J182" s="1"/>
      <c r="K182" s="1"/>
      <c r="L182" s="1"/>
      <c r="M182" s="1"/>
      <c r="P182" s="87"/>
    </row>
    <row r="183">
      <c r="A183" s="1"/>
      <c r="B183" s="1"/>
      <c r="C183" s="463"/>
      <c r="D183" s="463"/>
      <c r="E183" s="1"/>
      <c r="F183" s="1"/>
      <c r="G183" s="1"/>
      <c r="H183" s="1"/>
      <c r="I183" s="1"/>
      <c r="J183" s="1"/>
      <c r="K183" s="1"/>
      <c r="L183" s="1"/>
      <c r="M183" s="1"/>
      <c r="P183" s="87"/>
    </row>
    <row r="184">
      <c r="A184" s="686"/>
      <c r="B184" s="686"/>
      <c r="C184" s="463"/>
      <c r="D184" s="463"/>
      <c r="E184" s="1"/>
      <c r="F184" s="1"/>
      <c r="G184" s="1"/>
      <c r="H184" s="1"/>
      <c r="I184" s="1"/>
      <c r="J184" s="1"/>
      <c r="K184" s="1"/>
      <c r="L184" s="1"/>
      <c r="M184" s="1"/>
      <c r="P184" s="87"/>
    </row>
    <row r="185">
      <c r="A185" s="686"/>
      <c r="B185" s="686"/>
      <c r="C185" s="463"/>
      <c r="D185" s="463"/>
      <c r="E185" s="1"/>
      <c r="F185" s="1"/>
      <c r="G185" s="1"/>
      <c r="H185" s="1"/>
      <c r="I185" s="1"/>
      <c r="J185" s="1"/>
      <c r="K185" s="1"/>
      <c r="L185" s="1"/>
      <c r="M185" s="1"/>
      <c r="P185" s="87"/>
    </row>
    <row r="186">
      <c r="A186" s="686"/>
      <c r="B186" s="686"/>
      <c r="C186" s="463"/>
      <c r="D186" s="463"/>
      <c r="E186" s="1"/>
      <c r="F186" s="1"/>
      <c r="G186" s="1"/>
      <c r="H186" s="1"/>
      <c r="I186" s="1"/>
      <c r="J186" s="1"/>
      <c r="K186" s="1"/>
      <c r="L186" s="1"/>
      <c r="M186" s="1"/>
      <c r="P186" s="87"/>
    </row>
    <row r="187">
      <c r="A187" s="686"/>
      <c r="B187" s="686"/>
      <c r="C187" s="463"/>
      <c r="D187" s="463"/>
      <c r="E187" s="1"/>
      <c r="F187" s="1"/>
      <c r="G187" s="1"/>
      <c r="H187" s="1"/>
      <c r="I187" s="1"/>
      <c r="J187" s="1"/>
      <c r="K187" s="1"/>
      <c r="L187" s="1"/>
      <c r="M187" s="1"/>
      <c r="P187" s="87"/>
    </row>
    <row r="188">
      <c r="A188" s="686"/>
      <c r="B188" s="686"/>
      <c r="C188" s="463"/>
      <c r="D188" s="463"/>
      <c r="E188" s="1"/>
      <c r="F188" s="1"/>
      <c r="G188" s="1"/>
      <c r="H188" s="1"/>
      <c r="I188" s="1"/>
      <c r="J188" s="1"/>
      <c r="K188" s="1"/>
      <c r="L188" s="1"/>
      <c r="M188" s="1"/>
      <c r="P188" s="87"/>
    </row>
    <row r="189">
      <c r="A189" s="686"/>
      <c r="B189" s="686"/>
      <c r="C189" s="463"/>
      <c r="D189" s="463"/>
      <c r="E189" s="1"/>
      <c r="F189" s="1"/>
      <c r="G189" s="1"/>
      <c r="H189" s="1"/>
      <c r="I189" s="1"/>
      <c r="J189" s="1"/>
      <c r="K189" s="1"/>
      <c r="L189" s="1"/>
      <c r="M189" s="1"/>
      <c r="P189" s="87"/>
    </row>
    <row r="190">
      <c r="A190" s="686"/>
      <c r="B190" s="686"/>
      <c r="C190" s="463"/>
      <c r="D190" s="463"/>
      <c r="E190" s="1"/>
      <c r="F190" s="1"/>
      <c r="G190" s="1"/>
      <c r="H190" s="1"/>
      <c r="I190" s="1"/>
      <c r="J190" s="1"/>
      <c r="K190" s="1"/>
      <c r="L190" s="1"/>
      <c r="M190" s="1"/>
      <c r="P190" s="87"/>
    </row>
    <row r="191">
      <c r="A191" s="686"/>
      <c r="B191" s="686"/>
      <c r="C191" s="463"/>
      <c r="D191" s="463"/>
      <c r="E191" s="1"/>
      <c r="F191" s="1"/>
      <c r="G191" s="1"/>
      <c r="H191" s="1"/>
      <c r="I191" s="1"/>
      <c r="J191" s="1"/>
      <c r="K191" s="1"/>
      <c r="L191" s="1"/>
      <c r="M191" s="1"/>
      <c r="P191" s="87"/>
    </row>
    <row r="192">
      <c r="A192" s="686"/>
      <c r="B192" s="686"/>
      <c r="C192" s="463"/>
      <c r="D192" s="463"/>
      <c r="E192" s="1"/>
      <c r="F192" s="1"/>
      <c r="G192" s="1"/>
      <c r="H192" s="1"/>
      <c r="I192" s="1"/>
      <c r="J192" s="1"/>
      <c r="K192" s="1"/>
      <c r="L192" s="1"/>
      <c r="M192" s="1"/>
      <c r="P192" s="87"/>
    </row>
    <row r="193">
      <c r="A193" s="686"/>
      <c r="B193" s="686"/>
      <c r="C193" s="463"/>
      <c r="D193" s="463"/>
      <c r="E193" s="1"/>
      <c r="F193" s="1"/>
      <c r="G193" s="1"/>
      <c r="H193" s="1"/>
      <c r="J193" s="1"/>
      <c r="K193" s="1"/>
      <c r="L193" s="1"/>
      <c r="M193" s="1"/>
      <c r="P193" s="87"/>
    </row>
    <row r="194">
      <c r="A194" s="686"/>
      <c r="B194" s="686"/>
      <c r="C194" s="463"/>
      <c r="D194" s="463"/>
      <c r="E194" s="1"/>
      <c r="F194" s="1"/>
      <c r="G194" s="1"/>
      <c r="H194" s="1"/>
      <c r="I194" s="1"/>
      <c r="J194" s="1"/>
      <c r="K194" s="1"/>
      <c r="L194" s="1"/>
      <c r="M194" s="1"/>
      <c r="P194" s="87"/>
    </row>
    <row r="195">
      <c r="A195" s="686"/>
      <c r="B195" s="686"/>
      <c r="C195" s="463"/>
      <c r="D195" s="463"/>
      <c r="E195" s="1"/>
      <c r="F195" s="1"/>
      <c r="G195" s="1"/>
      <c r="H195" s="1"/>
      <c r="I195" s="1"/>
      <c r="J195" s="1"/>
      <c r="K195" s="1"/>
      <c r="L195" s="1"/>
      <c r="M195" s="1"/>
      <c r="P195" s="87"/>
    </row>
    <row r="196">
      <c r="A196" s="686"/>
      <c r="B196" s="686"/>
      <c r="C196" s="463"/>
      <c r="D196" s="463"/>
      <c r="E196" s="1"/>
      <c r="F196" s="1"/>
      <c r="G196" s="1"/>
      <c r="H196" s="1"/>
      <c r="I196" s="1"/>
      <c r="J196" s="1"/>
      <c r="K196" s="1"/>
      <c r="L196" s="1"/>
      <c r="M196" s="1"/>
      <c r="P196" s="87"/>
    </row>
    <row r="197">
      <c r="A197" s="686"/>
      <c r="B197" s="686"/>
      <c r="C197" s="463"/>
      <c r="D197" s="463"/>
      <c r="E197" s="1"/>
      <c r="F197" s="1"/>
      <c r="G197" s="1"/>
      <c r="H197" s="1"/>
      <c r="I197" s="1"/>
      <c r="J197" s="1"/>
      <c r="K197" s="1"/>
      <c r="L197" s="1"/>
      <c r="M197" s="1"/>
      <c r="P197" s="87"/>
    </row>
    <row r="198">
      <c r="A198" s="686"/>
      <c r="B198" s="686"/>
      <c r="C198" s="463"/>
      <c r="D198" s="463"/>
      <c r="E198" s="1"/>
      <c r="F198" s="1"/>
      <c r="G198" s="1"/>
      <c r="H198" s="1"/>
      <c r="I198" s="1"/>
      <c r="J198" s="1"/>
      <c r="K198" s="1"/>
      <c r="L198" s="1"/>
      <c r="M198" s="1"/>
      <c r="P198" s="87"/>
    </row>
    <row r="199">
      <c r="A199" s="686"/>
      <c r="B199" s="686"/>
      <c r="C199" s="463"/>
      <c r="D199" s="463"/>
      <c r="E199" s="1"/>
      <c r="F199" s="1"/>
      <c r="G199" s="1"/>
      <c r="H199" s="1"/>
      <c r="J199" s="1"/>
      <c r="K199" s="1"/>
      <c r="L199" s="1"/>
      <c r="M199" s="1"/>
      <c r="P199" s="87"/>
    </row>
    <row r="200">
      <c r="A200" s="686"/>
      <c r="B200" s="686"/>
      <c r="C200" s="463"/>
      <c r="D200" s="463"/>
      <c r="E200" s="1"/>
      <c r="F200" s="1"/>
      <c r="G200" s="1"/>
      <c r="H200" s="1"/>
      <c r="J200" s="1"/>
      <c r="K200" s="1"/>
      <c r="L200" s="1"/>
      <c r="M200" s="1"/>
      <c r="P200" s="87"/>
    </row>
    <row r="201">
      <c r="A201" s="686"/>
      <c r="B201" s="686"/>
      <c r="C201" s="463"/>
      <c r="D201" s="463"/>
      <c r="E201" s="1"/>
      <c r="F201" s="1"/>
      <c r="G201" s="1"/>
      <c r="H201" s="1"/>
      <c r="I201" s="1"/>
      <c r="J201" s="1"/>
      <c r="K201" s="1"/>
      <c r="L201" s="1"/>
      <c r="M201" s="1"/>
      <c r="P201" s="87"/>
    </row>
    <row r="202">
      <c r="A202" s="686"/>
      <c r="B202" s="686"/>
      <c r="C202" s="463"/>
      <c r="D202" s="463"/>
      <c r="E202" s="1"/>
      <c r="F202" s="1"/>
      <c r="G202" s="1"/>
      <c r="H202" s="1"/>
      <c r="I202" s="1"/>
      <c r="J202" s="1"/>
      <c r="K202" s="1"/>
      <c r="L202" s="1"/>
      <c r="M202" s="1"/>
      <c r="P202" s="87"/>
    </row>
    <row r="203">
      <c r="A203" s="686"/>
      <c r="B203" s="686"/>
      <c r="C203" s="463"/>
      <c r="D203" s="463"/>
      <c r="E203" s="1"/>
      <c r="F203" s="1"/>
      <c r="G203" s="1"/>
      <c r="H203" s="1"/>
      <c r="J203" s="1"/>
      <c r="K203" s="1"/>
      <c r="L203" s="1"/>
      <c r="M203" s="1"/>
      <c r="P203" s="87"/>
    </row>
    <row r="204">
      <c r="A204" s="686"/>
      <c r="B204" s="686"/>
      <c r="C204" s="463"/>
      <c r="D204" s="463"/>
      <c r="E204" s="1"/>
      <c r="F204" s="1"/>
      <c r="G204" s="1"/>
      <c r="H204" s="1"/>
      <c r="J204" s="1"/>
      <c r="K204" s="1"/>
      <c r="L204" s="1"/>
      <c r="M204" s="1"/>
      <c r="P204" s="87"/>
    </row>
    <row r="205">
      <c r="A205" s="686"/>
      <c r="B205" s="686"/>
      <c r="C205" s="463"/>
      <c r="D205" s="463"/>
      <c r="E205" s="1"/>
      <c r="F205" s="1"/>
      <c r="G205" s="1"/>
      <c r="H205" s="1"/>
      <c r="I205" s="1"/>
      <c r="J205" s="1"/>
      <c r="K205" s="1"/>
      <c r="L205" s="1"/>
      <c r="M205" s="1"/>
      <c r="P205" s="87"/>
    </row>
    <row r="206">
      <c r="A206" s="686"/>
      <c r="B206" s="686"/>
      <c r="C206" s="463"/>
      <c r="D206" s="463"/>
      <c r="E206" s="1"/>
      <c r="F206" s="1"/>
      <c r="G206" s="1"/>
      <c r="H206" s="1"/>
      <c r="I206" s="1"/>
      <c r="J206" s="1"/>
      <c r="K206" s="1"/>
      <c r="L206" s="1"/>
      <c r="M206" s="1"/>
      <c r="P206" s="87"/>
    </row>
    <row r="207">
      <c r="A207" s="686"/>
      <c r="B207" s="686"/>
      <c r="C207" s="463"/>
      <c r="D207" s="463"/>
      <c r="E207" s="1"/>
      <c r="F207" s="1"/>
      <c r="G207" s="1"/>
      <c r="H207" s="1"/>
      <c r="I207" s="1"/>
      <c r="J207" s="1"/>
      <c r="K207" s="1"/>
      <c r="L207" s="1"/>
      <c r="M207" s="1"/>
      <c r="P207" s="87"/>
    </row>
    <row r="208">
      <c r="A208" s="686"/>
      <c r="B208" s="686"/>
      <c r="C208" s="463"/>
      <c r="D208" s="463"/>
      <c r="E208" s="1"/>
      <c r="F208" s="1"/>
      <c r="G208" s="1"/>
      <c r="H208" s="1"/>
      <c r="I208" s="1"/>
      <c r="J208" s="1"/>
      <c r="K208" s="1"/>
      <c r="L208" s="1"/>
      <c r="M208" s="1"/>
      <c r="P208" s="87"/>
    </row>
    <row r="209">
      <c r="A209" s="686"/>
      <c r="B209" s="686"/>
      <c r="C209" s="463"/>
      <c r="D209" s="463"/>
      <c r="E209" s="1"/>
      <c r="F209" s="1"/>
      <c r="G209" s="1"/>
      <c r="H209" s="1"/>
      <c r="I209" s="1"/>
      <c r="J209" s="1"/>
      <c r="K209" s="1"/>
      <c r="L209" s="1"/>
      <c r="M209" s="1"/>
      <c r="P209" s="87"/>
    </row>
    <row r="210">
      <c r="A210" s="686"/>
      <c r="B210" s="686"/>
      <c r="C210" s="463"/>
      <c r="D210" s="463"/>
      <c r="E210" s="1"/>
      <c r="F210" s="1"/>
      <c r="G210" s="1"/>
      <c r="H210" s="1"/>
      <c r="I210" s="1"/>
      <c r="J210" s="1"/>
      <c r="K210" s="1"/>
      <c r="L210" s="1"/>
      <c r="M210" s="1"/>
      <c r="P210" s="87"/>
    </row>
    <row r="211">
      <c r="A211" s="686"/>
      <c r="B211" s="686"/>
      <c r="C211" s="463"/>
      <c r="D211" s="463"/>
      <c r="E211" s="1"/>
      <c r="F211" s="1"/>
      <c r="G211" s="1"/>
      <c r="H211" s="1"/>
      <c r="I211" s="1"/>
      <c r="J211" s="1"/>
      <c r="K211" s="1"/>
      <c r="L211" s="1"/>
      <c r="M211" s="1"/>
      <c r="P211" s="87"/>
    </row>
    <row r="212">
      <c r="A212" s="686"/>
      <c r="B212" s="686"/>
      <c r="C212" s="463"/>
      <c r="D212" s="463"/>
      <c r="E212" s="1"/>
      <c r="F212" s="1"/>
      <c r="G212" s="1"/>
      <c r="H212" s="1"/>
      <c r="I212" s="1"/>
      <c r="J212" s="1"/>
      <c r="K212" s="1"/>
      <c r="L212" s="1"/>
      <c r="M212" s="1"/>
      <c r="P212" s="87"/>
    </row>
    <row r="213">
      <c r="A213" s="686"/>
      <c r="B213" s="686"/>
      <c r="C213" s="463"/>
      <c r="D213" s="463"/>
      <c r="E213" s="1"/>
      <c r="F213" s="1"/>
      <c r="G213" s="1"/>
      <c r="H213" s="1"/>
      <c r="I213" s="1"/>
      <c r="J213" s="1"/>
      <c r="K213" s="1"/>
      <c r="L213" s="1"/>
      <c r="M213" s="1"/>
      <c r="P213" s="87"/>
    </row>
    <row r="214">
      <c r="A214" s="686"/>
      <c r="B214" s="686"/>
      <c r="C214" s="463"/>
      <c r="D214" s="463"/>
      <c r="E214" s="1"/>
      <c r="F214" s="1"/>
      <c r="G214" s="1"/>
      <c r="H214" s="1"/>
      <c r="J214" s="1"/>
      <c r="K214" s="1"/>
      <c r="L214" s="1"/>
      <c r="M214" s="1"/>
      <c r="P214" s="87"/>
    </row>
    <row r="215">
      <c r="A215" s="686"/>
      <c r="B215" s="686"/>
      <c r="C215" s="463"/>
      <c r="D215" s="463"/>
      <c r="E215" s="1"/>
      <c r="F215" s="1"/>
      <c r="G215" s="1"/>
      <c r="H215" s="1"/>
      <c r="J215" s="1"/>
      <c r="K215" s="1"/>
      <c r="L215" s="1"/>
      <c r="M215" s="1"/>
      <c r="P215" s="87"/>
    </row>
    <row r="216">
      <c r="A216" s="686"/>
      <c r="B216" s="686"/>
      <c r="C216" s="463"/>
      <c r="D216" s="463"/>
      <c r="E216" s="1"/>
      <c r="F216" s="1"/>
      <c r="G216" s="1"/>
      <c r="H216" s="1"/>
      <c r="J216" s="1"/>
      <c r="K216" s="1"/>
      <c r="L216" s="1"/>
      <c r="M216" s="1"/>
      <c r="P216" s="87"/>
    </row>
    <row r="217">
      <c r="A217" s="686"/>
      <c r="B217" s="686"/>
      <c r="C217" s="463"/>
      <c r="D217" s="463"/>
      <c r="E217" s="1"/>
      <c r="F217" s="1"/>
      <c r="G217" s="1"/>
      <c r="H217" s="1"/>
      <c r="I217" s="1"/>
      <c r="J217" s="1"/>
      <c r="K217" s="1"/>
      <c r="L217" s="1"/>
      <c r="M217" s="1"/>
      <c r="P217" s="87"/>
    </row>
    <row r="218">
      <c r="A218" s="686"/>
      <c r="B218" s="686"/>
      <c r="C218" s="463"/>
      <c r="D218" s="463"/>
      <c r="E218" s="1"/>
      <c r="F218" s="1"/>
      <c r="G218" s="1"/>
      <c r="H218" s="1"/>
      <c r="I218" s="1"/>
      <c r="J218" s="1"/>
      <c r="K218" s="1"/>
      <c r="L218" s="1"/>
      <c r="M218" s="1"/>
      <c r="P218" s="87"/>
    </row>
    <row r="219">
      <c r="A219" s="686"/>
      <c r="B219" s="686"/>
      <c r="C219" s="463"/>
      <c r="D219" s="463"/>
      <c r="E219" s="1"/>
      <c r="F219" s="1"/>
      <c r="G219" s="1"/>
      <c r="H219" s="1"/>
      <c r="J219" s="1"/>
      <c r="K219" s="1"/>
      <c r="L219" s="1"/>
      <c r="M219" s="1"/>
      <c r="P219" s="87"/>
    </row>
    <row r="220">
      <c r="A220" s="686"/>
      <c r="B220" s="686"/>
      <c r="C220" s="463"/>
      <c r="D220" s="463"/>
      <c r="E220" s="1"/>
      <c r="F220" s="1"/>
      <c r="G220" s="1"/>
      <c r="H220" s="1"/>
      <c r="J220" s="1"/>
      <c r="K220" s="1"/>
      <c r="L220" s="1"/>
      <c r="M220" s="1"/>
      <c r="P220" s="87"/>
    </row>
    <row r="221">
      <c r="A221" s="686"/>
      <c r="B221" s="686"/>
      <c r="C221" s="463"/>
      <c r="D221" s="463"/>
      <c r="E221" s="1"/>
      <c r="F221" s="1"/>
      <c r="G221" s="1"/>
      <c r="H221" s="1"/>
      <c r="J221" s="1"/>
      <c r="K221" s="1"/>
      <c r="L221" s="1"/>
      <c r="M221" s="1"/>
      <c r="P221" s="87"/>
    </row>
    <row r="222">
      <c r="A222" s="686"/>
      <c r="B222" s="686"/>
      <c r="C222" s="463"/>
      <c r="D222" s="463"/>
      <c r="E222" s="1"/>
      <c r="F222" s="1"/>
      <c r="G222" s="1"/>
      <c r="H222" s="1"/>
      <c r="J222" s="1"/>
      <c r="K222" s="1"/>
      <c r="L222" s="1"/>
      <c r="M222" s="1"/>
      <c r="P222" s="87"/>
    </row>
    <row r="223">
      <c r="A223" s="686"/>
      <c r="B223" s="686"/>
      <c r="C223" s="463"/>
      <c r="D223" s="463"/>
      <c r="E223" s="1"/>
      <c r="F223" s="1"/>
      <c r="G223" s="1"/>
      <c r="H223" s="1"/>
      <c r="J223" s="1"/>
      <c r="K223" s="1"/>
      <c r="L223" s="1"/>
      <c r="M223" s="1"/>
      <c r="P223" s="87"/>
    </row>
    <row r="224">
      <c r="A224" s="686"/>
      <c r="B224" s="686"/>
      <c r="C224" s="463"/>
      <c r="D224" s="463"/>
      <c r="E224" s="1"/>
      <c r="F224" s="1"/>
      <c r="G224" s="1"/>
      <c r="H224" s="1"/>
      <c r="I224" s="1"/>
      <c r="J224" s="1"/>
      <c r="K224" s="1"/>
      <c r="L224" s="1"/>
      <c r="M224" s="1"/>
      <c r="P224" s="87"/>
    </row>
    <row r="225">
      <c r="A225" s="686"/>
      <c r="B225" s="686"/>
      <c r="C225" s="463"/>
      <c r="D225" s="463"/>
      <c r="E225" s="1"/>
      <c r="F225" s="1"/>
      <c r="G225" s="1"/>
      <c r="H225" s="1"/>
      <c r="J225" s="1"/>
      <c r="K225" s="1"/>
      <c r="L225" s="1"/>
      <c r="M225" s="1"/>
      <c r="P225" s="87"/>
    </row>
    <row r="226">
      <c r="A226" s="686"/>
      <c r="B226" s="686"/>
      <c r="C226" s="463"/>
      <c r="D226" s="463"/>
      <c r="E226" s="1"/>
      <c r="F226" s="1"/>
      <c r="G226" s="1"/>
      <c r="H226" s="1"/>
      <c r="I226" s="1"/>
      <c r="J226" s="1"/>
      <c r="K226" s="1"/>
      <c r="L226" s="1"/>
      <c r="M226" s="1"/>
      <c r="P226" s="87"/>
    </row>
    <row r="227">
      <c r="A227" s="686"/>
      <c r="B227" s="686"/>
      <c r="C227" s="463"/>
      <c r="D227" s="463"/>
      <c r="E227" s="1"/>
      <c r="F227" s="1"/>
      <c r="G227" s="1"/>
      <c r="H227" s="1"/>
      <c r="J227" s="1"/>
      <c r="K227" s="1"/>
      <c r="L227" s="1"/>
      <c r="M227" s="1"/>
      <c r="P227" s="87"/>
    </row>
    <row r="228">
      <c r="A228" s="686"/>
      <c r="B228" s="686"/>
      <c r="C228" s="463"/>
      <c r="D228" s="463"/>
      <c r="E228" s="1"/>
      <c r="F228" s="1"/>
      <c r="G228" s="1"/>
      <c r="H228" s="1"/>
      <c r="J228" s="1"/>
      <c r="K228" s="1"/>
      <c r="L228" s="1"/>
      <c r="M228" s="1"/>
      <c r="P228" s="87"/>
    </row>
    <row r="229">
      <c r="A229" s="686"/>
      <c r="B229" s="686"/>
      <c r="C229" s="463"/>
      <c r="D229" s="463"/>
      <c r="E229" s="1"/>
      <c r="F229" s="1"/>
      <c r="G229" s="1"/>
      <c r="H229" s="1"/>
      <c r="J229" s="1"/>
      <c r="K229" s="1"/>
      <c r="L229" s="1"/>
      <c r="M229" s="1"/>
      <c r="P229" s="87"/>
    </row>
    <row r="230">
      <c r="A230" s="686"/>
      <c r="B230" s="686"/>
      <c r="C230" s="463"/>
      <c r="D230" s="463"/>
      <c r="E230" s="1"/>
      <c r="F230" s="1"/>
      <c r="G230" s="1"/>
      <c r="H230" s="1"/>
      <c r="J230" s="1"/>
      <c r="K230" s="1"/>
      <c r="L230" s="1"/>
      <c r="M230" s="1"/>
      <c r="P230" s="87"/>
    </row>
    <row r="231">
      <c r="A231" s="686"/>
      <c r="B231" s="686"/>
      <c r="C231" s="463"/>
      <c r="D231" s="463"/>
      <c r="E231" s="1"/>
      <c r="F231" s="1"/>
      <c r="G231" s="1"/>
      <c r="H231" s="1"/>
      <c r="J231" s="1"/>
      <c r="K231" s="1"/>
      <c r="L231" s="1"/>
      <c r="M231" s="1"/>
      <c r="P231" s="87"/>
    </row>
    <row r="232">
      <c r="A232" s="686"/>
      <c r="B232" s="686"/>
      <c r="C232" s="463"/>
      <c r="D232" s="463"/>
      <c r="E232" s="1"/>
      <c r="F232" s="1"/>
      <c r="G232" s="1"/>
      <c r="H232" s="1"/>
      <c r="J232" s="1"/>
      <c r="K232" s="1"/>
      <c r="L232" s="1"/>
      <c r="M232" s="1"/>
      <c r="P232" s="87"/>
    </row>
    <row r="233">
      <c r="A233" s="686"/>
      <c r="B233" s="686"/>
      <c r="C233" s="463"/>
      <c r="D233" s="463"/>
      <c r="E233" s="1"/>
      <c r="F233" s="1"/>
      <c r="G233" s="1"/>
      <c r="H233" s="1"/>
      <c r="J233" s="1"/>
      <c r="K233" s="1"/>
      <c r="L233" s="1"/>
      <c r="M233" s="1"/>
      <c r="P233" s="87"/>
    </row>
    <row r="234">
      <c r="A234" s="686"/>
      <c r="B234" s="686"/>
      <c r="C234" s="463"/>
      <c r="D234" s="463"/>
      <c r="E234" s="1"/>
      <c r="F234" s="1"/>
      <c r="G234" s="1"/>
      <c r="H234" s="1"/>
      <c r="J234" s="1"/>
      <c r="K234" s="1"/>
      <c r="L234" s="1"/>
      <c r="M234" s="1"/>
      <c r="P234" s="87"/>
    </row>
    <row r="235">
      <c r="A235" s="686"/>
      <c r="B235" s="686"/>
      <c r="C235" s="463"/>
      <c r="D235" s="463"/>
      <c r="E235" s="1"/>
      <c r="F235" s="1"/>
      <c r="G235" s="1"/>
      <c r="H235" s="1"/>
      <c r="J235" s="1"/>
      <c r="K235" s="1"/>
      <c r="L235" s="1"/>
      <c r="M235" s="1"/>
      <c r="P235" s="87"/>
    </row>
    <row r="236">
      <c r="A236" s="686"/>
      <c r="B236" s="686"/>
      <c r="C236" s="463"/>
      <c r="D236" s="463"/>
      <c r="E236" s="1"/>
      <c r="F236" s="1"/>
      <c r="G236" s="1"/>
      <c r="H236" s="1"/>
      <c r="J236" s="1"/>
      <c r="K236" s="1"/>
      <c r="L236" s="1"/>
      <c r="M236" s="1"/>
      <c r="P236" s="87"/>
    </row>
    <row r="237">
      <c r="A237" s="686"/>
      <c r="B237" s="686"/>
      <c r="C237" s="463"/>
      <c r="D237" s="463"/>
      <c r="E237" s="1"/>
      <c r="F237" s="1"/>
      <c r="G237" s="1"/>
      <c r="H237" s="1"/>
      <c r="I237" s="1"/>
      <c r="J237" s="1"/>
      <c r="K237" s="1"/>
      <c r="L237" s="1"/>
      <c r="M237" s="1"/>
      <c r="P237" s="87"/>
    </row>
    <row r="238">
      <c r="A238" s="686"/>
      <c r="B238" s="686"/>
      <c r="C238" s="463"/>
      <c r="D238" s="463"/>
      <c r="E238" s="1"/>
      <c r="F238" s="1"/>
      <c r="G238" s="1"/>
      <c r="H238" s="1"/>
      <c r="J238" s="1"/>
      <c r="K238" s="1"/>
      <c r="L238" s="1"/>
      <c r="M238" s="1"/>
      <c r="P238" s="87"/>
    </row>
    <row r="239">
      <c r="A239" s="686"/>
      <c r="B239" s="686"/>
      <c r="C239" s="463"/>
      <c r="D239" s="463"/>
      <c r="E239" s="1"/>
      <c r="F239" s="1"/>
      <c r="G239" s="1"/>
      <c r="H239" s="1"/>
      <c r="I239" s="1"/>
      <c r="J239" s="1"/>
      <c r="K239" s="1"/>
      <c r="L239" s="1"/>
      <c r="M239" s="1"/>
      <c r="P239" s="87"/>
    </row>
    <row r="240">
      <c r="A240" s="686"/>
      <c r="B240" s="686"/>
      <c r="C240" s="463"/>
      <c r="D240" s="463"/>
      <c r="E240" s="1"/>
      <c r="F240" s="1"/>
      <c r="G240" s="1"/>
      <c r="H240" s="1"/>
      <c r="J240" s="1"/>
      <c r="K240" s="1"/>
      <c r="L240" s="1"/>
      <c r="M240" s="1"/>
      <c r="P240" s="87"/>
    </row>
    <row r="241">
      <c r="A241" s="686"/>
      <c r="B241" s="686"/>
      <c r="C241" s="463"/>
      <c r="D241" s="463"/>
      <c r="E241" s="1"/>
      <c r="F241" s="1"/>
      <c r="G241" s="1"/>
      <c r="H241" s="1"/>
      <c r="J241" s="1"/>
      <c r="K241" s="1"/>
      <c r="L241" s="1"/>
      <c r="M241" s="1"/>
      <c r="P241" s="87"/>
    </row>
    <row r="242">
      <c r="A242" s="686"/>
      <c r="B242" s="686"/>
      <c r="C242" s="463"/>
      <c r="D242" s="463"/>
      <c r="E242" s="1"/>
      <c r="F242" s="1"/>
      <c r="G242" s="1"/>
      <c r="H242" s="1"/>
      <c r="J242" s="1"/>
      <c r="K242" s="1"/>
      <c r="L242" s="1"/>
      <c r="M242" s="1"/>
      <c r="P242" s="87"/>
    </row>
    <row r="243">
      <c r="A243" s="686"/>
      <c r="B243" s="686"/>
      <c r="C243" s="463"/>
      <c r="D243" s="463"/>
      <c r="E243" s="1"/>
      <c r="F243" s="1"/>
      <c r="G243" s="1"/>
      <c r="H243" s="1"/>
      <c r="I243" s="1"/>
      <c r="J243" s="1"/>
      <c r="K243" s="1"/>
      <c r="L243" s="1"/>
      <c r="M243" s="1"/>
      <c r="P243" s="87"/>
    </row>
    <row r="244">
      <c r="A244" s="686"/>
      <c r="B244" s="686"/>
      <c r="C244" s="463"/>
      <c r="D244" s="463"/>
      <c r="E244" s="1"/>
      <c r="F244" s="1"/>
      <c r="G244" s="1"/>
      <c r="H244" s="1"/>
      <c r="I244" s="1"/>
      <c r="J244" s="1"/>
      <c r="K244" s="1"/>
      <c r="L244" s="1"/>
      <c r="M244" s="1"/>
      <c r="P244" s="87"/>
    </row>
    <row r="245">
      <c r="A245" s="686"/>
      <c r="B245" s="686"/>
      <c r="C245" s="463"/>
      <c r="D245" s="463"/>
      <c r="E245" s="1"/>
      <c r="F245" s="1"/>
      <c r="G245" s="1"/>
      <c r="H245" s="1"/>
      <c r="J245" s="1"/>
      <c r="K245" s="1"/>
      <c r="L245" s="1"/>
      <c r="M245" s="1"/>
      <c r="P245" s="87"/>
    </row>
    <row r="246">
      <c r="A246" s="686"/>
      <c r="B246" s="686"/>
      <c r="C246" s="463"/>
      <c r="D246" s="463"/>
      <c r="E246" s="1"/>
      <c r="F246" s="1"/>
      <c r="G246" s="1"/>
      <c r="H246" s="1"/>
      <c r="J246" s="1"/>
      <c r="K246" s="1"/>
      <c r="L246" s="1"/>
      <c r="M246" s="1"/>
      <c r="P246" s="87"/>
    </row>
    <row r="247">
      <c r="A247" s="686"/>
      <c r="B247" s="686"/>
      <c r="C247" s="463"/>
      <c r="D247" s="463"/>
      <c r="E247" s="1"/>
      <c r="F247" s="1"/>
      <c r="G247" s="1"/>
      <c r="H247" s="1"/>
      <c r="I247" s="1"/>
      <c r="J247" s="1"/>
      <c r="K247" s="1"/>
      <c r="L247" s="1"/>
      <c r="M247" s="1"/>
      <c r="P247" s="87"/>
    </row>
    <row r="248">
      <c r="A248" s="686"/>
      <c r="B248" s="686"/>
      <c r="C248" s="463"/>
      <c r="D248" s="463"/>
      <c r="E248" s="1"/>
      <c r="F248" s="1"/>
      <c r="G248" s="1"/>
      <c r="H248" s="1"/>
      <c r="I248" s="1"/>
      <c r="J248" s="1"/>
      <c r="K248" s="1"/>
      <c r="L248" s="1"/>
      <c r="M248" s="1"/>
      <c r="P248" s="87"/>
    </row>
    <row r="249">
      <c r="A249" s="686"/>
      <c r="B249" s="686"/>
      <c r="C249" s="463"/>
      <c r="D249" s="463"/>
      <c r="E249" s="1"/>
      <c r="F249" s="1"/>
      <c r="G249" s="1"/>
      <c r="H249" s="1"/>
      <c r="I249" s="1"/>
      <c r="J249" s="1"/>
      <c r="K249" s="1"/>
      <c r="L249" s="1"/>
      <c r="M249" s="1"/>
      <c r="P249" s="87"/>
    </row>
    <row r="250">
      <c r="A250" s="686"/>
      <c r="B250" s="686"/>
      <c r="C250" s="463"/>
      <c r="D250" s="463"/>
      <c r="E250" s="1"/>
      <c r="F250" s="1"/>
      <c r="G250" s="1"/>
      <c r="H250" s="1"/>
      <c r="J250" s="1"/>
      <c r="K250" s="1"/>
      <c r="L250" s="1"/>
      <c r="M250" s="1"/>
      <c r="P250" s="87"/>
    </row>
    <row r="251">
      <c r="A251" s="686"/>
      <c r="B251" s="686"/>
      <c r="C251" s="463"/>
      <c r="D251" s="463"/>
      <c r="E251" s="1"/>
      <c r="F251" s="1"/>
      <c r="G251" s="1"/>
      <c r="H251" s="1"/>
      <c r="I251" s="1"/>
      <c r="J251" s="1"/>
      <c r="K251" s="1"/>
      <c r="L251" s="1"/>
      <c r="M251" s="1"/>
      <c r="P251" s="87"/>
    </row>
    <row r="252">
      <c r="A252" s="686"/>
      <c r="B252" s="686"/>
      <c r="C252" s="463"/>
      <c r="D252" s="463"/>
      <c r="E252" s="1"/>
      <c r="F252" s="1"/>
      <c r="G252" s="1"/>
      <c r="H252" s="1"/>
      <c r="I252" s="1"/>
      <c r="J252" s="1"/>
      <c r="K252" s="1"/>
      <c r="L252" s="1"/>
      <c r="M252" s="1"/>
      <c r="P252" s="87"/>
    </row>
    <row r="253">
      <c r="A253" s="686"/>
      <c r="B253" s="686"/>
      <c r="C253" s="463"/>
      <c r="D253" s="463"/>
      <c r="E253" s="1"/>
      <c r="F253" s="1"/>
      <c r="G253" s="1"/>
      <c r="H253" s="1"/>
      <c r="I253" s="1"/>
      <c r="J253" s="1"/>
      <c r="K253" s="1"/>
      <c r="L253" s="1"/>
      <c r="M253" s="1"/>
      <c r="P253" s="87"/>
    </row>
    <row r="254">
      <c r="A254" s="686"/>
      <c r="B254" s="686"/>
      <c r="C254" s="463"/>
      <c r="D254" s="463"/>
      <c r="E254" s="1"/>
      <c r="F254" s="1"/>
      <c r="G254" s="1"/>
      <c r="H254" s="1"/>
      <c r="I254" s="1"/>
      <c r="J254" s="1"/>
      <c r="K254" s="1"/>
      <c r="L254" s="1"/>
      <c r="M254" s="1"/>
      <c r="P254" s="87"/>
    </row>
    <row r="255">
      <c r="A255" s="686"/>
      <c r="B255" s="686"/>
      <c r="C255" s="463"/>
      <c r="D255" s="463"/>
      <c r="E255" s="1"/>
      <c r="F255" s="1"/>
      <c r="G255" s="1"/>
      <c r="H255" s="1"/>
      <c r="J255" s="1"/>
      <c r="K255" s="1"/>
      <c r="L255" s="1"/>
      <c r="M255" s="1"/>
      <c r="P255" s="87"/>
    </row>
    <row r="256">
      <c r="A256" s="686"/>
      <c r="B256" s="686"/>
      <c r="C256" s="463"/>
      <c r="D256" s="463"/>
      <c r="E256" s="1"/>
      <c r="F256" s="1"/>
      <c r="G256" s="1"/>
      <c r="H256" s="1"/>
      <c r="J256" s="1"/>
      <c r="K256" s="1"/>
      <c r="L256" s="1"/>
      <c r="M256" s="1"/>
      <c r="P256" s="87"/>
    </row>
    <row r="257">
      <c r="A257" s="686"/>
      <c r="B257" s="686"/>
      <c r="C257" s="463"/>
      <c r="D257" s="463"/>
      <c r="E257" s="1"/>
      <c r="F257" s="1"/>
      <c r="G257" s="1"/>
      <c r="H257" s="1"/>
      <c r="J257" s="1"/>
      <c r="K257" s="1"/>
      <c r="L257" s="1"/>
      <c r="M257" s="1"/>
      <c r="P257" s="87"/>
    </row>
    <row r="258">
      <c r="A258" s="686"/>
      <c r="B258" s="686"/>
      <c r="C258" s="463"/>
      <c r="D258" s="463"/>
      <c r="E258" s="1"/>
      <c r="F258" s="1"/>
      <c r="G258" s="1"/>
      <c r="H258" s="1"/>
      <c r="I258" s="1"/>
      <c r="J258" s="1"/>
      <c r="K258" s="1"/>
      <c r="L258" s="1"/>
      <c r="M258" s="1"/>
      <c r="P258" s="87"/>
    </row>
    <row r="259">
      <c r="A259" s="686"/>
      <c r="B259" s="686"/>
      <c r="C259" s="463"/>
      <c r="D259" s="463"/>
      <c r="E259" s="1"/>
      <c r="F259" s="1"/>
      <c r="G259" s="1"/>
      <c r="H259" s="1"/>
      <c r="I259" s="1"/>
      <c r="J259" s="1"/>
      <c r="K259" s="1"/>
      <c r="L259" s="1"/>
      <c r="M259" s="1"/>
      <c r="P259" s="87"/>
    </row>
    <row r="260">
      <c r="A260" s="686"/>
      <c r="B260" s="686"/>
      <c r="C260" s="463"/>
      <c r="D260" s="463"/>
      <c r="E260" s="1"/>
      <c r="F260" s="1"/>
      <c r="G260" s="1"/>
      <c r="H260" s="1"/>
      <c r="J260" s="1"/>
      <c r="K260" s="1"/>
      <c r="L260" s="1"/>
      <c r="M260" s="1"/>
      <c r="P260" s="87"/>
    </row>
    <row r="261">
      <c r="A261" s="686"/>
      <c r="B261" s="686"/>
      <c r="C261" s="463"/>
      <c r="D261" s="463"/>
      <c r="E261" s="1"/>
      <c r="F261" s="1"/>
      <c r="G261" s="1"/>
      <c r="H261" s="1"/>
      <c r="J261" s="1"/>
      <c r="K261" s="1"/>
      <c r="L261" s="1"/>
      <c r="M261" s="1"/>
      <c r="P261" s="87"/>
    </row>
    <row r="262">
      <c r="A262" s="686"/>
      <c r="B262" s="686"/>
      <c r="C262" s="463"/>
      <c r="D262" s="463"/>
      <c r="E262" s="1"/>
      <c r="F262" s="1"/>
      <c r="G262" s="1"/>
      <c r="H262" s="1"/>
      <c r="J262" s="1"/>
      <c r="K262" s="1"/>
      <c r="L262" s="1"/>
      <c r="M262" s="1"/>
      <c r="P262" s="87"/>
    </row>
    <row r="263">
      <c r="A263" s="686"/>
      <c r="B263" s="686"/>
      <c r="C263" s="463"/>
      <c r="D263" s="463"/>
      <c r="E263" s="1"/>
      <c r="F263" s="1"/>
      <c r="G263" s="1"/>
      <c r="H263" s="1"/>
      <c r="I263" s="1"/>
      <c r="J263" s="1"/>
      <c r="K263" s="1"/>
      <c r="L263" s="1"/>
      <c r="M263" s="1"/>
      <c r="P263" s="87"/>
    </row>
    <row r="264">
      <c r="A264" s="686"/>
      <c r="B264" s="686"/>
      <c r="C264" s="463"/>
      <c r="D264" s="463"/>
      <c r="E264" s="1"/>
      <c r="F264" s="1"/>
      <c r="G264" s="1"/>
      <c r="H264" s="1"/>
      <c r="J264" s="1"/>
      <c r="K264" s="1"/>
      <c r="L264" s="1"/>
      <c r="M264" s="1"/>
      <c r="P264" s="87"/>
    </row>
    <row r="265">
      <c r="A265" s="686"/>
      <c r="B265" s="686"/>
      <c r="C265" s="463"/>
      <c r="D265" s="463"/>
      <c r="E265" s="1"/>
      <c r="F265" s="1"/>
      <c r="G265" s="1"/>
      <c r="H265" s="1"/>
      <c r="J265" s="1"/>
      <c r="K265" s="1"/>
      <c r="L265" s="1"/>
      <c r="M265" s="1"/>
      <c r="P265" s="87"/>
    </row>
    <row r="266">
      <c r="A266" s="686"/>
      <c r="B266" s="686"/>
      <c r="C266" s="463"/>
      <c r="D266" s="463"/>
      <c r="E266" s="1"/>
      <c r="F266" s="1"/>
      <c r="G266" s="1"/>
      <c r="H266" s="1"/>
      <c r="J266" s="1"/>
      <c r="K266" s="1"/>
      <c r="L266" s="1"/>
      <c r="M266" s="1"/>
      <c r="P266" s="87"/>
    </row>
    <row r="267">
      <c r="A267" s="686"/>
      <c r="B267" s="686"/>
      <c r="C267" s="463"/>
      <c r="D267" s="463"/>
      <c r="E267" s="1"/>
      <c r="F267" s="1"/>
      <c r="G267" s="1"/>
      <c r="H267" s="1"/>
      <c r="J267" s="1"/>
      <c r="K267" s="1"/>
      <c r="L267" s="1"/>
      <c r="M267" s="1"/>
      <c r="P267" s="87"/>
    </row>
    <row r="268">
      <c r="A268" s="686"/>
      <c r="B268" s="686"/>
      <c r="C268" s="463"/>
      <c r="D268" s="463"/>
      <c r="E268" s="1"/>
      <c r="F268" s="1"/>
      <c r="G268" s="1"/>
      <c r="H268" s="1"/>
      <c r="J268" s="1"/>
      <c r="K268" s="1"/>
      <c r="L268" s="1"/>
      <c r="M268" s="1"/>
      <c r="P268" s="87"/>
    </row>
    <row r="269">
      <c r="A269" s="686"/>
      <c r="B269" s="686"/>
      <c r="C269" s="463"/>
      <c r="D269" s="463"/>
      <c r="E269" s="1"/>
      <c r="F269" s="1"/>
      <c r="G269" s="1"/>
      <c r="H269" s="1"/>
      <c r="J269" s="1"/>
      <c r="K269" s="1"/>
      <c r="L269" s="1"/>
      <c r="M269" s="1"/>
      <c r="P269" s="87"/>
    </row>
    <row r="270">
      <c r="A270" s="686"/>
      <c r="B270" s="686"/>
      <c r="C270" s="463"/>
      <c r="D270" s="463"/>
      <c r="E270" s="1"/>
      <c r="F270" s="1"/>
      <c r="G270" s="1"/>
      <c r="H270" s="1"/>
      <c r="I270" s="1"/>
      <c r="J270" s="1"/>
      <c r="K270" s="1"/>
      <c r="L270" s="1"/>
      <c r="M270" s="1"/>
      <c r="P270" s="87"/>
    </row>
    <row r="271">
      <c r="A271" s="686"/>
      <c r="B271" s="686"/>
      <c r="C271" s="463"/>
      <c r="D271" s="463"/>
      <c r="E271" s="1"/>
      <c r="F271" s="1"/>
      <c r="G271" s="1"/>
      <c r="H271" s="1"/>
      <c r="I271" s="1"/>
      <c r="J271" s="1"/>
      <c r="K271" s="1"/>
      <c r="L271" s="1"/>
      <c r="M271" s="1"/>
      <c r="P271" s="87"/>
    </row>
    <row r="272">
      <c r="A272" s="686"/>
      <c r="B272" s="686"/>
      <c r="C272" s="463"/>
      <c r="D272" s="463"/>
      <c r="E272" s="1"/>
      <c r="F272" s="1"/>
      <c r="G272" s="1"/>
      <c r="H272" s="1"/>
      <c r="J272" s="1"/>
      <c r="K272" s="1"/>
      <c r="L272" s="1"/>
      <c r="M272" s="1"/>
      <c r="P272" s="87"/>
    </row>
    <row r="273">
      <c r="A273" s="686"/>
      <c r="B273" s="686"/>
      <c r="C273" s="463"/>
      <c r="D273" s="463"/>
      <c r="E273" s="1"/>
      <c r="F273" s="1"/>
      <c r="G273" s="1"/>
      <c r="H273" s="1"/>
      <c r="J273" s="1"/>
      <c r="K273" s="1"/>
      <c r="L273" s="1"/>
      <c r="M273" s="1"/>
      <c r="P273" s="87"/>
    </row>
    <row r="274">
      <c r="A274" s="686"/>
      <c r="B274" s="686"/>
      <c r="C274" s="463"/>
      <c r="D274" s="463"/>
      <c r="E274" s="1"/>
      <c r="F274" s="1"/>
      <c r="G274" s="1"/>
      <c r="H274" s="1"/>
      <c r="J274" s="1"/>
      <c r="K274" s="1"/>
      <c r="L274" s="1"/>
      <c r="M274" s="1"/>
      <c r="P274" s="87"/>
    </row>
    <row r="275">
      <c r="A275" s="686"/>
      <c r="B275" s="686"/>
      <c r="C275" s="463"/>
      <c r="D275" s="463"/>
      <c r="E275" s="1"/>
      <c r="F275" s="1"/>
      <c r="G275" s="1"/>
      <c r="H275" s="1"/>
      <c r="I275" s="1"/>
      <c r="J275" s="1"/>
      <c r="K275" s="1"/>
      <c r="L275" s="1"/>
      <c r="M275" s="1"/>
      <c r="P275" s="87"/>
    </row>
    <row r="276">
      <c r="A276" s="686"/>
      <c r="B276" s="686"/>
      <c r="C276" s="463"/>
      <c r="D276" s="463"/>
      <c r="E276" s="1"/>
      <c r="F276" s="1"/>
      <c r="G276" s="1"/>
      <c r="H276" s="1"/>
      <c r="I276" s="1"/>
      <c r="J276" s="1"/>
      <c r="K276" s="1"/>
      <c r="L276" s="1"/>
      <c r="M276" s="1"/>
      <c r="P276" s="87"/>
    </row>
    <row r="277">
      <c r="A277" s="686"/>
      <c r="B277" s="686"/>
      <c r="C277" s="463"/>
      <c r="D277" s="463"/>
      <c r="E277" s="1"/>
      <c r="F277" s="1"/>
      <c r="G277" s="1"/>
      <c r="H277" s="1"/>
      <c r="I277" s="1"/>
      <c r="J277" s="1"/>
      <c r="K277" s="1"/>
      <c r="L277" s="1"/>
      <c r="M277" s="1"/>
      <c r="P277" s="87"/>
    </row>
    <row r="278">
      <c r="A278" s="686"/>
      <c r="B278" s="686"/>
      <c r="C278" s="463"/>
      <c r="D278" s="463"/>
      <c r="E278" s="1"/>
      <c r="F278" s="1"/>
      <c r="G278" s="1"/>
      <c r="H278" s="1"/>
      <c r="I278" s="1"/>
      <c r="J278" s="1"/>
      <c r="K278" s="1"/>
      <c r="L278" s="1"/>
      <c r="M278" s="1"/>
      <c r="P278" s="87"/>
    </row>
    <row r="279">
      <c r="A279" s="686"/>
      <c r="B279" s="686"/>
      <c r="C279" s="463"/>
      <c r="D279" s="463"/>
      <c r="E279" s="1"/>
      <c r="F279" s="1"/>
      <c r="G279" s="1"/>
      <c r="H279" s="1"/>
      <c r="J279" s="1"/>
      <c r="K279" s="1"/>
      <c r="L279" s="1"/>
      <c r="M279" s="1"/>
      <c r="P279" s="87"/>
    </row>
    <row r="280">
      <c r="A280" s="686"/>
      <c r="B280" s="686"/>
      <c r="C280" s="463"/>
      <c r="D280" s="463"/>
      <c r="E280" s="1"/>
      <c r="F280" s="1"/>
      <c r="G280" s="1"/>
      <c r="H280" s="1"/>
      <c r="I280" s="1"/>
      <c r="J280" s="1"/>
      <c r="K280" s="1"/>
      <c r="L280" s="1"/>
      <c r="M280" s="1"/>
      <c r="P280" s="87"/>
    </row>
    <row r="281">
      <c r="A281" s="686"/>
      <c r="B281" s="686"/>
      <c r="C281" s="463"/>
      <c r="D281" s="463"/>
      <c r="E281" s="1"/>
      <c r="F281" s="1"/>
      <c r="G281" s="1"/>
      <c r="H281" s="1"/>
      <c r="I281" s="1"/>
      <c r="J281" s="1"/>
      <c r="K281" s="1"/>
      <c r="L281" s="1"/>
      <c r="M281" s="1"/>
      <c r="P281" s="87"/>
    </row>
    <row r="282">
      <c r="A282" s="686"/>
      <c r="B282" s="686"/>
      <c r="C282" s="463"/>
      <c r="D282" s="463"/>
      <c r="E282" s="1"/>
      <c r="F282" s="1"/>
      <c r="G282" s="1"/>
      <c r="H282" s="1"/>
      <c r="J282" s="1"/>
      <c r="K282" s="1"/>
      <c r="L282" s="1"/>
      <c r="M282" s="1"/>
      <c r="P282" s="87"/>
    </row>
    <row r="283">
      <c r="A283" s="686"/>
      <c r="B283" s="686"/>
      <c r="C283" s="463"/>
      <c r="D283" s="463"/>
      <c r="E283" s="1"/>
      <c r="F283" s="1"/>
      <c r="G283" s="1"/>
      <c r="H283" s="1"/>
      <c r="J283" s="1"/>
      <c r="K283" s="1"/>
      <c r="L283" s="1"/>
      <c r="M283" s="1"/>
      <c r="P283" s="87"/>
    </row>
    <row r="284">
      <c r="A284" s="686"/>
      <c r="B284" s="686"/>
      <c r="C284" s="463"/>
      <c r="D284" s="463"/>
      <c r="E284" s="1"/>
      <c r="F284" s="1"/>
      <c r="G284" s="1"/>
      <c r="H284" s="1"/>
      <c r="I284" s="1"/>
      <c r="J284" s="1"/>
      <c r="K284" s="1"/>
      <c r="L284" s="1"/>
      <c r="M284" s="1"/>
      <c r="P284" s="87"/>
    </row>
    <row r="285">
      <c r="A285" s="686"/>
      <c r="B285" s="686"/>
      <c r="C285" s="463"/>
      <c r="D285" s="463"/>
      <c r="E285" s="1"/>
      <c r="F285" s="1"/>
      <c r="G285" s="1"/>
      <c r="H285" s="1"/>
      <c r="J285" s="1"/>
      <c r="K285" s="1"/>
      <c r="L285" s="1"/>
      <c r="M285" s="1"/>
      <c r="P285" s="87"/>
    </row>
    <row r="286">
      <c r="A286" s="686"/>
      <c r="B286" s="686"/>
      <c r="C286" s="463"/>
      <c r="D286" s="463"/>
      <c r="E286" s="1"/>
      <c r="F286" s="1"/>
      <c r="G286" s="1"/>
      <c r="H286" s="1"/>
      <c r="J286" s="1"/>
      <c r="K286" s="1"/>
      <c r="L286" s="1"/>
      <c r="M286" s="1"/>
      <c r="P286" s="87"/>
    </row>
    <row r="287">
      <c r="A287" s="686"/>
      <c r="B287" s="686"/>
      <c r="C287" s="463"/>
      <c r="D287" s="463"/>
      <c r="E287" s="1"/>
      <c r="F287" s="1"/>
      <c r="G287" s="1"/>
      <c r="H287" s="1"/>
      <c r="I287" s="1"/>
      <c r="J287" s="1"/>
      <c r="K287" s="1"/>
      <c r="L287" s="1"/>
      <c r="M287" s="1"/>
      <c r="P287" s="87"/>
    </row>
    <row r="288">
      <c r="A288" s="686"/>
      <c r="B288" s="686"/>
      <c r="C288" s="463"/>
      <c r="D288" s="463"/>
      <c r="E288" s="1"/>
      <c r="F288" s="1"/>
      <c r="G288" s="1"/>
      <c r="H288" s="1"/>
      <c r="J288" s="1"/>
      <c r="K288" s="1"/>
      <c r="L288" s="1"/>
      <c r="M288" s="1"/>
      <c r="P288" s="87"/>
    </row>
    <row r="289">
      <c r="A289" s="686"/>
      <c r="B289" s="686"/>
      <c r="C289" s="463"/>
      <c r="D289" s="463"/>
      <c r="E289" s="1"/>
      <c r="F289" s="1"/>
      <c r="G289" s="1"/>
      <c r="H289" s="1"/>
      <c r="I289" s="1"/>
      <c r="J289" s="1"/>
      <c r="K289" s="1"/>
      <c r="L289" s="1"/>
      <c r="M289" s="1"/>
      <c r="P289" s="87"/>
    </row>
    <row r="290">
      <c r="A290" s="686"/>
      <c r="B290" s="686"/>
      <c r="C290" s="463"/>
      <c r="D290" s="463"/>
      <c r="E290" s="1"/>
      <c r="F290" s="1"/>
      <c r="G290" s="1"/>
      <c r="H290" s="1"/>
      <c r="J290" s="1"/>
      <c r="K290" s="1"/>
      <c r="L290" s="1"/>
      <c r="M290" s="1"/>
      <c r="P290" s="87"/>
    </row>
    <row r="291">
      <c r="A291" s="686"/>
      <c r="B291" s="686"/>
      <c r="C291" s="463"/>
      <c r="D291" s="463"/>
      <c r="E291" s="1"/>
      <c r="F291" s="1"/>
      <c r="G291" s="1"/>
      <c r="H291" s="1"/>
      <c r="I291" s="1"/>
      <c r="J291" s="1"/>
      <c r="K291" s="1"/>
      <c r="L291" s="1"/>
      <c r="M291" s="1"/>
      <c r="P291" s="87"/>
    </row>
    <row r="292">
      <c r="A292" s="686"/>
      <c r="B292" s="686"/>
      <c r="C292" s="463"/>
      <c r="D292" s="463"/>
      <c r="E292" s="1"/>
      <c r="F292" s="1"/>
      <c r="G292" s="1"/>
      <c r="H292" s="1"/>
      <c r="I292" s="1"/>
      <c r="J292" s="1"/>
      <c r="K292" s="1"/>
      <c r="L292" s="1"/>
      <c r="M292" s="1"/>
      <c r="P292" s="87"/>
    </row>
    <row r="293">
      <c r="A293" s="686"/>
      <c r="B293" s="686"/>
      <c r="C293" s="463"/>
      <c r="D293" s="463"/>
      <c r="E293" s="1"/>
      <c r="F293" s="1"/>
      <c r="G293" s="1"/>
      <c r="H293" s="1"/>
      <c r="I293" s="1"/>
      <c r="J293" s="1"/>
      <c r="K293" s="1"/>
      <c r="L293" s="1"/>
      <c r="M293" s="1"/>
      <c r="P293" s="87"/>
    </row>
    <row r="294">
      <c r="A294" s="686"/>
      <c r="B294" s="686"/>
      <c r="C294" s="463"/>
      <c r="D294" s="463"/>
      <c r="E294" s="1"/>
      <c r="F294" s="1"/>
      <c r="G294" s="1"/>
      <c r="H294" s="1"/>
      <c r="I294" s="1"/>
      <c r="J294" s="1"/>
      <c r="K294" s="1"/>
      <c r="L294" s="1"/>
      <c r="M294" s="1"/>
      <c r="P294" s="87"/>
    </row>
    <row r="295">
      <c r="A295" s="686"/>
      <c r="B295" s="686"/>
      <c r="C295" s="463"/>
      <c r="D295" s="463"/>
      <c r="E295" s="1"/>
      <c r="F295" s="1"/>
      <c r="G295" s="1"/>
      <c r="H295" s="1"/>
      <c r="J295" s="1"/>
      <c r="K295" s="1"/>
      <c r="L295" s="1"/>
      <c r="M295" s="1"/>
      <c r="P295" s="87"/>
    </row>
    <row r="296">
      <c r="A296" s="686"/>
      <c r="B296" s="686"/>
      <c r="C296" s="463"/>
      <c r="D296" s="463"/>
      <c r="E296" s="1"/>
      <c r="F296" s="1"/>
      <c r="G296" s="1"/>
      <c r="H296" s="1"/>
      <c r="I296" s="1"/>
      <c r="J296" s="1"/>
      <c r="K296" s="1"/>
      <c r="L296" s="1"/>
      <c r="M296" s="1"/>
      <c r="P296" s="87"/>
    </row>
    <row r="297">
      <c r="A297" s="686"/>
      <c r="B297" s="686"/>
      <c r="C297" s="463"/>
      <c r="D297" s="463"/>
      <c r="E297" s="1"/>
      <c r="F297" s="1"/>
      <c r="G297" s="1"/>
      <c r="H297" s="1"/>
      <c r="J297" s="1"/>
      <c r="K297" s="1"/>
      <c r="L297" s="1"/>
      <c r="M297" s="1"/>
      <c r="P297" s="87"/>
    </row>
    <row r="298">
      <c r="A298" s="686"/>
      <c r="B298" s="686"/>
      <c r="C298" s="463"/>
      <c r="D298" s="463"/>
      <c r="E298" s="1"/>
      <c r="F298" s="1"/>
      <c r="G298" s="1"/>
      <c r="H298" s="1"/>
      <c r="J298" s="1"/>
      <c r="K298" s="1"/>
      <c r="L298" s="1"/>
      <c r="M298" s="1"/>
      <c r="P298" s="87"/>
    </row>
    <row r="299">
      <c r="A299" s="686"/>
      <c r="B299" s="686"/>
      <c r="C299" s="463"/>
      <c r="D299" s="463"/>
      <c r="E299" s="1"/>
      <c r="F299" s="1"/>
      <c r="G299" s="1"/>
      <c r="H299" s="1"/>
      <c r="J299" s="1"/>
      <c r="K299" s="1"/>
      <c r="L299" s="1"/>
      <c r="M299" s="1"/>
      <c r="P299" s="87"/>
    </row>
    <row r="300">
      <c r="A300" s="686"/>
      <c r="B300" s="686"/>
      <c r="C300" s="463"/>
      <c r="D300" s="463"/>
      <c r="E300" s="1"/>
      <c r="F300" s="1"/>
      <c r="G300" s="1"/>
      <c r="H300" s="1"/>
      <c r="I300" s="1"/>
      <c r="J300" s="1"/>
      <c r="K300" s="1"/>
      <c r="L300" s="1"/>
      <c r="M300" s="1"/>
      <c r="P300" s="87"/>
    </row>
    <row r="301">
      <c r="A301" s="686"/>
      <c r="B301" s="686"/>
      <c r="C301" s="463"/>
      <c r="D301" s="463"/>
      <c r="E301" s="1"/>
      <c r="F301" s="1"/>
      <c r="G301" s="1"/>
      <c r="H301" s="1"/>
      <c r="J301" s="1"/>
      <c r="K301" s="1"/>
      <c r="L301" s="1"/>
      <c r="M301" s="1"/>
      <c r="P301" s="87"/>
    </row>
    <row r="302">
      <c r="A302" s="686"/>
      <c r="B302" s="686"/>
      <c r="C302" s="463"/>
      <c r="D302" s="463"/>
      <c r="E302" s="1"/>
      <c r="F302" s="1"/>
      <c r="G302" s="1"/>
      <c r="H302" s="1"/>
      <c r="I302" s="1"/>
      <c r="J302" s="1"/>
      <c r="K302" s="1"/>
      <c r="L302" s="1"/>
      <c r="M302" s="1"/>
      <c r="P302" s="87"/>
    </row>
    <row r="303">
      <c r="A303" s="686"/>
      <c r="B303" s="686"/>
      <c r="C303" s="463"/>
      <c r="D303" s="463"/>
      <c r="E303" s="1"/>
      <c r="F303" s="1"/>
      <c r="G303" s="1"/>
      <c r="H303" s="1"/>
      <c r="J303" s="1"/>
      <c r="K303" s="1"/>
      <c r="L303" s="1"/>
      <c r="M303" s="1"/>
      <c r="P303" s="87"/>
    </row>
    <row r="304">
      <c r="A304" s="686"/>
      <c r="B304" s="686"/>
      <c r="C304" s="463"/>
      <c r="D304" s="463"/>
      <c r="E304" s="1"/>
      <c r="F304" s="1"/>
      <c r="G304" s="1"/>
      <c r="H304" s="1"/>
      <c r="J304" s="1"/>
      <c r="K304" s="1"/>
      <c r="L304" s="1"/>
      <c r="M304" s="1"/>
      <c r="P304" s="87"/>
    </row>
    <row r="305">
      <c r="A305" s="686"/>
      <c r="B305" s="686"/>
      <c r="C305" s="463"/>
      <c r="D305" s="463"/>
      <c r="E305" s="1"/>
      <c r="F305" s="1"/>
      <c r="G305" s="1"/>
      <c r="H305" s="1"/>
      <c r="J305" s="1"/>
      <c r="K305" s="1"/>
      <c r="L305" s="1"/>
      <c r="M305" s="1"/>
      <c r="P305" s="87"/>
    </row>
    <row r="306">
      <c r="A306" s="686"/>
      <c r="B306" s="686"/>
      <c r="C306" s="463"/>
      <c r="D306" s="463"/>
      <c r="E306" s="1"/>
      <c r="F306" s="1"/>
      <c r="G306" s="1"/>
      <c r="H306" s="1"/>
      <c r="I306" s="1"/>
      <c r="J306" s="1"/>
      <c r="K306" s="1"/>
      <c r="L306" s="1"/>
      <c r="M306" s="1"/>
      <c r="P306" s="87"/>
    </row>
    <row r="307">
      <c r="A307" s="686"/>
      <c r="B307" s="686"/>
      <c r="C307" s="463"/>
      <c r="D307" s="463"/>
      <c r="E307" s="1"/>
      <c r="F307" s="1"/>
      <c r="G307" s="1"/>
      <c r="H307" s="1"/>
      <c r="I307" s="1"/>
      <c r="J307" s="1"/>
      <c r="K307" s="1"/>
      <c r="L307" s="1"/>
      <c r="M307" s="1"/>
      <c r="P307" s="87"/>
    </row>
    <row r="308">
      <c r="A308" s="686"/>
      <c r="B308" s="686"/>
      <c r="C308" s="463"/>
      <c r="D308" s="463"/>
      <c r="E308" s="1"/>
      <c r="F308" s="1"/>
      <c r="G308" s="1"/>
      <c r="H308" s="1"/>
      <c r="I308" s="1"/>
      <c r="J308" s="1"/>
      <c r="K308" s="1"/>
      <c r="L308" s="1"/>
      <c r="M308" s="1"/>
      <c r="P308" s="87"/>
    </row>
    <row r="309">
      <c r="A309" s="686"/>
      <c r="B309" s="686"/>
      <c r="C309" s="463"/>
      <c r="D309" s="463"/>
      <c r="E309" s="1"/>
      <c r="F309" s="1"/>
      <c r="G309" s="1"/>
      <c r="H309" s="1"/>
      <c r="J309" s="1"/>
      <c r="K309" s="1"/>
      <c r="L309" s="1"/>
      <c r="M309" s="1"/>
      <c r="P309" s="87"/>
    </row>
    <row r="310">
      <c r="A310" s="686"/>
      <c r="B310" s="686"/>
      <c r="C310" s="463"/>
      <c r="D310" s="463"/>
      <c r="E310" s="1"/>
      <c r="F310" s="1"/>
      <c r="G310" s="1"/>
      <c r="H310" s="1"/>
      <c r="I310" s="1"/>
      <c r="J310" s="1"/>
      <c r="K310" s="1"/>
      <c r="L310" s="1"/>
      <c r="M310" s="1"/>
      <c r="P310" s="87"/>
    </row>
    <row r="311">
      <c r="A311" s="686"/>
      <c r="B311" s="686"/>
      <c r="C311" s="463"/>
      <c r="D311" s="463"/>
      <c r="E311" s="1"/>
      <c r="F311" s="1"/>
      <c r="G311" s="1"/>
      <c r="H311" s="1"/>
      <c r="J311" s="1"/>
      <c r="K311" s="1"/>
      <c r="L311" s="1"/>
      <c r="M311" s="1"/>
      <c r="P311" s="87"/>
    </row>
    <row r="312">
      <c r="A312" s="686"/>
      <c r="B312" s="686"/>
      <c r="C312" s="463"/>
      <c r="D312" s="463"/>
      <c r="E312" s="1"/>
      <c r="F312" s="1"/>
      <c r="G312" s="1"/>
      <c r="H312" s="1"/>
      <c r="I312" s="1"/>
      <c r="J312" s="1"/>
      <c r="K312" s="1"/>
      <c r="L312" s="1"/>
      <c r="M312" s="1"/>
      <c r="P312" s="87"/>
    </row>
    <row r="313">
      <c r="A313" s="686"/>
      <c r="B313" s="686"/>
      <c r="C313" s="463"/>
      <c r="D313" s="463"/>
      <c r="E313" s="1"/>
      <c r="F313" s="1"/>
      <c r="G313" s="1"/>
      <c r="H313" s="1"/>
      <c r="I313" s="1"/>
      <c r="J313" s="1"/>
      <c r="K313" s="1"/>
      <c r="L313" s="1"/>
      <c r="M313" s="1"/>
      <c r="P313" s="87"/>
    </row>
    <row r="314">
      <c r="A314" s="686"/>
      <c r="B314" s="686"/>
      <c r="C314" s="463"/>
      <c r="D314" s="463"/>
      <c r="E314" s="1"/>
      <c r="F314" s="1"/>
      <c r="G314" s="1"/>
      <c r="H314" s="1"/>
      <c r="I314" s="1"/>
      <c r="J314" s="1"/>
      <c r="K314" s="1"/>
      <c r="L314" s="1"/>
      <c r="M314" s="1"/>
      <c r="P314" s="87"/>
    </row>
    <row r="315">
      <c r="A315" s="686"/>
      <c r="B315" s="686"/>
      <c r="C315" s="463"/>
      <c r="D315" s="463"/>
      <c r="E315" s="1"/>
      <c r="F315" s="1"/>
      <c r="G315" s="1"/>
      <c r="H315" s="1"/>
      <c r="I315" s="1"/>
      <c r="J315" s="1"/>
      <c r="K315" s="1"/>
      <c r="L315" s="1"/>
      <c r="M315" s="1"/>
      <c r="P315" s="87"/>
    </row>
    <row r="316">
      <c r="A316" s="686"/>
      <c r="B316" s="686"/>
      <c r="C316" s="463"/>
      <c r="D316" s="463"/>
      <c r="E316" s="1"/>
      <c r="F316" s="1"/>
      <c r="G316" s="1"/>
      <c r="H316" s="1"/>
      <c r="I316" s="1"/>
      <c r="J316" s="1"/>
      <c r="K316" s="1"/>
      <c r="L316" s="1"/>
      <c r="M316" s="1"/>
      <c r="P316" s="87"/>
    </row>
    <row r="317">
      <c r="A317" s="686"/>
      <c r="B317" s="686"/>
      <c r="C317" s="463"/>
      <c r="D317" s="463"/>
      <c r="E317" s="1"/>
      <c r="F317" s="1"/>
      <c r="G317" s="1"/>
      <c r="H317" s="1"/>
      <c r="J317" s="1"/>
      <c r="K317" s="1"/>
      <c r="L317" s="1"/>
      <c r="M317" s="1"/>
      <c r="P317" s="87"/>
    </row>
    <row r="318">
      <c r="A318" s="686"/>
      <c r="B318" s="686"/>
      <c r="C318" s="463"/>
      <c r="D318" s="463"/>
      <c r="E318" s="1"/>
      <c r="F318" s="1"/>
      <c r="G318" s="1"/>
      <c r="H318" s="1"/>
      <c r="I318" s="1"/>
      <c r="J318" s="1"/>
      <c r="K318" s="1"/>
      <c r="L318" s="1"/>
      <c r="M318" s="1"/>
      <c r="P318" s="87"/>
    </row>
    <row r="319">
      <c r="A319" s="686"/>
      <c r="B319" s="686"/>
      <c r="C319" s="463"/>
      <c r="D319" s="463"/>
      <c r="E319" s="1"/>
      <c r="F319" s="1"/>
      <c r="G319" s="1"/>
      <c r="H319" s="1"/>
      <c r="I319" s="1"/>
      <c r="J319" s="1"/>
      <c r="K319" s="1"/>
      <c r="L319" s="1"/>
      <c r="M319" s="1"/>
      <c r="P319" s="87"/>
    </row>
    <row r="320">
      <c r="A320" s="686"/>
      <c r="B320" s="686"/>
      <c r="C320" s="463"/>
      <c r="D320" s="463"/>
      <c r="E320" s="1"/>
      <c r="F320" s="1"/>
      <c r="G320" s="1"/>
      <c r="H320" s="1"/>
      <c r="I320" s="1"/>
      <c r="J320" s="1"/>
      <c r="K320" s="1"/>
      <c r="L320" s="1"/>
      <c r="M320" s="1"/>
      <c r="P320" s="87"/>
    </row>
    <row r="321">
      <c r="A321" s="686"/>
      <c r="B321" s="686"/>
      <c r="C321" s="463"/>
      <c r="D321" s="463"/>
      <c r="E321" s="1"/>
      <c r="F321" s="1"/>
      <c r="G321" s="1"/>
      <c r="H321" s="1"/>
      <c r="J321" s="1"/>
      <c r="K321" s="1"/>
      <c r="L321" s="1"/>
      <c r="M321" s="1"/>
      <c r="P321" s="87"/>
    </row>
    <row r="322">
      <c r="A322" s="686"/>
      <c r="B322" s="686"/>
      <c r="C322" s="463"/>
      <c r="D322" s="463"/>
      <c r="E322" s="1"/>
      <c r="F322" s="1"/>
      <c r="G322" s="1"/>
      <c r="H322" s="1"/>
      <c r="I322" s="1"/>
      <c r="J322" s="1"/>
      <c r="K322" s="1"/>
      <c r="L322" s="1"/>
      <c r="M322" s="1"/>
      <c r="P322" s="87"/>
    </row>
    <row r="323">
      <c r="A323" s="686"/>
      <c r="B323" s="686"/>
      <c r="C323" s="463"/>
      <c r="D323" s="463"/>
      <c r="E323" s="1"/>
      <c r="F323" s="1"/>
      <c r="G323" s="1"/>
      <c r="H323" s="1"/>
      <c r="J323" s="1"/>
      <c r="K323" s="1"/>
      <c r="L323" s="1"/>
      <c r="M323" s="1"/>
      <c r="P323" s="87"/>
    </row>
    <row r="324">
      <c r="A324" s="686"/>
      <c r="B324" s="686"/>
      <c r="C324" s="463"/>
      <c r="D324" s="463"/>
      <c r="E324" s="1"/>
      <c r="F324" s="1"/>
      <c r="G324" s="1"/>
      <c r="H324" s="1"/>
      <c r="I324" s="1"/>
      <c r="J324" s="1"/>
      <c r="K324" s="1"/>
      <c r="L324" s="1"/>
      <c r="M324" s="1"/>
      <c r="P324" s="87"/>
    </row>
    <row r="325">
      <c r="A325" s="686"/>
      <c r="B325" s="686"/>
      <c r="C325" s="463"/>
      <c r="D325" s="463"/>
      <c r="E325" s="1"/>
      <c r="F325" s="1"/>
      <c r="G325" s="1"/>
      <c r="H325" s="1"/>
      <c r="J325" s="1"/>
      <c r="K325" s="1"/>
      <c r="L325" s="1"/>
      <c r="M325" s="1"/>
      <c r="P325" s="87"/>
    </row>
    <row r="326">
      <c r="A326" s="686"/>
      <c r="B326" s="686"/>
      <c r="C326" s="463"/>
      <c r="D326" s="463"/>
      <c r="E326" s="1"/>
      <c r="F326" s="1"/>
      <c r="G326" s="1"/>
      <c r="H326" s="1"/>
      <c r="J326" s="1"/>
      <c r="K326" s="1"/>
      <c r="L326" s="1"/>
      <c r="M326" s="1"/>
      <c r="P326" s="87"/>
    </row>
    <row r="327">
      <c r="A327" s="686"/>
      <c r="B327" s="686"/>
      <c r="C327" s="463"/>
      <c r="D327" s="463"/>
      <c r="E327" s="1"/>
      <c r="F327" s="1"/>
      <c r="G327" s="1"/>
      <c r="H327" s="1"/>
      <c r="I327" s="1"/>
      <c r="J327" s="1"/>
      <c r="K327" s="1"/>
      <c r="L327" s="1"/>
      <c r="M327" s="1"/>
      <c r="P327" s="87"/>
    </row>
    <row r="328">
      <c r="A328" s="686"/>
      <c r="B328" s="686"/>
      <c r="C328" s="463"/>
      <c r="D328" s="463"/>
      <c r="E328" s="1"/>
      <c r="F328" s="1"/>
      <c r="G328" s="1"/>
      <c r="H328" s="1"/>
      <c r="I328" s="1"/>
      <c r="J328" s="1"/>
      <c r="K328" s="1"/>
      <c r="L328" s="1"/>
      <c r="M328" s="1"/>
      <c r="P328" s="87"/>
    </row>
    <row r="329">
      <c r="A329" s="686"/>
      <c r="B329" s="686"/>
      <c r="C329" s="463"/>
      <c r="D329" s="463"/>
      <c r="E329" s="1"/>
      <c r="F329" s="1"/>
      <c r="G329" s="1"/>
      <c r="H329" s="1"/>
      <c r="I329" s="1"/>
      <c r="J329" s="1"/>
      <c r="K329" s="1"/>
      <c r="L329" s="1"/>
      <c r="M329" s="1"/>
      <c r="P329" s="87"/>
    </row>
    <row r="330">
      <c r="A330" s="686"/>
      <c r="B330" s="686"/>
      <c r="C330" s="463"/>
      <c r="D330" s="463"/>
      <c r="E330" s="1"/>
      <c r="F330" s="1"/>
      <c r="G330" s="1"/>
      <c r="H330" s="1"/>
      <c r="I330" s="1"/>
      <c r="J330" s="1"/>
      <c r="K330" s="1"/>
      <c r="L330" s="1"/>
      <c r="M330" s="1"/>
      <c r="P330" s="87"/>
    </row>
    <row r="331">
      <c r="A331" s="686"/>
      <c r="B331" s="686"/>
      <c r="C331" s="463"/>
      <c r="D331" s="463"/>
      <c r="E331" s="1"/>
      <c r="F331" s="1"/>
      <c r="G331" s="1"/>
      <c r="H331" s="1"/>
      <c r="J331" s="1"/>
      <c r="K331" s="1"/>
      <c r="L331" s="1"/>
      <c r="M331" s="1"/>
      <c r="P331" s="87"/>
    </row>
    <row r="332">
      <c r="A332" s="686"/>
      <c r="B332" s="686"/>
      <c r="C332" s="463"/>
      <c r="D332" s="463"/>
      <c r="E332" s="1"/>
      <c r="F332" s="1"/>
      <c r="G332" s="1"/>
      <c r="H332" s="1"/>
      <c r="I332" s="1"/>
      <c r="J332" s="1"/>
      <c r="K332" s="1"/>
      <c r="L332" s="1"/>
      <c r="M332" s="1"/>
      <c r="P332" s="87"/>
    </row>
    <row r="333">
      <c r="A333" s="686"/>
      <c r="B333" s="686"/>
      <c r="C333" s="463"/>
      <c r="D333" s="463"/>
      <c r="E333" s="1"/>
      <c r="F333" s="1"/>
      <c r="G333" s="1"/>
      <c r="H333" s="1"/>
      <c r="I333" s="1"/>
      <c r="J333" s="1"/>
      <c r="K333" s="1"/>
      <c r="L333" s="1"/>
      <c r="M333" s="1"/>
      <c r="P333" s="87"/>
    </row>
    <row r="334">
      <c r="A334" s="686"/>
      <c r="B334" s="686"/>
      <c r="C334" s="463"/>
      <c r="D334" s="463"/>
      <c r="E334" s="1"/>
      <c r="F334" s="1"/>
      <c r="G334" s="1"/>
      <c r="H334" s="1"/>
      <c r="J334" s="1"/>
      <c r="K334" s="1"/>
      <c r="L334" s="1"/>
      <c r="M334" s="1"/>
      <c r="P334" s="87"/>
    </row>
    <row r="335">
      <c r="A335" s="686"/>
      <c r="B335" s="686"/>
      <c r="C335" s="463"/>
      <c r="D335" s="463"/>
      <c r="E335" s="1"/>
      <c r="F335" s="1"/>
      <c r="G335" s="1"/>
      <c r="H335" s="1"/>
      <c r="J335" s="1"/>
      <c r="K335" s="1"/>
      <c r="L335" s="1"/>
      <c r="M335" s="1"/>
      <c r="P335" s="87"/>
    </row>
    <row r="336">
      <c r="A336" s="686"/>
      <c r="B336" s="686"/>
      <c r="C336" s="463"/>
      <c r="D336" s="463"/>
      <c r="E336" s="1"/>
      <c r="F336" s="1"/>
      <c r="G336" s="1"/>
      <c r="H336" s="1"/>
      <c r="J336" s="1"/>
      <c r="K336" s="1"/>
      <c r="L336" s="1"/>
      <c r="M336" s="1"/>
      <c r="P336" s="87"/>
    </row>
    <row r="337">
      <c r="A337" s="686"/>
      <c r="B337" s="686"/>
      <c r="C337" s="463"/>
      <c r="D337" s="463"/>
      <c r="E337" s="1"/>
      <c r="F337" s="1"/>
      <c r="G337" s="1"/>
      <c r="H337" s="1"/>
      <c r="I337" s="1"/>
      <c r="J337" s="1"/>
      <c r="K337" s="1"/>
      <c r="L337" s="1"/>
      <c r="M337" s="1"/>
      <c r="P337" s="87"/>
    </row>
    <row r="338">
      <c r="A338" s="686"/>
      <c r="B338" s="686"/>
      <c r="C338" s="463"/>
      <c r="D338" s="463"/>
      <c r="E338" s="1"/>
      <c r="F338" s="1"/>
      <c r="G338" s="1"/>
      <c r="H338" s="1"/>
      <c r="J338" s="1"/>
      <c r="K338" s="1"/>
      <c r="L338" s="1"/>
      <c r="M338" s="1"/>
      <c r="P338" s="87"/>
    </row>
    <row r="339">
      <c r="A339" s="686"/>
      <c r="B339" s="686"/>
      <c r="C339" s="463"/>
      <c r="D339" s="463"/>
      <c r="E339" s="1"/>
      <c r="F339" s="1"/>
      <c r="G339" s="1"/>
      <c r="H339" s="1"/>
      <c r="I339" s="1"/>
      <c r="J339" s="1"/>
      <c r="K339" s="1"/>
      <c r="L339" s="1"/>
      <c r="M339" s="1"/>
      <c r="P339" s="87"/>
    </row>
    <row r="340">
      <c r="A340" s="686"/>
      <c r="B340" s="686"/>
      <c r="C340" s="463"/>
      <c r="D340" s="463"/>
      <c r="E340" s="1"/>
      <c r="F340" s="1"/>
      <c r="G340" s="1"/>
      <c r="H340" s="1"/>
      <c r="J340" s="1"/>
      <c r="K340" s="1"/>
      <c r="L340" s="1"/>
      <c r="M340" s="1"/>
      <c r="P340" s="87"/>
    </row>
    <row r="341">
      <c r="A341" s="686"/>
      <c r="B341" s="686"/>
      <c r="C341" s="463"/>
      <c r="D341" s="463"/>
      <c r="E341" s="1"/>
      <c r="F341" s="1"/>
      <c r="G341" s="1"/>
      <c r="H341" s="1"/>
      <c r="I341" s="1"/>
      <c r="J341" s="1"/>
      <c r="K341" s="1"/>
      <c r="L341" s="1"/>
      <c r="M341" s="1"/>
      <c r="P341" s="87"/>
    </row>
    <row r="342">
      <c r="A342" s="686"/>
      <c r="B342" s="686"/>
      <c r="C342" s="463"/>
      <c r="D342" s="463"/>
      <c r="E342" s="1"/>
      <c r="F342" s="1"/>
      <c r="G342" s="1"/>
      <c r="H342" s="1"/>
      <c r="J342" s="1"/>
      <c r="K342" s="1"/>
      <c r="L342" s="1"/>
      <c r="M342" s="1"/>
      <c r="P342" s="87"/>
    </row>
    <row r="343">
      <c r="A343" s="686"/>
      <c r="B343" s="686"/>
      <c r="C343" s="463"/>
      <c r="D343" s="463"/>
      <c r="E343" s="1"/>
      <c r="F343" s="1"/>
      <c r="G343" s="1"/>
      <c r="H343" s="1"/>
      <c r="J343" s="1"/>
      <c r="K343" s="1"/>
      <c r="L343" s="1"/>
      <c r="M343" s="1"/>
      <c r="P343" s="87"/>
    </row>
    <row r="344">
      <c r="A344" s="686"/>
      <c r="B344" s="686"/>
      <c r="C344" s="463"/>
      <c r="D344" s="463"/>
      <c r="E344" s="1"/>
      <c r="F344" s="1"/>
      <c r="G344" s="1"/>
      <c r="H344" s="1"/>
      <c r="I344" s="1"/>
      <c r="J344" s="1"/>
      <c r="K344" s="1"/>
      <c r="L344" s="1"/>
      <c r="M344" s="1"/>
      <c r="P344" s="87"/>
    </row>
    <row r="345">
      <c r="A345" s="686"/>
      <c r="B345" s="686"/>
      <c r="C345" s="463"/>
      <c r="D345" s="463"/>
      <c r="E345" s="1"/>
      <c r="F345" s="1"/>
      <c r="G345" s="1"/>
      <c r="H345" s="1"/>
      <c r="I345" s="1"/>
      <c r="J345" s="1"/>
      <c r="K345" s="1"/>
      <c r="L345" s="1"/>
      <c r="M345" s="1"/>
      <c r="P345" s="87"/>
    </row>
    <row r="346">
      <c r="A346" s="686"/>
      <c r="B346" s="686"/>
      <c r="C346" s="463"/>
      <c r="D346" s="463"/>
      <c r="E346" s="1"/>
      <c r="F346" s="1"/>
      <c r="G346" s="1"/>
      <c r="H346" s="1"/>
      <c r="I346" s="1"/>
      <c r="J346" s="1"/>
      <c r="K346" s="1"/>
      <c r="L346" s="1"/>
      <c r="M346" s="1"/>
      <c r="P346" s="87"/>
    </row>
    <row r="347">
      <c r="A347" s="686"/>
      <c r="B347" s="686"/>
      <c r="C347" s="463"/>
      <c r="D347" s="463"/>
      <c r="E347" s="1"/>
      <c r="F347" s="1"/>
      <c r="G347" s="1"/>
      <c r="H347" s="1"/>
      <c r="J347" s="1"/>
      <c r="K347" s="1"/>
      <c r="L347" s="1"/>
      <c r="M347" s="1"/>
      <c r="P347" s="87"/>
    </row>
    <row r="348">
      <c r="A348" s="686"/>
      <c r="B348" s="686"/>
      <c r="C348" s="463"/>
      <c r="D348" s="463"/>
      <c r="E348" s="1"/>
      <c r="F348" s="1"/>
      <c r="G348" s="1"/>
      <c r="H348" s="1"/>
      <c r="J348" s="1"/>
      <c r="K348" s="1"/>
      <c r="L348" s="1"/>
      <c r="M348" s="1"/>
      <c r="P348" s="87"/>
    </row>
    <row r="349">
      <c r="A349" s="686"/>
      <c r="B349" s="686"/>
      <c r="C349" s="463"/>
      <c r="D349" s="463"/>
      <c r="E349" s="1"/>
      <c r="F349" s="1"/>
      <c r="G349" s="1"/>
      <c r="H349" s="1"/>
      <c r="J349" s="1"/>
      <c r="K349" s="1"/>
      <c r="L349" s="1"/>
      <c r="M349" s="1"/>
      <c r="P349" s="87"/>
    </row>
    <row r="350">
      <c r="A350" s="686"/>
      <c r="B350" s="686"/>
      <c r="C350" s="463"/>
      <c r="D350" s="463"/>
      <c r="E350" s="1"/>
      <c r="F350" s="1"/>
      <c r="G350" s="1"/>
      <c r="H350" s="1"/>
      <c r="I350" s="1"/>
      <c r="J350" s="1"/>
      <c r="K350" s="1"/>
      <c r="L350" s="1"/>
      <c r="M350" s="1"/>
      <c r="P350" s="87"/>
    </row>
    <row r="351">
      <c r="A351" s="686"/>
      <c r="B351" s="686"/>
      <c r="C351" s="463"/>
      <c r="D351" s="463"/>
      <c r="E351" s="1"/>
      <c r="F351" s="1"/>
      <c r="G351" s="1"/>
      <c r="H351" s="1"/>
      <c r="I351" s="1"/>
      <c r="J351" s="1"/>
      <c r="K351" s="1"/>
      <c r="L351" s="1"/>
      <c r="M351" s="1"/>
      <c r="P351" s="87"/>
    </row>
    <row r="352">
      <c r="A352" s="686"/>
      <c r="B352" s="686"/>
      <c r="C352" s="463"/>
      <c r="D352" s="463"/>
      <c r="E352" s="1"/>
      <c r="F352" s="1"/>
      <c r="G352" s="1"/>
      <c r="H352" s="1"/>
      <c r="J352" s="1"/>
      <c r="K352" s="1"/>
      <c r="L352" s="1"/>
      <c r="M352" s="1"/>
      <c r="P352" s="87"/>
    </row>
    <row r="353">
      <c r="A353" s="686"/>
      <c r="B353" s="686"/>
      <c r="C353" s="463"/>
      <c r="D353" s="463"/>
      <c r="E353" s="1"/>
      <c r="F353" s="1"/>
      <c r="G353" s="1"/>
      <c r="H353" s="1"/>
      <c r="J353" s="1"/>
      <c r="K353" s="1"/>
      <c r="L353" s="1"/>
      <c r="M353" s="1"/>
      <c r="P353" s="87"/>
    </row>
    <row r="354">
      <c r="A354" s="686"/>
      <c r="B354" s="686"/>
      <c r="C354" s="463"/>
      <c r="D354" s="463"/>
      <c r="E354" s="1"/>
      <c r="F354" s="1"/>
      <c r="G354" s="1"/>
      <c r="H354" s="1"/>
      <c r="I354" s="1"/>
      <c r="J354" s="1"/>
      <c r="K354" s="1"/>
      <c r="L354" s="1"/>
      <c r="M354" s="1"/>
      <c r="P354" s="87"/>
    </row>
    <row r="355">
      <c r="A355" s="686"/>
      <c r="B355" s="686"/>
      <c r="C355" s="463"/>
      <c r="D355" s="463"/>
      <c r="E355" s="1"/>
      <c r="F355" s="1"/>
      <c r="G355" s="1"/>
      <c r="H355" s="1"/>
      <c r="J355" s="1"/>
      <c r="K355" s="1"/>
      <c r="L355" s="1"/>
      <c r="M355" s="1"/>
      <c r="P355" s="87"/>
    </row>
    <row r="356">
      <c r="A356" s="686"/>
      <c r="B356" s="686"/>
      <c r="C356" s="463"/>
      <c r="D356" s="463"/>
      <c r="E356" s="1"/>
      <c r="F356" s="1"/>
      <c r="G356" s="1"/>
      <c r="H356" s="1"/>
      <c r="I356" s="1"/>
      <c r="J356" s="1"/>
      <c r="K356" s="1"/>
      <c r="L356" s="1"/>
      <c r="M356" s="1"/>
      <c r="P356" s="87"/>
    </row>
    <row r="357">
      <c r="A357" s="686"/>
      <c r="B357" s="686"/>
      <c r="C357" s="463"/>
      <c r="D357" s="463"/>
      <c r="E357" s="1"/>
      <c r="F357" s="1"/>
      <c r="G357" s="1"/>
      <c r="H357" s="1"/>
      <c r="J357" s="1"/>
      <c r="K357" s="1"/>
      <c r="L357" s="1"/>
      <c r="M357" s="1"/>
      <c r="P357" s="87"/>
    </row>
    <row r="358">
      <c r="A358" s="686"/>
      <c r="B358" s="686"/>
      <c r="C358" s="463"/>
      <c r="D358" s="463"/>
      <c r="E358" s="1"/>
      <c r="F358" s="1"/>
      <c r="G358" s="1"/>
      <c r="H358" s="1"/>
      <c r="I358" s="1"/>
      <c r="J358" s="1"/>
      <c r="K358" s="1"/>
      <c r="L358" s="1"/>
      <c r="M358" s="1"/>
      <c r="P358" s="87"/>
    </row>
    <row r="359">
      <c r="A359" s="686"/>
      <c r="B359" s="686"/>
      <c r="C359" s="463"/>
      <c r="D359" s="463"/>
      <c r="E359" s="1"/>
      <c r="F359" s="1"/>
      <c r="G359" s="1"/>
      <c r="H359" s="1"/>
      <c r="J359" s="1"/>
      <c r="K359" s="1"/>
      <c r="L359" s="1"/>
      <c r="M359" s="1"/>
      <c r="P359" s="87"/>
    </row>
    <row r="360">
      <c r="A360" s="686"/>
      <c r="B360" s="686"/>
      <c r="C360" s="463"/>
      <c r="D360" s="463"/>
      <c r="E360" s="1"/>
      <c r="F360" s="1"/>
      <c r="G360" s="1"/>
      <c r="H360" s="1"/>
      <c r="J360" s="1"/>
      <c r="K360" s="1"/>
      <c r="L360" s="1"/>
      <c r="M360" s="1"/>
      <c r="P360" s="87"/>
    </row>
    <row r="361">
      <c r="A361" s="686"/>
      <c r="B361" s="686"/>
      <c r="C361" s="463"/>
      <c r="D361" s="463"/>
      <c r="E361" s="1"/>
      <c r="F361" s="1"/>
      <c r="G361" s="1"/>
      <c r="H361" s="1"/>
      <c r="J361" s="1"/>
      <c r="K361" s="1"/>
      <c r="L361" s="1"/>
      <c r="M361" s="1"/>
      <c r="P361" s="87"/>
    </row>
    <row r="362">
      <c r="A362" s="686"/>
      <c r="B362" s="686"/>
      <c r="C362" s="463"/>
      <c r="D362" s="463"/>
      <c r="E362" s="1"/>
      <c r="F362" s="1"/>
      <c r="G362" s="1"/>
      <c r="H362" s="1"/>
      <c r="I362" s="1"/>
      <c r="J362" s="1"/>
      <c r="K362" s="1"/>
      <c r="L362" s="1"/>
      <c r="M362" s="1"/>
      <c r="P362" s="87"/>
    </row>
    <row r="363">
      <c r="A363" s="686"/>
      <c r="B363" s="686"/>
      <c r="C363" s="463"/>
      <c r="D363" s="463"/>
      <c r="E363" s="1"/>
      <c r="F363" s="1"/>
      <c r="G363" s="1"/>
      <c r="H363" s="1"/>
      <c r="J363" s="1"/>
      <c r="K363" s="1"/>
      <c r="L363" s="1"/>
      <c r="M363" s="1"/>
      <c r="P363" s="87"/>
    </row>
    <row r="364">
      <c r="A364" s="686"/>
      <c r="B364" s="686"/>
      <c r="C364" s="463"/>
      <c r="D364" s="463"/>
      <c r="E364" s="1"/>
      <c r="F364" s="1"/>
      <c r="G364" s="1"/>
      <c r="H364" s="1"/>
      <c r="J364" s="1"/>
      <c r="K364" s="1"/>
      <c r="L364" s="1"/>
      <c r="M364" s="1"/>
      <c r="P364" s="87"/>
    </row>
    <row r="365">
      <c r="A365" s="686"/>
      <c r="B365" s="686"/>
      <c r="C365" s="463"/>
      <c r="D365" s="463"/>
      <c r="E365" s="1"/>
      <c r="F365" s="1"/>
      <c r="G365" s="1"/>
      <c r="H365" s="1"/>
      <c r="J365" s="1"/>
      <c r="K365" s="1"/>
      <c r="L365" s="1"/>
      <c r="M365" s="1"/>
      <c r="P365" s="87"/>
    </row>
    <row r="366">
      <c r="A366" s="686"/>
      <c r="B366" s="686"/>
      <c r="C366" s="463"/>
      <c r="D366" s="463"/>
      <c r="E366" s="1"/>
      <c r="F366" s="1"/>
      <c r="G366" s="1"/>
      <c r="H366" s="1"/>
      <c r="J366" s="1"/>
      <c r="K366" s="1"/>
      <c r="L366" s="1"/>
      <c r="M366" s="1"/>
      <c r="P366" s="87"/>
    </row>
    <row r="367">
      <c r="A367" s="686"/>
      <c r="B367" s="686"/>
      <c r="C367" s="463"/>
      <c r="D367" s="463"/>
      <c r="E367" s="1"/>
      <c r="F367" s="1"/>
      <c r="G367" s="1"/>
      <c r="H367" s="1"/>
      <c r="J367" s="1"/>
      <c r="K367" s="1"/>
      <c r="L367" s="1"/>
      <c r="M367" s="1"/>
      <c r="P367" s="87"/>
    </row>
    <row r="368">
      <c r="A368" s="686"/>
      <c r="B368" s="686"/>
      <c r="C368" s="463"/>
      <c r="D368" s="463"/>
      <c r="E368" s="1"/>
      <c r="F368" s="1"/>
      <c r="G368" s="1"/>
      <c r="H368" s="1"/>
      <c r="I368" s="1"/>
      <c r="J368" s="1"/>
      <c r="K368" s="1"/>
      <c r="L368" s="1"/>
      <c r="M368" s="1"/>
      <c r="P368" s="87"/>
    </row>
    <row r="369">
      <c r="A369" s="686"/>
      <c r="B369" s="686"/>
      <c r="C369" s="463"/>
      <c r="D369" s="463"/>
      <c r="E369" s="1"/>
      <c r="F369" s="1"/>
      <c r="G369" s="1"/>
      <c r="H369" s="1"/>
      <c r="J369" s="1"/>
      <c r="K369" s="1"/>
      <c r="L369" s="1"/>
      <c r="M369" s="1"/>
      <c r="P369" s="87"/>
    </row>
    <row r="370">
      <c r="A370" s="686"/>
      <c r="B370" s="686"/>
      <c r="C370" s="463"/>
      <c r="D370" s="463"/>
      <c r="E370" s="1"/>
      <c r="F370" s="1"/>
      <c r="G370" s="1"/>
      <c r="H370" s="1"/>
      <c r="J370" s="1"/>
      <c r="K370" s="1"/>
      <c r="L370" s="1"/>
      <c r="M370" s="1"/>
      <c r="P370" s="87"/>
    </row>
    <row r="371">
      <c r="A371" s="686"/>
      <c r="B371" s="686"/>
      <c r="C371" s="463"/>
      <c r="D371" s="463"/>
      <c r="E371" s="1"/>
      <c r="F371" s="1"/>
      <c r="G371" s="1"/>
      <c r="H371" s="1"/>
      <c r="J371" s="1"/>
      <c r="K371" s="1"/>
      <c r="L371" s="1"/>
      <c r="M371" s="1"/>
      <c r="P371" s="87"/>
    </row>
    <row r="372">
      <c r="A372" s="686"/>
      <c r="B372" s="686"/>
      <c r="C372" s="463"/>
      <c r="D372" s="463"/>
      <c r="E372" s="1"/>
      <c r="F372" s="1"/>
      <c r="G372" s="1"/>
      <c r="H372" s="1"/>
      <c r="J372" s="1"/>
      <c r="K372" s="1"/>
      <c r="L372" s="1"/>
      <c r="M372" s="1"/>
      <c r="P372" s="87"/>
    </row>
    <row r="373">
      <c r="A373" s="686"/>
      <c r="B373" s="686"/>
      <c r="C373" s="463"/>
      <c r="D373" s="463"/>
      <c r="E373" s="1"/>
      <c r="F373" s="1"/>
      <c r="G373" s="1"/>
      <c r="H373" s="1"/>
      <c r="J373" s="1"/>
      <c r="K373" s="1"/>
      <c r="L373" s="1"/>
      <c r="M373" s="1"/>
      <c r="P373" s="87"/>
    </row>
    <row r="374">
      <c r="A374" s="686"/>
      <c r="B374" s="686"/>
      <c r="C374" s="463"/>
      <c r="D374" s="463"/>
      <c r="E374" s="1"/>
      <c r="F374" s="1"/>
      <c r="G374" s="1"/>
      <c r="H374" s="1"/>
      <c r="J374" s="1"/>
      <c r="K374" s="1"/>
      <c r="L374" s="1"/>
      <c r="M374" s="1"/>
      <c r="P374" s="87"/>
    </row>
    <row r="375">
      <c r="A375" s="686"/>
      <c r="B375" s="686"/>
      <c r="C375" s="463"/>
      <c r="D375" s="463"/>
      <c r="E375" s="1"/>
      <c r="F375" s="1"/>
      <c r="G375" s="1"/>
      <c r="H375" s="1"/>
      <c r="J375" s="1"/>
      <c r="K375" s="1"/>
      <c r="L375" s="1"/>
      <c r="M375" s="1"/>
      <c r="P375" s="87"/>
    </row>
    <row r="376">
      <c r="A376" s="686"/>
      <c r="B376" s="686"/>
      <c r="C376" s="463"/>
      <c r="D376" s="463"/>
      <c r="E376" s="1"/>
      <c r="F376" s="1"/>
      <c r="G376" s="1"/>
      <c r="H376" s="1"/>
      <c r="J376" s="1"/>
      <c r="K376" s="1"/>
      <c r="L376" s="1"/>
      <c r="M376" s="1"/>
      <c r="P376" s="87"/>
    </row>
    <row r="377">
      <c r="A377" s="686"/>
      <c r="B377" s="686"/>
      <c r="C377" s="463"/>
      <c r="D377" s="463"/>
      <c r="E377" s="1"/>
      <c r="F377" s="1"/>
      <c r="G377" s="1"/>
      <c r="H377" s="1"/>
      <c r="J377" s="1"/>
      <c r="K377" s="1"/>
      <c r="L377" s="1"/>
      <c r="M377" s="1"/>
      <c r="P377" s="87"/>
    </row>
    <row r="378">
      <c r="A378" s="686"/>
      <c r="B378" s="686"/>
      <c r="C378" s="463"/>
      <c r="D378" s="463"/>
      <c r="E378" s="1"/>
      <c r="F378" s="1"/>
      <c r="G378" s="1"/>
      <c r="H378" s="1"/>
      <c r="J378" s="1"/>
      <c r="K378" s="1"/>
      <c r="L378" s="1"/>
      <c r="M378" s="1"/>
      <c r="P378" s="87"/>
    </row>
    <row r="379">
      <c r="A379" s="686"/>
      <c r="B379" s="686"/>
      <c r="C379" s="463"/>
      <c r="D379" s="463"/>
      <c r="E379" s="1"/>
      <c r="F379" s="1"/>
      <c r="G379" s="1"/>
      <c r="H379" s="1"/>
      <c r="J379" s="1"/>
      <c r="K379" s="1"/>
      <c r="L379" s="1"/>
      <c r="M379" s="1"/>
      <c r="P379" s="87"/>
    </row>
    <row r="380">
      <c r="A380" s="686"/>
      <c r="B380" s="686"/>
      <c r="C380" s="463"/>
      <c r="D380" s="463"/>
      <c r="E380" s="1"/>
      <c r="F380" s="1"/>
      <c r="G380" s="1"/>
      <c r="H380" s="1"/>
      <c r="J380" s="1"/>
      <c r="K380" s="1"/>
      <c r="L380" s="1"/>
      <c r="M380" s="1"/>
      <c r="P380" s="87"/>
    </row>
    <row r="381">
      <c r="A381" s="686"/>
      <c r="B381" s="686"/>
      <c r="C381" s="463"/>
      <c r="D381" s="463"/>
      <c r="E381" s="1"/>
      <c r="F381" s="1"/>
      <c r="G381" s="1"/>
      <c r="H381" s="1"/>
      <c r="J381" s="1"/>
      <c r="K381" s="1"/>
      <c r="L381" s="1"/>
      <c r="M381" s="1"/>
      <c r="P381" s="87"/>
    </row>
    <row r="382">
      <c r="A382" s="686"/>
      <c r="B382" s="686"/>
      <c r="C382" s="463"/>
      <c r="D382" s="463"/>
      <c r="E382" s="1"/>
      <c r="F382" s="1"/>
      <c r="G382" s="1"/>
      <c r="H382" s="1"/>
      <c r="J382" s="1"/>
      <c r="K382" s="1"/>
      <c r="L382" s="1"/>
      <c r="M382" s="1"/>
      <c r="P382" s="87"/>
    </row>
    <row r="383">
      <c r="A383" s="686"/>
      <c r="B383" s="686"/>
      <c r="C383" s="463"/>
      <c r="D383" s="463"/>
      <c r="E383" s="1"/>
      <c r="F383" s="1"/>
      <c r="G383" s="1"/>
      <c r="H383" s="1"/>
      <c r="J383" s="1"/>
      <c r="K383" s="1"/>
      <c r="L383" s="1"/>
      <c r="M383" s="1"/>
      <c r="P383" s="87"/>
    </row>
    <row r="384">
      <c r="A384" s="686"/>
      <c r="B384" s="686"/>
      <c r="C384" s="463"/>
      <c r="D384" s="463"/>
      <c r="E384" s="1"/>
      <c r="F384" s="1"/>
      <c r="G384" s="1"/>
      <c r="H384" s="1"/>
      <c r="J384" s="1"/>
      <c r="K384" s="1"/>
      <c r="L384" s="1"/>
      <c r="M384" s="1"/>
      <c r="P384" s="87"/>
    </row>
    <row r="385">
      <c r="A385" s="686"/>
      <c r="B385" s="686"/>
      <c r="C385" s="463"/>
      <c r="D385" s="463"/>
      <c r="E385" s="1"/>
      <c r="F385" s="1"/>
      <c r="G385" s="1"/>
      <c r="H385" s="1"/>
      <c r="J385" s="1"/>
      <c r="K385" s="1"/>
      <c r="L385" s="1"/>
      <c r="M385" s="1"/>
      <c r="P385" s="87"/>
    </row>
    <row r="386">
      <c r="A386" s="686"/>
      <c r="B386" s="686"/>
      <c r="C386" s="463"/>
      <c r="D386" s="463"/>
      <c r="E386" s="1"/>
      <c r="F386" s="1"/>
      <c r="G386" s="1"/>
      <c r="H386" s="1"/>
      <c r="J386" s="1"/>
      <c r="K386" s="1"/>
      <c r="L386" s="1"/>
      <c r="M386" s="1"/>
      <c r="P386" s="87"/>
    </row>
    <row r="387">
      <c r="A387" s="686"/>
      <c r="B387" s="686"/>
      <c r="C387" s="463"/>
      <c r="D387" s="463"/>
      <c r="E387" s="1"/>
      <c r="F387" s="1"/>
      <c r="G387" s="1"/>
      <c r="H387" s="1"/>
      <c r="J387" s="1"/>
      <c r="K387" s="1"/>
      <c r="L387" s="1"/>
      <c r="M387" s="1"/>
      <c r="P387" s="87"/>
    </row>
    <row r="388">
      <c r="A388" s="686"/>
      <c r="B388" s="686"/>
      <c r="C388" s="463"/>
      <c r="D388" s="463"/>
      <c r="E388" s="1"/>
      <c r="F388" s="1"/>
      <c r="G388" s="1"/>
      <c r="H388" s="1"/>
      <c r="J388" s="1"/>
      <c r="K388" s="1"/>
      <c r="L388" s="1"/>
      <c r="M388" s="1"/>
      <c r="P388" s="87"/>
    </row>
    <row r="389">
      <c r="A389" s="686"/>
      <c r="B389" s="686"/>
      <c r="C389" s="463"/>
      <c r="D389" s="463"/>
      <c r="E389" s="1"/>
      <c r="F389" s="1"/>
      <c r="G389" s="1"/>
      <c r="H389" s="1"/>
      <c r="J389" s="1"/>
      <c r="K389" s="1"/>
      <c r="L389" s="1"/>
      <c r="M389" s="1"/>
      <c r="P389" s="87"/>
    </row>
    <row r="390">
      <c r="A390" s="686"/>
      <c r="B390" s="686"/>
      <c r="C390" s="463"/>
      <c r="D390" s="463"/>
      <c r="E390" s="1"/>
      <c r="F390" s="1"/>
      <c r="G390" s="1"/>
      <c r="H390" s="1"/>
      <c r="J390" s="1"/>
      <c r="K390" s="1"/>
      <c r="L390" s="1"/>
      <c r="M390" s="1"/>
      <c r="P390" s="87"/>
    </row>
    <row r="391">
      <c r="A391" s="686"/>
      <c r="B391" s="686"/>
      <c r="C391" s="463"/>
      <c r="D391" s="463"/>
      <c r="E391" s="1"/>
      <c r="F391" s="1"/>
      <c r="G391" s="1"/>
      <c r="H391" s="1"/>
      <c r="J391" s="1"/>
      <c r="K391" s="1"/>
      <c r="L391" s="1"/>
      <c r="M391" s="1"/>
      <c r="P391" s="87"/>
    </row>
    <row r="392">
      <c r="A392" s="686"/>
      <c r="B392" s="686"/>
      <c r="C392" s="463"/>
      <c r="D392" s="463"/>
      <c r="E392" s="1"/>
      <c r="F392" s="1"/>
      <c r="G392" s="1"/>
      <c r="H392" s="1"/>
      <c r="J392" s="1"/>
      <c r="K392" s="1"/>
      <c r="L392" s="1"/>
      <c r="M392" s="1"/>
      <c r="P392" s="87"/>
    </row>
    <row r="393">
      <c r="A393" s="686"/>
      <c r="B393" s="686"/>
      <c r="C393" s="463"/>
      <c r="D393" s="463"/>
      <c r="E393" s="1"/>
      <c r="F393" s="1"/>
      <c r="G393" s="1"/>
      <c r="H393" s="1"/>
      <c r="J393" s="1"/>
      <c r="K393" s="1"/>
      <c r="L393" s="1"/>
      <c r="M393" s="1"/>
      <c r="P393" s="87"/>
    </row>
    <row r="394">
      <c r="A394" s="686"/>
      <c r="B394" s="686"/>
      <c r="C394" s="463"/>
      <c r="D394" s="463"/>
      <c r="E394" s="1"/>
      <c r="F394" s="1"/>
      <c r="G394" s="1"/>
      <c r="H394" s="1"/>
      <c r="J394" s="1"/>
      <c r="K394" s="1"/>
      <c r="L394" s="1"/>
      <c r="M394" s="1"/>
      <c r="P394" s="87"/>
    </row>
    <row r="395">
      <c r="A395" s="686"/>
      <c r="B395" s="686"/>
      <c r="C395" s="463"/>
      <c r="D395" s="463"/>
      <c r="E395" s="1"/>
      <c r="F395" s="1"/>
      <c r="G395" s="1"/>
      <c r="H395" s="1"/>
      <c r="J395" s="1"/>
      <c r="K395" s="1"/>
      <c r="L395" s="1"/>
      <c r="M395" s="1"/>
      <c r="P395" s="87"/>
    </row>
    <row r="396">
      <c r="A396" s="686"/>
      <c r="B396" s="686"/>
      <c r="C396" s="463"/>
      <c r="D396" s="463"/>
      <c r="E396" s="1"/>
      <c r="F396" s="1"/>
      <c r="G396" s="1"/>
      <c r="H396" s="1"/>
      <c r="J396" s="1"/>
      <c r="K396" s="1"/>
      <c r="L396" s="1"/>
      <c r="M396" s="1"/>
      <c r="P396" s="87"/>
    </row>
    <row r="397">
      <c r="A397" s="686"/>
      <c r="B397" s="686"/>
      <c r="C397" s="463"/>
      <c r="D397" s="463"/>
      <c r="E397" s="1"/>
      <c r="F397" s="1"/>
      <c r="G397" s="1"/>
      <c r="H397" s="1"/>
      <c r="J397" s="1"/>
      <c r="K397" s="1"/>
      <c r="L397" s="1"/>
      <c r="M397" s="1"/>
      <c r="P397" s="87"/>
    </row>
    <row r="398">
      <c r="A398" s="686"/>
      <c r="B398" s="686"/>
      <c r="C398" s="463"/>
      <c r="D398" s="463"/>
      <c r="E398" s="1"/>
      <c r="F398" s="1"/>
      <c r="G398" s="1"/>
      <c r="H398" s="1"/>
      <c r="J398" s="1"/>
      <c r="K398" s="1"/>
      <c r="L398" s="1"/>
      <c r="M398" s="1"/>
      <c r="P398" s="87"/>
    </row>
    <row r="399">
      <c r="A399" s="686"/>
      <c r="B399" s="686"/>
      <c r="C399" s="463"/>
      <c r="D399" s="463"/>
      <c r="E399" s="1"/>
      <c r="F399" s="1"/>
      <c r="G399" s="1"/>
      <c r="H399" s="1"/>
      <c r="J399" s="1"/>
      <c r="K399" s="1"/>
      <c r="L399" s="1"/>
      <c r="M399" s="1"/>
      <c r="P399" s="87"/>
    </row>
    <row r="400">
      <c r="A400" s="686"/>
      <c r="B400" s="686"/>
      <c r="C400" s="463"/>
      <c r="D400" s="463"/>
      <c r="E400" s="1"/>
      <c r="F400" s="1"/>
      <c r="G400" s="1"/>
      <c r="H400" s="1"/>
      <c r="J400" s="1"/>
      <c r="K400" s="1"/>
      <c r="L400" s="1"/>
      <c r="M400" s="1"/>
      <c r="P400" s="87"/>
    </row>
    <row r="401">
      <c r="A401" s="686"/>
      <c r="B401" s="686"/>
      <c r="C401" s="463"/>
      <c r="D401" s="463"/>
      <c r="E401" s="1"/>
      <c r="F401" s="1"/>
      <c r="G401" s="1"/>
      <c r="H401" s="1"/>
      <c r="J401" s="1"/>
      <c r="K401" s="1"/>
      <c r="L401" s="1"/>
      <c r="M401" s="1"/>
      <c r="P401" s="87"/>
    </row>
    <row r="402">
      <c r="A402" s="686"/>
      <c r="B402" s="686"/>
      <c r="C402" s="463"/>
      <c r="D402" s="463"/>
      <c r="E402" s="1"/>
      <c r="F402" s="1"/>
      <c r="G402" s="1"/>
      <c r="H402" s="1"/>
      <c r="J402" s="1"/>
      <c r="K402" s="1"/>
      <c r="L402" s="1"/>
      <c r="M402" s="1"/>
      <c r="P402" s="87"/>
    </row>
    <row r="403">
      <c r="A403" s="686"/>
      <c r="B403" s="686"/>
      <c r="C403" s="463"/>
      <c r="D403" s="463"/>
      <c r="E403" s="1"/>
      <c r="F403" s="1"/>
      <c r="G403" s="1"/>
      <c r="H403" s="1"/>
      <c r="J403" s="1"/>
      <c r="K403" s="1"/>
      <c r="L403" s="1"/>
      <c r="M403" s="1"/>
      <c r="P403" s="87"/>
    </row>
    <row r="404">
      <c r="A404" s="686"/>
      <c r="B404" s="686"/>
      <c r="C404" s="463"/>
      <c r="D404" s="463"/>
      <c r="E404" s="1"/>
      <c r="F404" s="1"/>
      <c r="G404" s="1"/>
      <c r="H404" s="1"/>
      <c r="J404" s="1"/>
      <c r="K404" s="1"/>
      <c r="L404" s="1"/>
      <c r="M404" s="1"/>
      <c r="P404" s="87"/>
    </row>
    <row r="405">
      <c r="A405" s="686"/>
      <c r="B405" s="686"/>
      <c r="C405" s="463"/>
      <c r="D405" s="463"/>
      <c r="E405" s="1"/>
      <c r="F405" s="1"/>
      <c r="G405" s="1"/>
      <c r="H405" s="1"/>
      <c r="J405" s="1"/>
      <c r="K405" s="1"/>
      <c r="L405" s="1"/>
      <c r="M405" s="1"/>
      <c r="P405" s="87"/>
    </row>
    <row r="406">
      <c r="A406" s="686"/>
      <c r="B406" s="686"/>
      <c r="C406" s="463"/>
      <c r="D406" s="463"/>
      <c r="E406" s="1"/>
      <c r="F406" s="1"/>
      <c r="G406" s="1"/>
      <c r="H406" s="1"/>
      <c r="J406" s="1"/>
      <c r="K406" s="1"/>
      <c r="L406" s="1"/>
      <c r="M406" s="1"/>
      <c r="P406" s="87"/>
    </row>
    <row r="407">
      <c r="A407" s="686"/>
      <c r="B407" s="686"/>
      <c r="C407" s="463"/>
      <c r="D407" s="463"/>
      <c r="E407" s="1"/>
      <c r="F407" s="1"/>
      <c r="G407" s="1"/>
      <c r="H407" s="1"/>
      <c r="J407" s="1"/>
      <c r="K407" s="1"/>
      <c r="L407" s="1"/>
      <c r="M407" s="1"/>
      <c r="P407" s="87"/>
    </row>
    <row r="408">
      <c r="A408" s="686"/>
      <c r="B408" s="686"/>
      <c r="C408" s="463"/>
      <c r="D408" s="463"/>
      <c r="E408" s="1"/>
      <c r="F408" s="1"/>
      <c r="G408" s="1"/>
      <c r="H408" s="1"/>
      <c r="J408" s="1"/>
      <c r="K408" s="1"/>
      <c r="L408" s="1"/>
      <c r="M408" s="1"/>
      <c r="P408" s="87"/>
    </row>
    <row r="409">
      <c r="A409" s="686"/>
      <c r="B409" s="686"/>
      <c r="C409" s="463"/>
      <c r="D409" s="463"/>
      <c r="E409" s="1"/>
      <c r="F409" s="1"/>
      <c r="G409" s="1"/>
      <c r="H409" s="1"/>
      <c r="J409" s="1"/>
      <c r="K409" s="1"/>
      <c r="L409" s="1"/>
      <c r="M409" s="1"/>
      <c r="P409" s="87"/>
    </row>
    <row r="410">
      <c r="A410" s="686"/>
      <c r="B410" s="686"/>
      <c r="C410" s="463"/>
      <c r="D410" s="463"/>
      <c r="E410" s="1"/>
      <c r="F410" s="1"/>
      <c r="G410" s="1"/>
      <c r="H410" s="1"/>
      <c r="J410" s="1"/>
      <c r="K410" s="1"/>
      <c r="L410" s="1"/>
      <c r="M410" s="1"/>
      <c r="P410" s="87"/>
    </row>
    <row r="411">
      <c r="A411" s="686"/>
      <c r="B411" s="686"/>
      <c r="C411" s="463"/>
      <c r="D411" s="463"/>
      <c r="E411" s="1"/>
      <c r="F411" s="1"/>
      <c r="G411" s="1"/>
      <c r="H411" s="1"/>
      <c r="J411" s="1"/>
      <c r="K411" s="1"/>
      <c r="L411" s="1"/>
      <c r="M411" s="1"/>
      <c r="P411" s="87"/>
    </row>
    <row r="412">
      <c r="A412" s="686"/>
      <c r="B412" s="686"/>
      <c r="C412" s="463"/>
      <c r="D412" s="463"/>
      <c r="E412" s="1"/>
      <c r="F412" s="1"/>
      <c r="G412" s="1"/>
      <c r="H412" s="1"/>
      <c r="J412" s="1"/>
      <c r="K412" s="1"/>
      <c r="L412" s="1"/>
      <c r="M412" s="1"/>
      <c r="P412" s="87"/>
    </row>
    <row r="413">
      <c r="A413" s="686"/>
      <c r="B413" s="686"/>
      <c r="C413" s="463"/>
      <c r="D413" s="463"/>
      <c r="E413" s="1"/>
      <c r="F413" s="1"/>
      <c r="G413" s="1"/>
      <c r="H413" s="1"/>
      <c r="J413" s="1"/>
      <c r="K413" s="1"/>
      <c r="L413" s="1"/>
      <c r="M413" s="1"/>
      <c r="P413" s="87"/>
    </row>
    <row r="414">
      <c r="A414" s="686"/>
      <c r="B414" s="686"/>
      <c r="C414" s="463"/>
      <c r="D414" s="463"/>
      <c r="E414" s="1"/>
      <c r="F414" s="1"/>
      <c r="G414" s="1"/>
      <c r="H414" s="1"/>
      <c r="J414" s="1"/>
      <c r="K414" s="1"/>
      <c r="L414" s="1"/>
      <c r="M414" s="1"/>
      <c r="P414" s="87"/>
    </row>
    <row r="415">
      <c r="A415" s="686"/>
      <c r="B415" s="686"/>
      <c r="C415" s="463"/>
      <c r="D415" s="463"/>
      <c r="E415" s="1"/>
      <c r="F415" s="1"/>
      <c r="G415" s="1"/>
      <c r="H415" s="1"/>
      <c r="J415" s="1"/>
      <c r="K415" s="1"/>
      <c r="L415" s="1"/>
      <c r="M415" s="1"/>
      <c r="P415" s="87"/>
    </row>
    <row r="416">
      <c r="A416" s="686"/>
      <c r="B416" s="686"/>
      <c r="C416" s="463"/>
      <c r="D416" s="463"/>
      <c r="E416" s="1"/>
      <c r="F416" s="1"/>
      <c r="G416" s="1"/>
      <c r="H416" s="1"/>
      <c r="J416" s="1"/>
      <c r="K416" s="1"/>
      <c r="L416" s="1"/>
      <c r="M416" s="1"/>
      <c r="P416" s="87"/>
    </row>
    <row r="417">
      <c r="A417" s="686"/>
      <c r="B417" s="686"/>
      <c r="C417" s="463"/>
      <c r="D417" s="463"/>
      <c r="E417" s="1"/>
      <c r="F417" s="1"/>
      <c r="G417" s="1"/>
      <c r="H417" s="1"/>
      <c r="J417" s="1"/>
      <c r="K417" s="1"/>
      <c r="L417" s="1"/>
      <c r="M417" s="1"/>
      <c r="P417" s="87"/>
    </row>
    <row r="418">
      <c r="A418" s="686"/>
      <c r="B418" s="686"/>
      <c r="C418" s="463"/>
      <c r="D418" s="463"/>
      <c r="E418" s="1"/>
      <c r="F418" s="1"/>
      <c r="G418" s="1"/>
      <c r="H418" s="1"/>
      <c r="J418" s="1"/>
      <c r="K418" s="1"/>
      <c r="L418" s="1"/>
      <c r="M418" s="1"/>
      <c r="P418" s="87"/>
    </row>
    <row r="419">
      <c r="A419" s="686"/>
      <c r="B419" s="686"/>
      <c r="C419" s="463"/>
      <c r="D419" s="463"/>
      <c r="E419" s="1"/>
      <c r="F419" s="1"/>
      <c r="G419" s="1"/>
      <c r="H419" s="1"/>
      <c r="J419" s="1"/>
      <c r="K419" s="1"/>
      <c r="L419" s="1"/>
      <c r="M419" s="1"/>
      <c r="P419" s="87"/>
    </row>
    <row r="420">
      <c r="A420" s="686"/>
      <c r="B420" s="686"/>
      <c r="C420" s="463"/>
      <c r="D420" s="463"/>
      <c r="E420" s="1"/>
      <c r="F420" s="1"/>
      <c r="G420" s="1"/>
      <c r="H420" s="1"/>
      <c r="J420" s="1"/>
      <c r="K420" s="1"/>
      <c r="L420" s="1"/>
      <c r="M420" s="1"/>
      <c r="P420" s="87"/>
    </row>
    <row r="421">
      <c r="A421" s="686"/>
      <c r="B421" s="686"/>
      <c r="C421" s="463"/>
      <c r="D421" s="463"/>
      <c r="E421" s="1"/>
      <c r="F421" s="1"/>
      <c r="G421" s="1"/>
      <c r="H421" s="1"/>
      <c r="J421" s="1"/>
      <c r="K421" s="1"/>
      <c r="L421" s="1"/>
      <c r="M421" s="1"/>
      <c r="P421" s="87"/>
    </row>
    <row r="422">
      <c r="A422" s="686"/>
      <c r="B422" s="686"/>
      <c r="C422" s="463"/>
      <c r="D422" s="463"/>
      <c r="E422" s="1"/>
      <c r="F422" s="1"/>
      <c r="G422" s="1"/>
      <c r="H422" s="1"/>
      <c r="J422" s="1"/>
      <c r="K422" s="1"/>
      <c r="L422" s="1"/>
      <c r="M422" s="1"/>
      <c r="P422" s="87"/>
    </row>
    <row r="423">
      <c r="A423" s="686"/>
      <c r="B423" s="686"/>
      <c r="C423" s="463"/>
      <c r="D423" s="463"/>
      <c r="E423" s="1"/>
      <c r="F423" s="1"/>
      <c r="G423" s="1"/>
      <c r="H423" s="1"/>
      <c r="J423" s="1"/>
      <c r="K423" s="1"/>
      <c r="L423" s="1"/>
      <c r="M423" s="1"/>
      <c r="P423" s="87"/>
    </row>
    <row r="424">
      <c r="A424" s="686"/>
      <c r="B424" s="686"/>
      <c r="C424" s="463"/>
      <c r="D424" s="463"/>
      <c r="E424" s="1"/>
      <c r="F424" s="1"/>
      <c r="G424" s="1"/>
      <c r="H424" s="1"/>
      <c r="J424" s="1"/>
      <c r="K424" s="1"/>
      <c r="L424" s="1"/>
      <c r="M424" s="1"/>
      <c r="P424" s="87"/>
    </row>
    <row r="425">
      <c r="A425" s="686"/>
      <c r="B425" s="686"/>
      <c r="C425" s="463"/>
      <c r="D425" s="463"/>
      <c r="E425" s="1"/>
      <c r="F425" s="1"/>
      <c r="G425" s="1"/>
      <c r="H425" s="1"/>
      <c r="J425" s="1"/>
      <c r="K425" s="1"/>
      <c r="L425" s="1"/>
      <c r="M425" s="1"/>
      <c r="P425" s="87"/>
    </row>
    <row r="426">
      <c r="A426" s="686"/>
      <c r="B426" s="686"/>
      <c r="C426" s="463"/>
      <c r="D426" s="463"/>
      <c r="E426" s="1"/>
      <c r="F426" s="1"/>
      <c r="G426" s="1"/>
      <c r="H426" s="1"/>
      <c r="J426" s="1"/>
      <c r="K426" s="1"/>
      <c r="L426" s="1"/>
      <c r="M426" s="1"/>
      <c r="P426" s="87"/>
    </row>
    <row r="427">
      <c r="A427" s="686"/>
      <c r="B427" s="686"/>
      <c r="C427" s="463"/>
      <c r="D427" s="463"/>
      <c r="E427" s="1"/>
      <c r="F427" s="1"/>
      <c r="G427" s="1"/>
      <c r="H427" s="1"/>
      <c r="J427" s="1"/>
      <c r="K427" s="1"/>
      <c r="L427" s="1"/>
      <c r="M427" s="1"/>
      <c r="P427" s="87"/>
    </row>
    <row r="428">
      <c r="A428" s="686"/>
      <c r="B428" s="686"/>
      <c r="C428" s="463"/>
      <c r="D428" s="463"/>
      <c r="E428" s="1"/>
      <c r="F428" s="1"/>
      <c r="G428" s="1"/>
      <c r="H428" s="1"/>
      <c r="J428" s="1"/>
      <c r="K428" s="1"/>
      <c r="L428" s="1"/>
      <c r="M428" s="1"/>
      <c r="P428" s="87"/>
    </row>
    <row r="429">
      <c r="A429" s="686"/>
      <c r="B429" s="686"/>
      <c r="C429" s="463"/>
      <c r="D429" s="463"/>
      <c r="E429" s="1"/>
      <c r="F429" s="1"/>
      <c r="G429" s="1"/>
      <c r="H429" s="1"/>
      <c r="J429" s="1"/>
      <c r="K429" s="1"/>
      <c r="L429" s="1"/>
      <c r="M429" s="1"/>
      <c r="P429" s="87"/>
    </row>
    <row r="430">
      <c r="A430" s="686"/>
      <c r="B430" s="686"/>
      <c r="C430" s="463"/>
      <c r="D430" s="463"/>
      <c r="E430" s="1"/>
      <c r="F430" s="1"/>
      <c r="G430" s="1"/>
      <c r="H430" s="1"/>
      <c r="J430" s="1"/>
      <c r="K430" s="1"/>
      <c r="L430" s="1"/>
      <c r="M430" s="1"/>
      <c r="P430" s="87"/>
    </row>
    <row r="431">
      <c r="A431" s="686"/>
      <c r="B431" s="686"/>
      <c r="E431" s="1"/>
      <c r="F431" s="1"/>
      <c r="G431" s="1"/>
      <c r="H431" s="1"/>
      <c r="J431" s="1"/>
      <c r="K431" s="1"/>
      <c r="L431" s="1"/>
      <c r="M431" s="1"/>
      <c r="P431" s="87"/>
    </row>
    <row r="432">
      <c r="P432" s="87"/>
    </row>
    <row r="433">
      <c r="P433" s="87"/>
    </row>
    <row r="434">
      <c r="P434" s="87"/>
    </row>
    <row r="435">
      <c r="P435" s="87"/>
    </row>
    <row r="436">
      <c r="P436" s="87"/>
    </row>
    <row r="437">
      <c r="P437" s="87"/>
    </row>
    <row r="438">
      <c r="P438" s="87"/>
    </row>
    <row r="439">
      <c r="P439" s="87"/>
    </row>
    <row r="440">
      <c r="P440" s="87"/>
    </row>
    <row r="441">
      <c r="P441" s="87"/>
    </row>
    <row r="442">
      <c r="P442" s="87"/>
    </row>
    <row r="443">
      <c r="P443" s="87"/>
    </row>
    <row r="444">
      <c r="P444" s="87"/>
    </row>
    <row r="445">
      <c r="P445" s="87"/>
    </row>
    <row r="446">
      <c r="P446" s="87"/>
    </row>
    <row r="447">
      <c r="P447" s="87"/>
    </row>
    <row r="448">
      <c r="P448" s="87"/>
    </row>
    <row r="449">
      <c r="P449" s="87"/>
    </row>
    <row r="450">
      <c r="P450" s="87"/>
    </row>
    <row r="451">
      <c r="P451" s="87"/>
    </row>
    <row r="452">
      <c r="P452" s="87"/>
    </row>
    <row r="453">
      <c r="P453" s="87"/>
    </row>
    <row r="454">
      <c r="P454" s="87"/>
    </row>
    <row r="455">
      <c r="P455" s="87"/>
    </row>
    <row r="456">
      <c r="P456" s="87"/>
    </row>
    <row r="457">
      <c r="P457" s="87"/>
    </row>
    <row r="458">
      <c r="P458" s="87"/>
    </row>
    <row r="459">
      <c r="P459" s="87"/>
    </row>
    <row r="460">
      <c r="P460" s="87"/>
    </row>
    <row r="461">
      <c r="P461" s="87"/>
    </row>
    <row r="462">
      <c r="P462" s="87"/>
    </row>
    <row r="463">
      <c r="P463" s="87"/>
    </row>
    <row r="464">
      <c r="P464" s="87"/>
    </row>
    <row r="465">
      <c r="P465" s="87"/>
    </row>
    <row r="466">
      <c r="P466" s="87"/>
    </row>
    <row r="467">
      <c r="P467" s="87"/>
    </row>
    <row r="468">
      <c r="P468" s="87"/>
    </row>
    <row r="469">
      <c r="P469" s="87"/>
    </row>
    <row r="470">
      <c r="P470" s="87"/>
    </row>
    <row r="471">
      <c r="P471" s="87"/>
    </row>
    <row r="472">
      <c r="P472" s="87"/>
    </row>
    <row r="473">
      <c r="P473" s="87"/>
    </row>
    <row r="474">
      <c r="P474" s="87"/>
    </row>
    <row r="475">
      <c r="P475" s="87"/>
    </row>
    <row r="476">
      <c r="P476" s="87"/>
    </row>
    <row r="477">
      <c r="P477" s="87"/>
    </row>
    <row r="478">
      <c r="P478" s="87"/>
    </row>
    <row r="479">
      <c r="P479" s="87"/>
    </row>
    <row r="480">
      <c r="P480" s="87"/>
    </row>
    <row r="481">
      <c r="P481" s="87"/>
    </row>
    <row r="482">
      <c r="P482" s="87"/>
    </row>
    <row r="483">
      <c r="P483" s="87"/>
    </row>
    <row r="484">
      <c r="P484" s="87"/>
    </row>
    <row r="485">
      <c r="P485" s="87"/>
    </row>
    <row r="486">
      <c r="P486" s="87"/>
    </row>
    <row r="487">
      <c r="P487" s="87"/>
    </row>
    <row r="488">
      <c r="P488" s="87"/>
    </row>
    <row r="489">
      <c r="P489" s="87"/>
    </row>
    <row r="490">
      <c r="P490" s="87"/>
    </row>
    <row r="491">
      <c r="P491" s="87"/>
    </row>
    <row r="492">
      <c r="P492" s="87"/>
    </row>
    <row r="493">
      <c r="P493" s="87"/>
    </row>
    <row r="494">
      <c r="P494" s="87"/>
    </row>
    <row r="495">
      <c r="P495" s="87"/>
    </row>
    <row r="496">
      <c r="P496" s="87"/>
    </row>
    <row r="497">
      <c r="P497" s="87"/>
    </row>
    <row r="498">
      <c r="P498" s="87"/>
    </row>
    <row r="499">
      <c r="P499" s="87"/>
    </row>
    <row r="500">
      <c r="P500" s="87"/>
    </row>
    <row r="501">
      <c r="P501" s="87"/>
    </row>
    <row r="502">
      <c r="P502" s="87"/>
    </row>
    <row r="503">
      <c r="P503" s="87"/>
    </row>
    <row r="504">
      <c r="P504" s="87"/>
    </row>
    <row r="505">
      <c r="P505" s="87"/>
    </row>
    <row r="506">
      <c r="P506" s="87"/>
    </row>
    <row r="507">
      <c r="P507" s="87"/>
    </row>
    <row r="508">
      <c r="P508" s="87"/>
    </row>
    <row r="509">
      <c r="P509" s="87"/>
    </row>
    <row r="510">
      <c r="P510" s="87"/>
    </row>
    <row r="511">
      <c r="P511" s="87"/>
    </row>
    <row r="512">
      <c r="P512" s="87"/>
    </row>
    <row r="513">
      <c r="P513" s="87"/>
    </row>
    <row r="514">
      <c r="P514" s="87"/>
    </row>
    <row r="515">
      <c r="P515" s="87"/>
    </row>
    <row r="516">
      <c r="P516" s="87"/>
    </row>
    <row r="517">
      <c r="P517" s="87"/>
    </row>
    <row r="518">
      <c r="P518" s="87"/>
    </row>
    <row r="519">
      <c r="P519" s="87"/>
    </row>
    <row r="520">
      <c r="P520" s="87"/>
    </row>
    <row r="521">
      <c r="P521" s="87"/>
    </row>
    <row r="522">
      <c r="P522" s="87"/>
    </row>
    <row r="523">
      <c r="P523" s="87"/>
    </row>
    <row r="524">
      <c r="P524" s="87"/>
    </row>
    <row r="525">
      <c r="P525" s="87"/>
    </row>
    <row r="526">
      <c r="P526" s="87"/>
    </row>
    <row r="527">
      <c r="P527" s="87"/>
    </row>
    <row r="528">
      <c r="P528" s="87"/>
    </row>
    <row r="529">
      <c r="P529" s="87"/>
    </row>
    <row r="530">
      <c r="P530" s="87"/>
    </row>
    <row r="531">
      <c r="P531" s="87"/>
    </row>
    <row r="532">
      <c r="P532" s="87"/>
    </row>
    <row r="533">
      <c r="P533" s="87"/>
    </row>
    <row r="534">
      <c r="P534" s="87"/>
    </row>
    <row r="535">
      <c r="P535" s="87"/>
    </row>
    <row r="536">
      <c r="P536" s="87"/>
    </row>
    <row r="537">
      <c r="P537" s="87"/>
    </row>
    <row r="538">
      <c r="P538" s="87"/>
    </row>
    <row r="539">
      <c r="P539" s="87"/>
    </row>
    <row r="540">
      <c r="P540" s="87"/>
    </row>
    <row r="541">
      <c r="P541" s="87"/>
    </row>
    <row r="542">
      <c r="P542" s="87"/>
    </row>
    <row r="543">
      <c r="P543" s="87"/>
    </row>
    <row r="544">
      <c r="P544" s="87"/>
    </row>
    <row r="545">
      <c r="P545" s="87"/>
    </row>
    <row r="546">
      <c r="P546" s="87"/>
    </row>
    <row r="547">
      <c r="P547" s="87"/>
    </row>
    <row r="548">
      <c r="P548" s="87"/>
    </row>
    <row r="549">
      <c r="P549" s="87"/>
    </row>
    <row r="550">
      <c r="P550" s="87"/>
    </row>
    <row r="551">
      <c r="P551" s="87"/>
    </row>
    <row r="552">
      <c r="P552" s="87"/>
    </row>
    <row r="553">
      <c r="P553" s="87"/>
    </row>
    <row r="554">
      <c r="P554" s="87"/>
    </row>
    <row r="555">
      <c r="P555" s="87"/>
    </row>
    <row r="556">
      <c r="P556" s="87"/>
    </row>
    <row r="557">
      <c r="P557" s="87"/>
    </row>
    <row r="558">
      <c r="P558" s="87"/>
    </row>
    <row r="559">
      <c r="P559" s="87"/>
    </row>
    <row r="560">
      <c r="P560" s="87"/>
    </row>
    <row r="561">
      <c r="P561" s="87"/>
    </row>
    <row r="562">
      <c r="P562" s="87"/>
    </row>
    <row r="563">
      <c r="P563" s="87"/>
    </row>
    <row r="564">
      <c r="P564" s="87"/>
    </row>
    <row r="565">
      <c r="P565" s="87"/>
    </row>
    <row r="566">
      <c r="P566" s="87"/>
    </row>
    <row r="567">
      <c r="P567" s="87"/>
    </row>
    <row r="568">
      <c r="P568" s="87"/>
    </row>
    <row r="569">
      <c r="P569" s="87"/>
    </row>
    <row r="570">
      <c r="P570" s="87"/>
    </row>
    <row r="571">
      <c r="P571" s="87"/>
    </row>
    <row r="572">
      <c r="P572" s="87"/>
    </row>
    <row r="573">
      <c r="P573" s="87"/>
    </row>
    <row r="574">
      <c r="P574" s="87"/>
    </row>
    <row r="575">
      <c r="P575" s="87"/>
    </row>
    <row r="576">
      <c r="P576" s="87"/>
    </row>
    <row r="577">
      <c r="P577" s="87"/>
    </row>
    <row r="578">
      <c r="P578" s="87"/>
    </row>
    <row r="579">
      <c r="P579" s="87"/>
    </row>
    <row r="580">
      <c r="P580" s="87"/>
    </row>
    <row r="581">
      <c r="P581" s="87"/>
    </row>
    <row r="582">
      <c r="P582" s="87"/>
    </row>
    <row r="583">
      <c r="P583" s="87"/>
    </row>
    <row r="584">
      <c r="P584" s="87"/>
    </row>
    <row r="585">
      <c r="P585" s="87"/>
    </row>
    <row r="586">
      <c r="P586" s="87"/>
    </row>
    <row r="587">
      <c r="P587" s="87"/>
    </row>
    <row r="588">
      <c r="P588" s="87"/>
    </row>
    <row r="589">
      <c r="P589" s="87"/>
    </row>
    <row r="590">
      <c r="P590" s="87"/>
    </row>
    <row r="591">
      <c r="P591" s="87"/>
    </row>
    <row r="592">
      <c r="P592" s="87"/>
    </row>
    <row r="593">
      <c r="P593" s="87"/>
    </row>
    <row r="594">
      <c r="P594" s="87"/>
    </row>
    <row r="595">
      <c r="P595" s="87"/>
    </row>
    <row r="596">
      <c r="P596" s="87"/>
    </row>
    <row r="597">
      <c r="P597" s="87"/>
    </row>
    <row r="598">
      <c r="P598" s="87"/>
    </row>
    <row r="599">
      <c r="P599" s="87"/>
    </row>
    <row r="600">
      <c r="P600" s="87"/>
    </row>
    <row r="601">
      <c r="P601" s="87"/>
    </row>
    <row r="602">
      <c r="P602" s="87"/>
    </row>
    <row r="603">
      <c r="P603" s="87"/>
    </row>
    <row r="604">
      <c r="P604" s="87"/>
    </row>
    <row r="605">
      <c r="P605" s="87"/>
    </row>
    <row r="606">
      <c r="P606" s="87"/>
    </row>
    <row r="607">
      <c r="P607" s="87"/>
    </row>
    <row r="608">
      <c r="P608" s="87"/>
    </row>
    <row r="609">
      <c r="P609" s="87"/>
    </row>
    <row r="610">
      <c r="P610" s="87"/>
    </row>
    <row r="611">
      <c r="P611" s="87"/>
    </row>
    <row r="612">
      <c r="P612" s="87"/>
    </row>
    <row r="613">
      <c r="P613" s="87"/>
    </row>
    <row r="614">
      <c r="P614" s="87"/>
    </row>
    <row r="615">
      <c r="P615" s="87"/>
    </row>
    <row r="616">
      <c r="P616" s="87"/>
    </row>
    <row r="617">
      <c r="P617" s="87"/>
    </row>
    <row r="618">
      <c r="P618" s="87"/>
    </row>
    <row r="619">
      <c r="P619" s="87"/>
    </row>
    <row r="620">
      <c r="P620" s="87"/>
    </row>
    <row r="621">
      <c r="P621" s="87"/>
    </row>
    <row r="622">
      <c r="P622" s="87"/>
    </row>
    <row r="623">
      <c r="P623" s="87"/>
    </row>
    <row r="624">
      <c r="P624" s="87"/>
    </row>
    <row r="625">
      <c r="P625" s="87"/>
    </row>
    <row r="626">
      <c r="P626" s="87"/>
    </row>
    <row r="627">
      <c r="P627" s="87"/>
    </row>
    <row r="628">
      <c r="P628" s="87"/>
    </row>
    <row r="629">
      <c r="P629" s="87"/>
    </row>
    <row r="630">
      <c r="P630" s="87"/>
    </row>
    <row r="631">
      <c r="P631" s="87"/>
    </row>
    <row r="632">
      <c r="P632" s="87"/>
    </row>
    <row r="633">
      <c r="P633" s="87"/>
    </row>
    <row r="634">
      <c r="P634" s="87"/>
    </row>
    <row r="635">
      <c r="P635" s="87"/>
    </row>
    <row r="636">
      <c r="P636" s="87"/>
    </row>
    <row r="637">
      <c r="P637" s="87"/>
    </row>
    <row r="638">
      <c r="P638" s="87"/>
    </row>
    <row r="639">
      <c r="P639" s="87"/>
    </row>
    <row r="640">
      <c r="P640" s="87"/>
    </row>
    <row r="641">
      <c r="P641" s="87"/>
    </row>
    <row r="642">
      <c r="P642" s="87"/>
    </row>
    <row r="643">
      <c r="P643" s="87"/>
    </row>
    <row r="644">
      <c r="P644" s="87"/>
    </row>
    <row r="645">
      <c r="P645" s="87"/>
    </row>
    <row r="646">
      <c r="P646" s="87"/>
    </row>
    <row r="647">
      <c r="P647" s="87"/>
    </row>
    <row r="648">
      <c r="P648" s="87"/>
    </row>
    <row r="649">
      <c r="P649" s="87"/>
    </row>
    <row r="650">
      <c r="P650" s="87"/>
    </row>
    <row r="651">
      <c r="P651" s="87"/>
    </row>
    <row r="652">
      <c r="P652" s="87"/>
    </row>
    <row r="653">
      <c r="P653" s="87"/>
    </row>
    <row r="654">
      <c r="P654" s="87"/>
    </row>
    <row r="655">
      <c r="P655" s="87"/>
    </row>
    <row r="656">
      <c r="P656" s="87"/>
    </row>
    <row r="657">
      <c r="P657" s="87"/>
    </row>
    <row r="658">
      <c r="P658" s="87"/>
    </row>
    <row r="659">
      <c r="P659" s="87"/>
    </row>
    <row r="660">
      <c r="P660" s="87"/>
    </row>
    <row r="661">
      <c r="P661" s="87"/>
    </row>
    <row r="662">
      <c r="P662" s="87"/>
    </row>
    <row r="663">
      <c r="P663" s="87"/>
    </row>
    <row r="664">
      <c r="P664" s="87"/>
    </row>
    <row r="665">
      <c r="P665" s="87"/>
    </row>
    <row r="666">
      <c r="P666" s="87"/>
    </row>
    <row r="667">
      <c r="P667" s="87"/>
    </row>
    <row r="668">
      <c r="P668" s="87"/>
    </row>
    <row r="669">
      <c r="P669" s="87"/>
    </row>
    <row r="670">
      <c r="P670" s="87"/>
    </row>
    <row r="671">
      <c r="P671" s="87"/>
    </row>
    <row r="672">
      <c r="P672" s="87"/>
    </row>
    <row r="673">
      <c r="P673" s="87"/>
    </row>
    <row r="674">
      <c r="P674" s="87"/>
    </row>
    <row r="675">
      <c r="P675" s="87"/>
    </row>
    <row r="676">
      <c r="P676" s="87"/>
    </row>
    <row r="677">
      <c r="P677" s="87"/>
    </row>
    <row r="678">
      <c r="P678" s="87"/>
    </row>
    <row r="679">
      <c r="P679" s="87"/>
    </row>
    <row r="680">
      <c r="P680" s="87"/>
    </row>
    <row r="681">
      <c r="P681" s="87"/>
    </row>
    <row r="682">
      <c r="P682" s="87"/>
    </row>
    <row r="683">
      <c r="P683" s="87"/>
    </row>
    <row r="684">
      <c r="P684" s="87"/>
    </row>
    <row r="685">
      <c r="P685" s="87"/>
    </row>
    <row r="686">
      <c r="P686" s="87"/>
    </row>
    <row r="687">
      <c r="P687" s="87"/>
    </row>
    <row r="688">
      <c r="P688" s="87"/>
    </row>
    <row r="689">
      <c r="P689" s="87"/>
    </row>
    <row r="690">
      <c r="P690" s="87"/>
    </row>
    <row r="691">
      <c r="P691" s="87"/>
    </row>
    <row r="692">
      <c r="P692" s="87"/>
    </row>
    <row r="693">
      <c r="P693" s="87"/>
    </row>
    <row r="694">
      <c r="P694" s="87"/>
    </row>
    <row r="695">
      <c r="P695" s="87"/>
    </row>
    <row r="696">
      <c r="P696" s="87"/>
    </row>
    <row r="697">
      <c r="P697" s="87"/>
    </row>
    <row r="698">
      <c r="P698" s="87"/>
    </row>
    <row r="699">
      <c r="P699" s="87"/>
    </row>
    <row r="700">
      <c r="P700" s="87"/>
    </row>
    <row r="701">
      <c r="P701" s="87"/>
    </row>
    <row r="702">
      <c r="P702" s="87"/>
    </row>
    <row r="703">
      <c r="P703" s="87"/>
    </row>
    <row r="704">
      <c r="P704" s="87"/>
    </row>
    <row r="705">
      <c r="P705" s="87"/>
    </row>
    <row r="706">
      <c r="P706" s="87"/>
    </row>
    <row r="707">
      <c r="P707" s="87"/>
    </row>
    <row r="708">
      <c r="P708" s="87"/>
    </row>
    <row r="709">
      <c r="P709" s="87"/>
    </row>
    <row r="710">
      <c r="P710" s="87"/>
    </row>
    <row r="711">
      <c r="P711" s="87"/>
    </row>
    <row r="712">
      <c r="P712" s="87"/>
    </row>
    <row r="713">
      <c r="P713" s="87"/>
    </row>
    <row r="714">
      <c r="P714" s="87"/>
    </row>
    <row r="715">
      <c r="P715" s="87"/>
    </row>
    <row r="716">
      <c r="P716" s="87"/>
    </row>
    <row r="717">
      <c r="P717" s="87"/>
    </row>
    <row r="718">
      <c r="P718" s="87"/>
    </row>
    <row r="719">
      <c r="P719" s="87"/>
    </row>
    <row r="720">
      <c r="P720" s="87"/>
    </row>
    <row r="721">
      <c r="P721" s="87"/>
    </row>
    <row r="722">
      <c r="P722" s="87"/>
    </row>
    <row r="723">
      <c r="P723" s="87"/>
    </row>
    <row r="724">
      <c r="P724" s="87"/>
    </row>
    <row r="725">
      <c r="P725" s="87"/>
    </row>
    <row r="726">
      <c r="P726" s="87"/>
    </row>
    <row r="727">
      <c r="P727" s="87"/>
    </row>
    <row r="728">
      <c r="P728" s="87"/>
    </row>
    <row r="729">
      <c r="P729" s="87"/>
    </row>
    <row r="730">
      <c r="P730" s="87"/>
    </row>
    <row r="731">
      <c r="P731" s="87"/>
    </row>
    <row r="732">
      <c r="P732" s="87"/>
    </row>
    <row r="733">
      <c r="P733" s="87"/>
    </row>
    <row r="734">
      <c r="P734" s="87"/>
    </row>
    <row r="735">
      <c r="P735" s="87"/>
    </row>
    <row r="736">
      <c r="P736" s="87"/>
    </row>
    <row r="737">
      <c r="P737" s="87"/>
    </row>
    <row r="738">
      <c r="P738" s="87"/>
    </row>
    <row r="739">
      <c r="P739" s="87"/>
    </row>
    <row r="740">
      <c r="P740" s="87"/>
    </row>
    <row r="741">
      <c r="P741" s="87"/>
    </row>
    <row r="742">
      <c r="P742" s="87"/>
    </row>
    <row r="743">
      <c r="P743" s="87"/>
    </row>
    <row r="744">
      <c r="P744" s="87"/>
    </row>
    <row r="745">
      <c r="P745" s="87"/>
    </row>
    <row r="746">
      <c r="P746" s="87"/>
    </row>
    <row r="747">
      <c r="P747" s="87"/>
    </row>
    <row r="748">
      <c r="P748" s="87"/>
    </row>
    <row r="749">
      <c r="P749" s="87"/>
    </row>
    <row r="750">
      <c r="P750" s="87"/>
    </row>
    <row r="751">
      <c r="P751" s="87"/>
    </row>
    <row r="752">
      <c r="P752" s="87"/>
    </row>
    <row r="753">
      <c r="P753" s="87"/>
    </row>
    <row r="754">
      <c r="P754" s="87"/>
    </row>
    <row r="755">
      <c r="P755" s="87"/>
    </row>
    <row r="756">
      <c r="P756" s="87"/>
    </row>
    <row r="757">
      <c r="P757" s="87"/>
    </row>
    <row r="758">
      <c r="P758" s="87"/>
    </row>
    <row r="759">
      <c r="P759" s="87"/>
    </row>
    <row r="760">
      <c r="P760" s="87"/>
    </row>
    <row r="761">
      <c r="P761" s="87"/>
    </row>
    <row r="762">
      <c r="P762" s="87"/>
    </row>
    <row r="763">
      <c r="P763" s="87"/>
    </row>
    <row r="764">
      <c r="P764" s="87"/>
    </row>
    <row r="765">
      <c r="P765" s="87"/>
    </row>
    <row r="766">
      <c r="P766" s="87"/>
    </row>
    <row r="767">
      <c r="P767" s="87"/>
    </row>
    <row r="768">
      <c r="P768" s="87"/>
    </row>
    <row r="769">
      <c r="P769" s="87"/>
    </row>
    <row r="770">
      <c r="P770" s="87"/>
    </row>
    <row r="771">
      <c r="P771" s="87"/>
    </row>
    <row r="772">
      <c r="P772" s="87"/>
    </row>
    <row r="773">
      <c r="P773" s="87"/>
    </row>
    <row r="774">
      <c r="P774" s="87"/>
    </row>
    <row r="775">
      <c r="P775" s="87"/>
    </row>
    <row r="776">
      <c r="P776" s="87"/>
    </row>
    <row r="777">
      <c r="P777" s="87"/>
    </row>
    <row r="778">
      <c r="P778" s="87"/>
    </row>
    <row r="779">
      <c r="P779" s="87"/>
    </row>
    <row r="780">
      <c r="P780" s="87"/>
    </row>
    <row r="781">
      <c r="P781" s="87"/>
    </row>
    <row r="782">
      <c r="P782" s="87"/>
    </row>
    <row r="783">
      <c r="P783" s="87"/>
    </row>
    <row r="784">
      <c r="P784" s="87"/>
    </row>
    <row r="785">
      <c r="P785" s="87"/>
    </row>
    <row r="786">
      <c r="P786" s="87"/>
    </row>
    <row r="787">
      <c r="P787" s="87"/>
    </row>
    <row r="788">
      <c r="P788" s="87"/>
    </row>
    <row r="789">
      <c r="P789" s="87"/>
    </row>
    <row r="790">
      <c r="P790" s="87"/>
    </row>
    <row r="791">
      <c r="P791" s="87"/>
    </row>
    <row r="792">
      <c r="P792" s="87"/>
    </row>
    <row r="793">
      <c r="P793" s="87"/>
    </row>
    <row r="794">
      <c r="P794" s="87"/>
    </row>
    <row r="795">
      <c r="P795" s="87"/>
    </row>
    <row r="796">
      <c r="P796" s="87"/>
    </row>
    <row r="797">
      <c r="P797" s="87"/>
    </row>
    <row r="798">
      <c r="P798" s="87"/>
    </row>
    <row r="799">
      <c r="P799" s="87"/>
    </row>
    <row r="800">
      <c r="P800" s="87"/>
    </row>
    <row r="801">
      <c r="P801" s="87"/>
    </row>
    <row r="802">
      <c r="P802" s="87"/>
    </row>
    <row r="803">
      <c r="P803" s="87"/>
    </row>
    <row r="804">
      <c r="P804" s="87"/>
    </row>
    <row r="805">
      <c r="P805" s="87"/>
    </row>
    <row r="806">
      <c r="P806" s="87"/>
    </row>
    <row r="807">
      <c r="P807" s="87"/>
    </row>
    <row r="808">
      <c r="P808" s="87"/>
    </row>
    <row r="809">
      <c r="P809" s="87"/>
    </row>
    <row r="810">
      <c r="P810" s="87"/>
    </row>
    <row r="811">
      <c r="P811" s="87"/>
    </row>
    <row r="812">
      <c r="P812" s="87"/>
    </row>
    <row r="813">
      <c r="P813" s="87"/>
    </row>
    <row r="814">
      <c r="P814" s="87"/>
    </row>
    <row r="815">
      <c r="P815" s="87"/>
    </row>
    <row r="816">
      <c r="P816" s="87"/>
    </row>
    <row r="817">
      <c r="P817" s="87"/>
    </row>
    <row r="818">
      <c r="P818" s="87"/>
    </row>
    <row r="819">
      <c r="P819" s="87"/>
    </row>
    <row r="820">
      <c r="P820" s="87"/>
    </row>
    <row r="821">
      <c r="P821" s="87"/>
    </row>
    <row r="822">
      <c r="P822" s="87"/>
    </row>
    <row r="823">
      <c r="P823" s="87"/>
    </row>
    <row r="824">
      <c r="P824" s="87"/>
    </row>
    <row r="825">
      <c r="P825" s="87"/>
    </row>
    <row r="826">
      <c r="P826" s="87"/>
    </row>
    <row r="827">
      <c r="P827" s="87"/>
    </row>
    <row r="828">
      <c r="P828" s="87"/>
    </row>
    <row r="829">
      <c r="P829" s="87"/>
    </row>
    <row r="830">
      <c r="P830" s="87"/>
    </row>
    <row r="831">
      <c r="P831" s="87"/>
    </row>
    <row r="832">
      <c r="P832" s="87"/>
    </row>
    <row r="833">
      <c r="P833" s="87"/>
    </row>
    <row r="834">
      <c r="P834" s="87"/>
    </row>
    <row r="835">
      <c r="P835" s="87"/>
    </row>
    <row r="836">
      <c r="P836" s="87"/>
    </row>
    <row r="837">
      <c r="P837" s="87"/>
    </row>
    <row r="838">
      <c r="P838" s="87"/>
    </row>
    <row r="839">
      <c r="P839" s="87"/>
    </row>
    <row r="840">
      <c r="P840" s="87"/>
    </row>
    <row r="841">
      <c r="P841" s="87"/>
    </row>
    <row r="842">
      <c r="P842" s="87"/>
    </row>
    <row r="843">
      <c r="P843" s="87"/>
    </row>
    <row r="844">
      <c r="P844" s="87"/>
    </row>
    <row r="845">
      <c r="P845" s="87"/>
    </row>
    <row r="846">
      <c r="P846" s="87"/>
    </row>
    <row r="847">
      <c r="P847" s="87"/>
    </row>
    <row r="848">
      <c r="P848" s="87"/>
    </row>
    <row r="849">
      <c r="P849" s="87"/>
    </row>
    <row r="850">
      <c r="P850" s="87"/>
    </row>
    <row r="851">
      <c r="P851" s="87"/>
    </row>
    <row r="852">
      <c r="P852" s="87"/>
    </row>
    <row r="853">
      <c r="P853" s="87"/>
    </row>
    <row r="854">
      <c r="P854" s="87"/>
    </row>
    <row r="855">
      <c r="P855" s="87"/>
    </row>
    <row r="856">
      <c r="P856" s="87"/>
    </row>
    <row r="857">
      <c r="P857" s="87"/>
    </row>
    <row r="858">
      <c r="P858" s="87"/>
    </row>
    <row r="859">
      <c r="P859" s="87"/>
    </row>
    <row r="860">
      <c r="P860" s="87"/>
    </row>
    <row r="861">
      <c r="P861" s="87"/>
    </row>
    <row r="862">
      <c r="P862" s="87"/>
    </row>
    <row r="863">
      <c r="P863" s="87"/>
    </row>
    <row r="864">
      <c r="P864" s="87"/>
    </row>
    <row r="865">
      <c r="P865" s="87"/>
    </row>
    <row r="866">
      <c r="P866" s="87"/>
    </row>
    <row r="867">
      <c r="P867" s="87"/>
    </row>
    <row r="868">
      <c r="P868" s="87"/>
    </row>
    <row r="869">
      <c r="P869" s="87"/>
    </row>
    <row r="870">
      <c r="P870" s="87"/>
    </row>
    <row r="871">
      <c r="P871" s="87"/>
    </row>
    <row r="872">
      <c r="P872" s="87"/>
    </row>
    <row r="873">
      <c r="P873" s="87"/>
    </row>
    <row r="874">
      <c r="P874" s="87"/>
    </row>
    <row r="875">
      <c r="P875" s="87"/>
    </row>
    <row r="876">
      <c r="P876" s="87"/>
    </row>
    <row r="877">
      <c r="P877" s="87"/>
    </row>
    <row r="878">
      <c r="P878" s="87"/>
    </row>
    <row r="879">
      <c r="P879" s="87"/>
    </row>
    <row r="880">
      <c r="P880" s="87"/>
    </row>
    <row r="881">
      <c r="P881" s="87"/>
    </row>
    <row r="882">
      <c r="P882" s="87"/>
    </row>
    <row r="883">
      <c r="P883" s="87"/>
    </row>
    <row r="884">
      <c r="P884" s="87"/>
    </row>
    <row r="885">
      <c r="P885" s="87"/>
    </row>
    <row r="886">
      <c r="P886" s="87"/>
    </row>
    <row r="887">
      <c r="P887" s="87"/>
    </row>
    <row r="888">
      <c r="P888" s="87"/>
    </row>
    <row r="889">
      <c r="P889" s="87"/>
    </row>
    <row r="890">
      <c r="P890" s="87"/>
    </row>
    <row r="891">
      <c r="P891" s="87"/>
    </row>
    <row r="892">
      <c r="P892" s="87"/>
    </row>
    <row r="893">
      <c r="P893" s="87"/>
    </row>
    <row r="894">
      <c r="P894" s="87"/>
    </row>
    <row r="895">
      <c r="P895" s="87"/>
    </row>
    <row r="896">
      <c r="P896" s="87"/>
    </row>
    <row r="897">
      <c r="P897" s="87"/>
    </row>
    <row r="898">
      <c r="P898" s="87"/>
    </row>
    <row r="899">
      <c r="P899" s="87"/>
    </row>
    <row r="900">
      <c r="P900" s="87"/>
    </row>
    <row r="901">
      <c r="P901" s="87"/>
    </row>
    <row r="902">
      <c r="P902" s="87"/>
    </row>
    <row r="903">
      <c r="P903" s="87"/>
    </row>
    <row r="904">
      <c r="P904" s="87"/>
    </row>
    <row r="905">
      <c r="P905" s="87"/>
    </row>
    <row r="906">
      <c r="P906" s="87"/>
    </row>
    <row r="907">
      <c r="P907" s="87"/>
    </row>
    <row r="908">
      <c r="P908" s="87"/>
    </row>
    <row r="909">
      <c r="P909" s="87"/>
    </row>
    <row r="910">
      <c r="P910" s="87"/>
    </row>
    <row r="911">
      <c r="P911" s="87"/>
    </row>
    <row r="912">
      <c r="P912" s="87"/>
    </row>
    <row r="913">
      <c r="P913" s="87"/>
    </row>
    <row r="914">
      <c r="P914" s="87"/>
    </row>
    <row r="915">
      <c r="P915" s="87"/>
    </row>
    <row r="916">
      <c r="P916" s="87"/>
    </row>
    <row r="917">
      <c r="P917" s="87"/>
    </row>
    <row r="918">
      <c r="P918" s="87"/>
    </row>
    <row r="919">
      <c r="P919" s="87"/>
    </row>
    <row r="920">
      <c r="P920" s="87"/>
    </row>
    <row r="921">
      <c r="P921" s="87"/>
    </row>
    <row r="922">
      <c r="P922" s="87"/>
    </row>
    <row r="923">
      <c r="P923" s="87"/>
    </row>
    <row r="924">
      <c r="P924" s="87"/>
    </row>
    <row r="925">
      <c r="P925" s="87"/>
    </row>
    <row r="926">
      <c r="P926" s="87"/>
    </row>
    <row r="927">
      <c r="P927" s="87"/>
    </row>
    <row r="928">
      <c r="P928" s="87"/>
    </row>
    <row r="929">
      <c r="P929" s="87"/>
    </row>
    <row r="930">
      <c r="P930" s="87"/>
    </row>
    <row r="931">
      <c r="P931" s="87"/>
    </row>
    <row r="932">
      <c r="P932" s="87"/>
    </row>
    <row r="933">
      <c r="P933" s="87"/>
    </row>
    <row r="934">
      <c r="P934" s="87"/>
    </row>
    <row r="935">
      <c r="P935" s="87"/>
    </row>
    <row r="936">
      <c r="P936" s="87"/>
    </row>
    <row r="937">
      <c r="P937" s="87"/>
    </row>
    <row r="938">
      <c r="P938" s="87"/>
    </row>
    <row r="939">
      <c r="P939" s="87"/>
    </row>
    <row r="940">
      <c r="P940" s="87"/>
    </row>
    <row r="941">
      <c r="P941" s="87"/>
    </row>
    <row r="942">
      <c r="P942" s="87"/>
    </row>
    <row r="943">
      <c r="P943" s="87"/>
    </row>
    <row r="944">
      <c r="P944" s="87"/>
    </row>
    <row r="945">
      <c r="P945" s="87"/>
    </row>
    <row r="946">
      <c r="P946" s="87"/>
    </row>
    <row r="947">
      <c r="P947" s="87"/>
    </row>
    <row r="948">
      <c r="P948" s="87"/>
    </row>
    <row r="949">
      <c r="P949" s="87"/>
    </row>
    <row r="950">
      <c r="P950" s="87"/>
    </row>
    <row r="951">
      <c r="P951" s="87"/>
    </row>
    <row r="952">
      <c r="P952" s="87"/>
    </row>
    <row r="953">
      <c r="P953" s="87"/>
    </row>
    <row r="954">
      <c r="P954" s="87"/>
    </row>
    <row r="955">
      <c r="P955" s="87"/>
    </row>
    <row r="956">
      <c r="P956" s="87"/>
    </row>
    <row r="957">
      <c r="P957" s="87"/>
    </row>
    <row r="958">
      <c r="P958" s="87"/>
    </row>
    <row r="959">
      <c r="P959" s="87"/>
    </row>
    <row r="960">
      <c r="P960" s="87"/>
    </row>
    <row r="961">
      <c r="P961" s="87"/>
    </row>
    <row r="962">
      <c r="P962" s="87"/>
    </row>
    <row r="963">
      <c r="P963" s="87"/>
    </row>
    <row r="964">
      <c r="P964" s="87"/>
    </row>
    <row r="965">
      <c r="P965" s="87"/>
    </row>
    <row r="966">
      <c r="P966" s="87"/>
    </row>
    <row r="967">
      <c r="P967" s="87"/>
    </row>
    <row r="968">
      <c r="P968" s="87"/>
    </row>
    <row r="969">
      <c r="P969" s="87"/>
    </row>
    <row r="970">
      <c r="P970" s="87"/>
    </row>
    <row r="971">
      <c r="P971" s="87"/>
    </row>
    <row r="972">
      <c r="P972" s="87"/>
    </row>
    <row r="973">
      <c r="P973" s="87"/>
    </row>
    <row r="974">
      <c r="P974" s="87"/>
    </row>
    <row r="975">
      <c r="P975" s="87"/>
    </row>
    <row r="976">
      <c r="P976" s="87"/>
    </row>
    <row r="977">
      <c r="P977" s="87"/>
    </row>
    <row r="978">
      <c r="P978" s="87"/>
    </row>
    <row r="979">
      <c r="P979" s="87"/>
    </row>
    <row r="980">
      <c r="P980" s="87"/>
    </row>
    <row r="981">
      <c r="P981" s="87"/>
    </row>
    <row r="982">
      <c r="P982" s="87"/>
    </row>
    <row r="983">
      <c r="P983" s="87"/>
    </row>
    <row r="984">
      <c r="P984" s="87"/>
    </row>
    <row r="985">
      <c r="P985" s="87"/>
    </row>
    <row r="986">
      <c r="P986" s="87"/>
    </row>
    <row r="987">
      <c r="P987" s="87"/>
    </row>
    <row r="988">
      <c r="P988" s="87"/>
    </row>
    <row r="989">
      <c r="P989" s="87"/>
    </row>
    <row r="990">
      <c r="P990" s="87"/>
    </row>
    <row r="991">
      <c r="P991" s="87"/>
    </row>
    <row r="992">
      <c r="P992" s="87"/>
    </row>
    <row r="993">
      <c r="P993" s="87"/>
    </row>
    <row r="994">
      <c r="P994" s="87"/>
    </row>
    <row r="995">
      <c r="P995" s="87"/>
    </row>
    <row r="996">
      <c r="P996" s="87"/>
    </row>
    <row r="997">
      <c r="P997" s="87"/>
    </row>
    <row r="998">
      <c r="P998" s="87"/>
    </row>
    <row r="999">
      <c r="P999" s="87"/>
    </row>
    <row r="1000">
      <c r="P1000" s="87"/>
    </row>
  </sheetData>
  <autoFilter ref="$A$2:$Z$1000">
    <sortState ref="A2:Z1000">
      <sortCondition ref="A2:A1000"/>
      <sortCondition ref="H2:H1000"/>
    </sortState>
  </autoFilter>
  <hyperlinks>
    <hyperlink r:id="rId2" ref="J3"/>
    <hyperlink r:id="rId3" ref="K3"/>
    <hyperlink r:id="rId4" ref="J4"/>
    <hyperlink r:id="rId5" ref="K4"/>
    <hyperlink r:id="rId6" ref="J5"/>
    <hyperlink r:id="rId7" ref="K5"/>
    <hyperlink r:id="rId8" ref="J6"/>
    <hyperlink r:id="rId9" ref="K6"/>
    <hyperlink r:id="rId10" ref="J7"/>
    <hyperlink r:id="rId11" ref="K7"/>
    <hyperlink r:id="rId12" ref="J8"/>
    <hyperlink r:id="rId13" ref="K8"/>
    <hyperlink r:id="rId14" ref="J9"/>
    <hyperlink r:id="rId15" ref="K9"/>
    <hyperlink r:id="rId16" ref="J10"/>
    <hyperlink r:id="rId17" ref="K10"/>
    <hyperlink r:id="rId18" ref="J11"/>
    <hyperlink r:id="rId19" ref="K11"/>
    <hyperlink r:id="rId20" ref="J12"/>
    <hyperlink r:id="rId21" ref="K12"/>
    <hyperlink r:id="rId22" ref="J13"/>
    <hyperlink r:id="rId23" ref="K13"/>
    <hyperlink r:id="rId24" ref="J14"/>
    <hyperlink r:id="rId25" ref="K14"/>
    <hyperlink r:id="rId26" ref="J15"/>
    <hyperlink r:id="rId27" ref="K15"/>
    <hyperlink r:id="rId28" ref="J16"/>
    <hyperlink r:id="rId29" ref="K16"/>
    <hyperlink r:id="rId30" ref="J17"/>
    <hyperlink r:id="rId31" ref="K17"/>
    <hyperlink r:id="rId32" ref="J18"/>
    <hyperlink r:id="rId33" ref="K18"/>
    <hyperlink r:id="rId34" ref="J19"/>
    <hyperlink r:id="rId35" ref="K19"/>
    <hyperlink r:id="rId36" ref="J20"/>
    <hyperlink r:id="rId37" ref="K20"/>
    <hyperlink r:id="rId38" ref="J21"/>
    <hyperlink r:id="rId39" ref="K21"/>
    <hyperlink r:id="rId40" ref="J22"/>
    <hyperlink r:id="rId41" ref="K22"/>
    <hyperlink r:id="rId42" ref="J23"/>
    <hyperlink r:id="rId43" ref="K23"/>
    <hyperlink r:id="rId44" ref="J24"/>
    <hyperlink r:id="rId45" ref="K24"/>
    <hyperlink r:id="rId46" ref="J25"/>
    <hyperlink r:id="rId47" ref="K25"/>
    <hyperlink r:id="rId48" ref="J26"/>
    <hyperlink r:id="rId49" ref="K26"/>
    <hyperlink r:id="rId50" ref="J27"/>
    <hyperlink r:id="rId51" ref="K27"/>
    <hyperlink r:id="rId52" ref="J28"/>
    <hyperlink r:id="rId53" ref="K28"/>
    <hyperlink r:id="rId54" ref="J29"/>
    <hyperlink r:id="rId55" ref="K29"/>
    <hyperlink r:id="rId56" ref="J30"/>
    <hyperlink r:id="rId57" ref="K30"/>
    <hyperlink r:id="rId58" ref="J31"/>
    <hyperlink r:id="rId59" ref="K31"/>
    <hyperlink r:id="rId60" ref="J32"/>
    <hyperlink r:id="rId61" ref="K32"/>
    <hyperlink r:id="rId62" ref="J33"/>
    <hyperlink r:id="rId63" ref="K33"/>
    <hyperlink r:id="rId64" ref="J34"/>
    <hyperlink r:id="rId65" ref="K34"/>
    <hyperlink r:id="rId66" ref="J35"/>
    <hyperlink r:id="rId67" ref="K35"/>
    <hyperlink r:id="rId68" ref="J36"/>
    <hyperlink r:id="rId69" ref="K36"/>
    <hyperlink r:id="rId70" ref="J37"/>
    <hyperlink r:id="rId71" ref="K37"/>
    <hyperlink r:id="rId72" ref="J38"/>
    <hyperlink r:id="rId73" ref="K38"/>
    <hyperlink r:id="rId74" ref="J39"/>
    <hyperlink r:id="rId75" ref="K39"/>
    <hyperlink r:id="rId76" ref="J40"/>
    <hyperlink r:id="rId77" ref="K40"/>
    <hyperlink r:id="rId78" ref="J41"/>
    <hyperlink r:id="rId79" ref="K41"/>
    <hyperlink r:id="rId80" ref="J42"/>
    <hyperlink r:id="rId81" ref="K42"/>
    <hyperlink r:id="rId82" ref="J43"/>
    <hyperlink r:id="rId83" ref="K43"/>
    <hyperlink r:id="rId84" ref="J44"/>
    <hyperlink r:id="rId85" ref="K44"/>
    <hyperlink r:id="rId86" ref="J45"/>
    <hyperlink r:id="rId87" ref="K45"/>
    <hyperlink r:id="rId88" ref="J46"/>
    <hyperlink r:id="rId89" ref="K46"/>
    <hyperlink r:id="rId90" ref="J47"/>
    <hyperlink r:id="rId91" ref="K47"/>
    <hyperlink r:id="rId92" ref="J48"/>
    <hyperlink r:id="rId93" ref="K48"/>
    <hyperlink r:id="rId94" ref="J49"/>
    <hyperlink r:id="rId95" ref="K49"/>
    <hyperlink r:id="rId96" ref="J50"/>
    <hyperlink r:id="rId97" ref="K50"/>
    <hyperlink r:id="rId98" ref="J51"/>
    <hyperlink r:id="rId99" ref="K51"/>
    <hyperlink r:id="rId100" ref="J52"/>
    <hyperlink r:id="rId101" ref="K52"/>
    <hyperlink r:id="rId102" ref="J53"/>
    <hyperlink r:id="rId103" ref="K53"/>
    <hyperlink r:id="rId104" ref="J54"/>
    <hyperlink r:id="rId105" ref="K54"/>
    <hyperlink r:id="rId106" ref="J55"/>
    <hyperlink r:id="rId107" ref="K55"/>
    <hyperlink r:id="rId108" ref="J57"/>
    <hyperlink r:id="rId109" ref="K57"/>
    <hyperlink r:id="rId110" ref="J58"/>
    <hyperlink r:id="rId111" ref="K58"/>
    <hyperlink r:id="rId112" ref="J59"/>
    <hyperlink r:id="rId113" ref="K59"/>
    <hyperlink r:id="rId114" ref="J60"/>
    <hyperlink r:id="rId115" ref="K60"/>
    <hyperlink r:id="rId116" ref="J61"/>
    <hyperlink r:id="rId117" ref="K61"/>
    <hyperlink r:id="rId118" ref="J62"/>
    <hyperlink r:id="rId119" ref="K62"/>
    <hyperlink r:id="rId120" ref="J63"/>
    <hyperlink r:id="rId121" ref="K63"/>
    <hyperlink r:id="rId122" ref="J64"/>
    <hyperlink r:id="rId123" ref="K64"/>
    <hyperlink r:id="rId124" ref="J65"/>
    <hyperlink r:id="rId125" ref="K65"/>
    <hyperlink r:id="rId126" ref="J66"/>
    <hyperlink r:id="rId127" ref="K66"/>
    <hyperlink r:id="rId128" ref="J67"/>
    <hyperlink r:id="rId129" ref="K67"/>
    <hyperlink r:id="rId130" ref="J68"/>
    <hyperlink r:id="rId131" ref="K68"/>
    <hyperlink r:id="rId132" ref="J69"/>
    <hyperlink r:id="rId133" ref="K69"/>
    <hyperlink r:id="rId134" ref="J70"/>
    <hyperlink r:id="rId135" ref="K70"/>
    <hyperlink r:id="rId136" ref="J71"/>
    <hyperlink r:id="rId137" ref="K71"/>
    <hyperlink r:id="rId138" ref="J72"/>
    <hyperlink r:id="rId139" ref="K72"/>
    <hyperlink r:id="rId140" ref="J73"/>
    <hyperlink r:id="rId141" ref="K73"/>
    <hyperlink r:id="rId142" ref="J74"/>
    <hyperlink r:id="rId143" ref="K74"/>
    <hyperlink r:id="rId144" ref="J75"/>
    <hyperlink r:id="rId145" ref="K75"/>
  </hyperlinks>
  <drawing r:id="rId146"/>
  <legacyDrawing r:id="rId14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25"/>
    <col customWidth="1" min="2" max="2" width="13.25"/>
    <col customWidth="1" min="3" max="3" width="13.0"/>
    <col customWidth="1" min="4" max="4" width="14.0"/>
  </cols>
  <sheetData>
    <row r="1"/>
    <row r="2"/>
    <row r="3"/>
    <row r="4"/>
    <row r="5"/>
    <row r="6"/>
    <row r="7"/>
    <row r="8"/>
    <row r="9"/>
    <row r="10"/>
    <row r="11"/>
    <row r="12"/>
    <row r="13"/>
    <row r="14"/>
    <row r="15"/>
  </sheetData>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8.88"/>
  </cols>
  <sheetData>
    <row r="1">
      <c r="A1" s="312" t="s">
        <v>2156</v>
      </c>
      <c r="B1" s="313" t="s">
        <v>3016</v>
      </c>
      <c r="C1" s="313" t="s">
        <v>3017</v>
      </c>
      <c r="D1" s="313" t="s">
        <v>3019</v>
      </c>
      <c r="E1" s="313" t="s">
        <v>3020</v>
      </c>
      <c r="F1" s="313" t="s">
        <v>3021</v>
      </c>
      <c r="G1" s="313" t="s">
        <v>3022</v>
      </c>
      <c r="H1" s="313" t="s">
        <v>3023</v>
      </c>
      <c r="I1" s="313" t="s">
        <v>3024</v>
      </c>
      <c r="J1" s="313" t="s">
        <v>3025</v>
      </c>
      <c r="K1" s="313" t="s">
        <v>2158</v>
      </c>
      <c r="L1" s="313" t="s">
        <v>2995</v>
      </c>
      <c r="M1" s="313" t="s">
        <v>3026</v>
      </c>
      <c r="N1" s="313" t="s">
        <v>3027</v>
      </c>
      <c r="O1" s="687" t="s">
        <v>3028</v>
      </c>
      <c r="P1" s="313" t="s">
        <v>3029</v>
      </c>
      <c r="Q1" s="313" t="s">
        <v>3030</v>
      </c>
      <c r="R1" s="688" t="s">
        <v>3031</v>
      </c>
    </row>
    <row r="2">
      <c r="A2" s="689" t="s">
        <v>3277</v>
      </c>
      <c r="B2" s="690" t="s">
        <v>3033</v>
      </c>
      <c r="C2" s="690" t="s">
        <v>3278</v>
      </c>
      <c r="D2" s="690" t="s">
        <v>3279</v>
      </c>
      <c r="E2" s="690">
        <v>21491.18896</v>
      </c>
      <c r="F2" s="690">
        <v>21491.18896</v>
      </c>
      <c r="G2" s="690">
        <v>77270.0</v>
      </c>
      <c r="H2" s="691">
        <v>46115.68079861111</v>
      </c>
      <c r="I2" s="692" t="s">
        <v>3280</v>
      </c>
      <c r="J2" s="692" t="s">
        <v>3281</v>
      </c>
      <c r="K2" s="693">
        <v>46122.0</v>
      </c>
      <c r="L2" s="690">
        <v>3.0</v>
      </c>
      <c r="M2" s="320"/>
      <c r="N2" s="320"/>
      <c r="O2" s="694">
        <v>0.0</v>
      </c>
      <c r="P2" s="690">
        <v>15.0</v>
      </c>
      <c r="Q2" s="690">
        <v>6.0</v>
      </c>
      <c r="R2" s="695">
        <v>46118.0</v>
      </c>
    </row>
    <row r="3">
      <c r="A3" s="689" t="s">
        <v>3282</v>
      </c>
      <c r="B3" s="690" t="s">
        <v>3033</v>
      </c>
      <c r="C3" s="690" t="s">
        <v>3283</v>
      </c>
      <c r="D3" s="690" t="s">
        <v>3279</v>
      </c>
      <c r="E3" s="690">
        <v>21409.5424</v>
      </c>
      <c r="F3" s="690">
        <v>21409.5424</v>
      </c>
      <c r="G3" s="690">
        <v>77270.0</v>
      </c>
      <c r="H3" s="691">
        <v>46115.68079861111</v>
      </c>
      <c r="I3" s="692" t="s">
        <v>3280</v>
      </c>
      <c r="J3" s="692" t="s">
        <v>3284</v>
      </c>
      <c r="K3" s="693">
        <v>46123.0</v>
      </c>
      <c r="L3" s="690">
        <v>3.0</v>
      </c>
      <c r="M3" s="320"/>
      <c r="N3" s="320"/>
      <c r="O3" s="694">
        <v>0.0</v>
      </c>
      <c r="P3" s="690">
        <v>15.0</v>
      </c>
      <c r="Q3" s="690">
        <v>7.0</v>
      </c>
      <c r="R3" s="695">
        <v>46118.0</v>
      </c>
    </row>
    <row r="4">
      <c r="A4" s="689" t="s">
        <v>3285</v>
      </c>
      <c r="B4" s="690" t="s">
        <v>3033</v>
      </c>
      <c r="C4" s="690" t="s">
        <v>3286</v>
      </c>
      <c r="D4" s="690" t="s">
        <v>3279</v>
      </c>
      <c r="E4" s="690">
        <v>22434.66032</v>
      </c>
      <c r="F4" s="690">
        <v>22434.66032</v>
      </c>
      <c r="G4" s="690">
        <v>77270.0</v>
      </c>
      <c r="H4" s="691">
        <v>46115.68079861111</v>
      </c>
      <c r="I4" s="692" t="s">
        <v>3280</v>
      </c>
      <c r="J4" s="692" t="s">
        <v>3287</v>
      </c>
      <c r="K4" s="693">
        <v>46123.0</v>
      </c>
      <c r="L4" s="690">
        <v>3.0</v>
      </c>
      <c r="M4" s="320"/>
      <c r="N4" s="320"/>
      <c r="O4" s="694">
        <v>0.0</v>
      </c>
      <c r="P4" s="690">
        <v>15.0</v>
      </c>
      <c r="Q4" s="690">
        <v>7.0</v>
      </c>
      <c r="R4" s="695">
        <v>46118.0</v>
      </c>
    </row>
    <row r="5">
      <c r="A5" s="689" t="s">
        <v>3288</v>
      </c>
      <c r="B5" s="690" t="s">
        <v>3033</v>
      </c>
      <c r="C5" s="690" t="s">
        <v>3289</v>
      </c>
      <c r="D5" s="690" t="s">
        <v>123</v>
      </c>
      <c r="E5" s="690">
        <v>22679.6</v>
      </c>
      <c r="F5" s="690">
        <v>22679.6</v>
      </c>
      <c r="G5" s="690">
        <v>79350.0</v>
      </c>
      <c r="H5" s="691">
        <v>46122.66851851852</v>
      </c>
      <c r="I5" s="692" t="s">
        <v>3290</v>
      </c>
      <c r="J5" s="692" t="s">
        <v>3291</v>
      </c>
      <c r="K5" s="693">
        <v>46123.0</v>
      </c>
      <c r="L5" s="690">
        <v>3.0</v>
      </c>
      <c r="M5" s="320"/>
      <c r="N5" s="320"/>
      <c r="O5" s="694">
        <v>0.0</v>
      </c>
      <c r="P5" s="320"/>
      <c r="Q5" s="690">
        <v>7.0</v>
      </c>
      <c r="R5" s="695">
        <v>46118.0</v>
      </c>
    </row>
    <row r="6">
      <c r="A6" s="689" t="s">
        <v>3288</v>
      </c>
      <c r="B6" s="690" t="s">
        <v>3033</v>
      </c>
      <c r="C6" s="690" t="s">
        <v>3292</v>
      </c>
      <c r="D6" s="690" t="s">
        <v>123</v>
      </c>
      <c r="E6" s="690">
        <v>13562.4008</v>
      </c>
      <c r="F6" s="690">
        <v>13562.4008</v>
      </c>
      <c r="G6" s="690">
        <v>79350.0</v>
      </c>
      <c r="H6" s="691">
        <v>46122.66851851852</v>
      </c>
      <c r="I6" s="692" t="s">
        <v>3290</v>
      </c>
      <c r="J6" s="692" t="s">
        <v>3293</v>
      </c>
      <c r="K6" s="693">
        <v>46123.0</v>
      </c>
      <c r="L6" s="690">
        <v>3.0</v>
      </c>
      <c r="M6" s="320"/>
      <c r="N6" s="320"/>
      <c r="O6" s="694">
        <v>0.0</v>
      </c>
      <c r="P6" s="690">
        <v>15.0</v>
      </c>
      <c r="Q6" s="690">
        <v>7.0</v>
      </c>
      <c r="R6" s="695">
        <v>46118.0</v>
      </c>
    </row>
    <row r="7">
      <c r="A7" s="689" t="s">
        <v>3288</v>
      </c>
      <c r="B7" s="690" t="s">
        <v>3033</v>
      </c>
      <c r="C7" s="690" t="s">
        <v>3294</v>
      </c>
      <c r="D7" s="690" t="s">
        <v>119</v>
      </c>
      <c r="E7" s="690">
        <v>19459.0968</v>
      </c>
      <c r="F7" s="690">
        <v>19459.0968</v>
      </c>
      <c r="G7" s="690">
        <v>80300.0</v>
      </c>
      <c r="H7" s="691">
        <v>46122.67223379629</v>
      </c>
      <c r="I7" s="692" t="s">
        <v>3295</v>
      </c>
      <c r="J7" s="692" t="s">
        <v>3296</v>
      </c>
      <c r="K7" s="693">
        <v>46123.0</v>
      </c>
      <c r="L7" s="690">
        <v>3.0</v>
      </c>
      <c r="M7" s="320"/>
      <c r="N7" s="320"/>
      <c r="O7" s="694">
        <v>0.0</v>
      </c>
      <c r="P7" s="690">
        <v>15.0</v>
      </c>
      <c r="Q7" s="690">
        <v>7.0</v>
      </c>
      <c r="R7" s="695">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96">
        <v>45745.0</v>
      </c>
      <c r="B1" s="347"/>
      <c r="C1" s="347"/>
      <c r="D1" s="347"/>
      <c r="E1" s="697" t="s">
        <v>3330</v>
      </c>
      <c r="H1" s="698"/>
      <c r="I1" s="697" t="s">
        <v>3331</v>
      </c>
      <c r="K1" s="698"/>
      <c r="L1" s="697" t="s">
        <v>3332</v>
      </c>
      <c r="M1" s="698"/>
      <c r="N1" s="697" t="s">
        <v>3333</v>
      </c>
      <c r="P1" s="698"/>
      <c r="Q1" s="347"/>
      <c r="S1" s="698"/>
      <c r="T1" s="347"/>
      <c r="U1" s="697" t="s">
        <v>3334</v>
      </c>
      <c r="X1" s="347"/>
      <c r="Y1" s="560" t="s">
        <v>3335</v>
      </c>
      <c r="Z1" s="334" t="str">
        <f>SUM(W3:W43)</f>
        <v>#N/A</v>
      </c>
      <c r="AA1" s="347"/>
      <c r="AB1" s="560" t="s">
        <v>3336</v>
      </c>
      <c r="AC1" s="560" t="s">
        <v>3337</v>
      </c>
      <c r="AD1" s="560" t="s">
        <v>3338</v>
      </c>
      <c r="AE1" s="347"/>
      <c r="AF1" s="347"/>
      <c r="AG1" s="347"/>
    </row>
    <row r="2">
      <c r="A2" s="560" t="s">
        <v>2673</v>
      </c>
      <c r="B2" s="541" t="s">
        <v>3339</v>
      </c>
      <c r="C2" s="560" t="s">
        <v>3340</v>
      </c>
      <c r="D2" s="560" t="s">
        <v>3341</v>
      </c>
      <c r="E2" s="560" t="s">
        <v>3342</v>
      </c>
      <c r="F2" s="560" t="s">
        <v>3343</v>
      </c>
      <c r="G2" s="560" t="s">
        <v>3344</v>
      </c>
      <c r="H2" s="698"/>
      <c r="I2" s="560" t="s">
        <v>3345</v>
      </c>
      <c r="J2" s="560" t="s">
        <v>3346</v>
      </c>
      <c r="K2" s="698"/>
      <c r="L2" s="560" t="s">
        <v>3347</v>
      </c>
      <c r="M2" s="698"/>
      <c r="N2" s="560" t="s">
        <v>3345</v>
      </c>
      <c r="O2" s="560" t="s">
        <v>3346</v>
      </c>
      <c r="P2" s="698"/>
      <c r="Q2" s="560" t="s">
        <v>3348</v>
      </c>
      <c r="R2" s="560" t="s">
        <v>3349</v>
      </c>
      <c r="S2" s="698"/>
      <c r="T2" s="560" t="s">
        <v>3350</v>
      </c>
      <c r="U2" s="560" t="s">
        <v>3351</v>
      </c>
      <c r="V2" s="560" t="s">
        <v>3352</v>
      </c>
      <c r="W2" s="560" t="s">
        <v>3353</v>
      </c>
      <c r="X2" s="560" t="s">
        <v>3354</v>
      </c>
      <c r="Y2" s="560" t="s">
        <v>3355</v>
      </c>
      <c r="Z2" s="334">
        <f>AVERAGEIF(X3:X1003, "&gt;0",X3:X1003)</f>
        <v>0.9968272252</v>
      </c>
      <c r="AA2" s="347"/>
      <c r="AB2" s="347" t="s">
        <v>3356</v>
      </c>
      <c r="AC2" s="334">
        <v>0.4115</v>
      </c>
      <c r="AD2" s="699" t="s">
        <v>3357</v>
      </c>
      <c r="AE2" s="347"/>
      <c r="AF2" s="347"/>
      <c r="AG2" s="347"/>
    </row>
    <row r="3">
      <c r="A3" s="700">
        <v>200068.0</v>
      </c>
      <c r="B3" s="700"/>
      <c r="C3" s="701" t="str">
        <f t="shared" ref="C3:C23" si="1">VLOOKUP(F3, $AB$2:$AD$11, 3, FALSE)</f>
        <v>43.14%</v>
      </c>
      <c r="D3" s="702">
        <f>'CTT Data Filter'!F2</f>
        <v>2670.24</v>
      </c>
      <c r="E3" s="700">
        <f t="shared" ref="E3:E31" si="2">D3/1000</f>
        <v>2.67024</v>
      </c>
      <c r="F3" s="703" t="s">
        <v>3356</v>
      </c>
      <c r="G3" s="700">
        <f t="shared" ref="G3:G23" si="3">(VLOOKUP(F3,$AB$2:$AC$11,2,false)*D3)/1000</f>
        <v>1.09880376</v>
      </c>
      <c r="H3" s="703"/>
      <c r="I3" s="700">
        <v>0.0</v>
      </c>
      <c r="J3" s="700">
        <f t="shared" ref="J3:J31" si="4">$AC$14*$AF$21</f>
        <v>0.0346325799</v>
      </c>
      <c r="K3" s="703"/>
      <c r="L3" s="700">
        <f>(('CTT Data Filter'!H2/$AF$14)*$AF$23)*'CTT Data Filter'!G2</f>
        <v>0.1287402346</v>
      </c>
      <c r="M3" s="703"/>
      <c r="N3" s="700">
        <v>0.0</v>
      </c>
      <c r="O3" s="700">
        <f t="shared" ref="O3:O31" si="5">$AC$15*$AF$20</f>
        <v>0.01836028995</v>
      </c>
      <c r="P3" s="703"/>
      <c r="Q3" s="700">
        <f>(('CTT Data Filter'!I2/1000)*'CTT Data Filter'!G2)*$AF$24</f>
        <v>0.0003074374576</v>
      </c>
      <c r="R3" s="700">
        <v>3.677641626E-4</v>
      </c>
      <c r="S3" s="703"/>
      <c r="T3" s="704">
        <f>'CTT Data Filter'!E2</f>
        <v>0.04031280913</v>
      </c>
      <c r="U3" s="700">
        <f t="shared" ref="U3:U31" si="6">(E3*(1-T3))*C3*(44/12)</f>
        <v>4.053512968</v>
      </c>
      <c r="V3" s="700">
        <f t="shared" ref="V3:V31" si="7">SUM(R3,Q3,O3,N3,L3,J3,I3,G3)</f>
        <v>1.281212066</v>
      </c>
      <c r="W3" s="599">
        <f t="shared" ref="W3:W31" si="8">U3-V3</f>
        <v>2.772300902</v>
      </c>
      <c r="X3" s="700">
        <f t="shared" ref="X3:X31" si="9">W3/E3</f>
        <v>1.038221621</v>
      </c>
      <c r="Y3" s="703"/>
      <c r="Z3" s="703"/>
      <c r="AA3" s="703"/>
      <c r="AB3" s="703" t="s">
        <v>3358</v>
      </c>
      <c r="AC3" s="700">
        <v>0.6098</v>
      </c>
      <c r="AD3" s="705" t="s">
        <v>3359</v>
      </c>
      <c r="AE3" s="703"/>
      <c r="AF3" s="703"/>
      <c r="AG3" s="703"/>
    </row>
    <row r="4">
      <c r="A4" s="700">
        <v>300002.0</v>
      </c>
      <c r="B4" s="700"/>
      <c r="C4" s="701" t="str">
        <f t="shared" si="1"/>
        <v>43.14%</v>
      </c>
      <c r="D4" s="702">
        <f>'CTT Data Filter'!F3</f>
        <v>2208.26</v>
      </c>
      <c r="E4" s="700">
        <f t="shared" si="2"/>
        <v>2.20826</v>
      </c>
      <c r="F4" s="703" t="s">
        <v>3356</v>
      </c>
      <c r="G4" s="700">
        <f t="shared" si="3"/>
        <v>0.90869899</v>
      </c>
      <c r="H4" s="703"/>
      <c r="I4" s="700">
        <v>0.0</v>
      </c>
      <c r="J4" s="700">
        <f t="shared" si="4"/>
        <v>0.0346325799</v>
      </c>
      <c r="K4" s="703"/>
      <c r="L4" s="700">
        <f>(('CTT Data Filter'!H3/$AF$14)*$AF$23)*'CTT Data Filter'!G3</f>
        <v>0.1132502203</v>
      </c>
      <c r="M4" s="703"/>
      <c r="N4" s="700">
        <v>0.0</v>
      </c>
      <c r="O4" s="700">
        <f t="shared" si="5"/>
        <v>0.01836028995</v>
      </c>
      <c r="P4" s="703"/>
      <c r="Q4" s="700">
        <f t="shared" ref="Q4:Q31" si="10">E4*$AF$24</f>
        <v>0.0002284080958</v>
      </c>
      <c r="R4" s="700">
        <v>3.677641626E-4</v>
      </c>
      <c r="S4" s="703"/>
      <c r="T4" s="704">
        <f>'CTT Data Filter'!E3</f>
        <v>0.03946851799</v>
      </c>
      <c r="U4" s="700">
        <f t="shared" si="6"/>
        <v>3.355161122</v>
      </c>
      <c r="V4" s="700">
        <f t="shared" si="7"/>
        <v>1.075538252</v>
      </c>
      <c r="W4" s="599">
        <f t="shared" si="8"/>
        <v>2.279622869</v>
      </c>
      <c r="X4" s="700">
        <f t="shared" si="9"/>
        <v>1.032316335</v>
      </c>
      <c r="Y4" s="703"/>
      <c r="Z4" s="703"/>
      <c r="AA4" s="703"/>
      <c r="AB4" s="703" t="s">
        <v>3360</v>
      </c>
      <c r="AC4" s="700">
        <v>0.6234</v>
      </c>
      <c r="AD4" s="705" t="s">
        <v>3361</v>
      </c>
      <c r="AE4" s="703"/>
      <c r="AF4" s="703"/>
      <c r="AG4" s="703"/>
    </row>
    <row r="5">
      <c r="A5" s="700">
        <v>300003.0</v>
      </c>
      <c r="B5" s="700"/>
      <c r="C5" s="701" t="str">
        <f t="shared" si="1"/>
        <v>43.14%</v>
      </c>
      <c r="D5" s="702">
        <f>'CTT Data Filter'!F4</f>
        <v>3223.13</v>
      </c>
      <c r="E5" s="700">
        <f t="shared" si="2"/>
        <v>3.22313</v>
      </c>
      <c r="F5" s="703" t="s">
        <v>3356</v>
      </c>
      <c r="G5" s="700">
        <f t="shared" si="3"/>
        <v>1.326317995</v>
      </c>
      <c r="H5" s="703"/>
      <c r="I5" s="700">
        <v>0.0</v>
      </c>
      <c r="J5" s="700">
        <f t="shared" si="4"/>
        <v>0.0346325799</v>
      </c>
      <c r="K5" s="703"/>
      <c r="L5" s="700">
        <f>(('CTT Data Filter'!H4/$AF$14)*$AF$23)*'CTT Data Filter'!G4</f>
        <v>0.1158378863</v>
      </c>
      <c r="M5" s="703"/>
      <c r="N5" s="700">
        <v>0.0</v>
      </c>
      <c r="O5" s="700">
        <f t="shared" si="5"/>
        <v>0.01836028995</v>
      </c>
      <c r="P5" s="703"/>
      <c r="Q5" s="700">
        <f t="shared" si="10"/>
        <v>0.0003333796681</v>
      </c>
      <c r="R5" s="700">
        <v>3.677641626E-4</v>
      </c>
      <c r="S5" s="703"/>
      <c r="T5" s="704">
        <f>'CTT Data Filter'!E4</f>
        <v>0.04937766637</v>
      </c>
      <c r="U5" s="700">
        <f t="shared" si="6"/>
        <v>4.846602555</v>
      </c>
      <c r="V5" s="700">
        <f t="shared" si="7"/>
        <v>1.495849895</v>
      </c>
      <c r="W5" s="599">
        <f t="shared" si="8"/>
        <v>3.35075266</v>
      </c>
      <c r="X5" s="700">
        <f t="shared" si="9"/>
        <v>1.039595877</v>
      </c>
      <c r="Y5" s="703"/>
      <c r="Z5" s="703"/>
      <c r="AA5" s="703"/>
      <c r="AB5" s="703" t="s">
        <v>3362</v>
      </c>
      <c r="AC5" s="700">
        <v>0.6026</v>
      </c>
      <c r="AD5" s="704">
        <v>0.4754</v>
      </c>
      <c r="AE5" s="703"/>
      <c r="AF5" s="703"/>
      <c r="AG5" s="703"/>
    </row>
    <row r="6">
      <c r="A6" s="700">
        <v>300004.0</v>
      </c>
      <c r="B6" s="700"/>
      <c r="C6" s="701" t="str">
        <f t="shared" si="1"/>
        <v>43.14%</v>
      </c>
      <c r="D6" s="702">
        <f>'CTT Data Filter'!F5</f>
        <v>4763.76</v>
      </c>
      <c r="E6" s="700">
        <f t="shared" si="2"/>
        <v>4.76376</v>
      </c>
      <c r="F6" s="703" t="s">
        <v>3356</v>
      </c>
      <c r="G6" s="700">
        <f t="shared" si="3"/>
        <v>1.96028724</v>
      </c>
      <c r="H6" s="703"/>
      <c r="I6" s="700">
        <v>0.0</v>
      </c>
      <c r="J6" s="700">
        <f t="shared" si="4"/>
        <v>0.0346325799</v>
      </c>
      <c r="K6" s="703"/>
      <c r="L6" s="700">
        <f>(('CTT Data Filter'!H5/$AF$14)*$AF$23)*'CTT Data Filter'!G5</f>
        <v>0.1665163438</v>
      </c>
      <c r="M6" s="703"/>
      <c r="N6" s="700">
        <v>0.0</v>
      </c>
      <c r="O6" s="700">
        <f t="shared" si="5"/>
        <v>0.01836028995</v>
      </c>
      <c r="P6" s="703"/>
      <c r="Q6" s="700">
        <f t="shared" si="10"/>
        <v>0.0004927324457</v>
      </c>
      <c r="R6" s="700">
        <v>3.677641626E-4</v>
      </c>
      <c r="S6" s="703"/>
      <c r="T6" s="704">
        <f>'CTT Data Filter'!E5</f>
        <v>0.06677656898</v>
      </c>
      <c r="U6" s="700">
        <f t="shared" si="6"/>
        <v>7.032133048</v>
      </c>
      <c r="V6" s="700">
        <f t="shared" si="7"/>
        <v>2.18065695</v>
      </c>
      <c r="W6" s="599">
        <f t="shared" si="8"/>
        <v>4.851476098</v>
      </c>
      <c r="X6" s="700">
        <f t="shared" si="9"/>
        <v>1.018413207</v>
      </c>
      <c r="Y6" s="703"/>
      <c r="Z6" s="703"/>
      <c r="AA6" s="703"/>
      <c r="AB6" s="703" t="s">
        <v>3363</v>
      </c>
      <c r="AC6" s="706">
        <v>0.8343</v>
      </c>
      <c r="AD6" s="704">
        <v>0.5158</v>
      </c>
      <c r="AE6" s="703"/>
      <c r="AF6" s="703"/>
      <c r="AG6" s="703"/>
    </row>
    <row r="7">
      <c r="A7" s="700">
        <v>300005.0</v>
      </c>
      <c r="B7" s="700"/>
      <c r="C7" s="701" t="str">
        <f t="shared" si="1"/>
        <v>43.14%</v>
      </c>
      <c r="D7" s="702">
        <f>'CTT Data Filter'!F6</f>
        <v>2669.71</v>
      </c>
      <c r="E7" s="700">
        <f t="shared" si="2"/>
        <v>2.66971</v>
      </c>
      <c r="F7" s="703" t="s">
        <v>3356</v>
      </c>
      <c r="G7" s="700">
        <f t="shared" si="3"/>
        <v>1.098585665</v>
      </c>
      <c r="H7" s="703"/>
      <c r="I7" s="700">
        <v>0.0</v>
      </c>
      <c r="J7" s="700">
        <f t="shared" si="4"/>
        <v>0.0346325799</v>
      </c>
      <c r="K7" s="703"/>
      <c r="L7" s="700">
        <f>(('CTT Data Filter'!H6/$AF$14)*$AF$23)*'CTT Data Filter'!G6</f>
        <v>0.09472126579</v>
      </c>
      <c r="M7" s="703"/>
      <c r="N7" s="700">
        <v>0.0</v>
      </c>
      <c r="O7" s="700">
        <f t="shared" si="5"/>
        <v>0.01836028995</v>
      </c>
      <c r="P7" s="703"/>
      <c r="Q7" s="700">
        <f t="shared" si="10"/>
        <v>0.0002761374917</v>
      </c>
      <c r="R7" s="700">
        <v>3.677641626E-4</v>
      </c>
      <c r="S7" s="703"/>
      <c r="T7" s="704">
        <f>'CTT Data Filter'!E6</f>
        <v>0.05997290705</v>
      </c>
      <c r="U7" s="700">
        <f t="shared" si="6"/>
        <v>3.969684853</v>
      </c>
      <c r="V7" s="700">
        <f t="shared" si="7"/>
        <v>1.246943702</v>
      </c>
      <c r="W7" s="599">
        <f t="shared" si="8"/>
        <v>2.722741151</v>
      </c>
      <c r="X7" s="700">
        <f t="shared" si="9"/>
        <v>1.019864012</v>
      </c>
      <c r="Y7" s="703"/>
      <c r="Z7" s="703"/>
      <c r="AA7" s="703"/>
      <c r="AB7" s="703" t="s">
        <v>3364</v>
      </c>
      <c r="AC7" s="707">
        <v>0.7928</v>
      </c>
      <c r="AD7" s="708">
        <v>0.493</v>
      </c>
      <c r="AE7" s="703"/>
      <c r="AF7" s="703"/>
      <c r="AG7" s="703"/>
    </row>
    <row r="8">
      <c r="A8" s="700">
        <v>300006.0</v>
      </c>
      <c r="B8" s="700"/>
      <c r="C8" s="701" t="str">
        <f t="shared" si="1"/>
        <v>43.14%</v>
      </c>
      <c r="D8" s="702">
        <f>'CTT Data Filter'!F7</f>
        <v>4383.96</v>
      </c>
      <c r="E8" s="700">
        <f t="shared" si="2"/>
        <v>4.38396</v>
      </c>
      <c r="F8" s="703" t="s">
        <v>3356</v>
      </c>
      <c r="G8" s="700">
        <f t="shared" si="3"/>
        <v>1.80399954</v>
      </c>
      <c r="H8" s="703"/>
      <c r="I8" s="700">
        <v>0.0</v>
      </c>
      <c r="J8" s="700">
        <f t="shared" si="4"/>
        <v>0.0346325799</v>
      </c>
      <c r="K8" s="703"/>
      <c r="L8" s="700">
        <f>(('CTT Data Filter'!H7/$AF$14)*$AF$23)*'CTT Data Filter'!G7</f>
        <v>0.148413147</v>
      </c>
      <c r="M8" s="703"/>
      <c r="N8" s="700">
        <v>0.0</v>
      </c>
      <c r="O8" s="700">
        <f t="shared" si="5"/>
        <v>0.01836028995</v>
      </c>
      <c r="P8" s="703"/>
      <c r="Q8" s="700">
        <f t="shared" si="10"/>
        <v>0.0004534483964</v>
      </c>
      <c r="R8" s="700">
        <v>3.677641626E-4</v>
      </c>
      <c r="S8" s="703"/>
      <c r="T8" s="704">
        <f>'CTT Data Filter'!E7</f>
        <v>0.03451133843</v>
      </c>
      <c r="U8" s="700">
        <f t="shared" si="6"/>
        <v>6.695227398</v>
      </c>
      <c r="V8" s="700">
        <f t="shared" si="7"/>
        <v>2.006226769</v>
      </c>
      <c r="W8" s="599">
        <f t="shared" si="8"/>
        <v>4.689000628</v>
      </c>
      <c r="X8" s="700">
        <f t="shared" si="9"/>
        <v>1.06958107</v>
      </c>
      <c r="Y8" s="707" t="s">
        <v>3365</v>
      </c>
      <c r="Z8" s="703">
        <f>SUM(W3:W8)</f>
        <v>20.66589431</v>
      </c>
      <c r="AA8" s="703"/>
      <c r="AB8" s="703" t="s">
        <v>3366</v>
      </c>
      <c r="AC8" s="707">
        <v>0.7535</v>
      </c>
      <c r="AD8" s="709">
        <v>0.5052</v>
      </c>
      <c r="AE8" s="703"/>
      <c r="AF8" s="703"/>
      <c r="AG8" s="703"/>
    </row>
    <row r="9">
      <c r="A9" s="710">
        <v>300007.0</v>
      </c>
      <c r="B9" s="711">
        <v>45693.0</v>
      </c>
      <c r="C9" s="712" t="str">
        <f t="shared" si="1"/>
        <v>43.14%</v>
      </c>
      <c r="D9" s="713">
        <f>'CTT Data Filter'!F8</f>
        <v>4310.7</v>
      </c>
      <c r="E9" s="710">
        <f t="shared" si="2"/>
        <v>4.3107</v>
      </c>
      <c r="F9" s="714" t="s">
        <v>3356</v>
      </c>
      <c r="G9" s="710">
        <f t="shared" si="3"/>
        <v>1.77385305</v>
      </c>
      <c r="H9" s="714"/>
      <c r="I9" s="710">
        <v>0.0</v>
      </c>
      <c r="J9" s="710">
        <f t="shared" si="4"/>
        <v>0.0346325799</v>
      </c>
      <c r="K9" s="714"/>
      <c r="L9" s="710">
        <f>(('CTT Data Filter'!H8/$AF$14)*$AF$23)*'CTT Data Filter'!G8</f>
        <v>0.1593182763</v>
      </c>
      <c r="M9" s="714"/>
      <c r="N9" s="710">
        <v>0.0</v>
      </c>
      <c r="O9" s="710">
        <f t="shared" si="5"/>
        <v>0.01836028995</v>
      </c>
      <c r="P9" s="714"/>
      <c r="Q9" s="710">
        <f t="shared" si="10"/>
        <v>0.000445870857</v>
      </c>
      <c r="R9" s="710">
        <v>3.677641626E-4</v>
      </c>
      <c r="S9" s="714"/>
      <c r="T9" s="715">
        <f>'CTT Data Filter'!E8</f>
        <v>0.03199376411</v>
      </c>
      <c r="U9" s="710">
        <f t="shared" si="6"/>
        <v>6.600510492</v>
      </c>
      <c r="V9" s="710">
        <f t="shared" si="7"/>
        <v>1.986977831</v>
      </c>
      <c r="W9" s="599">
        <f t="shared" si="8"/>
        <v>4.613532661</v>
      </c>
      <c r="X9" s="710">
        <f t="shared" si="9"/>
        <v>1.070251389</v>
      </c>
      <c r="Y9" s="716" t="s">
        <v>3367</v>
      </c>
      <c r="Z9" s="714">
        <f>SUM(W9:W20)</f>
        <v>51.09009017</v>
      </c>
      <c r="AA9" s="714"/>
      <c r="AB9" s="714" t="s">
        <v>3368</v>
      </c>
      <c r="AC9" s="716">
        <v>0.7128</v>
      </c>
      <c r="AD9" s="717">
        <v>0.4746</v>
      </c>
      <c r="AE9" s="703"/>
      <c r="AF9" s="714"/>
      <c r="AG9" s="714"/>
    </row>
    <row r="10">
      <c r="A10" s="710">
        <v>300008.0</v>
      </c>
      <c r="B10" s="711">
        <v>45705.0</v>
      </c>
      <c r="C10" s="712" t="str">
        <f t="shared" si="1"/>
        <v>45.86%</v>
      </c>
      <c r="D10" s="713">
        <f>'CTT Data Filter'!F9</f>
        <v>3531.649</v>
      </c>
      <c r="E10" s="710">
        <f t="shared" si="2"/>
        <v>3.531649</v>
      </c>
      <c r="F10" s="714" t="s">
        <v>3358</v>
      </c>
      <c r="G10" s="710">
        <f t="shared" si="3"/>
        <v>2.15359956</v>
      </c>
      <c r="H10" s="714"/>
      <c r="I10" s="710">
        <v>0.0</v>
      </c>
      <c r="J10" s="710">
        <f t="shared" si="4"/>
        <v>0.0346325799</v>
      </c>
      <c r="K10" s="714"/>
      <c r="L10" s="710">
        <f>(('CTT Data Filter'!H9/$AF$14)*$AF$23)*'CTT Data Filter'!G9</f>
        <v>0.1515623941</v>
      </c>
      <c r="M10" s="714"/>
      <c r="N10" s="710">
        <v>0.0</v>
      </c>
      <c r="O10" s="710">
        <f t="shared" si="5"/>
        <v>0.01836028995</v>
      </c>
      <c r="P10" s="714"/>
      <c r="Q10" s="710">
        <f t="shared" si="10"/>
        <v>0.000365290873</v>
      </c>
      <c r="R10" s="710">
        <v>3.677641626E-4</v>
      </c>
      <c r="S10" s="714"/>
      <c r="T10" s="715">
        <f>'CTT Data Filter'!E9</f>
        <v>0.03816639631</v>
      </c>
      <c r="U10" s="710">
        <f t="shared" si="6"/>
        <v>5.711931107</v>
      </c>
      <c r="V10" s="710">
        <f t="shared" si="7"/>
        <v>2.358887879</v>
      </c>
      <c r="W10" s="599">
        <f t="shared" si="8"/>
        <v>3.353043228</v>
      </c>
      <c r="X10" s="710">
        <f t="shared" si="9"/>
        <v>0.9494270885</v>
      </c>
      <c r="Y10" s="714"/>
      <c r="Z10" s="714"/>
      <c r="AA10" s="714"/>
      <c r="AB10" s="714" t="s">
        <v>3369</v>
      </c>
      <c r="AC10" s="716">
        <v>0.677</v>
      </c>
      <c r="AD10" s="714"/>
      <c r="AE10" s="714"/>
      <c r="AF10" s="714"/>
      <c r="AG10" s="714"/>
    </row>
    <row r="11">
      <c r="A11" s="710">
        <v>300009.0</v>
      </c>
      <c r="B11" s="711">
        <v>45719.0</v>
      </c>
      <c r="C11" s="712" t="str">
        <f t="shared" si="1"/>
        <v>45.86%</v>
      </c>
      <c r="D11" s="713">
        <f>'CTT Data Filter'!F10</f>
        <v>3804.748565</v>
      </c>
      <c r="E11" s="710">
        <f t="shared" si="2"/>
        <v>3.804748565</v>
      </c>
      <c r="F11" s="714" t="s">
        <v>3358</v>
      </c>
      <c r="G11" s="710">
        <f t="shared" si="3"/>
        <v>2.320135675</v>
      </c>
      <c r="H11" s="714"/>
      <c r="I11" s="710">
        <v>0.0</v>
      </c>
      <c r="J11" s="710">
        <f t="shared" si="4"/>
        <v>0.0346325799</v>
      </c>
      <c r="K11" s="714"/>
      <c r="L11" s="710">
        <f>(('CTT Data Filter'!H10/$AF$14)*$AF$23)*'CTT Data Filter'!G10</f>
        <v>0.1668452969</v>
      </c>
      <c r="M11" s="714"/>
      <c r="N11" s="710">
        <v>0.0</v>
      </c>
      <c r="O11" s="710">
        <f t="shared" si="5"/>
        <v>0.01836028995</v>
      </c>
      <c r="P11" s="714"/>
      <c r="Q11" s="710">
        <f t="shared" si="10"/>
        <v>0.0003935385212</v>
      </c>
      <c r="R11" s="710">
        <v>3.677641626E-4</v>
      </c>
      <c r="S11" s="714"/>
      <c r="T11" s="715">
        <f>'CTT Data Filter'!E10</f>
        <v>0.06405867566</v>
      </c>
      <c r="U11" s="710">
        <f t="shared" si="6"/>
        <v>5.987976203</v>
      </c>
      <c r="V11" s="710">
        <f t="shared" si="7"/>
        <v>2.540735144</v>
      </c>
      <c r="W11" s="599">
        <f t="shared" si="8"/>
        <v>3.447241058</v>
      </c>
      <c r="X11" s="710">
        <f t="shared" si="9"/>
        <v>0.9060364961</v>
      </c>
      <c r="Y11" s="714"/>
      <c r="Z11" s="714"/>
      <c r="AA11" s="714"/>
      <c r="AB11" s="714" t="s">
        <v>3370</v>
      </c>
      <c r="AC11" s="714"/>
      <c r="AD11" s="714"/>
      <c r="AE11" s="714"/>
      <c r="AF11" s="714"/>
      <c r="AG11" s="714"/>
    </row>
    <row r="12">
      <c r="A12" s="710">
        <v>300010.0</v>
      </c>
      <c r="B12" s="711">
        <v>45723.0</v>
      </c>
      <c r="C12" s="712" t="str">
        <f t="shared" si="1"/>
        <v>45.86%</v>
      </c>
      <c r="D12" s="713">
        <f>'CTT Data Filter'!F11</f>
        <v>4656.9</v>
      </c>
      <c r="E12" s="710">
        <f t="shared" si="2"/>
        <v>4.6569</v>
      </c>
      <c r="F12" s="714" t="s">
        <v>3358</v>
      </c>
      <c r="G12" s="710">
        <f t="shared" si="3"/>
        <v>2.83977762</v>
      </c>
      <c r="H12" s="714"/>
      <c r="I12" s="710">
        <v>0.0</v>
      </c>
      <c r="J12" s="710">
        <f t="shared" si="4"/>
        <v>0.0346325799</v>
      </c>
      <c r="K12" s="714"/>
      <c r="L12" s="710">
        <f>(('CTT Data Filter'!H11/$AF$14)*$AF$23)*'CTT Data Filter'!G11</f>
        <v>0.2538651127</v>
      </c>
      <c r="M12" s="714"/>
      <c r="N12" s="710">
        <v>0.0</v>
      </c>
      <c r="O12" s="710">
        <f t="shared" si="5"/>
        <v>0.01836028995</v>
      </c>
      <c r="P12" s="714"/>
      <c r="Q12" s="710">
        <f t="shared" si="10"/>
        <v>0.0004816795402</v>
      </c>
      <c r="R12" s="710">
        <v>3.677641626E-4</v>
      </c>
      <c r="S12" s="714"/>
      <c r="T12" s="715">
        <f>'CTT Data Filter'!E11</f>
        <v>0.03801832512</v>
      </c>
      <c r="U12" s="710">
        <f t="shared" si="6"/>
        <v>7.533021243</v>
      </c>
      <c r="V12" s="710">
        <f t="shared" si="7"/>
        <v>3.147485046</v>
      </c>
      <c r="W12" s="599">
        <f t="shared" si="8"/>
        <v>4.385536197</v>
      </c>
      <c r="X12" s="710">
        <f t="shared" si="9"/>
        <v>0.94172866</v>
      </c>
      <c r="Y12" s="714"/>
      <c r="Z12" s="714"/>
      <c r="AA12" s="714"/>
      <c r="AB12" s="714"/>
      <c r="AC12" s="714"/>
      <c r="AD12" s="714"/>
      <c r="AE12" s="714"/>
      <c r="AF12" s="714"/>
      <c r="AG12" s="714"/>
    </row>
    <row r="13">
      <c r="A13" s="710">
        <v>300011.0</v>
      </c>
      <c r="B13" s="711">
        <v>45727.0</v>
      </c>
      <c r="C13" s="712" t="str">
        <f t="shared" si="1"/>
        <v>45.86%</v>
      </c>
      <c r="D13" s="713">
        <f>'CTT Data Filter'!F12</f>
        <v>4783.8</v>
      </c>
      <c r="E13" s="710">
        <f t="shared" si="2"/>
        <v>4.7838</v>
      </c>
      <c r="F13" s="714" t="s">
        <v>3358</v>
      </c>
      <c r="G13" s="710">
        <f t="shared" si="3"/>
        <v>2.91716124</v>
      </c>
      <c r="H13" s="714"/>
      <c r="I13" s="710">
        <v>0.0</v>
      </c>
      <c r="J13" s="710">
        <f t="shared" si="4"/>
        <v>0.0346325799</v>
      </c>
      <c r="K13" s="714"/>
      <c r="L13" s="710">
        <f>(('CTT Data Filter'!H12/$AF$14)*$AF$23)*'CTT Data Filter'!G12</f>
        <v>0.2230598497</v>
      </c>
      <c r="M13" s="714"/>
      <c r="N13" s="710">
        <v>0.0</v>
      </c>
      <c r="O13" s="710">
        <f t="shared" si="5"/>
        <v>0.01836028995</v>
      </c>
      <c r="P13" s="714"/>
      <c r="Q13" s="710">
        <f t="shared" si="10"/>
        <v>0.0004948052534</v>
      </c>
      <c r="R13" s="710">
        <v>3.677641626E-4</v>
      </c>
      <c r="S13" s="714"/>
      <c r="T13" s="715">
        <f>'CTT Data Filter'!E12</f>
        <v>0.05924810228</v>
      </c>
      <c r="U13" s="710">
        <f t="shared" si="6"/>
        <v>7.567520365</v>
      </c>
      <c r="V13" s="710">
        <f t="shared" si="7"/>
        <v>3.194076529</v>
      </c>
      <c r="W13" s="599">
        <f t="shared" si="8"/>
        <v>4.373443836</v>
      </c>
      <c r="X13" s="710">
        <f t="shared" si="9"/>
        <v>0.9142196238</v>
      </c>
      <c r="Y13" s="714"/>
      <c r="Z13" s="714"/>
      <c r="AA13" s="714"/>
      <c r="AB13" s="718" t="s">
        <v>3371</v>
      </c>
      <c r="AC13" s="714"/>
      <c r="AD13" s="714"/>
      <c r="AE13" s="718" t="s">
        <v>3372</v>
      </c>
      <c r="AF13" s="714"/>
      <c r="AG13" s="714"/>
    </row>
    <row r="14">
      <c r="A14" s="710">
        <v>300012.0</v>
      </c>
      <c r="B14" s="711">
        <v>45729.0</v>
      </c>
      <c r="C14" s="712" t="str">
        <f t="shared" si="1"/>
        <v>45.86%</v>
      </c>
      <c r="D14" s="713">
        <f>'CTT Data Filter'!F13</f>
        <v>4905.757</v>
      </c>
      <c r="E14" s="710">
        <f t="shared" si="2"/>
        <v>4.905757</v>
      </c>
      <c r="F14" s="714" t="s">
        <v>3358</v>
      </c>
      <c r="G14" s="710">
        <f t="shared" si="3"/>
        <v>2.991530619</v>
      </c>
      <c r="H14" s="714"/>
      <c r="I14" s="710">
        <v>0.0</v>
      </c>
      <c r="J14" s="710">
        <f t="shared" si="4"/>
        <v>0.0346325799</v>
      </c>
      <c r="K14" s="714"/>
      <c r="L14" s="710">
        <f>(('CTT Data Filter'!H13/$AF$14)*$AF$23)*'CTT Data Filter'!G13</f>
        <v>0.2498157395</v>
      </c>
      <c r="M14" s="714"/>
      <c r="N14" s="710">
        <v>0.0</v>
      </c>
      <c r="O14" s="710">
        <f t="shared" si="5"/>
        <v>0.01836028995</v>
      </c>
      <c r="P14" s="714"/>
      <c r="Q14" s="710">
        <f t="shared" si="10"/>
        <v>0.0005074196947</v>
      </c>
      <c r="R14" s="710">
        <v>3.677641626E-4</v>
      </c>
      <c r="S14" s="714"/>
      <c r="T14" s="715">
        <f>'CTT Data Filter'!E13</f>
        <v>0.03332272634</v>
      </c>
      <c r="U14" s="710">
        <f t="shared" si="6"/>
        <v>7.974308289</v>
      </c>
      <c r="V14" s="710">
        <f t="shared" si="7"/>
        <v>3.295214412</v>
      </c>
      <c r="W14" s="599">
        <f t="shared" si="8"/>
        <v>4.679093877</v>
      </c>
      <c r="X14" s="710">
        <f t="shared" si="9"/>
        <v>0.9537965043</v>
      </c>
      <c r="Y14" s="714"/>
      <c r="Z14" s="714"/>
      <c r="AA14" s="714"/>
      <c r="AB14" s="714" t="s">
        <v>3373</v>
      </c>
      <c r="AC14" s="710">
        <v>537.0</v>
      </c>
      <c r="AD14" s="714"/>
      <c r="AE14" s="714" t="s">
        <v>3374</v>
      </c>
      <c r="AF14" s="710">
        <v>907.185</v>
      </c>
      <c r="AG14" s="714"/>
    </row>
    <row r="15">
      <c r="A15" s="710">
        <v>300013.0</v>
      </c>
      <c r="B15" s="711">
        <v>45734.0</v>
      </c>
      <c r="C15" s="712" t="str">
        <f t="shared" si="1"/>
        <v>49.21%</v>
      </c>
      <c r="D15" s="713">
        <f>'CTT Data Filter'!F14</f>
        <v>4873.407</v>
      </c>
      <c r="E15" s="710">
        <f t="shared" si="2"/>
        <v>4.873407</v>
      </c>
      <c r="F15" s="714" t="s">
        <v>3360</v>
      </c>
      <c r="G15" s="710">
        <f t="shared" si="3"/>
        <v>3.038081924</v>
      </c>
      <c r="H15" s="714"/>
      <c r="I15" s="710">
        <v>0.0</v>
      </c>
      <c r="J15" s="710">
        <f t="shared" si="4"/>
        <v>0.0346325799</v>
      </c>
      <c r="K15" s="714"/>
      <c r="L15" s="710">
        <f>(('CTT Data Filter'!H14/$AF$14)*$AF$23)*'CTT Data Filter'!G14</f>
        <v>0.2245730689</v>
      </c>
      <c r="M15" s="714"/>
      <c r="N15" s="710">
        <v>0.0</v>
      </c>
      <c r="O15" s="710">
        <f t="shared" si="5"/>
        <v>0.01836028995</v>
      </c>
      <c r="P15" s="714"/>
      <c r="Q15" s="710">
        <f t="shared" si="10"/>
        <v>0.0005040736204</v>
      </c>
      <c r="R15" s="710">
        <v>3.677641626E-4</v>
      </c>
      <c r="S15" s="714"/>
      <c r="T15" s="715">
        <f>'CTT Data Filter'!E14</f>
        <v>0.04113961473</v>
      </c>
      <c r="U15" s="710">
        <f t="shared" si="6"/>
        <v>8.431655515</v>
      </c>
      <c r="V15" s="710">
        <f t="shared" si="7"/>
        <v>3.3165197</v>
      </c>
      <c r="W15" s="599">
        <f t="shared" si="8"/>
        <v>5.115135815</v>
      </c>
      <c r="X15" s="710">
        <f t="shared" si="9"/>
        <v>1.049601606</v>
      </c>
      <c r="Y15" s="714"/>
      <c r="Z15" s="714"/>
      <c r="AA15" s="714"/>
      <c r="AB15" s="714" t="s">
        <v>3375</v>
      </c>
      <c r="AC15" s="710">
        <v>233.0</v>
      </c>
      <c r="AD15" s="714"/>
      <c r="AE15" s="714"/>
      <c r="AF15" s="714"/>
      <c r="AG15" s="714"/>
    </row>
    <row r="16">
      <c r="A16" s="710">
        <v>300014.0</v>
      </c>
      <c r="B16" s="711">
        <v>45736.0</v>
      </c>
      <c r="C16" s="712" t="str">
        <f t="shared" si="1"/>
        <v>49.21%</v>
      </c>
      <c r="D16" s="713">
        <f>'CTT Data Filter'!F15</f>
        <v>5258.12</v>
      </c>
      <c r="E16" s="710">
        <f t="shared" si="2"/>
        <v>5.25812</v>
      </c>
      <c r="F16" s="714" t="s">
        <v>3360</v>
      </c>
      <c r="G16" s="710">
        <f t="shared" si="3"/>
        <v>3.277912008</v>
      </c>
      <c r="H16" s="714"/>
      <c r="I16" s="710">
        <v>0.0</v>
      </c>
      <c r="J16" s="710">
        <f t="shared" si="4"/>
        <v>0.0346325799</v>
      </c>
      <c r="K16" s="714"/>
      <c r="L16" s="710">
        <f>(('CTT Data Filter'!H15/$AF$14)*$AF$23)*'CTT Data Filter'!G15</f>
        <v>0.2727460417</v>
      </c>
      <c r="M16" s="714"/>
      <c r="N16" s="710">
        <v>0.0</v>
      </c>
      <c r="O16" s="710">
        <f t="shared" si="5"/>
        <v>0.01836028995</v>
      </c>
      <c r="P16" s="714"/>
      <c r="Q16" s="710">
        <f t="shared" si="10"/>
        <v>0.0005438658386</v>
      </c>
      <c r="R16" s="710">
        <v>3.677641626E-4</v>
      </c>
      <c r="S16" s="714"/>
      <c r="T16" s="715">
        <f>'CTT Data Filter'!E15</f>
        <v>0.04074137148</v>
      </c>
      <c r="U16" s="710">
        <f t="shared" si="6"/>
        <v>9.10103958</v>
      </c>
      <c r="V16" s="710">
        <f t="shared" si="7"/>
        <v>3.60456255</v>
      </c>
      <c r="W16" s="599">
        <f t="shared" si="8"/>
        <v>5.496477031</v>
      </c>
      <c r="X16" s="710">
        <f t="shared" si="9"/>
        <v>1.045331227</v>
      </c>
      <c r="Y16" s="714"/>
      <c r="Z16" s="714"/>
      <c r="AA16" s="714"/>
      <c r="AB16" s="714"/>
      <c r="AC16" s="714"/>
      <c r="AD16" s="714"/>
      <c r="AE16" s="714"/>
      <c r="AF16" s="714"/>
      <c r="AG16" s="714"/>
    </row>
    <row r="17">
      <c r="A17" s="710">
        <v>300015.0</v>
      </c>
      <c r="B17" s="711">
        <v>45740.0</v>
      </c>
      <c r="C17" s="712" t="str">
        <f t="shared" si="1"/>
        <v>49.21%</v>
      </c>
      <c r="D17" s="713">
        <f>'CTT Data Filter'!F16</f>
        <v>4108.765</v>
      </c>
      <c r="E17" s="710">
        <f t="shared" si="2"/>
        <v>4.108765</v>
      </c>
      <c r="F17" s="714" t="s">
        <v>3360</v>
      </c>
      <c r="G17" s="710">
        <f t="shared" si="3"/>
        <v>2.561404101</v>
      </c>
      <c r="H17" s="714"/>
      <c r="I17" s="710">
        <v>0.0</v>
      </c>
      <c r="J17" s="710">
        <f t="shared" si="4"/>
        <v>0.0346325799</v>
      </c>
      <c r="K17" s="714"/>
      <c r="L17" s="710">
        <f>(('CTT Data Filter'!H16/$AF$14)*$AF$23)*'CTT Data Filter'!G16</f>
        <v>0.1911912002</v>
      </c>
      <c r="M17" s="714"/>
      <c r="N17" s="710">
        <v>0.0</v>
      </c>
      <c r="O17" s="710">
        <f t="shared" si="5"/>
        <v>0.01836028995</v>
      </c>
      <c r="P17" s="714"/>
      <c r="Q17" s="710">
        <f t="shared" si="10"/>
        <v>0.00042498401</v>
      </c>
      <c r="R17" s="710">
        <v>3.677641626E-4</v>
      </c>
      <c r="S17" s="714"/>
      <c r="T17" s="715">
        <f>'CTT Data Filter'!E16</f>
        <v>0.06265844795</v>
      </c>
      <c r="U17" s="710">
        <f t="shared" si="6"/>
        <v>6.949186506</v>
      </c>
      <c r="V17" s="710">
        <f t="shared" si="7"/>
        <v>2.806380919</v>
      </c>
      <c r="W17" s="599">
        <f t="shared" si="8"/>
        <v>4.142805586</v>
      </c>
      <c r="X17" s="710">
        <f t="shared" si="9"/>
        <v>1.008284871</v>
      </c>
      <c r="Y17" s="714"/>
      <c r="Z17" s="714"/>
      <c r="AA17" s="714"/>
      <c r="AB17" s="718" t="s">
        <v>1852</v>
      </c>
      <c r="AC17" s="714"/>
      <c r="AD17" s="714"/>
      <c r="AE17" s="714"/>
      <c r="AF17" s="714"/>
      <c r="AG17" s="714"/>
    </row>
    <row r="18">
      <c r="A18" s="710">
        <v>300016.0</v>
      </c>
      <c r="B18" s="711">
        <v>45743.0</v>
      </c>
      <c r="C18" s="715">
        <f t="shared" si="1"/>
        <v>0.4754</v>
      </c>
      <c r="D18" s="713">
        <f>'CTT Data Filter'!F17</f>
        <v>4344.009</v>
      </c>
      <c r="E18" s="710">
        <f t="shared" si="2"/>
        <v>4.344009</v>
      </c>
      <c r="F18" s="714" t="s">
        <v>3362</v>
      </c>
      <c r="G18" s="710">
        <f t="shared" si="3"/>
        <v>2.617699823</v>
      </c>
      <c r="H18" s="714"/>
      <c r="I18" s="710">
        <v>0.0</v>
      </c>
      <c r="J18" s="710">
        <f t="shared" si="4"/>
        <v>0.0346325799</v>
      </c>
      <c r="K18" s="714"/>
      <c r="L18" s="710">
        <f>(('CTT Data Filter'!H17/$AF$14)*$AF$23)*'CTT Data Filter'!G17</f>
        <v>0.1994880548</v>
      </c>
      <c r="M18" s="714"/>
      <c r="N18" s="710">
        <v>0.0</v>
      </c>
      <c r="O18" s="710">
        <f t="shared" si="5"/>
        <v>0.01836028995</v>
      </c>
      <c r="P18" s="714"/>
      <c r="Q18" s="710">
        <f t="shared" si="10"/>
        <v>0.000449316124</v>
      </c>
      <c r="R18" s="710">
        <v>3.677641626E-4</v>
      </c>
      <c r="S18" s="714"/>
      <c r="T18" s="715">
        <f>'CTT Data Filter'!E17</f>
        <v>0.03509676502</v>
      </c>
      <c r="U18" s="710">
        <f t="shared" si="6"/>
        <v>7.306427624</v>
      </c>
      <c r="V18" s="710">
        <f t="shared" si="7"/>
        <v>2.870997828</v>
      </c>
      <c r="W18" s="599">
        <f t="shared" si="8"/>
        <v>4.435429796</v>
      </c>
      <c r="X18" s="710">
        <f t="shared" si="9"/>
        <v>1.021045259</v>
      </c>
      <c r="Y18" s="714"/>
      <c r="Z18" s="714"/>
      <c r="AA18" s="714"/>
      <c r="AB18" s="714" t="s">
        <v>3376</v>
      </c>
      <c r="AC18" s="714" t="s">
        <v>3377</v>
      </c>
      <c r="AD18" s="710">
        <f>(70/1000000)*1.609</f>
        <v>0.00011263</v>
      </c>
      <c r="AE18" s="710">
        <v>0.0</v>
      </c>
      <c r="AF18" s="710">
        <f t="shared" ref="AF18:AF19" si="11">SUM(AD18:AE18)</f>
        <v>0.00011263</v>
      </c>
      <c r="AG18" s="714"/>
    </row>
    <row r="19">
      <c r="A19" s="710">
        <v>300017.0</v>
      </c>
      <c r="B19" s="711">
        <v>45744.0</v>
      </c>
      <c r="C19" s="715">
        <f t="shared" si="1"/>
        <v>0.4754</v>
      </c>
      <c r="D19" s="713">
        <f>'CTT Data Filter'!F18</f>
        <v>1994.517</v>
      </c>
      <c r="E19" s="710">
        <f t="shared" si="2"/>
        <v>1.994517</v>
      </c>
      <c r="F19" s="714" t="s">
        <v>3362</v>
      </c>
      <c r="G19" s="710">
        <f t="shared" si="3"/>
        <v>1.201895944</v>
      </c>
      <c r="H19" s="714"/>
      <c r="I19" s="710">
        <v>0.0</v>
      </c>
      <c r="J19" s="710">
        <f t="shared" si="4"/>
        <v>0.0346325799</v>
      </c>
      <c r="K19" s="714"/>
      <c r="L19" s="710">
        <f>(('CTT Data Filter'!H18/$AF$14)*$AF$23)*'CTT Data Filter'!G18</f>
        <v>0.09737660051</v>
      </c>
      <c r="M19" s="714"/>
      <c r="N19" s="710">
        <v>0.0</v>
      </c>
      <c r="O19" s="710">
        <f t="shared" si="5"/>
        <v>0.01836028995</v>
      </c>
      <c r="P19" s="714"/>
      <c r="Q19" s="710">
        <f t="shared" si="10"/>
        <v>0.0002062999058</v>
      </c>
      <c r="R19" s="710">
        <v>3.677641626E-4</v>
      </c>
      <c r="S19" s="714"/>
      <c r="T19" s="715">
        <f>'CTT Data Filter'!E18</f>
        <v>0.06691365192</v>
      </c>
      <c r="U19" s="710">
        <f t="shared" si="6"/>
        <v>3.244069766</v>
      </c>
      <c r="V19" s="710">
        <f t="shared" si="7"/>
        <v>1.352839479</v>
      </c>
      <c r="W19" s="599">
        <f t="shared" si="8"/>
        <v>1.891230288</v>
      </c>
      <c r="X19" s="710">
        <f t="shared" si="9"/>
        <v>0.9482146744</v>
      </c>
      <c r="Y19" s="714"/>
      <c r="Z19" s="714"/>
      <c r="AA19" s="714"/>
      <c r="AB19" s="714" t="s">
        <v>3378</v>
      </c>
      <c r="AC19" s="714" t="s">
        <v>3377</v>
      </c>
      <c r="AD19" s="710">
        <f>(84/1000000)*1.609</f>
        <v>0.000135156</v>
      </c>
      <c r="AE19" s="710">
        <v>0.0</v>
      </c>
      <c r="AF19" s="710">
        <f t="shared" si="11"/>
        <v>0.000135156</v>
      </c>
      <c r="AG19" s="714"/>
    </row>
    <row r="20">
      <c r="A20" s="710">
        <v>300018.0</v>
      </c>
      <c r="B20" s="711">
        <v>45747.0</v>
      </c>
      <c r="C20" s="715">
        <f t="shared" si="1"/>
        <v>0.4754</v>
      </c>
      <c r="D20" s="713">
        <f>'CTT Data Filter'!F19</f>
        <v>4974.41</v>
      </c>
      <c r="E20" s="710">
        <f t="shared" si="2"/>
        <v>4.97441</v>
      </c>
      <c r="F20" s="714" t="s">
        <v>3362</v>
      </c>
      <c r="G20" s="710">
        <f t="shared" si="3"/>
        <v>2.997579466</v>
      </c>
      <c r="H20" s="714"/>
      <c r="I20" s="710">
        <v>0.0</v>
      </c>
      <c r="J20" s="710">
        <f t="shared" si="4"/>
        <v>0.0346325799</v>
      </c>
      <c r="K20" s="714"/>
      <c r="L20" s="710">
        <f>(('CTT Data Filter'!H19/$AF$14)*$AF$23)*'CTT Data Filter'!G19</f>
        <v>0.2310788172</v>
      </c>
      <c r="M20" s="714"/>
      <c r="N20" s="710">
        <v>0.0</v>
      </c>
      <c r="O20" s="710">
        <f t="shared" si="5"/>
        <v>0.01836028995</v>
      </c>
      <c r="P20" s="714"/>
      <c r="Q20" s="710">
        <f t="shared" si="10"/>
        <v>0.0005145207158</v>
      </c>
      <c r="R20" s="710">
        <v>3.677641626E-4</v>
      </c>
      <c r="S20" s="714"/>
      <c r="T20" s="715">
        <f>'CTT Data Filter'!E19</f>
        <v>0.02668712408</v>
      </c>
      <c r="U20" s="710">
        <f t="shared" si="6"/>
        <v>8.439654234</v>
      </c>
      <c r="V20" s="710">
        <f t="shared" si="7"/>
        <v>3.282533438</v>
      </c>
      <c r="W20" s="599">
        <f t="shared" si="8"/>
        <v>5.157120796</v>
      </c>
      <c r="X20" s="710">
        <f t="shared" si="9"/>
        <v>1.036730144</v>
      </c>
      <c r="Y20" s="714"/>
      <c r="Z20" s="714"/>
      <c r="AA20" s="714"/>
      <c r="AB20" s="714" t="s">
        <v>3379</v>
      </c>
      <c r="AC20" s="714" t="s">
        <v>3380</v>
      </c>
      <c r="AD20" s="710">
        <v>7.879952768E-5</v>
      </c>
      <c r="AE20" s="710">
        <v>0.0</v>
      </c>
      <c r="AF20" s="710">
        <v>7.879952768E-5</v>
      </c>
      <c r="AG20" s="714"/>
    </row>
    <row r="21">
      <c r="A21" s="719">
        <v>300019.0</v>
      </c>
      <c r="B21" s="720">
        <v>45750.0</v>
      </c>
      <c r="C21" s="721">
        <f t="shared" si="1"/>
        <v>0.4754</v>
      </c>
      <c r="D21" s="722">
        <f>'CTT Data Filter'!F20</f>
        <v>5377.05</v>
      </c>
      <c r="E21" s="723">
        <f t="shared" si="2"/>
        <v>5.37705</v>
      </c>
      <c r="F21" s="641" t="s">
        <v>3362</v>
      </c>
      <c r="G21" s="719">
        <f t="shared" si="3"/>
        <v>3.24021033</v>
      </c>
      <c r="H21" s="641"/>
      <c r="I21" s="719">
        <v>0.0</v>
      </c>
      <c r="J21" s="719">
        <f t="shared" si="4"/>
        <v>0.0346325799</v>
      </c>
      <c r="K21" s="641"/>
      <c r="L21" s="719">
        <f>(('CTT Data Filter'!H20/$AF$14)*$AF$23)*'CTT Data Filter'!G20</f>
        <v>0.2493687467</v>
      </c>
      <c r="M21" s="641"/>
      <c r="N21" s="719">
        <v>0.0</v>
      </c>
      <c r="O21" s="719">
        <f t="shared" si="5"/>
        <v>0.01836028995</v>
      </c>
      <c r="P21" s="641"/>
      <c r="Q21" s="719">
        <f t="shared" si="10"/>
        <v>0.0005561671867</v>
      </c>
      <c r="R21" s="719">
        <v>3.677641626E-4</v>
      </c>
      <c r="S21" s="641"/>
      <c r="T21" s="721">
        <f>'CTT Data Filter'!E20</f>
        <v>0.07915764379</v>
      </c>
      <c r="U21" s="719">
        <f t="shared" si="6"/>
        <v>8.630977216</v>
      </c>
      <c r="V21" s="719">
        <f t="shared" si="7"/>
        <v>3.543495878</v>
      </c>
      <c r="W21" s="719">
        <f t="shared" si="8"/>
        <v>5.087481338</v>
      </c>
      <c r="X21" s="719">
        <f t="shared" si="9"/>
        <v>0.9461472997</v>
      </c>
      <c r="Y21" s="645" t="s">
        <v>3381</v>
      </c>
      <c r="Z21" s="641" t="str">
        <f>SUM(W21:W30)</f>
        <v>#N/A</v>
      </c>
      <c r="AA21" s="641"/>
      <c r="AB21" s="641" t="s">
        <v>3382</v>
      </c>
      <c r="AC21" s="641" t="s">
        <v>3380</v>
      </c>
      <c r="AD21" s="719">
        <v>6.44927E-5</v>
      </c>
      <c r="AE21" s="719">
        <v>0.0</v>
      </c>
      <c r="AF21" s="719">
        <v>6.44927E-5</v>
      </c>
      <c r="AG21" s="641"/>
    </row>
    <row r="22">
      <c r="A22" s="719">
        <v>300020.0</v>
      </c>
      <c r="B22" s="720">
        <v>45768.0</v>
      </c>
      <c r="C22" s="721">
        <f t="shared" si="1"/>
        <v>0.4754</v>
      </c>
      <c r="D22" s="722">
        <f>'CTT Data Filter'!F21</f>
        <v>4296.75</v>
      </c>
      <c r="E22" s="723">
        <f t="shared" si="2"/>
        <v>4.29675</v>
      </c>
      <c r="F22" s="641" t="s">
        <v>3362</v>
      </c>
      <c r="G22" s="719">
        <f t="shared" si="3"/>
        <v>2.58922155</v>
      </c>
      <c r="H22" s="641"/>
      <c r="I22" s="719">
        <v>0.0</v>
      </c>
      <c r="J22" s="719">
        <f t="shared" si="4"/>
        <v>0.0346325799</v>
      </c>
      <c r="K22" s="641"/>
      <c r="L22" s="719">
        <f>(('CTT Data Filter'!H21/$AF$14)*$AF$23)*'CTT Data Filter'!G21</f>
        <v>0.2002436382</v>
      </c>
      <c r="M22" s="641"/>
      <c r="N22" s="719">
        <v>0.0</v>
      </c>
      <c r="O22" s="719">
        <f t="shared" si="5"/>
        <v>0.01836028995</v>
      </c>
      <c r="P22" s="641"/>
      <c r="Q22" s="719">
        <f t="shared" si="10"/>
        <v>0.0004444279594</v>
      </c>
      <c r="R22" s="719">
        <v>3.677641626E-4</v>
      </c>
      <c r="S22" s="641"/>
      <c r="T22" s="721">
        <f>'CTT Data Filter'!E21</f>
        <v>0.007332800761</v>
      </c>
      <c r="U22" s="719">
        <f t="shared" si="6"/>
        <v>7.434886879</v>
      </c>
      <c r="V22" s="719">
        <f t="shared" si="7"/>
        <v>2.84327025</v>
      </c>
      <c r="W22" s="719">
        <f t="shared" si="8"/>
        <v>4.591616629</v>
      </c>
      <c r="X22" s="719">
        <f t="shared" si="9"/>
        <v>1.068625503</v>
      </c>
      <c r="Y22" s="641"/>
      <c r="Z22" s="641"/>
      <c r="AA22" s="641"/>
      <c r="AB22" s="641" t="s">
        <v>3383</v>
      </c>
      <c r="AC22" s="641" t="s">
        <v>3384</v>
      </c>
      <c r="AD22" s="719">
        <v>1.004415071E-5</v>
      </c>
      <c r="AE22" s="719">
        <v>0.0</v>
      </c>
      <c r="AF22" s="719">
        <v>1.004415071E-5</v>
      </c>
      <c r="AG22" s="641"/>
    </row>
    <row r="23">
      <c r="A23" s="719">
        <v>300021.0</v>
      </c>
      <c r="B23" s="720">
        <v>45772.0</v>
      </c>
      <c r="C23" s="721">
        <f t="shared" si="1"/>
        <v>0.5158</v>
      </c>
      <c r="D23" s="722">
        <f>'CTT Data Filter'!F22</f>
        <v>3072.77</v>
      </c>
      <c r="E23" s="723">
        <f t="shared" si="2"/>
        <v>3.07277</v>
      </c>
      <c r="F23" s="641" t="s">
        <v>3363</v>
      </c>
      <c r="G23" s="719">
        <f t="shared" si="3"/>
        <v>2.563612011</v>
      </c>
      <c r="H23" s="641"/>
      <c r="I23" s="719">
        <v>0.0</v>
      </c>
      <c r="J23" s="719">
        <f t="shared" si="4"/>
        <v>0.0346325799</v>
      </c>
      <c r="K23" s="641"/>
      <c r="L23" s="719">
        <f>(('CTT Data Filter'!H22/$AF$14)*$AF$23)*'CTT Data Filter'!G22</f>
        <v>0.1432167186</v>
      </c>
      <c r="M23" s="641"/>
      <c r="N23" s="719">
        <v>0.0</v>
      </c>
      <c r="O23" s="719">
        <f t="shared" si="5"/>
        <v>0.01836028995</v>
      </c>
      <c r="P23" s="641"/>
      <c r="Q23" s="719">
        <f t="shared" si="10"/>
        <v>0.0003178274047</v>
      </c>
      <c r="R23" s="719">
        <v>3.677641626E-4</v>
      </c>
      <c r="S23" s="641"/>
      <c r="T23" s="721">
        <f>'CTT Data Filter'!E22</f>
        <v>0.03850038064</v>
      </c>
      <c r="U23" s="719">
        <f t="shared" si="6"/>
        <v>5.587685305</v>
      </c>
      <c r="V23" s="719">
        <f t="shared" si="7"/>
        <v>2.760507191</v>
      </c>
      <c r="W23" s="719">
        <f t="shared" si="8"/>
        <v>2.827178114</v>
      </c>
      <c r="X23" s="719">
        <f t="shared" si="9"/>
        <v>0.9200747581</v>
      </c>
      <c r="Y23" s="641"/>
      <c r="Z23" s="641"/>
      <c r="AA23" s="641"/>
      <c r="AB23" s="641" t="s">
        <v>3385</v>
      </c>
      <c r="AC23" s="641" t="s">
        <v>3386</v>
      </c>
      <c r="AD23" s="719">
        <v>0.89272</v>
      </c>
      <c r="AE23" s="719">
        <v>0.001200260388</v>
      </c>
      <c r="AF23" s="719">
        <v>0.8937914965</v>
      </c>
      <c r="AG23" s="719" t="s">
        <v>3387</v>
      </c>
    </row>
    <row r="24">
      <c r="A24" s="719">
        <v>300022.0</v>
      </c>
      <c r="B24" s="720">
        <v>45775.0</v>
      </c>
      <c r="C24" s="721">
        <v>0.5056</v>
      </c>
      <c r="D24" s="722">
        <f>'CTT Data Filter'!F23</f>
        <v>4431.14</v>
      </c>
      <c r="E24" s="723">
        <f t="shared" si="2"/>
        <v>4.43114</v>
      </c>
      <c r="F24" s="641" t="s">
        <v>3388</v>
      </c>
      <c r="G24" s="719">
        <f>E24*0.7835</f>
        <v>3.47179819</v>
      </c>
      <c r="H24" s="641"/>
      <c r="I24" s="719">
        <v>0.0</v>
      </c>
      <c r="J24" s="719">
        <f t="shared" si="4"/>
        <v>0.0346325799</v>
      </c>
      <c r="K24" s="641"/>
      <c r="L24" s="719">
        <f>(('CTT Data Filter'!H23/$AF$14)*$AF$23)*'CTT Data Filter'!G23</f>
        <v>0.206334933</v>
      </c>
      <c r="M24" s="641"/>
      <c r="N24" s="719">
        <v>0.0</v>
      </c>
      <c r="O24" s="719">
        <f t="shared" si="5"/>
        <v>0.01836028995</v>
      </c>
      <c r="P24" s="641"/>
      <c r="Q24" s="719">
        <f t="shared" si="10"/>
        <v>0.0004583283896</v>
      </c>
      <c r="R24" s="719">
        <v>3.677641626E-4</v>
      </c>
      <c r="S24" s="641"/>
      <c r="T24" s="721">
        <f>'CTT Data Filter'!E23</f>
        <v>0.04259452028</v>
      </c>
      <c r="U24" s="719">
        <f t="shared" si="6"/>
        <v>7.864839715</v>
      </c>
      <c r="V24" s="719">
        <f t="shared" si="7"/>
        <v>3.731952085</v>
      </c>
      <c r="W24" s="719">
        <f t="shared" si="8"/>
        <v>4.13288763</v>
      </c>
      <c r="X24" s="719">
        <f t="shared" si="9"/>
        <v>0.9326917294</v>
      </c>
      <c r="Y24" s="641"/>
      <c r="Z24" s="641"/>
      <c r="AA24" s="641"/>
      <c r="AB24" s="641" t="s">
        <v>3389</v>
      </c>
      <c r="AC24" s="641" t="s">
        <v>3390</v>
      </c>
      <c r="AD24" s="724">
        <v>1.034335159E-4</v>
      </c>
      <c r="AE24" s="719">
        <v>0.0</v>
      </c>
      <c r="AF24" s="724">
        <v>1.034335159E-4</v>
      </c>
      <c r="AG24" s="725"/>
    </row>
    <row r="25">
      <c r="A25" s="719">
        <v>300023.0</v>
      </c>
      <c r="B25" s="720">
        <v>45782.0</v>
      </c>
      <c r="C25" s="721">
        <f t="shared" ref="C25:C31" si="12">VLOOKUP(F25, $AB$2:$AD$11, 3, FALSE)</f>
        <v>0.5158</v>
      </c>
      <c r="D25" s="722" t="str">
        <f>'CTT Data Filter'!F24</f>
        <v>#N/A</v>
      </c>
      <c r="E25" s="723" t="str">
        <f t="shared" si="2"/>
        <v>#N/A</v>
      </c>
      <c r="F25" s="641" t="s">
        <v>3363</v>
      </c>
      <c r="G25" s="719" t="str">
        <f t="shared" ref="G25:G31" si="13">(VLOOKUP(F25,$AB$2:$AC$11,2,false)*D25)/1000</f>
        <v>#N/A</v>
      </c>
      <c r="H25" s="641"/>
      <c r="I25" s="719">
        <v>0.0</v>
      </c>
      <c r="J25" s="719">
        <f t="shared" si="4"/>
        <v>0.0346325799</v>
      </c>
      <c r="K25" s="641"/>
      <c r="L25" s="719" t="str">
        <f>(('CTT Data Filter'!H24/$AF$14)*$AF$23)*'CTT Data Filter'!G24</f>
        <v>#REF!</v>
      </c>
      <c r="M25" s="641"/>
      <c r="N25" s="719">
        <v>0.0</v>
      </c>
      <c r="O25" s="719">
        <f t="shared" si="5"/>
        <v>0.01836028995</v>
      </c>
      <c r="P25" s="641"/>
      <c r="Q25" s="719" t="str">
        <f t="shared" si="10"/>
        <v>#N/A</v>
      </c>
      <c r="R25" s="719">
        <v>3.677641626E-4</v>
      </c>
      <c r="S25" s="641"/>
      <c r="T25" s="721" t="str">
        <f>'CTT Data Filter'!E24</f>
        <v>#N/A</v>
      </c>
      <c r="U25" s="719" t="str">
        <f t="shared" si="6"/>
        <v>#N/A</v>
      </c>
      <c r="V25" s="719" t="str">
        <f t="shared" si="7"/>
        <v>#N/A</v>
      </c>
      <c r="W25" s="719" t="str">
        <f t="shared" si="8"/>
        <v>#N/A</v>
      </c>
      <c r="X25" s="719" t="str">
        <f t="shared" si="9"/>
        <v>#N/A</v>
      </c>
      <c r="Y25" s="641"/>
      <c r="Z25" s="641"/>
      <c r="AA25" s="641"/>
      <c r="AB25" s="641"/>
      <c r="AC25" s="641"/>
      <c r="AD25" s="725"/>
      <c r="AE25" s="641"/>
      <c r="AF25" s="725"/>
      <c r="AG25" s="725"/>
    </row>
    <row r="26">
      <c r="A26" s="719">
        <v>300024.0</v>
      </c>
      <c r="B26" s="720">
        <v>45789.0</v>
      </c>
      <c r="C26" s="721">
        <f t="shared" si="12"/>
        <v>0.5158</v>
      </c>
      <c r="D26" s="722" t="str">
        <f>'CTT Data Filter'!F25</f>
        <v>#N/A</v>
      </c>
      <c r="E26" s="723" t="str">
        <f t="shared" si="2"/>
        <v>#N/A</v>
      </c>
      <c r="F26" s="641" t="s">
        <v>3363</v>
      </c>
      <c r="G26" s="719" t="str">
        <f t="shared" si="13"/>
        <v>#N/A</v>
      </c>
      <c r="H26" s="641"/>
      <c r="I26" s="719">
        <v>0.0</v>
      </c>
      <c r="J26" s="719">
        <f t="shared" si="4"/>
        <v>0.0346325799</v>
      </c>
      <c r="K26" s="641"/>
      <c r="L26" s="719" t="str">
        <f>(('CTT Data Filter'!H25/$AF$14)*$AF$23)*'CTT Data Filter'!G25</f>
        <v>#REF!</v>
      </c>
      <c r="M26" s="641"/>
      <c r="N26" s="719">
        <v>0.0</v>
      </c>
      <c r="O26" s="719">
        <f t="shared" si="5"/>
        <v>0.01836028995</v>
      </c>
      <c r="P26" s="641"/>
      <c r="Q26" s="719" t="str">
        <f t="shared" si="10"/>
        <v>#N/A</v>
      </c>
      <c r="R26" s="719">
        <v>3.677641626E-4</v>
      </c>
      <c r="S26" s="641"/>
      <c r="T26" s="721" t="str">
        <f>'CTT Data Filter'!E25</f>
        <v>#N/A</v>
      </c>
      <c r="U26" s="719" t="str">
        <f t="shared" si="6"/>
        <v>#N/A</v>
      </c>
      <c r="V26" s="719" t="str">
        <f t="shared" si="7"/>
        <v>#N/A</v>
      </c>
      <c r="W26" s="726" t="str">
        <f t="shared" si="8"/>
        <v>#N/A</v>
      </c>
      <c r="X26" s="719" t="str">
        <f t="shared" si="9"/>
        <v>#N/A</v>
      </c>
      <c r="Y26" s="641"/>
      <c r="Z26" s="641"/>
      <c r="AA26" s="641"/>
      <c r="AB26" s="641"/>
      <c r="AC26" s="641"/>
      <c r="AD26" s="641"/>
      <c r="AE26" s="641"/>
      <c r="AF26" s="641"/>
      <c r="AG26" s="641"/>
    </row>
    <row r="27">
      <c r="A27" s="719">
        <v>300025.0</v>
      </c>
      <c r="B27" s="720">
        <v>45790.0</v>
      </c>
      <c r="C27" s="721">
        <f t="shared" si="12"/>
        <v>0.5158</v>
      </c>
      <c r="D27" s="722" t="str">
        <f>'CTT Data Filter'!F26</f>
        <v>#N/A</v>
      </c>
      <c r="E27" s="723" t="str">
        <f t="shared" si="2"/>
        <v>#N/A</v>
      </c>
      <c r="F27" s="641" t="s">
        <v>3363</v>
      </c>
      <c r="G27" s="719" t="str">
        <f t="shared" si="13"/>
        <v>#N/A</v>
      </c>
      <c r="H27" s="641"/>
      <c r="I27" s="719">
        <v>0.0</v>
      </c>
      <c r="J27" s="719">
        <f t="shared" si="4"/>
        <v>0.0346325799</v>
      </c>
      <c r="K27" s="641"/>
      <c r="L27" s="719" t="str">
        <f>(('CTT Data Filter'!H26/$AF$14)*$AF$23)*'CTT Data Filter'!G26</f>
        <v>#REF!</v>
      </c>
      <c r="M27" s="641"/>
      <c r="N27" s="719">
        <v>0.0</v>
      </c>
      <c r="O27" s="719">
        <f t="shared" si="5"/>
        <v>0.01836028995</v>
      </c>
      <c r="P27" s="641"/>
      <c r="Q27" s="719" t="str">
        <f t="shared" si="10"/>
        <v>#N/A</v>
      </c>
      <c r="R27" s="719">
        <v>3.677641626E-4</v>
      </c>
      <c r="S27" s="641"/>
      <c r="T27" s="721" t="str">
        <f>'CTT Data Filter'!E26</f>
        <v>#N/A</v>
      </c>
      <c r="U27" s="719" t="str">
        <f t="shared" si="6"/>
        <v>#N/A</v>
      </c>
      <c r="V27" s="719" t="str">
        <f t="shared" si="7"/>
        <v>#N/A</v>
      </c>
      <c r="W27" s="726" t="str">
        <f t="shared" si="8"/>
        <v>#N/A</v>
      </c>
      <c r="X27" s="719" t="str">
        <f t="shared" si="9"/>
        <v>#N/A</v>
      </c>
      <c r="Y27" s="641"/>
      <c r="Z27" s="641"/>
      <c r="AA27" s="641"/>
      <c r="AB27" s="641"/>
      <c r="AC27" s="641"/>
      <c r="AD27" s="641"/>
      <c r="AE27" s="641"/>
      <c r="AF27" s="641"/>
      <c r="AG27" s="641"/>
    </row>
    <row r="28">
      <c r="A28" s="719">
        <v>300026.0</v>
      </c>
      <c r="B28" s="720">
        <v>45796.0</v>
      </c>
      <c r="C28" s="721">
        <f t="shared" si="12"/>
        <v>0.5158</v>
      </c>
      <c r="D28" s="722" t="str">
        <f>'CTT Data Filter'!F27</f>
        <v>#N/A</v>
      </c>
      <c r="E28" s="723" t="str">
        <f t="shared" si="2"/>
        <v>#N/A</v>
      </c>
      <c r="F28" s="641" t="s">
        <v>3363</v>
      </c>
      <c r="G28" s="719" t="str">
        <f t="shared" si="13"/>
        <v>#N/A</v>
      </c>
      <c r="H28" s="641"/>
      <c r="I28" s="719">
        <v>0.0</v>
      </c>
      <c r="J28" s="719">
        <f t="shared" si="4"/>
        <v>0.0346325799</v>
      </c>
      <c r="K28" s="641"/>
      <c r="L28" s="719" t="str">
        <f>(('CTT Data Filter'!H27/$AF$14)*$AF$23)*'CTT Data Filter'!G27</f>
        <v>#REF!</v>
      </c>
      <c r="M28" s="641"/>
      <c r="N28" s="719">
        <v>0.0</v>
      </c>
      <c r="O28" s="719">
        <f t="shared" si="5"/>
        <v>0.01836028995</v>
      </c>
      <c r="P28" s="641"/>
      <c r="Q28" s="719" t="str">
        <f t="shared" si="10"/>
        <v>#N/A</v>
      </c>
      <c r="R28" s="719">
        <v>3.677641626E-4</v>
      </c>
      <c r="S28" s="641"/>
      <c r="T28" s="721" t="str">
        <f>'CTT Data Filter'!E27</f>
        <v>#N/A</v>
      </c>
      <c r="U28" s="719" t="str">
        <f t="shared" si="6"/>
        <v>#N/A</v>
      </c>
      <c r="V28" s="719" t="str">
        <f t="shared" si="7"/>
        <v>#N/A</v>
      </c>
      <c r="W28" s="726" t="str">
        <f t="shared" si="8"/>
        <v>#N/A</v>
      </c>
      <c r="X28" s="719" t="str">
        <f t="shared" si="9"/>
        <v>#N/A</v>
      </c>
      <c r="Y28" s="641"/>
      <c r="Z28" s="641"/>
      <c r="AA28" s="641"/>
      <c r="AB28" s="641"/>
      <c r="AC28" s="641"/>
      <c r="AD28" s="641"/>
      <c r="AE28" s="641"/>
      <c r="AF28" s="641"/>
      <c r="AG28" s="641"/>
    </row>
    <row r="29">
      <c r="A29" s="719">
        <v>300027.0</v>
      </c>
      <c r="B29" s="720">
        <v>45804.0</v>
      </c>
      <c r="C29" s="721">
        <f t="shared" si="12"/>
        <v>0.493</v>
      </c>
      <c r="D29" s="722" t="str">
        <f>'CTT Data Filter'!F28</f>
        <v>#N/A</v>
      </c>
      <c r="E29" s="723" t="str">
        <f t="shared" si="2"/>
        <v>#N/A</v>
      </c>
      <c r="F29" s="645" t="s">
        <v>3364</v>
      </c>
      <c r="G29" s="719" t="str">
        <f t="shared" si="13"/>
        <v>#N/A</v>
      </c>
      <c r="H29" s="641"/>
      <c r="I29" s="719">
        <v>0.0</v>
      </c>
      <c r="J29" s="719">
        <f t="shared" si="4"/>
        <v>0.0346325799</v>
      </c>
      <c r="K29" s="641"/>
      <c r="L29" s="719" t="str">
        <f>(('CTT Data Filter'!H28/$AF$14)*$AF$23)*'CTT Data Filter'!G28</f>
        <v>#REF!</v>
      </c>
      <c r="M29" s="641"/>
      <c r="N29" s="719">
        <v>0.0</v>
      </c>
      <c r="O29" s="719">
        <f t="shared" si="5"/>
        <v>0.01836028995</v>
      </c>
      <c r="P29" s="641"/>
      <c r="Q29" s="719" t="str">
        <f t="shared" si="10"/>
        <v>#N/A</v>
      </c>
      <c r="R29" s="719">
        <v>3.677641626E-4</v>
      </c>
      <c r="S29" s="641"/>
      <c r="T29" s="721" t="str">
        <f>'CTT Data Filter'!E28</f>
        <v>#N/A</v>
      </c>
      <c r="U29" s="719" t="str">
        <f t="shared" si="6"/>
        <v>#N/A</v>
      </c>
      <c r="V29" s="719" t="str">
        <f t="shared" si="7"/>
        <v>#N/A</v>
      </c>
      <c r="W29" s="726" t="str">
        <f t="shared" si="8"/>
        <v>#N/A</v>
      </c>
      <c r="X29" s="719" t="str">
        <f t="shared" si="9"/>
        <v>#N/A</v>
      </c>
      <c r="Y29" s="641"/>
      <c r="Z29" s="641"/>
      <c r="AA29" s="641"/>
      <c r="AB29" s="641"/>
      <c r="AC29" s="641">
        <f>SUM(I21,J21,L21,N21,O21,Q21,R21)</f>
        <v>0.3032855479</v>
      </c>
      <c r="AD29" s="641"/>
      <c r="AE29" s="641"/>
      <c r="AF29" s="641"/>
      <c r="AG29" s="641"/>
    </row>
    <row r="30">
      <c r="A30" s="719">
        <v>300028.0</v>
      </c>
      <c r="B30" s="720">
        <v>45806.0</v>
      </c>
      <c r="C30" s="721">
        <f t="shared" si="12"/>
        <v>0.5158</v>
      </c>
      <c r="D30" s="722" t="str">
        <f>'CTT Data Filter'!F29</f>
        <v>#N/A</v>
      </c>
      <c r="E30" s="723" t="str">
        <f t="shared" si="2"/>
        <v>#N/A</v>
      </c>
      <c r="F30" s="645" t="s">
        <v>3363</v>
      </c>
      <c r="G30" s="719" t="str">
        <f t="shared" si="13"/>
        <v>#N/A</v>
      </c>
      <c r="H30" s="641"/>
      <c r="I30" s="719">
        <v>0.0</v>
      </c>
      <c r="J30" s="719">
        <f t="shared" si="4"/>
        <v>0.0346325799</v>
      </c>
      <c r="K30" s="641"/>
      <c r="L30" s="719" t="str">
        <f>(('CTT Data Filter'!H29/$AF$14)*$AF$23)*'CTT Data Filter'!G29</f>
        <v>#REF!</v>
      </c>
      <c r="M30" s="641"/>
      <c r="N30" s="719">
        <v>0.0</v>
      </c>
      <c r="O30" s="719">
        <f t="shared" si="5"/>
        <v>0.01836028995</v>
      </c>
      <c r="P30" s="641"/>
      <c r="Q30" s="719" t="str">
        <f t="shared" si="10"/>
        <v>#N/A</v>
      </c>
      <c r="R30" s="719">
        <v>3.677641626E-4</v>
      </c>
      <c r="S30" s="641"/>
      <c r="T30" s="721" t="str">
        <f>'CTT Data Filter'!E29</f>
        <v>#N/A</v>
      </c>
      <c r="U30" s="719" t="str">
        <f t="shared" si="6"/>
        <v>#N/A</v>
      </c>
      <c r="V30" s="719" t="str">
        <f t="shared" si="7"/>
        <v>#N/A</v>
      </c>
      <c r="W30" s="726" t="str">
        <f t="shared" si="8"/>
        <v>#N/A</v>
      </c>
      <c r="X30" s="719" t="str">
        <f t="shared" si="9"/>
        <v>#N/A</v>
      </c>
      <c r="Y30" s="641"/>
      <c r="Z30" s="641"/>
      <c r="AA30" s="641"/>
      <c r="AB30" s="641"/>
      <c r="AC30" s="645">
        <v>0.5937</v>
      </c>
      <c r="AD30" s="641"/>
      <c r="AE30" s="641"/>
      <c r="AF30" s="641"/>
      <c r="AG30" s="641"/>
    </row>
    <row r="31">
      <c r="A31" s="727">
        <v>300029.0</v>
      </c>
      <c r="B31" s="728">
        <v>45834.0</v>
      </c>
      <c r="C31" s="729">
        <f t="shared" si="12"/>
        <v>0.493</v>
      </c>
      <c r="D31" s="730" t="str">
        <f>'CTT Data Filter'!F30</f>
        <v>#N/A</v>
      </c>
      <c r="E31" s="727" t="str">
        <f t="shared" si="2"/>
        <v>#N/A</v>
      </c>
      <c r="F31" s="731" t="s">
        <v>3364</v>
      </c>
      <c r="G31" s="727" t="str">
        <f t="shared" si="13"/>
        <v>#N/A</v>
      </c>
      <c r="H31" s="732"/>
      <c r="I31" s="727">
        <v>0.0</v>
      </c>
      <c r="J31" s="727">
        <f t="shared" si="4"/>
        <v>0.0346325799</v>
      </c>
      <c r="K31" s="732"/>
      <c r="L31" s="727" t="str">
        <f>(('CTT Data Filter'!H30/$AF$14)*$AF$23)*'CTT Data Filter'!G30</f>
        <v>#REF!</v>
      </c>
      <c r="M31" s="732"/>
      <c r="N31" s="727">
        <v>0.0</v>
      </c>
      <c r="O31" s="727">
        <f t="shared" si="5"/>
        <v>0.01836028995</v>
      </c>
      <c r="P31" s="732"/>
      <c r="Q31" s="727" t="str">
        <f t="shared" si="10"/>
        <v>#N/A</v>
      </c>
      <c r="R31" s="727">
        <v>3.677641626E-4</v>
      </c>
      <c r="S31" s="732"/>
      <c r="T31" s="729" t="str">
        <f>'CTT Data Filter'!E30</f>
        <v>#N/A</v>
      </c>
      <c r="U31" s="727" t="str">
        <f t="shared" si="6"/>
        <v>#N/A</v>
      </c>
      <c r="V31" s="727" t="str">
        <f t="shared" si="7"/>
        <v>#N/A</v>
      </c>
      <c r="W31" s="733" t="str">
        <f t="shared" si="8"/>
        <v>#N/A</v>
      </c>
      <c r="X31" s="727" t="str">
        <f t="shared" si="9"/>
        <v>#N/A</v>
      </c>
      <c r="Y31" s="732"/>
      <c r="Z31" s="732" t="str">
        <f>SUM(W31:W43)</f>
        <v>#N/A</v>
      </c>
      <c r="AA31" s="732"/>
      <c r="AB31" s="732"/>
      <c r="AC31" s="731">
        <v>10.0</v>
      </c>
      <c r="AD31" s="732"/>
      <c r="AE31" s="732"/>
      <c r="AF31" s="732"/>
      <c r="AG31" s="732"/>
    </row>
    <row r="32">
      <c r="A32" s="334">
        <v>300030.0</v>
      </c>
      <c r="B32" s="427"/>
      <c r="C32" s="729"/>
      <c r="D32" s="730" t="str">
        <f>'CTT Data Filter'!F31</f>
        <v>#N/A</v>
      </c>
      <c r="E32" s="334"/>
      <c r="F32" s="347"/>
      <c r="G32" s="727"/>
      <c r="H32" s="347"/>
      <c r="I32" s="727"/>
      <c r="J32" s="727"/>
      <c r="K32" s="347"/>
      <c r="L32" s="727"/>
      <c r="M32" s="347"/>
      <c r="N32" s="727"/>
      <c r="O32" s="727"/>
      <c r="P32" s="347"/>
      <c r="Q32" s="727"/>
      <c r="R32" s="727"/>
      <c r="S32" s="347"/>
      <c r="T32" s="729"/>
      <c r="U32" s="727"/>
      <c r="V32" s="727"/>
      <c r="W32" s="734">
        <v>0.0</v>
      </c>
      <c r="X32" s="727"/>
      <c r="Y32" s="347"/>
      <c r="Z32" s="347"/>
      <c r="AA32" s="347"/>
      <c r="AB32" s="347"/>
      <c r="AC32" s="347">
        <f>(AC31*0.45*(44/12)-((AC30*AC31)+AC29))</f>
        <v>10.25971445</v>
      </c>
      <c r="AD32" s="347"/>
      <c r="AE32" s="347"/>
      <c r="AF32" s="347"/>
      <c r="AG32" s="347"/>
    </row>
    <row r="33">
      <c r="A33" s="334">
        <v>300031.0</v>
      </c>
      <c r="B33" s="728">
        <v>45847.0</v>
      </c>
      <c r="C33" s="729">
        <f>VLOOKUP(F33, $AB$2:$AD$11, 3, FALSE)</f>
        <v>0.5052</v>
      </c>
      <c r="D33" s="730" t="str">
        <f>'CTT Data Filter'!F32</f>
        <v>#N/A</v>
      </c>
      <c r="E33" s="334" t="str">
        <f t="shared" ref="E33:E44" si="14">D33/1000</f>
        <v>#N/A</v>
      </c>
      <c r="F33" s="345" t="s">
        <v>3366</v>
      </c>
      <c r="G33" s="727" t="str">
        <f t="shared" ref="G33:G41" si="15">(VLOOKUP(F33,$AB$2:$AC$11,2,false)*D33)/1000</f>
        <v>#N/A</v>
      </c>
      <c r="H33" s="347"/>
      <c r="I33" s="727">
        <v>0.0</v>
      </c>
      <c r="J33" s="727">
        <f t="shared" ref="J33:J47" si="16">$AC$14*$AF$21</f>
        <v>0.0346325799</v>
      </c>
      <c r="K33" s="347"/>
      <c r="L33" s="727" t="str">
        <f>(('CTT Data Filter'!H32/$AF$14)*$AF$23)*'CTT Data Filter'!G32</f>
        <v>#REF!</v>
      </c>
      <c r="M33" s="347"/>
      <c r="N33" s="727">
        <v>0.0</v>
      </c>
      <c r="O33" s="727">
        <f t="shared" ref="O33:O47" si="17">$AC$15*$AF$20</f>
        <v>0.01836028995</v>
      </c>
      <c r="P33" s="347"/>
      <c r="Q33" s="727" t="str">
        <f t="shared" ref="Q33:Q47" si="18">E33*$AF$24</f>
        <v>#N/A</v>
      </c>
      <c r="R33" s="727">
        <v>3.677641626E-4</v>
      </c>
      <c r="S33" s="347"/>
      <c r="T33" s="729" t="str">
        <f>'CTT Data Filter'!E32</f>
        <v>#N/A</v>
      </c>
      <c r="U33" s="727" t="str">
        <f t="shared" ref="U33:U47" si="19">(E33*(1-T33))*C33*(44/12)</f>
        <v>#N/A</v>
      </c>
      <c r="V33" s="727" t="str">
        <f t="shared" ref="V33:V47" si="20">SUM(R33,Q33,O33,N33,L33,J33,I33,G33)</f>
        <v>#N/A</v>
      </c>
      <c r="W33" s="734" t="str">
        <f t="shared" ref="W33:W47" si="21">U33-V33</f>
        <v>#N/A</v>
      </c>
      <c r="X33" s="727" t="str">
        <f t="shared" ref="X33:X47" si="22">W33/E33</f>
        <v>#N/A</v>
      </c>
      <c r="Y33" s="347"/>
      <c r="Z33" s="347"/>
      <c r="AA33" s="347"/>
      <c r="AB33" s="347"/>
      <c r="AC33" s="347">
        <f>AC32/AC31</f>
        <v>1.025971445</v>
      </c>
      <c r="AD33" s="347"/>
      <c r="AE33" s="347"/>
      <c r="AF33" s="347"/>
      <c r="AG33" s="347"/>
    </row>
    <row r="34">
      <c r="A34" s="334">
        <v>300032.0</v>
      </c>
      <c r="B34" s="728">
        <v>45848.0</v>
      </c>
      <c r="C34" s="735">
        <v>0.43</v>
      </c>
      <c r="D34" s="730" t="str">
        <f>'CTT Data Filter'!F33</f>
        <v>#N/A</v>
      </c>
      <c r="E34" s="334" t="str">
        <f t="shared" si="14"/>
        <v>#N/A</v>
      </c>
      <c r="F34" s="345" t="s">
        <v>3366</v>
      </c>
      <c r="G34" s="727" t="str">
        <f t="shared" si="15"/>
        <v>#N/A</v>
      </c>
      <c r="H34" s="347"/>
      <c r="I34" s="727">
        <v>0.0</v>
      </c>
      <c r="J34" s="727">
        <f t="shared" si="16"/>
        <v>0.0346325799</v>
      </c>
      <c r="K34" s="347"/>
      <c r="L34" s="727" t="str">
        <f>(('CTT Data Filter'!H33/$AF$14)*$AF$23)*'CTT Data Filter'!G33</f>
        <v>#REF!</v>
      </c>
      <c r="M34" s="347"/>
      <c r="N34" s="727">
        <v>0.0</v>
      </c>
      <c r="O34" s="727">
        <f t="shared" si="17"/>
        <v>0.01836028995</v>
      </c>
      <c r="P34" s="347"/>
      <c r="Q34" s="727" t="str">
        <f t="shared" si="18"/>
        <v>#N/A</v>
      </c>
      <c r="R34" s="727">
        <v>3.677641626E-4</v>
      </c>
      <c r="S34" s="347"/>
      <c r="T34" s="729" t="str">
        <f>'CTT Data Filter'!E33</f>
        <v>#N/A</v>
      </c>
      <c r="U34" s="727" t="str">
        <f t="shared" si="19"/>
        <v>#N/A</v>
      </c>
      <c r="V34" s="727" t="str">
        <f t="shared" si="20"/>
        <v>#N/A</v>
      </c>
      <c r="W34" s="734" t="str">
        <f t="shared" si="21"/>
        <v>#N/A</v>
      </c>
      <c r="X34" s="727" t="str">
        <f t="shared" si="22"/>
        <v>#N/A</v>
      </c>
      <c r="Y34" s="347"/>
      <c r="Z34" s="347"/>
      <c r="AA34" s="347"/>
      <c r="AB34" s="347"/>
      <c r="AC34" s="347"/>
      <c r="AD34" s="347"/>
      <c r="AE34" s="347"/>
      <c r="AF34" s="347"/>
      <c r="AG34" s="347"/>
    </row>
    <row r="35">
      <c r="A35" s="334">
        <v>300033.0</v>
      </c>
      <c r="B35" s="728">
        <v>45849.0</v>
      </c>
      <c r="C35" s="735">
        <v>0.423</v>
      </c>
      <c r="D35" s="730" t="str">
        <f>'CTT Data Filter'!F34</f>
        <v>#N/A</v>
      </c>
      <c r="E35" s="334" t="str">
        <f t="shared" si="14"/>
        <v>#N/A</v>
      </c>
      <c r="F35" s="345" t="s">
        <v>3366</v>
      </c>
      <c r="G35" s="727" t="str">
        <f t="shared" si="15"/>
        <v>#N/A</v>
      </c>
      <c r="H35" s="347"/>
      <c r="I35" s="727">
        <v>0.0</v>
      </c>
      <c r="J35" s="727">
        <f t="shared" si="16"/>
        <v>0.0346325799</v>
      </c>
      <c r="K35" s="347"/>
      <c r="L35" s="727" t="str">
        <f>(('CTT Data Filter'!H34/$AF$14)*$AF$23)*'CTT Data Filter'!G34</f>
        <v>#REF!</v>
      </c>
      <c r="M35" s="347"/>
      <c r="N35" s="727">
        <v>0.0</v>
      </c>
      <c r="O35" s="727">
        <f t="shared" si="17"/>
        <v>0.01836028995</v>
      </c>
      <c r="P35" s="347"/>
      <c r="Q35" s="727" t="str">
        <f t="shared" si="18"/>
        <v>#N/A</v>
      </c>
      <c r="R35" s="727">
        <v>3.677641626E-4</v>
      </c>
      <c r="S35" s="347"/>
      <c r="T35" s="729" t="str">
        <f>'CTT Data Filter'!E34</f>
        <v>#N/A</v>
      </c>
      <c r="U35" s="727" t="str">
        <f t="shared" si="19"/>
        <v>#N/A</v>
      </c>
      <c r="V35" s="727" t="str">
        <f t="shared" si="20"/>
        <v>#N/A</v>
      </c>
      <c r="W35" s="734" t="str">
        <f t="shared" si="21"/>
        <v>#N/A</v>
      </c>
      <c r="X35" s="727" t="str">
        <f t="shared" si="22"/>
        <v>#N/A</v>
      </c>
      <c r="Y35" s="347"/>
      <c r="Z35" s="347"/>
      <c r="AA35" s="347"/>
      <c r="AB35" s="347"/>
      <c r="AC35" s="347"/>
      <c r="AD35" s="347"/>
      <c r="AE35" s="347"/>
      <c r="AF35" s="347"/>
      <c r="AG35" s="347"/>
    </row>
    <row r="36">
      <c r="A36" s="334">
        <v>300034.0</v>
      </c>
      <c r="B36" s="728">
        <v>45852.0</v>
      </c>
      <c r="C36" s="729">
        <f>VLOOKUP(F36, $AB$2:$AD$11, 3, FALSE)</f>
        <v>0.493</v>
      </c>
      <c r="D36" s="730" t="str">
        <f>'CTT Data Filter'!F35</f>
        <v>#N/A</v>
      </c>
      <c r="E36" s="334" t="str">
        <f t="shared" si="14"/>
        <v>#N/A</v>
      </c>
      <c r="F36" s="345" t="s">
        <v>3364</v>
      </c>
      <c r="G36" s="727" t="str">
        <f t="shared" si="15"/>
        <v>#N/A</v>
      </c>
      <c r="H36" s="347"/>
      <c r="I36" s="727">
        <v>0.0</v>
      </c>
      <c r="J36" s="727">
        <f t="shared" si="16"/>
        <v>0.0346325799</v>
      </c>
      <c r="K36" s="347"/>
      <c r="L36" s="727" t="str">
        <f>(('CTT Data Filter'!H35/$AF$14)*$AF$23)*'CTT Data Filter'!G35</f>
        <v>#REF!</v>
      </c>
      <c r="M36" s="347"/>
      <c r="N36" s="727">
        <v>0.0</v>
      </c>
      <c r="O36" s="727">
        <f t="shared" si="17"/>
        <v>0.01836028995</v>
      </c>
      <c r="P36" s="347"/>
      <c r="Q36" s="727" t="str">
        <f t="shared" si="18"/>
        <v>#N/A</v>
      </c>
      <c r="R36" s="727">
        <v>3.677641626E-4</v>
      </c>
      <c r="S36" s="347"/>
      <c r="T36" s="729" t="str">
        <f>'CTT Data Filter'!E35</f>
        <v>#N/A</v>
      </c>
      <c r="U36" s="727" t="str">
        <f t="shared" si="19"/>
        <v>#N/A</v>
      </c>
      <c r="V36" s="727" t="str">
        <f t="shared" si="20"/>
        <v>#N/A</v>
      </c>
      <c r="W36" s="734" t="str">
        <f t="shared" si="21"/>
        <v>#N/A</v>
      </c>
      <c r="X36" s="727" t="str">
        <f t="shared" si="22"/>
        <v>#N/A</v>
      </c>
      <c r="Y36" s="347"/>
      <c r="Z36" s="347"/>
      <c r="AA36" s="347"/>
      <c r="AB36" s="347"/>
      <c r="AC36" s="347"/>
      <c r="AD36" s="347"/>
      <c r="AE36" s="347"/>
      <c r="AF36" s="347"/>
      <c r="AG36" s="347"/>
    </row>
    <row r="37">
      <c r="A37" s="334">
        <v>300035.0</v>
      </c>
      <c r="B37" s="728">
        <v>45854.0</v>
      </c>
      <c r="C37" s="735">
        <v>0.429</v>
      </c>
      <c r="D37" s="730" t="str">
        <f>'CTT Data Filter'!F36</f>
        <v>#N/A</v>
      </c>
      <c r="E37" s="334" t="str">
        <f t="shared" si="14"/>
        <v>#N/A</v>
      </c>
      <c r="F37" s="345" t="s">
        <v>3364</v>
      </c>
      <c r="G37" s="727" t="str">
        <f t="shared" si="15"/>
        <v>#N/A</v>
      </c>
      <c r="H37" s="347"/>
      <c r="I37" s="727">
        <v>0.0</v>
      </c>
      <c r="J37" s="727">
        <f t="shared" si="16"/>
        <v>0.0346325799</v>
      </c>
      <c r="K37" s="347"/>
      <c r="L37" s="727" t="str">
        <f>(('CTT Data Filter'!H36/$AF$14)*$AF$23)*'CTT Data Filter'!G36</f>
        <v>#REF!</v>
      </c>
      <c r="M37" s="347"/>
      <c r="N37" s="727">
        <v>0.0</v>
      </c>
      <c r="O37" s="727">
        <f t="shared" si="17"/>
        <v>0.01836028995</v>
      </c>
      <c r="P37" s="347"/>
      <c r="Q37" s="727" t="str">
        <f t="shared" si="18"/>
        <v>#N/A</v>
      </c>
      <c r="R37" s="727">
        <v>3.677641626E-4</v>
      </c>
      <c r="S37" s="347"/>
      <c r="T37" s="729" t="str">
        <f>'CTT Data Filter'!E36</f>
        <v>#N/A</v>
      </c>
      <c r="U37" s="727" t="str">
        <f t="shared" si="19"/>
        <v>#N/A</v>
      </c>
      <c r="V37" s="727" t="str">
        <f t="shared" si="20"/>
        <v>#N/A</v>
      </c>
      <c r="W37" s="734" t="str">
        <f t="shared" si="21"/>
        <v>#N/A</v>
      </c>
      <c r="X37" s="727" t="str">
        <f t="shared" si="22"/>
        <v>#N/A</v>
      </c>
      <c r="Y37" s="347"/>
      <c r="Z37" s="347"/>
      <c r="AA37" s="347"/>
      <c r="AB37" s="347"/>
      <c r="AC37" s="347"/>
      <c r="AD37" s="347"/>
      <c r="AE37" s="347"/>
      <c r="AF37" s="347"/>
      <c r="AG37" s="347"/>
    </row>
    <row r="38">
      <c r="A38" s="334">
        <v>300036.0</v>
      </c>
      <c r="B38" s="728">
        <v>45855.0</v>
      </c>
      <c r="C38" s="735">
        <v>0.429</v>
      </c>
      <c r="D38" s="730" t="str">
        <f>'CTT Data Filter'!F37</f>
        <v>#N/A</v>
      </c>
      <c r="E38" s="334" t="str">
        <f t="shared" si="14"/>
        <v>#N/A</v>
      </c>
      <c r="F38" s="345" t="s">
        <v>3364</v>
      </c>
      <c r="G38" s="727" t="str">
        <f t="shared" si="15"/>
        <v>#N/A</v>
      </c>
      <c r="H38" s="347"/>
      <c r="I38" s="727">
        <v>0.0</v>
      </c>
      <c r="J38" s="727">
        <f t="shared" si="16"/>
        <v>0.0346325799</v>
      </c>
      <c r="K38" s="347"/>
      <c r="L38" s="727" t="str">
        <f>(('CTT Data Filter'!H37/$AF$14)*$AF$23)*'CTT Data Filter'!G37</f>
        <v>#REF!</v>
      </c>
      <c r="M38" s="347"/>
      <c r="N38" s="727">
        <v>0.0</v>
      </c>
      <c r="O38" s="727">
        <f t="shared" si="17"/>
        <v>0.01836028995</v>
      </c>
      <c r="P38" s="347"/>
      <c r="Q38" s="727" t="str">
        <f t="shared" si="18"/>
        <v>#N/A</v>
      </c>
      <c r="R38" s="727">
        <v>3.677641626E-4</v>
      </c>
      <c r="S38" s="347"/>
      <c r="T38" s="729" t="str">
        <f>'CTT Data Filter'!E37</f>
        <v>#N/A</v>
      </c>
      <c r="U38" s="727" t="str">
        <f t="shared" si="19"/>
        <v>#N/A</v>
      </c>
      <c r="V38" s="727" t="str">
        <f t="shared" si="20"/>
        <v>#N/A</v>
      </c>
      <c r="W38" s="734" t="str">
        <f t="shared" si="21"/>
        <v>#N/A</v>
      </c>
      <c r="X38" s="727" t="str">
        <f t="shared" si="22"/>
        <v>#N/A</v>
      </c>
      <c r="Y38" s="347"/>
      <c r="Z38" s="347"/>
      <c r="AA38" s="347"/>
      <c r="AB38" s="347"/>
      <c r="AC38" s="347"/>
      <c r="AD38" s="347"/>
      <c r="AE38" s="347"/>
      <c r="AF38" s="347"/>
      <c r="AG38" s="347"/>
    </row>
    <row r="39">
      <c r="A39" s="334">
        <v>300037.0</v>
      </c>
      <c r="B39" s="728">
        <v>45859.0</v>
      </c>
      <c r="C39" s="729">
        <f t="shared" ref="C39:C41" si="23">VLOOKUP(F39, $AB$2:$AD$11, 3, FALSE)</f>
        <v>0.493</v>
      </c>
      <c r="D39" s="730" t="str">
        <f>'CTT Data Filter'!F38</f>
        <v>#N/A</v>
      </c>
      <c r="E39" s="334" t="str">
        <f t="shared" si="14"/>
        <v>#N/A</v>
      </c>
      <c r="F39" s="345" t="s">
        <v>3364</v>
      </c>
      <c r="G39" s="727" t="str">
        <f t="shared" si="15"/>
        <v>#N/A</v>
      </c>
      <c r="H39" s="347"/>
      <c r="I39" s="727">
        <v>0.0</v>
      </c>
      <c r="J39" s="727">
        <f t="shared" si="16"/>
        <v>0.0346325799</v>
      </c>
      <c r="K39" s="347"/>
      <c r="L39" s="727" t="str">
        <f>(('CTT Data Filter'!H38/$AF$14)*$AF$23)*'CTT Data Filter'!G38</f>
        <v>#REF!</v>
      </c>
      <c r="M39" s="347"/>
      <c r="N39" s="727">
        <v>0.0</v>
      </c>
      <c r="O39" s="727">
        <f t="shared" si="17"/>
        <v>0.01836028995</v>
      </c>
      <c r="P39" s="347"/>
      <c r="Q39" s="727" t="str">
        <f t="shared" si="18"/>
        <v>#N/A</v>
      </c>
      <c r="R39" s="727">
        <v>3.677641626E-4</v>
      </c>
      <c r="S39" s="347"/>
      <c r="T39" s="729" t="str">
        <f>'CTT Data Filter'!E38</f>
        <v>#N/A</v>
      </c>
      <c r="U39" s="727" t="str">
        <f t="shared" si="19"/>
        <v>#N/A</v>
      </c>
      <c r="V39" s="727" t="str">
        <f t="shared" si="20"/>
        <v>#N/A</v>
      </c>
      <c r="W39" s="734" t="str">
        <f t="shared" si="21"/>
        <v>#N/A</v>
      </c>
      <c r="X39" s="727" t="str">
        <f t="shared" si="22"/>
        <v>#N/A</v>
      </c>
      <c r="Y39" s="347"/>
      <c r="Z39" s="347"/>
      <c r="AA39" s="347"/>
      <c r="AB39" s="347"/>
      <c r="AC39" s="347"/>
      <c r="AD39" s="347"/>
      <c r="AE39" s="347"/>
      <c r="AF39" s="347"/>
      <c r="AG39" s="347"/>
    </row>
    <row r="40">
      <c r="A40" s="334">
        <v>300038.0</v>
      </c>
      <c r="B40" s="728">
        <v>45860.0</v>
      </c>
      <c r="C40" s="729">
        <f t="shared" si="23"/>
        <v>0.4746</v>
      </c>
      <c r="D40" s="730" t="str">
        <f>'CTT Data Filter'!F39</f>
        <v>#N/A</v>
      </c>
      <c r="E40" s="334" t="str">
        <f t="shared" si="14"/>
        <v>#N/A</v>
      </c>
      <c r="F40" s="345" t="s">
        <v>3368</v>
      </c>
      <c r="G40" s="727" t="str">
        <f t="shared" si="15"/>
        <v>#N/A</v>
      </c>
      <c r="H40" s="347"/>
      <c r="I40" s="727">
        <v>0.0</v>
      </c>
      <c r="J40" s="727">
        <f t="shared" si="16"/>
        <v>0.0346325799</v>
      </c>
      <c r="K40" s="347"/>
      <c r="L40" s="727" t="str">
        <f>(('CTT Data Filter'!H39/$AF$14)*$AF$23)*'CTT Data Filter'!G39</f>
        <v>#REF!</v>
      </c>
      <c r="M40" s="347"/>
      <c r="N40" s="727">
        <v>0.0</v>
      </c>
      <c r="O40" s="727">
        <f t="shared" si="17"/>
        <v>0.01836028995</v>
      </c>
      <c r="P40" s="347"/>
      <c r="Q40" s="727" t="str">
        <f t="shared" si="18"/>
        <v>#N/A</v>
      </c>
      <c r="R40" s="727">
        <v>3.677641626E-4</v>
      </c>
      <c r="S40" s="347"/>
      <c r="T40" s="729" t="str">
        <f>'CTT Data Filter'!E39</f>
        <v>#N/A</v>
      </c>
      <c r="U40" s="727" t="str">
        <f t="shared" si="19"/>
        <v>#N/A</v>
      </c>
      <c r="V40" s="727" t="str">
        <f t="shared" si="20"/>
        <v>#N/A</v>
      </c>
      <c r="W40" s="734" t="str">
        <f t="shared" si="21"/>
        <v>#N/A</v>
      </c>
      <c r="X40" s="727" t="str">
        <f t="shared" si="22"/>
        <v>#N/A</v>
      </c>
      <c r="Y40" s="347"/>
      <c r="Z40" s="347"/>
      <c r="AA40" s="347"/>
      <c r="AB40" s="347"/>
      <c r="AC40" s="347"/>
      <c r="AD40" s="347"/>
      <c r="AE40" s="347"/>
      <c r="AF40" s="347"/>
      <c r="AG40" s="347"/>
    </row>
    <row r="41">
      <c r="A41" s="334">
        <v>300039.0</v>
      </c>
      <c r="B41" s="728">
        <v>45861.0</v>
      </c>
      <c r="C41" s="729">
        <f t="shared" si="23"/>
        <v>0.4746</v>
      </c>
      <c r="D41" s="730" t="str">
        <f>'CTT Data Filter'!F40</f>
        <v>#N/A</v>
      </c>
      <c r="E41" s="334" t="str">
        <f t="shared" si="14"/>
        <v>#N/A</v>
      </c>
      <c r="F41" s="345" t="s">
        <v>3368</v>
      </c>
      <c r="G41" s="727" t="str">
        <f t="shared" si="15"/>
        <v>#N/A</v>
      </c>
      <c r="H41" s="347"/>
      <c r="I41" s="727">
        <v>0.0</v>
      </c>
      <c r="J41" s="727">
        <f t="shared" si="16"/>
        <v>0.0346325799</v>
      </c>
      <c r="K41" s="347"/>
      <c r="L41" s="727" t="str">
        <f>(('CTT Data Filter'!H40/$AF$14)*$AF$23)*'CTT Data Filter'!G40</f>
        <v>#REF!</v>
      </c>
      <c r="M41" s="347"/>
      <c r="N41" s="727">
        <v>0.0</v>
      </c>
      <c r="O41" s="727">
        <f t="shared" si="17"/>
        <v>0.01836028995</v>
      </c>
      <c r="P41" s="347"/>
      <c r="Q41" s="727" t="str">
        <f t="shared" si="18"/>
        <v>#N/A</v>
      </c>
      <c r="R41" s="727">
        <v>3.677641626E-4</v>
      </c>
      <c r="S41" s="347"/>
      <c r="T41" s="729" t="str">
        <f>'CTT Data Filter'!E40</f>
        <v>#N/A</v>
      </c>
      <c r="U41" s="727" t="str">
        <f t="shared" si="19"/>
        <v>#N/A</v>
      </c>
      <c r="V41" s="727" t="str">
        <f t="shared" si="20"/>
        <v>#N/A</v>
      </c>
      <c r="W41" s="734" t="str">
        <f t="shared" si="21"/>
        <v>#N/A</v>
      </c>
      <c r="X41" s="727" t="str">
        <f t="shared" si="22"/>
        <v>#N/A</v>
      </c>
      <c r="Y41" s="345"/>
      <c r="Z41" s="347"/>
      <c r="AA41" s="347"/>
      <c r="AB41" s="347"/>
      <c r="AC41" s="347"/>
      <c r="AD41" s="347"/>
      <c r="AE41" s="347"/>
      <c r="AF41" s="347"/>
      <c r="AG41" s="347"/>
    </row>
    <row r="42">
      <c r="A42" s="427">
        <v>400002.0</v>
      </c>
      <c r="B42" s="728">
        <v>45853.0</v>
      </c>
      <c r="C42" s="735">
        <v>0.068</v>
      </c>
      <c r="D42" s="736">
        <v>11739.87</v>
      </c>
      <c r="E42" s="334">
        <f t="shared" si="14"/>
        <v>11.73987</v>
      </c>
      <c r="F42" s="347"/>
      <c r="G42" s="727"/>
      <c r="H42" s="347"/>
      <c r="I42" s="727">
        <v>0.0</v>
      </c>
      <c r="J42" s="727">
        <f t="shared" si="16"/>
        <v>0.0346325799</v>
      </c>
      <c r="K42" s="347"/>
      <c r="L42" s="727" t="str">
        <f>(('CTT Data Filter'!H44/$AF$14)*$AF$23)*'CTT Data Filter'!G44</f>
        <v>#REF!</v>
      </c>
      <c r="M42" s="347"/>
      <c r="N42" s="727">
        <v>0.0</v>
      </c>
      <c r="O42" s="727">
        <f t="shared" si="17"/>
        <v>0.01836028995</v>
      </c>
      <c r="P42" s="347"/>
      <c r="Q42" s="727">
        <f t="shared" si="18"/>
        <v>0.00121429603</v>
      </c>
      <c r="R42" s="727">
        <v>3.677641626E-4</v>
      </c>
      <c r="S42" s="347"/>
      <c r="T42" s="735">
        <v>0.1865</v>
      </c>
      <c r="U42" s="727">
        <f t="shared" si="19"/>
        <v>2.381229138</v>
      </c>
      <c r="V42" s="727" t="str">
        <f t="shared" si="20"/>
        <v>#REF!</v>
      </c>
      <c r="W42" s="734" t="str">
        <f t="shared" si="21"/>
        <v>#REF!</v>
      </c>
      <c r="X42" s="727" t="str">
        <f t="shared" si="22"/>
        <v>#REF!</v>
      </c>
      <c r="Y42" s="347"/>
      <c r="Z42" s="347"/>
      <c r="AA42" s="347"/>
      <c r="AB42" s="347"/>
      <c r="AC42" s="347"/>
      <c r="AD42" s="347"/>
      <c r="AE42" s="347"/>
      <c r="AF42" s="347"/>
      <c r="AG42" s="347"/>
    </row>
    <row r="43">
      <c r="A43" s="427">
        <v>400003.0</v>
      </c>
      <c r="B43" s="728">
        <v>45856.0</v>
      </c>
      <c r="C43" s="735">
        <v>0.084</v>
      </c>
      <c r="D43" s="736">
        <v>28183.04</v>
      </c>
      <c r="E43" s="334">
        <f t="shared" si="14"/>
        <v>28.18304</v>
      </c>
      <c r="F43" s="347"/>
      <c r="G43" s="727"/>
      <c r="H43" s="347"/>
      <c r="I43" s="727">
        <v>0.0</v>
      </c>
      <c r="J43" s="727">
        <f t="shared" si="16"/>
        <v>0.0346325799</v>
      </c>
      <c r="K43" s="347"/>
      <c r="L43" s="727" t="str">
        <f>(('CTT Data Filter'!H45/$AF$14)*$AF$23)*'CTT Data Filter'!G45</f>
        <v>#REF!</v>
      </c>
      <c r="M43" s="347"/>
      <c r="N43" s="727">
        <v>0.0</v>
      </c>
      <c r="O43" s="727">
        <f t="shared" si="17"/>
        <v>0.01836028995</v>
      </c>
      <c r="P43" s="347"/>
      <c r="Q43" s="727">
        <f t="shared" si="18"/>
        <v>0.002915070916</v>
      </c>
      <c r="R43" s="727">
        <v>3.677641626E-4</v>
      </c>
      <c r="S43" s="347"/>
      <c r="T43" s="735">
        <v>0.0113</v>
      </c>
      <c r="U43" s="727">
        <f t="shared" si="19"/>
        <v>8.582288068</v>
      </c>
      <c r="V43" s="727" t="str">
        <f t="shared" si="20"/>
        <v>#REF!</v>
      </c>
      <c r="W43" s="734" t="str">
        <f t="shared" si="21"/>
        <v>#REF!</v>
      </c>
      <c r="X43" s="727" t="str">
        <f t="shared" si="22"/>
        <v>#REF!</v>
      </c>
      <c r="Y43" s="347"/>
      <c r="Z43" s="347"/>
      <c r="AA43" s="347"/>
      <c r="AB43" s="347"/>
      <c r="AC43" s="347"/>
      <c r="AD43" s="347"/>
      <c r="AE43" s="347"/>
      <c r="AF43" s="347"/>
      <c r="AG43" s="347"/>
    </row>
    <row r="44">
      <c r="A44" s="334">
        <v>300040.0</v>
      </c>
      <c r="B44" s="728"/>
      <c r="C44" s="735"/>
      <c r="D44" s="736"/>
      <c r="E44" s="334">
        <f t="shared" si="14"/>
        <v>0</v>
      </c>
      <c r="F44" s="345" t="s">
        <v>3368</v>
      </c>
      <c r="G44" s="727"/>
      <c r="H44" s="347"/>
      <c r="I44" s="727">
        <v>0.0</v>
      </c>
      <c r="J44" s="727">
        <f t="shared" si="16"/>
        <v>0.0346325799</v>
      </c>
      <c r="K44" s="347"/>
      <c r="L44" s="727">
        <f>(('CTT Data Filter'!H46/$AF$14)*$AF$23)*'CTT Data Filter'!G46</f>
        <v>0</v>
      </c>
      <c r="M44" s="347"/>
      <c r="N44" s="727">
        <v>0.0</v>
      </c>
      <c r="O44" s="727">
        <f t="shared" si="17"/>
        <v>0.01836028995</v>
      </c>
      <c r="P44" s="347"/>
      <c r="Q44" s="727">
        <f t="shared" si="18"/>
        <v>0</v>
      </c>
      <c r="R44" s="727">
        <v>3.677641626E-4</v>
      </c>
      <c r="S44" s="347"/>
      <c r="T44" s="735">
        <v>0.0113</v>
      </c>
      <c r="U44" s="727">
        <f t="shared" si="19"/>
        <v>0</v>
      </c>
      <c r="V44" s="727">
        <f t="shared" si="20"/>
        <v>0.05336063401</v>
      </c>
      <c r="W44" s="734">
        <f t="shared" si="21"/>
        <v>-0.05336063401</v>
      </c>
      <c r="X44" s="727" t="str">
        <f t="shared" si="22"/>
        <v>#DIV/0!</v>
      </c>
      <c r="Y44" s="347"/>
      <c r="Z44" s="347"/>
      <c r="AA44" s="347"/>
      <c r="AB44" s="347"/>
      <c r="AC44" s="347"/>
      <c r="AD44" s="347"/>
      <c r="AE44" s="347"/>
      <c r="AF44" s="347"/>
      <c r="AG44" s="347"/>
    </row>
    <row r="45">
      <c r="A45" s="334">
        <v>300041.0</v>
      </c>
      <c r="B45" s="334"/>
      <c r="C45" s="737"/>
      <c r="D45" s="345"/>
      <c r="E45" s="334"/>
      <c r="F45" s="347"/>
      <c r="G45" s="727"/>
      <c r="H45" s="347"/>
      <c r="I45" s="727">
        <v>0.0</v>
      </c>
      <c r="J45" s="727">
        <f t="shared" si="16"/>
        <v>0.0346325799</v>
      </c>
      <c r="K45" s="347"/>
      <c r="L45" s="727">
        <f>(('CTT Data Filter'!H47/$AF$14)*$AF$23)*'CTT Data Filter'!G47</f>
        <v>0</v>
      </c>
      <c r="M45" s="347"/>
      <c r="N45" s="727">
        <v>0.0</v>
      </c>
      <c r="O45" s="727">
        <f t="shared" si="17"/>
        <v>0.01836028995</v>
      </c>
      <c r="P45" s="347"/>
      <c r="Q45" s="727">
        <f t="shared" si="18"/>
        <v>0</v>
      </c>
      <c r="R45" s="727">
        <v>3.677641626E-4</v>
      </c>
      <c r="S45" s="347"/>
      <c r="T45" s="735">
        <v>0.0113</v>
      </c>
      <c r="U45" s="727">
        <f t="shared" si="19"/>
        <v>0</v>
      </c>
      <c r="V45" s="727">
        <f t="shared" si="20"/>
        <v>0.05336063401</v>
      </c>
      <c r="W45" s="734">
        <f t="shared" si="21"/>
        <v>-0.05336063401</v>
      </c>
      <c r="X45" s="727" t="str">
        <f t="shared" si="22"/>
        <v>#DIV/0!</v>
      </c>
      <c r="Y45" s="347"/>
      <c r="Z45" s="347"/>
      <c r="AA45" s="347"/>
      <c r="AB45" s="347"/>
      <c r="AC45" s="347"/>
      <c r="AD45" s="347"/>
      <c r="AE45" s="347"/>
      <c r="AF45" s="347"/>
      <c r="AG45" s="347"/>
    </row>
    <row r="46">
      <c r="A46" s="334">
        <v>300042.0</v>
      </c>
      <c r="B46" s="427"/>
      <c r="C46" s="737"/>
      <c r="D46" s="345"/>
      <c r="E46" s="334">
        <f>D46/1000</f>
        <v>0</v>
      </c>
      <c r="F46" s="345"/>
      <c r="G46" s="727" t="str">
        <f>(VLOOKUP(F46,$AB$2:$AC$11,2,false)*D46)/1000</f>
        <v>#N/A</v>
      </c>
      <c r="H46" s="347"/>
      <c r="I46" s="727">
        <v>0.0</v>
      </c>
      <c r="J46" s="727">
        <f t="shared" si="16"/>
        <v>0.0346325799</v>
      </c>
      <c r="K46" s="347"/>
      <c r="L46" s="727">
        <f>(('CTT Data Filter'!H48/$AF$14)*$AF$23)*'CTT Data Filter'!G48</f>
        <v>0</v>
      </c>
      <c r="M46" s="347"/>
      <c r="N46" s="727">
        <v>0.0</v>
      </c>
      <c r="O46" s="727">
        <f t="shared" si="17"/>
        <v>0.01836028995</v>
      </c>
      <c r="P46" s="347"/>
      <c r="Q46" s="727">
        <f t="shared" si="18"/>
        <v>0</v>
      </c>
      <c r="R46" s="727">
        <v>3.677641626E-4</v>
      </c>
      <c r="S46" s="347"/>
      <c r="T46" s="735">
        <v>0.0113</v>
      </c>
      <c r="U46" s="727">
        <f t="shared" si="19"/>
        <v>0</v>
      </c>
      <c r="V46" s="727" t="str">
        <f t="shared" si="20"/>
        <v>#N/A</v>
      </c>
      <c r="W46" s="734" t="str">
        <f t="shared" si="21"/>
        <v>#N/A</v>
      </c>
      <c r="X46" s="727" t="str">
        <f t="shared" si="22"/>
        <v>#N/A</v>
      </c>
      <c r="Y46" s="347"/>
      <c r="Z46" s="347"/>
      <c r="AA46" s="347"/>
      <c r="AB46" s="347"/>
      <c r="AC46" s="347"/>
      <c r="AD46" s="347"/>
      <c r="AE46" s="347"/>
      <c r="AF46" s="347"/>
      <c r="AG46" s="347"/>
    </row>
    <row r="47">
      <c r="A47" s="334">
        <v>300043.0</v>
      </c>
      <c r="B47" s="427"/>
      <c r="C47" s="737"/>
      <c r="D47" s="345"/>
      <c r="E47" s="334"/>
      <c r="F47" s="347"/>
      <c r="G47" s="727"/>
      <c r="H47" s="347"/>
      <c r="I47" s="727">
        <v>0.0</v>
      </c>
      <c r="J47" s="727">
        <f t="shared" si="16"/>
        <v>0.0346325799</v>
      </c>
      <c r="K47" s="347"/>
      <c r="L47" s="727">
        <f>(('CTT Data Filter'!H49/$AF$14)*$AF$23)*'CTT Data Filter'!G49</f>
        <v>0</v>
      </c>
      <c r="M47" s="347"/>
      <c r="N47" s="727">
        <v>0.0</v>
      </c>
      <c r="O47" s="727">
        <f t="shared" si="17"/>
        <v>0.01836028995</v>
      </c>
      <c r="P47" s="347"/>
      <c r="Q47" s="727">
        <f t="shared" si="18"/>
        <v>0</v>
      </c>
      <c r="R47" s="727">
        <v>3.677641626E-4</v>
      </c>
      <c r="S47" s="347"/>
      <c r="T47" s="735">
        <v>0.0113</v>
      </c>
      <c r="U47" s="727">
        <f t="shared" si="19"/>
        <v>0</v>
      </c>
      <c r="V47" s="727">
        <f t="shared" si="20"/>
        <v>0.05336063401</v>
      </c>
      <c r="W47" s="734">
        <f t="shared" si="21"/>
        <v>-0.05336063401</v>
      </c>
      <c r="X47" s="727" t="str">
        <f t="shared" si="22"/>
        <v>#DIV/0!</v>
      </c>
      <c r="Y47" s="347"/>
      <c r="Z47" s="347"/>
      <c r="AA47" s="347"/>
      <c r="AB47" s="347"/>
      <c r="AC47" s="347"/>
      <c r="AD47" s="347"/>
      <c r="AE47" s="347"/>
      <c r="AF47" s="347"/>
      <c r="AG47" s="347"/>
    </row>
    <row r="48">
      <c r="A48" s="334">
        <v>300044.0</v>
      </c>
      <c r="B48" s="334"/>
      <c r="C48" s="347"/>
      <c r="D48" s="347"/>
      <c r="E48" s="334">
        <f t="shared" ref="E48:E171" si="24">D48/1000</f>
        <v>0</v>
      </c>
      <c r="F48" s="347"/>
      <c r="G48" s="347"/>
      <c r="H48" s="347"/>
      <c r="I48" s="347"/>
      <c r="J48" s="347"/>
      <c r="K48" s="347"/>
      <c r="L48" s="347"/>
      <c r="M48" s="347"/>
      <c r="N48" s="347"/>
      <c r="O48" s="347"/>
      <c r="P48" s="347"/>
      <c r="Q48" s="347"/>
      <c r="R48" s="347"/>
      <c r="S48" s="347"/>
      <c r="T48" s="347"/>
      <c r="U48" s="347"/>
      <c r="V48" s="347"/>
      <c r="W48" s="347"/>
      <c r="X48" s="347"/>
      <c r="Y48" s="347"/>
      <c r="Z48" s="347"/>
      <c r="AA48" s="347"/>
      <c r="AB48" s="347"/>
      <c r="AC48" s="347"/>
      <c r="AD48" s="347"/>
      <c r="AE48" s="347"/>
      <c r="AF48" s="347"/>
      <c r="AG48" s="347"/>
    </row>
    <row r="49">
      <c r="A49" s="334">
        <v>300045.0</v>
      </c>
      <c r="B49" s="334"/>
      <c r="C49" s="347"/>
      <c r="D49" s="347"/>
      <c r="E49" s="334">
        <f t="shared" si="24"/>
        <v>0</v>
      </c>
      <c r="F49" s="347"/>
      <c r="G49" s="347"/>
      <c r="H49" s="347"/>
      <c r="I49" s="347"/>
      <c r="J49" s="347"/>
      <c r="K49" s="347"/>
      <c r="L49" s="347"/>
      <c r="M49" s="347"/>
      <c r="N49" s="347"/>
      <c r="O49" s="347"/>
      <c r="P49" s="347"/>
      <c r="Q49" s="347"/>
      <c r="R49" s="347"/>
      <c r="S49" s="347"/>
      <c r="T49" s="347"/>
      <c r="U49" s="347"/>
      <c r="V49" s="347"/>
      <c r="W49" s="347"/>
      <c r="X49" s="347"/>
      <c r="Y49" s="347"/>
      <c r="Z49" s="347"/>
      <c r="AA49" s="347"/>
      <c r="AB49" s="347"/>
      <c r="AC49" s="347"/>
      <c r="AD49" s="347"/>
      <c r="AE49" s="347"/>
      <c r="AF49" s="347"/>
      <c r="AG49" s="347"/>
    </row>
    <row r="50">
      <c r="A50" s="334">
        <v>300046.0</v>
      </c>
      <c r="B50" s="334"/>
      <c r="C50" s="347"/>
      <c r="D50" s="347"/>
      <c r="E50" s="334">
        <f t="shared" si="24"/>
        <v>0</v>
      </c>
      <c r="F50" s="347"/>
      <c r="G50" s="347"/>
      <c r="H50" s="347"/>
      <c r="I50" s="347"/>
      <c r="J50" s="347"/>
      <c r="K50" s="347"/>
      <c r="L50" s="347"/>
      <c r="M50" s="347"/>
      <c r="N50" s="347"/>
      <c r="O50" s="347"/>
      <c r="P50" s="347"/>
      <c r="Q50" s="347"/>
      <c r="R50" s="347"/>
      <c r="S50" s="347"/>
      <c r="T50" s="347"/>
      <c r="U50" s="347"/>
      <c r="V50" s="347"/>
      <c r="W50" s="347"/>
      <c r="X50" s="347"/>
      <c r="Y50" s="347"/>
      <c r="Z50" s="347"/>
      <c r="AA50" s="347"/>
      <c r="AB50" s="347"/>
      <c r="AC50" s="347"/>
      <c r="AD50" s="347"/>
      <c r="AE50" s="347"/>
      <c r="AF50" s="347"/>
      <c r="AG50" s="347"/>
    </row>
    <row r="51">
      <c r="A51" s="334">
        <v>300047.0</v>
      </c>
      <c r="B51" s="334"/>
      <c r="C51" s="347"/>
      <c r="D51" s="347"/>
      <c r="E51" s="334">
        <f t="shared" si="24"/>
        <v>0</v>
      </c>
      <c r="F51" s="347"/>
      <c r="G51" s="347"/>
      <c r="H51" s="347"/>
      <c r="I51" s="347"/>
      <c r="J51" s="347"/>
      <c r="K51" s="347"/>
      <c r="L51" s="347"/>
      <c r="M51" s="347"/>
      <c r="N51" s="347"/>
      <c r="O51" s="347"/>
      <c r="P51" s="347"/>
      <c r="Q51" s="347"/>
      <c r="R51" s="347"/>
      <c r="S51" s="347"/>
      <c r="T51" s="347"/>
      <c r="U51" s="347"/>
      <c r="V51" s="347"/>
      <c r="W51" s="347"/>
      <c r="X51" s="347"/>
      <c r="Y51" s="347"/>
      <c r="Z51" s="347"/>
      <c r="AA51" s="347"/>
      <c r="AB51" s="347"/>
      <c r="AC51" s="347"/>
      <c r="AD51" s="347"/>
      <c r="AE51" s="347"/>
      <c r="AF51" s="347"/>
      <c r="AG51" s="347"/>
    </row>
    <row r="52">
      <c r="A52" s="334">
        <v>300048.0</v>
      </c>
      <c r="B52" s="334"/>
      <c r="C52" s="347"/>
      <c r="D52" s="347"/>
      <c r="E52" s="334">
        <f t="shared" si="24"/>
        <v>0</v>
      </c>
      <c r="F52" s="347"/>
      <c r="G52" s="347"/>
      <c r="H52" s="347"/>
      <c r="I52" s="347"/>
      <c r="J52" s="347"/>
      <c r="K52" s="347"/>
      <c r="L52" s="347"/>
      <c r="M52" s="347"/>
      <c r="N52" s="347"/>
      <c r="O52" s="347"/>
      <c r="P52" s="347"/>
      <c r="Q52" s="347"/>
      <c r="R52" s="347"/>
      <c r="S52" s="347"/>
      <c r="T52" s="347"/>
      <c r="U52" s="347"/>
      <c r="V52" s="347"/>
      <c r="W52" s="347"/>
      <c r="X52" s="347"/>
      <c r="Y52" s="347"/>
      <c r="Z52" s="347"/>
      <c r="AA52" s="347"/>
      <c r="AB52" s="347"/>
      <c r="AC52" s="347"/>
      <c r="AD52" s="347"/>
      <c r="AE52" s="347"/>
      <c r="AF52" s="347"/>
      <c r="AG52" s="347"/>
    </row>
    <row r="53">
      <c r="A53" s="334">
        <v>300049.0</v>
      </c>
      <c r="B53" s="334"/>
      <c r="C53" s="347"/>
      <c r="D53" s="347"/>
      <c r="E53" s="334">
        <f t="shared" si="24"/>
        <v>0</v>
      </c>
      <c r="F53" s="347"/>
      <c r="G53" s="347"/>
      <c r="H53" s="347"/>
      <c r="I53" s="347"/>
      <c r="J53" s="347"/>
      <c r="K53" s="347"/>
      <c r="L53" s="347"/>
      <c r="M53" s="347"/>
      <c r="N53" s="347"/>
      <c r="O53" s="347"/>
      <c r="P53" s="347"/>
      <c r="Q53" s="347"/>
      <c r="R53" s="347"/>
      <c r="S53" s="347"/>
      <c r="T53" s="347"/>
      <c r="U53" s="347"/>
      <c r="V53" s="347"/>
      <c r="W53" s="347"/>
      <c r="X53" s="347"/>
      <c r="Y53" s="347"/>
      <c r="Z53" s="347"/>
      <c r="AA53" s="347"/>
      <c r="AB53" s="347"/>
      <c r="AC53" s="347"/>
      <c r="AD53" s="347"/>
      <c r="AE53" s="347"/>
      <c r="AF53" s="347"/>
      <c r="AG53" s="347"/>
    </row>
    <row r="54">
      <c r="A54" s="334">
        <v>300050.0</v>
      </c>
      <c r="B54" s="334"/>
      <c r="C54" s="347"/>
      <c r="D54" s="347"/>
      <c r="E54" s="334">
        <f t="shared" si="24"/>
        <v>0</v>
      </c>
      <c r="F54" s="347"/>
      <c r="G54" s="347"/>
      <c r="H54" s="347"/>
      <c r="I54" s="347"/>
      <c r="J54" s="347"/>
      <c r="K54" s="347"/>
      <c r="L54" s="347"/>
      <c r="M54" s="347"/>
      <c r="N54" s="347"/>
      <c r="O54" s="347"/>
      <c r="P54" s="347"/>
      <c r="Q54" s="347"/>
      <c r="R54" s="347"/>
      <c r="S54" s="347"/>
      <c r="T54" s="347"/>
      <c r="U54" s="347"/>
      <c r="V54" s="347"/>
      <c r="W54" s="347"/>
      <c r="X54" s="347"/>
      <c r="Y54" s="347"/>
      <c r="Z54" s="347"/>
      <c r="AA54" s="347"/>
      <c r="AB54" s="347"/>
      <c r="AC54" s="347"/>
      <c r="AD54" s="347"/>
      <c r="AE54" s="347"/>
      <c r="AF54" s="347"/>
      <c r="AG54" s="347"/>
    </row>
    <row r="55">
      <c r="A55" s="334">
        <v>300051.0</v>
      </c>
      <c r="B55" s="334"/>
      <c r="C55" s="347"/>
      <c r="D55" s="347"/>
      <c r="E55" s="334">
        <f t="shared" si="24"/>
        <v>0</v>
      </c>
      <c r="F55" s="347"/>
      <c r="G55" s="347"/>
      <c r="H55" s="347"/>
      <c r="I55" s="347"/>
      <c r="J55" s="347"/>
      <c r="K55" s="347"/>
      <c r="L55" s="347"/>
      <c r="M55" s="347"/>
      <c r="N55" s="347"/>
      <c r="O55" s="347"/>
      <c r="P55" s="347"/>
      <c r="Q55" s="347"/>
      <c r="R55" s="347"/>
      <c r="S55" s="347"/>
      <c r="T55" s="347"/>
      <c r="U55" s="347"/>
      <c r="V55" s="347"/>
      <c r="W55" s="347"/>
      <c r="X55" s="347"/>
      <c r="Y55" s="347"/>
      <c r="Z55" s="347"/>
      <c r="AA55" s="347"/>
      <c r="AB55" s="347"/>
      <c r="AC55" s="347"/>
      <c r="AD55" s="347"/>
      <c r="AE55" s="347"/>
      <c r="AF55" s="347"/>
      <c r="AG55" s="347"/>
    </row>
    <row r="56">
      <c r="A56" s="334">
        <v>300052.0</v>
      </c>
      <c r="B56" s="334"/>
      <c r="C56" s="347"/>
      <c r="D56" s="347"/>
      <c r="E56" s="334">
        <f t="shared" si="24"/>
        <v>0</v>
      </c>
      <c r="F56" s="347"/>
      <c r="G56" s="347"/>
      <c r="H56" s="347"/>
      <c r="I56" s="347"/>
      <c r="J56" s="347"/>
      <c r="K56" s="347"/>
      <c r="L56" s="347"/>
      <c r="M56" s="347"/>
      <c r="N56" s="347"/>
      <c r="O56" s="347"/>
      <c r="P56" s="347"/>
      <c r="Q56" s="347"/>
      <c r="R56" s="347"/>
      <c r="S56" s="347"/>
      <c r="T56" s="347"/>
      <c r="U56" s="347"/>
      <c r="V56" s="347"/>
      <c r="W56" s="347"/>
      <c r="X56" s="347"/>
      <c r="Y56" s="347"/>
      <c r="Z56" s="347"/>
      <c r="AA56" s="347"/>
      <c r="AB56" s="347"/>
      <c r="AC56" s="347"/>
      <c r="AD56" s="347"/>
      <c r="AE56" s="347"/>
      <c r="AF56" s="347"/>
      <c r="AG56" s="347"/>
    </row>
    <row r="57">
      <c r="A57" s="334">
        <v>300053.0</v>
      </c>
      <c r="B57" s="334"/>
      <c r="C57" s="347"/>
      <c r="D57" s="347"/>
      <c r="E57" s="334">
        <f t="shared" si="24"/>
        <v>0</v>
      </c>
      <c r="F57" s="347"/>
      <c r="G57" s="347"/>
      <c r="H57" s="347"/>
      <c r="I57" s="347"/>
      <c r="J57" s="347"/>
      <c r="K57" s="347"/>
      <c r="L57" s="347"/>
      <c r="M57" s="347"/>
      <c r="N57" s="347"/>
      <c r="O57" s="347"/>
      <c r="P57" s="347"/>
      <c r="Q57" s="347"/>
      <c r="R57" s="347"/>
      <c r="S57" s="347"/>
      <c r="T57" s="347"/>
      <c r="U57" s="347"/>
      <c r="V57" s="347"/>
      <c r="W57" s="347"/>
      <c r="X57" s="347"/>
      <c r="Y57" s="347"/>
      <c r="Z57" s="347"/>
      <c r="AA57" s="347"/>
      <c r="AB57" s="347"/>
      <c r="AC57" s="347"/>
      <c r="AD57" s="347"/>
      <c r="AE57" s="347"/>
      <c r="AF57" s="347"/>
      <c r="AG57" s="347"/>
    </row>
    <row r="58">
      <c r="A58" s="334">
        <v>300054.0</v>
      </c>
      <c r="B58" s="334"/>
      <c r="C58" s="347"/>
      <c r="D58" s="347"/>
      <c r="E58" s="334">
        <f t="shared" si="24"/>
        <v>0</v>
      </c>
      <c r="F58" s="347"/>
      <c r="G58" s="347"/>
      <c r="H58" s="347"/>
      <c r="I58" s="347"/>
      <c r="J58" s="347"/>
      <c r="K58" s="347"/>
      <c r="L58" s="347"/>
      <c r="M58" s="347"/>
      <c r="N58" s="347"/>
      <c r="O58" s="347"/>
      <c r="P58" s="347"/>
      <c r="Q58" s="347"/>
      <c r="R58" s="347"/>
      <c r="S58" s="347"/>
      <c r="T58" s="347"/>
      <c r="U58" s="347"/>
      <c r="V58" s="347"/>
      <c r="W58" s="347"/>
      <c r="X58" s="347"/>
      <c r="Y58" s="347"/>
      <c r="Z58" s="347"/>
      <c r="AA58" s="347"/>
      <c r="AB58" s="347"/>
      <c r="AC58" s="347"/>
      <c r="AD58" s="347"/>
      <c r="AE58" s="347"/>
      <c r="AF58" s="347"/>
      <c r="AG58" s="347"/>
    </row>
    <row r="59">
      <c r="A59" s="334">
        <v>300055.0</v>
      </c>
      <c r="B59" s="334"/>
      <c r="C59" s="347"/>
      <c r="D59" s="347"/>
      <c r="E59" s="334">
        <f t="shared" si="24"/>
        <v>0</v>
      </c>
      <c r="F59" s="347"/>
      <c r="G59" s="347"/>
      <c r="H59" s="347"/>
      <c r="I59" s="347"/>
      <c r="J59" s="347"/>
      <c r="K59" s="347"/>
      <c r="L59" s="347"/>
      <c r="M59" s="347"/>
      <c r="N59" s="347"/>
      <c r="O59" s="347"/>
      <c r="P59" s="347"/>
      <c r="Q59" s="347"/>
      <c r="R59" s="347"/>
      <c r="S59" s="347"/>
      <c r="T59" s="347"/>
      <c r="U59" s="347"/>
      <c r="V59" s="347"/>
      <c r="W59" s="347"/>
      <c r="X59" s="347"/>
      <c r="Y59" s="347"/>
      <c r="Z59" s="347"/>
      <c r="AA59" s="347"/>
      <c r="AB59" s="347"/>
      <c r="AC59" s="347"/>
      <c r="AD59" s="347"/>
      <c r="AE59" s="347"/>
      <c r="AF59" s="347"/>
      <c r="AG59" s="347"/>
    </row>
    <row r="60">
      <c r="A60" s="334">
        <v>300056.0</v>
      </c>
      <c r="B60" s="334"/>
      <c r="C60" s="347"/>
      <c r="D60" s="347"/>
      <c r="E60" s="334">
        <f t="shared" si="24"/>
        <v>0</v>
      </c>
      <c r="F60" s="347"/>
      <c r="G60" s="347"/>
      <c r="H60" s="347"/>
      <c r="I60" s="347"/>
      <c r="J60" s="347"/>
      <c r="K60" s="347"/>
      <c r="L60" s="347"/>
      <c r="M60" s="347"/>
      <c r="N60" s="347"/>
      <c r="O60" s="347"/>
      <c r="P60" s="347"/>
      <c r="Q60" s="347"/>
      <c r="R60" s="347"/>
      <c r="S60" s="347"/>
      <c r="T60" s="347"/>
      <c r="U60" s="347"/>
      <c r="V60" s="347"/>
      <c r="W60" s="347"/>
      <c r="X60" s="347"/>
      <c r="Y60" s="347"/>
      <c r="Z60" s="347"/>
      <c r="AA60" s="347"/>
      <c r="AB60" s="347"/>
      <c r="AC60" s="347"/>
      <c r="AD60" s="347"/>
      <c r="AE60" s="347"/>
      <c r="AF60" s="347"/>
      <c r="AG60" s="347"/>
    </row>
    <row r="61">
      <c r="A61" s="334">
        <v>300057.0</v>
      </c>
      <c r="B61" s="334"/>
      <c r="C61" s="347"/>
      <c r="D61" s="347"/>
      <c r="E61" s="334">
        <f t="shared" si="24"/>
        <v>0</v>
      </c>
      <c r="F61" s="347"/>
      <c r="G61" s="347"/>
      <c r="H61" s="347"/>
      <c r="I61" s="347"/>
      <c r="J61" s="347"/>
      <c r="K61" s="347"/>
      <c r="L61" s="347"/>
      <c r="M61" s="347"/>
      <c r="N61" s="347"/>
      <c r="O61" s="347"/>
      <c r="P61" s="347"/>
      <c r="Q61" s="347"/>
      <c r="R61" s="347"/>
      <c r="S61" s="347"/>
      <c r="T61" s="347"/>
      <c r="U61" s="347"/>
      <c r="V61" s="347"/>
      <c r="W61" s="347"/>
      <c r="X61" s="347"/>
      <c r="Y61" s="347"/>
      <c r="Z61" s="347"/>
      <c r="AA61" s="347"/>
      <c r="AB61" s="347"/>
      <c r="AC61" s="347"/>
      <c r="AD61" s="347"/>
      <c r="AE61" s="347"/>
      <c r="AF61" s="347"/>
      <c r="AG61" s="347"/>
    </row>
    <row r="62">
      <c r="A62" s="334">
        <v>300058.0</v>
      </c>
      <c r="B62" s="334"/>
      <c r="C62" s="347"/>
      <c r="D62" s="347"/>
      <c r="E62" s="334">
        <f t="shared" si="24"/>
        <v>0</v>
      </c>
      <c r="F62" s="347"/>
      <c r="G62" s="347"/>
      <c r="H62" s="347"/>
      <c r="I62" s="347"/>
      <c r="J62" s="347"/>
      <c r="K62" s="347"/>
      <c r="L62" s="347"/>
      <c r="M62" s="347"/>
      <c r="N62" s="347"/>
      <c r="O62" s="347"/>
      <c r="P62" s="347"/>
      <c r="Q62" s="347"/>
      <c r="R62" s="347"/>
      <c r="S62" s="347"/>
      <c r="T62" s="347"/>
      <c r="U62" s="347"/>
      <c r="V62" s="347"/>
      <c r="W62" s="347"/>
      <c r="X62" s="347"/>
      <c r="Y62" s="347"/>
      <c r="Z62" s="347"/>
      <c r="AA62" s="347"/>
      <c r="AB62" s="347"/>
      <c r="AC62" s="347"/>
      <c r="AD62" s="347"/>
      <c r="AE62" s="347"/>
      <c r="AF62" s="347"/>
      <c r="AG62" s="347"/>
    </row>
    <row r="63">
      <c r="A63" s="334">
        <v>300059.0</v>
      </c>
      <c r="B63" s="334"/>
      <c r="C63" s="347"/>
      <c r="D63" s="347"/>
      <c r="E63" s="334">
        <f t="shared" si="24"/>
        <v>0</v>
      </c>
      <c r="F63" s="347"/>
      <c r="G63" s="347"/>
      <c r="H63" s="347"/>
      <c r="I63" s="347"/>
      <c r="J63" s="347"/>
      <c r="K63" s="347"/>
      <c r="L63" s="347"/>
      <c r="M63" s="347"/>
      <c r="N63" s="347"/>
      <c r="O63" s="347"/>
      <c r="P63" s="347"/>
      <c r="Q63" s="347"/>
      <c r="R63" s="347"/>
      <c r="S63" s="347"/>
      <c r="T63" s="347"/>
      <c r="U63" s="347"/>
      <c r="V63" s="347"/>
      <c r="W63" s="347"/>
      <c r="X63" s="347"/>
      <c r="Y63" s="347"/>
      <c r="Z63" s="347"/>
      <c r="AA63" s="347"/>
      <c r="AB63" s="347"/>
      <c r="AC63" s="347"/>
      <c r="AD63" s="347"/>
      <c r="AE63" s="347"/>
      <c r="AF63" s="347"/>
      <c r="AG63" s="347"/>
    </row>
    <row r="64">
      <c r="A64" s="334">
        <v>300060.0</v>
      </c>
      <c r="B64" s="334"/>
      <c r="C64" s="347"/>
      <c r="D64" s="347"/>
      <c r="E64" s="334">
        <f t="shared" si="24"/>
        <v>0</v>
      </c>
      <c r="F64" s="347"/>
      <c r="G64" s="347"/>
      <c r="H64" s="347"/>
      <c r="I64" s="347"/>
      <c r="J64" s="347"/>
      <c r="K64" s="347"/>
      <c r="L64" s="347"/>
      <c r="M64" s="347"/>
      <c r="N64" s="347"/>
      <c r="O64" s="347"/>
      <c r="P64" s="347"/>
      <c r="Q64" s="347"/>
      <c r="R64" s="347"/>
      <c r="S64" s="347"/>
      <c r="T64" s="347"/>
      <c r="U64" s="347"/>
      <c r="V64" s="347"/>
      <c r="W64" s="347"/>
      <c r="X64" s="347"/>
      <c r="Y64" s="347"/>
      <c r="Z64" s="347"/>
      <c r="AA64" s="347"/>
      <c r="AB64" s="347"/>
      <c r="AC64" s="347"/>
      <c r="AD64" s="347"/>
      <c r="AE64" s="347"/>
      <c r="AF64" s="347"/>
      <c r="AG64" s="347"/>
    </row>
    <row r="65">
      <c r="A65" s="334">
        <v>300061.0</v>
      </c>
      <c r="B65" s="334"/>
      <c r="C65" s="347"/>
      <c r="D65" s="347"/>
      <c r="E65" s="334">
        <f t="shared" si="24"/>
        <v>0</v>
      </c>
      <c r="F65" s="347"/>
      <c r="G65" s="347"/>
      <c r="H65" s="347"/>
      <c r="I65" s="347"/>
      <c r="J65" s="347"/>
      <c r="K65" s="347"/>
      <c r="L65" s="347"/>
      <c r="M65" s="347"/>
      <c r="N65" s="347"/>
      <c r="O65" s="347"/>
      <c r="P65" s="347"/>
      <c r="Q65" s="347"/>
      <c r="R65" s="347"/>
      <c r="S65" s="347"/>
      <c r="T65" s="347"/>
      <c r="U65" s="347"/>
      <c r="V65" s="347"/>
      <c r="W65" s="347"/>
      <c r="X65" s="347"/>
      <c r="Y65" s="347"/>
      <c r="Z65" s="347"/>
      <c r="AA65" s="347"/>
      <c r="AB65" s="347"/>
      <c r="AC65" s="347"/>
      <c r="AD65" s="347"/>
      <c r="AE65" s="347"/>
      <c r="AF65" s="347"/>
      <c r="AG65" s="347"/>
    </row>
    <row r="66">
      <c r="A66" s="334">
        <v>300062.0</v>
      </c>
      <c r="B66" s="334"/>
      <c r="C66" s="347"/>
      <c r="D66" s="347"/>
      <c r="E66" s="334">
        <f t="shared" si="24"/>
        <v>0</v>
      </c>
      <c r="F66" s="347"/>
      <c r="G66" s="347"/>
      <c r="H66" s="347"/>
      <c r="I66" s="347"/>
      <c r="J66" s="347"/>
      <c r="K66" s="347"/>
      <c r="L66" s="347"/>
      <c r="M66" s="347"/>
      <c r="N66" s="347"/>
      <c r="O66" s="347"/>
      <c r="P66" s="347"/>
      <c r="Q66" s="347"/>
      <c r="R66" s="347"/>
      <c r="S66" s="347"/>
      <c r="T66" s="347"/>
      <c r="U66" s="347"/>
      <c r="V66" s="347"/>
      <c r="W66" s="347"/>
      <c r="X66" s="347"/>
      <c r="Y66" s="347"/>
      <c r="Z66" s="347"/>
      <c r="AA66" s="347"/>
      <c r="AB66" s="347"/>
      <c r="AC66" s="347"/>
      <c r="AD66" s="347"/>
      <c r="AE66" s="347"/>
      <c r="AF66" s="347"/>
      <c r="AG66" s="347"/>
    </row>
    <row r="67">
      <c r="A67" s="334">
        <v>300063.0</v>
      </c>
      <c r="B67" s="334"/>
      <c r="C67" s="347"/>
      <c r="D67" s="347"/>
      <c r="E67" s="334">
        <f t="shared" si="24"/>
        <v>0</v>
      </c>
      <c r="F67" s="347"/>
      <c r="G67" s="347"/>
      <c r="H67" s="347"/>
      <c r="I67" s="347"/>
      <c r="J67" s="347"/>
      <c r="K67" s="347"/>
      <c r="L67" s="347"/>
      <c r="M67" s="347"/>
      <c r="N67" s="347"/>
      <c r="O67" s="347"/>
      <c r="P67" s="347"/>
      <c r="Q67" s="347"/>
      <c r="R67" s="347"/>
      <c r="S67" s="347"/>
      <c r="T67" s="347"/>
      <c r="U67" s="347"/>
      <c r="V67" s="347"/>
      <c r="W67" s="347"/>
      <c r="X67" s="347"/>
      <c r="Y67" s="347"/>
      <c r="Z67" s="347"/>
      <c r="AA67" s="347"/>
      <c r="AB67" s="347"/>
      <c r="AC67" s="347"/>
      <c r="AD67" s="347"/>
      <c r="AE67" s="347"/>
      <c r="AF67" s="347"/>
      <c r="AG67" s="347"/>
    </row>
    <row r="68">
      <c r="A68" s="334">
        <v>300064.0</v>
      </c>
      <c r="B68" s="334"/>
      <c r="C68" s="347"/>
      <c r="D68" s="347"/>
      <c r="E68" s="334">
        <f t="shared" si="24"/>
        <v>0</v>
      </c>
      <c r="F68" s="347"/>
      <c r="G68" s="347"/>
      <c r="H68" s="347"/>
      <c r="I68" s="347"/>
      <c r="J68" s="347"/>
      <c r="K68" s="347"/>
      <c r="L68" s="347"/>
      <c r="M68" s="347"/>
      <c r="N68" s="347"/>
      <c r="O68" s="347"/>
      <c r="P68" s="347"/>
      <c r="Q68" s="347"/>
      <c r="R68" s="347"/>
      <c r="S68" s="347"/>
      <c r="T68" s="347"/>
      <c r="U68" s="347"/>
      <c r="V68" s="347"/>
      <c r="W68" s="347"/>
      <c r="X68" s="347"/>
      <c r="Y68" s="347"/>
      <c r="Z68" s="347"/>
      <c r="AA68" s="347"/>
      <c r="AB68" s="347"/>
      <c r="AC68" s="347"/>
      <c r="AD68" s="347"/>
      <c r="AE68" s="347"/>
      <c r="AF68" s="347"/>
      <c r="AG68" s="347"/>
    </row>
    <row r="69">
      <c r="A69" s="334">
        <v>300065.0</v>
      </c>
      <c r="B69" s="334"/>
      <c r="C69" s="347"/>
      <c r="D69" s="347"/>
      <c r="E69" s="334">
        <f t="shared" si="24"/>
        <v>0</v>
      </c>
      <c r="F69" s="347"/>
      <c r="G69" s="347"/>
      <c r="H69" s="347"/>
      <c r="I69" s="347"/>
      <c r="J69" s="347"/>
      <c r="K69" s="347"/>
      <c r="L69" s="347"/>
      <c r="M69" s="347"/>
      <c r="N69" s="347"/>
      <c r="O69" s="347"/>
      <c r="P69" s="347"/>
      <c r="Q69" s="347"/>
      <c r="R69" s="347"/>
      <c r="S69" s="347"/>
      <c r="T69" s="347"/>
      <c r="U69" s="347"/>
      <c r="V69" s="347"/>
      <c r="W69" s="347"/>
      <c r="X69" s="347"/>
      <c r="Y69" s="347"/>
      <c r="Z69" s="347"/>
      <c r="AA69" s="347"/>
      <c r="AB69" s="347"/>
      <c r="AC69" s="347"/>
      <c r="AD69" s="347"/>
      <c r="AE69" s="347"/>
      <c r="AF69" s="347"/>
      <c r="AG69" s="347"/>
    </row>
    <row r="70">
      <c r="A70" s="334">
        <v>300066.0</v>
      </c>
      <c r="B70" s="334"/>
      <c r="C70" s="347"/>
      <c r="D70" s="347"/>
      <c r="E70" s="334">
        <f t="shared" si="24"/>
        <v>0</v>
      </c>
      <c r="F70" s="347"/>
      <c r="G70" s="347"/>
      <c r="H70" s="347"/>
      <c r="I70" s="347"/>
      <c r="J70" s="347"/>
      <c r="K70" s="347"/>
      <c r="L70" s="347"/>
      <c r="M70" s="347"/>
      <c r="N70" s="347"/>
      <c r="O70" s="347"/>
      <c r="P70" s="347"/>
      <c r="Q70" s="347"/>
      <c r="R70" s="347"/>
      <c r="S70" s="347"/>
      <c r="T70" s="347"/>
      <c r="U70" s="347"/>
      <c r="V70" s="347"/>
      <c r="W70" s="347"/>
      <c r="X70" s="347"/>
      <c r="Y70" s="347"/>
      <c r="Z70" s="347"/>
      <c r="AA70" s="347"/>
      <c r="AB70" s="347"/>
      <c r="AC70" s="347"/>
      <c r="AD70" s="347"/>
      <c r="AE70" s="347"/>
      <c r="AF70" s="347"/>
      <c r="AG70" s="347"/>
    </row>
    <row r="71">
      <c r="A71" s="334">
        <v>300067.0</v>
      </c>
      <c r="B71" s="334"/>
      <c r="C71" s="347"/>
      <c r="D71" s="347"/>
      <c r="E71" s="334">
        <f t="shared" si="24"/>
        <v>0</v>
      </c>
      <c r="F71" s="347"/>
      <c r="G71" s="347"/>
      <c r="H71" s="347"/>
      <c r="I71" s="347"/>
      <c r="J71" s="347"/>
      <c r="K71" s="347"/>
      <c r="L71" s="347"/>
      <c r="M71" s="347"/>
      <c r="N71" s="347"/>
      <c r="O71" s="347"/>
      <c r="P71" s="347"/>
      <c r="Q71" s="347"/>
      <c r="R71" s="347"/>
      <c r="S71" s="347"/>
      <c r="T71" s="347"/>
      <c r="U71" s="347"/>
      <c r="V71" s="347"/>
      <c r="W71" s="347"/>
      <c r="X71" s="347"/>
      <c r="Y71" s="347"/>
      <c r="Z71" s="347"/>
      <c r="AA71" s="347"/>
      <c r="AB71" s="347"/>
      <c r="AC71" s="347"/>
      <c r="AD71" s="347"/>
      <c r="AE71" s="347"/>
      <c r="AF71" s="347"/>
      <c r="AG71" s="347"/>
    </row>
    <row r="72">
      <c r="A72" s="334">
        <v>300068.0</v>
      </c>
      <c r="B72" s="334"/>
      <c r="C72" s="347"/>
      <c r="D72" s="347"/>
      <c r="E72" s="334">
        <f t="shared" si="24"/>
        <v>0</v>
      </c>
      <c r="F72" s="347"/>
      <c r="G72" s="347"/>
      <c r="H72" s="347"/>
      <c r="I72" s="347"/>
      <c r="J72" s="347"/>
      <c r="K72" s="347"/>
      <c r="L72" s="347"/>
      <c r="M72" s="347"/>
      <c r="N72" s="347"/>
      <c r="O72" s="347"/>
      <c r="P72" s="347"/>
      <c r="Q72" s="347"/>
      <c r="R72" s="347"/>
      <c r="S72" s="347"/>
      <c r="T72" s="347"/>
      <c r="U72" s="347"/>
      <c r="V72" s="347"/>
      <c r="W72" s="347"/>
      <c r="X72" s="347"/>
      <c r="Y72" s="347"/>
      <c r="Z72" s="347"/>
      <c r="AA72" s="347"/>
      <c r="AB72" s="347"/>
      <c r="AC72" s="347"/>
      <c r="AD72" s="347"/>
      <c r="AE72" s="347"/>
      <c r="AF72" s="347"/>
      <c r="AG72" s="347"/>
    </row>
    <row r="73">
      <c r="A73" s="334">
        <v>300069.0</v>
      </c>
      <c r="B73" s="334"/>
      <c r="C73" s="347"/>
      <c r="D73" s="347"/>
      <c r="E73" s="334">
        <f t="shared" si="24"/>
        <v>0</v>
      </c>
      <c r="F73" s="347"/>
      <c r="G73" s="347"/>
      <c r="H73" s="347"/>
      <c r="I73" s="347"/>
      <c r="J73" s="347"/>
      <c r="K73" s="347"/>
      <c r="L73" s="347"/>
      <c r="M73" s="347"/>
      <c r="N73" s="347"/>
      <c r="O73" s="347"/>
      <c r="P73" s="347"/>
      <c r="Q73" s="347"/>
      <c r="R73" s="347"/>
      <c r="S73" s="347"/>
      <c r="T73" s="347"/>
      <c r="U73" s="347"/>
      <c r="V73" s="347"/>
      <c r="W73" s="347"/>
      <c r="X73" s="347"/>
      <c r="Y73" s="347"/>
      <c r="Z73" s="347"/>
      <c r="AA73" s="347"/>
      <c r="AB73" s="347"/>
      <c r="AC73" s="347"/>
      <c r="AD73" s="347"/>
      <c r="AE73" s="347"/>
      <c r="AF73" s="347"/>
      <c r="AG73" s="347"/>
    </row>
    <row r="74">
      <c r="A74" s="334">
        <v>300070.0</v>
      </c>
      <c r="B74" s="334"/>
      <c r="C74" s="347"/>
      <c r="D74" s="347"/>
      <c r="E74" s="334">
        <f t="shared" si="24"/>
        <v>0</v>
      </c>
      <c r="F74" s="347"/>
      <c r="G74" s="347"/>
      <c r="H74" s="347"/>
      <c r="I74" s="347"/>
      <c r="J74" s="347"/>
      <c r="K74" s="347"/>
      <c r="L74" s="347"/>
      <c r="M74" s="347"/>
      <c r="N74" s="347"/>
      <c r="O74" s="347"/>
      <c r="P74" s="347"/>
      <c r="Q74" s="347"/>
      <c r="R74" s="347"/>
      <c r="S74" s="347"/>
      <c r="T74" s="347"/>
      <c r="U74" s="347"/>
      <c r="V74" s="347"/>
      <c r="W74" s="347"/>
      <c r="X74" s="347"/>
      <c r="Y74" s="347"/>
      <c r="Z74" s="347"/>
      <c r="AA74" s="347"/>
      <c r="AB74" s="347"/>
      <c r="AC74" s="347"/>
      <c r="AD74" s="347"/>
      <c r="AE74" s="347"/>
      <c r="AF74" s="347"/>
      <c r="AG74" s="347"/>
    </row>
    <row r="75">
      <c r="A75" s="334">
        <v>300071.0</v>
      </c>
      <c r="B75" s="334"/>
      <c r="C75" s="347"/>
      <c r="D75" s="347"/>
      <c r="E75" s="334">
        <f t="shared" si="24"/>
        <v>0</v>
      </c>
      <c r="F75" s="347"/>
      <c r="G75" s="347"/>
      <c r="H75" s="347"/>
      <c r="I75" s="347"/>
      <c r="J75" s="347"/>
      <c r="K75" s="347"/>
      <c r="L75" s="347"/>
      <c r="M75" s="347"/>
      <c r="N75" s="347"/>
      <c r="O75" s="347"/>
      <c r="P75" s="347"/>
      <c r="Q75" s="347"/>
      <c r="R75" s="347"/>
      <c r="S75" s="347"/>
      <c r="T75" s="347"/>
      <c r="U75" s="347"/>
      <c r="V75" s="347"/>
      <c r="W75" s="347"/>
      <c r="X75" s="347"/>
      <c r="Y75" s="347"/>
      <c r="Z75" s="347"/>
      <c r="AA75" s="347"/>
      <c r="AB75" s="347"/>
      <c r="AC75" s="347"/>
      <c r="AD75" s="347"/>
      <c r="AE75" s="347"/>
      <c r="AF75" s="347"/>
      <c r="AG75" s="347"/>
    </row>
    <row r="76">
      <c r="A76" s="334">
        <v>300072.0</v>
      </c>
      <c r="B76" s="334"/>
      <c r="C76" s="347"/>
      <c r="D76" s="347"/>
      <c r="E76" s="334">
        <f t="shared" si="24"/>
        <v>0</v>
      </c>
      <c r="F76" s="347"/>
      <c r="G76" s="347"/>
      <c r="H76" s="347"/>
      <c r="I76" s="347"/>
      <c r="J76" s="347"/>
      <c r="K76" s="347"/>
      <c r="L76" s="347"/>
      <c r="M76" s="347"/>
      <c r="N76" s="347"/>
      <c r="O76" s="347"/>
      <c r="P76" s="347"/>
      <c r="Q76" s="347"/>
      <c r="R76" s="347"/>
      <c r="S76" s="347"/>
      <c r="T76" s="347"/>
      <c r="U76" s="347"/>
      <c r="V76" s="347"/>
      <c r="W76" s="347"/>
      <c r="X76" s="347"/>
      <c r="Y76" s="347"/>
      <c r="Z76" s="347"/>
      <c r="AA76" s="347"/>
      <c r="AB76" s="347"/>
      <c r="AC76" s="347"/>
      <c r="AD76" s="347"/>
      <c r="AE76" s="347"/>
      <c r="AF76" s="347"/>
      <c r="AG76" s="347"/>
    </row>
    <row r="77">
      <c r="A77" s="334">
        <v>300073.0</v>
      </c>
      <c r="B77" s="334"/>
      <c r="C77" s="347"/>
      <c r="D77" s="347"/>
      <c r="E77" s="334">
        <f t="shared" si="24"/>
        <v>0</v>
      </c>
      <c r="F77" s="347"/>
      <c r="G77" s="347"/>
      <c r="H77" s="347"/>
      <c r="I77" s="347"/>
      <c r="J77" s="347"/>
      <c r="K77" s="347"/>
      <c r="L77" s="347"/>
      <c r="M77" s="347"/>
      <c r="N77" s="347"/>
      <c r="O77" s="347"/>
      <c r="P77" s="347"/>
      <c r="Q77" s="347"/>
      <c r="R77" s="347"/>
      <c r="S77" s="347"/>
      <c r="T77" s="347"/>
      <c r="U77" s="347"/>
      <c r="V77" s="347"/>
      <c r="W77" s="347"/>
      <c r="X77" s="347"/>
      <c r="Y77" s="347"/>
      <c r="Z77" s="347"/>
      <c r="AA77" s="347"/>
      <c r="AB77" s="347"/>
      <c r="AC77" s="347"/>
      <c r="AD77" s="347"/>
      <c r="AE77" s="347"/>
      <c r="AF77" s="347"/>
      <c r="AG77" s="347"/>
    </row>
    <row r="78">
      <c r="A78" s="334">
        <v>300074.0</v>
      </c>
      <c r="B78" s="334"/>
      <c r="C78" s="347"/>
      <c r="D78" s="347"/>
      <c r="E78" s="334">
        <f t="shared" si="24"/>
        <v>0</v>
      </c>
      <c r="F78" s="347"/>
      <c r="G78" s="347"/>
      <c r="H78" s="347"/>
      <c r="I78" s="347"/>
      <c r="J78" s="347"/>
      <c r="K78" s="347"/>
      <c r="L78" s="347"/>
      <c r="M78" s="347"/>
      <c r="N78" s="347"/>
      <c r="O78" s="347"/>
      <c r="P78" s="347"/>
      <c r="Q78" s="347"/>
      <c r="R78" s="347"/>
      <c r="S78" s="347"/>
      <c r="T78" s="347"/>
      <c r="U78" s="347"/>
      <c r="V78" s="347"/>
      <c r="W78" s="347"/>
      <c r="X78" s="347"/>
      <c r="Y78" s="347"/>
      <c r="Z78" s="347"/>
      <c r="AA78" s="347"/>
      <c r="AB78" s="347"/>
      <c r="AC78" s="347"/>
      <c r="AD78" s="347"/>
      <c r="AE78" s="347"/>
      <c r="AF78" s="347"/>
      <c r="AG78" s="347"/>
    </row>
    <row r="79">
      <c r="A79" s="334">
        <v>300075.0</v>
      </c>
      <c r="B79" s="334"/>
      <c r="C79" s="347"/>
      <c r="D79" s="347"/>
      <c r="E79" s="334">
        <f t="shared" si="24"/>
        <v>0</v>
      </c>
      <c r="F79" s="347"/>
      <c r="G79" s="347"/>
      <c r="H79" s="347"/>
      <c r="I79" s="347"/>
      <c r="J79" s="347"/>
      <c r="K79" s="347"/>
      <c r="L79" s="347"/>
      <c r="M79" s="347"/>
      <c r="N79" s="347"/>
      <c r="O79" s="347"/>
      <c r="P79" s="347"/>
      <c r="Q79" s="347"/>
      <c r="R79" s="347"/>
      <c r="S79" s="347"/>
      <c r="T79" s="347"/>
      <c r="U79" s="347"/>
      <c r="V79" s="347"/>
      <c r="W79" s="347"/>
      <c r="X79" s="347"/>
      <c r="Y79" s="347"/>
      <c r="Z79" s="347"/>
      <c r="AA79" s="347"/>
      <c r="AB79" s="347"/>
      <c r="AC79" s="347"/>
      <c r="AD79" s="347"/>
      <c r="AE79" s="347"/>
      <c r="AF79" s="347"/>
      <c r="AG79" s="347"/>
    </row>
    <row r="80">
      <c r="A80" s="334">
        <v>300076.0</v>
      </c>
      <c r="B80" s="334"/>
      <c r="C80" s="347"/>
      <c r="D80" s="347"/>
      <c r="E80" s="334">
        <f t="shared" si="24"/>
        <v>0</v>
      </c>
      <c r="F80" s="347"/>
      <c r="G80" s="347"/>
      <c r="H80" s="347"/>
      <c r="I80" s="347"/>
      <c r="J80" s="347"/>
      <c r="K80" s="347"/>
      <c r="L80" s="347"/>
      <c r="M80" s="347"/>
      <c r="N80" s="347"/>
      <c r="O80" s="347"/>
      <c r="P80" s="347"/>
      <c r="Q80" s="347"/>
      <c r="R80" s="347"/>
      <c r="S80" s="347"/>
      <c r="T80" s="347"/>
      <c r="U80" s="347"/>
      <c r="V80" s="347"/>
      <c r="W80" s="347"/>
      <c r="X80" s="347"/>
      <c r="Y80" s="347"/>
      <c r="Z80" s="347"/>
      <c r="AA80" s="347"/>
      <c r="AB80" s="347"/>
      <c r="AC80" s="347"/>
      <c r="AD80" s="347"/>
      <c r="AE80" s="347"/>
      <c r="AF80" s="347"/>
      <c r="AG80" s="347"/>
    </row>
    <row r="81">
      <c r="A81" s="334">
        <v>300077.0</v>
      </c>
      <c r="B81" s="334"/>
      <c r="C81" s="347"/>
      <c r="D81" s="347"/>
      <c r="E81" s="334">
        <f t="shared" si="24"/>
        <v>0</v>
      </c>
      <c r="F81" s="347"/>
      <c r="G81" s="347"/>
      <c r="H81" s="347"/>
      <c r="I81" s="347"/>
      <c r="J81" s="347"/>
      <c r="K81" s="347"/>
      <c r="L81" s="347"/>
      <c r="M81" s="347"/>
      <c r="N81" s="347"/>
      <c r="O81" s="347"/>
      <c r="P81" s="347"/>
      <c r="Q81" s="347"/>
      <c r="R81" s="347"/>
      <c r="S81" s="347"/>
      <c r="T81" s="347"/>
      <c r="U81" s="347"/>
      <c r="V81" s="347"/>
      <c r="W81" s="347"/>
      <c r="X81" s="347"/>
      <c r="Y81" s="347"/>
      <c r="Z81" s="347"/>
      <c r="AA81" s="347"/>
      <c r="AB81" s="347"/>
      <c r="AC81" s="347"/>
      <c r="AD81" s="347"/>
      <c r="AE81" s="347"/>
      <c r="AF81" s="347"/>
      <c r="AG81" s="347"/>
    </row>
    <row r="82">
      <c r="A82" s="334">
        <v>300078.0</v>
      </c>
      <c r="B82" s="334"/>
      <c r="C82" s="347"/>
      <c r="D82" s="347"/>
      <c r="E82" s="334">
        <f t="shared" si="24"/>
        <v>0</v>
      </c>
      <c r="F82" s="347"/>
      <c r="G82" s="347"/>
      <c r="H82" s="347"/>
      <c r="I82" s="347"/>
      <c r="J82" s="347"/>
      <c r="K82" s="347"/>
      <c r="L82" s="347"/>
      <c r="M82" s="347"/>
      <c r="N82" s="347"/>
      <c r="O82" s="347"/>
      <c r="P82" s="347"/>
      <c r="Q82" s="347"/>
      <c r="R82" s="347"/>
      <c r="S82" s="347"/>
      <c r="T82" s="347"/>
      <c r="U82" s="347"/>
      <c r="V82" s="347"/>
      <c r="W82" s="347"/>
      <c r="X82" s="347"/>
      <c r="Y82" s="347"/>
      <c r="Z82" s="347"/>
      <c r="AA82" s="347"/>
      <c r="AB82" s="347"/>
      <c r="AC82" s="347"/>
      <c r="AD82" s="347"/>
      <c r="AE82" s="347"/>
      <c r="AF82" s="347"/>
      <c r="AG82" s="347"/>
    </row>
    <row r="83">
      <c r="A83" s="334">
        <v>300079.0</v>
      </c>
      <c r="B83" s="334"/>
      <c r="C83" s="347"/>
      <c r="D83" s="347"/>
      <c r="E83" s="334">
        <f t="shared" si="24"/>
        <v>0</v>
      </c>
      <c r="F83" s="347"/>
      <c r="G83" s="347"/>
      <c r="H83" s="347"/>
      <c r="I83" s="347"/>
      <c r="J83" s="347"/>
      <c r="K83" s="347"/>
      <c r="L83" s="347"/>
      <c r="M83" s="347"/>
      <c r="N83" s="347"/>
      <c r="O83" s="347"/>
      <c r="P83" s="347"/>
      <c r="Q83" s="347"/>
      <c r="R83" s="347"/>
      <c r="S83" s="347"/>
      <c r="T83" s="347"/>
      <c r="U83" s="347"/>
      <c r="V83" s="347"/>
      <c r="W83" s="347"/>
      <c r="X83" s="347"/>
      <c r="Y83" s="347"/>
      <c r="Z83" s="347"/>
      <c r="AA83" s="347"/>
      <c r="AB83" s="347"/>
      <c r="AC83" s="347"/>
      <c r="AD83" s="347"/>
      <c r="AE83" s="347"/>
      <c r="AF83" s="347"/>
      <c r="AG83" s="347"/>
    </row>
    <row r="84">
      <c r="A84" s="334">
        <v>300080.0</v>
      </c>
      <c r="B84" s="334"/>
      <c r="C84" s="347"/>
      <c r="D84" s="347"/>
      <c r="E84" s="334">
        <f t="shared" si="24"/>
        <v>0</v>
      </c>
      <c r="F84" s="347"/>
      <c r="G84" s="347"/>
      <c r="H84" s="347"/>
      <c r="I84" s="347"/>
      <c r="J84" s="347"/>
      <c r="K84" s="347"/>
      <c r="L84" s="347"/>
      <c r="M84" s="347"/>
      <c r="N84" s="347"/>
      <c r="O84" s="347"/>
      <c r="P84" s="347"/>
      <c r="Q84" s="347"/>
      <c r="R84" s="347"/>
      <c r="S84" s="347"/>
      <c r="T84" s="347"/>
      <c r="U84" s="347"/>
      <c r="V84" s="347"/>
      <c r="W84" s="347"/>
      <c r="X84" s="347"/>
      <c r="Y84" s="347"/>
      <c r="Z84" s="347"/>
      <c r="AA84" s="347"/>
      <c r="AB84" s="347"/>
      <c r="AC84" s="347"/>
      <c r="AD84" s="347"/>
      <c r="AE84" s="347"/>
      <c r="AF84" s="347"/>
      <c r="AG84" s="347"/>
    </row>
    <row r="85">
      <c r="A85" s="334">
        <v>300081.0</v>
      </c>
      <c r="B85" s="334"/>
      <c r="C85" s="347"/>
      <c r="D85" s="347"/>
      <c r="E85" s="334">
        <f t="shared" si="24"/>
        <v>0</v>
      </c>
      <c r="F85" s="347"/>
      <c r="G85" s="347"/>
      <c r="H85" s="347"/>
      <c r="I85" s="347"/>
      <c r="J85" s="347"/>
      <c r="K85" s="347"/>
      <c r="L85" s="347"/>
      <c r="M85" s="347"/>
      <c r="N85" s="347"/>
      <c r="O85" s="347"/>
      <c r="P85" s="347"/>
      <c r="Q85" s="347"/>
      <c r="R85" s="347"/>
      <c r="S85" s="347"/>
      <c r="T85" s="347"/>
      <c r="U85" s="347"/>
      <c r="V85" s="347"/>
      <c r="W85" s="347"/>
      <c r="X85" s="347"/>
      <c r="Y85" s="347"/>
      <c r="Z85" s="347"/>
      <c r="AA85" s="347"/>
      <c r="AB85" s="347"/>
      <c r="AC85" s="347"/>
      <c r="AD85" s="347"/>
      <c r="AE85" s="347"/>
      <c r="AF85" s="347"/>
      <c r="AG85" s="347"/>
    </row>
    <row r="86">
      <c r="A86" s="334">
        <v>300082.0</v>
      </c>
      <c r="B86" s="334"/>
      <c r="C86" s="347"/>
      <c r="D86" s="347"/>
      <c r="E86" s="334">
        <f t="shared" si="24"/>
        <v>0</v>
      </c>
      <c r="F86" s="347"/>
      <c r="G86" s="347"/>
      <c r="H86" s="347"/>
      <c r="I86" s="347"/>
      <c r="J86" s="347"/>
      <c r="K86" s="347"/>
      <c r="L86" s="347"/>
      <c r="M86" s="347"/>
      <c r="N86" s="347"/>
      <c r="O86" s="347"/>
      <c r="P86" s="347"/>
      <c r="Q86" s="347"/>
      <c r="R86" s="347"/>
      <c r="S86" s="347"/>
      <c r="T86" s="347"/>
      <c r="U86" s="347"/>
      <c r="V86" s="347"/>
      <c r="W86" s="347"/>
      <c r="X86" s="347"/>
      <c r="Y86" s="347"/>
      <c r="Z86" s="347"/>
      <c r="AA86" s="347"/>
      <c r="AB86" s="347"/>
      <c r="AC86" s="347"/>
      <c r="AD86" s="347"/>
      <c r="AE86" s="347"/>
      <c r="AF86" s="347"/>
      <c r="AG86" s="347"/>
    </row>
    <row r="87">
      <c r="A87" s="334">
        <v>300083.0</v>
      </c>
      <c r="B87" s="334"/>
      <c r="C87" s="347"/>
      <c r="D87" s="347"/>
      <c r="E87" s="334">
        <f t="shared" si="24"/>
        <v>0</v>
      </c>
      <c r="F87" s="347"/>
      <c r="G87" s="347"/>
      <c r="H87" s="347"/>
      <c r="I87" s="347"/>
      <c r="J87" s="347"/>
      <c r="K87" s="347"/>
      <c r="L87" s="347"/>
      <c r="M87" s="347"/>
      <c r="N87" s="347"/>
      <c r="O87" s="347"/>
      <c r="P87" s="347"/>
      <c r="Q87" s="347"/>
      <c r="R87" s="347"/>
      <c r="S87" s="347"/>
      <c r="T87" s="347"/>
      <c r="U87" s="347"/>
      <c r="V87" s="347"/>
      <c r="W87" s="347"/>
      <c r="X87" s="347"/>
      <c r="Y87" s="347"/>
      <c r="Z87" s="347"/>
      <c r="AA87" s="347"/>
      <c r="AB87" s="347"/>
      <c r="AC87" s="347"/>
      <c r="AD87" s="347"/>
      <c r="AE87" s="347"/>
      <c r="AF87" s="347"/>
      <c r="AG87" s="347"/>
    </row>
    <row r="88">
      <c r="A88" s="334">
        <v>300084.0</v>
      </c>
      <c r="B88" s="334"/>
      <c r="C88" s="347"/>
      <c r="D88" s="347"/>
      <c r="E88" s="334">
        <f t="shared" si="24"/>
        <v>0</v>
      </c>
      <c r="F88" s="347"/>
      <c r="G88" s="347"/>
      <c r="H88" s="347"/>
      <c r="I88" s="347"/>
      <c r="J88" s="347"/>
      <c r="K88" s="347"/>
      <c r="L88" s="347"/>
      <c r="M88" s="347"/>
      <c r="N88" s="347"/>
      <c r="O88" s="347"/>
      <c r="P88" s="347"/>
      <c r="Q88" s="347"/>
      <c r="R88" s="347"/>
      <c r="S88" s="347"/>
      <c r="T88" s="347"/>
      <c r="U88" s="347"/>
      <c r="V88" s="347"/>
      <c r="W88" s="347"/>
      <c r="X88" s="347"/>
      <c r="Y88" s="347"/>
      <c r="Z88" s="347"/>
      <c r="AA88" s="347"/>
      <c r="AB88" s="347"/>
      <c r="AC88" s="347"/>
      <c r="AD88" s="347"/>
      <c r="AE88" s="347"/>
      <c r="AF88" s="347"/>
      <c r="AG88" s="347"/>
    </row>
    <row r="89">
      <c r="A89" s="334">
        <v>300085.0</v>
      </c>
      <c r="B89" s="334"/>
      <c r="C89" s="347"/>
      <c r="D89" s="347"/>
      <c r="E89" s="334">
        <f t="shared" si="24"/>
        <v>0</v>
      </c>
      <c r="F89" s="347"/>
      <c r="G89" s="347"/>
      <c r="H89" s="347"/>
      <c r="I89" s="347"/>
      <c r="J89" s="347"/>
      <c r="K89" s="347"/>
      <c r="L89" s="347"/>
      <c r="M89" s="347"/>
      <c r="N89" s="347"/>
      <c r="O89" s="347"/>
      <c r="P89" s="347"/>
      <c r="Q89" s="347"/>
      <c r="R89" s="347"/>
      <c r="S89" s="347"/>
      <c r="T89" s="347"/>
      <c r="U89" s="347"/>
      <c r="V89" s="347"/>
      <c r="W89" s="347"/>
      <c r="X89" s="347"/>
      <c r="Y89" s="347"/>
      <c r="Z89" s="347"/>
      <c r="AA89" s="347"/>
      <c r="AB89" s="347"/>
      <c r="AC89" s="347"/>
      <c r="AD89" s="347"/>
      <c r="AE89" s="347"/>
      <c r="AF89" s="347"/>
      <c r="AG89" s="347"/>
    </row>
    <row r="90">
      <c r="A90" s="334">
        <v>300086.0</v>
      </c>
      <c r="B90" s="334"/>
      <c r="C90" s="347"/>
      <c r="D90" s="347"/>
      <c r="E90" s="334">
        <f t="shared" si="24"/>
        <v>0</v>
      </c>
      <c r="F90" s="347"/>
      <c r="G90" s="347"/>
      <c r="H90" s="347"/>
      <c r="I90" s="347"/>
      <c r="J90" s="347"/>
      <c r="K90" s="347"/>
      <c r="L90" s="347"/>
      <c r="M90" s="347"/>
      <c r="N90" s="347"/>
      <c r="O90" s="347"/>
      <c r="P90" s="347"/>
      <c r="Q90" s="347"/>
      <c r="R90" s="347"/>
      <c r="S90" s="347"/>
      <c r="T90" s="347"/>
      <c r="U90" s="347"/>
      <c r="V90" s="347"/>
      <c r="W90" s="347"/>
      <c r="X90" s="347"/>
      <c r="Y90" s="347"/>
      <c r="Z90" s="347"/>
      <c r="AA90" s="347"/>
      <c r="AB90" s="347"/>
      <c r="AC90" s="347"/>
      <c r="AD90" s="347"/>
      <c r="AE90" s="347"/>
      <c r="AF90" s="347"/>
      <c r="AG90" s="347"/>
    </row>
    <row r="91">
      <c r="A91" s="334">
        <v>300087.0</v>
      </c>
      <c r="B91" s="334"/>
      <c r="C91" s="347"/>
      <c r="D91" s="347"/>
      <c r="E91" s="334">
        <f t="shared" si="24"/>
        <v>0</v>
      </c>
      <c r="F91" s="347"/>
      <c r="G91" s="347"/>
      <c r="H91" s="347"/>
      <c r="I91" s="347"/>
      <c r="J91" s="347"/>
      <c r="K91" s="347"/>
      <c r="L91" s="347"/>
      <c r="M91" s="347"/>
      <c r="N91" s="347"/>
      <c r="O91" s="347"/>
      <c r="P91" s="347"/>
      <c r="Q91" s="347"/>
      <c r="R91" s="347"/>
      <c r="S91" s="347"/>
      <c r="T91" s="347"/>
      <c r="U91" s="347"/>
      <c r="V91" s="347"/>
      <c r="W91" s="347"/>
      <c r="X91" s="347"/>
      <c r="Y91" s="347"/>
      <c r="Z91" s="347"/>
      <c r="AA91" s="347"/>
      <c r="AB91" s="347"/>
      <c r="AC91" s="347"/>
      <c r="AD91" s="347"/>
      <c r="AE91" s="347"/>
      <c r="AF91" s="347"/>
      <c r="AG91" s="347"/>
    </row>
    <row r="92">
      <c r="A92" s="334">
        <v>300088.0</v>
      </c>
      <c r="B92" s="334"/>
      <c r="C92" s="347"/>
      <c r="D92" s="347"/>
      <c r="E92" s="334">
        <f t="shared" si="24"/>
        <v>0</v>
      </c>
      <c r="F92" s="347"/>
      <c r="G92" s="347"/>
      <c r="H92" s="347"/>
      <c r="I92" s="347"/>
      <c r="J92" s="347"/>
      <c r="K92" s="347"/>
      <c r="L92" s="347"/>
      <c r="M92" s="347"/>
      <c r="N92" s="347"/>
      <c r="O92" s="347"/>
      <c r="P92" s="347"/>
      <c r="Q92" s="347"/>
      <c r="R92" s="347"/>
      <c r="S92" s="347"/>
      <c r="T92" s="347"/>
      <c r="U92" s="347"/>
      <c r="V92" s="347"/>
      <c r="W92" s="347"/>
      <c r="X92" s="347"/>
      <c r="Y92" s="347"/>
      <c r="Z92" s="347"/>
      <c r="AA92" s="347"/>
      <c r="AB92" s="347"/>
      <c r="AC92" s="347"/>
      <c r="AD92" s="347"/>
      <c r="AE92" s="347"/>
      <c r="AF92" s="347"/>
      <c r="AG92" s="347"/>
    </row>
    <row r="93">
      <c r="A93" s="334">
        <v>300089.0</v>
      </c>
      <c r="B93" s="334"/>
      <c r="C93" s="347"/>
      <c r="D93" s="347"/>
      <c r="E93" s="334">
        <f t="shared" si="24"/>
        <v>0</v>
      </c>
      <c r="F93" s="347"/>
      <c r="G93" s="347"/>
      <c r="H93" s="347"/>
      <c r="I93" s="347"/>
      <c r="J93" s="347"/>
      <c r="K93" s="347"/>
      <c r="L93" s="347"/>
      <c r="M93" s="347"/>
      <c r="N93" s="347"/>
      <c r="O93" s="347"/>
      <c r="P93" s="347"/>
      <c r="Q93" s="347"/>
      <c r="R93" s="347"/>
      <c r="S93" s="347"/>
      <c r="T93" s="347"/>
      <c r="U93" s="347"/>
      <c r="V93" s="347"/>
      <c r="W93" s="347"/>
      <c r="X93" s="347"/>
      <c r="Y93" s="347"/>
      <c r="Z93" s="347"/>
      <c r="AA93" s="347"/>
      <c r="AB93" s="347"/>
      <c r="AC93" s="347"/>
      <c r="AD93" s="347"/>
      <c r="AE93" s="347"/>
      <c r="AF93" s="347"/>
      <c r="AG93" s="347"/>
    </row>
    <row r="94">
      <c r="A94" s="334">
        <v>300090.0</v>
      </c>
      <c r="B94" s="334"/>
      <c r="C94" s="347"/>
      <c r="D94" s="347"/>
      <c r="E94" s="334">
        <f t="shared" si="24"/>
        <v>0</v>
      </c>
      <c r="F94" s="347"/>
      <c r="G94" s="347"/>
      <c r="H94" s="347"/>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row>
    <row r="95">
      <c r="A95" s="334">
        <v>300091.0</v>
      </c>
      <c r="B95" s="334"/>
      <c r="C95" s="347"/>
      <c r="D95" s="347"/>
      <c r="E95" s="334">
        <f t="shared" si="24"/>
        <v>0</v>
      </c>
      <c r="F95" s="347"/>
      <c r="G95" s="347"/>
      <c r="H95" s="347"/>
      <c r="I95" s="347"/>
      <c r="J95" s="347"/>
      <c r="K95" s="347"/>
      <c r="L95" s="347"/>
      <c r="M95" s="347"/>
      <c r="N95" s="347"/>
      <c r="O95" s="347"/>
      <c r="P95" s="347"/>
      <c r="Q95" s="347"/>
      <c r="R95" s="347"/>
      <c r="S95" s="347"/>
      <c r="T95" s="347"/>
      <c r="U95" s="347"/>
      <c r="V95" s="347"/>
      <c r="W95" s="347"/>
      <c r="X95" s="347"/>
      <c r="Y95" s="347"/>
      <c r="Z95" s="347"/>
      <c r="AA95" s="347"/>
      <c r="AB95" s="347"/>
      <c r="AC95" s="347"/>
      <c r="AD95" s="347"/>
      <c r="AE95" s="347"/>
      <c r="AF95" s="347"/>
      <c r="AG95" s="347"/>
    </row>
    <row r="96">
      <c r="A96" s="334">
        <v>300092.0</v>
      </c>
      <c r="B96" s="334"/>
      <c r="C96" s="347"/>
      <c r="D96" s="347"/>
      <c r="E96" s="334">
        <f t="shared" si="24"/>
        <v>0</v>
      </c>
      <c r="F96" s="347"/>
      <c r="G96" s="347"/>
      <c r="H96" s="347"/>
      <c r="I96" s="347"/>
      <c r="J96" s="347"/>
      <c r="K96" s="347"/>
      <c r="L96" s="347"/>
      <c r="M96" s="347"/>
      <c r="N96" s="347"/>
      <c r="O96" s="347"/>
      <c r="P96" s="347"/>
      <c r="Q96" s="347"/>
      <c r="R96" s="347"/>
      <c r="S96" s="347"/>
      <c r="T96" s="347"/>
      <c r="U96" s="347"/>
      <c r="V96" s="347"/>
      <c r="W96" s="347"/>
      <c r="X96" s="347"/>
      <c r="Y96" s="347"/>
      <c r="Z96" s="347"/>
      <c r="AA96" s="347"/>
      <c r="AB96" s="347"/>
      <c r="AC96" s="347"/>
      <c r="AD96" s="347"/>
      <c r="AE96" s="347"/>
      <c r="AF96" s="347"/>
      <c r="AG96" s="347"/>
    </row>
    <row r="97">
      <c r="A97" s="334">
        <v>300093.0</v>
      </c>
      <c r="B97" s="334"/>
      <c r="C97" s="347"/>
      <c r="D97" s="347"/>
      <c r="E97" s="334">
        <f t="shared" si="24"/>
        <v>0</v>
      </c>
      <c r="F97" s="347"/>
      <c r="G97" s="347"/>
      <c r="H97" s="347"/>
      <c r="I97" s="347"/>
      <c r="J97" s="347"/>
      <c r="K97" s="347"/>
      <c r="L97" s="347"/>
      <c r="M97" s="347"/>
      <c r="N97" s="347"/>
      <c r="O97" s="347"/>
      <c r="P97" s="347"/>
      <c r="Q97" s="347"/>
      <c r="R97" s="347"/>
      <c r="S97" s="347"/>
      <c r="T97" s="347"/>
      <c r="U97" s="347"/>
      <c r="V97" s="347"/>
      <c r="W97" s="347"/>
      <c r="X97" s="347"/>
      <c r="Y97" s="347"/>
      <c r="Z97" s="347"/>
      <c r="AA97" s="347"/>
      <c r="AB97" s="347"/>
      <c r="AC97" s="347"/>
      <c r="AD97" s="347"/>
      <c r="AE97" s="347"/>
      <c r="AF97" s="347"/>
      <c r="AG97" s="347"/>
    </row>
    <row r="98">
      <c r="A98" s="334">
        <v>300094.0</v>
      </c>
      <c r="B98" s="334"/>
      <c r="C98" s="347"/>
      <c r="D98" s="347"/>
      <c r="E98" s="334">
        <f t="shared" si="24"/>
        <v>0</v>
      </c>
      <c r="F98" s="347"/>
      <c r="G98" s="347"/>
      <c r="H98" s="347"/>
      <c r="I98" s="347"/>
      <c r="J98" s="347"/>
      <c r="K98" s="347"/>
      <c r="L98" s="347"/>
      <c r="M98" s="347"/>
      <c r="N98" s="347"/>
      <c r="O98" s="347"/>
      <c r="P98" s="347"/>
      <c r="Q98" s="347"/>
      <c r="R98" s="347"/>
      <c r="S98" s="347"/>
      <c r="T98" s="347"/>
      <c r="U98" s="347"/>
      <c r="V98" s="347"/>
      <c r="W98" s="347"/>
      <c r="X98" s="347"/>
      <c r="Y98" s="347"/>
      <c r="Z98" s="347"/>
      <c r="AA98" s="347"/>
      <c r="AB98" s="347"/>
      <c r="AC98" s="347"/>
      <c r="AD98" s="347"/>
      <c r="AE98" s="347"/>
      <c r="AF98" s="347"/>
      <c r="AG98" s="347"/>
    </row>
    <row r="99">
      <c r="A99" s="334">
        <v>300095.0</v>
      </c>
      <c r="B99" s="334"/>
      <c r="C99" s="347"/>
      <c r="D99" s="347"/>
      <c r="E99" s="334">
        <f t="shared" si="24"/>
        <v>0</v>
      </c>
      <c r="F99" s="347"/>
      <c r="G99" s="347"/>
      <c r="H99" s="347"/>
      <c r="I99" s="347"/>
      <c r="J99" s="347"/>
      <c r="K99" s="347"/>
      <c r="L99" s="347"/>
      <c r="M99" s="347"/>
      <c r="N99" s="347"/>
      <c r="O99" s="347"/>
      <c r="P99" s="347"/>
      <c r="Q99" s="347"/>
      <c r="R99" s="347"/>
      <c r="S99" s="347"/>
      <c r="T99" s="347"/>
      <c r="U99" s="347"/>
      <c r="V99" s="347"/>
      <c r="W99" s="347"/>
      <c r="X99" s="347"/>
      <c r="Y99" s="347"/>
      <c r="Z99" s="347"/>
      <c r="AA99" s="347"/>
      <c r="AB99" s="347"/>
      <c r="AC99" s="347"/>
      <c r="AD99" s="347"/>
      <c r="AE99" s="347"/>
      <c r="AF99" s="347"/>
      <c r="AG99" s="347"/>
    </row>
    <row r="100">
      <c r="A100" s="334">
        <v>300096.0</v>
      </c>
      <c r="B100" s="334"/>
      <c r="C100" s="347"/>
      <c r="D100" s="347"/>
      <c r="E100" s="334">
        <f t="shared" si="24"/>
        <v>0</v>
      </c>
      <c r="F100" s="347"/>
      <c r="G100" s="347"/>
      <c r="H100" s="347"/>
      <c r="I100" s="347"/>
      <c r="J100" s="347"/>
      <c r="K100" s="347"/>
      <c r="L100" s="347"/>
      <c r="M100" s="347"/>
      <c r="N100" s="347"/>
      <c r="O100" s="347"/>
      <c r="P100" s="347"/>
      <c r="Q100" s="347"/>
      <c r="R100" s="347"/>
      <c r="S100" s="347"/>
      <c r="T100" s="347"/>
      <c r="U100" s="347"/>
      <c r="V100" s="347"/>
      <c r="W100" s="347"/>
      <c r="X100" s="347"/>
      <c r="Y100" s="347"/>
      <c r="Z100" s="347"/>
      <c r="AA100" s="347"/>
      <c r="AB100" s="347"/>
      <c r="AC100" s="347"/>
      <c r="AD100" s="347"/>
      <c r="AE100" s="347"/>
      <c r="AF100" s="347"/>
      <c r="AG100" s="347"/>
    </row>
    <row r="101">
      <c r="A101" s="334">
        <v>300097.0</v>
      </c>
      <c r="B101" s="334"/>
      <c r="C101" s="347"/>
      <c r="D101" s="347"/>
      <c r="E101" s="334">
        <f t="shared" si="24"/>
        <v>0</v>
      </c>
      <c r="F101" s="347"/>
      <c r="G101" s="347"/>
      <c r="H101" s="347"/>
      <c r="I101" s="347"/>
      <c r="J101" s="347"/>
      <c r="K101" s="347"/>
      <c r="L101" s="347"/>
      <c r="M101" s="347"/>
      <c r="N101" s="347"/>
      <c r="O101" s="347"/>
      <c r="P101" s="347"/>
      <c r="Q101" s="347"/>
      <c r="R101" s="347"/>
      <c r="S101" s="347"/>
      <c r="T101" s="347"/>
      <c r="U101" s="347"/>
      <c r="V101" s="347"/>
      <c r="W101" s="347"/>
      <c r="X101" s="347"/>
      <c r="Y101" s="347"/>
      <c r="Z101" s="347"/>
      <c r="AA101" s="347"/>
      <c r="AB101" s="347"/>
      <c r="AC101" s="347"/>
      <c r="AD101" s="347"/>
      <c r="AE101" s="347"/>
      <c r="AF101" s="347"/>
      <c r="AG101" s="347"/>
    </row>
    <row r="102">
      <c r="A102" s="334">
        <v>300098.0</v>
      </c>
      <c r="B102" s="334"/>
      <c r="C102" s="347"/>
      <c r="D102" s="347"/>
      <c r="E102" s="334">
        <f t="shared" si="24"/>
        <v>0</v>
      </c>
      <c r="F102" s="347"/>
      <c r="G102" s="347"/>
      <c r="H102" s="347"/>
      <c r="I102" s="347"/>
      <c r="J102" s="347"/>
      <c r="K102" s="347"/>
      <c r="L102" s="347"/>
      <c r="M102" s="347"/>
      <c r="N102" s="347"/>
      <c r="O102" s="347"/>
      <c r="P102" s="347"/>
      <c r="Q102" s="347"/>
      <c r="R102" s="347"/>
      <c r="S102" s="347"/>
      <c r="T102" s="347"/>
      <c r="U102" s="347"/>
      <c r="V102" s="347"/>
      <c r="W102" s="347"/>
      <c r="X102" s="347"/>
      <c r="Y102" s="347"/>
      <c r="Z102" s="347"/>
      <c r="AA102" s="347"/>
      <c r="AB102" s="347"/>
      <c r="AC102" s="347"/>
      <c r="AD102" s="347"/>
      <c r="AE102" s="347"/>
      <c r="AF102" s="347"/>
      <c r="AG102" s="347"/>
    </row>
    <row r="103">
      <c r="A103" s="334">
        <v>300099.0</v>
      </c>
      <c r="B103" s="334"/>
      <c r="C103" s="347"/>
      <c r="D103" s="347"/>
      <c r="E103" s="334">
        <f t="shared" si="24"/>
        <v>0</v>
      </c>
      <c r="F103" s="347"/>
      <c r="G103" s="347"/>
      <c r="H103" s="347"/>
      <c r="I103" s="347"/>
      <c r="J103" s="347"/>
      <c r="K103" s="347"/>
      <c r="L103" s="347"/>
      <c r="M103" s="347"/>
      <c r="N103" s="347"/>
      <c r="O103" s="347"/>
      <c r="P103" s="347"/>
      <c r="Q103" s="347"/>
      <c r="R103" s="347"/>
      <c r="S103" s="347"/>
      <c r="T103" s="347"/>
      <c r="U103" s="347"/>
      <c r="V103" s="347"/>
      <c r="W103" s="347"/>
      <c r="X103" s="347"/>
      <c r="Y103" s="347"/>
      <c r="Z103" s="347"/>
      <c r="AA103" s="347"/>
      <c r="AB103" s="347"/>
      <c r="AC103" s="347"/>
      <c r="AD103" s="347"/>
      <c r="AE103" s="347"/>
      <c r="AF103" s="347"/>
      <c r="AG103" s="347"/>
    </row>
    <row r="104">
      <c r="A104" s="334">
        <v>300100.0</v>
      </c>
      <c r="B104" s="334"/>
      <c r="C104" s="347"/>
      <c r="D104" s="347"/>
      <c r="E104" s="334">
        <f t="shared" si="24"/>
        <v>0</v>
      </c>
      <c r="F104" s="347"/>
      <c r="G104" s="347"/>
      <c r="H104" s="347"/>
      <c r="I104" s="347"/>
      <c r="J104" s="347"/>
      <c r="K104" s="347"/>
      <c r="L104" s="347"/>
      <c r="M104" s="347"/>
      <c r="N104" s="347"/>
      <c r="O104" s="347"/>
      <c r="P104" s="347"/>
      <c r="Q104" s="347"/>
      <c r="R104" s="347"/>
      <c r="S104" s="347"/>
      <c r="T104" s="347"/>
      <c r="U104" s="347"/>
      <c r="V104" s="347"/>
      <c r="W104" s="347"/>
      <c r="X104" s="347"/>
      <c r="Y104" s="347"/>
      <c r="Z104" s="347"/>
      <c r="AA104" s="347"/>
      <c r="AB104" s="347"/>
      <c r="AC104" s="347"/>
      <c r="AD104" s="347"/>
      <c r="AE104" s="347"/>
      <c r="AF104" s="347"/>
      <c r="AG104" s="347"/>
    </row>
    <row r="105">
      <c r="A105" s="334">
        <v>300101.0</v>
      </c>
      <c r="B105" s="334"/>
      <c r="C105" s="347"/>
      <c r="D105" s="347"/>
      <c r="E105" s="334">
        <f t="shared" si="24"/>
        <v>0</v>
      </c>
      <c r="F105" s="347"/>
      <c r="G105" s="347"/>
      <c r="H105" s="347"/>
      <c r="I105" s="347"/>
      <c r="J105" s="347"/>
      <c r="K105" s="347"/>
      <c r="L105" s="347"/>
      <c r="M105" s="347"/>
      <c r="N105" s="347"/>
      <c r="O105" s="347"/>
      <c r="P105" s="347"/>
      <c r="Q105" s="347"/>
      <c r="R105" s="347"/>
      <c r="S105" s="347"/>
      <c r="T105" s="347"/>
      <c r="U105" s="347"/>
      <c r="V105" s="347"/>
      <c r="W105" s="347"/>
      <c r="X105" s="347"/>
      <c r="Y105" s="347"/>
      <c r="Z105" s="347"/>
      <c r="AA105" s="347"/>
      <c r="AB105" s="347"/>
      <c r="AC105" s="347"/>
      <c r="AD105" s="347"/>
      <c r="AE105" s="347"/>
      <c r="AF105" s="347"/>
      <c r="AG105" s="347"/>
    </row>
    <row r="106">
      <c r="A106" s="334">
        <v>300102.0</v>
      </c>
      <c r="B106" s="334"/>
      <c r="C106" s="347"/>
      <c r="D106" s="347"/>
      <c r="E106" s="334">
        <f t="shared" si="24"/>
        <v>0</v>
      </c>
      <c r="F106" s="347"/>
      <c r="G106" s="347"/>
      <c r="H106" s="347"/>
      <c r="I106" s="347"/>
      <c r="J106" s="347"/>
      <c r="K106" s="347"/>
      <c r="L106" s="347"/>
      <c r="M106" s="347"/>
      <c r="N106" s="347"/>
      <c r="O106" s="347"/>
      <c r="P106" s="347"/>
      <c r="Q106" s="347"/>
      <c r="R106" s="347"/>
      <c r="S106" s="347"/>
      <c r="T106" s="347"/>
      <c r="U106" s="347"/>
      <c r="V106" s="347"/>
      <c r="W106" s="347"/>
      <c r="X106" s="347"/>
      <c r="Y106" s="347"/>
      <c r="Z106" s="347"/>
      <c r="AA106" s="347"/>
      <c r="AB106" s="347"/>
      <c r="AC106" s="347"/>
      <c r="AD106" s="347"/>
      <c r="AE106" s="347"/>
      <c r="AF106" s="347"/>
      <c r="AG106" s="347"/>
    </row>
    <row r="107">
      <c r="A107" s="334">
        <v>300103.0</v>
      </c>
      <c r="B107" s="334"/>
      <c r="C107" s="347"/>
      <c r="D107" s="347"/>
      <c r="E107" s="334">
        <f t="shared" si="24"/>
        <v>0</v>
      </c>
      <c r="F107" s="347"/>
      <c r="G107" s="347"/>
      <c r="H107" s="347"/>
      <c r="I107" s="347"/>
      <c r="J107" s="347"/>
      <c r="K107" s="347"/>
      <c r="L107" s="347"/>
      <c r="M107" s="347"/>
      <c r="N107" s="347"/>
      <c r="O107" s="347"/>
      <c r="P107" s="347"/>
      <c r="Q107" s="347"/>
      <c r="R107" s="347"/>
      <c r="S107" s="347"/>
      <c r="T107" s="347"/>
      <c r="U107" s="347"/>
      <c r="V107" s="347"/>
      <c r="W107" s="347"/>
      <c r="X107" s="347"/>
      <c r="Y107" s="347"/>
      <c r="Z107" s="347"/>
      <c r="AA107" s="347"/>
      <c r="AB107" s="347"/>
      <c r="AC107" s="347"/>
      <c r="AD107" s="347"/>
      <c r="AE107" s="347"/>
      <c r="AF107" s="347"/>
      <c r="AG107" s="347"/>
    </row>
    <row r="108">
      <c r="A108" s="334">
        <v>300104.0</v>
      </c>
      <c r="B108" s="334"/>
      <c r="C108" s="347"/>
      <c r="D108" s="347"/>
      <c r="E108" s="334">
        <f t="shared" si="24"/>
        <v>0</v>
      </c>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347"/>
    </row>
    <row r="109">
      <c r="A109" s="334">
        <v>300105.0</v>
      </c>
      <c r="B109" s="334"/>
      <c r="C109" s="347"/>
      <c r="D109" s="347"/>
      <c r="E109" s="334">
        <f t="shared" si="24"/>
        <v>0</v>
      </c>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c r="AE109" s="347"/>
      <c r="AF109" s="347"/>
      <c r="AG109" s="347"/>
    </row>
    <row r="110">
      <c r="A110" s="334">
        <v>300106.0</v>
      </c>
      <c r="B110" s="334"/>
      <c r="C110" s="347"/>
      <c r="D110" s="347"/>
      <c r="E110" s="334">
        <f t="shared" si="24"/>
        <v>0</v>
      </c>
      <c r="F110" s="347"/>
      <c r="G110" s="347"/>
      <c r="H110" s="347"/>
      <c r="I110" s="347"/>
      <c r="J110" s="347"/>
      <c r="K110" s="347"/>
      <c r="L110" s="347"/>
      <c r="M110" s="347"/>
      <c r="N110" s="347"/>
      <c r="O110" s="347"/>
      <c r="P110" s="347"/>
      <c r="Q110" s="347"/>
      <c r="R110" s="347"/>
      <c r="S110" s="347"/>
      <c r="T110" s="347"/>
      <c r="U110" s="347"/>
      <c r="V110" s="347"/>
      <c r="W110" s="347"/>
      <c r="X110" s="347"/>
      <c r="Y110" s="347"/>
      <c r="Z110" s="347"/>
      <c r="AA110" s="347"/>
      <c r="AB110" s="347"/>
      <c r="AC110" s="347"/>
      <c r="AD110" s="347"/>
      <c r="AE110" s="347"/>
      <c r="AF110" s="347"/>
      <c r="AG110" s="347"/>
    </row>
    <row r="111">
      <c r="A111" s="334">
        <v>300107.0</v>
      </c>
      <c r="B111" s="334"/>
      <c r="C111" s="347"/>
      <c r="D111" s="347"/>
      <c r="E111" s="334">
        <f t="shared" si="24"/>
        <v>0</v>
      </c>
      <c r="F111" s="347"/>
      <c r="G111" s="347"/>
      <c r="H111" s="347"/>
      <c r="I111" s="347"/>
      <c r="J111" s="347"/>
      <c r="K111" s="347"/>
      <c r="L111" s="347"/>
      <c r="M111" s="347"/>
      <c r="N111" s="347"/>
      <c r="O111" s="347"/>
      <c r="P111" s="347"/>
      <c r="Q111" s="347"/>
      <c r="R111" s="347"/>
      <c r="S111" s="347"/>
      <c r="T111" s="347"/>
      <c r="U111" s="347"/>
      <c r="V111" s="347"/>
      <c r="W111" s="347"/>
      <c r="X111" s="347"/>
      <c r="Y111" s="347"/>
      <c r="Z111" s="347"/>
      <c r="AA111" s="347"/>
      <c r="AB111" s="347"/>
      <c r="AC111" s="347"/>
      <c r="AD111" s="347"/>
      <c r="AE111" s="347"/>
      <c r="AF111" s="347"/>
      <c r="AG111" s="347"/>
    </row>
    <row r="112">
      <c r="A112" s="334">
        <v>300108.0</v>
      </c>
      <c r="B112" s="334"/>
      <c r="C112" s="347"/>
      <c r="D112" s="347"/>
      <c r="E112" s="334">
        <f t="shared" si="24"/>
        <v>0</v>
      </c>
      <c r="F112" s="347"/>
      <c r="G112" s="347"/>
      <c r="H112" s="347"/>
      <c r="I112" s="347"/>
      <c r="J112" s="347"/>
      <c r="K112" s="347"/>
      <c r="L112" s="347"/>
      <c r="M112" s="347"/>
      <c r="N112" s="347"/>
      <c r="O112" s="347"/>
      <c r="P112" s="347"/>
      <c r="Q112" s="347"/>
      <c r="R112" s="347"/>
      <c r="S112" s="347"/>
      <c r="T112" s="347"/>
      <c r="U112" s="347"/>
      <c r="V112" s="347"/>
      <c r="W112" s="347"/>
      <c r="X112" s="347"/>
      <c r="Y112" s="347"/>
      <c r="Z112" s="347"/>
      <c r="AA112" s="347"/>
      <c r="AB112" s="347"/>
      <c r="AC112" s="347"/>
      <c r="AD112" s="347"/>
      <c r="AE112" s="347"/>
      <c r="AF112" s="347"/>
      <c r="AG112" s="347"/>
    </row>
    <row r="113">
      <c r="A113" s="334">
        <v>300109.0</v>
      </c>
      <c r="B113" s="334"/>
      <c r="C113" s="347"/>
      <c r="D113" s="347"/>
      <c r="E113" s="334">
        <f t="shared" si="24"/>
        <v>0</v>
      </c>
      <c r="F113" s="347"/>
      <c r="G113" s="347"/>
      <c r="H113" s="347"/>
      <c r="I113" s="347"/>
      <c r="J113" s="347"/>
      <c r="K113" s="347"/>
      <c r="L113" s="347"/>
      <c r="M113" s="347"/>
      <c r="N113" s="347"/>
      <c r="O113" s="347"/>
      <c r="P113" s="347"/>
      <c r="Q113" s="347"/>
      <c r="R113" s="347"/>
      <c r="S113" s="347"/>
      <c r="T113" s="347"/>
      <c r="U113" s="347"/>
      <c r="V113" s="347"/>
      <c r="W113" s="347"/>
      <c r="X113" s="347"/>
      <c r="Y113" s="347"/>
      <c r="Z113" s="347"/>
      <c r="AA113" s="347"/>
      <c r="AB113" s="347"/>
      <c r="AC113" s="347"/>
      <c r="AD113" s="347"/>
      <c r="AE113" s="347"/>
      <c r="AF113" s="347"/>
      <c r="AG113" s="347"/>
    </row>
    <row r="114">
      <c r="A114" s="334">
        <v>300110.0</v>
      </c>
      <c r="B114" s="334"/>
      <c r="C114" s="347"/>
      <c r="D114" s="347"/>
      <c r="E114" s="334">
        <f t="shared" si="24"/>
        <v>0</v>
      </c>
      <c r="F114" s="347"/>
      <c r="G114" s="347"/>
      <c r="H114" s="347"/>
      <c r="I114" s="347"/>
      <c r="J114" s="347"/>
      <c r="K114" s="347"/>
      <c r="L114" s="347"/>
      <c r="M114" s="347"/>
      <c r="N114" s="347"/>
      <c r="O114" s="347"/>
      <c r="P114" s="347"/>
      <c r="Q114" s="347"/>
      <c r="R114" s="347"/>
      <c r="S114" s="347"/>
      <c r="T114" s="347"/>
      <c r="U114" s="347"/>
      <c r="V114" s="347"/>
      <c r="W114" s="347"/>
      <c r="X114" s="347"/>
      <c r="Y114" s="347"/>
      <c r="Z114" s="347"/>
      <c r="AA114" s="347"/>
      <c r="AB114" s="347"/>
      <c r="AC114" s="347"/>
      <c r="AD114" s="347"/>
      <c r="AE114" s="347"/>
      <c r="AF114" s="347"/>
      <c r="AG114" s="347"/>
    </row>
    <row r="115">
      <c r="A115" s="334">
        <v>300111.0</v>
      </c>
      <c r="B115" s="334"/>
      <c r="C115" s="347"/>
      <c r="D115" s="347"/>
      <c r="E115" s="334">
        <f t="shared" si="24"/>
        <v>0</v>
      </c>
      <c r="F115" s="347"/>
      <c r="G115" s="347"/>
      <c r="H115" s="347"/>
      <c r="I115" s="347"/>
      <c r="J115" s="347"/>
      <c r="K115" s="347"/>
      <c r="L115" s="347"/>
      <c r="M115" s="347"/>
      <c r="N115" s="347"/>
      <c r="O115" s="347"/>
      <c r="P115" s="347"/>
      <c r="Q115" s="347"/>
      <c r="R115" s="347"/>
      <c r="S115" s="347"/>
      <c r="T115" s="347"/>
      <c r="U115" s="347"/>
      <c r="V115" s="347"/>
      <c r="W115" s="347"/>
      <c r="X115" s="347"/>
      <c r="Y115" s="347"/>
      <c r="Z115" s="347"/>
      <c r="AA115" s="347"/>
      <c r="AB115" s="347"/>
      <c r="AC115" s="347"/>
      <c r="AD115" s="347"/>
      <c r="AE115" s="347"/>
      <c r="AF115" s="347"/>
      <c r="AG115" s="347"/>
    </row>
    <row r="116">
      <c r="A116" s="334">
        <v>300112.0</v>
      </c>
      <c r="B116" s="334"/>
      <c r="C116" s="347"/>
      <c r="D116" s="347"/>
      <c r="E116" s="334">
        <f t="shared" si="24"/>
        <v>0</v>
      </c>
      <c r="F116" s="347"/>
      <c r="G116" s="347"/>
      <c r="H116" s="347"/>
      <c r="I116" s="347"/>
      <c r="J116" s="347"/>
      <c r="K116" s="347"/>
      <c r="L116" s="347"/>
      <c r="M116" s="347"/>
      <c r="N116" s="347"/>
      <c r="O116" s="347"/>
      <c r="P116" s="347"/>
      <c r="Q116" s="347"/>
      <c r="R116" s="347"/>
      <c r="S116" s="347"/>
      <c r="T116" s="347"/>
      <c r="U116" s="347"/>
      <c r="V116" s="347"/>
      <c r="W116" s="347"/>
      <c r="X116" s="347"/>
      <c r="Y116" s="347"/>
      <c r="Z116" s="347"/>
      <c r="AA116" s="347"/>
      <c r="AB116" s="347"/>
      <c r="AC116" s="347"/>
      <c r="AD116" s="347"/>
      <c r="AE116" s="347"/>
      <c r="AF116" s="347"/>
      <c r="AG116" s="347"/>
    </row>
    <row r="117">
      <c r="A117" s="334">
        <v>300113.0</v>
      </c>
      <c r="B117" s="334"/>
      <c r="C117" s="347"/>
      <c r="D117" s="347"/>
      <c r="E117" s="334">
        <f t="shared" si="24"/>
        <v>0</v>
      </c>
      <c r="F117" s="347"/>
      <c r="G117" s="347"/>
      <c r="H117" s="347"/>
      <c r="I117" s="347"/>
      <c r="J117" s="347"/>
      <c r="K117" s="347"/>
      <c r="L117" s="347"/>
      <c r="M117" s="347"/>
      <c r="N117" s="347"/>
      <c r="O117" s="347"/>
      <c r="P117" s="347"/>
      <c r="Q117" s="347"/>
      <c r="R117" s="347"/>
      <c r="S117" s="347"/>
      <c r="T117" s="347"/>
      <c r="U117" s="347"/>
      <c r="V117" s="347"/>
      <c r="W117" s="347"/>
      <c r="X117" s="347"/>
      <c r="Y117" s="347"/>
      <c r="Z117" s="347"/>
      <c r="AA117" s="347"/>
      <c r="AB117" s="347"/>
      <c r="AC117" s="347"/>
      <c r="AD117" s="347"/>
      <c r="AE117" s="347"/>
      <c r="AF117" s="347"/>
      <c r="AG117" s="347"/>
    </row>
    <row r="118">
      <c r="A118" s="334">
        <v>300114.0</v>
      </c>
      <c r="B118" s="334"/>
      <c r="C118" s="347"/>
      <c r="D118" s="347"/>
      <c r="E118" s="334">
        <f t="shared" si="24"/>
        <v>0</v>
      </c>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347"/>
    </row>
    <row r="119">
      <c r="A119" s="334">
        <v>300115.0</v>
      </c>
      <c r="B119" s="334"/>
      <c r="C119" s="347"/>
      <c r="D119" s="347"/>
      <c r="E119" s="334">
        <f t="shared" si="24"/>
        <v>0</v>
      </c>
      <c r="F119" s="347"/>
      <c r="G119" s="347"/>
      <c r="H119" s="347"/>
      <c r="I119" s="347"/>
      <c r="J119" s="347"/>
      <c r="K119" s="347"/>
      <c r="L119" s="347"/>
      <c r="M119" s="347"/>
      <c r="N119" s="347"/>
      <c r="O119" s="347"/>
      <c r="P119" s="347"/>
      <c r="Q119" s="347"/>
      <c r="R119" s="347"/>
      <c r="S119" s="347"/>
      <c r="T119" s="347"/>
      <c r="U119" s="347"/>
      <c r="V119" s="347"/>
      <c r="W119" s="347"/>
      <c r="X119" s="347"/>
      <c r="Y119" s="347"/>
      <c r="Z119" s="347"/>
      <c r="AA119" s="347"/>
      <c r="AB119" s="347"/>
      <c r="AC119" s="347"/>
      <c r="AD119" s="347"/>
      <c r="AE119" s="347"/>
      <c r="AF119" s="347"/>
      <c r="AG119" s="347"/>
    </row>
    <row r="120">
      <c r="A120" s="334">
        <v>300116.0</v>
      </c>
      <c r="B120" s="334"/>
      <c r="C120" s="347"/>
      <c r="D120" s="347"/>
      <c r="E120" s="334">
        <f t="shared" si="24"/>
        <v>0</v>
      </c>
      <c r="F120" s="347"/>
      <c r="G120" s="347"/>
      <c r="H120" s="347"/>
      <c r="I120" s="347"/>
      <c r="J120" s="347"/>
      <c r="K120" s="347"/>
      <c r="L120" s="347"/>
      <c r="M120" s="347"/>
      <c r="N120" s="347"/>
      <c r="O120" s="347"/>
      <c r="P120" s="347"/>
      <c r="Q120" s="347"/>
      <c r="R120" s="347"/>
      <c r="S120" s="347"/>
      <c r="T120" s="347"/>
      <c r="U120" s="347"/>
      <c r="V120" s="347"/>
      <c r="W120" s="347"/>
      <c r="X120" s="347"/>
      <c r="Y120" s="347"/>
      <c r="Z120" s="347"/>
      <c r="AA120" s="347"/>
      <c r="AB120" s="347"/>
      <c r="AC120" s="347"/>
      <c r="AD120" s="347"/>
      <c r="AE120" s="347"/>
      <c r="AF120" s="347"/>
      <c r="AG120" s="347"/>
    </row>
    <row r="121">
      <c r="A121" s="334">
        <v>300117.0</v>
      </c>
      <c r="B121" s="334"/>
      <c r="C121" s="347"/>
      <c r="D121" s="347"/>
      <c r="E121" s="334">
        <f t="shared" si="24"/>
        <v>0</v>
      </c>
      <c r="F121" s="347"/>
      <c r="G121" s="347"/>
      <c r="H121" s="347"/>
      <c r="I121" s="347"/>
      <c r="J121" s="347"/>
      <c r="K121" s="347"/>
      <c r="L121" s="347"/>
      <c r="M121" s="347"/>
      <c r="N121" s="347"/>
      <c r="O121" s="347"/>
      <c r="P121" s="347"/>
      <c r="Q121" s="347"/>
      <c r="R121" s="347"/>
      <c r="S121" s="347"/>
      <c r="T121" s="347"/>
      <c r="U121" s="347"/>
      <c r="V121" s="347"/>
      <c r="W121" s="347"/>
      <c r="X121" s="347"/>
      <c r="Y121" s="347"/>
      <c r="Z121" s="347"/>
      <c r="AA121" s="347"/>
      <c r="AB121" s="347"/>
      <c r="AC121" s="347"/>
      <c r="AD121" s="347"/>
      <c r="AE121" s="347"/>
      <c r="AF121" s="347"/>
      <c r="AG121" s="347"/>
    </row>
    <row r="122">
      <c r="A122" s="334">
        <v>300118.0</v>
      </c>
      <c r="B122" s="334"/>
      <c r="C122" s="347"/>
      <c r="D122" s="347"/>
      <c r="E122" s="334">
        <f t="shared" si="24"/>
        <v>0</v>
      </c>
      <c r="F122" s="347"/>
      <c r="G122" s="347"/>
      <c r="H122" s="347"/>
      <c r="I122" s="347"/>
      <c r="J122" s="347"/>
      <c r="K122" s="347"/>
      <c r="L122" s="347"/>
      <c r="M122" s="347"/>
      <c r="N122" s="347"/>
      <c r="O122" s="347"/>
      <c r="P122" s="347"/>
      <c r="Q122" s="347"/>
      <c r="R122" s="347"/>
      <c r="S122" s="347"/>
      <c r="T122" s="347"/>
      <c r="U122" s="347"/>
      <c r="V122" s="347"/>
      <c r="W122" s="347"/>
      <c r="X122" s="347"/>
      <c r="Y122" s="347"/>
      <c r="Z122" s="347"/>
      <c r="AA122" s="347"/>
      <c r="AB122" s="347"/>
      <c r="AC122" s="347"/>
      <c r="AD122" s="347"/>
      <c r="AE122" s="347"/>
      <c r="AF122" s="347"/>
      <c r="AG122" s="347"/>
    </row>
    <row r="123">
      <c r="A123" s="334">
        <v>300119.0</v>
      </c>
      <c r="B123" s="334"/>
      <c r="C123" s="347"/>
      <c r="D123" s="347"/>
      <c r="E123" s="334">
        <f t="shared" si="24"/>
        <v>0</v>
      </c>
      <c r="F123" s="347"/>
      <c r="G123" s="347"/>
      <c r="H123" s="347"/>
      <c r="I123" s="347"/>
      <c r="J123" s="347"/>
      <c r="K123" s="347"/>
      <c r="L123" s="347"/>
      <c r="M123" s="347"/>
      <c r="N123" s="347"/>
      <c r="O123" s="347"/>
      <c r="P123" s="347"/>
      <c r="Q123" s="347"/>
      <c r="R123" s="347"/>
      <c r="S123" s="347"/>
      <c r="T123" s="347"/>
      <c r="U123" s="347"/>
      <c r="V123" s="347"/>
      <c r="W123" s="347"/>
      <c r="X123" s="347"/>
      <c r="Y123" s="347"/>
      <c r="Z123" s="347"/>
      <c r="AA123" s="347"/>
      <c r="AB123" s="347"/>
      <c r="AC123" s="347"/>
      <c r="AD123" s="347"/>
      <c r="AE123" s="347"/>
      <c r="AF123" s="347"/>
      <c r="AG123" s="347"/>
    </row>
    <row r="124">
      <c r="A124" s="334">
        <v>300120.0</v>
      </c>
      <c r="B124" s="334"/>
      <c r="C124" s="347"/>
      <c r="D124" s="347"/>
      <c r="E124" s="334">
        <f t="shared" si="24"/>
        <v>0</v>
      </c>
      <c r="F124" s="347"/>
      <c r="G124" s="347"/>
      <c r="H124" s="347"/>
      <c r="I124" s="347"/>
      <c r="J124" s="347"/>
      <c r="K124" s="347"/>
      <c r="L124" s="347"/>
      <c r="M124" s="347"/>
      <c r="N124" s="347"/>
      <c r="O124" s="347"/>
      <c r="P124" s="347"/>
      <c r="Q124" s="347"/>
      <c r="R124" s="347"/>
      <c r="S124" s="347"/>
      <c r="T124" s="347"/>
      <c r="U124" s="347"/>
      <c r="V124" s="347"/>
      <c r="W124" s="347"/>
      <c r="X124" s="347"/>
      <c r="Y124" s="347"/>
      <c r="Z124" s="347"/>
      <c r="AA124" s="347"/>
      <c r="AB124" s="347"/>
      <c r="AC124" s="347"/>
      <c r="AD124" s="347"/>
      <c r="AE124" s="347"/>
      <c r="AF124" s="347"/>
      <c r="AG124" s="347"/>
    </row>
    <row r="125">
      <c r="A125" s="334">
        <v>300121.0</v>
      </c>
      <c r="B125" s="334"/>
      <c r="C125" s="347"/>
      <c r="D125" s="347"/>
      <c r="E125" s="334">
        <f t="shared" si="24"/>
        <v>0</v>
      </c>
      <c r="F125" s="347"/>
      <c r="G125" s="347"/>
      <c r="H125" s="347"/>
      <c r="I125" s="347"/>
      <c r="J125" s="347"/>
      <c r="K125" s="347"/>
      <c r="L125" s="347"/>
      <c r="M125" s="347"/>
      <c r="N125" s="347"/>
      <c r="O125" s="347"/>
      <c r="P125" s="347"/>
      <c r="Q125" s="347"/>
      <c r="R125" s="347"/>
      <c r="S125" s="347"/>
      <c r="T125" s="347"/>
      <c r="U125" s="347"/>
      <c r="V125" s="347"/>
      <c r="W125" s="347"/>
      <c r="X125" s="347"/>
      <c r="Y125" s="347"/>
      <c r="Z125" s="347"/>
      <c r="AA125" s="347"/>
      <c r="AB125" s="347"/>
      <c r="AC125" s="347"/>
      <c r="AD125" s="347"/>
      <c r="AE125" s="347"/>
      <c r="AF125" s="347"/>
      <c r="AG125" s="347"/>
    </row>
    <row r="126">
      <c r="A126" s="334">
        <v>300122.0</v>
      </c>
      <c r="B126" s="334"/>
      <c r="C126" s="347"/>
      <c r="D126" s="347"/>
      <c r="E126" s="334">
        <f t="shared" si="24"/>
        <v>0</v>
      </c>
      <c r="F126" s="347"/>
      <c r="G126" s="347"/>
      <c r="H126" s="347"/>
      <c r="I126" s="347"/>
      <c r="J126" s="347"/>
      <c r="K126" s="347"/>
      <c r="L126" s="347"/>
      <c r="M126" s="347"/>
      <c r="N126" s="347"/>
      <c r="O126" s="347"/>
      <c r="P126" s="347"/>
      <c r="Q126" s="347"/>
      <c r="R126" s="347"/>
      <c r="S126" s="347"/>
      <c r="T126" s="347"/>
      <c r="U126" s="347"/>
      <c r="V126" s="347"/>
      <c r="W126" s="347"/>
      <c r="X126" s="347"/>
      <c r="Y126" s="347"/>
      <c r="Z126" s="347"/>
      <c r="AA126" s="347"/>
      <c r="AB126" s="347"/>
      <c r="AC126" s="347"/>
      <c r="AD126" s="347"/>
      <c r="AE126" s="347"/>
      <c r="AF126" s="347"/>
      <c r="AG126" s="347"/>
    </row>
    <row r="127">
      <c r="A127" s="334">
        <v>300123.0</v>
      </c>
      <c r="B127" s="334"/>
      <c r="C127" s="347"/>
      <c r="D127" s="347"/>
      <c r="E127" s="334">
        <f t="shared" si="24"/>
        <v>0</v>
      </c>
      <c r="F127" s="347"/>
      <c r="G127" s="347"/>
      <c r="H127" s="347"/>
      <c r="I127" s="347"/>
      <c r="J127" s="347"/>
      <c r="K127" s="347"/>
      <c r="L127" s="347"/>
      <c r="M127" s="347"/>
      <c r="N127" s="347"/>
      <c r="O127" s="347"/>
      <c r="P127" s="347"/>
      <c r="Q127" s="347"/>
      <c r="R127" s="347"/>
      <c r="S127" s="347"/>
      <c r="T127" s="347"/>
      <c r="U127" s="347"/>
      <c r="V127" s="347"/>
      <c r="W127" s="347"/>
      <c r="X127" s="347"/>
      <c r="Y127" s="347"/>
      <c r="Z127" s="347"/>
      <c r="AA127" s="347"/>
      <c r="AB127" s="347"/>
      <c r="AC127" s="347"/>
      <c r="AD127" s="347"/>
      <c r="AE127" s="347"/>
      <c r="AF127" s="347"/>
      <c r="AG127" s="347"/>
    </row>
    <row r="128">
      <c r="A128" s="334">
        <v>300124.0</v>
      </c>
      <c r="B128" s="334"/>
      <c r="C128" s="347"/>
      <c r="D128" s="347"/>
      <c r="E128" s="334">
        <f t="shared" si="24"/>
        <v>0</v>
      </c>
      <c r="F128" s="347"/>
      <c r="G128" s="347"/>
      <c r="H128" s="347"/>
      <c r="I128" s="347"/>
      <c r="J128" s="347"/>
      <c r="K128" s="347"/>
      <c r="L128" s="347"/>
      <c r="M128" s="347"/>
      <c r="N128" s="347"/>
      <c r="O128" s="347"/>
      <c r="P128" s="347"/>
      <c r="Q128" s="347"/>
      <c r="R128" s="347"/>
      <c r="S128" s="347"/>
      <c r="T128" s="347"/>
      <c r="U128" s="347"/>
      <c r="V128" s="347"/>
      <c r="W128" s="347"/>
      <c r="X128" s="347"/>
      <c r="Y128" s="347"/>
      <c r="Z128" s="347"/>
      <c r="AA128" s="347"/>
      <c r="AB128" s="347"/>
      <c r="AC128" s="347"/>
      <c r="AD128" s="347"/>
      <c r="AE128" s="347"/>
      <c r="AF128" s="347"/>
      <c r="AG128" s="347"/>
    </row>
    <row r="129">
      <c r="A129" s="334">
        <v>300125.0</v>
      </c>
      <c r="B129" s="334"/>
      <c r="C129" s="347"/>
      <c r="D129" s="347"/>
      <c r="E129" s="334">
        <f t="shared" si="24"/>
        <v>0</v>
      </c>
      <c r="F129" s="347"/>
      <c r="G129" s="347"/>
      <c r="H129" s="347"/>
      <c r="I129" s="347"/>
      <c r="J129" s="347"/>
      <c r="K129" s="347"/>
      <c r="L129" s="347"/>
      <c r="M129" s="347"/>
      <c r="N129" s="347"/>
      <c r="O129" s="347"/>
      <c r="P129" s="347"/>
      <c r="Q129" s="347"/>
      <c r="R129" s="347"/>
      <c r="S129" s="347"/>
      <c r="T129" s="347"/>
      <c r="U129" s="347"/>
      <c r="V129" s="347"/>
      <c r="W129" s="347"/>
      <c r="X129" s="347"/>
      <c r="Y129" s="347"/>
      <c r="Z129" s="347"/>
      <c r="AA129" s="347"/>
      <c r="AB129" s="347"/>
      <c r="AC129" s="347"/>
      <c r="AD129" s="347"/>
      <c r="AE129" s="347"/>
      <c r="AF129" s="347"/>
      <c r="AG129" s="347"/>
    </row>
    <row r="130">
      <c r="A130" s="334">
        <v>300126.0</v>
      </c>
      <c r="B130" s="334"/>
      <c r="C130" s="347"/>
      <c r="D130" s="347"/>
      <c r="E130" s="334">
        <f t="shared" si="24"/>
        <v>0</v>
      </c>
      <c r="F130" s="347"/>
      <c r="G130" s="347"/>
      <c r="H130" s="347"/>
      <c r="I130" s="347"/>
      <c r="J130" s="347"/>
      <c r="K130" s="347"/>
      <c r="L130" s="347"/>
      <c r="M130" s="347"/>
      <c r="N130" s="347"/>
      <c r="O130" s="347"/>
      <c r="P130" s="347"/>
      <c r="Q130" s="347"/>
      <c r="R130" s="347"/>
      <c r="S130" s="347"/>
      <c r="T130" s="347"/>
      <c r="U130" s="347"/>
      <c r="V130" s="347"/>
      <c r="W130" s="347"/>
      <c r="X130" s="347"/>
      <c r="Y130" s="347"/>
      <c r="Z130" s="347"/>
      <c r="AA130" s="347"/>
      <c r="AB130" s="347"/>
      <c r="AC130" s="347"/>
      <c r="AD130" s="347"/>
      <c r="AE130" s="347"/>
      <c r="AF130" s="347"/>
      <c r="AG130" s="347"/>
    </row>
    <row r="131">
      <c r="A131" s="334">
        <v>300127.0</v>
      </c>
      <c r="B131" s="334"/>
      <c r="C131" s="347"/>
      <c r="D131" s="347"/>
      <c r="E131" s="334">
        <f t="shared" si="24"/>
        <v>0</v>
      </c>
      <c r="F131" s="347"/>
      <c r="G131" s="347"/>
      <c r="H131" s="347"/>
      <c r="I131" s="347"/>
      <c r="J131" s="347"/>
      <c r="K131" s="347"/>
      <c r="L131" s="347"/>
      <c r="M131" s="347"/>
      <c r="N131" s="347"/>
      <c r="O131" s="347"/>
      <c r="P131" s="347"/>
      <c r="Q131" s="347"/>
      <c r="R131" s="347"/>
      <c r="S131" s="347"/>
      <c r="T131" s="347"/>
      <c r="U131" s="347"/>
      <c r="V131" s="347"/>
      <c r="W131" s="347"/>
      <c r="X131" s="347"/>
      <c r="Y131" s="347"/>
      <c r="Z131" s="347"/>
      <c r="AA131" s="347"/>
      <c r="AB131" s="347"/>
      <c r="AC131" s="347"/>
      <c r="AD131" s="347"/>
      <c r="AE131" s="347"/>
      <c r="AF131" s="347"/>
      <c r="AG131" s="347"/>
    </row>
    <row r="132">
      <c r="A132" s="334">
        <v>300128.0</v>
      </c>
      <c r="B132" s="334"/>
      <c r="C132" s="347"/>
      <c r="D132" s="347"/>
      <c r="E132" s="334">
        <f t="shared" si="24"/>
        <v>0</v>
      </c>
      <c r="F132" s="347"/>
      <c r="G132" s="347"/>
      <c r="H132" s="347"/>
      <c r="I132" s="347"/>
      <c r="J132" s="347"/>
      <c r="K132" s="347"/>
      <c r="L132" s="347"/>
      <c r="M132" s="347"/>
      <c r="N132" s="347"/>
      <c r="O132" s="347"/>
      <c r="P132" s="347"/>
      <c r="Q132" s="347"/>
      <c r="R132" s="347"/>
      <c r="S132" s="347"/>
      <c r="T132" s="347"/>
      <c r="U132" s="347"/>
      <c r="V132" s="347"/>
      <c r="W132" s="347"/>
      <c r="X132" s="347"/>
      <c r="Y132" s="347"/>
      <c r="Z132" s="347"/>
      <c r="AA132" s="347"/>
      <c r="AB132" s="347"/>
      <c r="AC132" s="347"/>
      <c r="AD132" s="347"/>
      <c r="AE132" s="347"/>
      <c r="AF132" s="347"/>
      <c r="AG132" s="347"/>
    </row>
    <row r="133">
      <c r="A133" s="334">
        <v>300129.0</v>
      </c>
      <c r="B133" s="334"/>
      <c r="C133" s="347"/>
      <c r="D133" s="347"/>
      <c r="E133" s="334">
        <f t="shared" si="24"/>
        <v>0</v>
      </c>
      <c r="F133" s="347"/>
      <c r="G133" s="347"/>
      <c r="H133" s="347"/>
      <c r="I133" s="347"/>
      <c r="J133" s="347"/>
      <c r="K133" s="347"/>
      <c r="L133" s="347"/>
      <c r="M133" s="347"/>
      <c r="N133" s="347"/>
      <c r="O133" s="347"/>
      <c r="P133" s="347"/>
      <c r="Q133" s="347"/>
      <c r="R133" s="347"/>
      <c r="S133" s="347"/>
      <c r="T133" s="347"/>
      <c r="U133" s="347"/>
      <c r="V133" s="347"/>
      <c r="W133" s="347"/>
      <c r="X133" s="347"/>
      <c r="Y133" s="347"/>
      <c r="Z133" s="347"/>
      <c r="AA133" s="347"/>
      <c r="AB133" s="347"/>
      <c r="AC133" s="347"/>
      <c r="AD133" s="347"/>
      <c r="AE133" s="347"/>
      <c r="AF133" s="347"/>
      <c r="AG133" s="347"/>
    </row>
    <row r="134">
      <c r="A134" s="334">
        <v>300130.0</v>
      </c>
      <c r="B134" s="334"/>
      <c r="C134" s="347"/>
      <c r="D134" s="347"/>
      <c r="E134" s="334">
        <f t="shared" si="24"/>
        <v>0</v>
      </c>
      <c r="F134" s="347"/>
      <c r="G134" s="347"/>
      <c r="H134" s="347"/>
      <c r="I134" s="347"/>
      <c r="J134" s="347"/>
      <c r="K134" s="347"/>
      <c r="L134" s="347"/>
      <c r="M134" s="347"/>
      <c r="N134" s="347"/>
      <c r="O134" s="347"/>
      <c r="P134" s="347"/>
      <c r="Q134" s="347"/>
      <c r="R134" s="347"/>
      <c r="S134" s="347"/>
      <c r="T134" s="347"/>
      <c r="U134" s="347"/>
      <c r="V134" s="347"/>
      <c r="W134" s="347"/>
      <c r="X134" s="347"/>
      <c r="Y134" s="347"/>
      <c r="Z134" s="347"/>
      <c r="AA134" s="347"/>
      <c r="AB134" s="347"/>
      <c r="AC134" s="347"/>
      <c r="AD134" s="347"/>
      <c r="AE134" s="347"/>
      <c r="AF134" s="347"/>
      <c r="AG134" s="347"/>
    </row>
    <row r="135">
      <c r="A135" s="334">
        <v>300131.0</v>
      </c>
      <c r="B135" s="334"/>
      <c r="C135" s="347"/>
      <c r="D135" s="347"/>
      <c r="E135" s="334">
        <f t="shared" si="24"/>
        <v>0</v>
      </c>
      <c r="F135" s="347"/>
      <c r="G135" s="347"/>
      <c r="H135" s="347"/>
      <c r="I135" s="347"/>
      <c r="J135" s="347"/>
      <c r="K135" s="347"/>
      <c r="L135" s="347"/>
      <c r="M135" s="347"/>
      <c r="N135" s="347"/>
      <c r="O135" s="347"/>
      <c r="P135" s="347"/>
      <c r="Q135" s="347"/>
      <c r="R135" s="347"/>
      <c r="S135" s="347"/>
      <c r="T135" s="347"/>
      <c r="U135" s="347"/>
      <c r="V135" s="347"/>
      <c r="W135" s="347"/>
      <c r="X135" s="347"/>
      <c r="Y135" s="347"/>
      <c r="Z135" s="347"/>
      <c r="AA135" s="347"/>
      <c r="AB135" s="347"/>
      <c r="AC135" s="347"/>
      <c r="AD135" s="347"/>
      <c r="AE135" s="347"/>
      <c r="AF135" s="347"/>
      <c r="AG135" s="347"/>
    </row>
    <row r="136">
      <c r="A136" s="334">
        <v>300132.0</v>
      </c>
      <c r="B136" s="334"/>
      <c r="C136" s="347"/>
      <c r="D136" s="347"/>
      <c r="E136" s="334">
        <f t="shared" si="24"/>
        <v>0</v>
      </c>
      <c r="F136" s="347"/>
      <c r="G136" s="347"/>
      <c r="H136" s="347"/>
      <c r="I136" s="347"/>
      <c r="J136" s="347"/>
      <c r="K136" s="347"/>
      <c r="L136" s="347"/>
      <c r="M136" s="347"/>
      <c r="N136" s="347"/>
      <c r="O136" s="347"/>
      <c r="P136" s="347"/>
      <c r="Q136" s="347"/>
      <c r="R136" s="347"/>
      <c r="S136" s="347"/>
      <c r="T136" s="347"/>
      <c r="U136" s="347"/>
      <c r="V136" s="347"/>
      <c r="W136" s="347"/>
      <c r="X136" s="347"/>
      <c r="Y136" s="347"/>
      <c r="Z136" s="347"/>
      <c r="AA136" s="347"/>
      <c r="AB136" s="347"/>
      <c r="AC136" s="347"/>
      <c r="AD136" s="347"/>
      <c r="AE136" s="347"/>
      <c r="AF136" s="347"/>
      <c r="AG136" s="347"/>
    </row>
    <row r="137">
      <c r="A137" s="334">
        <v>300133.0</v>
      </c>
      <c r="B137" s="334"/>
      <c r="C137" s="347"/>
      <c r="D137" s="347"/>
      <c r="E137" s="334">
        <f t="shared" si="24"/>
        <v>0</v>
      </c>
      <c r="F137" s="347"/>
      <c r="G137" s="347"/>
      <c r="H137" s="347"/>
      <c r="I137" s="347"/>
      <c r="J137" s="347"/>
      <c r="K137" s="347"/>
      <c r="L137" s="347"/>
      <c r="M137" s="347"/>
      <c r="N137" s="347"/>
      <c r="O137" s="347"/>
      <c r="P137" s="347"/>
      <c r="Q137" s="347"/>
      <c r="R137" s="347"/>
      <c r="S137" s="347"/>
      <c r="T137" s="347"/>
      <c r="U137" s="347"/>
      <c r="V137" s="347"/>
      <c r="W137" s="347"/>
      <c r="X137" s="347"/>
      <c r="Y137" s="347"/>
      <c r="Z137" s="347"/>
      <c r="AA137" s="347"/>
      <c r="AB137" s="347"/>
      <c r="AC137" s="347"/>
      <c r="AD137" s="347"/>
      <c r="AE137" s="347"/>
      <c r="AF137" s="347"/>
      <c r="AG137" s="347"/>
    </row>
    <row r="138">
      <c r="A138" s="334">
        <v>300134.0</v>
      </c>
      <c r="B138" s="334"/>
      <c r="C138" s="347"/>
      <c r="D138" s="347"/>
      <c r="E138" s="334">
        <f t="shared" si="24"/>
        <v>0</v>
      </c>
      <c r="F138" s="347"/>
      <c r="G138" s="347"/>
      <c r="H138" s="347"/>
      <c r="I138" s="347"/>
      <c r="J138" s="347"/>
      <c r="K138" s="347"/>
      <c r="L138" s="347"/>
      <c r="M138" s="347"/>
      <c r="N138" s="347"/>
      <c r="O138" s="347"/>
      <c r="P138" s="347"/>
      <c r="Q138" s="347"/>
      <c r="R138" s="347"/>
      <c r="S138" s="347"/>
      <c r="T138" s="347"/>
      <c r="U138" s="347"/>
      <c r="V138" s="347"/>
      <c r="W138" s="347"/>
      <c r="X138" s="347"/>
      <c r="Y138" s="347"/>
      <c r="Z138" s="347"/>
      <c r="AA138" s="347"/>
      <c r="AB138" s="347"/>
      <c r="AC138" s="347"/>
      <c r="AD138" s="347"/>
      <c r="AE138" s="347"/>
      <c r="AF138" s="347"/>
      <c r="AG138" s="347"/>
    </row>
    <row r="139">
      <c r="A139" s="334">
        <v>300135.0</v>
      </c>
      <c r="B139" s="334"/>
      <c r="C139" s="347"/>
      <c r="D139" s="347"/>
      <c r="E139" s="334">
        <f t="shared" si="24"/>
        <v>0</v>
      </c>
      <c r="F139" s="347"/>
      <c r="G139" s="347"/>
      <c r="H139" s="347"/>
      <c r="I139" s="347"/>
      <c r="J139" s="347"/>
      <c r="K139" s="347"/>
      <c r="L139" s="347"/>
      <c r="M139" s="347"/>
      <c r="N139" s="347"/>
      <c r="O139" s="347"/>
      <c r="P139" s="347"/>
      <c r="Q139" s="347"/>
      <c r="R139" s="347"/>
      <c r="S139" s="347"/>
      <c r="T139" s="347"/>
      <c r="U139" s="347"/>
      <c r="V139" s="347"/>
      <c r="W139" s="347"/>
      <c r="X139" s="347"/>
      <c r="Y139" s="347"/>
      <c r="Z139" s="347"/>
      <c r="AA139" s="347"/>
      <c r="AB139" s="347"/>
      <c r="AC139" s="347"/>
      <c r="AD139" s="347"/>
      <c r="AE139" s="347"/>
      <c r="AF139" s="347"/>
      <c r="AG139" s="347"/>
    </row>
    <row r="140">
      <c r="A140" s="334">
        <v>300136.0</v>
      </c>
      <c r="B140" s="334"/>
      <c r="C140" s="347"/>
      <c r="D140" s="347"/>
      <c r="E140" s="334">
        <f t="shared" si="24"/>
        <v>0</v>
      </c>
      <c r="F140" s="347"/>
      <c r="G140" s="347"/>
      <c r="H140" s="347"/>
      <c r="I140" s="347"/>
      <c r="J140" s="347"/>
      <c r="K140" s="347"/>
      <c r="L140" s="347"/>
      <c r="M140" s="347"/>
      <c r="N140" s="347"/>
      <c r="O140" s="347"/>
      <c r="P140" s="347"/>
      <c r="Q140" s="347"/>
      <c r="R140" s="347"/>
      <c r="S140" s="347"/>
      <c r="T140" s="347"/>
      <c r="U140" s="347"/>
      <c r="V140" s="347"/>
      <c r="W140" s="347"/>
      <c r="X140" s="347"/>
      <c r="Y140" s="347"/>
      <c r="Z140" s="347"/>
      <c r="AA140" s="347"/>
      <c r="AB140" s="347"/>
      <c r="AC140" s="347"/>
      <c r="AD140" s="347"/>
      <c r="AE140" s="347"/>
      <c r="AF140" s="347"/>
      <c r="AG140" s="347"/>
    </row>
    <row r="141">
      <c r="A141" s="334">
        <v>300137.0</v>
      </c>
      <c r="B141" s="334"/>
      <c r="C141" s="347"/>
      <c r="D141" s="347"/>
      <c r="E141" s="334">
        <f t="shared" si="24"/>
        <v>0</v>
      </c>
      <c r="F141" s="347"/>
      <c r="G141" s="347"/>
      <c r="H141" s="347"/>
      <c r="I141" s="347"/>
      <c r="J141" s="347"/>
      <c r="K141" s="347"/>
      <c r="L141" s="347"/>
      <c r="M141" s="347"/>
      <c r="N141" s="347"/>
      <c r="O141" s="347"/>
      <c r="P141" s="347"/>
      <c r="Q141" s="347"/>
      <c r="R141" s="347"/>
      <c r="S141" s="347"/>
      <c r="T141" s="347"/>
      <c r="U141" s="347"/>
      <c r="V141" s="347"/>
      <c r="W141" s="347"/>
      <c r="X141" s="347"/>
      <c r="Y141" s="347"/>
      <c r="Z141" s="347"/>
      <c r="AA141" s="347"/>
      <c r="AB141" s="347"/>
      <c r="AC141" s="347"/>
      <c r="AD141" s="347"/>
      <c r="AE141" s="347"/>
      <c r="AF141" s="347"/>
      <c r="AG141" s="347"/>
    </row>
    <row r="142">
      <c r="A142" s="334">
        <v>300138.0</v>
      </c>
      <c r="B142" s="334"/>
      <c r="C142" s="347"/>
      <c r="D142" s="347"/>
      <c r="E142" s="334">
        <f t="shared" si="24"/>
        <v>0</v>
      </c>
      <c r="F142" s="347"/>
      <c r="G142" s="347"/>
      <c r="H142" s="347"/>
      <c r="I142" s="347"/>
      <c r="J142" s="347"/>
      <c r="K142" s="347"/>
      <c r="L142" s="347"/>
      <c r="M142" s="347"/>
      <c r="N142" s="347"/>
      <c r="O142" s="347"/>
      <c r="P142" s="347"/>
      <c r="Q142" s="347"/>
      <c r="R142" s="347"/>
      <c r="S142" s="347"/>
      <c r="T142" s="347"/>
      <c r="U142" s="347"/>
      <c r="V142" s="347"/>
      <c r="W142" s="347"/>
      <c r="X142" s="347"/>
      <c r="Y142" s="347"/>
      <c r="Z142" s="347"/>
      <c r="AA142" s="347"/>
      <c r="AB142" s="347"/>
      <c r="AC142" s="347"/>
      <c r="AD142" s="347"/>
      <c r="AE142" s="347"/>
      <c r="AF142" s="347"/>
      <c r="AG142" s="347"/>
    </row>
    <row r="143">
      <c r="A143" s="334">
        <v>300139.0</v>
      </c>
      <c r="B143" s="334"/>
      <c r="C143" s="347"/>
      <c r="D143" s="347"/>
      <c r="E143" s="334">
        <f t="shared" si="24"/>
        <v>0</v>
      </c>
      <c r="F143" s="347"/>
      <c r="G143" s="347"/>
      <c r="H143" s="347"/>
      <c r="I143" s="347"/>
      <c r="J143" s="347"/>
      <c r="K143" s="347"/>
      <c r="L143" s="347"/>
      <c r="M143" s="347"/>
      <c r="N143" s="347"/>
      <c r="O143" s="347"/>
      <c r="P143" s="347"/>
      <c r="Q143" s="347"/>
      <c r="R143" s="347"/>
      <c r="S143" s="347"/>
      <c r="T143" s="347"/>
      <c r="U143" s="347"/>
      <c r="V143" s="347"/>
      <c r="W143" s="347"/>
      <c r="X143" s="347"/>
      <c r="Y143" s="347"/>
      <c r="Z143" s="347"/>
      <c r="AA143" s="347"/>
      <c r="AB143" s="347"/>
      <c r="AC143" s="347"/>
      <c r="AD143" s="347"/>
      <c r="AE143" s="347"/>
      <c r="AF143" s="347"/>
      <c r="AG143" s="347"/>
    </row>
    <row r="144">
      <c r="A144" s="334">
        <v>300140.0</v>
      </c>
      <c r="B144" s="334"/>
      <c r="C144" s="347"/>
      <c r="D144" s="347"/>
      <c r="E144" s="334">
        <f t="shared" si="24"/>
        <v>0</v>
      </c>
      <c r="F144" s="347"/>
      <c r="G144" s="347"/>
      <c r="H144" s="347"/>
      <c r="I144" s="347"/>
      <c r="J144" s="347"/>
      <c r="K144" s="347"/>
      <c r="L144" s="347"/>
      <c r="M144" s="347"/>
      <c r="N144" s="347"/>
      <c r="O144" s="347"/>
      <c r="P144" s="347"/>
      <c r="Q144" s="347"/>
      <c r="R144" s="347"/>
      <c r="S144" s="347"/>
      <c r="T144" s="347"/>
      <c r="U144" s="347"/>
      <c r="V144" s="347"/>
      <c r="W144" s="347"/>
      <c r="X144" s="347"/>
      <c r="Y144" s="347"/>
      <c r="Z144" s="347"/>
      <c r="AA144" s="347"/>
      <c r="AB144" s="347"/>
      <c r="AC144" s="347"/>
      <c r="AD144" s="347"/>
      <c r="AE144" s="347"/>
      <c r="AF144" s="347"/>
      <c r="AG144" s="347"/>
    </row>
    <row r="145">
      <c r="A145" s="334">
        <v>300141.0</v>
      </c>
      <c r="B145" s="334"/>
      <c r="C145" s="347"/>
      <c r="D145" s="347"/>
      <c r="E145" s="334">
        <f t="shared" si="24"/>
        <v>0</v>
      </c>
      <c r="F145" s="347"/>
      <c r="G145" s="347"/>
      <c r="H145" s="347"/>
      <c r="I145" s="347"/>
      <c r="J145" s="347"/>
      <c r="K145" s="347"/>
      <c r="L145" s="347"/>
      <c r="M145" s="347"/>
      <c r="N145" s="347"/>
      <c r="O145" s="347"/>
      <c r="P145" s="347"/>
      <c r="Q145" s="347"/>
      <c r="R145" s="347"/>
      <c r="S145" s="347"/>
      <c r="T145" s="347"/>
      <c r="U145" s="347"/>
      <c r="V145" s="347"/>
      <c r="W145" s="347"/>
      <c r="X145" s="347"/>
      <c r="Y145" s="347"/>
      <c r="Z145" s="347"/>
      <c r="AA145" s="347"/>
      <c r="AB145" s="347"/>
      <c r="AC145" s="347"/>
      <c r="AD145" s="347"/>
      <c r="AE145" s="347"/>
      <c r="AF145" s="347"/>
      <c r="AG145" s="347"/>
    </row>
    <row r="146">
      <c r="A146" s="334">
        <v>300142.0</v>
      </c>
      <c r="B146" s="334"/>
      <c r="C146" s="347"/>
      <c r="D146" s="347"/>
      <c r="E146" s="334">
        <f t="shared" si="24"/>
        <v>0</v>
      </c>
      <c r="F146" s="347"/>
      <c r="G146" s="347"/>
      <c r="H146" s="347"/>
      <c r="I146" s="347"/>
      <c r="J146" s="347"/>
      <c r="K146" s="347"/>
      <c r="L146" s="347"/>
      <c r="M146" s="347"/>
      <c r="N146" s="347"/>
      <c r="O146" s="347"/>
      <c r="P146" s="347"/>
      <c r="Q146" s="347"/>
      <c r="R146" s="347"/>
      <c r="S146" s="347"/>
      <c r="T146" s="347"/>
      <c r="U146" s="347"/>
      <c r="V146" s="347"/>
      <c r="W146" s="347"/>
      <c r="X146" s="347"/>
      <c r="Y146" s="347"/>
      <c r="Z146" s="347"/>
      <c r="AA146" s="347"/>
      <c r="AB146" s="347"/>
      <c r="AC146" s="347"/>
      <c r="AD146" s="347"/>
      <c r="AE146" s="347"/>
      <c r="AF146" s="347"/>
      <c r="AG146" s="347"/>
    </row>
    <row r="147">
      <c r="A147" s="334">
        <v>300143.0</v>
      </c>
      <c r="B147" s="334"/>
      <c r="C147" s="347"/>
      <c r="D147" s="347"/>
      <c r="E147" s="334">
        <f t="shared" si="24"/>
        <v>0</v>
      </c>
      <c r="F147" s="347"/>
      <c r="G147" s="347"/>
      <c r="H147" s="347"/>
      <c r="I147" s="347"/>
      <c r="J147" s="347"/>
      <c r="K147" s="347"/>
      <c r="L147" s="347"/>
      <c r="M147" s="347"/>
      <c r="N147" s="347"/>
      <c r="O147" s="347"/>
      <c r="P147" s="347"/>
      <c r="Q147" s="347"/>
      <c r="R147" s="347"/>
      <c r="S147" s="347"/>
      <c r="T147" s="347"/>
      <c r="U147" s="347"/>
      <c r="V147" s="347"/>
      <c r="W147" s="347"/>
      <c r="X147" s="347"/>
      <c r="Y147" s="347"/>
      <c r="Z147" s="347"/>
      <c r="AA147" s="347"/>
      <c r="AB147" s="347"/>
      <c r="AC147" s="347"/>
      <c r="AD147" s="347"/>
      <c r="AE147" s="347"/>
      <c r="AF147" s="347"/>
      <c r="AG147" s="347"/>
    </row>
    <row r="148">
      <c r="A148" s="334">
        <v>300144.0</v>
      </c>
      <c r="B148" s="334"/>
      <c r="C148" s="347"/>
      <c r="D148" s="347"/>
      <c r="E148" s="334">
        <f t="shared" si="24"/>
        <v>0</v>
      </c>
      <c r="F148" s="347"/>
      <c r="G148" s="347"/>
      <c r="H148" s="347"/>
      <c r="I148" s="347"/>
      <c r="J148" s="347"/>
      <c r="K148" s="347"/>
      <c r="L148" s="347"/>
      <c r="M148" s="347"/>
      <c r="N148" s="347"/>
      <c r="O148" s="347"/>
      <c r="P148" s="347"/>
      <c r="Q148" s="347"/>
      <c r="R148" s="347"/>
      <c r="S148" s="347"/>
      <c r="T148" s="347"/>
      <c r="U148" s="347"/>
      <c r="V148" s="347"/>
      <c r="W148" s="347"/>
      <c r="X148" s="347"/>
      <c r="Y148" s="347"/>
      <c r="Z148" s="347"/>
      <c r="AA148" s="347"/>
      <c r="AB148" s="347"/>
      <c r="AC148" s="347"/>
      <c r="AD148" s="347"/>
      <c r="AE148" s="347"/>
      <c r="AF148" s="347"/>
      <c r="AG148" s="347"/>
    </row>
    <row r="149">
      <c r="A149" s="334">
        <v>300145.0</v>
      </c>
      <c r="B149" s="334"/>
      <c r="C149" s="347"/>
      <c r="D149" s="347"/>
      <c r="E149" s="334">
        <f t="shared" si="24"/>
        <v>0</v>
      </c>
      <c r="F149" s="347"/>
      <c r="G149" s="347"/>
      <c r="H149" s="347"/>
      <c r="I149" s="347"/>
      <c r="J149" s="347"/>
      <c r="K149" s="347"/>
      <c r="L149" s="347"/>
      <c r="M149" s="347"/>
      <c r="N149" s="347"/>
      <c r="O149" s="347"/>
      <c r="P149" s="347"/>
      <c r="Q149" s="347"/>
      <c r="R149" s="347"/>
      <c r="S149" s="347"/>
      <c r="T149" s="347"/>
      <c r="U149" s="347"/>
      <c r="V149" s="347"/>
      <c r="W149" s="347"/>
      <c r="X149" s="347"/>
      <c r="Y149" s="347"/>
      <c r="Z149" s="347"/>
      <c r="AA149" s="347"/>
      <c r="AB149" s="347"/>
      <c r="AC149" s="347"/>
      <c r="AD149" s="347"/>
      <c r="AE149" s="347"/>
      <c r="AF149" s="347"/>
      <c r="AG149" s="347"/>
    </row>
    <row r="150">
      <c r="A150" s="334">
        <v>300146.0</v>
      </c>
      <c r="B150" s="334"/>
      <c r="C150" s="347"/>
      <c r="D150" s="347"/>
      <c r="E150" s="334">
        <f t="shared" si="24"/>
        <v>0</v>
      </c>
      <c r="F150" s="347"/>
      <c r="G150" s="347"/>
      <c r="H150" s="347"/>
      <c r="I150" s="347"/>
      <c r="J150" s="347"/>
      <c r="K150" s="347"/>
      <c r="L150" s="347"/>
      <c r="M150" s="347"/>
      <c r="N150" s="347"/>
      <c r="O150" s="347"/>
      <c r="P150" s="347"/>
      <c r="Q150" s="347"/>
      <c r="R150" s="347"/>
      <c r="S150" s="347"/>
      <c r="T150" s="347"/>
      <c r="U150" s="347"/>
      <c r="V150" s="347"/>
      <c r="W150" s="347"/>
      <c r="X150" s="347"/>
      <c r="Y150" s="347"/>
      <c r="Z150" s="347"/>
      <c r="AA150" s="347"/>
      <c r="AB150" s="347"/>
      <c r="AC150" s="347"/>
      <c r="AD150" s="347"/>
      <c r="AE150" s="347"/>
      <c r="AF150" s="347"/>
      <c r="AG150" s="347"/>
    </row>
    <row r="151">
      <c r="A151" s="334">
        <v>300147.0</v>
      </c>
      <c r="B151" s="334"/>
      <c r="C151" s="347"/>
      <c r="D151" s="347"/>
      <c r="E151" s="334">
        <f t="shared" si="24"/>
        <v>0</v>
      </c>
      <c r="F151" s="347"/>
      <c r="G151" s="347"/>
      <c r="H151" s="347"/>
      <c r="I151" s="347"/>
      <c r="J151" s="347"/>
      <c r="K151" s="347"/>
      <c r="L151" s="347"/>
      <c r="M151" s="347"/>
      <c r="N151" s="347"/>
      <c r="O151" s="347"/>
      <c r="P151" s="347"/>
      <c r="Q151" s="347"/>
      <c r="R151" s="347"/>
      <c r="S151" s="347"/>
      <c r="T151" s="347"/>
      <c r="U151" s="347"/>
      <c r="V151" s="347"/>
      <c r="W151" s="347"/>
      <c r="X151" s="347"/>
      <c r="Y151" s="347"/>
      <c r="Z151" s="347"/>
      <c r="AA151" s="347"/>
      <c r="AB151" s="347"/>
      <c r="AC151" s="347"/>
      <c r="AD151" s="347"/>
      <c r="AE151" s="347"/>
      <c r="AF151" s="347"/>
      <c r="AG151" s="347"/>
    </row>
    <row r="152">
      <c r="A152" s="334">
        <v>300148.0</v>
      </c>
      <c r="B152" s="334"/>
      <c r="C152" s="347"/>
      <c r="D152" s="347"/>
      <c r="E152" s="334">
        <f t="shared" si="24"/>
        <v>0</v>
      </c>
      <c r="F152" s="347"/>
      <c r="G152" s="347"/>
      <c r="H152" s="347"/>
      <c r="I152" s="347"/>
      <c r="J152" s="347"/>
      <c r="K152" s="347"/>
      <c r="L152" s="347"/>
      <c r="M152" s="347"/>
      <c r="N152" s="347"/>
      <c r="O152" s="347"/>
      <c r="P152" s="347"/>
      <c r="Q152" s="347"/>
      <c r="R152" s="347"/>
      <c r="S152" s="347"/>
      <c r="T152" s="347"/>
      <c r="U152" s="347"/>
      <c r="V152" s="347"/>
      <c r="W152" s="347"/>
      <c r="X152" s="347"/>
      <c r="Y152" s="347"/>
      <c r="Z152" s="347"/>
      <c r="AA152" s="347"/>
      <c r="AB152" s="347"/>
      <c r="AC152" s="347"/>
      <c r="AD152" s="347"/>
      <c r="AE152" s="347"/>
      <c r="AF152" s="347"/>
      <c r="AG152" s="347"/>
    </row>
    <row r="153">
      <c r="A153" s="334">
        <v>300149.0</v>
      </c>
      <c r="B153" s="334"/>
      <c r="C153" s="347"/>
      <c r="D153" s="347"/>
      <c r="E153" s="334">
        <f t="shared" si="24"/>
        <v>0</v>
      </c>
      <c r="F153" s="347"/>
      <c r="G153" s="347"/>
      <c r="H153" s="347"/>
      <c r="I153" s="347"/>
      <c r="J153" s="347"/>
      <c r="K153" s="347"/>
      <c r="L153" s="347"/>
      <c r="M153" s="347"/>
      <c r="N153" s="347"/>
      <c r="O153" s="347"/>
      <c r="P153" s="347"/>
      <c r="Q153" s="347"/>
      <c r="R153" s="347"/>
      <c r="S153" s="347"/>
      <c r="T153" s="347"/>
      <c r="U153" s="347"/>
      <c r="V153" s="347"/>
      <c r="W153" s="347"/>
      <c r="X153" s="347"/>
      <c r="Y153" s="347"/>
      <c r="Z153" s="347"/>
      <c r="AA153" s="347"/>
      <c r="AB153" s="347"/>
      <c r="AC153" s="347"/>
      <c r="AD153" s="347"/>
      <c r="AE153" s="347"/>
      <c r="AF153" s="347"/>
      <c r="AG153" s="347"/>
    </row>
    <row r="154">
      <c r="A154" s="334">
        <v>300150.0</v>
      </c>
      <c r="B154" s="334"/>
      <c r="C154" s="347"/>
      <c r="D154" s="347"/>
      <c r="E154" s="334">
        <f t="shared" si="24"/>
        <v>0</v>
      </c>
      <c r="F154" s="347"/>
      <c r="G154" s="347"/>
      <c r="H154" s="347"/>
      <c r="I154" s="347"/>
      <c r="J154" s="347"/>
      <c r="K154" s="347"/>
      <c r="L154" s="347"/>
      <c r="M154" s="347"/>
      <c r="N154" s="347"/>
      <c r="O154" s="347"/>
      <c r="P154" s="347"/>
      <c r="Q154" s="347"/>
      <c r="R154" s="347"/>
      <c r="S154" s="347"/>
      <c r="T154" s="347"/>
      <c r="U154" s="347"/>
      <c r="V154" s="347"/>
      <c r="W154" s="347"/>
      <c r="X154" s="347"/>
      <c r="Y154" s="347"/>
      <c r="Z154" s="347"/>
      <c r="AA154" s="347"/>
      <c r="AB154" s="347"/>
      <c r="AC154" s="347"/>
      <c r="AD154" s="347"/>
      <c r="AE154" s="347"/>
      <c r="AF154" s="347"/>
      <c r="AG154" s="347"/>
    </row>
    <row r="155">
      <c r="A155" s="334">
        <v>300151.0</v>
      </c>
      <c r="B155" s="334"/>
      <c r="C155" s="347"/>
      <c r="D155" s="347"/>
      <c r="E155" s="334">
        <f t="shared" si="24"/>
        <v>0</v>
      </c>
      <c r="F155" s="347"/>
      <c r="G155" s="347"/>
      <c r="H155" s="347"/>
      <c r="I155" s="347"/>
      <c r="J155" s="347"/>
      <c r="K155" s="347"/>
      <c r="L155" s="347"/>
      <c r="M155" s="347"/>
      <c r="N155" s="347"/>
      <c r="O155" s="347"/>
      <c r="P155" s="347"/>
      <c r="Q155" s="347"/>
      <c r="R155" s="347"/>
      <c r="S155" s="347"/>
      <c r="T155" s="347"/>
      <c r="U155" s="347"/>
      <c r="V155" s="347"/>
      <c r="W155" s="347"/>
      <c r="X155" s="347"/>
      <c r="Y155" s="347"/>
      <c r="Z155" s="347"/>
      <c r="AA155" s="347"/>
      <c r="AB155" s="347"/>
      <c r="AC155" s="347"/>
      <c r="AD155" s="347"/>
      <c r="AE155" s="347"/>
      <c r="AF155" s="347"/>
      <c r="AG155" s="347"/>
    </row>
    <row r="156">
      <c r="A156" s="334">
        <v>300152.0</v>
      </c>
      <c r="B156" s="334"/>
      <c r="C156" s="347"/>
      <c r="D156" s="347"/>
      <c r="E156" s="334">
        <f t="shared" si="24"/>
        <v>0</v>
      </c>
      <c r="F156" s="347"/>
      <c r="G156" s="347"/>
      <c r="H156" s="347"/>
      <c r="I156" s="347"/>
      <c r="J156" s="347"/>
      <c r="K156" s="347"/>
      <c r="L156" s="347"/>
      <c r="M156" s="347"/>
      <c r="N156" s="347"/>
      <c r="O156" s="347"/>
      <c r="P156" s="347"/>
      <c r="Q156" s="347"/>
      <c r="R156" s="347"/>
      <c r="S156" s="347"/>
      <c r="T156" s="347"/>
      <c r="U156" s="347"/>
      <c r="V156" s="347"/>
      <c r="W156" s="347"/>
      <c r="X156" s="347"/>
      <c r="Y156" s="347"/>
      <c r="Z156" s="347"/>
      <c r="AA156" s="347"/>
      <c r="AB156" s="347"/>
      <c r="AC156" s="347"/>
      <c r="AD156" s="347"/>
      <c r="AE156" s="347"/>
      <c r="AF156" s="347"/>
      <c r="AG156" s="347"/>
    </row>
    <row r="157">
      <c r="A157" s="334">
        <v>300153.0</v>
      </c>
      <c r="B157" s="334"/>
      <c r="C157" s="347"/>
      <c r="D157" s="347"/>
      <c r="E157" s="334">
        <f t="shared" si="24"/>
        <v>0</v>
      </c>
      <c r="F157" s="347"/>
      <c r="G157" s="347"/>
      <c r="H157" s="347"/>
      <c r="I157" s="347"/>
      <c r="J157" s="347"/>
      <c r="K157" s="347"/>
      <c r="L157" s="347"/>
      <c r="M157" s="347"/>
      <c r="N157" s="347"/>
      <c r="O157" s="347"/>
      <c r="P157" s="347"/>
      <c r="Q157" s="347"/>
      <c r="R157" s="347"/>
      <c r="S157" s="347"/>
      <c r="T157" s="347"/>
      <c r="U157" s="347"/>
      <c r="V157" s="347"/>
      <c r="W157" s="347"/>
      <c r="X157" s="347"/>
      <c r="Y157" s="347"/>
      <c r="Z157" s="347"/>
      <c r="AA157" s="347"/>
      <c r="AB157" s="347"/>
      <c r="AC157" s="347"/>
      <c r="AD157" s="347"/>
      <c r="AE157" s="347"/>
      <c r="AF157" s="347"/>
      <c r="AG157" s="347"/>
    </row>
    <row r="158">
      <c r="A158" s="334">
        <v>300154.0</v>
      </c>
      <c r="B158" s="334"/>
      <c r="C158" s="347"/>
      <c r="D158" s="347"/>
      <c r="E158" s="334">
        <f t="shared" si="24"/>
        <v>0</v>
      </c>
      <c r="F158" s="347"/>
      <c r="G158" s="347"/>
      <c r="H158" s="347"/>
      <c r="I158" s="347"/>
      <c r="J158" s="347"/>
      <c r="K158" s="347"/>
      <c r="L158" s="347"/>
      <c r="M158" s="347"/>
      <c r="N158" s="347"/>
      <c r="O158" s="347"/>
      <c r="P158" s="347"/>
      <c r="Q158" s="347"/>
      <c r="R158" s="347"/>
      <c r="S158" s="347"/>
      <c r="T158" s="347"/>
      <c r="U158" s="347"/>
      <c r="V158" s="347"/>
      <c r="W158" s="347"/>
      <c r="X158" s="347"/>
      <c r="Y158" s="347"/>
      <c r="Z158" s="347"/>
      <c r="AA158" s="347"/>
      <c r="AB158" s="347"/>
      <c r="AC158" s="347"/>
      <c r="AD158" s="347"/>
      <c r="AE158" s="347"/>
      <c r="AF158" s="347"/>
      <c r="AG158" s="347"/>
    </row>
    <row r="159">
      <c r="A159" s="334">
        <v>300155.0</v>
      </c>
      <c r="B159" s="334"/>
      <c r="C159" s="347"/>
      <c r="D159" s="347"/>
      <c r="E159" s="334">
        <f t="shared" si="24"/>
        <v>0</v>
      </c>
      <c r="F159" s="347"/>
      <c r="G159" s="347"/>
      <c r="H159" s="347"/>
      <c r="I159" s="347"/>
      <c r="J159" s="347"/>
      <c r="K159" s="347"/>
      <c r="L159" s="347"/>
      <c r="M159" s="347"/>
      <c r="N159" s="347"/>
      <c r="O159" s="347"/>
      <c r="P159" s="347"/>
      <c r="Q159" s="347"/>
      <c r="R159" s="347"/>
      <c r="S159" s="347"/>
      <c r="T159" s="347"/>
      <c r="U159" s="347"/>
      <c r="V159" s="347"/>
      <c r="W159" s="347"/>
      <c r="X159" s="347"/>
      <c r="Y159" s="347"/>
      <c r="Z159" s="347"/>
      <c r="AA159" s="347"/>
      <c r="AB159" s="347"/>
      <c r="AC159" s="347"/>
      <c r="AD159" s="347"/>
      <c r="AE159" s="347"/>
      <c r="AF159" s="347"/>
      <c r="AG159" s="347"/>
    </row>
    <row r="160">
      <c r="A160" s="334">
        <v>300156.0</v>
      </c>
      <c r="B160" s="334"/>
      <c r="C160" s="347"/>
      <c r="D160" s="347"/>
      <c r="E160" s="334">
        <f t="shared" si="24"/>
        <v>0</v>
      </c>
      <c r="F160" s="347"/>
      <c r="G160" s="347"/>
      <c r="H160" s="347"/>
      <c r="I160" s="347"/>
      <c r="J160" s="347"/>
      <c r="K160" s="347"/>
      <c r="L160" s="347"/>
      <c r="M160" s="347"/>
      <c r="N160" s="347"/>
      <c r="O160" s="347"/>
      <c r="P160" s="347"/>
      <c r="Q160" s="347"/>
      <c r="R160" s="347"/>
      <c r="S160" s="347"/>
      <c r="T160" s="347"/>
      <c r="U160" s="347"/>
      <c r="V160" s="347"/>
      <c r="W160" s="347"/>
      <c r="X160" s="347"/>
      <c r="Y160" s="347"/>
      <c r="Z160" s="347"/>
      <c r="AA160" s="347"/>
      <c r="AB160" s="347"/>
      <c r="AC160" s="347"/>
      <c r="AD160" s="347"/>
      <c r="AE160" s="347"/>
      <c r="AF160" s="347"/>
      <c r="AG160" s="347"/>
    </row>
    <row r="161">
      <c r="A161" s="334">
        <v>300157.0</v>
      </c>
      <c r="B161" s="334"/>
      <c r="C161" s="347"/>
      <c r="D161" s="347"/>
      <c r="E161" s="334">
        <f t="shared" si="24"/>
        <v>0</v>
      </c>
      <c r="F161" s="347"/>
      <c r="G161" s="347"/>
      <c r="H161" s="347"/>
      <c r="I161" s="347"/>
      <c r="J161" s="347"/>
      <c r="K161" s="347"/>
      <c r="L161" s="347"/>
      <c r="M161" s="347"/>
      <c r="N161" s="347"/>
      <c r="O161" s="347"/>
      <c r="P161" s="347"/>
      <c r="Q161" s="347"/>
      <c r="R161" s="347"/>
      <c r="S161" s="347"/>
      <c r="T161" s="347"/>
      <c r="U161" s="347"/>
      <c r="V161" s="347"/>
      <c r="W161" s="347"/>
      <c r="X161" s="347"/>
      <c r="Y161" s="347"/>
      <c r="Z161" s="347"/>
      <c r="AA161" s="347"/>
      <c r="AB161" s="347"/>
      <c r="AC161" s="347"/>
      <c r="AD161" s="347"/>
      <c r="AE161" s="347"/>
      <c r="AF161" s="347"/>
      <c r="AG161" s="347"/>
    </row>
    <row r="162">
      <c r="A162" s="334">
        <v>300158.0</v>
      </c>
      <c r="B162" s="334"/>
      <c r="C162" s="347"/>
      <c r="D162" s="347"/>
      <c r="E162" s="334">
        <f t="shared" si="24"/>
        <v>0</v>
      </c>
      <c r="F162" s="347"/>
      <c r="G162" s="347"/>
      <c r="H162" s="347"/>
      <c r="I162" s="347"/>
      <c r="J162" s="347"/>
      <c r="K162" s="347"/>
      <c r="L162" s="347"/>
      <c r="M162" s="347"/>
      <c r="N162" s="347"/>
      <c r="O162" s="347"/>
      <c r="P162" s="347"/>
      <c r="Q162" s="347"/>
      <c r="R162" s="347"/>
      <c r="S162" s="347"/>
      <c r="T162" s="347"/>
      <c r="U162" s="347"/>
      <c r="V162" s="347"/>
      <c r="W162" s="347"/>
      <c r="X162" s="347"/>
      <c r="Y162" s="347"/>
      <c r="Z162" s="347"/>
      <c r="AA162" s="347"/>
      <c r="AB162" s="347"/>
      <c r="AC162" s="347"/>
      <c r="AD162" s="347"/>
      <c r="AE162" s="347"/>
      <c r="AF162" s="347"/>
      <c r="AG162" s="347"/>
    </row>
    <row r="163">
      <c r="A163" s="334">
        <v>300159.0</v>
      </c>
      <c r="B163" s="334"/>
      <c r="C163" s="347"/>
      <c r="D163" s="347"/>
      <c r="E163" s="334">
        <f t="shared" si="24"/>
        <v>0</v>
      </c>
      <c r="F163" s="347"/>
      <c r="G163" s="347"/>
      <c r="H163" s="347"/>
      <c r="I163" s="347"/>
      <c r="J163" s="347"/>
      <c r="K163" s="347"/>
      <c r="L163" s="347"/>
      <c r="M163" s="347"/>
      <c r="N163" s="347"/>
      <c r="O163" s="347"/>
      <c r="P163" s="347"/>
      <c r="Q163" s="347"/>
      <c r="R163" s="347"/>
      <c r="S163" s="347"/>
      <c r="T163" s="347"/>
      <c r="U163" s="347"/>
      <c r="V163" s="347"/>
      <c r="W163" s="347"/>
      <c r="X163" s="347"/>
      <c r="Y163" s="347"/>
      <c r="Z163" s="347"/>
      <c r="AA163" s="347"/>
      <c r="AB163" s="347"/>
      <c r="AC163" s="347"/>
      <c r="AD163" s="347"/>
      <c r="AE163" s="347"/>
      <c r="AF163" s="347"/>
      <c r="AG163" s="347"/>
    </row>
    <row r="164">
      <c r="A164" s="334">
        <v>300160.0</v>
      </c>
      <c r="B164" s="334"/>
      <c r="C164" s="347"/>
      <c r="D164" s="347"/>
      <c r="E164" s="334">
        <f t="shared" si="24"/>
        <v>0</v>
      </c>
      <c r="F164" s="347"/>
      <c r="G164" s="347"/>
      <c r="H164" s="347"/>
      <c r="I164" s="347"/>
      <c r="J164" s="347"/>
      <c r="K164" s="347"/>
      <c r="L164" s="347"/>
      <c r="M164" s="347"/>
      <c r="N164" s="347"/>
      <c r="O164" s="347"/>
      <c r="P164" s="347"/>
      <c r="Q164" s="347"/>
      <c r="R164" s="347"/>
      <c r="S164" s="347"/>
      <c r="T164" s="347"/>
      <c r="U164" s="347"/>
      <c r="V164" s="347"/>
      <c r="W164" s="347"/>
      <c r="X164" s="347"/>
      <c r="Y164" s="347"/>
      <c r="Z164" s="347"/>
      <c r="AA164" s="347"/>
      <c r="AB164" s="347"/>
      <c r="AC164" s="347"/>
      <c r="AD164" s="347"/>
      <c r="AE164" s="347"/>
      <c r="AF164" s="347"/>
      <c r="AG164" s="347"/>
    </row>
    <row r="165">
      <c r="A165" s="334">
        <v>300161.0</v>
      </c>
      <c r="B165" s="334"/>
      <c r="C165" s="347"/>
      <c r="D165" s="347"/>
      <c r="E165" s="334">
        <f t="shared" si="24"/>
        <v>0</v>
      </c>
      <c r="F165" s="347"/>
      <c r="G165" s="347"/>
      <c r="H165" s="347"/>
      <c r="I165" s="347"/>
      <c r="J165" s="347"/>
      <c r="K165" s="347"/>
      <c r="L165" s="347"/>
      <c r="M165" s="347"/>
      <c r="N165" s="347"/>
      <c r="O165" s="347"/>
      <c r="P165" s="347"/>
      <c r="Q165" s="347"/>
      <c r="R165" s="347"/>
      <c r="S165" s="347"/>
      <c r="T165" s="347"/>
      <c r="U165" s="347"/>
      <c r="V165" s="347"/>
      <c r="W165" s="347"/>
      <c r="X165" s="347"/>
      <c r="Y165" s="347"/>
      <c r="Z165" s="347"/>
      <c r="AA165" s="347"/>
      <c r="AB165" s="347"/>
      <c r="AC165" s="347"/>
      <c r="AD165" s="347"/>
      <c r="AE165" s="347"/>
      <c r="AF165" s="347"/>
      <c r="AG165" s="347"/>
    </row>
    <row r="166">
      <c r="A166" s="334">
        <v>300162.0</v>
      </c>
      <c r="B166" s="334"/>
      <c r="C166" s="347"/>
      <c r="D166" s="347"/>
      <c r="E166" s="334">
        <f t="shared" si="24"/>
        <v>0</v>
      </c>
      <c r="F166" s="347"/>
      <c r="G166" s="347"/>
      <c r="H166" s="347"/>
      <c r="I166" s="347"/>
      <c r="J166" s="347"/>
      <c r="K166" s="347"/>
      <c r="L166" s="347"/>
      <c r="M166" s="347"/>
      <c r="N166" s="347"/>
      <c r="O166" s="347"/>
      <c r="P166" s="347"/>
      <c r="Q166" s="347"/>
      <c r="R166" s="347"/>
      <c r="S166" s="347"/>
      <c r="T166" s="347"/>
      <c r="U166" s="347"/>
      <c r="V166" s="347"/>
      <c r="W166" s="347"/>
      <c r="X166" s="347"/>
      <c r="Y166" s="347"/>
      <c r="Z166" s="347"/>
      <c r="AA166" s="347"/>
      <c r="AB166" s="347"/>
      <c r="AC166" s="347"/>
      <c r="AD166" s="347"/>
      <c r="AE166" s="347"/>
      <c r="AF166" s="347"/>
      <c r="AG166" s="347"/>
    </row>
    <row r="167">
      <c r="A167" s="334">
        <v>300163.0</v>
      </c>
      <c r="B167" s="334"/>
      <c r="C167" s="347"/>
      <c r="D167" s="347"/>
      <c r="E167" s="334">
        <f t="shared" si="24"/>
        <v>0</v>
      </c>
      <c r="F167" s="347"/>
      <c r="G167" s="347"/>
      <c r="H167" s="347"/>
      <c r="I167" s="347"/>
      <c r="J167" s="347"/>
      <c r="K167" s="347"/>
      <c r="L167" s="347"/>
      <c r="M167" s="347"/>
      <c r="N167" s="347"/>
      <c r="O167" s="347"/>
      <c r="P167" s="347"/>
      <c r="Q167" s="347"/>
      <c r="R167" s="347"/>
      <c r="S167" s="347"/>
      <c r="T167" s="347"/>
      <c r="U167" s="347"/>
      <c r="V167" s="347"/>
      <c r="W167" s="347"/>
      <c r="X167" s="347"/>
      <c r="Y167" s="347"/>
      <c r="Z167" s="347"/>
      <c r="AA167" s="347"/>
      <c r="AB167" s="347"/>
      <c r="AC167" s="347"/>
      <c r="AD167" s="347"/>
      <c r="AE167" s="347"/>
      <c r="AF167" s="347"/>
      <c r="AG167" s="347"/>
    </row>
    <row r="168">
      <c r="A168" s="334">
        <v>300164.0</v>
      </c>
      <c r="B168" s="334"/>
      <c r="C168" s="347"/>
      <c r="D168" s="347"/>
      <c r="E168" s="334">
        <f t="shared" si="24"/>
        <v>0</v>
      </c>
      <c r="F168" s="347"/>
      <c r="G168" s="347"/>
      <c r="H168" s="347"/>
      <c r="I168" s="347"/>
      <c r="J168" s="347"/>
      <c r="K168" s="347"/>
      <c r="L168" s="347"/>
      <c r="M168" s="347"/>
      <c r="N168" s="347"/>
      <c r="O168" s="347"/>
      <c r="P168" s="347"/>
      <c r="Q168" s="347"/>
      <c r="R168" s="347"/>
      <c r="S168" s="347"/>
      <c r="T168" s="347"/>
      <c r="U168" s="347"/>
      <c r="V168" s="347"/>
      <c r="W168" s="347"/>
      <c r="X168" s="347"/>
      <c r="Y168" s="347"/>
      <c r="Z168" s="347"/>
      <c r="AA168" s="347"/>
      <c r="AB168" s="347"/>
      <c r="AC168" s="347"/>
      <c r="AD168" s="347"/>
      <c r="AE168" s="347"/>
      <c r="AF168" s="347"/>
      <c r="AG168" s="347"/>
    </row>
    <row r="169">
      <c r="A169" s="334">
        <v>300165.0</v>
      </c>
      <c r="B169" s="334"/>
      <c r="C169" s="347"/>
      <c r="D169" s="347"/>
      <c r="E169" s="334">
        <f t="shared" si="24"/>
        <v>0</v>
      </c>
      <c r="F169" s="347"/>
      <c r="G169" s="347"/>
      <c r="H169" s="347"/>
      <c r="I169" s="347"/>
      <c r="J169" s="347"/>
      <c r="K169" s="347"/>
      <c r="L169" s="347"/>
      <c r="M169" s="347"/>
      <c r="N169" s="347"/>
      <c r="O169" s="347"/>
      <c r="P169" s="347"/>
      <c r="Q169" s="347"/>
      <c r="R169" s="347"/>
      <c r="S169" s="347"/>
      <c r="T169" s="347"/>
      <c r="U169" s="347"/>
      <c r="V169" s="347"/>
      <c r="W169" s="347"/>
      <c r="X169" s="347"/>
      <c r="Y169" s="347"/>
      <c r="Z169" s="347"/>
      <c r="AA169" s="347"/>
      <c r="AB169" s="347"/>
      <c r="AC169" s="347"/>
      <c r="AD169" s="347"/>
      <c r="AE169" s="347"/>
      <c r="AF169" s="347"/>
      <c r="AG169" s="347"/>
    </row>
    <row r="170">
      <c r="A170" s="334">
        <v>300166.0</v>
      </c>
      <c r="B170" s="334"/>
      <c r="C170" s="347"/>
      <c r="D170" s="347"/>
      <c r="E170" s="334">
        <f t="shared" si="24"/>
        <v>0</v>
      </c>
      <c r="F170" s="347"/>
      <c r="G170" s="347"/>
      <c r="H170" s="347"/>
      <c r="I170" s="347"/>
      <c r="J170" s="347"/>
      <c r="K170" s="347"/>
      <c r="L170" s="347"/>
      <c r="M170" s="347"/>
      <c r="N170" s="347"/>
      <c r="O170" s="347"/>
      <c r="P170" s="347"/>
      <c r="Q170" s="347"/>
      <c r="R170" s="347"/>
      <c r="S170" s="347"/>
      <c r="T170" s="347"/>
      <c r="U170" s="347"/>
      <c r="V170" s="347"/>
      <c r="W170" s="347"/>
      <c r="X170" s="347"/>
      <c r="Y170" s="347"/>
      <c r="Z170" s="347"/>
      <c r="AA170" s="347"/>
      <c r="AB170" s="347"/>
      <c r="AC170" s="347"/>
      <c r="AD170" s="347"/>
      <c r="AE170" s="347"/>
      <c r="AF170" s="347"/>
      <c r="AG170" s="347"/>
    </row>
    <row r="171">
      <c r="A171" s="334">
        <v>300167.0</v>
      </c>
      <c r="B171" s="334"/>
      <c r="C171" s="347"/>
      <c r="D171" s="347"/>
      <c r="E171" s="334">
        <f t="shared" si="24"/>
        <v>0</v>
      </c>
      <c r="F171" s="347"/>
      <c r="G171" s="347"/>
      <c r="H171" s="347"/>
      <c r="I171" s="347"/>
      <c r="J171" s="347"/>
      <c r="K171" s="347"/>
      <c r="L171" s="347"/>
      <c r="M171" s="347"/>
      <c r="N171" s="347"/>
      <c r="O171" s="347"/>
      <c r="P171" s="347"/>
      <c r="Q171" s="347"/>
      <c r="R171" s="347"/>
      <c r="S171" s="347"/>
      <c r="T171" s="347"/>
      <c r="U171" s="347"/>
      <c r="V171" s="347"/>
      <c r="W171" s="347"/>
      <c r="X171" s="347"/>
      <c r="Y171" s="347"/>
      <c r="Z171" s="347"/>
      <c r="AA171" s="347"/>
      <c r="AB171" s="347"/>
      <c r="AC171" s="347"/>
      <c r="AD171" s="347"/>
      <c r="AE171" s="347"/>
      <c r="AF171" s="347"/>
      <c r="AG171" s="347"/>
    </row>
    <row r="172">
      <c r="A172" s="347"/>
      <c r="B172" s="347"/>
      <c r="C172" s="347"/>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c r="AA172" s="347"/>
      <c r="AB172" s="347"/>
      <c r="AC172" s="347"/>
      <c r="AD172" s="347"/>
      <c r="AE172" s="347"/>
      <c r="AF172" s="347"/>
      <c r="AG172" s="347"/>
    </row>
    <row r="173">
      <c r="A173" s="347"/>
      <c r="B173" s="347"/>
      <c r="C173" s="347"/>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c r="AA173" s="347"/>
      <c r="AB173" s="347"/>
      <c r="AC173" s="347"/>
      <c r="AD173" s="347"/>
      <c r="AE173" s="347"/>
      <c r="AF173" s="347"/>
      <c r="AG173" s="347"/>
    </row>
    <row r="174">
      <c r="A174" s="347"/>
      <c r="B174" s="347"/>
      <c r="C174" s="347"/>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c r="AA174" s="347"/>
      <c r="AB174" s="347"/>
      <c r="AC174" s="347"/>
      <c r="AD174" s="347"/>
      <c r="AE174" s="347"/>
      <c r="AF174" s="347"/>
      <c r="AG174" s="347"/>
    </row>
    <row r="175">
      <c r="A175" s="347"/>
      <c r="B175" s="347"/>
      <c r="C175" s="347"/>
      <c r="D175" s="347"/>
      <c r="E175" s="347"/>
      <c r="F175" s="347"/>
      <c r="G175" s="347"/>
      <c r="H175" s="347"/>
      <c r="I175" s="347"/>
      <c r="J175" s="347"/>
      <c r="K175" s="347"/>
      <c r="L175" s="347"/>
      <c r="M175" s="347"/>
      <c r="N175" s="347"/>
      <c r="O175" s="347"/>
      <c r="P175" s="347"/>
      <c r="Q175" s="347"/>
      <c r="R175" s="347"/>
      <c r="S175" s="347"/>
      <c r="T175" s="347"/>
      <c r="U175" s="347"/>
      <c r="V175" s="347"/>
      <c r="W175" s="347"/>
      <c r="X175" s="347"/>
      <c r="Y175" s="347"/>
      <c r="Z175" s="347"/>
      <c r="AA175" s="347"/>
      <c r="AB175" s="347"/>
      <c r="AC175" s="347"/>
      <c r="AD175" s="347"/>
      <c r="AE175" s="347"/>
      <c r="AF175" s="347"/>
      <c r="AG175" s="347"/>
    </row>
    <row r="176">
      <c r="A176" s="347"/>
      <c r="B176" s="347"/>
      <c r="C176" s="347"/>
      <c r="D176" s="347"/>
      <c r="E176" s="347"/>
      <c r="F176" s="347"/>
      <c r="G176" s="347"/>
      <c r="H176" s="347"/>
      <c r="I176" s="347"/>
      <c r="J176" s="347"/>
      <c r="K176" s="347"/>
      <c r="L176" s="347"/>
      <c r="M176" s="347"/>
      <c r="N176" s="347"/>
      <c r="O176" s="347"/>
      <c r="P176" s="347"/>
      <c r="Q176" s="347"/>
      <c r="R176" s="347"/>
      <c r="S176" s="347"/>
      <c r="T176" s="347"/>
      <c r="U176" s="347"/>
      <c r="V176" s="347"/>
      <c r="W176" s="347"/>
      <c r="X176" s="347"/>
      <c r="Y176" s="347"/>
      <c r="Z176" s="347"/>
      <c r="AA176" s="347"/>
      <c r="AB176" s="347"/>
      <c r="AC176" s="347"/>
      <c r="AD176" s="347"/>
      <c r="AE176" s="347"/>
      <c r="AF176" s="347"/>
      <c r="AG176" s="347"/>
    </row>
    <row r="177">
      <c r="A177" s="347"/>
      <c r="B177" s="347"/>
      <c r="C177" s="347"/>
      <c r="D177" s="347"/>
      <c r="E177" s="347"/>
      <c r="F177" s="347"/>
      <c r="G177" s="347"/>
      <c r="H177" s="347"/>
      <c r="I177" s="347"/>
      <c r="J177" s="347"/>
      <c r="K177" s="347"/>
      <c r="L177" s="347"/>
      <c r="M177" s="347"/>
      <c r="N177" s="347"/>
      <c r="O177" s="347"/>
      <c r="P177" s="347"/>
      <c r="Q177" s="347"/>
      <c r="R177" s="347"/>
      <c r="S177" s="347"/>
      <c r="T177" s="347"/>
      <c r="U177" s="347"/>
      <c r="V177" s="347"/>
      <c r="W177" s="347"/>
      <c r="X177" s="347"/>
      <c r="Y177" s="347"/>
      <c r="Z177" s="347"/>
      <c r="AA177" s="347"/>
      <c r="AB177" s="347"/>
      <c r="AC177" s="347"/>
      <c r="AD177" s="347"/>
      <c r="AE177" s="347"/>
      <c r="AF177" s="347"/>
      <c r="AG177" s="347"/>
    </row>
    <row r="178">
      <c r="A178" s="347"/>
      <c r="B178" s="347"/>
      <c r="C178" s="347"/>
      <c r="D178" s="347"/>
      <c r="E178" s="347"/>
      <c r="F178" s="347"/>
      <c r="G178" s="347"/>
      <c r="H178" s="347"/>
      <c r="I178" s="347"/>
      <c r="J178" s="347"/>
      <c r="K178" s="347"/>
      <c r="L178" s="347"/>
      <c r="M178" s="347"/>
      <c r="N178" s="347"/>
      <c r="O178" s="347"/>
      <c r="P178" s="347"/>
      <c r="Q178" s="347"/>
      <c r="R178" s="347"/>
      <c r="S178" s="347"/>
      <c r="T178" s="347"/>
      <c r="U178" s="347"/>
      <c r="V178" s="347"/>
      <c r="W178" s="347"/>
      <c r="X178" s="347"/>
      <c r="Y178" s="347"/>
      <c r="Z178" s="347"/>
      <c r="AA178" s="347"/>
      <c r="AB178" s="347"/>
      <c r="AC178" s="347"/>
      <c r="AD178" s="347"/>
      <c r="AE178" s="347"/>
      <c r="AF178" s="347"/>
      <c r="AG178" s="347"/>
    </row>
    <row r="179">
      <c r="A179" s="347"/>
      <c r="B179" s="347"/>
      <c r="C179" s="347"/>
      <c r="D179" s="347"/>
      <c r="E179" s="347"/>
      <c r="F179" s="347"/>
      <c r="G179" s="347"/>
      <c r="H179" s="347"/>
      <c r="I179" s="347"/>
      <c r="J179" s="347"/>
      <c r="K179" s="347"/>
      <c r="L179" s="347"/>
      <c r="M179" s="347"/>
      <c r="N179" s="347"/>
      <c r="O179" s="347"/>
      <c r="P179" s="347"/>
      <c r="Q179" s="347"/>
      <c r="R179" s="347"/>
      <c r="S179" s="347"/>
      <c r="T179" s="347"/>
      <c r="U179" s="347"/>
      <c r="V179" s="347"/>
      <c r="W179" s="347"/>
      <c r="X179" s="347"/>
      <c r="Y179" s="347"/>
      <c r="Z179" s="347"/>
      <c r="AA179" s="347"/>
      <c r="AB179" s="347"/>
      <c r="AC179" s="347"/>
      <c r="AD179" s="347"/>
      <c r="AE179" s="347"/>
      <c r="AF179" s="347"/>
      <c r="AG179" s="347"/>
    </row>
    <row r="180">
      <c r="A180" s="347"/>
      <c r="B180" s="347"/>
      <c r="C180" s="347"/>
      <c r="D180" s="347"/>
      <c r="E180" s="347"/>
      <c r="F180" s="347"/>
      <c r="G180" s="347"/>
      <c r="H180" s="347"/>
      <c r="I180" s="347"/>
      <c r="J180" s="347"/>
      <c r="K180" s="347"/>
      <c r="L180" s="347"/>
      <c r="M180" s="347"/>
      <c r="N180" s="347"/>
      <c r="O180" s="347"/>
      <c r="P180" s="347"/>
      <c r="Q180" s="347"/>
      <c r="R180" s="347"/>
      <c r="S180" s="347"/>
      <c r="T180" s="347"/>
      <c r="U180" s="347"/>
      <c r="V180" s="347"/>
      <c r="W180" s="347"/>
      <c r="X180" s="347"/>
      <c r="Y180" s="347"/>
      <c r="Z180" s="347"/>
      <c r="AA180" s="347"/>
      <c r="AB180" s="347"/>
      <c r="AC180" s="347"/>
      <c r="AD180" s="347"/>
      <c r="AE180" s="347"/>
      <c r="AF180" s="347"/>
      <c r="AG180" s="347"/>
    </row>
    <row r="181">
      <c r="A181" s="347"/>
      <c r="B181" s="347"/>
      <c r="C181" s="347"/>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c r="AA181" s="347"/>
      <c r="AB181" s="347"/>
      <c r="AC181" s="347"/>
      <c r="AD181" s="347"/>
      <c r="AE181" s="347"/>
      <c r="AF181" s="347"/>
      <c r="AG181" s="347"/>
    </row>
    <row r="182">
      <c r="A182" s="347"/>
      <c r="B182" s="347"/>
      <c r="C182" s="347"/>
      <c r="D182" s="347"/>
      <c r="E182" s="347"/>
      <c r="F182" s="347"/>
      <c r="G182" s="347"/>
      <c r="H182" s="347"/>
      <c r="I182" s="347"/>
      <c r="J182" s="347"/>
      <c r="K182" s="347"/>
      <c r="L182" s="347"/>
      <c r="M182" s="347"/>
      <c r="N182" s="347"/>
      <c r="O182" s="347"/>
      <c r="P182" s="347"/>
      <c r="Q182" s="347"/>
      <c r="R182" s="347"/>
      <c r="S182" s="347"/>
      <c r="T182" s="347"/>
      <c r="U182" s="347"/>
      <c r="V182" s="347"/>
      <c r="W182" s="347"/>
      <c r="X182" s="347"/>
      <c r="Y182" s="347"/>
      <c r="Z182" s="347"/>
      <c r="AA182" s="347"/>
      <c r="AB182" s="347"/>
      <c r="AC182" s="347"/>
      <c r="AD182" s="347"/>
      <c r="AE182" s="347"/>
      <c r="AF182" s="347"/>
      <c r="AG182" s="347"/>
    </row>
    <row r="183">
      <c r="A183" s="347"/>
      <c r="B183" s="347"/>
      <c r="C183" s="347"/>
      <c r="D183" s="347"/>
      <c r="E183" s="347"/>
      <c r="F183" s="347"/>
      <c r="G183" s="347"/>
      <c r="H183" s="347"/>
      <c r="I183" s="347"/>
      <c r="J183" s="347"/>
      <c r="K183" s="347"/>
      <c r="L183" s="347"/>
      <c r="M183" s="347"/>
      <c r="N183" s="347"/>
      <c r="O183" s="347"/>
      <c r="P183" s="347"/>
      <c r="Q183" s="347"/>
      <c r="R183" s="347"/>
      <c r="S183" s="347"/>
      <c r="T183" s="347"/>
      <c r="U183" s="347"/>
      <c r="V183" s="347"/>
      <c r="W183" s="347"/>
      <c r="X183" s="347"/>
      <c r="Y183" s="347"/>
      <c r="Z183" s="347"/>
      <c r="AA183" s="347"/>
      <c r="AB183" s="347"/>
      <c r="AC183" s="347"/>
      <c r="AD183" s="347"/>
      <c r="AE183" s="347"/>
      <c r="AF183" s="347"/>
      <c r="AG183" s="347"/>
    </row>
    <row r="184">
      <c r="A184" s="347"/>
      <c r="B184" s="347"/>
      <c r="C184" s="347"/>
      <c r="D184" s="347"/>
      <c r="E184" s="347"/>
      <c r="F184" s="347"/>
      <c r="G184" s="347"/>
      <c r="H184" s="347"/>
      <c r="I184" s="347"/>
      <c r="J184" s="347"/>
      <c r="K184" s="347"/>
      <c r="L184" s="347"/>
      <c r="M184" s="347"/>
      <c r="N184" s="347"/>
      <c r="O184" s="347"/>
      <c r="P184" s="347"/>
      <c r="Q184" s="347"/>
      <c r="R184" s="347"/>
      <c r="S184" s="347"/>
      <c r="T184" s="347"/>
      <c r="U184" s="347"/>
      <c r="V184" s="347"/>
      <c r="W184" s="347"/>
      <c r="X184" s="347"/>
      <c r="Y184" s="347"/>
      <c r="Z184" s="347"/>
      <c r="AA184" s="347"/>
      <c r="AB184" s="347"/>
      <c r="AC184" s="347"/>
      <c r="AD184" s="347"/>
      <c r="AE184" s="347"/>
      <c r="AF184" s="347"/>
      <c r="AG184" s="347"/>
    </row>
    <row r="185">
      <c r="A185" s="347"/>
      <c r="B185" s="347"/>
      <c r="C185" s="347"/>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c r="AA185" s="347"/>
      <c r="AB185" s="347"/>
      <c r="AC185" s="347"/>
      <c r="AD185" s="347"/>
      <c r="AE185" s="347"/>
      <c r="AF185" s="347"/>
      <c r="AG185" s="347"/>
    </row>
    <row r="186">
      <c r="A186" s="347"/>
      <c r="B186" s="347"/>
      <c r="C186" s="347"/>
      <c r="D186" s="347"/>
      <c r="E186" s="347"/>
      <c r="F186" s="347"/>
      <c r="G186" s="347"/>
      <c r="H186" s="347"/>
      <c r="I186" s="347"/>
      <c r="J186" s="347"/>
      <c r="K186" s="347"/>
      <c r="L186" s="347"/>
      <c r="M186" s="347"/>
      <c r="N186" s="347"/>
      <c r="O186" s="347"/>
      <c r="P186" s="347"/>
      <c r="Q186" s="347"/>
      <c r="R186" s="347"/>
      <c r="S186" s="347"/>
      <c r="T186" s="347"/>
      <c r="U186" s="347"/>
      <c r="V186" s="347"/>
      <c r="W186" s="347"/>
      <c r="X186" s="347"/>
      <c r="Y186" s="347"/>
      <c r="Z186" s="347"/>
      <c r="AA186" s="347"/>
      <c r="AB186" s="347"/>
      <c r="AC186" s="347"/>
      <c r="AD186" s="347"/>
      <c r="AE186" s="347"/>
      <c r="AF186" s="347"/>
      <c r="AG186" s="347"/>
    </row>
    <row r="187">
      <c r="A187" s="347"/>
      <c r="B187" s="347"/>
      <c r="C187" s="347"/>
      <c r="D187" s="347"/>
      <c r="E187" s="347"/>
      <c r="F187" s="347"/>
      <c r="G187" s="347"/>
      <c r="H187" s="347"/>
      <c r="I187" s="347"/>
      <c r="J187" s="347"/>
      <c r="K187" s="347"/>
      <c r="L187" s="347"/>
      <c r="M187" s="347"/>
      <c r="N187" s="347"/>
      <c r="O187" s="347"/>
      <c r="P187" s="347"/>
      <c r="Q187" s="347"/>
      <c r="R187" s="347"/>
      <c r="S187" s="347"/>
      <c r="T187" s="347"/>
      <c r="U187" s="347"/>
      <c r="V187" s="347"/>
      <c r="W187" s="347"/>
      <c r="X187" s="347"/>
      <c r="Y187" s="347"/>
      <c r="Z187" s="347"/>
      <c r="AA187" s="347"/>
      <c r="AB187" s="347"/>
      <c r="AC187" s="347"/>
      <c r="AD187" s="347"/>
      <c r="AE187" s="347"/>
      <c r="AF187" s="347"/>
      <c r="AG187" s="347"/>
    </row>
    <row r="188">
      <c r="A188" s="347"/>
      <c r="B188" s="347"/>
      <c r="C188" s="347"/>
      <c r="D188" s="347"/>
      <c r="E188" s="347"/>
      <c r="F188" s="347"/>
      <c r="G188" s="347"/>
      <c r="H188" s="347"/>
      <c r="I188" s="347"/>
      <c r="J188" s="347"/>
      <c r="K188" s="347"/>
      <c r="L188" s="347"/>
      <c r="M188" s="347"/>
      <c r="N188" s="347"/>
      <c r="O188" s="347"/>
      <c r="P188" s="347"/>
      <c r="Q188" s="347"/>
      <c r="R188" s="347"/>
      <c r="S188" s="347"/>
      <c r="T188" s="347"/>
      <c r="U188" s="347"/>
      <c r="V188" s="347"/>
      <c r="W188" s="347"/>
      <c r="X188" s="347"/>
      <c r="Y188" s="347"/>
      <c r="Z188" s="347"/>
      <c r="AA188" s="347"/>
      <c r="AB188" s="347"/>
      <c r="AC188" s="347"/>
      <c r="AD188" s="347"/>
      <c r="AE188" s="347"/>
      <c r="AF188" s="347"/>
      <c r="AG188" s="347"/>
    </row>
    <row r="189">
      <c r="A189" s="347"/>
      <c r="B189" s="347"/>
      <c r="C189" s="347"/>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c r="AA189" s="347"/>
      <c r="AB189" s="347"/>
      <c r="AC189" s="347"/>
      <c r="AD189" s="347"/>
      <c r="AE189" s="347"/>
      <c r="AF189" s="347"/>
      <c r="AG189" s="347"/>
    </row>
    <row r="190">
      <c r="A190" s="347"/>
      <c r="B190" s="347"/>
      <c r="C190" s="347"/>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c r="AA190" s="347"/>
      <c r="AB190" s="347"/>
      <c r="AC190" s="347"/>
      <c r="AD190" s="347"/>
      <c r="AE190" s="347"/>
      <c r="AF190" s="347"/>
      <c r="AG190" s="347"/>
    </row>
    <row r="191">
      <c r="A191" s="347"/>
      <c r="B191" s="347"/>
      <c r="C191" s="347"/>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c r="AA191" s="347"/>
      <c r="AB191" s="347"/>
      <c r="AC191" s="347"/>
      <c r="AD191" s="347"/>
      <c r="AE191" s="347"/>
      <c r="AF191" s="347"/>
      <c r="AG191" s="347"/>
    </row>
    <row r="192">
      <c r="A192" s="347"/>
      <c r="B192" s="347"/>
      <c r="C192" s="347"/>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c r="AA192" s="347"/>
      <c r="AB192" s="347"/>
      <c r="AC192" s="347"/>
      <c r="AD192" s="347"/>
      <c r="AE192" s="347"/>
      <c r="AF192" s="347"/>
      <c r="AG192" s="347"/>
    </row>
    <row r="193">
      <c r="A193" s="347"/>
      <c r="B193" s="347"/>
      <c r="C193" s="347"/>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c r="AA193" s="347"/>
      <c r="AB193" s="347"/>
      <c r="AC193" s="347"/>
      <c r="AD193" s="347"/>
      <c r="AE193" s="347"/>
      <c r="AF193" s="347"/>
      <c r="AG193" s="347"/>
    </row>
    <row r="194">
      <c r="A194" s="347"/>
      <c r="B194" s="347"/>
      <c r="C194" s="347"/>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c r="AA194" s="347"/>
      <c r="AB194" s="347"/>
      <c r="AC194" s="347"/>
      <c r="AD194" s="347"/>
      <c r="AE194" s="347"/>
      <c r="AF194" s="347"/>
      <c r="AG194" s="347"/>
    </row>
    <row r="195">
      <c r="A195" s="347"/>
      <c r="B195" s="347"/>
      <c r="C195" s="347"/>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c r="AA195" s="347"/>
      <c r="AB195" s="347"/>
      <c r="AC195" s="347"/>
      <c r="AD195" s="347"/>
      <c r="AE195" s="347"/>
      <c r="AF195" s="347"/>
      <c r="AG195" s="347"/>
    </row>
    <row r="196">
      <c r="A196" s="347"/>
      <c r="B196" s="347"/>
      <c r="C196" s="347"/>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c r="AB196" s="347"/>
      <c r="AC196" s="347"/>
      <c r="AD196" s="347"/>
      <c r="AE196" s="347"/>
      <c r="AF196" s="347"/>
      <c r="AG196" s="347"/>
    </row>
    <row r="197">
      <c r="A197" s="347"/>
      <c r="B197" s="347"/>
      <c r="C197" s="347"/>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c r="AA197" s="347"/>
      <c r="AB197" s="347"/>
      <c r="AC197" s="347"/>
      <c r="AD197" s="347"/>
      <c r="AE197" s="347"/>
      <c r="AF197" s="347"/>
      <c r="AG197" s="347"/>
    </row>
    <row r="198">
      <c r="A198" s="347"/>
      <c r="B198" s="347"/>
      <c r="C198" s="347"/>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c r="AA198" s="347"/>
      <c r="AB198" s="347"/>
      <c r="AC198" s="347"/>
      <c r="AD198" s="347"/>
      <c r="AE198" s="347"/>
      <c r="AF198" s="347"/>
      <c r="AG198" s="347"/>
    </row>
    <row r="199">
      <c r="A199" s="347"/>
      <c r="B199" s="347"/>
      <c r="C199" s="347"/>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c r="AA199" s="347"/>
      <c r="AB199" s="347"/>
      <c r="AC199" s="347"/>
      <c r="AD199" s="347"/>
      <c r="AE199" s="347"/>
      <c r="AF199" s="347"/>
      <c r="AG199" s="347"/>
    </row>
    <row r="200">
      <c r="A200" s="347"/>
      <c r="B200" s="347"/>
      <c r="C200" s="347"/>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c r="AA200" s="347"/>
      <c r="AB200" s="347"/>
      <c r="AC200" s="347"/>
      <c r="AD200" s="347"/>
      <c r="AE200" s="347"/>
      <c r="AF200" s="347"/>
      <c r="AG200" s="347"/>
    </row>
    <row r="201">
      <c r="A201" s="347"/>
      <c r="B201" s="347"/>
      <c r="C201" s="347"/>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347"/>
    </row>
    <row r="202">
      <c r="A202" s="347"/>
      <c r="B202" s="347"/>
      <c r="C202" s="347"/>
      <c r="D202" s="347"/>
      <c r="E202" s="347"/>
      <c r="F202" s="347"/>
      <c r="G202" s="347"/>
      <c r="H202" s="347"/>
      <c r="I202" s="347"/>
      <c r="J202" s="347"/>
      <c r="K202" s="347"/>
      <c r="L202" s="347"/>
      <c r="M202" s="347"/>
      <c r="N202" s="347"/>
      <c r="O202" s="347"/>
      <c r="P202" s="347"/>
      <c r="Q202" s="347"/>
      <c r="R202" s="347"/>
      <c r="S202" s="347"/>
      <c r="T202" s="347"/>
      <c r="U202" s="347"/>
      <c r="V202" s="347"/>
      <c r="W202" s="347"/>
      <c r="X202" s="347"/>
      <c r="Y202" s="347"/>
      <c r="Z202" s="347"/>
      <c r="AA202" s="347"/>
      <c r="AB202" s="347"/>
      <c r="AC202" s="347"/>
      <c r="AD202" s="347"/>
      <c r="AE202" s="347"/>
      <c r="AF202" s="347"/>
      <c r="AG202" s="347"/>
    </row>
    <row r="203">
      <c r="A203" s="347"/>
      <c r="B203" s="347"/>
      <c r="C203" s="347"/>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c r="AA203" s="347"/>
      <c r="AB203" s="347"/>
      <c r="AC203" s="347"/>
      <c r="AD203" s="347"/>
      <c r="AE203" s="347"/>
      <c r="AF203" s="347"/>
      <c r="AG203" s="347"/>
    </row>
    <row r="204">
      <c r="A204" s="347"/>
      <c r="B204" s="347"/>
      <c r="C204" s="347"/>
      <c r="D204" s="347"/>
      <c r="E204" s="347"/>
      <c r="F204" s="347"/>
      <c r="G204" s="347"/>
      <c r="H204" s="347"/>
      <c r="I204" s="347"/>
      <c r="J204" s="347"/>
      <c r="K204" s="347"/>
      <c r="L204" s="347"/>
      <c r="M204" s="347"/>
      <c r="N204" s="347"/>
      <c r="O204" s="347"/>
      <c r="P204" s="347"/>
      <c r="Q204" s="347"/>
      <c r="R204" s="347"/>
      <c r="S204" s="347"/>
      <c r="T204" s="347"/>
      <c r="U204" s="347"/>
      <c r="V204" s="347"/>
      <c r="W204" s="347"/>
      <c r="X204" s="347"/>
      <c r="Y204" s="347"/>
      <c r="Z204" s="347"/>
      <c r="AA204" s="347"/>
      <c r="AB204" s="347"/>
      <c r="AC204" s="347"/>
      <c r="AD204" s="347"/>
      <c r="AE204" s="347"/>
      <c r="AF204" s="347"/>
      <c r="AG204" s="347"/>
    </row>
    <row r="205">
      <c r="A205" s="347"/>
      <c r="B205" s="347"/>
      <c r="C205" s="347"/>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c r="AA205" s="347"/>
      <c r="AB205" s="347"/>
      <c r="AC205" s="347"/>
      <c r="AD205" s="347"/>
      <c r="AE205" s="347"/>
      <c r="AF205" s="347"/>
      <c r="AG205" s="347"/>
    </row>
    <row r="206">
      <c r="A206" s="347"/>
      <c r="B206" s="347"/>
      <c r="C206" s="347"/>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row>
    <row r="207">
      <c r="A207" s="347"/>
      <c r="B207" s="347"/>
      <c r="C207" s="347"/>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c r="AA207" s="347"/>
      <c r="AB207" s="347"/>
      <c r="AC207" s="347"/>
      <c r="AD207" s="347"/>
      <c r="AE207" s="347"/>
      <c r="AF207" s="347"/>
      <c r="AG207" s="347"/>
    </row>
    <row r="208">
      <c r="A208" s="347"/>
      <c r="B208" s="347"/>
      <c r="C208" s="347"/>
      <c r="D208" s="347"/>
      <c r="E208" s="347"/>
      <c r="F208" s="347"/>
      <c r="G208" s="347"/>
      <c r="H208" s="347"/>
      <c r="I208" s="347"/>
      <c r="J208" s="347"/>
      <c r="K208" s="347"/>
      <c r="L208" s="347"/>
      <c r="M208" s="347"/>
      <c r="N208" s="347"/>
      <c r="O208" s="347"/>
      <c r="P208" s="347"/>
      <c r="Q208" s="347"/>
      <c r="R208" s="347"/>
      <c r="S208" s="347"/>
      <c r="T208" s="347"/>
      <c r="U208" s="347"/>
      <c r="V208" s="347"/>
      <c r="W208" s="347"/>
      <c r="X208" s="347"/>
      <c r="Y208" s="347"/>
      <c r="Z208" s="347"/>
      <c r="AA208" s="347"/>
      <c r="AB208" s="347"/>
      <c r="AC208" s="347"/>
      <c r="AD208" s="347"/>
      <c r="AE208" s="347"/>
      <c r="AF208" s="347"/>
      <c r="AG208" s="347"/>
    </row>
    <row r="209">
      <c r="A209" s="347"/>
      <c r="B209" s="347"/>
      <c r="C209" s="347"/>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c r="AA209" s="347"/>
      <c r="AB209" s="347"/>
      <c r="AC209" s="347"/>
      <c r="AD209" s="347"/>
      <c r="AE209" s="347"/>
      <c r="AF209" s="347"/>
      <c r="AG209" s="347"/>
    </row>
    <row r="210">
      <c r="A210" s="347"/>
      <c r="B210" s="347"/>
      <c r="C210" s="347"/>
      <c r="D210" s="347"/>
      <c r="E210" s="347"/>
      <c r="F210" s="347"/>
      <c r="G210" s="347"/>
      <c r="H210" s="347"/>
      <c r="I210" s="347"/>
      <c r="J210" s="347"/>
      <c r="K210" s="347"/>
      <c r="L210" s="347"/>
      <c r="M210" s="347"/>
      <c r="N210" s="347"/>
      <c r="O210" s="347"/>
      <c r="P210" s="347"/>
      <c r="Q210" s="347"/>
      <c r="R210" s="347"/>
      <c r="S210" s="347"/>
      <c r="T210" s="347"/>
      <c r="U210" s="347"/>
      <c r="V210" s="347"/>
      <c r="W210" s="347"/>
      <c r="X210" s="347"/>
      <c r="Y210" s="347"/>
      <c r="Z210" s="347"/>
      <c r="AA210" s="347"/>
      <c r="AB210" s="347"/>
      <c r="AC210" s="347"/>
      <c r="AD210" s="347"/>
      <c r="AE210" s="347"/>
      <c r="AF210" s="347"/>
      <c r="AG210" s="347"/>
    </row>
    <row r="211">
      <c r="A211" s="347"/>
      <c r="B211" s="347"/>
      <c r="C211" s="347"/>
      <c r="D211" s="347"/>
      <c r="E211" s="347"/>
      <c r="F211" s="347"/>
      <c r="G211" s="347"/>
      <c r="H211" s="347"/>
      <c r="I211" s="347"/>
      <c r="J211" s="347"/>
      <c r="K211" s="347"/>
      <c r="L211" s="347"/>
      <c r="M211" s="347"/>
      <c r="N211" s="347"/>
      <c r="O211" s="347"/>
      <c r="P211" s="347"/>
      <c r="Q211" s="347"/>
      <c r="R211" s="347"/>
      <c r="S211" s="347"/>
      <c r="T211" s="347"/>
      <c r="U211" s="347"/>
      <c r="V211" s="347"/>
      <c r="W211" s="347"/>
      <c r="X211" s="347"/>
      <c r="Y211" s="347"/>
      <c r="Z211" s="347"/>
      <c r="AA211" s="347"/>
      <c r="AB211" s="347"/>
      <c r="AC211" s="347"/>
      <c r="AD211" s="347"/>
      <c r="AE211" s="347"/>
      <c r="AF211" s="347"/>
      <c r="AG211" s="347"/>
    </row>
    <row r="212">
      <c r="A212" s="347"/>
      <c r="B212" s="347"/>
      <c r="C212" s="347"/>
      <c r="D212" s="347"/>
      <c r="E212" s="347"/>
      <c r="F212" s="347"/>
      <c r="G212" s="347"/>
      <c r="H212" s="347"/>
      <c r="I212" s="347"/>
      <c r="J212" s="347"/>
      <c r="K212" s="347"/>
      <c r="L212" s="347"/>
      <c r="M212" s="347"/>
      <c r="N212" s="347"/>
      <c r="O212" s="347"/>
      <c r="P212" s="347"/>
      <c r="Q212" s="347"/>
      <c r="R212" s="347"/>
      <c r="S212" s="347"/>
      <c r="T212" s="347"/>
      <c r="U212" s="347"/>
      <c r="V212" s="347"/>
      <c r="W212" s="347"/>
      <c r="X212" s="347"/>
      <c r="Y212" s="347"/>
      <c r="Z212" s="347"/>
      <c r="AA212" s="347"/>
      <c r="AB212" s="347"/>
      <c r="AC212" s="347"/>
      <c r="AD212" s="347"/>
      <c r="AE212" s="347"/>
      <c r="AF212" s="347"/>
      <c r="AG212" s="347"/>
    </row>
    <row r="213">
      <c r="A213" s="347"/>
      <c r="B213" s="347"/>
      <c r="C213" s="347"/>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c r="AA213" s="347"/>
      <c r="AB213" s="347"/>
      <c r="AC213" s="347"/>
      <c r="AD213" s="347"/>
      <c r="AE213" s="347"/>
      <c r="AF213" s="347"/>
      <c r="AG213" s="347"/>
    </row>
    <row r="214">
      <c r="A214" s="347"/>
      <c r="B214" s="347"/>
      <c r="C214" s="347"/>
      <c r="D214" s="347"/>
      <c r="E214" s="347"/>
      <c r="F214" s="347"/>
      <c r="G214" s="347"/>
      <c r="H214" s="347"/>
      <c r="I214" s="347"/>
      <c r="J214" s="347"/>
      <c r="K214" s="347"/>
      <c r="L214" s="347"/>
      <c r="M214" s="347"/>
      <c r="N214" s="347"/>
      <c r="O214" s="347"/>
      <c r="P214" s="347"/>
      <c r="Q214" s="347"/>
      <c r="R214" s="347"/>
      <c r="S214" s="347"/>
      <c r="T214" s="347"/>
      <c r="U214" s="347"/>
      <c r="V214" s="347"/>
      <c r="W214" s="347"/>
      <c r="X214" s="347"/>
      <c r="Y214" s="347"/>
      <c r="Z214" s="347"/>
      <c r="AA214" s="347"/>
      <c r="AB214" s="347"/>
      <c r="AC214" s="347"/>
      <c r="AD214" s="347"/>
      <c r="AE214" s="347"/>
      <c r="AF214" s="347"/>
      <c r="AG214" s="347"/>
    </row>
    <row r="215">
      <c r="A215" s="347"/>
      <c r="B215" s="347"/>
      <c r="C215" s="347"/>
      <c r="D215" s="347"/>
      <c r="E215" s="347"/>
      <c r="F215" s="347"/>
      <c r="G215" s="347"/>
      <c r="H215" s="347"/>
      <c r="I215" s="347"/>
      <c r="J215" s="347"/>
      <c r="K215" s="347"/>
      <c r="L215" s="347"/>
      <c r="M215" s="347"/>
      <c r="N215" s="347"/>
      <c r="O215" s="347"/>
      <c r="P215" s="347"/>
      <c r="Q215" s="347"/>
      <c r="R215" s="347"/>
      <c r="S215" s="347"/>
      <c r="T215" s="347"/>
      <c r="U215" s="347"/>
      <c r="V215" s="347"/>
      <c r="W215" s="347"/>
      <c r="X215" s="347"/>
      <c r="Y215" s="347"/>
      <c r="Z215" s="347"/>
      <c r="AA215" s="347"/>
      <c r="AB215" s="347"/>
      <c r="AC215" s="347"/>
      <c r="AD215" s="347"/>
      <c r="AE215" s="347"/>
      <c r="AF215" s="347"/>
      <c r="AG215" s="347"/>
    </row>
    <row r="216">
      <c r="A216" s="347"/>
      <c r="B216" s="347"/>
      <c r="C216" s="347"/>
      <c r="D216" s="347"/>
      <c r="E216" s="347"/>
      <c r="F216" s="347"/>
      <c r="G216" s="347"/>
      <c r="H216" s="347"/>
      <c r="I216" s="347"/>
      <c r="J216" s="347"/>
      <c r="K216" s="347"/>
      <c r="L216" s="347"/>
      <c r="M216" s="347"/>
      <c r="N216" s="347"/>
      <c r="O216" s="347"/>
      <c r="P216" s="347"/>
      <c r="Q216" s="347"/>
      <c r="R216" s="347"/>
      <c r="S216" s="347"/>
      <c r="T216" s="347"/>
      <c r="U216" s="347"/>
      <c r="V216" s="347"/>
      <c r="W216" s="347"/>
      <c r="X216" s="347"/>
      <c r="Y216" s="347"/>
      <c r="Z216" s="347"/>
      <c r="AA216" s="347"/>
      <c r="AB216" s="347"/>
      <c r="AC216" s="347"/>
      <c r="AD216" s="347"/>
      <c r="AE216" s="347"/>
      <c r="AF216" s="347"/>
      <c r="AG216" s="347"/>
    </row>
    <row r="217">
      <c r="A217" s="347"/>
      <c r="B217" s="347"/>
      <c r="C217" s="347"/>
      <c r="D217" s="347"/>
      <c r="E217" s="347"/>
      <c r="F217" s="347"/>
      <c r="G217" s="347"/>
      <c r="H217" s="347"/>
      <c r="I217" s="347"/>
      <c r="J217" s="347"/>
      <c r="K217" s="347"/>
      <c r="L217" s="347"/>
      <c r="M217" s="347"/>
      <c r="N217" s="347"/>
      <c r="O217" s="347"/>
      <c r="P217" s="347"/>
      <c r="Q217" s="347"/>
      <c r="R217" s="347"/>
      <c r="S217" s="347"/>
      <c r="T217" s="347"/>
      <c r="U217" s="347"/>
      <c r="V217" s="347"/>
      <c r="W217" s="347"/>
      <c r="X217" s="347"/>
      <c r="Y217" s="347"/>
      <c r="Z217" s="347"/>
      <c r="AA217" s="347"/>
      <c r="AB217" s="347"/>
      <c r="AC217" s="347"/>
      <c r="AD217" s="347"/>
      <c r="AE217" s="347"/>
      <c r="AF217" s="347"/>
      <c r="AG217" s="347"/>
    </row>
    <row r="218">
      <c r="A218" s="347"/>
      <c r="B218" s="347"/>
      <c r="C218" s="347"/>
      <c r="D218" s="347"/>
      <c r="E218" s="347"/>
      <c r="F218" s="347"/>
      <c r="G218" s="347"/>
      <c r="H218" s="347"/>
      <c r="I218" s="347"/>
      <c r="J218" s="347"/>
      <c r="K218" s="347"/>
      <c r="L218" s="347"/>
      <c r="M218" s="347"/>
      <c r="N218" s="347"/>
      <c r="O218" s="347"/>
      <c r="P218" s="347"/>
      <c r="Q218" s="347"/>
      <c r="R218" s="347"/>
      <c r="S218" s="347"/>
      <c r="T218" s="347"/>
      <c r="U218" s="347"/>
      <c r="V218" s="347"/>
      <c r="W218" s="347"/>
      <c r="X218" s="347"/>
      <c r="Y218" s="347"/>
      <c r="Z218" s="347"/>
      <c r="AA218" s="347"/>
      <c r="AB218" s="347"/>
      <c r="AC218" s="347"/>
      <c r="AD218" s="347"/>
      <c r="AE218" s="347"/>
      <c r="AF218" s="347"/>
      <c r="AG218" s="347"/>
    </row>
    <row r="219">
      <c r="A219" s="347"/>
      <c r="B219" s="347"/>
      <c r="C219" s="347"/>
      <c r="D219" s="347"/>
      <c r="E219" s="347"/>
      <c r="F219" s="347"/>
      <c r="G219" s="347"/>
      <c r="H219" s="347"/>
      <c r="I219" s="347"/>
      <c r="J219" s="347"/>
      <c r="K219" s="347"/>
      <c r="L219" s="347"/>
      <c r="M219" s="347"/>
      <c r="N219" s="347"/>
      <c r="O219" s="347"/>
      <c r="P219" s="347"/>
      <c r="Q219" s="347"/>
      <c r="R219" s="347"/>
      <c r="S219" s="347"/>
      <c r="T219" s="347"/>
      <c r="U219" s="347"/>
      <c r="V219" s="347"/>
      <c r="W219" s="347"/>
      <c r="X219" s="347"/>
      <c r="Y219" s="347"/>
      <c r="Z219" s="347"/>
      <c r="AA219" s="347"/>
      <c r="AB219" s="347"/>
      <c r="AC219" s="347"/>
      <c r="AD219" s="347"/>
      <c r="AE219" s="347"/>
      <c r="AF219" s="347"/>
      <c r="AG219" s="347"/>
    </row>
    <row r="220">
      <c r="A220" s="347"/>
      <c r="B220" s="347"/>
      <c r="C220" s="347"/>
      <c r="D220" s="347"/>
      <c r="E220" s="347"/>
      <c r="F220" s="347"/>
      <c r="G220" s="347"/>
      <c r="H220" s="347"/>
      <c r="I220" s="347"/>
      <c r="J220" s="347"/>
      <c r="K220" s="347"/>
      <c r="L220" s="347"/>
      <c r="M220" s="347"/>
      <c r="N220" s="347"/>
      <c r="O220" s="347"/>
      <c r="P220" s="347"/>
      <c r="Q220" s="347"/>
      <c r="R220" s="347"/>
      <c r="S220" s="347"/>
      <c r="T220" s="347"/>
      <c r="U220" s="347"/>
      <c r="V220" s="347"/>
      <c r="W220" s="347"/>
      <c r="X220" s="347"/>
      <c r="Y220" s="347"/>
      <c r="Z220" s="347"/>
      <c r="AA220" s="347"/>
      <c r="AB220" s="347"/>
      <c r="AC220" s="347"/>
      <c r="AD220" s="347"/>
      <c r="AE220" s="347"/>
      <c r="AF220" s="347"/>
      <c r="AG220" s="347"/>
    </row>
    <row r="221">
      <c r="A221" s="347"/>
      <c r="B221" s="347"/>
      <c r="C221" s="347"/>
      <c r="D221" s="347"/>
      <c r="E221" s="347"/>
      <c r="F221" s="347"/>
      <c r="G221" s="347"/>
      <c r="H221" s="347"/>
      <c r="I221" s="347"/>
      <c r="J221" s="347"/>
      <c r="K221" s="347"/>
      <c r="L221" s="347"/>
      <c r="M221" s="347"/>
      <c r="N221" s="347"/>
      <c r="O221" s="347"/>
      <c r="P221" s="347"/>
      <c r="Q221" s="347"/>
      <c r="R221" s="347"/>
      <c r="S221" s="347"/>
      <c r="T221" s="347"/>
      <c r="U221" s="347"/>
      <c r="V221" s="347"/>
      <c r="W221" s="347"/>
      <c r="X221" s="347"/>
      <c r="Y221" s="347"/>
      <c r="Z221" s="347"/>
      <c r="AA221" s="347"/>
      <c r="AB221" s="347"/>
      <c r="AC221" s="347"/>
      <c r="AD221" s="347"/>
      <c r="AE221" s="347"/>
      <c r="AF221" s="347"/>
      <c r="AG221" s="347"/>
    </row>
    <row r="222">
      <c r="A222" s="347"/>
      <c r="B222" s="347"/>
      <c r="C222" s="347"/>
      <c r="D222" s="347"/>
      <c r="E222" s="347"/>
      <c r="F222" s="347"/>
      <c r="G222" s="347"/>
      <c r="H222" s="347"/>
      <c r="I222" s="347"/>
      <c r="J222" s="347"/>
      <c r="K222" s="347"/>
      <c r="L222" s="347"/>
      <c r="M222" s="347"/>
      <c r="N222" s="347"/>
      <c r="O222" s="347"/>
      <c r="P222" s="347"/>
      <c r="Q222" s="347"/>
      <c r="R222" s="347"/>
      <c r="S222" s="347"/>
      <c r="T222" s="347"/>
      <c r="U222" s="347"/>
      <c r="V222" s="347"/>
      <c r="W222" s="347"/>
      <c r="X222" s="347"/>
      <c r="Y222" s="347"/>
      <c r="Z222" s="347"/>
      <c r="AA222" s="347"/>
      <c r="AB222" s="347"/>
      <c r="AC222" s="347"/>
      <c r="AD222" s="347"/>
      <c r="AE222" s="347"/>
      <c r="AF222" s="347"/>
      <c r="AG222" s="347"/>
    </row>
    <row r="223">
      <c r="A223" s="347"/>
      <c r="B223" s="347"/>
      <c r="C223" s="347"/>
      <c r="D223" s="347"/>
      <c r="E223" s="347"/>
      <c r="F223" s="347"/>
      <c r="G223" s="347"/>
      <c r="H223" s="347"/>
      <c r="I223" s="347"/>
      <c r="J223" s="347"/>
      <c r="K223" s="347"/>
      <c r="L223" s="347"/>
      <c r="M223" s="347"/>
      <c r="N223" s="347"/>
      <c r="O223" s="347"/>
      <c r="P223" s="347"/>
      <c r="Q223" s="347"/>
      <c r="R223" s="347"/>
      <c r="S223" s="347"/>
      <c r="T223" s="347"/>
      <c r="U223" s="347"/>
      <c r="V223" s="347"/>
      <c r="W223" s="347"/>
      <c r="X223" s="347"/>
      <c r="Y223" s="347"/>
      <c r="Z223" s="347"/>
      <c r="AA223" s="347"/>
      <c r="AB223" s="347"/>
      <c r="AC223" s="347"/>
      <c r="AD223" s="347"/>
      <c r="AE223" s="347"/>
      <c r="AF223" s="347"/>
      <c r="AG223" s="347"/>
    </row>
    <row r="224">
      <c r="A224" s="347"/>
      <c r="B224" s="347"/>
      <c r="C224" s="347"/>
      <c r="D224" s="347"/>
      <c r="E224" s="347"/>
      <c r="F224" s="347"/>
      <c r="G224" s="347"/>
      <c r="H224" s="347"/>
      <c r="I224" s="347"/>
      <c r="J224" s="347"/>
      <c r="K224" s="347"/>
      <c r="L224" s="347"/>
      <c r="M224" s="347"/>
      <c r="N224" s="347"/>
      <c r="O224" s="347"/>
      <c r="P224" s="347"/>
      <c r="Q224" s="347"/>
      <c r="R224" s="347"/>
      <c r="S224" s="347"/>
      <c r="T224" s="347"/>
      <c r="U224" s="347"/>
      <c r="V224" s="347"/>
      <c r="W224" s="347"/>
      <c r="X224" s="347"/>
      <c r="Y224" s="347"/>
      <c r="Z224" s="347"/>
      <c r="AA224" s="347"/>
      <c r="AB224" s="347"/>
      <c r="AC224" s="347"/>
      <c r="AD224" s="347"/>
      <c r="AE224" s="347"/>
      <c r="AF224" s="347"/>
      <c r="AG224" s="347"/>
    </row>
    <row r="225">
      <c r="A225" s="347"/>
      <c r="B225" s="347"/>
      <c r="C225" s="347"/>
      <c r="D225" s="347"/>
      <c r="E225" s="347"/>
      <c r="F225" s="347"/>
      <c r="G225" s="347"/>
      <c r="H225" s="347"/>
      <c r="I225" s="347"/>
      <c r="J225" s="347"/>
      <c r="K225" s="347"/>
      <c r="L225" s="347"/>
      <c r="M225" s="347"/>
      <c r="N225" s="347"/>
      <c r="O225" s="347"/>
      <c r="P225" s="347"/>
      <c r="Q225" s="347"/>
      <c r="R225" s="347"/>
      <c r="S225" s="347"/>
      <c r="T225" s="347"/>
      <c r="U225" s="347"/>
      <c r="V225" s="347"/>
      <c r="W225" s="347"/>
      <c r="X225" s="347"/>
      <c r="Y225" s="347"/>
      <c r="Z225" s="347"/>
      <c r="AA225" s="347"/>
      <c r="AB225" s="347"/>
      <c r="AC225" s="347"/>
      <c r="AD225" s="347"/>
      <c r="AE225" s="347"/>
      <c r="AF225" s="347"/>
      <c r="AG225" s="347"/>
    </row>
    <row r="226">
      <c r="A226" s="347"/>
      <c r="B226" s="347"/>
      <c r="C226" s="347"/>
      <c r="D226" s="347"/>
      <c r="E226" s="347"/>
      <c r="F226" s="347"/>
      <c r="G226" s="347"/>
      <c r="H226" s="347"/>
      <c r="I226" s="347"/>
      <c r="J226" s="347"/>
      <c r="K226" s="347"/>
      <c r="L226" s="347"/>
      <c r="M226" s="347"/>
      <c r="N226" s="347"/>
      <c r="O226" s="347"/>
      <c r="P226" s="347"/>
      <c r="Q226" s="347"/>
      <c r="R226" s="347"/>
      <c r="S226" s="347"/>
      <c r="T226" s="347"/>
      <c r="U226" s="347"/>
      <c r="V226" s="347"/>
      <c r="W226" s="347"/>
      <c r="X226" s="347"/>
      <c r="Y226" s="347"/>
      <c r="Z226" s="347"/>
      <c r="AA226" s="347"/>
      <c r="AB226" s="347"/>
      <c r="AC226" s="347"/>
      <c r="AD226" s="347"/>
      <c r="AE226" s="347"/>
      <c r="AF226" s="347"/>
      <c r="AG226" s="347"/>
    </row>
    <row r="227">
      <c r="A227" s="347"/>
      <c r="B227" s="347"/>
      <c r="C227" s="347"/>
      <c r="D227" s="347"/>
      <c r="E227" s="347"/>
      <c r="F227" s="347"/>
      <c r="G227" s="347"/>
      <c r="H227" s="347"/>
      <c r="I227" s="347"/>
      <c r="J227" s="347"/>
      <c r="K227" s="347"/>
      <c r="L227" s="347"/>
      <c r="M227" s="347"/>
      <c r="N227" s="347"/>
      <c r="O227" s="347"/>
      <c r="P227" s="347"/>
      <c r="Q227" s="347"/>
      <c r="R227" s="347"/>
      <c r="S227" s="347"/>
      <c r="T227" s="347"/>
      <c r="U227" s="347"/>
      <c r="V227" s="347"/>
      <c r="W227" s="347"/>
      <c r="X227" s="347"/>
      <c r="Y227" s="347"/>
      <c r="Z227" s="347"/>
      <c r="AA227" s="347"/>
      <c r="AB227" s="347"/>
      <c r="AC227" s="347"/>
      <c r="AD227" s="347"/>
      <c r="AE227" s="347"/>
      <c r="AF227" s="347"/>
      <c r="AG227" s="347"/>
    </row>
    <row r="228">
      <c r="A228" s="347"/>
      <c r="B228" s="347"/>
      <c r="C228" s="347"/>
      <c r="D228" s="347"/>
      <c r="E228" s="347"/>
      <c r="F228" s="347"/>
      <c r="G228" s="347"/>
      <c r="H228" s="347"/>
      <c r="I228" s="347"/>
      <c r="J228" s="347"/>
      <c r="K228" s="347"/>
      <c r="L228" s="347"/>
      <c r="M228" s="347"/>
      <c r="N228" s="347"/>
      <c r="O228" s="347"/>
      <c r="P228" s="347"/>
      <c r="Q228" s="347"/>
      <c r="R228" s="347"/>
      <c r="S228" s="347"/>
      <c r="T228" s="347"/>
      <c r="U228" s="347"/>
      <c r="V228" s="347"/>
      <c r="W228" s="347"/>
      <c r="X228" s="347"/>
      <c r="Y228" s="347"/>
      <c r="Z228" s="347"/>
      <c r="AA228" s="347"/>
      <c r="AB228" s="347"/>
      <c r="AC228" s="347"/>
      <c r="AD228" s="347"/>
      <c r="AE228" s="347"/>
      <c r="AF228" s="347"/>
      <c r="AG228" s="347"/>
    </row>
    <row r="229">
      <c r="A229" s="347"/>
      <c r="B229" s="347"/>
      <c r="C229" s="347"/>
      <c r="D229" s="347"/>
      <c r="E229" s="347"/>
      <c r="F229" s="347"/>
      <c r="G229" s="347"/>
      <c r="H229" s="347"/>
      <c r="I229" s="347"/>
      <c r="J229" s="347"/>
      <c r="K229" s="347"/>
      <c r="L229" s="347"/>
      <c r="M229" s="347"/>
      <c r="N229" s="347"/>
      <c r="O229" s="347"/>
      <c r="P229" s="347"/>
      <c r="Q229" s="347"/>
      <c r="R229" s="347"/>
      <c r="S229" s="347"/>
      <c r="T229" s="347"/>
      <c r="U229" s="347"/>
      <c r="V229" s="347"/>
      <c r="W229" s="347"/>
      <c r="X229" s="347"/>
      <c r="Y229" s="347"/>
      <c r="Z229" s="347"/>
      <c r="AA229" s="347"/>
      <c r="AB229" s="347"/>
      <c r="AC229" s="347"/>
      <c r="AD229" s="347"/>
      <c r="AE229" s="347"/>
      <c r="AF229" s="347"/>
      <c r="AG229" s="347"/>
    </row>
    <row r="230">
      <c r="A230" s="347"/>
      <c r="B230" s="347"/>
      <c r="C230" s="347"/>
      <c r="D230" s="347"/>
      <c r="E230" s="347"/>
      <c r="F230" s="347"/>
      <c r="G230" s="347"/>
      <c r="H230" s="347"/>
      <c r="I230" s="347"/>
      <c r="J230" s="347"/>
      <c r="K230" s="347"/>
      <c r="L230" s="347"/>
      <c r="M230" s="347"/>
      <c r="N230" s="347"/>
      <c r="O230" s="347"/>
      <c r="P230" s="347"/>
      <c r="Q230" s="347"/>
      <c r="R230" s="347"/>
      <c r="S230" s="347"/>
      <c r="T230" s="347"/>
      <c r="U230" s="347"/>
      <c r="V230" s="347"/>
      <c r="W230" s="347"/>
      <c r="X230" s="347"/>
      <c r="Y230" s="347"/>
      <c r="Z230" s="347"/>
      <c r="AA230" s="347"/>
      <c r="AB230" s="347"/>
      <c r="AC230" s="347"/>
      <c r="AD230" s="347"/>
      <c r="AE230" s="347"/>
      <c r="AF230" s="347"/>
      <c r="AG230" s="347"/>
    </row>
    <row r="231">
      <c r="A231" s="347"/>
      <c r="B231" s="347"/>
      <c r="C231" s="347"/>
      <c r="D231" s="347"/>
      <c r="E231" s="347"/>
      <c r="F231" s="347"/>
      <c r="G231" s="347"/>
      <c r="H231" s="347"/>
      <c r="I231" s="347"/>
      <c r="J231" s="347"/>
      <c r="K231" s="347"/>
      <c r="L231" s="347"/>
      <c r="M231" s="347"/>
      <c r="N231" s="347"/>
      <c r="O231" s="347"/>
      <c r="P231" s="347"/>
      <c r="Q231" s="347"/>
      <c r="R231" s="347"/>
      <c r="S231" s="347"/>
      <c r="T231" s="347"/>
      <c r="U231" s="347"/>
      <c r="V231" s="347"/>
      <c r="W231" s="347"/>
      <c r="X231" s="347"/>
      <c r="Y231" s="347"/>
      <c r="Z231" s="347"/>
      <c r="AA231" s="347"/>
      <c r="AB231" s="347"/>
      <c r="AC231" s="347"/>
      <c r="AD231" s="347"/>
      <c r="AE231" s="347"/>
      <c r="AF231" s="347"/>
      <c r="AG231" s="347"/>
    </row>
    <row r="232">
      <c r="A232" s="347"/>
      <c r="B232" s="347"/>
      <c r="C232" s="347"/>
      <c r="D232" s="347"/>
      <c r="E232" s="347"/>
      <c r="F232" s="347"/>
      <c r="G232" s="347"/>
      <c r="H232" s="347"/>
      <c r="I232" s="347"/>
      <c r="J232" s="347"/>
      <c r="K232" s="347"/>
      <c r="L232" s="347"/>
      <c r="M232" s="347"/>
      <c r="N232" s="347"/>
      <c r="O232" s="347"/>
      <c r="P232" s="347"/>
      <c r="Q232" s="347"/>
      <c r="R232" s="347"/>
      <c r="S232" s="347"/>
      <c r="T232" s="347"/>
      <c r="U232" s="347"/>
      <c r="V232" s="347"/>
      <c r="W232" s="347"/>
      <c r="X232" s="347"/>
      <c r="Y232" s="347"/>
      <c r="Z232" s="347"/>
      <c r="AA232" s="347"/>
      <c r="AB232" s="347"/>
      <c r="AC232" s="347"/>
      <c r="AD232" s="347"/>
      <c r="AE232" s="347"/>
      <c r="AF232" s="347"/>
      <c r="AG232" s="347"/>
    </row>
    <row r="233">
      <c r="A233" s="347"/>
      <c r="B233" s="347"/>
      <c r="C233" s="347"/>
      <c r="D233" s="347"/>
      <c r="E233" s="347"/>
      <c r="F233" s="347"/>
      <c r="G233" s="347"/>
      <c r="H233" s="347"/>
      <c r="I233" s="347"/>
      <c r="J233" s="347"/>
      <c r="K233" s="347"/>
      <c r="L233" s="347"/>
      <c r="M233" s="347"/>
      <c r="N233" s="347"/>
      <c r="O233" s="347"/>
      <c r="P233" s="347"/>
      <c r="Q233" s="347"/>
      <c r="R233" s="347"/>
      <c r="S233" s="347"/>
      <c r="T233" s="347"/>
      <c r="U233" s="347"/>
      <c r="V233" s="347"/>
      <c r="W233" s="347"/>
      <c r="X233" s="347"/>
      <c r="Y233" s="347"/>
      <c r="Z233" s="347"/>
      <c r="AA233" s="347"/>
      <c r="AB233" s="347"/>
      <c r="AC233" s="347"/>
      <c r="AD233" s="347"/>
      <c r="AE233" s="347"/>
      <c r="AF233" s="347"/>
      <c r="AG233" s="347"/>
    </row>
    <row r="234">
      <c r="A234" s="347"/>
      <c r="B234" s="347"/>
      <c r="C234" s="347"/>
      <c r="D234" s="347"/>
      <c r="E234" s="347"/>
      <c r="F234" s="347"/>
      <c r="G234" s="347"/>
      <c r="H234" s="347"/>
      <c r="I234" s="347"/>
      <c r="J234" s="347"/>
      <c r="K234" s="347"/>
      <c r="L234" s="347"/>
      <c r="M234" s="347"/>
      <c r="N234" s="347"/>
      <c r="O234" s="347"/>
      <c r="P234" s="347"/>
      <c r="Q234" s="347"/>
      <c r="R234" s="347"/>
      <c r="S234" s="347"/>
      <c r="T234" s="347"/>
      <c r="U234" s="347"/>
      <c r="V234" s="347"/>
      <c r="W234" s="347"/>
      <c r="X234" s="347"/>
      <c r="Y234" s="347"/>
      <c r="Z234" s="347"/>
      <c r="AA234" s="347"/>
      <c r="AB234" s="347"/>
      <c r="AC234" s="347"/>
      <c r="AD234" s="347"/>
      <c r="AE234" s="347"/>
      <c r="AF234" s="347"/>
      <c r="AG234" s="347"/>
    </row>
    <row r="235">
      <c r="A235" s="347"/>
      <c r="B235" s="347"/>
      <c r="C235" s="347"/>
      <c r="D235" s="347"/>
      <c r="E235" s="347"/>
      <c r="F235" s="347"/>
      <c r="G235" s="347"/>
      <c r="H235" s="347"/>
      <c r="I235" s="347"/>
      <c r="J235" s="347"/>
      <c r="K235" s="347"/>
      <c r="L235" s="347"/>
      <c r="M235" s="347"/>
      <c r="N235" s="347"/>
      <c r="O235" s="347"/>
      <c r="P235" s="347"/>
      <c r="Q235" s="347"/>
      <c r="R235" s="347"/>
      <c r="S235" s="347"/>
      <c r="T235" s="347"/>
      <c r="U235" s="347"/>
      <c r="V235" s="347"/>
      <c r="W235" s="347"/>
      <c r="X235" s="347"/>
      <c r="Y235" s="347"/>
      <c r="Z235" s="347"/>
      <c r="AA235" s="347"/>
      <c r="AB235" s="347"/>
      <c r="AC235" s="347"/>
      <c r="AD235" s="347"/>
      <c r="AE235" s="347"/>
      <c r="AF235" s="347"/>
      <c r="AG235" s="347"/>
    </row>
    <row r="236">
      <c r="A236" s="347"/>
      <c r="B236" s="347"/>
      <c r="C236" s="347"/>
      <c r="D236" s="347"/>
      <c r="E236" s="347"/>
      <c r="F236" s="347"/>
      <c r="G236" s="347"/>
      <c r="H236" s="347"/>
      <c r="I236" s="347"/>
      <c r="J236" s="347"/>
      <c r="K236" s="347"/>
      <c r="L236" s="347"/>
      <c r="M236" s="347"/>
      <c r="N236" s="347"/>
      <c r="O236" s="347"/>
      <c r="P236" s="347"/>
      <c r="Q236" s="347"/>
      <c r="R236" s="347"/>
      <c r="S236" s="347"/>
      <c r="T236" s="347"/>
      <c r="U236" s="347"/>
      <c r="V236" s="347"/>
      <c r="W236" s="347"/>
      <c r="X236" s="347"/>
      <c r="Y236" s="347"/>
      <c r="Z236" s="347"/>
      <c r="AA236" s="347"/>
      <c r="AB236" s="347"/>
      <c r="AC236" s="347"/>
      <c r="AD236" s="347"/>
      <c r="AE236" s="347"/>
      <c r="AF236" s="347"/>
      <c r="AG236" s="347"/>
    </row>
    <row r="237">
      <c r="A237" s="347"/>
      <c r="B237" s="347"/>
      <c r="C237" s="347"/>
      <c r="D237" s="347"/>
      <c r="E237" s="347"/>
      <c r="F237" s="347"/>
      <c r="G237" s="347"/>
      <c r="H237" s="347"/>
      <c r="I237" s="347"/>
      <c r="J237" s="347"/>
      <c r="K237" s="347"/>
      <c r="L237" s="347"/>
      <c r="M237" s="347"/>
      <c r="N237" s="347"/>
      <c r="O237" s="347"/>
      <c r="P237" s="347"/>
      <c r="Q237" s="347"/>
      <c r="R237" s="347"/>
      <c r="S237" s="347"/>
      <c r="T237" s="347"/>
      <c r="U237" s="347"/>
      <c r="V237" s="347"/>
      <c r="W237" s="347"/>
      <c r="X237" s="347"/>
      <c r="Y237" s="347"/>
      <c r="Z237" s="347"/>
      <c r="AA237" s="347"/>
      <c r="AB237" s="347"/>
      <c r="AC237" s="347"/>
      <c r="AD237" s="347"/>
      <c r="AE237" s="347"/>
      <c r="AF237" s="347"/>
      <c r="AG237" s="347"/>
    </row>
    <row r="238">
      <c r="A238" s="347"/>
      <c r="B238" s="347"/>
      <c r="C238" s="347"/>
      <c r="D238" s="347"/>
      <c r="E238" s="347"/>
      <c r="F238" s="347"/>
      <c r="G238" s="347"/>
      <c r="H238" s="347"/>
      <c r="I238" s="347"/>
      <c r="J238" s="347"/>
      <c r="K238" s="347"/>
      <c r="L238" s="347"/>
      <c r="M238" s="347"/>
      <c r="N238" s="347"/>
      <c r="O238" s="347"/>
      <c r="P238" s="347"/>
      <c r="Q238" s="347"/>
      <c r="R238" s="347"/>
      <c r="S238" s="347"/>
      <c r="T238" s="347"/>
      <c r="U238" s="347"/>
      <c r="V238" s="347"/>
      <c r="W238" s="347"/>
      <c r="X238" s="347"/>
      <c r="Y238" s="347"/>
      <c r="Z238" s="347"/>
      <c r="AA238" s="347"/>
      <c r="AB238" s="347"/>
      <c r="AC238" s="347"/>
      <c r="AD238" s="347"/>
      <c r="AE238" s="347"/>
      <c r="AF238" s="347"/>
      <c r="AG238" s="347"/>
    </row>
    <row r="239">
      <c r="A239" s="347"/>
      <c r="B239" s="347"/>
      <c r="C239" s="347"/>
      <c r="D239" s="347"/>
      <c r="E239" s="347"/>
      <c r="F239" s="347"/>
      <c r="G239" s="347"/>
      <c r="H239" s="347"/>
      <c r="I239" s="347"/>
      <c r="J239" s="347"/>
      <c r="K239" s="347"/>
      <c r="L239" s="347"/>
      <c r="M239" s="347"/>
      <c r="N239" s="347"/>
      <c r="O239" s="347"/>
      <c r="P239" s="347"/>
      <c r="Q239" s="347"/>
      <c r="R239" s="347"/>
      <c r="S239" s="347"/>
      <c r="T239" s="347"/>
      <c r="U239" s="347"/>
      <c r="V239" s="347"/>
      <c r="W239" s="347"/>
      <c r="X239" s="347"/>
      <c r="Y239" s="347"/>
      <c r="Z239" s="347"/>
      <c r="AA239" s="347"/>
      <c r="AB239" s="347"/>
      <c r="AC239" s="347"/>
      <c r="AD239" s="347"/>
      <c r="AE239" s="347"/>
      <c r="AF239" s="347"/>
      <c r="AG239" s="347"/>
    </row>
    <row r="240">
      <c r="A240" s="347"/>
      <c r="B240" s="347"/>
      <c r="C240" s="347"/>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c r="AA240" s="347"/>
      <c r="AB240" s="347"/>
      <c r="AC240" s="347"/>
      <c r="AD240" s="347"/>
      <c r="AE240" s="347"/>
      <c r="AF240" s="347"/>
      <c r="AG240" s="347"/>
    </row>
    <row r="241">
      <c r="A241" s="347"/>
      <c r="B241" s="347"/>
      <c r="C241" s="347"/>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c r="AA241" s="347"/>
      <c r="AB241" s="347"/>
      <c r="AC241" s="347"/>
      <c r="AD241" s="347"/>
      <c r="AE241" s="347"/>
      <c r="AF241" s="347"/>
      <c r="AG241" s="347"/>
    </row>
    <row r="242">
      <c r="A242" s="347"/>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c r="AB242" s="347"/>
      <c r="AC242" s="347"/>
      <c r="AD242" s="347"/>
      <c r="AE242" s="347"/>
      <c r="AF242" s="347"/>
      <c r="AG242" s="347"/>
    </row>
    <row r="243">
      <c r="A243" s="347"/>
      <c r="B243" s="347"/>
      <c r="C243" s="347"/>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c r="AA243" s="347"/>
      <c r="AB243" s="347"/>
      <c r="AC243" s="347"/>
      <c r="AD243" s="347"/>
      <c r="AE243" s="347"/>
      <c r="AF243" s="347"/>
      <c r="AG243" s="347"/>
    </row>
    <row r="244">
      <c r="A244" s="347"/>
      <c r="B244" s="347"/>
      <c r="C244" s="347"/>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c r="AB244" s="347"/>
      <c r="AC244" s="347"/>
      <c r="AD244" s="347"/>
      <c r="AE244" s="347"/>
      <c r="AF244" s="347"/>
      <c r="AG244" s="347"/>
    </row>
    <row r="245">
      <c r="A245" s="347"/>
      <c r="B245" s="347"/>
      <c r="C245" s="347"/>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c r="AA245" s="347"/>
      <c r="AB245" s="347"/>
      <c r="AC245" s="347"/>
      <c r="AD245" s="347"/>
      <c r="AE245" s="347"/>
      <c r="AF245" s="347"/>
      <c r="AG245" s="347"/>
    </row>
    <row r="246">
      <c r="A246" s="347"/>
      <c r="B246" s="347"/>
      <c r="C246" s="347"/>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c r="AA246" s="347"/>
      <c r="AB246" s="347"/>
      <c r="AC246" s="347"/>
      <c r="AD246" s="347"/>
      <c r="AE246" s="347"/>
      <c r="AF246" s="347"/>
      <c r="AG246" s="347"/>
    </row>
    <row r="247">
      <c r="A247" s="347"/>
      <c r="B247" s="347"/>
      <c r="C247" s="347"/>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c r="AA247" s="347"/>
      <c r="AB247" s="347"/>
      <c r="AC247" s="347"/>
      <c r="AD247" s="347"/>
      <c r="AE247" s="347"/>
      <c r="AF247" s="347"/>
      <c r="AG247" s="347"/>
    </row>
    <row r="248">
      <c r="A248" s="347"/>
      <c r="B248" s="347"/>
      <c r="C248" s="347"/>
      <c r="D248" s="347"/>
      <c r="E248" s="347"/>
      <c r="F248" s="347"/>
      <c r="G248" s="347"/>
      <c r="H248" s="347"/>
      <c r="I248" s="347"/>
      <c r="J248" s="347"/>
      <c r="K248" s="347"/>
      <c r="L248" s="347"/>
      <c r="M248" s="347"/>
      <c r="N248" s="347"/>
      <c r="O248" s="347"/>
      <c r="P248" s="347"/>
      <c r="Q248" s="347"/>
      <c r="R248" s="347"/>
      <c r="S248" s="347"/>
      <c r="T248" s="347"/>
      <c r="U248" s="347"/>
      <c r="V248" s="347"/>
      <c r="W248" s="347"/>
      <c r="X248" s="347"/>
      <c r="Y248" s="347"/>
      <c r="Z248" s="347"/>
      <c r="AA248" s="347"/>
      <c r="AB248" s="347"/>
      <c r="AC248" s="347"/>
      <c r="AD248" s="347"/>
      <c r="AE248" s="347"/>
      <c r="AF248" s="347"/>
      <c r="AG248" s="347"/>
    </row>
    <row r="249">
      <c r="A249" s="347"/>
      <c r="B249" s="347"/>
      <c r="C249" s="347"/>
      <c r="D249" s="347"/>
      <c r="E249" s="347"/>
      <c r="F249" s="347"/>
      <c r="G249" s="347"/>
      <c r="H249" s="347"/>
      <c r="I249" s="347"/>
      <c r="J249" s="347"/>
      <c r="K249" s="347"/>
      <c r="L249" s="347"/>
      <c r="M249" s="347"/>
      <c r="N249" s="347"/>
      <c r="O249" s="347"/>
      <c r="P249" s="347"/>
      <c r="Q249" s="347"/>
      <c r="R249" s="347"/>
      <c r="S249" s="347"/>
      <c r="T249" s="347"/>
      <c r="U249" s="347"/>
      <c r="V249" s="347"/>
      <c r="W249" s="347"/>
      <c r="X249" s="347"/>
      <c r="Y249" s="347"/>
      <c r="Z249" s="347"/>
      <c r="AA249" s="347"/>
      <c r="AB249" s="347"/>
      <c r="AC249" s="347"/>
      <c r="AD249" s="347"/>
      <c r="AE249" s="347"/>
      <c r="AF249" s="347"/>
      <c r="AG249" s="347"/>
    </row>
    <row r="250">
      <c r="A250" s="347"/>
      <c r="B250" s="347"/>
      <c r="C250" s="347"/>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c r="AA250" s="347"/>
      <c r="AB250" s="347"/>
      <c r="AC250" s="347"/>
      <c r="AD250" s="347"/>
      <c r="AE250" s="347"/>
      <c r="AF250" s="347"/>
      <c r="AG250" s="347"/>
    </row>
    <row r="251">
      <c r="A251" s="347"/>
      <c r="B251" s="347"/>
      <c r="C251" s="347"/>
      <c r="D251" s="347"/>
      <c r="E251" s="347"/>
      <c r="F251" s="347"/>
      <c r="G251" s="347"/>
      <c r="H251" s="347"/>
      <c r="I251" s="347"/>
      <c r="J251" s="347"/>
      <c r="K251" s="347"/>
      <c r="L251" s="347"/>
      <c r="M251" s="347"/>
      <c r="N251" s="347"/>
      <c r="O251" s="347"/>
      <c r="P251" s="347"/>
      <c r="Q251" s="347"/>
      <c r="R251" s="347"/>
      <c r="S251" s="347"/>
      <c r="T251" s="347"/>
      <c r="U251" s="347"/>
      <c r="V251" s="347"/>
      <c r="W251" s="347"/>
      <c r="X251" s="347"/>
      <c r="Y251" s="347"/>
      <c r="Z251" s="347"/>
      <c r="AA251" s="347"/>
      <c r="AB251" s="347"/>
      <c r="AC251" s="347"/>
      <c r="AD251" s="347"/>
      <c r="AE251" s="347"/>
      <c r="AF251" s="347"/>
      <c r="AG251" s="347"/>
    </row>
    <row r="252">
      <c r="A252" s="347"/>
      <c r="B252" s="347"/>
      <c r="C252" s="347"/>
      <c r="D252" s="347"/>
      <c r="E252" s="347"/>
      <c r="F252" s="347"/>
      <c r="G252" s="347"/>
      <c r="H252" s="347"/>
      <c r="I252" s="347"/>
      <c r="J252" s="347"/>
      <c r="K252" s="347"/>
      <c r="L252" s="347"/>
      <c r="M252" s="347"/>
      <c r="N252" s="347"/>
      <c r="O252" s="347"/>
      <c r="P252" s="347"/>
      <c r="Q252" s="347"/>
      <c r="R252" s="347"/>
      <c r="S252" s="347"/>
      <c r="T252" s="347"/>
      <c r="U252" s="347"/>
      <c r="V252" s="347"/>
      <c r="W252" s="347"/>
      <c r="X252" s="347"/>
      <c r="Y252" s="347"/>
      <c r="Z252" s="347"/>
      <c r="AA252" s="347"/>
      <c r="AB252" s="347"/>
      <c r="AC252" s="347"/>
      <c r="AD252" s="347"/>
      <c r="AE252" s="347"/>
      <c r="AF252" s="347"/>
      <c r="AG252" s="347"/>
    </row>
    <row r="253">
      <c r="A253" s="347"/>
      <c r="B253" s="347"/>
      <c r="C253" s="347"/>
      <c r="D253" s="347"/>
      <c r="E253" s="347"/>
      <c r="F253" s="347"/>
      <c r="G253" s="347"/>
      <c r="H253" s="347"/>
      <c r="I253" s="347"/>
      <c r="J253" s="347"/>
      <c r="K253" s="347"/>
      <c r="L253" s="347"/>
      <c r="M253" s="347"/>
      <c r="N253" s="347"/>
      <c r="O253" s="347"/>
      <c r="P253" s="347"/>
      <c r="Q253" s="347"/>
      <c r="R253" s="347"/>
      <c r="S253" s="347"/>
      <c r="T253" s="347"/>
      <c r="U253" s="347"/>
      <c r="V253" s="347"/>
      <c r="W253" s="347"/>
      <c r="X253" s="347"/>
      <c r="Y253" s="347"/>
      <c r="Z253" s="347"/>
      <c r="AA253" s="347"/>
      <c r="AB253" s="347"/>
      <c r="AC253" s="347"/>
      <c r="AD253" s="347"/>
      <c r="AE253" s="347"/>
      <c r="AF253" s="347"/>
      <c r="AG253" s="347"/>
    </row>
    <row r="254">
      <c r="A254" s="347"/>
      <c r="B254" s="347"/>
      <c r="C254" s="347"/>
      <c r="D254" s="347"/>
      <c r="E254" s="347"/>
      <c r="F254" s="347"/>
      <c r="G254" s="347"/>
      <c r="H254" s="347"/>
      <c r="I254" s="347"/>
      <c r="J254" s="347"/>
      <c r="K254" s="347"/>
      <c r="L254" s="347"/>
      <c r="M254" s="347"/>
      <c r="N254" s="347"/>
      <c r="O254" s="347"/>
      <c r="P254" s="347"/>
      <c r="Q254" s="347"/>
      <c r="R254" s="347"/>
      <c r="S254" s="347"/>
      <c r="T254" s="347"/>
      <c r="U254" s="347"/>
      <c r="V254" s="347"/>
      <c r="W254" s="347"/>
      <c r="X254" s="347"/>
      <c r="Y254" s="347"/>
      <c r="Z254" s="347"/>
      <c r="AA254" s="347"/>
      <c r="AB254" s="347"/>
      <c r="AC254" s="347"/>
      <c r="AD254" s="347"/>
      <c r="AE254" s="347"/>
      <c r="AF254" s="347"/>
      <c r="AG254" s="347"/>
    </row>
    <row r="255">
      <c r="A255" s="347"/>
      <c r="B255" s="347"/>
      <c r="C255" s="347"/>
      <c r="D255" s="347"/>
      <c r="E255" s="347"/>
      <c r="F255" s="347"/>
      <c r="G255" s="347"/>
      <c r="H255" s="347"/>
      <c r="I255" s="347"/>
      <c r="J255" s="347"/>
      <c r="K255" s="347"/>
      <c r="L255" s="347"/>
      <c r="M255" s="347"/>
      <c r="N255" s="347"/>
      <c r="O255" s="347"/>
      <c r="P255" s="347"/>
      <c r="Q255" s="347"/>
      <c r="R255" s="347"/>
      <c r="S255" s="347"/>
      <c r="T255" s="347"/>
      <c r="U255" s="347"/>
      <c r="V255" s="347"/>
      <c r="W255" s="347"/>
      <c r="X255" s="347"/>
      <c r="Y255" s="347"/>
      <c r="Z255" s="347"/>
      <c r="AA255" s="347"/>
      <c r="AB255" s="347"/>
      <c r="AC255" s="347"/>
      <c r="AD255" s="347"/>
      <c r="AE255" s="347"/>
      <c r="AF255" s="347"/>
      <c r="AG255" s="347"/>
    </row>
    <row r="256">
      <c r="A256" s="347"/>
      <c r="B256" s="347"/>
      <c r="C256" s="347"/>
      <c r="D256" s="347"/>
      <c r="E256" s="347"/>
      <c r="F256" s="347"/>
      <c r="G256" s="347"/>
      <c r="H256" s="347"/>
      <c r="I256" s="347"/>
      <c r="J256" s="347"/>
      <c r="K256" s="347"/>
      <c r="L256" s="347"/>
      <c r="M256" s="347"/>
      <c r="N256" s="347"/>
      <c r="O256" s="347"/>
      <c r="P256" s="347"/>
      <c r="Q256" s="347"/>
      <c r="R256" s="347"/>
      <c r="S256" s="347"/>
      <c r="T256" s="347"/>
      <c r="U256" s="347"/>
      <c r="V256" s="347"/>
      <c r="W256" s="347"/>
      <c r="X256" s="347"/>
      <c r="Y256" s="347"/>
      <c r="Z256" s="347"/>
      <c r="AA256" s="347"/>
      <c r="AB256" s="347"/>
      <c r="AC256" s="347"/>
      <c r="AD256" s="347"/>
      <c r="AE256" s="347"/>
      <c r="AF256" s="347"/>
      <c r="AG256" s="347"/>
    </row>
    <row r="257">
      <c r="A257" s="347"/>
      <c r="B257" s="347"/>
      <c r="C257" s="347"/>
      <c r="D257" s="347"/>
      <c r="E257" s="347"/>
      <c r="F257" s="347"/>
      <c r="G257" s="347"/>
      <c r="H257" s="347"/>
      <c r="I257" s="347"/>
      <c r="J257" s="347"/>
      <c r="K257" s="347"/>
      <c r="L257" s="347"/>
      <c r="M257" s="347"/>
      <c r="N257" s="347"/>
      <c r="O257" s="347"/>
      <c r="P257" s="347"/>
      <c r="Q257" s="347"/>
      <c r="R257" s="347"/>
      <c r="S257" s="347"/>
      <c r="T257" s="347"/>
      <c r="U257" s="347"/>
      <c r="V257" s="347"/>
      <c r="W257" s="347"/>
      <c r="X257" s="347"/>
      <c r="Y257" s="347"/>
      <c r="Z257" s="347"/>
      <c r="AA257" s="347"/>
      <c r="AB257" s="347"/>
      <c r="AC257" s="347"/>
      <c r="AD257" s="347"/>
      <c r="AE257" s="347"/>
      <c r="AF257" s="347"/>
      <c r="AG257" s="347"/>
    </row>
    <row r="258">
      <c r="A258" s="347"/>
      <c r="B258" s="347"/>
      <c r="C258" s="347"/>
      <c r="D258" s="347"/>
      <c r="E258" s="347"/>
      <c r="F258" s="347"/>
      <c r="G258" s="347"/>
      <c r="H258" s="347"/>
      <c r="I258" s="347"/>
      <c r="J258" s="347"/>
      <c r="K258" s="347"/>
      <c r="L258" s="347"/>
      <c r="M258" s="347"/>
      <c r="N258" s="347"/>
      <c r="O258" s="347"/>
      <c r="P258" s="347"/>
      <c r="Q258" s="347"/>
      <c r="R258" s="347"/>
      <c r="S258" s="347"/>
      <c r="T258" s="347"/>
      <c r="U258" s="347"/>
      <c r="V258" s="347"/>
      <c r="W258" s="347"/>
      <c r="X258" s="347"/>
      <c r="Y258" s="347"/>
      <c r="Z258" s="347"/>
      <c r="AA258" s="347"/>
      <c r="AB258" s="347"/>
      <c r="AC258" s="347"/>
      <c r="AD258" s="347"/>
      <c r="AE258" s="347"/>
      <c r="AF258" s="347"/>
      <c r="AG258" s="347"/>
    </row>
    <row r="259">
      <c r="A259" s="347"/>
      <c r="B259" s="347"/>
      <c r="C259" s="347"/>
      <c r="D259" s="347"/>
      <c r="E259" s="347"/>
      <c r="F259" s="347"/>
      <c r="G259" s="347"/>
      <c r="H259" s="347"/>
      <c r="I259" s="347"/>
      <c r="J259" s="347"/>
      <c r="K259" s="347"/>
      <c r="L259" s="347"/>
      <c r="M259" s="347"/>
      <c r="N259" s="347"/>
      <c r="O259" s="347"/>
      <c r="P259" s="347"/>
      <c r="Q259" s="347"/>
      <c r="R259" s="347"/>
      <c r="S259" s="347"/>
      <c r="T259" s="347"/>
      <c r="U259" s="347"/>
      <c r="V259" s="347"/>
      <c r="W259" s="347"/>
      <c r="X259" s="347"/>
      <c r="Y259" s="347"/>
      <c r="Z259" s="347"/>
      <c r="AA259" s="347"/>
      <c r="AB259" s="347"/>
      <c r="AC259" s="347"/>
      <c r="AD259" s="347"/>
      <c r="AE259" s="347"/>
      <c r="AF259" s="347"/>
      <c r="AG259" s="347"/>
    </row>
    <row r="260">
      <c r="A260" s="347"/>
      <c r="B260" s="347"/>
      <c r="C260" s="347"/>
      <c r="D260" s="347"/>
      <c r="E260" s="347"/>
      <c r="F260" s="347"/>
      <c r="G260" s="347"/>
      <c r="H260" s="347"/>
      <c r="I260" s="347"/>
      <c r="J260" s="347"/>
      <c r="K260" s="347"/>
      <c r="L260" s="347"/>
      <c r="M260" s="347"/>
      <c r="N260" s="347"/>
      <c r="O260" s="347"/>
      <c r="P260" s="347"/>
      <c r="Q260" s="347"/>
      <c r="R260" s="347"/>
      <c r="S260" s="347"/>
      <c r="T260" s="347"/>
      <c r="U260" s="347"/>
      <c r="V260" s="347"/>
      <c r="W260" s="347"/>
      <c r="X260" s="347"/>
      <c r="Y260" s="347"/>
      <c r="Z260" s="347"/>
      <c r="AA260" s="347"/>
      <c r="AB260" s="347"/>
      <c r="AC260" s="347"/>
      <c r="AD260" s="347"/>
      <c r="AE260" s="347"/>
      <c r="AF260" s="347"/>
      <c r="AG260" s="347"/>
    </row>
    <row r="261">
      <c r="A261" s="347"/>
      <c r="B261" s="347"/>
      <c r="C261" s="347"/>
      <c r="D261" s="347"/>
      <c r="E261" s="347"/>
      <c r="F261" s="347"/>
      <c r="G261" s="347"/>
      <c r="H261" s="347"/>
      <c r="I261" s="347"/>
      <c r="J261" s="347"/>
      <c r="K261" s="347"/>
      <c r="L261" s="347"/>
      <c r="M261" s="347"/>
      <c r="N261" s="347"/>
      <c r="O261" s="347"/>
      <c r="P261" s="347"/>
      <c r="Q261" s="347"/>
      <c r="R261" s="347"/>
      <c r="S261" s="347"/>
      <c r="T261" s="347"/>
      <c r="U261" s="347"/>
      <c r="V261" s="347"/>
      <c r="W261" s="347"/>
      <c r="X261" s="347"/>
      <c r="Y261" s="347"/>
      <c r="Z261" s="347"/>
      <c r="AA261" s="347"/>
      <c r="AB261" s="347"/>
      <c r="AC261" s="347"/>
      <c r="AD261" s="347"/>
      <c r="AE261" s="347"/>
      <c r="AF261" s="347"/>
      <c r="AG261" s="347"/>
    </row>
    <row r="262">
      <c r="A262" s="347"/>
      <c r="B262" s="347"/>
      <c r="C262" s="347"/>
      <c r="D262" s="347"/>
      <c r="E262" s="347"/>
      <c r="F262" s="347"/>
      <c r="G262" s="347"/>
      <c r="H262" s="347"/>
      <c r="I262" s="347"/>
      <c r="J262" s="347"/>
      <c r="K262" s="347"/>
      <c r="L262" s="347"/>
      <c r="M262" s="347"/>
      <c r="N262" s="347"/>
      <c r="O262" s="347"/>
      <c r="P262" s="347"/>
      <c r="Q262" s="347"/>
      <c r="R262" s="347"/>
      <c r="S262" s="347"/>
      <c r="T262" s="347"/>
      <c r="U262" s="347"/>
      <c r="V262" s="347"/>
      <c r="W262" s="347"/>
      <c r="X262" s="347"/>
      <c r="Y262" s="347"/>
      <c r="Z262" s="347"/>
      <c r="AA262" s="347"/>
      <c r="AB262" s="347"/>
      <c r="AC262" s="347"/>
      <c r="AD262" s="347"/>
      <c r="AE262" s="347"/>
      <c r="AF262" s="347"/>
      <c r="AG262" s="347"/>
    </row>
    <row r="263">
      <c r="A263" s="347"/>
      <c r="B263" s="347"/>
      <c r="C263" s="347"/>
      <c r="D263" s="347"/>
      <c r="E263" s="347"/>
      <c r="F263" s="347"/>
      <c r="G263" s="347"/>
      <c r="H263" s="347"/>
      <c r="I263" s="347"/>
      <c r="J263" s="347"/>
      <c r="K263" s="347"/>
      <c r="L263" s="347"/>
      <c r="M263" s="347"/>
      <c r="N263" s="347"/>
      <c r="O263" s="347"/>
      <c r="P263" s="347"/>
      <c r="Q263" s="347"/>
      <c r="R263" s="347"/>
      <c r="S263" s="347"/>
      <c r="T263" s="347"/>
      <c r="U263" s="347"/>
      <c r="V263" s="347"/>
      <c r="W263" s="347"/>
      <c r="X263" s="347"/>
      <c r="Y263" s="347"/>
      <c r="Z263" s="347"/>
      <c r="AA263" s="347"/>
      <c r="AB263" s="347"/>
      <c r="AC263" s="347"/>
      <c r="AD263" s="347"/>
      <c r="AE263" s="347"/>
      <c r="AF263" s="347"/>
      <c r="AG263" s="347"/>
    </row>
    <row r="264">
      <c r="A264" s="347"/>
      <c r="B264" s="347"/>
      <c r="C264" s="347"/>
      <c r="D264" s="347"/>
      <c r="E264" s="347"/>
      <c r="F264" s="347"/>
      <c r="G264" s="347"/>
      <c r="H264" s="347"/>
      <c r="I264" s="347"/>
      <c r="J264" s="347"/>
      <c r="K264" s="347"/>
      <c r="L264" s="347"/>
      <c r="M264" s="347"/>
      <c r="N264" s="347"/>
      <c r="O264" s="347"/>
      <c r="P264" s="347"/>
      <c r="Q264" s="347"/>
      <c r="R264" s="347"/>
      <c r="S264" s="347"/>
      <c r="T264" s="347"/>
      <c r="U264" s="347"/>
      <c r="V264" s="347"/>
      <c r="W264" s="347"/>
      <c r="X264" s="347"/>
      <c r="Y264" s="347"/>
      <c r="Z264" s="347"/>
      <c r="AA264" s="347"/>
      <c r="AB264" s="347"/>
      <c r="AC264" s="347"/>
      <c r="AD264" s="347"/>
      <c r="AE264" s="347"/>
      <c r="AF264" s="347"/>
      <c r="AG264" s="347"/>
    </row>
    <row r="265">
      <c r="A265" s="347"/>
      <c r="B265" s="347"/>
      <c r="C265" s="347"/>
      <c r="D265" s="347"/>
      <c r="E265" s="347"/>
      <c r="F265" s="347"/>
      <c r="G265" s="347"/>
      <c r="H265" s="347"/>
      <c r="I265" s="347"/>
      <c r="J265" s="347"/>
      <c r="K265" s="347"/>
      <c r="L265" s="347"/>
      <c r="M265" s="347"/>
      <c r="N265" s="347"/>
      <c r="O265" s="347"/>
      <c r="P265" s="347"/>
      <c r="Q265" s="347"/>
      <c r="R265" s="347"/>
      <c r="S265" s="347"/>
      <c r="T265" s="347"/>
      <c r="U265" s="347"/>
      <c r="V265" s="347"/>
      <c r="W265" s="347"/>
      <c r="X265" s="347"/>
      <c r="Y265" s="347"/>
      <c r="Z265" s="347"/>
      <c r="AA265" s="347"/>
      <c r="AB265" s="347"/>
      <c r="AC265" s="347"/>
      <c r="AD265" s="347"/>
      <c r="AE265" s="347"/>
      <c r="AF265" s="347"/>
      <c r="AG265" s="347"/>
    </row>
    <row r="266">
      <c r="A266" s="347"/>
      <c r="B266" s="347"/>
      <c r="C266" s="347"/>
      <c r="D266" s="347"/>
      <c r="E266" s="347"/>
      <c r="F266" s="347"/>
      <c r="G266" s="347"/>
      <c r="H266" s="347"/>
      <c r="I266" s="347"/>
      <c r="J266" s="347"/>
      <c r="K266" s="347"/>
      <c r="L266" s="347"/>
      <c r="M266" s="347"/>
      <c r="N266" s="347"/>
      <c r="O266" s="347"/>
      <c r="P266" s="347"/>
      <c r="Q266" s="347"/>
      <c r="R266" s="347"/>
      <c r="S266" s="347"/>
      <c r="T266" s="347"/>
      <c r="U266" s="347"/>
      <c r="V266" s="347"/>
      <c r="W266" s="347"/>
      <c r="X266" s="347"/>
      <c r="Y266" s="347"/>
      <c r="Z266" s="347"/>
      <c r="AA266" s="347"/>
      <c r="AB266" s="347"/>
      <c r="AC266" s="347"/>
      <c r="AD266" s="347"/>
      <c r="AE266" s="347"/>
      <c r="AF266" s="347"/>
      <c r="AG266" s="347"/>
    </row>
    <row r="267">
      <c r="A267" s="347"/>
      <c r="B267" s="347"/>
      <c r="C267" s="347"/>
      <c r="D267" s="347"/>
      <c r="E267" s="347"/>
      <c r="F267" s="347"/>
      <c r="G267" s="347"/>
      <c r="H267" s="347"/>
      <c r="I267" s="347"/>
      <c r="J267" s="347"/>
      <c r="K267" s="347"/>
      <c r="L267" s="347"/>
      <c r="M267" s="347"/>
      <c r="N267" s="347"/>
      <c r="O267" s="347"/>
      <c r="P267" s="347"/>
      <c r="Q267" s="347"/>
      <c r="R267" s="347"/>
      <c r="S267" s="347"/>
      <c r="T267" s="347"/>
      <c r="U267" s="347"/>
      <c r="V267" s="347"/>
      <c r="W267" s="347"/>
      <c r="X267" s="347"/>
      <c r="Y267" s="347"/>
      <c r="Z267" s="347"/>
      <c r="AA267" s="347"/>
      <c r="AB267" s="347"/>
      <c r="AC267" s="347"/>
      <c r="AD267" s="347"/>
      <c r="AE267" s="347"/>
      <c r="AF267" s="347"/>
      <c r="AG267" s="347"/>
    </row>
    <row r="268">
      <c r="A268" s="347"/>
      <c r="B268" s="347"/>
      <c r="C268" s="347"/>
      <c r="D268" s="347"/>
      <c r="E268" s="347"/>
      <c r="F268" s="347"/>
      <c r="G268" s="347"/>
      <c r="H268" s="347"/>
      <c r="I268" s="347"/>
      <c r="J268" s="347"/>
      <c r="K268" s="347"/>
      <c r="L268" s="347"/>
      <c r="M268" s="347"/>
      <c r="N268" s="347"/>
      <c r="O268" s="347"/>
      <c r="P268" s="347"/>
      <c r="Q268" s="347"/>
      <c r="R268" s="347"/>
      <c r="S268" s="347"/>
      <c r="T268" s="347"/>
      <c r="U268" s="347"/>
      <c r="V268" s="347"/>
      <c r="W268" s="347"/>
      <c r="X268" s="347"/>
      <c r="Y268" s="347"/>
      <c r="Z268" s="347"/>
      <c r="AA268" s="347"/>
      <c r="AB268" s="347"/>
      <c r="AC268" s="347"/>
      <c r="AD268" s="347"/>
      <c r="AE268" s="347"/>
      <c r="AF268" s="347"/>
      <c r="AG268" s="347"/>
    </row>
    <row r="269">
      <c r="A269" s="347"/>
      <c r="B269" s="347"/>
      <c r="C269" s="347"/>
      <c r="D269" s="347"/>
      <c r="E269" s="347"/>
      <c r="F269" s="347"/>
      <c r="G269" s="347"/>
      <c r="H269" s="347"/>
      <c r="I269" s="347"/>
      <c r="J269" s="347"/>
      <c r="K269" s="347"/>
      <c r="L269" s="347"/>
      <c r="M269" s="347"/>
      <c r="N269" s="347"/>
      <c r="O269" s="347"/>
      <c r="P269" s="347"/>
      <c r="Q269" s="347"/>
      <c r="R269" s="347"/>
      <c r="S269" s="347"/>
      <c r="T269" s="347"/>
      <c r="U269" s="347"/>
      <c r="V269" s="347"/>
      <c r="W269" s="347"/>
      <c r="X269" s="347"/>
      <c r="Y269" s="347"/>
      <c r="Z269" s="347"/>
      <c r="AA269" s="347"/>
      <c r="AB269" s="347"/>
      <c r="AC269" s="347"/>
      <c r="AD269" s="347"/>
      <c r="AE269" s="347"/>
      <c r="AF269" s="347"/>
      <c r="AG269" s="347"/>
    </row>
    <row r="270">
      <c r="A270" s="347"/>
      <c r="B270" s="347"/>
      <c r="C270" s="347"/>
      <c r="D270" s="347"/>
      <c r="E270" s="347"/>
      <c r="F270" s="347"/>
      <c r="G270" s="347"/>
      <c r="H270" s="347"/>
      <c r="I270" s="347"/>
      <c r="J270" s="347"/>
      <c r="K270" s="347"/>
      <c r="L270" s="347"/>
      <c r="M270" s="347"/>
      <c r="N270" s="347"/>
      <c r="O270" s="347"/>
      <c r="P270" s="347"/>
      <c r="Q270" s="347"/>
      <c r="R270" s="347"/>
      <c r="S270" s="347"/>
      <c r="T270" s="347"/>
      <c r="U270" s="347"/>
      <c r="V270" s="347"/>
      <c r="W270" s="347"/>
      <c r="X270" s="347"/>
      <c r="Y270" s="347"/>
      <c r="Z270" s="347"/>
      <c r="AA270" s="347"/>
      <c r="AB270" s="347"/>
      <c r="AC270" s="347"/>
      <c r="AD270" s="347"/>
      <c r="AE270" s="347"/>
      <c r="AF270" s="347"/>
      <c r="AG270" s="347"/>
    </row>
    <row r="271">
      <c r="A271" s="347"/>
      <c r="B271" s="347"/>
      <c r="C271" s="347"/>
      <c r="D271" s="347"/>
      <c r="E271" s="347"/>
      <c r="F271" s="347"/>
      <c r="G271" s="347"/>
      <c r="H271" s="347"/>
      <c r="I271" s="347"/>
      <c r="J271" s="347"/>
      <c r="K271" s="347"/>
      <c r="L271" s="347"/>
      <c r="M271" s="347"/>
      <c r="N271" s="347"/>
      <c r="O271" s="347"/>
      <c r="P271" s="347"/>
      <c r="Q271" s="347"/>
      <c r="R271" s="347"/>
      <c r="S271" s="347"/>
      <c r="T271" s="347"/>
      <c r="U271" s="347"/>
      <c r="V271" s="347"/>
      <c r="W271" s="347"/>
      <c r="X271" s="347"/>
      <c r="Y271" s="347"/>
      <c r="Z271" s="347"/>
      <c r="AA271" s="347"/>
      <c r="AB271" s="347"/>
      <c r="AC271" s="347"/>
      <c r="AD271" s="347"/>
      <c r="AE271" s="347"/>
      <c r="AF271" s="347"/>
      <c r="AG271" s="347"/>
    </row>
    <row r="272">
      <c r="A272" s="347"/>
      <c r="B272" s="347"/>
      <c r="C272" s="347"/>
      <c r="D272" s="347"/>
      <c r="E272" s="347"/>
      <c r="F272" s="347"/>
      <c r="G272" s="347"/>
      <c r="H272" s="347"/>
      <c r="I272" s="347"/>
      <c r="J272" s="347"/>
      <c r="K272" s="347"/>
      <c r="L272" s="347"/>
      <c r="M272" s="347"/>
      <c r="N272" s="347"/>
      <c r="O272" s="347"/>
      <c r="P272" s="347"/>
      <c r="Q272" s="347"/>
      <c r="R272" s="347"/>
      <c r="S272" s="347"/>
      <c r="T272" s="347"/>
      <c r="U272" s="347"/>
      <c r="V272" s="347"/>
      <c r="W272" s="347"/>
      <c r="X272" s="347"/>
      <c r="Y272" s="347"/>
      <c r="Z272" s="347"/>
      <c r="AA272" s="347"/>
      <c r="AB272" s="347"/>
      <c r="AC272" s="347"/>
      <c r="AD272" s="347"/>
      <c r="AE272" s="347"/>
      <c r="AF272" s="347"/>
      <c r="AG272" s="347"/>
    </row>
    <row r="273">
      <c r="A273" s="347"/>
      <c r="B273" s="347"/>
      <c r="C273" s="347"/>
      <c r="D273" s="347"/>
      <c r="E273" s="347"/>
      <c r="F273" s="347"/>
      <c r="G273" s="347"/>
      <c r="H273" s="347"/>
      <c r="I273" s="347"/>
      <c r="J273" s="347"/>
      <c r="K273" s="347"/>
      <c r="L273" s="347"/>
      <c r="M273" s="347"/>
      <c r="N273" s="347"/>
      <c r="O273" s="347"/>
      <c r="P273" s="347"/>
      <c r="Q273" s="347"/>
      <c r="R273" s="347"/>
      <c r="S273" s="347"/>
      <c r="T273" s="347"/>
      <c r="U273" s="347"/>
      <c r="V273" s="347"/>
      <c r="W273" s="347"/>
      <c r="X273" s="347"/>
      <c r="Y273" s="347"/>
      <c r="Z273" s="347"/>
      <c r="AA273" s="347"/>
      <c r="AB273" s="347"/>
      <c r="AC273" s="347"/>
      <c r="AD273" s="347"/>
      <c r="AE273" s="347"/>
      <c r="AF273" s="347"/>
      <c r="AG273" s="347"/>
    </row>
    <row r="274">
      <c r="A274" s="347"/>
      <c r="B274" s="347"/>
      <c r="C274" s="347"/>
      <c r="D274" s="347"/>
      <c r="E274" s="347"/>
      <c r="F274" s="347"/>
      <c r="G274" s="347"/>
      <c r="H274" s="347"/>
      <c r="I274" s="347"/>
      <c r="J274" s="347"/>
      <c r="K274" s="347"/>
      <c r="L274" s="347"/>
      <c r="M274" s="347"/>
      <c r="N274" s="347"/>
      <c r="O274" s="347"/>
      <c r="P274" s="347"/>
      <c r="Q274" s="347"/>
      <c r="R274" s="347"/>
      <c r="S274" s="347"/>
      <c r="T274" s="347"/>
      <c r="U274" s="347"/>
      <c r="V274" s="347"/>
      <c r="W274" s="347"/>
      <c r="X274" s="347"/>
      <c r="Y274" s="347"/>
      <c r="Z274" s="347"/>
      <c r="AA274" s="347"/>
      <c r="AB274" s="347"/>
      <c r="AC274" s="347"/>
      <c r="AD274" s="347"/>
      <c r="AE274" s="347"/>
      <c r="AF274" s="347"/>
      <c r="AG274" s="347"/>
    </row>
    <row r="275">
      <c r="A275" s="347"/>
      <c r="B275" s="347"/>
      <c r="C275" s="347"/>
      <c r="D275" s="347"/>
      <c r="E275" s="347"/>
      <c r="F275" s="347"/>
      <c r="G275" s="347"/>
      <c r="H275" s="347"/>
      <c r="I275" s="347"/>
      <c r="J275" s="347"/>
      <c r="K275" s="347"/>
      <c r="L275" s="347"/>
      <c r="M275" s="347"/>
      <c r="N275" s="347"/>
      <c r="O275" s="347"/>
      <c r="P275" s="347"/>
      <c r="Q275" s="347"/>
      <c r="R275" s="347"/>
      <c r="S275" s="347"/>
      <c r="T275" s="347"/>
      <c r="U275" s="347"/>
      <c r="V275" s="347"/>
      <c r="W275" s="347"/>
      <c r="X275" s="347"/>
      <c r="Y275" s="347"/>
      <c r="Z275" s="347"/>
      <c r="AA275" s="347"/>
      <c r="AB275" s="347"/>
      <c r="AC275" s="347"/>
      <c r="AD275" s="347"/>
      <c r="AE275" s="347"/>
      <c r="AF275" s="347"/>
      <c r="AG275" s="347"/>
    </row>
    <row r="276">
      <c r="A276" s="347"/>
      <c r="B276" s="347"/>
      <c r="C276" s="347"/>
      <c r="D276" s="347"/>
      <c r="E276" s="347"/>
      <c r="F276" s="347"/>
      <c r="G276" s="347"/>
      <c r="H276" s="347"/>
      <c r="I276" s="347"/>
      <c r="J276" s="347"/>
      <c r="K276" s="347"/>
      <c r="L276" s="347"/>
      <c r="M276" s="347"/>
      <c r="N276" s="347"/>
      <c r="O276" s="347"/>
      <c r="P276" s="347"/>
      <c r="Q276" s="347"/>
      <c r="R276" s="347"/>
      <c r="S276" s="347"/>
      <c r="T276" s="347"/>
      <c r="U276" s="347"/>
      <c r="V276" s="347"/>
      <c r="W276" s="347"/>
      <c r="X276" s="347"/>
      <c r="Y276" s="347"/>
      <c r="Z276" s="347"/>
      <c r="AA276" s="347"/>
      <c r="AB276" s="347"/>
      <c r="AC276" s="347"/>
      <c r="AD276" s="347"/>
      <c r="AE276" s="347"/>
      <c r="AF276" s="347"/>
      <c r="AG276" s="347"/>
    </row>
    <row r="277">
      <c r="A277" s="347"/>
      <c r="B277" s="347"/>
      <c r="C277" s="347"/>
      <c r="D277" s="347"/>
      <c r="E277" s="347"/>
      <c r="F277" s="347"/>
      <c r="G277" s="347"/>
      <c r="H277" s="347"/>
      <c r="I277" s="347"/>
      <c r="J277" s="347"/>
      <c r="K277" s="347"/>
      <c r="L277" s="347"/>
      <c r="M277" s="347"/>
      <c r="N277" s="347"/>
      <c r="O277" s="347"/>
      <c r="P277" s="347"/>
      <c r="Q277" s="347"/>
      <c r="R277" s="347"/>
      <c r="S277" s="347"/>
      <c r="T277" s="347"/>
      <c r="U277" s="347"/>
      <c r="V277" s="347"/>
      <c r="W277" s="347"/>
      <c r="X277" s="347"/>
      <c r="Y277" s="347"/>
      <c r="Z277" s="347"/>
      <c r="AA277" s="347"/>
      <c r="AB277" s="347"/>
      <c r="AC277" s="347"/>
      <c r="AD277" s="347"/>
      <c r="AE277" s="347"/>
      <c r="AF277" s="347"/>
      <c r="AG277" s="347"/>
    </row>
    <row r="278">
      <c r="A278" s="347"/>
      <c r="B278" s="347"/>
      <c r="C278" s="347"/>
      <c r="D278" s="347"/>
      <c r="E278" s="347"/>
      <c r="F278" s="347"/>
      <c r="G278" s="347"/>
      <c r="H278" s="347"/>
      <c r="I278" s="347"/>
      <c r="J278" s="347"/>
      <c r="K278" s="347"/>
      <c r="L278" s="347"/>
      <c r="M278" s="347"/>
      <c r="N278" s="347"/>
      <c r="O278" s="347"/>
      <c r="P278" s="347"/>
      <c r="Q278" s="347"/>
      <c r="R278" s="347"/>
      <c r="S278" s="347"/>
      <c r="T278" s="347"/>
      <c r="U278" s="347"/>
      <c r="V278" s="347"/>
      <c r="W278" s="347"/>
      <c r="X278" s="347"/>
      <c r="Y278" s="347"/>
      <c r="Z278" s="347"/>
      <c r="AA278" s="347"/>
      <c r="AB278" s="347"/>
      <c r="AC278" s="347"/>
      <c r="AD278" s="347"/>
      <c r="AE278" s="347"/>
      <c r="AF278" s="347"/>
      <c r="AG278" s="347"/>
    </row>
    <row r="279">
      <c r="A279" s="347"/>
      <c r="B279" s="347"/>
      <c r="C279" s="347"/>
      <c r="D279" s="347"/>
      <c r="E279" s="347"/>
      <c r="F279" s="347"/>
      <c r="G279" s="347"/>
      <c r="H279" s="347"/>
      <c r="I279" s="347"/>
      <c r="J279" s="347"/>
      <c r="K279" s="347"/>
      <c r="L279" s="347"/>
      <c r="M279" s="347"/>
      <c r="N279" s="347"/>
      <c r="O279" s="347"/>
      <c r="P279" s="347"/>
      <c r="Q279" s="347"/>
      <c r="R279" s="347"/>
      <c r="S279" s="347"/>
      <c r="T279" s="347"/>
      <c r="U279" s="347"/>
      <c r="V279" s="347"/>
      <c r="W279" s="347"/>
      <c r="X279" s="347"/>
      <c r="Y279" s="347"/>
      <c r="Z279" s="347"/>
      <c r="AA279" s="347"/>
      <c r="AB279" s="347"/>
      <c r="AC279" s="347"/>
      <c r="AD279" s="347"/>
      <c r="AE279" s="347"/>
      <c r="AF279" s="347"/>
      <c r="AG279" s="347"/>
    </row>
    <row r="280">
      <c r="A280" s="347"/>
      <c r="B280" s="347"/>
      <c r="C280" s="347"/>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c r="AA280" s="347"/>
      <c r="AB280" s="347"/>
      <c r="AC280" s="347"/>
      <c r="AD280" s="347"/>
      <c r="AE280" s="347"/>
      <c r="AF280" s="347"/>
      <c r="AG280" s="347"/>
    </row>
    <row r="281">
      <c r="A281" s="347"/>
      <c r="B281" s="347"/>
      <c r="C281" s="347"/>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c r="AA281" s="347"/>
      <c r="AB281" s="347"/>
      <c r="AC281" s="347"/>
      <c r="AD281" s="347"/>
      <c r="AE281" s="347"/>
      <c r="AF281" s="347"/>
      <c r="AG281" s="347"/>
    </row>
    <row r="282">
      <c r="A282" s="347"/>
      <c r="B282" s="347"/>
      <c r="C282" s="347"/>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c r="AA282" s="347"/>
      <c r="AB282" s="347"/>
      <c r="AC282" s="347"/>
      <c r="AD282" s="347"/>
      <c r="AE282" s="347"/>
      <c r="AF282" s="347"/>
      <c r="AG282" s="347"/>
    </row>
    <row r="283">
      <c r="A283" s="347"/>
      <c r="B283" s="347"/>
      <c r="C283" s="347"/>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c r="AA283" s="347"/>
      <c r="AB283" s="347"/>
      <c r="AC283" s="347"/>
      <c r="AD283" s="347"/>
      <c r="AE283" s="347"/>
      <c r="AF283" s="347"/>
      <c r="AG283" s="347"/>
    </row>
    <row r="284">
      <c r="A284" s="347"/>
      <c r="B284" s="347"/>
      <c r="C284" s="347"/>
      <c r="D284" s="347"/>
      <c r="E284" s="347"/>
      <c r="F284" s="347"/>
      <c r="G284" s="347"/>
      <c r="H284" s="347"/>
      <c r="I284" s="347"/>
      <c r="J284" s="347"/>
      <c r="K284" s="347"/>
      <c r="L284" s="347"/>
      <c r="M284" s="347"/>
      <c r="N284" s="347"/>
      <c r="O284" s="347"/>
      <c r="P284" s="347"/>
      <c r="Q284" s="347"/>
      <c r="R284" s="347"/>
      <c r="S284" s="347"/>
      <c r="T284" s="347"/>
      <c r="U284" s="347"/>
      <c r="V284" s="347"/>
      <c r="W284" s="347"/>
      <c r="X284" s="347"/>
      <c r="Y284" s="347"/>
      <c r="Z284" s="347"/>
      <c r="AA284" s="347"/>
      <c r="AB284" s="347"/>
      <c r="AC284" s="347"/>
      <c r="AD284" s="347"/>
      <c r="AE284" s="347"/>
      <c r="AF284" s="347"/>
      <c r="AG284" s="347"/>
    </row>
    <row r="285">
      <c r="A285" s="347"/>
      <c r="B285" s="347"/>
      <c r="C285" s="347"/>
      <c r="D285" s="347"/>
      <c r="E285" s="347"/>
      <c r="F285" s="347"/>
      <c r="G285" s="347"/>
      <c r="H285" s="347"/>
      <c r="I285" s="347"/>
      <c r="J285" s="347"/>
      <c r="K285" s="347"/>
      <c r="L285" s="347"/>
      <c r="M285" s="347"/>
      <c r="N285" s="347"/>
      <c r="O285" s="347"/>
      <c r="P285" s="347"/>
      <c r="Q285" s="347"/>
      <c r="R285" s="347"/>
      <c r="S285" s="347"/>
      <c r="T285" s="347"/>
      <c r="U285" s="347"/>
      <c r="V285" s="347"/>
      <c r="W285" s="347"/>
      <c r="X285" s="347"/>
      <c r="Y285" s="347"/>
      <c r="Z285" s="347"/>
      <c r="AA285" s="347"/>
      <c r="AB285" s="347"/>
      <c r="AC285" s="347"/>
      <c r="AD285" s="347"/>
      <c r="AE285" s="347"/>
      <c r="AF285" s="347"/>
      <c r="AG285" s="347"/>
    </row>
    <row r="286">
      <c r="A286" s="347"/>
      <c r="B286" s="347"/>
      <c r="C286" s="347"/>
      <c r="D286" s="347"/>
      <c r="E286" s="347"/>
      <c r="F286" s="347"/>
      <c r="G286" s="347"/>
      <c r="H286" s="347"/>
      <c r="I286" s="347"/>
      <c r="J286" s="347"/>
      <c r="K286" s="347"/>
      <c r="L286" s="347"/>
      <c r="M286" s="347"/>
      <c r="N286" s="347"/>
      <c r="O286" s="347"/>
      <c r="P286" s="347"/>
      <c r="Q286" s="347"/>
      <c r="R286" s="347"/>
      <c r="S286" s="347"/>
      <c r="T286" s="347"/>
      <c r="U286" s="347"/>
      <c r="V286" s="347"/>
      <c r="W286" s="347"/>
      <c r="X286" s="347"/>
      <c r="Y286" s="347"/>
      <c r="Z286" s="347"/>
      <c r="AA286" s="347"/>
      <c r="AB286" s="347"/>
      <c r="AC286" s="347"/>
      <c r="AD286" s="347"/>
      <c r="AE286" s="347"/>
      <c r="AF286" s="347"/>
      <c r="AG286" s="347"/>
    </row>
    <row r="287">
      <c r="A287" s="347"/>
      <c r="B287" s="347"/>
      <c r="C287" s="347"/>
      <c r="D287" s="347"/>
      <c r="E287" s="347"/>
      <c r="F287" s="347"/>
      <c r="G287" s="347"/>
      <c r="H287" s="347"/>
      <c r="I287" s="347"/>
      <c r="J287" s="347"/>
      <c r="K287" s="347"/>
      <c r="L287" s="347"/>
      <c r="M287" s="347"/>
      <c r="N287" s="347"/>
      <c r="O287" s="347"/>
      <c r="P287" s="347"/>
      <c r="Q287" s="347"/>
      <c r="R287" s="347"/>
      <c r="S287" s="347"/>
      <c r="T287" s="347"/>
      <c r="U287" s="347"/>
      <c r="V287" s="347"/>
      <c r="W287" s="347"/>
      <c r="X287" s="347"/>
      <c r="Y287" s="347"/>
      <c r="Z287" s="347"/>
      <c r="AA287" s="347"/>
      <c r="AB287" s="347"/>
      <c r="AC287" s="347"/>
      <c r="AD287" s="347"/>
      <c r="AE287" s="347"/>
      <c r="AF287" s="347"/>
      <c r="AG287" s="347"/>
    </row>
    <row r="288">
      <c r="A288" s="347"/>
      <c r="B288" s="347"/>
      <c r="C288" s="347"/>
      <c r="D288" s="347"/>
      <c r="E288" s="347"/>
      <c r="F288" s="347"/>
      <c r="G288" s="347"/>
      <c r="H288" s="347"/>
      <c r="I288" s="347"/>
      <c r="J288" s="347"/>
      <c r="K288" s="347"/>
      <c r="L288" s="347"/>
      <c r="M288" s="347"/>
      <c r="N288" s="347"/>
      <c r="O288" s="347"/>
      <c r="P288" s="347"/>
      <c r="Q288" s="347"/>
      <c r="R288" s="347"/>
      <c r="S288" s="347"/>
      <c r="T288" s="347"/>
      <c r="U288" s="347"/>
      <c r="V288" s="347"/>
      <c r="W288" s="347"/>
      <c r="X288" s="347"/>
      <c r="Y288" s="347"/>
      <c r="Z288" s="347"/>
      <c r="AA288" s="347"/>
      <c r="AB288" s="347"/>
      <c r="AC288" s="347"/>
      <c r="AD288" s="347"/>
      <c r="AE288" s="347"/>
      <c r="AF288" s="347"/>
      <c r="AG288" s="347"/>
    </row>
    <row r="289">
      <c r="A289" s="347"/>
      <c r="B289" s="347"/>
      <c r="C289" s="347"/>
      <c r="D289" s="347"/>
      <c r="E289" s="347"/>
      <c r="F289" s="347"/>
      <c r="G289" s="347"/>
      <c r="H289" s="347"/>
      <c r="I289" s="347"/>
      <c r="J289" s="347"/>
      <c r="K289" s="347"/>
      <c r="L289" s="347"/>
      <c r="M289" s="347"/>
      <c r="N289" s="347"/>
      <c r="O289" s="347"/>
      <c r="P289" s="347"/>
      <c r="Q289" s="347"/>
      <c r="R289" s="347"/>
      <c r="S289" s="347"/>
      <c r="T289" s="347"/>
      <c r="U289" s="347"/>
      <c r="V289" s="347"/>
      <c r="W289" s="347"/>
      <c r="X289" s="347"/>
      <c r="Y289" s="347"/>
      <c r="Z289" s="347"/>
      <c r="AA289" s="347"/>
      <c r="AB289" s="347"/>
      <c r="AC289" s="347"/>
      <c r="AD289" s="347"/>
      <c r="AE289" s="347"/>
      <c r="AF289" s="347"/>
      <c r="AG289" s="347"/>
    </row>
    <row r="290">
      <c r="A290" s="347"/>
      <c r="B290" s="347"/>
      <c r="C290" s="347"/>
      <c r="D290" s="347"/>
      <c r="E290" s="347"/>
      <c r="F290" s="347"/>
      <c r="G290" s="347"/>
      <c r="H290" s="347"/>
      <c r="I290" s="347"/>
      <c r="J290" s="347"/>
      <c r="K290" s="347"/>
      <c r="L290" s="347"/>
      <c r="M290" s="347"/>
      <c r="N290" s="347"/>
      <c r="O290" s="347"/>
      <c r="P290" s="347"/>
      <c r="Q290" s="347"/>
      <c r="R290" s="347"/>
      <c r="S290" s="347"/>
      <c r="T290" s="347"/>
      <c r="U290" s="347"/>
      <c r="V290" s="347"/>
      <c r="W290" s="347"/>
      <c r="X290" s="347"/>
      <c r="Y290" s="347"/>
      <c r="Z290" s="347"/>
      <c r="AA290" s="347"/>
      <c r="AB290" s="347"/>
      <c r="AC290" s="347"/>
      <c r="AD290" s="347"/>
      <c r="AE290" s="347"/>
      <c r="AF290" s="347"/>
      <c r="AG290" s="347"/>
    </row>
    <row r="291">
      <c r="A291" s="347"/>
      <c r="B291" s="347"/>
      <c r="C291" s="347"/>
      <c r="D291" s="347"/>
      <c r="E291" s="347"/>
      <c r="F291" s="347"/>
      <c r="G291" s="347"/>
      <c r="H291" s="347"/>
      <c r="I291" s="347"/>
      <c r="J291" s="347"/>
      <c r="K291" s="347"/>
      <c r="L291" s="347"/>
      <c r="M291" s="347"/>
      <c r="N291" s="347"/>
      <c r="O291" s="347"/>
      <c r="P291" s="347"/>
      <c r="Q291" s="347"/>
      <c r="R291" s="347"/>
      <c r="S291" s="347"/>
      <c r="T291" s="347"/>
      <c r="U291" s="347"/>
      <c r="V291" s="347"/>
      <c r="W291" s="347"/>
      <c r="X291" s="347"/>
      <c r="Y291" s="347"/>
      <c r="Z291" s="347"/>
      <c r="AA291" s="347"/>
      <c r="AB291" s="347"/>
      <c r="AC291" s="347"/>
      <c r="AD291" s="347"/>
      <c r="AE291" s="347"/>
      <c r="AF291" s="347"/>
      <c r="AG291" s="347"/>
    </row>
    <row r="292">
      <c r="A292" s="347"/>
      <c r="B292" s="347"/>
      <c r="C292" s="347"/>
      <c r="D292" s="347"/>
      <c r="E292" s="347"/>
      <c r="F292" s="347"/>
      <c r="G292" s="347"/>
      <c r="H292" s="347"/>
      <c r="I292" s="347"/>
      <c r="J292" s="347"/>
      <c r="K292" s="347"/>
      <c r="L292" s="347"/>
      <c r="M292" s="347"/>
      <c r="N292" s="347"/>
      <c r="O292" s="347"/>
      <c r="P292" s="347"/>
      <c r="Q292" s="347"/>
      <c r="R292" s="347"/>
      <c r="S292" s="347"/>
      <c r="T292" s="347"/>
      <c r="U292" s="347"/>
      <c r="V292" s="347"/>
      <c r="W292" s="347"/>
      <c r="X292" s="347"/>
      <c r="Y292" s="347"/>
      <c r="Z292" s="347"/>
      <c r="AA292" s="347"/>
      <c r="AB292" s="347"/>
      <c r="AC292" s="347"/>
      <c r="AD292" s="347"/>
      <c r="AE292" s="347"/>
      <c r="AF292" s="347"/>
      <c r="AG292" s="347"/>
    </row>
    <row r="293">
      <c r="A293" s="347"/>
      <c r="B293" s="347"/>
      <c r="C293" s="347"/>
      <c r="D293" s="347"/>
      <c r="E293" s="347"/>
      <c r="F293" s="347"/>
      <c r="G293" s="347"/>
      <c r="H293" s="347"/>
      <c r="I293" s="347"/>
      <c r="J293" s="347"/>
      <c r="K293" s="347"/>
      <c r="L293" s="347"/>
      <c r="M293" s="347"/>
      <c r="N293" s="347"/>
      <c r="O293" s="347"/>
      <c r="P293" s="347"/>
      <c r="Q293" s="347"/>
      <c r="R293" s="347"/>
      <c r="S293" s="347"/>
      <c r="T293" s="347"/>
      <c r="U293" s="347"/>
      <c r="V293" s="347"/>
      <c r="W293" s="347"/>
      <c r="X293" s="347"/>
      <c r="Y293" s="347"/>
      <c r="Z293" s="347"/>
      <c r="AA293" s="347"/>
      <c r="AB293" s="347"/>
      <c r="AC293" s="347"/>
      <c r="AD293" s="347"/>
      <c r="AE293" s="347"/>
      <c r="AF293" s="347"/>
      <c r="AG293" s="347"/>
    </row>
    <row r="294">
      <c r="A294" s="347"/>
      <c r="B294" s="347"/>
      <c r="C294" s="347"/>
      <c r="D294" s="347"/>
      <c r="E294" s="347"/>
      <c r="F294" s="347"/>
      <c r="G294" s="347"/>
      <c r="H294" s="347"/>
      <c r="I294" s="347"/>
      <c r="J294" s="347"/>
      <c r="K294" s="347"/>
      <c r="L294" s="347"/>
      <c r="M294" s="347"/>
      <c r="N294" s="347"/>
      <c r="O294" s="347"/>
      <c r="P294" s="347"/>
      <c r="Q294" s="347"/>
      <c r="R294" s="347"/>
      <c r="S294" s="347"/>
      <c r="T294" s="347"/>
      <c r="U294" s="347"/>
      <c r="V294" s="347"/>
      <c r="W294" s="347"/>
      <c r="X294" s="347"/>
      <c r="Y294" s="347"/>
      <c r="Z294" s="347"/>
      <c r="AA294" s="347"/>
      <c r="AB294" s="347"/>
      <c r="AC294" s="347"/>
      <c r="AD294" s="347"/>
      <c r="AE294" s="347"/>
      <c r="AF294" s="347"/>
      <c r="AG294" s="347"/>
    </row>
    <row r="295">
      <c r="A295" s="347"/>
      <c r="B295" s="347"/>
      <c r="C295" s="347"/>
      <c r="D295" s="347"/>
      <c r="E295" s="347"/>
      <c r="F295" s="347"/>
      <c r="G295" s="347"/>
      <c r="H295" s="347"/>
      <c r="I295" s="347"/>
      <c r="J295" s="347"/>
      <c r="K295" s="347"/>
      <c r="L295" s="347"/>
      <c r="M295" s="347"/>
      <c r="N295" s="347"/>
      <c r="O295" s="347"/>
      <c r="P295" s="347"/>
      <c r="Q295" s="347"/>
      <c r="R295" s="347"/>
      <c r="S295" s="347"/>
      <c r="T295" s="347"/>
      <c r="U295" s="347"/>
      <c r="V295" s="347"/>
      <c r="W295" s="347"/>
      <c r="X295" s="347"/>
      <c r="Y295" s="347"/>
      <c r="Z295" s="347"/>
      <c r="AA295" s="347"/>
      <c r="AB295" s="347"/>
      <c r="AC295" s="347"/>
      <c r="AD295" s="347"/>
      <c r="AE295" s="347"/>
      <c r="AF295" s="347"/>
      <c r="AG295" s="347"/>
    </row>
    <row r="296">
      <c r="A296" s="347"/>
      <c r="B296" s="347"/>
      <c r="C296" s="347"/>
      <c r="D296" s="347"/>
      <c r="E296" s="347"/>
      <c r="F296" s="347"/>
      <c r="G296" s="347"/>
      <c r="H296" s="347"/>
      <c r="I296" s="347"/>
      <c r="J296" s="347"/>
      <c r="K296" s="347"/>
      <c r="L296" s="347"/>
      <c r="M296" s="347"/>
      <c r="N296" s="347"/>
      <c r="O296" s="347"/>
      <c r="P296" s="347"/>
      <c r="Q296" s="347"/>
      <c r="R296" s="347"/>
      <c r="S296" s="347"/>
      <c r="T296" s="347"/>
      <c r="U296" s="347"/>
      <c r="V296" s="347"/>
      <c r="W296" s="347"/>
      <c r="X296" s="347"/>
      <c r="Y296" s="347"/>
      <c r="Z296" s="347"/>
      <c r="AA296" s="347"/>
      <c r="AB296" s="347"/>
      <c r="AC296" s="347"/>
      <c r="AD296" s="347"/>
      <c r="AE296" s="347"/>
      <c r="AF296" s="347"/>
      <c r="AG296" s="347"/>
    </row>
    <row r="297">
      <c r="A297" s="347"/>
      <c r="B297" s="347"/>
      <c r="C297" s="347"/>
      <c r="D297" s="347"/>
      <c r="E297" s="347"/>
      <c r="F297" s="347"/>
      <c r="G297" s="347"/>
      <c r="H297" s="347"/>
      <c r="I297" s="347"/>
      <c r="J297" s="347"/>
      <c r="K297" s="347"/>
      <c r="L297" s="347"/>
      <c r="M297" s="347"/>
      <c r="N297" s="347"/>
      <c r="O297" s="347"/>
      <c r="P297" s="347"/>
      <c r="Q297" s="347"/>
      <c r="R297" s="347"/>
      <c r="S297" s="347"/>
      <c r="T297" s="347"/>
      <c r="U297" s="347"/>
      <c r="V297" s="347"/>
      <c r="W297" s="347"/>
      <c r="X297" s="347"/>
      <c r="Y297" s="347"/>
      <c r="Z297" s="347"/>
      <c r="AA297" s="347"/>
      <c r="AB297" s="347"/>
      <c r="AC297" s="347"/>
      <c r="AD297" s="347"/>
      <c r="AE297" s="347"/>
      <c r="AF297" s="347"/>
      <c r="AG297" s="347"/>
    </row>
    <row r="298">
      <c r="A298" s="347"/>
      <c r="B298" s="347"/>
      <c r="C298" s="347"/>
      <c r="D298" s="347"/>
      <c r="E298" s="347"/>
      <c r="F298" s="347"/>
      <c r="G298" s="347"/>
      <c r="H298" s="347"/>
      <c r="I298" s="347"/>
      <c r="J298" s="347"/>
      <c r="K298" s="347"/>
      <c r="L298" s="347"/>
      <c r="M298" s="347"/>
      <c r="N298" s="347"/>
      <c r="O298" s="347"/>
      <c r="P298" s="347"/>
      <c r="Q298" s="347"/>
      <c r="R298" s="347"/>
      <c r="S298" s="347"/>
      <c r="T298" s="347"/>
      <c r="U298" s="347"/>
      <c r="V298" s="347"/>
      <c r="W298" s="347"/>
      <c r="X298" s="347"/>
      <c r="Y298" s="347"/>
      <c r="Z298" s="347"/>
      <c r="AA298" s="347"/>
      <c r="AB298" s="347"/>
      <c r="AC298" s="347"/>
      <c r="AD298" s="347"/>
      <c r="AE298" s="347"/>
      <c r="AF298" s="347"/>
      <c r="AG298" s="347"/>
    </row>
    <row r="299">
      <c r="A299" s="347"/>
      <c r="B299" s="347"/>
      <c r="C299" s="347"/>
      <c r="D299" s="347"/>
      <c r="E299" s="347"/>
      <c r="F299" s="347"/>
      <c r="G299" s="347"/>
      <c r="H299" s="347"/>
      <c r="I299" s="347"/>
      <c r="J299" s="347"/>
      <c r="K299" s="347"/>
      <c r="L299" s="347"/>
      <c r="M299" s="347"/>
      <c r="N299" s="347"/>
      <c r="O299" s="347"/>
      <c r="P299" s="347"/>
      <c r="Q299" s="347"/>
      <c r="R299" s="347"/>
      <c r="S299" s="347"/>
      <c r="T299" s="347"/>
      <c r="U299" s="347"/>
      <c r="V299" s="347"/>
      <c r="W299" s="347"/>
      <c r="X299" s="347"/>
      <c r="Y299" s="347"/>
      <c r="Z299" s="347"/>
      <c r="AA299" s="347"/>
      <c r="AB299" s="347"/>
      <c r="AC299" s="347"/>
      <c r="AD299" s="347"/>
      <c r="AE299" s="347"/>
      <c r="AF299" s="347"/>
      <c r="AG299" s="347"/>
    </row>
    <row r="300">
      <c r="A300" s="347"/>
      <c r="B300" s="347"/>
      <c r="C300" s="347"/>
      <c r="D300" s="347"/>
      <c r="E300" s="347"/>
      <c r="F300" s="347"/>
      <c r="G300" s="347"/>
      <c r="H300" s="347"/>
      <c r="I300" s="347"/>
      <c r="J300" s="347"/>
      <c r="K300" s="347"/>
      <c r="L300" s="347"/>
      <c r="M300" s="347"/>
      <c r="N300" s="347"/>
      <c r="O300" s="347"/>
      <c r="P300" s="347"/>
      <c r="Q300" s="347"/>
      <c r="R300" s="347"/>
      <c r="S300" s="347"/>
      <c r="T300" s="347"/>
      <c r="U300" s="347"/>
      <c r="V300" s="347"/>
      <c r="W300" s="347"/>
      <c r="X300" s="347"/>
      <c r="Y300" s="347"/>
      <c r="Z300" s="347"/>
      <c r="AA300" s="347"/>
      <c r="AB300" s="347"/>
      <c r="AC300" s="347"/>
      <c r="AD300" s="347"/>
      <c r="AE300" s="347"/>
      <c r="AF300" s="347"/>
      <c r="AG300" s="347"/>
    </row>
    <row r="301">
      <c r="A301" s="347"/>
      <c r="B301" s="347"/>
      <c r="C301" s="347"/>
      <c r="D301" s="347"/>
      <c r="E301" s="347"/>
      <c r="F301" s="347"/>
      <c r="G301" s="347"/>
      <c r="H301" s="347"/>
      <c r="I301" s="347"/>
      <c r="J301" s="347"/>
      <c r="K301" s="347"/>
      <c r="L301" s="347"/>
      <c r="M301" s="347"/>
      <c r="N301" s="347"/>
      <c r="O301" s="347"/>
      <c r="P301" s="347"/>
      <c r="Q301" s="347"/>
      <c r="R301" s="347"/>
      <c r="S301" s="347"/>
      <c r="T301" s="347"/>
      <c r="U301" s="347"/>
      <c r="V301" s="347"/>
      <c r="W301" s="347"/>
      <c r="X301" s="347"/>
      <c r="Y301" s="347"/>
      <c r="Z301" s="347"/>
      <c r="AA301" s="347"/>
      <c r="AB301" s="347"/>
      <c r="AC301" s="347"/>
      <c r="AD301" s="347"/>
      <c r="AE301" s="347"/>
      <c r="AF301" s="347"/>
      <c r="AG301" s="347"/>
    </row>
    <row r="302">
      <c r="A302" s="347"/>
      <c r="B302" s="347"/>
      <c r="C302" s="347"/>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c r="AA302" s="347"/>
      <c r="AB302" s="347"/>
      <c r="AC302" s="347"/>
      <c r="AD302" s="347"/>
      <c r="AE302" s="347"/>
      <c r="AF302" s="347"/>
      <c r="AG302" s="347"/>
    </row>
    <row r="303">
      <c r="A303" s="347"/>
      <c r="B303" s="347"/>
      <c r="C303" s="347"/>
      <c r="D303" s="347"/>
      <c r="E303" s="347"/>
      <c r="F303" s="347"/>
      <c r="G303" s="347"/>
      <c r="H303" s="347"/>
      <c r="I303" s="347"/>
      <c r="J303" s="347"/>
      <c r="K303" s="347"/>
      <c r="L303" s="347"/>
      <c r="M303" s="347"/>
      <c r="N303" s="347"/>
      <c r="O303" s="347"/>
      <c r="P303" s="347"/>
      <c r="Q303" s="347"/>
      <c r="R303" s="347"/>
      <c r="S303" s="347"/>
      <c r="T303" s="347"/>
      <c r="U303" s="347"/>
      <c r="V303" s="347"/>
      <c r="W303" s="347"/>
      <c r="X303" s="347"/>
      <c r="Y303" s="347"/>
      <c r="Z303" s="347"/>
      <c r="AA303" s="347"/>
      <c r="AB303" s="347"/>
      <c r="AC303" s="347"/>
      <c r="AD303" s="347"/>
      <c r="AE303" s="347"/>
      <c r="AF303" s="347"/>
      <c r="AG303" s="347"/>
    </row>
    <row r="304">
      <c r="A304" s="347"/>
      <c r="B304" s="347"/>
      <c r="C304" s="347"/>
      <c r="D304" s="347"/>
      <c r="E304" s="347"/>
      <c r="F304" s="347"/>
      <c r="G304" s="347"/>
      <c r="H304" s="347"/>
      <c r="I304" s="347"/>
      <c r="J304" s="347"/>
      <c r="K304" s="347"/>
      <c r="L304" s="347"/>
      <c r="M304" s="347"/>
      <c r="N304" s="347"/>
      <c r="O304" s="347"/>
      <c r="P304" s="347"/>
      <c r="Q304" s="347"/>
      <c r="R304" s="347"/>
      <c r="S304" s="347"/>
      <c r="T304" s="347"/>
      <c r="U304" s="347"/>
      <c r="V304" s="347"/>
      <c r="W304" s="347"/>
      <c r="X304" s="347"/>
      <c r="Y304" s="347"/>
      <c r="Z304" s="347"/>
      <c r="AA304" s="347"/>
      <c r="AB304" s="347"/>
      <c r="AC304" s="347"/>
      <c r="AD304" s="347"/>
      <c r="AE304" s="347"/>
      <c r="AF304" s="347"/>
      <c r="AG304" s="347"/>
    </row>
    <row r="305">
      <c r="A305" s="347"/>
      <c r="B305" s="347"/>
      <c r="C305" s="347"/>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c r="AA305" s="347"/>
      <c r="AB305" s="347"/>
      <c r="AC305" s="347"/>
      <c r="AD305" s="347"/>
      <c r="AE305" s="347"/>
      <c r="AF305" s="347"/>
      <c r="AG305" s="347"/>
    </row>
    <row r="306">
      <c r="A306" s="347"/>
      <c r="B306" s="347"/>
      <c r="C306" s="347"/>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c r="AA306" s="347"/>
      <c r="AB306" s="347"/>
      <c r="AC306" s="347"/>
      <c r="AD306" s="347"/>
      <c r="AE306" s="347"/>
      <c r="AF306" s="347"/>
      <c r="AG306" s="347"/>
    </row>
    <row r="307">
      <c r="A307" s="347"/>
      <c r="B307" s="347"/>
      <c r="C307" s="347"/>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c r="AA307" s="347"/>
      <c r="AB307" s="347"/>
      <c r="AC307" s="347"/>
      <c r="AD307" s="347"/>
      <c r="AE307" s="347"/>
      <c r="AF307" s="347"/>
      <c r="AG307" s="347"/>
    </row>
    <row r="308">
      <c r="A308" s="347"/>
      <c r="B308" s="347"/>
      <c r="C308" s="347"/>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c r="AA308" s="347"/>
      <c r="AB308" s="347"/>
      <c r="AC308" s="347"/>
      <c r="AD308" s="347"/>
      <c r="AE308" s="347"/>
      <c r="AF308" s="347"/>
      <c r="AG308" s="347"/>
    </row>
    <row r="309">
      <c r="A309" s="347"/>
      <c r="B309" s="347"/>
      <c r="C309" s="347"/>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c r="AA309" s="347"/>
      <c r="AB309" s="347"/>
      <c r="AC309" s="347"/>
      <c r="AD309" s="347"/>
      <c r="AE309" s="347"/>
      <c r="AF309" s="347"/>
      <c r="AG309" s="347"/>
    </row>
    <row r="310">
      <c r="A310" s="347"/>
      <c r="B310" s="347"/>
      <c r="C310" s="347"/>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c r="AA310" s="347"/>
      <c r="AB310" s="347"/>
      <c r="AC310" s="347"/>
      <c r="AD310" s="347"/>
      <c r="AE310" s="347"/>
      <c r="AF310" s="347"/>
      <c r="AG310" s="347"/>
    </row>
    <row r="311">
      <c r="A311" s="347"/>
      <c r="B311" s="347"/>
      <c r="C311" s="347"/>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c r="AB311" s="347"/>
      <c r="AC311" s="347"/>
      <c r="AD311" s="347"/>
      <c r="AE311" s="347"/>
      <c r="AF311" s="347"/>
      <c r="AG311" s="347"/>
    </row>
    <row r="312">
      <c r="A312" s="347"/>
      <c r="B312" s="347"/>
      <c r="C312" s="347"/>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c r="AA312" s="347"/>
      <c r="AB312" s="347"/>
      <c r="AC312" s="347"/>
      <c r="AD312" s="347"/>
      <c r="AE312" s="347"/>
      <c r="AF312" s="347"/>
      <c r="AG312" s="347"/>
    </row>
    <row r="313">
      <c r="A313" s="347"/>
      <c r="B313" s="347"/>
      <c r="C313" s="347"/>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c r="AA313" s="347"/>
      <c r="AB313" s="347"/>
      <c r="AC313" s="347"/>
      <c r="AD313" s="347"/>
      <c r="AE313" s="347"/>
      <c r="AF313" s="347"/>
      <c r="AG313" s="347"/>
    </row>
    <row r="314">
      <c r="A314" s="347"/>
      <c r="B314" s="347"/>
      <c r="C314" s="347"/>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c r="AB314" s="347"/>
      <c r="AC314" s="347"/>
      <c r="AD314" s="347"/>
      <c r="AE314" s="347"/>
      <c r="AF314" s="347"/>
      <c r="AG314" s="347"/>
    </row>
    <row r="315">
      <c r="A315" s="347"/>
      <c r="B315" s="347"/>
      <c r="C315" s="347"/>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c r="AA315" s="347"/>
      <c r="AB315" s="347"/>
      <c r="AC315" s="347"/>
      <c r="AD315" s="347"/>
      <c r="AE315" s="347"/>
      <c r="AF315" s="347"/>
      <c r="AG315" s="347"/>
    </row>
    <row r="316">
      <c r="A316" s="347"/>
      <c r="B316" s="347"/>
      <c r="C316" s="347"/>
      <c r="D316" s="347"/>
      <c r="E316" s="347"/>
      <c r="F316" s="347"/>
      <c r="G316" s="347"/>
      <c r="H316" s="347"/>
      <c r="I316" s="347"/>
      <c r="J316" s="347"/>
      <c r="K316" s="347"/>
      <c r="L316" s="347"/>
      <c r="M316" s="347"/>
      <c r="N316" s="347"/>
      <c r="O316" s="347"/>
      <c r="P316" s="347"/>
      <c r="Q316" s="347"/>
      <c r="R316" s="347"/>
      <c r="S316" s="347"/>
      <c r="T316" s="347"/>
      <c r="U316" s="347"/>
      <c r="V316" s="347"/>
      <c r="W316" s="347"/>
      <c r="X316" s="347"/>
      <c r="Y316" s="347"/>
      <c r="Z316" s="347"/>
      <c r="AA316" s="347"/>
      <c r="AB316" s="347"/>
      <c r="AC316" s="347"/>
      <c r="AD316" s="347"/>
      <c r="AE316" s="347"/>
      <c r="AF316" s="347"/>
      <c r="AG316" s="347"/>
    </row>
    <row r="317">
      <c r="A317" s="347"/>
      <c r="B317" s="347"/>
      <c r="C317" s="347"/>
      <c r="D317" s="347"/>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c r="AA317" s="347"/>
      <c r="AB317" s="347"/>
      <c r="AC317" s="347"/>
      <c r="AD317" s="347"/>
      <c r="AE317" s="347"/>
      <c r="AF317" s="347"/>
      <c r="AG317" s="347"/>
    </row>
    <row r="318">
      <c r="A318" s="347"/>
      <c r="B318" s="347"/>
      <c r="C318" s="347"/>
      <c r="D318" s="347"/>
      <c r="E318" s="347"/>
      <c r="F318" s="347"/>
      <c r="G318" s="347"/>
      <c r="H318" s="347"/>
      <c r="I318" s="347"/>
      <c r="J318" s="347"/>
      <c r="K318" s="347"/>
      <c r="L318" s="347"/>
      <c r="M318" s="347"/>
      <c r="N318" s="347"/>
      <c r="O318" s="347"/>
      <c r="P318" s="347"/>
      <c r="Q318" s="347"/>
      <c r="R318" s="347"/>
      <c r="S318" s="347"/>
      <c r="T318" s="347"/>
      <c r="U318" s="347"/>
      <c r="V318" s="347"/>
      <c r="W318" s="347"/>
      <c r="X318" s="347"/>
      <c r="Y318" s="347"/>
      <c r="Z318" s="347"/>
      <c r="AA318" s="347"/>
      <c r="AB318" s="347"/>
      <c r="AC318" s="347"/>
      <c r="AD318" s="347"/>
      <c r="AE318" s="347"/>
      <c r="AF318" s="347"/>
      <c r="AG318" s="347"/>
    </row>
    <row r="319">
      <c r="A319" s="347"/>
      <c r="B319" s="347"/>
      <c r="C319" s="347"/>
      <c r="D319" s="347"/>
      <c r="E319" s="347"/>
      <c r="F319" s="347"/>
      <c r="G319" s="347"/>
      <c r="H319" s="347"/>
      <c r="I319" s="347"/>
      <c r="J319" s="347"/>
      <c r="K319" s="347"/>
      <c r="L319" s="347"/>
      <c r="M319" s="347"/>
      <c r="N319" s="347"/>
      <c r="O319" s="347"/>
      <c r="P319" s="347"/>
      <c r="Q319" s="347"/>
      <c r="R319" s="347"/>
      <c r="S319" s="347"/>
      <c r="T319" s="347"/>
      <c r="U319" s="347"/>
      <c r="V319" s="347"/>
      <c r="W319" s="347"/>
      <c r="X319" s="347"/>
      <c r="Y319" s="347"/>
      <c r="Z319" s="347"/>
      <c r="AA319" s="347"/>
      <c r="AB319" s="347"/>
      <c r="AC319" s="347"/>
      <c r="AD319" s="347"/>
      <c r="AE319" s="347"/>
      <c r="AF319" s="347"/>
      <c r="AG319" s="347"/>
    </row>
    <row r="320">
      <c r="A320" s="347"/>
      <c r="B320" s="347"/>
      <c r="C320" s="347"/>
      <c r="D320" s="347"/>
      <c r="E320" s="347"/>
      <c r="F320" s="347"/>
      <c r="G320" s="347"/>
      <c r="H320" s="347"/>
      <c r="I320" s="347"/>
      <c r="J320" s="347"/>
      <c r="K320" s="347"/>
      <c r="L320" s="347"/>
      <c r="M320" s="347"/>
      <c r="N320" s="347"/>
      <c r="O320" s="347"/>
      <c r="P320" s="347"/>
      <c r="Q320" s="347"/>
      <c r="R320" s="347"/>
      <c r="S320" s="347"/>
      <c r="T320" s="347"/>
      <c r="U320" s="347"/>
      <c r="V320" s="347"/>
      <c r="W320" s="347"/>
      <c r="X320" s="347"/>
      <c r="Y320" s="347"/>
      <c r="Z320" s="347"/>
      <c r="AA320" s="347"/>
      <c r="AB320" s="347"/>
      <c r="AC320" s="347"/>
      <c r="AD320" s="347"/>
      <c r="AE320" s="347"/>
      <c r="AF320" s="347"/>
      <c r="AG320" s="347"/>
    </row>
    <row r="321">
      <c r="A321" s="347"/>
      <c r="B321" s="347"/>
      <c r="C321" s="347"/>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c r="AA321" s="347"/>
      <c r="AB321" s="347"/>
      <c r="AC321" s="347"/>
      <c r="AD321" s="347"/>
      <c r="AE321" s="347"/>
      <c r="AF321" s="347"/>
      <c r="AG321" s="347"/>
    </row>
    <row r="322">
      <c r="A322" s="347"/>
      <c r="B322" s="347"/>
      <c r="C322" s="347"/>
      <c r="D322" s="347"/>
      <c r="E322" s="347"/>
      <c r="F322" s="347"/>
      <c r="G322" s="347"/>
      <c r="H322" s="347"/>
      <c r="I322" s="347"/>
      <c r="J322" s="347"/>
      <c r="K322" s="347"/>
      <c r="L322" s="347"/>
      <c r="M322" s="347"/>
      <c r="N322" s="347"/>
      <c r="O322" s="347"/>
      <c r="P322" s="347"/>
      <c r="Q322" s="347"/>
      <c r="R322" s="347"/>
      <c r="S322" s="347"/>
      <c r="T322" s="347"/>
      <c r="U322" s="347"/>
      <c r="V322" s="347"/>
      <c r="W322" s="347"/>
      <c r="X322" s="347"/>
      <c r="Y322" s="347"/>
      <c r="Z322" s="347"/>
      <c r="AA322" s="347"/>
      <c r="AB322" s="347"/>
      <c r="AC322" s="347"/>
      <c r="AD322" s="347"/>
      <c r="AE322" s="347"/>
      <c r="AF322" s="347"/>
      <c r="AG322" s="347"/>
    </row>
    <row r="323">
      <c r="A323" s="347"/>
      <c r="B323" s="347"/>
      <c r="C323" s="347"/>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c r="AA323" s="347"/>
      <c r="AB323" s="347"/>
      <c r="AC323" s="347"/>
      <c r="AD323" s="347"/>
      <c r="AE323" s="347"/>
      <c r="AF323" s="347"/>
      <c r="AG323" s="347"/>
    </row>
    <row r="324">
      <c r="A324" s="347"/>
      <c r="B324" s="347"/>
      <c r="C324" s="347"/>
      <c r="D324" s="347"/>
      <c r="E324" s="347"/>
      <c r="F324" s="347"/>
      <c r="G324" s="347"/>
      <c r="H324" s="347"/>
      <c r="I324" s="347"/>
      <c r="J324" s="347"/>
      <c r="K324" s="347"/>
      <c r="L324" s="347"/>
      <c r="M324" s="347"/>
      <c r="N324" s="347"/>
      <c r="O324" s="347"/>
      <c r="P324" s="347"/>
      <c r="Q324" s="347"/>
      <c r="R324" s="347"/>
      <c r="S324" s="347"/>
      <c r="T324" s="347"/>
      <c r="U324" s="347"/>
      <c r="V324" s="347"/>
      <c r="W324" s="347"/>
      <c r="X324" s="347"/>
      <c r="Y324" s="347"/>
      <c r="Z324" s="347"/>
      <c r="AA324" s="347"/>
      <c r="AB324" s="347"/>
      <c r="AC324" s="347"/>
      <c r="AD324" s="347"/>
      <c r="AE324" s="347"/>
      <c r="AF324" s="347"/>
      <c r="AG324" s="347"/>
    </row>
    <row r="325">
      <c r="A325" s="347"/>
      <c r="B325" s="347"/>
      <c r="C325" s="347"/>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c r="AA325" s="347"/>
      <c r="AB325" s="347"/>
      <c r="AC325" s="347"/>
      <c r="AD325" s="347"/>
      <c r="AE325" s="347"/>
      <c r="AF325" s="347"/>
      <c r="AG325" s="347"/>
    </row>
    <row r="326">
      <c r="A326" s="347"/>
      <c r="B326" s="347"/>
      <c r="C326" s="347"/>
      <c r="D326" s="347"/>
      <c r="E326" s="347"/>
      <c r="F326" s="347"/>
      <c r="G326" s="347"/>
      <c r="H326" s="347"/>
      <c r="I326" s="347"/>
      <c r="J326" s="347"/>
      <c r="K326" s="347"/>
      <c r="L326" s="347"/>
      <c r="M326" s="347"/>
      <c r="N326" s="347"/>
      <c r="O326" s="347"/>
      <c r="P326" s="347"/>
      <c r="Q326" s="347"/>
      <c r="R326" s="347"/>
      <c r="S326" s="347"/>
      <c r="T326" s="347"/>
      <c r="U326" s="347"/>
      <c r="V326" s="347"/>
      <c r="W326" s="347"/>
      <c r="X326" s="347"/>
      <c r="Y326" s="347"/>
      <c r="Z326" s="347"/>
      <c r="AA326" s="347"/>
      <c r="AB326" s="347"/>
      <c r="AC326" s="347"/>
      <c r="AD326" s="347"/>
      <c r="AE326" s="347"/>
      <c r="AF326" s="347"/>
      <c r="AG326" s="347"/>
    </row>
    <row r="327">
      <c r="A327" s="347"/>
      <c r="B327" s="347"/>
      <c r="C327" s="347"/>
      <c r="D327" s="347"/>
      <c r="E327" s="347"/>
      <c r="F327" s="347"/>
      <c r="G327" s="347"/>
      <c r="H327" s="347"/>
      <c r="I327" s="347"/>
      <c r="J327" s="347"/>
      <c r="K327" s="347"/>
      <c r="L327" s="347"/>
      <c r="M327" s="347"/>
      <c r="N327" s="347"/>
      <c r="O327" s="347"/>
      <c r="P327" s="347"/>
      <c r="Q327" s="347"/>
      <c r="R327" s="347"/>
      <c r="S327" s="347"/>
      <c r="T327" s="347"/>
      <c r="U327" s="347"/>
      <c r="V327" s="347"/>
      <c r="W327" s="347"/>
      <c r="X327" s="347"/>
      <c r="Y327" s="347"/>
      <c r="Z327" s="347"/>
      <c r="AA327" s="347"/>
      <c r="AB327" s="347"/>
      <c r="AC327" s="347"/>
      <c r="AD327" s="347"/>
      <c r="AE327" s="347"/>
      <c r="AF327" s="347"/>
      <c r="AG327" s="347"/>
    </row>
    <row r="328">
      <c r="A328" s="347"/>
      <c r="B328" s="347"/>
      <c r="C328" s="347"/>
      <c r="D328" s="347"/>
      <c r="E328" s="347"/>
      <c r="F328" s="347"/>
      <c r="G328" s="347"/>
      <c r="H328" s="347"/>
      <c r="I328" s="347"/>
      <c r="J328" s="347"/>
      <c r="K328" s="347"/>
      <c r="L328" s="347"/>
      <c r="M328" s="347"/>
      <c r="N328" s="347"/>
      <c r="O328" s="347"/>
      <c r="P328" s="347"/>
      <c r="Q328" s="347"/>
      <c r="R328" s="347"/>
      <c r="S328" s="347"/>
      <c r="T328" s="347"/>
      <c r="U328" s="347"/>
      <c r="V328" s="347"/>
      <c r="W328" s="347"/>
      <c r="X328" s="347"/>
      <c r="Y328" s="347"/>
      <c r="Z328" s="347"/>
      <c r="AA328" s="347"/>
      <c r="AB328" s="347"/>
      <c r="AC328" s="347"/>
      <c r="AD328" s="347"/>
      <c r="AE328" s="347"/>
      <c r="AF328" s="347"/>
      <c r="AG328" s="347"/>
    </row>
    <row r="329">
      <c r="A329" s="347"/>
      <c r="B329" s="347"/>
      <c r="C329" s="347"/>
      <c r="D329" s="347"/>
      <c r="E329" s="347"/>
      <c r="F329" s="347"/>
      <c r="G329" s="347"/>
      <c r="H329" s="347"/>
      <c r="I329" s="347"/>
      <c r="J329" s="347"/>
      <c r="K329" s="347"/>
      <c r="L329" s="347"/>
      <c r="M329" s="347"/>
      <c r="N329" s="347"/>
      <c r="O329" s="347"/>
      <c r="P329" s="347"/>
      <c r="Q329" s="347"/>
      <c r="R329" s="347"/>
      <c r="S329" s="347"/>
      <c r="T329" s="347"/>
      <c r="U329" s="347"/>
      <c r="V329" s="347"/>
      <c r="W329" s="347"/>
      <c r="X329" s="347"/>
      <c r="Y329" s="347"/>
      <c r="Z329" s="347"/>
      <c r="AA329" s="347"/>
      <c r="AB329" s="347"/>
      <c r="AC329" s="347"/>
      <c r="AD329" s="347"/>
      <c r="AE329" s="347"/>
      <c r="AF329" s="347"/>
      <c r="AG329" s="347"/>
    </row>
    <row r="330">
      <c r="A330" s="347"/>
      <c r="B330" s="347"/>
      <c r="C330" s="347"/>
      <c r="D330" s="347"/>
      <c r="E330" s="347"/>
      <c r="F330" s="347"/>
      <c r="G330" s="347"/>
      <c r="H330" s="347"/>
      <c r="I330" s="347"/>
      <c r="J330" s="347"/>
      <c r="K330" s="347"/>
      <c r="L330" s="347"/>
      <c r="M330" s="347"/>
      <c r="N330" s="347"/>
      <c r="O330" s="347"/>
      <c r="P330" s="347"/>
      <c r="Q330" s="347"/>
      <c r="R330" s="347"/>
      <c r="S330" s="347"/>
      <c r="T330" s="347"/>
      <c r="U330" s="347"/>
      <c r="V330" s="347"/>
      <c r="W330" s="347"/>
      <c r="X330" s="347"/>
      <c r="Y330" s="347"/>
      <c r="Z330" s="347"/>
      <c r="AA330" s="347"/>
      <c r="AB330" s="347"/>
      <c r="AC330" s="347"/>
      <c r="AD330" s="347"/>
      <c r="AE330" s="347"/>
      <c r="AF330" s="347"/>
      <c r="AG330" s="347"/>
    </row>
    <row r="331">
      <c r="A331" s="347"/>
      <c r="B331" s="347"/>
      <c r="C331" s="347"/>
      <c r="D331" s="347"/>
      <c r="E331" s="347"/>
      <c r="F331" s="347"/>
      <c r="G331" s="347"/>
      <c r="H331" s="347"/>
      <c r="I331" s="347"/>
      <c r="J331" s="347"/>
      <c r="K331" s="347"/>
      <c r="L331" s="347"/>
      <c r="M331" s="347"/>
      <c r="N331" s="347"/>
      <c r="O331" s="347"/>
      <c r="P331" s="347"/>
      <c r="Q331" s="347"/>
      <c r="R331" s="347"/>
      <c r="S331" s="347"/>
      <c r="T331" s="347"/>
      <c r="U331" s="347"/>
      <c r="V331" s="347"/>
      <c r="W331" s="347"/>
      <c r="X331" s="347"/>
      <c r="Y331" s="347"/>
      <c r="Z331" s="347"/>
      <c r="AA331" s="347"/>
      <c r="AB331" s="347"/>
      <c r="AC331" s="347"/>
      <c r="AD331" s="347"/>
      <c r="AE331" s="347"/>
      <c r="AF331" s="347"/>
      <c r="AG331" s="347"/>
    </row>
    <row r="332">
      <c r="A332" s="347"/>
      <c r="B332" s="347"/>
      <c r="C332" s="347"/>
      <c r="D332" s="347"/>
      <c r="E332" s="347"/>
      <c r="F332" s="347"/>
      <c r="G332" s="347"/>
      <c r="H332" s="347"/>
      <c r="I332" s="347"/>
      <c r="J332" s="347"/>
      <c r="K332" s="347"/>
      <c r="L332" s="347"/>
      <c r="M332" s="347"/>
      <c r="N332" s="347"/>
      <c r="O332" s="347"/>
      <c r="P332" s="347"/>
      <c r="Q332" s="347"/>
      <c r="R332" s="347"/>
      <c r="S332" s="347"/>
      <c r="T332" s="347"/>
      <c r="U332" s="347"/>
      <c r="V332" s="347"/>
      <c r="W332" s="347"/>
      <c r="X332" s="347"/>
      <c r="Y332" s="347"/>
      <c r="Z332" s="347"/>
      <c r="AA332" s="347"/>
      <c r="AB332" s="347"/>
      <c r="AC332" s="347"/>
      <c r="AD332" s="347"/>
      <c r="AE332" s="347"/>
      <c r="AF332" s="347"/>
      <c r="AG332" s="347"/>
    </row>
    <row r="333">
      <c r="A333" s="347"/>
      <c r="B333" s="347"/>
      <c r="C333" s="347"/>
      <c r="D333" s="347"/>
      <c r="E333" s="347"/>
      <c r="F333" s="347"/>
      <c r="G333" s="347"/>
      <c r="H333" s="347"/>
      <c r="I333" s="347"/>
      <c r="J333" s="347"/>
      <c r="K333" s="347"/>
      <c r="L333" s="347"/>
      <c r="M333" s="347"/>
      <c r="N333" s="347"/>
      <c r="O333" s="347"/>
      <c r="P333" s="347"/>
      <c r="Q333" s="347"/>
      <c r="R333" s="347"/>
      <c r="S333" s="347"/>
      <c r="T333" s="347"/>
      <c r="U333" s="347"/>
      <c r="V333" s="347"/>
      <c r="W333" s="347"/>
      <c r="X333" s="347"/>
      <c r="Y333" s="347"/>
      <c r="Z333" s="347"/>
      <c r="AA333" s="347"/>
      <c r="AB333" s="347"/>
      <c r="AC333" s="347"/>
      <c r="AD333" s="347"/>
      <c r="AE333" s="347"/>
      <c r="AF333" s="347"/>
      <c r="AG333" s="347"/>
    </row>
    <row r="334">
      <c r="A334" s="347"/>
      <c r="B334" s="347"/>
      <c r="C334" s="347"/>
      <c r="D334" s="347"/>
      <c r="E334" s="347"/>
      <c r="F334" s="347"/>
      <c r="G334" s="347"/>
      <c r="H334" s="347"/>
      <c r="I334" s="347"/>
      <c r="J334" s="347"/>
      <c r="K334" s="347"/>
      <c r="L334" s="347"/>
      <c r="M334" s="347"/>
      <c r="N334" s="347"/>
      <c r="O334" s="347"/>
      <c r="P334" s="347"/>
      <c r="Q334" s="347"/>
      <c r="R334" s="347"/>
      <c r="S334" s="347"/>
      <c r="T334" s="347"/>
      <c r="U334" s="347"/>
      <c r="V334" s="347"/>
      <c r="W334" s="347"/>
      <c r="X334" s="347"/>
      <c r="Y334" s="347"/>
      <c r="Z334" s="347"/>
      <c r="AA334" s="347"/>
      <c r="AB334" s="347"/>
      <c r="AC334" s="347"/>
      <c r="AD334" s="347"/>
      <c r="AE334" s="347"/>
      <c r="AF334" s="347"/>
      <c r="AG334" s="347"/>
    </row>
    <row r="335">
      <c r="A335" s="347"/>
      <c r="B335" s="347"/>
      <c r="C335" s="347"/>
      <c r="D335" s="347"/>
      <c r="E335" s="347"/>
      <c r="F335" s="347"/>
      <c r="G335" s="347"/>
      <c r="H335" s="347"/>
      <c r="I335" s="347"/>
      <c r="J335" s="347"/>
      <c r="K335" s="347"/>
      <c r="L335" s="347"/>
      <c r="M335" s="347"/>
      <c r="N335" s="347"/>
      <c r="O335" s="347"/>
      <c r="P335" s="347"/>
      <c r="Q335" s="347"/>
      <c r="R335" s="347"/>
      <c r="S335" s="347"/>
      <c r="T335" s="347"/>
      <c r="U335" s="347"/>
      <c r="V335" s="347"/>
      <c r="W335" s="347"/>
      <c r="X335" s="347"/>
      <c r="Y335" s="347"/>
      <c r="Z335" s="347"/>
      <c r="AA335" s="347"/>
      <c r="AB335" s="347"/>
      <c r="AC335" s="347"/>
      <c r="AD335" s="347"/>
      <c r="AE335" s="347"/>
      <c r="AF335" s="347"/>
      <c r="AG335" s="347"/>
    </row>
    <row r="336">
      <c r="A336" s="347"/>
      <c r="B336" s="347"/>
      <c r="C336" s="347"/>
      <c r="D336" s="347"/>
      <c r="E336" s="347"/>
      <c r="F336" s="347"/>
      <c r="G336" s="347"/>
      <c r="H336" s="347"/>
      <c r="I336" s="347"/>
      <c r="J336" s="347"/>
      <c r="K336" s="347"/>
      <c r="L336" s="347"/>
      <c r="M336" s="347"/>
      <c r="N336" s="347"/>
      <c r="O336" s="347"/>
      <c r="P336" s="347"/>
      <c r="Q336" s="347"/>
      <c r="R336" s="347"/>
      <c r="S336" s="347"/>
      <c r="T336" s="347"/>
      <c r="U336" s="347"/>
      <c r="V336" s="347"/>
      <c r="W336" s="347"/>
      <c r="X336" s="347"/>
      <c r="Y336" s="347"/>
      <c r="Z336" s="347"/>
      <c r="AA336" s="347"/>
      <c r="AB336" s="347"/>
      <c r="AC336" s="347"/>
      <c r="AD336" s="347"/>
      <c r="AE336" s="347"/>
      <c r="AF336" s="347"/>
      <c r="AG336" s="347"/>
    </row>
    <row r="337">
      <c r="A337" s="347"/>
      <c r="B337" s="347"/>
      <c r="C337" s="347"/>
      <c r="D337" s="347"/>
      <c r="E337" s="347"/>
      <c r="F337" s="347"/>
      <c r="G337" s="347"/>
      <c r="H337" s="347"/>
      <c r="I337" s="347"/>
      <c r="J337" s="347"/>
      <c r="K337" s="347"/>
      <c r="L337" s="347"/>
      <c r="M337" s="347"/>
      <c r="N337" s="347"/>
      <c r="O337" s="347"/>
      <c r="P337" s="347"/>
      <c r="Q337" s="347"/>
      <c r="R337" s="347"/>
      <c r="S337" s="347"/>
      <c r="T337" s="347"/>
      <c r="U337" s="347"/>
      <c r="V337" s="347"/>
      <c r="W337" s="347"/>
      <c r="X337" s="347"/>
      <c r="Y337" s="347"/>
      <c r="Z337" s="347"/>
      <c r="AA337" s="347"/>
      <c r="AB337" s="347"/>
      <c r="AC337" s="347"/>
      <c r="AD337" s="347"/>
      <c r="AE337" s="347"/>
      <c r="AF337" s="347"/>
      <c r="AG337" s="347"/>
    </row>
    <row r="338">
      <c r="A338" s="347"/>
      <c r="B338" s="347"/>
      <c r="C338" s="347"/>
      <c r="D338" s="347"/>
      <c r="E338" s="347"/>
      <c r="F338" s="347"/>
      <c r="G338" s="347"/>
      <c r="H338" s="347"/>
      <c r="I338" s="347"/>
      <c r="J338" s="347"/>
      <c r="K338" s="347"/>
      <c r="L338" s="347"/>
      <c r="M338" s="347"/>
      <c r="N338" s="347"/>
      <c r="O338" s="347"/>
      <c r="P338" s="347"/>
      <c r="Q338" s="347"/>
      <c r="R338" s="347"/>
      <c r="S338" s="347"/>
      <c r="T338" s="347"/>
      <c r="U338" s="347"/>
      <c r="V338" s="347"/>
      <c r="W338" s="347"/>
      <c r="X338" s="347"/>
      <c r="Y338" s="347"/>
      <c r="Z338" s="347"/>
      <c r="AA338" s="347"/>
      <c r="AB338" s="347"/>
      <c r="AC338" s="347"/>
      <c r="AD338" s="347"/>
      <c r="AE338" s="347"/>
      <c r="AF338" s="347"/>
      <c r="AG338" s="347"/>
    </row>
    <row r="339">
      <c r="A339" s="347"/>
      <c r="B339" s="347"/>
      <c r="C339" s="347"/>
      <c r="D339" s="347"/>
      <c r="E339" s="347"/>
      <c r="F339" s="347"/>
      <c r="G339" s="347"/>
      <c r="H339" s="347"/>
      <c r="I339" s="347"/>
      <c r="J339" s="347"/>
      <c r="K339" s="347"/>
      <c r="L339" s="347"/>
      <c r="M339" s="347"/>
      <c r="N339" s="347"/>
      <c r="O339" s="347"/>
      <c r="P339" s="347"/>
      <c r="Q339" s="347"/>
      <c r="R339" s="347"/>
      <c r="S339" s="347"/>
      <c r="T339" s="347"/>
      <c r="U339" s="347"/>
      <c r="V339" s="347"/>
      <c r="W339" s="347"/>
      <c r="X339" s="347"/>
      <c r="Y339" s="347"/>
      <c r="Z339" s="347"/>
      <c r="AA339" s="347"/>
      <c r="AB339" s="347"/>
      <c r="AC339" s="347"/>
      <c r="AD339" s="347"/>
      <c r="AE339" s="347"/>
      <c r="AF339" s="347"/>
      <c r="AG339" s="347"/>
    </row>
    <row r="340">
      <c r="A340" s="347"/>
      <c r="B340" s="347"/>
      <c r="C340" s="347"/>
      <c r="D340" s="347"/>
      <c r="E340" s="347"/>
      <c r="F340" s="347"/>
      <c r="G340" s="347"/>
      <c r="H340" s="347"/>
      <c r="I340" s="347"/>
      <c r="J340" s="347"/>
      <c r="K340" s="347"/>
      <c r="L340" s="347"/>
      <c r="M340" s="347"/>
      <c r="N340" s="347"/>
      <c r="O340" s="347"/>
      <c r="P340" s="347"/>
      <c r="Q340" s="347"/>
      <c r="R340" s="347"/>
      <c r="S340" s="347"/>
      <c r="T340" s="347"/>
      <c r="U340" s="347"/>
      <c r="V340" s="347"/>
      <c r="W340" s="347"/>
      <c r="X340" s="347"/>
      <c r="Y340" s="347"/>
      <c r="Z340" s="347"/>
      <c r="AA340" s="347"/>
      <c r="AB340" s="347"/>
      <c r="AC340" s="347"/>
      <c r="AD340" s="347"/>
      <c r="AE340" s="347"/>
      <c r="AF340" s="347"/>
      <c r="AG340" s="347"/>
    </row>
    <row r="341">
      <c r="A341" s="347"/>
      <c r="B341" s="347"/>
      <c r="C341" s="347"/>
      <c r="D341" s="347"/>
      <c r="E341" s="347"/>
      <c r="F341" s="347"/>
      <c r="G341" s="347"/>
      <c r="H341" s="347"/>
      <c r="I341" s="347"/>
      <c r="J341" s="347"/>
      <c r="K341" s="347"/>
      <c r="L341" s="347"/>
      <c r="M341" s="347"/>
      <c r="N341" s="347"/>
      <c r="O341" s="347"/>
      <c r="P341" s="347"/>
      <c r="Q341" s="347"/>
      <c r="R341" s="347"/>
      <c r="S341" s="347"/>
      <c r="T341" s="347"/>
      <c r="U341" s="347"/>
      <c r="V341" s="347"/>
      <c r="W341" s="347"/>
      <c r="X341" s="347"/>
      <c r="Y341" s="347"/>
      <c r="Z341" s="347"/>
      <c r="AA341" s="347"/>
      <c r="AB341" s="347"/>
      <c r="AC341" s="347"/>
      <c r="AD341" s="347"/>
      <c r="AE341" s="347"/>
      <c r="AF341" s="347"/>
      <c r="AG341" s="347"/>
    </row>
    <row r="342">
      <c r="A342" s="347"/>
      <c r="B342" s="347"/>
      <c r="C342" s="347"/>
      <c r="D342" s="347"/>
      <c r="E342" s="347"/>
      <c r="F342" s="347"/>
      <c r="G342" s="347"/>
      <c r="H342" s="347"/>
      <c r="I342" s="347"/>
      <c r="J342" s="347"/>
      <c r="K342" s="347"/>
      <c r="L342" s="347"/>
      <c r="M342" s="347"/>
      <c r="N342" s="347"/>
      <c r="O342" s="347"/>
      <c r="P342" s="347"/>
      <c r="Q342" s="347"/>
      <c r="R342" s="347"/>
      <c r="S342" s="347"/>
      <c r="T342" s="347"/>
      <c r="U342" s="347"/>
      <c r="V342" s="347"/>
      <c r="W342" s="347"/>
      <c r="X342" s="347"/>
      <c r="Y342" s="347"/>
      <c r="Z342" s="347"/>
      <c r="AA342" s="347"/>
      <c r="AB342" s="347"/>
      <c r="AC342" s="347"/>
      <c r="AD342" s="347"/>
      <c r="AE342" s="347"/>
      <c r="AF342" s="347"/>
      <c r="AG342" s="347"/>
    </row>
    <row r="343">
      <c r="A343" s="347"/>
      <c r="B343" s="347"/>
      <c r="C343" s="347"/>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c r="AA343" s="347"/>
      <c r="AB343" s="347"/>
      <c r="AC343" s="347"/>
      <c r="AD343" s="347"/>
      <c r="AE343" s="347"/>
      <c r="AF343" s="347"/>
      <c r="AG343" s="347"/>
    </row>
    <row r="344">
      <c r="A344" s="347"/>
      <c r="B344" s="347"/>
      <c r="C344" s="347"/>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c r="AA344" s="347"/>
      <c r="AB344" s="347"/>
      <c r="AC344" s="347"/>
      <c r="AD344" s="347"/>
      <c r="AE344" s="347"/>
      <c r="AF344" s="347"/>
      <c r="AG344" s="347"/>
    </row>
    <row r="345">
      <c r="A345" s="347"/>
      <c r="B345" s="347"/>
      <c r="C345" s="347"/>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c r="AA345" s="347"/>
      <c r="AB345" s="347"/>
      <c r="AC345" s="347"/>
      <c r="AD345" s="347"/>
      <c r="AE345" s="347"/>
      <c r="AF345" s="347"/>
      <c r="AG345" s="347"/>
    </row>
    <row r="346">
      <c r="A346" s="347"/>
      <c r="B346" s="347"/>
      <c r="C346" s="347"/>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c r="AA346" s="347"/>
      <c r="AB346" s="347"/>
      <c r="AC346" s="347"/>
      <c r="AD346" s="347"/>
      <c r="AE346" s="347"/>
      <c r="AF346" s="347"/>
      <c r="AG346" s="347"/>
    </row>
    <row r="347">
      <c r="A347" s="347"/>
      <c r="B347" s="347"/>
      <c r="C347" s="347"/>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c r="AA347" s="347"/>
      <c r="AB347" s="347"/>
      <c r="AC347" s="347"/>
      <c r="AD347" s="347"/>
      <c r="AE347" s="347"/>
      <c r="AF347" s="347"/>
      <c r="AG347" s="347"/>
    </row>
    <row r="348">
      <c r="A348" s="347"/>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c r="AB348" s="347"/>
      <c r="AC348" s="347"/>
      <c r="AD348" s="347"/>
      <c r="AE348" s="347"/>
      <c r="AF348" s="347"/>
      <c r="AG348" s="347"/>
    </row>
    <row r="349">
      <c r="A349" s="347"/>
      <c r="B349" s="347"/>
      <c r="C349" s="347"/>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c r="AA349" s="347"/>
      <c r="AB349" s="347"/>
      <c r="AC349" s="347"/>
      <c r="AD349" s="347"/>
      <c r="AE349" s="347"/>
      <c r="AF349" s="347"/>
      <c r="AG349" s="347"/>
    </row>
    <row r="350">
      <c r="A350" s="347"/>
      <c r="B350" s="347"/>
      <c r="C350" s="347"/>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c r="AA350" s="347"/>
      <c r="AB350" s="347"/>
      <c r="AC350" s="347"/>
      <c r="AD350" s="347"/>
      <c r="AE350" s="347"/>
      <c r="AF350" s="347"/>
      <c r="AG350" s="347"/>
    </row>
    <row r="351">
      <c r="A351" s="347"/>
      <c r="B351" s="347"/>
      <c r="C351" s="347"/>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c r="AA351" s="347"/>
      <c r="AB351" s="347"/>
      <c r="AC351" s="347"/>
      <c r="AD351" s="347"/>
      <c r="AE351" s="347"/>
      <c r="AF351" s="347"/>
      <c r="AG351" s="347"/>
    </row>
    <row r="352">
      <c r="A352" s="347"/>
      <c r="B352" s="347"/>
      <c r="C352" s="347"/>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c r="AA352" s="347"/>
      <c r="AB352" s="347"/>
      <c r="AC352" s="347"/>
      <c r="AD352" s="347"/>
      <c r="AE352" s="347"/>
      <c r="AF352" s="347"/>
      <c r="AG352" s="347"/>
    </row>
    <row r="353">
      <c r="A353" s="347"/>
      <c r="B353" s="347"/>
      <c r="C353" s="347"/>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c r="AA353" s="347"/>
      <c r="AB353" s="347"/>
      <c r="AC353" s="347"/>
      <c r="AD353" s="347"/>
      <c r="AE353" s="347"/>
      <c r="AF353" s="347"/>
      <c r="AG353" s="347"/>
    </row>
    <row r="354">
      <c r="A354" s="347"/>
      <c r="B354" s="347"/>
      <c r="C354" s="347"/>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c r="AA354" s="347"/>
      <c r="AB354" s="347"/>
      <c r="AC354" s="347"/>
      <c r="AD354" s="347"/>
      <c r="AE354" s="347"/>
      <c r="AF354" s="347"/>
      <c r="AG354" s="347"/>
    </row>
    <row r="355">
      <c r="A355" s="347"/>
      <c r="B355" s="347"/>
      <c r="C355" s="347"/>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c r="AA355" s="347"/>
      <c r="AB355" s="347"/>
      <c r="AC355" s="347"/>
      <c r="AD355" s="347"/>
      <c r="AE355" s="347"/>
      <c r="AF355" s="347"/>
      <c r="AG355" s="347"/>
    </row>
    <row r="356">
      <c r="A356" s="347"/>
      <c r="B356" s="347"/>
      <c r="C356" s="347"/>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c r="AA356" s="347"/>
      <c r="AB356" s="347"/>
      <c r="AC356" s="347"/>
      <c r="AD356" s="347"/>
      <c r="AE356" s="347"/>
      <c r="AF356" s="347"/>
      <c r="AG356" s="347"/>
    </row>
    <row r="357">
      <c r="A357" s="347"/>
      <c r="B357" s="347"/>
      <c r="C357" s="347"/>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c r="AA357" s="347"/>
      <c r="AB357" s="347"/>
      <c r="AC357" s="347"/>
      <c r="AD357" s="347"/>
      <c r="AE357" s="347"/>
      <c r="AF357" s="347"/>
      <c r="AG357" s="347"/>
    </row>
    <row r="358">
      <c r="A358" s="347"/>
      <c r="B358" s="347"/>
      <c r="C358" s="347"/>
      <c r="D358" s="347"/>
      <c r="E358" s="347"/>
      <c r="F358" s="347"/>
      <c r="G358" s="347"/>
      <c r="H358" s="347"/>
      <c r="I358" s="347"/>
      <c r="J358" s="347"/>
      <c r="K358" s="347"/>
      <c r="L358" s="347"/>
      <c r="M358" s="347"/>
      <c r="N358" s="347"/>
      <c r="O358" s="347"/>
      <c r="P358" s="347"/>
      <c r="Q358" s="347"/>
      <c r="R358" s="347"/>
      <c r="S358" s="347"/>
      <c r="T358" s="347"/>
      <c r="U358" s="347"/>
      <c r="V358" s="347"/>
      <c r="W358" s="347"/>
      <c r="X358" s="347"/>
      <c r="Y358" s="347"/>
      <c r="Z358" s="347"/>
      <c r="AA358" s="347"/>
      <c r="AB358" s="347"/>
      <c r="AC358" s="347"/>
      <c r="AD358" s="347"/>
      <c r="AE358" s="347"/>
      <c r="AF358" s="347"/>
      <c r="AG358" s="347"/>
    </row>
    <row r="359">
      <c r="A359" s="347"/>
      <c r="B359" s="347"/>
      <c r="C359" s="347"/>
      <c r="D359" s="347"/>
      <c r="E359" s="347"/>
      <c r="F359" s="347"/>
      <c r="G359" s="347"/>
      <c r="H359" s="347"/>
      <c r="I359" s="347"/>
      <c r="J359" s="347"/>
      <c r="K359" s="347"/>
      <c r="L359" s="347"/>
      <c r="M359" s="347"/>
      <c r="N359" s="347"/>
      <c r="O359" s="347"/>
      <c r="P359" s="347"/>
      <c r="Q359" s="347"/>
      <c r="R359" s="347"/>
      <c r="S359" s="347"/>
      <c r="T359" s="347"/>
      <c r="U359" s="347"/>
      <c r="V359" s="347"/>
      <c r="W359" s="347"/>
      <c r="X359" s="347"/>
      <c r="Y359" s="347"/>
      <c r="Z359" s="347"/>
      <c r="AA359" s="347"/>
      <c r="AB359" s="347"/>
      <c r="AC359" s="347"/>
      <c r="AD359" s="347"/>
      <c r="AE359" s="347"/>
      <c r="AF359" s="347"/>
      <c r="AG359" s="347"/>
    </row>
    <row r="360">
      <c r="A360" s="347"/>
      <c r="B360" s="347"/>
      <c r="C360" s="347"/>
      <c r="D360" s="347"/>
      <c r="E360" s="347"/>
      <c r="F360" s="347"/>
      <c r="G360" s="347"/>
      <c r="H360" s="347"/>
      <c r="I360" s="347"/>
      <c r="J360" s="347"/>
      <c r="K360" s="347"/>
      <c r="L360" s="347"/>
      <c r="M360" s="347"/>
      <c r="N360" s="347"/>
      <c r="O360" s="347"/>
      <c r="P360" s="347"/>
      <c r="Q360" s="347"/>
      <c r="R360" s="347"/>
      <c r="S360" s="347"/>
      <c r="T360" s="347"/>
      <c r="U360" s="347"/>
      <c r="V360" s="347"/>
      <c r="W360" s="347"/>
      <c r="X360" s="347"/>
      <c r="Y360" s="347"/>
      <c r="Z360" s="347"/>
      <c r="AA360" s="347"/>
      <c r="AB360" s="347"/>
      <c r="AC360" s="347"/>
      <c r="AD360" s="347"/>
      <c r="AE360" s="347"/>
      <c r="AF360" s="347"/>
      <c r="AG360" s="347"/>
    </row>
    <row r="361">
      <c r="A361" s="347"/>
      <c r="B361" s="347"/>
      <c r="C361" s="347"/>
      <c r="D361" s="347"/>
      <c r="E361" s="347"/>
      <c r="F361" s="347"/>
      <c r="G361" s="347"/>
      <c r="H361" s="347"/>
      <c r="I361" s="347"/>
      <c r="J361" s="347"/>
      <c r="K361" s="347"/>
      <c r="L361" s="347"/>
      <c r="M361" s="347"/>
      <c r="N361" s="347"/>
      <c r="O361" s="347"/>
      <c r="P361" s="347"/>
      <c r="Q361" s="347"/>
      <c r="R361" s="347"/>
      <c r="S361" s="347"/>
      <c r="T361" s="347"/>
      <c r="U361" s="347"/>
      <c r="V361" s="347"/>
      <c r="W361" s="347"/>
      <c r="X361" s="347"/>
      <c r="Y361" s="347"/>
      <c r="Z361" s="347"/>
      <c r="AA361" s="347"/>
      <c r="AB361" s="347"/>
      <c r="AC361" s="347"/>
      <c r="AD361" s="347"/>
      <c r="AE361" s="347"/>
      <c r="AF361" s="347"/>
      <c r="AG361" s="347"/>
    </row>
    <row r="362">
      <c r="A362" s="347"/>
      <c r="B362" s="347"/>
      <c r="C362" s="347"/>
      <c r="D362" s="347"/>
      <c r="E362" s="347"/>
      <c r="F362" s="347"/>
      <c r="G362" s="347"/>
      <c r="H362" s="347"/>
      <c r="I362" s="347"/>
      <c r="J362" s="347"/>
      <c r="K362" s="347"/>
      <c r="L362" s="347"/>
      <c r="M362" s="347"/>
      <c r="N362" s="347"/>
      <c r="O362" s="347"/>
      <c r="P362" s="347"/>
      <c r="Q362" s="347"/>
      <c r="R362" s="347"/>
      <c r="S362" s="347"/>
      <c r="T362" s="347"/>
      <c r="U362" s="347"/>
      <c r="V362" s="347"/>
      <c r="W362" s="347"/>
      <c r="X362" s="347"/>
      <c r="Y362" s="347"/>
      <c r="Z362" s="347"/>
      <c r="AA362" s="347"/>
      <c r="AB362" s="347"/>
      <c r="AC362" s="347"/>
      <c r="AD362" s="347"/>
      <c r="AE362" s="347"/>
      <c r="AF362" s="347"/>
      <c r="AG362" s="347"/>
    </row>
    <row r="363">
      <c r="A363" s="347"/>
      <c r="B363" s="347"/>
      <c r="C363" s="347"/>
      <c r="D363" s="347"/>
      <c r="E363" s="347"/>
      <c r="F363" s="347"/>
      <c r="G363" s="347"/>
      <c r="H363" s="347"/>
      <c r="I363" s="347"/>
      <c r="J363" s="347"/>
      <c r="K363" s="347"/>
      <c r="L363" s="347"/>
      <c r="M363" s="347"/>
      <c r="N363" s="347"/>
      <c r="O363" s="347"/>
      <c r="P363" s="347"/>
      <c r="Q363" s="347"/>
      <c r="R363" s="347"/>
      <c r="S363" s="347"/>
      <c r="T363" s="347"/>
      <c r="U363" s="347"/>
      <c r="V363" s="347"/>
      <c r="W363" s="347"/>
      <c r="X363" s="347"/>
      <c r="Y363" s="347"/>
      <c r="Z363" s="347"/>
      <c r="AA363" s="347"/>
      <c r="AB363" s="347"/>
      <c r="AC363" s="347"/>
      <c r="AD363" s="347"/>
      <c r="AE363" s="347"/>
      <c r="AF363" s="347"/>
      <c r="AG363" s="347"/>
    </row>
    <row r="364">
      <c r="A364" s="347"/>
      <c r="B364" s="347"/>
      <c r="C364" s="347"/>
      <c r="D364" s="347"/>
      <c r="E364" s="347"/>
      <c r="F364" s="347"/>
      <c r="G364" s="347"/>
      <c r="H364" s="347"/>
      <c r="I364" s="347"/>
      <c r="J364" s="347"/>
      <c r="K364" s="347"/>
      <c r="L364" s="347"/>
      <c r="M364" s="347"/>
      <c r="N364" s="347"/>
      <c r="O364" s="347"/>
      <c r="P364" s="347"/>
      <c r="Q364" s="347"/>
      <c r="R364" s="347"/>
      <c r="S364" s="347"/>
      <c r="T364" s="347"/>
      <c r="U364" s="347"/>
      <c r="V364" s="347"/>
      <c r="W364" s="347"/>
      <c r="X364" s="347"/>
      <c r="Y364" s="347"/>
      <c r="Z364" s="347"/>
      <c r="AA364" s="347"/>
      <c r="AB364" s="347"/>
      <c r="AC364" s="347"/>
      <c r="AD364" s="347"/>
      <c r="AE364" s="347"/>
      <c r="AF364" s="347"/>
      <c r="AG364" s="347"/>
    </row>
    <row r="365">
      <c r="A365" s="347"/>
      <c r="B365" s="347"/>
      <c r="C365" s="347"/>
      <c r="D365" s="347"/>
      <c r="E365" s="347"/>
      <c r="F365" s="347"/>
      <c r="G365" s="347"/>
      <c r="H365" s="347"/>
      <c r="I365" s="347"/>
      <c r="J365" s="347"/>
      <c r="K365" s="347"/>
      <c r="L365" s="347"/>
      <c r="M365" s="347"/>
      <c r="N365" s="347"/>
      <c r="O365" s="347"/>
      <c r="P365" s="347"/>
      <c r="Q365" s="347"/>
      <c r="R365" s="347"/>
      <c r="S365" s="347"/>
      <c r="T365" s="347"/>
      <c r="U365" s="347"/>
      <c r="V365" s="347"/>
      <c r="W365" s="347"/>
      <c r="X365" s="347"/>
      <c r="Y365" s="347"/>
      <c r="Z365" s="347"/>
      <c r="AA365" s="347"/>
      <c r="AB365" s="347"/>
      <c r="AC365" s="347"/>
      <c r="AD365" s="347"/>
      <c r="AE365" s="347"/>
      <c r="AF365" s="347"/>
      <c r="AG365" s="347"/>
    </row>
    <row r="366">
      <c r="A366" s="347"/>
      <c r="B366" s="347"/>
      <c r="C366" s="347"/>
      <c r="D366" s="347"/>
      <c r="E366" s="347"/>
      <c r="F366" s="347"/>
      <c r="G366" s="347"/>
      <c r="H366" s="347"/>
      <c r="I366" s="347"/>
      <c r="J366" s="347"/>
      <c r="K366" s="347"/>
      <c r="L366" s="347"/>
      <c r="M366" s="347"/>
      <c r="N366" s="347"/>
      <c r="O366" s="347"/>
      <c r="P366" s="347"/>
      <c r="Q366" s="347"/>
      <c r="R366" s="347"/>
      <c r="S366" s="347"/>
      <c r="T366" s="347"/>
      <c r="U366" s="347"/>
      <c r="V366" s="347"/>
      <c r="W366" s="347"/>
      <c r="X366" s="347"/>
      <c r="Y366" s="347"/>
      <c r="Z366" s="347"/>
      <c r="AA366" s="347"/>
      <c r="AB366" s="347"/>
      <c r="AC366" s="347"/>
      <c r="AD366" s="347"/>
      <c r="AE366" s="347"/>
      <c r="AF366" s="347"/>
      <c r="AG366" s="347"/>
    </row>
    <row r="367">
      <c r="A367" s="347"/>
      <c r="B367" s="347"/>
      <c r="C367" s="347"/>
      <c r="D367" s="347"/>
      <c r="E367" s="347"/>
      <c r="F367" s="347"/>
      <c r="G367" s="347"/>
      <c r="H367" s="347"/>
      <c r="I367" s="347"/>
      <c r="J367" s="347"/>
      <c r="K367" s="347"/>
      <c r="L367" s="347"/>
      <c r="M367" s="347"/>
      <c r="N367" s="347"/>
      <c r="O367" s="347"/>
      <c r="P367" s="347"/>
      <c r="Q367" s="347"/>
      <c r="R367" s="347"/>
      <c r="S367" s="347"/>
      <c r="T367" s="347"/>
      <c r="U367" s="347"/>
      <c r="V367" s="347"/>
      <c r="W367" s="347"/>
      <c r="X367" s="347"/>
      <c r="Y367" s="347"/>
      <c r="Z367" s="347"/>
      <c r="AA367" s="347"/>
      <c r="AB367" s="347"/>
      <c r="AC367" s="347"/>
      <c r="AD367" s="347"/>
      <c r="AE367" s="347"/>
      <c r="AF367" s="347"/>
      <c r="AG367" s="347"/>
    </row>
    <row r="368">
      <c r="A368" s="347"/>
      <c r="B368" s="347"/>
      <c r="C368" s="347"/>
      <c r="D368" s="347"/>
      <c r="E368" s="347"/>
      <c r="F368" s="347"/>
      <c r="G368" s="347"/>
      <c r="H368" s="347"/>
      <c r="I368" s="347"/>
      <c r="J368" s="347"/>
      <c r="K368" s="347"/>
      <c r="L368" s="347"/>
      <c r="M368" s="347"/>
      <c r="N368" s="347"/>
      <c r="O368" s="347"/>
      <c r="P368" s="347"/>
      <c r="Q368" s="347"/>
      <c r="R368" s="347"/>
      <c r="S368" s="347"/>
      <c r="T368" s="347"/>
      <c r="U368" s="347"/>
      <c r="V368" s="347"/>
      <c r="W368" s="347"/>
      <c r="X368" s="347"/>
      <c r="Y368" s="347"/>
      <c r="Z368" s="347"/>
      <c r="AA368" s="347"/>
      <c r="AB368" s="347"/>
      <c r="AC368" s="347"/>
      <c r="AD368" s="347"/>
      <c r="AE368" s="347"/>
      <c r="AF368" s="347"/>
      <c r="AG368" s="347"/>
    </row>
    <row r="369">
      <c r="A369" s="347"/>
      <c r="B369" s="347"/>
      <c r="C369" s="347"/>
      <c r="D369" s="347"/>
      <c r="E369" s="347"/>
      <c r="F369" s="347"/>
      <c r="G369" s="347"/>
      <c r="H369" s="347"/>
      <c r="I369" s="347"/>
      <c r="J369" s="347"/>
      <c r="K369" s="347"/>
      <c r="L369" s="347"/>
      <c r="M369" s="347"/>
      <c r="N369" s="347"/>
      <c r="O369" s="347"/>
      <c r="P369" s="347"/>
      <c r="Q369" s="347"/>
      <c r="R369" s="347"/>
      <c r="S369" s="347"/>
      <c r="T369" s="347"/>
      <c r="U369" s="347"/>
      <c r="V369" s="347"/>
      <c r="W369" s="347"/>
      <c r="X369" s="347"/>
      <c r="Y369" s="347"/>
      <c r="Z369" s="347"/>
      <c r="AA369" s="347"/>
      <c r="AB369" s="347"/>
      <c r="AC369" s="347"/>
      <c r="AD369" s="347"/>
      <c r="AE369" s="347"/>
      <c r="AF369" s="347"/>
      <c r="AG369" s="347"/>
    </row>
    <row r="370">
      <c r="A370" s="347"/>
      <c r="B370" s="347"/>
      <c r="C370" s="347"/>
      <c r="D370" s="347"/>
      <c r="E370" s="347"/>
      <c r="F370" s="347"/>
      <c r="G370" s="347"/>
      <c r="H370" s="347"/>
      <c r="I370" s="347"/>
      <c r="J370" s="347"/>
      <c r="K370" s="347"/>
      <c r="L370" s="347"/>
      <c r="M370" s="347"/>
      <c r="N370" s="347"/>
      <c r="O370" s="347"/>
      <c r="P370" s="347"/>
      <c r="Q370" s="347"/>
      <c r="R370" s="347"/>
      <c r="S370" s="347"/>
      <c r="T370" s="347"/>
      <c r="U370" s="347"/>
      <c r="V370" s="347"/>
      <c r="W370" s="347"/>
      <c r="X370" s="347"/>
      <c r="Y370" s="347"/>
      <c r="Z370" s="347"/>
      <c r="AA370" s="347"/>
      <c r="AB370" s="347"/>
      <c r="AC370" s="347"/>
      <c r="AD370" s="347"/>
      <c r="AE370" s="347"/>
      <c r="AF370" s="347"/>
      <c r="AG370" s="347"/>
    </row>
    <row r="371">
      <c r="A371" s="347"/>
      <c r="B371" s="347"/>
      <c r="C371" s="347"/>
      <c r="D371" s="347"/>
      <c r="E371" s="347"/>
      <c r="F371" s="347"/>
      <c r="G371" s="347"/>
      <c r="H371" s="347"/>
      <c r="I371" s="347"/>
      <c r="J371" s="347"/>
      <c r="K371" s="347"/>
      <c r="L371" s="347"/>
      <c r="M371" s="347"/>
      <c r="N371" s="347"/>
      <c r="O371" s="347"/>
      <c r="P371" s="347"/>
      <c r="Q371" s="347"/>
      <c r="R371" s="347"/>
      <c r="S371" s="347"/>
      <c r="T371" s="347"/>
      <c r="U371" s="347"/>
      <c r="V371" s="347"/>
      <c r="W371" s="347"/>
      <c r="X371" s="347"/>
      <c r="Y371" s="347"/>
      <c r="Z371" s="347"/>
      <c r="AA371" s="347"/>
      <c r="AB371" s="347"/>
      <c r="AC371" s="347"/>
      <c r="AD371" s="347"/>
      <c r="AE371" s="347"/>
      <c r="AF371" s="347"/>
      <c r="AG371" s="347"/>
    </row>
    <row r="372">
      <c r="A372" s="347"/>
      <c r="B372" s="347"/>
      <c r="C372" s="347"/>
      <c r="D372" s="347"/>
      <c r="E372" s="347"/>
      <c r="F372" s="347"/>
      <c r="G372" s="347"/>
      <c r="H372" s="347"/>
      <c r="I372" s="347"/>
      <c r="J372" s="347"/>
      <c r="K372" s="347"/>
      <c r="L372" s="347"/>
      <c r="M372" s="347"/>
      <c r="N372" s="347"/>
      <c r="O372" s="347"/>
      <c r="P372" s="347"/>
      <c r="Q372" s="347"/>
      <c r="R372" s="347"/>
      <c r="S372" s="347"/>
      <c r="T372" s="347"/>
      <c r="U372" s="347"/>
      <c r="V372" s="347"/>
      <c r="W372" s="347"/>
      <c r="X372" s="347"/>
      <c r="Y372" s="347"/>
      <c r="Z372" s="347"/>
      <c r="AA372" s="347"/>
      <c r="AB372" s="347"/>
      <c r="AC372" s="347"/>
      <c r="AD372" s="347"/>
      <c r="AE372" s="347"/>
      <c r="AF372" s="347"/>
      <c r="AG372" s="347"/>
    </row>
    <row r="373">
      <c r="A373" s="347"/>
      <c r="B373" s="347"/>
      <c r="C373" s="347"/>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c r="AA373" s="347"/>
      <c r="AB373" s="347"/>
      <c r="AC373" s="347"/>
      <c r="AD373" s="347"/>
      <c r="AE373" s="347"/>
      <c r="AF373" s="347"/>
      <c r="AG373" s="347"/>
    </row>
    <row r="374">
      <c r="A374" s="347"/>
      <c r="B374" s="347"/>
      <c r="C374" s="347"/>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c r="AA374" s="347"/>
      <c r="AB374" s="347"/>
      <c r="AC374" s="347"/>
      <c r="AD374" s="347"/>
      <c r="AE374" s="347"/>
      <c r="AF374" s="347"/>
      <c r="AG374" s="347"/>
    </row>
    <row r="375">
      <c r="A375" s="347"/>
      <c r="B375" s="347"/>
      <c r="C375" s="347"/>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c r="AA375" s="347"/>
      <c r="AB375" s="347"/>
      <c r="AC375" s="347"/>
      <c r="AD375" s="347"/>
      <c r="AE375" s="347"/>
      <c r="AF375" s="347"/>
      <c r="AG375" s="347"/>
    </row>
    <row r="376">
      <c r="A376" s="347"/>
      <c r="B376" s="347"/>
      <c r="C376" s="347"/>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c r="AA376" s="347"/>
      <c r="AB376" s="347"/>
      <c r="AC376" s="347"/>
      <c r="AD376" s="347"/>
      <c r="AE376" s="347"/>
      <c r="AF376" s="347"/>
      <c r="AG376" s="347"/>
    </row>
    <row r="377">
      <c r="A377" s="347"/>
      <c r="B377" s="347"/>
      <c r="C377" s="347"/>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c r="AA377" s="347"/>
      <c r="AB377" s="347"/>
      <c r="AC377" s="347"/>
      <c r="AD377" s="347"/>
      <c r="AE377" s="347"/>
      <c r="AF377" s="347"/>
      <c r="AG377" s="347"/>
    </row>
    <row r="378">
      <c r="A378" s="347"/>
      <c r="B378" s="347"/>
      <c r="C378" s="347"/>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c r="AA378" s="347"/>
      <c r="AB378" s="347"/>
      <c r="AC378" s="347"/>
      <c r="AD378" s="347"/>
      <c r="AE378" s="347"/>
      <c r="AF378" s="347"/>
      <c r="AG378" s="347"/>
    </row>
    <row r="379">
      <c r="A379" s="347"/>
      <c r="B379" s="347"/>
      <c r="C379" s="347"/>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c r="AA379" s="347"/>
      <c r="AB379" s="347"/>
      <c r="AC379" s="347"/>
      <c r="AD379" s="347"/>
      <c r="AE379" s="347"/>
      <c r="AF379" s="347"/>
      <c r="AG379" s="347"/>
    </row>
    <row r="380">
      <c r="A380" s="347"/>
      <c r="B380" s="347"/>
      <c r="C380" s="347"/>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c r="AA380" s="347"/>
      <c r="AB380" s="347"/>
      <c r="AC380" s="347"/>
      <c r="AD380" s="347"/>
      <c r="AE380" s="347"/>
      <c r="AF380" s="347"/>
      <c r="AG380" s="347"/>
    </row>
    <row r="381">
      <c r="A381" s="347"/>
      <c r="B381" s="347"/>
      <c r="C381" s="347"/>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c r="AA381" s="347"/>
      <c r="AB381" s="347"/>
      <c r="AC381" s="347"/>
      <c r="AD381" s="347"/>
      <c r="AE381" s="347"/>
      <c r="AF381" s="347"/>
      <c r="AG381" s="347"/>
    </row>
    <row r="382">
      <c r="A382" s="347"/>
      <c r="B382" s="347"/>
      <c r="C382" s="347"/>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c r="AA382" s="347"/>
      <c r="AB382" s="347"/>
      <c r="AC382" s="347"/>
      <c r="AD382" s="347"/>
      <c r="AE382" s="347"/>
      <c r="AF382" s="347"/>
      <c r="AG382" s="347"/>
    </row>
    <row r="383">
      <c r="A383" s="347"/>
      <c r="B383" s="347"/>
      <c r="C383" s="347"/>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c r="AA383" s="347"/>
      <c r="AB383" s="347"/>
      <c r="AC383" s="347"/>
      <c r="AD383" s="347"/>
      <c r="AE383" s="347"/>
      <c r="AF383" s="347"/>
      <c r="AG383" s="347"/>
    </row>
    <row r="384">
      <c r="A384" s="347"/>
      <c r="B384" s="347"/>
      <c r="C384" s="347"/>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c r="AA384" s="347"/>
      <c r="AB384" s="347"/>
      <c r="AC384" s="347"/>
      <c r="AD384" s="347"/>
      <c r="AE384" s="347"/>
      <c r="AF384" s="347"/>
      <c r="AG384" s="347"/>
    </row>
    <row r="385">
      <c r="A385" s="347"/>
      <c r="B385" s="347"/>
      <c r="C385" s="347"/>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c r="AA385" s="347"/>
      <c r="AB385" s="347"/>
      <c r="AC385" s="347"/>
      <c r="AD385" s="347"/>
      <c r="AE385" s="347"/>
      <c r="AF385" s="347"/>
      <c r="AG385" s="347"/>
    </row>
    <row r="386">
      <c r="A386" s="347"/>
      <c r="B386" s="347"/>
      <c r="C386" s="347"/>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c r="AA386" s="347"/>
      <c r="AB386" s="347"/>
      <c r="AC386" s="347"/>
      <c r="AD386" s="347"/>
      <c r="AE386" s="347"/>
      <c r="AF386" s="347"/>
      <c r="AG386" s="347"/>
    </row>
    <row r="387">
      <c r="A387" s="347"/>
      <c r="B387" s="347"/>
      <c r="C387" s="347"/>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c r="AA387" s="347"/>
      <c r="AB387" s="347"/>
      <c r="AC387" s="347"/>
      <c r="AD387" s="347"/>
      <c r="AE387" s="347"/>
      <c r="AF387" s="347"/>
      <c r="AG387" s="347"/>
    </row>
    <row r="388">
      <c r="A388" s="347"/>
      <c r="B388" s="347"/>
      <c r="C388" s="347"/>
      <c r="D388" s="347"/>
      <c r="E388" s="347"/>
      <c r="F388" s="347"/>
      <c r="G388" s="347"/>
      <c r="H388" s="347"/>
      <c r="I388" s="347"/>
      <c r="J388" s="347"/>
      <c r="K388" s="347"/>
      <c r="L388" s="347"/>
      <c r="M388" s="347"/>
      <c r="N388" s="347"/>
      <c r="O388" s="347"/>
      <c r="P388" s="347"/>
      <c r="Q388" s="347"/>
      <c r="R388" s="347"/>
      <c r="S388" s="347"/>
      <c r="T388" s="347"/>
      <c r="U388" s="347"/>
      <c r="V388" s="347"/>
      <c r="W388" s="347"/>
      <c r="X388" s="347"/>
      <c r="Y388" s="347"/>
      <c r="Z388" s="347"/>
      <c r="AA388" s="347"/>
      <c r="AB388" s="347"/>
      <c r="AC388" s="347"/>
      <c r="AD388" s="347"/>
      <c r="AE388" s="347"/>
      <c r="AF388" s="347"/>
      <c r="AG388" s="347"/>
    </row>
    <row r="389">
      <c r="A389" s="347"/>
      <c r="B389" s="347"/>
      <c r="C389" s="347"/>
      <c r="D389" s="347"/>
      <c r="E389" s="347"/>
      <c r="F389" s="347"/>
      <c r="G389" s="347"/>
      <c r="H389" s="347"/>
      <c r="I389" s="347"/>
      <c r="J389" s="347"/>
      <c r="K389" s="347"/>
      <c r="L389" s="347"/>
      <c r="M389" s="347"/>
      <c r="N389" s="347"/>
      <c r="O389" s="347"/>
      <c r="P389" s="347"/>
      <c r="Q389" s="347"/>
      <c r="R389" s="347"/>
      <c r="S389" s="347"/>
      <c r="T389" s="347"/>
      <c r="U389" s="347"/>
      <c r="V389" s="347"/>
      <c r="W389" s="347"/>
      <c r="X389" s="347"/>
      <c r="Y389" s="347"/>
      <c r="Z389" s="347"/>
      <c r="AA389" s="347"/>
      <c r="AB389" s="347"/>
      <c r="AC389" s="347"/>
      <c r="AD389" s="347"/>
      <c r="AE389" s="347"/>
      <c r="AF389" s="347"/>
      <c r="AG389" s="347"/>
    </row>
    <row r="390">
      <c r="A390" s="347"/>
      <c r="B390" s="347"/>
      <c r="C390" s="347"/>
      <c r="D390" s="347"/>
      <c r="E390" s="347"/>
      <c r="F390" s="347"/>
      <c r="G390" s="347"/>
      <c r="H390" s="347"/>
      <c r="I390" s="347"/>
      <c r="J390" s="347"/>
      <c r="K390" s="347"/>
      <c r="L390" s="347"/>
      <c r="M390" s="347"/>
      <c r="N390" s="347"/>
      <c r="O390" s="347"/>
      <c r="P390" s="347"/>
      <c r="Q390" s="347"/>
      <c r="R390" s="347"/>
      <c r="S390" s="347"/>
      <c r="T390" s="347"/>
      <c r="U390" s="347"/>
      <c r="V390" s="347"/>
      <c r="W390" s="347"/>
      <c r="X390" s="347"/>
      <c r="Y390" s="347"/>
      <c r="Z390" s="347"/>
      <c r="AA390" s="347"/>
      <c r="AB390" s="347"/>
      <c r="AC390" s="347"/>
      <c r="AD390" s="347"/>
      <c r="AE390" s="347"/>
      <c r="AF390" s="347"/>
      <c r="AG390" s="347"/>
    </row>
    <row r="391">
      <c r="A391" s="347"/>
      <c r="B391" s="347"/>
      <c r="C391" s="347"/>
      <c r="D391" s="347"/>
      <c r="E391" s="347"/>
      <c r="F391" s="347"/>
      <c r="G391" s="347"/>
      <c r="H391" s="347"/>
      <c r="I391" s="347"/>
      <c r="J391" s="347"/>
      <c r="K391" s="347"/>
      <c r="L391" s="347"/>
      <c r="M391" s="347"/>
      <c r="N391" s="347"/>
      <c r="O391" s="347"/>
      <c r="P391" s="347"/>
      <c r="Q391" s="347"/>
      <c r="R391" s="347"/>
      <c r="S391" s="347"/>
      <c r="T391" s="347"/>
      <c r="U391" s="347"/>
      <c r="V391" s="347"/>
      <c r="W391" s="347"/>
      <c r="X391" s="347"/>
      <c r="Y391" s="347"/>
      <c r="Z391" s="347"/>
      <c r="AA391" s="347"/>
      <c r="AB391" s="347"/>
      <c r="AC391" s="347"/>
      <c r="AD391" s="347"/>
      <c r="AE391" s="347"/>
      <c r="AF391" s="347"/>
      <c r="AG391" s="347"/>
    </row>
    <row r="392">
      <c r="A392" s="347"/>
      <c r="B392" s="347"/>
      <c r="C392" s="347"/>
      <c r="D392" s="347"/>
      <c r="E392" s="347"/>
      <c r="F392" s="347"/>
      <c r="G392" s="347"/>
      <c r="H392" s="347"/>
      <c r="I392" s="347"/>
      <c r="J392" s="347"/>
      <c r="K392" s="347"/>
      <c r="L392" s="347"/>
      <c r="M392" s="347"/>
      <c r="N392" s="347"/>
      <c r="O392" s="347"/>
      <c r="P392" s="347"/>
      <c r="Q392" s="347"/>
      <c r="R392" s="347"/>
      <c r="S392" s="347"/>
      <c r="T392" s="347"/>
      <c r="U392" s="347"/>
      <c r="V392" s="347"/>
      <c r="W392" s="347"/>
      <c r="X392" s="347"/>
      <c r="Y392" s="347"/>
      <c r="Z392" s="347"/>
      <c r="AA392" s="347"/>
      <c r="AB392" s="347"/>
      <c r="AC392" s="347"/>
      <c r="AD392" s="347"/>
      <c r="AE392" s="347"/>
      <c r="AF392" s="347"/>
      <c r="AG392" s="347"/>
    </row>
    <row r="393">
      <c r="A393" s="347"/>
      <c r="B393" s="347"/>
      <c r="C393" s="347"/>
      <c r="D393" s="347"/>
      <c r="E393" s="347"/>
      <c r="F393" s="347"/>
      <c r="G393" s="347"/>
      <c r="H393" s="347"/>
      <c r="I393" s="347"/>
      <c r="J393" s="347"/>
      <c r="K393" s="347"/>
      <c r="L393" s="347"/>
      <c r="M393" s="347"/>
      <c r="N393" s="347"/>
      <c r="O393" s="347"/>
      <c r="P393" s="347"/>
      <c r="Q393" s="347"/>
      <c r="R393" s="347"/>
      <c r="S393" s="347"/>
      <c r="T393" s="347"/>
      <c r="U393" s="347"/>
      <c r="V393" s="347"/>
      <c r="W393" s="347"/>
      <c r="X393" s="347"/>
      <c r="Y393" s="347"/>
      <c r="Z393" s="347"/>
      <c r="AA393" s="347"/>
      <c r="AB393" s="347"/>
      <c r="AC393" s="347"/>
      <c r="AD393" s="347"/>
      <c r="AE393" s="347"/>
      <c r="AF393" s="347"/>
      <c r="AG393" s="347"/>
    </row>
    <row r="394">
      <c r="A394" s="347"/>
      <c r="B394" s="347"/>
      <c r="C394" s="347"/>
      <c r="D394" s="347"/>
      <c r="E394" s="347"/>
      <c r="F394" s="347"/>
      <c r="G394" s="347"/>
      <c r="H394" s="347"/>
      <c r="I394" s="347"/>
      <c r="J394" s="347"/>
      <c r="K394" s="347"/>
      <c r="L394" s="347"/>
      <c r="M394" s="347"/>
      <c r="N394" s="347"/>
      <c r="O394" s="347"/>
      <c r="P394" s="347"/>
      <c r="Q394" s="347"/>
      <c r="R394" s="347"/>
      <c r="S394" s="347"/>
      <c r="T394" s="347"/>
      <c r="U394" s="347"/>
      <c r="V394" s="347"/>
      <c r="W394" s="347"/>
      <c r="X394" s="347"/>
      <c r="Y394" s="347"/>
      <c r="Z394" s="347"/>
      <c r="AA394" s="347"/>
      <c r="AB394" s="347"/>
      <c r="AC394" s="347"/>
      <c r="AD394" s="347"/>
      <c r="AE394" s="347"/>
      <c r="AF394" s="347"/>
      <c r="AG394" s="347"/>
    </row>
    <row r="395">
      <c r="A395" s="347"/>
      <c r="B395" s="347"/>
      <c r="C395" s="347"/>
      <c r="D395" s="347"/>
      <c r="E395" s="347"/>
      <c r="F395" s="347"/>
      <c r="G395" s="347"/>
      <c r="H395" s="347"/>
      <c r="I395" s="347"/>
      <c r="J395" s="347"/>
      <c r="K395" s="347"/>
      <c r="L395" s="347"/>
      <c r="M395" s="347"/>
      <c r="N395" s="347"/>
      <c r="O395" s="347"/>
      <c r="P395" s="347"/>
      <c r="Q395" s="347"/>
      <c r="R395" s="347"/>
      <c r="S395" s="347"/>
      <c r="T395" s="347"/>
      <c r="U395" s="347"/>
      <c r="V395" s="347"/>
      <c r="W395" s="347"/>
      <c r="X395" s="347"/>
      <c r="Y395" s="347"/>
      <c r="Z395" s="347"/>
      <c r="AA395" s="347"/>
      <c r="AB395" s="347"/>
      <c r="AC395" s="347"/>
      <c r="AD395" s="347"/>
      <c r="AE395" s="347"/>
      <c r="AF395" s="347"/>
      <c r="AG395" s="347"/>
    </row>
    <row r="396">
      <c r="A396" s="347"/>
      <c r="B396" s="347"/>
      <c r="C396" s="347"/>
      <c r="D396" s="347"/>
      <c r="E396" s="347"/>
      <c r="F396" s="347"/>
      <c r="G396" s="347"/>
      <c r="H396" s="347"/>
      <c r="I396" s="347"/>
      <c r="J396" s="347"/>
      <c r="K396" s="347"/>
      <c r="L396" s="347"/>
      <c r="M396" s="347"/>
      <c r="N396" s="347"/>
      <c r="O396" s="347"/>
      <c r="P396" s="347"/>
      <c r="Q396" s="347"/>
      <c r="R396" s="347"/>
      <c r="S396" s="347"/>
      <c r="T396" s="347"/>
      <c r="U396" s="347"/>
      <c r="V396" s="347"/>
      <c r="W396" s="347"/>
      <c r="X396" s="347"/>
      <c r="Y396" s="347"/>
      <c r="Z396" s="347"/>
      <c r="AA396" s="347"/>
      <c r="AB396" s="347"/>
      <c r="AC396" s="347"/>
      <c r="AD396" s="347"/>
      <c r="AE396" s="347"/>
      <c r="AF396" s="347"/>
      <c r="AG396" s="347"/>
    </row>
    <row r="397">
      <c r="A397" s="347"/>
      <c r="B397" s="347"/>
      <c r="C397" s="347"/>
      <c r="D397" s="347"/>
      <c r="E397" s="347"/>
      <c r="F397" s="347"/>
      <c r="G397" s="347"/>
      <c r="H397" s="347"/>
      <c r="I397" s="347"/>
      <c r="J397" s="347"/>
      <c r="K397" s="347"/>
      <c r="L397" s="347"/>
      <c r="M397" s="347"/>
      <c r="N397" s="347"/>
      <c r="O397" s="347"/>
      <c r="P397" s="347"/>
      <c r="Q397" s="347"/>
      <c r="R397" s="347"/>
      <c r="S397" s="347"/>
      <c r="T397" s="347"/>
      <c r="U397" s="347"/>
      <c r="V397" s="347"/>
      <c r="W397" s="347"/>
      <c r="X397" s="347"/>
      <c r="Y397" s="347"/>
      <c r="Z397" s="347"/>
      <c r="AA397" s="347"/>
      <c r="AB397" s="347"/>
      <c r="AC397" s="347"/>
      <c r="AD397" s="347"/>
      <c r="AE397" s="347"/>
      <c r="AF397" s="347"/>
      <c r="AG397" s="347"/>
    </row>
    <row r="398">
      <c r="A398" s="347"/>
      <c r="B398" s="347"/>
      <c r="C398" s="347"/>
      <c r="D398" s="347"/>
      <c r="E398" s="347"/>
      <c r="F398" s="347"/>
      <c r="G398" s="347"/>
      <c r="H398" s="347"/>
      <c r="I398" s="347"/>
      <c r="J398" s="347"/>
      <c r="K398" s="347"/>
      <c r="L398" s="347"/>
      <c r="M398" s="347"/>
      <c r="N398" s="347"/>
      <c r="O398" s="347"/>
      <c r="P398" s="347"/>
      <c r="Q398" s="347"/>
      <c r="R398" s="347"/>
      <c r="S398" s="347"/>
      <c r="T398" s="347"/>
      <c r="U398" s="347"/>
      <c r="V398" s="347"/>
      <c r="W398" s="347"/>
      <c r="X398" s="347"/>
      <c r="Y398" s="347"/>
      <c r="Z398" s="347"/>
      <c r="AA398" s="347"/>
      <c r="AB398" s="347"/>
      <c r="AC398" s="347"/>
      <c r="AD398" s="347"/>
      <c r="AE398" s="347"/>
      <c r="AF398" s="347"/>
      <c r="AG398" s="347"/>
    </row>
    <row r="399">
      <c r="A399" s="347"/>
      <c r="B399" s="347"/>
      <c r="C399" s="347"/>
      <c r="D399" s="347"/>
      <c r="E399" s="347"/>
      <c r="F399" s="347"/>
      <c r="G399" s="347"/>
      <c r="H399" s="347"/>
      <c r="I399" s="347"/>
      <c r="J399" s="347"/>
      <c r="K399" s="347"/>
      <c r="L399" s="347"/>
      <c r="M399" s="347"/>
      <c r="N399" s="347"/>
      <c r="O399" s="347"/>
      <c r="P399" s="347"/>
      <c r="Q399" s="347"/>
      <c r="R399" s="347"/>
      <c r="S399" s="347"/>
      <c r="T399" s="347"/>
      <c r="U399" s="347"/>
      <c r="V399" s="347"/>
      <c r="W399" s="347"/>
      <c r="X399" s="347"/>
      <c r="Y399" s="347"/>
      <c r="Z399" s="347"/>
      <c r="AA399" s="347"/>
      <c r="AB399" s="347"/>
      <c r="AC399" s="347"/>
      <c r="AD399" s="347"/>
      <c r="AE399" s="347"/>
      <c r="AF399" s="347"/>
      <c r="AG399" s="347"/>
    </row>
    <row r="400">
      <c r="A400" s="347"/>
      <c r="B400" s="347"/>
      <c r="C400" s="347"/>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c r="AA400" s="347"/>
      <c r="AB400" s="347"/>
      <c r="AC400" s="347"/>
      <c r="AD400" s="347"/>
      <c r="AE400" s="347"/>
      <c r="AF400" s="347"/>
      <c r="AG400" s="347"/>
    </row>
    <row r="401">
      <c r="A401" s="347"/>
      <c r="B401" s="347"/>
      <c r="C401" s="347"/>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c r="AA401" s="347"/>
      <c r="AB401" s="347"/>
      <c r="AC401" s="347"/>
      <c r="AD401" s="347"/>
      <c r="AE401" s="347"/>
      <c r="AF401" s="347"/>
      <c r="AG401" s="347"/>
    </row>
    <row r="402">
      <c r="A402" s="347"/>
      <c r="B402" s="347"/>
      <c r="C402" s="347"/>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c r="AA402" s="347"/>
      <c r="AB402" s="347"/>
      <c r="AC402" s="347"/>
      <c r="AD402" s="347"/>
      <c r="AE402" s="347"/>
      <c r="AF402" s="347"/>
      <c r="AG402" s="347"/>
    </row>
    <row r="403">
      <c r="A403" s="347"/>
      <c r="B403" s="347"/>
      <c r="C403" s="347"/>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c r="AA403" s="347"/>
      <c r="AB403" s="347"/>
      <c r="AC403" s="347"/>
      <c r="AD403" s="347"/>
      <c r="AE403" s="347"/>
      <c r="AF403" s="347"/>
      <c r="AG403" s="347"/>
    </row>
    <row r="404">
      <c r="A404" s="347"/>
      <c r="B404" s="347"/>
      <c r="C404" s="347"/>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c r="AA404" s="347"/>
      <c r="AB404" s="347"/>
      <c r="AC404" s="347"/>
      <c r="AD404" s="347"/>
      <c r="AE404" s="347"/>
      <c r="AF404" s="347"/>
      <c r="AG404" s="347"/>
    </row>
    <row r="405">
      <c r="A405" s="347"/>
      <c r="B405" s="347"/>
      <c r="C405" s="347"/>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c r="AA405" s="347"/>
      <c r="AB405" s="347"/>
      <c r="AC405" s="347"/>
      <c r="AD405" s="347"/>
      <c r="AE405" s="347"/>
      <c r="AF405" s="347"/>
      <c r="AG405" s="347"/>
    </row>
    <row r="406">
      <c r="A406" s="347"/>
      <c r="B406" s="347"/>
      <c r="C406" s="347"/>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c r="AA406" s="347"/>
      <c r="AB406" s="347"/>
      <c r="AC406" s="347"/>
      <c r="AD406" s="347"/>
      <c r="AE406" s="347"/>
      <c r="AF406" s="347"/>
      <c r="AG406" s="347"/>
    </row>
    <row r="407">
      <c r="A407" s="347"/>
      <c r="B407" s="347"/>
      <c r="C407" s="347"/>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c r="AA407" s="347"/>
      <c r="AB407" s="347"/>
      <c r="AC407" s="347"/>
      <c r="AD407" s="347"/>
      <c r="AE407" s="347"/>
      <c r="AF407" s="347"/>
      <c r="AG407" s="347"/>
    </row>
    <row r="408">
      <c r="A408" s="347"/>
      <c r="B408" s="347"/>
      <c r="C408" s="347"/>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c r="AA408" s="347"/>
      <c r="AB408" s="347"/>
      <c r="AC408" s="347"/>
      <c r="AD408" s="347"/>
      <c r="AE408" s="347"/>
      <c r="AF408" s="347"/>
      <c r="AG408" s="347"/>
    </row>
    <row r="409">
      <c r="A409" s="347"/>
      <c r="B409" s="347"/>
      <c r="C409" s="347"/>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c r="AA409" s="347"/>
      <c r="AB409" s="347"/>
      <c r="AC409" s="347"/>
      <c r="AD409" s="347"/>
      <c r="AE409" s="347"/>
      <c r="AF409" s="347"/>
      <c r="AG409" s="347"/>
    </row>
    <row r="410">
      <c r="A410" s="347"/>
      <c r="B410" s="347"/>
      <c r="C410" s="347"/>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c r="AA410" s="347"/>
      <c r="AB410" s="347"/>
      <c r="AC410" s="347"/>
      <c r="AD410" s="347"/>
      <c r="AE410" s="347"/>
      <c r="AF410" s="347"/>
      <c r="AG410" s="347"/>
    </row>
    <row r="411">
      <c r="A411" s="347"/>
      <c r="B411" s="347"/>
      <c r="C411" s="347"/>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c r="AA411" s="347"/>
      <c r="AB411" s="347"/>
      <c r="AC411" s="347"/>
      <c r="AD411" s="347"/>
      <c r="AE411" s="347"/>
      <c r="AF411" s="347"/>
      <c r="AG411" s="347"/>
    </row>
    <row r="412">
      <c r="A412" s="347"/>
      <c r="B412" s="347"/>
      <c r="C412" s="347"/>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c r="AA412" s="347"/>
      <c r="AB412" s="347"/>
      <c r="AC412" s="347"/>
      <c r="AD412" s="347"/>
      <c r="AE412" s="347"/>
      <c r="AF412" s="347"/>
      <c r="AG412" s="347"/>
    </row>
    <row r="413">
      <c r="A413" s="347"/>
      <c r="B413" s="347"/>
      <c r="C413" s="347"/>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c r="AA413" s="347"/>
      <c r="AB413" s="347"/>
      <c r="AC413" s="347"/>
      <c r="AD413" s="347"/>
      <c r="AE413" s="347"/>
      <c r="AF413" s="347"/>
      <c r="AG413" s="347"/>
    </row>
    <row r="414">
      <c r="A414" s="347"/>
      <c r="B414" s="347"/>
      <c r="C414" s="347"/>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c r="AA414" s="347"/>
      <c r="AB414" s="347"/>
      <c r="AC414" s="347"/>
      <c r="AD414" s="347"/>
      <c r="AE414" s="347"/>
      <c r="AF414" s="347"/>
      <c r="AG414" s="347"/>
    </row>
    <row r="415">
      <c r="A415" s="347"/>
      <c r="B415" s="347"/>
      <c r="C415" s="347"/>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c r="AA415" s="347"/>
      <c r="AB415" s="347"/>
      <c r="AC415" s="347"/>
      <c r="AD415" s="347"/>
      <c r="AE415" s="347"/>
      <c r="AF415" s="347"/>
      <c r="AG415" s="347"/>
    </row>
    <row r="416">
      <c r="A416" s="347"/>
      <c r="B416" s="347"/>
      <c r="C416" s="347"/>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c r="AA416" s="347"/>
      <c r="AB416" s="347"/>
      <c r="AC416" s="347"/>
      <c r="AD416" s="347"/>
      <c r="AE416" s="347"/>
      <c r="AF416" s="347"/>
      <c r="AG416" s="347"/>
    </row>
    <row r="417">
      <c r="A417" s="347"/>
      <c r="B417" s="347"/>
      <c r="C417" s="347"/>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c r="AA417" s="347"/>
      <c r="AB417" s="347"/>
      <c r="AC417" s="347"/>
      <c r="AD417" s="347"/>
      <c r="AE417" s="347"/>
      <c r="AF417" s="347"/>
      <c r="AG417" s="347"/>
    </row>
    <row r="418">
      <c r="A418" s="347"/>
      <c r="B418" s="347"/>
      <c r="C418" s="347"/>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c r="AA418" s="347"/>
      <c r="AB418" s="347"/>
      <c r="AC418" s="347"/>
      <c r="AD418" s="347"/>
      <c r="AE418" s="347"/>
      <c r="AF418" s="347"/>
      <c r="AG418" s="347"/>
    </row>
    <row r="419">
      <c r="A419" s="347"/>
      <c r="B419" s="347"/>
      <c r="C419" s="347"/>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c r="AA419" s="347"/>
      <c r="AB419" s="347"/>
      <c r="AC419" s="347"/>
      <c r="AD419" s="347"/>
      <c r="AE419" s="347"/>
      <c r="AF419" s="347"/>
      <c r="AG419" s="347"/>
    </row>
    <row r="420">
      <c r="A420" s="347"/>
      <c r="B420" s="347"/>
      <c r="C420" s="347"/>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c r="AA420" s="347"/>
      <c r="AB420" s="347"/>
      <c r="AC420" s="347"/>
      <c r="AD420" s="347"/>
      <c r="AE420" s="347"/>
      <c r="AF420" s="347"/>
      <c r="AG420" s="347"/>
    </row>
    <row r="421">
      <c r="A421" s="347"/>
      <c r="B421" s="347"/>
      <c r="C421" s="347"/>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c r="AA421" s="347"/>
      <c r="AB421" s="347"/>
      <c r="AC421" s="347"/>
      <c r="AD421" s="347"/>
      <c r="AE421" s="347"/>
      <c r="AF421" s="347"/>
      <c r="AG421" s="347"/>
    </row>
    <row r="422">
      <c r="A422" s="347"/>
      <c r="B422" s="347"/>
      <c r="C422" s="347"/>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c r="AA422" s="347"/>
      <c r="AB422" s="347"/>
      <c r="AC422" s="347"/>
      <c r="AD422" s="347"/>
      <c r="AE422" s="347"/>
      <c r="AF422" s="347"/>
      <c r="AG422" s="347"/>
    </row>
    <row r="423">
      <c r="A423" s="347"/>
      <c r="B423" s="347"/>
      <c r="C423" s="347"/>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c r="AA423" s="347"/>
      <c r="AB423" s="347"/>
      <c r="AC423" s="347"/>
      <c r="AD423" s="347"/>
      <c r="AE423" s="347"/>
      <c r="AF423" s="347"/>
      <c r="AG423" s="347"/>
    </row>
    <row r="424">
      <c r="A424" s="347"/>
      <c r="B424" s="347"/>
      <c r="C424" s="347"/>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c r="AA424" s="347"/>
      <c r="AB424" s="347"/>
      <c r="AC424" s="347"/>
      <c r="AD424" s="347"/>
      <c r="AE424" s="347"/>
      <c r="AF424" s="347"/>
      <c r="AG424" s="347"/>
    </row>
    <row r="425">
      <c r="A425" s="347"/>
      <c r="B425" s="347"/>
      <c r="C425" s="347"/>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c r="AA425" s="347"/>
      <c r="AB425" s="347"/>
      <c r="AC425" s="347"/>
      <c r="AD425" s="347"/>
      <c r="AE425" s="347"/>
      <c r="AF425" s="347"/>
      <c r="AG425" s="347"/>
    </row>
    <row r="426">
      <c r="A426" s="347"/>
      <c r="B426" s="347"/>
      <c r="C426" s="347"/>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c r="AA426" s="347"/>
      <c r="AB426" s="347"/>
      <c r="AC426" s="347"/>
      <c r="AD426" s="347"/>
      <c r="AE426" s="347"/>
      <c r="AF426" s="347"/>
      <c r="AG426" s="347"/>
    </row>
    <row r="427">
      <c r="A427" s="347"/>
      <c r="B427" s="347"/>
      <c r="C427" s="347"/>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c r="AA427" s="347"/>
      <c r="AB427" s="347"/>
      <c r="AC427" s="347"/>
      <c r="AD427" s="347"/>
      <c r="AE427" s="347"/>
      <c r="AF427" s="347"/>
      <c r="AG427" s="347"/>
    </row>
    <row r="428">
      <c r="A428" s="347"/>
      <c r="B428" s="347"/>
      <c r="C428" s="347"/>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c r="AA428" s="347"/>
      <c r="AB428" s="347"/>
      <c r="AC428" s="347"/>
      <c r="AD428" s="347"/>
      <c r="AE428" s="347"/>
      <c r="AF428" s="347"/>
      <c r="AG428" s="347"/>
    </row>
    <row r="429">
      <c r="A429" s="347"/>
      <c r="B429" s="347"/>
      <c r="C429" s="347"/>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c r="AA429" s="347"/>
      <c r="AB429" s="347"/>
      <c r="AC429" s="347"/>
      <c r="AD429" s="347"/>
      <c r="AE429" s="347"/>
      <c r="AF429" s="347"/>
      <c r="AG429" s="347"/>
    </row>
    <row r="430">
      <c r="A430" s="347"/>
      <c r="B430" s="347"/>
      <c r="C430" s="347"/>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c r="AA430" s="347"/>
      <c r="AB430" s="347"/>
      <c r="AC430" s="347"/>
      <c r="AD430" s="347"/>
      <c r="AE430" s="347"/>
      <c r="AF430" s="347"/>
      <c r="AG430" s="347"/>
    </row>
    <row r="431">
      <c r="A431" s="347"/>
      <c r="B431" s="347"/>
      <c r="C431" s="347"/>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c r="AA431" s="347"/>
      <c r="AB431" s="347"/>
      <c r="AC431" s="347"/>
      <c r="AD431" s="347"/>
      <c r="AE431" s="347"/>
      <c r="AF431" s="347"/>
      <c r="AG431" s="347"/>
    </row>
    <row r="432">
      <c r="A432" s="347"/>
      <c r="B432" s="347"/>
      <c r="C432" s="347"/>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c r="AA432" s="347"/>
      <c r="AB432" s="347"/>
      <c r="AC432" s="347"/>
      <c r="AD432" s="347"/>
      <c r="AE432" s="347"/>
      <c r="AF432" s="347"/>
      <c r="AG432" s="347"/>
    </row>
    <row r="433">
      <c r="A433" s="347"/>
      <c r="B433" s="347"/>
      <c r="C433" s="347"/>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c r="AA433" s="347"/>
      <c r="AB433" s="347"/>
      <c r="AC433" s="347"/>
      <c r="AD433" s="347"/>
      <c r="AE433" s="347"/>
      <c r="AF433" s="347"/>
      <c r="AG433" s="347"/>
    </row>
    <row r="434">
      <c r="A434" s="347"/>
      <c r="B434" s="347"/>
      <c r="C434" s="347"/>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c r="AA434" s="347"/>
      <c r="AB434" s="347"/>
      <c r="AC434" s="347"/>
      <c r="AD434" s="347"/>
      <c r="AE434" s="347"/>
      <c r="AF434" s="347"/>
      <c r="AG434" s="347"/>
    </row>
    <row r="435">
      <c r="A435" s="347"/>
      <c r="B435" s="347"/>
      <c r="C435" s="347"/>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c r="AA435" s="347"/>
      <c r="AB435" s="347"/>
      <c r="AC435" s="347"/>
      <c r="AD435" s="347"/>
      <c r="AE435" s="347"/>
      <c r="AF435" s="347"/>
      <c r="AG435" s="347"/>
    </row>
    <row r="436">
      <c r="A436" s="347"/>
      <c r="B436" s="347"/>
      <c r="C436" s="347"/>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c r="AA436" s="347"/>
      <c r="AB436" s="347"/>
      <c r="AC436" s="347"/>
      <c r="AD436" s="347"/>
      <c r="AE436" s="347"/>
      <c r="AF436" s="347"/>
      <c r="AG436" s="347"/>
    </row>
    <row r="437">
      <c r="A437" s="347"/>
      <c r="B437" s="347"/>
      <c r="C437" s="347"/>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c r="AA437" s="347"/>
      <c r="AB437" s="347"/>
      <c r="AC437" s="347"/>
      <c r="AD437" s="347"/>
      <c r="AE437" s="347"/>
      <c r="AF437" s="347"/>
      <c r="AG437" s="347"/>
    </row>
    <row r="438">
      <c r="A438" s="347"/>
      <c r="B438" s="347"/>
      <c r="C438" s="347"/>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c r="AA438" s="347"/>
      <c r="AB438" s="347"/>
      <c r="AC438" s="347"/>
      <c r="AD438" s="347"/>
      <c r="AE438" s="347"/>
      <c r="AF438" s="347"/>
      <c r="AG438" s="347"/>
    </row>
    <row r="439">
      <c r="A439" s="347"/>
      <c r="B439" s="347"/>
      <c r="C439" s="347"/>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c r="AA439" s="347"/>
      <c r="AB439" s="347"/>
      <c r="AC439" s="347"/>
      <c r="AD439" s="347"/>
      <c r="AE439" s="347"/>
      <c r="AF439" s="347"/>
      <c r="AG439" s="347"/>
    </row>
    <row r="440">
      <c r="A440" s="347"/>
      <c r="B440" s="347"/>
      <c r="C440" s="347"/>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c r="AA440" s="347"/>
      <c r="AB440" s="347"/>
      <c r="AC440" s="347"/>
      <c r="AD440" s="347"/>
      <c r="AE440" s="347"/>
      <c r="AF440" s="347"/>
      <c r="AG440" s="347"/>
    </row>
    <row r="441">
      <c r="A441" s="347"/>
      <c r="B441" s="347"/>
      <c r="C441" s="347"/>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c r="AA441" s="347"/>
      <c r="AB441" s="347"/>
      <c r="AC441" s="347"/>
      <c r="AD441" s="347"/>
      <c r="AE441" s="347"/>
      <c r="AF441" s="347"/>
      <c r="AG441" s="347"/>
    </row>
    <row r="442">
      <c r="A442" s="347"/>
      <c r="B442" s="347"/>
      <c r="C442" s="347"/>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c r="AA442" s="347"/>
      <c r="AB442" s="347"/>
      <c r="AC442" s="347"/>
      <c r="AD442" s="347"/>
      <c r="AE442" s="347"/>
      <c r="AF442" s="347"/>
      <c r="AG442" s="347"/>
    </row>
    <row r="443">
      <c r="A443" s="347"/>
      <c r="B443" s="347"/>
      <c r="C443" s="347"/>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c r="AA443" s="347"/>
      <c r="AB443" s="347"/>
      <c r="AC443" s="347"/>
      <c r="AD443" s="347"/>
      <c r="AE443" s="347"/>
      <c r="AF443" s="347"/>
      <c r="AG443" s="347"/>
    </row>
    <row r="444">
      <c r="A444" s="347"/>
      <c r="B444" s="347"/>
      <c r="C444" s="347"/>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c r="AA444" s="347"/>
      <c r="AB444" s="347"/>
      <c r="AC444" s="347"/>
      <c r="AD444" s="347"/>
      <c r="AE444" s="347"/>
      <c r="AF444" s="347"/>
      <c r="AG444" s="347"/>
    </row>
    <row r="445">
      <c r="A445" s="347"/>
      <c r="B445" s="347"/>
      <c r="C445" s="347"/>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c r="AA445" s="347"/>
      <c r="AB445" s="347"/>
      <c r="AC445" s="347"/>
      <c r="AD445" s="347"/>
      <c r="AE445" s="347"/>
      <c r="AF445" s="347"/>
      <c r="AG445" s="347"/>
    </row>
    <row r="446">
      <c r="A446" s="347"/>
      <c r="B446" s="347"/>
      <c r="C446" s="347"/>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c r="AA446" s="347"/>
      <c r="AB446" s="347"/>
      <c r="AC446" s="347"/>
      <c r="AD446" s="347"/>
      <c r="AE446" s="347"/>
      <c r="AF446" s="347"/>
      <c r="AG446" s="347"/>
    </row>
    <row r="447">
      <c r="A447" s="347"/>
      <c r="B447" s="347"/>
      <c r="C447" s="347"/>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c r="AA447" s="347"/>
      <c r="AB447" s="347"/>
      <c r="AC447" s="347"/>
      <c r="AD447" s="347"/>
      <c r="AE447" s="347"/>
      <c r="AF447" s="347"/>
      <c r="AG447" s="347"/>
    </row>
    <row r="448">
      <c r="A448" s="347"/>
      <c r="B448" s="347"/>
      <c r="C448" s="347"/>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c r="AA448" s="347"/>
      <c r="AB448" s="347"/>
      <c r="AC448" s="347"/>
      <c r="AD448" s="347"/>
      <c r="AE448" s="347"/>
      <c r="AF448" s="347"/>
      <c r="AG448" s="347"/>
    </row>
    <row r="449">
      <c r="A449" s="347"/>
      <c r="B449" s="347"/>
      <c r="C449" s="347"/>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c r="AA449" s="347"/>
      <c r="AB449" s="347"/>
      <c r="AC449" s="347"/>
      <c r="AD449" s="347"/>
      <c r="AE449" s="347"/>
      <c r="AF449" s="347"/>
      <c r="AG449" s="347"/>
    </row>
    <row r="450">
      <c r="A450" s="347"/>
      <c r="B450" s="347"/>
      <c r="C450" s="347"/>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c r="AA450" s="347"/>
      <c r="AB450" s="347"/>
      <c r="AC450" s="347"/>
      <c r="AD450" s="347"/>
      <c r="AE450" s="347"/>
      <c r="AF450" s="347"/>
      <c r="AG450" s="347"/>
    </row>
    <row r="451">
      <c r="A451" s="347"/>
      <c r="B451" s="347"/>
      <c r="C451" s="347"/>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c r="AA451" s="347"/>
      <c r="AB451" s="347"/>
      <c r="AC451" s="347"/>
      <c r="AD451" s="347"/>
      <c r="AE451" s="347"/>
      <c r="AF451" s="347"/>
      <c r="AG451" s="347"/>
    </row>
    <row r="452">
      <c r="A452" s="347"/>
      <c r="B452" s="347"/>
      <c r="C452" s="347"/>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c r="AA452" s="347"/>
      <c r="AB452" s="347"/>
      <c r="AC452" s="347"/>
      <c r="AD452" s="347"/>
      <c r="AE452" s="347"/>
      <c r="AF452" s="347"/>
      <c r="AG452" s="347"/>
    </row>
    <row r="453">
      <c r="A453" s="347"/>
      <c r="B453" s="347"/>
      <c r="C453" s="347"/>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c r="AA453" s="347"/>
      <c r="AB453" s="347"/>
      <c r="AC453" s="347"/>
      <c r="AD453" s="347"/>
      <c r="AE453" s="347"/>
      <c r="AF453" s="347"/>
      <c r="AG453" s="347"/>
    </row>
    <row r="454">
      <c r="A454" s="347"/>
      <c r="B454" s="347"/>
      <c r="C454" s="347"/>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c r="AA454" s="347"/>
      <c r="AB454" s="347"/>
      <c r="AC454" s="347"/>
      <c r="AD454" s="347"/>
      <c r="AE454" s="347"/>
      <c r="AF454" s="347"/>
      <c r="AG454" s="347"/>
    </row>
    <row r="455">
      <c r="A455" s="347"/>
      <c r="B455" s="347"/>
      <c r="C455" s="347"/>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c r="AA455" s="347"/>
      <c r="AB455" s="347"/>
      <c r="AC455" s="347"/>
      <c r="AD455" s="347"/>
      <c r="AE455" s="347"/>
      <c r="AF455" s="347"/>
      <c r="AG455" s="347"/>
    </row>
    <row r="456">
      <c r="A456" s="347"/>
      <c r="B456" s="347"/>
      <c r="C456" s="347"/>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c r="AA456" s="347"/>
      <c r="AB456" s="347"/>
      <c r="AC456" s="347"/>
      <c r="AD456" s="347"/>
      <c r="AE456" s="347"/>
      <c r="AF456" s="347"/>
      <c r="AG456" s="347"/>
    </row>
    <row r="457">
      <c r="A457" s="347"/>
      <c r="B457" s="347"/>
      <c r="C457" s="347"/>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c r="AA457" s="347"/>
      <c r="AB457" s="347"/>
      <c r="AC457" s="347"/>
      <c r="AD457" s="347"/>
      <c r="AE457" s="347"/>
      <c r="AF457" s="347"/>
      <c r="AG457" s="347"/>
    </row>
    <row r="458">
      <c r="A458" s="347"/>
      <c r="B458" s="347"/>
      <c r="C458" s="347"/>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c r="AA458" s="347"/>
      <c r="AB458" s="347"/>
      <c r="AC458" s="347"/>
      <c r="AD458" s="347"/>
      <c r="AE458" s="347"/>
      <c r="AF458" s="347"/>
      <c r="AG458" s="347"/>
    </row>
    <row r="459">
      <c r="A459" s="347"/>
      <c r="B459" s="347"/>
      <c r="C459" s="347"/>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c r="AA459" s="347"/>
      <c r="AB459" s="347"/>
      <c r="AC459" s="347"/>
      <c r="AD459" s="347"/>
      <c r="AE459" s="347"/>
      <c r="AF459" s="347"/>
      <c r="AG459" s="347"/>
    </row>
    <row r="460">
      <c r="A460" s="347"/>
      <c r="B460" s="347"/>
      <c r="C460" s="347"/>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c r="AA460" s="347"/>
      <c r="AB460" s="347"/>
      <c r="AC460" s="347"/>
      <c r="AD460" s="347"/>
      <c r="AE460" s="347"/>
      <c r="AF460" s="347"/>
      <c r="AG460" s="347"/>
    </row>
    <row r="461">
      <c r="A461" s="347"/>
      <c r="B461" s="347"/>
      <c r="C461" s="347"/>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c r="AA461" s="347"/>
      <c r="AB461" s="347"/>
      <c r="AC461" s="347"/>
      <c r="AD461" s="347"/>
      <c r="AE461" s="347"/>
      <c r="AF461" s="347"/>
      <c r="AG461" s="347"/>
    </row>
    <row r="462">
      <c r="A462" s="347"/>
      <c r="B462" s="347"/>
      <c r="C462" s="347"/>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c r="AA462" s="347"/>
      <c r="AB462" s="347"/>
      <c r="AC462" s="347"/>
      <c r="AD462" s="347"/>
      <c r="AE462" s="347"/>
      <c r="AF462" s="347"/>
      <c r="AG462" s="347"/>
    </row>
    <row r="463">
      <c r="A463" s="347"/>
      <c r="B463" s="347"/>
      <c r="C463" s="347"/>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c r="AA463" s="347"/>
      <c r="AB463" s="347"/>
      <c r="AC463" s="347"/>
      <c r="AD463" s="347"/>
      <c r="AE463" s="347"/>
      <c r="AF463" s="347"/>
      <c r="AG463" s="347"/>
    </row>
    <row r="464">
      <c r="A464" s="347"/>
      <c r="B464" s="347"/>
      <c r="C464" s="347"/>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c r="AA464" s="347"/>
      <c r="AB464" s="347"/>
      <c r="AC464" s="347"/>
      <c r="AD464" s="347"/>
      <c r="AE464" s="347"/>
      <c r="AF464" s="347"/>
      <c r="AG464" s="347"/>
    </row>
    <row r="465">
      <c r="A465" s="347"/>
      <c r="B465" s="347"/>
      <c r="C465" s="347"/>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c r="AA465" s="347"/>
      <c r="AB465" s="347"/>
      <c r="AC465" s="347"/>
      <c r="AD465" s="347"/>
      <c r="AE465" s="347"/>
      <c r="AF465" s="347"/>
      <c r="AG465" s="347"/>
    </row>
    <row r="466">
      <c r="A466" s="347"/>
      <c r="B466" s="347"/>
      <c r="C466" s="347"/>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c r="AA466" s="347"/>
      <c r="AB466" s="347"/>
      <c r="AC466" s="347"/>
      <c r="AD466" s="347"/>
      <c r="AE466" s="347"/>
      <c r="AF466" s="347"/>
      <c r="AG466" s="347"/>
    </row>
    <row r="467">
      <c r="A467" s="347"/>
      <c r="B467" s="347"/>
      <c r="C467" s="347"/>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c r="AA467" s="347"/>
      <c r="AB467" s="347"/>
      <c r="AC467" s="347"/>
      <c r="AD467" s="347"/>
      <c r="AE467" s="347"/>
      <c r="AF467" s="347"/>
      <c r="AG467" s="347"/>
    </row>
    <row r="468">
      <c r="A468" s="347"/>
      <c r="B468" s="347"/>
      <c r="C468" s="347"/>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c r="AA468" s="347"/>
      <c r="AB468" s="347"/>
      <c r="AC468" s="347"/>
      <c r="AD468" s="347"/>
      <c r="AE468" s="347"/>
      <c r="AF468" s="347"/>
      <c r="AG468" s="347"/>
    </row>
    <row r="469">
      <c r="A469" s="347"/>
      <c r="B469" s="347"/>
      <c r="C469" s="347"/>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c r="AA469" s="347"/>
      <c r="AB469" s="347"/>
      <c r="AC469" s="347"/>
      <c r="AD469" s="347"/>
      <c r="AE469" s="347"/>
      <c r="AF469" s="347"/>
      <c r="AG469" s="347"/>
    </row>
    <row r="470">
      <c r="A470" s="347"/>
      <c r="B470" s="347"/>
      <c r="C470" s="347"/>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c r="AA470" s="347"/>
      <c r="AB470" s="347"/>
      <c r="AC470" s="347"/>
      <c r="AD470" s="347"/>
      <c r="AE470" s="347"/>
      <c r="AF470" s="347"/>
      <c r="AG470" s="347"/>
    </row>
    <row r="471">
      <c r="A471" s="347"/>
      <c r="B471" s="347"/>
      <c r="C471" s="347"/>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c r="AA471" s="347"/>
      <c r="AB471" s="347"/>
      <c r="AC471" s="347"/>
      <c r="AD471" s="347"/>
      <c r="AE471" s="347"/>
      <c r="AF471" s="347"/>
      <c r="AG471" s="347"/>
    </row>
    <row r="472">
      <c r="A472" s="347"/>
      <c r="B472" s="347"/>
      <c r="C472" s="347"/>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c r="AA472" s="347"/>
      <c r="AB472" s="347"/>
      <c r="AC472" s="347"/>
      <c r="AD472" s="347"/>
      <c r="AE472" s="347"/>
      <c r="AF472" s="347"/>
      <c r="AG472" s="347"/>
    </row>
    <row r="473">
      <c r="A473" s="347"/>
      <c r="B473" s="347"/>
      <c r="C473" s="347"/>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c r="AA473" s="347"/>
      <c r="AB473" s="347"/>
      <c r="AC473" s="347"/>
      <c r="AD473" s="347"/>
      <c r="AE473" s="347"/>
      <c r="AF473" s="347"/>
      <c r="AG473" s="347"/>
    </row>
    <row r="474">
      <c r="A474" s="347"/>
      <c r="B474" s="347"/>
      <c r="C474" s="347"/>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c r="AA474" s="347"/>
      <c r="AB474" s="347"/>
      <c r="AC474" s="347"/>
      <c r="AD474" s="347"/>
      <c r="AE474" s="347"/>
      <c r="AF474" s="347"/>
      <c r="AG474" s="347"/>
    </row>
    <row r="475">
      <c r="A475" s="347"/>
      <c r="B475" s="347"/>
      <c r="C475" s="347"/>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c r="AA475" s="347"/>
      <c r="AB475" s="347"/>
      <c r="AC475" s="347"/>
      <c r="AD475" s="347"/>
      <c r="AE475" s="347"/>
      <c r="AF475" s="347"/>
      <c r="AG475" s="347"/>
    </row>
    <row r="476">
      <c r="A476" s="347"/>
      <c r="B476" s="347"/>
      <c r="C476" s="347"/>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c r="AA476" s="347"/>
      <c r="AB476" s="347"/>
      <c r="AC476" s="347"/>
      <c r="AD476" s="347"/>
      <c r="AE476" s="347"/>
      <c r="AF476" s="347"/>
      <c r="AG476" s="347"/>
    </row>
    <row r="477">
      <c r="A477" s="347"/>
      <c r="B477" s="347"/>
      <c r="C477" s="347"/>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c r="AA477" s="347"/>
      <c r="AB477" s="347"/>
      <c r="AC477" s="347"/>
      <c r="AD477" s="347"/>
      <c r="AE477" s="347"/>
      <c r="AF477" s="347"/>
      <c r="AG477" s="347"/>
    </row>
    <row r="478">
      <c r="A478" s="347"/>
      <c r="B478" s="347"/>
      <c r="C478" s="347"/>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c r="AA478" s="347"/>
      <c r="AB478" s="347"/>
      <c r="AC478" s="347"/>
      <c r="AD478" s="347"/>
      <c r="AE478" s="347"/>
      <c r="AF478" s="347"/>
      <c r="AG478" s="347"/>
    </row>
    <row r="479">
      <c r="A479" s="347"/>
      <c r="B479" s="347"/>
      <c r="C479" s="347"/>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c r="AA479" s="347"/>
      <c r="AB479" s="347"/>
      <c r="AC479" s="347"/>
      <c r="AD479" s="347"/>
      <c r="AE479" s="347"/>
      <c r="AF479" s="347"/>
      <c r="AG479" s="347"/>
    </row>
    <row r="480">
      <c r="A480" s="347"/>
      <c r="B480" s="347"/>
      <c r="C480" s="347"/>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c r="AA480" s="347"/>
      <c r="AB480" s="347"/>
      <c r="AC480" s="347"/>
      <c r="AD480" s="347"/>
      <c r="AE480" s="347"/>
      <c r="AF480" s="347"/>
      <c r="AG480" s="347"/>
    </row>
    <row r="481">
      <c r="A481" s="347"/>
      <c r="B481" s="347"/>
      <c r="C481" s="347"/>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c r="AA481" s="347"/>
      <c r="AB481" s="347"/>
      <c r="AC481" s="347"/>
      <c r="AD481" s="347"/>
      <c r="AE481" s="347"/>
      <c r="AF481" s="347"/>
      <c r="AG481" s="347"/>
    </row>
    <row r="482">
      <c r="A482" s="347"/>
      <c r="B482" s="347"/>
      <c r="C482" s="347"/>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c r="AA482" s="347"/>
      <c r="AB482" s="347"/>
      <c r="AC482" s="347"/>
      <c r="AD482" s="347"/>
      <c r="AE482" s="347"/>
      <c r="AF482" s="347"/>
      <c r="AG482" s="347"/>
    </row>
    <row r="483">
      <c r="A483" s="347"/>
      <c r="B483" s="347"/>
      <c r="C483" s="347"/>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c r="AA483" s="347"/>
      <c r="AB483" s="347"/>
      <c r="AC483" s="347"/>
      <c r="AD483" s="347"/>
      <c r="AE483" s="347"/>
      <c r="AF483" s="347"/>
      <c r="AG483" s="347"/>
    </row>
    <row r="484">
      <c r="A484" s="347"/>
      <c r="B484" s="347"/>
      <c r="C484" s="347"/>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c r="AA484" s="347"/>
      <c r="AB484" s="347"/>
      <c r="AC484" s="347"/>
      <c r="AD484" s="347"/>
      <c r="AE484" s="347"/>
      <c r="AF484" s="347"/>
      <c r="AG484" s="347"/>
    </row>
    <row r="485">
      <c r="A485" s="347"/>
      <c r="B485" s="347"/>
      <c r="C485" s="347"/>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c r="AA485" s="347"/>
      <c r="AB485" s="347"/>
      <c r="AC485" s="347"/>
      <c r="AD485" s="347"/>
      <c r="AE485" s="347"/>
      <c r="AF485" s="347"/>
      <c r="AG485" s="347"/>
    </row>
    <row r="486">
      <c r="A486" s="347"/>
      <c r="B486" s="347"/>
      <c r="C486" s="347"/>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c r="AA486" s="347"/>
      <c r="AB486" s="347"/>
      <c r="AC486" s="347"/>
      <c r="AD486" s="347"/>
      <c r="AE486" s="347"/>
      <c r="AF486" s="347"/>
      <c r="AG486" s="347"/>
    </row>
    <row r="487">
      <c r="A487" s="347"/>
      <c r="B487" s="347"/>
      <c r="C487" s="347"/>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c r="AA487" s="347"/>
      <c r="AB487" s="347"/>
      <c r="AC487" s="347"/>
      <c r="AD487" s="347"/>
      <c r="AE487" s="347"/>
      <c r="AF487" s="347"/>
      <c r="AG487" s="347"/>
    </row>
    <row r="488">
      <c r="A488" s="347"/>
      <c r="B488" s="347"/>
      <c r="C488" s="347"/>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c r="AA488" s="347"/>
      <c r="AB488" s="347"/>
      <c r="AC488" s="347"/>
      <c r="AD488" s="347"/>
      <c r="AE488" s="347"/>
      <c r="AF488" s="347"/>
      <c r="AG488" s="347"/>
    </row>
    <row r="489">
      <c r="A489" s="347"/>
      <c r="B489" s="347"/>
      <c r="C489" s="347"/>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c r="AA489" s="347"/>
      <c r="AB489" s="347"/>
      <c r="AC489" s="347"/>
      <c r="AD489" s="347"/>
      <c r="AE489" s="347"/>
      <c r="AF489" s="347"/>
      <c r="AG489" s="347"/>
    </row>
    <row r="490">
      <c r="A490" s="347"/>
      <c r="B490" s="347"/>
      <c r="C490" s="347"/>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c r="AA490" s="347"/>
      <c r="AB490" s="347"/>
      <c r="AC490" s="347"/>
      <c r="AD490" s="347"/>
      <c r="AE490" s="347"/>
      <c r="AF490" s="347"/>
      <c r="AG490" s="347"/>
    </row>
    <row r="491">
      <c r="A491" s="347"/>
      <c r="B491" s="347"/>
      <c r="C491" s="347"/>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c r="AA491" s="347"/>
      <c r="AB491" s="347"/>
      <c r="AC491" s="347"/>
      <c r="AD491" s="347"/>
      <c r="AE491" s="347"/>
      <c r="AF491" s="347"/>
      <c r="AG491" s="347"/>
    </row>
    <row r="492">
      <c r="A492" s="347"/>
      <c r="B492" s="347"/>
      <c r="C492" s="347"/>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c r="AA492" s="347"/>
      <c r="AB492" s="347"/>
      <c r="AC492" s="347"/>
      <c r="AD492" s="347"/>
      <c r="AE492" s="347"/>
      <c r="AF492" s="347"/>
      <c r="AG492" s="347"/>
    </row>
    <row r="493">
      <c r="A493" s="347"/>
      <c r="B493" s="347"/>
      <c r="C493" s="347"/>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c r="AA493" s="347"/>
      <c r="AB493" s="347"/>
      <c r="AC493" s="347"/>
      <c r="AD493" s="347"/>
      <c r="AE493" s="347"/>
      <c r="AF493" s="347"/>
      <c r="AG493" s="347"/>
    </row>
    <row r="494">
      <c r="A494" s="347"/>
      <c r="B494" s="347"/>
      <c r="C494" s="347"/>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c r="AA494" s="347"/>
      <c r="AB494" s="347"/>
      <c r="AC494" s="347"/>
      <c r="AD494" s="347"/>
      <c r="AE494" s="347"/>
      <c r="AF494" s="347"/>
      <c r="AG494" s="347"/>
    </row>
    <row r="495">
      <c r="A495" s="347"/>
      <c r="B495" s="347"/>
      <c r="C495" s="347"/>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c r="AA495" s="347"/>
      <c r="AB495" s="347"/>
      <c r="AC495" s="347"/>
      <c r="AD495" s="347"/>
      <c r="AE495" s="347"/>
      <c r="AF495" s="347"/>
      <c r="AG495" s="347"/>
    </row>
    <row r="496">
      <c r="A496" s="347"/>
      <c r="B496" s="347"/>
      <c r="C496" s="347"/>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c r="AA496" s="347"/>
      <c r="AB496" s="347"/>
      <c r="AC496" s="347"/>
      <c r="AD496" s="347"/>
      <c r="AE496" s="347"/>
      <c r="AF496" s="347"/>
      <c r="AG496" s="347"/>
    </row>
    <row r="497">
      <c r="A497" s="347"/>
      <c r="B497" s="347"/>
      <c r="C497" s="347"/>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c r="AA497" s="347"/>
      <c r="AB497" s="347"/>
      <c r="AC497" s="347"/>
      <c r="AD497" s="347"/>
      <c r="AE497" s="347"/>
      <c r="AF497" s="347"/>
      <c r="AG497" s="347"/>
    </row>
    <row r="498">
      <c r="A498" s="347"/>
      <c r="B498" s="347"/>
      <c r="C498" s="347"/>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c r="AA498" s="347"/>
      <c r="AB498" s="347"/>
      <c r="AC498" s="347"/>
      <c r="AD498" s="347"/>
      <c r="AE498" s="347"/>
      <c r="AF498" s="347"/>
      <c r="AG498" s="347"/>
    </row>
    <row r="499">
      <c r="A499" s="347"/>
      <c r="B499" s="347"/>
      <c r="C499" s="347"/>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c r="AA499" s="347"/>
      <c r="AB499" s="347"/>
      <c r="AC499" s="347"/>
      <c r="AD499" s="347"/>
      <c r="AE499" s="347"/>
      <c r="AF499" s="347"/>
      <c r="AG499" s="347"/>
    </row>
    <row r="500">
      <c r="A500" s="347"/>
      <c r="B500" s="347"/>
      <c r="C500" s="347"/>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c r="AA500" s="347"/>
      <c r="AB500" s="347"/>
      <c r="AC500" s="347"/>
      <c r="AD500" s="347"/>
      <c r="AE500" s="347"/>
      <c r="AF500" s="347"/>
      <c r="AG500" s="347"/>
    </row>
    <row r="501">
      <c r="A501" s="347"/>
      <c r="B501" s="347"/>
      <c r="C501" s="347"/>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c r="AA501" s="347"/>
      <c r="AB501" s="347"/>
      <c r="AC501" s="347"/>
      <c r="AD501" s="347"/>
      <c r="AE501" s="347"/>
      <c r="AF501" s="347"/>
      <c r="AG501" s="347"/>
    </row>
    <row r="502">
      <c r="A502" s="347"/>
      <c r="B502" s="347"/>
      <c r="C502" s="347"/>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c r="AA502" s="347"/>
      <c r="AB502" s="347"/>
      <c r="AC502" s="347"/>
      <c r="AD502" s="347"/>
      <c r="AE502" s="347"/>
      <c r="AF502" s="347"/>
      <c r="AG502" s="347"/>
    </row>
    <row r="503">
      <c r="A503" s="347"/>
      <c r="B503" s="347"/>
      <c r="C503" s="347"/>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c r="AA503" s="347"/>
      <c r="AB503" s="347"/>
      <c r="AC503" s="347"/>
      <c r="AD503" s="347"/>
      <c r="AE503" s="347"/>
      <c r="AF503" s="347"/>
      <c r="AG503" s="347"/>
    </row>
    <row r="504">
      <c r="A504" s="347"/>
      <c r="B504" s="347"/>
      <c r="C504" s="347"/>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c r="AA504" s="347"/>
      <c r="AB504" s="347"/>
      <c r="AC504" s="347"/>
      <c r="AD504" s="347"/>
      <c r="AE504" s="347"/>
      <c r="AF504" s="347"/>
      <c r="AG504" s="347"/>
    </row>
    <row r="505">
      <c r="A505" s="347"/>
      <c r="B505" s="347"/>
      <c r="C505" s="347"/>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c r="AA505" s="347"/>
      <c r="AB505" s="347"/>
      <c r="AC505" s="347"/>
      <c r="AD505" s="347"/>
      <c r="AE505" s="347"/>
      <c r="AF505" s="347"/>
      <c r="AG505" s="347"/>
    </row>
    <row r="506">
      <c r="A506" s="347"/>
      <c r="B506" s="347"/>
      <c r="C506" s="347"/>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c r="AA506" s="347"/>
      <c r="AB506" s="347"/>
      <c r="AC506" s="347"/>
      <c r="AD506" s="347"/>
      <c r="AE506" s="347"/>
      <c r="AF506" s="347"/>
      <c r="AG506" s="347"/>
    </row>
    <row r="507">
      <c r="A507" s="347"/>
      <c r="B507" s="347"/>
      <c r="C507" s="347"/>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c r="AA507" s="347"/>
      <c r="AB507" s="347"/>
      <c r="AC507" s="347"/>
      <c r="AD507" s="347"/>
      <c r="AE507" s="347"/>
      <c r="AF507" s="347"/>
      <c r="AG507" s="347"/>
    </row>
    <row r="508">
      <c r="A508" s="347"/>
      <c r="B508" s="347"/>
      <c r="C508" s="347"/>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c r="AA508" s="347"/>
      <c r="AB508" s="347"/>
      <c r="AC508" s="347"/>
      <c r="AD508" s="347"/>
      <c r="AE508" s="347"/>
      <c r="AF508" s="347"/>
      <c r="AG508" s="347"/>
    </row>
    <row r="509">
      <c r="A509" s="347"/>
      <c r="B509" s="347"/>
      <c r="C509" s="347"/>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c r="AA509" s="347"/>
      <c r="AB509" s="347"/>
      <c r="AC509" s="347"/>
      <c r="AD509" s="347"/>
      <c r="AE509" s="347"/>
      <c r="AF509" s="347"/>
      <c r="AG509" s="347"/>
    </row>
    <row r="510">
      <c r="A510" s="347"/>
      <c r="B510" s="347"/>
      <c r="C510" s="347"/>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c r="AA510" s="347"/>
      <c r="AB510" s="347"/>
      <c r="AC510" s="347"/>
      <c r="AD510" s="347"/>
      <c r="AE510" s="347"/>
      <c r="AF510" s="347"/>
      <c r="AG510" s="347"/>
    </row>
    <row r="511">
      <c r="A511" s="347"/>
      <c r="B511" s="347"/>
      <c r="C511" s="347"/>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c r="AA511" s="347"/>
      <c r="AB511" s="347"/>
      <c r="AC511" s="347"/>
      <c r="AD511" s="347"/>
      <c r="AE511" s="347"/>
      <c r="AF511" s="347"/>
      <c r="AG511" s="347"/>
    </row>
    <row r="512">
      <c r="A512" s="347"/>
      <c r="B512" s="347"/>
      <c r="C512" s="347"/>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c r="AA512" s="347"/>
      <c r="AB512" s="347"/>
      <c r="AC512" s="347"/>
      <c r="AD512" s="347"/>
      <c r="AE512" s="347"/>
      <c r="AF512" s="347"/>
      <c r="AG512" s="347"/>
    </row>
    <row r="513">
      <c r="A513" s="347"/>
      <c r="B513" s="347"/>
      <c r="C513" s="347"/>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c r="AA513" s="347"/>
      <c r="AB513" s="347"/>
      <c r="AC513" s="347"/>
      <c r="AD513" s="347"/>
      <c r="AE513" s="347"/>
      <c r="AF513" s="347"/>
      <c r="AG513" s="347"/>
    </row>
    <row r="514">
      <c r="A514" s="347"/>
      <c r="B514" s="347"/>
      <c r="C514" s="347"/>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c r="AA514" s="347"/>
      <c r="AB514" s="347"/>
      <c r="AC514" s="347"/>
      <c r="AD514" s="347"/>
      <c r="AE514" s="347"/>
      <c r="AF514" s="347"/>
      <c r="AG514" s="347"/>
    </row>
    <row r="515">
      <c r="A515" s="347"/>
      <c r="B515" s="347"/>
      <c r="C515" s="347"/>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c r="AA515" s="347"/>
      <c r="AB515" s="347"/>
      <c r="AC515" s="347"/>
      <c r="AD515" s="347"/>
      <c r="AE515" s="347"/>
      <c r="AF515" s="347"/>
      <c r="AG515" s="347"/>
    </row>
    <row r="516">
      <c r="A516" s="347"/>
      <c r="B516" s="347"/>
      <c r="C516" s="347"/>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c r="AA516" s="347"/>
      <c r="AB516" s="347"/>
      <c r="AC516" s="347"/>
      <c r="AD516" s="347"/>
      <c r="AE516" s="347"/>
      <c r="AF516" s="347"/>
      <c r="AG516" s="347"/>
    </row>
    <row r="517">
      <c r="A517" s="347"/>
      <c r="B517" s="347"/>
      <c r="C517" s="347"/>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c r="AA517" s="347"/>
      <c r="AB517" s="347"/>
      <c r="AC517" s="347"/>
      <c r="AD517" s="347"/>
      <c r="AE517" s="347"/>
      <c r="AF517" s="347"/>
      <c r="AG517" s="347"/>
    </row>
    <row r="518">
      <c r="A518" s="347"/>
      <c r="B518" s="347"/>
      <c r="C518" s="347"/>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c r="AA518" s="347"/>
      <c r="AB518" s="347"/>
      <c r="AC518" s="347"/>
      <c r="AD518" s="347"/>
      <c r="AE518" s="347"/>
      <c r="AF518" s="347"/>
      <c r="AG518" s="347"/>
    </row>
    <row r="519">
      <c r="A519" s="347"/>
      <c r="B519" s="347"/>
      <c r="C519" s="347"/>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c r="AA519" s="347"/>
      <c r="AB519" s="347"/>
      <c r="AC519" s="347"/>
      <c r="AD519" s="347"/>
      <c r="AE519" s="347"/>
      <c r="AF519" s="347"/>
      <c r="AG519" s="347"/>
    </row>
    <row r="520">
      <c r="A520" s="347"/>
      <c r="B520" s="347"/>
      <c r="C520" s="347"/>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c r="AA520" s="347"/>
      <c r="AB520" s="347"/>
      <c r="AC520" s="347"/>
      <c r="AD520" s="347"/>
      <c r="AE520" s="347"/>
      <c r="AF520" s="347"/>
      <c r="AG520" s="347"/>
    </row>
    <row r="521">
      <c r="A521" s="347"/>
      <c r="B521" s="347"/>
      <c r="C521" s="347"/>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c r="AA521" s="347"/>
      <c r="AB521" s="347"/>
      <c r="AC521" s="347"/>
      <c r="AD521" s="347"/>
      <c r="AE521" s="347"/>
      <c r="AF521" s="347"/>
      <c r="AG521" s="347"/>
    </row>
    <row r="522">
      <c r="A522" s="347"/>
      <c r="B522" s="347"/>
      <c r="C522" s="347"/>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c r="AA522" s="347"/>
      <c r="AB522" s="347"/>
      <c r="AC522" s="347"/>
      <c r="AD522" s="347"/>
      <c r="AE522" s="347"/>
      <c r="AF522" s="347"/>
      <c r="AG522" s="347"/>
    </row>
    <row r="523">
      <c r="A523" s="347"/>
      <c r="B523" s="347"/>
      <c r="C523" s="347"/>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c r="AA523" s="347"/>
      <c r="AB523" s="347"/>
      <c r="AC523" s="347"/>
      <c r="AD523" s="347"/>
      <c r="AE523" s="347"/>
      <c r="AF523" s="347"/>
      <c r="AG523" s="347"/>
    </row>
    <row r="524">
      <c r="A524" s="347"/>
      <c r="B524" s="347"/>
      <c r="C524" s="347"/>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c r="AA524" s="347"/>
      <c r="AB524" s="347"/>
      <c r="AC524" s="347"/>
      <c r="AD524" s="347"/>
      <c r="AE524" s="347"/>
      <c r="AF524" s="347"/>
      <c r="AG524" s="347"/>
    </row>
    <row r="525">
      <c r="A525" s="347"/>
      <c r="B525" s="347"/>
      <c r="C525" s="347"/>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c r="AA525" s="347"/>
      <c r="AB525" s="347"/>
      <c r="AC525" s="347"/>
      <c r="AD525" s="347"/>
      <c r="AE525" s="347"/>
      <c r="AF525" s="347"/>
      <c r="AG525" s="347"/>
    </row>
    <row r="526">
      <c r="A526" s="347"/>
      <c r="B526" s="347"/>
      <c r="C526" s="347"/>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c r="AA526" s="347"/>
      <c r="AB526" s="347"/>
      <c r="AC526" s="347"/>
      <c r="AD526" s="347"/>
      <c r="AE526" s="347"/>
      <c r="AF526" s="347"/>
      <c r="AG526" s="347"/>
    </row>
    <row r="527">
      <c r="A527" s="347"/>
      <c r="B527" s="347"/>
      <c r="C527" s="347"/>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c r="AA527" s="347"/>
      <c r="AB527" s="347"/>
      <c r="AC527" s="347"/>
      <c r="AD527" s="347"/>
      <c r="AE527" s="347"/>
      <c r="AF527" s="347"/>
      <c r="AG527" s="347"/>
    </row>
    <row r="528">
      <c r="A528" s="347"/>
      <c r="B528" s="347"/>
      <c r="C528" s="347"/>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c r="AA528" s="347"/>
      <c r="AB528" s="347"/>
      <c r="AC528" s="347"/>
      <c r="AD528" s="347"/>
      <c r="AE528" s="347"/>
      <c r="AF528" s="347"/>
      <c r="AG528" s="347"/>
    </row>
    <row r="529">
      <c r="A529" s="347"/>
      <c r="B529" s="347"/>
      <c r="C529" s="347"/>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c r="AA529" s="347"/>
      <c r="AB529" s="347"/>
      <c r="AC529" s="347"/>
      <c r="AD529" s="347"/>
      <c r="AE529" s="347"/>
      <c r="AF529" s="347"/>
      <c r="AG529" s="347"/>
    </row>
    <row r="530">
      <c r="A530" s="347"/>
      <c r="B530" s="347"/>
      <c r="C530" s="347"/>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c r="AA530" s="347"/>
      <c r="AB530" s="347"/>
      <c r="AC530" s="347"/>
      <c r="AD530" s="347"/>
      <c r="AE530" s="347"/>
      <c r="AF530" s="347"/>
      <c r="AG530" s="347"/>
    </row>
    <row r="531">
      <c r="A531" s="347"/>
      <c r="B531" s="347"/>
      <c r="C531" s="347"/>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c r="AA531" s="347"/>
      <c r="AB531" s="347"/>
      <c r="AC531" s="347"/>
      <c r="AD531" s="347"/>
      <c r="AE531" s="347"/>
      <c r="AF531" s="347"/>
      <c r="AG531" s="347"/>
    </row>
    <row r="532">
      <c r="A532" s="347"/>
      <c r="B532" s="347"/>
      <c r="C532" s="347"/>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c r="AA532" s="347"/>
      <c r="AB532" s="347"/>
      <c r="AC532" s="347"/>
      <c r="AD532" s="347"/>
      <c r="AE532" s="347"/>
      <c r="AF532" s="347"/>
      <c r="AG532" s="347"/>
    </row>
    <row r="533">
      <c r="A533" s="347"/>
      <c r="B533" s="347"/>
      <c r="C533" s="347"/>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c r="AA533" s="347"/>
      <c r="AB533" s="347"/>
      <c r="AC533" s="347"/>
      <c r="AD533" s="347"/>
      <c r="AE533" s="347"/>
      <c r="AF533" s="347"/>
      <c r="AG533" s="347"/>
    </row>
    <row r="534">
      <c r="A534" s="347"/>
      <c r="B534" s="347"/>
      <c r="C534" s="347"/>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c r="AA534" s="347"/>
      <c r="AB534" s="347"/>
      <c r="AC534" s="347"/>
      <c r="AD534" s="347"/>
      <c r="AE534" s="347"/>
      <c r="AF534" s="347"/>
      <c r="AG534" s="347"/>
    </row>
    <row r="535">
      <c r="A535" s="347"/>
      <c r="B535" s="347"/>
      <c r="C535" s="347"/>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c r="AA535" s="347"/>
      <c r="AB535" s="347"/>
      <c r="AC535" s="347"/>
      <c r="AD535" s="347"/>
      <c r="AE535" s="347"/>
      <c r="AF535" s="347"/>
      <c r="AG535" s="347"/>
    </row>
    <row r="536">
      <c r="A536" s="347"/>
      <c r="B536" s="347"/>
      <c r="C536" s="347"/>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c r="AA536" s="347"/>
      <c r="AB536" s="347"/>
      <c r="AC536" s="347"/>
      <c r="AD536" s="347"/>
      <c r="AE536" s="347"/>
      <c r="AF536" s="347"/>
      <c r="AG536" s="347"/>
    </row>
    <row r="537">
      <c r="A537" s="347"/>
      <c r="B537" s="347"/>
      <c r="C537" s="347"/>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c r="AA537" s="347"/>
      <c r="AB537" s="347"/>
      <c r="AC537" s="347"/>
      <c r="AD537" s="347"/>
      <c r="AE537" s="347"/>
      <c r="AF537" s="347"/>
      <c r="AG537" s="347"/>
    </row>
    <row r="538">
      <c r="A538" s="347"/>
      <c r="B538" s="347"/>
      <c r="C538" s="347"/>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c r="AA538" s="347"/>
      <c r="AB538" s="347"/>
      <c r="AC538" s="347"/>
      <c r="AD538" s="347"/>
      <c r="AE538" s="347"/>
      <c r="AF538" s="347"/>
      <c r="AG538" s="347"/>
    </row>
    <row r="539">
      <c r="A539" s="347"/>
      <c r="B539" s="347"/>
      <c r="C539" s="347"/>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c r="AA539" s="347"/>
      <c r="AB539" s="347"/>
      <c r="AC539" s="347"/>
      <c r="AD539" s="347"/>
      <c r="AE539" s="347"/>
      <c r="AF539" s="347"/>
      <c r="AG539" s="347"/>
    </row>
    <row r="540">
      <c r="A540" s="347"/>
      <c r="B540" s="347"/>
      <c r="C540" s="347"/>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c r="AA540" s="347"/>
      <c r="AB540" s="347"/>
      <c r="AC540" s="347"/>
      <c r="AD540" s="347"/>
      <c r="AE540" s="347"/>
      <c r="AF540" s="347"/>
      <c r="AG540" s="347"/>
    </row>
    <row r="541">
      <c r="A541" s="347"/>
      <c r="B541" s="347"/>
      <c r="C541" s="347"/>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c r="AA541" s="347"/>
      <c r="AB541" s="347"/>
      <c r="AC541" s="347"/>
      <c r="AD541" s="347"/>
      <c r="AE541" s="347"/>
      <c r="AF541" s="347"/>
      <c r="AG541" s="347"/>
    </row>
    <row r="542">
      <c r="A542" s="347"/>
      <c r="B542" s="347"/>
      <c r="C542" s="347"/>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c r="AA542" s="347"/>
      <c r="AB542" s="347"/>
      <c r="AC542" s="347"/>
      <c r="AD542" s="347"/>
      <c r="AE542" s="347"/>
      <c r="AF542" s="347"/>
      <c r="AG542" s="347"/>
    </row>
    <row r="543">
      <c r="A543" s="347"/>
      <c r="B543" s="347"/>
      <c r="C543" s="347"/>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c r="AA543" s="347"/>
      <c r="AB543" s="347"/>
      <c r="AC543" s="347"/>
      <c r="AD543" s="347"/>
      <c r="AE543" s="347"/>
      <c r="AF543" s="347"/>
      <c r="AG543" s="347"/>
    </row>
    <row r="544">
      <c r="A544" s="347"/>
      <c r="B544" s="347"/>
      <c r="C544" s="347"/>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c r="AA544" s="347"/>
      <c r="AB544" s="347"/>
      <c r="AC544" s="347"/>
      <c r="AD544" s="347"/>
      <c r="AE544" s="347"/>
      <c r="AF544" s="347"/>
      <c r="AG544" s="347"/>
    </row>
    <row r="545">
      <c r="A545" s="347"/>
      <c r="B545" s="347"/>
      <c r="C545" s="347"/>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c r="AA545" s="347"/>
      <c r="AB545" s="347"/>
      <c r="AC545" s="347"/>
      <c r="AD545" s="347"/>
      <c r="AE545" s="347"/>
      <c r="AF545" s="347"/>
      <c r="AG545" s="347"/>
    </row>
    <row r="546">
      <c r="A546" s="347"/>
      <c r="B546" s="347"/>
      <c r="C546" s="347"/>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c r="AA546" s="347"/>
      <c r="AB546" s="347"/>
      <c r="AC546" s="347"/>
      <c r="AD546" s="347"/>
      <c r="AE546" s="347"/>
      <c r="AF546" s="347"/>
      <c r="AG546" s="347"/>
    </row>
    <row r="547">
      <c r="A547" s="347"/>
      <c r="B547" s="347"/>
      <c r="C547" s="347"/>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c r="AA547" s="347"/>
      <c r="AB547" s="347"/>
      <c r="AC547" s="347"/>
      <c r="AD547" s="347"/>
      <c r="AE547" s="347"/>
      <c r="AF547" s="347"/>
      <c r="AG547" s="347"/>
    </row>
    <row r="548">
      <c r="A548" s="347"/>
      <c r="B548" s="347"/>
      <c r="C548" s="347"/>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c r="AA548" s="347"/>
      <c r="AB548" s="347"/>
      <c r="AC548" s="347"/>
      <c r="AD548" s="347"/>
      <c r="AE548" s="347"/>
      <c r="AF548" s="347"/>
      <c r="AG548" s="347"/>
    </row>
    <row r="549">
      <c r="A549" s="347"/>
      <c r="B549" s="347"/>
      <c r="C549" s="347"/>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c r="AA549" s="347"/>
      <c r="AB549" s="347"/>
      <c r="AC549" s="347"/>
      <c r="AD549" s="347"/>
      <c r="AE549" s="347"/>
      <c r="AF549" s="347"/>
      <c r="AG549" s="347"/>
    </row>
    <row r="550">
      <c r="A550" s="347"/>
      <c r="B550" s="347"/>
      <c r="C550" s="347"/>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c r="AA550" s="347"/>
      <c r="AB550" s="347"/>
      <c r="AC550" s="347"/>
      <c r="AD550" s="347"/>
      <c r="AE550" s="347"/>
      <c r="AF550" s="347"/>
      <c r="AG550" s="347"/>
    </row>
    <row r="551">
      <c r="A551" s="347"/>
      <c r="B551" s="347"/>
      <c r="C551" s="347"/>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c r="AA551" s="347"/>
      <c r="AB551" s="347"/>
      <c r="AC551" s="347"/>
      <c r="AD551" s="347"/>
      <c r="AE551" s="347"/>
      <c r="AF551" s="347"/>
      <c r="AG551" s="347"/>
    </row>
    <row r="552">
      <c r="A552" s="347"/>
      <c r="B552" s="347"/>
      <c r="C552" s="347"/>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c r="AA552" s="347"/>
      <c r="AB552" s="347"/>
      <c r="AC552" s="347"/>
      <c r="AD552" s="347"/>
      <c r="AE552" s="347"/>
      <c r="AF552" s="347"/>
      <c r="AG552" s="347"/>
    </row>
    <row r="553">
      <c r="A553" s="347"/>
      <c r="B553" s="347"/>
      <c r="C553" s="347"/>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c r="AA553" s="347"/>
      <c r="AB553" s="347"/>
      <c r="AC553" s="347"/>
      <c r="AD553" s="347"/>
      <c r="AE553" s="347"/>
      <c r="AF553" s="347"/>
      <c r="AG553" s="347"/>
    </row>
    <row r="554">
      <c r="A554" s="347"/>
      <c r="B554" s="347"/>
      <c r="C554" s="347"/>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c r="AA554" s="347"/>
      <c r="AB554" s="347"/>
      <c r="AC554" s="347"/>
      <c r="AD554" s="347"/>
      <c r="AE554" s="347"/>
      <c r="AF554" s="347"/>
      <c r="AG554" s="347"/>
    </row>
    <row r="555">
      <c r="A555" s="347"/>
      <c r="B555" s="347"/>
      <c r="C555" s="347"/>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c r="AA555" s="347"/>
      <c r="AB555" s="347"/>
      <c r="AC555" s="347"/>
      <c r="AD555" s="347"/>
      <c r="AE555" s="347"/>
      <c r="AF555" s="347"/>
      <c r="AG555" s="347"/>
    </row>
    <row r="556">
      <c r="A556" s="347"/>
      <c r="B556" s="347"/>
      <c r="C556" s="347"/>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c r="AA556" s="347"/>
      <c r="AB556" s="347"/>
      <c r="AC556" s="347"/>
      <c r="AD556" s="347"/>
      <c r="AE556" s="347"/>
      <c r="AF556" s="347"/>
      <c r="AG556" s="347"/>
    </row>
    <row r="557">
      <c r="A557" s="347"/>
      <c r="B557" s="347"/>
      <c r="C557" s="347"/>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c r="AA557" s="347"/>
      <c r="AB557" s="347"/>
      <c r="AC557" s="347"/>
      <c r="AD557" s="347"/>
      <c r="AE557" s="347"/>
      <c r="AF557" s="347"/>
      <c r="AG557" s="347"/>
    </row>
    <row r="558">
      <c r="A558" s="347"/>
      <c r="B558" s="347"/>
      <c r="C558" s="347"/>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c r="AA558" s="347"/>
      <c r="AB558" s="347"/>
      <c r="AC558" s="347"/>
      <c r="AD558" s="347"/>
      <c r="AE558" s="347"/>
      <c r="AF558" s="347"/>
      <c r="AG558" s="347"/>
    </row>
    <row r="559">
      <c r="A559" s="347"/>
      <c r="B559" s="347"/>
      <c r="C559" s="347"/>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c r="AA559" s="347"/>
      <c r="AB559" s="347"/>
      <c r="AC559" s="347"/>
      <c r="AD559" s="347"/>
      <c r="AE559" s="347"/>
      <c r="AF559" s="347"/>
      <c r="AG559" s="347"/>
    </row>
    <row r="560">
      <c r="A560" s="347"/>
      <c r="B560" s="347"/>
      <c r="C560" s="347"/>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c r="AA560" s="347"/>
      <c r="AB560" s="347"/>
      <c r="AC560" s="347"/>
      <c r="AD560" s="347"/>
      <c r="AE560" s="347"/>
      <c r="AF560" s="347"/>
      <c r="AG560" s="347"/>
    </row>
    <row r="561">
      <c r="A561" s="347"/>
      <c r="B561" s="347"/>
      <c r="C561" s="347"/>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c r="AA561" s="347"/>
      <c r="AB561" s="347"/>
      <c r="AC561" s="347"/>
      <c r="AD561" s="347"/>
      <c r="AE561" s="347"/>
      <c r="AF561" s="347"/>
      <c r="AG561" s="347"/>
    </row>
    <row r="562">
      <c r="A562" s="347"/>
      <c r="B562" s="347"/>
      <c r="C562" s="347"/>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c r="AA562" s="347"/>
      <c r="AB562" s="347"/>
      <c r="AC562" s="347"/>
      <c r="AD562" s="347"/>
      <c r="AE562" s="347"/>
      <c r="AF562" s="347"/>
      <c r="AG562" s="347"/>
    </row>
    <row r="563">
      <c r="A563" s="347"/>
      <c r="B563" s="347"/>
      <c r="C563" s="347"/>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c r="AA563" s="347"/>
      <c r="AB563" s="347"/>
      <c r="AC563" s="347"/>
      <c r="AD563" s="347"/>
      <c r="AE563" s="347"/>
      <c r="AF563" s="347"/>
      <c r="AG563" s="347"/>
    </row>
    <row r="564">
      <c r="A564" s="347"/>
      <c r="B564" s="347"/>
      <c r="C564" s="347"/>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c r="AA564" s="347"/>
      <c r="AB564" s="347"/>
      <c r="AC564" s="347"/>
      <c r="AD564" s="347"/>
      <c r="AE564" s="347"/>
      <c r="AF564" s="347"/>
      <c r="AG564" s="347"/>
    </row>
    <row r="565">
      <c r="A565" s="347"/>
      <c r="B565" s="347"/>
      <c r="C565" s="347"/>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c r="AA565" s="347"/>
      <c r="AB565" s="347"/>
      <c r="AC565" s="347"/>
      <c r="AD565" s="347"/>
      <c r="AE565" s="347"/>
      <c r="AF565" s="347"/>
      <c r="AG565" s="347"/>
    </row>
    <row r="566">
      <c r="A566" s="347"/>
      <c r="B566" s="347"/>
      <c r="C566" s="347"/>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c r="AA566" s="347"/>
      <c r="AB566" s="347"/>
      <c r="AC566" s="347"/>
      <c r="AD566" s="347"/>
      <c r="AE566" s="347"/>
      <c r="AF566" s="347"/>
      <c r="AG566" s="347"/>
    </row>
    <row r="567">
      <c r="A567" s="347"/>
      <c r="B567" s="347"/>
      <c r="C567" s="347"/>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c r="AA567" s="347"/>
      <c r="AB567" s="347"/>
      <c r="AC567" s="347"/>
      <c r="AD567" s="347"/>
      <c r="AE567" s="347"/>
      <c r="AF567" s="347"/>
      <c r="AG567" s="347"/>
    </row>
    <row r="568">
      <c r="A568" s="347"/>
      <c r="B568" s="347"/>
      <c r="C568" s="347"/>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c r="AA568" s="347"/>
      <c r="AB568" s="347"/>
      <c r="AC568" s="347"/>
      <c r="AD568" s="347"/>
      <c r="AE568" s="347"/>
      <c r="AF568" s="347"/>
      <c r="AG568" s="347"/>
    </row>
    <row r="569">
      <c r="A569" s="347"/>
      <c r="B569" s="347"/>
      <c r="C569" s="347"/>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c r="AA569" s="347"/>
      <c r="AB569" s="347"/>
      <c r="AC569" s="347"/>
      <c r="AD569" s="347"/>
      <c r="AE569" s="347"/>
      <c r="AF569" s="347"/>
      <c r="AG569" s="347"/>
    </row>
    <row r="570">
      <c r="A570" s="347"/>
      <c r="B570" s="347"/>
      <c r="C570" s="347"/>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c r="AA570" s="347"/>
      <c r="AB570" s="347"/>
      <c r="AC570" s="347"/>
      <c r="AD570" s="347"/>
      <c r="AE570" s="347"/>
      <c r="AF570" s="347"/>
      <c r="AG570" s="347"/>
    </row>
    <row r="571">
      <c r="A571" s="347"/>
      <c r="B571" s="347"/>
      <c r="C571" s="347"/>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c r="AA571" s="347"/>
      <c r="AB571" s="347"/>
      <c r="AC571" s="347"/>
      <c r="AD571" s="347"/>
      <c r="AE571" s="347"/>
      <c r="AF571" s="347"/>
      <c r="AG571" s="347"/>
    </row>
    <row r="572">
      <c r="A572" s="347"/>
      <c r="B572" s="347"/>
      <c r="C572" s="347"/>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c r="AA572" s="347"/>
      <c r="AB572" s="347"/>
      <c r="AC572" s="347"/>
      <c r="AD572" s="347"/>
      <c r="AE572" s="347"/>
      <c r="AF572" s="347"/>
      <c r="AG572" s="347"/>
    </row>
    <row r="573">
      <c r="A573" s="347"/>
      <c r="B573" s="347"/>
      <c r="C573" s="347"/>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c r="AA573" s="347"/>
      <c r="AB573" s="347"/>
      <c r="AC573" s="347"/>
      <c r="AD573" s="347"/>
      <c r="AE573" s="347"/>
      <c r="AF573" s="347"/>
      <c r="AG573" s="347"/>
    </row>
    <row r="574">
      <c r="A574" s="347"/>
      <c r="B574" s="347"/>
      <c r="C574" s="347"/>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c r="AA574" s="347"/>
      <c r="AB574" s="347"/>
      <c r="AC574" s="347"/>
      <c r="AD574" s="347"/>
      <c r="AE574" s="347"/>
      <c r="AF574" s="347"/>
      <c r="AG574" s="347"/>
    </row>
    <row r="575">
      <c r="A575" s="347"/>
      <c r="B575" s="347"/>
      <c r="C575" s="347"/>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c r="AA575" s="347"/>
      <c r="AB575" s="347"/>
      <c r="AC575" s="347"/>
      <c r="AD575" s="347"/>
      <c r="AE575" s="347"/>
      <c r="AF575" s="347"/>
      <c r="AG575" s="347"/>
    </row>
    <row r="576">
      <c r="A576" s="347"/>
      <c r="B576" s="347"/>
      <c r="C576" s="347"/>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c r="AA576" s="347"/>
      <c r="AB576" s="347"/>
      <c r="AC576" s="347"/>
      <c r="AD576" s="347"/>
      <c r="AE576" s="347"/>
      <c r="AF576" s="347"/>
      <c r="AG576" s="347"/>
    </row>
    <row r="577">
      <c r="A577" s="347"/>
      <c r="B577" s="347"/>
      <c r="C577" s="347"/>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c r="AA577" s="347"/>
      <c r="AB577" s="347"/>
      <c r="AC577" s="347"/>
      <c r="AD577" s="347"/>
      <c r="AE577" s="347"/>
      <c r="AF577" s="347"/>
      <c r="AG577" s="347"/>
    </row>
    <row r="578">
      <c r="A578" s="347"/>
      <c r="B578" s="347"/>
      <c r="C578" s="347"/>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c r="AA578" s="347"/>
      <c r="AB578" s="347"/>
      <c r="AC578" s="347"/>
      <c r="AD578" s="347"/>
      <c r="AE578" s="347"/>
      <c r="AF578" s="347"/>
      <c r="AG578" s="347"/>
    </row>
    <row r="579">
      <c r="A579" s="347"/>
      <c r="B579" s="347"/>
      <c r="C579" s="347"/>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c r="AA579" s="347"/>
      <c r="AB579" s="347"/>
      <c r="AC579" s="347"/>
      <c r="AD579" s="347"/>
      <c r="AE579" s="347"/>
      <c r="AF579" s="347"/>
      <c r="AG579" s="347"/>
    </row>
    <row r="580">
      <c r="A580" s="347"/>
      <c r="B580" s="347"/>
      <c r="C580" s="347"/>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c r="AA580" s="347"/>
      <c r="AB580" s="347"/>
      <c r="AC580" s="347"/>
      <c r="AD580" s="347"/>
      <c r="AE580" s="347"/>
      <c r="AF580" s="347"/>
      <c r="AG580" s="347"/>
    </row>
    <row r="581">
      <c r="A581" s="347"/>
      <c r="B581" s="347"/>
      <c r="C581" s="347"/>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c r="AA581" s="347"/>
      <c r="AB581" s="347"/>
      <c r="AC581" s="347"/>
      <c r="AD581" s="347"/>
      <c r="AE581" s="347"/>
      <c r="AF581" s="347"/>
      <c r="AG581" s="347"/>
    </row>
    <row r="582">
      <c r="A582" s="347"/>
      <c r="B582" s="347"/>
      <c r="C582" s="347"/>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c r="AA582" s="347"/>
      <c r="AB582" s="347"/>
      <c r="AC582" s="347"/>
      <c r="AD582" s="347"/>
      <c r="AE582" s="347"/>
      <c r="AF582" s="347"/>
      <c r="AG582" s="347"/>
    </row>
    <row r="583">
      <c r="A583" s="347"/>
      <c r="B583" s="347"/>
      <c r="C583" s="347"/>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c r="AA583" s="347"/>
      <c r="AB583" s="347"/>
      <c r="AC583" s="347"/>
      <c r="AD583" s="347"/>
      <c r="AE583" s="347"/>
      <c r="AF583" s="347"/>
      <c r="AG583" s="347"/>
    </row>
    <row r="584">
      <c r="A584" s="347"/>
      <c r="B584" s="347"/>
      <c r="C584" s="347"/>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c r="AA584" s="347"/>
      <c r="AB584" s="347"/>
      <c r="AC584" s="347"/>
      <c r="AD584" s="347"/>
      <c r="AE584" s="347"/>
      <c r="AF584" s="347"/>
      <c r="AG584" s="347"/>
    </row>
    <row r="585">
      <c r="A585" s="347"/>
      <c r="B585" s="347"/>
      <c r="C585" s="347"/>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c r="AA585" s="347"/>
      <c r="AB585" s="347"/>
      <c r="AC585" s="347"/>
      <c r="AD585" s="347"/>
      <c r="AE585" s="347"/>
      <c r="AF585" s="347"/>
      <c r="AG585" s="347"/>
    </row>
    <row r="586">
      <c r="A586" s="347"/>
      <c r="B586" s="347"/>
      <c r="C586" s="347"/>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c r="AA586" s="347"/>
      <c r="AB586" s="347"/>
      <c r="AC586" s="347"/>
      <c r="AD586" s="347"/>
      <c r="AE586" s="347"/>
      <c r="AF586" s="347"/>
      <c r="AG586" s="347"/>
    </row>
    <row r="587">
      <c r="A587" s="347"/>
      <c r="B587" s="347"/>
      <c r="C587" s="347"/>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c r="AA587" s="347"/>
      <c r="AB587" s="347"/>
      <c r="AC587" s="347"/>
      <c r="AD587" s="347"/>
      <c r="AE587" s="347"/>
      <c r="AF587" s="347"/>
      <c r="AG587" s="347"/>
    </row>
    <row r="588">
      <c r="A588" s="347"/>
      <c r="B588" s="347"/>
      <c r="C588" s="347"/>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c r="AA588" s="347"/>
      <c r="AB588" s="347"/>
      <c r="AC588" s="347"/>
      <c r="AD588" s="347"/>
      <c r="AE588" s="347"/>
      <c r="AF588" s="347"/>
      <c r="AG588" s="347"/>
    </row>
    <row r="589">
      <c r="A589" s="347"/>
      <c r="B589" s="347"/>
      <c r="C589" s="347"/>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c r="AA589" s="347"/>
      <c r="AB589" s="347"/>
      <c r="AC589" s="347"/>
      <c r="AD589" s="347"/>
      <c r="AE589" s="347"/>
      <c r="AF589" s="347"/>
      <c r="AG589" s="347"/>
    </row>
    <row r="590">
      <c r="A590" s="347"/>
      <c r="B590" s="347"/>
      <c r="C590" s="347"/>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c r="AA590" s="347"/>
      <c r="AB590" s="347"/>
      <c r="AC590" s="347"/>
      <c r="AD590" s="347"/>
      <c r="AE590" s="347"/>
      <c r="AF590" s="347"/>
      <c r="AG590" s="347"/>
    </row>
    <row r="591">
      <c r="A591" s="347"/>
      <c r="B591" s="347"/>
      <c r="C591" s="347"/>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c r="AA591" s="347"/>
      <c r="AB591" s="347"/>
      <c r="AC591" s="347"/>
      <c r="AD591" s="347"/>
      <c r="AE591" s="347"/>
      <c r="AF591" s="347"/>
      <c r="AG591" s="347"/>
    </row>
    <row r="592">
      <c r="A592" s="347"/>
      <c r="B592" s="347"/>
      <c r="C592" s="347"/>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c r="AA592" s="347"/>
      <c r="AB592" s="347"/>
      <c r="AC592" s="347"/>
      <c r="AD592" s="347"/>
      <c r="AE592" s="347"/>
      <c r="AF592" s="347"/>
      <c r="AG592" s="347"/>
    </row>
    <row r="593">
      <c r="A593" s="347"/>
      <c r="B593" s="347"/>
      <c r="C593" s="347"/>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c r="AA593" s="347"/>
      <c r="AB593" s="347"/>
      <c r="AC593" s="347"/>
      <c r="AD593" s="347"/>
      <c r="AE593" s="347"/>
      <c r="AF593" s="347"/>
      <c r="AG593" s="347"/>
    </row>
    <row r="594">
      <c r="A594" s="347"/>
      <c r="B594" s="347"/>
      <c r="C594" s="347"/>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c r="AA594" s="347"/>
      <c r="AB594" s="347"/>
      <c r="AC594" s="347"/>
      <c r="AD594" s="347"/>
      <c r="AE594" s="347"/>
      <c r="AF594" s="347"/>
      <c r="AG594" s="347"/>
    </row>
    <row r="595">
      <c r="A595" s="347"/>
      <c r="B595" s="347"/>
      <c r="C595" s="347"/>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c r="AA595" s="347"/>
      <c r="AB595" s="347"/>
      <c r="AC595" s="347"/>
      <c r="AD595" s="347"/>
      <c r="AE595" s="347"/>
      <c r="AF595" s="347"/>
      <c r="AG595" s="347"/>
    </row>
    <row r="596">
      <c r="A596" s="347"/>
      <c r="B596" s="347"/>
      <c r="C596" s="347"/>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c r="AA596" s="347"/>
      <c r="AB596" s="347"/>
      <c r="AC596" s="347"/>
      <c r="AD596" s="347"/>
      <c r="AE596" s="347"/>
      <c r="AF596" s="347"/>
      <c r="AG596" s="347"/>
    </row>
    <row r="597">
      <c r="A597" s="347"/>
      <c r="B597" s="347"/>
      <c r="C597" s="347"/>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c r="AA597" s="347"/>
      <c r="AB597" s="347"/>
      <c r="AC597" s="347"/>
      <c r="AD597" s="347"/>
      <c r="AE597" s="347"/>
      <c r="AF597" s="347"/>
      <c r="AG597" s="347"/>
    </row>
    <row r="598">
      <c r="A598" s="347"/>
      <c r="B598" s="347"/>
      <c r="C598" s="347"/>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c r="AA598" s="347"/>
      <c r="AB598" s="347"/>
      <c r="AC598" s="347"/>
      <c r="AD598" s="347"/>
      <c r="AE598" s="347"/>
      <c r="AF598" s="347"/>
      <c r="AG598" s="347"/>
    </row>
    <row r="599">
      <c r="A599" s="347"/>
      <c r="B599" s="347"/>
      <c r="C599" s="347"/>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c r="AA599" s="347"/>
      <c r="AB599" s="347"/>
      <c r="AC599" s="347"/>
      <c r="AD599" s="347"/>
      <c r="AE599" s="347"/>
      <c r="AF599" s="347"/>
      <c r="AG599" s="347"/>
    </row>
    <row r="600">
      <c r="A600" s="347"/>
      <c r="B600" s="347"/>
      <c r="C600" s="347"/>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c r="AA600" s="347"/>
      <c r="AB600" s="347"/>
      <c r="AC600" s="347"/>
      <c r="AD600" s="347"/>
      <c r="AE600" s="347"/>
      <c r="AF600" s="347"/>
      <c r="AG600" s="347"/>
    </row>
    <row r="601">
      <c r="A601" s="347"/>
      <c r="B601" s="347"/>
      <c r="C601" s="347"/>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c r="AA601" s="347"/>
      <c r="AB601" s="347"/>
      <c r="AC601" s="347"/>
      <c r="AD601" s="347"/>
      <c r="AE601" s="347"/>
      <c r="AF601" s="347"/>
      <c r="AG601" s="347"/>
    </row>
    <row r="602">
      <c r="A602" s="347"/>
      <c r="B602" s="347"/>
      <c r="C602" s="347"/>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c r="AA602" s="347"/>
      <c r="AB602" s="347"/>
      <c r="AC602" s="347"/>
      <c r="AD602" s="347"/>
      <c r="AE602" s="347"/>
      <c r="AF602" s="347"/>
      <c r="AG602" s="347"/>
    </row>
    <row r="603">
      <c r="A603" s="347"/>
      <c r="B603" s="347"/>
      <c r="C603" s="347"/>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c r="AA603" s="347"/>
      <c r="AB603" s="347"/>
      <c r="AC603" s="347"/>
      <c r="AD603" s="347"/>
      <c r="AE603" s="347"/>
      <c r="AF603" s="347"/>
      <c r="AG603" s="347"/>
    </row>
    <row r="604">
      <c r="A604" s="347"/>
      <c r="B604" s="347"/>
      <c r="C604" s="347"/>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c r="AA604" s="347"/>
      <c r="AB604" s="347"/>
      <c r="AC604" s="347"/>
      <c r="AD604" s="347"/>
      <c r="AE604" s="347"/>
      <c r="AF604" s="347"/>
      <c r="AG604" s="347"/>
    </row>
    <row r="605">
      <c r="A605" s="347"/>
      <c r="B605" s="347"/>
      <c r="C605" s="347"/>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c r="AA605" s="347"/>
      <c r="AB605" s="347"/>
      <c r="AC605" s="347"/>
      <c r="AD605" s="347"/>
      <c r="AE605" s="347"/>
      <c r="AF605" s="347"/>
      <c r="AG605" s="347"/>
    </row>
    <row r="606">
      <c r="A606" s="347"/>
      <c r="B606" s="347"/>
      <c r="C606" s="347"/>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c r="AA606" s="347"/>
      <c r="AB606" s="347"/>
      <c r="AC606" s="347"/>
      <c r="AD606" s="347"/>
      <c r="AE606" s="347"/>
      <c r="AF606" s="347"/>
      <c r="AG606" s="347"/>
    </row>
    <row r="607">
      <c r="A607" s="347"/>
      <c r="B607" s="347"/>
      <c r="C607" s="347"/>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c r="AA607" s="347"/>
      <c r="AB607" s="347"/>
      <c r="AC607" s="347"/>
      <c r="AD607" s="347"/>
      <c r="AE607" s="347"/>
      <c r="AF607" s="347"/>
      <c r="AG607" s="347"/>
    </row>
    <row r="608">
      <c r="A608" s="347"/>
      <c r="B608" s="347"/>
      <c r="C608" s="347"/>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c r="AA608" s="347"/>
      <c r="AB608" s="347"/>
      <c r="AC608" s="347"/>
      <c r="AD608" s="347"/>
      <c r="AE608" s="347"/>
      <c r="AF608" s="347"/>
      <c r="AG608" s="347"/>
    </row>
    <row r="609">
      <c r="A609" s="347"/>
      <c r="B609" s="347"/>
      <c r="C609" s="347"/>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c r="AA609" s="347"/>
      <c r="AB609" s="347"/>
      <c r="AC609" s="347"/>
      <c r="AD609" s="347"/>
      <c r="AE609" s="347"/>
      <c r="AF609" s="347"/>
      <c r="AG609" s="347"/>
    </row>
    <row r="610">
      <c r="A610" s="347"/>
      <c r="B610" s="347"/>
      <c r="C610" s="347"/>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c r="AA610" s="347"/>
      <c r="AB610" s="347"/>
      <c r="AC610" s="347"/>
      <c r="AD610" s="347"/>
      <c r="AE610" s="347"/>
      <c r="AF610" s="347"/>
      <c r="AG610" s="347"/>
    </row>
    <row r="611">
      <c r="A611" s="347"/>
      <c r="B611" s="347"/>
      <c r="C611" s="347"/>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c r="AA611" s="347"/>
      <c r="AB611" s="347"/>
      <c r="AC611" s="347"/>
      <c r="AD611" s="347"/>
      <c r="AE611" s="347"/>
      <c r="AF611" s="347"/>
      <c r="AG611" s="347"/>
    </row>
    <row r="612">
      <c r="A612" s="347"/>
      <c r="B612" s="347"/>
      <c r="C612" s="347"/>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c r="AA612" s="347"/>
      <c r="AB612" s="347"/>
      <c r="AC612" s="347"/>
      <c r="AD612" s="347"/>
      <c r="AE612" s="347"/>
      <c r="AF612" s="347"/>
      <c r="AG612" s="347"/>
    </row>
    <row r="613">
      <c r="A613" s="347"/>
      <c r="B613" s="347"/>
      <c r="C613" s="347"/>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c r="AA613" s="347"/>
      <c r="AB613" s="347"/>
      <c r="AC613" s="347"/>
      <c r="AD613" s="347"/>
      <c r="AE613" s="347"/>
      <c r="AF613" s="347"/>
      <c r="AG613" s="347"/>
    </row>
    <row r="614">
      <c r="A614" s="347"/>
      <c r="B614" s="347"/>
      <c r="C614" s="347"/>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c r="AA614" s="347"/>
      <c r="AB614" s="347"/>
      <c r="AC614" s="347"/>
      <c r="AD614" s="347"/>
      <c r="AE614" s="347"/>
      <c r="AF614" s="347"/>
      <c r="AG614" s="347"/>
    </row>
    <row r="615">
      <c r="A615" s="347"/>
      <c r="B615" s="347"/>
      <c r="C615" s="347"/>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c r="AA615" s="347"/>
      <c r="AB615" s="347"/>
      <c r="AC615" s="347"/>
      <c r="AD615" s="347"/>
      <c r="AE615" s="347"/>
      <c r="AF615" s="347"/>
      <c r="AG615" s="347"/>
    </row>
    <row r="616">
      <c r="A616" s="347"/>
      <c r="B616" s="347"/>
      <c r="C616" s="347"/>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c r="AA616" s="347"/>
      <c r="AB616" s="347"/>
      <c r="AC616" s="347"/>
      <c r="AD616" s="347"/>
      <c r="AE616" s="347"/>
      <c r="AF616" s="347"/>
      <c r="AG616" s="347"/>
    </row>
    <row r="617">
      <c r="A617" s="347"/>
      <c r="B617" s="347"/>
      <c r="C617" s="347"/>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c r="AA617" s="347"/>
      <c r="AB617" s="347"/>
      <c r="AC617" s="347"/>
      <c r="AD617" s="347"/>
      <c r="AE617" s="347"/>
      <c r="AF617" s="347"/>
      <c r="AG617" s="347"/>
    </row>
    <row r="618">
      <c r="A618" s="347"/>
      <c r="B618" s="347"/>
      <c r="C618" s="347"/>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c r="AA618" s="347"/>
      <c r="AB618" s="347"/>
      <c r="AC618" s="347"/>
      <c r="AD618" s="347"/>
      <c r="AE618" s="347"/>
      <c r="AF618" s="347"/>
      <c r="AG618" s="347"/>
    </row>
    <row r="619">
      <c r="A619" s="347"/>
      <c r="B619" s="347"/>
      <c r="C619" s="347"/>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c r="AA619" s="347"/>
      <c r="AB619" s="347"/>
      <c r="AC619" s="347"/>
      <c r="AD619" s="347"/>
      <c r="AE619" s="347"/>
      <c r="AF619" s="347"/>
      <c r="AG619" s="347"/>
    </row>
    <row r="620">
      <c r="A620" s="347"/>
      <c r="B620" s="347"/>
      <c r="C620" s="347"/>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c r="AA620" s="347"/>
      <c r="AB620" s="347"/>
      <c r="AC620" s="347"/>
      <c r="AD620" s="347"/>
      <c r="AE620" s="347"/>
      <c r="AF620" s="347"/>
      <c r="AG620" s="347"/>
    </row>
    <row r="621">
      <c r="A621" s="347"/>
      <c r="B621" s="347"/>
      <c r="C621" s="347"/>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c r="AA621" s="347"/>
      <c r="AB621" s="347"/>
      <c r="AC621" s="347"/>
      <c r="AD621" s="347"/>
      <c r="AE621" s="347"/>
      <c r="AF621" s="347"/>
      <c r="AG621" s="347"/>
    </row>
    <row r="622">
      <c r="A622" s="347"/>
      <c r="B622" s="347"/>
      <c r="C622" s="347"/>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c r="AA622" s="347"/>
      <c r="AB622" s="347"/>
      <c r="AC622" s="347"/>
      <c r="AD622" s="347"/>
      <c r="AE622" s="347"/>
      <c r="AF622" s="347"/>
      <c r="AG622" s="347"/>
    </row>
    <row r="623">
      <c r="A623" s="347"/>
      <c r="B623" s="347"/>
      <c r="C623" s="347"/>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c r="AA623" s="347"/>
      <c r="AB623" s="347"/>
      <c r="AC623" s="347"/>
      <c r="AD623" s="347"/>
      <c r="AE623" s="347"/>
      <c r="AF623" s="347"/>
      <c r="AG623" s="347"/>
    </row>
    <row r="624">
      <c r="A624" s="347"/>
      <c r="B624" s="347"/>
      <c r="C624" s="347"/>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c r="AA624" s="347"/>
      <c r="AB624" s="347"/>
      <c r="AC624" s="347"/>
      <c r="AD624" s="347"/>
      <c r="AE624" s="347"/>
      <c r="AF624" s="347"/>
      <c r="AG624" s="347"/>
    </row>
    <row r="625">
      <c r="A625" s="347"/>
      <c r="B625" s="347"/>
      <c r="C625" s="347"/>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c r="AA625" s="347"/>
      <c r="AB625" s="347"/>
      <c r="AC625" s="347"/>
      <c r="AD625" s="347"/>
      <c r="AE625" s="347"/>
      <c r="AF625" s="347"/>
      <c r="AG625" s="347"/>
    </row>
    <row r="626">
      <c r="A626" s="347"/>
      <c r="B626" s="347"/>
      <c r="C626" s="347"/>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c r="AA626" s="347"/>
      <c r="AB626" s="347"/>
      <c r="AC626" s="347"/>
      <c r="AD626" s="347"/>
      <c r="AE626" s="347"/>
      <c r="AF626" s="347"/>
      <c r="AG626" s="347"/>
    </row>
    <row r="627">
      <c r="A627" s="347"/>
      <c r="B627" s="347"/>
      <c r="C627" s="347"/>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c r="AA627" s="347"/>
      <c r="AB627" s="347"/>
      <c r="AC627" s="347"/>
      <c r="AD627" s="347"/>
      <c r="AE627" s="347"/>
      <c r="AF627" s="347"/>
      <c r="AG627" s="347"/>
    </row>
    <row r="628">
      <c r="A628" s="347"/>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c r="AA628" s="347"/>
      <c r="AB628" s="347"/>
      <c r="AC628" s="347"/>
      <c r="AD628" s="347"/>
      <c r="AE628" s="347"/>
      <c r="AF628" s="347"/>
      <c r="AG628" s="347"/>
    </row>
    <row r="629">
      <c r="A629" s="347"/>
      <c r="B629" s="347"/>
      <c r="C629" s="347"/>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c r="AA629" s="347"/>
      <c r="AB629" s="347"/>
      <c r="AC629" s="347"/>
      <c r="AD629" s="347"/>
      <c r="AE629" s="347"/>
      <c r="AF629" s="347"/>
      <c r="AG629" s="347"/>
    </row>
    <row r="630">
      <c r="A630" s="347"/>
      <c r="B630" s="347"/>
      <c r="C630" s="347"/>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c r="AA630" s="347"/>
      <c r="AB630" s="347"/>
      <c r="AC630" s="347"/>
      <c r="AD630" s="347"/>
      <c r="AE630" s="347"/>
      <c r="AF630" s="347"/>
      <c r="AG630" s="347"/>
    </row>
    <row r="631">
      <c r="A631" s="347"/>
      <c r="B631" s="347"/>
      <c r="C631" s="347"/>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c r="AA631" s="347"/>
      <c r="AB631" s="347"/>
      <c r="AC631" s="347"/>
      <c r="AD631" s="347"/>
      <c r="AE631" s="347"/>
      <c r="AF631" s="347"/>
      <c r="AG631" s="347"/>
    </row>
    <row r="632">
      <c r="A632" s="347"/>
      <c r="B632" s="347"/>
      <c r="C632" s="347"/>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c r="AA632" s="347"/>
      <c r="AB632" s="347"/>
      <c r="AC632" s="347"/>
      <c r="AD632" s="347"/>
      <c r="AE632" s="347"/>
      <c r="AF632" s="347"/>
      <c r="AG632" s="347"/>
    </row>
    <row r="633">
      <c r="A633" s="347"/>
      <c r="B633" s="347"/>
      <c r="C633" s="347"/>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c r="AA633" s="347"/>
      <c r="AB633" s="347"/>
      <c r="AC633" s="347"/>
      <c r="AD633" s="347"/>
      <c r="AE633" s="347"/>
      <c r="AF633" s="347"/>
      <c r="AG633" s="347"/>
    </row>
    <row r="634">
      <c r="A634" s="347"/>
      <c r="B634" s="347"/>
      <c r="C634" s="347"/>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c r="AA634" s="347"/>
      <c r="AB634" s="347"/>
      <c r="AC634" s="347"/>
      <c r="AD634" s="347"/>
      <c r="AE634" s="347"/>
      <c r="AF634" s="347"/>
      <c r="AG634" s="347"/>
    </row>
    <row r="635">
      <c r="A635" s="347"/>
      <c r="B635" s="347"/>
      <c r="C635" s="347"/>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c r="AA635" s="347"/>
      <c r="AB635" s="347"/>
      <c r="AC635" s="347"/>
      <c r="AD635" s="347"/>
      <c r="AE635" s="347"/>
      <c r="AF635" s="347"/>
      <c r="AG635" s="347"/>
    </row>
    <row r="636">
      <c r="A636" s="347"/>
      <c r="B636" s="347"/>
      <c r="C636" s="347"/>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c r="AA636" s="347"/>
      <c r="AB636" s="347"/>
      <c r="AC636" s="347"/>
      <c r="AD636" s="347"/>
      <c r="AE636" s="347"/>
      <c r="AF636" s="347"/>
      <c r="AG636" s="347"/>
    </row>
    <row r="637">
      <c r="A637" s="347"/>
      <c r="B637" s="347"/>
      <c r="C637" s="347"/>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c r="AA637" s="347"/>
      <c r="AB637" s="347"/>
      <c r="AC637" s="347"/>
      <c r="AD637" s="347"/>
      <c r="AE637" s="347"/>
      <c r="AF637" s="347"/>
      <c r="AG637" s="347"/>
    </row>
    <row r="638">
      <c r="A638" s="347"/>
      <c r="B638" s="347"/>
      <c r="C638" s="347"/>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c r="AA638" s="347"/>
      <c r="AB638" s="347"/>
      <c r="AC638" s="347"/>
      <c r="AD638" s="347"/>
      <c r="AE638" s="347"/>
      <c r="AF638" s="347"/>
      <c r="AG638" s="347"/>
    </row>
    <row r="639">
      <c r="A639" s="347"/>
      <c r="B639" s="347"/>
      <c r="C639" s="347"/>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c r="AA639" s="347"/>
      <c r="AB639" s="347"/>
      <c r="AC639" s="347"/>
      <c r="AD639" s="347"/>
      <c r="AE639" s="347"/>
      <c r="AF639" s="347"/>
      <c r="AG639" s="347"/>
    </row>
    <row r="640">
      <c r="A640" s="347"/>
      <c r="B640" s="347"/>
      <c r="C640" s="347"/>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c r="AA640" s="347"/>
      <c r="AB640" s="347"/>
      <c r="AC640" s="347"/>
      <c r="AD640" s="347"/>
      <c r="AE640" s="347"/>
      <c r="AF640" s="347"/>
      <c r="AG640" s="347"/>
    </row>
    <row r="641">
      <c r="A641" s="347"/>
      <c r="B641" s="347"/>
      <c r="C641" s="347"/>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c r="AA641" s="347"/>
      <c r="AB641" s="347"/>
      <c r="AC641" s="347"/>
      <c r="AD641" s="347"/>
      <c r="AE641" s="347"/>
      <c r="AF641" s="347"/>
      <c r="AG641" s="347"/>
    </row>
    <row r="642">
      <c r="A642" s="347"/>
      <c r="B642" s="347"/>
      <c r="C642" s="347"/>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c r="AA642" s="347"/>
      <c r="AB642" s="347"/>
      <c r="AC642" s="347"/>
      <c r="AD642" s="347"/>
      <c r="AE642" s="347"/>
      <c r="AF642" s="347"/>
      <c r="AG642" s="347"/>
    </row>
    <row r="643">
      <c r="A643" s="347"/>
      <c r="B643" s="347"/>
      <c r="C643" s="347"/>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c r="AA643" s="347"/>
      <c r="AB643" s="347"/>
      <c r="AC643" s="347"/>
      <c r="AD643" s="347"/>
      <c r="AE643" s="347"/>
      <c r="AF643" s="347"/>
      <c r="AG643" s="347"/>
    </row>
    <row r="644">
      <c r="A644" s="347"/>
      <c r="B644" s="347"/>
      <c r="C644" s="347"/>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c r="AA644" s="347"/>
      <c r="AB644" s="347"/>
      <c r="AC644" s="347"/>
      <c r="AD644" s="347"/>
      <c r="AE644" s="347"/>
      <c r="AF644" s="347"/>
      <c r="AG644" s="347"/>
    </row>
    <row r="645">
      <c r="A645" s="347"/>
      <c r="B645" s="347"/>
      <c r="C645" s="347"/>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c r="AA645" s="347"/>
      <c r="AB645" s="347"/>
      <c r="AC645" s="347"/>
      <c r="AD645" s="347"/>
      <c r="AE645" s="347"/>
      <c r="AF645" s="347"/>
      <c r="AG645" s="347"/>
    </row>
    <row r="646">
      <c r="A646" s="347"/>
      <c r="B646" s="347"/>
      <c r="C646" s="347"/>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c r="AA646" s="347"/>
      <c r="AB646" s="347"/>
      <c r="AC646" s="347"/>
      <c r="AD646" s="347"/>
      <c r="AE646" s="347"/>
      <c r="AF646" s="347"/>
      <c r="AG646" s="347"/>
    </row>
    <row r="647">
      <c r="A647" s="347"/>
      <c r="B647" s="347"/>
      <c r="C647" s="347"/>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c r="AA647" s="347"/>
      <c r="AB647" s="347"/>
      <c r="AC647" s="347"/>
      <c r="AD647" s="347"/>
      <c r="AE647" s="347"/>
      <c r="AF647" s="347"/>
      <c r="AG647" s="347"/>
    </row>
    <row r="648">
      <c r="A648" s="347"/>
      <c r="B648" s="347"/>
      <c r="C648" s="347"/>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c r="AA648" s="347"/>
      <c r="AB648" s="347"/>
      <c r="AC648" s="347"/>
      <c r="AD648" s="347"/>
      <c r="AE648" s="347"/>
      <c r="AF648" s="347"/>
      <c r="AG648" s="347"/>
    </row>
    <row r="649">
      <c r="A649" s="347"/>
      <c r="B649" s="347"/>
      <c r="C649" s="347"/>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c r="AA649" s="347"/>
      <c r="AB649" s="347"/>
      <c r="AC649" s="347"/>
      <c r="AD649" s="347"/>
      <c r="AE649" s="347"/>
      <c r="AF649" s="347"/>
      <c r="AG649" s="347"/>
    </row>
    <row r="650">
      <c r="A650" s="347"/>
      <c r="B650" s="347"/>
      <c r="C650" s="347"/>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c r="AA650" s="347"/>
      <c r="AB650" s="347"/>
      <c r="AC650" s="347"/>
      <c r="AD650" s="347"/>
      <c r="AE650" s="347"/>
      <c r="AF650" s="347"/>
      <c r="AG650" s="347"/>
    </row>
    <row r="651">
      <c r="A651" s="347"/>
      <c r="B651" s="347"/>
      <c r="C651" s="347"/>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c r="AA651" s="347"/>
      <c r="AB651" s="347"/>
      <c r="AC651" s="347"/>
      <c r="AD651" s="347"/>
      <c r="AE651" s="347"/>
      <c r="AF651" s="347"/>
      <c r="AG651" s="347"/>
    </row>
    <row r="652">
      <c r="A652" s="347"/>
      <c r="B652" s="347"/>
      <c r="C652" s="347"/>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c r="AA652" s="347"/>
      <c r="AB652" s="347"/>
      <c r="AC652" s="347"/>
      <c r="AD652" s="347"/>
      <c r="AE652" s="347"/>
      <c r="AF652" s="347"/>
      <c r="AG652" s="347"/>
    </row>
    <row r="653">
      <c r="A653" s="347"/>
      <c r="B653" s="347"/>
      <c r="C653" s="347"/>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c r="AA653" s="347"/>
      <c r="AB653" s="347"/>
      <c r="AC653" s="347"/>
      <c r="AD653" s="347"/>
      <c r="AE653" s="347"/>
      <c r="AF653" s="347"/>
      <c r="AG653" s="347"/>
    </row>
    <row r="654">
      <c r="A654" s="347"/>
      <c r="B654" s="347"/>
      <c r="C654" s="347"/>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c r="AA654" s="347"/>
      <c r="AB654" s="347"/>
      <c r="AC654" s="347"/>
      <c r="AD654" s="347"/>
      <c r="AE654" s="347"/>
      <c r="AF654" s="347"/>
      <c r="AG654" s="347"/>
    </row>
    <row r="655">
      <c r="A655" s="347"/>
      <c r="B655" s="347"/>
      <c r="C655" s="347"/>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c r="AA655" s="347"/>
      <c r="AB655" s="347"/>
      <c r="AC655" s="347"/>
      <c r="AD655" s="347"/>
      <c r="AE655" s="347"/>
      <c r="AF655" s="347"/>
      <c r="AG655" s="347"/>
    </row>
    <row r="656">
      <c r="A656" s="347"/>
      <c r="B656" s="347"/>
      <c r="C656" s="347"/>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c r="AA656" s="347"/>
      <c r="AB656" s="347"/>
      <c r="AC656" s="347"/>
      <c r="AD656" s="347"/>
      <c r="AE656" s="347"/>
      <c r="AF656" s="347"/>
      <c r="AG656" s="347"/>
    </row>
    <row r="657">
      <c r="A657" s="347"/>
      <c r="B657" s="347"/>
      <c r="C657" s="347"/>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c r="AA657" s="347"/>
      <c r="AB657" s="347"/>
      <c r="AC657" s="347"/>
      <c r="AD657" s="347"/>
      <c r="AE657" s="347"/>
      <c r="AF657" s="347"/>
      <c r="AG657" s="347"/>
    </row>
    <row r="658">
      <c r="A658" s="347"/>
      <c r="B658" s="347"/>
      <c r="C658" s="347"/>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c r="AA658" s="347"/>
      <c r="AB658" s="347"/>
      <c r="AC658" s="347"/>
      <c r="AD658" s="347"/>
      <c r="AE658" s="347"/>
      <c r="AF658" s="347"/>
      <c r="AG658" s="347"/>
    </row>
    <row r="659">
      <c r="A659" s="347"/>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c r="AA659" s="347"/>
      <c r="AB659" s="347"/>
      <c r="AC659" s="347"/>
      <c r="AD659" s="347"/>
      <c r="AE659" s="347"/>
      <c r="AF659" s="347"/>
      <c r="AG659" s="347"/>
    </row>
    <row r="660">
      <c r="A660" s="347"/>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c r="AA660" s="347"/>
      <c r="AB660" s="347"/>
      <c r="AC660" s="347"/>
      <c r="AD660" s="347"/>
      <c r="AE660" s="347"/>
      <c r="AF660" s="347"/>
      <c r="AG660" s="347"/>
    </row>
    <row r="661">
      <c r="A661" s="347"/>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c r="AA661" s="347"/>
      <c r="AB661" s="347"/>
      <c r="AC661" s="347"/>
      <c r="AD661" s="347"/>
      <c r="AE661" s="347"/>
      <c r="AF661" s="347"/>
      <c r="AG661" s="347"/>
    </row>
    <row r="662">
      <c r="A662" s="347"/>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c r="AA662" s="347"/>
      <c r="AB662" s="347"/>
      <c r="AC662" s="347"/>
      <c r="AD662" s="347"/>
      <c r="AE662" s="347"/>
      <c r="AF662" s="347"/>
      <c r="AG662" s="347"/>
    </row>
    <row r="663">
      <c r="A663" s="347"/>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c r="AA663" s="347"/>
      <c r="AB663" s="347"/>
      <c r="AC663" s="347"/>
      <c r="AD663" s="347"/>
      <c r="AE663" s="347"/>
      <c r="AF663" s="347"/>
      <c r="AG663" s="347"/>
    </row>
    <row r="664">
      <c r="A664" s="347"/>
      <c r="B664" s="347"/>
      <c r="C664" s="347"/>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c r="AA664" s="347"/>
      <c r="AB664" s="347"/>
      <c r="AC664" s="347"/>
      <c r="AD664" s="347"/>
      <c r="AE664" s="347"/>
      <c r="AF664" s="347"/>
      <c r="AG664" s="347"/>
    </row>
    <row r="665">
      <c r="A665" s="347"/>
      <c r="B665" s="347"/>
      <c r="C665" s="347"/>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c r="AA665" s="347"/>
      <c r="AB665" s="347"/>
      <c r="AC665" s="347"/>
      <c r="AD665" s="347"/>
      <c r="AE665" s="347"/>
      <c r="AF665" s="347"/>
      <c r="AG665" s="347"/>
    </row>
    <row r="666">
      <c r="A666" s="347"/>
      <c r="B666" s="347"/>
      <c r="C666" s="347"/>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c r="AA666" s="347"/>
      <c r="AB666" s="347"/>
      <c r="AC666" s="347"/>
      <c r="AD666" s="347"/>
      <c r="AE666" s="347"/>
      <c r="AF666" s="347"/>
      <c r="AG666" s="347"/>
    </row>
    <row r="667">
      <c r="A667" s="347"/>
      <c r="B667" s="347"/>
      <c r="C667" s="347"/>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c r="AA667" s="347"/>
      <c r="AB667" s="347"/>
      <c r="AC667" s="347"/>
      <c r="AD667" s="347"/>
      <c r="AE667" s="347"/>
      <c r="AF667" s="347"/>
      <c r="AG667" s="347"/>
    </row>
    <row r="668">
      <c r="A668" s="347"/>
      <c r="B668" s="347"/>
      <c r="C668" s="347"/>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c r="AA668" s="347"/>
      <c r="AB668" s="347"/>
      <c r="AC668" s="347"/>
      <c r="AD668" s="347"/>
      <c r="AE668" s="347"/>
      <c r="AF668" s="347"/>
      <c r="AG668" s="347"/>
    </row>
    <row r="669">
      <c r="A669" s="347"/>
      <c r="B669" s="347"/>
      <c r="C669" s="347"/>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c r="AA669" s="347"/>
      <c r="AB669" s="347"/>
      <c r="AC669" s="347"/>
      <c r="AD669" s="347"/>
      <c r="AE669" s="347"/>
      <c r="AF669" s="347"/>
      <c r="AG669" s="347"/>
    </row>
    <row r="670">
      <c r="A670" s="347"/>
      <c r="B670" s="347"/>
      <c r="C670" s="347"/>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c r="AA670" s="347"/>
      <c r="AB670" s="347"/>
      <c r="AC670" s="347"/>
      <c r="AD670" s="347"/>
      <c r="AE670" s="347"/>
      <c r="AF670" s="347"/>
      <c r="AG670" s="347"/>
    </row>
    <row r="671">
      <c r="A671" s="347"/>
      <c r="B671" s="347"/>
      <c r="C671" s="347"/>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c r="AA671" s="347"/>
      <c r="AB671" s="347"/>
      <c r="AC671" s="347"/>
      <c r="AD671" s="347"/>
      <c r="AE671" s="347"/>
      <c r="AF671" s="347"/>
      <c r="AG671" s="347"/>
    </row>
    <row r="672">
      <c r="A672" s="347"/>
      <c r="B672" s="347"/>
      <c r="C672" s="347"/>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c r="AA672" s="347"/>
      <c r="AB672" s="347"/>
      <c r="AC672" s="347"/>
      <c r="AD672" s="347"/>
      <c r="AE672" s="347"/>
      <c r="AF672" s="347"/>
      <c r="AG672" s="347"/>
    </row>
    <row r="673">
      <c r="A673" s="347"/>
      <c r="B673" s="347"/>
      <c r="C673" s="347"/>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c r="AA673" s="347"/>
      <c r="AB673" s="347"/>
      <c r="AC673" s="347"/>
      <c r="AD673" s="347"/>
      <c r="AE673" s="347"/>
      <c r="AF673" s="347"/>
      <c r="AG673" s="347"/>
    </row>
    <row r="674">
      <c r="A674" s="347"/>
      <c r="B674" s="347"/>
      <c r="C674" s="347"/>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c r="AA674" s="347"/>
      <c r="AB674" s="347"/>
      <c r="AC674" s="347"/>
      <c r="AD674" s="347"/>
      <c r="AE674" s="347"/>
      <c r="AF674" s="347"/>
      <c r="AG674" s="347"/>
    </row>
    <row r="675">
      <c r="A675" s="347"/>
      <c r="B675" s="347"/>
      <c r="C675" s="347"/>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c r="AA675" s="347"/>
      <c r="AB675" s="347"/>
      <c r="AC675" s="347"/>
      <c r="AD675" s="347"/>
      <c r="AE675" s="347"/>
      <c r="AF675" s="347"/>
      <c r="AG675" s="347"/>
    </row>
    <row r="676">
      <c r="A676" s="347"/>
      <c r="B676" s="347"/>
      <c r="C676" s="347"/>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c r="AA676" s="347"/>
      <c r="AB676" s="347"/>
      <c r="AC676" s="347"/>
      <c r="AD676" s="347"/>
      <c r="AE676" s="347"/>
      <c r="AF676" s="347"/>
      <c r="AG676" s="347"/>
    </row>
    <row r="677">
      <c r="A677" s="347"/>
      <c r="B677" s="347"/>
      <c r="C677" s="347"/>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c r="AA677" s="347"/>
      <c r="AB677" s="347"/>
      <c r="AC677" s="347"/>
      <c r="AD677" s="347"/>
      <c r="AE677" s="347"/>
      <c r="AF677" s="347"/>
      <c r="AG677" s="347"/>
    </row>
    <row r="678">
      <c r="A678" s="347"/>
      <c r="B678" s="347"/>
      <c r="C678" s="347"/>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c r="AA678" s="347"/>
      <c r="AB678" s="347"/>
      <c r="AC678" s="347"/>
      <c r="AD678" s="347"/>
      <c r="AE678" s="347"/>
      <c r="AF678" s="347"/>
      <c r="AG678" s="347"/>
    </row>
    <row r="679">
      <c r="A679" s="347"/>
      <c r="B679" s="347"/>
      <c r="C679" s="347"/>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c r="AA679" s="347"/>
      <c r="AB679" s="347"/>
      <c r="AC679" s="347"/>
      <c r="AD679" s="347"/>
      <c r="AE679" s="347"/>
      <c r="AF679" s="347"/>
      <c r="AG679" s="347"/>
    </row>
    <row r="680">
      <c r="A680" s="347"/>
      <c r="B680" s="347"/>
      <c r="C680" s="347"/>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c r="AA680" s="347"/>
      <c r="AB680" s="347"/>
      <c r="AC680" s="347"/>
      <c r="AD680" s="347"/>
      <c r="AE680" s="347"/>
      <c r="AF680" s="347"/>
      <c r="AG680" s="347"/>
    </row>
    <row r="681">
      <c r="A681" s="347"/>
      <c r="B681" s="347"/>
      <c r="C681" s="347"/>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c r="AA681" s="347"/>
      <c r="AB681" s="347"/>
      <c r="AC681" s="347"/>
      <c r="AD681" s="347"/>
      <c r="AE681" s="347"/>
      <c r="AF681" s="347"/>
      <c r="AG681" s="347"/>
    </row>
    <row r="682">
      <c r="A682" s="347"/>
      <c r="B682" s="347"/>
      <c r="C682" s="347"/>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c r="AA682" s="347"/>
      <c r="AB682" s="347"/>
      <c r="AC682" s="347"/>
      <c r="AD682" s="347"/>
      <c r="AE682" s="347"/>
      <c r="AF682" s="347"/>
      <c r="AG682" s="347"/>
    </row>
    <row r="683">
      <c r="A683" s="347"/>
      <c r="B683" s="347"/>
      <c r="C683" s="347"/>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c r="AA683" s="347"/>
      <c r="AB683" s="347"/>
      <c r="AC683" s="347"/>
      <c r="AD683" s="347"/>
      <c r="AE683" s="347"/>
      <c r="AF683" s="347"/>
      <c r="AG683" s="347"/>
    </row>
    <row r="684">
      <c r="A684" s="347"/>
      <c r="B684" s="347"/>
      <c r="C684" s="347"/>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c r="AA684" s="347"/>
      <c r="AB684" s="347"/>
      <c r="AC684" s="347"/>
      <c r="AD684" s="347"/>
      <c r="AE684" s="347"/>
      <c r="AF684" s="347"/>
      <c r="AG684" s="347"/>
    </row>
    <row r="685">
      <c r="A685" s="347"/>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c r="AA685" s="347"/>
      <c r="AB685" s="347"/>
      <c r="AC685" s="347"/>
      <c r="AD685" s="347"/>
      <c r="AE685" s="347"/>
      <c r="AF685" s="347"/>
      <c r="AG685" s="347"/>
    </row>
    <row r="686">
      <c r="A686" s="347"/>
      <c r="B686" s="347"/>
      <c r="C686" s="347"/>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c r="AA686" s="347"/>
      <c r="AB686" s="347"/>
      <c r="AC686" s="347"/>
      <c r="AD686" s="347"/>
      <c r="AE686" s="347"/>
      <c r="AF686" s="347"/>
      <c r="AG686" s="347"/>
    </row>
    <row r="687">
      <c r="A687" s="347"/>
      <c r="B687" s="347"/>
      <c r="C687" s="347"/>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c r="AA687" s="347"/>
      <c r="AB687" s="347"/>
      <c r="AC687" s="347"/>
      <c r="AD687" s="347"/>
      <c r="AE687" s="347"/>
      <c r="AF687" s="347"/>
      <c r="AG687" s="347"/>
    </row>
    <row r="688">
      <c r="A688" s="347"/>
      <c r="B688" s="347"/>
      <c r="C688" s="347"/>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c r="AA688" s="347"/>
      <c r="AB688" s="347"/>
      <c r="AC688" s="347"/>
      <c r="AD688" s="347"/>
      <c r="AE688" s="347"/>
      <c r="AF688" s="347"/>
      <c r="AG688" s="347"/>
    </row>
    <row r="689">
      <c r="A689" s="347"/>
      <c r="B689" s="347"/>
      <c r="C689" s="347"/>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c r="AA689" s="347"/>
      <c r="AB689" s="347"/>
      <c r="AC689" s="347"/>
      <c r="AD689" s="347"/>
      <c r="AE689" s="347"/>
      <c r="AF689" s="347"/>
      <c r="AG689" s="347"/>
    </row>
    <row r="690">
      <c r="A690" s="347"/>
      <c r="B690" s="347"/>
      <c r="C690" s="347"/>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c r="AA690" s="347"/>
      <c r="AB690" s="347"/>
      <c r="AC690" s="347"/>
      <c r="AD690" s="347"/>
      <c r="AE690" s="347"/>
      <c r="AF690" s="347"/>
      <c r="AG690" s="347"/>
    </row>
    <row r="691">
      <c r="A691" s="347"/>
      <c r="B691" s="347"/>
      <c r="C691" s="347"/>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c r="AA691" s="347"/>
      <c r="AB691" s="347"/>
      <c r="AC691" s="347"/>
      <c r="AD691" s="347"/>
      <c r="AE691" s="347"/>
      <c r="AF691" s="347"/>
      <c r="AG691" s="347"/>
    </row>
    <row r="692">
      <c r="A692" s="347"/>
      <c r="B692" s="347"/>
      <c r="C692" s="347"/>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c r="AA692" s="347"/>
      <c r="AB692" s="347"/>
      <c r="AC692" s="347"/>
      <c r="AD692" s="347"/>
      <c r="AE692" s="347"/>
      <c r="AF692" s="347"/>
      <c r="AG692" s="347"/>
    </row>
    <row r="693">
      <c r="A693" s="347"/>
      <c r="B693" s="347"/>
      <c r="C693" s="347"/>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c r="AA693" s="347"/>
      <c r="AB693" s="347"/>
      <c r="AC693" s="347"/>
      <c r="AD693" s="347"/>
      <c r="AE693" s="347"/>
      <c r="AF693" s="347"/>
      <c r="AG693" s="347"/>
    </row>
    <row r="694">
      <c r="A694" s="347"/>
      <c r="B694" s="347"/>
      <c r="C694" s="347"/>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c r="AA694" s="347"/>
      <c r="AB694" s="347"/>
      <c r="AC694" s="347"/>
      <c r="AD694" s="347"/>
      <c r="AE694" s="347"/>
      <c r="AF694" s="347"/>
      <c r="AG694" s="347"/>
    </row>
    <row r="695">
      <c r="A695" s="347"/>
      <c r="B695" s="347"/>
      <c r="C695" s="347"/>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c r="AA695" s="347"/>
      <c r="AB695" s="347"/>
      <c r="AC695" s="347"/>
      <c r="AD695" s="347"/>
      <c r="AE695" s="347"/>
      <c r="AF695" s="347"/>
      <c r="AG695" s="347"/>
    </row>
    <row r="696">
      <c r="A696" s="347"/>
      <c r="B696" s="347"/>
      <c r="C696" s="347"/>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c r="AA696" s="347"/>
      <c r="AB696" s="347"/>
      <c r="AC696" s="347"/>
      <c r="AD696" s="347"/>
      <c r="AE696" s="347"/>
      <c r="AF696" s="347"/>
      <c r="AG696" s="347"/>
    </row>
    <row r="697">
      <c r="A697" s="347"/>
      <c r="B697" s="347"/>
      <c r="C697" s="347"/>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c r="AA697" s="347"/>
      <c r="AB697" s="347"/>
      <c r="AC697" s="347"/>
      <c r="AD697" s="347"/>
      <c r="AE697" s="347"/>
      <c r="AF697" s="347"/>
      <c r="AG697" s="347"/>
    </row>
    <row r="698">
      <c r="A698" s="347"/>
      <c r="B698" s="347"/>
      <c r="C698" s="347"/>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c r="AA698" s="347"/>
      <c r="AB698" s="347"/>
      <c r="AC698" s="347"/>
      <c r="AD698" s="347"/>
      <c r="AE698" s="347"/>
      <c r="AF698" s="347"/>
      <c r="AG698" s="347"/>
    </row>
    <row r="699">
      <c r="A699" s="347"/>
      <c r="B699" s="347"/>
      <c r="C699" s="347"/>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c r="AA699" s="347"/>
      <c r="AB699" s="347"/>
      <c r="AC699" s="347"/>
      <c r="AD699" s="347"/>
      <c r="AE699" s="347"/>
      <c r="AF699" s="347"/>
      <c r="AG699" s="347"/>
    </row>
    <row r="700">
      <c r="A700" s="347"/>
      <c r="B700" s="347"/>
      <c r="C700" s="347"/>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c r="AA700" s="347"/>
      <c r="AB700" s="347"/>
      <c r="AC700" s="347"/>
      <c r="AD700" s="347"/>
      <c r="AE700" s="347"/>
      <c r="AF700" s="347"/>
      <c r="AG700" s="347"/>
    </row>
    <row r="701">
      <c r="A701" s="347"/>
      <c r="B701" s="347"/>
      <c r="C701" s="347"/>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c r="AA701" s="347"/>
      <c r="AB701" s="347"/>
      <c r="AC701" s="347"/>
      <c r="AD701" s="347"/>
      <c r="AE701" s="347"/>
      <c r="AF701" s="347"/>
      <c r="AG701" s="347"/>
    </row>
    <row r="702">
      <c r="A702" s="347"/>
      <c r="B702" s="347"/>
      <c r="C702" s="347"/>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c r="AA702" s="347"/>
      <c r="AB702" s="347"/>
      <c r="AC702" s="347"/>
      <c r="AD702" s="347"/>
      <c r="AE702" s="347"/>
      <c r="AF702" s="347"/>
      <c r="AG702" s="347"/>
    </row>
    <row r="703">
      <c r="A703" s="347"/>
      <c r="B703" s="347"/>
      <c r="C703" s="347"/>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c r="AA703" s="347"/>
      <c r="AB703" s="347"/>
      <c r="AC703" s="347"/>
      <c r="AD703" s="347"/>
      <c r="AE703" s="347"/>
      <c r="AF703" s="347"/>
      <c r="AG703" s="347"/>
    </row>
    <row r="704">
      <c r="A704" s="347"/>
      <c r="B704" s="347"/>
      <c r="C704" s="347"/>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c r="AA704" s="347"/>
      <c r="AB704" s="347"/>
      <c r="AC704" s="347"/>
      <c r="AD704" s="347"/>
      <c r="AE704" s="347"/>
      <c r="AF704" s="347"/>
      <c r="AG704" s="347"/>
    </row>
    <row r="705">
      <c r="A705" s="347"/>
      <c r="B705" s="347"/>
      <c r="C705" s="347"/>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c r="AA705" s="347"/>
      <c r="AB705" s="347"/>
      <c r="AC705" s="347"/>
      <c r="AD705" s="347"/>
      <c r="AE705" s="347"/>
      <c r="AF705" s="347"/>
      <c r="AG705" s="347"/>
    </row>
    <row r="706">
      <c r="A706" s="347"/>
      <c r="B706" s="347"/>
      <c r="C706" s="347"/>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c r="AA706" s="347"/>
      <c r="AB706" s="347"/>
      <c r="AC706" s="347"/>
      <c r="AD706" s="347"/>
      <c r="AE706" s="347"/>
      <c r="AF706" s="347"/>
      <c r="AG706" s="347"/>
    </row>
    <row r="707">
      <c r="A707" s="347"/>
      <c r="B707" s="347"/>
      <c r="C707" s="347"/>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c r="AA707" s="347"/>
      <c r="AB707" s="347"/>
      <c r="AC707" s="347"/>
      <c r="AD707" s="347"/>
      <c r="AE707" s="347"/>
      <c r="AF707" s="347"/>
      <c r="AG707" s="347"/>
    </row>
    <row r="708">
      <c r="A708" s="347"/>
      <c r="B708" s="347"/>
      <c r="C708" s="347"/>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c r="AA708" s="347"/>
      <c r="AB708" s="347"/>
      <c r="AC708" s="347"/>
      <c r="AD708" s="347"/>
      <c r="AE708" s="347"/>
      <c r="AF708" s="347"/>
      <c r="AG708" s="347"/>
    </row>
    <row r="709">
      <c r="A709" s="347"/>
      <c r="B709" s="347"/>
      <c r="C709" s="347"/>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c r="AA709" s="347"/>
      <c r="AB709" s="347"/>
      <c r="AC709" s="347"/>
      <c r="AD709" s="347"/>
      <c r="AE709" s="347"/>
      <c r="AF709" s="347"/>
      <c r="AG709" s="347"/>
    </row>
    <row r="710">
      <c r="A710" s="347"/>
      <c r="B710" s="347"/>
      <c r="C710" s="347"/>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c r="AA710" s="347"/>
      <c r="AB710" s="347"/>
      <c r="AC710" s="347"/>
      <c r="AD710" s="347"/>
      <c r="AE710" s="347"/>
      <c r="AF710" s="347"/>
      <c r="AG710" s="347"/>
    </row>
    <row r="711">
      <c r="A711" s="347"/>
      <c r="B711" s="347"/>
      <c r="C711" s="347"/>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c r="AA711" s="347"/>
      <c r="AB711" s="347"/>
      <c r="AC711" s="347"/>
      <c r="AD711" s="347"/>
      <c r="AE711" s="347"/>
      <c r="AF711" s="347"/>
      <c r="AG711" s="347"/>
    </row>
    <row r="712">
      <c r="A712" s="347"/>
      <c r="B712" s="347"/>
      <c r="C712" s="347"/>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c r="AA712" s="347"/>
      <c r="AB712" s="347"/>
      <c r="AC712" s="347"/>
      <c r="AD712" s="347"/>
      <c r="AE712" s="347"/>
      <c r="AF712" s="347"/>
      <c r="AG712" s="347"/>
    </row>
    <row r="713">
      <c r="A713" s="347"/>
      <c r="B713" s="347"/>
      <c r="C713" s="347"/>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c r="AA713" s="347"/>
      <c r="AB713" s="347"/>
      <c r="AC713" s="347"/>
      <c r="AD713" s="347"/>
      <c r="AE713" s="347"/>
      <c r="AF713" s="347"/>
      <c r="AG713" s="347"/>
    </row>
    <row r="714">
      <c r="A714" s="347"/>
      <c r="B714" s="347"/>
      <c r="C714" s="347"/>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c r="AA714" s="347"/>
      <c r="AB714" s="347"/>
      <c r="AC714" s="347"/>
      <c r="AD714" s="347"/>
      <c r="AE714" s="347"/>
      <c r="AF714" s="347"/>
      <c r="AG714" s="347"/>
    </row>
    <row r="715">
      <c r="A715" s="347"/>
      <c r="B715" s="347"/>
      <c r="C715" s="347"/>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c r="AA715" s="347"/>
      <c r="AB715" s="347"/>
      <c r="AC715" s="347"/>
      <c r="AD715" s="347"/>
      <c r="AE715" s="347"/>
      <c r="AF715" s="347"/>
      <c r="AG715" s="347"/>
    </row>
    <row r="716">
      <c r="A716" s="347"/>
      <c r="B716" s="347"/>
      <c r="C716" s="347"/>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c r="AA716" s="347"/>
      <c r="AB716" s="347"/>
      <c r="AC716" s="347"/>
      <c r="AD716" s="347"/>
      <c r="AE716" s="347"/>
      <c r="AF716" s="347"/>
      <c r="AG716" s="347"/>
    </row>
    <row r="717">
      <c r="A717" s="347"/>
      <c r="B717" s="347"/>
      <c r="C717" s="347"/>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c r="AA717" s="347"/>
      <c r="AB717" s="347"/>
      <c r="AC717" s="347"/>
      <c r="AD717" s="347"/>
      <c r="AE717" s="347"/>
      <c r="AF717" s="347"/>
      <c r="AG717" s="347"/>
    </row>
    <row r="718">
      <c r="A718" s="347"/>
      <c r="B718" s="347"/>
      <c r="C718" s="347"/>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c r="AA718" s="347"/>
      <c r="AB718" s="347"/>
      <c r="AC718" s="347"/>
      <c r="AD718" s="347"/>
      <c r="AE718" s="347"/>
      <c r="AF718" s="347"/>
      <c r="AG718" s="347"/>
    </row>
    <row r="719">
      <c r="A719" s="347"/>
      <c r="B719" s="347"/>
      <c r="C719" s="347"/>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c r="AA719" s="347"/>
      <c r="AB719" s="347"/>
      <c r="AC719" s="347"/>
      <c r="AD719" s="347"/>
      <c r="AE719" s="347"/>
      <c r="AF719" s="347"/>
      <c r="AG719" s="347"/>
    </row>
    <row r="720">
      <c r="A720" s="347"/>
      <c r="B720" s="347"/>
      <c r="C720" s="347"/>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c r="AA720" s="347"/>
      <c r="AB720" s="347"/>
      <c r="AC720" s="347"/>
      <c r="AD720" s="347"/>
      <c r="AE720" s="347"/>
      <c r="AF720" s="347"/>
      <c r="AG720" s="347"/>
    </row>
    <row r="721">
      <c r="A721" s="347"/>
      <c r="B721" s="347"/>
      <c r="C721" s="347"/>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c r="AA721" s="347"/>
      <c r="AB721" s="347"/>
      <c r="AC721" s="347"/>
      <c r="AD721" s="347"/>
      <c r="AE721" s="347"/>
      <c r="AF721" s="347"/>
      <c r="AG721" s="347"/>
    </row>
    <row r="722">
      <c r="A722" s="347"/>
      <c r="B722" s="347"/>
      <c r="C722" s="347"/>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c r="AA722" s="347"/>
      <c r="AB722" s="347"/>
      <c r="AC722" s="347"/>
      <c r="AD722" s="347"/>
      <c r="AE722" s="347"/>
      <c r="AF722" s="347"/>
      <c r="AG722" s="347"/>
    </row>
    <row r="723">
      <c r="A723" s="347"/>
      <c r="B723" s="347"/>
      <c r="C723" s="347"/>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c r="AA723" s="347"/>
      <c r="AB723" s="347"/>
      <c r="AC723" s="347"/>
      <c r="AD723" s="347"/>
      <c r="AE723" s="347"/>
      <c r="AF723" s="347"/>
      <c r="AG723" s="347"/>
    </row>
    <row r="724">
      <c r="A724" s="347"/>
      <c r="B724" s="347"/>
      <c r="C724" s="347"/>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c r="AA724" s="347"/>
      <c r="AB724" s="347"/>
      <c r="AC724" s="347"/>
      <c r="AD724" s="347"/>
      <c r="AE724" s="347"/>
      <c r="AF724" s="347"/>
      <c r="AG724" s="347"/>
    </row>
    <row r="725">
      <c r="A725" s="347"/>
      <c r="B725" s="347"/>
      <c r="C725" s="347"/>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c r="AA725" s="347"/>
      <c r="AB725" s="347"/>
      <c r="AC725" s="347"/>
      <c r="AD725" s="347"/>
      <c r="AE725" s="347"/>
      <c r="AF725" s="347"/>
      <c r="AG725" s="347"/>
    </row>
    <row r="726">
      <c r="A726" s="347"/>
      <c r="B726" s="347"/>
      <c r="C726" s="347"/>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c r="AA726" s="347"/>
      <c r="AB726" s="347"/>
      <c r="AC726" s="347"/>
      <c r="AD726" s="347"/>
      <c r="AE726" s="347"/>
      <c r="AF726" s="347"/>
      <c r="AG726" s="347"/>
    </row>
    <row r="727">
      <c r="A727" s="347"/>
      <c r="B727" s="347"/>
      <c r="C727" s="347"/>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c r="AA727" s="347"/>
      <c r="AB727" s="347"/>
      <c r="AC727" s="347"/>
      <c r="AD727" s="347"/>
      <c r="AE727" s="347"/>
      <c r="AF727" s="347"/>
      <c r="AG727" s="347"/>
    </row>
    <row r="728">
      <c r="A728" s="347"/>
      <c r="B728" s="347"/>
      <c r="C728" s="347"/>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c r="AA728" s="347"/>
      <c r="AB728" s="347"/>
      <c r="AC728" s="347"/>
      <c r="AD728" s="347"/>
      <c r="AE728" s="347"/>
      <c r="AF728" s="347"/>
      <c r="AG728" s="347"/>
    </row>
    <row r="729">
      <c r="A729" s="347"/>
      <c r="B729" s="347"/>
      <c r="C729" s="347"/>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c r="AA729" s="347"/>
      <c r="AB729" s="347"/>
      <c r="AC729" s="347"/>
      <c r="AD729" s="347"/>
      <c r="AE729" s="347"/>
      <c r="AF729" s="347"/>
      <c r="AG729" s="347"/>
    </row>
    <row r="730">
      <c r="A730" s="347"/>
      <c r="B730" s="347"/>
      <c r="C730" s="347"/>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c r="AA730" s="347"/>
      <c r="AB730" s="347"/>
      <c r="AC730" s="347"/>
      <c r="AD730" s="347"/>
      <c r="AE730" s="347"/>
      <c r="AF730" s="347"/>
      <c r="AG730" s="347"/>
    </row>
    <row r="731">
      <c r="A731" s="347"/>
      <c r="B731" s="347"/>
      <c r="C731" s="347"/>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c r="AA731" s="347"/>
      <c r="AB731" s="347"/>
      <c r="AC731" s="347"/>
      <c r="AD731" s="347"/>
      <c r="AE731" s="347"/>
      <c r="AF731" s="347"/>
      <c r="AG731" s="347"/>
    </row>
    <row r="732">
      <c r="A732" s="347"/>
      <c r="B732" s="347"/>
      <c r="C732" s="347"/>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c r="AA732" s="347"/>
      <c r="AB732" s="347"/>
      <c r="AC732" s="347"/>
      <c r="AD732" s="347"/>
      <c r="AE732" s="347"/>
      <c r="AF732" s="347"/>
      <c r="AG732" s="347"/>
    </row>
    <row r="733">
      <c r="A733" s="347"/>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c r="AA733" s="347"/>
      <c r="AB733" s="347"/>
      <c r="AC733" s="347"/>
      <c r="AD733" s="347"/>
      <c r="AE733" s="347"/>
      <c r="AF733" s="347"/>
      <c r="AG733" s="347"/>
    </row>
    <row r="734">
      <c r="A734" s="347"/>
      <c r="B734" s="347"/>
      <c r="C734" s="347"/>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c r="AA734" s="347"/>
      <c r="AB734" s="347"/>
      <c r="AC734" s="347"/>
      <c r="AD734" s="347"/>
      <c r="AE734" s="347"/>
      <c r="AF734" s="347"/>
      <c r="AG734" s="347"/>
    </row>
    <row r="735">
      <c r="A735" s="347"/>
      <c r="B735" s="347"/>
      <c r="C735" s="347"/>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c r="AA735" s="347"/>
      <c r="AB735" s="347"/>
      <c r="AC735" s="347"/>
      <c r="AD735" s="347"/>
      <c r="AE735" s="347"/>
      <c r="AF735" s="347"/>
      <c r="AG735" s="347"/>
    </row>
    <row r="736">
      <c r="A736" s="347"/>
      <c r="B736" s="347"/>
      <c r="C736" s="347"/>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c r="AA736" s="347"/>
      <c r="AB736" s="347"/>
      <c r="AC736" s="347"/>
      <c r="AD736" s="347"/>
      <c r="AE736" s="347"/>
      <c r="AF736" s="347"/>
      <c r="AG736" s="347"/>
    </row>
    <row r="737">
      <c r="A737" s="347"/>
      <c r="B737" s="347"/>
      <c r="C737" s="347"/>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c r="AA737" s="347"/>
      <c r="AB737" s="347"/>
      <c r="AC737" s="347"/>
      <c r="AD737" s="347"/>
      <c r="AE737" s="347"/>
      <c r="AF737" s="347"/>
      <c r="AG737" s="347"/>
    </row>
    <row r="738">
      <c r="A738" s="347"/>
      <c r="B738" s="347"/>
      <c r="C738" s="347"/>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c r="AA738" s="347"/>
      <c r="AB738" s="347"/>
      <c r="AC738" s="347"/>
      <c r="AD738" s="347"/>
      <c r="AE738" s="347"/>
      <c r="AF738" s="347"/>
      <c r="AG738" s="347"/>
    </row>
    <row r="739">
      <c r="A739" s="347"/>
      <c r="B739" s="347"/>
      <c r="C739" s="347"/>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c r="AA739" s="347"/>
      <c r="AB739" s="347"/>
      <c r="AC739" s="347"/>
      <c r="AD739" s="347"/>
      <c r="AE739" s="347"/>
      <c r="AF739" s="347"/>
      <c r="AG739" s="347"/>
    </row>
    <row r="740">
      <c r="A740" s="347"/>
      <c r="B740" s="347"/>
      <c r="C740" s="347"/>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c r="AA740" s="347"/>
      <c r="AB740" s="347"/>
      <c r="AC740" s="347"/>
      <c r="AD740" s="347"/>
      <c r="AE740" s="347"/>
      <c r="AF740" s="347"/>
      <c r="AG740" s="347"/>
    </row>
    <row r="741">
      <c r="A741" s="347"/>
      <c r="B741" s="347"/>
      <c r="C741" s="347"/>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c r="AA741" s="347"/>
      <c r="AB741" s="347"/>
      <c r="AC741" s="347"/>
      <c r="AD741" s="347"/>
      <c r="AE741" s="347"/>
      <c r="AF741" s="347"/>
      <c r="AG741" s="347"/>
    </row>
    <row r="742">
      <c r="A742" s="347"/>
      <c r="B742" s="347"/>
      <c r="C742" s="347"/>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c r="AA742" s="347"/>
      <c r="AB742" s="347"/>
      <c r="AC742" s="347"/>
      <c r="AD742" s="347"/>
      <c r="AE742" s="347"/>
      <c r="AF742" s="347"/>
      <c r="AG742" s="347"/>
    </row>
    <row r="743">
      <c r="A743" s="347"/>
      <c r="B743" s="347"/>
      <c r="C743" s="347"/>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c r="AA743" s="347"/>
      <c r="AB743" s="347"/>
      <c r="AC743" s="347"/>
      <c r="AD743" s="347"/>
      <c r="AE743" s="347"/>
      <c r="AF743" s="347"/>
      <c r="AG743" s="347"/>
    </row>
    <row r="744">
      <c r="A744" s="347"/>
      <c r="B744" s="347"/>
      <c r="C744" s="347"/>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c r="AA744" s="347"/>
      <c r="AB744" s="347"/>
      <c r="AC744" s="347"/>
      <c r="AD744" s="347"/>
      <c r="AE744" s="347"/>
      <c r="AF744" s="347"/>
      <c r="AG744" s="347"/>
    </row>
    <row r="745">
      <c r="A745" s="347"/>
      <c r="B745" s="347"/>
      <c r="C745" s="347"/>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c r="AA745" s="347"/>
      <c r="AB745" s="347"/>
      <c r="AC745" s="347"/>
      <c r="AD745" s="347"/>
      <c r="AE745" s="347"/>
      <c r="AF745" s="347"/>
      <c r="AG745" s="347"/>
    </row>
    <row r="746">
      <c r="A746" s="347"/>
      <c r="B746" s="347"/>
      <c r="C746" s="347"/>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c r="AA746" s="347"/>
      <c r="AB746" s="347"/>
      <c r="AC746" s="347"/>
      <c r="AD746" s="347"/>
      <c r="AE746" s="347"/>
      <c r="AF746" s="347"/>
      <c r="AG746" s="347"/>
    </row>
    <row r="747">
      <c r="A747" s="347"/>
      <c r="B747" s="347"/>
      <c r="C747" s="347"/>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c r="AA747" s="347"/>
      <c r="AB747" s="347"/>
      <c r="AC747" s="347"/>
      <c r="AD747" s="347"/>
      <c r="AE747" s="347"/>
      <c r="AF747" s="347"/>
      <c r="AG747" s="347"/>
    </row>
    <row r="748">
      <c r="A748" s="347"/>
      <c r="B748" s="347"/>
      <c r="C748" s="347"/>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c r="AA748" s="347"/>
      <c r="AB748" s="347"/>
      <c r="AC748" s="347"/>
      <c r="AD748" s="347"/>
      <c r="AE748" s="347"/>
      <c r="AF748" s="347"/>
      <c r="AG748" s="347"/>
    </row>
    <row r="749">
      <c r="A749" s="347"/>
      <c r="B749" s="347"/>
      <c r="C749" s="347"/>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c r="AA749" s="347"/>
      <c r="AB749" s="347"/>
      <c r="AC749" s="347"/>
      <c r="AD749" s="347"/>
      <c r="AE749" s="347"/>
      <c r="AF749" s="347"/>
      <c r="AG749" s="347"/>
    </row>
    <row r="750">
      <c r="A750" s="347"/>
      <c r="B750" s="347"/>
      <c r="C750" s="347"/>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c r="AA750" s="347"/>
      <c r="AB750" s="347"/>
      <c r="AC750" s="347"/>
      <c r="AD750" s="347"/>
      <c r="AE750" s="347"/>
      <c r="AF750" s="347"/>
      <c r="AG750" s="347"/>
    </row>
    <row r="751">
      <c r="A751" s="347"/>
      <c r="B751" s="347"/>
      <c r="C751" s="347"/>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c r="AA751" s="347"/>
      <c r="AB751" s="347"/>
      <c r="AC751" s="347"/>
      <c r="AD751" s="347"/>
      <c r="AE751" s="347"/>
      <c r="AF751" s="347"/>
      <c r="AG751" s="347"/>
    </row>
    <row r="752">
      <c r="A752" s="347"/>
      <c r="B752" s="347"/>
      <c r="C752" s="347"/>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c r="AA752" s="347"/>
      <c r="AB752" s="347"/>
      <c r="AC752" s="347"/>
      <c r="AD752" s="347"/>
      <c r="AE752" s="347"/>
      <c r="AF752" s="347"/>
      <c r="AG752" s="347"/>
    </row>
    <row r="753">
      <c r="A753" s="347"/>
      <c r="B753" s="347"/>
      <c r="C753" s="347"/>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c r="AA753" s="347"/>
      <c r="AB753" s="347"/>
      <c r="AC753" s="347"/>
      <c r="AD753" s="347"/>
      <c r="AE753" s="347"/>
      <c r="AF753" s="347"/>
      <c r="AG753" s="347"/>
    </row>
    <row r="754">
      <c r="A754" s="347"/>
      <c r="B754" s="347"/>
      <c r="C754" s="347"/>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c r="AA754" s="347"/>
      <c r="AB754" s="347"/>
      <c r="AC754" s="347"/>
      <c r="AD754" s="347"/>
      <c r="AE754" s="347"/>
      <c r="AF754" s="347"/>
      <c r="AG754" s="347"/>
    </row>
    <row r="755">
      <c r="A755" s="347"/>
      <c r="B755" s="347"/>
      <c r="C755" s="347"/>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c r="AA755" s="347"/>
      <c r="AB755" s="347"/>
      <c r="AC755" s="347"/>
      <c r="AD755" s="347"/>
      <c r="AE755" s="347"/>
      <c r="AF755" s="347"/>
      <c r="AG755" s="347"/>
    </row>
    <row r="756">
      <c r="A756" s="347"/>
      <c r="B756" s="347"/>
      <c r="C756" s="347"/>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c r="AA756" s="347"/>
      <c r="AB756" s="347"/>
      <c r="AC756" s="347"/>
      <c r="AD756" s="347"/>
      <c r="AE756" s="347"/>
      <c r="AF756" s="347"/>
      <c r="AG756" s="347"/>
    </row>
    <row r="757">
      <c r="A757" s="347"/>
      <c r="B757" s="347"/>
      <c r="C757" s="347"/>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c r="AA757" s="347"/>
      <c r="AB757" s="347"/>
      <c r="AC757" s="347"/>
      <c r="AD757" s="347"/>
      <c r="AE757" s="347"/>
      <c r="AF757" s="347"/>
      <c r="AG757" s="347"/>
    </row>
    <row r="758">
      <c r="A758" s="347"/>
      <c r="B758" s="347"/>
      <c r="C758" s="347"/>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c r="AA758" s="347"/>
      <c r="AB758" s="347"/>
      <c r="AC758" s="347"/>
      <c r="AD758" s="347"/>
      <c r="AE758" s="347"/>
      <c r="AF758" s="347"/>
      <c r="AG758" s="347"/>
    </row>
    <row r="759">
      <c r="A759" s="347"/>
      <c r="B759" s="347"/>
      <c r="C759" s="347"/>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c r="AA759" s="347"/>
      <c r="AB759" s="347"/>
      <c r="AC759" s="347"/>
      <c r="AD759" s="347"/>
      <c r="AE759" s="347"/>
      <c r="AF759" s="347"/>
      <c r="AG759" s="347"/>
    </row>
    <row r="760">
      <c r="A760" s="347"/>
      <c r="B760" s="347"/>
      <c r="C760" s="347"/>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c r="AA760" s="347"/>
      <c r="AB760" s="347"/>
      <c r="AC760" s="347"/>
      <c r="AD760" s="347"/>
      <c r="AE760" s="347"/>
      <c r="AF760" s="347"/>
      <c r="AG760" s="347"/>
    </row>
    <row r="761">
      <c r="A761" s="347"/>
      <c r="B761" s="347"/>
      <c r="C761" s="347"/>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c r="AA761" s="347"/>
      <c r="AB761" s="347"/>
      <c r="AC761" s="347"/>
      <c r="AD761" s="347"/>
      <c r="AE761" s="347"/>
      <c r="AF761" s="347"/>
      <c r="AG761" s="347"/>
    </row>
    <row r="762">
      <c r="A762" s="347"/>
      <c r="B762" s="347"/>
      <c r="C762" s="347"/>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c r="AA762" s="347"/>
      <c r="AB762" s="347"/>
      <c r="AC762" s="347"/>
      <c r="AD762" s="347"/>
      <c r="AE762" s="347"/>
      <c r="AF762" s="347"/>
      <c r="AG762" s="347"/>
    </row>
    <row r="763">
      <c r="A763" s="347"/>
      <c r="B763" s="347"/>
      <c r="C763" s="347"/>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c r="AA763" s="347"/>
      <c r="AB763" s="347"/>
      <c r="AC763" s="347"/>
      <c r="AD763" s="347"/>
      <c r="AE763" s="347"/>
      <c r="AF763" s="347"/>
      <c r="AG763" s="347"/>
    </row>
    <row r="764">
      <c r="A764" s="347"/>
      <c r="B764" s="347"/>
      <c r="C764" s="347"/>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c r="AA764" s="347"/>
      <c r="AB764" s="347"/>
      <c r="AC764" s="347"/>
      <c r="AD764" s="347"/>
      <c r="AE764" s="347"/>
      <c r="AF764" s="347"/>
      <c r="AG764" s="347"/>
    </row>
    <row r="765">
      <c r="A765" s="347"/>
      <c r="B765" s="347"/>
      <c r="C765" s="347"/>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c r="AA765" s="347"/>
      <c r="AB765" s="347"/>
      <c r="AC765" s="347"/>
      <c r="AD765" s="347"/>
      <c r="AE765" s="347"/>
      <c r="AF765" s="347"/>
      <c r="AG765" s="347"/>
    </row>
    <row r="766">
      <c r="A766" s="347"/>
      <c r="B766" s="347"/>
      <c r="C766" s="347"/>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c r="AA766" s="347"/>
      <c r="AB766" s="347"/>
      <c r="AC766" s="347"/>
      <c r="AD766" s="347"/>
      <c r="AE766" s="347"/>
      <c r="AF766" s="347"/>
      <c r="AG766" s="347"/>
    </row>
    <row r="767">
      <c r="A767" s="347"/>
      <c r="B767" s="347"/>
      <c r="C767" s="347"/>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c r="AA767" s="347"/>
      <c r="AB767" s="347"/>
      <c r="AC767" s="347"/>
      <c r="AD767" s="347"/>
      <c r="AE767" s="347"/>
      <c r="AF767" s="347"/>
      <c r="AG767" s="347"/>
    </row>
    <row r="768">
      <c r="A768" s="347"/>
      <c r="B768" s="347"/>
      <c r="C768" s="347"/>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c r="AA768" s="347"/>
      <c r="AB768" s="347"/>
      <c r="AC768" s="347"/>
      <c r="AD768" s="347"/>
      <c r="AE768" s="347"/>
      <c r="AF768" s="347"/>
      <c r="AG768" s="347"/>
    </row>
    <row r="769">
      <c r="A769" s="347"/>
      <c r="B769" s="347"/>
      <c r="C769" s="347"/>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c r="AA769" s="347"/>
      <c r="AB769" s="347"/>
      <c r="AC769" s="347"/>
      <c r="AD769" s="347"/>
      <c r="AE769" s="347"/>
      <c r="AF769" s="347"/>
      <c r="AG769" s="347"/>
    </row>
    <row r="770">
      <c r="A770" s="347"/>
      <c r="B770" s="347"/>
      <c r="C770" s="347"/>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c r="AA770" s="347"/>
      <c r="AB770" s="347"/>
      <c r="AC770" s="347"/>
      <c r="AD770" s="347"/>
      <c r="AE770" s="347"/>
      <c r="AF770" s="347"/>
      <c r="AG770" s="347"/>
    </row>
    <row r="771">
      <c r="A771" s="347"/>
      <c r="B771" s="347"/>
      <c r="C771" s="347"/>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c r="AA771" s="347"/>
      <c r="AB771" s="347"/>
      <c r="AC771" s="347"/>
      <c r="AD771" s="347"/>
      <c r="AE771" s="347"/>
      <c r="AF771" s="347"/>
      <c r="AG771" s="347"/>
    </row>
    <row r="772">
      <c r="A772" s="347"/>
      <c r="B772" s="347"/>
      <c r="C772" s="347"/>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c r="AA772" s="347"/>
      <c r="AB772" s="347"/>
      <c r="AC772" s="347"/>
      <c r="AD772" s="347"/>
      <c r="AE772" s="347"/>
      <c r="AF772" s="347"/>
      <c r="AG772" s="347"/>
    </row>
    <row r="773">
      <c r="A773" s="347"/>
      <c r="B773" s="347"/>
      <c r="C773" s="347"/>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c r="AA773" s="347"/>
      <c r="AB773" s="347"/>
      <c r="AC773" s="347"/>
      <c r="AD773" s="347"/>
      <c r="AE773" s="347"/>
      <c r="AF773" s="347"/>
      <c r="AG773" s="347"/>
    </row>
    <row r="774">
      <c r="A774" s="347"/>
      <c r="B774" s="347"/>
      <c r="C774" s="347"/>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c r="AA774" s="347"/>
      <c r="AB774" s="347"/>
      <c r="AC774" s="347"/>
      <c r="AD774" s="347"/>
      <c r="AE774" s="347"/>
      <c r="AF774" s="347"/>
      <c r="AG774" s="347"/>
    </row>
    <row r="775">
      <c r="A775" s="347"/>
      <c r="B775" s="347"/>
      <c r="C775" s="347"/>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c r="AA775" s="347"/>
      <c r="AB775" s="347"/>
      <c r="AC775" s="347"/>
      <c r="AD775" s="347"/>
      <c r="AE775" s="347"/>
      <c r="AF775" s="347"/>
      <c r="AG775" s="347"/>
    </row>
    <row r="776">
      <c r="A776" s="347"/>
      <c r="B776" s="347"/>
      <c r="C776" s="347"/>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c r="AA776" s="347"/>
      <c r="AB776" s="347"/>
      <c r="AC776" s="347"/>
      <c r="AD776" s="347"/>
      <c r="AE776" s="347"/>
      <c r="AF776" s="347"/>
      <c r="AG776" s="347"/>
    </row>
    <row r="777">
      <c r="A777" s="347"/>
      <c r="B777" s="347"/>
      <c r="C777" s="347"/>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c r="AA777" s="347"/>
      <c r="AB777" s="347"/>
      <c r="AC777" s="347"/>
      <c r="AD777" s="347"/>
      <c r="AE777" s="347"/>
      <c r="AF777" s="347"/>
      <c r="AG777" s="347"/>
    </row>
    <row r="778">
      <c r="A778" s="347"/>
      <c r="B778" s="347"/>
      <c r="C778" s="347"/>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c r="AA778" s="347"/>
      <c r="AB778" s="347"/>
      <c r="AC778" s="347"/>
      <c r="AD778" s="347"/>
      <c r="AE778" s="347"/>
      <c r="AF778" s="347"/>
      <c r="AG778" s="347"/>
    </row>
    <row r="779">
      <c r="A779" s="347"/>
      <c r="B779" s="347"/>
      <c r="C779" s="347"/>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c r="AA779" s="347"/>
      <c r="AB779" s="347"/>
      <c r="AC779" s="347"/>
      <c r="AD779" s="347"/>
      <c r="AE779" s="347"/>
      <c r="AF779" s="347"/>
      <c r="AG779" s="347"/>
    </row>
    <row r="780">
      <c r="A780" s="347"/>
      <c r="B780" s="347"/>
      <c r="C780" s="347"/>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c r="AA780" s="347"/>
      <c r="AB780" s="347"/>
      <c r="AC780" s="347"/>
      <c r="AD780" s="347"/>
      <c r="AE780" s="347"/>
      <c r="AF780" s="347"/>
      <c r="AG780" s="347"/>
    </row>
    <row r="781">
      <c r="A781" s="347"/>
      <c r="B781" s="347"/>
      <c r="C781" s="347"/>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c r="AA781" s="347"/>
      <c r="AB781" s="347"/>
      <c r="AC781" s="347"/>
      <c r="AD781" s="347"/>
      <c r="AE781" s="347"/>
      <c r="AF781" s="347"/>
      <c r="AG781" s="347"/>
    </row>
    <row r="782">
      <c r="A782" s="347"/>
      <c r="B782" s="347"/>
      <c r="C782" s="347"/>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c r="AA782" s="347"/>
      <c r="AB782" s="347"/>
      <c r="AC782" s="347"/>
      <c r="AD782" s="347"/>
      <c r="AE782" s="347"/>
      <c r="AF782" s="347"/>
      <c r="AG782" s="347"/>
    </row>
    <row r="783">
      <c r="A783" s="347"/>
      <c r="B783" s="347"/>
      <c r="C783" s="347"/>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c r="AA783" s="347"/>
      <c r="AB783" s="347"/>
      <c r="AC783" s="347"/>
      <c r="AD783" s="347"/>
      <c r="AE783" s="347"/>
      <c r="AF783" s="347"/>
      <c r="AG783" s="347"/>
    </row>
    <row r="784">
      <c r="A784" s="347"/>
      <c r="B784" s="347"/>
      <c r="C784" s="347"/>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c r="AA784" s="347"/>
      <c r="AB784" s="347"/>
      <c r="AC784" s="347"/>
      <c r="AD784" s="347"/>
      <c r="AE784" s="347"/>
      <c r="AF784" s="347"/>
      <c r="AG784" s="347"/>
    </row>
    <row r="785">
      <c r="A785" s="347"/>
      <c r="B785" s="347"/>
      <c r="C785" s="347"/>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c r="AA785" s="347"/>
      <c r="AB785" s="347"/>
      <c r="AC785" s="347"/>
      <c r="AD785" s="347"/>
      <c r="AE785" s="347"/>
      <c r="AF785" s="347"/>
      <c r="AG785" s="347"/>
    </row>
    <row r="786">
      <c r="A786" s="347"/>
      <c r="B786" s="347"/>
      <c r="C786" s="347"/>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c r="AA786" s="347"/>
      <c r="AB786" s="347"/>
      <c r="AC786" s="347"/>
      <c r="AD786" s="347"/>
      <c r="AE786" s="347"/>
      <c r="AF786" s="347"/>
      <c r="AG786" s="347"/>
    </row>
    <row r="787">
      <c r="A787" s="347"/>
      <c r="B787" s="347"/>
      <c r="C787" s="347"/>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c r="AA787" s="347"/>
      <c r="AB787" s="347"/>
      <c r="AC787" s="347"/>
      <c r="AD787" s="347"/>
      <c r="AE787" s="347"/>
      <c r="AF787" s="347"/>
      <c r="AG787" s="347"/>
    </row>
    <row r="788">
      <c r="A788" s="347"/>
      <c r="B788" s="347"/>
      <c r="C788" s="347"/>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c r="AA788" s="347"/>
      <c r="AB788" s="347"/>
      <c r="AC788" s="347"/>
      <c r="AD788" s="347"/>
      <c r="AE788" s="347"/>
      <c r="AF788" s="347"/>
      <c r="AG788" s="347"/>
    </row>
    <row r="789">
      <c r="A789" s="347"/>
      <c r="B789" s="347"/>
      <c r="C789" s="347"/>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c r="AA789" s="347"/>
      <c r="AB789" s="347"/>
      <c r="AC789" s="347"/>
      <c r="AD789" s="347"/>
      <c r="AE789" s="347"/>
      <c r="AF789" s="347"/>
      <c r="AG789" s="347"/>
    </row>
    <row r="790">
      <c r="A790" s="347"/>
      <c r="B790" s="347"/>
      <c r="C790" s="347"/>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c r="AA790" s="347"/>
      <c r="AB790" s="347"/>
      <c r="AC790" s="347"/>
      <c r="AD790" s="347"/>
      <c r="AE790" s="347"/>
      <c r="AF790" s="347"/>
      <c r="AG790" s="347"/>
    </row>
    <row r="791">
      <c r="A791" s="347"/>
      <c r="B791" s="347"/>
      <c r="C791" s="347"/>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c r="AA791" s="347"/>
      <c r="AB791" s="347"/>
      <c r="AC791" s="347"/>
      <c r="AD791" s="347"/>
      <c r="AE791" s="347"/>
      <c r="AF791" s="347"/>
      <c r="AG791" s="347"/>
    </row>
    <row r="792">
      <c r="A792" s="347"/>
      <c r="B792" s="347"/>
      <c r="C792" s="347"/>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c r="AA792" s="347"/>
      <c r="AB792" s="347"/>
      <c r="AC792" s="347"/>
      <c r="AD792" s="347"/>
      <c r="AE792" s="347"/>
      <c r="AF792" s="347"/>
      <c r="AG792" s="347"/>
    </row>
    <row r="793">
      <c r="A793" s="347"/>
      <c r="B793" s="347"/>
      <c r="C793" s="347"/>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c r="AA793" s="347"/>
      <c r="AB793" s="347"/>
      <c r="AC793" s="347"/>
      <c r="AD793" s="347"/>
      <c r="AE793" s="347"/>
      <c r="AF793" s="347"/>
      <c r="AG793" s="347"/>
    </row>
    <row r="794">
      <c r="A794" s="347"/>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c r="AA794" s="347"/>
      <c r="AB794" s="347"/>
      <c r="AC794" s="347"/>
      <c r="AD794" s="347"/>
      <c r="AE794" s="347"/>
      <c r="AF794" s="347"/>
      <c r="AG794" s="347"/>
    </row>
    <row r="795">
      <c r="A795" s="347"/>
      <c r="B795" s="347"/>
      <c r="C795" s="347"/>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c r="AA795" s="347"/>
      <c r="AB795" s="347"/>
      <c r="AC795" s="347"/>
      <c r="AD795" s="347"/>
      <c r="AE795" s="347"/>
      <c r="AF795" s="347"/>
      <c r="AG795" s="347"/>
    </row>
    <row r="796">
      <c r="A796" s="347"/>
      <c r="B796" s="347"/>
      <c r="C796" s="347"/>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c r="AA796" s="347"/>
      <c r="AB796" s="347"/>
      <c r="AC796" s="347"/>
      <c r="AD796" s="347"/>
      <c r="AE796" s="347"/>
      <c r="AF796" s="347"/>
      <c r="AG796" s="347"/>
    </row>
    <row r="797">
      <c r="A797" s="347"/>
      <c r="B797" s="347"/>
      <c r="C797" s="347"/>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c r="AA797" s="347"/>
      <c r="AB797" s="347"/>
      <c r="AC797" s="347"/>
      <c r="AD797" s="347"/>
      <c r="AE797" s="347"/>
      <c r="AF797" s="347"/>
      <c r="AG797" s="347"/>
    </row>
    <row r="798">
      <c r="A798" s="347"/>
      <c r="B798" s="347"/>
      <c r="C798" s="347"/>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c r="AA798" s="347"/>
      <c r="AB798" s="347"/>
      <c r="AC798" s="347"/>
      <c r="AD798" s="347"/>
      <c r="AE798" s="347"/>
      <c r="AF798" s="347"/>
      <c r="AG798" s="347"/>
    </row>
    <row r="799">
      <c r="A799" s="347"/>
      <c r="B799" s="347"/>
      <c r="C799" s="347"/>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c r="AA799" s="347"/>
      <c r="AB799" s="347"/>
      <c r="AC799" s="347"/>
      <c r="AD799" s="347"/>
      <c r="AE799" s="347"/>
      <c r="AF799" s="347"/>
      <c r="AG799" s="347"/>
    </row>
    <row r="800">
      <c r="A800" s="347"/>
      <c r="B800" s="347"/>
      <c r="C800" s="347"/>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c r="AA800" s="347"/>
      <c r="AB800" s="347"/>
      <c r="AC800" s="347"/>
      <c r="AD800" s="347"/>
      <c r="AE800" s="347"/>
      <c r="AF800" s="347"/>
      <c r="AG800" s="347"/>
    </row>
    <row r="801">
      <c r="A801" s="347"/>
      <c r="B801" s="347"/>
      <c r="C801" s="347"/>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c r="AA801" s="347"/>
      <c r="AB801" s="347"/>
      <c r="AC801" s="347"/>
      <c r="AD801" s="347"/>
      <c r="AE801" s="347"/>
      <c r="AF801" s="347"/>
      <c r="AG801" s="347"/>
    </row>
    <row r="802">
      <c r="A802" s="347"/>
      <c r="B802" s="347"/>
      <c r="C802" s="347"/>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c r="AA802" s="347"/>
      <c r="AB802" s="347"/>
      <c r="AC802" s="347"/>
      <c r="AD802" s="347"/>
      <c r="AE802" s="347"/>
      <c r="AF802" s="347"/>
      <c r="AG802" s="347"/>
    </row>
    <row r="803">
      <c r="A803" s="347"/>
      <c r="B803" s="347"/>
      <c r="C803" s="347"/>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c r="AA803" s="347"/>
      <c r="AB803" s="347"/>
      <c r="AC803" s="347"/>
      <c r="AD803" s="347"/>
      <c r="AE803" s="347"/>
      <c r="AF803" s="347"/>
      <c r="AG803" s="347"/>
    </row>
    <row r="804">
      <c r="A804" s="347"/>
      <c r="B804" s="347"/>
      <c r="C804" s="347"/>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c r="AA804" s="347"/>
      <c r="AB804" s="347"/>
      <c r="AC804" s="347"/>
      <c r="AD804" s="347"/>
      <c r="AE804" s="347"/>
      <c r="AF804" s="347"/>
      <c r="AG804" s="347"/>
    </row>
    <row r="805">
      <c r="A805" s="347"/>
      <c r="B805" s="347"/>
      <c r="C805" s="347"/>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c r="AA805" s="347"/>
      <c r="AB805" s="347"/>
      <c r="AC805" s="347"/>
      <c r="AD805" s="347"/>
      <c r="AE805" s="347"/>
      <c r="AF805" s="347"/>
      <c r="AG805" s="347"/>
    </row>
    <row r="806">
      <c r="A806" s="347"/>
      <c r="B806" s="347"/>
      <c r="C806" s="347"/>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c r="AA806" s="347"/>
      <c r="AB806" s="347"/>
      <c r="AC806" s="347"/>
      <c r="AD806" s="347"/>
      <c r="AE806" s="347"/>
      <c r="AF806" s="347"/>
      <c r="AG806" s="347"/>
    </row>
    <row r="807">
      <c r="A807" s="347"/>
      <c r="B807" s="347"/>
      <c r="C807" s="347"/>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c r="AA807" s="347"/>
      <c r="AB807" s="347"/>
      <c r="AC807" s="347"/>
      <c r="AD807" s="347"/>
      <c r="AE807" s="347"/>
      <c r="AF807" s="347"/>
      <c r="AG807" s="347"/>
    </row>
    <row r="808">
      <c r="A808" s="347"/>
      <c r="B808" s="347"/>
      <c r="C808" s="347"/>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c r="AA808" s="347"/>
      <c r="AB808" s="347"/>
      <c r="AC808" s="347"/>
      <c r="AD808" s="347"/>
      <c r="AE808" s="347"/>
      <c r="AF808" s="347"/>
      <c r="AG808" s="347"/>
    </row>
    <row r="809">
      <c r="A809" s="347"/>
      <c r="B809" s="347"/>
      <c r="C809" s="347"/>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c r="AA809" s="347"/>
      <c r="AB809" s="347"/>
      <c r="AC809" s="347"/>
      <c r="AD809" s="347"/>
      <c r="AE809" s="347"/>
      <c r="AF809" s="347"/>
      <c r="AG809" s="347"/>
    </row>
    <row r="810">
      <c r="A810" s="347"/>
      <c r="B810" s="347"/>
      <c r="C810" s="347"/>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c r="AA810" s="347"/>
      <c r="AB810" s="347"/>
      <c r="AC810" s="347"/>
      <c r="AD810" s="347"/>
      <c r="AE810" s="347"/>
      <c r="AF810" s="347"/>
      <c r="AG810" s="347"/>
    </row>
    <row r="811">
      <c r="A811" s="347"/>
      <c r="B811" s="347"/>
      <c r="C811" s="347"/>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c r="AA811" s="347"/>
      <c r="AB811" s="347"/>
      <c r="AC811" s="347"/>
      <c r="AD811" s="347"/>
      <c r="AE811" s="347"/>
      <c r="AF811" s="347"/>
      <c r="AG811" s="347"/>
    </row>
    <row r="812">
      <c r="A812" s="347"/>
      <c r="B812" s="347"/>
      <c r="C812" s="347"/>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c r="AA812" s="347"/>
      <c r="AB812" s="347"/>
      <c r="AC812" s="347"/>
      <c r="AD812" s="347"/>
      <c r="AE812" s="347"/>
      <c r="AF812" s="347"/>
      <c r="AG812" s="347"/>
    </row>
    <row r="813">
      <c r="A813" s="347"/>
      <c r="B813" s="347"/>
      <c r="C813" s="347"/>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c r="AA813" s="347"/>
      <c r="AB813" s="347"/>
      <c r="AC813" s="347"/>
      <c r="AD813" s="347"/>
      <c r="AE813" s="347"/>
      <c r="AF813" s="347"/>
      <c r="AG813" s="347"/>
    </row>
    <row r="814">
      <c r="A814" s="347"/>
      <c r="B814" s="347"/>
      <c r="C814" s="347"/>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c r="AA814" s="347"/>
      <c r="AB814" s="347"/>
      <c r="AC814" s="347"/>
      <c r="AD814" s="347"/>
      <c r="AE814" s="347"/>
      <c r="AF814" s="347"/>
      <c r="AG814" s="347"/>
    </row>
    <row r="815">
      <c r="A815" s="347"/>
      <c r="B815" s="347"/>
      <c r="C815" s="347"/>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c r="AA815" s="347"/>
      <c r="AB815" s="347"/>
      <c r="AC815" s="347"/>
      <c r="AD815" s="347"/>
      <c r="AE815" s="347"/>
      <c r="AF815" s="347"/>
      <c r="AG815" s="347"/>
    </row>
    <row r="816">
      <c r="A816" s="347"/>
      <c r="B816" s="347"/>
      <c r="C816" s="347"/>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c r="AA816" s="347"/>
      <c r="AB816" s="347"/>
      <c r="AC816" s="347"/>
      <c r="AD816" s="347"/>
      <c r="AE816" s="347"/>
      <c r="AF816" s="347"/>
      <c r="AG816" s="347"/>
    </row>
    <row r="817">
      <c r="A817" s="347"/>
      <c r="B817" s="347"/>
      <c r="C817" s="347"/>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c r="AA817" s="347"/>
      <c r="AB817" s="347"/>
      <c r="AC817" s="347"/>
      <c r="AD817" s="347"/>
      <c r="AE817" s="347"/>
      <c r="AF817" s="347"/>
      <c r="AG817" s="347"/>
    </row>
    <row r="818">
      <c r="A818" s="347"/>
      <c r="B818" s="347"/>
      <c r="C818" s="347"/>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c r="AA818" s="347"/>
      <c r="AB818" s="347"/>
      <c r="AC818" s="347"/>
      <c r="AD818" s="347"/>
      <c r="AE818" s="347"/>
      <c r="AF818" s="347"/>
      <c r="AG818" s="347"/>
    </row>
    <row r="819">
      <c r="A819" s="347"/>
      <c r="B819" s="347"/>
      <c r="C819" s="347"/>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c r="AA819" s="347"/>
      <c r="AB819" s="347"/>
      <c r="AC819" s="347"/>
      <c r="AD819" s="347"/>
      <c r="AE819" s="347"/>
      <c r="AF819" s="347"/>
      <c r="AG819" s="347"/>
    </row>
    <row r="820">
      <c r="A820" s="347"/>
      <c r="B820" s="347"/>
      <c r="C820" s="347"/>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c r="AA820" s="347"/>
      <c r="AB820" s="347"/>
      <c r="AC820" s="347"/>
      <c r="AD820" s="347"/>
      <c r="AE820" s="347"/>
      <c r="AF820" s="347"/>
      <c r="AG820" s="347"/>
    </row>
    <row r="821">
      <c r="A821" s="347"/>
      <c r="B821" s="347"/>
      <c r="C821" s="347"/>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c r="AA821" s="347"/>
      <c r="AB821" s="347"/>
      <c r="AC821" s="347"/>
      <c r="AD821" s="347"/>
      <c r="AE821" s="347"/>
      <c r="AF821" s="347"/>
      <c r="AG821" s="347"/>
    </row>
    <row r="822">
      <c r="A822" s="347"/>
      <c r="B822" s="347"/>
      <c r="C822" s="347"/>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c r="AA822" s="347"/>
      <c r="AB822" s="347"/>
      <c r="AC822" s="347"/>
      <c r="AD822" s="347"/>
      <c r="AE822" s="347"/>
      <c r="AF822" s="347"/>
      <c r="AG822" s="347"/>
    </row>
    <row r="823">
      <c r="A823" s="347"/>
      <c r="B823" s="347"/>
      <c r="C823" s="347"/>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c r="AA823" s="347"/>
      <c r="AB823" s="347"/>
      <c r="AC823" s="347"/>
      <c r="AD823" s="347"/>
      <c r="AE823" s="347"/>
      <c r="AF823" s="347"/>
      <c r="AG823" s="347"/>
    </row>
    <row r="824">
      <c r="A824" s="347"/>
      <c r="B824" s="347"/>
      <c r="C824" s="347"/>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c r="AA824" s="347"/>
      <c r="AB824" s="347"/>
      <c r="AC824" s="347"/>
      <c r="AD824" s="347"/>
      <c r="AE824" s="347"/>
      <c r="AF824" s="347"/>
      <c r="AG824" s="347"/>
    </row>
    <row r="825">
      <c r="A825" s="347"/>
      <c r="B825" s="347"/>
      <c r="C825" s="347"/>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c r="AA825" s="347"/>
      <c r="AB825" s="347"/>
      <c r="AC825" s="347"/>
      <c r="AD825" s="347"/>
      <c r="AE825" s="347"/>
      <c r="AF825" s="347"/>
      <c r="AG825" s="347"/>
    </row>
    <row r="826">
      <c r="A826" s="347"/>
      <c r="B826" s="347"/>
      <c r="C826" s="347"/>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c r="AA826" s="347"/>
      <c r="AB826" s="347"/>
      <c r="AC826" s="347"/>
      <c r="AD826" s="347"/>
      <c r="AE826" s="347"/>
      <c r="AF826" s="347"/>
      <c r="AG826" s="347"/>
    </row>
    <row r="827">
      <c r="A827" s="347"/>
      <c r="B827" s="347"/>
      <c r="C827" s="347"/>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c r="AA827" s="347"/>
      <c r="AB827" s="347"/>
      <c r="AC827" s="347"/>
      <c r="AD827" s="347"/>
      <c r="AE827" s="347"/>
      <c r="AF827" s="347"/>
      <c r="AG827" s="347"/>
    </row>
    <row r="828">
      <c r="A828" s="347"/>
      <c r="B828" s="347"/>
      <c r="C828" s="347"/>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c r="AA828" s="347"/>
      <c r="AB828" s="347"/>
      <c r="AC828" s="347"/>
      <c r="AD828" s="347"/>
      <c r="AE828" s="347"/>
      <c r="AF828" s="347"/>
      <c r="AG828" s="347"/>
    </row>
    <row r="829">
      <c r="A829" s="347"/>
      <c r="B829" s="347"/>
      <c r="C829" s="347"/>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c r="AA829" s="347"/>
      <c r="AB829" s="347"/>
      <c r="AC829" s="347"/>
      <c r="AD829" s="347"/>
      <c r="AE829" s="347"/>
      <c r="AF829" s="347"/>
      <c r="AG829" s="347"/>
    </row>
    <row r="830">
      <c r="A830" s="347"/>
      <c r="B830" s="347"/>
      <c r="C830" s="347"/>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c r="AA830" s="347"/>
      <c r="AB830" s="347"/>
      <c r="AC830" s="347"/>
      <c r="AD830" s="347"/>
      <c r="AE830" s="347"/>
      <c r="AF830" s="347"/>
      <c r="AG830" s="347"/>
    </row>
    <row r="831">
      <c r="A831" s="347"/>
      <c r="B831" s="347"/>
      <c r="C831" s="347"/>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c r="AA831" s="347"/>
      <c r="AB831" s="347"/>
      <c r="AC831" s="347"/>
      <c r="AD831" s="347"/>
      <c r="AE831" s="347"/>
      <c r="AF831" s="347"/>
      <c r="AG831" s="347"/>
    </row>
    <row r="832">
      <c r="A832" s="347"/>
      <c r="B832" s="347"/>
      <c r="C832" s="347"/>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c r="AA832" s="347"/>
      <c r="AB832" s="347"/>
      <c r="AC832" s="347"/>
      <c r="AD832" s="347"/>
      <c r="AE832" s="347"/>
      <c r="AF832" s="347"/>
      <c r="AG832" s="347"/>
    </row>
    <row r="833">
      <c r="A833" s="347"/>
      <c r="B833" s="347"/>
      <c r="C833" s="347"/>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c r="AA833" s="347"/>
      <c r="AB833" s="347"/>
      <c r="AC833" s="347"/>
      <c r="AD833" s="347"/>
      <c r="AE833" s="347"/>
      <c r="AF833" s="347"/>
      <c r="AG833" s="347"/>
    </row>
    <row r="834">
      <c r="A834" s="347"/>
      <c r="B834" s="347"/>
      <c r="C834" s="347"/>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c r="AA834" s="347"/>
      <c r="AB834" s="347"/>
      <c r="AC834" s="347"/>
      <c r="AD834" s="347"/>
      <c r="AE834" s="347"/>
      <c r="AF834" s="347"/>
      <c r="AG834" s="347"/>
    </row>
    <row r="835">
      <c r="A835" s="347"/>
      <c r="B835" s="347"/>
      <c r="C835" s="347"/>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c r="AA835" s="347"/>
      <c r="AB835" s="347"/>
      <c r="AC835" s="347"/>
      <c r="AD835" s="347"/>
      <c r="AE835" s="347"/>
      <c r="AF835" s="347"/>
      <c r="AG835" s="347"/>
    </row>
    <row r="836">
      <c r="A836" s="347"/>
      <c r="B836" s="347"/>
      <c r="C836" s="347"/>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c r="AA836" s="347"/>
      <c r="AB836" s="347"/>
      <c r="AC836" s="347"/>
      <c r="AD836" s="347"/>
      <c r="AE836" s="347"/>
      <c r="AF836" s="347"/>
      <c r="AG836" s="347"/>
    </row>
    <row r="837">
      <c r="A837" s="347"/>
      <c r="B837" s="347"/>
      <c r="C837" s="347"/>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c r="AA837" s="347"/>
      <c r="AB837" s="347"/>
      <c r="AC837" s="347"/>
      <c r="AD837" s="347"/>
      <c r="AE837" s="347"/>
      <c r="AF837" s="347"/>
      <c r="AG837" s="347"/>
    </row>
    <row r="838">
      <c r="A838" s="347"/>
      <c r="B838" s="347"/>
      <c r="C838" s="347"/>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c r="AA838" s="347"/>
      <c r="AB838" s="347"/>
      <c r="AC838" s="347"/>
      <c r="AD838" s="347"/>
      <c r="AE838" s="347"/>
      <c r="AF838" s="347"/>
      <c r="AG838" s="347"/>
    </row>
    <row r="839">
      <c r="A839" s="347"/>
      <c r="B839" s="347"/>
      <c r="C839" s="347"/>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c r="AA839" s="347"/>
      <c r="AB839" s="347"/>
      <c r="AC839" s="347"/>
      <c r="AD839" s="347"/>
      <c r="AE839" s="347"/>
      <c r="AF839" s="347"/>
      <c r="AG839" s="347"/>
    </row>
    <row r="840">
      <c r="A840" s="347"/>
      <c r="B840" s="347"/>
      <c r="C840" s="347"/>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c r="AA840" s="347"/>
      <c r="AB840" s="347"/>
      <c r="AC840" s="347"/>
      <c r="AD840" s="347"/>
      <c r="AE840" s="347"/>
      <c r="AF840" s="347"/>
      <c r="AG840" s="347"/>
    </row>
    <row r="841">
      <c r="A841" s="347"/>
      <c r="B841" s="347"/>
      <c r="C841" s="347"/>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c r="AA841" s="347"/>
      <c r="AB841" s="347"/>
      <c r="AC841" s="347"/>
      <c r="AD841" s="347"/>
      <c r="AE841" s="347"/>
      <c r="AF841" s="347"/>
      <c r="AG841" s="347"/>
    </row>
    <row r="842">
      <c r="A842" s="347"/>
      <c r="B842" s="347"/>
      <c r="C842" s="347"/>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c r="AA842" s="347"/>
      <c r="AB842" s="347"/>
      <c r="AC842" s="347"/>
      <c r="AD842" s="347"/>
      <c r="AE842" s="347"/>
      <c r="AF842" s="347"/>
      <c r="AG842" s="347"/>
    </row>
    <row r="843">
      <c r="A843" s="347"/>
      <c r="B843" s="347"/>
      <c r="C843" s="347"/>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c r="AA843" s="347"/>
      <c r="AB843" s="347"/>
      <c r="AC843" s="347"/>
      <c r="AD843" s="347"/>
      <c r="AE843" s="347"/>
      <c r="AF843" s="347"/>
      <c r="AG843" s="347"/>
    </row>
    <row r="844">
      <c r="A844" s="347"/>
      <c r="B844" s="347"/>
      <c r="C844" s="347"/>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c r="AA844" s="347"/>
      <c r="AB844" s="347"/>
      <c r="AC844" s="347"/>
      <c r="AD844" s="347"/>
      <c r="AE844" s="347"/>
      <c r="AF844" s="347"/>
      <c r="AG844" s="347"/>
    </row>
    <row r="845">
      <c r="A845" s="347"/>
      <c r="B845" s="347"/>
      <c r="C845" s="347"/>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c r="AA845" s="347"/>
      <c r="AB845" s="347"/>
      <c r="AC845" s="347"/>
      <c r="AD845" s="347"/>
      <c r="AE845" s="347"/>
      <c r="AF845" s="347"/>
      <c r="AG845" s="347"/>
    </row>
    <row r="846">
      <c r="A846" s="347"/>
      <c r="B846" s="347"/>
      <c r="C846" s="347"/>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c r="AA846" s="347"/>
      <c r="AB846" s="347"/>
      <c r="AC846" s="347"/>
      <c r="AD846" s="347"/>
      <c r="AE846" s="347"/>
      <c r="AF846" s="347"/>
      <c r="AG846" s="347"/>
    </row>
    <row r="847">
      <c r="A847" s="347"/>
      <c r="B847" s="347"/>
      <c r="C847" s="347"/>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c r="AA847" s="347"/>
      <c r="AB847" s="347"/>
      <c r="AC847" s="347"/>
      <c r="AD847" s="347"/>
      <c r="AE847" s="347"/>
      <c r="AF847" s="347"/>
      <c r="AG847" s="347"/>
    </row>
    <row r="848">
      <c r="A848" s="347"/>
      <c r="B848" s="347"/>
      <c r="C848" s="347"/>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c r="AA848" s="347"/>
      <c r="AB848" s="347"/>
      <c r="AC848" s="347"/>
      <c r="AD848" s="347"/>
      <c r="AE848" s="347"/>
      <c r="AF848" s="347"/>
      <c r="AG848" s="347"/>
    </row>
    <row r="849">
      <c r="A849" s="347"/>
      <c r="B849" s="347"/>
      <c r="C849" s="347"/>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c r="AA849" s="347"/>
      <c r="AB849" s="347"/>
      <c r="AC849" s="347"/>
      <c r="AD849" s="347"/>
      <c r="AE849" s="347"/>
      <c r="AF849" s="347"/>
      <c r="AG849" s="347"/>
    </row>
    <row r="850">
      <c r="A850" s="347"/>
      <c r="B850" s="347"/>
      <c r="C850" s="347"/>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c r="AA850" s="347"/>
      <c r="AB850" s="347"/>
      <c r="AC850" s="347"/>
      <c r="AD850" s="347"/>
      <c r="AE850" s="347"/>
      <c r="AF850" s="347"/>
      <c r="AG850" s="347"/>
    </row>
    <row r="851">
      <c r="A851" s="347"/>
      <c r="B851" s="347"/>
      <c r="C851" s="347"/>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c r="AA851" s="347"/>
      <c r="AB851" s="347"/>
      <c r="AC851" s="347"/>
      <c r="AD851" s="347"/>
      <c r="AE851" s="347"/>
      <c r="AF851" s="347"/>
      <c r="AG851" s="347"/>
    </row>
    <row r="852">
      <c r="A852" s="347"/>
      <c r="B852" s="347"/>
      <c r="C852" s="347"/>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c r="AA852" s="347"/>
      <c r="AB852" s="347"/>
      <c r="AC852" s="347"/>
      <c r="AD852" s="347"/>
      <c r="AE852" s="347"/>
      <c r="AF852" s="347"/>
      <c r="AG852" s="347"/>
    </row>
    <row r="853">
      <c r="A853" s="347"/>
      <c r="B853" s="347"/>
      <c r="C853" s="347"/>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c r="AA853" s="347"/>
      <c r="AB853" s="347"/>
      <c r="AC853" s="347"/>
      <c r="AD853" s="347"/>
      <c r="AE853" s="347"/>
      <c r="AF853" s="347"/>
      <c r="AG853" s="347"/>
    </row>
    <row r="854">
      <c r="A854" s="347"/>
      <c r="B854" s="347"/>
      <c r="C854" s="347"/>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c r="AA854" s="347"/>
      <c r="AB854" s="347"/>
      <c r="AC854" s="347"/>
      <c r="AD854" s="347"/>
      <c r="AE854" s="347"/>
      <c r="AF854" s="347"/>
      <c r="AG854" s="347"/>
    </row>
    <row r="855">
      <c r="A855" s="347"/>
      <c r="B855" s="347"/>
      <c r="C855" s="347"/>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c r="AA855" s="347"/>
      <c r="AB855" s="347"/>
      <c r="AC855" s="347"/>
      <c r="AD855" s="347"/>
      <c r="AE855" s="347"/>
      <c r="AF855" s="347"/>
      <c r="AG855" s="347"/>
    </row>
    <row r="856">
      <c r="A856" s="347"/>
      <c r="B856" s="347"/>
      <c r="C856" s="347"/>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c r="AA856" s="347"/>
      <c r="AB856" s="347"/>
      <c r="AC856" s="347"/>
      <c r="AD856" s="347"/>
      <c r="AE856" s="347"/>
      <c r="AF856" s="347"/>
      <c r="AG856" s="347"/>
    </row>
    <row r="857">
      <c r="A857" s="347"/>
      <c r="B857" s="347"/>
      <c r="C857" s="347"/>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c r="AA857" s="347"/>
      <c r="AB857" s="347"/>
      <c r="AC857" s="347"/>
      <c r="AD857" s="347"/>
      <c r="AE857" s="347"/>
      <c r="AF857" s="347"/>
      <c r="AG857" s="347"/>
    </row>
    <row r="858">
      <c r="A858" s="347"/>
      <c r="B858" s="347"/>
      <c r="C858" s="347"/>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c r="AA858" s="347"/>
      <c r="AB858" s="347"/>
      <c r="AC858" s="347"/>
      <c r="AD858" s="347"/>
      <c r="AE858" s="347"/>
      <c r="AF858" s="347"/>
      <c r="AG858" s="347"/>
    </row>
    <row r="859">
      <c r="A859" s="347"/>
      <c r="B859" s="347"/>
      <c r="C859" s="347"/>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c r="AA859" s="347"/>
      <c r="AB859" s="347"/>
      <c r="AC859" s="347"/>
      <c r="AD859" s="347"/>
      <c r="AE859" s="347"/>
      <c r="AF859" s="347"/>
      <c r="AG859" s="347"/>
    </row>
    <row r="860">
      <c r="A860" s="347"/>
      <c r="B860" s="347"/>
      <c r="C860" s="347"/>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c r="AA860" s="347"/>
      <c r="AB860" s="347"/>
      <c r="AC860" s="347"/>
      <c r="AD860" s="347"/>
      <c r="AE860" s="347"/>
      <c r="AF860" s="347"/>
      <c r="AG860" s="347"/>
    </row>
    <row r="861">
      <c r="A861" s="347"/>
      <c r="B861" s="347"/>
      <c r="C861" s="347"/>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c r="AA861" s="347"/>
      <c r="AB861" s="347"/>
      <c r="AC861" s="347"/>
      <c r="AD861" s="347"/>
      <c r="AE861" s="347"/>
      <c r="AF861" s="347"/>
      <c r="AG861" s="347"/>
    </row>
    <row r="862">
      <c r="A862" s="347"/>
      <c r="B862" s="347"/>
      <c r="C862" s="347"/>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c r="AA862" s="347"/>
      <c r="AB862" s="347"/>
      <c r="AC862" s="347"/>
      <c r="AD862" s="347"/>
      <c r="AE862" s="347"/>
      <c r="AF862" s="347"/>
      <c r="AG862" s="347"/>
    </row>
    <row r="863">
      <c r="A863" s="347"/>
      <c r="B863" s="347"/>
      <c r="C863" s="347"/>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c r="AA863" s="347"/>
      <c r="AB863" s="347"/>
      <c r="AC863" s="347"/>
      <c r="AD863" s="347"/>
      <c r="AE863" s="347"/>
      <c r="AF863" s="347"/>
      <c r="AG863" s="347"/>
    </row>
    <row r="864">
      <c r="A864" s="347"/>
      <c r="B864" s="347"/>
      <c r="C864" s="347"/>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c r="AA864" s="347"/>
      <c r="AB864" s="347"/>
      <c r="AC864" s="347"/>
      <c r="AD864" s="347"/>
      <c r="AE864" s="347"/>
      <c r="AF864" s="347"/>
      <c r="AG864" s="347"/>
    </row>
    <row r="865">
      <c r="A865" s="347"/>
      <c r="B865" s="347"/>
      <c r="C865" s="347"/>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c r="AA865" s="347"/>
      <c r="AB865" s="347"/>
      <c r="AC865" s="347"/>
      <c r="AD865" s="347"/>
      <c r="AE865" s="347"/>
      <c r="AF865" s="347"/>
      <c r="AG865" s="347"/>
    </row>
    <row r="866">
      <c r="A866" s="347"/>
      <c r="B866" s="347"/>
      <c r="C866" s="347"/>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c r="AA866" s="347"/>
      <c r="AB866" s="347"/>
      <c r="AC866" s="347"/>
      <c r="AD866" s="347"/>
      <c r="AE866" s="347"/>
      <c r="AF866" s="347"/>
      <c r="AG866" s="347"/>
    </row>
    <row r="867">
      <c r="A867" s="347"/>
      <c r="B867" s="347"/>
      <c r="C867" s="347"/>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c r="AA867" s="347"/>
      <c r="AB867" s="347"/>
      <c r="AC867" s="347"/>
      <c r="AD867" s="347"/>
      <c r="AE867" s="347"/>
      <c r="AF867" s="347"/>
      <c r="AG867" s="347"/>
    </row>
    <row r="868">
      <c r="A868" s="347"/>
      <c r="B868" s="347"/>
      <c r="C868" s="347"/>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c r="AA868" s="347"/>
      <c r="AB868" s="347"/>
      <c r="AC868" s="347"/>
      <c r="AD868" s="347"/>
      <c r="AE868" s="347"/>
      <c r="AF868" s="347"/>
      <c r="AG868" s="347"/>
    </row>
    <row r="869">
      <c r="A869" s="347"/>
      <c r="B869" s="347"/>
      <c r="C869" s="347"/>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c r="AA869" s="347"/>
      <c r="AB869" s="347"/>
      <c r="AC869" s="347"/>
      <c r="AD869" s="347"/>
      <c r="AE869" s="347"/>
      <c r="AF869" s="347"/>
      <c r="AG869" s="347"/>
    </row>
    <row r="870">
      <c r="A870" s="347"/>
      <c r="B870" s="347"/>
      <c r="C870" s="347"/>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c r="AA870" s="347"/>
      <c r="AB870" s="347"/>
      <c r="AC870" s="347"/>
      <c r="AD870" s="347"/>
      <c r="AE870" s="347"/>
      <c r="AF870" s="347"/>
      <c r="AG870" s="347"/>
    </row>
    <row r="871">
      <c r="A871" s="347"/>
      <c r="B871" s="347"/>
      <c r="C871" s="347"/>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c r="AA871" s="347"/>
      <c r="AB871" s="347"/>
      <c r="AC871" s="347"/>
      <c r="AD871" s="347"/>
      <c r="AE871" s="347"/>
      <c r="AF871" s="347"/>
      <c r="AG871" s="347"/>
    </row>
    <row r="872">
      <c r="A872" s="347"/>
      <c r="B872" s="347"/>
      <c r="C872" s="347"/>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c r="AA872" s="347"/>
      <c r="AB872" s="347"/>
      <c r="AC872" s="347"/>
      <c r="AD872" s="347"/>
      <c r="AE872" s="347"/>
      <c r="AF872" s="347"/>
      <c r="AG872" s="347"/>
    </row>
    <row r="873">
      <c r="A873" s="347"/>
      <c r="B873" s="347"/>
      <c r="C873" s="347"/>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c r="AA873" s="347"/>
      <c r="AB873" s="347"/>
      <c r="AC873" s="347"/>
      <c r="AD873" s="347"/>
      <c r="AE873" s="347"/>
      <c r="AF873" s="347"/>
      <c r="AG873" s="347"/>
    </row>
    <row r="874">
      <c r="A874" s="347"/>
      <c r="B874" s="347"/>
      <c r="C874" s="347"/>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c r="AA874" s="347"/>
      <c r="AB874" s="347"/>
      <c r="AC874" s="347"/>
      <c r="AD874" s="347"/>
      <c r="AE874" s="347"/>
      <c r="AF874" s="347"/>
      <c r="AG874" s="347"/>
    </row>
    <row r="875">
      <c r="A875" s="347"/>
      <c r="B875" s="347"/>
      <c r="C875" s="347"/>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c r="AA875" s="347"/>
      <c r="AB875" s="347"/>
      <c r="AC875" s="347"/>
      <c r="AD875" s="347"/>
      <c r="AE875" s="347"/>
      <c r="AF875" s="347"/>
      <c r="AG875" s="347"/>
    </row>
    <row r="876">
      <c r="A876" s="347"/>
      <c r="B876" s="347"/>
      <c r="C876" s="347"/>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c r="AA876" s="347"/>
      <c r="AB876" s="347"/>
      <c r="AC876" s="347"/>
      <c r="AD876" s="347"/>
      <c r="AE876" s="347"/>
      <c r="AF876" s="347"/>
      <c r="AG876" s="347"/>
    </row>
    <row r="877">
      <c r="A877" s="347"/>
      <c r="B877" s="347"/>
      <c r="C877" s="347"/>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c r="AA877" s="347"/>
      <c r="AB877" s="347"/>
      <c r="AC877" s="347"/>
      <c r="AD877" s="347"/>
      <c r="AE877" s="347"/>
      <c r="AF877" s="347"/>
      <c r="AG877" s="347"/>
    </row>
    <row r="878">
      <c r="A878" s="347"/>
      <c r="B878" s="347"/>
      <c r="C878" s="347"/>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c r="AA878" s="347"/>
      <c r="AB878" s="347"/>
      <c r="AC878" s="347"/>
      <c r="AD878" s="347"/>
      <c r="AE878" s="347"/>
      <c r="AF878" s="347"/>
      <c r="AG878" s="347"/>
    </row>
    <row r="879">
      <c r="A879" s="347"/>
      <c r="B879" s="347"/>
      <c r="C879" s="347"/>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c r="AA879" s="347"/>
      <c r="AB879" s="347"/>
      <c r="AC879" s="347"/>
      <c r="AD879" s="347"/>
      <c r="AE879" s="347"/>
      <c r="AF879" s="347"/>
      <c r="AG879" s="347"/>
    </row>
    <row r="880">
      <c r="A880" s="347"/>
      <c r="B880" s="347"/>
      <c r="C880" s="347"/>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c r="AA880" s="347"/>
      <c r="AB880" s="347"/>
      <c r="AC880" s="347"/>
      <c r="AD880" s="347"/>
      <c r="AE880" s="347"/>
      <c r="AF880" s="347"/>
      <c r="AG880" s="347"/>
    </row>
    <row r="881">
      <c r="A881" s="347"/>
      <c r="B881" s="347"/>
      <c r="C881" s="347"/>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c r="AA881" s="347"/>
      <c r="AB881" s="347"/>
      <c r="AC881" s="347"/>
      <c r="AD881" s="347"/>
      <c r="AE881" s="347"/>
      <c r="AF881" s="347"/>
      <c r="AG881" s="347"/>
    </row>
    <row r="882">
      <c r="A882" s="347"/>
      <c r="B882" s="347"/>
      <c r="C882" s="347"/>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c r="AA882" s="347"/>
      <c r="AB882" s="347"/>
      <c r="AC882" s="347"/>
      <c r="AD882" s="347"/>
      <c r="AE882" s="347"/>
      <c r="AF882" s="347"/>
      <c r="AG882" s="347"/>
    </row>
    <row r="883">
      <c r="A883" s="347"/>
      <c r="B883" s="347"/>
      <c r="C883" s="347"/>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c r="AA883" s="347"/>
      <c r="AB883" s="347"/>
      <c r="AC883" s="347"/>
      <c r="AD883" s="347"/>
      <c r="AE883" s="347"/>
      <c r="AF883" s="347"/>
      <c r="AG883" s="347"/>
    </row>
    <row r="884">
      <c r="A884" s="347"/>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c r="AB884" s="347"/>
      <c r="AC884" s="347"/>
      <c r="AD884" s="347"/>
      <c r="AE884" s="347"/>
      <c r="AF884" s="347"/>
      <c r="AG884" s="347"/>
    </row>
    <row r="885">
      <c r="A885" s="347"/>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c r="AB885" s="347"/>
      <c r="AC885" s="347"/>
      <c r="AD885" s="347"/>
      <c r="AE885" s="347"/>
      <c r="AF885" s="347"/>
      <c r="AG885" s="347"/>
    </row>
    <row r="886">
      <c r="A886" s="347"/>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c r="AB886" s="347"/>
      <c r="AC886" s="347"/>
      <c r="AD886" s="347"/>
      <c r="AE886" s="347"/>
      <c r="AF886" s="347"/>
      <c r="AG886" s="347"/>
    </row>
    <row r="887">
      <c r="A887" s="347"/>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c r="AB887" s="347"/>
      <c r="AC887" s="347"/>
      <c r="AD887" s="347"/>
      <c r="AE887" s="347"/>
      <c r="AF887" s="347"/>
      <c r="AG887" s="347"/>
    </row>
    <row r="888">
      <c r="A888" s="347"/>
      <c r="B888" s="347"/>
      <c r="C888" s="347"/>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c r="AA888" s="347"/>
      <c r="AB888" s="347"/>
      <c r="AC888" s="347"/>
      <c r="AD888" s="347"/>
      <c r="AE888" s="347"/>
      <c r="AF888" s="347"/>
      <c r="AG888" s="347"/>
    </row>
    <row r="889">
      <c r="A889" s="347"/>
      <c r="B889" s="347"/>
      <c r="C889" s="347"/>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c r="AA889" s="347"/>
      <c r="AB889" s="347"/>
      <c r="AC889" s="347"/>
      <c r="AD889" s="347"/>
      <c r="AE889" s="347"/>
      <c r="AF889" s="347"/>
      <c r="AG889" s="347"/>
    </row>
    <row r="890">
      <c r="A890" s="347"/>
      <c r="B890" s="347"/>
      <c r="C890" s="347"/>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c r="AA890" s="347"/>
      <c r="AB890" s="347"/>
      <c r="AC890" s="347"/>
      <c r="AD890" s="347"/>
      <c r="AE890" s="347"/>
      <c r="AF890" s="347"/>
      <c r="AG890" s="347"/>
    </row>
    <row r="891">
      <c r="A891" s="347"/>
      <c r="B891" s="347"/>
      <c r="C891" s="347"/>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c r="AA891" s="347"/>
      <c r="AB891" s="347"/>
      <c r="AC891" s="347"/>
      <c r="AD891" s="347"/>
      <c r="AE891" s="347"/>
      <c r="AF891" s="347"/>
      <c r="AG891" s="347"/>
    </row>
    <row r="892">
      <c r="A892" s="347"/>
      <c r="B892" s="347"/>
      <c r="C892" s="347"/>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c r="AA892" s="347"/>
      <c r="AB892" s="347"/>
      <c r="AC892" s="347"/>
      <c r="AD892" s="347"/>
      <c r="AE892" s="347"/>
      <c r="AF892" s="347"/>
      <c r="AG892" s="347"/>
    </row>
    <row r="893">
      <c r="A893" s="347"/>
      <c r="B893" s="347"/>
      <c r="C893" s="347"/>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c r="AA893" s="347"/>
      <c r="AB893" s="347"/>
      <c r="AC893" s="347"/>
      <c r="AD893" s="347"/>
      <c r="AE893" s="347"/>
      <c r="AF893" s="347"/>
      <c r="AG893" s="347"/>
    </row>
    <row r="894">
      <c r="A894" s="347"/>
      <c r="B894" s="347"/>
      <c r="C894" s="347"/>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c r="AA894" s="347"/>
      <c r="AB894" s="347"/>
      <c r="AC894" s="347"/>
      <c r="AD894" s="347"/>
      <c r="AE894" s="347"/>
      <c r="AF894" s="347"/>
      <c r="AG894" s="347"/>
    </row>
    <row r="895">
      <c r="A895" s="347"/>
      <c r="B895" s="347"/>
      <c r="C895" s="347"/>
      <c r="D895" s="347"/>
      <c r="E895" s="347"/>
      <c r="F895" s="347"/>
      <c r="G895" s="347"/>
      <c r="H895" s="347"/>
      <c r="I895" s="347"/>
      <c r="J895" s="347"/>
      <c r="K895" s="347"/>
      <c r="L895" s="347"/>
      <c r="M895" s="347"/>
      <c r="N895" s="347"/>
      <c r="O895" s="347"/>
      <c r="P895" s="347"/>
      <c r="Q895" s="347"/>
      <c r="R895" s="347"/>
      <c r="S895" s="347"/>
      <c r="T895" s="347"/>
      <c r="U895" s="347"/>
      <c r="V895" s="347"/>
      <c r="W895" s="347"/>
      <c r="X895" s="347"/>
      <c r="Y895" s="347"/>
      <c r="Z895" s="347"/>
      <c r="AA895" s="347"/>
      <c r="AB895" s="347"/>
      <c r="AC895" s="347"/>
      <c r="AD895" s="347"/>
      <c r="AE895" s="347"/>
      <c r="AF895" s="347"/>
      <c r="AG895" s="347"/>
    </row>
    <row r="896">
      <c r="A896" s="347"/>
      <c r="B896" s="347"/>
      <c r="C896" s="347"/>
      <c r="D896" s="347"/>
      <c r="E896" s="347"/>
      <c r="F896" s="347"/>
      <c r="G896" s="347"/>
      <c r="H896" s="347"/>
      <c r="I896" s="347"/>
      <c r="J896" s="347"/>
      <c r="K896" s="347"/>
      <c r="L896" s="347"/>
      <c r="M896" s="347"/>
      <c r="N896" s="347"/>
      <c r="O896" s="347"/>
      <c r="P896" s="347"/>
      <c r="Q896" s="347"/>
      <c r="R896" s="347"/>
      <c r="S896" s="347"/>
      <c r="T896" s="347"/>
      <c r="U896" s="347"/>
      <c r="V896" s="347"/>
      <c r="W896" s="347"/>
      <c r="X896" s="347"/>
      <c r="Y896" s="347"/>
      <c r="Z896" s="347"/>
      <c r="AA896" s="347"/>
      <c r="AB896" s="347"/>
      <c r="AC896" s="347"/>
      <c r="AD896" s="347"/>
      <c r="AE896" s="347"/>
      <c r="AF896" s="347"/>
      <c r="AG896" s="347"/>
    </row>
    <row r="897">
      <c r="A897" s="347"/>
      <c r="B897" s="347"/>
      <c r="C897" s="347"/>
      <c r="D897" s="347"/>
      <c r="E897" s="347"/>
      <c r="F897" s="347"/>
      <c r="G897" s="347"/>
      <c r="H897" s="347"/>
      <c r="I897" s="347"/>
      <c r="J897" s="347"/>
      <c r="K897" s="347"/>
      <c r="L897" s="347"/>
      <c r="M897" s="347"/>
      <c r="N897" s="347"/>
      <c r="O897" s="347"/>
      <c r="P897" s="347"/>
      <c r="Q897" s="347"/>
      <c r="R897" s="347"/>
      <c r="S897" s="347"/>
      <c r="T897" s="347"/>
      <c r="U897" s="347"/>
      <c r="V897" s="347"/>
      <c r="W897" s="347"/>
      <c r="X897" s="347"/>
      <c r="Y897" s="347"/>
      <c r="Z897" s="347"/>
      <c r="AA897" s="347"/>
      <c r="AB897" s="347"/>
      <c r="AC897" s="347"/>
      <c r="AD897" s="347"/>
      <c r="AE897" s="347"/>
      <c r="AF897" s="347"/>
      <c r="AG897" s="347"/>
    </row>
    <row r="898">
      <c r="A898" s="347"/>
      <c r="B898" s="347"/>
      <c r="C898" s="347"/>
      <c r="D898" s="347"/>
      <c r="E898" s="347"/>
      <c r="F898" s="347"/>
      <c r="G898" s="347"/>
      <c r="H898" s="347"/>
      <c r="I898" s="347"/>
      <c r="J898" s="347"/>
      <c r="K898" s="347"/>
      <c r="L898" s="347"/>
      <c r="M898" s="347"/>
      <c r="N898" s="347"/>
      <c r="O898" s="347"/>
      <c r="P898" s="347"/>
      <c r="Q898" s="347"/>
      <c r="R898" s="347"/>
      <c r="S898" s="347"/>
      <c r="T898" s="347"/>
      <c r="U898" s="347"/>
      <c r="V898" s="347"/>
      <c r="W898" s="347"/>
      <c r="X898" s="347"/>
      <c r="Y898" s="347"/>
      <c r="Z898" s="347"/>
      <c r="AA898" s="347"/>
      <c r="AB898" s="347"/>
      <c r="AC898" s="347"/>
      <c r="AD898" s="347"/>
      <c r="AE898" s="347"/>
      <c r="AF898" s="347"/>
      <c r="AG898" s="347"/>
    </row>
    <row r="899">
      <c r="A899" s="347"/>
      <c r="B899" s="347"/>
      <c r="C899" s="347"/>
      <c r="D899" s="347"/>
      <c r="E899" s="347"/>
      <c r="F899" s="347"/>
      <c r="G899" s="347"/>
      <c r="H899" s="347"/>
      <c r="I899" s="347"/>
      <c r="J899" s="347"/>
      <c r="K899" s="347"/>
      <c r="L899" s="347"/>
      <c r="M899" s="347"/>
      <c r="N899" s="347"/>
      <c r="O899" s="347"/>
      <c r="P899" s="347"/>
      <c r="Q899" s="347"/>
      <c r="R899" s="347"/>
      <c r="S899" s="347"/>
      <c r="T899" s="347"/>
      <c r="U899" s="347"/>
      <c r="V899" s="347"/>
      <c r="W899" s="347"/>
      <c r="X899" s="347"/>
      <c r="Y899" s="347"/>
      <c r="Z899" s="347"/>
      <c r="AA899" s="347"/>
      <c r="AB899" s="347"/>
      <c r="AC899" s="347"/>
      <c r="AD899" s="347"/>
      <c r="AE899" s="347"/>
      <c r="AF899" s="347"/>
      <c r="AG899" s="347"/>
    </row>
    <row r="900">
      <c r="A900" s="347"/>
      <c r="B900" s="347"/>
      <c r="C900" s="347"/>
      <c r="D900" s="347"/>
      <c r="E900" s="347"/>
      <c r="F900" s="347"/>
      <c r="G900" s="347"/>
      <c r="H900" s="347"/>
      <c r="I900" s="347"/>
      <c r="J900" s="347"/>
      <c r="K900" s="347"/>
      <c r="L900" s="347"/>
      <c r="M900" s="347"/>
      <c r="N900" s="347"/>
      <c r="O900" s="347"/>
      <c r="P900" s="347"/>
      <c r="Q900" s="347"/>
      <c r="R900" s="347"/>
      <c r="S900" s="347"/>
      <c r="T900" s="347"/>
      <c r="U900" s="347"/>
      <c r="V900" s="347"/>
      <c r="W900" s="347"/>
      <c r="X900" s="347"/>
      <c r="Y900" s="347"/>
      <c r="Z900" s="347"/>
      <c r="AA900" s="347"/>
      <c r="AB900" s="347"/>
      <c r="AC900" s="347"/>
      <c r="AD900" s="347"/>
      <c r="AE900" s="347"/>
      <c r="AF900" s="347"/>
      <c r="AG900" s="347"/>
    </row>
    <row r="901">
      <c r="A901" s="347"/>
      <c r="B901" s="347"/>
      <c r="C901" s="347"/>
      <c r="D901" s="347"/>
      <c r="E901" s="347"/>
      <c r="F901" s="347"/>
      <c r="G901" s="347"/>
      <c r="H901" s="347"/>
      <c r="I901" s="347"/>
      <c r="J901" s="347"/>
      <c r="K901" s="347"/>
      <c r="L901" s="347"/>
      <c r="M901" s="347"/>
      <c r="N901" s="347"/>
      <c r="O901" s="347"/>
      <c r="P901" s="347"/>
      <c r="Q901" s="347"/>
      <c r="R901" s="347"/>
      <c r="S901" s="347"/>
      <c r="T901" s="347"/>
      <c r="U901" s="347"/>
      <c r="V901" s="347"/>
      <c r="W901" s="347"/>
      <c r="X901" s="347"/>
      <c r="Y901" s="347"/>
      <c r="Z901" s="347"/>
      <c r="AA901" s="347"/>
      <c r="AB901" s="347"/>
      <c r="AC901" s="347"/>
      <c r="AD901" s="347"/>
      <c r="AE901" s="347"/>
      <c r="AF901" s="347"/>
      <c r="AG901" s="347"/>
    </row>
    <row r="902">
      <c r="A902" s="347"/>
      <c r="B902" s="347"/>
      <c r="C902" s="347"/>
      <c r="D902" s="347"/>
      <c r="E902" s="347"/>
      <c r="F902" s="347"/>
      <c r="G902" s="347"/>
      <c r="H902" s="347"/>
      <c r="I902" s="347"/>
      <c r="J902" s="347"/>
      <c r="K902" s="347"/>
      <c r="L902" s="347"/>
      <c r="M902" s="347"/>
      <c r="N902" s="347"/>
      <c r="O902" s="347"/>
      <c r="P902" s="347"/>
      <c r="Q902" s="347"/>
      <c r="R902" s="347"/>
      <c r="S902" s="347"/>
      <c r="T902" s="347"/>
      <c r="U902" s="347"/>
      <c r="V902" s="347"/>
      <c r="W902" s="347"/>
      <c r="X902" s="347"/>
      <c r="Y902" s="347"/>
      <c r="Z902" s="347"/>
      <c r="AA902" s="347"/>
      <c r="AB902" s="347"/>
      <c r="AC902" s="347"/>
      <c r="AD902" s="347"/>
      <c r="AE902" s="347"/>
      <c r="AF902" s="347"/>
      <c r="AG902" s="347"/>
    </row>
    <row r="903">
      <c r="A903" s="347"/>
      <c r="B903" s="347"/>
      <c r="C903" s="347"/>
      <c r="D903" s="347"/>
      <c r="E903" s="347"/>
      <c r="F903" s="347"/>
      <c r="G903" s="347"/>
      <c r="H903" s="347"/>
      <c r="I903" s="347"/>
      <c r="J903" s="347"/>
      <c r="K903" s="347"/>
      <c r="L903" s="347"/>
      <c r="M903" s="347"/>
      <c r="N903" s="347"/>
      <c r="O903" s="347"/>
      <c r="P903" s="347"/>
      <c r="Q903" s="347"/>
      <c r="R903" s="347"/>
      <c r="S903" s="347"/>
      <c r="T903" s="347"/>
      <c r="U903" s="347"/>
      <c r="V903" s="347"/>
      <c r="W903" s="347"/>
      <c r="X903" s="347"/>
      <c r="Y903" s="347"/>
      <c r="Z903" s="347"/>
      <c r="AA903" s="347"/>
      <c r="AB903" s="347"/>
      <c r="AC903" s="347"/>
      <c r="AD903" s="347"/>
      <c r="AE903" s="347"/>
      <c r="AF903" s="347"/>
      <c r="AG903" s="347"/>
    </row>
    <row r="904">
      <c r="A904" s="347"/>
      <c r="B904" s="347"/>
      <c r="C904" s="347"/>
      <c r="D904" s="347"/>
      <c r="E904" s="347"/>
      <c r="F904" s="347"/>
      <c r="G904" s="347"/>
      <c r="H904" s="347"/>
      <c r="I904" s="347"/>
      <c r="J904" s="347"/>
      <c r="K904" s="347"/>
      <c r="L904" s="347"/>
      <c r="M904" s="347"/>
      <c r="N904" s="347"/>
      <c r="O904" s="347"/>
      <c r="P904" s="347"/>
      <c r="Q904" s="347"/>
      <c r="R904" s="347"/>
      <c r="S904" s="347"/>
      <c r="T904" s="347"/>
      <c r="U904" s="347"/>
      <c r="V904" s="347"/>
      <c r="W904" s="347"/>
      <c r="X904" s="347"/>
      <c r="Y904" s="347"/>
      <c r="Z904" s="347"/>
      <c r="AA904" s="347"/>
      <c r="AB904" s="347"/>
      <c r="AC904" s="347"/>
      <c r="AD904" s="347"/>
      <c r="AE904" s="347"/>
      <c r="AF904" s="347"/>
      <c r="AG904" s="347"/>
    </row>
    <row r="905">
      <c r="A905" s="347"/>
      <c r="B905" s="347"/>
      <c r="C905" s="347"/>
      <c r="D905" s="347"/>
      <c r="E905" s="347"/>
      <c r="F905" s="347"/>
      <c r="G905" s="347"/>
      <c r="H905" s="347"/>
      <c r="I905" s="347"/>
      <c r="J905" s="347"/>
      <c r="K905" s="347"/>
      <c r="L905" s="347"/>
      <c r="M905" s="347"/>
      <c r="N905" s="347"/>
      <c r="O905" s="347"/>
      <c r="P905" s="347"/>
      <c r="Q905" s="347"/>
      <c r="R905" s="347"/>
      <c r="S905" s="347"/>
      <c r="T905" s="347"/>
      <c r="U905" s="347"/>
      <c r="V905" s="347"/>
      <c r="W905" s="347"/>
      <c r="X905" s="347"/>
      <c r="Y905" s="347"/>
      <c r="Z905" s="347"/>
      <c r="AA905" s="347"/>
      <c r="AB905" s="347"/>
      <c r="AC905" s="347"/>
      <c r="AD905" s="347"/>
      <c r="AE905" s="347"/>
      <c r="AF905" s="347"/>
      <c r="AG905" s="347"/>
    </row>
    <row r="906">
      <c r="A906" s="347"/>
      <c r="B906" s="347"/>
      <c r="C906" s="347"/>
      <c r="D906" s="347"/>
      <c r="E906" s="347"/>
      <c r="F906" s="347"/>
      <c r="G906" s="347"/>
      <c r="H906" s="347"/>
      <c r="I906" s="347"/>
      <c r="J906" s="347"/>
      <c r="K906" s="347"/>
      <c r="L906" s="347"/>
      <c r="M906" s="347"/>
      <c r="N906" s="347"/>
      <c r="O906" s="347"/>
      <c r="P906" s="347"/>
      <c r="Q906" s="347"/>
      <c r="R906" s="347"/>
      <c r="S906" s="347"/>
      <c r="T906" s="347"/>
      <c r="U906" s="347"/>
      <c r="V906" s="347"/>
      <c r="W906" s="347"/>
      <c r="X906" s="347"/>
      <c r="Y906" s="347"/>
      <c r="Z906" s="347"/>
      <c r="AA906" s="347"/>
      <c r="AB906" s="347"/>
      <c r="AC906" s="347"/>
      <c r="AD906" s="347"/>
      <c r="AE906" s="347"/>
      <c r="AF906" s="347"/>
      <c r="AG906" s="347"/>
    </row>
    <row r="907">
      <c r="A907" s="347"/>
      <c r="B907" s="347"/>
      <c r="C907" s="347"/>
      <c r="D907" s="347"/>
      <c r="E907" s="347"/>
      <c r="F907" s="347"/>
      <c r="G907" s="347"/>
      <c r="H907" s="347"/>
      <c r="I907" s="347"/>
      <c r="J907" s="347"/>
      <c r="K907" s="347"/>
      <c r="L907" s="347"/>
      <c r="M907" s="347"/>
      <c r="N907" s="347"/>
      <c r="O907" s="347"/>
      <c r="P907" s="347"/>
      <c r="Q907" s="347"/>
      <c r="R907" s="347"/>
      <c r="S907" s="347"/>
      <c r="T907" s="347"/>
      <c r="U907" s="347"/>
      <c r="V907" s="347"/>
      <c r="W907" s="347"/>
      <c r="X907" s="347"/>
      <c r="Y907" s="347"/>
      <c r="Z907" s="347"/>
      <c r="AA907" s="347"/>
      <c r="AB907" s="347"/>
      <c r="AC907" s="347"/>
      <c r="AD907" s="347"/>
      <c r="AE907" s="347"/>
      <c r="AF907" s="347"/>
      <c r="AG907" s="347"/>
    </row>
    <row r="908">
      <c r="A908" s="347"/>
      <c r="B908" s="347"/>
      <c r="C908" s="347"/>
      <c r="D908" s="347"/>
      <c r="E908" s="347"/>
      <c r="F908" s="347"/>
      <c r="G908" s="347"/>
      <c r="H908" s="347"/>
      <c r="I908" s="347"/>
      <c r="J908" s="347"/>
      <c r="K908" s="347"/>
      <c r="L908" s="347"/>
      <c r="M908" s="347"/>
      <c r="N908" s="347"/>
      <c r="O908" s="347"/>
      <c r="P908" s="347"/>
      <c r="Q908" s="347"/>
      <c r="R908" s="347"/>
      <c r="S908" s="347"/>
      <c r="T908" s="347"/>
      <c r="U908" s="347"/>
      <c r="V908" s="347"/>
      <c r="W908" s="347"/>
      <c r="X908" s="347"/>
      <c r="Y908" s="347"/>
      <c r="Z908" s="347"/>
      <c r="AA908" s="347"/>
      <c r="AB908" s="347"/>
      <c r="AC908" s="347"/>
      <c r="AD908" s="347"/>
      <c r="AE908" s="347"/>
      <c r="AF908" s="347"/>
      <c r="AG908" s="347"/>
    </row>
    <row r="909">
      <c r="A909" s="347"/>
      <c r="B909" s="347"/>
      <c r="C909" s="347"/>
      <c r="D909" s="347"/>
      <c r="E909" s="347"/>
      <c r="F909" s="347"/>
      <c r="G909" s="347"/>
      <c r="H909" s="347"/>
      <c r="I909" s="347"/>
      <c r="J909" s="347"/>
      <c r="K909" s="347"/>
      <c r="L909" s="347"/>
      <c r="M909" s="347"/>
      <c r="N909" s="347"/>
      <c r="O909" s="347"/>
      <c r="P909" s="347"/>
      <c r="Q909" s="347"/>
      <c r="R909" s="347"/>
      <c r="S909" s="347"/>
      <c r="T909" s="347"/>
      <c r="U909" s="347"/>
      <c r="V909" s="347"/>
      <c r="W909" s="347"/>
      <c r="X909" s="347"/>
      <c r="Y909" s="347"/>
      <c r="Z909" s="347"/>
      <c r="AA909" s="347"/>
      <c r="AB909" s="347"/>
      <c r="AC909" s="347"/>
      <c r="AD909" s="347"/>
      <c r="AE909" s="347"/>
      <c r="AF909" s="347"/>
      <c r="AG909" s="347"/>
    </row>
    <row r="910">
      <c r="A910" s="347"/>
      <c r="B910" s="347"/>
      <c r="C910" s="347"/>
      <c r="D910" s="347"/>
      <c r="E910" s="347"/>
      <c r="F910" s="347"/>
      <c r="G910" s="347"/>
      <c r="H910" s="347"/>
      <c r="I910" s="347"/>
      <c r="J910" s="347"/>
      <c r="K910" s="347"/>
      <c r="L910" s="347"/>
      <c r="M910" s="347"/>
      <c r="N910" s="347"/>
      <c r="O910" s="347"/>
      <c r="P910" s="347"/>
      <c r="Q910" s="347"/>
      <c r="R910" s="347"/>
      <c r="S910" s="347"/>
      <c r="T910" s="347"/>
      <c r="U910" s="347"/>
      <c r="V910" s="347"/>
      <c r="W910" s="347"/>
      <c r="X910" s="347"/>
      <c r="Y910" s="347"/>
      <c r="Z910" s="347"/>
      <c r="AA910" s="347"/>
      <c r="AB910" s="347"/>
      <c r="AC910" s="347"/>
      <c r="AD910" s="347"/>
      <c r="AE910" s="347"/>
      <c r="AF910" s="347"/>
      <c r="AG910" s="347"/>
    </row>
    <row r="911">
      <c r="A911" s="347"/>
      <c r="B911" s="347"/>
      <c r="C911" s="347"/>
      <c r="D911" s="347"/>
      <c r="E911" s="347"/>
      <c r="F911" s="347"/>
      <c r="G911" s="347"/>
      <c r="H911" s="347"/>
      <c r="I911" s="347"/>
      <c r="J911" s="347"/>
      <c r="K911" s="347"/>
      <c r="L911" s="347"/>
      <c r="M911" s="347"/>
      <c r="N911" s="347"/>
      <c r="O911" s="347"/>
      <c r="P911" s="347"/>
      <c r="Q911" s="347"/>
      <c r="R911" s="347"/>
      <c r="S911" s="347"/>
      <c r="T911" s="347"/>
      <c r="U911" s="347"/>
      <c r="V911" s="347"/>
      <c r="W911" s="347"/>
      <c r="X911" s="347"/>
      <c r="Y911" s="347"/>
      <c r="Z911" s="347"/>
      <c r="AA911" s="347"/>
      <c r="AB911" s="347"/>
      <c r="AC911" s="347"/>
      <c r="AD911" s="347"/>
      <c r="AE911" s="347"/>
      <c r="AF911" s="347"/>
      <c r="AG911" s="347"/>
    </row>
    <row r="912">
      <c r="A912" s="347"/>
      <c r="B912" s="347"/>
      <c r="C912" s="347"/>
      <c r="D912" s="347"/>
      <c r="E912" s="347"/>
      <c r="F912" s="347"/>
      <c r="G912" s="347"/>
      <c r="H912" s="347"/>
      <c r="I912" s="347"/>
      <c r="J912" s="347"/>
      <c r="K912" s="347"/>
      <c r="L912" s="347"/>
      <c r="M912" s="347"/>
      <c r="N912" s="347"/>
      <c r="O912" s="347"/>
      <c r="P912" s="347"/>
      <c r="Q912" s="347"/>
      <c r="R912" s="347"/>
      <c r="S912" s="347"/>
      <c r="T912" s="347"/>
      <c r="U912" s="347"/>
      <c r="V912" s="347"/>
      <c r="W912" s="347"/>
      <c r="X912" s="347"/>
      <c r="Y912" s="347"/>
      <c r="Z912" s="347"/>
      <c r="AA912" s="347"/>
      <c r="AB912" s="347"/>
      <c r="AC912" s="347"/>
      <c r="AD912" s="347"/>
      <c r="AE912" s="347"/>
      <c r="AF912" s="347"/>
      <c r="AG912" s="347"/>
    </row>
    <row r="913">
      <c r="A913" s="347"/>
      <c r="B913" s="347"/>
      <c r="C913" s="347"/>
      <c r="D913" s="347"/>
      <c r="E913" s="347"/>
      <c r="F913" s="347"/>
      <c r="G913" s="347"/>
      <c r="H913" s="347"/>
      <c r="I913" s="347"/>
      <c r="J913" s="347"/>
      <c r="K913" s="347"/>
      <c r="L913" s="347"/>
      <c r="M913" s="347"/>
      <c r="N913" s="347"/>
      <c r="O913" s="347"/>
      <c r="P913" s="347"/>
      <c r="Q913" s="347"/>
      <c r="R913" s="347"/>
      <c r="S913" s="347"/>
      <c r="T913" s="347"/>
      <c r="U913" s="347"/>
      <c r="V913" s="347"/>
      <c r="W913" s="347"/>
      <c r="X913" s="347"/>
      <c r="Y913" s="347"/>
      <c r="Z913" s="347"/>
      <c r="AA913" s="347"/>
      <c r="AB913" s="347"/>
      <c r="AC913" s="347"/>
      <c r="AD913" s="347"/>
      <c r="AE913" s="347"/>
      <c r="AF913" s="347"/>
      <c r="AG913" s="347"/>
    </row>
    <row r="914">
      <c r="A914" s="347"/>
      <c r="B914" s="347"/>
      <c r="C914" s="347"/>
      <c r="D914" s="347"/>
      <c r="E914" s="347"/>
      <c r="F914" s="347"/>
      <c r="G914" s="347"/>
      <c r="H914" s="347"/>
      <c r="I914" s="347"/>
      <c r="J914" s="347"/>
      <c r="K914" s="347"/>
      <c r="L914" s="347"/>
      <c r="M914" s="347"/>
      <c r="N914" s="347"/>
      <c r="O914" s="347"/>
      <c r="P914" s="347"/>
      <c r="Q914" s="347"/>
      <c r="R914" s="347"/>
      <c r="S914" s="347"/>
      <c r="T914" s="347"/>
      <c r="U914" s="347"/>
      <c r="V914" s="347"/>
      <c r="W914" s="347"/>
      <c r="X914" s="347"/>
      <c r="Y914" s="347"/>
      <c r="Z914" s="347"/>
      <c r="AA914" s="347"/>
      <c r="AB914" s="347"/>
      <c r="AC914" s="347"/>
      <c r="AD914" s="347"/>
      <c r="AE914" s="347"/>
      <c r="AF914" s="347"/>
      <c r="AG914" s="347"/>
    </row>
    <row r="915">
      <c r="A915" s="347"/>
      <c r="B915" s="347"/>
      <c r="C915" s="347"/>
      <c r="D915" s="347"/>
      <c r="E915" s="347"/>
      <c r="F915" s="347"/>
      <c r="G915" s="347"/>
      <c r="H915" s="347"/>
      <c r="I915" s="347"/>
      <c r="J915" s="347"/>
      <c r="K915" s="347"/>
      <c r="L915" s="347"/>
      <c r="M915" s="347"/>
      <c r="N915" s="347"/>
      <c r="O915" s="347"/>
      <c r="P915" s="347"/>
      <c r="Q915" s="347"/>
      <c r="R915" s="347"/>
      <c r="S915" s="347"/>
      <c r="T915" s="347"/>
      <c r="U915" s="347"/>
      <c r="V915" s="347"/>
      <c r="W915" s="347"/>
      <c r="X915" s="347"/>
      <c r="Y915" s="347"/>
      <c r="Z915" s="347"/>
      <c r="AA915" s="347"/>
      <c r="AB915" s="347"/>
      <c r="AC915" s="347"/>
      <c r="AD915" s="347"/>
      <c r="AE915" s="347"/>
      <c r="AF915" s="347"/>
      <c r="AG915" s="347"/>
    </row>
    <row r="916">
      <c r="A916" s="347"/>
      <c r="B916" s="347"/>
      <c r="C916" s="347"/>
      <c r="D916" s="347"/>
      <c r="E916" s="347"/>
      <c r="F916" s="347"/>
      <c r="G916" s="347"/>
      <c r="H916" s="347"/>
      <c r="I916" s="347"/>
      <c r="J916" s="347"/>
      <c r="K916" s="347"/>
      <c r="L916" s="347"/>
      <c r="M916" s="347"/>
      <c r="N916" s="347"/>
      <c r="O916" s="347"/>
      <c r="P916" s="347"/>
      <c r="Q916" s="347"/>
      <c r="R916" s="347"/>
      <c r="S916" s="347"/>
      <c r="T916" s="347"/>
      <c r="U916" s="347"/>
      <c r="V916" s="347"/>
      <c r="W916" s="347"/>
      <c r="X916" s="347"/>
      <c r="Y916" s="347"/>
      <c r="Z916" s="347"/>
      <c r="AA916" s="347"/>
      <c r="AB916" s="347"/>
      <c r="AC916" s="347"/>
      <c r="AD916" s="347"/>
      <c r="AE916" s="347"/>
      <c r="AF916" s="347"/>
      <c r="AG916" s="347"/>
    </row>
    <row r="917">
      <c r="A917" s="347"/>
      <c r="B917" s="347"/>
      <c r="C917" s="347"/>
      <c r="D917" s="347"/>
      <c r="E917" s="347"/>
      <c r="F917" s="347"/>
      <c r="G917" s="347"/>
      <c r="H917" s="347"/>
      <c r="I917" s="347"/>
      <c r="J917" s="347"/>
      <c r="K917" s="347"/>
      <c r="L917" s="347"/>
      <c r="M917" s="347"/>
      <c r="N917" s="347"/>
      <c r="O917" s="347"/>
      <c r="P917" s="347"/>
      <c r="Q917" s="347"/>
      <c r="R917" s="347"/>
      <c r="S917" s="347"/>
      <c r="T917" s="347"/>
      <c r="U917" s="347"/>
      <c r="V917" s="347"/>
      <c r="W917" s="347"/>
      <c r="X917" s="347"/>
      <c r="Y917" s="347"/>
      <c r="Z917" s="347"/>
      <c r="AA917" s="347"/>
      <c r="AB917" s="347"/>
      <c r="AC917" s="347"/>
      <c r="AD917" s="347"/>
      <c r="AE917" s="347"/>
      <c r="AF917" s="347"/>
      <c r="AG917" s="347"/>
    </row>
    <row r="918">
      <c r="A918" s="347"/>
      <c r="B918" s="347"/>
      <c r="C918" s="347"/>
      <c r="D918" s="347"/>
      <c r="E918" s="347"/>
      <c r="F918" s="347"/>
      <c r="G918" s="347"/>
      <c r="H918" s="347"/>
      <c r="I918" s="347"/>
      <c r="J918" s="347"/>
      <c r="K918" s="347"/>
      <c r="L918" s="347"/>
      <c r="M918" s="347"/>
      <c r="N918" s="347"/>
      <c r="O918" s="347"/>
      <c r="P918" s="347"/>
      <c r="Q918" s="347"/>
      <c r="R918" s="347"/>
      <c r="S918" s="347"/>
      <c r="T918" s="347"/>
      <c r="U918" s="347"/>
      <c r="V918" s="347"/>
      <c r="W918" s="347"/>
      <c r="X918" s="347"/>
      <c r="Y918" s="347"/>
      <c r="Z918" s="347"/>
      <c r="AA918" s="347"/>
      <c r="AB918" s="347"/>
      <c r="AC918" s="347"/>
      <c r="AD918" s="347"/>
      <c r="AE918" s="347"/>
      <c r="AF918" s="347"/>
      <c r="AG918" s="347"/>
    </row>
    <row r="919">
      <c r="A919" s="347"/>
      <c r="B919" s="347"/>
      <c r="C919" s="347"/>
      <c r="D919" s="347"/>
      <c r="E919" s="347"/>
      <c r="F919" s="347"/>
      <c r="G919" s="347"/>
      <c r="H919" s="347"/>
      <c r="I919" s="347"/>
      <c r="J919" s="347"/>
      <c r="K919" s="347"/>
      <c r="L919" s="347"/>
      <c r="M919" s="347"/>
      <c r="N919" s="347"/>
      <c r="O919" s="347"/>
      <c r="P919" s="347"/>
      <c r="Q919" s="347"/>
      <c r="R919" s="347"/>
      <c r="S919" s="347"/>
      <c r="T919" s="347"/>
      <c r="U919" s="347"/>
      <c r="V919" s="347"/>
      <c r="W919" s="347"/>
      <c r="X919" s="347"/>
      <c r="Y919" s="347"/>
      <c r="Z919" s="347"/>
      <c r="AA919" s="347"/>
      <c r="AB919" s="347"/>
      <c r="AC919" s="347"/>
      <c r="AD919" s="347"/>
      <c r="AE919" s="347"/>
      <c r="AF919" s="347"/>
      <c r="AG919" s="347"/>
    </row>
    <row r="920">
      <c r="A920" s="347"/>
      <c r="B920" s="347"/>
      <c r="C920" s="347"/>
      <c r="D920" s="347"/>
      <c r="E920" s="347"/>
      <c r="F920" s="347"/>
      <c r="G920" s="347"/>
      <c r="H920" s="347"/>
      <c r="I920" s="347"/>
      <c r="J920" s="347"/>
      <c r="K920" s="347"/>
      <c r="L920" s="347"/>
      <c r="M920" s="347"/>
      <c r="N920" s="347"/>
      <c r="O920" s="347"/>
      <c r="P920" s="347"/>
      <c r="Q920" s="347"/>
      <c r="R920" s="347"/>
      <c r="S920" s="347"/>
      <c r="T920" s="347"/>
      <c r="U920" s="347"/>
      <c r="V920" s="347"/>
      <c r="W920" s="347"/>
      <c r="X920" s="347"/>
      <c r="Y920" s="347"/>
      <c r="Z920" s="347"/>
      <c r="AA920" s="347"/>
      <c r="AB920" s="347"/>
      <c r="AC920" s="347"/>
      <c r="AD920" s="347"/>
      <c r="AE920" s="347"/>
      <c r="AF920" s="347"/>
      <c r="AG920" s="347"/>
    </row>
    <row r="921">
      <c r="A921" s="347"/>
      <c r="B921" s="347"/>
      <c r="C921" s="347"/>
      <c r="D921" s="347"/>
      <c r="E921" s="347"/>
      <c r="F921" s="347"/>
      <c r="G921" s="347"/>
      <c r="H921" s="347"/>
      <c r="I921" s="347"/>
      <c r="J921" s="347"/>
      <c r="K921" s="347"/>
      <c r="L921" s="347"/>
      <c r="M921" s="347"/>
      <c r="N921" s="347"/>
      <c r="O921" s="347"/>
      <c r="P921" s="347"/>
      <c r="Q921" s="347"/>
      <c r="R921" s="347"/>
      <c r="S921" s="347"/>
      <c r="T921" s="347"/>
      <c r="U921" s="347"/>
      <c r="V921" s="347"/>
      <c r="W921" s="347"/>
      <c r="X921" s="347"/>
      <c r="Y921" s="347"/>
      <c r="Z921" s="347"/>
      <c r="AA921" s="347"/>
      <c r="AB921" s="347"/>
      <c r="AC921" s="347"/>
      <c r="AD921" s="347"/>
      <c r="AE921" s="347"/>
      <c r="AF921" s="347"/>
      <c r="AG921" s="347"/>
    </row>
    <row r="922">
      <c r="A922" s="347"/>
      <c r="B922" s="347"/>
      <c r="C922" s="347"/>
      <c r="D922" s="347"/>
      <c r="E922" s="347"/>
      <c r="F922" s="347"/>
      <c r="G922" s="347"/>
      <c r="H922" s="347"/>
      <c r="I922" s="347"/>
      <c r="J922" s="347"/>
      <c r="K922" s="347"/>
      <c r="L922" s="347"/>
      <c r="M922" s="347"/>
      <c r="N922" s="347"/>
      <c r="O922" s="347"/>
      <c r="P922" s="347"/>
      <c r="Q922" s="347"/>
      <c r="R922" s="347"/>
      <c r="S922" s="347"/>
      <c r="T922" s="347"/>
      <c r="U922" s="347"/>
      <c r="V922" s="347"/>
      <c r="W922" s="347"/>
      <c r="X922" s="347"/>
      <c r="Y922" s="347"/>
      <c r="Z922" s="347"/>
      <c r="AA922" s="347"/>
      <c r="AB922" s="347"/>
      <c r="AC922" s="347"/>
      <c r="AD922" s="347"/>
      <c r="AE922" s="347"/>
      <c r="AF922" s="347"/>
      <c r="AG922" s="347"/>
    </row>
    <row r="923">
      <c r="A923" s="347"/>
      <c r="B923" s="347"/>
      <c r="C923" s="347"/>
      <c r="D923" s="347"/>
      <c r="E923" s="347"/>
      <c r="F923" s="347"/>
      <c r="G923" s="347"/>
      <c r="H923" s="347"/>
      <c r="I923" s="347"/>
      <c r="J923" s="347"/>
      <c r="K923" s="347"/>
      <c r="L923" s="347"/>
      <c r="M923" s="347"/>
      <c r="N923" s="347"/>
      <c r="O923" s="347"/>
      <c r="P923" s="347"/>
      <c r="Q923" s="347"/>
      <c r="R923" s="347"/>
      <c r="S923" s="347"/>
      <c r="T923" s="347"/>
      <c r="U923" s="347"/>
      <c r="V923" s="347"/>
      <c r="W923" s="347"/>
      <c r="X923" s="347"/>
      <c r="Y923" s="347"/>
      <c r="Z923" s="347"/>
      <c r="AA923" s="347"/>
      <c r="AB923" s="347"/>
      <c r="AC923" s="347"/>
      <c r="AD923" s="347"/>
      <c r="AE923" s="347"/>
      <c r="AF923" s="347"/>
      <c r="AG923" s="347"/>
    </row>
    <row r="924">
      <c r="A924" s="347"/>
      <c r="B924" s="347"/>
      <c r="C924" s="347"/>
      <c r="D924" s="347"/>
      <c r="E924" s="347"/>
      <c r="F924" s="347"/>
      <c r="G924" s="347"/>
      <c r="H924" s="347"/>
      <c r="I924" s="347"/>
      <c r="J924" s="347"/>
      <c r="K924" s="347"/>
      <c r="L924" s="347"/>
      <c r="M924" s="347"/>
      <c r="N924" s="347"/>
      <c r="O924" s="347"/>
      <c r="P924" s="347"/>
      <c r="Q924" s="347"/>
      <c r="R924" s="347"/>
      <c r="S924" s="347"/>
      <c r="T924" s="347"/>
      <c r="U924" s="347"/>
      <c r="V924" s="347"/>
      <c r="W924" s="347"/>
      <c r="X924" s="347"/>
      <c r="Y924" s="347"/>
      <c r="Z924" s="347"/>
      <c r="AA924" s="347"/>
      <c r="AB924" s="347"/>
      <c r="AC924" s="347"/>
      <c r="AD924" s="347"/>
      <c r="AE924" s="347"/>
      <c r="AF924" s="347"/>
      <c r="AG924" s="347"/>
    </row>
    <row r="925">
      <c r="A925" s="347"/>
      <c r="B925" s="347"/>
      <c r="C925" s="347"/>
      <c r="D925" s="347"/>
      <c r="E925" s="347"/>
      <c r="F925" s="347"/>
      <c r="G925" s="347"/>
      <c r="H925" s="347"/>
      <c r="I925" s="347"/>
      <c r="J925" s="347"/>
      <c r="K925" s="347"/>
      <c r="L925" s="347"/>
      <c r="M925" s="347"/>
      <c r="N925" s="347"/>
      <c r="O925" s="347"/>
      <c r="P925" s="347"/>
      <c r="Q925" s="347"/>
      <c r="R925" s="347"/>
      <c r="S925" s="347"/>
      <c r="T925" s="347"/>
      <c r="U925" s="347"/>
      <c r="V925" s="347"/>
      <c r="W925" s="347"/>
      <c r="X925" s="347"/>
      <c r="Y925" s="347"/>
      <c r="Z925" s="347"/>
      <c r="AA925" s="347"/>
      <c r="AB925" s="347"/>
      <c r="AC925" s="347"/>
      <c r="AD925" s="347"/>
      <c r="AE925" s="347"/>
      <c r="AF925" s="347"/>
      <c r="AG925" s="347"/>
    </row>
    <row r="926">
      <c r="A926" s="347"/>
      <c r="B926" s="347"/>
      <c r="C926" s="347"/>
      <c r="D926" s="347"/>
      <c r="E926" s="347"/>
      <c r="F926" s="347"/>
      <c r="G926" s="347"/>
      <c r="H926" s="347"/>
      <c r="I926" s="347"/>
      <c r="J926" s="347"/>
      <c r="K926" s="347"/>
      <c r="L926" s="347"/>
      <c r="M926" s="347"/>
      <c r="N926" s="347"/>
      <c r="O926" s="347"/>
      <c r="P926" s="347"/>
      <c r="Q926" s="347"/>
      <c r="R926" s="347"/>
      <c r="S926" s="347"/>
      <c r="T926" s="347"/>
      <c r="U926" s="347"/>
      <c r="V926" s="347"/>
      <c r="W926" s="347"/>
      <c r="X926" s="347"/>
      <c r="Y926" s="347"/>
      <c r="Z926" s="347"/>
      <c r="AA926" s="347"/>
      <c r="AB926" s="347"/>
      <c r="AC926" s="347"/>
      <c r="AD926" s="347"/>
      <c r="AE926" s="347"/>
      <c r="AF926" s="347"/>
      <c r="AG926" s="347"/>
    </row>
    <row r="927">
      <c r="A927" s="347"/>
      <c r="B927" s="347"/>
      <c r="C927" s="347"/>
      <c r="D927" s="347"/>
      <c r="E927" s="347"/>
      <c r="F927" s="347"/>
      <c r="G927" s="347"/>
      <c r="H927" s="347"/>
      <c r="I927" s="347"/>
      <c r="J927" s="347"/>
      <c r="K927" s="347"/>
      <c r="L927" s="347"/>
      <c r="M927" s="347"/>
      <c r="N927" s="347"/>
      <c r="O927" s="347"/>
      <c r="P927" s="347"/>
      <c r="Q927" s="347"/>
      <c r="R927" s="347"/>
      <c r="S927" s="347"/>
      <c r="T927" s="347"/>
      <c r="U927" s="347"/>
      <c r="V927" s="347"/>
      <c r="W927" s="347"/>
      <c r="X927" s="347"/>
      <c r="Y927" s="347"/>
      <c r="Z927" s="347"/>
      <c r="AA927" s="347"/>
      <c r="AB927" s="347"/>
      <c r="AC927" s="347"/>
      <c r="AD927" s="347"/>
      <c r="AE927" s="347"/>
      <c r="AF927" s="347"/>
      <c r="AG927" s="347"/>
    </row>
    <row r="928">
      <c r="A928" s="347"/>
      <c r="B928" s="347"/>
      <c r="C928" s="347"/>
      <c r="D928" s="347"/>
      <c r="E928" s="347"/>
      <c r="F928" s="347"/>
      <c r="G928" s="347"/>
      <c r="H928" s="347"/>
      <c r="I928" s="347"/>
      <c r="J928" s="347"/>
      <c r="K928" s="347"/>
      <c r="L928" s="347"/>
      <c r="M928" s="347"/>
      <c r="N928" s="347"/>
      <c r="O928" s="347"/>
      <c r="P928" s="347"/>
      <c r="Q928" s="347"/>
      <c r="R928" s="347"/>
      <c r="S928" s="347"/>
      <c r="T928" s="347"/>
      <c r="U928" s="347"/>
      <c r="V928" s="347"/>
      <c r="W928" s="347"/>
      <c r="X928" s="347"/>
      <c r="Y928" s="347"/>
      <c r="Z928" s="347"/>
      <c r="AA928" s="347"/>
      <c r="AB928" s="347"/>
      <c r="AC928" s="347"/>
      <c r="AD928" s="347"/>
      <c r="AE928" s="347"/>
      <c r="AF928" s="347"/>
      <c r="AG928" s="347"/>
    </row>
    <row r="929">
      <c r="A929" s="347"/>
      <c r="B929" s="347"/>
      <c r="C929" s="347"/>
      <c r="D929" s="347"/>
      <c r="E929" s="347"/>
      <c r="F929" s="347"/>
      <c r="G929" s="347"/>
      <c r="H929" s="347"/>
      <c r="I929" s="347"/>
      <c r="J929" s="347"/>
      <c r="K929" s="347"/>
      <c r="L929" s="347"/>
      <c r="M929" s="347"/>
      <c r="N929" s="347"/>
      <c r="O929" s="347"/>
      <c r="P929" s="347"/>
      <c r="Q929" s="347"/>
      <c r="R929" s="347"/>
      <c r="S929" s="347"/>
      <c r="T929" s="347"/>
      <c r="U929" s="347"/>
      <c r="V929" s="347"/>
      <c r="W929" s="347"/>
      <c r="X929" s="347"/>
      <c r="Y929" s="347"/>
      <c r="Z929" s="347"/>
      <c r="AA929" s="347"/>
      <c r="AB929" s="347"/>
      <c r="AC929" s="347"/>
      <c r="AD929" s="347"/>
      <c r="AE929" s="347"/>
      <c r="AF929" s="347"/>
      <c r="AG929" s="347"/>
    </row>
    <row r="930">
      <c r="A930" s="347"/>
      <c r="B930" s="347"/>
      <c r="C930" s="347"/>
      <c r="D930" s="347"/>
      <c r="E930" s="347"/>
      <c r="F930" s="347"/>
      <c r="G930" s="347"/>
      <c r="H930" s="347"/>
      <c r="I930" s="347"/>
      <c r="J930" s="347"/>
      <c r="K930" s="347"/>
      <c r="L930" s="347"/>
      <c r="M930" s="347"/>
      <c r="N930" s="347"/>
      <c r="O930" s="347"/>
      <c r="P930" s="347"/>
      <c r="Q930" s="347"/>
      <c r="R930" s="347"/>
      <c r="S930" s="347"/>
      <c r="T930" s="347"/>
      <c r="U930" s="347"/>
      <c r="V930" s="347"/>
      <c r="W930" s="347"/>
      <c r="X930" s="347"/>
      <c r="Y930" s="347"/>
      <c r="Z930" s="347"/>
      <c r="AA930" s="347"/>
      <c r="AB930" s="347"/>
      <c r="AC930" s="347"/>
      <c r="AD930" s="347"/>
      <c r="AE930" s="347"/>
      <c r="AF930" s="347"/>
      <c r="AG930" s="347"/>
    </row>
    <row r="931">
      <c r="A931" s="347"/>
      <c r="B931" s="347"/>
      <c r="C931" s="347"/>
      <c r="D931" s="347"/>
      <c r="E931" s="347"/>
      <c r="F931" s="347"/>
      <c r="G931" s="347"/>
      <c r="H931" s="347"/>
      <c r="I931" s="347"/>
      <c r="J931" s="347"/>
      <c r="K931" s="347"/>
      <c r="L931" s="347"/>
      <c r="M931" s="347"/>
      <c r="N931" s="347"/>
      <c r="O931" s="347"/>
      <c r="P931" s="347"/>
      <c r="Q931" s="347"/>
      <c r="R931" s="347"/>
      <c r="S931" s="347"/>
      <c r="T931" s="347"/>
      <c r="U931" s="347"/>
      <c r="V931" s="347"/>
      <c r="W931" s="347"/>
      <c r="X931" s="347"/>
      <c r="Y931" s="347"/>
      <c r="Z931" s="347"/>
      <c r="AA931" s="347"/>
      <c r="AB931" s="347"/>
      <c r="AC931" s="347"/>
      <c r="AD931" s="347"/>
      <c r="AE931" s="347"/>
      <c r="AF931" s="347"/>
      <c r="AG931" s="347"/>
    </row>
    <row r="932">
      <c r="A932" s="347"/>
      <c r="B932" s="347"/>
      <c r="C932" s="347"/>
      <c r="D932" s="347"/>
      <c r="E932" s="347"/>
      <c r="F932" s="347"/>
      <c r="G932" s="347"/>
      <c r="H932" s="347"/>
      <c r="I932" s="347"/>
      <c r="J932" s="347"/>
      <c r="K932" s="347"/>
      <c r="L932" s="347"/>
      <c r="M932" s="347"/>
      <c r="N932" s="347"/>
      <c r="O932" s="347"/>
      <c r="P932" s="347"/>
      <c r="Q932" s="347"/>
      <c r="R932" s="347"/>
      <c r="S932" s="347"/>
      <c r="T932" s="347"/>
      <c r="U932" s="347"/>
      <c r="V932" s="347"/>
      <c r="W932" s="347"/>
      <c r="X932" s="347"/>
      <c r="Y932" s="347"/>
      <c r="Z932" s="347"/>
      <c r="AA932" s="347"/>
      <c r="AB932" s="347"/>
      <c r="AC932" s="347"/>
      <c r="AD932" s="347"/>
      <c r="AE932" s="347"/>
      <c r="AF932" s="347"/>
      <c r="AG932" s="347"/>
    </row>
    <row r="933">
      <c r="A933" s="347"/>
      <c r="B933" s="347"/>
      <c r="C933" s="347"/>
      <c r="D933" s="347"/>
      <c r="E933" s="347"/>
      <c r="F933" s="347"/>
      <c r="G933" s="347"/>
      <c r="H933" s="347"/>
      <c r="I933" s="347"/>
      <c r="J933" s="347"/>
      <c r="K933" s="347"/>
      <c r="L933" s="347"/>
      <c r="M933" s="347"/>
      <c r="N933" s="347"/>
      <c r="O933" s="347"/>
      <c r="P933" s="347"/>
      <c r="Q933" s="347"/>
      <c r="R933" s="347"/>
      <c r="S933" s="347"/>
      <c r="T933" s="347"/>
      <c r="U933" s="347"/>
      <c r="V933" s="347"/>
      <c r="W933" s="347"/>
      <c r="X933" s="347"/>
      <c r="Y933" s="347"/>
      <c r="Z933" s="347"/>
      <c r="AA933" s="347"/>
      <c r="AB933" s="347"/>
      <c r="AC933" s="347"/>
      <c r="AD933" s="347"/>
      <c r="AE933" s="347"/>
      <c r="AF933" s="347"/>
      <c r="AG933" s="347"/>
    </row>
    <row r="934">
      <c r="A934" s="347"/>
      <c r="B934" s="347"/>
      <c r="C934" s="347"/>
      <c r="D934" s="347"/>
      <c r="E934" s="347"/>
      <c r="F934" s="347"/>
      <c r="G934" s="347"/>
      <c r="H934" s="347"/>
      <c r="I934" s="347"/>
      <c r="J934" s="347"/>
      <c r="K934" s="347"/>
      <c r="L934" s="347"/>
      <c r="M934" s="347"/>
      <c r="N934" s="347"/>
      <c r="O934" s="347"/>
      <c r="P934" s="347"/>
      <c r="Q934" s="347"/>
      <c r="R934" s="347"/>
      <c r="S934" s="347"/>
      <c r="T934" s="347"/>
      <c r="U934" s="347"/>
      <c r="V934" s="347"/>
      <c r="W934" s="347"/>
      <c r="X934" s="347"/>
      <c r="Y934" s="347"/>
      <c r="Z934" s="347"/>
      <c r="AA934" s="347"/>
      <c r="AB934" s="347"/>
      <c r="AC934" s="347"/>
      <c r="AD934" s="347"/>
      <c r="AE934" s="347"/>
      <c r="AF934" s="347"/>
      <c r="AG934" s="347"/>
    </row>
    <row r="935">
      <c r="A935" s="347"/>
      <c r="B935" s="347"/>
      <c r="C935" s="347"/>
      <c r="D935" s="347"/>
      <c r="E935" s="347"/>
      <c r="F935" s="347"/>
      <c r="G935" s="347"/>
      <c r="H935" s="347"/>
      <c r="I935" s="347"/>
      <c r="J935" s="347"/>
      <c r="K935" s="347"/>
      <c r="L935" s="347"/>
      <c r="M935" s="347"/>
      <c r="N935" s="347"/>
      <c r="O935" s="347"/>
      <c r="P935" s="347"/>
      <c r="Q935" s="347"/>
      <c r="R935" s="347"/>
      <c r="S935" s="347"/>
      <c r="T935" s="347"/>
      <c r="U935" s="347"/>
      <c r="V935" s="347"/>
      <c r="W935" s="347"/>
      <c r="X935" s="347"/>
      <c r="Y935" s="347"/>
      <c r="Z935" s="347"/>
      <c r="AA935" s="347"/>
      <c r="AB935" s="347"/>
      <c r="AC935" s="347"/>
      <c r="AD935" s="347"/>
      <c r="AE935" s="347"/>
      <c r="AF935" s="347"/>
      <c r="AG935" s="347"/>
    </row>
    <row r="936">
      <c r="A936" s="347"/>
      <c r="B936" s="347"/>
      <c r="C936" s="347"/>
      <c r="D936" s="347"/>
      <c r="E936" s="347"/>
      <c r="F936" s="347"/>
      <c r="G936" s="347"/>
      <c r="H936" s="347"/>
      <c r="I936" s="347"/>
      <c r="J936" s="347"/>
      <c r="K936" s="347"/>
      <c r="L936" s="347"/>
      <c r="M936" s="347"/>
      <c r="N936" s="347"/>
      <c r="O936" s="347"/>
      <c r="P936" s="347"/>
      <c r="Q936" s="347"/>
      <c r="R936" s="347"/>
      <c r="S936" s="347"/>
      <c r="T936" s="347"/>
      <c r="U936" s="347"/>
      <c r="V936" s="347"/>
      <c r="W936" s="347"/>
      <c r="X936" s="347"/>
      <c r="Y936" s="347"/>
      <c r="Z936" s="347"/>
      <c r="AA936" s="347"/>
      <c r="AB936" s="347"/>
      <c r="AC936" s="347"/>
      <c r="AD936" s="347"/>
      <c r="AE936" s="347"/>
      <c r="AF936" s="347"/>
      <c r="AG936" s="347"/>
    </row>
    <row r="937">
      <c r="A937" s="347"/>
      <c r="B937" s="347"/>
      <c r="C937" s="347"/>
      <c r="D937" s="347"/>
      <c r="E937" s="347"/>
      <c r="F937" s="347"/>
      <c r="G937" s="347"/>
      <c r="H937" s="347"/>
      <c r="I937" s="347"/>
      <c r="J937" s="347"/>
      <c r="K937" s="347"/>
      <c r="L937" s="347"/>
      <c r="M937" s="347"/>
      <c r="N937" s="347"/>
      <c r="O937" s="347"/>
      <c r="P937" s="347"/>
      <c r="Q937" s="347"/>
      <c r="R937" s="347"/>
      <c r="S937" s="347"/>
      <c r="T937" s="347"/>
      <c r="U937" s="347"/>
      <c r="V937" s="347"/>
      <c r="W937" s="347"/>
      <c r="X937" s="347"/>
      <c r="Y937" s="347"/>
      <c r="Z937" s="347"/>
      <c r="AA937" s="347"/>
      <c r="AB937" s="347"/>
      <c r="AC937" s="347"/>
      <c r="AD937" s="347"/>
      <c r="AE937" s="347"/>
      <c r="AF937" s="347"/>
      <c r="AG937" s="347"/>
    </row>
    <row r="938">
      <c r="A938" s="347"/>
      <c r="B938" s="347"/>
      <c r="C938" s="347"/>
      <c r="D938" s="347"/>
      <c r="E938" s="347"/>
      <c r="F938" s="347"/>
      <c r="G938" s="347"/>
      <c r="H938" s="347"/>
      <c r="I938" s="347"/>
      <c r="J938" s="347"/>
      <c r="K938" s="347"/>
      <c r="L938" s="347"/>
      <c r="M938" s="347"/>
      <c r="N938" s="347"/>
      <c r="O938" s="347"/>
      <c r="P938" s="347"/>
      <c r="Q938" s="347"/>
      <c r="R938" s="347"/>
      <c r="S938" s="347"/>
      <c r="T938" s="347"/>
      <c r="U938" s="347"/>
      <c r="V938" s="347"/>
      <c r="W938" s="347"/>
      <c r="X938" s="347"/>
      <c r="Y938" s="347"/>
      <c r="Z938" s="347"/>
      <c r="AA938" s="347"/>
      <c r="AB938" s="347"/>
      <c r="AC938" s="347"/>
      <c r="AD938" s="347"/>
      <c r="AE938" s="347"/>
      <c r="AF938" s="347"/>
      <c r="AG938" s="347"/>
    </row>
    <row r="939">
      <c r="A939" s="347"/>
      <c r="B939" s="347"/>
      <c r="C939" s="347"/>
      <c r="D939" s="347"/>
      <c r="E939" s="347"/>
      <c r="F939" s="347"/>
      <c r="G939" s="347"/>
      <c r="H939" s="347"/>
      <c r="I939" s="347"/>
      <c r="J939" s="347"/>
      <c r="K939" s="347"/>
      <c r="L939" s="347"/>
      <c r="M939" s="347"/>
      <c r="N939" s="347"/>
      <c r="O939" s="347"/>
      <c r="P939" s="347"/>
      <c r="Q939" s="347"/>
      <c r="R939" s="347"/>
      <c r="S939" s="347"/>
      <c r="T939" s="347"/>
      <c r="U939" s="347"/>
      <c r="V939" s="347"/>
      <c r="W939" s="347"/>
      <c r="X939" s="347"/>
      <c r="Y939" s="347"/>
      <c r="Z939" s="347"/>
      <c r="AA939" s="347"/>
      <c r="AB939" s="347"/>
      <c r="AC939" s="347"/>
      <c r="AD939" s="347"/>
      <c r="AE939" s="347"/>
      <c r="AF939" s="347"/>
      <c r="AG939" s="347"/>
    </row>
    <row r="940">
      <c r="A940" s="347"/>
      <c r="B940" s="347"/>
      <c r="C940" s="347"/>
      <c r="D940" s="347"/>
      <c r="E940" s="347"/>
      <c r="F940" s="347"/>
      <c r="G940" s="347"/>
      <c r="H940" s="347"/>
      <c r="I940" s="347"/>
      <c r="J940" s="347"/>
      <c r="K940" s="347"/>
      <c r="L940" s="347"/>
      <c r="M940" s="347"/>
      <c r="N940" s="347"/>
      <c r="O940" s="347"/>
      <c r="P940" s="347"/>
      <c r="Q940" s="347"/>
      <c r="R940" s="347"/>
      <c r="S940" s="347"/>
      <c r="T940" s="347"/>
      <c r="U940" s="347"/>
      <c r="V940" s="347"/>
      <c r="W940" s="347"/>
      <c r="X940" s="347"/>
      <c r="Y940" s="347"/>
      <c r="Z940" s="347"/>
      <c r="AA940" s="347"/>
      <c r="AB940" s="347"/>
      <c r="AC940" s="347"/>
      <c r="AD940" s="347"/>
      <c r="AE940" s="347"/>
      <c r="AF940" s="347"/>
      <c r="AG940" s="347"/>
    </row>
    <row r="941">
      <c r="A941" s="347"/>
      <c r="B941" s="347"/>
      <c r="C941" s="347"/>
      <c r="D941" s="347"/>
      <c r="E941" s="347"/>
      <c r="F941" s="347"/>
      <c r="G941" s="347"/>
      <c r="H941" s="347"/>
      <c r="I941" s="347"/>
      <c r="J941" s="347"/>
      <c r="K941" s="347"/>
      <c r="L941" s="347"/>
      <c r="M941" s="347"/>
      <c r="N941" s="347"/>
      <c r="O941" s="347"/>
      <c r="P941" s="347"/>
      <c r="Q941" s="347"/>
      <c r="R941" s="347"/>
      <c r="S941" s="347"/>
      <c r="T941" s="347"/>
      <c r="U941" s="347"/>
      <c r="V941" s="347"/>
      <c r="W941" s="347"/>
      <c r="X941" s="347"/>
      <c r="Y941" s="347"/>
      <c r="Z941" s="347"/>
      <c r="AA941" s="347"/>
      <c r="AB941" s="347"/>
      <c r="AC941" s="347"/>
      <c r="AD941" s="347"/>
      <c r="AE941" s="347"/>
      <c r="AF941" s="347"/>
      <c r="AG941" s="347"/>
    </row>
    <row r="942">
      <c r="A942" s="347"/>
      <c r="B942" s="347"/>
      <c r="C942" s="347"/>
      <c r="D942" s="347"/>
      <c r="E942" s="347"/>
      <c r="F942" s="347"/>
      <c r="G942" s="347"/>
      <c r="H942" s="347"/>
      <c r="I942" s="347"/>
      <c r="J942" s="347"/>
      <c r="K942" s="347"/>
      <c r="L942" s="347"/>
      <c r="M942" s="347"/>
      <c r="N942" s="347"/>
      <c r="O942" s="347"/>
      <c r="P942" s="347"/>
      <c r="Q942" s="347"/>
      <c r="R942" s="347"/>
      <c r="S942" s="347"/>
      <c r="T942" s="347"/>
      <c r="U942" s="347"/>
      <c r="V942" s="347"/>
      <c r="W942" s="347"/>
      <c r="X942" s="347"/>
      <c r="Y942" s="347"/>
      <c r="Z942" s="347"/>
      <c r="AA942" s="347"/>
      <c r="AB942" s="347"/>
      <c r="AC942" s="347"/>
      <c r="AD942" s="347"/>
      <c r="AE942" s="347"/>
      <c r="AF942" s="347"/>
      <c r="AG942" s="347"/>
    </row>
    <row r="943">
      <c r="A943" s="347"/>
      <c r="B943" s="347"/>
      <c r="C943" s="347"/>
      <c r="D943" s="347"/>
      <c r="E943" s="347"/>
      <c r="F943" s="347"/>
      <c r="G943" s="347"/>
      <c r="H943" s="347"/>
      <c r="I943" s="347"/>
      <c r="J943" s="347"/>
      <c r="K943" s="347"/>
      <c r="L943" s="347"/>
      <c r="M943" s="347"/>
      <c r="N943" s="347"/>
      <c r="O943" s="347"/>
      <c r="P943" s="347"/>
      <c r="Q943" s="347"/>
      <c r="R943" s="347"/>
      <c r="S943" s="347"/>
      <c r="T943" s="347"/>
      <c r="U943" s="347"/>
      <c r="V943" s="347"/>
      <c r="W943" s="347"/>
      <c r="X943" s="347"/>
      <c r="Y943" s="347"/>
      <c r="Z943" s="347"/>
      <c r="AA943" s="347"/>
      <c r="AB943" s="347"/>
      <c r="AC943" s="347"/>
      <c r="AD943" s="347"/>
      <c r="AE943" s="347"/>
      <c r="AF943" s="347"/>
      <c r="AG943" s="347"/>
    </row>
    <row r="944">
      <c r="A944" s="347"/>
      <c r="B944" s="347"/>
      <c r="C944" s="347"/>
      <c r="D944" s="347"/>
      <c r="E944" s="347"/>
      <c r="F944" s="347"/>
      <c r="G944" s="347"/>
      <c r="H944" s="347"/>
      <c r="I944" s="347"/>
      <c r="J944" s="347"/>
      <c r="K944" s="347"/>
      <c r="L944" s="347"/>
      <c r="M944" s="347"/>
      <c r="N944" s="347"/>
      <c r="O944" s="347"/>
      <c r="P944" s="347"/>
      <c r="Q944" s="347"/>
      <c r="R944" s="347"/>
      <c r="S944" s="347"/>
      <c r="T944" s="347"/>
      <c r="U944" s="347"/>
      <c r="V944" s="347"/>
      <c r="W944" s="347"/>
      <c r="X944" s="347"/>
      <c r="Y944" s="347"/>
      <c r="Z944" s="347"/>
      <c r="AA944" s="347"/>
      <c r="AB944" s="347"/>
      <c r="AC944" s="347"/>
      <c r="AD944" s="347"/>
      <c r="AE944" s="347"/>
      <c r="AF944" s="347"/>
      <c r="AG944" s="347"/>
    </row>
    <row r="945">
      <c r="A945" s="347"/>
      <c r="B945" s="347"/>
      <c r="C945" s="347"/>
      <c r="D945" s="347"/>
      <c r="E945" s="347"/>
      <c r="F945" s="347"/>
      <c r="G945" s="347"/>
      <c r="H945" s="347"/>
      <c r="I945" s="347"/>
      <c r="J945" s="347"/>
      <c r="K945" s="347"/>
      <c r="L945" s="347"/>
      <c r="M945" s="347"/>
      <c r="N945" s="347"/>
      <c r="O945" s="347"/>
      <c r="P945" s="347"/>
      <c r="Q945" s="347"/>
      <c r="R945" s="347"/>
      <c r="S945" s="347"/>
      <c r="T945" s="347"/>
      <c r="U945" s="347"/>
      <c r="V945" s="347"/>
      <c r="W945" s="347"/>
      <c r="X945" s="347"/>
      <c r="Y945" s="347"/>
      <c r="Z945" s="347"/>
      <c r="AA945" s="347"/>
      <c r="AB945" s="347"/>
      <c r="AC945" s="347"/>
      <c r="AD945" s="347"/>
      <c r="AE945" s="347"/>
      <c r="AF945" s="347"/>
      <c r="AG945" s="347"/>
    </row>
    <row r="946">
      <c r="A946" s="347"/>
      <c r="B946" s="347"/>
      <c r="C946" s="347"/>
      <c r="D946" s="347"/>
      <c r="E946" s="347"/>
      <c r="F946" s="347"/>
      <c r="G946" s="347"/>
      <c r="H946" s="347"/>
      <c r="I946" s="347"/>
      <c r="J946" s="347"/>
      <c r="K946" s="347"/>
      <c r="L946" s="347"/>
      <c r="M946" s="347"/>
      <c r="N946" s="347"/>
      <c r="O946" s="347"/>
      <c r="P946" s="347"/>
      <c r="Q946" s="347"/>
      <c r="R946" s="347"/>
      <c r="S946" s="347"/>
      <c r="T946" s="347"/>
      <c r="U946" s="347"/>
      <c r="V946" s="347"/>
      <c r="W946" s="347"/>
      <c r="X946" s="347"/>
      <c r="Y946" s="347"/>
      <c r="Z946" s="347"/>
      <c r="AA946" s="347"/>
      <c r="AB946" s="347"/>
      <c r="AC946" s="347"/>
      <c r="AD946" s="347"/>
      <c r="AE946" s="347"/>
      <c r="AF946" s="347"/>
      <c r="AG946" s="347"/>
    </row>
    <row r="947">
      <c r="A947" s="347"/>
      <c r="B947" s="347"/>
      <c r="C947" s="347"/>
      <c r="D947" s="347"/>
      <c r="E947" s="347"/>
      <c r="F947" s="347"/>
      <c r="G947" s="347"/>
      <c r="H947" s="347"/>
      <c r="I947" s="347"/>
      <c r="J947" s="347"/>
      <c r="K947" s="347"/>
      <c r="L947" s="347"/>
      <c r="M947" s="347"/>
      <c r="N947" s="347"/>
      <c r="O947" s="347"/>
      <c r="P947" s="347"/>
      <c r="Q947" s="347"/>
      <c r="R947" s="347"/>
      <c r="S947" s="347"/>
      <c r="T947" s="347"/>
      <c r="U947" s="347"/>
      <c r="V947" s="347"/>
      <c r="W947" s="347"/>
      <c r="X947" s="347"/>
      <c r="Y947" s="347"/>
      <c r="Z947" s="347"/>
      <c r="AA947" s="347"/>
      <c r="AB947" s="347"/>
      <c r="AC947" s="347"/>
      <c r="AD947" s="347"/>
      <c r="AE947" s="347"/>
      <c r="AF947" s="347"/>
      <c r="AG947" s="347"/>
    </row>
    <row r="948">
      <c r="A948" s="347"/>
      <c r="B948" s="347"/>
      <c r="C948" s="347"/>
      <c r="D948" s="347"/>
      <c r="E948" s="347"/>
      <c r="F948" s="347"/>
      <c r="G948" s="347"/>
      <c r="H948" s="347"/>
      <c r="I948" s="347"/>
      <c r="J948" s="347"/>
      <c r="K948" s="347"/>
      <c r="L948" s="347"/>
      <c r="M948" s="347"/>
      <c r="N948" s="347"/>
      <c r="O948" s="347"/>
      <c r="P948" s="347"/>
      <c r="Q948" s="347"/>
      <c r="R948" s="347"/>
      <c r="S948" s="347"/>
      <c r="T948" s="347"/>
      <c r="U948" s="347"/>
      <c r="V948" s="347"/>
      <c r="W948" s="347"/>
      <c r="X948" s="347"/>
      <c r="Y948" s="347"/>
      <c r="Z948" s="347"/>
      <c r="AA948" s="347"/>
      <c r="AB948" s="347"/>
      <c r="AC948" s="347"/>
      <c r="AD948" s="347"/>
      <c r="AE948" s="347"/>
      <c r="AF948" s="347"/>
      <c r="AG948" s="347"/>
    </row>
    <row r="949">
      <c r="A949" s="347"/>
      <c r="B949" s="347"/>
      <c r="C949" s="347"/>
      <c r="D949" s="347"/>
      <c r="E949" s="347"/>
      <c r="F949" s="347"/>
      <c r="G949" s="347"/>
      <c r="H949" s="347"/>
      <c r="I949" s="347"/>
      <c r="J949" s="347"/>
      <c r="K949" s="347"/>
      <c r="L949" s="347"/>
      <c r="M949" s="347"/>
      <c r="N949" s="347"/>
      <c r="O949" s="347"/>
      <c r="P949" s="347"/>
      <c r="Q949" s="347"/>
      <c r="R949" s="347"/>
      <c r="S949" s="347"/>
      <c r="T949" s="347"/>
      <c r="U949" s="347"/>
      <c r="V949" s="347"/>
      <c r="W949" s="347"/>
      <c r="X949" s="347"/>
      <c r="Y949" s="347"/>
      <c r="Z949" s="347"/>
      <c r="AA949" s="347"/>
      <c r="AB949" s="347"/>
      <c r="AC949" s="347"/>
      <c r="AD949" s="347"/>
      <c r="AE949" s="347"/>
      <c r="AF949" s="347"/>
      <c r="AG949" s="347"/>
    </row>
    <row r="950">
      <c r="A950" s="347"/>
      <c r="B950" s="347"/>
      <c r="C950" s="347"/>
      <c r="D950" s="347"/>
      <c r="E950" s="347"/>
      <c r="F950" s="347"/>
      <c r="G950" s="347"/>
      <c r="H950" s="347"/>
      <c r="I950" s="347"/>
      <c r="J950" s="347"/>
      <c r="K950" s="347"/>
      <c r="L950" s="347"/>
      <c r="M950" s="347"/>
      <c r="N950" s="347"/>
      <c r="O950" s="347"/>
      <c r="P950" s="347"/>
      <c r="Q950" s="347"/>
      <c r="R950" s="347"/>
      <c r="S950" s="347"/>
      <c r="T950" s="347"/>
      <c r="U950" s="347"/>
      <c r="V950" s="347"/>
      <c r="W950" s="347"/>
      <c r="X950" s="347"/>
      <c r="Y950" s="347"/>
      <c r="Z950" s="347"/>
      <c r="AA950" s="347"/>
      <c r="AB950" s="347"/>
      <c r="AC950" s="347"/>
      <c r="AD950" s="347"/>
      <c r="AE950" s="347"/>
      <c r="AF950" s="347"/>
      <c r="AG950" s="347"/>
    </row>
    <row r="951">
      <c r="A951" s="347"/>
      <c r="B951" s="347"/>
      <c r="C951" s="347"/>
      <c r="D951" s="347"/>
      <c r="E951" s="347"/>
      <c r="F951" s="347"/>
      <c r="G951" s="347"/>
      <c r="H951" s="347"/>
      <c r="I951" s="347"/>
      <c r="J951" s="347"/>
      <c r="K951" s="347"/>
      <c r="L951" s="347"/>
      <c r="M951" s="347"/>
      <c r="N951" s="347"/>
      <c r="O951" s="347"/>
      <c r="P951" s="347"/>
      <c r="Q951" s="347"/>
      <c r="R951" s="347"/>
      <c r="S951" s="347"/>
      <c r="T951" s="347"/>
      <c r="U951" s="347"/>
      <c r="V951" s="347"/>
      <c r="W951" s="347"/>
      <c r="X951" s="347"/>
      <c r="Y951" s="347"/>
      <c r="Z951" s="347"/>
      <c r="AA951" s="347"/>
      <c r="AB951" s="347"/>
      <c r="AC951" s="347"/>
      <c r="AD951" s="347"/>
      <c r="AE951" s="347"/>
      <c r="AF951" s="347"/>
      <c r="AG951" s="347"/>
    </row>
    <row r="952">
      <c r="A952" s="347"/>
      <c r="B952" s="347"/>
      <c r="C952" s="347"/>
      <c r="D952" s="347"/>
      <c r="E952" s="347"/>
      <c r="F952" s="347"/>
      <c r="G952" s="347"/>
      <c r="H952" s="347"/>
      <c r="I952" s="347"/>
      <c r="J952" s="347"/>
      <c r="K952" s="347"/>
      <c r="L952" s="347"/>
      <c r="M952" s="347"/>
      <c r="N952" s="347"/>
      <c r="O952" s="347"/>
      <c r="P952" s="347"/>
      <c r="Q952" s="347"/>
      <c r="R952" s="347"/>
      <c r="S952" s="347"/>
      <c r="T952" s="347"/>
      <c r="U952" s="347"/>
      <c r="V952" s="347"/>
      <c r="W952" s="347"/>
      <c r="X952" s="347"/>
      <c r="Y952" s="347"/>
      <c r="Z952" s="347"/>
      <c r="AA952" s="347"/>
      <c r="AB952" s="347"/>
      <c r="AC952" s="347"/>
      <c r="AD952" s="347"/>
      <c r="AE952" s="347"/>
      <c r="AF952" s="347"/>
      <c r="AG952" s="347"/>
    </row>
    <row r="953">
      <c r="A953" s="347"/>
      <c r="B953" s="347"/>
      <c r="C953" s="347"/>
      <c r="D953" s="347"/>
      <c r="E953" s="347"/>
      <c r="F953" s="347"/>
      <c r="G953" s="347"/>
      <c r="H953" s="347"/>
      <c r="I953" s="347"/>
      <c r="J953" s="347"/>
      <c r="K953" s="347"/>
      <c r="L953" s="347"/>
      <c r="M953" s="347"/>
      <c r="N953" s="347"/>
      <c r="O953" s="347"/>
      <c r="P953" s="347"/>
      <c r="Q953" s="347"/>
      <c r="R953" s="347"/>
      <c r="S953" s="347"/>
      <c r="T953" s="347"/>
      <c r="U953" s="347"/>
      <c r="V953" s="347"/>
      <c r="W953" s="347"/>
      <c r="X953" s="347"/>
      <c r="Y953" s="347"/>
      <c r="Z953" s="347"/>
      <c r="AA953" s="347"/>
      <c r="AB953" s="347"/>
      <c r="AC953" s="347"/>
      <c r="AD953" s="347"/>
      <c r="AE953" s="347"/>
      <c r="AF953" s="347"/>
      <c r="AG953" s="347"/>
    </row>
    <row r="954">
      <c r="A954" s="347"/>
      <c r="B954" s="347"/>
      <c r="C954" s="347"/>
      <c r="D954" s="347"/>
      <c r="E954" s="347"/>
      <c r="F954" s="347"/>
      <c r="G954" s="347"/>
      <c r="H954" s="347"/>
      <c r="I954" s="347"/>
      <c r="J954" s="347"/>
      <c r="K954" s="347"/>
      <c r="L954" s="347"/>
      <c r="M954" s="347"/>
      <c r="N954" s="347"/>
      <c r="O954" s="347"/>
      <c r="P954" s="347"/>
      <c r="Q954" s="347"/>
      <c r="R954" s="347"/>
      <c r="S954" s="347"/>
      <c r="T954" s="347"/>
      <c r="U954" s="347"/>
      <c r="V954" s="347"/>
      <c r="W954" s="347"/>
      <c r="X954" s="347"/>
      <c r="Y954" s="347"/>
      <c r="Z954" s="347"/>
      <c r="AA954" s="347"/>
      <c r="AB954" s="347"/>
      <c r="AC954" s="347"/>
      <c r="AD954" s="347"/>
      <c r="AE954" s="347"/>
      <c r="AF954" s="347"/>
      <c r="AG954" s="347"/>
    </row>
    <row r="955">
      <c r="A955" s="347"/>
      <c r="B955" s="347"/>
      <c r="C955" s="347"/>
      <c r="D955" s="347"/>
      <c r="E955" s="347"/>
      <c r="F955" s="347"/>
      <c r="G955" s="347"/>
      <c r="H955" s="347"/>
      <c r="I955" s="347"/>
      <c r="J955" s="347"/>
      <c r="K955" s="347"/>
      <c r="L955" s="347"/>
      <c r="M955" s="347"/>
      <c r="N955" s="347"/>
      <c r="O955" s="347"/>
      <c r="P955" s="347"/>
      <c r="Q955" s="347"/>
      <c r="R955" s="347"/>
      <c r="S955" s="347"/>
      <c r="T955" s="347"/>
      <c r="U955" s="347"/>
      <c r="V955" s="347"/>
      <c r="W955" s="347"/>
      <c r="X955" s="347"/>
      <c r="Y955" s="347"/>
      <c r="Z955" s="347"/>
      <c r="AA955" s="347"/>
      <c r="AB955" s="347"/>
      <c r="AC955" s="347"/>
      <c r="AD955" s="347"/>
      <c r="AE955" s="347"/>
      <c r="AF955" s="347"/>
      <c r="AG955" s="347"/>
    </row>
    <row r="956">
      <c r="A956" s="347"/>
      <c r="B956" s="347"/>
      <c r="C956" s="347"/>
      <c r="D956" s="347"/>
      <c r="E956" s="347"/>
      <c r="F956" s="347"/>
      <c r="G956" s="347"/>
      <c r="H956" s="347"/>
      <c r="I956" s="347"/>
      <c r="J956" s="347"/>
      <c r="K956" s="347"/>
      <c r="L956" s="347"/>
      <c r="M956" s="347"/>
      <c r="N956" s="347"/>
      <c r="O956" s="347"/>
      <c r="P956" s="347"/>
      <c r="Q956" s="347"/>
      <c r="R956" s="347"/>
      <c r="S956" s="347"/>
      <c r="T956" s="347"/>
      <c r="U956" s="347"/>
      <c r="V956" s="347"/>
      <c r="W956" s="347"/>
      <c r="X956" s="347"/>
      <c r="Y956" s="347"/>
      <c r="Z956" s="347"/>
      <c r="AA956" s="347"/>
      <c r="AB956" s="347"/>
      <c r="AC956" s="347"/>
      <c r="AD956" s="347"/>
      <c r="AE956" s="347"/>
      <c r="AF956" s="347"/>
      <c r="AG956" s="347"/>
    </row>
    <row r="957">
      <c r="A957" s="347"/>
      <c r="B957" s="347"/>
      <c r="C957" s="347"/>
      <c r="D957" s="347"/>
      <c r="E957" s="347"/>
      <c r="F957" s="347"/>
      <c r="G957" s="347"/>
      <c r="H957" s="347"/>
      <c r="I957" s="347"/>
      <c r="J957" s="347"/>
      <c r="K957" s="347"/>
      <c r="L957" s="347"/>
      <c r="M957" s="347"/>
      <c r="N957" s="347"/>
      <c r="O957" s="347"/>
      <c r="P957" s="347"/>
      <c r="Q957" s="347"/>
      <c r="R957" s="347"/>
      <c r="S957" s="347"/>
      <c r="T957" s="347"/>
      <c r="U957" s="347"/>
      <c r="V957" s="347"/>
      <c r="W957" s="347"/>
      <c r="X957" s="347"/>
      <c r="Y957" s="347"/>
      <c r="Z957" s="347"/>
      <c r="AA957" s="347"/>
      <c r="AB957" s="347"/>
      <c r="AC957" s="347"/>
      <c r="AD957" s="347"/>
      <c r="AE957" s="347"/>
      <c r="AF957" s="347"/>
      <c r="AG957" s="347"/>
    </row>
    <row r="958">
      <c r="A958" s="347"/>
      <c r="B958" s="347"/>
      <c r="C958" s="347"/>
      <c r="D958" s="347"/>
      <c r="E958" s="347"/>
      <c r="F958" s="347"/>
      <c r="G958" s="347"/>
      <c r="H958" s="347"/>
      <c r="I958" s="347"/>
      <c r="J958" s="347"/>
      <c r="K958" s="347"/>
      <c r="L958" s="347"/>
      <c r="M958" s="347"/>
      <c r="N958" s="347"/>
      <c r="O958" s="347"/>
      <c r="P958" s="347"/>
      <c r="Q958" s="347"/>
      <c r="R958" s="347"/>
      <c r="S958" s="347"/>
      <c r="T958" s="347"/>
      <c r="U958" s="347"/>
      <c r="V958" s="347"/>
      <c r="W958" s="347"/>
      <c r="X958" s="347"/>
      <c r="Y958" s="347"/>
      <c r="Z958" s="347"/>
      <c r="AA958" s="347"/>
      <c r="AB958" s="347"/>
      <c r="AC958" s="347"/>
      <c r="AD958" s="347"/>
      <c r="AE958" s="347"/>
      <c r="AF958" s="347"/>
      <c r="AG958" s="347"/>
    </row>
    <row r="959">
      <c r="A959" s="347"/>
      <c r="B959" s="347"/>
      <c r="C959" s="347"/>
      <c r="D959" s="347"/>
      <c r="E959" s="347"/>
      <c r="F959" s="347"/>
      <c r="G959" s="347"/>
      <c r="H959" s="347"/>
      <c r="I959" s="347"/>
      <c r="J959" s="347"/>
      <c r="K959" s="347"/>
      <c r="L959" s="347"/>
      <c r="M959" s="347"/>
      <c r="N959" s="347"/>
      <c r="O959" s="347"/>
      <c r="P959" s="347"/>
      <c r="Q959" s="347"/>
      <c r="R959" s="347"/>
      <c r="S959" s="347"/>
      <c r="T959" s="347"/>
      <c r="U959" s="347"/>
      <c r="V959" s="347"/>
      <c r="W959" s="347"/>
      <c r="X959" s="347"/>
      <c r="Y959" s="347"/>
      <c r="Z959" s="347"/>
      <c r="AA959" s="347"/>
      <c r="AB959" s="347"/>
      <c r="AC959" s="347"/>
      <c r="AD959" s="347"/>
      <c r="AE959" s="347"/>
      <c r="AF959" s="347"/>
      <c r="AG959" s="347"/>
    </row>
    <row r="960">
      <c r="A960" s="347"/>
      <c r="B960" s="347"/>
      <c r="C960" s="347"/>
      <c r="D960" s="347"/>
      <c r="E960" s="347"/>
      <c r="F960" s="347"/>
      <c r="G960" s="347"/>
      <c r="H960" s="347"/>
      <c r="I960" s="347"/>
      <c r="J960" s="347"/>
      <c r="K960" s="347"/>
      <c r="L960" s="347"/>
      <c r="M960" s="347"/>
      <c r="N960" s="347"/>
      <c r="O960" s="347"/>
      <c r="P960" s="347"/>
      <c r="Q960" s="347"/>
      <c r="R960" s="347"/>
      <c r="S960" s="347"/>
      <c r="T960" s="347"/>
      <c r="U960" s="347"/>
      <c r="V960" s="347"/>
      <c r="W960" s="347"/>
      <c r="X960" s="347"/>
      <c r="Y960" s="347"/>
      <c r="Z960" s="347"/>
      <c r="AA960" s="347"/>
      <c r="AB960" s="347"/>
      <c r="AC960" s="347"/>
      <c r="AD960" s="347"/>
      <c r="AE960" s="347"/>
      <c r="AF960" s="347"/>
      <c r="AG960" s="347"/>
    </row>
    <row r="961">
      <c r="A961" s="347"/>
      <c r="B961" s="347"/>
      <c r="C961" s="347"/>
      <c r="D961" s="347"/>
      <c r="E961" s="347"/>
      <c r="F961" s="347"/>
      <c r="G961" s="347"/>
      <c r="H961" s="347"/>
      <c r="I961" s="347"/>
      <c r="J961" s="347"/>
      <c r="K961" s="347"/>
      <c r="L961" s="347"/>
      <c r="M961" s="347"/>
      <c r="N961" s="347"/>
      <c r="O961" s="347"/>
      <c r="P961" s="347"/>
      <c r="Q961" s="347"/>
      <c r="R961" s="347"/>
      <c r="S961" s="347"/>
      <c r="T961" s="347"/>
      <c r="U961" s="347"/>
      <c r="V961" s="347"/>
      <c r="W961" s="347"/>
      <c r="X961" s="347"/>
      <c r="Y961" s="347"/>
      <c r="Z961" s="347"/>
      <c r="AA961" s="347"/>
      <c r="AB961" s="347"/>
      <c r="AC961" s="347"/>
      <c r="AD961" s="347"/>
      <c r="AE961" s="347"/>
      <c r="AF961" s="347"/>
      <c r="AG961" s="347"/>
    </row>
    <row r="962">
      <c r="A962" s="347"/>
      <c r="B962" s="347"/>
      <c r="C962" s="347"/>
      <c r="D962" s="347"/>
      <c r="E962" s="347"/>
      <c r="F962" s="347"/>
      <c r="G962" s="347"/>
      <c r="H962" s="347"/>
      <c r="I962" s="347"/>
      <c r="J962" s="347"/>
      <c r="K962" s="347"/>
      <c r="L962" s="347"/>
      <c r="M962" s="347"/>
      <c r="N962" s="347"/>
      <c r="O962" s="347"/>
      <c r="P962" s="347"/>
      <c r="Q962" s="347"/>
      <c r="R962" s="347"/>
      <c r="S962" s="347"/>
      <c r="T962" s="347"/>
      <c r="U962" s="347"/>
      <c r="V962" s="347"/>
      <c r="W962" s="347"/>
      <c r="X962" s="347"/>
      <c r="Y962" s="347"/>
      <c r="Z962" s="347"/>
      <c r="AA962" s="347"/>
      <c r="AB962" s="347"/>
      <c r="AC962" s="347"/>
      <c r="AD962" s="347"/>
      <c r="AE962" s="347"/>
      <c r="AF962" s="347"/>
      <c r="AG962" s="347"/>
    </row>
    <row r="963">
      <c r="A963" s="347"/>
      <c r="B963" s="347"/>
      <c r="C963" s="347"/>
      <c r="D963" s="347"/>
      <c r="E963" s="347"/>
      <c r="F963" s="347"/>
      <c r="G963" s="347"/>
      <c r="H963" s="347"/>
      <c r="I963" s="347"/>
      <c r="J963" s="347"/>
      <c r="K963" s="347"/>
      <c r="L963" s="347"/>
      <c r="M963" s="347"/>
      <c r="N963" s="347"/>
      <c r="O963" s="347"/>
      <c r="P963" s="347"/>
      <c r="Q963" s="347"/>
      <c r="R963" s="347"/>
      <c r="S963" s="347"/>
      <c r="T963" s="347"/>
      <c r="U963" s="347"/>
      <c r="V963" s="347"/>
      <c r="W963" s="347"/>
      <c r="X963" s="347"/>
      <c r="Y963" s="347"/>
      <c r="Z963" s="347"/>
      <c r="AA963" s="347"/>
      <c r="AB963" s="347"/>
      <c r="AC963" s="347"/>
      <c r="AD963" s="347"/>
      <c r="AE963" s="347"/>
      <c r="AF963" s="347"/>
      <c r="AG963" s="347"/>
    </row>
    <row r="964">
      <c r="A964" s="347"/>
      <c r="B964" s="347"/>
      <c r="C964" s="347"/>
      <c r="D964" s="347"/>
      <c r="E964" s="347"/>
      <c r="F964" s="347"/>
      <c r="G964" s="347"/>
      <c r="H964" s="347"/>
      <c r="I964" s="347"/>
      <c r="J964" s="347"/>
      <c r="K964" s="347"/>
      <c r="L964" s="347"/>
      <c r="M964" s="347"/>
      <c r="N964" s="347"/>
      <c r="O964" s="347"/>
      <c r="P964" s="347"/>
      <c r="Q964" s="347"/>
      <c r="R964" s="347"/>
      <c r="S964" s="347"/>
      <c r="T964" s="347"/>
      <c r="U964" s="347"/>
      <c r="V964" s="347"/>
      <c r="W964" s="347"/>
      <c r="X964" s="347"/>
      <c r="Y964" s="347"/>
      <c r="Z964" s="347"/>
      <c r="AA964" s="347"/>
      <c r="AB964" s="347"/>
      <c r="AC964" s="347"/>
      <c r="AD964" s="347"/>
      <c r="AE964" s="347"/>
      <c r="AF964" s="347"/>
      <c r="AG964" s="347"/>
    </row>
    <row r="965">
      <c r="A965" s="347"/>
      <c r="B965" s="347"/>
      <c r="C965" s="347"/>
      <c r="D965" s="347"/>
      <c r="E965" s="347"/>
      <c r="F965" s="347"/>
      <c r="G965" s="347"/>
      <c r="H965" s="347"/>
      <c r="I965" s="347"/>
      <c r="J965" s="347"/>
      <c r="K965" s="347"/>
      <c r="L965" s="347"/>
      <c r="M965" s="347"/>
      <c r="N965" s="347"/>
      <c r="O965" s="347"/>
      <c r="P965" s="347"/>
      <c r="Q965" s="347"/>
      <c r="R965" s="347"/>
      <c r="S965" s="347"/>
      <c r="T965" s="347"/>
      <c r="U965" s="347"/>
      <c r="V965" s="347"/>
      <c r="W965" s="347"/>
      <c r="X965" s="347"/>
      <c r="Y965" s="347"/>
      <c r="Z965" s="347"/>
      <c r="AA965" s="347"/>
      <c r="AB965" s="347"/>
      <c r="AC965" s="347"/>
      <c r="AD965" s="347"/>
      <c r="AE965" s="347"/>
      <c r="AF965" s="347"/>
      <c r="AG965" s="347"/>
    </row>
    <row r="966">
      <c r="A966" s="347"/>
      <c r="B966" s="347"/>
      <c r="C966" s="347"/>
      <c r="D966" s="347"/>
      <c r="E966" s="347"/>
      <c r="F966" s="347"/>
      <c r="G966" s="347"/>
      <c r="H966" s="347"/>
      <c r="I966" s="347"/>
      <c r="J966" s="347"/>
      <c r="K966" s="347"/>
      <c r="L966" s="347"/>
      <c r="M966" s="347"/>
      <c r="N966" s="347"/>
      <c r="O966" s="347"/>
      <c r="P966" s="347"/>
      <c r="Q966" s="347"/>
      <c r="R966" s="347"/>
      <c r="S966" s="347"/>
      <c r="T966" s="347"/>
      <c r="U966" s="347"/>
      <c r="V966" s="347"/>
      <c r="W966" s="347"/>
      <c r="X966" s="347"/>
      <c r="Y966" s="347"/>
      <c r="Z966" s="347"/>
      <c r="AA966" s="347"/>
      <c r="AB966" s="347"/>
      <c r="AC966" s="347"/>
      <c r="AD966" s="347"/>
      <c r="AE966" s="347"/>
      <c r="AF966" s="347"/>
      <c r="AG966" s="347"/>
    </row>
    <row r="967">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c r="X967" s="347"/>
      <c r="Y967" s="347"/>
      <c r="Z967" s="347"/>
      <c r="AA967" s="347"/>
      <c r="AB967" s="347"/>
      <c r="AC967" s="347"/>
      <c r="AD967" s="347"/>
      <c r="AE967" s="347"/>
      <c r="AF967" s="347"/>
      <c r="AG967" s="347"/>
    </row>
    <row r="968">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c r="X968" s="347"/>
      <c r="Y968" s="347"/>
      <c r="Z968" s="347"/>
      <c r="AA968" s="347"/>
      <c r="AB968" s="347"/>
      <c r="AC968" s="347"/>
      <c r="AD968" s="347"/>
      <c r="AE968" s="347"/>
      <c r="AF968" s="347"/>
      <c r="AG968" s="347"/>
    </row>
    <row r="969">
      <c r="A969" s="347"/>
      <c r="B969" s="347"/>
      <c r="C969" s="347"/>
      <c r="D969" s="347"/>
      <c r="E969" s="347"/>
      <c r="F969" s="347"/>
      <c r="G969" s="347"/>
      <c r="H969" s="347"/>
      <c r="I969" s="347"/>
      <c r="J969" s="347"/>
      <c r="K969" s="347"/>
      <c r="L969" s="347"/>
      <c r="M969" s="347"/>
      <c r="N969" s="347"/>
      <c r="O969" s="347"/>
      <c r="P969" s="347"/>
      <c r="Q969" s="347"/>
      <c r="R969" s="347"/>
      <c r="S969" s="347"/>
      <c r="T969" s="347"/>
      <c r="U969" s="347"/>
      <c r="V969" s="347"/>
      <c r="W969" s="347"/>
      <c r="X969" s="347"/>
      <c r="Y969" s="347"/>
      <c r="Z969" s="347"/>
      <c r="AA969" s="347"/>
      <c r="AB969" s="347"/>
      <c r="AC969" s="347"/>
      <c r="AD969" s="347"/>
      <c r="AE969" s="347"/>
      <c r="AF969" s="347"/>
      <c r="AG969" s="347"/>
    </row>
    <row r="970">
      <c r="A970" s="347"/>
      <c r="B970" s="347"/>
      <c r="C970" s="347"/>
      <c r="D970" s="347"/>
      <c r="E970" s="347"/>
      <c r="F970" s="347"/>
      <c r="G970" s="347"/>
      <c r="H970" s="347"/>
      <c r="I970" s="347"/>
      <c r="J970" s="347"/>
      <c r="K970" s="347"/>
      <c r="L970" s="347"/>
      <c r="M970" s="347"/>
      <c r="N970" s="347"/>
      <c r="O970" s="347"/>
      <c r="P970" s="347"/>
      <c r="Q970" s="347"/>
      <c r="R970" s="347"/>
      <c r="S970" s="347"/>
      <c r="T970" s="347"/>
      <c r="U970" s="347"/>
      <c r="V970" s="347"/>
      <c r="W970" s="347"/>
      <c r="X970" s="347"/>
      <c r="Y970" s="347"/>
      <c r="Z970" s="347"/>
      <c r="AA970" s="347"/>
      <c r="AB970" s="347"/>
      <c r="AC970" s="347"/>
      <c r="AD970" s="347"/>
      <c r="AE970" s="347"/>
      <c r="AF970" s="347"/>
      <c r="AG970" s="347"/>
    </row>
    <row r="971">
      <c r="A971" s="347"/>
      <c r="B971" s="347"/>
      <c r="C971" s="347"/>
      <c r="D971" s="347"/>
      <c r="E971" s="347"/>
      <c r="F971" s="347"/>
      <c r="G971" s="347"/>
      <c r="H971" s="347"/>
      <c r="I971" s="347"/>
      <c r="J971" s="347"/>
      <c r="K971" s="347"/>
      <c r="L971" s="347"/>
      <c r="M971" s="347"/>
      <c r="N971" s="347"/>
      <c r="O971" s="347"/>
      <c r="P971" s="347"/>
      <c r="Q971" s="347"/>
      <c r="R971" s="347"/>
      <c r="S971" s="347"/>
      <c r="T971" s="347"/>
      <c r="U971" s="347"/>
      <c r="V971" s="347"/>
      <c r="W971" s="347"/>
      <c r="X971" s="347"/>
      <c r="Y971" s="347"/>
      <c r="Z971" s="347"/>
      <c r="AA971" s="347"/>
      <c r="AB971" s="347"/>
      <c r="AC971" s="347"/>
      <c r="AD971" s="347"/>
      <c r="AE971" s="347"/>
      <c r="AF971" s="347"/>
      <c r="AG971" s="347"/>
    </row>
    <row r="972">
      <c r="A972" s="347"/>
      <c r="B972" s="347"/>
      <c r="C972" s="347"/>
      <c r="D972" s="347"/>
      <c r="E972" s="347"/>
      <c r="F972" s="347"/>
      <c r="G972" s="347"/>
      <c r="H972" s="347"/>
      <c r="I972" s="347"/>
      <c r="J972" s="347"/>
      <c r="K972" s="347"/>
      <c r="L972" s="347"/>
      <c r="M972" s="347"/>
      <c r="N972" s="347"/>
      <c r="O972" s="347"/>
      <c r="P972" s="347"/>
      <c r="Q972" s="347"/>
      <c r="R972" s="347"/>
      <c r="S972" s="347"/>
      <c r="T972" s="347"/>
      <c r="U972" s="347"/>
      <c r="V972" s="347"/>
      <c r="W972" s="347"/>
      <c r="X972" s="347"/>
      <c r="Y972" s="347"/>
      <c r="Z972" s="347"/>
      <c r="AA972" s="347"/>
      <c r="AB972" s="347"/>
      <c r="AC972" s="347"/>
      <c r="AD972" s="347"/>
      <c r="AE972" s="347"/>
      <c r="AF972" s="347"/>
      <c r="AG972" s="347"/>
    </row>
    <row r="973">
      <c r="A973" s="347"/>
      <c r="B973" s="347"/>
      <c r="C973" s="347"/>
      <c r="D973" s="347"/>
      <c r="E973" s="347"/>
      <c r="F973" s="347"/>
      <c r="G973" s="347"/>
      <c r="H973" s="347"/>
      <c r="I973" s="347"/>
      <c r="J973" s="347"/>
      <c r="K973" s="347"/>
      <c r="L973" s="347"/>
      <c r="M973" s="347"/>
      <c r="N973" s="347"/>
      <c r="O973" s="347"/>
      <c r="P973" s="347"/>
      <c r="Q973" s="347"/>
      <c r="R973" s="347"/>
      <c r="S973" s="347"/>
      <c r="T973" s="347"/>
      <c r="U973" s="347"/>
      <c r="V973" s="347"/>
      <c r="W973" s="347"/>
      <c r="X973" s="347"/>
      <c r="Y973" s="347"/>
      <c r="Z973" s="347"/>
      <c r="AA973" s="347"/>
      <c r="AB973" s="347"/>
      <c r="AC973" s="347"/>
      <c r="AD973" s="347"/>
      <c r="AE973" s="347"/>
      <c r="AF973" s="347"/>
      <c r="AG973" s="347"/>
    </row>
    <row r="974">
      <c r="A974" s="347"/>
      <c r="B974" s="347"/>
      <c r="C974" s="347"/>
      <c r="D974" s="347"/>
      <c r="E974" s="347"/>
      <c r="F974" s="347"/>
      <c r="G974" s="347"/>
      <c r="H974" s="347"/>
      <c r="I974" s="347"/>
      <c r="J974" s="347"/>
      <c r="K974" s="347"/>
      <c r="L974" s="347"/>
      <c r="M974" s="347"/>
      <c r="N974" s="347"/>
      <c r="O974" s="347"/>
      <c r="P974" s="347"/>
      <c r="Q974" s="347"/>
      <c r="R974" s="347"/>
      <c r="S974" s="347"/>
      <c r="T974" s="347"/>
      <c r="U974" s="347"/>
      <c r="V974" s="347"/>
      <c r="W974" s="347"/>
      <c r="X974" s="347"/>
      <c r="Y974" s="347"/>
      <c r="Z974" s="347"/>
      <c r="AA974" s="347"/>
      <c r="AB974" s="347"/>
      <c r="AC974" s="347"/>
      <c r="AD974" s="347"/>
      <c r="AE974" s="347"/>
      <c r="AF974" s="347"/>
      <c r="AG974" s="347"/>
    </row>
    <row r="975">
      <c r="A975" s="347"/>
      <c r="B975" s="347"/>
      <c r="C975" s="347"/>
      <c r="D975" s="347"/>
      <c r="E975" s="347"/>
      <c r="F975" s="347"/>
      <c r="G975" s="347"/>
      <c r="H975" s="347"/>
      <c r="I975" s="347"/>
      <c r="J975" s="347"/>
      <c r="K975" s="347"/>
      <c r="L975" s="347"/>
      <c r="M975" s="347"/>
      <c r="N975" s="347"/>
      <c r="O975" s="347"/>
      <c r="P975" s="347"/>
      <c r="Q975" s="347"/>
      <c r="R975" s="347"/>
      <c r="S975" s="347"/>
      <c r="T975" s="347"/>
      <c r="U975" s="347"/>
      <c r="V975" s="347"/>
      <c r="W975" s="347"/>
      <c r="X975" s="347"/>
      <c r="Y975" s="347"/>
      <c r="Z975" s="347"/>
      <c r="AA975" s="347"/>
      <c r="AB975" s="347"/>
      <c r="AC975" s="347"/>
      <c r="AD975" s="347"/>
      <c r="AE975" s="347"/>
      <c r="AF975" s="347"/>
      <c r="AG975" s="347"/>
    </row>
    <row r="976">
      <c r="A976" s="347"/>
      <c r="B976" s="347"/>
      <c r="C976" s="347"/>
      <c r="D976" s="347"/>
      <c r="E976" s="347"/>
      <c r="F976" s="347"/>
      <c r="G976" s="347"/>
      <c r="H976" s="347"/>
      <c r="I976" s="347"/>
      <c r="J976" s="347"/>
      <c r="K976" s="347"/>
      <c r="L976" s="347"/>
      <c r="M976" s="347"/>
      <c r="N976" s="347"/>
      <c r="O976" s="347"/>
      <c r="P976" s="347"/>
      <c r="Q976" s="347"/>
      <c r="R976" s="347"/>
      <c r="S976" s="347"/>
      <c r="T976" s="347"/>
      <c r="U976" s="347"/>
      <c r="V976" s="347"/>
      <c r="W976" s="347"/>
      <c r="X976" s="347"/>
      <c r="Y976" s="347"/>
      <c r="Z976" s="347"/>
      <c r="AA976" s="347"/>
      <c r="AB976" s="347"/>
      <c r="AC976" s="347"/>
      <c r="AD976" s="347"/>
      <c r="AE976" s="347"/>
      <c r="AF976" s="347"/>
      <c r="AG976" s="347"/>
    </row>
    <row r="977">
      <c r="A977" s="347"/>
      <c r="B977" s="347"/>
      <c r="C977" s="347"/>
      <c r="D977" s="347"/>
      <c r="E977" s="347"/>
      <c r="F977" s="347"/>
      <c r="G977" s="347"/>
      <c r="H977" s="347"/>
      <c r="I977" s="347"/>
      <c r="J977" s="347"/>
      <c r="K977" s="347"/>
      <c r="L977" s="347"/>
      <c r="M977" s="347"/>
      <c r="N977" s="347"/>
      <c r="O977" s="347"/>
      <c r="P977" s="347"/>
      <c r="Q977" s="347"/>
      <c r="R977" s="347"/>
      <c r="S977" s="347"/>
      <c r="T977" s="347"/>
      <c r="U977" s="347"/>
      <c r="V977" s="347"/>
      <c r="W977" s="347"/>
      <c r="X977" s="347"/>
      <c r="Y977" s="347"/>
      <c r="Z977" s="347"/>
      <c r="AA977" s="347"/>
      <c r="AB977" s="347"/>
      <c r="AC977" s="347"/>
      <c r="AD977" s="347"/>
      <c r="AE977" s="347"/>
      <c r="AF977" s="347"/>
      <c r="AG977" s="347"/>
    </row>
    <row r="978">
      <c r="A978" s="347"/>
      <c r="B978" s="347"/>
      <c r="C978" s="347"/>
      <c r="D978" s="347"/>
      <c r="E978" s="347"/>
      <c r="F978" s="347"/>
      <c r="G978" s="347"/>
      <c r="H978" s="347"/>
      <c r="I978" s="347"/>
      <c r="J978" s="347"/>
      <c r="K978" s="347"/>
      <c r="L978" s="347"/>
      <c r="M978" s="347"/>
      <c r="N978" s="347"/>
      <c r="O978" s="347"/>
      <c r="P978" s="347"/>
      <c r="Q978" s="347"/>
      <c r="R978" s="347"/>
      <c r="S978" s="347"/>
      <c r="T978" s="347"/>
      <c r="U978" s="347"/>
      <c r="V978" s="347"/>
      <c r="W978" s="347"/>
      <c r="X978" s="347"/>
      <c r="Y978" s="347"/>
      <c r="Z978" s="347"/>
      <c r="AA978" s="347"/>
      <c r="AB978" s="347"/>
      <c r="AC978" s="347"/>
      <c r="AD978" s="347"/>
      <c r="AE978" s="347"/>
      <c r="AF978" s="347"/>
      <c r="AG978" s="347"/>
    </row>
    <row r="979">
      <c r="A979" s="347"/>
      <c r="B979" s="347"/>
      <c r="C979" s="347"/>
      <c r="D979" s="347"/>
      <c r="E979" s="347"/>
      <c r="F979" s="347"/>
      <c r="G979" s="347"/>
      <c r="H979" s="347"/>
      <c r="I979" s="347"/>
      <c r="J979" s="347"/>
      <c r="K979" s="347"/>
      <c r="L979" s="347"/>
      <c r="M979" s="347"/>
      <c r="N979" s="347"/>
      <c r="O979" s="347"/>
      <c r="P979" s="347"/>
      <c r="Q979" s="347"/>
      <c r="R979" s="347"/>
      <c r="S979" s="347"/>
      <c r="T979" s="347"/>
      <c r="U979" s="347"/>
      <c r="V979" s="347"/>
      <c r="W979" s="347"/>
      <c r="X979" s="347"/>
      <c r="Y979" s="347"/>
      <c r="Z979" s="347"/>
      <c r="AA979" s="347"/>
      <c r="AB979" s="347"/>
      <c r="AC979" s="347"/>
      <c r="AD979" s="347"/>
      <c r="AE979" s="347"/>
      <c r="AF979" s="347"/>
      <c r="AG979" s="347"/>
    </row>
    <row r="980">
      <c r="A980" s="347"/>
      <c r="B980" s="347"/>
      <c r="C980" s="347"/>
      <c r="D980" s="347"/>
      <c r="E980" s="347"/>
      <c r="F980" s="347"/>
      <c r="G980" s="347"/>
      <c r="H980" s="347"/>
      <c r="I980" s="347"/>
      <c r="J980" s="347"/>
      <c r="K980" s="347"/>
      <c r="L980" s="347"/>
      <c r="M980" s="347"/>
      <c r="N980" s="347"/>
      <c r="O980" s="347"/>
      <c r="P980" s="347"/>
      <c r="Q980" s="347"/>
      <c r="R980" s="347"/>
      <c r="S980" s="347"/>
      <c r="T980" s="347"/>
      <c r="U980" s="347"/>
      <c r="V980" s="347"/>
      <c r="W980" s="347"/>
      <c r="X980" s="347"/>
      <c r="Y980" s="347"/>
      <c r="Z980" s="347"/>
      <c r="AA980" s="347"/>
      <c r="AB980" s="347"/>
      <c r="AC980" s="347"/>
      <c r="AD980" s="347"/>
      <c r="AE980" s="347"/>
      <c r="AF980" s="347"/>
      <c r="AG980" s="347"/>
    </row>
    <row r="981">
      <c r="A981" s="347"/>
      <c r="B981" s="347"/>
      <c r="C981" s="347"/>
      <c r="D981" s="347"/>
      <c r="E981" s="347"/>
      <c r="F981" s="347"/>
      <c r="G981" s="347"/>
      <c r="H981" s="347"/>
      <c r="I981" s="347"/>
      <c r="J981" s="347"/>
      <c r="K981" s="347"/>
      <c r="L981" s="347"/>
      <c r="M981" s="347"/>
      <c r="N981" s="347"/>
      <c r="O981" s="347"/>
      <c r="P981" s="347"/>
      <c r="Q981" s="347"/>
      <c r="R981" s="347"/>
      <c r="S981" s="347"/>
      <c r="T981" s="347"/>
      <c r="U981" s="347"/>
      <c r="V981" s="347"/>
      <c r="W981" s="347"/>
      <c r="X981" s="347"/>
      <c r="Y981" s="347"/>
      <c r="Z981" s="347"/>
      <c r="AA981" s="347"/>
      <c r="AB981" s="347"/>
      <c r="AC981" s="347"/>
      <c r="AD981" s="347"/>
      <c r="AE981" s="347"/>
      <c r="AF981" s="347"/>
      <c r="AG981" s="347"/>
    </row>
    <row r="982">
      <c r="A982" s="347"/>
      <c r="B982" s="347"/>
      <c r="C982" s="347"/>
      <c r="D982" s="347"/>
      <c r="E982" s="347"/>
      <c r="F982" s="347"/>
      <c r="G982" s="347"/>
      <c r="H982" s="347"/>
      <c r="I982" s="347"/>
      <c r="J982" s="347"/>
      <c r="K982" s="347"/>
      <c r="L982" s="347"/>
      <c r="M982" s="347"/>
      <c r="N982" s="347"/>
      <c r="O982" s="347"/>
      <c r="P982" s="347"/>
      <c r="Q982" s="347"/>
      <c r="R982" s="347"/>
      <c r="S982" s="347"/>
      <c r="T982" s="347"/>
      <c r="U982" s="347"/>
      <c r="V982" s="347"/>
      <c r="W982" s="347"/>
      <c r="X982" s="347"/>
      <c r="Y982" s="347"/>
      <c r="Z982" s="347"/>
      <c r="AA982" s="347"/>
      <c r="AB982" s="347"/>
      <c r="AC982" s="347"/>
      <c r="AD982" s="347"/>
      <c r="AE982" s="347"/>
      <c r="AF982" s="347"/>
      <c r="AG982" s="347"/>
    </row>
    <row r="983">
      <c r="A983" s="347"/>
      <c r="B983" s="347"/>
      <c r="C983" s="347"/>
      <c r="D983" s="347"/>
      <c r="E983" s="347"/>
      <c r="F983" s="347"/>
      <c r="G983" s="347"/>
      <c r="H983" s="347"/>
      <c r="I983" s="347"/>
      <c r="J983" s="347"/>
      <c r="K983" s="347"/>
      <c r="L983" s="347"/>
      <c r="M983" s="347"/>
      <c r="N983" s="347"/>
      <c r="O983" s="347"/>
      <c r="P983" s="347"/>
      <c r="Q983" s="347"/>
      <c r="R983" s="347"/>
      <c r="S983" s="347"/>
      <c r="T983" s="347"/>
      <c r="U983" s="347"/>
      <c r="V983" s="347"/>
      <c r="W983" s="347"/>
      <c r="X983" s="347"/>
      <c r="Y983" s="347"/>
      <c r="Z983" s="347"/>
      <c r="AA983" s="347"/>
      <c r="AB983" s="347"/>
      <c r="AC983" s="347"/>
      <c r="AD983" s="347"/>
      <c r="AE983" s="347"/>
      <c r="AF983" s="347"/>
      <c r="AG983" s="347"/>
    </row>
    <row r="984">
      <c r="A984" s="347"/>
      <c r="B984" s="347"/>
      <c r="C984" s="347"/>
      <c r="D984" s="347"/>
      <c r="E984" s="347"/>
      <c r="F984" s="347"/>
      <c r="G984" s="347"/>
      <c r="H984" s="347"/>
      <c r="I984" s="347"/>
      <c r="J984" s="347"/>
      <c r="K984" s="347"/>
      <c r="L984" s="347"/>
      <c r="M984" s="347"/>
      <c r="N984" s="347"/>
      <c r="O984" s="347"/>
      <c r="P984" s="347"/>
      <c r="Q984" s="347"/>
      <c r="R984" s="347"/>
      <c r="S984" s="347"/>
      <c r="T984" s="347"/>
      <c r="U984" s="347"/>
      <c r="V984" s="347"/>
      <c r="W984" s="347"/>
      <c r="X984" s="347"/>
      <c r="Y984" s="347"/>
      <c r="Z984" s="347"/>
      <c r="AA984" s="347"/>
      <c r="AB984" s="347"/>
      <c r="AC984" s="347"/>
      <c r="AD984" s="347"/>
      <c r="AE984" s="347"/>
      <c r="AF984" s="347"/>
      <c r="AG984" s="347"/>
    </row>
    <row r="985">
      <c r="A985" s="347"/>
      <c r="B985" s="347"/>
      <c r="C985" s="347"/>
      <c r="D985" s="347"/>
      <c r="E985" s="347"/>
      <c r="F985" s="347"/>
      <c r="G985" s="347"/>
      <c r="H985" s="347"/>
      <c r="I985" s="347"/>
      <c r="J985" s="347"/>
      <c r="K985" s="347"/>
      <c r="L985" s="347"/>
      <c r="M985" s="347"/>
      <c r="N985" s="347"/>
      <c r="O985" s="347"/>
      <c r="P985" s="347"/>
      <c r="Q985" s="347"/>
      <c r="R985" s="347"/>
      <c r="S985" s="347"/>
      <c r="T985" s="347"/>
      <c r="U985" s="347"/>
      <c r="V985" s="347"/>
      <c r="W985" s="347"/>
      <c r="X985" s="347"/>
      <c r="Y985" s="347"/>
      <c r="Z985" s="347"/>
      <c r="AA985" s="347"/>
      <c r="AB985" s="347"/>
      <c r="AC985" s="347"/>
      <c r="AD985" s="347"/>
      <c r="AE985" s="347"/>
      <c r="AF985" s="347"/>
      <c r="AG985" s="347"/>
    </row>
    <row r="986">
      <c r="A986" s="347"/>
      <c r="B986" s="347"/>
      <c r="C986" s="347"/>
      <c r="D986" s="347"/>
      <c r="E986" s="347"/>
      <c r="F986" s="347"/>
      <c r="G986" s="347"/>
      <c r="H986" s="347"/>
      <c r="I986" s="347"/>
      <c r="J986" s="347"/>
      <c r="K986" s="347"/>
      <c r="L986" s="347"/>
      <c r="M986" s="347"/>
      <c r="N986" s="347"/>
      <c r="O986" s="347"/>
      <c r="P986" s="347"/>
      <c r="Q986" s="347"/>
      <c r="R986" s="347"/>
      <c r="S986" s="347"/>
      <c r="T986" s="347"/>
      <c r="U986" s="347"/>
      <c r="V986" s="347"/>
      <c r="W986" s="347"/>
      <c r="X986" s="347"/>
      <c r="Y986" s="347"/>
      <c r="Z986" s="347"/>
      <c r="AA986" s="347"/>
      <c r="AB986" s="347"/>
      <c r="AC986" s="347"/>
      <c r="AD986" s="347"/>
      <c r="AE986" s="347"/>
      <c r="AF986" s="347"/>
      <c r="AG986" s="347"/>
    </row>
    <row r="987">
      <c r="A987" s="347"/>
      <c r="B987" s="347"/>
      <c r="C987" s="347"/>
      <c r="D987" s="347"/>
      <c r="E987" s="347"/>
      <c r="F987" s="347"/>
      <c r="G987" s="347"/>
      <c r="H987" s="347"/>
      <c r="I987" s="347"/>
      <c r="J987" s="347"/>
      <c r="K987" s="347"/>
      <c r="L987" s="347"/>
      <c r="M987" s="347"/>
      <c r="N987" s="347"/>
      <c r="O987" s="347"/>
      <c r="P987" s="347"/>
      <c r="Q987" s="347"/>
      <c r="R987" s="347"/>
      <c r="S987" s="347"/>
      <c r="T987" s="347"/>
      <c r="U987" s="347"/>
      <c r="V987" s="347"/>
      <c r="W987" s="347"/>
      <c r="X987" s="347"/>
      <c r="Y987" s="347"/>
      <c r="Z987" s="347"/>
      <c r="AA987" s="347"/>
      <c r="AB987" s="347"/>
      <c r="AC987" s="347"/>
      <c r="AD987" s="347"/>
      <c r="AE987" s="347"/>
      <c r="AF987" s="347"/>
      <c r="AG987" s="347"/>
    </row>
    <row r="988">
      <c r="A988" s="347"/>
      <c r="B988" s="347"/>
      <c r="C988" s="347"/>
      <c r="D988" s="347"/>
      <c r="E988" s="347"/>
      <c r="F988" s="347"/>
      <c r="G988" s="347"/>
      <c r="H988" s="347"/>
      <c r="I988" s="347"/>
      <c r="J988" s="347"/>
      <c r="K988" s="347"/>
      <c r="L988" s="347"/>
      <c r="M988" s="347"/>
      <c r="N988" s="347"/>
      <c r="O988" s="347"/>
      <c r="P988" s="347"/>
      <c r="Q988" s="347"/>
      <c r="R988" s="347"/>
      <c r="S988" s="347"/>
      <c r="T988" s="347"/>
      <c r="U988" s="347"/>
      <c r="V988" s="347"/>
      <c r="W988" s="347"/>
      <c r="X988" s="347"/>
      <c r="Y988" s="347"/>
      <c r="Z988" s="347"/>
      <c r="AA988" s="347"/>
      <c r="AB988" s="347"/>
      <c r="AC988" s="347"/>
      <c r="AD988" s="347"/>
      <c r="AE988" s="347"/>
      <c r="AF988" s="347"/>
      <c r="AG988" s="347"/>
    </row>
    <row r="989">
      <c r="A989" s="347"/>
      <c r="B989" s="347"/>
      <c r="C989" s="347"/>
      <c r="D989" s="347"/>
      <c r="E989" s="347"/>
      <c r="F989" s="347"/>
      <c r="G989" s="347"/>
      <c r="H989" s="347"/>
      <c r="I989" s="347"/>
      <c r="J989" s="347"/>
      <c r="K989" s="347"/>
      <c r="L989" s="347"/>
      <c r="M989" s="347"/>
      <c r="N989" s="347"/>
      <c r="O989" s="347"/>
      <c r="P989" s="347"/>
      <c r="Q989" s="347"/>
      <c r="R989" s="347"/>
      <c r="S989" s="347"/>
      <c r="T989" s="347"/>
      <c r="U989" s="347"/>
      <c r="V989" s="347"/>
      <c r="W989" s="347"/>
      <c r="X989" s="347"/>
      <c r="Y989" s="347"/>
      <c r="Z989" s="347"/>
      <c r="AA989" s="347"/>
      <c r="AB989" s="347"/>
      <c r="AC989" s="347"/>
      <c r="AD989" s="347"/>
      <c r="AE989" s="347"/>
      <c r="AF989" s="347"/>
      <c r="AG989" s="347"/>
    </row>
    <row r="990">
      <c r="A990" s="347"/>
      <c r="B990" s="347"/>
      <c r="C990" s="347"/>
      <c r="D990" s="347"/>
      <c r="E990" s="347"/>
      <c r="F990" s="347"/>
      <c r="G990" s="347"/>
      <c r="H990" s="347"/>
      <c r="I990" s="347"/>
      <c r="J990" s="347"/>
      <c r="K990" s="347"/>
      <c r="L990" s="347"/>
      <c r="M990" s="347"/>
      <c r="N990" s="347"/>
      <c r="O990" s="347"/>
      <c r="P990" s="347"/>
      <c r="Q990" s="347"/>
      <c r="R990" s="347"/>
      <c r="S990" s="347"/>
      <c r="T990" s="347"/>
      <c r="U990" s="347"/>
      <c r="V990" s="347"/>
      <c r="W990" s="347"/>
      <c r="X990" s="347"/>
      <c r="Y990" s="347"/>
      <c r="Z990" s="347"/>
      <c r="AA990" s="347"/>
      <c r="AB990" s="347"/>
      <c r="AC990" s="347"/>
      <c r="AD990" s="347"/>
      <c r="AE990" s="347"/>
      <c r="AF990" s="347"/>
      <c r="AG990" s="347"/>
    </row>
    <row r="991">
      <c r="A991" s="347"/>
      <c r="B991" s="347"/>
      <c r="C991" s="347"/>
      <c r="D991" s="347"/>
      <c r="E991" s="347"/>
      <c r="F991" s="347"/>
      <c r="G991" s="347"/>
      <c r="H991" s="347"/>
      <c r="I991" s="347"/>
      <c r="J991" s="347"/>
      <c r="K991" s="347"/>
      <c r="L991" s="347"/>
      <c r="M991" s="347"/>
      <c r="N991" s="347"/>
      <c r="O991" s="347"/>
      <c r="P991" s="347"/>
      <c r="Q991" s="347"/>
      <c r="R991" s="347"/>
      <c r="S991" s="347"/>
      <c r="T991" s="347"/>
      <c r="U991" s="347"/>
      <c r="V991" s="347"/>
      <c r="W991" s="347"/>
      <c r="X991" s="347"/>
      <c r="Y991" s="347"/>
      <c r="Z991" s="347"/>
      <c r="AA991" s="347"/>
      <c r="AB991" s="347"/>
      <c r="AC991" s="347"/>
      <c r="AD991" s="347"/>
      <c r="AE991" s="347"/>
      <c r="AF991" s="347"/>
      <c r="AG991" s="347"/>
    </row>
    <row r="992">
      <c r="A992" s="347"/>
      <c r="B992" s="347"/>
      <c r="C992" s="347"/>
      <c r="D992" s="347"/>
      <c r="E992" s="347"/>
      <c r="F992" s="347"/>
      <c r="G992" s="347"/>
      <c r="H992" s="347"/>
      <c r="I992" s="347"/>
      <c r="J992" s="347"/>
      <c r="K992" s="347"/>
      <c r="L992" s="347"/>
      <c r="M992" s="347"/>
      <c r="N992" s="347"/>
      <c r="O992" s="347"/>
      <c r="P992" s="347"/>
      <c r="Q992" s="347"/>
      <c r="R992" s="347"/>
      <c r="S992" s="347"/>
      <c r="T992" s="347"/>
      <c r="U992" s="347"/>
      <c r="V992" s="347"/>
      <c r="W992" s="347"/>
      <c r="X992" s="347"/>
      <c r="Y992" s="347"/>
      <c r="Z992" s="347"/>
      <c r="AA992" s="347"/>
      <c r="AB992" s="347"/>
      <c r="AC992" s="347"/>
      <c r="AD992" s="347"/>
      <c r="AE992" s="347"/>
      <c r="AF992" s="347"/>
      <c r="AG992" s="347"/>
    </row>
    <row r="993">
      <c r="A993" s="347"/>
      <c r="B993" s="347"/>
      <c r="C993" s="347"/>
      <c r="D993" s="347"/>
      <c r="E993" s="347"/>
      <c r="F993" s="347"/>
      <c r="G993" s="347"/>
      <c r="H993" s="347"/>
      <c r="I993" s="347"/>
      <c r="J993" s="347"/>
      <c r="K993" s="347"/>
      <c r="L993" s="347"/>
      <c r="M993" s="347"/>
      <c r="N993" s="347"/>
      <c r="O993" s="347"/>
      <c r="P993" s="347"/>
      <c r="Q993" s="347"/>
      <c r="R993" s="347"/>
      <c r="S993" s="347"/>
      <c r="T993" s="347"/>
      <c r="U993" s="347"/>
      <c r="V993" s="347"/>
      <c r="W993" s="347"/>
      <c r="X993" s="347"/>
      <c r="Y993" s="347"/>
      <c r="Z993" s="347"/>
      <c r="AA993" s="347"/>
      <c r="AB993" s="347"/>
      <c r="AC993" s="347"/>
      <c r="AD993" s="347"/>
      <c r="AE993" s="347"/>
      <c r="AF993" s="347"/>
      <c r="AG993" s="347"/>
    </row>
    <row r="994">
      <c r="A994" s="347"/>
      <c r="B994" s="347"/>
      <c r="C994" s="347"/>
      <c r="D994" s="347"/>
      <c r="E994" s="347"/>
      <c r="F994" s="347"/>
      <c r="G994" s="347"/>
      <c r="H994" s="347"/>
      <c r="I994" s="347"/>
      <c r="J994" s="347"/>
      <c r="K994" s="347"/>
      <c r="L994" s="347"/>
      <c r="M994" s="347"/>
      <c r="N994" s="347"/>
      <c r="O994" s="347"/>
      <c r="P994" s="347"/>
      <c r="Q994" s="347"/>
      <c r="R994" s="347"/>
      <c r="S994" s="347"/>
      <c r="T994" s="347"/>
      <c r="U994" s="347"/>
      <c r="V994" s="347"/>
      <c r="W994" s="347"/>
      <c r="X994" s="347"/>
      <c r="Y994" s="347"/>
      <c r="Z994" s="347"/>
      <c r="AA994" s="347"/>
      <c r="AB994" s="347"/>
      <c r="AC994" s="347"/>
      <c r="AD994" s="347"/>
      <c r="AE994" s="347"/>
      <c r="AF994" s="347"/>
      <c r="AG994" s="347"/>
    </row>
    <row r="995">
      <c r="A995" s="347"/>
      <c r="B995" s="347"/>
      <c r="C995" s="347"/>
      <c r="D995" s="347"/>
      <c r="E995" s="347"/>
      <c r="F995" s="347"/>
      <c r="G995" s="347"/>
      <c r="H995" s="347"/>
      <c r="I995" s="347"/>
      <c r="J995" s="347"/>
      <c r="K995" s="347"/>
      <c r="L995" s="347"/>
      <c r="M995" s="347"/>
      <c r="N995" s="347"/>
      <c r="O995" s="347"/>
      <c r="P995" s="347"/>
      <c r="Q995" s="347"/>
      <c r="R995" s="347"/>
      <c r="S995" s="347"/>
      <c r="T995" s="347"/>
      <c r="U995" s="347"/>
      <c r="V995" s="347"/>
      <c r="W995" s="347"/>
      <c r="X995" s="347"/>
      <c r="Y995" s="347"/>
      <c r="Z995" s="347"/>
      <c r="AA995" s="347"/>
      <c r="AB995" s="347"/>
      <c r="AC995" s="347"/>
      <c r="AD995" s="347"/>
      <c r="AE995" s="347"/>
      <c r="AF995" s="347"/>
      <c r="AG995" s="347"/>
    </row>
    <row r="996">
      <c r="A996" s="347"/>
      <c r="B996" s="347"/>
      <c r="C996" s="347"/>
      <c r="D996" s="347"/>
      <c r="E996" s="347"/>
      <c r="F996" s="347"/>
      <c r="G996" s="347"/>
      <c r="H996" s="347"/>
      <c r="I996" s="347"/>
      <c r="J996" s="347"/>
      <c r="K996" s="347"/>
      <c r="L996" s="347"/>
      <c r="M996" s="347"/>
      <c r="N996" s="347"/>
      <c r="O996" s="347"/>
      <c r="P996" s="347"/>
      <c r="Q996" s="347"/>
      <c r="R996" s="347"/>
      <c r="S996" s="347"/>
      <c r="T996" s="347"/>
      <c r="U996" s="347"/>
      <c r="V996" s="347"/>
      <c r="W996" s="347"/>
      <c r="X996" s="347"/>
      <c r="Y996" s="347"/>
      <c r="Z996" s="347"/>
      <c r="AA996" s="347"/>
      <c r="AB996" s="347"/>
      <c r="AC996" s="347"/>
      <c r="AD996" s="347"/>
      <c r="AE996" s="347"/>
      <c r="AF996" s="347"/>
      <c r="AG996" s="347"/>
    </row>
    <row r="997">
      <c r="A997" s="347"/>
      <c r="B997" s="347"/>
      <c r="C997" s="347"/>
      <c r="D997" s="347"/>
      <c r="E997" s="347"/>
      <c r="F997" s="347"/>
      <c r="G997" s="347"/>
      <c r="H997" s="347"/>
      <c r="I997" s="347"/>
      <c r="J997" s="347"/>
      <c r="K997" s="347"/>
      <c r="L997" s="347"/>
      <c r="M997" s="347"/>
      <c r="N997" s="347"/>
      <c r="O997" s="347"/>
      <c r="P997" s="347"/>
      <c r="Q997" s="347"/>
      <c r="R997" s="347"/>
      <c r="S997" s="347"/>
      <c r="T997" s="347"/>
      <c r="U997" s="347"/>
      <c r="V997" s="347"/>
      <c r="W997" s="347"/>
      <c r="X997" s="347"/>
      <c r="Y997" s="347"/>
      <c r="Z997" s="347"/>
      <c r="AA997" s="347"/>
      <c r="AB997" s="347"/>
      <c r="AC997" s="347"/>
      <c r="AD997" s="347"/>
      <c r="AE997" s="347"/>
      <c r="AF997" s="347"/>
      <c r="AG997" s="347"/>
    </row>
    <row r="998">
      <c r="A998" s="347"/>
      <c r="B998" s="347"/>
      <c r="C998" s="347"/>
      <c r="D998" s="347"/>
      <c r="E998" s="347"/>
      <c r="F998" s="347"/>
      <c r="G998" s="347"/>
      <c r="H998" s="347"/>
      <c r="I998" s="347"/>
      <c r="J998" s="347"/>
      <c r="K998" s="347"/>
      <c r="L998" s="347"/>
      <c r="M998" s="347"/>
      <c r="N998" s="347"/>
      <c r="O998" s="347"/>
      <c r="P998" s="347"/>
      <c r="Q998" s="347"/>
      <c r="R998" s="347"/>
      <c r="S998" s="347"/>
      <c r="T998" s="347"/>
      <c r="U998" s="347"/>
      <c r="V998" s="347"/>
      <c r="W998" s="347"/>
      <c r="X998" s="347"/>
      <c r="Y998" s="347"/>
      <c r="Z998" s="347"/>
      <c r="AA998" s="347"/>
      <c r="AB998" s="347"/>
      <c r="AC998" s="347"/>
      <c r="AD998" s="347"/>
      <c r="AE998" s="347"/>
      <c r="AF998" s="347"/>
      <c r="AG998" s="347"/>
    </row>
    <row r="999">
      <c r="A999" s="347"/>
      <c r="B999" s="347"/>
      <c r="C999" s="347"/>
      <c r="D999" s="347"/>
      <c r="E999" s="347"/>
      <c r="F999" s="347"/>
      <c r="G999" s="347"/>
      <c r="H999" s="347"/>
      <c r="I999" s="347"/>
      <c r="J999" s="347"/>
      <c r="K999" s="347"/>
      <c r="L999" s="347"/>
      <c r="M999" s="347"/>
      <c r="N999" s="347"/>
      <c r="O999" s="347"/>
      <c r="P999" s="347"/>
      <c r="Q999" s="347"/>
      <c r="R999" s="347"/>
      <c r="S999" s="347"/>
      <c r="T999" s="347"/>
      <c r="U999" s="347"/>
      <c r="V999" s="347"/>
      <c r="W999" s="347"/>
      <c r="X999" s="347"/>
      <c r="Y999" s="347"/>
      <c r="Z999" s="347"/>
      <c r="AA999" s="347"/>
      <c r="AB999" s="347"/>
      <c r="AC999" s="347"/>
      <c r="AD999" s="347"/>
      <c r="AE999" s="347"/>
      <c r="AF999" s="347"/>
      <c r="AG999" s="347"/>
    </row>
    <row r="1000">
      <c r="A1000" s="347"/>
      <c r="B1000" s="347"/>
      <c r="C1000" s="347"/>
      <c r="D1000" s="347"/>
      <c r="E1000" s="347"/>
      <c r="F1000" s="347"/>
      <c r="G1000" s="347"/>
      <c r="H1000" s="347"/>
      <c r="I1000" s="347"/>
      <c r="J1000" s="347"/>
      <c r="K1000" s="347"/>
      <c r="L1000" s="347"/>
      <c r="M1000" s="347"/>
      <c r="N1000" s="347"/>
      <c r="O1000" s="347"/>
      <c r="P1000" s="347"/>
      <c r="Q1000" s="347"/>
      <c r="R1000" s="347"/>
      <c r="S1000" s="347"/>
      <c r="T1000" s="347"/>
      <c r="U1000" s="347"/>
      <c r="V1000" s="347"/>
      <c r="W1000" s="347"/>
      <c r="X1000" s="347"/>
      <c r="Y1000" s="347"/>
      <c r="Z1000" s="347"/>
      <c r="AA1000" s="347"/>
      <c r="AB1000" s="347"/>
      <c r="AC1000" s="347"/>
      <c r="AD1000" s="347"/>
      <c r="AE1000" s="347"/>
      <c r="AF1000" s="347"/>
      <c r="AG1000" s="347"/>
    </row>
    <row r="1001">
      <c r="A1001" s="347"/>
      <c r="B1001" s="347"/>
      <c r="C1001" s="347"/>
      <c r="D1001" s="347"/>
      <c r="E1001" s="347"/>
      <c r="F1001" s="347"/>
      <c r="G1001" s="347"/>
      <c r="H1001" s="347"/>
      <c r="I1001" s="347"/>
      <c r="J1001" s="347"/>
      <c r="K1001" s="347"/>
      <c r="L1001" s="347"/>
      <c r="M1001" s="347"/>
      <c r="N1001" s="347"/>
      <c r="O1001" s="347"/>
      <c r="P1001" s="347"/>
      <c r="Q1001" s="347"/>
      <c r="R1001" s="347"/>
      <c r="S1001" s="347"/>
      <c r="T1001" s="347"/>
      <c r="U1001" s="347"/>
      <c r="V1001" s="347"/>
      <c r="W1001" s="347"/>
      <c r="X1001" s="347"/>
      <c r="Y1001" s="347"/>
      <c r="Z1001" s="347"/>
      <c r="AA1001" s="347"/>
      <c r="AB1001" s="347"/>
      <c r="AC1001" s="347"/>
      <c r="AD1001" s="347"/>
      <c r="AE1001" s="347"/>
      <c r="AF1001" s="347"/>
      <c r="AG1001" s="347"/>
    </row>
    <row r="1002">
      <c r="A1002" s="347"/>
      <c r="B1002" s="347"/>
      <c r="C1002" s="347"/>
      <c r="D1002" s="347"/>
      <c r="E1002" s="347"/>
      <c r="F1002" s="347"/>
      <c r="G1002" s="347"/>
      <c r="H1002" s="347"/>
      <c r="I1002" s="347"/>
      <c r="J1002" s="347"/>
      <c r="K1002" s="347"/>
      <c r="L1002" s="347"/>
      <c r="M1002" s="347"/>
      <c r="N1002" s="347"/>
      <c r="O1002" s="347"/>
      <c r="P1002" s="347"/>
      <c r="Q1002" s="347"/>
      <c r="R1002" s="347"/>
      <c r="S1002" s="347"/>
      <c r="T1002" s="347"/>
      <c r="U1002" s="347"/>
      <c r="V1002" s="347"/>
      <c r="W1002" s="347"/>
      <c r="X1002" s="347"/>
      <c r="Y1002" s="347"/>
      <c r="Z1002" s="347"/>
      <c r="AA1002" s="347"/>
      <c r="AB1002" s="347"/>
      <c r="AC1002" s="347"/>
      <c r="AD1002" s="347"/>
      <c r="AE1002" s="347"/>
      <c r="AF1002" s="347"/>
      <c r="AG1002" s="347"/>
    </row>
    <row r="1003">
      <c r="A1003" s="347"/>
      <c r="B1003" s="347"/>
      <c r="C1003" s="347"/>
      <c r="D1003" s="347"/>
      <c r="E1003" s="347"/>
      <c r="F1003" s="347"/>
      <c r="G1003" s="347"/>
      <c r="H1003" s="347"/>
      <c r="I1003" s="347"/>
      <c r="J1003" s="347"/>
      <c r="K1003" s="347"/>
      <c r="L1003" s="347"/>
      <c r="M1003" s="347"/>
      <c r="N1003" s="347"/>
      <c r="O1003" s="347"/>
      <c r="P1003" s="347"/>
      <c r="Q1003" s="347"/>
      <c r="R1003" s="347"/>
      <c r="S1003" s="347"/>
      <c r="T1003" s="347"/>
      <c r="U1003" s="347"/>
      <c r="V1003" s="347"/>
      <c r="W1003" s="347"/>
      <c r="X1003" s="347"/>
      <c r="Y1003" s="347"/>
      <c r="Z1003" s="347"/>
      <c r="AA1003" s="347"/>
      <c r="AB1003" s="347"/>
      <c r="AC1003" s="347"/>
      <c r="AD1003" s="347"/>
      <c r="AE1003" s="347"/>
      <c r="AF1003" s="347"/>
      <c r="AG1003" s="347"/>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2" t="s">
        <v>1487</v>
      </c>
      <c r="B1" s="82" t="s">
        <v>3391</v>
      </c>
      <c r="C1" s="82" t="s">
        <v>19</v>
      </c>
      <c r="D1" s="82" t="s">
        <v>3392</v>
      </c>
      <c r="E1" s="7"/>
      <c r="F1" s="82" t="s">
        <v>3392</v>
      </c>
      <c r="G1" s="82" t="s">
        <v>3393</v>
      </c>
      <c r="H1" s="82" t="s">
        <v>2279</v>
      </c>
      <c r="I1" s="82" t="s">
        <v>2280</v>
      </c>
      <c r="J1" s="82" t="s">
        <v>23</v>
      </c>
    </row>
    <row r="2">
      <c r="A2" s="738">
        <v>45659.395833333336</v>
      </c>
      <c r="B2" s="87">
        <v>35768.30474186027</v>
      </c>
      <c r="C2" s="90" t="str">
        <f t="shared" ref="C2:C25" si="1">TEXT(A2, "yyyy-mm")</f>
        <v>2025-01</v>
      </c>
      <c r="D2" s="90">
        <f t="shared" ref="D2:D25" si="2">DAY(A2)</f>
        <v>2</v>
      </c>
      <c r="F2" s="90">
        <f t="shared" ref="F2:F32" si="3">ROW()-1</f>
        <v>1</v>
      </c>
      <c r="G2" s="307">
        <f>SUMIFS(
  Sheet58!$B$2:$B$1000,  
  Sheet58!$C$2:$C$1000,   "2025-01",    
  Sheet58!$D$2:$D$1000,   "&lt;="&amp;$F2     ) / 1000</f>
        <v>0</v>
      </c>
      <c r="H2" s="307">
        <f>SUMIFS(
  Sheet58!$B$2:$B$1000,  
  Sheet58!$C$2:$C$1000,   "2025-02",    
  Sheet58!$D$2:$D$1000,   "&lt;="&amp;$F2     ) / 1000</f>
        <v>0</v>
      </c>
      <c r="I2" s="307">
        <f>SUMIFS(
  Sheet58!$B$2:$B$1000,  
  Sheet58!$C$2:$C$1000,   "2025-03",    
  Sheet58!$D$2:$D$1000,   "&lt;="&amp;$F2     ) / 1000</f>
        <v>0</v>
      </c>
      <c r="J2" s="307">
        <f>SUMIFS(
  Sheet58!$B$2:$B$1000,  
  Sheet58!$C$2:$C$1000,   "2025-04",    
  Sheet58!$D$2:$D$1000,   "&lt;="&amp;$F2     ) / 1000</f>
        <v>35.5345411</v>
      </c>
    </row>
    <row r="3">
      <c r="A3" s="738">
        <v>45660.4375</v>
      </c>
      <c r="B3" s="87">
        <v>35717.810779181906</v>
      </c>
      <c r="C3" s="90" t="str">
        <f t="shared" si="1"/>
        <v>2025-01</v>
      </c>
      <c r="D3" s="90">
        <f t="shared" si="2"/>
        <v>3</v>
      </c>
      <c r="F3" s="90">
        <f t="shared" si="3"/>
        <v>2</v>
      </c>
      <c r="G3" s="307">
        <f>SUMIFS(
  Sheet58!$B$2:$B$1000,  
  Sheet58!$C$2:$C$1000,   "2025-01",    
  Sheet58!$D$2:$D$1000,   "&lt;="&amp;$F3     ) / 1000</f>
        <v>35.76830474</v>
      </c>
      <c r="H3" s="307">
        <f>SUMIFS(
  Sheet58!$B$2:$B$1000,  
  Sheet58!$C$2:$C$1000,   "2025-02",    
  Sheet58!$D$2:$D$1000,   "&lt;="&amp;$F3     ) / 1000</f>
        <v>0</v>
      </c>
      <c r="I3" s="307">
        <f>SUMIFS(
  Sheet58!$B$2:$B$1000,  
  Sheet58!$C$2:$C$1000,   "2025-03",    
  Sheet58!$D$2:$D$1000,   "&lt;="&amp;$F3     ) / 1000</f>
        <v>0</v>
      </c>
      <c r="J3" s="307">
        <f>SUMIFS(
  Sheet58!$B$2:$B$1000,  
  Sheet58!$C$2:$C$1000,   "2025-04",    
  Sheet58!$D$2:$D$1000,   "&lt;="&amp;$F3     ) / 1000</f>
        <v>35.5345411</v>
      </c>
    </row>
    <row r="4">
      <c r="A4" s="738">
        <v>45665.4375</v>
      </c>
      <c r="B4" s="87">
        <v>17622.356687320265</v>
      </c>
      <c r="C4" s="90" t="str">
        <f t="shared" si="1"/>
        <v>2025-01</v>
      </c>
      <c r="D4" s="90">
        <f t="shared" si="2"/>
        <v>8</v>
      </c>
      <c r="F4" s="90">
        <f t="shared" si="3"/>
        <v>3</v>
      </c>
      <c r="G4" s="307">
        <f>SUMIFS(
  Sheet58!$B$2:$B$1000,  
  Sheet58!$C$2:$C$1000,   "2025-01",    
  Sheet58!$D$2:$D$1000,   "&lt;="&amp;$F4     ) / 1000</f>
        <v>71.48611552</v>
      </c>
      <c r="H4" s="307">
        <f>SUMIFS(
  Sheet58!$B$2:$B$1000,  
  Sheet58!$C$2:$C$1000,   "2025-02",    
  Sheet58!$D$2:$D$1000,   "&lt;="&amp;$F4     ) / 1000</f>
        <v>36.16296686</v>
      </c>
      <c r="I4" s="307">
        <f>SUMIFS(
  Sheet58!$B$2:$B$1000,  
  Sheet58!$C$2:$C$1000,   "2025-03",    
  Sheet58!$D$2:$D$1000,   "&lt;="&amp;$F4     ) / 1000</f>
        <v>33.83472889</v>
      </c>
      <c r="J4" s="307">
        <f>SUMIFS(
  Sheet58!$B$2:$B$1000,  
  Sheet58!$C$2:$C$1000,   "2025-04",    
  Sheet58!$D$2:$D$1000,   "&lt;="&amp;$F4     ) / 1000</f>
        <v>70.74588818</v>
      </c>
    </row>
    <row r="5">
      <c r="A5" s="738">
        <v>45670.4375</v>
      </c>
      <c r="B5" s="87">
        <v>35743.06683237928</v>
      </c>
      <c r="C5" s="90" t="str">
        <f t="shared" si="1"/>
        <v>2025-01</v>
      </c>
      <c r="D5" s="90">
        <f t="shared" si="2"/>
        <v>13</v>
      </c>
      <c r="F5" s="90">
        <f t="shared" si="3"/>
        <v>4</v>
      </c>
      <c r="G5" s="307">
        <f>SUMIFS(
  Sheet58!$B$2:$B$1000,  
  Sheet58!$C$2:$C$1000,   "2025-01",    
  Sheet58!$D$2:$D$1000,   "&lt;="&amp;$F5     ) / 1000</f>
        <v>71.48611552</v>
      </c>
      <c r="H5" s="307">
        <f>SUMIFS(
  Sheet58!$B$2:$B$1000,  
  Sheet58!$C$2:$C$1000,   "2025-02",    
  Sheet58!$D$2:$D$1000,   "&lt;="&amp;$F5     ) / 1000</f>
        <v>36.16296686</v>
      </c>
      <c r="I5" s="307">
        <f>SUMIFS(
  Sheet58!$B$2:$B$1000,  
  Sheet58!$C$2:$C$1000,   "2025-03",    
  Sheet58!$D$2:$D$1000,   "&lt;="&amp;$F5     ) / 1000</f>
        <v>33.83472889</v>
      </c>
      <c r="J5" s="307">
        <f>SUMIFS(
  Sheet58!$B$2:$B$1000,  
  Sheet58!$C$2:$C$1000,   "2025-04",    
  Sheet58!$D$2:$D$1000,   "&lt;="&amp;$F5     ) / 1000</f>
        <v>70.74588818</v>
      </c>
    </row>
    <row r="6">
      <c r="A6" s="738">
        <v>45672.4375</v>
      </c>
      <c r="B6" s="87">
        <v>27903.856446916023</v>
      </c>
      <c r="C6" s="90" t="str">
        <f t="shared" si="1"/>
        <v>2025-01</v>
      </c>
      <c r="D6" s="90">
        <f t="shared" si="2"/>
        <v>15</v>
      </c>
      <c r="F6" s="90">
        <f t="shared" si="3"/>
        <v>5</v>
      </c>
      <c r="G6" s="307">
        <f>SUMIFS(
  Sheet58!$B$2:$B$1000,  
  Sheet58!$C$2:$C$1000,   "2025-01",    
  Sheet58!$D$2:$D$1000,   "&lt;="&amp;$F6     ) / 1000</f>
        <v>71.48611552</v>
      </c>
      <c r="H6" s="307">
        <f>SUMIFS(
  Sheet58!$B$2:$B$1000,  
  Sheet58!$C$2:$C$1000,   "2025-02",    
  Sheet58!$D$2:$D$1000,   "&lt;="&amp;$F6     ) / 1000</f>
        <v>71.70928323</v>
      </c>
      <c r="I6" s="307">
        <f>SUMIFS(
  Sheet58!$B$2:$B$1000,  
  Sheet58!$C$2:$C$1000,   "2025-03",    
  Sheet58!$D$2:$D$1000,   "&lt;="&amp;$F6     ) / 1000</f>
        <v>66.89016701</v>
      </c>
      <c r="J6" s="307">
        <f>SUMIFS(
  Sheet58!$B$2:$B$1000,  
  Sheet58!$C$2:$C$1000,   "2025-04",    
  Sheet58!$D$2:$D$1000,   "&lt;="&amp;$F6     ) / 1000</f>
        <v>70.74588818</v>
      </c>
    </row>
    <row r="7">
      <c r="A7" s="738">
        <v>45674.395833333336</v>
      </c>
      <c r="B7" s="87">
        <v>34140.38246954124</v>
      </c>
      <c r="C7" s="90" t="str">
        <f t="shared" si="1"/>
        <v>2025-01</v>
      </c>
      <c r="D7" s="90">
        <f t="shared" si="2"/>
        <v>17</v>
      </c>
      <c r="F7" s="90">
        <f t="shared" si="3"/>
        <v>6</v>
      </c>
      <c r="G7" s="307">
        <f>SUMIFS(
  Sheet58!$B$2:$B$1000,  
  Sheet58!$C$2:$C$1000,   "2025-01",    
  Sheet58!$D$2:$D$1000,   "&lt;="&amp;$F7     ) / 1000</f>
        <v>71.48611552</v>
      </c>
      <c r="H7" s="307">
        <f>SUMIFS(
  Sheet58!$B$2:$B$1000,  
  Sheet58!$C$2:$C$1000,   "2025-02",    
  Sheet58!$D$2:$D$1000,   "&lt;="&amp;$F7     ) / 1000</f>
        <v>71.70928323</v>
      </c>
      <c r="I7" s="307">
        <f>SUMIFS(
  Sheet58!$B$2:$B$1000,  
  Sheet58!$C$2:$C$1000,   "2025-03",    
  Sheet58!$D$2:$D$1000,   "&lt;="&amp;$F7     ) / 1000</f>
        <v>66.89016701</v>
      </c>
      <c r="J7" s="307">
        <f>SUMIFS(
  Sheet58!$B$2:$B$1000,  
  Sheet58!$C$2:$C$1000,   "2025-04",    
  Sheet58!$D$2:$D$1000,   "&lt;="&amp;$F7     ) / 1000</f>
        <v>70.74588818</v>
      </c>
    </row>
    <row r="8">
      <c r="A8" s="738">
        <v>45679.645833333336</v>
      </c>
      <c r="B8" s="87">
        <v>36101.477805698945</v>
      </c>
      <c r="C8" s="90" t="str">
        <f t="shared" si="1"/>
        <v>2025-01</v>
      </c>
      <c r="D8" s="90">
        <f t="shared" si="2"/>
        <v>22</v>
      </c>
      <c r="F8" s="90">
        <f t="shared" si="3"/>
        <v>7</v>
      </c>
      <c r="G8" s="307">
        <f>SUMIFS(
  Sheet58!$B$2:$B$1000,  
  Sheet58!$C$2:$C$1000,   "2025-01",    
  Sheet58!$D$2:$D$1000,   "&lt;="&amp;$F8     ) / 1000</f>
        <v>71.48611552</v>
      </c>
      <c r="H8" s="307">
        <f>SUMIFS(
  Sheet58!$B$2:$B$1000,  
  Sheet58!$C$2:$C$1000,   "2025-02",    
  Sheet58!$D$2:$D$1000,   "&lt;="&amp;$F8     ) / 1000</f>
        <v>105.8136277</v>
      </c>
      <c r="I8" s="307">
        <f>SUMIFS(
  Sheet58!$B$2:$B$1000,  
  Sheet58!$C$2:$C$1000,   "2025-03",    
  Sheet58!$D$2:$D$1000,   "&lt;="&amp;$F8     ) / 1000</f>
        <v>100.097341</v>
      </c>
      <c r="J8" s="307">
        <f>SUMIFS(
  Sheet58!$B$2:$B$1000,  
  Sheet58!$C$2:$C$1000,   "2025-04",    
  Sheet58!$D$2:$D$1000,   "&lt;="&amp;$F8     ) / 1000</f>
        <v>70.74588818</v>
      </c>
    </row>
    <row r="9">
      <c r="A9" s="738">
        <v>45680.395833333336</v>
      </c>
      <c r="B9" s="87">
        <v>35315.54190744891</v>
      </c>
      <c r="C9" s="90" t="str">
        <f t="shared" si="1"/>
        <v>2025-01</v>
      </c>
      <c r="D9" s="90">
        <f t="shared" si="2"/>
        <v>23</v>
      </c>
      <c r="F9" s="90">
        <f t="shared" si="3"/>
        <v>8</v>
      </c>
      <c r="G9" s="307">
        <f>SUMIFS(
  Sheet58!$B$2:$B$1000,  
  Sheet58!$C$2:$C$1000,   "2025-01",    
  Sheet58!$D$2:$D$1000,   "&lt;="&amp;$F9     ) / 1000</f>
        <v>89.10847221</v>
      </c>
      <c r="H9" s="307">
        <f>SUMIFS(
  Sheet58!$B$2:$B$1000,  
  Sheet58!$C$2:$C$1000,   "2025-02",    
  Sheet58!$D$2:$D$1000,   "&lt;="&amp;$F9     ) / 1000</f>
        <v>105.8136277</v>
      </c>
      <c r="I9" s="307">
        <f>SUMIFS(
  Sheet58!$B$2:$B$1000,  
  Sheet58!$C$2:$C$1000,   "2025-03",    
  Sheet58!$D$2:$D$1000,   "&lt;="&amp;$F9     ) / 1000</f>
        <v>100.097341</v>
      </c>
      <c r="J9" s="307">
        <f>SUMIFS(
  Sheet58!$B$2:$B$1000,  
  Sheet58!$C$2:$C$1000,   "2025-04",    
  Sheet58!$D$2:$D$1000,   "&lt;="&amp;$F9     ) / 1000</f>
        <v>70.74588818</v>
      </c>
    </row>
    <row r="10">
      <c r="A10" s="738">
        <v>45681.395833333336</v>
      </c>
      <c r="B10" s="87">
        <v>34949.48789360525</v>
      </c>
      <c r="C10" s="90" t="str">
        <f t="shared" si="1"/>
        <v>2025-01</v>
      </c>
      <c r="D10" s="90">
        <f t="shared" si="2"/>
        <v>24</v>
      </c>
      <c r="F10" s="90">
        <f t="shared" si="3"/>
        <v>9</v>
      </c>
      <c r="G10" s="307">
        <f>SUMIFS(
  Sheet58!$B$2:$B$1000,  
  Sheet58!$C$2:$C$1000,   "2025-01",    
  Sheet58!$D$2:$D$1000,   "&lt;="&amp;$F10     ) / 1000</f>
        <v>89.10847221</v>
      </c>
      <c r="H10" s="307">
        <f>SUMIFS(
  Sheet58!$B$2:$B$1000,  
  Sheet58!$C$2:$C$1000,   "2025-02",    
  Sheet58!$D$2:$D$1000,   "&lt;="&amp;$F10     ) / 1000</f>
        <v>105.8136277</v>
      </c>
      <c r="I10" s="307">
        <f>SUMIFS(
  Sheet58!$B$2:$B$1000,  
  Sheet58!$C$2:$C$1000,   "2025-03",    
  Sheet58!$D$2:$D$1000,   "&lt;="&amp;$F10     ) / 1000</f>
        <v>100.097341</v>
      </c>
      <c r="J10" s="307">
        <f>SUMIFS(
  Sheet58!$B$2:$B$1000,  
  Sheet58!$C$2:$C$1000,   "2025-04",    
  Sheet58!$D$2:$D$1000,   "&lt;="&amp;$F10     ) / 1000</f>
        <v>70.74588818</v>
      </c>
    </row>
    <row r="11">
      <c r="A11" s="738">
        <v>45688.416666666664</v>
      </c>
      <c r="B11" s="87">
        <v>36022.38027415156</v>
      </c>
      <c r="C11" s="90" t="str">
        <f t="shared" si="1"/>
        <v>2025-01</v>
      </c>
      <c r="D11" s="90">
        <f t="shared" si="2"/>
        <v>31</v>
      </c>
      <c r="F11" s="90">
        <f t="shared" si="3"/>
        <v>10</v>
      </c>
      <c r="G11" s="307">
        <f>SUMIFS(
  Sheet58!$B$2:$B$1000,  
  Sheet58!$C$2:$C$1000,   "2025-01",    
  Sheet58!$D$2:$D$1000,   "&lt;="&amp;$F11     ) / 1000</f>
        <v>89.10847221</v>
      </c>
      <c r="H11" s="307">
        <f>SUMIFS(
  Sheet58!$B$2:$B$1000,  
  Sheet58!$C$2:$C$1000,   "2025-02",    
  Sheet58!$D$2:$D$1000,   "&lt;="&amp;$F11     ) / 1000</f>
        <v>140.1585579</v>
      </c>
      <c r="I11" s="307">
        <f>SUMIFS(
  Sheet58!$B$2:$B$1000,  
  Sheet58!$C$2:$C$1000,   "2025-03",    
  Sheet58!$D$2:$D$1000,   "&lt;="&amp;$F11     ) / 1000</f>
        <v>135.0727472</v>
      </c>
      <c r="J11" s="307">
        <f>SUMIFS(
  Sheet58!$B$2:$B$1000,  
  Sheet58!$C$2:$C$1000,   "2025-04",    
  Sheet58!$D$2:$D$1000,   "&lt;="&amp;$F11     ) / 1000</f>
        <v>70.74588818</v>
      </c>
    </row>
    <row r="12">
      <c r="A12" s="681">
        <v>45686.0</v>
      </c>
      <c r="B12" s="87">
        <v>35242.22768549683</v>
      </c>
      <c r="C12" s="90" t="str">
        <f t="shared" si="1"/>
        <v>2025-01</v>
      </c>
      <c r="D12" s="90">
        <f t="shared" si="2"/>
        <v>29</v>
      </c>
      <c r="F12" s="90">
        <f t="shared" si="3"/>
        <v>11</v>
      </c>
      <c r="G12" s="307">
        <f>SUMIFS(
  Sheet58!$B$2:$B$1000,  
  Sheet58!$C$2:$C$1000,   "2025-01",    
  Sheet58!$D$2:$D$1000,   "&lt;="&amp;$F12     ) / 1000</f>
        <v>89.10847221</v>
      </c>
      <c r="H12" s="307">
        <f>SUMIFS(
  Sheet58!$B$2:$B$1000,  
  Sheet58!$C$2:$C$1000,   "2025-02",    
  Sheet58!$D$2:$D$1000,   "&lt;="&amp;$F12     ) / 1000</f>
        <v>140.1585579</v>
      </c>
      <c r="I12" s="307">
        <f>SUMIFS(
  Sheet58!$B$2:$B$1000,  
  Sheet58!$C$2:$C$1000,   "2025-03",    
  Sheet58!$D$2:$D$1000,   "&lt;="&amp;$F12     ) / 1000</f>
        <v>169.5875389</v>
      </c>
      <c r="J12" s="307">
        <f>SUMIFS(
  Sheet58!$B$2:$B$1000,  
  Sheet58!$C$2:$C$1000,   "2025-04",    
  Sheet58!$D$2:$D$1000,   "&lt;="&amp;$F12     ) / 1000</f>
        <v>70.74588818</v>
      </c>
    </row>
    <row r="13">
      <c r="A13" s="738">
        <v>45693.479166666664</v>
      </c>
      <c r="B13" s="87">
        <v>35546.31637198248</v>
      </c>
      <c r="C13" s="90" t="str">
        <f t="shared" si="1"/>
        <v>2025-02</v>
      </c>
      <c r="D13" s="90">
        <f t="shared" si="2"/>
        <v>5</v>
      </c>
      <c r="F13" s="90">
        <f t="shared" si="3"/>
        <v>12</v>
      </c>
      <c r="G13" s="307">
        <f>SUMIFS(
  Sheet58!$B$2:$B$1000,  
  Sheet58!$C$2:$C$1000,   "2025-01",    
  Sheet58!$D$2:$D$1000,   "&lt;="&amp;$F13     ) / 1000</f>
        <v>89.10847221</v>
      </c>
      <c r="H13" s="307">
        <f>SUMIFS(
  Sheet58!$B$2:$B$1000,  
  Sheet58!$C$2:$C$1000,   "2025-02",    
  Sheet58!$D$2:$D$1000,   "&lt;="&amp;$F13     ) / 1000</f>
        <v>140.1585579</v>
      </c>
      <c r="I13" s="307">
        <f>SUMIFS(
  Sheet58!$B$2:$B$1000,  
  Sheet58!$C$2:$C$1000,   "2025-03",    
  Sheet58!$D$2:$D$1000,   "&lt;="&amp;$F13     ) / 1000</f>
        <v>169.5875389</v>
      </c>
      <c r="J13" s="307">
        <f>SUMIFS(
  Sheet58!$B$2:$B$1000,  
  Sheet58!$C$2:$C$1000,   "2025-04",    
  Sheet58!$D$2:$D$1000,   "&lt;="&amp;$F13     ) / 1000</f>
        <v>70.74588818</v>
      </c>
    </row>
    <row r="14">
      <c r="A14" s="681">
        <v>45691.0</v>
      </c>
      <c r="B14" s="87">
        <v>36162.96686050204</v>
      </c>
      <c r="C14" s="90" t="str">
        <f t="shared" si="1"/>
        <v>2025-02</v>
      </c>
      <c r="D14" s="90">
        <f t="shared" si="2"/>
        <v>3</v>
      </c>
      <c r="F14" s="90">
        <f t="shared" si="3"/>
        <v>13</v>
      </c>
      <c r="G14" s="307">
        <f>SUMIFS(
  Sheet58!$B$2:$B$1000,  
  Sheet58!$C$2:$C$1000,   "2025-01",    
  Sheet58!$D$2:$D$1000,   "&lt;="&amp;$F14     ) / 1000</f>
        <v>124.851539</v>
      </c>
      <c r="H14" s="307">
        <f>SUMIFS(
  Sheet58!$B$2:$B$1000,  
  Sheet58!$C$2:$C$1000,   "2025-02",    
  Sheet58!$D$2:$D$1000,   "&lt;="&amp;$F14     ) / 1000</f>
        <v>140.1585579</v>
      </c>
      <c r="I14" s="307">
        <f>SUMIFS(
  Sheet58!$B$2:$B$1000,  
  Sheet58!$C$2:$C$1000,   "2025-03",    
  Sheet58!$D$2:$D$1000,   "&lt;="&amp;$F14     ) / 1000</f>
        <v>205.0933041</v>
      </c>
      <c r="J14" s="307">
        <f>SUMIFS(
  Sheet58!$B$2:$B$1000,  
  Sheet58!$C$2:$C$1000,   "2025-04",    
  Sheet58!$D$2:$D$1000,   "&lt;="&amp;$F14     ) / 1000</f>
        <v>70.74588818</v>
      </c>
    </row>
    <row r="15">
      <c r="A15" s="738">
        <v>45705.416666666664</v>
      </c>
      <c r="B15" s="87">
        <v>34506.98986673441</v>
      </c>
      <c r="C15" s="90" t="str">
        <f t="shared" si="1"/>
        <v>2025-02</v>
      </c>
      <c r="D15" s="90">
        <f t="shared" si="2"/>
        <v>17</v>
      </c>
      <c r="F15" s="90">
        <f t="shared" si="3"/>
        <v>14</v>
      </c>
      <c r="G15" s="307">
        <f>SUMIFS(
  Sheet58!$B$2:$B$1000,  
  Sheet58!$C$2:$C$1000,   "2025-01",    
  Sheet58!$D$2:$D$1000,   "&lt;="&amp;$F15     ) / 1000</f>
        <v>124.851539</v>
      </c>
      <c r="H15" s="307">
        <f>SUMIFS(
  Sheet58!$B$2:$B$1000,  
  Sheet58!$C$2:$C$1000,   "2025-02",    
  Sheet58!$D$2:$D$1000,   "&lt;="&amp;$F15     ) / 1000</f>
        <v>140.1585579</v>
      </c>
      <c r="I15" s="307">
        <f>SUMIFS(
  Sheet58!$B$2:$B$1000,  
  Sheet58!$C$2:$C$1000,   "2025-03",    
  Sheet58!$D$2:$D$1000,   "&lt;="&amp;$F15     ) / 1000</f>
        <v>205.0933041</v>
      </c>
      <c r="J15" s="307">
        <f>SUMIFS(
  Sheet58!$B$2:$B$1000,  
  Sheet58!$C$2:$C$1000,   "2025-04",    
  Sheet58!$D$2:$D$1000,   "&lt;="&amp;$F15     ) / 1000</f>
        <v>87.13488946</v>
      </c>
    </row>
    <row r="16">
      <c r="A16" s="738">
        <v>45695.416666666664</v>
      </c>
      <c r="B16" s="87">
        <v>34104.34451288657</v>
      </c>
      <c r="C16" s="90" t="str">
        <f t="shared" si="1"/>
        <v>2025-02</v>
      </c>
      <c r="D16" s="90">
        <f t="shared" si="2"/>
        <v>7</v>
      </c>
      <c r="F16" s="90">
        <f t="shared" si="3"/>
        <v>15</v>
      </c>
      <c r="G16" s="307">
        <f>SUMIFS(
  Sheet58!$B$2:$B$1000,  
  Sheet58!$C$2:$C$1000,   "2025-01",    
  Sheet58!$D$2:$D$1000,   "&lt;="&amp;$F16     ) / 1000</f>
        <v>152.7553955</v>
      </c>
      <c r="H16" s="307">
        <f>SUMIFS(
  Sheet58!$B$2:$B$1000,  
  Sheet58!$C$2:$C$1000,   "2025-02",    
  Sheet58!$D$2:$D$1000,   "&lt;="&amp;$F16     ) / 1000</f>
        <v>140.1585579</v>
      </c>
      <c r="I16" s="307">
        <f>SUMIFS(
  Sheet58!$B$2:$B$1000,  
  Sheet58!$C$2:$C$1000,   "2025-03",    
  Sheet58!$D$2:$D$1000,   "&lt;="&amp;$F16     ) / 1000</f>
        <v>205.0933041</v>
      </c>
      <c r="J16" s="307">
        <f>SUMIFS(
  Sheet58!$B$2:$B$1000,  
  Sheet58!$C$2:$C$1000,   "2025-04",    
  Sheet58!$D$2:$D$1000,   "&lt;="&amp;$F16     ) / 1000</f>
        <v>87.13488946</v>
      </c>
    </row>
    <row r="17">
      <c r="A17" s="738">
        <v>45719.4375</v>
      </c>
      <c r="B17" s="87">
        <v>33834.72888751803</v>
      </c>
      <c r="C17" s="90" t="str">
        <f t="shared" si="1"/>
        <v>2025-03</v>
      </c>
      <c r="D17" s="90">
        <f t="shared" si="2"/>
        <v>3</v>
      </c>
      <c r="F17" s="90">
        <f t="shared" si="3"/>
        <v>16</v>
      </c>
      <c r="G17" s="307">
        <f>SUMIFS(
  Sheet58!$B$2:$B$1000,  
  Sheet58!$C$2:$C$1000,   "2025-01",    
  Sheet58!$D$2:$D$1000,   "&lt;="&amp;$F17     ) / 1000</f>
        <v>152.7553955</v>
      </c>
      <c r="H17" s="307">
        <f>SUMIFS(
  Sheet58!$B$2:$B$1000,  
  Sheet58!$C$2:$C$1000,   "2025-02",    
  Sheet58!$D$2:$D$1000,   "&lt;="&amp;$F17     ) / 1000</f>
        <v>140.1585579</v>
      </c>
      <c r="I17" s="307">
        <f>SUMIFS(
  Sheet58!$B$2:$B$1000,  
  Sheet58!$C$2:$C$1000,   "2025-03",    
  Sheet58!$D$2:$D$1000,   "&lt;="&amp;$F17     ) / 1000</f>
        <v>205.0933041</v>
      </c>
      <c r="J17" s="307">
        <f>SUMIFS(
  Sheet58!$B$2:$B$1000,  
  Sheet58!$C$2:$C$1000,   "2025-04",    
  Sheet58!$D$2:$D$1000,   "&lt;="&amp;$F17     ) / 1000</f>
        <v>87.13488946</v>
      </c>
    </row>
    <row r="18">
      <c r="A18" s="738">
        <v>45698.395833333336</v>
      </c>
      <c r="B18" s="87">
        <v>34344.93019205124</v>
      </c>
      <c r="C18" s="90" t="str">
        <f t="shared" si="1"/>
        <v>2025-02</v>
      </c>
      <c r="D18" s="90">
        <f t="shared" si="2"/>
        <v>10</v>
      </c>
      <c r="F18" s="90">
        <f t="shared" si="3"/>
        <v>17</v>
      </c>
      <c r="G18" s="307">
        <f>SUMIFS(
  Sheet58!$B$2:$B$1000,  
  Sheet58!$C$2:$C$1000,   "2025-01",    
  Sheet58!$D$2:$D$1000,   "&lt;="&amp;$F18     ) / 1000</f>
        <v>186.895778</v>
      </c>
      <c r="H18" s="307">
        <f>SUMIFS(
  Sheet58!$B$2:$B$1000,  
  Sheet58!$C$2:$C$1000,   "2025-02",    
  Sheet58!$D$2:$D$1000,   "&lt;="&amp;$F18     ) / 1000</f>
        <v>174.6655478</v>
      </c>
      <c r="I18" s="307">
        <f>SUMIFS(
  Sheet58!$B$2:$B$1000,  
  Sheet58!$C$2:$C$1000,   "2025-03",    
  Sheet58!$D$2:$D$1000,   "&lt;="&amp;$F18     ) / 1000</f>
        <v>240.1047981</v>
      </c>
      <c r="J18" s="307">
        <f>SUMIFS(
  Sheet58!$B$2:$B$1000,  
  Sheet58!$C$2:$C$1000,   "2025-04",    
  Sheet58!$D$2:$D$1000,   "&lt;="&amp;$F18     ) / 1000</f>
        <v>87.13488946</v>
      </c>
    </row>
    <row r="19">
      <c r="A19" s="738">
        <v>45723.4375</v>
      </c>
      <c r="B19" s="87">
        <v>33207.174025455635</v>
      </c>
      <c r="C19" s="90" t="str">
        <f t="shared" si="1"/>
        <v>2025-03</v>
      </c>
      <c r="D19" s="90">
        <f t="shared" si="2"/>
        <v>7</v>
      </c>
      <c r="F19" s="90">
        <f t="shared" si="3"/>
        <v>18</v>
      </c>
      <c r="G19" s="307">
        <f>SUMIFS(
  Sheet58!$B$2:$B$1000,  
  Sheet58!$C$2:$C$1000,   "2025-01",    
  Sheet58!$D$2:$D$1000,   "&lt;="&amp;$F19     ) / 1000</f>
        <v>186.895778</v>
      </c>
      <c r="H19" s="307">
        <f>SUMIFS(
  Sheet58!$B$2:$B$1000,  
  Sheet58!$C$2:$C$1000,   "2025-02",    
  Sheet58!$D$2:$D$1000,   "&lt;="&amp;$F19     ) / 1000</f>
        <v>174.6655478</v>
      </c>
      <c r="I19" s="307">
        <f>SUMIFS(
  Sheet58!$B$2:$B$1000,  
  Sheet58!$C$2:$C$1000,   "2025-03",    
  Sheet58!$D$2:$D$1000,   "&lt;="&amp;$F19     ) / 1000</f>
        <v>275.3454654</v>
      </c>
      <c r="J19" s="307">
        <f>SUMIFS(
  Sheet58!$B$2:$B$1000,  
  Sheet58!$C$2:$C$1000,   "2025-04",    
  Sheet58!$D$2:$D$1000,   "&lt;="&amp;$F19     ) / 1000</f>
        <v>87.13488946</v>
      </c>
    </row>
    <row r="20">
      <c r="A20" s="738">
        <v>45712.916666666664</v>
      </c>
      <c r="B20" s="87">
        <v>34833.213887200516</v>
      </c>
      <c r="C20" s="90" t="str">
        <f t="shared" si="1"/>
        <v>2025-02</v>
      </c>
      <c r="D20" s="90">
        <f t="shared" si="2"/>
        <v>24</v>
      </c>
      <c r="F20" s="90">
        <f t="shared" si="3"/>
        <v>19</v>
      </c>
      <c r="G20" s="307">
        <f>SUMIFS(
  Sheet58!$B$2:$B$1000,  
  Sheet58!$C$2:$C$1000,   "2025-01",    
  Sheet58!$D$2:$D$1000,   "&lt;="&amp;$F20     ) / 1000</f>
        <v>186.895778</v>
      </c>
      <c r="H20" s="307">
        <f>SUMIFS(
  Sheet58!$B$2:$B$1000,  
  Sheet58!$C$2:$C$1000,   "2025-02",    
  Sheet58!$D$2:$D$1000,   "&lt;="&amp;$F20     ) / 1000</f>
        <v>174.6655478</v>
      </c>
      <c r="I20" s="307">
        <f>SUMIFS(
  Sheet58!$B$2:$B$1000,  
  Sheet58!$C$2:$C$1000,   "2025-03",    
  Sheet58!$D$2:$D$1000,   "&lt;="&amp;$F20     ) / 1000</f>
        <v>275.3454654</v>
      </c>
      <c r="J20" s="307">
        <f>SUMIFS(
  Sheet58!$B$2:$B$1000,  
  Sheet58!$C$2:$C$1000,   "2025-04",    
  Sheet58!$D$2:$D$1000,   "&lt;="&amp;$F20     ) / 1000</f>
        <v>87.13488946</v>
      </c>
    </row>
    <row r="21">
      <c r="A21" s="738">
        <v>45727.458333333336</v>
      </c>
      <c r="B21" s="87">
        <v>34514.7916647767</v>
      </c>
      <c r="C21" s="90" t="str">
        <f t="shared" si="1"/>
        <v>2025-03</v>
      </c>
      <c r="D21" s="90">
        <f t="shared" si="2"/>
        <v>11</v>
      </c>
      <c r="F21" s="90">
        <f t="shared" si="3"/>
        <v>20</v>
      </c>
      <c r="G21" s="307">
        <f>SUMIFS(
  Sheet58!$B$2:$B$1000,  
  Sheet58!$C$2:$C$1000,   "2025-01",    
  Sheet58!$D$2:$D$1000,   "&lt;="&amp;$F21     ) / 1000</f>
        <v>186.895778</v>
      </c>
      <c r="H21" s="307">
        <f>SUMIFS(
  Sheet58!$B$2:$B$1000,  
  Sheet58!$C$2:$C$1000,   "2025-02",    
  Sheet58!$D$2:$D$1000,   "&lt;="&amp;$F21     ) / 1000</f>
        <v>174.6655478</v>
      </c>
      <c r="I21" s="307">
        <f>SUMIFS(
  Sheet58!$B$2:$B$1000,  
  Sheet58!$C$2:$C$1000,   "2025-03",    
  Sheet58!$D$2:$D$1000,   "&lt;="&amp;$F21     ) / 1000</f>
        <v>311.1999891</v>
      </c>
      <c r="J21" s="307">
        <f>SUMIFS(
  Sheet58!$B$2:$B$1000,  
  Sheet58!$C$2:$C$1000,   "2025-04",    
  Sheet58!$D$2:$D$1000,   "&lt;="&amp;$F21     ) / 1000</f>
        <v>87.13488946</v>
      </c>
    </row>
    <row r="22">
      <c r="A22" s="738">
        <v>45721.4375</v>
      </c>
      <c r="B22" s="87">
        <v>33055.43812539123</v>
      </c>
      <c r="C22" s="90" t="str">
        <f t="shared" si="1"/>
        <v>2025-03</v>
      </c>
      <c r="D22" s="90">
        <f t="shared" si="2"/>
        <v>5</v>
      </c>
      <c r="F22" s="90">
        <f t="shared" si="3"/>
        <v>21</v>
      </c>
      <c r="G22" s="307">
        <f>SUMIFS(
  Sheet58!$B$2:$B$1000,  
  Sheet58!$C$2:$C$1000,   "2025-01",    
  Sheet58!$D$2:$D$1000,   "&lt;="&amp;$F22     ) / 1000</f>
        <v>186.895778</v>
      </c>
      <c r="H22" s="307">
        <f>SUMIFS(
  Sheet58!$B$2:$B$1000,  
  Sheet58!$C$2:$C$1000,   "2025-02",    
  Sheet58!$D$2:$D$1000,   "&lt;="&amp;$F22     ) / 1000</f>
        <v>174.6655478</v>
      </c>
      <c r="I22" s="307">
        <f>SUMIFS(
  Sheet58!$B$2:$B$1000,  
  Sheet58!$C$2:$C$1000,   "2025-03",    
  Sheet58!$D$2:$D$1000,   "&lt;="&amp;$F22     ) / 1000</f>
        <v>346.8282788</v>
      </c>
      <c r="J22" s="307">
        <f>SUMIFS(
  Sheet58!$B$2:$B$1000,  
  Sheet58!$C$2:$C$1000,   "2025-04",    
  Sheet58!$D$2:$D$1000,   "&lt;="&amp;$F22     ) / 1000</f>
        <v>87.13488946</v>
      </c>
    </row>
    <row r="23">
      <c r="A23" s="738">
        <v>45729.416666666664</v>
      </c>
      <c r="B23" s="87">
        <v>35505.76516587893</v>
      </c>
      <c r="C23" s="90" t="str">
        <f t="shared" si="1"/>
        <v>2025-03</v>
      </c>
      <c r="D23" s="90">
        <f t="shared" si="2"/>
        <v>13</v>
      </c>
      <c r="F23" s="90">
        <f t="shared" si="3"/>
        <v>22</v>
      </c>
      <c r="G23" s="307">
        <f>SUMIFS(
  Sheet58!$B$2:$B$1000,  
  Sheet58!$C$2:$C$1000,   "2025-01",    
  Sheet58!$D$2:$D$1000,   "&lt;="&amp;$F23     ) / 1000</f>
        <v>222.9972558</v>
      </c>
      <c r="H23" s="307">
        <f>SUMIFS(
  Sheet58!$B$2:$B$1000,  
  Sheet58!$C$2:$C$1000,   "2025-02",    
  Sheet58!$D$2:$D$1000,   "&lt;="&amp;$F23     ) / 1000</f>
        <v>174.6655478</v>
      </c>
      <c r="I23" s="307">
        <f>SUMIFS(
  Sheet58!$B$2:$B$1000,  
  Sheet58!$C$2:$C$1000,   "2025-03",    
  Sheet58!$D$2:$D$1000,   "&lt;="&amp;$F23     ) / 1000</f>
        <v>346.8282788</v>
      </c>
      <c r="J23" s="307">
        <f>SUMIFS(
  Sheet58!$B$2:$B$1000,  
  Sheet58!$C$2:$C$1000,   "2025-04",    
  Sheet58!$D$2:$D$1000,   "&lt;="&amp;$F23     ) / 1000</f>
        <v>87.13488946</v>
      </c>
    </row>
    <row r="24">
      <c r="A24" s="738">
        <v>45726.4375</v>
      </c>
      <c r="B24" s="87">
        <v>34975.4061924504</v>
      </c>
      <c r="C24" s="90" t="str">
        <f t="shared" si="1"/>
        <v>2025-03</v>
      </c>
      <c r="D24" s="90">
        <f t="shared" si="2"/>
        <v>10</v>
      </c>
      <c r="F24" s="90">
        <f t="shared" si="3"/>
        <v>23</v>
      </c>
      <c r="G24" s="307">
        <f>SUMIFS(
  Sheet58!$B$2:$B$1000,  
  Sheet58!$C$2:$C$1000,   "2025-01",    
  Sheet58!$D$2:$D$1000,   "&lt;="&amp;$F24     ) / 1000</f>
        <v>258.3127977</v>
      </c>
      <c r="H24" s="307">
        <f>SUMIFS(
  Sheet58!$B$2:$B$1000,  
  Sheet58!$C$2:$C$1000,   "2025-02",    
  Sheet58!$D$2:$D$1000,   "&lt;="&amp;$F24     ) / 1000</f>
        <v>174.6655478</v>
      </c>
      <c r="I24" s="307">
        <f>SUMIFS(
  Sheet58!$B$2:$B$1000,  
  Sheet58!$C$2:$C$1000,   "2025-03",    
  Sheet58!$D$2:$D$1000,   "&lt;="&amp;$F24     ) / 1000</f>
        <v>346.8282788</v>
      </c>
      <c r="J24" s="307">
        <f>SUMIFS(
  Sheet58!$B$2:$B$1000,  
  Sheet58!$C$2:$C$1000,   "2025-04",    
  Sheet58!$D$2:$D$1000,   "&lt;="&amp;$F24     ) / 1000</f>
        <v>87.13488946</v>
      </c>
    </row>
    <row r="25">
      <c r="A25" s="738">
        <v>45734.4375</v>
      </c>
      <c r="B25" s="87">
        <v>35240.66732588837</v>
      </c>
      <c r="C25" s="90" t="str">
        <f t="shared" si="1"/>
        <v>2025-03</v>
      </c>
      <c r="D25" s="90">
        <f t="shared" si="2"/>
        <v>18</v>
      </c>
      <c r="F25" s="90">
        <f t="shared" si="3"/>
        <v>24</v>
      </c>
      <c r="G25" s="307">
        <f>SUMIFS(
  Sheet58!$B$2:$B$1000,  
  Sheet58!$C$2:$C$1000,   "2025-01",    
  Sheet58!$D$2:$D$1000,   "&lt;="&amp;$F25     ) / 1000</f>
        <v>293.2622856</v>
      </c>
      <c r="H25" s="307">
        <f>SUMIFS(
  Sheet58!$B$2:$B$1000,  
  Sheet58!$C$2:$C$1000,   "2025-02",    
  Sheet58!$D$2:$D$1000,   "&lt;="&amp;$F25     ) / 1000</f>
        <v>209.4987617</v>
      </c>
      <c r="I25" s="307">
        <f>SUMIFS(
  Sheet58!$B$2:$B$1000,  
  Sheet58!$C$2:$C$1000,   "2025-03",    
  Sheet58!$D$2:$D$1000,   "&lt;="&amp;$F25     ) / 1000</f>
        <v>380.1399606</v>
      </c>
      <c r="J25" s="307">
        <f>SUMIFS(
  Sheet58!$B$2:$B$1000,  
  Sheet58!$C$2:$C$1000,   "2025-04",    
  Sheet58!$D$2:$D$1000,   "&lt;="&amp;$F25     ) / 1000</f>
        <v>87.13488946</v>
      </c>
    </row>
    <row r="26">
      <c r="B26" s="87"/>
      <c r="F26" s="90">
        <f t="shared" si="3"/>
        <v>25</v>
      </c>
      <c r="G26" s="307">
        <f>SUMIFS(
  Sheet58!$B$2:$B$1000,  
  Sheet58!$C$2:$C$1000,   "2025-01",    
  Sheet58!$D$2:$D$1000,   "&lt;="&amp;$F26     ) / 1000</f>
        <v>293.2622856</v>
      </c>
      <c r="H26" s="307">
        <f>SUMIFS(
  Sheet58!$B$2:$B$1000,  
  Sheet58!$C$2:$C$1000,   "2025-02",    
  Sheet58!$D$2:$D$1000,   "&lt;="&amp;$F26     ) / 1000</f>
        <v>209.4987617</v>
      </c>
      <c r="I26" s="307">
        <f>SUMIFS(
  Sheet58!$B$2:$B$1000,  
  Sheet58!$C$2:$C$1000,   "2025-03",    
  Sheet58!$D$2:$D$1000,   "&lt;="&amp;$F26     ) / 1000</f>
        <v>415.1838593</v>
      </c>
      <c r="J26" s="307">
        <f>SUMIFS(
  Sheet58!$B$2:$B$1000,  
  Sheet58!$C$2:$C$1000,   "2025-04",    
  Sheet58!$D$2:$D$1000,   "&lt;="&amp;$F26     ) / 1000</f>
        <v>87.13488946</v>
      </c>
    </row>
    <row r="27">
      <c r="A27" s="738">
        <v>45736.354166666664</v>
      </c>
      <c r="B27" s="87">
        <v>35854.523682085804</v>
      </c>
      <c r="C27" s="90" t="str">
        <f t="shared" ref="C27:C37" si="4">TEXT(A27, "yyyy-mm")</f>
        <v>2025-03</v>
      </c>
      <c r="D27" s="90">
        <f t="shared" ref="D27:D37" si="5">DAY(A27)</f>
        <v>20</v>
      </c>
      <c r="F27" s="90">
        <f t="shared" si="3"/>
        <v>26</v>
      </c>
      <c r="G27" s="307">
        <f>SUMIFS(
  Sheet58!$B$2:$B$1000,  
  Sheet58!$C$2:$C$1000,   "2025-01",    
  Sheet58!$D$2:$D$1000,   "&lt;="&amp;$F27     ) / 1000</f>
        <v>293.2622856</v>
      </c>
      <c r="H27" s="307">
        <f>SUMIFS(
  Sheet58!$B$2:$B$1000,  
  Sheet58!$C$2:$C$1000,   "2025-02",    
  Sheet58!$D$2:$D$1000,   "&lt;="&amp;$F27     ) / 1000</f>
        <v>209.4987617</v>
      </c>
      <c r="I27" s="307">
        <f>SUMIFS(
  Sheet58!$B$2:$B$1000,  
  Sheet58!$C$2:$C$1000,   "2025-03",    
  Sheet58!$D$2:$D$1000,   "&lt;="&amp;$F27     ) / 1000</f>
        <v>415.1838593</v>
      </c>
      <c r="J27" s="307">
        <f>SUMIFS(
  Sheet58!$B$2:$B$1000,  
  Sheet58!$C$2:$C$1000,   "2025-04",    
  Sheet58!$D$2:$D$1000,   "&lt;="&amp;$F27     ) / 1000</f>
        <v>87.13488946</v>
      </c>
    </row>
    <row r="28">
      <c r="A28" s="738">
        <v>45733.416666666664</v>
      </c>
      <c r="B28" s="87">
        <v>35011.4940443251</v>
      </c>
      <c r="C28" s="90" t="str">
        <f t="shared" si="4"/>
        <v>2025-03</v>
      </c>
      <c r="D28" s="90">
        <f t="shared" si="5"/>
        <v>17</v>
      </c>
      <c r="F28" s="90">
        <f t="shared" si="3"/>
        <v>27</v>
      </c>
      <c r="G28" s="307">
        <f>SUMIFS(
  Sheet58!$B$2:$B$1000,  
  Sheet58!$C$2:$C$1000,   "2025-01",    
  Sheet58!$D$2:$D$1000,   "&lt;="&amp;$F28     ) / 1000</f>
        <v>293.2622856</v>
      </c>
      <c r="H28" s="307">
        <f>SUMIFS(
  Sheet58!$B$2:$B$1000,  
  Sheet58!$C$2:$C$1000,   "2025-02",    
  Sheet58!$D$2:$D$1000,   "&lt;="&amp;$F28     ) / 1000</f>
        <v>209.4987617</v>
      </c>
      <c r="I28" s="307">
        <f>SUMIFS(
  Sheet58!$B$2:$B$1000,  
  Sheet58!$C$2:$C$1000,   "2025-03",    
  Sheet58!$D$2:$D$1000,   "&lt;="&amp;$F28     ) / 1000</f>
        <v>450.6493999</v>
      </c>
      <c r="J28" s="307">
        <f>SUMIFS(
  Sheet58!$B$2:$B$1000,  
  Sheet58!$C$2:$C$1000,   "2025-04",    
  Sheet58!$D$2:$D$1000,   "&lt;="&amp;$F28     ) / 1000</f>
        <v>87.13488946</v>
      </c>
    </row>
    <row r="29">
      <c r="A29" s="681">
        <v>45740.0</v>
      </c>
      <c r="B29" s="87">
        <v>33311.6818317896</v>
      </c>
      <c r="C29" s="90" t="str">
        <f t="shared" si="4"/>
        <v>2025-03</v>
      </c>
      <c r="D29" s="90">
        <f t="shared" si="5"/>
        <v>24</v>
      </c>
      <c r="F29" s="90">
        <f t="shared" si="3"/>
        <v>28</v>
      </c>
      <c r="G29" s="307">
        <f>SUMIFS(
  Sheet58!$B$2:$B$1000,  
  Sheet58!$C$2:$C$1000,   "2025-01",    
  Sheet58!$D$2:$D$1000,   "&lt;="&amp;$F29     ) / 1000</f>
        <v>293.2622856</v>
      </c>
      <c r="H29" s="307">
        <f>SUMIFS(
  Sheet58!$B$2:$B$1000,  
  Sheet58!$C$2:$C$1000,   "2025-02",    
  Sheet58!$D$2:$D$1000,   "&lt;="&amp;$F29     ) / 1000</f>
        <v>209.4987617</v>
      </c>
      <c r="I29" s="307">
        <f>SUMIFS(
  Sheet58!$B$2:$B$1000,  
  Sheet58!$C$2:$C$1000,   "2025-03",    
  Sheet58!$D$2:$D$1000,   "&lt;="&amp;$F29     ) / 1000</f>
        <v>485.6332248</v>
      </c>
      <c r="J29" s="307">
        <f>SUMIFS(
  Sheet58!$B$2:$B$1000,  
  Sheet58!$C$2:$C$1000,   "2025-04",    
  Sheet58!$D$2:$D$1000,   "&lt;="&amp;$F29     ) / 1000</f>
        <v>87.13488946</v>
      </c>
    </row>
    <row r="30">
      <c r="A30" s="738">
        <v>45737.354166666664</v>
      </c>
      <c r="B30" s="87">
        <v>35628.28968257568</v>
      </c>
      <c r="C30" s="90" t="str">
        <f t="shared" si="4"/>
        <v>2025-03</v>
      </c>
      <c r="D30" s="90">
        <f t="shared" si="5"/>
        <v>21</v>
      </c>
      <c r="F30" s="90">
        <f t="shared" si="3"/>
        <v>29</v>
      </c>
      <c r="G30" s="307">
        <f>SUMIFS(
  Sheet58!$B$2:$B$1000,  
  Sheet58!$C$2:$C$1000,   "2025-01",    
  Sheet58!$D$2:$D$1000,   "&lt;="&amp;$F30     ) / 1000</f>
        <v>328.5045132</v>
      </c>
      <c r="H30" s="307">
        <f>SUMIFS(
  Sheet58!$B$2:$B$1000,  
  Sheet58!$C$2:$C$1000,   "2025-02",    
  Sheet58!$D$2:$D$1000,   "&lt;="&amp;$F30     ) / 1000</f>
        <v>209.4987617</v>
      </c>
      <c r="I30" s="307">
        <f>SUMIFS(
  Sheet58!$B$2:$B$1000,  
  Sheet58!$C$2:$C$1000,   "2025-03",    
  Sheet58!$D$2:$D$1000,   "&lt;="&amp;$F30     ) / 1000</f>
        <v>485.6332248</v>
      </c>
      <c r="J30" s="307">
        <f>SUMIFS(
  Sheet58!$B$2:$B$1000,  
  Sheet58!$C$2:$C$1000,   "2025-04",    
  Sheet58!$D$2:$D$1000,   "&lt;="&amp;$F30     ) / 1000</f>
        <v>87.13488946</v>
      </c>
    </row>
    <row r="31">
      <c r="A31" s="738">
        <v>45743.4375</v>
      </c>
      <c r="B31" s="87">
        <v>35465.54054667018</v>
      </c>
      <c r="C31" s="90" t="str">
        <f t="shared" si="4"/>
        <v>2025-03</v>
      </c>
      <c r="D31" s="90">
        <f t="shared" si="5"/>
        <v>27</v>
      </c>
      <c r="F31" s="90">
        <f t="shared" si="3"/>
        <v>30</v>
      </c>
      <c r="G31" s="307">
        <f>SUMIFS(
  Sheet58!$B$2:$B$1000,  
  Sheet58!$C$2:$C$1000,   "2025-01",    
  Sheet58!$D$2:$D$1000,   "&lt;="&amp;$F31     ) / 1000</f>
        <v>328.5045132</v>
      </c>
      <c r="H31" s="307">
        <f>SUMIFS(
  Sheet58!$B$2:$B$1000,  
  Sheet58!$C$2:$C$1000,   "2025-02",    
  Sheet58!$D$2:$D$1000,   "&lt;="&amp;$F31     ) / 1000</f>
        <v>209.4987617</v>
      </c>
      <c r="I31" s="307">
        <f>SUMIFS(
  Sheet58!$B$2:$B$1000,  
  Sheet58!$C$2:$C$1000,   "2025-03",    
  Sheet58!$D$2:$D$1000,   "&lt;="&amp;$F31     ) / 1000</f>
        <v>485.6332248</v>
      </c>
      <c r="J31" s="307">
        <f>SUMIFS(
  Sheet58!$B$2:$B$1000,  
  Sheet58!$C$2:$C$1000,   "2025-04",    
  Sheet58!$D$2:$D$1000,   "&lt;="&amp;$F31     ) / 1000</f>
        <v>87.13488946</v>
      </c>
    </row>
    <row r="32">
      <c r="A32" s="738">
        <v>45741.416666666664</v>
      </c>
      <c r="B32" s="87">
        <v>35043.898721775186</v>
      </c>
      <c r="C32" s="90" t="str">
        <f t="shared" si="4"/>
        <v>2025-03</v>
      </c>
      <c r="D32" s="90">
        <f t="shared" si="5"/>
        <v>25</v>
      </c>
      <c r="F32" s="90">
        <f t="shared" si="3"/>
        <v>31</v>
      </c>
      <c r="G32" s="307">
        <f>SUMIFS(
  Sheet58!$B$2:$B$1000,  
  Sheet58!$C$2:$C$1000,   "2025-01",    
  Sheet58!$D$2:$D$1000,   "&lt;="&amp;$F32     ) / 1000</f>
        <v>364.5268935</v>
      </c>
      <c r="H32" s="307">
        <f>SUMIFS(
  Sheet58!$B$2:$B$1000,  
  Sheet58!$C$2:$C$1000,   "2025-02",    
  Sheet58!$D$2:$D$1000,   "&lt;="&amp;$F32     ) / 1000</f>
        <v>209.4987617</v>
      </c>
      <c r="I32" s="307">
        <f>SUMIFS(
  Sheet58!$B$2:$B$1000,  
  Sheet58!$C$2:$C$1000,   "2025-03",    
  Sheet58!$D$2:$D$1000,   "&lt;="&amp;$F32     ) / 1000</f>
        <v>521.7158513</v>
      </c>
      <c r="J32" s="307">
        <f>SUMIFS(
  Sheet58!$B$2:$B$1000,  
  Sheet58!$C$2:$C$1000,   "2025-04",    
  Sheet58!$D$2:$D$1000,   "&lt;="&amp;$F32     ) / 1000</f>
        <v>87.13488946</v>
      </c>
    </row>
    <row r="33">
      <c r="A33" s="738">
        <v>45744.4375</v>
      </c>
      <c r="B33" s="87">
        <v>34983.82487684953</v>
      </c>
      <c r="C33" s="90" t="str">
        <f t="shared" si="4"/>
        <v>2025-03</v>
      </c>
      <c r="D33" s="90">
        <f t="shared" si="5"/>
        <v>28</v>
      </c>
    </row>
    <row r="34">
      <c r="A34" s="738">
        <v>45748.354166666664</v>
      </c>
      <c r="B34" s="87">
        <v>35534.541100053524</v>
      </c>
      <c r="C34" s="90" t="str">
        <f t="shared" si="4"/>
        <v>2025-04</v>
      </c>
      <c r="D34" s="90">
        <f t="shared" si="5"/>
        <v>1</v>
      </c>
    </row>
    <row r="35">
      <c r="A35" s="738">
        <v>45747.354166666664</v>
      </c>
      <c r="B35" s="87">
        <v>36082.6264843828</v>
      </c>
      <c r="C35" s="90" t="str">
        <f t="shared" si="4"/>
        <v>2025-03</v>
      </c>
      <c r="D35" s="90">
        <f t="shared" si="5"/>
        <v>31</v>
      </c>
    </row>
    <row r="36">
      <c r="A36" s="738">
        <v>45761.385416666664</v>
      </c>
      <c r="B36" s="87">
        <v>16389.001279132008</v>
      </c>
      <c r="C36" s="90" t="str">
        <f t="shared" si="4"/>
        <v>2025-04</v>
      </c>
      <c r="D36" s="90">
        <f t="shared" si="5"/>
        <v>14</v>
      </c>
    </row>
    <row r="37">
      <c r="A37" s="738">
        <v>45750.4375</v>
      </c>
      <c r="B37" s="87">
        <v>35211.34708022245</v>
      </c>
      <c r="C37" s="90" t="str">
        <f t="shared" si="4"/>
        <v>2025-04</v>
      </c>
      <c r="D37" s="90">
        <f t="shared" si="5"/>
        <v>3</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739" t="s">
        <v>2673</v>
      </c>
      <c r="B1" s="740" t="s">
        <v>2674</v>
      </c>
      <c r="C1" s="739" t="s">
        <v>3394</v>
      </c>
      <c r="D1" s="739" t="s">
        <v>3395</v>
      </c>
      <c r="E1" s="739" t="s">
        <v>2675</v>
      </c>
      <c r="F1" s="739" t="s">
        <v>2676</v>
      </c>
      <c r="G1" s="740" t="s">
        <v>2677</v>
      </c>
      <c r="H1" s="740" t="s">
        <v>2678</v>
      </c>
      <c r="I1" s="740" t="s">
        <v>2679</v>
      </c>
      <c r="J1" s="740" t="s">
        <v>2680</v>
      </c>
      <c r="K1" s="740" t="s">
        <v>2681</v>
      </c>
      <c r="L1" s="739" t="s">
        <v>3012</v>
      </c>
      <c r="M1" s="739" t="s">
        <v>2686</v>
      </c>
      <c r="N1" s="82"/>
      <c r="O1" s="82"/>
      <c r="P1" s="82" t="s">
        <v>2682</v>
      </c>
      <c r="Q1" s="87">
        <f>SUM('PROD SSoT MRV Sheet'!BT52:BT62)</f>
        <v>-50455.27222</v>
      </c>
    </row>
    <row r="2">
      <c r="A2" s="741">
        <v>200085.0</v>
      </c>
      <c r="B2" s="742">
        <v>35534.5411001</v>
      </c>
      <c r="C2" s="742">
        <v>37014.87</v>
      </c>
      <c r="D2" s="742">
        <f t="shared" ref="D2:D25" si="1">C2-B2</f>
        <v>1480.3289</v>
      </c>
      <c r="E2" s="742">
        <v>0.0</v>
      </c>
      <c r="F2" s="743">
        <v>0.0</v>
      </c>
      <c r="G2" s="742">
        <f t="shared" ref="G2:G25" si="2">B2*(1-F2)</f>
        <v>35534.5411</v>
      </c>
      <c r="H2" s="742">
        <f t="shared" ref="H2:H25" si="3">G2*M2</f>
        <v>1776.407972</v>
      </c>
      <c r="I2" s="742">
        <f t="shared" ref="I2:I25" si="4">SUM(G2:H2)</f>
        <v>37310.94907</v>
      </c>
      <c r="J2" s="742">
        <f t="shared" ref="J2:J25" si="5">I2/1000</f>
        <v>37.31094907</v>
      </c>
      <c r="K2" s="742">
        <f t="shared" ref="K2:K25" si="6">SUMIF($D$29:$D1008,A2,$E$29:$E1008)</f>
        <v>37.31094907</v>
      </c>
      <c r="L2" s="744">
        <f t="shared" ref="L2:L25" si="7">D2/C2</f>
        <v>0.0399928164</v>
      </c>
      <c r="M2" s="745">
        <f t="shared" ref="M2:M25" si="8">L2*(1+$Q$4)</f>
        <v>0.0499910205</v>
      </c>
      <c r="N2" s="82"/>
      <c r="O2" s="82"/>
      <c r="P2" s="82" t="s">
        <v>2683</v>
      </c>
      <c r="Q2" s="87">
        <f>SUM('PROD SSoT MRV Sheet'!AP52:AP62)</f>
        <v>316116.0915</v>
      </c>
    </row>
    <row r="3">
      <c r="A3" s="741">
        <v>300019.0</v>
      </c>
      <c r="B3" s="742">
        <v>35213.16</v>
      </c>
      <c r="C3" s="742">
        <v>38240.16</v>
      </c>
      <c r="D3" s="742">
        <f t="shared" si="1"/>
        <v>3027</v>
      </c>
      <c r="E3" s="742">
        <v>5377.05</v>
      </c>
      <c r="F3" s="743">
        <f t="shared" ref="F3:F25" si="9">E3/C3</f>
        <v>0.1406126439</v>
      </c>
      <c r="G3" s="742">
        <f t="shared" si="2"/>
        <v>30261.74447</v>
      </c>
      <c r="H3" s="742">
        <f t="shared" si="3"/>
        <v>2994.309533</v>
      </c>
      <c r="I3" s="742">
        <f t="shared" si="4"/>
        <v>33256.05401</v>
      </c>
      <c r="J3" s="742">
        <f t="shared" si="5"/>
        <v>33.25605401</v>
      </c>
      <c r="K3" s="742">
        <f t="shared" si="6"/>
        <v>33.25605401</v>
      </c>
      <c r="L3" s="744">
        <f t="shared" si="7"/>
        <v>0.07915761859</v>
      </c>
      <c r="M3" s="745">
        <f t="shared" si="8"/>
        <v>0.09894702323</v>
      </c>
      <c r="N3" s="82"/>
      <c r="O3" s="82"/>
      <c r="P3" s="82" t="s">
        <v>2684</v>
      </c>
      <c r="Q3" s="174">
        <f>Q1/Q2</f>
        <v>-0.1596099458</v>
      </c>
    </row>
    <row r="4">
      <c r="A4" s="741">
        <v>200086.0</v>
      </c>
      <c r="B4" s="742">
        <v>16389.0</v>
      </c>
      <c r="C4" s="742">
        <v>17396.15</v>
      </c>
      <c r="D4" s="742">
        <f t="shared" si="1"/>
        <v>1007.15</v>
      </c>
      <c r="E4" s="742">
        <v>0.0</v>
      </c>
      <c r="F4" s="743">
        <f t="shared" si="9"/>
        <v>0</v>
      </c>
      <c r="G4" s="742">
        <f t="shared" si="2"/>
        <v>16389</v>
      </c>
      <c r="H4" s="742">
        <f t="shared" si="3"/>
        <v>1186.051321</v>
      </c>
      <c r="I4" s="742">
        <f t="shared" si="4"/>
        <v>17575.05132</v>
      </c>
      <c r="J4" s="742">
        <f t="shared" si="5"/>
        <v>17.57505132</v>
      </c>
      <c r="K4" s="742">
        <f t="shared" si="6"/>
        <v>17.57505132</v>
      </c>
      <c r="L4" s="744">
        <f t="shared" si="7"/>
        <v>0.05789499401</v>
      </c>
      <c r="M4" s="745">
        <f t="shared" si="8"/>
        <v>0.07236874251</v>
      </c>
      <c r="N4" s="82"/>
      <c r="O4" s="82"/>
      <c r="P4" s="82" t="s">
        <v>2685</v>
      </c>
      <c r="Q4" s="311">
        <v>0.25</v>
      </c>
    </row>
    <row r="5">
      <c r="A5" s="741">
        <v>200087.0</v>
      </c>
      <c r="B5" s="742">
        <v>35775.31</v>
      </c>
      <c r="C5" s="742">
        <v>37100.8</v>
      </c>
      <c r="D5" s="742">
        <f t="shared" si="1"/>
        <v>1325.49</v>
      </c>
      <c r="E5" s="742">
        <v>0.0</v>
      </c>
      <c r="F5" s="743">
        <f t="shared" si="9"/>
        <v>0</v>
      </c>
      <c r="G5" s="742">
        <f t="shared" si="2"/>
        <v>35775.31</v>
      </c>
      <c r="H5" s="742">
        <f t="shared" si="3"/>
        <v>1597.668233</v>
      </c>
      <c r="I5" s="742">
        <f t="shared" si="4"/>
        <v>37372.97823</v>
      </c>
      <c r="J5" s="742">
        <f t="shared" si="5"/>
        <v>37.37297823</v>
      </c>
      <c r="K5" s="742">
        <f t="shared" si="6"/>
        <v>37.37297823</v>
      </c>
      <c r="L5" s="744">
        <f t="shared" si="7"/>
        <v>0.03572672287</v>
      </c>
      <c r="M5" s="745">
        <f t="shared" si="8"/>
        <v>0.04465840359</v>
      </c>
      <c r="N5" s="82"/>
      <c r="O5" s="82"/>
      <c r="P5" s="82" t="s">
        <v>2686</v>
      </c>
      <c r="Q5" s="174">
        <f>Q3*(1+Q4)</f>
        <v>-0.1995124322</v>
      </c>
    </row>
    <row r="6">
      <c r="A6" s="741">
        <v>200088.0</v>
      </c>
      <c r="B6" s="742">
        <v>34816.2</v>
      </c>
      <c r="C6" s="742">
        <v>36542.0</v>
      </c>
      <c r="D6" s="742">
        <f t="shared" si="1"/>
        <v>1725.8</v>
      </c>
      <c r="E6" s="742">
        <v>0.0</v>
      </c>
      <c r="F6" s="743">
        <f t="shared" si="9"/>
        <v>0</v>
      </c>
      <c r="G6" s="742">
        <f t="shared" si="2"/>
        <v>34816.2</v>
      </c>
      <c r="H6" s="742">
        <f t="shared" si="3"/>
        <v>2055.367726</v>
      </c>
      <c r="I6" s="742">
        <f t="shared" si="4"/>
        <v>36871.56773</v>
      </c>
      <c r="J6" s="742">
        <f t="shared" si="5"/>
        <v>36.87156773</v>
      </c>
      <c r="K6" s="742">
        <f t="shared" si="6"/>
        <v>36.87156773</v>
      </c>
      <c r="L6" s="744">
        <f t="shared" si="7"/>
        <v>0.04722784741</v>
      </c>
      <c r="M6" s="745">
        <f t="shared" si="8"/>
        <v>0.05903480926</v>
      </c>
      <c r="N6" s="540"/>
      <c r="O6" s="540"/>
    </row>
    <row r="7">
      <c r="A7" s="741">
        <v>200089.0</v>
      </c>
      <c r="B7" s="742">
        <v>35100.53</v>
      </c>
      <c r="C7" s="742">
        <v>35886.8</v>
      </c>
      <c r="D7" s="742">
        <f t="shared" si="1"/>
        <v>786.27</v>
      </c>
      <c r="E7" s="742">
        <v>0.0</v>
      </c>
      <c r="F7" s="743">
        <f t="shared" si="9"/>
        <v>0</v>
      </c>
      <c r="G7" s="742">
        <f t="shared" si="2"/>
        <v>35100.53</v>
      </c>
      <c r="H7" s="742">
        <f t="shared" si="3"/>
        <v>961.3037984</v>
      </c>
      <c r="I7" s="742">
        <f t="shared" si="4"/>
        <v>36061.8338</v>
      </c>
      <c r="J7" s="742">
        <f t="shared" si="5"/>
        <v>36.0618338</v>
      </c>
      <c r="K7" s="742">
        <f t="shared" si="6"/>
        <v>36.0618338</v>
      </c>
      <c r="L7" s="744">
        <f t="shared" si="7"/>
        <v>0.02190972725</v>
      </c>
      <c r="M7" s="745">
        <f t="shared" si="8"/>
        <v>0.02738715907</v>
      </c>
      <c r="N7" s="82"/>
      <c r="O7" s="82"/>
    </row>
    <row r="8">
      <c r="A8" s="741">
        <v>300020.0</v>
      </c>
      <c r="B8" s="742">
        <v>36074.37</v>
      </c>
      <c r="C8" s="742">
        <v>36298.21</v>
      </c>
      <c r="D8" s="742">
        <f t="shared" si="1"/>
        <v>223.84</v>
      </c>
      <c r="E8" s="746">
        <v>4296.75</v>
      </c>
      <c r="F8" s="743">
        <f t="shared" si="9"/>
        <v>0.1183736058</v>
      </c>
      <c r="G8" s="742">
        <f t="shared" si="2"/>
        <v>31804.11675</v>
      </c>
      <c r="H8" s="742">
        <f t="shared" si="3"/>
        <v>245.1578705</v>
      </c>
      <c r="I8" s="742">
        <f t="shared" si="4"/>
        <v>32049.27462</v>
      </c>
      <c r="J8" s="742">
        <f t="shared" si="5"/>
        <v>32.04927462</v>
      </c>
      <c r="K8" s="742">
        <f t="shared" si="6"/>
        <v>32.04927462</v>
      </c>
      <c r="L8" s="744">
        <f t="shared" si="7"/>
        <v>0.006166695272</v>
      </c>
      <c r="M8" s="745">
        <f t="shared" si="8"/>
        <v>0.00770836909</v>
      </c>
      <c r="N8" s="82"/>
      <c r="O8" s="82"/>
    </row>
    <row r="9">
      <c r="A9" s="741">
        <v>200090.0</v>
      </c>
      <c r="B9" s="742">
        <v>35406.56</v>
      </c>
      <c r="C9" s="742">
        <v>36642.77</v>
      </c>
      <c r="D9" s="742">
        <f t="shared" si="1"/>
        <v>1236.21</v>
      </c>
      <c r="E9" s="742">
        <v>0.0</v>
      </c>
      <c r="F9" s="743">
        <f t="shared" si="9"/>
        <v>0</v>
      </c>
      <c r="G9" s="742">
        <f t="shared" si="2"/>
        <v>35406.56</v>
      </c>
      <c r="H9" s="742">
        <f t="shared" si="3"/>
        <v>1493.13028</v>
      </c>
      <c r="I9" s="742">
        <f t="shared" si="4"/>
        <v>36899.69028</v>
      </c>
      <c r="J9" s="742">
        <f t="shared" si="5"/>
        <v>36.89969028</v>
      </c>
      <c r="K9" s="742">
        <f t="shared" si="6"/>
        <v>36.89969028</v>
      </c>
      <c r="L9" s="744">
        <f t="shared" si="7"/>
        <v>0.03373680538</v>
      </c>
      <c r="M9" s="745">
        <f t="shared" si="8"/>
        <v>0.04217100672</v>
      </c>
      <c r="N9" s="82"/>
      <c r="O9" s="82"/>
    </row>
    <row r="10">
      <c r="A10" s="741">
        <v>300021.0</v>
      </c>
      <c r="B10" s="742">
        <v>33879.36</v>
      </c>
      <c r="C10" s="742">
        <v>35235.96</v>
      </c>
      <c r="D10" s="742">
        <f t="shared" si="1"/>
        <v>1356.6</v>
      </c>
      <c r="E10" s="742">
        <v>3072.77</v>
      </c>
      <c r="F10" s="743">
        <f t="shared" si="9"/>
        <v>0.08720551391</v>
      </c>
      <c r="G10" s="742">
        <f t="shared" si="2"/>
        <v>30924.893</v>
      </c>
      <c r="H10" s="742">
        <f t="shared" si="3"/>
        <v>1488.277524</v>
      </c>
      <c r="I10" s="742">
        <f t="shared" si="4"/>
        <v>32413.17052</v>
      </c>
      <c r="J10" s="742">
        <f t="shared" si="5"/>
        <v>32.41317052</v>
      </c>
      <c r="K10" s="742">
        <f t="shared" si="6"/>
        <v>32.41317052</v>
      </c>
      <c r="L10" s="744">
        <f t="shared" si="7"/>
        <v>0.03850044103</v>
      </c>
      <c r="M10" s="745">
        <f t="shared" si="8"/>
        <v>0.04812555128</v>
      </c>
      <c r="N10" s="82"/>
      <c r="O10" s="82"/>
    </row>
    <row r="11">
      <c r="A11" s="741">
        <v>300022.0</v>
      </c>
      <c r="B11" s="742">
        <v>34939.14</v>
      </c>
      <c r="C11" s="742">
        <v>36493.52</v>
      </c>
      <c r="D11" s="742">
        <f t="shared" si="1"/>
        <v>1554.38</v>
      </c>
      <c r="E11" s="742">
        <v>4431.14</v>
      </c>
      <c r="F11" s="743">
        <f t="shared" si="9"/>
        <v>0.1214226526</v>
      </c>
      <c r="G11" s="742">
        <f t="shared" si="2"/>
        <v>30696.73694</v>
      </c>
      <c r="H11" s="742">
        <f t="shared" si="3"/>
        <v>1634.34474</v>
      </c>
      <c r="I11" s="742">
        <f t="shared" si="4"/>
        <v>32331.08168</v>
      </c>
      <c r="J11" s="742">
        <f t="shared" si="5"/>
        <v>32.33108168</v>
      </c>
      <c r="K11" s="742">
        <f t="shared" si="6"/>
        <v>32.33108168</v>
      </c>
      <c r="L11" s="744">
        <f t="shared" si="7"/>
        <v>0.0425933152</v>
      </c>
      <c r="M11" s="745">
        <f t="shared" si="8"/>
        <v>0.053241644</v>
      </c>
      <c r="N11" s="82"/>
      <c r="O11" s="82"/>
    </row>
    <row r="12">
      <c r="A12" s="741">
        <v>200091.0</v>
      </c>
      <c r="B12" s="742">
        <v>34461.0</v>
      </c>
      <c r="C12" s="742">
        <v>34810.63</v>
      </c>
      <c r="D12" s="742">
        <f t="shared" si="1"/>
        <v>349.63</v>
      </c>
      <c r="E12" s="539"/>
      <c r="F12" s="743">
        <f t="shared" si="9"/>
        <v>0</v>
      </c>
      <c r="G12" s="742">
        <f t="shared" si="2"/>
        <v>34461</v>
      </c>
      <c r="H12" s="742">
        <f t="shared" si="3"/>
        <v>432.6479954</v>
      </c>
      <c r="I12" s="742">
        <f t="shared" si="4"/>
        <v>34893.648</v>
      </c>
      <c r="J12" s="742">
        <f t="shared" si="5"/>
        <v>34.893648</v>
      </c>
      <c r="K12" s="742">
        <f t="shared" si="6"/>
        <v>34.893648</v>
      </c>
      <c r="L12" s="744">
        <f t="shared" si="7"/>
        <v>0.01004377111</v>
      </c>
      <c r="M12" s="745">
        <f t="shared" si="8"/>
        <v>0.01255471389</v>
      </c>
    </row>
    <row r="13">
      <c r="A13" s="747">
        <v>200092.0</v>
      </c>
      <c r="B13" s="746">
        <v>36323.72</v>
      </c>
      <c r="C13" s="742">
        <v>36642.77</v>
      </c>
      <c r="D13" s="742">
        <f t="shared" si="1"/>
        <v>319.05</v>
      </c>
      <c r="E13" s="539"/>
      <c r="F13" s="743">
        <f t="shared" si="9"/>
        <v>0</v>
      </c>
      <c r="G13" s="742">
        <f t="shared" si="2"/>
        <v>36323.72</v>
      </c>
      <c r="H13" s="742">
        <f t="shared" si="3"/>
        <v>395.3400243</v>
      </c>
      <c r="I13" s="742">
        <f t="shared" si="4"/>
        <v>36719.06002</v>
      </c>
      <c r="J13" s="742">
        <f t="shared" si="5"/>
        <v>36.71906002</v>
      </c>
      <c r="K13" s="742">
        <f t="shared" si="6"/>
        <v>36.71906002</v>
      </c>
      <c r="L13" s="744">
        <f t="shared" si="7"/>
        <v>0.008707038251</v>
      </c>
      <c r="M13" s="745">
        <f t="shared" si="8"/>
        <v>0.01088379781</v>
      </c>
      <c r="N13" s="1" t="s">
        <v>1810</v>
      </c>
    </row>
    <row r="14">
      <c r="A14" s="747">
        <v>200093.0</v>
      </c>
      <c r="B14" s="742">
        <v>35588.43</v>
      </c>
      <c r="C14" s="742">
        <v>37100.8</v>
      </c>
      <c r="D14" s="742">
        <f t="shared" si="1"/>
        <v>1512.37</v>
      </c>
      <c r="E14" s="539"/>
      <c r="F14" s="743">
        <f t="shared" si="9"/>
        <v>0</v>
      </c>
      <c r="G14" s="742">
        <f t="shared" si="2"/>
        <v>35588.43</v>
      </c>
      <c r="H14" s="742">
        <f t="shared" si="3"/>
        <v>1813.400044</v>
      </c>
      <c r="I14" s="742">
        <f t="shared" si="4"/>
        <v>37401.83004</v>
      </c>
      <c r="J14" s="742">
        <f t="shared" si="5"/>
        <v>37.40183004</v>
      </c>
      <c r="K14" s="742">
        <f t="shared" si="6"/>
        <v>37.40183004</v>
      </c>
      <c r="L14" s="744">
        <f t="shared" si="7"/>
        <v>0.04076381102</v>
      </c>
      <c r="M14" s="745">
        <f t="shared" si="8"/>
        <v>0.05095476378</v>
      </c>
    </row>
    <row r="15">
      <c r="A15" s="741">
        <v>300023.0</v>
      </c>
      <c r="B15" s="742">
        <v>34516.75</v>
      </c>
      <c r="C15" s="746">
        <v>36066.8</v>
      </c>
      <c r="D15" s="742">
        <f t="shared" si="1"/>
        <v>1550.05</v>
      </c>
      <c r="E15" s="746">
        <v>3277.58</v>
      </c>
      <c r="F15" s="743">
        <f t="shared" si="9"/>
        <v>0.09087526479</v>
      </c>
      <c r="G15" s="742">
        <f t="shared" si="2"/>
        <v>31380.0312</v>
      </c>
      <c r="H15" s="742">
        <f t="shared" si="3"/>
        <v>1685.782263</v>
      </c>
      <c r="I15" s="742">
        <f t="shared" si="4"/>
        <v>33065.81347</v>
      </c>
      <c r="J15" s="742">
        <f t="shared" si="5"/>
        <v>33.06581347</v>
      </c>
      <c r="K15" s="742">
        <f t="shared" si="6"/>
        <v>33.06581347</v>
      </c>
      <c r="L15" s="744">
        <f t="shared" si="7"/>
        <v>0.04297719787</v>
      </c>
      <c r="M15" s="745">
        <f t="shared" si="8"/>
        <v>0.05372149733</v>
      </c>
    </row>
    <row r="16">
      <c r="A16" s="741">
        <v>200094.0</v>
      </c>
      <c r="B16" s="742">
        <v>34185.39</v>
      </c>
      <c r="C16" s="742">
        <v>36363.71</v>
      </c>
      <c r="D16" s="742">
        <f t="shared" si="1"/>
        <v>2178.32</v>
      </c>
      <c r="E16" s="539"/>
      <c r="F16" s="743">
        <f t="shared" si="9"/>
        <v>0</v>
      </c>
      <c r="G16" s="742">
        <f t="shared" si="2"/>
        <v>34185.39</v>
      </c>
      <c r="H16" s="742">
        <f t="shared" si="3"/>
        <v>2559.788273</v>
      </c>
      <c r="I16" s="742">
        <f t="shared" si="4"/>
        <v>36745.17827</v>
      </c>
      <c r="J16" s="742">
        <f t="shared" si="5"/>
        <v>36.74517827</v>
      </c>
      <c r="K16" s="742">
        <f t="shared" si="6"/>
        <v>36.74517827</v>
      </c>
      <c r="L16" s="744">
        <f t="shared" si="7"/>
        <v>0.0599036787</v>
      </c>
      <c r="M16" s="745">
        <f t="shared" si="8"/>
        <v>0.07487959837</v>
      </c>
    </row>
    <row r="17">
      <c r="A17" s="741">
        <v>300024.0</v>
      </c>
      <c r="B17" s="742">
        <v>35456.07</v>
      </c>
      <c r="C17" s="742">
        <v>38081.13</v>
      </c>
      <c r="D17" s="742">
        <f t="shared" si="1"/>
        <v>2625.06</v>
      </c>
      <c r="E17" s="742">
        <v>4303.62</v>
      </c>
      <c r="F17" s="743">
        <f t="shared" si="9"/>
        <v>0.1130118775</v>
      </c>
      <c r="G17" s="742">
        <f t="shared" si="2"/>
        <v>31449.11296</v>
      </c>
      <c r="H17" s="742">
        <f t="shared" si="3"/>
        <v>2709.86603</v>
      </c>
      <c r="I17" s="742">
        <f t="shared" si="4"/>
        <v>34158.97899</v>
      </c>
      <c r="J17" s="742">
        <f t="shared" si="5"/>
        <v>34.15897899</v>
      </c>
      <c r="K17" s="742">
        <f t="shared" si="6"/>
        <v>34.15897899</v>
      </c>
      <c r="L17" s="744">
        <f t="shared" si="7"/>
        <v>0.06893335361</v>
      </c>
      <c r="M17" s="745">
        <f t="shared" si="8"/>
        <v>0.08616669201</v>
      </c>
    </row>
    <row r="18">
      <c r="A18" s="741">
        <v>300025.0</v>
      </c>
      <c r="B18" s="746">
        <v>35242.74</v>
      </c>
      <c r="C18" s="746">
        <v>35874.3</v>
      </c>
      <c r="D18" s="742">
        <f t="shared" si="1"/>
        <v>631.56</v>
      </c>
      <c r="E18" s="746">
        <v>4239.62</v>
      </c>
      <c r="F18" s="743">
        <f t="shared" si="9"/>
        <v>0.1181798669</v>
      </c>
      <c r="G18" s="742">
        <f t="shared" si="2"/>
        <v>31077.75768</v>
      </c>
      <c r="H18" s="742">
        <f t="shared" si="3"/>
        <v>683.897269</v>
      </c>
      <c r="I18" s="742">
        <f t="shared" si="4"/>
        <v>31761.65495</v>
      </c>
      <c r="J18" s="742">
        <f t="shared" si="5"/>
        <v>31.76165495</v>
      </c>
      <c r="K18" s="742">
        <f t="shared" si="6"/>
        <v>31.76165495</v>
      </c>
      <c r="L18" s="744">
        <f t="shared" si="7"/>
        <v>0.01760480344</v>
      </c>
      <c r="M18" s="745">
        <f t="shared" si="8"/>
        <v>0.0220060043</v>
      </c>
    </row>
    <row r="19">
      <c r="A19" s="747">
        <v>200095.0</v>
      </c>
      <c r="B19" s="742">
        <v>35836.0</v>
      </c>
      <c r="C19" s="742">
        <v>36638.76</v>
      </c>
      <c r="D19" s="742">
        <f t="shared" si="1"/>
        <v>802.76</v>
      </c>
      <c r="E19" s="539"/>
      <c r="F19" s="743">
        <f t="shared" si="9"/>
        <v>0</v>
      </c>
      <c r="G19" s="742">
        <f t="shared" si="2"/>
        <v>35836</v>
      </c>
      <c r="H19" s="742">
        <f t="shared" si="3"/>
        <v>981.4642799</v>
      </c>
      <c r="I19" s="742">
        <f t="shared" si="4"/>
        <v>36817.46428</v>
      </c>
      <c r="J19" s="742">
        <f t="shared" si="5"/>
        <v>36.81746428</v>
      </c>
      <c r="K19" s="742">
        <f t="shared" si="6"/>
        <v>36.81746428</v>
      </c>
      <c r="L19" s="744">
        <f t="shared" si="7"/>
        <v>0.02191013015</v>
      </c>
      <c r="M19" s="745">
        <f t="shared" si="8"/>
        <v>0.02738766268</v>
      </c>
    </row>
    <row r="20">
      <c r="A20" s="741">
        <v>200096.0</v>
      </c>
      <c r="B20" s="742">
        <v>35471.4</v>
      </c>
      <c r="C20" s="742">
        <v>37274.36</v>
      </c>
      <c r="D20" s="742">
        <f t="shared" si="1"/>
        <v>1802.96</v>
      </c>
      <c r="E20" s="539"/>
      <c r="F20" s="743">
        <f t="shared" si="9"/>
        <v>0</v>
      </c>
      <c r="G20" s="742">
        <f t="shared" si="2"/>
        <v>35471.4</v>
      </c>
      <c r="H20" s="742">
        <f t="shared" si="3"/>
        <v>2144.688579</v>
      </c>
      <c r="I20" s="742">
        <f t="shared" si="4"/>
        <v>37616.08858</v>
      </c>
      <c r="J20" s="742">
        <f t="shared" si="5"/>
        <v>37.61608858</v>
      </c>
      <c r="K20" s="742">
        <f t="shared" si="6"/>
        <v>37.61608858</v>
      </c>
      <c r="L20" s="744">
        <f t="shared" si="7"/>
        <v>0.04836997872</v>
      </c>
      <c r="M20" s="745">
        <f t="shared" si="8"/>
        <v>0.0604624734</v>
      </c>
    </row>
    <row r="21">
      <c r="A21" s="741">
        <v>300026.0</v>
      </c>
      <c r="B21" s="742">
        <v>35054.26</v>
      </c>
      <c r="C21" s="742">
        <v>37108.22</v>
      </c>
      <c r="D21" s="742">
        <f t="shared" si="1"/>
        <v>2053.96</v>
      </c>
      <c r="E21" s="742">
        <v>2009.9</v>
      </c>
      <c r="F21" s="743">
        <f t="shared" si="9"/>
        <v>0.05416320158</v>
      </c>
      <c r="G21" s="742">
        <f t="shared" si="2"/>
        <v>33155.60905</v>
      </c>
      <c r="H21" s="742">
        <f t="shared" si="3"/>
        <v>2293.976064</v>
      </c>
      <c r="I21" s="742">
        <f t="shared" si="4"/>
        <v>35449.58511</v>
      </c>
      <c r="J21" s="742">
        <f t="shared" si="5"/>
        <v>35.44958511</v>
      </c>
      <c r="K21" s="742">
        <f t="shared" si="6"/>
        <v>35.44958511</v>
      </c>
      <c r="L21" s="744">
        <f t="shared" si="7"/>
        <v>0.05535053958</v>
      </c>
      <c r="M21" s="745">
        <f t="shared" si="8"/>
        <v>0.06918817448</v>
      </c>
    </row>
    <row r="22">
      <c r="A22" s="747">
        <v>200097.0</v>
      </c>
      <c r="B22" s="742">
        <v>36227.65</v>
      </c>
      <c r="C22" s="742">
        <v>37397.47</v>
      </c>
      <c r="D22" s="742">
        <f t="shared" si="1"/>
        <v>1169.82</v>
      </c>
      <c r="E22" s="539"/>
      <c r="F22" s="743">
        <f t="shared" si="9"/>
        <v>0</v>
      </c>
      <c r="G22" s="742">
        <f t="shared" si="2"/>
        <v>36227.65</v>
      </c>
      <c r="H22" s="742">
        <f t="shared" si="3"/>
        <v>1416.533977</v>
      </c>
      <c r="I22" s="742">
        <f t="shared" si="4"/>
        <v>37644.18398</v>
      </c>
      <c r="J22" s="742">
        <f t="shared" si="5"/>
        <v>37.64418398</v>
      </c>
      <c r="K22" s="742">
        <f t="shared" si="6"/>
        <v>37.64418398</v>
      </c>
      <c r="L22" s="744">
        <f t="shared" si="7"/>
        <v>0.03128072567</v>
      </c>
      <c r="M22" s="745">
        <f t="shared" si="8"/>
        <v>0.03910090709</v>
      </c>
    </row>
    <row r="23">
      <c r="A23" s="741">
        <v>200098.0</v>
      </c>
      <c r="B23" s="742">
        <v>37017.68</v>
      </c>
      <c r="C23" s="742">
        <v>37600.06</v>
      </c>
      <c r="D23" s="742">
        <f t="shared" si="1"/>
        <v>582.38</v>
      </c>
      <c r="E23" s="539"/>
      <c r="F23" s="743">
        <f t="shared" si="9"/>
        <v>0</v>
      </c>
      <c r="G23" s="742">
        <f t="shared" si="2"/>
        <v>37017.68</v>
      </c>
      <c r="H23" s="742">
        <f t="shared" si="3"/>
        <v>716.6995371</v>
      </c>
      <c r="I23" s="742">
        <f t="shared" si="4"/>
        <v>37734.37954</v>
      </c>
      <c r="J23" s="742">
        <f t="shared" si="5"/>
        <v>37.73437954</v>
      </c>
      <c r="K23" s="742">
        <f t="shared" si="6"/>
        <v>37.73437954</v>
      </c>
      <c r="L23" s="744">
        <f t="shared" si="7"/>
        <v>0.01548880507</v>
      </c>
      <c r="M23" s="745">
        <f t="shared" si="8"/>
        <v>0.01936100634</v>
      </c>
    </row>
    <row r="24">
      <c r="A24" s="741">
        <v>300027.0</v>
      </c>
      <c r="B24" s="746">
        <v>36120.98</v>
      </c>
      <c r="C24" s="742">
        <v>36514.82</v>
      </c>
      <c r="D24" s="742">
        <f t="shared" si="1"/>
        <v>393.84</v>
      </c>
      <c r="E24" s="742">
        <v>4189.08</v>
      </c>
      <c r="F24" s="743">
        <f t="shared" si="9"/>
        <v>0.1147227345</v>
      </c>
      <c r="G24" s="742">
        <f t="shared" si="2"/>
        <v>31977.0824</v>
      </c>
      <c r="H24" s="742">
        <f t="shared" si="3"/>
        <v>431.1213274</v>
      </c>
      <c r="I24" s="742">
        <f t="shared" si="4"/>
        <v>32408.20373</v>
      </c>
      <c r="J24" s="742">
        <f t="shared" si="5"/>
        <v>32.40820373</v>
      </c>
      <c r="K24" s="742">
        <f t="shared" si="6"/>
        <v>32.40820373</v>
      </c>
      <c r="L24" s="744">
        <f t="shared" si="7"/>
        <v>0.01078575767</v>
      </c>
      <c r="M24" s="745">
        <f t="shared" si="8"/>
        <v>0.01348219709</v>
      </c>
    </row>
    <row r="25">
      <c r="A25" s="747">
        <v>300028.0</v>
      </c>
      <c r="B25" s="742">
        <v>34980.3</v>
      </c>
      <c r="C25" s="742">
        <v>36620.5</v>
      </c>
      <c r="D25" s="742">
        <f t="shared" si="1"/>
        <v>1640.2</v>
      </c>
      <c r="E25" s="742">
        <v>1983.5</v>
      </c>
      <c r="F25" s="743">
        <f t="shared" si="9"/>
        <v>0.05416365151</v>
      </c>
      <c r="G25" s="742">
        <f t="shared" si="2"/>
        <v>33085.63922</v>
      </c>
      <c r="H25" s="742">
        <f t="shared" si="3"/>
        <v>1852.345867</v>
      </c>
      <c r="I25" s="742">
        <f t="shared" si="4"/>
        <v>34937.98509</v>
      </c>
      <c r="J25" s="742">
        <f t="shared" si="5"/>
        <v>34.93798509</v>
      </c>
      <c r="K25" s="742">
        <f t="shared" si="6"/>
        <v>34.93798509</v>
      </c>
      <c r="L25" s="744">
        <f t="shared" si="7"/>
        <v>0.04478912085</v>
      </c>
      <c r="M25" s="745">
        <f t="shared" si="8"/>
        <v>0.05598640106</v>
      </c>
    </row>
    <row r="26">
      <c r="A26" s="748"/>
      <c r="B26" s="539"/>
      <c r="C26" s="748"/>
      <c r="D26" s="749"/>
      <c r="E26" s="742"/>
    </row>
    <row r="27">
      <c r="A27" s="739"/>
      <c r="B27" s="740"/>
      <c r="C27" s="739"/>
      <c r="D27" s="739"/>
      <c r="E27" s="739"/>
      <c r="I27" s="1" t="s">
        <v>1810</v>
      </c>
    </row>
    <row r="28">
      <c r="A28" s="560" t="s">
        <v>36</v>
      </c>
      <c r="B28" s="740" t="s">
        <v>48</v>
      </c>
      <c r="C28" s="560" t="s">
        <v>2687</v>
      </c>
      <c r="D28" s="560" t="s">
        <v>2688</v>
      </c>
      <c r="E28" s="740" t="s">
        <v>2689</v>
      </c>
    </row>
    <row r="29">
      <c r="A29" s="748" t="s">
        <v>390</v>
      </c>
      <c r="B29" s="750">
        <v>45741.0</v>
      </c>
      <c r="C29" s="749">
        <v>12.06</v>
      </c>
      <c r="D29" s="749">
        <v>200085.0</v>
      </c>
      <c r="E29" s="742">
        <v>12.06</v>
      </c>
    </row>
    <row r="30">
      <c r="A30" s="347" t="s">
        <v>392</v>
      </c>
      <c r="B30" s="750">
        <v>45742.0</v>
      </c>
      <c r="C30" s="334">
        <v>19.79</v>
      </c>
      <c r="D30" s="334">
        <v>200085.0</v>
      </c>
      <c r="E30" s="742">
        <v>19.79</v>
      </c>
    </row>
    <row r="31">
      <c r="A31" s="748" t="s">
        <v>394</v>
      </c>
      <c r="B31" s="750">
        <v>45742.0</v>
      </c>
      <c r="C31" s="427">
        <v>5.46</v>
      </c>
      <c r="D31" s="749">
        <v>200085.0</v>
      </c>
      <c r="E31" s="742">
        <f>SUM(J2-(E30+E29))</f>
        <v>5.460949073</v>
      </c>
    </row>
    <row r="32">
      <c r="A32" s="748"/>
      <c r="B32" s="750">
        <v>45742.0</v>
      </c>
      <c r="C32" s="748"/>
      <c r="D32" s="748"/>
      <c r="E32" s="751"/>
    </row>
    <row r="33">
      <c r="A33" s="347" t="s">
        <v>393</v>
      </c>
      <c r="B33" s="750">
        <v>45743.0</v>
      </c>
      <c r="C33" s="334">
        <v>20.74</v>
      </c>
      <c r="D33" s="334">
        <v>300019.0</v>
      </c>
      <c r="E33" s="742">
        <f>C33</f>
        <v>20.74</v>
      </c>
      <c r="I33" s="1" t="s">
        <v>1810</v>
      </c>
    </row>
    <row r="34">
      <c r="A34" s="748" t="s">
        <v>396</v>
      </c>
      <c r="B34" s="750">
        <v>45743.0</v>
      </c>
      <c r="C34" s="752">
        <v>19.71</v>
      </c>
      <c r="D34" s="749">
        <v>300019.0</v>
      </c>
      <c r="E34" s="742">
        <f>SUM(J3-(E33+E32))</f>
        <v>12.51605401</v>
      </c>
      <c r="J34" s="1" t="s">
        <v>1810</v>
      </c>
    </row>
    <row r="35">
      <c r="A35" s="748"/>
      <c r="B35" s="753"/>
      <c r="C35" s="348"/>
      <c r="D35" s="749">
        <v>200086.0</v>
      </c>
      <c r="E35" s="742">
        <f>C34-E34</f>
        <v>7.193945993</v>
      </c>
    </row>
    <row r="36">
      <c r="A36" s="347" t="s">
        <v>397</v>
      </c>
      <c r="B36" s="750">
        <v>45754.0</v>
      </c>
      <c r="C36" s="334">
        <v>20.68</v>
      </c>
      <c r="D36" s="334">
        <v>200086.0</v>
      </c>
      <c r="E36" s="742">
        <f>J4-E35</f>
        <v>10.38110533</v>
      </c>
    </row>
    <row r="37">
      <c r="A37" s="748"/>
      <c r="B37" s="539"/>
      <c r="C37" s="748"/>
      <c r="D37" s="749">
        <v>200087.0</v>
      </c>
      <c r="E37" s="742">
        <f>C36-E36</f>
        <v>10.29889467</v>
      </c>
    </row>
    <row r="38">
      <c r="A38" s="748" t="s">
        <v>3396</v>
      </c>
      <c r="B38" s="750">
        <v>45755.0</v>
      </c>
      <c r="C38" s="749">
        <v>20.05</v>
      </c>
      <c r="D38" s="749">
        <v>200087.0</v>
      </c>
      <c r="E38" s="742">
        <f>C38</f>
        <v>20.05</v>
      </c>
    </row>
    <row r="39">
      <c r="A39" s="347" t="s">
        <v>3397</v>
      </c>
      <c r="B39" s="750">
        <v>45755.0</v>
      </c>
      <c r="C39" s="334">
        <v>20.29</v>
      </c>
      <c r="D39" s="334">
        <v>200087.0</v>
      </c>
      <c r="E39" s="742">
        <f>SUM(J5-(E38+E37))</f>
        <v>7.02408356</v>
      </c>
    </row>
    <row r="40">
      <c r="A40" s="748"/>
      <c r="B40" s="539"/>
      <c r="C40" s="748"/>
      <c r="D40" s="749">
        <v>200088.0</v>
      </c>
      <c r="E40" s="742">
        <f>C39-E39</f>
        <v>13.26591644</v>
      </c>
      <c r="I40" s="1" t="s">
        <v>1810</v>
      </c>
    </row>
    <row r="41">
      <c r="A41" s="347" t="s">
        <v>3398</v>
      </c>
      <c r="B41" s="750">
        <v>45755.0</v>
      </c>
      <c r="C41" s="334">
        <v>20.45</v>
      </c>
      <c r="D41" s="334">
        <v>200088.0</v>
      </c>
      <c r="E41" s="742">
        <f>C41</f>
        <v>20.45</v>
      </c>
    </row>
    <row r="42">
      <c r="A42" s="748" t="s">
        <v>3399</v>
      </c>
      <c r="B42" s="750">
        <v>45756.0</v>
      </c>
      <c r="C42" s="749">
        <v>19.61</v>
      </c>
      <c r="D42" s="749">
        <v>200088.0</v>
      </c>
      <c r="E42" s="742">
        <f>SUM(J6-(E41+E40))</f>
        <v>3.155651286</v>
      </c>
    </row>
    <row r="43">
      <c r="A43" s="748"/>
      <c r="B43" s="539"/>
      <c r="C43" s="748"/>
      <c r="D43" s="749">
        <v>200089.0</v>
      </c>
      <c r="E43" s="742">
        <f>C42-E42</f>
        <v>16.45434871</v>
      </c>
    </row>
    <row r="44">
      <c r="A44" s="347" t="s">
        <v>3400</v>
      </c>
      <c r="B44" s="750">
        <v>45758.0</v>
      </c>
      <c r="C44" s="334">
        <v>21.46</v>
      </c>
      <c r="D44" s="334">
        <v>200089.0</v>
      </c>
      <c r="E44" s="742">
        <f>J7-E43</f>
        <v>19.60748508</v>
      </c>
    </row>
    <row r="45">
      <c r="A45" s="748"/>
      <c r="B45" s="539"/>
      <c r="C45" s="748"/>
      <c r="D45" s="749">
        <v>300020.0</v>
      </c>
      <c r="E45" s="742">
        <f>C44-E44</f>
        <v>1.852514915</v>
      </c>
    </row>
    <row r="46">
      <c r="A46" s="748" t="s">
        <v>3401</v>
      </c>
      <c r="B46" s="750">
        <v>45758.0</v>
      </c>
      <c r="C46" s="749">
        <v>20.15</v>
      </c>
      <c r="D46" s="749">
        <v>300020.0</v>
      </c>
      <c r="E46" s="742">
        <f>C46</f>
        <v>20.15</v>
      </c>
    </row>
    <row r="47">
      <c r="A47" s="748" t="s">
        <v>3402</v>
      </c>
      <c r="B47" s="750">
        <v>45758.0</v>
      </c>
      <c r="C47" s="749">
        <v>20.35</v>
      </c>
      <c r="D47" s="749">
        <v>300020.0</v>
      </c>
      <c r="E47" s="742">
        <f>J8-(E45+E46)</f>
        <v>10.0467597</v>
      </c>
    </row>
    <row r="48">
      <c r="A48" s="748"/>
      <c r="B48" s="753"/>
      <c r="C48" s="748"/>
      <c r="D48" s="749">
        <v>200090.0</v>
      </c>
      <c r="E48" s="742">
        <f>C47-E47</f>
        <v>10.3032403</v>
      </c>
    </row>
    <row r="49">
      <c r="A49" s="748" t="s">
        <v>3403</v>
      </c>
      <c r="B49" s="750">
        <v>45759.0</v>
      </c>
      <c r="C49" s="749">
        <v>20.37</v>
      </c>
      <c r="D49" s="749">
        <v>200090.0</v>
      </c>
      <c r="E49" s="742">
        <f>C49</f>
        <v>20.37</v>
      </c>
    </row>
    <row r="50">
      <c r="A50" s="748" t="s">
        <v>3404</v>
      </c>
      <c r="B50" s="750">
        <v>45760.0</v>
      </c>
      <c r="C50" s="749">
        <v>20.09</v>
      </c>
      <c r="D50" s="749">
        <v>200090.0</v>
      </c>
      <c r="E50" s="742">
        <f>J9-(E48+E49)</f>
        <v>6.226449983</v>
      </c>
    </row>
    <row r="51">
      <c r="A51" s="748"/>
      <c r="B51" s="539"/>
      <c r="C51" s="748"/>
      <c r="D51" s="749">
        <v>300021.0</v>
      </c>
      <c r="E51" s="742">
        <f>C50-E50</f>
        <v>13.86355002</v>
      </c>
    </row>
    <row r="52">
      <c r="A52" s="347" t="s">
        <v>3405</v>
      </c>
      <c r="B52" s="750">
        <v>45762.0</v>
      </c>
      <c r="C52" s="334">
        <v>20.71</v>
      </c>
      <c r="D52" s="334">
        <v>300021.0</v>
      </c>
      <c r="E52" s="742">
        <f>J10-E51</f>
        <v>18.54962051</v>
      </c>
      <c r="G52" s="87"/>
    </row>
    <row r="53">
      <c r="A53" s="748"/>
      <c r="B53" s="539"/>
      <c r="C53" s="748"/>
      <c r="D53" s="749">
        <v>300022.0</v>
      </c>
      <c r="E53" s="742">
        <f>C52-E52</f>
        <v>2.160379493</v>
      </c>
      <c r="G53" s="87"/>
    </row>
    <row r="54">
      <c r="A54" s="748" t="s">
        <v>3406</v>
      </c>
      <c r="B54" s="750">
        <v>45763.0</v>
      </c>
      <c r="C54" s="749">
        <v>20.3</v>
      </c>
      <c r="D54" s="749">
        <v>300022.0</v>
      </c>
      <c r="E54" s="742">
        <f>C54</f>
        <v>20.3</v>
      </c>
      <c r="G54" s="87"/>
    </row>
    <row r="55">
      <c r="A55" s="347" t="s">
        <v>3407</v>
      </c>
      <c r="B55" s="750">
        <v>45763.0</v>
      </c>
      <c r="C55" s="334">
        <v>20.57</v>
      </c>
      <c r="D55" s="334">
        <v>300022.0</v>
      </c>
      <c r="E55" s="742">
        <f>J11-(E53+E54)</f>
        <v>9.87070219</v>
      </c>
    </row>
    <row r="56">
      <c r="A56" s="748"/>
      <c r="B56" s="539"/>
      <c r="C56" s="748"/>
      <c r="D56" s="749">
        <v>200091.0</v>
      </c>
      <c r="E56" s="742">
        <f>C55-E55</f>
        <v>10.69929781</v>
      </c>
    </row>
    <row r="57">
      <c r="A57" s="347" t="s">
        <v>3408</v>
      </c>
      <c r="B57" s="750">
        <v>45765.0</v>
      </c>
      <c r="C57" s="334">
        <v>20.6</v>
      </c>
      <c r="D57" s="334">
        <v>200091.0</v>
      </c>
      <c r="E57" s="742">
        <f>C57</f>
        <v>20.6</v>
      </c>
    </row>
    <row r="58">
      <c r="A58" s="748" t="s">
        <v>3409</v>
      </c>
      <c r="B58" s="750">
        <v>45765.0</v>
      </c>
      <c r="C58" s="749">
        <v>20.02</v>
      </c>
      <c r="D58" s="749">
        <v>200091.0</v>
      </c>
      <c r="E58" s="742">
        <f>J12-(E57+E56)</f>
        <v>3.594350185</v>
      </c>
    </row>
    <row r="59">
      <c r="A59" s="748"/>
      <c r="B59" s="753"/>
      <c r="C59" s="748"/>
      <c r="D59" s="749">
        <v>200092.0</v>
      </c>
      <c r="E59" s="742">
        <f>C58-E58</f>
        <v>16.42564981</v>
      </c>
    </row>
    <row r="60">
      <c r="A60" s="347" t="s">
        <v>3410</v>
      </c>
      <c r="B60" s="750">
        <v>45765.0</v>
      </c>
      <c r="C60" s="334">
        <v>20.1</v>
      </c>
      <c r="D60" s="334">
        <v>200092.0</v>
      </c>
      <c r="E60" s="742">
        <f>C60</f>
        <v>20.1</v>
      </c>
    </row>
    <row r="61">
      <c r="A61" s="748" t="s">
        <v>3411</v>
      </c>
      <c r="B61" s="750">
        <v>45767.0</v>
      </c>
      <c r="C61" s="749">
        <v>20.07</v>
      </c>
      <c r="D61" s="749">
        <v>200092.0</v>
      </c>
      <c r="E61" s="742">
        <f>J13-(E60+E59)</f>
        <v>0.1934102096</v>
      </c>
    </row>
    <row r="62">
      <c r="A62" s="748"/>
      <c r="B62" s="539"/>
      <c r="C62" s="748"/>
      <c r="D62" s="749">
        <v>200093.0</v>
      </c>
      <c r="E62" s="742">
        <f>C61-E61</f>
        <v>19.87658979</v>
      </c>
    </row>
    <row r="63">
      <c r="A63" s="347" t="s">
        <v>3412</v>
      </c>
      <c r="B63" s="750">
        <v>45768.0</v>
      </c>
      <c r="C63" s="334">
        <v>20.65</v>
      </c>
      <c r="D63" s="334">
        <v>200093.0</v>
      </c>
      <c r="E63" s="742">
        <f>J14-E62</f>
        <v>17.52524025</v>
      </c>
      <c r="G63" s="87"/>
    </row>
    <row r="64">
      <c r="A64" s="748"/>
      <c r="B64" s="539"/>
      <c r="C64" s="748"/>
      <c r="D64" s="749">
        <v>300023.0</v>
      </c>
      <c r="E64" s="742">
        <f>C63-E63</f>
        <v>3.124759746</v>
      </c>
      <c r="G64" s="87"/>
    </row>
    <row r="65">
      <c r="A65" s="748" t="s">
        <v>3413</v>
      </c>
      <c r="B65" s="750">
        <v>45769.0</v>
      </c>
      <c r="C65" s="749">
        <v>20.71</v>
      </c>
      <c r="D65" s="749">
        <v>300023.0</v>
      </c>
      <c r="E65" s="742">
        <f>C65</f>
        <v>20.71</v>
      </c>
      <c r="G65" s="87"/>
    </row>
    <row r="66">
      <c r="A66" s="347" t="s">
        <v>3414</v>
      </c>
      <c r="B66" s="750">
        <v>45771.0</v>
      </c>
      <c r="C66" s="334">
        <v>20.4</v>
      </c>
      <c r="D66" s="334">
        <v>300023.0</v>
      </c>
      <c r="E66" s="742">
        <f>J15-(E65+E64)</f>
        <v>9.23105372</v>
      </c>
    </row>
    <row r="67">
      <c r="A67" s="748"/>
      <c r="B67" s="539"/>
      <c r="C67" s="748"/>
      <c r="D67" s="749">
        <v>200094.0</v>
      </c>
      <c r="E67" s="742">
        <f>C66-E66</f>
        <v>11.16894628</v>
      </c>
    </row>
    <row r="68">
      <c r="A68" s="347" t="s">
        <v>3415</v>
      </c>
      <c r="B68" s="750">
        <v>45771.0</v>
      </c>
      <c r="C68" s="334">
        <v>20.85</v>
      </c>
      <c r="D68" s="334">
        <v>200094.0</v>
      </c>
      <c r="E68" s="742">
        <f>C68</f>
        <v>20.85</v>
      </c>
    </row>
    <row r="69">
      <c r="A69" s="748" t="s">
        <v>3416</v>
      </c>
      <c r="B69" s="750">
        <v>45771.0</v>
      </c>
      <c r="C69" s="749">
        <v>20.89</v>
      </c>
      <c r="D69" s="749">
        <v>200094.0</v>
      </c>
      <c r="E69" s="742">
        <f>J16-(E68+E67)</f>
        <v>4.726231994</v>
      </c>
    </row>
    <row r="70">
      <c r="A70" s="748"/>
      <c r="B70" s="539"/>
      <c r="C70" s="748"/>
      <c r="D70" s="749">
        <v>300024.0</v>
      </c>
      <c r="E70" s="742">
        <f>C69-E69</f>
        <v>16.16376801</v>
      </c>
    </row>
    <row r="71">
      <c r="A71" s="347" t="s">
        <v>3417</v>
      </c>
      <c r="B71" s="750">
        <v>45772.0</v>
      </c>
      <c r="C71" s="334">
        <v>20.38</v>
      </c>
      <c r="D71" s="334">
        <v>300024.0</v>
      </c>
      <c r="E71" s="742">
        <f>J17-(E70)</f>
        <v>17.99521098</v>
      </c>
    </row>
    <row r="72">
      <c r="A72" s="748"/>
      <c r="B72" s="539"/>
      <c r="C72" s="748"/>
      <c r="D72" s="749">
        <v>300025.0</v>
      </c>
      <c r="E72" s="742">
        <f>C71-E71</f>
        <v>2.384789017</v>
      </c>
    </row>
    <row r="73">
      <c r="A73" s="748" t="s">
        <v>3418</v>
      </c>
      <c r="B73" s="750">
        <v>45774.0</v>
      </c>
      <c r="C73" s="749">
        <v>20.81</v>
      </c>
      <c r="D73" s="749">
        <v>300025.0</v>
      </c>
      <c r="E73" s="742">
        <f>C73</f>
        <v>20.81</v>
      </c>
    </row>
    <row r="74">
      <c r="A74" s="347" t="s">
        <v>2988</v>
      </c>
      <c r="B74" s="750">
        <v>45775.0</v>
      </c>
      <c r="C74" s="334">
        <v>19.98</v>
      </c>
      <c r="D74" s="334">
        <v>300025.0</v>
      </c>
      <c r="E74" s="742">
        <f>J18-(E72+E73)</f>
        <v>8.566865929</v>
      </c>
    </row>
    <row r="75">
      <c r="A75" s="748"/>
      <c r="B75" s="539"/>
      <c r="C75" s="748"/>
      <c r="D75" s="749">
        <v>200095.0</v>
      </c>
      <c r="E75" s="742">
        <f>C74-E74</f>
        <v>11.41313407</v>
      </c>
    </row>
    <row r="76">
      <c r="A76" s="748" t="s">
        <v>3419</v>
      </c>
      <c r="B76" s="750">
        <v>45777.0</v>
      </c>
      <c r="C76" s="749">
        <v>21.37</v>
      </c>
      <c r="D76" s="749">
        <v>200095.0</v>
      </c>
      <c r="E76" s="742">
        <f>C76</f>
        <v>21.37</v>
      </c>
    </row>
    <row r="77">
      <c r="A77" s="347" t="s">
        <v>3420</v>
      </c>
      <c r="B77" s="750">
        <v>45777.0</v>
      </c>
      <c r="C77" s="334">
        <v>20.14</v>
      </c>
      <c r="D77" s="334">
        <v>200095.0</v>
      </c>
      <c r="E77" s="742">
        <f>J19-(E76+E75)</f>
        <v>4.034330209</v>
      </c>
    </row>
    <row r="78">
      <c r="A78" s="748"/>
      <c r="B78" s="539"/>
      <c r="C78" s="748"/>
      <c r="D78" s="749">
        <v>200096.0</v>
      </c>
      <c r="E78" s="742">
        <f>C77-E77</f>
        <v>16.10566979</v>
      </c>
    </row>
    <row r="79">
      <c r="A79" s="347" t="s">
        <v>3421</v>
      </c>
      <c r="B79" s="750">
        <v>45780.0</v>
      </c>
      <c r="C79" s="334">
        <v>20.76</v>
      </c>
      <c r="D79" s="334">
        <v>200096.0</v>
      </c>
      <c r="E79" s="742">
        <f>C79</f>
        <v>20.76</v>
      </c>
    </row>
    <row r="80">
      <c r="A80" s="347" t="s">
        <v>3422</v>
      </c>
      <c r="B80" s="750">
        <v>45781.0</v>
      </c>
      <c r="C80" s="334">
        <v>20.77</v>
      </c>
      <c r="D80" s="334">
        <v>200096.0</v>
      </c>
      <c r="E80" s="742">
        <f>J20-(E79+E78)</f>
        <v>0.7504187878</v>
      </c>
    </row>
    <row r="81">
      <c r="A81" s="347"/>
      <c r="B81" s="539"/>
      <c r="C81" s="347"/>
      <c r="D81" s="334">
        <v>300026.0</v>
      </c>
      <c r="E81" s="742">
        <f>C80-E80</f>
        <v>20.01958121</v>
      </c>
    </row>
    <row r="82">
      <c r="A82" s="347" t="s">
        <v>3423</v>
      </c>
      <c r="B82" s="750">
        <v>45782.0</v>
      </c>
      <c r="C82" s="334">
        <v>18.98</v>
      </c>
      <c r="D82" s="334">
        <v>300026.0</v>
      </c>
      <c r="E82" s="742">
        <f>J21-E81</f>
        <v>15.4300039</v>
      </c>
    </row>
    <row r="83">
      <c r="A83" s="347"/>
      <c r="B83" s="539"/>
      <c r="C83" s="347"/>
      <c r="D83" s="334">
        <v>200097.0</v>
      </c>
      <c r="E83" s="742">
        <f>C82-E82</f>
        <v>3.549996099</v>
      </c>
    </row>
    <row r="84">
      <c r="A84" s="347" t="s">
        <v>2990</v>
      </c>
      <c r="B84" s="750">
        <v>45782.0</v>
      </c>
      <c r="C84" s="334">
        <v>19.97</v>
      </c>
      <c r="D84" s="334">
        <v>200097.0</v>
      </c>
      <c r="E84" s="742">
        <f>C84</f>
        <v>19.97</v>
      </c>
    </row>
    <row r="85">
      <c r="A85" s="347" t="s">
        <v>3424</v>
      </c>
      <c r="B85" s="750">
        <v>45785.0</v>
      </c>
      <c r="C85" s="334">
        <v>21.26</v>
      </c>
      <c r="D85" s="334">
        <v>200097.0</v>
      </c>
      <c r="E85" s="742">
        <f>J22-(E84+E83)</f>
        <v>14.12418788</v>
      </c>
    </row>
    <row r="86">
      <c r="A86" s="347"/>
      <c r="B86" s="539"/>
      <c r="C86" s="347"/>
      <c r="D86" s="334">
        <v>200098.0</v>
      </c>
      <c r="E86" s="742">
        <f>C85-E85</f>
        <v>7.135812122</v>
      </c>
    </row>
    <row r="87">
      <c r="A87" s="347" t="s">
        <v>3425</v>
      </c>
      <c r="B87" s="750">
        <v>45786.0</v>
      </c>
      <c r="C87" s="334">
        <v>20.98</v>
      </c>
      <c r="D87" s="334">
        <v>200098.0</v>
      </c>
      <c r="E87" s="742">
        <f>C87</f>
        <v>20.98</v>
      </c>
    </row>
    <row r="88">
      <c r="A88" s="347" t="s">
        <v>1475</v>
      </c>
      <c r="B88" s="750">
        <v>45788.0</v>
      </c>
      <c r="C88" s="334">
        <v>20.13</v>
      </c>
      <c r="D88" s="334">
        <v>200098.0</v>
      </c>
      <c r="E88" s="742">
        <f>J23-(E87+E86)</f>
        <v>9.618567415</v>
      </c>
    </row>
    <row r="89">
      <c r="A89" s="347"/>
      <c r="B89" s="539"/>
      <c r="C89" s="347"/>
      <c r="D89" s="334">
        <v>300027.0</v>
      </c>
      <c r="E89" s="742">
        <f>C88-E88</f>
        <v>10.51143258</v>
      </c>
      <c r="I89" s="1" t="s">
        <v>1810</v>
      </c>
    </row>
    <row r="90">
      <c r="A90" s="347" t="s">
        <v>2991</v>
      </c>
      <c r="B90" s="750">
        <v>45788.0</v>
      </c>
      <c r="C90" s="334">
        <v>20.09</v>
      </c>
      <c r="D90" s="334">
        <v>300027.0</v>
      </c>
      <c r="E90" s="742">
        <f>C90</f>
        <v>20.09</v>
      </c>
    </row>
    <row r="91">
      <c r="A91" s="347" t="s">
        <v>1476</v>
      </c>
      <c r="B91" s="750">
        <v>45761.0</v>
      </c>
      <c r="C91" s="334">
        <v>20.57</v>
      </c>
      <c r="D91" s="334">
        <v>300027.0</v>
      </c>
      <c r="E91" s="742">
        <f>J24-(E89+E90)</f>
        <v>1.806771144</v>
      </c>
    </row>
    <row r="92">
      <c r="A92" s="347"/>
      <c r="B92" s="539"/>
      <c r="C92" s="347"/>
      <c r="D92" s="334">
        <v>300028.0</v>
      </c>
      <c r="E92" s="742">
        <f>C91-E91</f>
        <v>18.76322886</v>
      </c>
    </row>
    <row r="93">
      <c r="A93" s="347" t="s">
        <v>1477</v>
      </c>
      <c r="B93" s="750">
        <v>45792.0</v>
      </c>
      <c r="C93" s="334">
        <v>19.97</v>
      </c>
      <c r="D93" s="334">
        <v>300028.0</v>
      </c>
      <c r="E93" s="742">
        <f>J25-E92</f>
        <v>16.17475623</v>
      </c>
    </row>
    <row r="94">
      <c r="A94" s="347"/>
      <c r="B94" s="539"/>
      <c r="C94" s="347"/>
      <c r="D94" s="347"/>
      <c r="E94" s="539"/>
    </row>
    <row r="95">
      <c r="A95" s="754" t="s">
        <v>3426</v>
      </c>
      <c r="B95" s="755"/>
      <c r="C95" s="754"/>
      <c r="D95" s="754"/>
      <c r="E95" s="756">
        <f>C93-E93</f>
        <v>3.795243768</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57" t="s">
        <v>3427</v>
      </c>
    </row>
    <row r="2">
      <c r="B2" s="6" t="s">
        <v>3428</v>
      </c>
    </row>
    <row r="3">
      <c r="B3" s="758">
        <v>300028.0</v>
      </c>
    </row>
    <row r="4">
      <c r="A4" s="759" t="s">
        <v>3429</v>
      </c>
      <c r="I4" s="347"/>
      <c r="J4" s="347"/>
      <c r="K4" s="560" t="s">
        <v>3372</v>
      </c>
      <c r="L4" s="347"/>
    </row>
    <row r="5">
      <c r="A5" s="560" t="s">
        <v>3430</v>
      </c>
      <c r="B5" s="347"/>
      <c r="C5" s="590"/>
      <c r="D5" s="760" t="s">
        <v>3431</v>
      </c>
      <c r="E5" s="368" t="s">
        <v>3432</v>
      </c>
      <c r="F5" s="368" t="s">
        <v>3433</v>
      </c>
      <c r="G5" s="368" t="s">
        <v>3434</v>
      </c>
      <c r="H5" s="368" t="s">
        <v>3435</v>
      </c>
      <c r="I5" s="368" t="s">
        <v>1343</v>
      </c>
      <c r="J5" s="347"/>
      <c r="K5" s="347" t="s">
        <v>3436</v>
      </c>
      <c r="L5" s="334">
        <v>3.78541</v>
      </c>
    </row>
    <row r="6">
      <c r="A6" s="347"/>
      <c r="B6" s="347"/>
      <c r="C6" s="590"/>
      <c r="D6" s="368" t="str">
        <f t="array" ref="D6">INDEX(
  'PROD SSoT MRV Sheet'!$A:$AA,
  MATCH($B$3, 'PROD SSoT MRV Sheet'!$A:$A, 0),
  MATCH("Origin 1 - BOL", 'PROD SSoT MRV Sheet'!$A$1:$AA$1, 0)
)</f>
        <v>2169T</v>
      </c>
      <c r="E6" s="368">
        <f t="array" ref="E6">INDEX(
  'PROD SSoT MRV Sheet'!$A:$AA,
  MATCH($B$3, 'PROD SSoT MRV Sheet'!$A:$A, 0),
  MATCH("Origin 1 - Volume (Gal)", 'PROD SSoT MRV Sheet'!$A$1:$AA$1, 0)
)</f>
        <v>4400</v>
      </c>
      <c r="F6" s="368">
        <f>round(E6*$L$5, 2)</f>
        <v>16655.8</v>
      </c>
      <c r="G6" s="368" t="str">
        <f t="array" ref="G6">INDEX(
  'PROD SSoT MRV Sheet'!$A:$AA,
  MATCH($B$3, 'PROD SSoT MRV Sheet'!$A:$A, 0),
  MATCH("Origin 1 - Density (kg/L)", 'PROD SSoT MRV Sheet'!$A$1:$AA$1, 0)
)</f>
        <v/>
      </c>
      <c r="H6" s="761">
        <f t="array" ref="H6">INDEX(
  'PROD SSoT MRV Sheet'!$A:$BI,
  MATCH($B$3, 'PROD SSoT MRV Sheet'!$A:$A, 0),
  MATCH("Origin 1 - Mass (kg)", 'PROD SSoT MRV Sheet'!$A$1:$BI$1, 0)
)</f>
        <v>0</v>
      </c>
      <c r="I6" s="368" t="str">
        <f t="array" ref="I6">INDEX(
  'PROD SSoT MRV Sheet'!$A:$AA,
  MATCH($B$3, 'PROD SSoT MRV Sheet'!$A:$A, 0),
  MATCH("Origin 1 - WC%", 'PROD SSoT MRV Sheet'!$A$1:$AA$1, 0)
)</f>
        <v/>
      </c>
      <c r="J6" s="347"/>
      <c r="K6" s="345" t="s">
        <v>3437</v>
      </c>
      <c r="L6" s="345">
        <v>0.264172176858</v>
      </c>
    </row>
    <row r="7">
      <c r="A7" s="560" t="s">
        <v>2673</v>
      </c>
      <c r="B7" s="334">
        <f>B3</f>
        <v>300028</v>
      </c>
      <c r="C7" s="590"/>
      <c r="D7" s="368"/>
      <c r="E7" s="368"/>
      <c r="F7" s="368"/>
      <c r="G7" s="368"/>
      <c r="H7" s="368"/>
      <c r="I7" s="368"/>
      <c r="J7" s="347"/>
      <c r="K7" s="347"/>
      <c r="L7" s="347"/>
    </row>
    <row r="8">
      <c r="A8" s="347"/>
      <c r="B8" s="347"/>
      <c r="C8" s="590"/>
      <c r="D8" s="760" t="s">
        <v>3438</v>
      </c>
      <c r="E8" s="368" t="s">
        <v>3432</v>
      </c>
      <c r="F8" s="368" t="s">
        <v>3433</v>
      </c>
      <c r="G8" s="368" t="s">
        <v>3434</v>
      </c>
      <c r="H8" s="368" t="s">
        <v>3435</v>
      </c>
      <c r="I8" s="368"/>
      <c r="J8" s="347"/>
      <c r="K8" s="347"/>
      <c r="L8" s="347"/>
    </row>
    <row r="9">
      <c r="A9" s="560" t="s">
        <v>1954</v>
      </c>
      <c r="B9" s="547">
        <f t="array" ref="B9">INDEX(
  'PROD SSoT MRV Sheet'!$A:$AA,
  MATCH($B$3, 'PROD SSoT MRV Sheet'!$A:$A, 0),
  MATCH("Sparge Start Time", 'PROD SSoT MRV Sheet'!$A$1:$AA$1, 0)
)</f>
        <v>-1</v>
      </c>
      <c r="C9" s="590"/>
      <c r="D9" s="368" t="str">
        <f t="array" ref="D9">INDEX(
  'PROD SSoT MRV Sheet'!$A:$AA,
  MATCH($B$3, 'PROD SSoT MRV Sheet'!$A:$A, 0),
  MATCH("Origin 2 - BOL", 'PROD SSoT MRV Sheet'!$A$1:$AA$1, 0)
)</f>
        <v/>
      </c>
      <c r="E9" s="368" t="str">
        <f t="array" ref="E9">INDEX(
  'PROD SSoT MRV Sheet'!$A:$AA,
  MATCH($B$3, 'PROD SSoT MRV Sheet'!$A:$A, 0),
  MATCH("Origin 2 - Volume (Gal)", 'PROD SSoT MRV Sheet'!$A$1:$AA$1, 0)
)</f>
        <v/>
      </c>
      <c r="F9" s="368">
        <f>round(E9*$L$5, 2)</f>
        <v>0</v>
      </c>
      <c r="G9" s="368" t="str">
        <f t="array" ref="G9">INDEX(
  'PROD SSoT MRV Sheet'!$A:$AA,
  MATCH($B$3, 'PROD SSoT MRV Sheet'!$A:$A, 0),
  MATCH("Origin 2 - Density (kg/L)", 'PROD SSoT MRV Sheet'!$A$1:$AA$1, 0)
)</f>
        <v/>
      </c>
      <c r="H9" s="761">
        <f t="array" ref="H9">INDEX(
  'PROD SSoT MRV Sheet'!$A:$BI,
  MATCH($B$3, 'PROD SSoT MRV Sheet'!$A:$A, 0),
  MATCH("Origin 2 - Mass (kg)", 'PROD SSoT MRV Sheet'!$A$1:$BI$1, 0)
)</f>
        <v>0</v>
      </c>
      <c r="I9" s="368" t="str">
        <f t="array" ref="I9">INDEX(
  'PROD SSoT MRV Sheet'!$A:$AA,
  MATCH($B$3, 'PROD SSoT MRV Sheet'!$A:$A, 0),
  MATCH("Origin 2 - WC%", 'PROD SSoT MRV Sheet'!$A$1:$AA$1, 0)
)</f>
        <v/>
      </c>
      <c r="J9" s="347"/>
      <c r="K9" s="347"/>
      <c r="L9" s="347"/>
    </row>
    <row r="10">
      <c r="A10" s="347"/>
      <c r="B10" s="347"/>
      <c r="C10" s="590"/>
      <c r="D10" s="368"/>
      <c r="E10" s="368"/>
      <c r="F10" s="368"/>
      <c r="G10" s="368"/>
      <c r="H10" s="368"/>
      <c r="I10" s="368"/>
      <c r="J10" s="347"/>
      <c r="K10" s="347"/>
      <c r="L10" s="347"/>
    </row>
    <row r="11">
      <c r="A11" s="347"/>
      <c r="B11" s="347"/>
      <c r="C11" s="590"/>
      <c r="D11" s="760" t="s">
        <v>3439</v>
      </c>
      <c r="E11" s="368" t="s">
        <v>3432</v>
      </c>
      <c r="F11" s="368" t="s">
        <v>3433</v>
      </c>
      <c r="G11" s="368" t="s">
        <v>3434</v>
      </c>
      <c r="H11" s="368" t="s">
        <v>3435</v>
      </c>
      <c r="I11" s="368"/>
      <c r="J11" s="347"/>
      <c r="K11" s="347"/>
      <c r="L11" s="347"/>
    </row>
    <row r="12">
      <c r="A12" s="347"/>
      <c r="B12" s="347"/>
      <c r="C12" s="590"/>
      <c r="D12" s="368" t="str">
        <f t="array" ref="D12">INDEX(
  'PROD SSoT MRV Sheet'!$A:$AA,
  MATCH($B$3, 'PROD SSoT MRV Sheet'!$A:$A, 0),
  MATCH("Origin 3 - BOL", 'PROD SSoT MRV Sheet'!$A$1:$AA$1, 0)
)</f>
        <v/>
      </c>
      <c r="E12" s="322">
        <v>4532.0</v>
      </c>
      <c r="F12" s="368">
        <f>round(E12*$L$5, 2)</f>
        <v>17155.48</v>
      </c>
      <c r="G12" s="368" t="str">
        <f t="array" ref="G12">INDEX(
  'PROD SSoT MRV Sheet'!$A:$AA,
  MATCH($B$3, 'PROD SSoT MRV Sheet'!$A:$A, 0),
  MATCH("Origin 3 - Density (kg/L)", 'PROD SSoT MRV Sheet'!$A$1:$AA$1, 0)
)</f>
        <v/>
      </c>
      <c r="H12" s="762">
        <f t="array" ref="H12">INDEX(
  'PROD SSoT MRV Sheet'!$A:$BI,
  MATCH($B$3, 'PROD SSoT MRV Sheet'!$A:$A, 0),
  MATCH("Origin 3 - Mass (kg)", 'PROD SSoT MRV Sheet'!$A$1:$BI$1, 0)
)</f>
        <v>0</v>
      </c>
      <c r="I12" s="322">
        <v>23.6</v>
      </c>
      <c r="J12" s="347"/>
      <c r="K12" s="347"/>
      <c r="L12" s="347"/>
    </row>
    <row r="13">
      <c r="A13" s="347"/>
      <c r="B13" s="347"/>
      <c r="C13" s="590"/>
      <c r="D13" s="368"/>
      <c r="E13" s="368"/>
      <c r="F13" s="763"/>
      <c r="G13" s="763"/>
      <c r="H13" s="763"/>
      <c r="I13" s="368"/>
      <c r="J13" s="347"/>
      <c r="K13" s="347"/>
      <c r="L13" s="347"/>
    </row>
    <row r="14">
      <c r="A14" s="347"/>
      <c r="B14" s="347"/>
      <c r="C14" s="590"/>
      <c r="D14" s="764" t="s">
        <v>3440</v>
      </c>
      <c r="E14" s="368" t="s">
        <v>3432</v>
      </c>
      <c r="F14" s="368" t="s">
        <v>3433</v>
      </c>
      <c r="G14" s="368" t="s">
        <v>3434</v>
      </c>
      <c r="H14" s="368" t="s">
        <v>3435</v>
      </c>
      <c r="I14" s="368"/>
      <c r="J14" s="347"/>
      <c r="K14" s="347"/>
      <c r="L14" s="347"/>
    </row>
    <row r="15">
      <c r="A15" s="347"/>
      <c r="B15" s="347"/>
      <c r="C15" s="590"/>
      <c r="D15" s="322" t="s">
        <v>3441</v>
      </c>
      <c r="E15" s="322">
        <f>F15*$L$6</f>
        <v>452.0007599</v>
      </c>
      <c r="F15" s="368">
        <f>H15/G15</f>
        <v>1711.008197</v>
      </c>
      <c r="G15" s="322">
        <v>1.22</v>
      </c>
      <c r="H15" s="322">
        <v>2087.43</v>
      </c>
      <c r="I15" s="322">
        <v>23.6</v>
      </c>
      <c r="J15" s="560" t="s">
        <v>3442</v>
      </c>
      <c r="K15" s="765">
        <f>H6+H9+H12+H15+H18</f>
        <v>9360.19</v>
      </c>
      <c r="L15" s="347"/>
    </row>
    <row r="16">
      <c r="A16" s="347"/>
      <c r="B16" s="347"/>
      <c r="C16" s="590"/>
      <c r="D16" s="368"/>
      <c r="E16" s="368"/>
      <c r="F16" s="368"/>
      <c r="G16" s="368"/>
      <c r="H16" s="368"/>
      <c r="I16" s="368"/>
      <c r="J16" s="560"/>
      <c r="K16" s="334"/>
      <c r="L16" s="347"/>
    </row>
    <row r="17">
      <c r="A17" s="347"/>
      <c r="B17" s="347"/>
      <c r="C17" s="590"/>
      <c r="D17" s="764" t="s">
        <v>3443</v>
      </c>
      <c r="E17" s="368" t="s">
        <v>3432</v>
      </c>
      <c r="F17" s="368" t="s">
        <v>3433</v>
      </c>
      <c r="G17" s="368" t="s">
        <v>3434</v>
      </c>
      <c r="H17" s="368" t="s">
        <v>3435</v>
      </c>
      <c r="I17" s="368"/>
      <c r="J17" s="560"/>
      <c r="K17" s="334"/>
      <c r="L17" s="347"/>
    </row>
    <row r="18">
      <c r="A18" s="347"/>
      <c r="B18" s="347"/>
      <c r="C18" s="590"/>
      <c r="D18" s="322" t="s">
        <v>3444</v>
      </c>
      <c r="E18" s="322">
        <f>F18*$L$6</f>
        <v>1574.803968</v>
      </c>
      <c r="F18" s="368">
        <f>H18/G18</f>
        <v>5961.278689</v>
      </c>
      <c r="G18" s="322">
        <v>1.22</v>
      </c>
      <c r="H18" s="322">
        <v>7272.76</v>
      </c>
      <c r="I18" s="322">
        <v>23.1</v>
      </c>
      <c r="J18" s="560"/>
      <c r="K18" s="334"/>
      <c r="L18" s="347"/>
    </row>
    <row r="19">
      <c r="A19" s="347"/>
      <c r="B19" s="347"/>
      <c r="C19" s="590"/>
      <c r="D19" s="322"/>
      <c r="E19" s="322"/>
      <c r="F19" s="368"/>
      <c r="G19" s="322"/>
      <c r="H19" s="322"/>
      <c r="I19" s="322"/>
      <c r="J19" s="560"/>
      <c r="K19" s="334"/>
      <c r="L19" s="347"/>
    </row>
    <row r="20">
      <c r="A20" s="347"/>
      <c r="B20" s="347"/>
      <c r="C20" s="590"/>
      <c r="D20" s="322"/>
      <c r="E20" s="322"/>
      <c r="F20" s="368"/>
      <c r="G20" s="322"/>
      <c r="H20" s="322"/>
      <c r="I20" s="322"/>
      <c r="J20" s="560"/>
      <c r="K20" s="334"/>
      <c r="L20" s="347"/>
    </row>
    <row r="21">
      <c r="A21" s="590"/>
      <c r="B21" s="590"/>
      <c r="C21" s="590"/>
      <c r="D21" s="590"/>
      <c r="E21" s="590"/>
      <c r="F21" s="590"/>
      <c r="G21" s="590"/>
      <c r="H21" s="590"/>
      <c r="I21" s="590"/>
      <c r="J21" s="590"/>
      <c r="K21" s="590"/>
      <c r="L21" s="590"/>
    </row>
    <row r="22">
      <c r="A22" s="697" t="s">
        <v>3445</v>
      </c>
      <c r="J22" s="347"/>
      <c r="K22" s="560" t="s">
        <v>3372</v>
      </c>
      <c r="L22" s="347"/>
    </row>
    <row r="23">
      <c r="A23" s="560" t="s">
        <v>3430</v>
      </c>
      <c r="B23" s="347"/>
      <c r="C23" s="590"/>
      <c r="D23" s="560"/>
      <c r="E23" s="560" t="s">
        <v>3446</v>
      </c>
      <c r="F23" s="560" t="s">
        <v>3447</v>
      </c>
      <c r="G23" s="560" t="s">
        <v>3448</v>
      </c>
      <c r="H23" s="347"/>
      <c r="I23" s="560" t="s">
        <v>3449</v>
      </c>
      <c r="J23" s="427">
        <v>4.0</v>
      </c>
      <c r="K23" s="347" t="s">
        <v>3450</v>
      </c>
      <c r="L23" s="334">
        <v>12.76</v>
      </c>
    </row>
    <row r="24">
      <c r="A24" s="347"/>
      <c r="B24" s="347"/>
      <c r="C24" s="590"/>
      <c r="D24" s="347"/>
      <c r="E24" s="752" t="str">
        <f t="array" ref="E24">INDEX(
  'PROD SSoT MRV Sheet'!$A:$CP,
  MATCH($B$3, 'PROD SSoT MRV Sheet'!$A:$A, 0),
  MATCH("LCS Vol (Gal)", 'PROD SSoT MRV Sheet'!$A$1:$CP$1, 0)
)</f>
        <v/>
      </c>
      <c r="F24" s="334">
        <f>E24*L23</f>
        <v>0</v>
      </c>
      <c r="G24" s="334">
        <f>round(F24/L25, 2)</f>
        <v>0</v>
      </c>
      <c r="H24" s="347"/>
      <c r="I24" s="560" t="s">
        <v>3451</v>
      </c>
      <c r="J24" s="334">
        <f t="array" ref="J24">INDEX('PROD SSoT MRV Sheet'!BF:BF, MATCH(B3, 'PROD SSoT MRV Sheet'!A:A, 0))</f>
        <v>4.3</v>
      </c>
      <c r="K24" s="766" t="s">
        <v>3452</v>
      </c>
      <c r="L24" s="347"/>
    </row>
    <row r="25">
      <c r="A25" s="560" t="s">
        <v>2673</v>
      </c>
      <c r="B25" s="334">
        <f>B3</f>
        <v>300028</v>
      </c>
      <c r="C25" s="590"/>
      <c r="D25" s="347"/>
      <c r="E25" s="347"/>
      <c r="F25" s="347"/>
      <c r="G25" s="347"/>
      <c r="H25" s="347"/>
      <c r="I25" s="347"/>
      <c r="J25" s="347"/>
      <c r="K25" s="347" t="s">
        <v>3453</v>
      </c>
      <c r="L25" s="334">
        <v>2.20462</v>
      </c>
    </row>
    <row r="26">
      <c r="A26" s="347"/>
      <c r="B26" s="347"/>
      <c r="C26" s="590"/>
      <c r="D26" s="347"/>
      <c r="E26" s="347"/>
      <c r="F26" s="347"/>
      <c r="G26" s="347"/>
      <c r="H26" s="347"/>
      <c r="I26" s="347"/>
      <c r="J26" s="347"/>
      <c r="K26" s="347"/>
      <c r="L26" s="347"/>
    </row>
    <row r="27">
      <c r="A27" s="541" t="s">
        <v>3454</v>
      </c>
      <c r="B27" s="750"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0"/>
      <c r="D27" s="347"/>
      <c r="E27" s="347"/>
      <c r="F27" s="347"/>
      <c r="G27" s="347"/>
      <c r="H27" s="347"/>
      <c r="I27" s="347"/>
      <c r="J27" s="347"/>
      <c r="K27" s="347"/>
      <c r="L27" s="347"/>
    </row>
    <row r="28">
      <c r="A28" s="560"/>
      <c r="B28" s="767"/>
      <c r="C28" s="590"/>
      <c r="D28" s="347"/>
      <c r="E28" s="347"/>
      <c r="F28" s="347"/>
      <c r="G28" s="347"/>
      <c r="H28" s="347"/>
      <c r="I28" s="347"/>
      <c r="J28" s="347"/>
      <c r="K28" s="347"/>
      <c r="L28" s="347"/>
    </row>
    <row r="29">
      <c r="A29" s="347"/>
      <c r="B29" s="347"/>
      <c r="C29" s="590"/>
      <c r="D29" s="347"/>
      <c r="E29" s="347"/>
      <c r="F29" s="347"/>
      <c r="G29" s="347"/>
      <c r="H29" s="347"/>
      <c r="I29" s="347"/>
      <c r="J29" s="347"/>
      <c r="K29" s="347"/>
      <c r="L29" s="347"/>
    </row>
    <row r="30">
      <c r="A30" s="560" t="s">
        <v>3455</v>
      </c>
      <c r="B30" s="750"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0"/>
      <c r="D30" s="347"/>
      <c r="E30" s="347"/>
      <c r="F30" s="347"/>
      <c r="G30" s="347"/>
      <c r="H30" s="347"/>
      <c r="I30" s="347"/>
      <c r="J30" s="347"/>
      <c r="K30" s="347"/>
      <c r="L30" s="347"/>
    </row>
    <row r="31">
      <c r="A31" s="560"/>
      <c r="B31" s="767"/>
      <c r="C31" s="590"/>
      <c r="D31" s="347"/>
      <c r="E31" s="347"/>
      <c r="F31" s="347"/>
      <c r="G31" s="347"/>
      <c r="H31" s="347"/>
      <c r="I31" s="347"/>
      <c r="J31" s="347"/>
      <c r="K31" s="347"/>
      <c r="L31" s="347"/>
    </row>
    <row r="32">
      <c r="A32" s="347"/>
      <c r="B32" s="347"/>
      <c r="C32" s="590"/>
      <c r="D32" s="560" t="s">
        <v>3456</v>
      </c>
      <c r="E32" s="752">
        <f t="shared" ref="E32:G32" si="1">SUM(E24:E31)</f>
        <v>0</v>
      </c>
      <c r="F32" s="334">
        <f t="shared" si="1"/>
        <v>0</v>
      </c>
      <c r="G32" s="334">
        <f t="shared" si="1"/>
        <v>0</v>
      </c>
      <c r="H32" s="347"/>
      <c r="I32" s="347"/>
      <c r="J32" s="347"/>
      <c r="K32" s="347"/>
      <c r="L32" s="347"/>
    </row>
    <row r="33">
      <c r="A33" s="590"/>
      <c r="B33" s="590"/>
      <c r="C33" s="590"/>
      <c r="D33" s="590"/>
      <c r="E33" s="590"/>
      <c r="F33" s="590"/>
      <c r="G33" s="590"/>
      <c r="H33" s="590"/>
      <c r="I33" s="590"/>
      <c r="J33" s="590"/>
      <c r="K33" s="590"/>
      <c r="L33" s="590"/>
    </row>
    <row r="34">
      <c r="A34" s="697" t="s">
        <v>3457</v>
      </c>
      <c r="J34" s="347"/>
      <c r="K34" s="347"/>
      <c r="L34" s="347"/>
    </row>
    <row r="35">
      <c r="A35" s="560" t="s">
        <v>3430</v>
      </c>
      <c r="B35" s="347"/>
      <c r="C35" s="590"/>
      <c r="D35" s="560"/>
      <c r="E35" s="560" t="s">
        <v>3458</v>
      </c>
      <c r="F35" s="347"/>
      <c r="G35" s="347"/>
      <c r="H35" s="347"/>
      <c r="I35" s="347"/>
      <c r="J35" s="347"/>
      <c r="K35" s="347"/>
      <c r="L35" s="347"/>
    </row>
    <row r="36">
      <c r="A36" s="347"/>
      <c r="B36" s="347"/>
      <c r="C36" s="590"/>
      <c r="D36" s="347"/>
      <c r="E36" s="752" t="str">
        <f t="array" ref="E36">INDEX(
  'PROD SSoT MRV Sheet'!$A:$CP,
  MATCH($B$3, 'PROD SSoT MRV Sheet'!$A:$A, 0),
  MATCH("Total Salt Added to Blend Tank (lb)", 'PROD SSoT MRV Sheet'!$A$1:$CP$1, 0)
)</f>
        <v/>
      </c>
      <c r="F36" s="347"/>
      <c r="G36" s="347"/>
      <c r="H36" s="347"/>
      <c r="I36" s="347"/>
      <c r="J36" s="347"/>
      <c r="K36" s="347"/>
      <c r="L36" s="347"/>
    </row>
    <row r="37">
      <c r="A37" s="560" t="s">
        <v>2673</v>
      </c>
      <c r="B37" s="334">
        <f>B3</f>
        <v>300028</v>
      </c>
      <c r="C37" s="590"/>
      <c r="D37" s="347"/>
      <c r="E37" s="347"/>
      <c r="F37" s="347"/>
      <c r="G37" s="347"/>
      <c r="H37" s="347"/>
      <c r="I37" s="347"/>
      <c r="J37" s="347"/>
      <c r="K37" s="347"/>
      <c r="L37" s="347"/>
    </row>
    <row r="38">
      <c r="A38" s="347"/>
      <c r="B38" s="347"/>
      <c r="C38" s="590"/>
      <c r="D38" s="347"/>
      <c r="E38" s="347"/>
      <c r="F38" s="347"/>
      <c r="G38" s="347"/>
      <c r="H38" s="347"/>
      <c r="I38" s="347"/>
      <c r="J38" s="347"/>
      <c r="K38" s="347"/>
      <c r="L38" s="347"/>
    </row>
    <row r="39">
      <c r="A39" s="560" t="s">
        <v>3459</v>
      </c>
      <c r="B39" s="750"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0"/>
      <c r="D39" s="347"/>
      <c r="E39" s="347"/>
      <c r="F39" s="347"/>
      <c r="G39" s="347"/>
      <c r="H39" s="347"/>
      <c r="I39" s="347"/>
      <c r="J39" s="347"/>
      <c r="K39" s="347"/>
      <c r="L39" s="347"/>
    </row>
    <row r="40">
      <c r="A40" s="560"/>
      <c r="B40" s="767"/>
      <c r="C40" s="590"/>
      <c r="D40" s="347"/>
      <c r="E40" s="347"/>
      <c r="F40" s="347"/>
      <c r="G40" s="347"/>
      <c r="H40" s="347"/>
      <c r="I40" s="347"/>
      <c r="J40" s="347"/>
      <c r="K40" s="347"/>
      <c r="L40" s="347"/>
    </row>
    <row r="41">
      <c r="A41" s="347"/>
      <c r="B41" s="347"/>
      <c r="C41" s="590"/>
      <c r="D41" s="347"/>
      <c r="E41" s="347"/>
      <c r="F41" s="347"/>
      <c r="G41" s="347"/>
      <c r="H41" s="347"/>
      <c r="I41" s="347"/>
      <c r="J41" s="347"/>
      <c r="K41" s="347"/>
      <c r="L41" s="347"/>
    </row>
    <row r="42">
      <c r="A42" s="560" t="s">
        <v>3460</v>
      </c>
      <c r="B42" s="750"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0"/>
      <c r="D42" s="347"/>
      <c r="E42" s="347"/>
      <c r="F42" s="560" t="s">
        <v>3461</v>
      </c>
      <c r="G42" s="560" t="s">
        <v>2737</v>
      </c>
      <c r="H42" s="560" t="s">
        <v>3462</v>
      </c>
      <c r="I42" s="560" t="s">
        <v>3463</v>
      </c>
      <c r="J42" s="560" t="s">
        <v>3464</v>
      </c>
      <c r="K42" s="560" t="s">
        <v>2741</v>
      </c>
      <c r="L42" s="347"/>
    </row>
    <row r="43">
      <c r="A43" s="560"/>
      <c r="B43" s="767"/>
      <c r="C43" s="590"/>
      <c r="D43" s="560" t="s">
        <v>3465</v>
      </c>
      <c r="E43" s="752">
        <f>SUM(E36:E42)</f>
        <v>0</v>
      </c>
      <c r="F43" s="752" t="str">
        <f t="array" ref="F43">INDEX(
  'PROD SSoT MRV Sheet'!$A:$CP,
  MATCH($B$3, 'PROD SSoT MRV Sheet'!$A:$A, 0),
  MATCH("Estimated Salt Left in Blend Tank (lbs)", 'PROD SSoT MRV Sheet'!$A$1:$CP$1, 0)
)</f>
        <v>#VALUE!</v>
      </c>
      <c r="G43" s="752" t="str">
        <f t="array" ref="G43">INDEX(
  'PROD SSoT MRV Sheet'!$A:$CP,
  MATCH($B$3, 'PROD SSoT MRV Sheet'!$A:$A, 0),
  MATCH("Salt Added to Truck (lbs)", 'PROD SSoT MRV Sheet'!$A$1:$CP$1, 0)
)</f>
        <v/>
      </c>
      <c r="H43" s="752" t="str">
        <f t="array" ref="H43">INDEX(
  'PROD SSoT MRV Sheet'!$A:$CP,
  MATCH($B$3, 'PROD SSoT MRV Sheet'!$A:$A, 0),
  MATCH("Estimated Salt Remaining in Trucks (lbs)", 'PROD SSoT MRV Sheet'!$A$1:$CP$1, 0)
)</f>
        <v>#VALUE!</v>
      </c>
      <c r="I43" s="334" t="str">
        <f>E43-F43+G43-H43</f>
        <v>#VALUE!</v>
      </c>
      <c r="J43" s="752">
        <f>E43+G43</f>
        <v>0</v>
      </c>
      <c r="K43" s="334">
        <f>round(J43/L25, 2)</f>
        <v>0</v>
      </c>
      <c r="L43" s="347"/>
    </row>
    <row r="44">
      <c r="A44" s="347"/>
      <c r="B44" s="347"/>
      <c r="C44" s="590"/>
      <c r="D44" s="347"/>
      <c r="E44" s="347"/>
      <c r="F44" s="347"/>
      <c r="G44" s="347"/>
      <c r="H44" s="347"/>
      <c r="I44" s="347"/>
      <c r="J44" s="347"/>
      <c r="K44" s="347"/>
      <c r="L44" s="347"/>
    </row>
    <row r="45">
      <c r="A45" s="347"/>
      <c r="B45" s="347"/>
      <c r="C45" s="590"/>
      <c r="D45" s="697" t="s">
        <v>3466</v>
      </c>
      <c r="K45" s="347"/>
      <c r="L45" s="347"/>
    </row>
    <row r="46">
      <c r="A46" s="347"/>
      <c r="B46" s="347"/>
      <c r="C46" s="590"/>
      <c r="D46" s="768" t="s">
        <v>2764</v>
      </c>
      <c r="E46" s="769" t="s">
        <v>2767</v>
      </c>
      <c r="F46" s="768" t="s">
        <v>3463</v>
      </c>
      <c r="G46" s="768" t="s">
        <v>2768</v>
      </c>
      <c r="H46" s="768" t="s">
        <v>2770</v>
      </c>
      <c r="I46" s="769" t="s">
        <v>2772</v>
      </c>
      <c r="J46" s="347"/>
      <c r="K46" s="347"/>
      <c r="L46" s="347"/>
    </row>
    <row r="47">
      <c r="A47" s="347"/>
      <c r="B47" s="347"/>
      <c r="C47" s="590"/>
      <c r="D47" s="334">
        <f>SUM(E6,E9,E12,E15,E18)</f>
        <v>10958.80473</v>
      </c>
      <c r="E47" s="334">
        <f>round((F6*I6/100*G6)+(F9*I9/100*G9)+(F12*I12/100*G12)+(F15*G15/100*I15)+(F18*G18/100*I18)+(1.1165*3.78541*E32),2)</f>
        <v>2172.64</v>
      </c>
      <c r="F47" s="334" t="str">
        <f>I43</f>
        <v>#VALUE!</v>
      </c>
      <c r="G47" s="334">
        <f>Round(convert(E47*190000/1000/0.6066,"g","lbm"),2)</f>
        <v>1500.28</v>
      </c>
      <c r="H47" s="334" t="str">
        <f>F47-G47</f>
        <v>#VALUE!</v>
      </c>
      <c r="I47" s="334" t="str">
        <f>round((convert(F47,"lbm", "g"))*0.606/E47*1000, 2)</f>
        <v>#VALUE!</v>
      </c>
      <c r="J47" s="347"/>
      <c r="K47" s="347"/>
      <c r="L47" s="347"/>
    </row>
    <row r="48">
      <c r="A48" s="590"/>
      <c r="B48" s="590"/>
      <c r="C48" s="590"/>
      <c r="D48" s="590"/>
      <c r="E48" s="590"/>
      <c r="F48" s="590"/>
      <c r="G48" s="590"/>
      <c r="H48" s="590"/>
      <c r="I48" s="590"/>
      <c r="J48" s="590"/>
      <c r="K48" s="590"/>
      <c r="L48" s="590"/>
    </row>
    <row r="49">
      <c r="A49" s="697" t="s">
        <v>3467</v>
      </c>
      <c r="J49" s="347"/>
      <c r="K49" s="347"/>
      <c r="L49" s="347"/>
    </row>
    <row r="50">
      <c r="A50" s="560" t="s">
        <v>2673</v>
      </c>
      <c r="B50" s="334">
        <f>B3</f>
        <v>300028</v>
      </c>
      <c r="C50" s="590"/>
      <c r="D50" s="560" t="s">
        <v>2747</v>
      </c>
      <c r="E50" s="560" t="s">
        <v>2748</v>
      </c>
      <c r="F50" s="560" t="s">
        <v>3468</v>
      </c>
      <c r="G50" s="560" t="s">
        <v>2751</v>
      </c>
      <c r="H50" s="560"/>
      <c r="I50" s="347"/>
      <c r="J50" s="347"/>
      <c r="K50" s="347"/>
      <c r="L50" s="347"/>
    </row>
    <row r="51">
      <c r="A51" s="347"/>
      <c r="B51" s="347"/>
      <c r="C51" s="590"/>
      <c r="D51" s="334">
        <f t="array" ref="D51">INDEX(
  'PROD SSoT MRV Sheet'!$A:$CP,
  MATCH($B$3, 'PROD SSoT MRV Sheet'!$A:$A, 0),
  MATCH(D50, 'PROD SSoT MRV Sheet'!$A$1:$CP$1, 0)
)</f>
        <v>76780</v>
      </c>
      <c r="E51" s="334">
        <f t="array" ref="E51">INDEX(
  'PROD SSoT MRV Sheet'!$A:$CP,
  MATCH($B$3, 'PROD SSoT MRV Sheet'!$A:$A, 0),
  MATCH(E50, 'PROD SSoT MRV Sheet'!$A$1:$CP$1, 0)
)</f>
        <v>32820</v>
      </c>
      <c r="F51" s="334">
        <f>D51-E51</f>
        <v>43960</v>
      </c>
      <c r="G51" s="334">
        <f>round(F51/$L$25, 2)</f>
        <v>19939.94</v>
      </c>
      <c r="H51" s="334"/>
      <c r="I51" s="347"/>
      <c r="J51" s="347"/>
      <c r="K51" s="347"/>
      <c r="L51" s="347"/>
    </row>
    <row r="52">
      <c r="A52" s="560" t="s">
        <v>3469</v>
      </c>
      <c r="B52" s="750"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0"/>
      <c r="D52" s="541" t="s">
        <v>2752</v>
      </c>
      <c r="E52" s="541" t="s">
        <v>2753</v>
      </c>
      <c r="F52" s="560" t="s">
        <v>3470</v>
      </c>
      <c r="G52" s="560" t="s">
        <v>2756</v>
      </c>
      <c r="H52" s="560"/>
      <c r="I52" s="347"/>
      <c r="J52" s="347"/>
      <c r="K52" s="347"/>
      <c r="L52" s="347"/>
    </row>
    <row r="53">
      <c r="A53" s="560"/>
      <c r="B53" s="767"/>
      <c r="C53" s="590"/>
      <c r="D53" s="334">
        <f t="array" ref="D53">INDEX(
  'PROD SSoT MRV Sheet'!$A:$CP,
  MATCH($B$3, 'PROD SSoT MRV Sheet'!$A:$A, 0),
  MATCH(D52, 'PROD SSoT MRV Sheet'!$A$1:$CP$1, 0)
)</f>
        <v>76640</v>
      </c>
      <c r="E53" s="334">
        <f t="array" ref="E53">INDEX(
  'PROD SSoT MRV Sheet'!$A:$CP,
  MATCH($B$3, 'PROD SSoT MRV Sheet'!$A:$A, 0),
  MATCH(E52, 'PROD SSoT MRV Sheet'!$A$1:$CP$1, 0)
)</f>
        <v>32660</v>
      </c>
      <c r="F53" s="334">
        <f>D53-E53</f>
        <v>43980</v>
      </c>
      <c r="G53" s="334">
        <f>round(F53/$L$25, 2)</f>
        <v>19949.02</v>
      </c>
      <c r="H53" s="334"/>
      <c r="I53" s="347"/>
      <c r="J53" s="347"/>
      <c r="K53" s="347"/>
      <c r="L53" s="347"/>
    </row>
    <row r="54">
      <c r="A54" s="347"/>
      <c r="B54" s="347"/>
      <c r="C54" s="590"/>
      <c r="D54" s="560" t="s">
        <v>3471</v>
      </c>
      <c r="E54" s="560" t="s">
        <v>3472</v>
      </c>
      <c r="F54" s="560" t="s">
        <v>3473</v>
      </c>
      <c r="G54" s="560" t="s">
        <v>3474</v>
      </c>
      <c r="H54" s="560"/>
      <c r="I54" s="347"/>
      <c r="J54" s="347"/>
      <c r="K54" s="347"/>
      <c r="L54" s="347"/>
    </row>
    <row r="55">
      <c r="A55" s="560" t="s">
        <v>3475</v>
      </c>
      <c r="B55" s="750"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0"/>
      <c r="D55" s="345"/>
      <c r="E55" s="345"/>
      <c r="F55" s="334">
        <f>D55-E55</f>
        <v>0</v>
      </c>
      <c r="G55" s="334">
        <f>round(F55/$L$25, 2)</f>
        <v>0</v>
      </c>
      <c r="H55" s="347"/>
      <c r="I55" s="347"/>
      <c r="J55" s="347"/>
      <c r="K55" s="347"/>
      <c r="L55" s="347"/>
    </row>
    <row r="56">
      <c r="A56" s="560"/>
      <c r="B56" s="767"/>
      <c r="C56" s="590"/>
      <c r="D56" s="347"/>
      <c r="E56" s="347"/>
      <c r="F56" s="347"/>
      <c r="G56" s="347"/>
      <c r="H56" s="347"/>
      <c r="I56" s="347"/>
      <c r="J56" s="347"/>
      <c r="K56" s="347"/>
      <c r="L56" s="347"/>
    </row>
    <row r="57">
      <c r="A57" s="347"/>
      <c r="B57" s="347"/>
      <c r="C57" s="590"/>
      <c r="D57" s="347"/>
      <c r="E57" s="347"/>
      <c r="F57" s="560" t="s">
        <v>2758</v>
      </c>
      <c r="G57" s="334">
        <f>round(SUM(G51,G53,G55), 2)</f>
        <v>39888.96</v>
      </c>
      <c r="H57" s="347"/>
      <c r="I57" s="347"/>
      <c r="J57" s="347"/>
      <c r="K57" s="347"/>
      <c r="L57" s="347"/>
    </row>
    <row r="58">
      <c r="A58" s="347"/>
      <c r="B58" s="347"/>
      <c r="C58" s="590"/>
      <c r="D58" s="347"/>
      <c r="E58" s="347"/>
      <c r="F58" s="560" t="s">
        <v>3476</v>
      </c>
      <c r="G58" s="334">
        <f>round(SUM(K43,G32),2)</f>
        <v>0</v>
      </c>
      <c r="H58" s="347"/>
      <c r="I58" s="347"/>
      <c r="J58" s="347"/>
      <c r="K58" s="347"/>
      <c r="L58" s="347"/>
    </row>
    <row r="59">
      <c r="A59" s="347"/>
      <c r="B59" s="347"/>
      <c r="C59" s="590"/>
      <c r="D59" s="347"/>
      <c r="E59" s="347"/>
      <c r="F59" s="560" t="s">
        <v>3477</v>
      </c>
      <c r="G59" s="752">
        <f>G57-G58</f>
        <v>39888.96</v>
      </c>
      <c r="H59" s="347"/>
      <c r="I59" s="347"/>
      <c r="J59" s="347"/>
      <c r="K59" s="347"/>
      <c r="L59" s="347"/>
    </row>
    <row r="60">
      <c r="A60" s="590"/>
      <c r="B60" s="590"/>
      <c r="C60" s="590"/>
      <c r="D60" s="590"/>
      <c r="E60" s="590"/>
      <c r="F60" s="590"/>
      <c r="G60" s="590"/>
      <c r="H60" s="590"/>
      <c r="I60" s="590"/>
      <c r="J60" s="590"/>
      <c r="K60" s="590"/>
      <c r="L60" s="590"/>
    </row>
    <row r="61">
      <c r="A61" s="759" t="s">
        <v>3478</v>
      </c>
      <c r="J61" s="347"/>
      <c r="K61" s="347"/>
      <c r="L61" s="347"/>
    </row>
    <row r="62">
      <c r="A62" s="82" t="s">
        <v>3479</v>
      </c>
      <c r="B62" s="82"/>
      <c r="C62" s="82"/>
      <c r="D62" s="82"/>
      <c r="F62" s="82"/>
    </row>
    <row r="63">
      <c r="A63" s="82" t="s">
        <v>3480</v>
      </c>
      <c r="B63" s="770">
        <f>B62/K15</f>
        <v>0</v>
      </c>
      <c r="C63" s="82"/>
      <c r="D63" s="82"/>
      <c r="F63" s="82"/>
    </row>
    <row r="64">
      <c r="A64" s="82" t="s">
        <v>3481</v>
      </c>
      <c r="B64" s="82">
        <f>round(G59*(1-B63), 2)</f>
        <v>39888.96</v>
      </c>
      <c r="C64" s="82"/>
      <c r="D64" s="82"/>
      <c r="F64" s="82"/>
    </row>
    <row r="65">
      <c r="A65" s="82" t="s">
        <v>3482</v>
      </c>
      <c r="B65" s="82">
        <f>round(B64*3.672%,2)</f>
        <v>1464.72</v>
      </c>
    </row>
    <row r="66">
      <c r="A66" s="82" t="s">
        <v>3483</v>
      </c>
      <c r="B66" s="7">
        <f>SUM(B64:B65)</f>
        <v>41353.68</v>
      </c>
      <c r="C66" s="82"/>
      <c r="D66" s="82"/>
      <c r="F66" s="82" t="s">
        <v>3484</v>
      </c>
      <c r="G66" s="87">
        <f>SUM(B69:B72)</f>
        <v>37.22</v>
      </c>
    </row>
    <row r="67">
      <c r="F67" s="82" t="s">
        <v>3485</v>
      </c>
      <c r="G67" s="87">
        <f>(B66/1000)-G66</f>
        <v>4.13368</v>
      </c>
    </row>
    <row r="68">
      <c r="A68" s="82" t="s">
        <v>1488</v>
      </c>
      <c r="B68" s="82" t="s">
        <v>3486</v>
      </c>
    </row>
    <row r="69">
      <c r="A69" s="345" t="s">
        <v>3487</v>
      </c>
      <c r="B69" s="765">
        <v>4.65</v>
      </c>
    </row>
    <row r="70">
      <c r="A70" s="345" t="s">
        <v>3488</v>
      </c>
      <c r="B70" s="765">
        <v>20.25</v>
      </c>
    </row>
    <row r="71">
      <c r="A71" s="345" t="s">
        <v>3441</v>
      </c>
      <c r="B71" s="765">
        <v>12.32</v>
      </c>
    </row>
    <row r="72">
      <c r="B72" s="427"/>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14.38"/>
  </cols>
  <sheetData>
    <row r="1">
      <c r="A1" s="82" t="s">
        <v>2690</v>
      </c>
      <c r="B1" s="82" t="s">
        <v>3489</v>
      </c>
      <c r="C1" s="82" t="s">
        <v>3490</v>
      </c>
      <c r="D1" s="82" t="s">
        <v>3434</v>
      </c>
    </row>
    <row r="2">
      <c r="A2" s="1">
        <v>300002.0</v>
      </c>
      <c r="B2" s="284">
        <f>'PROD SSoT MRV Sheet'!U20</f>
        <v>2208</v>
      </c>
      <c r="C2" s="1">
        <v>2208.99304</v>
      </c>
      <c r="D2" s="429">
        <f t="shared" ref="D2:D4" si="1">C2/B2</f>
        <v>1.000449746</v>
      </c>
    </row>
    <row r="3">
      <c r="A3" s="1">
        <v>300003.0</v>
      </c>
      <c r="B3" s="284">
        <f>'PROD SSoT MRV Sheet'!AA22</f>
        <v>3122.96325</v>
      </c>
      <c r="C3" s="87">
        <f>'PROD SSoT MRV Sheet'!AB22</f>
        <v>3223.13</v>
      </c>
      <c r="D3" s="429">
        <f t="shared" si="1"/>
        <v>1.032074265</v>
      </c>
    </row>
    <row r="4">
      <c r="A4" s="1">
        <v>300004.0</v>
      </c>
      <c r="B4" s="284">
        <f>'PROD SSoT MRV Sheet'!AA23</f>
        <v>4353.2215</v>
      </c>
      <c r="C4" s="87">
        <f>'PROD SSoT MRV Sheet'!AB23</f>
        <v>4763.76</v>
      </c>
      <c r="D4" s="429">
        <f t="shared" si="1"/>
        <v>1.094306825</v>
      </c>
    </row>
    <row r="5">
      <c r="A5" s="1">
        <v>300005.0</v>
      </c>
      <c r="B5" s="284">
        <v>2498.3706</v>
      </c>
      <c r="C5" s="85">
        <v>2669.71</v>
      </c>
      <c r="D5" s="429">
        <f t="shared" ref="D5:D15" si="2">C5/$B$5</f>
        <v>1.068580458</v>
      </c>
    </row>
    <row r="6">
      <c r="A6" s="1">
        <v>300006.0</v>
      </c>
      <c r="B6" s="284">
        <v>3785.4100000000003</v>
      </c>
      <c r="C6" s="85">
        <v>4383.96</v>
      </c>
      <c r="D6" s="429">
        <f t="shared" si="2"/>
        <v>1.754727661</v>
      </c>
    </row>
    <row r="7">
      <c r="A7" s="1">
        <v>300007.0</v>
      </c>
      <c r="B7" s="284">
        <v>3785.4100000000003</v>
      </c>
      <c r="C7" s="284">
        <v>4629.556430000001</v>
      </c>
      <c r="D7" s="429">
        <f t="shared" si="2"/>
        <v>1.853030303</v>
      </c>
    </row>
    <row r="8">
      <c r="A8" s="1">
        <v>300008.0</v>
      </c>
      <c r="B8" s="284">
        <v>3558.2854</v>
      </c>
      <c r="C8" s="284">
        <v>4348.2247588</v>
      </c>
      <c r="D8" s="429">
        <f t="shared" si="2"/>
        <v>1.740424242</v>
      </c>
    </row>
    <row r="9">
      <c r="A9" s="1">
        <v>300009.0</v>
      </c>
      <c r="B9" s="284">
        <v>3402.0993834</v>
      </c>
      <c r="C9" s="284">
        <v>4184.582241582</v>
      </c>
      <c r="D9" s="429">
        <f t="shared" si="2"/>
        <v>1.674924545</v>
      </c>
    </row>
    <row r="10">
      <c r="A10" s="1">
        <v>300010.0</v>
      </c>
      <c r="B10" s="284">
        <v>3792.98082</v>
      </c>
      <c r="C10" s="284">
        <v>4635.022562040001</v>
      </c>
      <c r="D10" s="429">
        <f t="shared" si="2"/>
        <v>1.855218182</v>
      </c>
    </row>
    <row r="11">
      <c r="A11" s="1">
        <v>300011.0</v>
      </c>
      <c r="B11" s="284">
        <v>4163.951</v>
      </c>
      <c r="C11" s="284">
        <v>5088.348122</v>
      </c>
      <c r="D11" s="429">
        <f t="shared" si="2"/>
        <v>2.036666667</v>
      </c>
    </row>
    <row r="12">
      <c r="A12" s="1">
        <v>300012.0</v>
      </c>
      <c r="B12" s="284">
        <v>3983.52321776</v>
      </c>
      <c r="C12" s="284">
        <v>4859.8983256672</v>
      </c>
      <c r="D12" s="429">
        <f t="shared" si="2"/>
        <v>1.945227152</v>
      </c>
    </row>
    <row r="13">
      <c r="A13" s="1">
        <v>300013.0</v>
      </c>
      <c r="B13" s="284">
        <v>4039.8652602</v>
      </c>
      <c r="C13" s="284">
        <v>4928.635617444</v>
      </c>
      <c r="D13" s="429">
        <f t="shared" si="2"/>
        <v>1.97274</v>
      </c>
    </row>
    <row r="14">
      <c r="A14" s="1">
        <v>300014.0</v>
      </c>
      <c r="B14" s="284">
        <v>5265.5053100000005</v>
      </c>
      <c r="C14" s="284">
        <v>6423.916478200001</v>
      </c>
      <c r="D14" s="429">
        <f t="shared" si="2"/>
        <v>2.571242424</v>
      </c>
    </row>
    <row r="15">
      <c r="A15" s="1">
        <v>300015.0</v>
      </c>
      <c r="D15" s="429">
        <f t="shared" si="2"/>
        <v>0</v>
      </c>
    </row>
    <row r="21">
      <c r="C21" s="85"/>
    </row>
    <row r="22">
      <c r="C22" s="284"/>
    </row>
    <row r="23">
      <c r="C23" s="284"/>
    </row>
    <row r="24">
      <c r="C24" s="284"/>
    </row>
    <row r="25">
      <c r="C25" s="284"/>
    </row>
    <row r="26">
      <c r="C26" s="284"/>
    </row>
    <row r="27">
      <c r="C27" s="284"/>
    </row>
    <row r="28">
      <c r="C28" s="284"/>
    </row>
    <row r="29">
      <c r="C29" s="284"/>
    </row>
  </sheetData>
  <drawing r:id="rId4"/>
  <legacyDrawing r:id="rId5"/>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6" t="s">
        <v>3428</v>
      </c>
    </row>
    <row r="2">
      <c r="B2" s="758">
        <v>200076.0</v>
      </c>
    </row>
    <row r="3">
      <c r="A3" s="697" t="s">
        <v>3491</v>
      </c>
      <c r="I3" s="347"/>
      <c r="J3" s="347"/>
      <c r="K3" s="560" t="s">
        <v>3372</v>
      </c>
      <c r="L3" s="347"/>
    </row>
    <row r="4">
      <c r="A4" s="560" t="s">
        <v>3430</v>
      </c>
      <c r="B4" s="347"/>
      <c r="C4" s="590"/>
      <c r="D4" s="560" t="s">
        <v>3431</v>
      </c>
      <c r="E4" s="347" t="s">
        <v>3432</v>
      </c>
      <c r="F4" s="347" t="s">
        <v>3433</v>
      </c>
      <c r="G4" s="347" t="s">
        <v>3434</v>
      </c>
      <c r="H4" s="347" t="s">
        <v>3435</v>
      </c>
      <c r="I4" s="347" t="s">
        <v>1343</v>
      </c>
      <c r="J4" s="347"/>
      <c r="K4" s="347" t="s">
        <v>3436</v>
      </c>
      <c r="L4" s="334">
        <v>3.78541</v>
      </c>
    </row>
    <row r="5">
      <c r="A5" s="347"/>
      <c r="B5" s="347"/>
      <c r="C5" s="590"/>
      <c r="D5" s="595" t="str">
        <f t="array" ref="D5">INDEX(
  'PROD SSoT MRV Sheet'!$A:$AA,
  MATCH($B$2, 'PROD SSoT MRV Sheet'!$A:$A, 0),
  MATCH("Origin 1 - BOL", 'PROD SSoT MRV Sheet'!$A$1:$AA$1, 0)
)</f>
        <v>1929</v>
      </c>
      <c r="E5" s="334">
        <f t="array" ref="E5">INDEX(
  'PROD SSoT MRV Sheet'!$A:$AA,
  MATCH($B$2, 'PROD SSoT MRV Sheet'!$A:$A, 0),
  MATCH("Origin 1 - Volume (Gal)", 'PROD SSoT MRV Sheet'!$A$1:$AA$1, 0)
)</f>
        <v>508.41</v>
      </c>
      <c r="F5" s="334">
        <f>E5*$L$4</f>
        <v>1924.540298</v>
      </c>
      <c r="G5" s="334">
        <f t="array" ref="G5">INDEX(
  'PROD SSoT MRV Sheet'!$A:$AA,
  MATCH($B$2, 'PROD SSoT MRV Sheet'!$A:$A, 0),
  MATCH("Origin 1 - Density (kg/L)", 'PROD SSoT MRV Sheet'!$A$1:$AA$1, 0)
)</f>
        <v>1.214</v>
      </c>
      <c r="H5" s="334">
        <f>G5*F5</f>
        <v>2336.391922</v>
      </c>
      <c r="I5" s="334">
        <f t="array" ref="I5">INDEX(
  'PROD SSoT MRV Sheet'!$A:$AA,
  MATCH($B$2, 'PROD SSoT MRV Sheet'!$A:$A, 0),
  MATCH("Origin 1 - WC%", 'PROD SSoT MRV Sheet'!$A$1:$AA$1, 0)
)</f>
        <v>23.4</v>
      </c>
      <c r="J5" s="347"/>
      <c r="K5" s="347"/>
      <c r="L5" s="347"/>
    </row>
    <row r="6">
      <c r="A6" s="560" t="s">
        <v>2673</v>
      </c>
      <c r="B6" s="334">
        <f>B2</f>
        <v>200076</v>
      </c>
      <c r="C6" s="590"/>
      <c r="D6" s="347"/>
      <c r="E6" s="347"/>
      <c r="F6" s="347"/>
      <c r="G6" s="347"/>
      <c r="H6" s="347"/>
      <c r="I6" s="347"/>
      <c r="J6" s="347"/>
      <c r="K6" s="347"/>
      <c r="L6" s="347"/>
    </row>
    <row r="7">
      <c r="A7" s="347"/>
      <c r="B7" s="347"/>
      <c r="C7" s="590"/>
      <c r="D7" s="560" t="s">
        <v>3438</v>
      </c>
      <c r="E7" s="347" t="s">
        <v>3432</v>
      </c>
      <c r="F7" s="347" t="s">
        <v>3433</v>
      </c>
      <c r="G7" s="347" t="s">
        <v>3434</v>
      </c>
      <c r="H7" s="347" t="s">
        <v>3435</v>
      </c>
      <c r="I7" s="347"/>
      <c r="J7" s="347"/>
      <c r="K7" s="347"/>
      <c r="L7" s="347"/>
    </row>
    <row r="8">
      <c r="A8" s="560" t="s">
        <v>1954</v>
      </c>
      <c r="B8" s="547">
        <f t="array" ref="B8">INDEX(
  'PROD SSoT MRV Sheet'!$A:$AA,
  MATCH($B$2, 'PROD SSoT MRV Sheet'!$A:$A, 0),
  MATCH("Sparge Start Time", 'PROD SSoT MRV Sheet'!$A$1:$AA$1, 0)
)</f>
        <v>45693.08333</v>
      </c>
      <c r="C8" s="590"/>
      <c r="D8" s="595" t="str">
        <f t="array" ref="D8">INDEX(
  'PROD SSoT MRV Sheet'!$A:$AA,
  MATCH($B$2, 'PROD SSoT MRV Sheet'!$A:$A, 0),
  MATCH("Origin 2 - BOL", 'PROD SSoT MRV Sheet'!$A$1:$AA$1, 0)
)</f>
        <v>1934</v>
      </c>
      <c r="E8" s="334">
        <f t="array" ref="E8">INDEX(
  'PROD SSoT MRV Sheet'!$A:$AA,
  MATCH($B$2, 'PROD SSoT MRV Sheet'!$A:$A, 0),
  MATCH("Origin 2 - Volume (Gal)", 'PROD SSoT MRV Sheet'!$A$1:$AA$1, 0)
)</f>
        <v>4398</v>
      </c>
      <c r="F8" s="334">
        <f>E8*$L$4</f>
        <v>16648.23318</v>
      </c>
      <c r="G8" s="771">
        <f t="array" ref="G8">INDEX(
  'PROD SSoT MRV Sheet'!$A:$AA,
  MATCH($B$2, 'PROD SSoT MRV Sheet'!$A:$A, 0),
  MATCH("Origin 2 - Density (kg/L)", 'PROD SSoT MRV Sheet'!$A$1:$AA$1, 0)
)</f>
        <v>1.214</v>
      </c>
      <c r="H8" s="334">
        <f>G8*F8</f>
        <v>20210.95508</v>
      </c>
      <c r="I8" s="334">
        <f t="array" ref="I8">INDEX(
  'PROD SSoT MRV Sheet'!$A:$AA,
  MATCH($B$2, 'PROD SSoT MRV Sheet'!$A:$A, 0),
  MATCH("Origin 2 - WC%", 'PROD SSoT MRV Sheet'!$A$1:$AA$1, 0)
)</f>
        <v>23.4</v>
      </c>
      <c r="J8" s="347"/>
      <c r="K8" s="347"/>
      <c r="L8" s="347"/>
    </row>
    <row r="9">
      <c r="A9" s="347"/>
      <c r="B9" s="347"/>
      <c r="C9" s="590"/>
      <c r="D9" s="347"/>
      <c r="E9" s="347"/>
      <c r="F9" s="347"/>
      <c r="G9" s="347"/>
      <c r="H9" s="347"/>
      <c r="I9" s="347"/>
      <c r="J9" s="347"/>
      <c r="K9" s="347"/>
      <c r="L9" s="347"/>
    </row>
    <row r="10">
      <c r="A10" s="347"/>
      <c r="B10" s="347"/>
      <c r="C10" s="590"/>
      <c r="D10" s="560" t="s">
        <v>3439</v>
      </c>
      <c r="E10" s="347" t="s">
        <v>3432</v>
      </c>
      <c r="F10" s="347" t="s">
        <v>3433</v>
      </c>
      <c r="G10" s="347" t="s">
        <v>3434</v>
      </c>
      <c r="H10" s="347" t="s">
        <v>3435</v>
      </c>
      <c r="I10" s="347"/>
      <c r="J10" s="347"/>
      <c r="K10" s="347"/>
      <c r="L10" s="347"/>
    </row>
    <row r="11">
      <c r="A11" s="347"/>
      <c r="B11" s="347"/>
      <c r="C11" s="590"/>
      <c r="D11" s="595" t="str">
        <f t="array" ref="D11">INDEX(
  'PROD SSoT MRV Sheet'!$A:$AA,
  MATCH($B$2, 'PROD SSoT MRV Sheet'!$A:$A, 0),
  MATCH("Origin 3 - BOL", 'PROD SSoT MRV Sheet'!$A$1:$AA$1, 0)
)</f>
        <v>1930</v>
      </c>
      <c r="E11" s="334">
        <f t="array" ref="E11">INDEX(
  'PROD SSoT MRV Sheet'!$A:$AA,
  MATCH($B$2, 'PROD SSoT MRV Sheet'!$A:$A, 0),
  MATCH("Origin 3 - Volume (Gal)", 'PROD SSoT MRV Sheet'!$A$1:$AA$1, 0)
)</f>
        <v>3150</v>
      </c>
      <c r="F11" s="334">
        <f>E11*$L$4</f>
        <v>11924.0415</v>
      </c>
      <c r="G11" s="334">
        <f t="array" ref="G11">INDEX(
  'PROD SSoT MRV Sheet'!$A:$AA,
  MATCH($B$2, 'PROD SSoT MRV Sheet'!$A:$A, 0),
  MATCH("Origin 3 - Density (kg/L)", 'PROD SSoT MRV Sheet'!$A$1:$AA$1, 0)
)</f>
        <v>1.214</v>
      </c>
      <c r="H11" s="334">
        <f>G11*F11</f>
        <v>14475.78638</v>
      </c>
      <c r="I11" s="334">
        <f t="array" ref="I11">INDEX(
  'PROD SSoT MRV Sheet'!$A:$AA,
  MATCH($B$2, 'PROD SSoT MRV Sheet'!$A:$A, 0),
  MATCH("Origin 3 - WC%", 'PROD SSoT MRV Sheet'!$A$1:$AA$1, 0)
)</f>
        <v>23.4</v>
      </c>
      <c r="J11" s="347"/>
      <c r="K11" s="347"/>
      <c r="L11" s="347"/>
    </row>
    <row r="12">
      <c r="A12" s="347"/>
      <c r="B12" s="347"/>
      <c r="C12" s="590"/>
      <c r="D12" s="347"/>
      <c r="E12" s="347"/>
      <c r="F12" s="772"/>
      <c r="G12" s="772"/>
      <c r="H12" s="772"/>
      <c r="I12" s="347"/>
      <c r="J12" s="347"/>
      <c r="K12" s="347"/>
      <c r="L12" s="347"/>
    </row>
    <row r="13">
      <c r="A13" s="347"/>
      <c r="B13" s="347"/>
      <c r="C13" s="590"/>
      <c r="D13" s="541" t="s">
        <v>3440</v>
      </c>
      <c r="E13" s="347" t="s">
        <v>3432</v>
      </c>
      <c r="F13" s="347" t="s">
        <v>3433</v>
      </c>
      <c r="G13" s="347" t="s">
        <v>3434</v>
      </c>
      <c r="H13" s="347" t="s">
        <v>3435</v>
      </c>
      <c r="I13" s="347"/>
      <c r="J13" s="347"/>
      <c r="K13" s="347"/>
      <c r="L13" s="347"/>
    </row>
    <row r="14">
      <c r="A14" s="347"/>
      <c r="B14" s="347"/>
      <c r="C14" s="590"/>
      <c r="D14" s="334" t="str">
        <f t="array" ref="D14">iferror(INDEX(
  'PROD SSoT MRV Sheet'!$A:$CP,
  MATCH($B$2, 'PROD SSoT MRV Sheet'!$A:$A, 0),
  MATCH("Origin 4 - BOL", 'PROD SSoT MRV Sheet'!$A$1:$CP$1, 0)
), "")</f>
        <v/>
      </c>
      <c r="E14" s="334" t="str">
        <f t="array" ref="E14">iferror(INDEX(
  'PROD SSoT MRV Sheet'!$A:$CP,
  MATCH($B$2, 'PROD SSoT MRV Sheet'!$A:$A, 0),
  MATCH("Origin 4 - Volume (Gal)", 'PROD SSoT MRV Sheet'!$A$1:$CP$1, 0)
), "")</f>
        <v/>
      </c>
      <c r="F14" s="334">
        <f>E14*$L$4</f>
        <v>0</v>
      </c>
      <c r="G14" s="334" t="str">
        <f t="array" ref="G14">iferror(INDEX(
  'PROD SSoT MRV Sheet'!$A:$CP,
  MATCH($B$2, 'PROD SSoT MRV Sheet'!$A:$A, 0),
  MATCH("Origin 4 - Density (kg/L)", 'PROD SSoT MRV Sheet'!$A$1:$CP$1, 0)
), "")</f>
        <v/>
      </c>
      <c r="H14" s="334">
        <f>G14*F14</f>
        <v>0</v>
      </c>
      <c r="I14" s="334" t="str">
        <f t="array" ref="I14">iferror(INDEX(
  'PROD SSoT MRV Sheet'!$A:$CP,
  MATCH($B$2, 'PROD SSoT MRV Sheet'!$A:$A, 0),
  MATCH("Origin 4 - WC%", 'PROD SSoT MRV Sheet'!$A$1:$CP$1, 0)
), "")</f>
        <v/>
      </c>
      <c r="J14" s="560" t="s">
        <v>3442</v>
      </c>
      <c r="K14" s="334">
        <f>SUM(H5,H8,H11,H14)</f>
        <v>37023.13338</v>
      </c>
      <c r="L14" s="347"/>
    </row>
    <row r="15">
      <c r="A15" s="590"/>
      <c r="B15" s="590"/>
      <c r="C15" s="590"/>
      <c r="D15" s="590"/>
      <c r="E15" s="590"/>
      <c r="F15" s="590"/>
      <c r="G15" s="590"/>
      <c r="H15" s="590"/>
      <c r="I15" s="590"/>
      <c r="J15" s="590"/>
      <c r="K15" s="590"/>
      <c r="L15" s="590"/>
    </row>
    <row r="16">
      <c r="A16" s="697" t="s">
        <v>3445</v>
      </c>
      <c r="J16" s="347"/>
      <c r="K16" s="560" t="s">
        <v>3372</v>
      </c>
      <c r="L16" s="347"/>
    </row>
    <row r="17">
      <c r="A17" s="560" t="s">
        <v>3430</v>
      </c>
      <c r="B17" s="347"/>
      <c r="C17" s="590"/>
      <c r="D17" s="560"/>
      <c r="E17" s="560" t="s">
        <v>3446</v>
      </c>
      <c r="F17" s="560" t="s">
        <v>3447</v>
      </c>
      <c r="G17" s="560" t="s">
        <v>3448</v>
      </c>
      <c r="H17" s="347"/>
      <c r="I17" s="560" t="s">
        <v>3449</v>
      </c>
      <c r="J17" s="334">
        <v>4.0</v>
      </c>
      <c r="K17" s="347" t="s">
        <v>3450</v>
      </c>
      <c r="L17" s="334">
        <v>12.76</v>
      </c>
    </row>
    <row r="18">
      <c r="A18" s="347"/>
      <c r="B18" s="347"/>
      <c r="C18" s="590"/>
      <c r="D18" s="347"/>
      <c r="E18" s="752">
        <f t="array" ref="E18">INDEX(
  'PROD SSoT MRV Sheet'!$A:$CP,
  MATCH($B$2, 'PROD SSoT MRV Sheet'!$A:$A, 0),
  MATCH("LCS Vol (Gal)", 'PROD SSoT MRV Sheet'!$A$1:$CP$1, 0)
)</f>
        <v>238</v>
      </c>
      <c r="F18" s="334">
        <f>E18*L17</f>
        <v>3036.88</v>
      </c>
      <c r="G18" s="334">
        <f>F18/L19</f>
        <v>1377.507235</v>
      </c>
      <c r="H18" s="347"/>
      <c r="I18" s="560" t="s">
        <v>3451</v>
      </c>
      <c r="J18" s="334">
        <v>4.6</v>
      </c>
      <c r="K18" s="766" t="s">
        <v>3452</v>
      </c>
      <c r="L18" s="347"/>
    </row>
    <row r="19">
      <c r="A19" s="560" t="s">
        <v>2673</v>
      </c>
      <c r="B19" s="334">
        <f>B2</f>
        <v>200076</v>
      </c>
      <c r="C19" s="590"/>
      <c r="D19" s="347"/>
      <c r="E19" s="347"/>
      <c r="F19" s="347"/>
      <c r="G19" s="347"/>
      <c r="H19" s="347"/>
      <c r="I19" s="347"/>
      <c r="J19" s="347"/>
      <c r="K19" s="347" t="s">
        <v>3453</v>
      </c>
      <c r="L19" s="334">
        <v>2.20462</v>
      </c>
    </row>
    <row r="20">
      <c r="A20" s="347"/>
      <c r="B20" s="347"/>
      <c r="C20" s="590"/>
      <c r="D20" s="347"/>
      <c r="E20" s="347"/>
      <c r="F20" s="347"/>
      <c r="G20" s="347"/>
      <c r="H20" s="347"/>
      <c r="I20" s="347"/>
      <c r="J20" s="347"/>
      <c r="K20" s="347"/>
      <c r="L20" s="347"/>
    </row>
    <row r="21">
      <c r="A21" s="541" t="s">
        <v>3454</v>
      </c>
      <c r="B21" s="750"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0"/>
      <c r="D21" s="347"/>
      <c r="E21" s="347"/>
      <c r="F21" s="347"/>
      <c r="G21" s="347"/>
      <c r="H21" s="347"/>
      <c r="I21" s="347"/>
      <c r="J21" s="347"/>
      <c r="K21" s="347"/>
      <c r="L21" s="347"/>
    </row>
    <row r="22">
      <c r="A22" s="560"/>
      <c r="B22" s="767"/>
      <c r="C22" s="590"/>
      <c r="D22" s="347"/>
      <c r="E22" s="347"/>
      <c r="F22" s="347"/>
      <c r="G22" s="347"/>
      <c r="H22" s="347"/>
      <c r="I22" s="347"/>
      <c r="J22" s="347"/>
      <c r="K22" s="347"/>
      <c r="L22" s="347"/>
    </row>
    <row r="23">
      <c r="A23" s="347"/>
      <c r="B23" s="347"/>
      <c r="C23" s="590"/>
      <c r="D23" s="347"/>
      <c r="E23" s="347"/>
      <c r="F23" s="347"/>
      <c r="G23" s="347"/>
      <c r="H23" s="347"/>
      <c r="I23" s="347"/>
      <c r="J23" s="347"/>
      <c r="K23" s="347"/>
      <c r="L23" s="347"/>
    </row>
    <row r="24">
      <c r="A24" s="560" t="s">
        <v>3455</v>
      </c>
      <c r="B24" s="750"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0"/>
      <c r="D24" s="347"/>
      <c r="E24" s="347"/>
      <c r="F24" s="347"/>
      <c r="G24" s="347"/>
      <c r="H24" s="347"/>
      <c r="I24" s="347"/>
      <c r="J24" s="347"/>
      <c r="K24" s="347"/>
      <c r="L24" s="347"/>
    </row>
    <row r="25">
      <c r="A25" s="560"/>
      <c r="B25" s="767"/>
      <c r="C25" s="590"/>
      <c r="D25" s="347"/>
      <c r="E25" s="347"/>
      <c r="F25" s="347"/>
      <c r="G25" s="347"/>
      <c r="H25" s="347"/>
      <c r="I25" s="347"/>
      <c r="J25" s="347"/>
      <c r="K25" s="347"/>
      <c r="L25" s="347"/>
    </row>
    <row r="26">
      <c r="A26" s="347"/>
      <c r="B26" s="347"/>
      <c r="C26" s="590"/>
      <c r="D26" s="560" t="s">
        <v>3456</v>
      </c>
      <c r="E26" s="752">
        <f t="shared" ref="E26:G26" si="1">SUM(E18:E25)</f>
        <v>238</v>
      </c>
      <c r="F26" s="334">
        <f t="shared" si="1"/>
        <v>3036.88</v>
      </c>
      <c r="G26" s="334">
        <f t="shared" si="1"/>
        <v>1377.507235</v>
      </c>
      <c r="H26" s="347"/>
      <c r="I26" s="347"/>
      <c r="J26" s="347"/>
      <c r="K26" s="347"/>
      <c r="L26" s="347"/>
    </row>
    <row r="27">
      <c r="A27" s="590"/>
      <c r="B27" s="590"/>
      <c r="C27" s="590"/>
      <c r="D27" s="590"/>
      <c r="E27" s="590"/>
      <c r="F27" s="590"/>
      <c r="G27" s="590"/>
      <c r="H27" s="590"/>
      <c r="I27" s="590"/>
      <c r="J27" s="590"/>
      <c r="K27" s="590"/>
      <c r="L27" s="590"/>
    </row>
    <row r="28">
      <c r="A28" s="697" t="s">
        <v>3457</v>
      </c>
      <c r="J28" s="347"/>
      <c r="K28" s="347"/>
      <c r="L28" s="347"/>
    </row>
    <row r="29">
      <c r="A29" s="560" t="s">
        <v>3430</v>
      </c>
      <c r="B29" s="347"/>
      <c r="C29" s="590"/>
      <c r="D29" s="560"/>
      <c r="E29" s="560" t="s">
        <v>3458</v>
      </c>
      <c r="F29" s="347"/>
      <c r="G29" s="347"/>
      <c r="H29" s="347"/>
      <c r="I29" s="347"/>
      <c r="J29" s="347"/>
      <c r="K29" s="347"/>
      <c r="L29" s="347"/>
    </row>
    <row r="30">
      <c r="A30" s="347"/>
      <c r="B30" s="347"/>
      <c r="C30" s="590"/>
      <c r="D30" s="347"/>
      <c r="E30" s="752">
        <f t="array" ref="E30">INDEX(
  'PROD SSoT MRV Sheet'!$A:$CP,
  MATCH($B$2, 'PROD SSoT MRV Sheet'!$A:$A, 0),
  MATCH("Total Salt Added to Blend Tank (lb)", 'PROD SSoT MRV Sheet'!$A$1:$CP$1, 0)
)</f>
        <v>7446</v>
      </c>
      <c r="F30" s="347"/>
      <c r="G30" s="347"/>
      <c r="H30" s="347"/>
      <c r="I30" s="347"/>
      <c r="J30" s="347"/>
      <c r="K30" s="347"/>
      <c r="L30" s="347"/>
    </row>
    <row r="31">
      <c r="A31" s="560" t="s">
        <v>2673</v>
      </c>
      <c r="B31" s="334">
        <f>B2</f>
        <v>200076</v>
      </c>
      <c r="C31" s="590"/>
      <c r="D31" s="347"/>
      <c r="E31" s="347"/>
      <c r="F31" s="347"/>
      <c r="G31" s="347"/>
      <c r="H31" s="347"/>
      <c r="I31" s="347"/>
      <c r="J31" s="347"/>
      <c r="K31" s="347"/>
      <c r="L31" s="347"/>
    </row>
    <row r="32">
      <c r="A32" s="347"/>
      <c r="B32" s="347"/>
      <c r="C32" s="590"/>
      <c r="D32" s="347"/>
      <c r="E32" s="347"/>
      <c r="F32" s="347"/>
      <c r="G32" s="347"/>
      <c r="H32" s="347"/>
      <c r="I32" s="347"/>
      <c r="J32" s="347"/>
      <c r="K32" s="347"/>
      <c r="L32" s="347"/>
    </row>
    <row r="33">
      <c r="A33" s="560" t="s">
        <v>3459</v>
      </c>
      <c r="B33" s="750"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0"/>
      <c r="D33" s="347"/>
      <c r="E33" s="347"/>
      <c r="F33" s="347"/>
      <c r="G33" s="347"/>
      <c r="H33" s="347"/>
      <c r="I33" s="347"/>
      <c r="J33" s="347"/>
      <c r="K33" s="347"/>
      <c r="L33" s="347"/>
    </row>
    <row r="34">
      <c r="A34" s="560"/>
      <c r="B34" s="767"/>
      <c r="C34" s="590"/>
      <c r="D34" s="347"/>
      <c r="E34" s="347"/>
      <c r="F34" s="347"/>
      <c r="G34" s="347"/>
      <c r="H34" s="347"/>
      <c r="I34" s="347"/>
      <c r="J34" s="347"/>
      <c r="K34" s="347"/>
      <c r="L34" s="347"/>
    </row>
    <row r="35">
      <c r="A35" s="347"/>
      <c r="B35" s="347"/>
      <c r="C35" s="590"/>
      <c r="D35" s="347"/>
      <c r="E35" s="347"/>
      <c r="F35" s="347"/>
      <c r="G35" s="347"/>
      <c r="H35" s="347"/>
      <c r="I35" s="347"/>
      <c r="J35" s="347"/>
      <c r="K35" s="347"/>
      <c r="L35" s="347"/>
    </row>
    <row r="36">
      <c r="A36" s="560" t="s">
        <v>3460</v>
      </c>
      <c r="B36" s="750"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0"/>
      <c r="D36" s="347"/>
      <c r="E36" s="347"/>
      <c r="F36" s="560" t="s">
        <v>3461</v>
      </c>
      <c r="G36" s="560" t="s">
        <v>2737</v>
      </c>
      <c r="H36" s="560" t="s">
        <v>3462</v>
      </c>
      <c r="I36" s="560" t="s">
        <v>3463</v>
      </c>
      <c r="J36" s="560" t="s">
        <v>3464</v>
      </c>
      <c r="K36" s="560" t="s">
        <v>2741</v>
      </c>
      <c r="L36" s="347"/>
    </row>
    <row r="37">
      <c r="A37" s="560"/>
      <c r="B37" s="767"/>
      <c r="C37" s="590"/>
      <c r="D37" s="560" t="s">
        <v>3465</v>
      </c>
      <c r="E37" s="752">
        <f>SUM(E30:E36)</f>
        <v>7446</v>
      </c>
      <c r="F37" s="752">
        <f t="array" ref="F37">INDEX(
  'PROD SSoT MRV Sheet'!$A:$CP,
  MATCH($B$2, 'PROD SSoT MRV Sheet'!$A:$A, 0),
  MATCH("Estimated Salt Left in Blend Tank (lbs)", 'PROD SSoT MRV Sheet'!$A$1:$CP$1, 0)
)</f>
        <v>438.53</v>
      </c>
      <c r="G37" s="752">
        <f t="array" ref="G37">INDEX(
  'PROD SSoT MRV Sheet'!$A:$CP,
  MATCH($B$2, 'PROD SSoT MRV Sheet'!$A:$A, 0),
  MATCH("Salt Added to Truck (lbs)", 'PROD SSoT MRV Sheet'!$A$1:$CP$1, 0)
)</f>
        <v>450</v>
      </c>
      <c r="H37" s="752">
        <f t="array" ref="H37">INDEX(
  'PROD SSoT MRV Sheet'!$A:$CP,
  MATCH($B$2, 'PROD SSoT MRV Sheet'!$A:$A, 0),
  MATCH("Estimated Salt Remaining in Trucks (lbs)", 'PROD SSoT MRV Sheet'!$A$1:$CP$1, 0)
)</f>
        <v>170</v>
      </c>
      <c r="I37" s="752">
        <f>E37-F37+G37-H37</f>
        <v>7287.47</v>
      </c>
      <c r="J37" s="752">
        <f>E37+G37</f>
        <v>7896</v>
      </c>
      <c r="K37" s="334">
        <f>J37/L19</f>
        <v>3581.569613</v>
      </c>
      <c r="L37" s="347"/>
    </row>
    <row r="38">
      <c r="A38" s="347"/>
      <c r="B38" s="347"/>
      <c r="C38" s="590"/>
      <c r="D38" s="347"/>
      <c r="E38" s="347"/>
      <c r="F38" s="347"/>
      <c r="G38" s="347"/>
      <c r="H38" s="347"/>
      <c r="I38" s="347"/>
      <c r="J38" s="347"/>
      <c r="K38" s="347"/>
      <c r="L38" s="347"/>
    </row>
    <row r="39">
      <c r="A39" s="347"/>
      <c r="B39" s="347"/>
      <c r="C39" s="590"/>
      <c r="D39" s="697" t="s">
        <v>3466</v>
      </c>
      <c r="K39" s="347"/>
      <c r="L39" s="347"/>
    </row>
    <row r="40">
      <c r="A40" s="347"/>
      <c r="B40" s="347"/>
      <c r="C40" s="590"/>
      <c r="D40" s="768" t="s">
        <v>2764</v>
      </c>
      <c r="E40" s="769" t="s">
        <v>2767</v>
      </c>
      <c r="F40" s="768" t="s">
        <v>3463</v>
      </c>
      <c r="G40" s="768" t="s">
        <v>2768</v>
      </c>
      <c r="H40" s="768" t="s">
        <v>2770</v>
      </c>
      <c r="I40" s="769" t="s">
        <v>2772</v>
      </c>
      <c r="J40" s="347"/>
      <c r="K40" s="347"/>
      <c r="L40" s="347"/>
    </row>
    <row r="41">
      <c r="A41" s="347"/>
      <c r="B41" s="347"/>
      <c r="C41" s="590"/>
      <c r="D41" s="334">
        <f>SUM(E5,E8,E11,E14)</f>
        <v>8056.41</v>
      </c>
      <c r="E41" s="334">
        <f>(F5*I5/100*G5)+(F8*I8/100*G8)+(F11*I11/100*G11)+(F14*G14/100*I14)+(1.1165*3.78541*E26)</f>
        <v>9669.298855</v>
      </c>
      <c r="F41" s="752">
        <f>I37</f>
        <v>7287.47</v>
      </c>
      <c r="G41" s="334">
        <f>convert(E41*190000/1000/0.6066,"g","lbm")</f>
        <v>6676.985573</v>
      </c>
      <c r="H41" s="752">
        <f>F41-G41</f>
        <v>610.484427</v>
      </c>
      <c r="I41" s="334">
        <f>(convert(F41,"lbm", "g"))*0.606/E41*1000</f>
        <v>207166.8016</v>
      </c>
      <c r="J41" s="347"/>
      <c r="K41" s="347"/>
      <c r="L41" s="347"/>
    </row>
    <row r="42">
      <c r="A42" s="590"/>
      <c r="B42" s="590"/>
      <c r="C42" s="590"/>
      <c r="D42" s="590"/>
      <c r="E42" s="590"/>
      <c r="F42" s="590"/>
      <c r="G42" s="590"/>
      <c r="H42" s="590"/>
      <c r="I42" s="590"/>
      <c r="J42" s="590"/>
      <c r="K42" s="590"/>
      <c r="L42" s="590"/>
    </row>
    <row r="43">
      <c r="A43" s="697" t="s">
        <v>3467</v>
      </c>
      <c r="J43" s="347"/>
      <c r="K43" s="347"/>
      <c r="L43" s="347"/>
    </row>
    <row r="44">
      <c r="A44" s="560" t="s">
        <v>2673</v>
      </c>
      <c r="B44" s="334">
        <f>B2</f>
        <v>200076</v>
      </c>
      <c r="C44" s="590"/>
      <c r="D44" s="560" t="s">
        <v>2747</v>
      </c>
      <c r="E44" s="560" t="s">
        <v>2748</v>
      </c>
      <c r="F44" s="560" t="s">
        <v>3468</v>
      </c>
      <c r="G44" s="560" t="s">
        <v>2751</v>
      </c>
      <c r="H44" s="560"/>
      <c r="I44" s="347"/>
      <c r="J44" s="347"/>
      <c r="K44" s="347"/>
      <c r="L44" s="347"/>
    </row>
    <row r="45">
      <c r="A45" s="347"/>
      <c r="B45" s="347"/>
      <c r="C45" s="590"/>
      <c r="D45" s="334">
        <f t="array" ref="D45">INDEX(
  'PROD SSoT MRV Sheet'!$A:$CP,
  MATCH($B$2, 'PROD SSoT MRV Sheet'!$A:$A, 0),
  MATCH(D44, 'PROD SSoT MRV Sheet'!$A$1:$CP$1, 0)
)</f>
        <v>84160</v>
      </c>
      <c r="E45" s="334">
        <f t="array" ref="E45">INDEX(
  'PROD SSoT MRV Sheet'!$A:$CP,
  MATCH($B$2, 'PROD SSoT MRV Sheet'!$A:$A, 0),
  MATCH(E44, 'PROD SSoT MRV Sheet'!$A$1:$CP$1, 0)
)</f>
        <v>39120</v>
      </c>
      <c r="F45" s="334">
        <f>D45-E45</f>
        <v>45040</v>
      </c>
      <c r="G45" s="334">
        <f>F45/$L$19</f>
        <v>20429.82464</v>
      </c>
      <c r="H45" s="334"/>
      <c r="I45" s="347"/>
      <c r="J45" s="347"/>
      <c r="K45" s="347"/>
      <c r="L45" s="347"/>
    </row>
    <row r="46">
      <c r="A46" s="560" t="s">
        <v>3469</v>
      </c>
      <c r="B46" s="750"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0"/>
      <c r="D46" s="541" t="s">
        <v>2752</v>
      </c>
      <c r="E46" s="541" t="s">
        <v>2753</v>
      </c>
      <c r="F46" s="560" t="s">
        <v>3470</v>
      </c>
      <c r="G46" s="560" t="s">
        <v>2756</v>
      </c>
      <c r="H46" s="560"/>
      <c r="I46" s="347"/>
      <c r="J46" s="347"/>
      <c r="K46" s="347"/>
      <c r="L46" s="347"/>
    </row>
    <row r="47">
      <c r="A47" s="560"/>
      <c r="B47" s="767"/>
      <c r="C47" s="590"/>
      <c r="D47" s="334">
        <f t="array" ref="D47">INDEX(
  'PROD SSoT MRV Sheet'!$A:$CP,
  MATCH($B$2, 'PROD SSoT MRV Sheet'!$A:$A, 0),
  MATCH(D46, 'PROD SSoT MRV Sheet'!$A$1:$CP$1, 0)
)</f>
        <v>81280</v>
      </c>
      <c r="E47" s="334">
        <f t="array" ref="E47">INDEX(
  'PROD SSoT MRV Sheet'!$A:$CP,
  MATCH($B$2, 'PROD SSoT MRV Sheet'!$A:$A, 0),
  MATCH(E46, 'PROD SSoT MRV Sheet'!$A$1:$CP$1, 0)
)</f>
        <v>40200</v>
      </c>
      <c r="F47" s="334">
        <f>D47-E47</f>
        <v>41080</v>
      </c>
      <c r="G47" s="334">
        <f>F47/$L$19</f>
        <v>18633.59672</v>
      </c>
      <c r="H47" s="334"/>
      <c r="I47" s="347"/>
      <c r="J47" s="347"/>
      <c r="K47" s="347"/>
      <c r="L47" s="347"/>
    </row>
    <row r="48">
      <c r="A48" s="347"/>
      <c r="B48" s="347"/>
      <c r="C48" s="590"/>
      <c r="D48" s="560" t="s">
        <v>3471</v>
      </c>
      <c r="E48" s="560" t="s">
        <v>3472</v>
      </c>
      <c r="F48" s="560" t="s">
        <v>3473</v>
      </c>
      <c r="G48" s="560" t="s">
        <v>3474</v>
      </c>
      <c r="H48" s="560"/>
      <c r="I48" s="347"/>
      <c r="J48" s="347"/>
      <c r="K48" s="347"/>
      <c r="L48" s="347"/>
    </row>
    <row r="49">
      <c r="A49" s="560" t="s">
        <v>3475</v>
      </c>
      <c r="B49" s="750"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0"/>
      <c r="D49" s="347"/>
      <c r="E49" s="347"/>
      <c r="F49" s="334">
        <f>D49-E49</f>
        <v>0</v>
      </c>
      <c r="G49" s="334">
        <f>F49/$L$17</f>
        <v>0</v>
      </c>
      <c r="H49" s="347"/>
      <c r="I49" s="347"/>
      <c r="J49" s="347"/>
      <c r="K49" s="347"/>
      <c r="L49" s="347"/>
    </row>
    <row r="50">
      <c r="A50" s="560"/>
      <c r="B50" s="767"/>
      <c r="C50" s="590"/>
      <c r="D50" s="347"/>
      <c r="E50" s="347"/>
      <c r="F50" s="347"/>
      <c r="G50" s="347"/>
      <c r="H50" s="347"/>
      <c r="I50" s="347"/>
      <c r="J50" s="347"/>
      <c r="K50" s="347"/>
      <c r="L50" s="347"/>
    </row>
    <row r="51">
      <c r="A51" s="347"/>
      <c r="B51" s="347"/>
      <c r="C51" s="590"/>
      <c r="D51" s="347"/>
      <c r="E51" s="347"/>
      <c r="F51" s="560" t="s">
        <v>2758</v>
      </c>
      <c r="G51" s="334">
        <f>SUM(G45,G47,G49)</f>
        <v>39063.42136</v>
      </c>
      <c r="H51" s="347"/>
      <c r="I51" s="347"/>
      <c r="J51" s="347"/>
      <c r="K51" s="347"/>
      <c r="L51" s="347"/>
    </row>
    <row r="52">
      <c r="A52" s="347"/>
      <c r="B52" s="347"/>
      <c r="C52" s="590"/>
      <c r="D52" s="347"/>
      <c r="E52" s="347"/>
      <c r="F52" s="560" t="s">
        <v>3476</v>
      </c>
      <c r="G52" s="334">
        <f>SUM(K37,G26)</f>
        <v>4959.076848</v>
      </c>
      <c r="H52" s="347"/>
      <c r="I52" s="347"/>
      <c r="J52" s="347"/>
      <c r="K52" s="347"/>
      <c r="L52" s="347"/>
    </row>
    <row r="53">
      <c r="A53" s="347"/>
      <c r="B53" s="347"/>
      <c r="C53" s="590"/>
      <c r="D53" s="347"/>
      <c r="E53" s="347"/>
      <c r="F53" s="560" t="s">
        <v>3477</v>
      </c>
      <c r="G53" s="334">
        <f>G51-G52</f>
        <v>34104.34451</v>
      </c>
      <c r="H53" s="347"/>
      <c r="I53" s="347"/>
      <c r="J53" s="347"/>
      <c r="K53" s="347"/>
      <c r="L53" s="347"/>
    </row>
    <row r="54">
      <c r="A54" s="347"/>
      <c r="B54" s="347"/>
      <c r="C54" s="590"/>
      <c r="D54" s="347"/>
      <c r="E54" s="347"/>
      <c r="F54" s="347"/>
      <c r="G54" s="347"/>
      <c r="H54" s="347"/>
      <c r="I54" s="347"/>
      <c r="J54" s="347"/>
      <c r="K54" s="347"/>
      <c r="L54" s="347"/>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6" t="s">
        <v>3428</v>
      </c>
    </row>
    <row r="2">
      <c r="B2" s="758">
        <v>300021.0</v>
      </c>
    </row>
    <row r="3">
      <c r="A3" s="759"/>
      <c r="B3" s="759"/>
      <c r="C3" s="773" t="s">
        <v>3477</v>
      </c>
      <c r="E3" s="759"/>
      <c r="F3" s="759"/>
      <c r="G3" s="774" t="s">
        <v>3372</v>
      </c>
      <c r="I3" s="347"/>
      <c r="J3" s="347"/>
    </row>
    <row r="4">
      <c r="A4" s="759"/>
      <c r="B4" s="759"/>
      <c r="C4" s="775" t="s">
        <v>2758</v>
      </c>
      <c r="D4" s="776" t="str">
        <f>D13</f>
        <v>#REF!</v>
      </c>
      <c r="E4" s="759"/>
      <c r="F4" s="759"/>
      <c r="G4" s="777" t="s">
        <v>3450</v>
      </c>
      <c r="H4" s="778">
        <v>12.76</v>
      </c>
      <c r="I4" s="347"/>
      <c r="J4" s="347"/>
    </row>
    <row r="5">
      <c r="A5" s="759"/>
      <c r="B5" s="759"/>
      <c r="C5" s="775" t="s">
        <v>3476</v>
      </c>
      <c r="D5" s="779" t="str">
        <f>D28</f>
        <v>#REF!</v>
      </c>
      <c r="E5" s="759"/>
      <c r="F5" s="759"/>
      <c r="G5" s="780" t="s">
        <v>3452</v>
      </c>
      <c r="H5" s="327"/>
      <c r="I5" s="347"/>
      <c r="J5" s="347"/>
    </row>
    <row r="6">
      <c r="A6" s="759"/>
      <c r="B6" s="759"/>
      <c r="C6" s="775" t="s">
        <v>3477</v>
      </c>
      <c r="D6" s="779" t="str">
        <f>D14</f>
        <v>#REF!</v>
      </c>
      <c r="E6" s="759"/>
      <c r="F6" s="759"/>
      <c r="G6" s="777" t="s">
        <v>3453</v>
      </c>
      <c r="H6" s="778">
        <v>2.20462</v>
      </c>
      <c r="I6" s="347"/>
      <c r="J6" s="347"/>
    </row>
    <row r="7">
      <c r="A7" s="759"/>
      <c r="B7" s="759"/>
      <c r="C7" s="759"/>
      <c r="D7" s="759"/>
      <c r="E7" s="759"/>
      <c r="F7" s="759"/>
      <c r="G7" s="759"/>
      <c r="H7" s="347"/>
      <c r="I7" s="347"/>
      <c r="J7" s="347"/>
    </row>
    <row r="8">
      <c r="A8" s="781" t="s">
        <v>3492</v>
      </c>
      <c r="F8" s="759"/>
      <c r="G8" s="782" t="s">
        <v>3493</v>
      </c>
      <c r="J8" s="347"/>
    </row>
    <row r="9">
      <c r="A9" s="783"/>
      <c r="B9" s="784"/>
      <c r="C9" s="785" t="s">
        <v>3494</v>
      </c>
      <c r="D9" s="786" t="str">
        <f>'Master Batch Data'!N23</f>
        <v>#REF!</v>
      </c>
      <c r="E9" s="787" t="s">
        <v>3495</v>
      </c>
      <c r="G9" s="788" t="s">
        <v>3496</v>
      </c>
      <c r="H9" s="641"/>
      <c r="I9" s="789" t="s">
        <v>3497</v>
      </c>
      <c r="J9" s="334"/>
    </row>
    <row r="10">
      <c r="A10" s="784"/>
      <c r="B10" s="784"/>
      <c r="C10" s="785" t="s">
        <v>3498</v>
      </c>
      <c r="D10" s="786" t="str">
        <f>'Master Batch Data'!S23</f>
        <v>#REF!</v>
      </c>
      <c r="E10" s="787" t="s">
        <v>3499</v>
      </c>
      <c r="G10" s="790" t="str">
        <f>I20&gt;=D20</f>
        <v>#REF!</v>
      </c>
      <c r="H10" s="791" t="s">
        <v>3500</v>
      </c>
      <c r="I10" s="726" t="str">
        <f>D20/3</f>
        <v>#REF!</v>
      </c>
      <c r="J10" s="347"/>
    </row>
    <row r="11">
      <c r="A11" s="783"/>
      <c r="B11" s="792"/>
      <c r="C11" s="793"/>
      <c r="D11" s="794"/>
      <c r="E11" s="793"/>
      <c r="G11" s="790"/>
      <c r="H11" s="791" t="s">
        <v>3501</v>
      </c>
      <c r="I11" s="726" t="str">
        <f>D20/3*2</f>
        <v>#REF!</v>
      </c>
      <c r="J11" s="347"/>
    </row>
    <row r="12">
      <c r="A12" s="784"/>
      <c r="B12" s="784"/>
      <c r="C12" s="795" t="s">
        <v>3502</v>
      </c>
      <c r="D12" s="796" t="str">
        <f>sum(D9:D10)</f>
        <v>#REF!</v>
      </c>
      <c r="E12" s="784"/>
      <c r="G12" s="790"/>
      <c r="H12" s="791"/>
      <c r="I12" s="726"/>
      <c r="J12" s="347"/>
    </row>
    <row r="13">
      <c r="A13" s="784"/>
      <c r="B13" s="784"/>
      <c r="C13" s="795" t="s">
        <v>3503</v>
      </c>
      <c r="D13" s="786" t="str">
        <f>D12/H6</f>
        <v>#REF!</v>
      </c>
      <c r="E13" s="784"/>
      <c r="G13" s="790"/>
      <c r="H13" s="641"/>
      <c r="I13" s="641"/>
      <c r="J13" s="347"/>
    </row>
    <row r="14">
      <c r="A14" s="784"/>
      <c r="B14" s="784"/>
      <c r="C14" s="785" t="s">
        <v>3504</v>
      </c>
      <c r="D14" s="786" t="str">
        <f>D13-D28</f>
        <v>#REF!</v>
      </c>
      <c r="E14" s="784"/>
      <c r="G14" s="790"/>
      <c r="H14" s="641"/>
      <c r="I14" s="641"/>
      <c r="J14" s="347"/>
    </row>
    <row r="15">
      <c r="A15" s="784"/>
      <c r="B15" s="784"/>
      <c r="C15" s="785" t="s">
        <v>3479</v>
      </c>
      <c r="D15" s="797">
        <v>0.0</v>
      </c>
      <c r="E15" s="793"/>
      <c r="G15" s="790"/>
      <c r="H15" s="790"/>
      <c r="I15" s="790"/>
      <c r="J15" s="345"/>
    </row>
    <row r="16">
      <c r="A16" s="784"/>
      <c r="B16" s="784"/>
      <c r="C16" s="785" t="s">
        <v>3480</v>
      </c>
      <c r="D16" s="798" t="str">
        <f>D15/D14</f>
        <v>#REF!</v>
      </c>
      <c r="E16" s="793"/>
      <c r="G16" s="790"/>
      <c r="H16" s="790"/>
      <c r="I16" s="790"/>
      <c r="J16" s="345"/>
    </row>
    <row r="17">
      <c r="A17" s="784"/>
      <c r="B17" s="784"/>
      <c r="C17" s="785" t="s">
        <v>3505</v>
      </c>
      <c r="D17" s="799" t="str">
        <f>D14</f>
        <v>#REF!</v>
      </c>
      <c r="E17" s="793"/>
      <c r="G17" s="790"/>
      <c r="H17" s="790"/>
      <c r="I17" s="790"/>
      <c r="J17" s="345"/>
    </row>
    <row r="18">
      <c r="A18" s="784"/>
      <c r="B18" s="784"/>
      <c r="C18" s="785" t="s">
        <v>3506</v>
      </c>
      <c r="D18" s="800" t="str">
        <f>D17*6.09%</f>
        <v>#REF!</v>
      </c>
      <c r="E18" s="793"/>
      <c r="G18" s="790"/>
      <c r="H18" s="790"/>
      <c r="I18" s="790"/>
      <c r="J18" s="345"/>
    </row>
    <row r="19">
      <c r="A19" s="784"/>
      <c r="B19" s="784"/>
      <c r="C19" s="785" t="s">
        <v>3507</v>
      </c>
      <c r="D19" s="793" t="str">
        <f>D18+D17</f>
        <v>#REF!</v>
      </c>
      <c r="E19" s="793"/>
      <c r="G19" s="790"/>
      <c r="H19" s="790"/>
      <c r="I19" s="790"/>
      <c r="J19" s="345"/>
    </row>
    <row r="20">
      <c r="A20" s="784"/>
      <c r="B20" s="784"/>
      <c r="C20" s="785" t="s">
        <v>3508</v>
      </c>
      <c r="D20" s="801" t="str">
        <f>D19</f>
        <v>#REF!</v>
      </c>
      <c r="E20" s="784"/>
      <c r="G20" s="790"/>
      <c r="H20" s="802" t="s">
        <v>3509</v>
      </c>
      <c r="I20" s="719" t="str">
        <f>sum(I10:I12)</f>
        <v>#REF!</v>
      </c>
      <c r="J20" s="347"/>
    </row>
    <row r="21">
      <c r="A21" s="803" t="s">
        <v>3510</v>
      </c>
      <c r="J21" s="347"/>
    </row>
    <row r="22">
      <c r="A22" s="804"/>
      <c r="B22" s="805"/>
      <c r="C22" s="806" t="s">
        <v>3511</v>
      </c>
      <c r="D22" s="807" t="s">
        <v>3512</v>
      </c>
      <c r="E22" s="807" t="s">
        <v>3513</v>
      </c>
      <c r="F22" s="804"/>
      <c r="G22" s="805"/>
      <c r="H22" s="804" t="s">
        <v>3449</v>
      </c>
      <c r="I22" s="808">
        <v>4.0</v>
      </c>
    </row>
    <row r="23">
      <c r="A23" s="805"/>
      <c r="B23" s="805"/>
      <c r="D23" s="808" t="str">
        <f>'Master Batch Data'!K23</f>
        <v>#REF!</v>
      </c>
      <c r="E23" s="677" t="str">
        <f>D23*H4</f>
        <v>#REF!</v>
      </c>
      <c r="F23" s="808"/>
      <c r="G23" s="805"/>
      <c r="H23" s="804" t="s">
        <v>3451</v>
      </c>
      <c r="I23" s="808" t="str">
        <f>#REF!</f>
        <v>#REF!</v>
      </c>
    </row>
    <row r="24">
      <c r="A24" s="804"/>
      <c r="B24" s="808"/>
      <c r="C24" s="809"/>
      <c r="D24" s="805"/>
      <c r="E24" s="805"/>
      <c r="F24" s="805"/>
      <c r="G24" s="805"/>
      <c r="H24" s="805"/>
      <c r="I24" s="805"/>
    </row>
    <row r="25">
      <c r="A25" s="805"/>
      <c r="B25" s="805"/>
      <c r="C25" s="806" t="s">
        <v>3514</v>
      </c>
      <c r="D25" s="807" t="s">
        <v>2739</v>
      </c>
      <c r="E25" s="807"/>
      <c r="F25" s="807"/>
      <c r="G25" s="677"/>
      <c r="H25" s="807" t="s">
        <v>3515</v>
      </c>
      <c r="I25" s="805"/>
    </row>
    <row r="26">
      <c r="A26" s="807"/>
      <c r="B26" s="810"/>
      <c r="D26" s="805" t="str">
        <f>'Master Batch Data'!AE23</f>
        <v>#REF!</v>
      </c>
      <c r="E26" s="805"/>
      <c r="F26" s="805"/>
      <c r="G26" s="677"/>
      <c r="H26" s="805" t="str">
        <f>D26</f>
        <v>#REF!</v>
      </c>
      <c r="I26" s="805"/>
      <c r="J26" s="347"/>
    </row>
    <row r="27">
      <c r="A27" s="804"/>
      <c r="B27" s="811"/>
      <c r="C27" s="809"/>
      <c r="D27" s="805"/>
      <c r="E27" s="805"/>
      <c r="F27" s="805"/>
      <c r="G27" s="807" t="s">
        <v>3516</v>
      </c>
      <c r="H27" s="805" t="str">
        <f>'Master Batch Data'!I23</f>
        <v>#REF!</v>
      </c>
      <c r="I27" s="805"/>
      <c r="J27" s="347"/>
    </row>
    <row r="28">
      <c r="A28" s="805"/>
      <c r="B28" s="805"/>
      <c r="C28" s="806" t="s">
        <v>3517</v>
      </c>
      <c r="D28" s="805" t="str">
        <f>(D26+E23)/H6</f>
        <v>#REF!</v>
      </c>
      <c r="E28" s="805"/>
      <c r="F28" s="805"/>
      <c r="G28" s="805"/>
      <c r="H28" s="805"/>
      <c r="I28" s="805"/>
      <c r="J28" s="347"/>
    </row>
    <row r="29">
      <c r="A29" s="804"/>
      <c r="B29" s="810"/>
      <c r="C29" s="805"/>
      <c r="D29" s="805"/>
      <c r="E29" s="805"/>
      <c r="F29" s="805"/>
      <c r="G29" s="807" t="s">
        <v>3518</v>
      </c>
      <c r="H29" s="812" t="str">
        <f>H26-H27</f>
        <v>#REF!</v>
      </c>
      <c r="I29" s="805"/>
      <c r="J29" s="347"/>
    </row>
    <row r="30">
      <c r="A30" s="560"/>
      <c r="B30" s="767"/>
      <c r="C30" s="347"/>
      <c r="D30" s="347"/>
      <c r="E30" s="347"/>
      <c r="F30" s="347"/>
      <c r="G30" s="347"/>
      <c r="H30" s="347"/>
      <c r="I30" s="347"/>
      <c r="J30" s="347"/>
    </row>
    <row r="31">
      <c r="A31" s="347"/>
      <c r="G31" s="347"/>
      <c r="H31" s="347"/>
      <c r="I31" s="347"/>
      <c r="J31" s="347"/>
    </row>
    <row r="32">
      <c r="A32" s="347"/>
      <c r="G32" s="347"/>
      <c r="H32" s="347"/>
      <c r="I32" s="347"/>
      <c r="J32" s="347"/>
    </row>
    <row r="33">
      <c r="A33" s="347"/>
      <c r="G33" s="347"/>
      <c r="H33" s="347"/>
      <c r="I33" s="347"/>
      <c r="J33" s="347"/>
    </row>
    <row r="34">
      <c r="A34" s="347"/>
      <c r="B34" s="347"/>
      <c r="C34" s="347"/>
      <c r="D34" s="347"/>
      <c r="E34" s="347"/>
      <c r="F34" s="347"/>
      <c r="G34" s="347"/>
      <c r="H34" s="347"/>
      <c r="I34" s="347"/>
      <c r="J34" s="347"/>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1" t="s">
        <v>2691</v>
      </c>
      <c r="B1" s="541" t="s">
        <v>2692</v>
      </c>
      <c r="C1" s="541" t="s">
        <v>2694</v>
      </c>
      <c r="D1" s="541" t="s">
        <v>2695</v>
      </c>
      <c r="E1" s="541" t="s">
        <v>2696</v>
      </c>
      <c r="F1" s="541" t="s">
        <v>2697</v>
      </c>
      <c r="G1" s="541" t="s">
        <v>2698</v>
      </c>
      <c r="H1" s="541" t="s">
        <v>2699</v>
      </c>
      <c r="I1" s="541" t="s">
        <v>2700</v>
      </c>
      <c r="J1" s="541" t="s">
        <v>3519</v>
      </c>
      <c r="K1" s="541" t="s">
        <v>3520</v>
      </c>
      <c r="L1" s="541" t="s">
        <v>2703</v>
      </c>
      <c r="M1" s="541" t="s">
        <v>2705</v>
      </c>
      <c r="N1" s="541" t="s">
        <v>2706</v>
      </c>
      <c r="O1" s="541" t="s">
        <v>3521</v>
      </c>
      <c r="P1" s="541" t="s">
        <v>3522</v>
      </c>
      <c r="Q1" s="541" t="s">
        <v>2709</v>
      </c>
      <c r="R1" s="541" t="s">
        <v>2711</v>
      </c>
      <c r="S1" s="541" t="s">
        <v>2712</v>
      </c>
      <c r="T1" s="541" t="s">
        <v>3523</v>
      </c>
      <c r="U1" s="541" t="s">
        <v>3524</v>
      </c>
      <c r="V1" s="541" t="s">
        <v>2715</v>
      </c>
      <c r="W1" s="541" t="s">
        <v>2717</v>
      </c>
      <c r="X1" s="541" t="s">
        <v>2730</v>
      </c>
      <c r="Y1" s="560" t="s">
        <v>2731</v>
      </c>
      <c r="Z1" s="557" t="s">
        <v>2732</v>
      </c>
      <c r="AA1" s="557" t="s">
        <v>2733</v>
      </c>
      <c r="AB1" s="557" t="s">
        <v>2740</v>
      </c>
      <c r="AC1" s="557" t="s">
        <v>2735</v>
      </c>
      <c r="AD1" s="558" t="s">
        <v>3461</v>
      </c>
      <c r="AE1" s="558" t="s">
        <v>2737</v>
      </c>
      <c r="AF1" s="557" t="s">
        <v>3525</v>
      </c>
      <c r="AG1" s="557" t="s">
        <v>3526</v>
      </c>
      <c r="AH1" s="557" t="s">
        <v>3527</v>
      </c>
      <c r="AI1" s="557" t="s">
        <v>2741</v>
      </c>
      <c r="AJ1" s="557" t="s">
        <v>2742</v>
      </c>
      <c r="AK1" s="557" t="s">
        <v>2743</v>
      </c>
      <c r="AL1" s="558" t="s">
        <v>2744</v>
      </c>
      <c r="AM1" s="558" t="s">
        <v>2190</v>
      </c>
      <c r="AN1" s="558" t="s">
        <v>2745</v>
      </c>
      <c r="AO1" s="541" t="s">
        <v>2746</v>
      </c>
      <c r="AP1" s="560" t="s">
        <v>2747</v>
      </c>
      <c r="AQ1" s="560" t="s">
        <v>2748</v>
      </c>
      <c r="AR1" s="541" t="s">
        <v>2749</v>
      </c>
      <c r="AS1" s="560" t="s">
        <v>2750</v>
      </c>
      <c r="AT1" s="560" t="s">
        <v>2751</v>
      </c>
      <c r="AU1" s="541" t="s">
        <v>2752</v>
      </c>
      <c r="AV1" s="541" t="s">
        <v>2753</v>
      </c>
      <c r="AW1" s="541" t="s">
        <v>2754</v>
      </c>
      <c r="AX1" s="541" t="s">
        <v>2755</v>
      </c>
      <c r="AY1" s="541" t="s">
        <v>2756</v>
      </c>
      <c r="AZ1" s="541" t="s">
        <v>2757</v>
      </c>
      <c r="BA1" s="560" t="s">
        <v>2758</v>
      </c>
      <c r="BB1" s="560" t="s">
        <v>2674</v>
      </c>
      <c r="BC1" s="541" t="s">
        <v>2759</v>
      </c>
      <c r="BD1" s="813"/>
      <c r="BE1" s="560"/>
      <c r="BF1" s="560"/>
      <c r="BG1" s="541"/>
      <c r="BH1" s="541"/>
    </row>
    <row r="2">
      <c r="A2" s="347" t="s">
        <v>3528</v>
      </c>
      <c r="B2" s="345" t="s">
        <v>1930</v>
      </c>
      <c r="C2" s="345" t="s">
        <v>2779</v>
      </c>
      <c r="D2" s="345" t="s">
        <v>2794</v>
      </c>
      <c r="E2" s="583">
        <v>45621.583333333336</v>
      </c>
      <c r="F2" s="345"/>
      <c r="G2" s="345" t="s">
        <v>2795</v>
      </c>
      <c r="H2" s="612">
        <v>45622.739583333336</v>
      </c>
      <c r="I2" s="575" t="s">
        <v>2796</v>
      </c>
      <c r="J2" s="345">
        <v>4542.0</v>
      </c>
      <c r="K2" s="345">
        <v>1.22</v>
      </c>
      <c r="L2" s="345">
        <v>23.8</v>
      </c>
      <c r="M2" s="347">
        <v>20975.8653084</v>
      </c>
      <c r="N2" s="575" t="s">
        <v>2797</v>
      </c>
      <c r="O2" s="345">
        <v>3408.0</v>
      </c>
      <c r="P2" s="345">
        <v>1.216</v>
      </c>
      <c r="Q2" s="345">
        <v>24.2</v>
      </c>
      <c r="R2" s="347">
        <v>15687.22357248</v>
      </c>
      <c r="S2" s="574"/>
      <c r="T2" s="347"/>
      <c r="U2" s="347"/>
      <c r="V2" s="347"/>
      <c r="W2" s="347">
        <v>0.0</v>
      </c>
      <c r="X2" s="347"/>
      <c r="Y2" s="347">
        <v>36663.08888088</v>
      </c>
      <c r="Z2" s="345" t="s">
        <v>2798</v>
      </c>
      <c r="AA2" s="345" t="s">
        <v>2799</v>
      </c>
      <c r="AB2" s="346">
        <v>7040.0</v>
      </c>
      <c r="AC2" s="814" t="s">
        <v>2800</v>
      </c>
      <c r="AD2" s="346">
        <v>0.0</v>
      </c>
      <c r="AE2" s="346">
        <v>58.0</v>
      </c>
      <c r="AF2" s="606">
        <v>100.0</v>
      </c>
      <c r="AG2" s="346"/>
      <c r="AH2" s="346">
        <v>6998.0</v>
      </c>
      <c r="AI2" s="348">
        <v>3174.243180230607</v>
      </c>
      <c r="AJ2" s="583">
        <v>45621.75</v>
      </c>
      <c r="AK2" s="345" t="s">
        <v>2801</v>
      </c>
      <c r="AL2" s="346">
        <v>192.0</v>
      </c>
      <c r="AM2" s="348">
        <v>2449.92</v>
      </c>
      <c r="AN2" s="348">
        <v>1111.2663406845625</v>
      </c>
      <c r="AO2" s="345">
        <v>4.33</v>
      </c>
      <c r="AP2" s="345">
        <v>75640.0</v>
      </c>
      <c r="AQ2" s="345">
        <v>33160.0</v>
      </c>
      <c r="AR2" s="345" t="s">
        <v>2802</v>
      </c>
      <c r="AS2" s="347">
        <v>42480.0</v>
      </c>
      <c r="AT2" s="348">
        <v>19268.626792825977</v>
      </c>
      <c r="AU2" s="345">
        <v>75780.0</v>
      </c>
      <c r="AV2" s="345">
        <v>33740.0</v>
      </c>
      <c r="AW2" s="345" t="s">
        <v>2802</v>
      </c>
      <c r="AX2" s="347">
        <v>42040.0</v>
      </c>
      <c r="AY2" s="346">
        <v>19069.045912674294</v>
      </c>
      <c r="AZ2" s="345" t="s">
        <v>2804</v>
      </c>
      <c r="BA2" s="348">
        <v>38337.67270550027</v>
      </c>
      <c r="BB2" s="348">
        <v>34052.1631845851</v>
      </c>
      <c r="BC2" s="348">
        <v>2610.9256962949003</v>
      </c>
      <c r="BD2" s="347"/>
      <c r="BE2" s="347"/>
      <c r="BF2" s="347"/>
      <c r="BG2" s="347"/>
      <c r="BH2" s="347"/>
    </row>
    <row r="3">
      <c r="A3" s="347" t="s">
        <v>3529</v>
      </c>
      <c r="B3" s="345" t="s">
        <v>1930</v>
      </c>
      <c r="C3" s="345" t="s">
        <v>2779</v>
      </c>
      <c r="D3" s="583">
        <v>45621.770833333336</v>
      </c>
      <c r="E3" s="583">
        <v>45624.03125</v>
      </c>
      <c r="F3" s="347"/>
      <c r="G3" s="612">
        <v>45630.4375</v>
      </c>
      <c r="H3" s="612">
        <v>45630.688888888886</v>
      </c>
      <c r="I3" s="575" t="s">
        <v>2797</v>
      </c>
      <c r="J3" s="345">
        <v>1205.0</v>
      </c>
      <c r="K3" s="345">
        <v>1.219</v>
      </c>
      <c r="L3" s="345">
        <v>24.2</v>
      </c>
      <c r="M3" s="347">
        <v>5560.369821950001</v>
      </c>
      <c r="N3" s="575" t="s">
        <v>2805</v>
      </c>
      <c r="O3" s="345">
        <v>4462.0</v>
      </c>
      <c r="P3" s="345">
        <v>1.219</v>
      </c>
      <c r="Q3" s="345">
        <v>24.2</v>
      </c>
      <c r="R3" s="347">
        <v>20589.51879298</v>
      </c>
      <c r="S3" s="575" t="s">
        <v>2806</v>
      </c>
      <c r="T3" s="345">
        <v>2339.0</v>
      </c>
      <c r="U3" s="345">
        <v>1.219</v>
      </c>
      <c r="V3" s="345">
        <v>24.2</v>
      </c>
      <c r="W3" s="347">
        <v>10793.116193810001</v>
      </c>
      <c r="X3" s="347"/>
      <c r="Y3" s="347">
        <v>36943.00480874001</v>
      </c>
      <c r="Z3" s="583">
        <v>45628.916666666664</v>
      </c>
      <c r="AA3" s="583">
        <v>45629.395833333336</v>
      </c>
      <c r="AB3" s="346">
        <v>7100.0</v>
      </c>
      <c r="AC3" s="814" t="s">
        <v>2800</v>
      </c>
      <c r="AD3" s="346">
        <v>138.18</v>
      </c>
      <c r="AE3" s="346">
        <v>150.0</v>
      </c>
      <c r="AF3" s="346">
        <v>350.0</v>
      </c>
      <c r="AG3" s="346">
        <v>-280.0</v>
      </c>
      <c r="AH3" s="346">
        <v>7041.82</v>
      </c>
      <c r="AI3" s="348">
        <v>3194.1196215220766</v>
      </c>
      <c r="AJ3" s="583">
        <v>45629.34375</v>
      </c>
      <c r="AK3" s="583">
        <v>45629.791666666664</v>
      </c>
      <c r="AL3" s="346">
        <v>192.0</v>
      </c>
      <c r="AM3" s="348">
        <v>2449.92</v>
      </c>
      <c r="AN3" s="348">
        <v>1111.2663406845625</v>
      </c>
      <c r="AO3" s="345">
        <v>4.33</v>
      </c>
      <c r="AP3" s="345">
        <v>75400.0</v>
      </c>
      <c r="AQ3" s="345">
        <v>33240.0</v>
      </c>
      <c r="AR3" s="345" t="s">
        <v>2807</v>
      </c>
      <c r="AS3" s="347">
        <v>42160.0</v>
      </c>
      <c r="AT3" s="348">
        <v>19123.47706180657</v>
      </c>
      <c r="AU3" s="345">
        <v>82740.0</v>
      </c>
      <c r="AV3" s="345">
        <v>35140.0</v>
      </c>
      <c r="AW3" s="345" t="s">
        <v>2807</v>
      </c>
      <c r="AX3" s="347">
        <v>47600.0</v>
      </c>
      <c r="AY3" s="346">
        <v>21591.022489136452</v>
      </c>
      <c r="AZ3" s="345" t="s">
        <v>2808</v>
      </c>
      <c r="BA3" s="348">
        <v>40714.49955094302</v>
      </c>
      <c r="BB3" s="348">
        <v>36409.113588736385</v>
      </c>
      <c r="BC3" s="348">
        <v>533.8912200036211</v>
      </c>
      <c r="BD3" s="347"/>
      <c r="BE3" s="347"/>
      <c r="BF3" s="347"/>
      <c r="BG3" s="347"/>
      <c r="BH3" s="347"/>
    </row>
    <row r="4">
      <c r="A4" s="347"/>
      <c r="B4" s="347"/>
      <c r="C4" s="347"/>
      <c r="D4" s="347"/>
      <c r="E4" s="347"/>
      <c r="F4" s="347"/>
      <c r="G4" s="347"/>
      <c r="H4" s="347"/>
      <c r="I4" s="347"/>
      <c r="J4" s="347"/>
      <c r="K4" s="348"/>
      <c r="L4" s="348"/>
      <c r="M4" s="348"/>
      <c r="N4" s="348"/>
      <c r="O4" s="348"/>
      <c r="P4" s="347"/>
      <c r="Q4" s="347"/>
      <c r="R4" s="347"/>
      <c r="S4" s="348"/>
      <c r="T4" s="347"/>
      <c r="U4" s="347"/>
      <c r="V4" s="347"/>
      <c r="W4" s="347"/>
      <c r="X4" s="347"/>
      <c r="Y4" s="347"/>
      <c r="Z4" s="347"/>
      <c r="AA4" s="604"/>
      <c r="AB4" s="348"/>
      <c r="AC4" s="590"/>
      <c r="AD4" s="347"/>
      <c r="AE4" s="347"/>
      <c r="AF4" s="347"/>
      <c r="AG4" s="347"/>
      <c r="AH4" s="347"/>
      <c r="AI4" s="347"/>
      <c r="AJ4" s="347"/>
      <c r="AK4" s="347"/>
      <c r="AL4" s="347"/>
      <c r="AM4" s="347"/>
      <c r="AN4" s="347"/>
      <c r="AO4" s="347"/>
      <c r="AP4" s="347"/>
      <c r="AQ4" s="347"/>
      <c r="AR4" s="347"/>
      <c r="AS4" s="347"/>
      <c r="AT4" s="347"/>
      <c r="AU4" s="347"/>
      <c r="AV4" s="347"/>
      <c r="AW4" s="347"/>
      <c r="AX4" s="347"/>
      <c r="AY4" s="347"/>
      <c r="AZ4" s="347"/>
      <c r="BA4" s="347"/>
      <c r="BB4" s="347"/>
      <c r="BC4" s="347"/>
      <c r="BD4" s="347"/>
      <c r="BE4" s="347"/>
      <c r="BF4" s="347"/>
      <c r="BG4" s="347"/>
      <c r="BH4" s="347"/>
    </row>
    <row r="5">
      <c r="A5" s="347"/>
      <c r="B5" s="347"/>
      <c r="C5" s="347"/>
      <c r="D5" s="347"/>
      <c r="E5" s="347"/>
      <c r="F5" s="347"/>
      <c r="G5" s="347"/>
      <c r="H5" s="347"/>
      <c r="I5" s="347"/>
      <c r="J5" s="347"/>
      <c r="K5" s="348"/>
      <c r="L5" s="348"/>
      <c r="M5" s="348"/>
      <c r="N5" s="348"/>
      <c r="O5" s="348"/>
      <c r="P5" s="347"/>
      <c r="Q5" s="347"/>
      <c r="R5" s="347"/>
      <c r="S5" s="348"/>
      <c r="T5" s="347"/>
      <c r="U5" s="347"/>
      <c r="V5" s="347"/>
      <c r="W5" s="347"/>
      <c r="X5" s="347"/>
      <c r="Y5" s="347"/>
      <c r="Z5" s="347"/>
      <c r="AA5" s="604"/>
      <c r="AB5" s="348"/>
      <c r="AC5" s="590"/>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row>
    <row r="6">
      <c r="A6" s="347"/>
      <c r="B6" s="347"/>
      <c r="C6" s="347"/>
      <c r="D6" s="347"/>
      <c r="E6" s="347"/>
      <c r="F6" s="347"/>
      <c r="G6" s="347"/>
      <c r="H6" s="347"/>
      <c r="I6" s="347"/>
      <c r="J6" s="347"/>
      <c r="K6" s="348"/>
      <c r="L6" s="348"/>
      <c r="M6" s="348"/>
      <c r="N6" s="348"/>
      <c r="O6" s="348"/>
      <c r="P6" s="347"/>
      <c r="Q6" s="347"/>
      <c r="R6" s="347"/>
      <c r="S6" s="348"/>
      <c r="T6" s="347"/>
      <c r="U6" s="347"/>
      <c r="V6" s="347"/>
      <c r="W6" s="347"/>
      <c r="X6" s="347"/>
      <c r="Y6" s="347"/>
      <c r="Z6" s="347"/>
      <c r="AA6" s="347"/>
      <c r="AB6" s="348"/>
      <c r="AC6" s="590"/>
      <c r="AD6" s="347"/>
      <c r="AE6" s="347"/>
      <c r="AF6" s="347"/>
      <c r="AG6" s="347"/>
      <c r="AH6" s="347"/>
      <c r="AI6" s="347"/>
      <c r="AJ6" s="347"/>
      <c r="AK6" s="347"/>
      <c r="AL6" s="347"/>
      <c r="AM6" s="347"/>
      <c r="AN6" s="347"/>
      <c r="AO6" s="347"/>
      <c r="AP6" s="347"/>
      <c r="AQ6" s="347"/>
      <c r="AR6" s="347"/>
      <c r="AS6" s="347"/>
      <c r="AT6" s="347"/>
      <c r="AU6" s="347"/>
      <c r="AV6" s="347"/>
      <c r="AW6" s="347"/>
      <c r="AX6" s="347"/>
      <c r="AY6" s="347"/>
      <c r="AZ6" s="347"/>
      <c r="BA6" s="347"/>
      <c r="BB6" s="347"/>
      <c r="BC6" s="347"/>
      <c r="BD6" s="347"/>
      <c r="BE6" s="347"/>
      <c r="BF6" s="347"/>
      <c r="BG6" s="347"/>
      <c r="BH6" s="347"/>
    </row>
    <row r="7">
      <c r="A7" s="347"/>
      <c r="B7" s="347"/>
      <c r="C7" s="347"/>
      <c r="D7" s="347"/>
      <c r="E7" s="347"/>
      <c r="F7" s="347"/>
      <c r="G7" s="347"/>
      <c r="H7" s="347"/>
      <c r="I7" s="347"/>
      <c r="J7" s="347"/>
      <c r="K7" s="348"/>
      <c r="L7" s="348"/>
      <c r="M7" s="348"/>
      <c r="N7" s="348"/>
      <c r="O7" s="348"/>
      <c r="P7" s="347"/>
      <c r="Q7" s="347"/>
      <c r="R7" s="347"/>
      <c r="S7" s="348"/>
      <c r="T7" s="347"/>
      <c r="U7" s="347"/>
      <c r="V7" s="347"/>
      <c r="W7" s="347"/>
      <c r="X7" s="347"/>
      <c r="Y7" s="347"/>
      <c r="Z7" s="347"/>
      <c r="AA7" s="347"/>
      <c r="AB7" s="348"/>
      <c r="AC7" s="590"/>
      <c r="AD7" s="347"/>
      <c r="AE7" s="347"/>
      <c r="AF7" s="347"/>
      <c r="AG7" s="347"/>
      <c r="AH7" s="347"/>
      <c r="AI7" s="347"/>
      <c r="AJ7" s="347"/>
      <c r="AK7" s="347"/>
      <c r="AL7" s="347"/>
      <c r="AM7" s="347"/>
      <c r="AN7" s="347"/>
      <c r="AO7" s="347"/>
      <c r="AP7" s="347"/>
      <c r="AQ7" s="347"/>
      <c r="AR7" s="347"/>
      <c r="AS7" s="347"/>
      <c r="AT7" s="347"/>
      <c r="AU7" s="347"/>
      <c r="AV7" s="347"/>
      <c r="AW7" s="347"/>
      <c r="AX7" s="347"/>
      <c r="AY7" s="347"/>
      <c r="AZ7" s="347"/>
      <c r="BA7" s="347"/>
      <c r="BB7" s="347"/>
      <c r="BC7" s="347"/>
      <c r="BD7" s="347"/>
      <c r="BE7" s="347"/>
      <c r="BF7" s="347"/>
      <c r="BG7" s="347"/>
      <c r="BH7" s="347"/>
    </row>
    <row r="8">
      <c r="A8" s="347"/>
      <c r="B8" s="347"/>
      <c r="C8" s="347"/>
      <c r="D8" s="347"/>
      <c r="E8" s="347"/>
      <c r="F8" s="347"/>
      <c r="G8" s="347"/>
      <c r="H8" s="347"/>
      <c r="I8" s="347"/>
      <c r="J8" s="347"/>
      <c r="K8" s="348"/>
      <c r="L8" s="348"/>
      <c r="M8" s="348"/>
      <c r="N8" s="348"/>
      <c r="O8" s="348"/>
      <c r="P8" s="347"/>
      <c r="Q8" s="347"/>
      <c r="R8" s="347"/>
      <c r="S8" s="348"/>
      <c r="T8" s="347"/>
      <c r="U8" s="347"/>
      <c r="V8" s="347"/>
      <c r="W8" s="347"/>
      <c r="X8" s="347"/>
      <c r="Y8" s="347"/>
      <c r="Z8" s="347"/>
      <c r="AA8" s="347"/>
      <c r="AB8" s="348"/>
      <c r="AC8" s="590"/>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row>
    <row r="9">
      <c r="A9" s="347"/>
      <c r="B9" s="347"/>
      <c r="C9" s="347"/>
      <c r="D9" s="347"/>
      <c r="E9" s="347"/>
      <c r="F9" s="347"/>
      <c r="G9" s="347"/>
      <c r="H9" s="347"/>
      <c r="I9" s="347"/>
      <c r="J9" s="347"/>
      <c r="K9" s="348"/>
      <c r="L9" s="348"/>
      <c r="M9" s="348"/>
      <c r="N9" s="348"/>
      <c r="O9" s="348"/>
      <c r="P9" s="347"/>
      <c r="Q9" s="347"/>
      <c r="R9" s="347"/>
      <c r="S9" s="347"/>
      <c r="T9" s="347"/>
      <c r="U9" s="347"/>
      <c r="V9" s="347"/>
      <c r="W9" s="347"/>
      <c r="X9" s="347"/>
      <c r="Y9" s="347"/>
      <c r="Z9" s="347"/>
      <c r="AA9" s="604"/>
      <c r="AB9" s="347"/>
      <c r="AC9" s="590"/>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row>
    <row r="10">
      <c r="A10" s="347"/>
      <c r="B10" s="347"/>
      <c r="C10" s="347"/>
      <c r="D10" s="347"/>
      <c r="E10" s="347"/>
      <c r="F10" s="347"/>
      <c r="G10" s="347"/>
      <c r="H10" s="347"/>
      <c r="I10" s="347"/>
      <c r="J10" s="347"/>
      <c r="K10" s="348"/>
      <c r="L10" s="348"/>
      <c r="M10" s="348"/>
      <c r="N10" s="348"/>
      <c r="O10" s="348"/>
      <c r="P10" s="347"/>
      <c r="Q10" s="347"/>
      <c r="R10" s="347"/>
      <c r="S10" s="347"/>
      <c r="T10" s="347"/>
      <c r="U10" s="347"/>
      <c r="V10" s="347"/>
      <c r="W10" s="347"/>
      <c r="X10" s="347"/>
      <c r="Y10" s="347"/>
      <c r="Z10" s="347"/>
      <c r="AA10" s="604"/>
      <c r="AB10" s="347"/>
      <c r="AC10" s="590"/>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row>
    <row r="11">
      <c r="A11" s="347"/>
      <c r="B11" s="347"/>
      <c r="C11" s="347"/>
      <c r="D11" s="347"/>
      <c r="E11" s="347"/>
      <c r="F11" s="347"/>
      <c r="G11" s="347"/>
      <c r="H11" s="347"/>
      <c r="I11" s="347"/>
      <c r="J11" s="347"/>
      <c r="K11" s="348"/>
      <c r="L11" s="348"/>
      <c r="M11" s="348"/>
      <c r="N11" s="348"/>
      <c r="O11" s="348"/>
      <c r="P11" s="347"/>
      <c r="Q11" s="347"/>
      <c r="R11" s="347"/>
      <c r="S11" s="347"/>
      <c r="T11" s="347"/>
      <c r="U11" s="347"/>
      <c r="V11" s="347"/>
      <c r="W11" s="347"/>
      <c r="X11" s="347"/>
      <c r="Y11" s="347"/>
      <c r="Z11" s="347"/>
      <c r="AA11" s="604"/>
      <c r="AB11" s="347"/>
      <c r="AC11" s="590"/>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row>
    <row r="12">
      <c r="A12" s="347"/>
      <c r="B12" s="347"/>
      <c r="C12" s="347"/>
      <c r="D12" s="347"/>
      <c r="E12" s="347"/>
      <c r="F12" s="347"/>
      <c r="G12" s="347"/>
      <c r="H12" s="347"/>
      <c r="I12" s="347"/>
      <c r="J12" s="347"/>
      <c r="K12" s="348"/>
      <c r="L12" s="348"/>
      <c r="M12" s="348"/>
      <c r="N12" s="348"/>
      <c r="O12" s="348"/>
      <c r="P12" s="347"/>
      <c r="Q12" s="347"/>
      <c r="R12" s="347"/>
      <c r="S12" s="347"/>
      <c r="T12" s="347"/>
      <c r="U12" s="347"/>
      <c r="V12" s="347"/>
      <c r="W12" s="347"/>
      <c r="X12" s="347"/>
      <c r="Y12" s="347"/>
      <c r="Z12" s="347"/>
      <c r="AA12" s="604"/>
      <c r="AB12" s="347"/>
      <c r="AC12" s="590"/>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row>
    <row r="13">
      <c r="A13" s="347"/>
      <c r="B13" s="347"/>
      <c r="C13" s="347"/>
      <c r="D13" s="815"/>
      <c r="E13" s="816"/>
      <c r="F13" s="347"/>
      <c r="G13" s="347"/>
      <c r="H13" s="347"/>
      <c r="I13" s="347"/>
      <c r="J13" s="347"/>
      <c r="K13" s="348"/>
      <c r="L13" s="348"/>
      <c r="M13" s="348"/>
      <c r="N13" s="348"/>
      <c r="O13" s="348"/>
      <c r="P13" s="347"/>
      <c r="Q13" s="347"/>
      <c r="R13" s="347"/>
      <c r="S13" s="347"/>
      <c r="T13" s="347"/>
      <c r="U13" s="347"/>
      <c r="V13" s="347"/>
      <c r="W13" s="347"/>
      <c r="X13" s="347"/>
      <c r="Y13" s="347"/>
      <c r="Z13" s="347"/>
      <c r="AA13" s="604"/>
      <c r="AB13" s="347"/>
      <c r="AC13" s="590"/>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row>
    <row r="14">
      <c r="A14" s="347"/>
      <c r="B14" s="347"/>
      <c r="C14" s="347"/>
      <c r="D14" s="815"/>
      <c r="E14" s="816"/>
      <c r="F14" s="347"/>
      <c r="G14" s="347"/>
      <c r="H14" s="347"/>
      <c r="I14" s="347"/>
      <c r="J14" s="347"/>
      <c r="K14" s="348"/>
      <c r="L14" s="348"/>
      <c r="M14" s="348"/>
      <c r="N14" s="348"/>
      <c r="O14" s="348"/>
      <c r="P14" s="347"/>
      <c r="Q14" s="347"/>
      <c r="R14" s="347"/>
      <c r="S14" s="347"/>
      <c r="T14" s="347"/>
      <c r="U14" s="347"/>
      <c r="V14" s="347"/>
      <c r="W14" s="347"/>
      <c r="X14" s="347"/>
      <c r="Y14" s="347"/>
      <c r="Z14" s="347"/>
      <c r="AA14" s="604"/>
      <c r="AB14" s="347"/>
      <c r="AC14" s="590"/>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row>
    <row r="15">
      <c r="A15" s="347"/>
      <c r="B15" s="347"/>
      <c r="C15" s="347"/>
      <c r="D15" s="815"/>
      <c r="E15" s="816"/>
      <c r="F15" s="347"/>
      <c r="G15" s="347"/>
      <c r="H15" s="347"/>
      <c r="I15" s="347"/>
      <c r="J15" s="347"/>
      <c r="K15" s="348"/>
      <c r="L15" s="348"/>
      <c r="M15" s="348"/>
      <c r="N15" s="348"/>
      <c r="O15" s="348"/>
      <c r="P15" s="347"/>
      <c r="Q15" s="347"/>
      <c r="R15" s="347"/>
      <c r="S15" s="347"/>
      <c r="T15" s="347"/>
      <c r="U15" s="347"/>
      <c r="V15" s="347"/>
      <c r="W15" s="347"/>
      <c r="X15" s="347"/>
      <c r="Y15" s="347"/>
      <c r="Z15" s="347"/>
      <c r="AA15" s="604"/>
      <c r="AB15" s="347"/>
      <c r="AC15" s="590"/>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row>
    <row r="16">
      <c r="A16" s="347"/>
      <c r="B16" s="347"/>
      <c r="C16" s="347"/>
      <c r="D16" s="815"/>
      <c r="E16" s="816"/>
      <c r="F16" s="347"/>
      <c r="G16" s="347"/>
      <c r="H16" s="347"/>
      <c r="I16" s="347"/>
      <c r="J16" s="347"/>
      <c r="K16" s="348"/>
      <c r="L16" s="348"/>
      <c r="M16" s="348"/>
      <c r="N16" s="348"/>
      <c r="O16" s="348"/>
      <c r="P16" s="347"/>
      <c r="Q16" s="347"/>
      <c r="R16" s="347"/>
      <c r="S16" s="347"/>
      <c r="T16" s="347"/>
      <c r="U16" s="347"/>
      <c r="V16" s="347"/>
      <c r="W16" s="347"/>
      <c r="X16" s="347"/>
      <c r="Y16" s="347"/>
      <c r="Z16" s="347"/>
      <c r="AA16" s="604"/>
      <c r="AB16" s="347"/>
      <c r="AC16" s="590"/>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row>
    <row r="17">
      <c r="A17" s="347"/>
      <c r="B17" s="347"/>
      <c r="C17" s="347"/>
      <c r="D17" s="815"/>
      <c r="E17" s="816"/>
      <c r="F17" s="347"/>
      <c r="G17" s="347"/>
      <c r="H17" s="347"/>
      <c r="I17" s="347"/>
      <c r="J17" s="347"/>
      <c r="K17" s="348"/>
      <c r="L17" s="348"/>
      <c r="M17" s="348"/>
      <c r="N17" s="348"/>
      <c r="O17" s="348"/>
      <c r="P17" s="347"/>
      <c r="Q17" s="347"/>
      <c r="R17" s="347"/>
      <c r="S17" s="347"/>
      <c r="T17" s="347"/>
      <c r="U17" s="347"/>
      <c r="V17" s="347"/>
      <c r="W17" s="347"/>
      <c r="X17" s="347"/>
      <c r="Y17" s="347"/>
      <c r="Z17" s="347"/>
      <c r="AA17" s="604"/>
      <c r="AB17" s="347"/>
      <c r="AC17" s="590"/>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row>
    <row r="18">
      <c r="A18" s="347"/>
      <c r="B18" s="347"/>
      <c r="C18" s="347"/>
      <c r="D18" s="815"/>
      <c r="E18" s="816"/>
      <c r="F18" s="347"/>
      <c r="G18" s="347"/>
      <c r="H18" s="347"/>
      <c r="I18" s="347"/>
      <c r="J18" s="347"/>
      <c r="K18" s="348"/>
      <c r="L18" s="348"/>
      <c r="M18" s="348"/>
      <c r="N18" s="348"/>
      <c r="O18" s="348"/>
      <c r="P18" s="347"/>
      <c r="Q18" s="347"/>
      <c r="R18" s="347"/>
      <c r="S18" s="347"/>
      <c r="T18" s="347"/>
      <c r="U18" s="347"/>
      <c r="V18" s="347"/>
      <c r="W18" s="347"/>
      <c r="X18" s="347"/>
      <c r="Y18" s="347"/>
      <c r="Z18" s="347"/>
      <c r="AA18" s="604"/>
      <c r="AB18" s="347"/>
      <c r="AC18" s="590"/>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row>
    <row r="19">
      <c r="A19" s="347"/>
      <c r="B19" s="347"/>
      <c r="C19" s="347"/>
      <c r="D19" s="815"/>
      <c r="E19" s="347"/>
      <c r="F19" s="347"/>
      <c r="G19" s="347"/>
      <c r="H19" s="347"/>
      <c r="I19" s="347"/>
      <c r="J19" s="347"/>
      <c r="K19" s="348"/>
      <c r="L19" s="348"/>
      <c r="M19" s="348"/>
      <c r="N19" s="348"/>
      <c r="O19" s="348"/>
      <c r="P19" s="347"/>
      <c r="Q19" s="347"/>
      <c r="R19" s="347"/>
      <c r="S19" s="347"/>
      <c r="T19" s="347"/>
      <c r="U19" s="347"/>
      <c r="V19" s="347"/>
      <c r="W19" s="347"/>
      <c r="X19" s="347"/>
      <c r="Y19" s="347"/>
      <c r="Z19" s="347"/>
      <c r="AA19" s="604"/>
      <c r="AB19" s="347"/>
      <c r="AC19" s="590"/>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7"/>
      <c r="BD19" s="347"/>
      <c r="BE19" s="347"/>
      <c r="BF19" s="347"/>
      <c r="BG19" s="347"/>
      <c r="BH19" s="347"/>
    </row>
    <row r="20">
      <c r="A20" s="347"/>
      <c r="B20" s="347"/>
      <c r="C20" s="347"/>
      <c r="D20" s="815"/>
      <c r="E20" s="347"/>
      <c r="F20" s="347"/>
      <c r="G20" s="347"/>
      <c r="H20" s="347"/>
      <c r="I20" s="347"/>
      <c r="J20" s="347"/>
      <c r="K20" s="348"/>
      <c r="L20" s="348"/>
      <c r="M20" s="348"/>
      <c r="N20" s="348"/>
      <c r="O20" s="348"/>
      <c r="P20" s="347"/>
      <c r="Q20" s="347"/>
      <c r="R20" s="347"/>
      <c r="S20" s="347"/>
      <c r="T20" s="347"/>
      <c r="U20" s="347"/>
      <c r="V20" s="347"/>
      <c r="W20" s="347"/>
      <c r="X20" s="347"/>
      <c r="Y20" s="347"/>
      <c r="Z20" s="347"/>
      <c r="AA20" s="604"/>
      <c r="AB20" s="347"/>
      <c r="AC20" s="590"/>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7"/>
      <c r="BD20" s="347"/>
      <c r="BE20" s="347"/>
      <c r="BF20" s="347"/>
      <c r="BG20" s="347"/>
      <c r="BH20" s="347"/>
    </row>
    <row r="21">
      <c r="A21" s="347"/>
      <c r="B21" s="347"/>
      <c r="C21" s="347"/>
      <c r="D21" s="815"/>
      <c r="E21" s="347"/>
      <c r="F21" s="347"/>
      <c r="G21" s="347"/>
      <c r="H21" s="347"/>
      <c r="I21" s="347"/>
      <c r="J21" s="347"/>
      <c r="K21" s="348"/>
      <c r="L21" s="348"/>
      <c r="M21" s="348"/>
      <c r="N21" s="348"/>
      <c r="O21" s="348"/>
      <c r="P21" s="347"/>
      <c r="Q21" s="347"/>
      <c r="R21" s="347"/>
      <c r="S21" s="347"/>
      <c r="T21" s="347"/>
      <c r="U21" s="347"/>
      <c r="V21" s="347"/>
      <c r="W21" s="347"/>
      <c r="X21" s="347"/>
      <c r="Y21" s="347"/>
      <c r="Z21" s="347"/>
      <c r="AA21" s="604"/>
      <c r="AB21" s="347"/>
      <c r="AC21" s="590"/>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c r="BD21" s="347"/>
      <c r="BE21" s="347"/>
      <c r="BF21" s="347"/>
      <c r="BG21" s="347"/>
      <c r="BH21" s="347"/>
    </row>
    <row r="22">
      <c r="A22" s="347"/>
      <c r="B22" s="347"/>
      <c r="C22" s="347"/>
      <c r="D22" s="815"/>
      <c r="E22" s="347"/>
      <c r="F22" s="347"/>
      <c r="G22" s="347"/>
      <c r="H22" s="347"/>
      <c r="I22" s="347"/>
      <c r="J22" s="347"/>
      <c r="K22" s="348"/>
      <c r="L22" s="348"/>
      <c r="M22" s="348"/>
      <c r="N22" s="348"/>
      <c r="O22" s="348"/>
      <c r="P22" s="347"/>
      <c r="Q22" s="347"/>
      <c r="R22" s="347"/>
      <c r="S22" s="347"/>
      <c r="T22" s="347"/>
      <c r="U22" s="347"/>
      <c r="V22" s="347"/>
      <c r="W22" s="347"/>
      <c r="X22" s="347"/>
      <c r="Y22" s="347"/>
      <c r="Z22" s="347"/>
      <c r="AA22" s="604"/>
      <c r="AB22" s="347"/>
      <c r="AC22" s="590"/>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7"/>
      <c r="BD22" s="347"/>
      <c r="BE22" s="347"/>
      <c r="BF22" s="347"/>
      <c r="BG22" s="347"/>
      <c r="BH22" s="347"/>
    </row>
    <row r="23">
      <c r="A23" s="347"/>
      <c r="B23" s="347"/>
      <c r="C23" s="347"/>
      <c r="D23" s="815"/>
      <c r="E23" s="347"/>
      <c r="F23" s="347"/>
      <c r="G23" s="347"/>
      <c r="H23" s="347"/>
      <c r="I23" s="347"/>
      <c r="J23" s="347"/>
      <c r="K23" s="348"/>
      <c r="L23" s="348"/>
      <c r="M23" s="348"/>
      <c r="N23" s="348"/>
      <c r="O23" s="348"/>
      <c r="P23" s="347"/>
      <c r="Q23" s="347"/>
      <c r="R23" s="347"/>
      <c r="S23" s="347"/>
      <c r="T23" s="347"/>
      <c r="U23" s="347"/>
      <c r="V23" s="347"/>
      <c r="W23" s="347"/>
      <c r="X23" s="347"/>
      <c r="Y23" s="347"/>
      <c r="Z23" s="347"/>
      <c r="AA23" s="604"/>
      <c r="AB23" s="347"/>
      <c r="AC23" s="590"/>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7"/>
      <c r="BD23" s="347"/>
      <c r="BE23" s="347"/>
      <c r="BF23" s="347"/>
      <c r="BG23" s="347"/>
      <c r="BH23" s="347"/>
    </row>
    <row r="24">
      <c r="A24" s="347"/>
      <c r="B24" s="347"/>
      <c r="C24" s="347"/>
      <c r="D24" s="347"/>
      <c r="E24" s="347"/>
      <c r="F24" s="347"/>
      <c r="G24" s="347"/>
      <c r="H24" s="347"/>
      <c r="I24" s="347"/>
      <c r="J24" s="347"/>
      <c r="K24" s="348"/>
      <c r="L24" s="348"/>
      <c r="M24" s="348"/>
      <c r="N24" s="348"/>
      <c r="O24" s="348"/>
      <c r="P24" s="347"/>
      <c r="Q24" s="347"/>
      <c r="R24" s="347"/>
      <c r="S24" s="347"/>
      <c r="T24" s="347"/>
      <c r="U24" s="347"/>
      <c r="V24" s="347"/>
      <c r="W24" s="347"/>
      <c r="X24" s="347"/>
      <c r="Y24" s="347"/>
      <c r="Z24" s="347"/>
      <c r="AA24" s="604"/>
      <c r="AB24" s="347"/>
      <c r="AC24" s="590"/>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7"/>
      <c r="BD24" s="347"/>
      <c r="BE24" s="347"/>
      <c r="BF24" s="347"/>
      <c r="BG24" s="347"/>
      <c r="BH24" s="347"/>
    </row>
    <row r="25">
      <c r="A25" s="560"/>
      <c r="B25" s="560"/>
      <c r="C25" s="560"/>
      <c r="D25" s="347"/>
      <c r="E25" s="347"/>
      <c r="F25" s="347"/>
      <c r="G25" s="347"/>
      <c r="H25" s="347"/>
      <c r="I25" s="347"/>
      <c r="J25" s="347"/>
      <c r="K25" s="348"/>
      <c r="L25" s="348"/>
      <c r="M25" s="348"/>
      <c r="N25" s="348"/>
      <c r="O25" s="348"/>
      <c r="P25" s="347"/>
      <c r="Q25" s="347"/>
      <c r="R25" s="347"/>
      <c r="S25" s="347"/>
      <c r="T25" s="347"/>
      <c r="U25" s="347"/>
      <c r="V25" s="347"/>
      <c r="W25" s="347"/>
      <c r="X25" s="347"/>
      <c r="Y25" s="347"/>
      <c r="Z25" s="347"/>
      <c r="AA25" s="604"/>
      <c r="AB25" s="347"/>
      <c r="AC25" s="590"/>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row>
    <row r="26">
      <c r="A26" s="347"/>
      <c r="B26" s="347"/>
      <c r="C26" s="347"/>
      <c r="D26" s="334"/>
      <c r="E26" s="347"/>
      <c r="F26" s="347"/>
      <c r="G26" s="347"/>
      <c r="H26" s="347"/>
      <c r="I26" s="347"/>
      <c r="J26" s="347"/>
      <c r="K26" s="348"/>
      <c r="L26" s="348"/>
      <c r="M26" s="348"/>
      <c r="N26" s="348"/>
      <c r="O26" s="348"/>
      <c r="P26" s="347"/>
      <c r="Q26" s="347"/>
      <c r="R26" s="347"/>
      <c r="S26" s="347"/>
      <c r="T26" s="347"/>
      <c r="U26" s="347"/>
      <c r="V26" s="347"/>
      <c r="W26" s="347"/>
      <c r="X26" s="347"/>
      <c r="Y26" s="347"/>
      <c r="Z26" s="347"/>
      <c r="AA26" s="604"/>
      <c r="AB26" s="347"/>
      <c r="AC26" s="590"/>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row>
    <row r="27">
      <c r="A27" s="347"/>
      <c r="B27" s="347"/>
      <c r="C27" s="347"/>
      <c r="D27" s="334"/>
      <c r="E27" s="347"/>
      <c r="F27" s="347"/>
      <c r="G27" s="347"/>
      <c r="H27" s="347"/>
      <c r="I27" s="347"/>
      <c r="J27" s="347"/>
      <c r="K27" s="348"/>
      <c r="L27" s="348"/>
      <c r="M27" s="348"/>
      <c r="N27" s="348"/>
      <c r="O27" s="348"/>
      <c r="P27" s="347"/>
      <c r="Q27" s="347"/>
      <c r="R27" s="347"/>
      <c r="S27" s="347"/>
      <c r="T27" s="347"/>
      <c r="U27" s="347"/>
      <c r="V27" s="347"/>
      <c r="W27" s="347"/>
      <c r="X27" s="347"/>
      <c r="Y27" s="347"/>
      <c r="Z27" s="347"/>
      <c r="AA27" s="604"/>
      <c r="AB27" s="347"/>
      <c r="AC27" s="590"/>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row>
    <row r="28">
      <c r="A28" s="347"/>
      <c r="B28" s="347"/>
      <c r="C28" s="347"/>
      <c r="D28" s="334"/>
      <c r="E28" s="347"/>
      <c r="F28" s="347"/>
      <c r="G28" s="347"/>
      <c r="H28" s="347"/>
      <c r="I28" s="347"/>
      <c r="J28" s="347"/>
      <c r="K28" s="348"/>
      <c r="L28" s="348"/>
      <c r="M28" s="348"/>
      <c r="N28" s="348"/>
      <c r="O28" s="348"/>
      <c r="P28" s="347"/>
      <c r="Q28" s="347"/>
      <c r="R28" s="347"/>
      <c r="S28" s="347"/>
      <c r="T28" s="347"/>
      <c r="U28" s="347"/>
      <c r="V28" s="347"/>
      <c r="W28" s="347"/>
      <c r="X28" s="347"/>
      <c r="Y28" s="347"/>
      <c r="Z28" s="347"/>
      <c r="AA28" s="604"/>
      <c r="AB28" s="347"/>
      <c r="AC28" s="590"/>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7"/>
      <c r="BD28" s="347"/>
      <c r="BE28" s="347"/>
      <c r="BF28" s="347"/>
      <c r="BG28" s="347"/>
      <c r="BH28" s="347"/>
    </row>
    <row r="29">
      <c r="A29" s="347"/>
      <c r="B29" s="347"/>
      <c r="C29" s="347"/>
      <c r="D29" s="334"/>
      <c r="E29" s="347"/>
      <c r="F29" s="347"/>
      <c r="G29" s="347"/>
      <c r="H29" s="347"/>
      <c r="I29" s="347"/>
      <c r="J29" s="347"/>
      <c r="K29" s="348"/>
      <c r="L29" s="348"/>
      <c r="M29" s="348"/>
      <c r="N29" s="348"/>
      <c r="O29" s="348"/>
      <c r="P29" s="347"/>
      <c r="Q29" s="347"/>
      <c r="R29" s="347"/>
      <c r="S29" s="347"/>
      <c r="T29" s="347"/>
      <c r="U29" s="347"/>
      <c r="V29" s="347"/>
      <c r="W29" s="347"/>
      <c r="X29" s="347"/>
      <c r="Y29" s="347"/>
      <c r="Z29" s="347"/>
      <c r="AA29" s="604"/>
      <c r="AB29" s="347"/>
      <c r="AC29" s="590"/>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7"/>
      <c r="BF29" s="347"/>
      <c r="BG29" s="347"/>
      <c r="BH29" s="347"/>
    </row>
    <row r="30">
      <c r="A30" s="347"/>
      <c r="B30" s="347"/>
      <c r="C30" s="347"/>
      <c r="D30" s="347"/>
      <c r="E30" s="347"/>
      <c r="F30" s="347"/>
      <c r="G30" s="347"/>
      <c r="H30" s="347"/>
      <c r="I30" s="347"/>
      <c r="J30" s="347"/>
      <c r="K30" s="348"/>
      <c r="L30" s="348"/>
      <c r="M30" s="348"/>
      <c r="N30" s="348"/>
      <c r="O30" s="348"/>
      <c r="P30" s="347"/>
      <c r="Q30" s="347"/>
      <c r="R30" s="347"/>
      <c r="S30" s="347"/>
      <c r="T30" s="347"/>
      <c r="U30" s="347"/>
      <c r="V30" s="347"/>
      <c r="W30" s="347"/>
      <c r="X30" s="347"/>
      <c r="Y30" s="347"/>
      <c r="Z30" s="347"/>
      <c r="AA30" s="604"/>
      <c r="AB30" s="347"/>
      <c r="AC30" s="590"/>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7"/>
      <c r="BD30" s="347"/>
      <c r="BE30" s="347"/>
      <c r="BF30" s="347"/>
      <c r="BG30" s="347"/>
      <c r="BH30" s="347"/>
    </row>
    <row r="31">
      <c r="A31" s="347"/>
      <c r="B31" s="347"/>
      <c r="C31" s="347"/>
      <c r="D31" s="347"/>
      <c r="E31" s="347"/>
      <c r="F31" s="347"/>
      <c r="G31" s="347"/>
      <c r="H31" s="347"/>
      <c r="I31" s="347"/>
      <c r="J31" s="347"/>
      <c r="K31" s="348"/>
      <c r="L31" s="348"/>
      <c r="M31" s="348"/>
      <c r="N31" s="348"/>
      <c r="O31" s="348"/>
      <c r="P31" s="347"/>
      <c r="Q31" s="347"/>
      <c r="R31" s="347"/>
      <c r="S31" s="347"/>
      <c r="T31" s="347"/>
      <c r="U31" s="347"/>
      <c r="V31" s="347"/>
      <c r="W31" s="347"/>
      <c r="X31" s="347"/>
      <c r="Y31" s="347"/>
      <c r="Z31" s="347"/>
      <c r="AA31" s="604"/>
      <c r="AB31" s="347"/>
      <c r="AC31" s="590"/>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row>
    <row r="32">
      <c r="A32" s="347"/>
      <c r="B32" s="347"/>
      <c r="C32" s="347"/>
      <c r="D32" s="347"/>
      <c r="E32" s="347"/>
      <c r="F32" s="347"/>
      <c r="G32" s="347"/>
      <c r="H32" s="347"/>
      <c r="I32" s="347"/>
      <c r="J32" s="347"/>
      <c r="K32" s="348"/>
      <c r="L32" s="348"/>
      <c r="M32" s="348"/>
      <c r="N32" s="348"/>
      <c r="O32" s="348"/>
      <c r="P32" s="347"/>
      <c r="Q32" s="347"/>
      <c r="R32" s="347"/>
      <c r="S32" s="347"/>
      <c r="T32" s="347"/>
      <c r="U32" s="347"/>
      <c r="V32" s="347"/>
      <c r="W32" s="347"/>
      <c r="X32" s="347"/>
      <c r="Y32" s="347"/>
      <c r="Z32" s="347"/>
      <c r="AA32" s="604"/>
      <c r="AB32" s="347"/>
      <c r="AC32" s="590"/>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7"/>
      <c r="BD32" s="347"/>
      <c r="BE32" s="347"/>
      <c r="BF32" s="347"/>
      <c r="BG32" s="347"/>
      <c r="BH32" s="347"/>
    </row>
    <row r="33">
      <c r="A33" s="347"/>
      <c r="B33" s="347"/>
      <c r="C33" s="347"/>
      <c r="D33" s="347"/>
      <c r="E33" s="347"/>
      <c r="F33" s="347"/>
      <c r="G33" s="347"/>
      <c r="H33" s="347"/>
      <c r="I33" s="347"/>
      <c r="J33" s="347"/>
      <c r="K33" s="348"/>
      <c r="L33" s="348"/>
      <c r="M33" s="348"/>
      <c r="N33" s="348"/>
      <c r="O33" s="348"/>
      <c r="P33" s="347"/>
      <c r="Q33" s="347"/>
      <c r="R33" s="347"/>
      <c r="S33" s="347"/>
      <c r="T33" s="347"/>
      <c r="U33" s="347"/>
      <c r="V33" s="347"/>
      <c r="W33" s="347"/>
      <c r="X33" s="347"/>
      <c r="Y33" s="347"/>
      <c r="Z33" s="347"/>
      <c r="AA33" s="604"/>
      <c r="AB33" s="347"/>
      <c r="AC33" s="590"/>
      <c r="AD33" s="347"/>
      <c r="AE33" s="347"/>
      <c r="AF33" s="347"/>
      <c r="AG33" s="347"/>
      <c r="AH33" s="347"/>
      <c r="AI33" s="347"/>
      <c r="AJ33" s="347"/>
      <c r="AK33" s="347"/>
      <c r="AL33" s="347"/>
      <c r="AM33" s="347"/>
      <c r="AN33" s="347"/>
      <c r="AO33" s="347"/>
      <c r="AP33" s="347"/>
      <c r="AQ33" s="347"/>
      <c r="AR33" s="347"/>
      <c r="AS33" s="347"/>
      <c r="AT33" s="347"/>
      <c r="AU33" s="347"/>
      <c r="AV33" s="347"/>
      <c r="AW33" s="347"/>
      <c r="AX33" s="347"/>
      <c r="AY33" s="347"/>
      <c r="AZ33" s="347"/>
      <c r="BA33" s="347"/>
      <c r="BB33" s="347"/>
      <c r="BC33" s="347"/>
      <c r="BD33" s="347"/>
      <c r="BE33" s="347"/>
      <c r="BF33" s="347"/>
      <c r="BG33" s="347"/>
      <c r="BH33" s="347"/>
    </row>
    <row r="34">
      <c r="A34" s="347"/>
      <c r="B34" s="347"/>
      <c r="C34" s="347"/>
      <c r="D34" s="347"/>
      <c r="E34" s="347"/>
      <c r="F34" s="347"/>
      <c r="G34" s="347"/>
      <c r="H34" s="347"/>
      <c r="I34" s="347"/>
      <c r="J34" s="347"/>
      <c r="K34" s="348"/>
      <c r="L34" s="348"/>
      <c r="M34" s="348"/>
      <c r="N34" s="348"/>
      <c r="O34" s="348"/>
      <c r="P34" s="347"/>
      <c r="Q34" s="347"/>
      <c r="R34" s="347"/>
      <c r="S34" s="347"/>
      <c r="T34" s="347"/>
      <c r="U34" s="347"/>
      <c r="V34" s="347"/>
      <c r="W34" s="347"/>
      <c r="X34" s="347"/>
      <c r="Y34" s="347"/>
      <c r="Z34" s="347"/>
      <c r="AA34" s="604"/>
      <c r="AB34" s="347"/>
      <c r="AC34" s="590"/>
      <c r="AD34" s="347"/>
      <c r="AE34" s="347"/>
      <c r="AF34" s="347"/>
      <c r="AG34" s="347"/>
      <c r="AH34" s="347"/>
      <c r="AI34" s="347"/>
      <c r="AJ34" s="347"/>
      <c r="AK34" s="347"/>
      <c r="AL34" s="347"/>
      <c r="AM34" s="347"/>
      <c r="AN34" s="347"/>
      <c r="AO34" s="347"/>
      <c r="AP34" s="347"/>
      <c r="AQ34" s="347"/>
      <c r="AR34" s="347"/>
      <c r="AS34" s="347"/>
      <c r="AT34" s="347"/>
      <c r="AU34" s="347"/>
      <c r="AV34" s="347"/>
      <c r="AW34" s="347"/>
      <c r="AX34" s="347"/>
      <c r="AY34" s="347"/>
      <c r="AZ34" s="347"/>
      <c r="BA34" s="347"/>
      <c r="BB34" s="347"/>
      <c r="BC34" s="347"/>
      <c r="BD34" s="347"/>
      <c r="BE34" s="347"/>
      <c r="BF34" s="347"/>
      <c r="BG34" s="347"/>
      <c r="BH34" s="347"/>
    </row>
    <row r="35">
      <c r="A35" s="347"/>
      <c r="B35" s="347"/>
      <c r="C35" s="347"/>
      <c r="D35" s="347"/>
      <c r="E35" s="347"/>
      <c r="F35" s="347"/>
      <c r="G35" s="347"/>
      <c r="H35" s="347"/>
      <c r="I35" s="347"/>
      <c r="J35" s="347"/>
      <c r="K35" s="348"/>
      <c r="L35" s="348"/>
      <c r="M35" s="348"/>
      <c r="N35" s="348"/>
      <c r="O35" s="348"/>
      <c r="P35" s="347"/>
      <c r="Q35" s="347"/>
      <c r="R35" s="347"/>
      <c r="S35" s="347"/>
      <c r="T35" s="347"/>
      <c r="U35" s="347"/>
      <c r="V35" s="347"/>
      <c r="W35" s="347"/>
      <c r="X35" s="347"/>
      <c r="Y35" s="347"/>
      <c r="Z35" s="347"/>
      <c r="AA35" s="604"/>
      <c r="AB35" s="347"/>
      <c r="AC35" s="590"/>
      <c r="AD35" s="347"/>
      <c r="AE35" s="347"/>
      <c r="AF35" s="347"/>
      <c r="AG35" s="347"/>
      <c r="AH35" s="347"/>
      <c r="AI35" s="347"/>
      <c r="AJ35" s="347"/>
      <c r="AK35" s="347"/>
      <c r="AL35" s="347"/>
      <c r="AM35" s="347"/>
      <c r="AN35" s="347"/>
      <c r="AO35" s="347"/>
      <c r="AP35" s="347"/>
      <c r="AQ35" s="347"/>
      <c r="AR35" s="347"/>
      <c r="AS35" s="347"/>
      <c r="AT35" s="347"/>
      <c r="AU35" s="347"/>
      <c r="AV35" s="347"/>
      <c r="AW35" s="347"/>
      <c r="AX35" s="347"/>
      <c r="AY35" s="347"/>
      <c r="AZ35" s="347"/>
      <c r="BA35" s="347"/>
      <c r="BB35" s="347"/>
      <c r="BC35" s="347"/>
      <c r="BD35" s="347"/>
      <c r="BE35" s="347"/>
      <c r="BF35" s="347"/>
      <c r="BG35" s="347"/>
      <c r="BH35" s="347"/>
    </row>
    <row r="36">
      <c r="A36" s="347"/>
      <c r="B36" s="347"/>
      <c r="C36" s="347"/>
      <c r="D36" s="347"/>
      <c r="E36" s="347"/>
      <c r="F36" s="347"/>
      <c r="G36" s="347"/>
      <c r="H36" s="347"/>
      <c r="I36" s="347"/>
      <c r="J36" s="347"/>
      <c r="K36" s="348"/>
      <c r="L36" s="348"/>
      <c r="M36" s="348"/>
      <c r="N36" s="348"/>
      <c r="O36" s="348"/>
      <c r="P36" s="347"/>
      <c r="Q36" s="347"/>
      <c r="R36" s="347"/>
      <c r="S36" s="347"/>
      <c r="T36" s="347"/>
      <c r="U36" s="347"/>
      <c r="V36" s="347"/>
      <c r="W36" s="347"/>
      <c r="X36" s="347"/>
      <c r="Y36" s="347"/>
      <c r="Z36" s="347"/>
      <c r="AA36" s="604"/>
      <c r="AB36" s="347"/>
      <c r="AC36" s="590"/>
      <c r="AD36" s="347"/>
      <c r="AE36" s="347"/>
      <c r="AF36" s="347"/>
      <c r="AG36" s="347"/>
      <c r="AH36" s="347"/>
      <c r="AI36" s="347"/>
      <c r="AJ36" s="347"/>
      <c r="AK36" s="347"/>
      <c r="AL36" s="347"/>
      <c r="AM36" s="347"/>
      <c r="AN36" s="347"/>
      <c r="AO36" s="347"/>
      <c r="AP36" s="347"/>
      <c r="AQ36" s="347"/>
      <c r="AR36" s="347"/>
      <c r="AS36" s="347"/>
      <c r="AT36" s="347"/>
      <c r="AU36" s="347"/>
      <c r="AV36" s="347"/>
      <c r="AW36" s="347"/>
      <c r="AX36" s="347"/>
      <c r="AY36" s="347"/>
      <c r="AZ36" s="347"/>
      <c r="BA36" s="347"/>
      <c r="BB36" s="347"/>
      <c r="BC36" s="347"/>
      <c r="BD36" s="347"/>
      <c r="BE36" s="347"/>
      <c r="BF36" s="347"/>
      <c r="BG36" s="347"/>
      <c r="BH36" s="347"/>
    </row>
    <row r="37">
      <c r="A37" s="347"/>
      <c r="B37" s="347"/>
      <c r="C37" s="347"/>
      <c r="D37" s="347"/>
      <c r="E37" s="347"/>
      <c r="F37" s="347"/>
      <c r="G37" s="347"/>
      <c r="H37" s="347"/>
      <c r="I37" s="347"/>
      <c r="J37" s="347"/>
      <c r="K37" s="348"/>
      <c r="L37" s="348"/>
      <c r="M37" s="348"/>
      <c r="N37" s="348"/>
      <c r="O37" s="348"/>
      <c r="P37" s="347"/>
      <c r="Q37" s="347"/>
      <c r="R37" s="347"/>
      <c r="S37" s="347"/>
      <c r="T37" s="347"/>
      <c r="U37" s="347"/>
      <c r="V37" s="347"/>
      <c r="W37" s="347"/>
      <c r="X37" s="347"/>
      <c r="Y37" s="347"/>
      <c r="Z37" s="347"/>
      <c r="AA37" s="604"/>
      <c r="AB37" s="347"/>
      <c r="AC37" s="590"/>
      <c r="AD37" s="347"/>
      <c r="AE37" s="347"/>
      <c r="AF37" s="347"/>
      <c r="AG37" s="347"/>
      <c r="AH37" s="347"/>
      <c r="AI37" s="347"/>
      <c r="AJ37" s="347"/>
      <c r="AK37" s="347"/>
      <c r="AL37" s="347"/>
      <c r="AM37" s="347"/>
      <c r="AN37" s="347"/>
      <c r="AO37" s="347"/>
      <c r="AP37" s="347"/>
      <c r="AQ37" s="347"/>
      <c r="AR37" s="347"/>
      <c r="AS37" s="347"/>
      <c r="AT37" s="347"/>
      <c r="AU37" s="347"/>
      <c r="AV37" s="347"/>
      <c r="AW37" s="347"/>
      <c r="AX37" s="347"/>
      <c r="AY37" s="347"/>
      <c r="AZ37" s="347"/>
      <c r="BA37" s="347"/>
      <c r="BB37" s="347"/>
      <c r="BC37" s="347"/>
      <c r="BD37" s="347"/>
      <c r="BE37" s="347"/>
      <c r="BF37" s="347"/>
      <c r="BG37" s="347"/>
      <c r="BH37" s="347"/>
    </row>
    <row r="38">
      <c r="A38" s="347"/>
      <c r="B38" s="347"/>
      <c r="C38" s="347"/>
      <c r="D38" s="347"/>
      <c r="E38" s="347"/>
      <c r="F38" s="347"/>
      <c r="G38" s="347"/>
      <c r="H38" s="347"/>
      <c r="I38" s="347"/>
      <c r="J38" s="347"/>
      <c r="K38" s="348"/>
      <c r="L38" s="348"/>
      <c r="M38" s="348"/>
      <c r="N38" s="348"/>
      <c r="O38" s="348"/>
      <c r="P38" s="347"/>
      <c r="Q38" s="347"/>
      <c r="R38" s="347"/>
      <c r="S38" s="347"/>
      <c r="T38" s="347"/>
      <c r="U38" s="347"/>
      <c r="V38" s="347"/>
      <c r="W38" s="347"/>
      <c r="X38" s="347"/>
      <c r="Y38" s="347"/>
      <c r="Z38" s="347"/>
      <c r="AA38" s="604"/>
      <c r="AB38" s="347"/>
      <c r="AC38" s="590"/>
      <c r="AD38" s="347"/>
      <c r="AE38" s="347"/>
      <c r="AF38" s="347"/>
      <c r="AG38" s="347"/>
      <c r="AH38" s="347"/>
      <c r="AI38" s="347"/>
      <c r="AJ38" s="347"/>
      <c r="AK38" s="347"/>
      <c r="AL38" s="347"/>
      <c r="AM38" s="347"/>
      <c r="AN38" s="347"/>
      <c r="AO38" s="347"/>
      <c r="AP38" s="347"/>
      <c r="AQ38" s="347"/>
      <c r="AR38" s="347"/>
      <c r="AS38" s="347"/>
      <c r="AT38" s="347"/>
      <c r="AU38" s="347"/>
      <c r="AV38" s="347"/>
      <c r="AW38" s="347"/>
      <c r="AX38" s="347"/>
      <c r="AY38" s="347"/>
      <c r="AZ38" s="347"/>
      <c r="BA38" s="347"/>
      <c r="BB38" s="347"/>
      <c r="BC38" s="347"/>
      <c r="BD38" s="347"/>
      <c r="BE38" s="347"/>
      <c r="BF38" s="347"/>
      <c r="BG38" s="347"/>
      <c r="BH38" s="347"/>
    </row>
    <row r="39">
      <c r="A39" s="347"/>
      <c r="B39" s="347"/>
      <c r="C39" s="347"/>
      <c r="D39" s="347"/>
      <c r="E39" s="347"/>
      <c r="F39" s="347"/>
      <c r="G39" s="347"/>
      <c r="H39" s="347"/>
      <c r="I39" s="347"/>
      <c r="J39" s="347"/>
      <c r="K39" s="348"/>
      <c r="L39" s="348"/>
      <c r="M39" s="348"/>
      <c r="N39" s="348"/>
      <c r="O39" s="348"/>
      <c r="P39" s="347"/>
      <c r="Q39" s="347"/>
      <c r="R39" s="347"/>
      <c r="S39" s="347"/>
      <c r="T39" s="347"/>
      <c r="U39" s="347"/>
      <c r="V39" s="347"/>
      <c r="W39" s="347"/>
      <c r="X39" s="347"/>
      <c r="Y39" s="347"/>
      <c r="Z39" s="347"/>
      <c r="AA39" s="604"/>
      <c r="AB39" s="347"/>
      <c r="AC39" s="590"/>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347"/>
      <c r="AZ39" s="347"/>
      <c r="BA39" s="347"/>
      <c r="BB39" s="347"/>
      <c r="BC39" s="347"/>
      <c r="BD39" s="347"/>
      <c r="BE39" s="347"/>
      <c r="BF39" s="347"/>
      <c r="BG39" s="347"/>
      <c r="BH39" s="347"/>
    </row>
    <row r="40">
      <c r="A40" s="347"/>
      <c r="B40" s="347"/>
      <c r="C40" s="347"/>
      <c r="D40" s="347"/>
      <c r="E40" s="347"/>
      <c r="F40" s="347"/>
      <c r="G40" s="347"/>
      <c r="H40" s="347"/>
      <c r="I40" s="347"/>
      <c r="J40" s="347"/>
      <c r="K40" s="348"/>
      <c r="L40" s="348"/>
      <c r="M40" s="348"/>
      <c r="N40" s="348"/>
      <c r="O40" s="348"/>
      <c r="P40" s="347"/>
      <c r="Q40" s="347"/>
      <c r="R40" s="347"/>
      <c r="S40" s="347"/>
      <c r="T40" s="347"/>
      <c r="U40" s="347"/>
      <c r="V40" s="347"/>
      <c r="W40" s="347"/>
      <c r="X40" s="347"/>
      <c r="Y40" s="347"/>
      <c r="Z40" s="347"/>
      <c r="AA40" s="604"/>
      <c r="AB40" s="347"/>
      <c r="AC40" s="590"/>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347"/>
      <c r="AZ40" s="347"/>
      <c r="BA40" s="347"/>
      <c r="BB40" s="347"/>
      <c r="BC40" s="347"/>
      <c r="BD40" s="347"/>
      <c r="BE40" s="347"/>
      <c r="BF40" s="347"/>
      <c r="BG40" s="347"/>
      <c r="BH40" s="347"/>
    </row>
    <row r="41">
      <c r="A41" s="347"/>
      <c r="B41" s="347"/>
      <c r="C41" s="347"/>
      <c r="D41" s="347"/>
      <c r="E41" s="347"/>
      <c r="F41" s="347"/>
      <c r="G41" s="347"/>
      <c r="H41" s="347"/>
      <c r="I41" s="347"/>
      <c r="J41" s="347"/>
      <c r="K41" s="348"/>
      <c r="L41" s="348"/>
      <c r="M41" s="348"/>
      <c r="N41" s="348"/>
      <c r="O41" s="348"/>
      <c r="P41" s="347"/>
      <c r="Q41" s="347"/>
      <c r="R41" s="347"/>
      <c r="S41" s="347"/>
      <c r="T41" s="347"/>
      <c r="U41" s="347"/>
      <c r="V41" s="347"/>
      <c r="W41" s="347"/>
      <c r="X41" s="347"/>
      <c r="Y41" s="347"/>
      <c r="Z41" s="347"/>
      <c r="AA41" s="604"/>
      <c r="AB41" s="347"/>
      <c r="AC41" s="590"/>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row>
    <row r="42">
      <c r="A42" s="347"/>
      <c r="B42" s="347"/>
      <c r="C42" s="347"/>
      <c r="D42" s="347"/>
      <c r="E42" s="347"/>
      <c r="F42" s="347"/>
      <c r="G42" s="347"/>
      <c r="H42" s="347"/>
      <c r="I42" s="347"/>
      <c r="J42" s="347"/>
      <c r="K42" s="348"/>
      <c r="L42" s="348"/>
      <c r="M42" s="348"/>
      <c r="N42" s="348"/>
      <c r="O42" s="348"/>
      <c r="P42" s="347"/>
      <c r="Q42" s="347"/>
      <c r="R42" s="347"/>
      <c r="S42" s="347"/>
      <c r="T42" s="347"/>
      <c r="U42" s="347"/>
      <c r="V42" s="347"/>
      <c r="W42" s="347"/>
      <c r="X42" s="347"/>
      <c r="Y42" s="347"/>
      <c r="Z42" s="347"/>
      <c r="AA42" s="604"/>
      <c r="AB42" s="347"/>
      <c r="AC42" s="590"/>
      <c r="AD42" s="347"/>
      <c r="AE42" s="347"/>
      <c r="AF42" s="347"/>
      <c r="AG42" s="347"/>
      <c r="AH42" s="347"/>
      <c r="AI42" s="347"/>
      <c r="AJ42" s="347"/>
      <c r="AK42" s="347"/>
      <c r="AL42" s="347"/>
      <c r="AM42" s="347"/>
      <c r="AN42" s="347"/>
      <c r="AO42" s="347"/>
      <c r="AP42" s="347"/>
      <c r="AQ42" s="347"/>
      <c r="AR42" s="347"/>
      <c r="AS42" s="347"/>
      <c r="AT42" s="347"/>
      <c r="AU42" s="347"/>
      <c r="AV42" s="347"/>
      <c r="AW42" s="347"/>
      <c r="AX42" s="347"/>
      <c r="AY42" s="347"/>
      <c r="AZ42" s="347"/>
      <c r="BA42" s="347"/>
      <c r="BB42" s="347"/>
      <c r="BC42" s="347"/>
      <c r="BD42" s="347"/>
      <c r="BE42" s="347"/>
      <c r="BF42" s="347"/>
      <c r="BG42" s="347"/>
      <c r="BH42" s="347"/>
    </row>
    <row r="43">
      <c r="A43" s="347"/>
      <c r="B43" s="347"/>
      <c r="C43" s="347"/>
      <c r="D43" s="347"/>
      <c r="E43" s="347"/>
      <c r="F43" s="347"/>
      <c r="G43" s="347"/>
      <c r="H43" s="347"/>
      <c r="I43" s="347"/>
      <c r="J43" s="347"/>
      <c r="K43" s="348"/>
      <c r="L43" s="348"/>
      <c r="M43" s="348"/>
      <c r="N43" s="348"/>
      <c r="O43" s="348"/>
      <c r="P43" s="347"/>
      <c r="Q43" s="347"/>
      <c r="R43" s="347"/>
      <c r="S43" s="347"/>
      <c r="T43" s="347"/>
      <c r="U43" s="347"/>
      <c r="V43" s="347"/>
      <c r="W43" s="347"/>
      <c r="X43" s="347"/>
      <c r="Y43" s="347"/>
      <c r="Z43" s="347"/>
      <c r="AA43" s="604"/>
      <c r="AB43" s="347"/>
      <c r="AC43" s="590"/>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row>
    <row r="44">
      <c r="A44" s="347"/>
      <c r="B44" s="347"/>
      <c r="C44" s="347"/>
      <c r="D44" s="347"/>
      <c r="E44" s="347"/>
      <c r="F44" s="347"/>
      <c r="G44" s="347"/>
      <c r="H44" s="347"/>
      <c r="I44" s="347"/>
      <c r="J44" s="347"/>
      <c r="K44" s="348"/>
      <c r="L44" s="348"/>
      <c r="M44" s="348"/>
      <c r="N44" s="348"/>
      <c r="O44" s="348"/>
      <c r="P44" s="347"/>
      <c r="Q44" s="347"/>
      <c r="R44" s="347"/>
      <c r="S44" s="347"/>
      <c r="T44" s="347"/>
      <c r="U44" s="347"/>
      <c r="V44" s="347"/>
      <c r="W44" s="347"/>
      <c r="X44" s="347"/>
      <c r="Y44" s="347"/>
      <c r="Z44" s="347"/>
      <c r="AA44" s="604"/>
      <c r="AB44" s="347"/>
      <c r="AC44" s="590"/>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347"/>
      <c r="BB44" s="347"/>
      <c r="BC44" s="347"/>
      <c r="BD44" s="347"/>
      <c r="BE44" s="347"/>
      <c r="BF44" s="347"/>
      <c r="BG44" s="347"/>
      <c r="BH44" s="347"/>
    </row>
    <row r="45">
      <c r="A45" s="347"/>
      <c r="B45" s="347"/>
      <c r="C45" s="347"/>
      <c r="D45" s="347"/>
      <c r="E45" s="347"/>
      <c r="F45" s="347"/>
      <c r="G45" s="347"/>
      <c r="H45" s="347"/>
      <c r="I45" s="347"/>
      <c r="J45" s="347"/>
      <c r="K45" s="348"/>
      <c r="L45" s="348"/>
      <c r="M45" s="348"/>
      <c r="N45" s="348"/>
      <c r="O45" s="348"/>
      <c r="P45" s="347"/>
      <c r="Q45" s="347"/>
      <c r="R45" s="347"/>
      <c r="S45" s="347"/>
      <c r="T45" s="347"/>
      <c r="U45" s="347"/>
      <c r="V45" s="347"/>
      <c r="W45" s="347"/>
      <c r="X45" s="347"/>
      <c r="Y45" s="347"/>
      <c r="Z45" s="347"/>
      <c r="AA45" s="604"/>
      <c r="AB45" s="347"/>
      <c r="AC45" s="590"/>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347"/>
      <c r="BB45" s="347"/>
      <c r="BC45" s="347"/>
      <c r="BD45" s="347"/>
      <c r="BE45" s="347"/>
      <c r="BF45" s="347"/>
      <c r="BG45" s="347"/>
      <c r="BH45" s="347"/>
    </row>
    <row r="46">
      <c r="A46" s="347"/>
      <c r="B46" s="347"/>
      <c r="C46" s="347"/>
      <c r="D46" s="347"/>
      <c r="E46" s="347"/>
      <c r="F46" s="347"/>
      <c r="G46" s="347"/>
      <c r="H46" s="347"/>
      <c r="I46" s="347"/>
      <c r="J46" s="347"/>
      <c r="K46" s="348"/>
      <c r="L46" s="348"/>
      <c r="M46" s="348"/>
      <c r="N46" s="348"/>
      <c r="O46" s="348"/>
      <c r="P46" s="347"/>
      <c r="Q46" s="347"/>
      <c r="R46" s="347"/>
      <c r="S46" s="347"/>
      <c r="T46" s="347"/>
      <c r="U46" s="347"/>
      <c r="V46" s="347"/>
      <c r="W46" s="347"/>
      <c r="X46" s="347"/>
      <c r="Y46" s="347"/>
      <c r="Z46" s="347"/>
      <c r="AA46" s="604"/>
      <c r="AB46" s="347"/>
      <c r="AC46" s="590"/>
      <c r="AD46" s="347"/>
      <c r="AE46" s="347"/>
      <c r="AF46" s="347"/>
      <c r="AG46" s="347"/>
      <c r="AH46" s="347"/>
      <c r="AI46" s="347"/>
      <c r="AJ46" s="347"/>
      <c r="AK46" s="347"/>
      <c r="AL46" s="347"/>
      <c r="AM46" s="347"/>
      <c r="AN46" s="347"/>
      <c r="AO46" s="347"/>
      <c r="AP46" s="347"/>
      <c r="AQ46" s="347"/>
      <c r="AR46" s="347"/>
      <c r="AS46" s="347"/>
      <c r="AT46" s="347"/>
      <c r="AU46" s="347"/>
      <c r="AV46" s="347"/>
      <c r="AW46" s="347"/>
      <c r="AX46" s="347"/>
      <c r="AY46" s="347"/>
      <c r="AZ46" s="347"/>
      <c r="BA46" s="347"/>
      <c r="BB46" s="347"/>
      <c r="BC46" s="347"/>
      <c r="BD46" s="347"/>
      <c r="BE46" s="347"/>
      <c r="BF46" s="347"/>
      <c r="BG46" s="347"/>
      <c r="BH46" s="347"/>
    </row>
    <row r="47">
      <c r="A47" s="347"/>
      <c r="B47" s="347"/>
      <c r="C47" s="347"/>
      <c r="D47" s="347"/>
      <c r="E47" s="347"/>
      <c r="F47" s="347"/>
      <c r="G47" s="347"/>
      <c r="H47" s="347"/>
      <c r="I47" s="347"/>
      <c r="J47" s="347"/>
      <c r="K47" s="348"/>
      <c r="L47" s="348"/>
      <c r="M47" s="348"/>
      <c r="N47" s="348"/>
      <c r="O47" s="348"/>
      <c r="P47" s="347"/>
      <c r="Q47" s="347"/>
      <c r="R47" s="347"/>
      <c r="S47" s="347"/>
      <c r="T47" s="347"/>
      <c r="U47" s="347"/>
      <c r="V47" s="347"/>
      <c r="W47" s="347"/>
      <c r="X47" s="347"/>
      <c r="Y47" s="347"/>
      <c r="Z47" s="347"/>
      <c r="AA47" s="604"/>
      <c r="AB47" s="347"/>
      <c r="AC47" s="590"/>
      <c r="AD47" s="347"/>
      <c r="AE47" s="347"/>
      <c r="AF47" s="347"/>
      <c r="AG47" s="347"/>
      <c r="AH47" s="347"/>
      <c r="AI47" s="347"/>
      <c r="AJ47" s="347"/>
      <c r="AK47" s="347"/>
      <c r="AL47" s="347"/>
      <c r="AM47" s="347"/>
      <c r="AN47" s="347"/>
      <c r="AO47" s="347"/>
      <c r="AP47" s="347"/>
      <c r="AQ47" s="347"/>
      <c r="AR47" s="347"/>
      <c r="AS47" s="347"/>
      <c r="AT47" s="347"/>
      <c r="AU47" s="347"/>
      <c r="AV47" s="347"/>
      <c r="AW47" s="347"/>
      <c r="AX47" s="347"/>
      <c r="AY47" s="347"/>
      <c r="AZ47" s="347"/>
      <c r="BA47" s="347"/>
      <c r="BB47" s="347"/>
      <c r="BC47" s="347"/>
      <c r="BD47" s="347"/>
      <c r="BE47" s="347"/>
      <c r="BF47" s="347"/>
      <c r="BG47" s="347"/>
      <c r="BH47" s="347"/>
    </row>
    <row r="48">
      <c r="A48" s="347"/>
      <c r="B48" s="347"/>
      <c r="C48" s="347"/>
      <c r="D48" s="347"/>
      <c r="E48" s="347"/>
      <c r="F48" s="347"/>
      <c r="G48" s="347"/>
      <c r="H48" s="347"/>
      <c r="I48" s="347"/>
      <c r="J48" s="347"/>
      <c r="K48" s="348"/>
      <c r="L48" s="348"/>
      <c r="M48" s="348"/>
      <c r="N48" s="348"/>
      <c r="O48" s="348"/>
      <c r="P48" s="347"/>
      <c r="Q48" s="347"/>
      <c r="R48" s="347"/>
      <c r="S48" s="347"/>
      <c r="T48" s="347"/>
      <c r="U48" s="347"/>
      <c r="V48" s="347"/>
      <c r="W48" s="347"/>
      <c r="X48" s="347"/>
      <c r="Y48" s="347"/>
      <c r="Z48" s="347"/>
      <c r="AA48" s="604"/>
      <c r="AB48" s="347"/>
      <c r="AC48" s="590"/>
      <c r="AD48" s="347"/>
      <c r="AE48" s="347"/>
      <c r="AF48" s="347"/>
      <c r="AG48" s="347"/>
      <c r="AH48" s="347"/>
      <c r="AI48" s="347"/>
      <c r="AJ48" s="347"/>
      <c r="AK48" s="347"/>
      <c r="AL48" s="347"/>
      <c r="AM48" s="347"/>
      <c r="AN48" s="347"/>
      <c r="AO48" s="347"/>
      <c r="AP48" s="347"/>
      <c r="AQ48" s="347"/>
      <c r="AR48" s="347"/>
      <c r="AS48" s="347"/>
      <c r="AT48" s="347"/>
      <c r="AU48" s="347"/>
      <c r="AV48" s="347"/>
      <c r="AW48" s="347"/>
      <c r="AX48" s="347"/>
      <c r="AY48" s="347"/>
      <c r="AZ48" s="347"/>
      <c r="BA48" s="347"/>
      <c r="BB48" s="347"/>
      <c r="BC48" s="347"/>
      <c r="BD48" s="347"/>
      <c r="BE48" s="347"/>
      <c r="BF48" s="347"/>
      <c r="BG48" s="347"/>
      <c r="BH48" s="347"/>
    </row>
    <row r="49">
      <c r="A49" s="347"/>
      <c r="B49" s="347"/>
      <c r="C49" s="347"/>
      <c r="D49" s="347"/>
      <c r="E49" s="347"/>
      <c r="F49" s="347"/>
      <c r="G49" s="347"/>
      <c r="H49" s="347"/>
      <c r="I49" s="347"/>
      <c r="J49" s="347"/>
      <c r="K49" s="348"/>
      <c r="L49" s="348"/>
      <c r="M49" s="348"/>
      <c r="N49" s="348"/>
      <c r="O49" s="348"/>
      <c r="P49" s="347"/>
      <c r="Q49" s="347"/>
      <c r="R49" s="347"/>
      <c r="S49" s="347"/>
      <c r="T49" s="347"/>
      <c r="U49" s="347"/>
      <c r="V49" s="347"/>
      <c r="W49" s="347"/>
      <c r="X49" s="347"/>
      <c r="Y49" s="347"/>
      <c r="Z49" s="347"/>
      <c r="AA49" s="604"/>
      <c r="AB49" s="347"/>
      <c r="AC49" s="590"/>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row>
    <row r="50">
      <c r="A50" s="347"/>
      <c r="B50" s="347"/>
      <c r="C50" s="347"/>
      <c r="D50" s="347"/>
      <c r="E50" s="347"/>
      <c r="F50" s="347"/>
      <c r="G50" s="347"/>
      <c r="H50" s="347"/>
      <c r="I50" s="347"/>
      <c r="J50" s="347"/>
      <c r="K50" s="348"/>
      <c r="L50" s="348"/>
      <c r="M50" s="348"/>
      <c r="N50" s="348"/>
      <c r="O50" s="348"/>
      <c r="P50" s="347"/>
      <c r="Q50" s="347"/>
      <c r="R50" s="347"/>
      <c r="S50" s="347"/>
      <c r="T50" s="347"/>
      <c r="U50" s="347"/>
      <c r="V50" s="347"/>
      <c r="W50" s="347"/>
      <c r="X50" s="347"/>
      <c r="Y50" s="347"/>
      <c r="Z50" s="347"/>
      <c r="AA50" s="604"/>
      <c r="AB50" s="347"/>
      <c r="AC50" s="590"/>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row>
    <row r="51">
      <c r="A51" s="347"/>
      <c r="B51" s="347"/>
      <c r="C51" s="347"/>
      <c r="D51" s="347"/>
      <c r="E51" s="347"/>
      <c r="F51" s="347"/>
      <c r="G51" s="347"/>
      <c r="H51" s="347"/>
      <c r="I51" s="347"/>
      <c r="J51" s="347"/>
      <c r="K51" s="348"/>
      <c r="L51" s="348"/>
      <c r="M51" s="348"/>
      <c r="N51" s="348"/>
      <c r="O51" s="348"/>
      <c r="P51" s="347"/>
      <c r="Q51" s="347"/>
      <c r="R51" s="347"/>
      <c r="S51" s="347"/>
      <c r="T51" s="347"/>
      <c r="U51" s="347"/>
      <c r="V51" s="347"/>
      <c r="W51" s="347"/>
      <c r="X51" s="347"/>
      <c r="Y51" s="347"/>
      <c r="Z51" s="347"/>
      <c r="AA51" s="604"/>
      <c r="AB51" s="347"/>
      <c r="AC51" s="590"/>
      <c r="AD51" s="347"/>
      <c r="AE51" s="347"/>
      <c r="AF51" s="347"/>
      <c r="AG51" s="347"/>
      <c r="AH51" s="347"/>
      <c r="AI51" s="347"/>
      <c r="AJ51" s="347"/>
      <c r="AK51" s="347"/>
      <c r="AL51" s="347"/>
      <c r="AM51" s="347"/>
      <c r="AN51" s="347"/>
      <c r="AO51" s="347"/>
      <c r="AP51" s="347"/>
      <c r="AQ51" s="347"/>
      <c r="AR51" s="347"/>
      <c r="AS51" s="347"/>
      <c r="AT51" s="347"/>
      <c r="AU51" s="347"/>
      <c r="AV51" s="347"/>
      <c r="AW51" s="347"/>
      <c r="AX51" s="347"/>
      <c r="AY51" s="347"/>
      <c r="AZ51" s="347"/>
      <c r="BA51" s="347"/>
      <c r="BB51" s="347"/>
      <c r="BC51" s="347"/>
      <c r="BD51" s="347"/>
      <c r="BE51" s="347"/>
      <c r="BF51" s="347"/>
      <c r="BG51" s="347"/>
      <c r="BH51" s="347"/>
    </row>
    <row r="52">
      <c r="A52" s="347"/>
      <c r="B52" s="347"/>
      <c r="C52" s="347"/>
      <c r="D52" s="347"/>
      <c r="E52" s="347"/>
      <c r="F52" s="347"/>
      <c r="G52" s="347"/>
      <c r="H52" s="347"/>
      <c r="I52" s="347"/>
      <c r="J52" s="347"/>
      <c r="K52" s="348"/>
      <c r="L52" s="348"/>
      <c r="M52" s="348"/>
      <c r="N52" s="348"/>
      <c r="O52" s="348"/>
      <c r="P52" s="347"/>
      <c r="Q52" s="347"/>
      <c r="R52" s="347"/>
      <c r="S52" s="347"/>
      <c r="T52" s="347"/>
      <c r="U52" s="347"/>
      <c r="V52" s="347"/>
      <c r="W52" s="347"/>
      <c r="X52" s="347"/>
      <c r="Y52" s="347"/>
      <c r="Z52" s="347"/>
      <c r="AA52" s="604"/>
      <c r="AB52" s="347"/>
      <c r="AC52" s="590"/>
      <c r="AD52" s="347"/>
      <c r="AE52" s="347"/>
      <c r="AF52" s="347"/>
      <c r="AG52" s="347"/>
      <c r="AH52" s="347"/>
      <c r="AI52" s="347"/>
      <c r="AJ52" s="347"/>
      <c r="AK52" s="347"/>
      <c r="AL52" s="347"/>
      <c r="AM52" s="347"/>
      <c r="AN52" s="347"/>
      <c r="AO52" s="347"/>
      <c r="AP52" s="347"/>
      <c r="AQ52" s="347"/>
      <c r="AR52" s="347"/>
      <c r="AS52" s="347"/>
      <c r="AT52" s="347"/>
      <c r="AU52" s="347"/>
      <c r="AV52" s="347"/>
      <c r="AW52" s="347"/>
      <c r="AX52" s="347"/>
      <c r="AY52" s="347"/>
      <c r="AZ52" s="347"/>
      <c r="BA52" s="347"/>
      <c r="BB52" s="347"/>
      <c r="BC52" s="347"/>
      <c r="BD52" s="347"/>
      <c r="BE52" s="347"/>
      <c r="BF52" s="347"/>
      <c r="BG52" s="347"/>
      <c r="BH52" s="347"/>
    </row>
    <row r="53">
      <c r="A53" s="347"/>
      <c r="B53" s="347"/>
      <c r="C53" s="347"/>
      <c r="D53" s="347"/>
      <c r="E53" s="347"/>
      <c r="F53" s="347"/>
      <c r="G53" s="347"/>
      <c r="H53" s="347"/>
      <c r="I53" s="347"/>
      <c r="J53" s="347"/>
      <c r="K53" s="348"/>
      <c r="L53" s="348"/>
      <c r="M53" s="348"/>
      <c r="N53" s="348"/>
      <c r="O53" s="348"/>
      <c r="P53" s="347"/>
      <c r="Q53" s="347"/>
      <c r="R53" s="347"/>
      <c r="S53" s="347"/>
      <c r="T53" s="347"/>
      <c r="U53" s="347"/>
      <c r="V53" s="347"/>
      <c r="W53" s="347"/>
      <c r="X53" s="347"/>
      <c r="Y53" s="347"/>
      <c r="Z53" s="347"/>
      <c r="AA53" s="604"/>
      <c r="AB53" s="347"/>
      <c r="AC53" s="590"/>
      <c r="AD53" s="347"/>
      <c r="AE53" s="347"/>
      <c r="AF53" s="347"/>
      <c r="AG53" s="347"/>
      <c r="AH53" s="347"/>
      <c r="AI53" s="347"/>
      <c r="AJ53" s="347"/>
      <c r="AK53" s="347"/>
      <c r="AL53" s="347"/>
      <c r="AM53" s="347"/>
      <c r="AN53" s="347"/>
      <c r="AO53" s="347"/>
      <c r="AP53" s="347"/>
      <c r="AQ53" s="347"/>
      <c r="AR53" s="347"/>
      <c r="AS53" s="347"/>
      <c r="AT53" s="347"/>
      <c r="AU53" s="347"/>
      <c r="AV53" s="347"/>
      <c r="AW53" s="347"/>
      <c r="AX53" s="347"/>
      <c r="AY53" s="347"/>
      <c r="AZ53" s="347"/>
      <c r="BA53" s="347"/>
      <c r="BB53" s="347"/>
      <c r="BC53" s="347"/>
      <c r="BD53" s="347"/>
      <c r="BE53" s="347"/>
      <c r="BF53" s="347"/>
      <c r="BG53" s="347"/>
      <c r="BH53" s="347"/>
    </row>
    <row r="54">
      <c r="A54" s="347"/>
      <c r="B54" s="347"/>
      <c r="C54" s="347"/>
      <c r="D54" s="347"/>
      <c r="E54" s="347"/>
      <c r="F54" s="347"/>
      <c r="G54" s="347"/>
      <c r="H54" s="347"/>
      <c r="I54" s="347"/>
      <c r="J54" s="347"/>
      <c r="K54" s="348"/>
      <c r="L54" s="348"/>
      <c r="M54" s="348"/>
      <c r="N54" s="348"/>
      <c r="O54" s="348"/>
      <c r="P54" s="347"/>
      <c r="Q54" s="347"/>
      <c r="R54" s="347"/>
      <c r="S54" s="347"/>
      <c r="T54" s="347"/>
      <c r="U54" s="347"/>
      <c r="V54" s="347"/>
      <c r="W54" s="347"/>
      <c r="X54" s="347"/>
      <c r="Y54" s="347"/>
      <c r="Z54" s="347"/>
      <c r="AA54" s="604"/>
      <c r="AB54" s="347"/>
      <c r="AC54" s="590"/>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row>
    <row r="55">
      <c r="A55" s="347"/>
      <c r="B55" s="347"/>
      <c r="C55" s="347"/>
      <c r="D55" s="347"/>
      <c r="E55" s="347"/>
      <c r="F55" s="347"/>
      <c r="G55" s="347"/>
      <c r="H55" s="347"/>
      <c r="I55" s="347"/>
      <c r="J55" s="347"/>
      <c r="K55" s="348"/>
      <c r="L55" s="348"/>
      <c r="M55" s="348"/>
      <c r="N55" s="348"/>
      <c r="O55" s="348"/>
      <c r="P55" s="347"/>
      <c r="Q55" s="347"/>
      <c r="R55" s="347"/>
      <c r="S55" s="347"/>
      <c r="T55" s="347"/>
      <c r="U55" s="347"/>
      <c r="V55" s="347"/>
      <c r="W55" s="347"/>
      <c r="X55" s="347"/>
      <c r="Y55" s="347"/>
      <c r="Z55" s="347"/>
      <c r="AA55" s="604"/>
      <c r="AB55" s="347"/>
      <c r="AC55" s="590"/>
      <c r="AD55" s="347"/>
      <c r="AE55" s="347"/>
      <c r="AF55" s="347"/>
      <c r="AG55" s="347"/>
      <c r="AH55" s="347"/>
      <c r="AI55" s="347"/>
      <c r="AJ55" s="347"/>
      <c r="AK55" s="347"/>
      <c r="AL55" s="347"/>
      <c r="AM55" s="347"/>
      <c r="AN55" s="347"/>
      <c r="AO55" s="347"/>
      <c r="AP55" s="347"/>
      <c r="AQ55" s="347"/>
      <c r="AR55" s="347"/>
      <c r="AS55" s="347"/>
      <c r="AT55" s="347"/>
      <c r="AU55" s="347"/>
      <c r="AV55" s="347"/>
      <c r="AW55" s="347"/>
      <c r="AX55" s="347"/>
      <c r="AY55" s="347"/>
      <c r="AZ55" s="347"/>
      <c r="BA55" s="347"/>
      <c r="BB55" s="347"/>
      <c r="BC55" s="347"/>
      <c r="BD55" s="347"/>
      <c r="BE55" s="347"/>
      <c r="BF55" s="347"/>
      <c r="BG55" s="347"/>
      <c r="BH55" s="347"/>
    </row>
    <row r="56">
      <c r="A56" s="347"/>
      <c r="B56" s="347"/>
      <c r="C56" s="347"/>
      <c r="D56" s="347"/>
      <c r="E56" s="347"/>
      <c r="F56" s="347"/>
      <c r="G56" s="347"/>
      <c r="H56" s="347"/>
      <c r="I56" s="347"/>
      <c r="J56" s="347"/>
      <c r="K56" s="348"/>
      <c r="L56" s="348"/>
      <c r="M56" s="348"/>
      <c r="N56" s="348"/>
      <c r="O56" s="348"/>
      <c r="P56" s="347"/>
      <c r="Q56" s="347"/>
      <c r="R56" s="347"/>
      <c r="S56" s="347"/>
      <c r="T56" s="347"/>
      <c r="U56" s="347"/>
      <c r="V56" s="347"/>
      <c r="W56" s="347"/>
      <c r="X56" s="347"/>
      <c r="Y56" s="347"/>
      <c r="Z56" s="347"/>
      <c r="AA56" s="604"/>
      <c r="AB56" s="347"/>
      <c r="AC56" s="590"/>
      <c r="AD56" s="347"/>
      <c r="AE56" s="347"/>
      <c r="AF56" s="347"/>
      <c r="AG56" s="347"/>
      <c r="AH56" s="347"/>
      <c r="AI56" s="347"/>
      <c r="AJ56" s="347"/>
      <c r="AK56" s="347"/>
      <c r="AL56" s="347"/>
      <c r="AM56" s="347"/>
      <c r="AN56" s="347"/>
      <c r="AO56" s="347"/>
      <c r="AP56" s="347"/>
      <c r="AQ56" s="347"/>
      <c r="AR56" s="347"/>
      <c r="AS56" s="347"/>
      <c r="AT56" s="347"/>
      <c r="AU56" s="347"/>
      <c r="AV56" s="347"/>
      <c r="AW56" s="347"/>
      <c r="AX56" s="347"/>
      <c r="AY56" s="347"/>
      <c r="AZ56" s="347"/>
      <c r="BA56" s="347"/>
      <c r="BB56" s="347"/>
      <c r="BC56" s="347"/>
      <c r="BD56" s="347"/>
      <c r="BE56" s="347"/>
      <c r="BF56" s="347"/>
      <c r="BG56" s="347"/>
      <c r="BH56" s="347"/>
    </row>
    <row r="57">
      <c r="A57" s="347"/>
      <c r="B57" s="347"/>
      <c r="C57" s="347"/>
      <c r="D57" s="347"/>
      <c r="E57" s="347"/>
      <c r="F57" s="347"/>
      <c r="G57" s="347"/>
      <c r="H57" s="347"/>
      <c r="I57" s="347"/>
      <c r="J57" s="347"/>
      <c r="K57" s="348"/>
      <c r="L57" s="348"/>
      <c r="M57" s="348"/>
      <c r="N57" s="348"/>
      <c r="O57" s="348"/>
      <c r="P57" s="347"/>
      <c r="Q57" s="347"/>
      <c r="R57" s="347"/>
      <c r="S57" s="347"/>
      <c r="T57" s="347"/>
      <c r="U57" s="347"/>
      <c r="V57" s="347"/>
      <c r="W57" s="347"/>
      <c r="X57" s="347"/>
      <c r="Y57" s="347"/>
      <c r="Z57" s="347"/>
      <c r="AA57" s="604"/>
      <c r="AB57" s="347"/>
      <c r="AC57" s="590"/>
      <c r="AD57" s="347"/>
      <c r="AE57" s="347"/>
      <c r="AF57" s="347"/>
      <c r="AG57" s="347"/>
      <c r="AH57" s="347"/>
      <c r="AI57" s="347"/>
      <c r="AJ57" s="347"/>
      <c r="AK57" s="347"/>
      <c r="AL57" s="347"/>
      <c r="AM57" s="347"/>
      <c r="AN57" s="347"/>
      <c r="AO57" s="347"/>
      <c r="AP57" s="347"/>
      <c r="AQ57" s="347"/>
      <c r="AR57" s="347"/>
      <c r="AS57" s="347"/>
      <c r="AT57" s="347"/>
      <c r="AU57" s="347"/>
      <c r="AV57" s="347"/>
      <c r="AW57" s="347"/>
      <c r="AX57" s="347"/>
      <c r="AY57" s="347"/>
      <c r="AZ57" s="347"/>
      <c r="BA57" s="347"/>
      <c r="BB57" s="347"/>
      <c r="BC57" s="347"/>
      <c r="BD57" s="347"/>
      <c r="BE57" s="347"/>
      <c r="BF57" s="347"/>
      <c r="BG57" s="347"/>
      <c r="BH57" s="347"/>
    </row>
    <row r="58">
      <c r="A58" s="347"/>
      <c r="B58" s="347"/>
      <c r="C58" s="347"/>
      <c r="D58" s="347"/>
      <c r="E58" s="347"/>
      <c r="F58" s="347"/>
      <c r="G58" s="347"/>
      <c r="H58" s="347"/>
      <c r="I58" s="347"/>
      <c r="J58" s="347"/>
      <c r="K58" s="348"/>
      <c r="L58" s="348"/>
      <c r="M58" s="348"/>
      <c r="N58" s="348"/>
      <c r="O58" s="348"/>
      <c r="P58" s="347"/>
      <c r="Q58" s="347"/>
      <c r="R58" s="347"/>
      <c r="S58" s="347"/>
      <c r="T58" s="347"/>
      <c r="U58" s="347"/>
      <c r="V58" s="347"/>
      <c r="W58" s="347"/>
      <c r="X58" s="347"/>
      <c r="Y58" s="347"/>
      <c r="Z58" s="347"/>
      <c r="AA58" s="604"/>
      <c r="AB58" s="347"/>
      <c r="AC58" s="590"/>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7"/>
      <c r="AZ58" s="347"/>
      <c r="BA58" s="347"/>
      <c r="BB58" s="347"/>
      <c r="BC58" s="347"/>
      <c r="BD58" s="347"/>
      <c r="BE58" s="347"/>
      <c r="BF58" s="347"/>
      <c r="BG58" s="347"/>
      <c r="BH58" s="347"/>
    </row>
    <row r="59">
      <c r="A59" s="347"/>
      <c r="B59" s="347"/>
      <c r="C59" s="347"/>
      <c r="D59" s="347"/>
      <c r="E59" s="347"/>
      <c r="F59" s="347"/>
      <c r="G59" s="347"/>
      <c r="H59" s="347"/>
      <c r="I59" s="347"/>
      <c r="J59" s="347"/>
      <c r="K59" s="348"/>
      <c r="L59" s="348"/>
      <c r="M59" s="348"/>
      <c r="N59" s="348"/>
      <c r="O59" s="348"/>
      <c r="P59" s="347"/>
      <c r="Q59" s="347"/>
      <c r="R59" s="347"/>
      <c r="S59" s="347"/>
      <c r="T59" s="347"/>
      <c r="U59" s="347"/>
      <c r="V59" s="347"/>
      <c r="W59" s="347"/>
      <c r="X59" s="347"/>
      <c r="Y59" s="347"/>
      <c r="Z59" s="347"/>
      <c r="AA59" s="604"/>
      <c r="AB59" s="347"/>
      <c r="AC59" s="590"/>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7"/>
      <c r="AZ59" s="347"/>
      <c r="BA59" s="347"/>
      <c r="BB59" s="347"/>
      <c r="BC59" s="347"/>
      <c r="BD59" s="347"/>
      <c r="BE59" s="347"/>
      <c r="BF59" s="347"/>
      <c r="BG59" s="347"/>
      <c r="BH59" s="347"/>
    </row>
    <row r="60">
      <c r="A60" s="347"/>
      <c r="B60" s="347"/>
      <c r="C60" s="347"/>
      <c r="D60" s="347"/>
      <c r="E60" s="347"/>
      <c r="F60" s="347"/>
      <c r="G60" s="347"/>
      <c r="H60" s="347"/>
      <c r="I60" s="347"/>
      <c r="J60" s="347"/>
      <c r="K60" s="348"/>
      <c r="L60" s="348"/>
      <c r="M60" s="348"/>
      <c r="N60" s="348"/>
      <c r="O60" s="348"/>
      <c r="P60" s="347"/>
      <c r="Q60" s="347"/>
      <c r="R60" s="347"/>
      <c r="S60" s="347"/>
      <c r="T60" s="347"/>
      <c r="U60" s="347"/>
      <c r="V60" s="347"/>
      <c r="W60" s="347"/>
      <c r="X60" s="347"/>
      <c r="Y60" s="347"/>
      <c r="Z60" s="347"/>
      <c r="AA60" s="604"/>
      <c r="AB60" s="347"/>
      <c r="AC60" s="590"/>
      <c r="AD60" s="347"/>
      <c r="AE60" s="347"/>
      <c r="AF60" s="347"/>
      <c r="AG60" s="347"/>
      <c r="AH60" s="347"/>
      <c r="AI60" s="347"/>
      <c r="AJ60" s="347"/>
      <c r="AK60" s="347"/>
      <c r="AL60" s="347"/>
      <c r="AM60" s="347"/>
      <c r="AN60" s="347"/>
      <c r="AO60" s="347"/>
      <c r="AP60" s="347"/>
      <c r="AQ60" s="347"/>
      <c r="AR60" s="347"/>
      <c r="AS60" s="347"/>
      <c r="AT60" s="347"/>
      <c r="AU60" s="347"/>
      <c r="AV60" s="347"/>
      <c r="AW60" s="347"/>
      <c r="AX60" s="347"/>
      <c r="AY60" s="347"/>
      <c r="AZ60" s="347"/>
      <c r="BA60" s="347"/>
      <c r="BB60" s="347"/>
      <c r="BC60" s="347"/>
      <c r="BD60" s="347"/>
      <c r="BE60" s="347"/>
      <c r="BF60" s="347"/>
      <c r="BG60" s="347"/>
      <c r="BH60" s="347"/>
    </row>
    <row r="61">
      <c r="A61" s="347"/>
      <c r="B61" s="347"/>
      <c r="C61" s="347"/>
      <c r="D61" s="347"/>
      <c r="E61" s="347"/>
      <c r="F61" s="347"/>
      <c r="G61" s="347"/>
      <c r="H61" s="347"/>
      <c r="I61" s="347"/>
      <c r="J61" s="347"/>
      <c r="K61" s="348"/>
      <c r="L61" s="348"/>
      <c r="M61" s="348"/>
      <c r="N61" s="348"/>
      <c r="O61" s="348"/>
      <c r="P61" s="347"/>
      <c r="Q61" s="347"/>
      <c r="R61" s="347"/>
      <c r="S61" s="347"/>
      <c r="T61" s="347"/>
      <c r="U61" s="347"/>
      <c r="V61" s="347"/>
      <c r="W61" s="347"/>
      <c r="X61" s="347"/>
      <c r="Y61" s="347"/>
      <c r="Z61" s="347"/>
      <c r="AA61" s="604"/>
      <c r="AB61" s="347"/>
      <c r="AC61" s="590"/>
      <c r="AD61" s="347"/>
      <c r="AE61" s="347"/>
      <c r="AF61" s="347"/>
      <c r="AG61" s="347"/>
      <c r="AH61" s="347"/>
      <c r="AI61" s="347"/>
      <c r="AJ61" s="347"/>
      <c r="AK61" s="347"/>
      <c r="AL61" s="347"/>
      <c r="AM61" s="347"/>
      <c r="AN61" s="347"/>
      <c r="AO61" s="347"/>
      <c r="AP61" s="347"/>
      <c r="AQ61" s="347"/>
      <c r="AR61" s="347"/>
      <c r="AS61" s="347"/>
      <c r="AT61" s="347"/>
      <c r="AU61" s="347"/>
      <c r="AV61" s="347"/>
      <c r="AW61" s="347"/>
      <c r="AX61" s="347"/>
      <c r="AY61" s="347"/>
      <c r="AZ61" s="347"/>
      <c r="BA61" s="347"/>
      <c r="BB61" s="347"/>
      <c r="BC61" s="347"/>
      <c r="BD61" s="347"/>
      <c r="BE61" s="347"/>
      <c r="BF61" s="347"/>
      <c r="BG61" s="347"/>
      <c r="BH61" s="347"/>
    </row>
    <row r="62">
      <c r="A62" s="347"/>
      <c r="B62" s="347"/>
      <c r="C62" s="347"/>
      <c r="D62" s="347"/>
      <c r="E62" s="347"/>
      <c r="F62" s="347"/>
      <c r="G62" s="347"/>
      <c r="H62" s="347"/>
      <c r="I62" s="347"/>
      <c r="J62" s="347"/>
      <c r="K62" s="348"/>
      <c r="L62" s="348"/>
      <c r="M62" s="348"/>
      <c r="N62" s="348"/>
      <c r="O62" s="348"/>
      <c r="P62" s="347"/>
      <c r="Q62" s="347"/>
      <c r="R62" s="347"/>
      <c r="S62" s="347"/>
      <c r="T62" s="347"/>
      <c r="U62" s="347"/>
      <c r="V62" s="347"/>
      <c r="W62" s="347"/>
      <c r="X62" s="347"/>
      <c r="Y62" s="347"/>
      <c r="Z62" s="347"/>
      <c r="AA62" s="604"/>
      <c r="AB62" s="347"/>
      <c r="AC62" s="590"/>
      <c r="AD62" s="347"/>
      <c r="AE62" s="347"/>
      <c r="AF62" s="347"/>
      <c r="AG62" s="347"/>
      <c r="AH62" s="347"/>
      <c r="AI62" s="347"/>
      <c r="AJ62" s="347"/>
      <c r="AK62" s="347"/>
      <c r="AL62" s="347"/>
      <c r="AM62" s="347"/>
      <c r="AN62" s="347"/>
      <c r="AO62" s="347"/>
      <c r="AP62" s="347"/>
      <c r="AQ62" s="347"/>
      <c r="AR62" s="347"/>
      <c r="AS62" s="347"/>
      <c r="AT62" s="347"/>
      <c r="AU62" s="347"/>
      <c r="AV62" s="347"/>
      <c r="AW62" s="347"/>
      <c r="AX62" s="347"/>
      <c r="AY62" s="347"/>
      <c r="AZ62" s="347"/>
      <c r="BA62" s="347"/>
      <c r="BB62" s="347"/>
      <c r="BC62" s="347"/>
      <c r="BD62" s="347"/>
      <c r="BE62" s="347"/>
      <c r="BF62" s="347"/>
      <c r="BG62" s="347"/>
      <c r="BH62" s="347"/>
    </row>
    <row r="63">
      <c r="A63" s="347"/>
      <c r="B63" s="347"/>
      <c r="C63" s="347"/>
      <c r="D63" s="347"/>
      <c r="E63" s="347"/>
      <c r="F63" s="347"/>
      <c r="G63" s="347"/>
      <c r="H63" s="347"/>
      <c r="I63" s="347"/>
      <c r="J63" s="347"/>
      <c r="K63" s="348"/>
      <c r="L63" s="348"/>
      <c r="M63" s="348"/>
      <c r="N63" s="348"/>
      <c r="O63" s="348"/>
      <c r="P63" s="347"/>
      <c r="Q63" s="347"/>
      <c r="R63" s="347"/>
      <c r="S63" s="347"/>
      <c r="T63" s="347"/>
      <c r="U63" s="347"/>
      <c r="V63" s="347"/>
      <c r="W63" s="347"/>
      <c r="X63" s="347"/>
      <c r="Y63" s="347"/>
      <c r="Z63" s="347"/>
      <c r="AA63" s="604"/>
      <c r="AB63" s="347"/>
      <c r="AC63" s="590"/>
      <c r="AD63" s="347"/>
      <c r="AE63" s="347"/>
      <c r="AF63" s="347"/>
      <c r="AG63" s="347"/>
      <c r="AH63" s="347"/>
      <c r="AI63" s="347"/>
      <c r="AJ63" s="347"/>
      <c r="AK63" s="347"/>
      <c r="AL63" s="347"/>
      <c r="AM63" s="347"/>
      <c r="AN63" s="347"/>
      <c r="AO63" s="347"/>
      <c r="AP63" s="347"/>
      <c r="AQ63" s="347"/>
      <c r="AR63" s="347"/>
      <c r="AS63" s="347"/>
      <c r="AT63" s="347"/>
      <c r="AU63" s="347"/>
      <c r="AV63" s="347"/>
      <c r="AW63" s="347"/>
      <c r="AX63" s="347"/>
      <c r="AY63" s="347"/>
      <c r="AZ63" s="347"/>
      <c r="BA63" s="347"/>
      <c r="BB63" s="347"/>
      <c r="BC63" s="347"/>
      <c r="BD63" s="347"/>
      <c r="BE63" s="347"/>
      <c r="BF63" s="347"/>
      <c r="BG63" s="347"/>
      <c r="BH63" s="347"/>
    </row>
    <row r="64">
      <c r="A64" s="347"/>
      <c r="B64" s="347"/>
      <c r="C64" s="347"/>
      <c r="D64" s="347"/>
      <c r="E64" s="347"/>
      <c r="F64" s="347"/>
      <c r="G64" s="347"/>
      <c r="H64" s="347"/>
      <c r="I64" s="347"/>
      <c r="J64" s="347"/>
      <c r="K64" s="348"/>
      <c r="L64" s="348"/>
      <c r="M64" s="348"/>
      <c r="N64" s="348"/>
      <c r="O64" s="348"/>
      <c r="P64" s="347"/>
      <c r="Q64" s="347"/>
      <c r="R64" s="347"/>
      <c r="S64" s="347"/>
      <c r="T64" s="347"/>
      <c r="U64" s="347"/>
      <c r="V64" s="347"/>
      <c r="W64" s="347"/>
      <c r="X64" s="347"/>
      <c r="Y64" s="347"/>
      <c r="Z64" s="347"/>
      <c r="AA64" s="604"/>
      <c r="AB64" s="347"/>
      <c r="AC64" s="590"/>
      <c r="AD64" s="347"/>
      <c r="AE64" s="347"/>
      <c r="AF64" s="347"/>
      <c r="AG64" s="347"/>
      <c r="AH64" s="347"/>
      <c r="AI64" s="347"/>
      <c r="AJ64" s="347"/>
      <c r="AK64" s="347"/>
      <c r="AL64" s="347"/>
      <c r="AM64" s="347"/>
      <c r="AN64" s="347"/>
      <c r="AO64" s="347"/>
      <c r="AP64" s="347"/>
      <c r="AQ64" s="347"/>
      <c r="AR64" s="347"/>
      <c r="AS64" s="347"/>
      <c r="AT64" s="347"/>
      <c r="AU64" s="347"/>
      <c r="AV64" s="347"/>
      <c r="AW64" s="347"/>
      <c r="AX64" s="347"/>
      <c r="AY64" s="347"/>
      <c r="AZ64" s="347"/>
      <c r="BA64" s="347"/>
      <c r="BB64" s="347"/>
      <c r="BC64" s="347"/>
      <c r="BD64" s="347"/>
      <c r="BE64" s="347"/>
      <c r="BF64" s="347"/>
      <c r="BG64" s="347"/>
      <c r="BH64" s="347"/>
    </row>
    <row r="65">
      <c r="A65" s="347"/>
      <c r="B65" s="347"/>
      <c r="C65" s="347"/>
      <c r="D65" s="347"/>
      <c r="E65" s="347"/>
      <c r="F65" s="347"/>
      <c r="G65" s="347"/>
      <c r="H65" s="347"/>
      <c r="I65" s="347"/>
      <c r="J65" s="347"/>
      <c r="K65" s="348"/>
      <c r="L65" s="348"/>
      <c r="M65" s="348"/>
      <c r="N65" s="348"/>
      <c r="O65" s="348"/>
      <c r="P65" s="347"/>
      <c r="Q65" s="347"/>
      <c r="R65" s="347"/>
      <c r="S65" s="347"/>
      <c r="T65" s="347"/>
      <c r="U65" s="347"/>
      <c r="V65" s="347"/>
      <c r="W65" s="347"/>
      <c r="X65" s="347"/>
      <c r="Y65" s="347"/>
      <c r="Z65" s="347"/>
      <c r="AA65" s="604"/>
      <c r="AB65" s="347"/>
      <c r="AC65" s="590"/>
      <c r="AD65" s="347"/>
      <c r="AE65" s="347"/>
      <c r="AF65" s="347"/>
      <c r="AG65" s="347"/>
      <c r="AH65" s="347"/>
      <c r="AI65" s="347"/>
      <c r="AJ65" s="347"/>
      <c r="AK65" s="347"/>
      <c r="AL65" s="347"/>
      <c r="AM65" s="347"/>
      <c r="AN65" s="347"/>
      <c r="AO65" s="347"/>
      <c r="AP65" s="347"/>
      <c r="AQ65" s="347"/>
      <c r="AR65" s="347"/>
      <c r="AS65" s="347"/>
      <c r="AT65" s="347"/>
      <c r="AU65" s="347"/>
      <c r="AV65" s="347"/>
      <c r="AW65" s="347"/>
      <c r="AX65" s="347"/>
      <c r="AY65" s="347"/>
      <c r="AZ65" s="347"/>
      <c r="BA65" s="347"/>
      <c r="BB65" s="347"/>
      <c r="BC65" s="347"/>
      <c r="BD65" s="347"/>
      <c r="BE65" s="347"/>
      <c r="BF65" s="347"/>
      <c r="BG65" s="347"/>
      <c r="BH65" s="347"/>
    </row>
    <row r="66">
      <c r="A66" s="347"/>
      <c r="B66" s="347"/>
      <c r="C66" s="347"/>
      <c r="D66" s="347"/>
      <c r="E66" s="347"/>
      <c r="F66" s="347"/>
      <c r="G66" s="347"/>
      <c r="H66" s="347"/>
      <c r="I66" s="347"/>
      <c r="J66" s="347"/>
      <c r="K66" s="348"/>
      <c r="L66" s="348"/>
      <c r="M66" s="348"/>
      <c r="N66" s="348"/>
      <c r="O66" s="348"/>
      <c r="P66" s="347"/>
      <c r="Q66" s="347"/>
      <c r="R66" s="347"/>
      <c r="S66" s="347"/>
      <c r="T66" s="347"/>
      <c r="U66" s="347"/>
      <c r="V66" s="347"/>
      <c r="W66" s="347"/>
      <c r="X66" s="347"/>
      <c r="Y66" s="347"/>
      <c r="Z66" s="347"/>
      <c r="AA66" s="604"/>
      <c r="AB66" s="347"/>
      <c r="AC66" s="590"/>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7"/>
      <c r="AZ66" s="347"/>
      <c r="BA66" s="347"/>
      <c r="BB66" s="347"/>
      <c r="BC66" s="347"/>
      <c r="BD66" s="347"/>
      <c r="BE66" s="347"/>
      <c r="BF66" s="347"/>
      <c r="BG66" s="347"/>
      <c r="BH66" s="347"/>
    </row>
    <row r="67">
      <c r="A67" s="347"/>
      <c r="B67" s="347"/>
      <c r="C67" s="347"/>
      <c r="D67" s="347"/>
      <c r="E67" s="347"/>
      <c r="F67" s="347"/>
      <c r="G67" s="347"/>
      <c r="H67" s="347"/>
      <c r="I67" s="347"/>
      <c r="J67" s="347"/>
      <c r="K67" s="348"/>
      <c r="L67" s="348"/>
      <c r="M67" s="348"/>
      <c r="N67" s="348"/>
      <c r="O67" s="348"/>
      <c r="P67" s="347"/>
      <c r="Q67" s="347"/>
      <c r="R67" s="347"/>
      <c r="S67" s="347"/>
      <c r="T67" s="347"/>
      <c r="U67" s="347"/>
      <c r="V67" s="347"/>
      <c r="W67" s="347"/>
      <c r="X67" s="347"/>
      <c r="Y67" s="347"/>
      <c r="Z67" s="347"/>
      <c r="AA67" s="604"/>
      <c r="AB67" s="347"/>
      <c r="AC67" s="590"/>
      <c r="AD67" s="347"/>
      <c r="AE67" s="347"/>
      <c r="AF67" s="347"/>
      <c r="AG67" s="347"/>
      <c r="AH67" s="347"/>
      <c r="AI67" s="347"/>
      <c r="AJ67" s="347"/>
      <c r="AK67" s="347"/>
      <c r="AL67" s="347"/>
      <c r="AM67" s="347"/>
      <c r="AN67" s="347"/>
      <c r="AO67" s="347"/>
      <c r="AP67" s="347"/>
      <c r="AQ67" s="347"/>
      <c r="AR67" s="347"/>
      <c r="AS67" s="347"/>
      <c r="AT67" s="347"/>
      <c r="AU67" s="347"/>
      <c r="AV67" s="347"/>
      <c r="AW67" s="347"/>
      <c r="AX67" s="347"/>
      <c r="AY67" s="347"/>
      <c r="AZ67" s="347"/>
      <c r="BA67" s="347"/>
      <c r="BB67" s="347"/>
      <c r="BC67" s="347"/>
      <c r="BD67" s="347"/>
      <c r="BE67" s="347"/>
      <c r="BF67" s="347"/>
      <c r="BG67" s="347"/>
      <c r="BH67" s="347"/>
    </row>
    <row r="68">
      <c r="A68" s="347"/>
      <c r="B68" s="347"/>
      <c r="C68" s="347"/>
      <c r="D68" s="347"/>
      <c r="E68" s="347"/>
      <c r="F68" s="347"/>
      <c r="G68" s="347"/>
      <c r="H68" s="347"/>
      <c r="I68" s="347"/>
      <c r="J68" s="347"/>
      <c r="K68" s="348"/>
      <c r="L68" s="348"/>
      <c r="M68" s="348"/>
      <c r="N68" s="348"/>
      <c r="O68" s="348"/>
      <c r="P68" s="347"/>
      <c r="Q68" s="347"/>
      <c r="R68" s="347"/>
      <c r="S68" s="347"/>
      <c r="T68" s="347"/>
      <c r="U68" s="347"/>
      <c r="V68" s="347"/>
      <c r="W68" s="347"/>
      <c r="X68" s="347"/>
      <c r="Y68" s="347"/>
      <c r="Z68" s="347"/>
      <c r="AA68" s="604"/>
      <c r="AB68" s="347"/>
      <c r="AC68" s="590"/>
      <c r="AD68" s="347"/>
      <c r="AE68" s="347"/>
      <c r="AF68" s="347"/>
      <c r="AG68" s="347"/>
      <c r="AH68" s="347"/>
      <c r="AI68" s="347"/>
      <c r="AJ68" s="347"/>
      <c r="AK68" s="347"/>
      <c r="AL68" s="347"/>
      <c r="AM68" s="347"/>
      <c r="AN68" s="347"/>
      <c r="AO68" s="347"/>
      <c r="AP68" s="347"/>
      <c r="AQ68" s="347"/>
      <c r="AR68" s="347"/>
      <c r="AS68" s="347"/>
      <c r="AT68" s="347"/>
      <c r="AU68" s="347"/>
      <c r="AV68" s="347"/>
      <c r="AW68" s="347"/>
      <c r="AX68" s="347"/>
      <c r="AY68" s="347"/>
      <c r="AZ68" s="347"/>
      <c r="BA68" s="347"/>
      <c r="BB68" s="347"/>
      <c r="BC68" s="347"/>
      <c r="BD68" s="347"/>
      <c r="BE68" s="347"/>
      <c r="BF68" s="347"/>
      <c r="BG68" s="347"/>
      <c r="BH68" s="347"/>
    </row>
    <row r="69">
      <c r="A69" s="347"/>
      <c r="B69" s="347"/>
      <c r="C69" s="347"/>
      <c r="D69" s="347"/>
      <c r="E69" s="347"/>
      <c r="F69" s="347"/>
      <c r="G69" s="347"/>
      <c r="H69" s="347"/>
      <c r="I69" s="347"/>
      <c r="J69" s="347"/>
      <c r="K69" s="348"/>
      <c r="L69" s="348"/>
      <c r="M69" s="348"/>
      <c r="N69" s="348"/>
      <c r="O69" s="348"/>
      <c r="P69" s="347"/>
      <c r="Q69" s="347"/>
      <c r="R69" s="347"/>
      <c r="S69" s="347"/>
      <c r="T69" s="347"/>
      <c r="U69" s="347"/>
      <c r="V69" s="347"/>
      <c r="W69" s="347"/>
      <c r="X69" s="347"/>
      <c r="Y69" s="347"/>
      <c r="Z69" s="347"/>
      <c r="AA69" s="604"/>
      <c r="AB69" s="347"/>
      <c r="AC69" s="590"/>
      <c r="AD69" s="347"/>
      <c r="AE69" s="347"/>
      <c r="AF69" s="347"/>
      <c r="AG69" s="347"/>
      <c r="AH69" s="347"/>
      <c r="AI69" s="347"/>
      <c r="AJ69" s="347"/>
      <c r="AK69" s="347"/>
      <c r="AL69" s="347"/>
      <c r="AM69" s="347"/>
      <c r="AN69" s="347"/>
      <c r="AO69" s="347"/>
      <c r="AP69" s="347"/>
      <c r="AQ69" s="347"/>
      <c r="AR69" s="347"/>
      <c r="AS69" s="347"/>
      <c r="AT69" s="347"/>
      <c r="AU69" s="347"/>
      <c r="AV69" s="347"/>
      <c r="AW69" s="347"/>
      <c r="AX69" s="347"/>
      <c r="AY69" s="347"/>
      <c r="AZ69" s="347"/>
      <c r="BA69" s="347"/>
      <c r="BB69" s="347"/>
      <c r="BC69" s="347"/>
      <c r="BD69" s="347"/>
      <c r="BE69" s="347"/>
      <c r="BF69" s="347"/>
      <c r="BG69" s="347"/>
      <c r="BH69" s="347"/>
    </row>
    <row r="70">
      <c r="A70" s="347"/>
      <c r="B70" s="347"/>
      <c r="C70" s="347"/>
      <c r="D70" s="347"/>
      <c r="E70" s="347"/>
      <c r="F70" s="347"/>
      <c r="G70" s="347"/>
      <c r="H70" s="347"/>
      <c r="I70" s="347"/>
      <c r="J70" s="347"/>
      <c r="K70" s="348"/>
      <c r="L70" s="348"/>
      <c r="M70" s="348"/>
      <c r="N70" s="348"/>
      <c r="O70" s="348"/>
      <c r="P70" s="347"/>
      <c r="Q70" s="347"/>
      <c r="R70" s="347"/>
      <c r="S70" s="347"/>
      <c r="T70" s="347"/>
      <c r="U70" s="347"/>
      <c r="V70" s="347"/>
      <c r="W70" s="347"/>
      <c r="X70" s="347"/>
      <c r="Y70" s="347"/>
      <c r="Z70" s="347"/>
      <c r="AA70" s="604"/>
      <c r="AB70" s="347"/>
      <c r="AC70" s="590"/>
      <c r="AD70" s="347"/>
      <c r="AE70" s="347"/>
      <c r="AF70" s="347"/>
      <c r="AG70" s="347"/>
      <c r="AH70" s="347"/>
      <c r="AI70" s="347"/>
      <c r="AJ70" s="347"/>
      <c r="AK70" s="347"/>
      <c r="AL70" s="347"/>
      <c r="AM70" s="347"/>
      <c r="AN70" s="347"/>
      <c r="AO70" s="347"/>
      <c r="AP70" s="347"/>
      <c r="AQ70" s="347"/>
      <c r="AR70" s="347"/>
      <c r="AS70" s="347"/>
      <c r="AT70" s="347"/>
      <c r="AU70" s="347"/>
      <c r="AV70" s="347"/>
      <c r="AW70" s="347"/>
      <c r="AX70" s="347"/>
      <c r="AY70" s="347"/>
      <c r="AZ70" s="347"/>
      <c r="BA70" s="347"/>
      <c r="BB70" s="347"/>
      <c r="BC70" s="347"/>
      <c r="BD70" s="347"/>
      <c r="BE70" s="347"/>
      <c r="BF70" s="347"/>
      <c r="BG70" s="347"/>
      <c r="BH70" s="347"/>
    </row>
    <row r="71">
      <c r="A71" s="347"/>
      <c r="B71" s="347"/>
      <c r="C71" s="347"/>
      <c r="D71" s="347"/>
      <c r="E71" s="347"/>
      <c r="F71" s="347"/>
      <c r="G71" s="347"/>
      <c r="H71" s="347"/>
      <c r="I71" s="347"/>
      <c r="J71" s="347"/>
      <c r="K71" s="348"/>
      <c r="L71" s="348"/>
      <c r="M71" s="348"/>
      <c r="N71" s="348"/>
      <c r="O71" s="348"/>
      <c r="P71" s="347"/>
      <c r="Q71" s="347"/>
      <c r="R71" s="347"/>
      <c r="S71" s="347"/>
      <c r="T71" s="347"/>
      <c r="U71" s="347"/>
      <c r="V71" s="347"/>
      <c r="W71" s="347"/>
      <c r="X71" s="347"/>
      <c r="Y71" s="347"/>
      <c r="Z71" s="347"/>
      <c r="AA71" s="604"/>
      <c r="AB71" s="347"/>
      <c r="AC71" s="590"/>
      <c r="AD71" s="347"/>
      <c r="AE71" s="347"/>
      <c r="AF71" s="347"/>
      <c r="AG71" s="347"/>
      <c r="AH71" s="347"/>
      <c r="AI71" s="347"/>
      <c r="AJ71" s="347"/>
      <c r="AK71" s="347"/>
      <c r="AL71" s="347"/>
      <c r="AM71" s="347"/>
      <c r="AN71" s="347"/>
      <c r="AO71" s="347"/>
      <c r="AP71" s="347"/>
      <c r="AQ71" s="347"/>
      <c r="AR71" s="347"/>
      <c r="AS71" s="347"/>
      <c r="AT71" s="347"/>
      <c r="AU71" s="347"/>
      <c r="AV71" s="347"/>
      <c r="AW71" s="347"/>
      <c r="AX71" s="347"/>
      <c r="AY71" s="347"/>
      <c r="AZ71" s="347"/>
      <c r="BA71" s="347"/>
      <c r="BB71" s="347"/>
      <c r="BC71" s="347"/>
      <c r="BD71" s="347"/>
      <c r="BE71" s="347"/>
      <c r="BF71" s="347"/>
      <c r="BG71" s="347"/>
      <c r="BH71" s="347"/>
    </row>
    <row r="72">
      <c r="A72" s="347"/>
      <c r="B72" s="347"/>
      <c r="C72" s="347"/>
      <c r="D72" s="347"/>
      <c r="E72" s="347"/>
      <c r="F72" s="347"/>
      <c r="G72" s="347"/>
      <c r="H72" s="347"/>
      <c r="I72" s="347"/>
      <c r="J72" s="347"/>
      <c r="K72" s="348"/>
      <c r="L72" s="348"/>
      <c r="M72" s="348"/>
      <c r="N72" s="348"/>
      <c r="O72" s="348"/>
      <c r="P72" s="347"/>
      <c r="Q72" s="347"/>
      <c r="R72" s="347"/>
      <c r="S72" s="347"/>
      <c r="T72" s="347"/>
      <c r="U72" s="347"/>
      <c r="V72" s="347"/>
      <c r="W72" s="347"/>
      <c r="X72" s="347"/>
      <c r="Y72" s="347"/>
      <c r="Z72" s="347"/>
      <c r="AA72" s="604"/>
      <c r="AB72" s="347"/>
      <c r="AC72" s="590"/>
      <c r="AD72" s="347"/>
      <c r="AE72" s="347"/>
      <c r="AF72" s="347"/>
      <c r="AG72" s="347"/>
      <c r="AH72" s="347"/>
      <c r="AI72" s="347"/>
      <c r="AJ72" s="347"/>
      <c r="AK72" s="347"/>
      <c r="AL72" s="347"/>
      <c r="AM72" s="347"/>
      <c r="AN72" s="347"/>
      <c r="AO72" s="347"/>
      <c r="AP72" s="347"/>
      <c r="AQ72" s="347"/>
      <c r="AR72" s="347"/>
      <c r="AS72" s="347"/>
      <c r="AT72" s="347"/>
      <c r="AU72" s="347"/>
      <c r="AV72" s="347"/>
      <c r="AW72" s="347"/>
      <c r="AX72" s="347"/>
      <c r="AY72" s="347"/>
      <c r="AZ72" s="347"/>
      <c r="BA72" s="347"/>
      <c r="BB72" s="347"/>
      <c r="BC72" s="347"/>
      <c r="BD72" s="347"/>
      <c r="BE72" s="347"/>
      <c r="BF72" s="347"/>
      <c r="BG72" s="347"/>
      <c r="BH72" s="347"/>
    </row>
    <row r="73">
      <c r="A73" s="347"/>
      <c r="B73" s="347"/>
      <c r="C73" s="347"/>
      <c r="D73" s="347"/>
      <c r="E73" s="347"/>
      <c r="F73" s="347"/>
      <c r="G73" s="347"/>
      <c r="H73" s="347"/>
      <c r="I73" s="347"/>
      <c r="J73" s="347"/>
      <c r="K73" s="348"/>
      <c r="L73" s="348"/>
      <c r="M73" s="348"/>
      <c r="N73" s="348"/>
      <c r="O73" s="348"/>
      <c r="P73" s="347"/>
      <c r="Q73" s="347"/>
      <c r="R73" s="347"/>
      <c r="S73" s="347"/>
      <c r="T73" s="347"/>
      <c r="U73" s="347"/>
      <c r="V73" s="347"/>
      <c r="W73" s="347"/>
      <c r="X73" s="347"/>
      <c r="Y73" s="347"/>
      <c r="Z73" s="347"/>
      <c r="AA73" s="604"/>
      <c r="AB73" s="347"/>
      <c r="AC73" s="590"/>
      <c r="AD73" s="347"/>
      <c r="AE73" s="347"/>
      <c r="AF73" s="347"/>
      <c r="AG73" s="347"/>
      <c r="AH73" s="347"/>
      <c r="AI73" s="347"/>
      <c r="AJ73" s="347"/>
      <c r="AK73" s="347"/>
      <c r="AL73" s="347"/>
      <c r="AM73" s="347"/>
      <c r="AN73" s="347"/>
      <c r="AO73" s="347"/>
      <c r="AP73" s="347"/>
      <c r="AQ73" s="347"/>
      <c r="AR73" s="347"/>
      <c r="AS73" s="347"/>
      <c r="AT73" s="347"/>
      <c r="AU73" s="347"/>
      <c r="AV73" s="347"/>
      <c r="AW73" s="347"/>
      <c r="AX73" s="347"/>
      <c r="AY73" s="347"/>
      <c r="AZ73" s="347"/>
      <c r="BA73" s="347"/>
      <c r="BB73" s="347"/>
      <c r="BC73" s="347"/>
      <c r="BD73" s="347"/>
      <c r="BE73" s="347"/>
      <c r="BF73" s="347"/>
      <c r="BG73" s="347"/>
      <c r="BH73" s="347"/>
    </row>
    <row r="74">
      <c r="A74" s="347"/>
      <c r="B74" s="347"/>
      <c r="C74" s="347"/>
      <c r="D74" s="347"/>
      <c r="E74" s="347"/>
      <c r="F74" s="347"/>
      <c r="G74" s="347"/>
      <c r="H74" s="347"/>
      <c r="I74" s="347"/>
      <c r="J74" s="347"/>
      <c r="K74" s="348"/>
      <c r="L74" s="348"/>
      <c r="M74" s="348"/>
      <c r="N74" s="348"/>
      <c r="O74" s="348"/>
      <c r="P74" s="347"/>
      <c r="Q74" s="347"/>
      <c r="R74" s="347"/>
      <c r="S74" s="347"/>
      <c r="T74" s="347"/>
      <c r="U74" s="347"/>
      <c r="V74" s="347"/>
      <c r="W74" s="347"/>
      <c r="X74" s="347"/>
      <c r="Y74" s="347"/>
      <c r="Z74" s="347"/>
      <c r="AA74" s="604"/>
      <c r="AB74" s="347"/>
      <c r="AC74" s="590"/>
      <c r="AD74" s="347"/>
      <c r="AE74" s="347"/>
      <c r="AF74" s="347"/>
      <c r="AG74" s="347"/>
      <c r="AH74" s="347"/>
      <c r="AI74" s="347"/>
      <c r="AJ74" s="347"/>
      <c r="AK74" s="347"/>
      <c r="AL74" s="347"/>
      <c r="AM74" s="347"/>
      <c r="AN74" s="347"/>
      <c r="AO74" s="347"/>
      <c r="AP74" s="347"/>
      <c r="AQ74" s="347"/>
      <c r="AR74" s="347"/>
      <c r="AS74" s="347"/>
      <c r="AT74" s="347"/>
      <c r="AU74" s="347"/>
      <c r="AV74" s="347"/>
      <c r="AW74" s="347"/>
      <c r="AX74" s="347"/>
      <c r="AY74" s="347"/>
      <c r="AZ74" s="347"/>
      <c r="BA74" s="347"/>
      <c r="BB74" s="347"/>
      <c r="BC74" s="347"/>
      <c r="BD74" s="347"/>
      <c r="BE74" s="347"/>
      <c r="BF74" s="347"/>
      <c r="BG74" s="347"/>
      <c r="BH74" s="347"/>
    </row>
    <row r="75">
      <c r="A75" s="347"/>
      <c r="B75" s="347"/>
      <c r="C75" s="347"/>
      <c r="D75" s="347"/>
      <c r="E75" s="347"/>
      <c r="F75" s="347"/>
      <c r="G75" s="347"/>
      <c r="H75" s="347"/>
      <c r="I75" s="347"/>
      <c r="J75" s="347"/>
      <c r="K75" s="348"/>
      <c r="L75" s="348"/>
      <c r="M75" s="348"/>
      <c r="N75" s="348"/>
      <c r="O75" s="348"/>
      <c r="P75" s="347"/>
      <c r="Q75" s="347"/>
      <c r="R75" s="347"/>
      <c r="S75" s="347"/>
      <c r="T75" s="347"/>
      <c r="U75" s="347"/>
      <c r="V75" s="347"/>
      <c r="W75" s="347"/>
      <c r="X75" s="347"/>
      <c r="Y75" s="347"/>
      <c r="Z75" s="347"/>
      <c r="AA75" s="604"/>
      <c r="AB75" s="347"/>
      <c r="AC75" s="590"/>
      <c r="AD75" s="347"/>
      <c r="AE75" s="347"/>
      <c r="AF75" s="347"/>
      <c r="AG75" s="347"/>
      <c r="AH75" s="347"/>
      <c r="AI75" s="347"/>
      <c r="AJ75" s="347"/>
      <c r="AK75" s="347"/>
      <c r="AL75" s="347"/>
      <c r="AM75" s="347"/>
      <c r="AN75" s="347"/>
      <c r="AO75" s="347"/>
      <c r="AP75" s="347"/>
      <c r="AQ75" s="347"/>
      <c r="AR75" s="347"/>
      <c r="AS75" s="347"/>
      <c r="AT75" s="347"/>
      <c r="AU75" s="347"/>
      <c r="AV75" s="347"/>
      <c r="AW75" s="347"/>
      <c r="AX75" s="347"/>
      <c r="AY75" s="347"/>
      <c r="AZ75" s="347"/>
      <c r="BA75" s="347"/>
      <c r="BB75" s="347"/>
      <c r="BC75" s="347"/>
      <c r="BD75" s="347"/>
      <c r="BE75" s="347"/>
      <c r="BF75" s="347"/>
      <c r="BG75" s="347"/>
      <c r="BH75" s="347"/>
    </row>
    <row r="76">
      <c r="A76" s="347"/>
      <c r="B76" s="347"/>
      <c r="C76" s="347"/>
      <c r="D76" s="347"/>
      <c r="E76" s="347"/>
      <c r="F76" s="347"/>
      <c r="G76" s="347"/>
      <c r="H76" s="347"/>
      <c r="I76" s="347"/>
      <c r="J76" s="347"/>
      <c r="K76" s="348"/>
      <c r="L76" s="348"/>
      <c r="M76" s="348"/>
      <c r="N76" s="348"/>
      <c r="O76" s="348"/>
      <c r="P76" s="347"/>
      <c r="Q76" s="347"/>
      <c r="R76" s="347"/>
      <c r="S76" s="347"/>
      <c r="T76" s="347"/>
      <c r="U76" s="347"/>
      <c r="V76" s="347"/>
      <c r="W76" s="347"/>
      <c r="X76" s="347"/>
      <c r="Y76" s="347"/>
      <c r="Z76" s="347"/>
      <c r="AA76" s="604"/>
      <c r="AB76" s="347"/>
      <c r="AC76" s="590"/>
      <c r="AD76" s="347"/>
      <c r="AE76" s="347"/>
      <c r="AF76" s="347"/>
      <c r="AG76" s="347"/>
      <c r="AH76" s="347"/>
      <c r="AI76" s="347"/>
      <c r="AJ76" s="347"/>
      <c r="AK76" s="347"/>
      <c r="AL76" s="347"/>
      <c r="AM76" s="347"/>
      <c r="AN76" s="347"/>
      <c r="AO76" s="347"/>
      <c r="AP76" s="347"/>
      <c r="AQ76" s="347"/>
      <c r="AR76" s="347"/>
      <c r="AS76" s="347"/>
      <c r="AT76" s="347"/>
      <c r="AU76" s="347"/>
      <c r="AV76" s="347"/>
      <c r="AW76" s="347"/>
      <c r="AX76" s="347"/>
      <c r="AY76" s="347"/>
      <c r="AZ76" s="347"/>
      <c r="BA76" s="347"/>
      <c r="BB76" s="347"/>
      <c r="BC76" s="347"/>
      <c r="BD76" s="347"/>
      <c r="BE76" s="347"/>
      <c r="BF76" s="347"/>
      <c r="BG76" s="347"/>
      <c r="BH76" s="347"/>
    </row>
    <row r="77">
      <c r="A77" s="347"/>
      <c r="B77" s="347"/>
      <c r="C77" s="347"/>
      <c r="D77" s="347"/>
      <c r="E77" s="347"/>
      <c r="F77" s="347"/>
      <c r="G77" s="347"/>
      <c r="H77" s="347"/>
      <c r="I77" s="347"/>
      <c r="J77" s="347"/>
      <c r="K77" s="348"/>
      <c r="L77" s="348"/>
      <c r="M77" s="348"/>
      <c r="N77" s="348"/>
      <c r="O77" s="348"/>
      <c r="P77" s="347"/>
      <c r="Q77" s="347"/>
      <c r="R77" s="347"/>
      <c r="S77" s="347"/>
      <c r="T77" s="347"/>
      <c r="U77" s="347"/>
      <c r="V77" s="347"/>
      <c r="W77" s="347"/>
      <c r="X77" s="347"/>
      <c r="Y77" s="347"/>
      <c r="Z77" s="347"/>
      <c r="AA77" s="604"/>
      <c r="AB77" s="347"/>
      <c r="AC77" s="590"/>
      <c r="AD77" s="347"/>
      <c r="AE77" s="347"/>
      <c r="AF77" s="347"/>
      <c r="AG77" s="347"/>
      <c r="AH77" s="347"/>
      <c r="AI77" s="347"/>
      <c r="AJ77" s="347"/>
      <c r="AK77" s="347"/>
      <c r="AL77" s="347"/>
      <c r="AM77" s="347"/>
      <c r="AN77" s="347"/>
      <c r="AO77" s="347"/>
      <c r="AP77" s="347"/>
      <c r="AQ77" s="347"/>
      <c r="AR77" s="347"/>
      <c r="AS77" s="347"/>
      <c r="AT77" s="347"/>
      <c r="AU77" s="347"/>
      <c r="AV77" s="347"/>
      <c r="AW77" s="347"/>
      <c r="AX77" s="347"/>
      <c r="AY77" s="347"/>
      <c r="AZ77" s="347"/>
      <c r="BA77" s="347"/>
      <c r="BB77" s="347"/>
      <c r="BC77" s="347"/>
      <c r="BD77" s="347"/>
      <c r="BE77" s="347"/>
      <c r="BF77" s="347"/>
      <c r="BG77" s="347"/>
      <c r="BH77" s="347"/>
    </row>
    <row r="78">
      <c r="A78" s="347"/>
      <c r="B78" s="347"/>
      <c r="C78" s="347"/>
      <c r="D78" s="347"/>
      <c r="E78" s="347"/>
      <c r="F78" s="347"/>
      <c r="G78" s="347"/>
      <c r="H78" s="347"/>
      <c r="I78" s="347"/>
      <c r="J78" s="347"/>
      <c r="K78" s="348"/>
      <c r="L78" s="348"/>
      <c r="M78" s="348"/>
      <c r="N78" s="348"/>
      <c r="O78" s="348"/>
      <c r="P78" s="347"/>
      <c r="Q78" s="347"/>
      <c r="R78" s="347"/>
      <c r="S78" s="347"/>
      <c r="T78" s="347"/>
      <c r="U78" s="347"/>
      <c r="V78" s="347"/>
      <c r="W78" s="347"/>
      <c r="X78" s="347"/>
      <c r="Y78" s="347"/>
      <c r="Z78" s="347"/>
      <c r="AA78" s="604"/>
      <c r="AB78" s="347"/>
      <c r="AC78" s="590"/>
      <c r="AD78" s="347"/>
      <c r="AE78" s="347"/>
      <c r="AF78" s="347"/>
      <c r="AG78" s="347"/>
      <c r="AH78" s="347"/>
      <c r="AI78" s="347"/>
      <c r="AJ78" s="347"/>
      <c r="AK78" s="347"/>
      <c r="AL78" s="347"/>
      <c r="AM78" s="347"/>
      <c r="AN78" s="347"/>
      <c r="AO78" s="347"/>
      <c r="AP78" s="347"/>
      <c r="AQ78" s="347"/>
      <c r="AR78" s="347"/>
      <c r="AS78" s="347"/>
      <c r="AT78" s="347"/>
      <c r="AU78" s="347"/>
      <c r="AV78" s="347"/>
      <c r="AW78" s="347"/>
      <c r="AX78" s="347"/>
      <c r="AY78" s="347"/>
      <c r="AZ78" s="347"/>
      <c r="BA78" s="347"/>
      <c r="BB78" s="347"/>
      <c r="BC78" s="347"/>
      <c r="BD78" s="347"/>
      <c r="BE78" s="347"/>
      <c r="BF78" s="347"/>
      <c r="BG78" s="347"/>
      <c r="BH78" s="347"/>
    </row>
    <row r="79">
      <c r="A79" s="347"/>
      <c r="B79" s="347"/>
      <c r="C79" s="347"/>
      <c r="D79" s="347"/>
      <c r="E79" s="347"/>
      <c r="F79" s="347"/>
      <c r="G79" s="347"/>
      <c r="H79" s="347"/>
      <c r="I79" s="347"/>
      <c r="J79" s="347"/>
      <c r="K79" s="348"/>
      <c r="L79" s="348"/>
      <c r="M79" s="348"/>
      <c r="N79" s="348"/>
      <c r="O79" s="348"/>
      <c r="P79" s="347"/>
      <c r="Q79" s="347"/>
      <c r="R79" s="347"/>
      <c r="S79" s="347"/>
      <c r="T79" s="347"/>
      <c r="U79" s="347"/>
      <c r="V79" s="347"/>
      <c r="W79" s="347"/>
      <c r="X79" s="347"/>
      <c r="Y79" s="347"/>
      <c r="Z79" s="347"/>
      <c r="AA79" s="604"/>
      <c r="AB79" s="347"/>
      <c r="AC79" s="590"/>
      <c r="AD79" s="347"/>
      <c r="AE79" s="347"/>
      <c r="AF79" s="347"/>
      <c r="AG79" s="347"/>
      <c r="AH79" s="347"/>
      <c r="AI79" s="347"/>
      <c r="AJ79" s="347"/>
      <c r="AK79" s="347"/>
      <c r="AL79" s="347"/>
      <c r="AM79" s="347"/>
      <c r="AN79" s="347"/>
      <c r="AO79" s="347"/>
      <c r="AP79" s="347"/>
      <c r="AQ79" s="347"/>
      <c r="AR79" s="347"/>
      <c r="AS79" s="347"/>
      <c r="AT79" s="347"/>
      <c r="AU79" s="347"/>
      <c r="AV79" s="347"/>
      <c r="AW79" s="347"/>
      <c r="AX79" s="347"/>
      <c r="AY79" s="347"/>
      <c r="AZ79" s="347"/>
      <c r="BA79" s="347"/>
      <c r="BB79" s="347"/>
      <c r="BC79" s="347"/>
      <c r="BD79" s="347"/>
      <c r="BE79" s="347"/>
      <c r="BF79" s="347"/>
      <c r="BG79" s="347"/>
      <c r="BH79" s="347"/>
    </row>
    <row r="80">
      <c r="A80" s="347"/>
      <c r="B80" s="347"/>
      <c r="C80" s="347"/>
      <c r="D80" s="347"/>
      <c r="E80" s="347"/>
      <c r="F80" s="347"/>
      <c r="G80" s="347"/>
      <c r="H80" s="347"/>
      <c r="I80" s="347"/>
      <c r="J80" s="347"/>
      <c r="K80" s="348"/>
      <c r="L80" s="348"/>
      <c r="M80" s="348"/>
      <c r="N80" s="348"/>
      <c r="O80" s="348"/>
      <c r="P80" s="347"/>
      <c r="Q80" s="347"/>
      <c r="R80" s="347"/>
      <c r="S80" s="347"/>
      <c r="T80" s="347"/>
      <c r="U80" s="347"/>
      <c r="V80" s="347"/>
      <c r="W80" s="347"/>
      <c r="X80" s="347"/>
      <c r="Y80" s="347"/>
      <c r="Z80" s="347"/>
      <c r="AA80" s="604"/>
      <c r="AB80" s="347"/>
      <c r="AC80" s="590"/>
      <c r="AD80" s="347"/>
      <c r="AE80" s="347"/>
      <c r="AF80" s="347"/>
      <c r="AG80" s="347"/>
      <c r="AH80" s="347"/>
      <c r="AI80" s="347"/>
      <c r="AJ80" s="347"/>
      <c r="AK80" s="347"/>
      <c r="AL80" s="347"/>
      <c r="AM80" s="347"/>
      <c r="AN80" s="347"/>
      <c r="AO80" s="347"/>
      <c r="AP80" s="347"/>
      <c r="AQ80" s="347"/>
      <c r="AR80" s="347"/>
      <c r="AS80" s="347"/>
      <c r="AT80" s="347"/>
      <c r="AU80" s="347"/>
      <c r="AV80" s="347"/>
      <c r="AW80" s="347"/>
      <c r="AX80" s="347"/>
      <c r="AY80" s="347"/>
      <c r="AZ80" s="347"/>
      <c r="BA80" s="347"/>
      <c r="BB80" s="347"/>
      <c r="BC80" s="347"/>
      <c r="BD80" s="347"/>
      <c r="BE80" s="347"/>
      <c r="BF80" s="347"/>
      <c r="BG80" s="347"/>
      <c r="BH80" s="347"/>
    </row>
    <row r="81">
      <c r="A81" s="347"/>
      <c r="B81" s="347"/>
      <c r="C81" s="347"/>
      <c r="D81" s="347"/>
      <c r="E81" s="347"/>
      <c r="F81" s="347"/>
      <c r="G81" s="347"/>
      <c r="H81" s="347"/>
      <c r="I81" s="347"/>
      <c r="J81" s="347"/>
      <c r="K81" s="348"/>
      <c r="L81" s="348"/>
      <c r="M81" s="348"/>
      <c r="N81" s="348"/>
      <c r="O81" s="348"/>
      <c r="P81" s="347"/>
      <c r="Q81" s="347"/>
      <c r="R81" s="347"/>
      <c r="S81" s="347"/>
      <c r="T81" s="347"/>
      <c r="U81" s="347"/>
      <c r="V81" s="347"/>
      <c r="W81" s="347"/>
      <c r="X81" s="347"/>
      <c r="Y81" s="347"/>
      <c r="Z81" s="347"/>
      <c r="AA81" s="604"/>
      <c r="AB81" s="347"/>
      <c r="AC81" s="590"/>
      <c r="AD81" s="347"/>
      <c r="AE81" s="347"/>
      <c r="AF81" s="347"/>
      <c r="AG81" s="347"/>
      <c r="AH81" s="347"/>
      <c r="AI81" s="347"/>
      <c r="AJ81" s="347"/>
      <c r="AK81" s="347"/>
      <c r="AL81" s="347"/>
      <c r="AM81" s="347"/>
      <c r="AN81" s="347"/>
      <c r="AO81" s="347"/>
      <c r="AP81" s="347"/>
      <c r="AQ81" s="347"/>
      <c r="AR81" s="347"/>
      <c r="AS81" s="347"/>
      <c r="AT81" s="347"/>
      <c r="AU81" s="347"/>
      <c r="AV81" s="347"/>
      <c r="AW81" s="347"/>
      <c r="AX81" s="347"/>
      <c r="AY81" s="347"/>
      <c r="AZ81" s="347"/>
      <c r="BA81" s="347"/>
      <c r="BB81" s="347"/>
      <c r="BC81" s="347"/>
      <c r="BD81" s="347"/>
      <c r="BE81" s="347"/>
      <c r="BF81" s="347"/>
      <c r="BG81" s="347"/>
      <c r="BH81" s="347"/>
    </row>
    <row r="82">
      <c r="A82" s="347"/>
      <c r="B82" s="347"/>
      <c r="C82" s="347"/>
      <c r="D82" s="347"/>
      <c r="E82" s="347"/>
      <c r="F82" s="347"/>
      <c r="G82" s="347"/>
      <c r="H82" s="347"/>
      <c r="I82" s="347"/>
      <c r="J82" s="347"/>
      <c r="K82" s="348"/>
      <c r="L82" s="348"/>
      <c r="M82" s="348"/>
      <c r="N82" s="348"/>
      <c r="O82" s="348"/>
      <c r="P82" s="347"/>
      <c r="Q82" s="347"/>
      <c r="R82" s="347"/>
      <c r="S82" s="347"/>
      <c r="T82" s="347"/>
      <c r="U82" s="347"/>
      <c r="V82" s="347"/>
      <c r="W82" s="347"/>
      <c r="X82" s="347"/>
      <c r="Y82" s="347"/>
      <c r="Z82" s="347"/>
      <c r="AA82" s="604"/>
      <c r="AB82" s="347"/>
      <c r="AC82" s="590"/>
      <c r="AD82" s="347"/>
      <c r="AE82" s="347"/>
      <c r="AF82" s="347"/>
      <c r="AG82" s="347"/>
      <c r="AH82" s="347"/>
      <c r="AI82" s="347"/>
      <c r="AJ82" s="347"/>
      <c r="AK82" s="347"/>
      <c r="AL82" s="347"/>
      <c r="AM82" s="347"/>
      <c r="AN82" s="347"/>
      <c r="AO82" s="347"/>
      <c r="AP82" s="347"/>
      <c r="AQ82" s="347"/>
      <c r="AR82" s="347"/>
      <c r="AS82" s="347"/>
      <c r="AT82" s="347"/>
      <c r="AU82" s="347"/>
      <c r="AV82" s="347"/>
      <c r="AW82" s="347"/>
      <c r="AX82" s="347"/>
      <c r="AY82" s="347"/>
      <c r="AZ82" s="347"/>
      <c r="BA82" s="347"/>
      <c r="BB82" s="347"/>
      <c r="BC82" s="347"/>
      <c r="BD82" s="347"/>
      <c r="BE82" s="347"/>
      <c r="BF82" s="347"/>
      <c r="BG82" s="347"/>
      <c r="BH82" s="347"/>
    </row>
    <row r="83">
      <c r="A83" s="347"/>
      <c r="B83" s="347"/>
      <c r="C83" s="347"/>
      <c r="D83" s="347"/>
      <c r="E83" s="347"/>
      <c r="F83" s="347"/>
      <c r="G83" s="347"/>
      <c r="H83" s="347"/>
      <c r="I83" s="347"/>
      <c r="J83" s="347"/>
      <c r="K83" s="348"/>
      <c r="L83" s="348"/>
      <c r="M83" s="348"/>
      <c r="N83" s="348"/>
      <c r="O83" s="348"/>
      <c r="P83" s="347"/>
      <c r="Q83" s="347"/>
      <c r="R83" s="347"/>
      <c r="S83" s="347"/>
      <c r="T83" s="347"/>
      <c r="U83" s="347"/>
      <c r="V83" s="347"/>
      <c r="W83" s="347"/>
      <c r="X83" s="347"/>
      <c r="Y83" s="347"/>
      <c r="Z83" s="347"/>
      <c r="AA83" s="604"/>
      <c r="AB83" s="347"/>
      <c r="AC83" s="590"/>
      <c r="AD83" s="347"/>
      <c r="AE83" s="347"/>
      <c r="AF83" s="347"/>
      <c r="AG83" s="347"/>
      <c r="AH83" s="347"/>
      <c r="AI83" s="347"/>
      <c r="AJ83" s="347"/>
      <c r="AK83" s="347"/>
      <c r="AL83" s="347"/>
      <c r="AM83" s="347"/>
      <c r="AN83" s="347"/>
      <c r="AO83" s="347"/>
      <c r="AP83" s="347"/>
      <c r="AQ83" s="347"/>
      <c r="AR83" s="347"/>
      <c r="AS83" s="347"/>
      <c r="AT83" s="347"/>
      <c r="AU83" s="347"/>
      <c r="AV83" s="347"/>
      <c r="AW83" s="347"/>
      <c r="AX83" s="347"/>
      <c r="AY83" s="347"/>
      <c r="AZ83" s="347"/>
      <c r="BA83" s="347"/>
      <c r="BB83" s="347"/>
      <c r="BC83" s="347"/>
      <c r="BD83" s="347"/>
      <c r="BE83" s="347"/>
      <c r="BF83" s="347"/>
      <c r="BG83" s="347"/>
      <c r="BH83" s="347"/>
    </row>
    <row r="84">
      <c r="A84" s="347"/>
      <c r="B84" s="347"/>
      <c r="C84" s="347"/>
      <c r="D84" s="347"/>
      <c r="E84" s="347"/>
      <c r="F84" s="347"/>
      <c r="G84" s="347"/>
      <c r="H84" s="347"/>
      <c r="I84" s="347"/>
      <c r="J84" s="347"/>
      <c r="K84" s="348"/>
      <c r="L84" s="348"/>
      <c r="M84" s="348"/>
      <c r="N84" s="348"/>
      <c r="O84" s="348"/>
      <c r="P84" s="347"/>
      <c r="Q84" s="347"/>
      <c r="R84" s="347"/>
      <c r="S84" s="347"/>
      <c r="T84" s="347"/>
      <c r="U84" s="347"/>
      <c r="V84" s="347"/>
      <c r="W84" s="347"/>
      <c r="X84" s="347"/>
      <c r="Y84" s="347"/>
      <c r="Z84" s="347"/>
      <c r="AA84" s="604"/>
      <c r="AB84" s="347"/>
      <c r="AC84" s="590"/>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row>
    <row r="85">
      <c r="A85" s="347"/>
      <c r="B85" s="347"/>
      <c r="C85" s="347"/>
      <c r="D85" s="347"/>
      <c r="E85" s="347"/>
      <c r="F85" s="347"/>
      <c r="G85" s="347"/>
      <c r="H85" s="347"/>
      <c r="I85" s="347"/>
      <c r="J85" s="347"/>
      <c r="K85" s="348"/>
      <c r="L85" s="348"/>
      <c r="M85" s="348"/>
      <c r="N85" s="348"/>
      <c r="O85" s="348"/>
      <c r="P85" s="347"/>
      <c r="Q85" s="347"/>
      <c r="R85" s="347"/>
      <c r="S85" s="347"/>
      <c r="T85" s="347"/>
      <c r="U85" s="347"/>
      <c r="V85" s="347"/>
      <c r="W85" s="347"/>
      <c r="X85" s="347"/>
      <c r="Y85" s="347"/>
      <c r="Z85" s="347"/>
      <c r="AA85" s="604"/>
      <c r="AB85" s="347"/>
      <c r="AC85" s="590"/>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row>
    <row r="86">
      <c r="A86" s="347"/>
      <c r="B86" s="347"/>
      <c r="C86" s="347"/>
      <c r="D86" s="347"/>
      <c r="E86" s="347"/>
      <c r="F86" s="347"/>
      <c r="G86" s="347"/>
      <c r="H86" s="347"/>
      <c r="I86" s="347"/>
      <c r="J86" s="347"/>
      <c r="K86" s="348"/>
      <c r="L86" s="348"/>
      <c r="M86" s="348"/>
      <c r="N86" s="348"/>
      <c r="O86" s="348"/>
      <c r="P86" s="347"/>
      <c r="Q86" s="347"/>
      <c r="R86" s="347"/>
      <c r="S86" s="347"/>
      <c r="T86" s="347"/>
      <c r="U86" s="347"/>
      <c r="V86" s="347"/>
      <c r="W86" s="347"/>
      <c r="X86" s="347"/>
      <c r="Y86" s="347"/>
      <c r="Z86" s="347"/>
      <c r="AA86" s="604"/>
      <c r="AB86" s="347"/>
      <c r="AC86" s="590"/>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row>
    <row r="87">
      <c r="A87" s="347"/>
      <c r="B87" s="347"/>
      <c r="C87" s="347"/>
      <c r="D87" s="347"/>
      <c r="E87" s="347"/>
      <c r="F87" s="347"/>
      <c r="G87" s="347"/>
      <c r="H87" s="347"/>
      <c r="I87" s="347"/>
      <c r="J87" s="347"/>
      <c r="K87" s="348"/>
      <c r="L87" s="348"/>
      <c r="M87" s="348"/>
      <c r="N87" s="348"/>
      <c r="O87" s="348"/>
      <c r="P87" s="347"/>
      <c r="Q87" s="347"/>
      <c r="R87" s="347"/>
      <c r="S87" s="347"/>
      <c r="T87" s="347"/>
      <c r="U87" s="347"/>
      <c r="V87" s="347"/>
      <c r="W87" s="347"/>
      <c r="X87" s="347"/>
      <c r="Y87" s="347"/>
      <c r="Z87" s="347"/>
      <c r="AA87" s="604"/>
      <c r="AB87" s="347"/>
      <c r="AC87" s="590"/>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row>
    <row r="88">
      <c r="A88" s="347"/>
      <c r="B88" s="347"/>
      <c r="C88" s="347"/>
      <c r="D88" s="347"/>
      <c r="E88" s="347"/>
      <c r="F88" s="347"/>
      <c r="G88" s="347"/>
      <c r="H88" s="347"/>
      <c r="I88" s="347"/>
      <c r="J88" s="347"/>
      <c r="K88" s="348"/>
      <c r="L88" s="348"/>
      <c r="M88" s="348"/>
      <c r="N88" s="348"/>
      <c r="O88" s="348"/>
      <c r="P88" s="347"/>
      <c r="Q88" s="347"/>
      <c r="R88" s="347"/>
      <c r="S88" s="347"/>
      <c r="T88" s="347"/>
      <c r="U88" s="347"/>
      <c r="V88" s="347"/>
      <c r="W88" s="347"/>
      <c r="X88" s="347"/>
      <c r="Y88" s="347"/>
      <c r="Z88" s="347"/>
      <c r="AA88" s="604"/>
      <c r="AB88" s="347"/>
      <c r="AC88" s="590"/>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row>
    <row r="89">
      <c r="A89" s="347"/>
      <c r="B89" s="347"/>
      <c r="C89" s="347"/>
      <c r="D89" s="347"/>
      <c r="E89" s="347"/>
      <c r="F89" s="347"/>
      <c r="G89" s="347"/>
      <c r="H89" s="347"/>
      <c r="I89" s="347"/>
      <c r="J89" s="347"/>
      <c r="K89" s="348"/>
      <c r="L89" s="348"/>
      <c r="M89" s="348"/>
      <c r="N89" s="348"/>
      <c r="O89" s="348"/>
      <c r="P89" s="347"/>
      <c r="Q89" s="347"/>
      <c r="R89" s="347"/>
      <c r="S89" s="347"/>
      <c r="T89" s="347"/>
      <c r="U89" s="347"/>
      <c r="V89" s="347"/>
      <c r="W89" s="347"/>
      <c r="X89" s="347"/>
      <c r="Y89" s="347"/>
      <c r="Z89" s="347"/>
      <c r="AA89" s="604"/>
      <c r="AB89" s="347"/>
      <c r="AC89" s="590"/>
      <c r="AD89" s="347"/>
      <c r="AE89" s="347"/>
      <c r="AF89" s="347"/>
      <c r="AG89" s="347"/>
      <c r="AH89" s="347"/>
      <c r="AI89" s="347"/>
      <c r="AJ89" s="347"/>
      <c r="AK89" s="347"/>
      <c r="AL89" s="347"/>
      <c r="AM89" s="347"/>
      <c r="AN89" s="347"/>
      <c r="AO89" s="347"/>
      <c r="AP89" s="347"/>
      <c r="AQ89" s="347"/>
      <c r="AR89" s="347"/>
      <c r="AS89" s="347"/>
      <c r="AT89" s="347"/>
      <c r="AU89" s="347"/>
      <c r="AV89" s="347"/>
      <c r="AW89" s="347"/>
      <c r="AX89" s="347"/>
      <c r="AY89" s="347"/>
      <c r="AZ89" s="347"/>
      <c r="BA89" s="347"/>
      <c r="BB89" s="347"/>
      <c r="BC89" s="347"/>
      <c r="BD89" s="347"/>
      <c r="BE89" s="347"/>
      <c r="BF89" s="347"/>
      <c r="BG89" s="347"/>
      <c r="BH89" s="347"/>
    </row>
    <row r="90">
      <c r="A90" s="347"/>
      <c r="B90" s="347"/>
      <c r="C90" s="347"/>
      <c r="D90" s="347"/>
      <c r="E90" s="347"/>
      <c r="F90" s="347"/>
      <c r="G90" s="347"/>
      <c r="H90" s="347"/>
      <c r="I90" s="347"/>
      <c r="J90" s="347"/>
      <c r="K90" s="348"/>
      <c r="L90" s="348"/>
      <c r="M90" s="348"/>
      <c r="N90" s="348"/>
      <c r="O90" s="348"/>
      <c r="P90" s="347"/>
      <c r="Q90" s="347"/>
      <c r="R90" s="347"/>
      <c r="S90" s="347"/>
      <c r="T90" s="347"/>
      <c r="U90" s="347"/>
      <c r="V90" s="347"/>
      <c r="W90" s="347"/>
      <c r="X90" s="347"/>
      <c r="Y90" s="347"/>
      <c r="Z90" s="347"/>
      <c r="AA90" s="604"/>
      <c r="AB90" s="347"/>
      <c r="AC90" s="590"/>
      <c r="AD90" s="347"/>
      <c r="AE90" s="347"/>
      <c r="AF90" s="347"/>
      <c r="AG90" s="347"/>
      <c r="AH90" s="347"/>
      <c r="AI90" s="347"/>
      <c r="AJ90" s="347"/>
      <c r="AK90" s="347"/>
      <c r="AL90" s="347"/>
      <c r="AM90" s="347"/>
      <c r="AN90" s="347"/>
      <c r="AO90" s="347"/>
      <c r="AP90" s="347"/>
      <c r="AQ90" s="347"/>
      <c r="AR90" s="347"/>
      <c r="AS90" s="347"/>
      <c r="AT90" s="347"/>
      <c r="AU90" s="347"/>
      <c r="AV90" s="347"/>
      <c r="AW90" s="347"/>
      <c r="AX90" s="347"/>
      <c r="AY90" s="347"/>
      <c r="AZ90" s="347"/>
      <c r="BA90" s="347"/>
      <c r="BB90" s="347"/>
      <c r="BC90" s="347"/>
      <c r="BD90" s="347"/>
      <c r="BE90" s="347"/>
      <c r="BF90" s="347"/>
      <c r="BG90" s="347"/>
      <c r="BH90" s="347"/>
    </row>
    <row r="91">
      <c r="A91" s="347"/>
      <c r="B91" s="347"/>
      <c r="C91" s="347"/>
      <c r="D91" s="347"/>
      <c r="E91" s="347"/>
      <c r="F91" s="347"/>
      <c r="G91" s="347"/>
      <c r="H91" s="347"/>
      <c r="I91" s="347"/>
      <c r="J91" s="347"/>
      <c r="K91" s="348"/>
      <c r="L91" s="348"/>
      <c r="M91" s="348"/>
      <c r="N91" s="348"/>
      <c r="O91" s="348"/>
      <c r="P91" s="347"/>
      <c r="Q91" s="347"/>
      <c r="R91" s="347"/>
      <c r="S91" s="347"/>
      <c r="T91" s="347"/>
      <c r="U91" s="347"/>
      <c r="V91" s="347"/>
      <c r="W91" s="347"/>
      <c r="X91" s="347"/>
      <c r="Y91" s="347"/>
      <c r="Z91" s="347"/>
      <c r="AA91" s="604"/>
      <c r="AB91" s="347"/>
      <c r="AC91" s="590"/>
      <c r="AD91" s="347"/>
      <c r="AE91" s="347"/>
      <c r="AF91" s="347"/>
      <c r="AG91" s="347"/>
      <c r="AH91" s="347"/>
      <c r="AI91" s="347"/>
      <c r="AJ91" s="347"/>
      <c r="AK91" s="347"/>
      <c r="AL91" s="347"/>
      <c r="AM91" s="347"/>
      <c r="AN91" s="347"/>
      <c r="AO91" s="347"/>
      <c r="AP91" s="347"/>
      <c r="AQ91" s="347"/>
      <c r="AR91" s="347"/>
      <c r="AS91" s="347"/>
      <c r="AT91" s="347"/>
      <c r="AU91" s="347"/>
      <c r="AV91" s="347"/>
      <c r="AW91" s="347"/>
      <c r="AX91" s="347"/>
      <c r="AY91" s="347"/>
      <c r="AZ91" s="347"/>
      <c r="BA91" s="347"/>
      <c r="BB91" s="347"/>
      <c r="BC91" s="347"/>
      <c r="BD91" s="347"/>
      <c r="BE91" s="347"/>
      <c r="BF91" s="347"/>
      <c r="BG91" s="347"/>
      <c r="BH91" s="347"/>
    </row>
    <row r="92">
      <c r="A92" s="347"/>
      <c r="B92" s="347"/>
      <c r="C92" s="347"/>
      <c r="D92" s="347"/>
      <c r="E92" s="347"/>
      <c r="F92" s="347"/>
      <c r="G92" s="347"/>
      <c r="H92" s="347"/>
      <c r="I92" s="347"/>
      <c r="J92" s="347"/>
      <c r="K92" s="348"/>
      <c r="L92" s="348"/>
      <c r="M92" s="348"/>
      <c r="N92" s="348"/>
      <c r="O92" s="348"/>
      <c r="P92" s="347"/>
      <c r="Q92" s="347"/>
      <c r="R92" s="347"/>
      <c r="S92" s="347"/>
      <c r="T92" s="347"/>
      <c r="U92" s="347"/>
      <c r="V92" s="347"/>
      <c r="W92" s="347"/>
      <c r="X92" s="347"/>
      <c r="Y92" s="347"/>
      <c r="Z92" s="347"/>
      <c r="AA92" s="604"/>
      <c r="AB92" s="347"/>
      <c r="AC92" s="590"/>
      <c r="AD92" s="347"/>
      <c r="AE92" s="347"/>
      <c r="AF92" s="347"/>
      <c r="AG92" s="347"/>
      <c r="AH92" s="347"/>
      <c r="AI92" s="347"/>
      <c r="AJ92" s="347"/>
      <c r="AK92" s="347"/>
      <c r="AL92" s="347"/>
      <c r="AM92" s="347"/>
      <c r="AN92" s="347"/>
      <c r="AO92" s="347"/>
      <c r="AP92" s="347"/>
      <c r="AQ92" s="347"/>
      <c r="AR92" s="347"/>
      <c r="AS92" s="347"/>
      <c r="AT92" s="347"/>
      <c r="AU92" s="347"/>
      <c r="AV92" s="347"/>
      <c r="AW92" s="347"/>
      <c r="AX92" s="347"/>
      <c r="AY92" s="347"/>
      <c r="AZ92" s="347"/>
      <c r="BA92" s="347"/>
      <c r="BB92" s="347"/>
      <c r="BC92" s="347"/>
      <c r="BD92" s="347"/>
      <c r="BE92" s="347"/>
      <c r="BF92" s="347"/>
      <c r="BG92" s="347"/>
      <c r="BH92" s="347"/>
    </row>
    <row r="93">
      <c r="A93" s="347"/>
      <c r="B93" s="347"/>
      <c r="C93" s="347"/>
      <c r="D93" s="347"/>
      <c r="E93" s="347"/>
      <c r="F93" s="347"/>
      <c r="G93" s="347"/>
      <c r="H93" s="347"/>
      <c r="I93" s="347"/>
      <c r="J93" s="347"/>
      <c r="K93" s="348"/>
      <c r="L93" s="348"/>
      <c r="M93" s="348"/>
      <c r="N93" s="348"/>
      <c r="O93" s="348"/>
      <c r="P93" s="347"/>
      <c r="Q93" s="347"/>
      <c r="R93" s="347"/>
      <c r="S93" s="347"/>
      <c r="T93" s="347"/>
      <c r="U93" s="347"/>
      <c r="V93" s="347"/>
      <c r="W93" s="347"/>
      <c r="X93" s="347"/>
      <c r="Y93" s="347"/>
      <c r="Z93" s="347"/>
      <c r="AA93" s="604"/>
      <c r="AB93" s="347"/>
      <c r="AC93" s="590"/>
      <c r="AD93" s="347"/>
      <c r="AE93" s="347"/>
      <c r="AF93" s="347"/>
      <c r="AG93" s="347"/>
      <c r="AH93" s="347"/>
      <c r="AI93" s="347"/>
      <c r="AJ93" s="347"/>
      <c r="AK93" s="347"/>
      <c r="AL93" s="347"/>
      <c r="AM93" s="347"/>
      <c r="AN93" s="347"/>
      <c r="AO93" s="347"/>
      <c r="AP93" s="347"/>
      <c r="AQ93" s="347"/>
      <c r="AR93" s="347"/>
      <c r="AS93" s="347"/>
      <c r="AT93" s="347"/>
      <c r="AU93" s="347"/>
      <c r="AV93" s="347"/>
      <c r="AW93" s="347"/>
      <c r="AX93" s="347"/>
      <c r="AY93" s="347"/>
      <c r="AZ93" s="347"/>
      <c r="BA93" s="347"/>
      <c r="BB93" s="347"/>
      <c r="BC93" s="347"/>
      <c r="BD93" s="347"/>
      <c r="BE93" s="347"/>
      <c r="BF93" s="347"/>
      <c r="BG93" s="347"/>
      <c r="BH93" s="347"/>
    </row>
    <row r="94">
      <c r="A94" s="347"/>
      <c r="B94" s="347"/>
      <c r="C94" s="347"/>
      <c r="D94" s="347"/>
      <c r="E94" s="347"/>
      <c r="F94" s="347"/>
      <c r="G94" s="347"/>
      <c r="H94" s="347"/>
      <c r="I94" s="347"/>
      <c r="J94" s="347"/>
      <c r="K94" s="348"/>
      <c r="L94" s="348"/>
      <c r="M94" s="348"/>
      <c r="N94" s="348"/>
      <c r="O94" s="348"/>
      <c r="P94" s="347"/>
      <c r="Q94" s="347"/>
      <c r="R94" s="347"/>
      <c r="S94" s="347"/>
      <c r="T94" s="347"/>
      <c r="U94" s="347"/>
      <c r="V94" s="347"/>
      <c r="W94" s="347"/>
      <c r="X94" s="347"/>
      <c r="Y94" s="347"/>
      <c r="Z94" s="347"/>
      <c r="AA94" s="604"/>
      <c r="AB94" s="347"/>
      <c r="AC94" s="590"/>
      <c r="AD94" s="347"/>
      <c r="AE94" s="347"/>
      <c r="AF94" s="347"/>
      <c r="AG94" s="347"/>
      <c r="AH94" s="347"/>
      <c r="AI94" s="347"/>
      <c r="AJ94" s="347"/>
      <c r="AK94" s="347"/>
      <c r="AL94" s="347"/>
      <c r="AM94" s="347"/>
      <c r="AN94" s="347"/>
      <c r="AO94" s="347"/>
      <c r="AP94" s="347"/>
      <c r="AQ94" s="347"/>
      <c r="AR94" s="347"/>
      <c r="AS94" s="347"/>
      <c r="AT94" s="347"/>
      <c r="AU94" s="347"/>
      <c r="AV94" s="347"/>
      <c r="AW94" s="347"/>
      <c r="AX94" s="347"/>
      <c r="AY94" s="347"/>
      <c r="AZ94" s="347"/>
      <c r="BA94" s="347"/>
      <c r="BB94" s="347"/>
      <c r="BC94" s="347"/>
      <c r="BD94" s="347"/>
      <c r="BE94" s="347"/>
      <c r="BF94" s="347"/>
      <c r="BG94" s="347"/>
      <c r="BH94" s="347"/>
    </row>
    <row r="95">
      <c r="A95" s="347"/>
      <c r="B95" s="347"/>
      <c r="C95" s="347"/>
      <c r="D95" s="347"/>
      <c r="E95" s="347"/>
      <c r="F95" s="347"/>
      <c r="G95" s="347"/>
      <c r="H95" s="347"/>
      <c r="I95" s="347"/>
      <c r="J95" s="347"/>
      <c r="K95" s="348"/>
      <c r="L95" s="348"/>
      <c r="M95" s="348"/>
      <c r="N95" s="348"/>
      <c r="O95" s="348"/>
      <c r="P95" s="347"/>
      <c r="Q95" s="347"/>
      <c r="R95" s="347"/>
      <c r="S95" s="347"/>
      <c r="T95" s="347"/>
      <c r="U95" s="347"/>
      <c r="V95" s="347"/>
      <c r="W95" s="347"/>
      <c r="X95" s="347"/>
      <c r="Y95" s="347"/>
      <c r="Z95" s="347"/>
      <c r="AA95" s="604"/>
      <c r="AB95" s="347"/>
      <c r="AC95" s="590"/>
      <c r="AD95" s="347"/>
      <c r="AE95" s="347"/>
      <c r="AF95" s="347"/>
      <c r="AG95" s="347"/>
      <c r="AH95" s="347"/>
      <c r="AI95" s="347"/>
      <c r="AJ95" s="347"/>
      <c r="AK95" s="347"/>
      <c r="AL95" s="347"/>
      <c r="AM95" s="347"/>
      <c r="AN95" s="347"/>
      <c r="AO95" s="347"/>
      <c r="AP95" s="347"/>
      <c r="AQ95" s="347"/>
      <c r="AR95" s="347"/>
      <c r="AS95" s="347"/>
      <c r="AT95" s="347"/>
      <c r="AU95" s="347"/>
      <c r="AV95" s="347"/>
      <c r="AW95" s="347"/>
      <c r="AX95" s="347"/>
      <c r="AY95" s="347"/>
      <c r="AZ95" s="347"/>
      <c r="BA95" s="347"/>
      <c r="BB95" s="347"/>
      <c r="BC95" s="347"/>
      <c r="BD95" s="347"/>
      <c r="BE95" s="347"/>
      <c r="BF95" s="347"/>
      <c r="BG95" s="347"/>
      <c r="BH95" s="347"/>
    </row>
    <row r="96">
      <c r="A96" s="347"/>
      <c r="B96" s="347"/>
      <c r="C96" s="347"/>
      <c r="D96" s="347"/>
      <c r="E96" s="347"/>
      <c r="F96" s="347"/>
      <c r="G96" s="347"/>
      <c r="H96" s="347"/>
      <c r="I96" s="347"/>
      <c r="J96" s="347"/>
      <c r="K96" s="348"/>
      <c r="L96" s="348"/>
      <c r="M96" s="348"/>
      <c r="N96" s="348"/>
      <c r="O96" s="348"/>
      <c r="P96" s="347"/>
      <c r="Q96" s="347"/>
      <c r="R96" s="347"/>
      <c r="S96" s="347"/>
      <c r="T96" s="347"/>
      <c r="U96" s="347"/>
      <c r="V96" s="347"/>
      <c r="W96" s="347"/>
      <c r="X96" s="347"/>
      <c r="Y96" s="347"/>
      <c r="Z96" s="347"/>
      <c r="AA96" s="604"/>
      <c r="AB96" s="347"/>
      <c r="AC96" s="590"/>
      <c r="AD96" s="347"/>
      <c r="AE96" s="347"/>
      <c r="AF96" s="347"/>
      <c r="AG96" s="347"/>
      <c r="AH96" s="347"/>
      <c r="AI96" s="347"/>
      <c r="AJ96" s="347"/>
      <c r="AK96" s="347"/>
      <c r="AL96" s="347"/>
      <c r="AM96" s="347"/>
      <c r="AN96" s="347"/>
      <c r="AO96" s="347"/>
      <c r="AP96" s="347"/>
      <c r="AQ96" s="347"/>
      <c r="AR96" s="347"/>
      <c r="AS96" s="347"/>
      <c r="AT96" s="347"/>
      <c r="AU96" s="347"/>
      <c r="AV96" s="347"/>
      <c r="AW96" s="347"/>
      <c r="AX96" s="347"/>
      <c r="AY96" s="347"/>
      <c r="AZ96" s="347"/>
      <c r="BA96" s="347"/>
      <c r="BB96" s="347"/>
      <c r="BC96" s="347"/>
      <c r="BD96" s="347"/>
      <c r="BE96" s="347"/>
      <c r="BF96" s="347"/>
      <c r="BG96" s="347"/>
      <c r="BH96" s="347"/>
    </row>
    <row r="97">
      <c r="A97" s="347"/>
      <c r="B97" s="347"/>
      <c r="C97" s="347"/>
      <c r="D97" s="347"/>
      <c r="E97" s="347"/>
      <c r="F97" s="347"/>
      <c r="G97" s="347"/>
      <c r="H97" s="347"/>
      <c r="I97" s="347"/>
      <c r="J97" s="347"/>
      <c r="K97" s="348"/>
      <c r="L97" s="348"/>
      <c r="M97" s="348"/>
      <c r="N97" s="348"/>
      <c r="O97" s="348"/>
      <c r="P97" s="347"/>
      <c r="Q97" s="347"/>
      <c r="R97" s="347"/>
      <c r="S97" s="347"/>
      <c r="T97" s="347"/>
      <c r="U97" s="347"/>
      <c r="V97" s="347"/>
      <c r="W97" s="347"/>
      <c r="X97" s="347"/>
      <c r="Y97" s="347"/>
      <c r="Z97" s="347"/>
      <c r="AA97" s="604"/>
      <c r="AB97" s="347"/>
      <c r="AC97" s="590"/>
      <c r="AD97" s="347"/>
      <c r="AE97" s="347"/>
      <c r="AF97" s="347"/>
      <c r="AG97" s="347"/>
      <c r="AH97" s="347"/>
      <c r="AI97" s="347"/>
      <c r="AJ97" s="347"/>
      <c r="AK97" s="347"/>
      <c r="AL97" s="347"/>
      <c r="AM97" s="347"/>
      <c r="AN97" s="347"/>
      <c r="AO97" s="347"/>
      <c r="AP97" s="347"/>
      <c r="AQ97" s="347"/>
      <c r="AR97" s="347"/>
      <c r="AS97" s="347"/>
      <c r="AT97" s="347"/>
      <c r="AU97" s="347"/>
      <c r="AV97" s="347"/>
      <c r="AW97" s="347"/>
      <c r="AX97" s="347"/>
      <c r="AY97" s="347"/>
      <c r="AZ97" s="347"/>
      <c r="BA97" s="347"/>
      <c r="BB97" s="347"/>
      <c r="BC97" s="347"/>
      <c r="BD97" s="347"/>
      <c r="BE97" s="347"/>
      <c r="BF97" s="347"/>
      <c r="BG97" s="347"/>
      <c r="BH97" s="347"/>
    </row>
    <row r="98">
      <c r="A98" s="347"/>
      <c r="B98" s="347"/>
      <c r="C98" s="347"/>
      <c r="D98" s="347"/>
      <c r="E98" s="347"/>
      <c r="F98" s="347"/>
      <c r="G98" s="347"/>
      <c r="H98" s="347"/>
      <c r="I98" s="347"/>
      <c r="J98" s="347"/>
      <c r="K98" s="348"/>
      <c r="L98" s="348"/>
      <c r="M98" s="348"/>
      <c r="N98" s="348"/>
      <c r="O98" s="348"/>
      <c r="P98" s="347"/>
      <c r="Q98" s="347"/>
      <c r="R98" s="347"/>
      <c r="S98" s="347"/>
      <c r="T98" s="347"/>
      <c r="U98" s="347"/>
      <c r="V98" s="347"/>
      <c r="W98" s="347"/>
      <c r="X98" s="347"/>
      <c r="Y98" s="347"/>
      <c r="Z98" s="347"/>
      <c r="AA98" s="604"/>
      <c r="AB98" s="347"/>
      <c r="AC98" s="590"/>
      <c r="AD98" s="347"/>
      <c r="AE98" s="347"/>
      <c r="AF98" s="347"/>
      <c r="AG98" s="347"/>
      <c r="AH98" s="347"/>
      <c r="AI98" s="347"/>
      <c r="AJ98" s="347"/>
      <c r="AK98" s="347"/>
      <c r="AL98" s="347"/>
      <c r="AM98" s="347"/>
      <c r="AN98" s="347"/>
      <c r="AO98" s="347"/>
      <c r="AP98" s="347"/>
      <c r="AQ98" s="347"/>
      <c r="AR98" s="347"/>
      <c r="AS98" s="347"/>
      <c r="AT98" s="347"/>
      <c r="AU98" s="347"/>
      <c r="AV98" s="347"/>
      <c r="AW98" s="347"/>
      <c r="AX98" s="347"/>
      <c r="AY98" s="347"/>
      <c r="AZ98" s="347"/>
      <c r="BA98" s="347"/>
      <c r="BB98" s="347"/>
      <c r="BC98" s="347"/>
      <c r="BD98" s="347"/>
      <c r="BE98" s="347"/>
      <c r="BF98" s="347"/>
      <c r="BG98" s="347"/>
      <c r="BH98" s="347"/>
    </row>
    <row r="99">
      <c r="A99" s="347"/>
      <c r="B99" s="347"/>
      <c r="C99" s="347"/>
      <c r="D99" s="347"/>
      <c r="E99" s="347"/>
      <c r="F99" s="347"/>
      <c r="G99" s="347"/>
      <c r="H99" s="347"/>
      <c r="I99" s="347"/>
      <c r="J99" s="347"/>
      <c r="K99" s="348"/>
      <c r="L99" s="348"/>
      <c r="M99" s="348"/>
      <c r="N99" s="348"/>
      <c r="O99" s="348"/>
      <c r="P99" s="347"/>
      <c r="Q99" s="347"/>
      <c r="R99" s="347"/>
      <c r="S99" s="347"/>
      <c r="T99" s="347"/>
      <c r="U99" s="347"/>
      <c r="V99" s="347"/>
      <c r="W99" s="347"/>
      <c r="X99" s="347"/>
      <c r="Y99" s="347"/>
      <c r="Z99" s="347"/>
      <c r="AA99" s="604"/>
      <c r="AB99" s="347"/>
      <c r="AC99" s="590"/>
      <c r="AD99" s="347"/>
      <c r="AE99" s="347"/>
      <c r="AF99" s="347"/>
      <c r="AG99" s="347"/>
      <c r="AH99" s="347"/>
      <c r="AI99" s="347"/>
      <c r="AJ99" s="347"/>
      <c r="AK99" s="347"/>
      <c r="AL99" s="347"/>
      <c r="AM99" s="347"/>
      <c r="AN99" s="347"/>
      <c r="AO99" s="347"/>
      <c r="AP99" s="347"/>
      <c r="AQ99" s="347"/>
      <c r="AR99" s="347"/>
      <c r="AS99" s="347"/>
      <c r="AT99" s="347"/>
      <c r="AU99" s="347"/>
      <c r="AV99" s="347"/>
      <c r="AW99" s="347"/>
      <c r="AX99" s="347"/>
      <c r="AY99" s="347"/>
      <c r="AZ99" s="347"/>
      <c r="BA99" s="347"/>
      <c r="BB99" s="347"/>
      <c r="BC99" s="347"/>
      <c r="BD99" s="347"/>
      <c r="BE99" s="347"/>
      <c r="BF99" s="347"/>
      <c r="BG99" s="347"/>
      <c r="BH99" s="347"/>
    </row>
    <row r="100">
      <c r="A100" s="347"/>
      <c r="B100" s="347"/>
      <c r="C100" s="347"/>
      <c r="D100" s="347"/>
      <c r="E100" s="347"/>
      <c r="F100" s="347"/>
      <c r="G100" s="347"/>
      <c r="H100" s="347"/>
      <c r="I100" s="347"/>
      <c r="J100" s="347"/>
      <c r="K100" s="348"/>
      <c r="L100" s="348"/>
      <c r="M100" s="348"/>
      <c r="N100" s="348"/>
      <c r="O100" s="348"/>
      <c r="P100" s="347"/>
      <c r="Q100" s="347"/>
      <c r="R100" s="347"/>
      <c r="S100" s="347"/>
      <c r="T100" s="347"/>
      <c r="U100" s="347"/>
      <c r="V100" s="347"/>
      <c r="W100" s="347"/>
      <c r="X100" s="347"/>
      <c r="Y100" s="347"/>
      <c r="Z100" s="347"/>
      <c r="AA100" s="604"/>
      <c r="AB100" s="347"/>
      <c r="AC100" s="590"/>
      <c r="AD100" s="347"/>
      <c r="AE100" s="347"/>
      <c r="AF100" s="347"/>
      <c r="AG100" s="347"/>
      <c r="AH100" s="347"/>
      <c r="AI100" s="347"/>
      <c r="AJ100" s="347"/>
      <c r="AK100" s="347"/>
      <c r="AL100" s="347"/>
      <c r="AM100" s="347"/>
      <c r="AN100" s="347"/>
      <c r="AO100" s="347"/>
      <c r="AP100" s="347"/>
      <c r="AQ100" s="347"/>
      <c r="AR100" s="347"/>
      <c r="AS100" s="347"/>
      <c r="AT100" s="347"/>
      <c r="AU100" s="347"/>
      <c r="AV100" s="347"/>
      <c r="AW100" s="347"/>
      <c r="AX100" s="347"/>
      <c r="AY100" s="347"/>
      <c r="AZ100" s="347"/>
      <c r="BA100" s="347"/>
      <c r="BB100" s="347"/>
      <c r="BC100" s="347"/>
      <c r="BD100" s="347"/>
      <c r="BE100" s="347"/>
      <c r="BF100" s="347"/>
      <c r="BG100" s="347"/>
      <c r="BH100" s="347"/>
    </row>
    <row r="101">
      <c r="A101" s="347"/>
      <c r="B101" s="347"/>
      <c r="C101" s="347"/>
      <c r="D101" s="347"/>
      <c r="E101" s="347"/>
      <c r="F101" s="347"/>
      <c r="G101" s="347"/>
      <c r="H101" s="347"/>
      <c r="I101" s="347"/>
      <c r="J101" s="347"/>
      <c r="K101" s="348"/>
      <c r="L101" s="348"/>
      <c r="M101" s="348"/>
      <c r="N101" s="348"/>
      <c r="O101" s="348"/>
      <c r="P101" s="347"/>
      <c r="Q101" s="347"/>
      <c r="R101" s="347"/>
      <c r="S101" s="347"/>
      <c r="T101" s="347"/>
      <c r="U101" s="347"/>
      <c r="V101" s="347"/>
      <c r="W101" s="347"/>
      <c r="X101" s="347"/>
      <c r="Y101" s="347"/>
      <c r="Z101" s="347"/>
      <c r="AA101" s="604"/>
      <c r="AB101" s="347"/>
      <c r="AC101" s="590"/>
      <c r="AD101" s="347"/>
      <c r="AE101" s="347"/>
      <c r="AF101" s="347"/>
      <c r="AG101" s="347"/>
      <c r="AH101" s="347"/>
      <c r="AI101" s="347"/>
      <c r="AJ101" s="347"/>
      <c r="AK101" s="347"/>
      <c r="AL101" s="347"/>
      <c r="AM101" s="347"/>
      <c r="AN101" s="347"/>
      <c r="AO101" s="347"/>
      <c r="AP101" s="347"/>
      <c r="AQ101" s="347"/>
      <c r="AR101" s="347"/>
      <c r="AS101" s="347"/>
      <c r="AT101" s="347"/>
      <c r="AU101" s="347"/>
      <c r="AV101" s="347"/>
      <c r="AW101" s="347"/>
      <c r="AX101" s="347"/>
      <c r="AY101" s="347"/>
      <c r="AZ101" s="347"/>
      <c r="BA101" s="347"/>
      <c r="BB101" s="347"/>
      <c r="BC101" s="347"/>
      <c r="BD101" s="347"/>
      <c r="BE101" s="347"/>
      <c r="BF101" s="347"/>
      <c r="BG101" s="347"/>
      <c r="BH101" s="347"/>
    </row>
    <row r="102">
      <c r="A102" s="347"/>
      <c r="B102" s="347"/>
      <c r="C102" s="347"/>
      <c r="D102" s="347"/>
      <c r="E102" s="347"/>
      <c r="F102" s="347"/>
      <c r="G102" s="347"/>
      <c r="H102" s="347"/>
      <c r="I102" s="347"/>
      <c r="J102" s="347"/>
      <c r="K102" s="348"/>
      <c r="L102" s="348"/>
      <c r="M102" s="348"/>
      <c r="N102" s="348"/>
      <c r="O102" s="348"/>
      <c r="P102" s="347"/>
      <c r="Q102" s="347"/>
      <c r="R102" s="347"/>
      <c r="S102" s="347"/>
      <c r="T102" s="347"/>
      <c r="U102" s="347"/>
      <c r="V102" s="347"/>
      <c r="W102" s="347"/>
      <c r="X102" s="347"/>
      <c r="Y102" s="347"/>
      <c r="Z102" s="347"/>
      <c r="AA102" s="604"/>
      <c r="AB102" s="347"/>
      <c r="AC102" s="590"/>
      <c r="AD102" s="347"/>
      <c r="AE102" s="347"/>
      <c r="AF102" s="347"/>
      <c r="AG102" s="347"/>
      <c r="AH102" s="347"/>
      <c r="AI102" s="347"/>
      <c r="AJ102" s="347"/>
      <c r="AK102" s="347"/>
      <c r="AL102" s="347"/>
      <c r="AM102" s="347"/>
      <c r="AN102" s="347"/>
      <c r="AO102" s="347"/>
      <c r="AP102" s="347"/>
      <c r="AQ102" s="347"/>
      <c r="AR102" s="347"/>
      <c r="AS102" s="347"/>
      <c r="AT102" s="347"/>
      <c r="AU102" s="347"/>
      <c r="AV102" s="347"/>
      <c r="AW102" s="347"/>
      <c r="AX102" s="347"/>
      <c r="AY102" s="347"/>
      <c r="AZ102" s="347"/>
      <c r="BA102" s="347"/>
      <c r="BB102" s="347"/>
      <c r="BC102" s="347"/>
      <c r="BD102" s="347"/>
      <c r="BE102" s="347"/>
      <c r="BF102" s="347"/>
      <c r="BG102" s="347"/>
      <c r="BH102" s="347"/>
    </row>
    <row r="103">
      <c r="A103" s="347"/>
      <c r="B103" s="347"/>
      <c r="C103" s="347"/>
      <c r="D103" s="347"/>
      <c r="E103" s="347"/>
      <c r="F103" s="347"/>
      <c r="G103" s="347"/>
      <c r="H103" s="347"/>
      <c r="I103" s="347"/>
      <c r="J103" s="347"/>
      <c r="K103" s="348"/>
      <c r="L103" s="348"/>
      <c r="M103" s="348"/>
      <c r="N103" s="348"/>
      <c r="O103" s="348"/>
      <c r="P103" s="347"/>
      <c r="Q103" s="347"/>
      <c r="R103" s="347"/>
      <c r="S103" s="347"/>
      <c r="T103" s="347"/>
      <c r="U103" s="347"/>
      <c r="V103" s="347"/>
      <c r="W103" s="347"/>
      <c r="X103" s="347"/>
      <c r="Y103" s="347"/>
      <c r="Z103" s="347"/>
      <c r="AA103" s="604"/>
      <c r="AB103" s="347"/>
      <c r="AC103" s="590"/>
      <c r="AD103" s="347"/>
      <c r="AE103" s="347"/>
      <c r="AF103" s="347"/>
      <c r="AG103" s="347"/>
      <c r="AH103" s="347"/>
      <c r="AI103" s="347"/>
      <c r="AJ103" s="347"/>
      <c r="AK103" s="347"/>
      <c r="AL103" s="347"/>
      <c r="AM103" s="347"/>
      <c r="AN103" s="347"/>
      <c r="AO103" s="347"/>
      <c r="AP103" s="347"/>
      <c r="AQ103" s="347"/>
      <c r="AR103" s="347"/>
      <c r="AS103" s="347"/>
      <c r="AT103" s="347"/>
      <c r="AU103" s="347"/>
      <c r="AV103" s="347"/>
      <c r="AW103" s="347"/>
      <c r="AX103" s="347"/>
      <c r="AY103" s="347"/>
      <c r="AZ103" s="347"/>
      <c r="BA103" s="347"/>
      <c r="BB103" s="347"/>
      <c r="BC103" s="347"/>
      <c r="BD103" s="347"/>
      <c r="BE103" s="347"/>
      <c r="BF103" s="347"/>
      <c r="BG103" s="347"/>
      <c r="BH103" s="347"/>
    </row>
    <row r="104">
      <c r="A104" s="347"/>
      <c r="B104" s="347"/>
      <c r="C104" s="347"/>
      <c r="D104" s="347"/>
      <c r="E104" s="347"/>
      <c r="F104" s="347"/>
      <c r="G104" s="347"/>
      <c r="H104" s="347"/>
      <c r="I104" s="347"/>
      <c r="J104" s="347"/>
      <c r="K104" s="348"/>
      <c r="L104" s="348"/>
      <c r="M104" s="348"/>
      <c r="N104" s="348"/>
      <c r="O104" s="348"/>
      <c r="P104" s="347"/>
      <c r="Q104" s="347"/>
      <c r="R104" s="347"/>
      <c r="S104" s="347"/>
      <c r="T104" s="347"/>
      <c r="U104" s="347"/>
      <c r="V104" s="347"/>
      <c r="W104" s="347"/>
      <c r="X104" s="347"/>
      <c r="Y104" s="347"/>
      <c r="Z104" s="347"/>
      <c r="AA104" s="604"/>
      <c r="AB104" s="347"/>
      <c r="AC104" s="590"/>
      <c r="AD104" s="347"/>
      <c r="AE104" s="347"/>
      <c r="AF104" s="347"/>
      <c r="AG104" s="347"/>
      <c r="AH104" s="347"/>
      <c r="AI104" s="347"/>
      <c r="AJ104" s="347"/>
      <c r="AK104" s="347"/>
      <c r="AL104" s="347"/>
      <c r="AM104" s="347"/>
      <c r="AN104" s="347"/>
      <c r="AO104" s="347"/>
      <c r="AP104" s="347"/>
      <c r="AQ104" s="347"/>
      <c r="AR104" s="347"/>
      <c r="AS104" s="347"/>
      <c r="AT104" s="347"/>
      <c r="AU104" s="347"/>
      <c r="AV104" s="347"/>
      <c r="AW104" s="347"/>
      <c r="AX104" s="347"/>
      <c r="AY104" s="347"/>
      <c r="AZ104" s="347"/>
      <c r="BA104" s="347"/>
      <c r="BB104" s="347"/>
      <c r="BC104" s="347"/>
      <c r="BD104" s="347"/>
      <c r="BE104" s="347"/>
      <c r="BF104" s="347"/>
      <c r="BG104" s="347"/>
      <c r="BH104" s="347"/>
    </row>
    <row r="105">
      <c r="A105" s="347"/>
      <c r="B105" s="347"/>
      <c r="C105" s="347"/>
      <c r="D105" s="347"/>
      <c r="E105" s="347"/>
      <c r="F105" s="347"/>
      <c r="G105" s="347"/>
      <c r="H105" s="347"/>
      <c r="I105" s="347"/>
      <c r="J105" s="347"/>
      <c r="K105" s="348"/>
      <c r="L105" s="348"/>
      <c r="M105" s="348"/>
      <c r="N105" s="348"/>
      <c r="O105" s="348"/>
      <c r="P105" s="347"/>
      <c r="Q105" s="347"/>
      <c r="R105" s="347"/>
      <c r="S105" s="347"/>
      <c r="T105" s="347"/>
      <c r="U105" s="347"/>
      <c r="V105" s="347"/>
      <c r="W105" s="347"/>
      <c r="X105" s="347"/>
      <c r="Y105" s="347"/>
      <c r="Z105" s="347"/>
      <c r="AA105" s="604"/>
      <c r="AB105" s="347"/>
      <c r="AC105" s="590"/>
      <c r="AD105" s="347"/>
      <c r="AE105" s="347"/>
      <c r="AF105" s="347"/>
      <c r="AG105" s="347"/>
      <c r="AH105" s="347"/>
      <c r="AI105" s="347"/>
      <c r="AJ105" s="347"/>
      <c r="AK105" s="347"/>
      <c r="AL105" s="347"/>
      <c r="AM105" s="347"/>
      <c r="AN105" s="347"/>
      <c r="AO105" s="347"/>
      <c r="AP105" s="347"/>
      <c r="AQ105" s="347"/>
      <c r="AR105" s="347"/>
      <c r="AS105" s="347"/>
      <c r="AT105" s="347"/>
      <c r="AU105" s="347"/>
      <c r="AV105" s="347"/>
      <c r="AW105" s="347"/>
      <c r="AX105" s="347"/>
      <c r="AY105" s="347"/>
      <c r="AZ105" s="347"/>
      <c r="BA105" s="347"/>
      <c r="BB105" s="347"/>
      <c r="BC105" s="347"/>
      <c r="BD105" s="347"/>
      <c r="BE105" s="347"/>
      <c r="BF105" s="347"/>
      <c r="BG105" s="347"/>
      <c r="BH105" s="347"/>
    </row>
    <row r="106">
      <c r="A106" s="347"/>
      <c r="B106" s="347"/>
      <c r="C106" s="347"/>
      <c r="D106" s="347"/>
      <c r="E106" s="347"/>
      <c r="F106" s="347"/>
      <c r="G106" s="347"/>
      <c r="H106" s="347"/>
      <c r="I106" s="347"/>
      <c r="J106" s="347"/>
      <c r="K106" s="348"/>
      <c r="L106" s="348"/>
      <c r="M106" s="348"/>
      <c r="N106" s="348"/>
      <c r="O106" s="348"/>
      <c r="P106" s="347"/>
      <c r="Q106" s="347"/>
      <c r="R106" s="347"/>
      <c r="S106" s="347"/>
      <c r="T106" s="347"/>
      <c r="U106" s="347"/>
      <c r="V106" s="347"/>
      <c r="W106" s="347"/>
      <c r="X106" s="347"/>
      <c r="Y106" s="347"/>
      <c r="Z106" s="347"/>
      <c r="AA106" s="604"/>
      <c r="AB106" s="347"/>
      <c r="AC106" s="590"/>
      <c r="AD106" s="347"/>
      <c r="AE106" s="347"/>
      <c r="AF106" s="347"/>
      <c r="AG106" s="347"/>
      <c r="AH106" s="347"/>
      <c r="AI106" s="347"/>
      <c r="AJ106" s="347"/>
      <c r="AK106" s="347"/>
      <c r="AL106" s="347"/>
      <c r="AM106" s="347"/>
      <c r="AN106" s="347"/>
      <c r="AO106" s="347"/>
      <c r="AP106" s="347"/>
      <c r="AQ106" s="347"/>
      <c r="AR106" s="347"/>
      <c r="AS106" s="347"/>
      <c r="AT106" s="347"/>
      <c r="AU106" s="347"/>
      <c r="AV106" s="347"/>
      <c r="AW106" s="347"/>
      <c r="AX106" s="347"/>
      <c r="AY106" s="347"/>
      <c r="AZ106" s="347"/>
      <c r="BA106" s="347"/>
      <c r="BB106" s="347"/>
      <c r="BC106" s="347"/>
      <c r="BD106" s="347"/>
      <c r="BE106" s="347"/>
      <c r="BF106" s="347"/>
      <c r="BG106" s="347"/>
      <c r="BH106" s="347"/>
    </row>
    <row r="107">
      <c r="A107" s="347"/>
      <c r="B107" s="347"/>
      <c r="C107" s="347"/>
      <c r="D107" s="347"/>
      <c r="E107" s="347"/>
      <c r="F107" s="347"/>
      <c r="G107" s="347"/>
      <c r="H107" s="347"/>
      <c r="I107" s="347"/>
      <c r="J107" s="347"/>
      <c r="K107" s="348"/>
      <c r="L107" s="348"/>
      <c r="M107" s="348"/>
      <c r="N107" s="348"/>
      <c r="O107" s="348"/>
      <c r="P107" s="347"/>
      <c r="Q107" s="347"/>
      <c r="R107" s="347"/>
      <c r="S107" s="347"/>
      <c r="T107" s="347"/>
      <c r="U107" s="347"/>
      <c r="V107" s="347"/>
      <c r="W107" s="347"/>
      <c r="X107" s="347"/>
      <c r="Y107" s="347"/>
      <c r="Z107" s="347"/>
      <c r="AA107" s="604"/>
      <c r="AB107" s="347"/>
      <c r="AC107" s="590"/>
      <c r="AD107" s="347"/>
      <c r="AE107" s="347"/>
      <c r="AF107" s="347"/>
      <c r="AG107" s="347"/>
      <c r="AH107" s="347"/>
      <c r="AI107" s="347"/>
      <c r="AJ107" s="347"/>
      <c r="AK107" s="347"/>
      <c r="AL107" s="347"/>
      <c r="AM107" s="347"/>
      <c r="AN107" s="347"/>
      <c r="AO107" s="347"/>
      <c r="AP107" s="347"/>
      <c r="AQ107" s="347"/>
      <c r="AR107" s="347"/>
      <c r="AS107" s="347"/>
      <c r="AT107" s="347"/>
      <c r="AU107" s="347"/>
      <c r="AV107" s="347"/>
      <c r="AW107" s="347"/>
      <c r="AX107" s="347"/>
      <c r="AY107" s="347"/>
      <c r="AZ107" s="347"/>
      <c r="BA107" s="347"/>
      <c r="BB107" s="347"/>
      <c r="BC107" s="347"/>
      <c r="BD107" s="347"/>
      <c r="BE107" s="347"/>
      <c r="BF107" s="347"/>
      <c r="BG107" s="347"/>
      <c r="BH107" s="347"/>
    </row>
    <row r="108">
      <c r="A108" s="347"/>
      <c r="B108" s="347"/>
      <c r="C108" s="347"/>
      <c r="D108" s="347"/>
      <c r="E108" s="347"/>
      <c r="F108" s="347"/>
      <c r="G108" s="347"/>
      <c r="H108" s="347"/>
      <c r="I108" s="347"/>
      <c r="J108" s="347"/>
      <c r="K108" s="348"/>
      <c r="L108" s="348"/>
      <c r="M108" s="348"/>
      <c r="N108" s="348"/>
      <c r="O108" s="348"/>
      <c r="P108" s="347"/>
      <c r="Q108" s="347"/>
      <c r="R108" s="347"/>
      <c r="S108" s="347"/>
      <c r="T108" s="347"/>
      <c r="U108" s="347"/>
      <c r="V108" s="347"/>
      <c r="W108" s="347"/>
      <c r="X108" s="347"/>
      <c r="Y108" s="347"/>
      <c r="Z108" s="347"/>
      <c r="AA108" s="604"/>
      <c r="AB108" s="347"/>
      <c r="AC108" s="590"/>
      <c r="AD108" s="347"/>
      <c r="AE108" s="347"/>
      <c r="AF108" s="347"/>
      <c r="AG108" s="347"/>
      <c r="AH108" s="347"/>
      <c r="AI108" s="347"/>
      <c r="AJ108" s="347"/>
      <c r="AK108" s="347"/>
      <c r="AL108" s="347"/>
      <c r="AM108" s="347"/>
      <c r="AN108" s="347"/>
      <c r="AO108" s="347"/>
      <c r="AP108" s="347"/>
      <c r="AQ108" s="347"/>
      <c r="AR108" s="347"/>
      <c r="AS108" s="347"/>
      <c r="AT108" s="347"/>
      <c r="AU108" s="347"/>
      <c r="AV108" s="347"/>
      <c r="AW108" s="347"/>
      <c r="AX108" s="347"/>
      <c r="AY108" s="347"/>
      <c r="AZ108" s="347"/>
      <c r="BA108" s="347"/>
      <c r="BB108" s="347"/>
      <c r="BC108" s="347"/>
      <c r="BD108" s="347"/>
      <c r="BE108" s="347"/>
      <c r="BF108" s="347"/>
      <c r="BG108" s="347"/>
      <c r="BH108" s="347"/>
    </row>
    <row r="109">
      <c r="A109" s="347"/>
      <c r="B109" s="347"/>
      <c r="C109" s="347"/>
      <c r="D109" s="347"/>
      <c r="E109" s="347"/>
      <c r="F109" s="347"/>
      <c r="G109" s="347"/>
      <c r="H109" s="347"/>
      <c r="I109" s="347"/>
      <c r="J109" s="347"/>
      <c r="K109" s="348"/>
      <c r="L109" s="348"/>
      <c r="M109" s="348"/>
      <c r="N109" s="348"/>
      <c r="O109" s="348"/>
      <c r="P109" s="347"/>
      <c r="Q109" s="347"/>
      <c r="R109" s="347"/>
      <c r="S109" s="347"/>
      <c r="T109" s="347"/>
      <c r="U109" s="347"/>
      <c r="V109" s="347"/>
      <c r="W109" s="347"/>
      <c r="X109" s="347"/>
      <c r="Y109" s="347"/>
      <c r="Z109" s="347"/>
      <c r="AA109" s="604"/>
      <c r="AB109" s="347"/>
      <c r="AC109" s="590"/>
      <c r="AD109" s="347"/>
      <c r="AE109" s="347"/>
      <c r="AF109" s="347"/>
      <c r="AG109" s="347"/>
      <c r="AH109" s="347"/>
      <c r="AI109" s="347"/>
      <c r="AJ109" s="347"/>
      <c r="AK109" s="347"/>
      <c r="AL109" s="347"/>
      <c r="AM109" s="347"/>
      <c r="AN109" s="347"/>
      <c r="AO109" s="347"/>
      <c r="AP109" s="347"/>
      <c r="AQ109" s="347"/>
      <c r="AR109" s="347"/>
      <c r="AS109" s="347"/>
      <c r="AT109" s="347"/>
      <c r="AU109" s="347"/>
      <c r="AV109" s="347"/>
      <c r="AW109" s="347"/>
      <c r="AX109" s="347"/>
      <c r="AY109" s="347"/>
      <c r="AZ109" s="347"/>
      <c r="BA109" s="347"/>
      <c r="BB109" s="347"/>
      <c r="BC109" s="347"/>
      <c r="BD109" s="347"/>
      <c r="BE109" s="347"/>
      <c r="BF109" s="347"/>
      <c r="BG109" s="347"/>
      <c r="BH109" s="347"/>
    </row>
    <row r="110">
      <c r="A110" s="347"/>
      <c r="B110" s="347"/>
      <c r="C110" s="347"/>
      <c r="D110" s="347"/>
      <c r="E110" s="347"/>
      <c r="F110" s="347"/>
      <c r="G110" s="347"/>
      <c r="H110" s="347"/>
      <c r="I110" s="347"/>
      <c r="J110" s="347"/>
      <c r="K110" s="348"/>
      <c r="L110" s="348"/>
      <c r="M110" s="348"/>
      <c r="N110" s="348"/>
      <c r="O110" s="348"/>
      <c r="P110" s="347"/>
      <c r="Q110" s="347"/>
      <c r="R110" s="347"/>
      <c r="S110" s="347"/>
      <c r="T110" s="347"/>
      <c r="U110" s="347"/>
      <c r="V110" s="347"/>
      <c r="W110" s="347"/>
      <c r="X110" s="347"/>
      <c r="Y110" s="347"/>
      <c r="Z110" s="347"/>
      <c r="AA110" s="604"/>
      <c r="AB110" s="347"/>
      <c r="AC110" s="590"/>
      <c r="AD110" s="347"/>
      <c r="AE110" s="347"/>
      <c r="AF110" s="347"/>
      <c r="AG110" s="347"/>
      <c r="AH110" s="347"/>
      <c r="AI110" s="347"/>
      <c r="AJ110" s="347"/>
      <c r="AK110" s="347"/>
      <c r="AL110" s="347"/>
      <c r="AM110" s="347"/>
      <c r="AN110" s="347"/>
      <c r="AO110" s="347"/>
      <c r="AP110" s="347"/>
      <c r="AQ110" s="347"/>
      <c r="AR110" s="347"/>
      <c r="AS110" s="347"/>
      <c r="AT110" s="347"/>
      <c r="AU110" s="347"/>
      <c r="AV110" s="347"/>
      <c r="AW110" s="347"/>
      <c r="AX110" s="347"/>
      <c r="AY110" s="347"/>
      <c r="AZ110" s="347"/>
      <c r="BA110" s="347"/>
      <c r="BB110" s="347"/>
      <c r="BC110" s="347"/>
      <c r="BD110" s="347"/>
      <c r="BE110" s="347"/>
      <c r="BF110" s="347"/>
      <c r="BG110" s="347"/>
      <c r="BH110" s="347"/>
    </row>
    <row r="111">
      <c r="A111" s="347"/>
      <c r="B111" s="347"/>
      <c r="C111" s="347"/>
      <c r="D111" s="347"/>
      <c r="E111" s="347"/>
      <c r="F111" s="347"/>
      <c r="G111" s="347"/>
      <c r="H111" s="347"/>
      <c r="I111" s="347"/>
      <c r="J111" s="347"/>
      <c r="K111" s="348"/>
      <c r="L111" s="348"/>
      <c r="M111" s="348"/>
      <c r="N111" s="348"/>
      <c r="O111" s="348"/>
      <c r="P111" s="347"/>
      <c r="Q111" s="347"/>
      <c r="R111" s="347"/>
      <c r="S111" s="347"/>
      <c r="T111" s="347"/>
      <c r="U111" s="347"/>
      <c r="V111" s="347"/>
      <c r="W111" s="347"/>
      <c r="X111" s="347"/>
      <c r="Y111" s="347"/>
      <c r="Z111" s="347"/>
      <c r="AA111" s="604"/>
      <c r="AB111" s="347"/>
      <c r="AC111" s="590"/>
      <c r="AD111" s="347"/>
      <c r="AE111" s="347"/>
      <c r="AF111" s="347"/>
      <c r="AG111" s="347"/>
      <c r="AH111" s="347"/>
      <c r="AI111" s="347"/>
      <c r="AJ111" s="347"/>
      <c r="AK111" s="347"/>
      <c r="AL111" s="347"/>
      <c r="AM111" s="347"/>
      <c r="AN111" s="347"/>
      <c r="AO111" s="347"/>
      <c r="AP111" s="347"/>
      <c r="AQ111" s="347"/>
      <c r="AR111" s="347"/>
      <c r="AS111" s="347"/>
      <c r="AT111" s="347"/>
      <c r="AU111" s="347"/>
      <c r="AV111" s="347"/>
      <c r="AW111" s="347"/>
      <c r="AX111" s="347"/>
      <c r="AY111" s="347"/>
      <c r="AZ111" s="347"/>
      <c r="BA111" s="347"/>
      <c r="BB111" s="347"/>
      <c r="BC111" s="347"/>
      <c r="BD111" s="347"/>
      <c r="BE111" s="347"/>
      <c r="BF111" s="347"/>
      <c r="BG111" s="347"/>
      <c r="BH111" s="347"/>
    </row>
    <row r="112">
      <c r="A112" s="347"/>
      <c r="B112" s="347"/>
      <c r="C112" s="347"/>
      <c r="D112" s="347"/>
      <c r="E112" s="347"/>
      <c r="F112" s="347"/>
      <c r="G112" s="347"/>
      <c r="H112" s="347"/>
      <c r="I112" s="347"/>
      <c r="J112" s="347"/>
      <c r="K112" s="348"/>
      <c r="L112" s="348"/>
      <c r="M112" s="348"/>
      <c r="N112" s="348"/>
      <c r="O112" s="348"/>
      <c r="P112" s="347"/>
      <c r="Q112" s="347"/>
      <c r="R112" s="347"/>
      <c r="S112" s="347"/>
      <c r="T112" s="347"/>
      <c r="U112" s="347"/>
      <c r="V112" s="347"/>
      <c r="W112" s="347"/>
      <c r="X112" s="347"/>
      <c r="Y112" s="347"/>
      <c r="Z112" s="347"/>
      <c r="AA112" s="604"/>
      <c r="AB112" s="347"/>
      <c r="AC112" s="590"/>
      <c r="AD112" s="347"/>
      <c r="AE112" s="347"/>
      <c r="AF112" s="347"/>
      <c r="AG112" s="347"/>
      <c r="AH112" s="347"/>
      <c r="AI112" s="347"/>
      <c r="AJ112" s="347"/>
      <c r="AK112" s="347"/>
      <c r="AL112" s="347"/>
      <c r="AM112" s="347"/>
      <c r="AN112" s="347"/>
      <c r="AO112" s="347"/>
      <c r="AP112" s="347"/>
      <c r="AQ112" s="347"/>
      <c r="AR112" s="347"/>
      <c r="AS112" s="347"/>
      <c r="AT112" s="347"/>
      <c r="AU112" s="347"/>
      <c r="AV112" s="347"/>
      <c r="AW112" s="347"/>
      <c r="AX112" s="347"/>
      <c r="AY112" s="347"/>
      <c r="AZ112" s="347"/>
      <c r="BA112" s="347"/>
      <c r="BB112" s="347"/>
      <c r="BC112" s="347"/>
      <c r="BD112" s="347"/>
      <c r="BE112" s="347"/>
      <c r="BF112" s="347"/>
      <c r="BG112" s="347"/>
      <c r="BH112" s="347"/>
    </row>
    <row r="113">
      <c r="A113" s="347"/>
      <c r="B113" s="347"/>
      <c r="C113" s="347"/>
      <c r="D113" s="347"/>
      <c r="E113" s="347"/>
      <c r="F113" s="347"/>
      <c r="G113" s="347"/>
      <c r="H113" s="347"/>
      <c r="I113" s="347"/>
      <c r="J113" s="347"/>
      <c r="K113" s="348"/>
      <c r="L113" s="348"/>
      <c r="M113" s="348"/>
      <c r="N113" s="348"/>
      <c r="O113" s="348"/>
      <c r="P113" s="347"/>
      <c r="Q113" s="347"/>
      <c r="R113" s="347"/>
      <c r="S113" s="347"/>
      <c r="T113" s="347"/>
      <c r="U113" s="347"/>
      <c r="V113" s="347"/>
      <c r="W113" s="347"/>
      <c r="X113" s="347"/>
      <c r="Y113" s="347"/>
      <c r="Z113" s="347"/>
      <c r="AA113" s="604"/>
      <c r="AB113" s="347"/>
      <c r="AC113" s="590"/>
      <c r="AD113" s="347"/>
      <c r="AE113" s="347"/>
      <c r="AF113" s="347"/>
      <c r="AG113" s="347"/>
      <c r="AH113" s="347"/>
      <c r="AI113" s="347"/>
      <c r="AJ113" s="347"/>
      <c r="AK113" s="347"/>
      <c r="AL113" s="347"/>
      <c r="AM113" s="347"/>
      <c r="AN113" s="347"/>
      <c r="AO113" s="347"/>
      <c r="AP113" s="347"/>
      <c r="AQ113" s="347"/>
      <c r="AR113" s="347"/>
      <c r="AS113" s="347"/>
      <c r="AT113" s="347"/>
      <c r="AU113" s="347"/>
      <c r="AV113" s="347"/>
      <c r="AW113" s="347"/>
      <c r="AX113" s="347"/>
      <c r="AY113" s="347"/>
      <c r="AZ113" s="347"/>
      <c r="BA113" s="347"/>
      <c r="BB113" s="347"/>
      <c r="BC113" s="347"/>
      <c r="BD113" s="347"/>
      <c r="BE113" s="347"/>
      <c r="BF113" s="347"/>
      <c r="BG113" s="347"/>
      <c r="BH113" s="347"/>
    </row>
    <row r="114">
      <c r="A114" s="347"/>
      <c r="B114" s="347"/>
      <c r="C114" s="347"/>
      <c r="D114" s="347"/>
      <c r="E114" s="347"/>
      <c r="F114" s="347"/>
      <c r="G114" s="347"/>
      <c r="H114" s="347"/>
      <c r="I114" s="347"/>
      <c r="J114" s="347"/>
      <c r="K114" s="348"/>
      <c r="L114" s="348"/>
      <c r="M114" s="348"/>
      <c r="N114" s="348"/>
      <c r="O114" s="348"/>
      <c r="P114" s="347"/>
      <c r="Q114" s="347"/>
      <c r="R114" s="347"/>
      <c r="S114" s="347"/>
      <c r="T114" s="347"/>
      <c r="U114" s="347"/>
      <c r="V114" s="347"/>
      <c r="W114" s="347"/>
      <c r="X114" s="347"/>
      <c r="Y114" s="347"/>
      <c r="Z114" s="347"/>
      <c r="AA114" s="604"/>
      <c r="AB114" s="347"/>
      <c r="AC114" s="590"/>
      <c r="AD114" s="347"/>
      <c r="AE114" s="347"/>
      <c r="AF114" s="347"/>
      <c r="AG114" s="347"/>
      <c r="AH114" s="347"/>
      <c r="AI114" s="347"/>
      <c r="AJ114" s="347"/>
      <c r="AK114" s="347"/>
      <c r="AL114" s="347"/>
      <c r="AM114" s="347"/>
      <c r="AN114" s="347"/>
      <c r="AO114" s="347"/>
      <c r="AP114" s="347"/>
      <c r="AQ114" s="347"/>
      <c r="AR114" s="347"/>
      <c r="AS114" s="347"/>
      <c r="AT114" s="347"/>
      <c r="AU114" s="347"/>
      <c r="AV114" s="347"/>
      <c r="AW114" s="347"/>
      <c r="AX114" s="347"/>
      <c r="AY114" s="347"/>
      <c r="AZ114" s="347"/>
      <c r="BA114" s="347"/>
      <c r="BB114" s="347"/>
      <c r="BC114" s="347"/>
      <c r="BD114" s="347"/>
      <c r="BE114" s="347"/>
      <c r="BF114" s="347"/>
      <c r="BG114" s="347"/>
      <c r="BH114" s="347"/>
    </row>
    <row r="115">
      <c r="A115" s="347"/>
      <c r="B115" s="347"/>
      <c r="C115" s="347"/>
      <c r="D115" s="347"/>
      <c r="E115" s="347"/>
      <c r="F115" s="347"/>
      <c r="G115" s="347"/>
      <c r="H115" s="347"/>
      <c r="I115" s="347"/>
      <c r="J115" s="347"/>
      <c r="K115" s="348"/>
      <c r="L115" s="348"/>
      <c r="M115" s="348"/>
      <c r="N115" s="348"/>
      <c r="O115" s="348"/>
      <c r="P115" s="347"/>
      <c r="Q115" s="347"/>
      <c r="R115" s="347"/>
      <c r="S115" s="347"/>
      <c r="T115" s="347"/>
      <c r="U115" s="347"/>
      <c r="V115" s="347"/>
      <c r="W115" s="347"/>
      <c r="X115" s="347"/>
      <c r="Y115" s="347"/>
      <c r="Z115" s="347"/>
      <c r="AA115" s="604"/>
      <c r="AB115" s="347"/>
      <c r="AC115" s="590"/>
      <c r="AD115" s="347"/>
      <c r="AE115" s="347"/>
      <c r="AF115" s="347"/>
      <c r="AG115" s="347"/>
      <c r="AH115" s="347"/>
      <c r="AI115" s="347"/>
      <c r="AJ115" s="347"/>
      <c r="AK115" s="347"/>
      <c r="AL115" s="347"/>
      <c r="AM115" s="347"/>
      <c r="AN115" s="347"/>
      <c r="AO115" s="347"/>
      <c r="AP115" s="347"/>
      <c r="AQ115" s="347"/>
      <c r="AR115" s="347"/>
      <c r="AS115" s="347"/>
      <c r="AT115" s="347"/>
      <c r="AU115" s="347"/>
      <c r="AV115" s="347"/>
      <c r="AW115" s="347"/>
      <c r="AX115" s="347"/>
      <c r="AY115" s="347"/>
      <c r="AZ115" s="347"/>
      <c r="BA115" s="347"/>
      <c r="BB115" s="347"/>
      <c r="BC115" s="347"/>
      <c r="BD115" s="347"/>
      <c r="BE115" s="347"/>
      <c r="BF115" s="347"/>
      <c r="BG115" s="347"/>
      <c r="BH115" s="347"/>
    </row>
    <row r="116">
      <c r="A116" s="347"/>
      <c r="B116" s="347"/>
      <c r="C116" s="347"/>
      <c r="D116" s="347"/>
      <c r="E116" s="347"/>
      <c r="F116" s="347"/>
      <c r="G116" s="347"/>
      <c r="H116" s="347"/>
      <c r="I116" s="347"/>
      <c r="J116" s="347"/>
      <c r="K116" s="348"/>
      <c r="L116" s="348"/>
      <c r="M116" s="348"/>
      <c r="N116" s="348"/>
      <c r="O116" s="348"/>
      <c r="P116" s="347"/>
      <c r="Q116" s="347"/>
      <c r="R116" s="347"/>
      <c r="S116" s="347"/>
      <c r="T116" s="347"/>
      <c r="U116" s="347"/>
      <c r="V116" s="347"/>
      <c r="W116" s="347"/>
      <c r="X116" s="347"/>
      <c r="Y116" s="347"/>
      <c r="Z116" s="347"/>
      <c r="AA116" s="604"/>
      <c r="AB116" s="347"/>
      <c r="AC116" s="590"/>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row>
    <row r="117">
      <c r="A117" s="347"/>
      <c r="B117" s="347"/>
      <c r="C117" s="347"/>
      <c r="D117" s="347"/>
      <c r="E117" s="347"/>
      <c r="F117" s="347"/>
      <c r="G117" s="347"/>
      <c r="H117" s="347"/>
      <c r="I117" s="347"/>
      <c r="J117" s="347"/>
      <c r="K117" s="348"/>
      <c r="L117" s="348"/>
      <c r="M117" s="348"/>
      <c r="N117" s="348"/>
      <c r="O117" s="348"/>
      <c r="P117" s="347"/>
      <c r="Q117" s="347"/>
      <c r="R117" s="347"/>
      <c r="S117" s="347"/>
      <c r="T117" s="347"/>
      <c r="U117" s="347"/>
      <c r="V117" s="347"/>
      <c r="W117" s="347"/>
      <c r="X117" s="347"/>
      <c r="Y117" s="347"/>
      <c r="Z117" s="347"/>
      <c r="AA117" s="604"/>
      <c r="AB117" s="347"/>
      <c r="AC117" s="590"/>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row>
    <row r="118">
      <c r="A118" s="347"/>
      <c r="B118" s="347"/>
      <c r="C118" s="347"/>
      <c r="D118" s="347"/>
      <c r="E118" s="347"/>
      <c r="F118" s="347"/>
      <c r="G118" s="347"/>
      <c r="H118" s="347"/>
      <c r="I118" s="347"/>
      <c r="J118" s="347"/>
      <c r="K118" s="348"/>
      <c r="L118" s="348"/>
      <c r="M118" s="348"/>
      <c r="N118" s="348"/>
      <c r="O118" s="348"/>
      <c r="P118" s="347"/>
      <c r="Q118" s="347"/>
      <c r="R118" s="347"/>
      <c r="S118" s="347"/>
      <c r="T118" s="347"/>
      <c r="U118" s="347"/>
      <c r="V118" s="347"/>
      <c r="W118" s="347"/>
      <c r="X118" s="347"/>
      <c r="Y118" s="347"/>
      <c r="Z118" s="347"/>
      <c r="AA118" s="604"/>
      <c r="AB118" s="347"/>
      <c r="AC118" s="590"/>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row>
    <row r="119">
      <c r="A119" s="347"/>
      <c r="B119" s="347"/>
      <c r="C119" s="347"/>
      <c r="D119" s="347"/>
      <c r="E119" s="347"/>
      <c r="F119" s="347"/>
      <c r="G119" s="347"/>
      <c r="H119" s="347"/>
      <c r="I119" s="347"/>
      <c r="J119" s="347"/>
      <c r="K119" s="348"/>
      <c r="L119" s="348"/>
      <c r="M119" s="348"/>
      <c r="N119" s="348"/>
      <c r="O119" s="348"/>
      <c r="P119" s="347"/>
      <c r="Q119" s="347"/>
      <c r="R119" s="347"/>
      <c r="S119" s="347"/>
      <c r="T119" s="347"/>
      <c r="U119" s="347"/>
      <c r="V119" s="347"/>
      <c r="W119" s="347"/>
      <c r="X119" s="347"/>
      <c r="Y119" s="347"/>
      <c r="Z119" s="347"/>
      <c r="AA119" s="604"/>
      <c r="AB119" s="347"/>
      <c r="AC119" s="590"/>
      <c r="AD119" s="347"/>
      <c r="AE119" s="347"/>
      <c r="AF119" s="347"/>
      <c r="AG119" s="347"/>
      <c r="AH119" s="347"/>
      <c r="AI119" s="347"/>
      <c r="AJ119" s="347"/>
      <c r="AK119" s="347"/>
      <c r="AL119" s="347"/>
      <c r="AM119" s="347"/>
      <c r="AN119" s="347"/>
      <c r="AO119" s="347"/>
      <c r="AP119" s="347"/>
      <c r="AQ119" s="347"/>
      <c r="AR119" s="347"/>
      <c r="AS119" s="347"/>
      <c r="AT119" s="347"/>
      <c r="AU119" s="347"/>
      <c r="AV119" s="347"/>
      <c r="AW119" s="347"/>
      <c r="AX119" s="347"/>
      <c r="AY119" s="347"/>
      <c r="AZ119" s="347"/>
      <c r="BA119" s="347"/>
      <c r="BB119" s="347"/>
      <c r="BC119" s="347"/>
      <c r="BD119" s="347"/>
      <c r="BE119" s="347"/>
      <c r="BF119" s="347"/>
      <c r="BG119" s="347"/>
      <c r="BH119" s="347"/>
    </row>
    <row r="120">
      <c r="A120" s="347"/>
      <c r="B120" s="347"/>
      <c r="C120" s="347"/>
      <c r="D120" s="347"/>
      <c r="E120" s="347"/>
      <c r="F120" s="347"/>
      <c r="G120" s="347"/>
      <c r="H120" s="347"/>
      <c r="I120" s="347"/>
      <c r="J120" s="347"/>
      <c r="K120" s="348"/>
      <c r="L120" s="348"/>
      <c r="M120" s="348"/>
      <c r="N120" s="348"/>
      <c r="O120" s="348"/>
      <c r="P120" s="347"/>
      <c r="Q120" s="347"/>
      <c r="R120" s="347"/>
      <c r="S120" s="347"/>
      <c r="T120" s="347"/>
      <c r="U120" s="347"/>
      <c r="V120" s="347"/>
      <c r="W120" s="347"/>
      <c r="X120" s="347"/>
      <c r="Y120" s="347"/>
      <c r="Z120" s="347"/>
      <c r="AA120" s="604"/>
      <c r="AB120" s="347"/>
      <c r="AC120" s="590"/>
      <c r="AD120" s="347"/>
      <c r="AE120" s="347"/>
      <c r="AF120" s="347"/>
      <c r="AG120" s="347"/>
      <c r="AH120" s="347"/>
      <c r="AI120" s="347"/>
      <c r="AJ120" s="347"/>
      <c r="AK120" s="347"/>
      <c r="AL120" s="347"/>
      <c r="AM120" s="347"/>
      <c r="AN120" s="347"/>
      <c r="AO120" s="347"/>
      <c r="AP120" s="347"/>
      <c r="AQ120" s="347"/>
      <c r="AR120" s="347"/>
      <c r="AS120" s="347"/>
      <c r="AT120" s="347"/>
      <c r="AU120" s="347"/>
      <c r="AV120" s="347"/>
      <c r="AW120" s="347"/>
      <c r="AX120" s="347"/>
      <c r="AY120" s="347"/>
      <c r="AZ120" s="347"/>
      <c r="BA120" s="347"/>
      <c r="BB120" s="347"/>
      <c r="BC120" s="347"/>
      <c r="BD120" s="347"/>
      <c r="BE120" s="347"/>
      <c r="BF120" s="347"/>
      <c r="BG120" s="347"/>
      <c r="BH120" s="347"/>
    </row>
    <row r="121">
      <c r="A121" s="347"/>
      <c r="B121" s="347"/>
      <c r="C121" s="347"/>
      <c r="D121" s="347"/>
      <c r="E121" s="347"/>
      <c r="F121" s="347"/>
      <c r="G121" s="347"/>
      <c r="H121" s="347"/>
      <c r="I121" s="347"/>
      <c r="J121" s="347"/>
      <c r="K121" s="348"/>
      <c r="L121" s="348"/>
      <c r="M121" s="348"/>
      <c r="N121" s="348"/>
      <c r="O121" s="348"/>
      <c r="P121" s="347"/>
      <c r="Q121" s="347"/>
      <c r="R121" s="347"/>
      <c r="S121" s="347"/>
      <c r="T121" s="347"/>
      <c r="U121" s="347"/>
      <c r="V121" s="347"/>
      <c r="W121" s="347"/>
      <c r="X121" s="347"/>
      <c r="Y121" s="347"/>
      <c r="Z121" s="347"/>
      <c r="AA121" s="604"/>
      <c r="AB121" s="347"/>
      <c r="AC121" s="590"/>
      <c r="AD121" s="347"/>
      <c r="AE121" s="347"/>
      <c r="AF121" s="347"/>
      <c r="AG121" s="347"/>
      <c r="AH121" s="347"/>
      <c r="AI121" s="347"/>
      <c r="AJ121" s="347"/>
      <c r="AK121" s="347"/>
      <c r="AL121" s="347"/>
      <c r="AM121" s="347"/>
      <c r="AN121" s="347"/>
      <c r="AO121" s="347"/>
      <c r="AP121" s="347"/>
      <c r="AQ121" s="347"/>
      <c r="AR121" s="347"/>
      <c r="AS121" s="347"/>
      <c r="AT121" s="347"/>
      <c r="AU121" s="347"/>
      <c r="AV121" s="347"/>
      <c r="AW121" s="347"/>
      <c r="AX121" s="347"/>
      <c r="AY121" s="347"/>
      <c r="AZ121" s="347"/>
      <c r="BA121" s="347"/>
      <c r="BB121" s="347"/>
      <c r="BC121" s="347"/>
      <c r="BD121" s="347"/>
      <c r="BE121" s="347"/>
      <c r="BF121" s="347"/>
      <c r="BG121" s="347"/>
      <c r="BH121" s="347"/>
    </row>
    <row r="122">
      <c r="A122" s="347"/>
      <c r="B122" s="347"/>
      <c r="C122" s="347"/>
      <c r="D122" s="347"/>
      <c r="E122" s="347"/>
      <c r="F122" s="347"/>
      <c r="G122" s="347"/>
      <c r="H122" s="347"/>
      <c r="I122" s="347"/>
      <c r="J122" s="347"/>
      <c r="K122" s="348"/>
      <c r="L122" s="348"/>
      <c r="M122" s="348"/>
      <c r="N122" s="348"/>
      <c r="O122" s="348"/>
      <c r="P122" s="347"/>
      <c r="Q122" s="347"/>
      <c r="R122" s="347"/>
      <c r="S122" s="347"/>
      <c r="T122" s="347"/>
      <c r="U122" s="347"/>
      <c r="V122" s="347"/>
      <c r="W122" s="347"/>
      <c r="X122" s="347"/>
      <c r="Y122" s="347"/>
      <c r="Z122" s="347"/>
      <c r="AA122" s="604"/>
      <c r="AB122" s="347"/>
      <c r="AC122" s="590"/>
      <c r="AD122" s="347"/>
      <c r="AE122" s="347"/>
      <c r="AF122" s="347"/>
      <c r="AG122" s="347"/>
      <c r="AH122" s="347"/>
      <c r="AI122" s="347"/>
      <c r="AJ122" s="347"/>
      <c r="AK122" s="347"/>
      <c r="AL122" s="347"/>
      <c r="AM122" s="347"/>
      <c r="AN122" s="347"/>
      <c r="AO122" s="347"/>
      <c r="AP122" s="347"/>
      <c r="AQ122" s="347"/>
      <c r="AR122" s="347"/>
      <c r="AS122" s="347"/>
      <c r="AT122" s="347"/>
      <c r="AU122" s="347"/>
      <c r="AV122" s="347"/>
      <c r="AW122" s="347"/>
      <c r="AX122" s="347"/>
      <c r="AY122" s="347"/>
      <c r="AZ122" s="347"/>
      <c r="BA122" s="347"/>
      <c r="BB122" s="347"/>
      <c r="BC122" s="347"/>
      <c r="BD122" s="347"/>
      <c r="BE122" s="347"/>
      <c r="BF122" s="347"/>
      <c r="BG122" s="347"/>
      <c r="BH122" s="347"/>
    </row>
    <row r="123">
      <c r="A123" s="347"/>
      <c r="B123" s="347"/>
      <c r="C123" s="347"/>
      <c r="D123" s="347"/>
      <c r="E123" s="347"/>
      <c r="F123" s="347"/>
      <c r="G123" s="347"/>
      <c r="H123" s="347"/>
      <c r="I123" s="347"/>
      <c r="J123" s="347"/>
      <c r="K123" s="348"/>
      <c r="L123" s="348"/>
      <c r="M123" s="348"/>
      <c r="N123" s="348"/>
      <c r="O123" s="348"/>
      <c r="P123" s="347"/>
      <c r="Q123" s="347"/>
      <c r="R123" s="347"/>
      <c r="S123" s="347"/>
      <c r="T123" s="347"/>
      <c r="U123" s="347"/>
      <c r="V123" s="347"/>
      <c r="W123" s="347"/>
      <c r="X123" s="347"/>
      <c r="Y123" s="347"/>
      <c r="Z123" s="347"/>
      <c r="AA123" s="604"/>
      <c r="AB123" s="347"/>
      <c r="AC123" s="590"/>
      <c r="AD123" s="347"/>
      <c r="AE123" s="347"/>
      <c r="AF123" s="347"/>
      <c r="AG123" s="347"/>
      <c r="AH123" s="347"/>
      <c r="AI123" s="347"/>
      <c r="AJ123" s="347"/>
      <c r="AK123" s="347"/>
      <c r="AL123" s="347"/>
      <c r="AM123" s="347"/>
      <c r="AN123" s="347"/>
      <c r="AO123" s="347"/>
      <c r="AP123" s="347"/>
      <c r="AQ123" s="347"/>
      <c r="AR123" s="347"/>
      <c r="AS123" s="347"/>
      <c r="AT123" s="347"/>
      <c r="AU123" s="347"/>
      <c r="AV123" s="347"/>
      <c r="AW123" s="347"/>
      <c r="AX123" s="347"/>
      <c r="AY123" s="347"/>
      <c r="AZ123" s="347"/>
      <c r="BA123" s="347"/>
      <c r="BB123" s="347"/>
      <c r="BC123" s="347"/>
      <c r="BD123" s="347"/>
      <c r="BE123" s="347"/>
      <c r="BF123" s="347"/>
      <c r="BG123" s="347"/>
      <c r="BH123" s="347"/>
    </row>
    <row r="124">
      <c r="A124" s="347"/>
      <c r="B124" s="347"/>
      <c r="C124" s="347"/>
      <c r="D124" s="347"/>
      <c r="E124" s="347"/>
      <c r="F124" s="347"/>
      <c r="G124" s="347"/>
      <c r="H124" s="347"/>
      <c r="I124" s="347"/>
      <c r="J124" s="347"/>
      <c r="K124" s="348"/>
      <c r="L124" s="348"/>
      <c r="M124" s="348"/>
      <c r="N124" s="348"/>
      <c r="O124" s="348"/>
      <c r="P124" s="347"/>
      <c r="Q124" s="347"/>
      <c r="R124" s="347"/>
      <c r="S124" s="347"/>
      <c r="T124" s="347"/>
      <c r="U124" s="347"/>
      <c r="V124" s="347"/>
      <c r="W124" s="347"/>
      <c r="X124" s="347"/>
      <c r="Y124" s="347"/>
      <c r="Z124" s="347"/>
      <c r="AA124" s="604"/>
      <c r="AB124" s="347"/>
      <c r="AC124" s="590"/>
      <c r="AD124" s="347"/>
      <c r="AE124" s="347"/>
      <c r="AF124" s="347"/>
      <c r="AG124" s="347"/>
      <c r="AH124" s="347"/>
      <c r="AI124" s="347"/>
      <c r="AJ124" s="347"/>
      <c r="AK124" s="347"/>
      <c r="AL124" s="347"/>
      <c r="AM124" s="347"/>
      <c r="AN124" s="347"/>
      <c r="AO124" s="347"/>
      <c r="AP124" s="347"/>
      <c r="AQ124" s="347"/>
      <c r="AR124" s="347"/>
      <c r="AS124" s="347"/>
      <c r="AT124" s="347"/>
      <c r="AU124" s="347"/>
      <c r="AV124" s="347"/>
      <c r="AW124" s="347"/>
      <c r="AX124" s="347"/>
      <c r="AY124" s="347"/>
      <c r="AZ124" s="347"/>
      <c r="BA124" s="347"/>
      <c r="BB124" s="347"/>
      <c r="BC124" s="347"/>
      <c r="BD124" s="347"/>
      <c r="BE124" s="347"/>
      <c r="BF124" s="347"/>
      <c r="BG124" s="347"/>
      <c r="BH124" s="347"/>
    </row>
    <row r="125">
      <c r="A125" s="347"/>
      <c r="B125" s="347"/>
      <c r="C125" s="347"/>
      <c r="D125" s="347"/>
      <c r="E125" s="347"/>
      <c r="F125" s="347"/>
      <c r="G125" s="347"/>
      <c r="H125" s="347"/>
      <c r="I125" s="347"/>
      <c r="J125" s="347"/>
      <c r="K125" s="348"/>
      <c r="L125" s="348"/>
      <c r="M125" s="348"/>
      <c r="N125" s="348"/>
      <c r="O125" s="348"/>
      <c r="P125" s="347"/>
      <c r="Q125" s="347"/>
      <c r="R125" s="347"/>
      <c r="S125" s="347"/>
      <c r="T125" s="347"/>
      <c r="U125" s="347"/>
      <c r="V125" s="347"/>
      <c r="W125" s="347"/>
      <c r="X125" s="347"/>
      <c r="Y125" s="347"/>
      <c r="Z125" s="347"/>
      <c r="AA125" s="604"/>
      <c r="AB125" s="347"/>
      <c r="AC125" s="590"/>
      <c r="AD125" s="347"/>
      <c r="AE125" s="347"/>
      <c r="AF125" s="347"/>
      <c r="AG125" s="347"/>
      <c r="AH125" s="347"/>
      <c r="AI125" s="347"/>
      <c r="AJ125" s="347"/>
      <c r="AK125" s="347"/>
      <c r="AL125" s="347"/>
      <c r="AM125" s="347"/>
      <c r="AN125" s="347"/>
      <c r="AO125" s="347"/>
      <c r="AP125" s="347"/>
      <c r="AQ125" s="347"/>
      <c r="AR125" s="347"/>
      <c r="AS125" s="347"/>
      <c r="AT125" s="347"/>
      <c r="AU125" s="347"/>
      <c r="AV125" s="347"/>
      <c r="AW125" s="347"/>
      <c r="AX125" s="347"/>
      <c r="AY125" s="347"/>
      <c r="AZ125" s="347"/>
      <c r="BA125" s="347"/>
      <c r="BB125" s="347"/>
      <c r="BC125" s="347"/>
      <c r="BD125" s="347"/>
      <c r="BE125" s="347"/>
      <c r="BF125" s="347"/>
      <c r="BG125" s="347"/>
      <c r="BH125" s="347"/>
    </row>
    <row r="126">
      <c r="A126" s="347"/>
      <c r="B126" s="347"/>
      <c r="C126" s="347"/>
      <c r="D126" s="347"/>
      <c r="E126" s="347"/>
      <c r="F126" s="347"/>
      <c r="G126" s="347"/>
      <c r="H126" s="347"/>
      <c r="I126" s="347"/>
      <c r="J126" s="347"/>
      <c r="K126" s="348"/>
      <c r="L126" s="348"/>
      <c r="M126" s="348"/>
      <c r="N126" s="348"/>
      <c r="O126" s="348"/>
      <c r="P126" s="347"/>
      <c r="Q126" s="347"/>
      <c r="R126" s="347"/>
      <c r="S126" s="347"/>
      <c r="T126" s="347"/>
      <c r="U126" s="347"/>
      <c r="V126" s="347"/>
      <c r="W126" s="347"/>
      <c r="X126" s="347"/>
      <c r="Y126" s="347"/>
      <c r="Z126" s="347"/>
      <c r="AA126" s="604"/>
      <c r="AB126" s="347"/>
      <c r="AC126" s="590"/>
      <c r="AD126" s="347"/>
      <c r="AE126" s="347"/>
      <c r="AF126" s="347"/>
      <c r="AG126" s="347"/>
      <c r="AH126" s="347"/>
      <c r="AI126" s="347"/>
      <c r="AJ126" s="347"/>
      <c r="AK126" s="347"/>
      <c r="AL126" s="347"/>
      <c r="AM126" s="347"/>
      <c r="AN126" s="347"/>
      <c r="AO126" s="347"/>
      <c r="AP126" s="347"/>
      <c r="AQ126" s="347"/>
      <c r="AR126" s="347"/>
      <c r="AS126" s="347"/>
      <c r="AT126" s="347"/>
      <c r="AU126" s="347"/>
      <c r="AV126" s="347"/>
      <c r="AW126" s="347"/>
      <c r="AX126" s="347"/>
      <c r="AY126" s="347"/>
      <c r="AZ126" s="347"/>
      <c r="BA126" s="347"/>
      <c r="BB126" s="347"/>
      <c r="BC126" s="347"/>
      <c r="BD126" s="347"/>
      <c r="BE126" s="347"/>
      <c r="BF126" s="347"/>
      <c r="BG126" s="347"/>
      <c r="BH126" s="347"/>
    </row>
    <row r="127">
      <c r="A127" s="347"/>
      <c r="B127" s="347"/>
      <c r="C127" s="347"/>
      <c r="D127" s="347"/>
      <c r="E127" s="347"/>
      <c r="F127" s="347"/>
      <c r="G127" s="347"/>
      <c r="H127" s="347"/>
      <c r="I127" s="347"/>
      <c r="J127" s="347"/>
      <c r="K127" s="348"/>
      <c r="L127" s="348"/>
      <c r="M127" s="348"/>
      <c r="N127" s="348"/>
      <c r="O127" s="348"/>
      <c r="P127" s="347"/>
      <c r="Q127" s="347"/>
      <c r="R127" s="347"/>
      <c r="S127" s="347"/>
      <c r="T127" s="347"/>
      <c r="U127" s="347"/>
      <c r="V127" s="347"/>
      <c r="W127" s="347"/>
      <c r="X127" s="347"/>
      <c r="Y127" s="347"/>
      <c r="Z127" s="347"/>
      <c r="AA127" s="604"/>
      <c r="AB127" s="347"/>
      <c r="AC127" s="590"/>
      <c r="AD127" s="347"/>
      <c r="AE127" s="347"/>
      <c r="AF127" s="347"/>
      <c r="AG127" s="347"/>
      <c r="AH127" s="347"/>
      <c r="AI127" s="347"/>
      <c r="AJ127" s="347"/>
      <c r="AK127" s="347"/>
      <c r="AL127" s="347"/>
      <c r="AM127" s="347"/>
      <c r="AN127" s="347"/>
      <c r="AO127" s="347"/>
      <c r="AP127" s="347"/>
      <c r="AQ127" s="347"/>
      <c r="AR127" s="347"/>
      <c r="AS127" s="347"/>
      <c r="AT127" s="347"/>
      <c r="AU127" s="347"/>
      <c r="AV127" s="347"/>
      <c r="AW127" s="347"/>
      <c r="AX127" s="347"/>
      <c r="AY127" s="347"/>
      <c r="AZ127" s="347"/>
      <c r="BA127" s="347"/>
      <c r="BB127" s="347"/>
      <c r="BC127" s="347"/>
      <c r="BD127" s="347"/>
      <c r="BE127" s="347"/>
      <c r="BF127" s="347"/>
      <c r="BG127" s="347"/>
      <c r="BH127" s="347"/>
    </row>
    <row r="128">
      <c r="A128" s="347"/>
      <c r="B128" s="347"/>
      <c r="C128" s="347"/>
      <c r="D128" s="347"/>
      <c r="E128" s="347"/>
      <c r="F128" s="347"/>
      <c r="G128" s="347"/>
      <c r="H128" s="347"/>
      <c r="I128" s="347"/>
      <c r="J128" s="347"/>
      <c r="K128" s="348"/>
      <c r="L128" s="348"/>
      <c r="M128" s="348"/>
      <c r="N128" s="348"/>
      <c r="O128" s="348"/>
      <c r="P128" s="347"/>
      <c r="Q128" s="347"/>
      <c r="R128" s="347"/>
      <c r="S128" s="347"/>
      <c r="T128" s="347"/>
      <c r="U128" s="347"/>
      <c r="V128" s="347"/>
      <c r="W128" s="347"/>
      <c r="X128" s="347"/>
      <c r="Y128" s="347"/>
      <c r="Z128" s="347"/>
      <c r="AA128" s="604"/>
      <c r="AB128" s="347"/>
      <c r="AC128" s="590"/>
      <c r="AD128" s="347"/>
      <c r="AE128" s="347"/>
      <c r="AF128" s="347"/>
      <c r="AG128" s="347"/>
      <c r="AH128" s="347"/>
      <c r="AI128" s="347"/>
      <c r="AJ128" s="347"/>
      <c r="AK128" s="347"/>
      <c r="AL128" s="347"/>
      <c r="AM128" s="347"/>
      <c r="AN128" s="347"/>
      <c r="AO128" s="347"/>
      <c r="AP128" s="347"/>
      <c r="AQ128" s="347"/>
      <c r="AR128" s="347"/>
      <c r="AS128" s="347"/>
      <c r="AT128" s="347"/>
      <c r="AU128" s="347"/>
      <c r="AV128" s="347"/>
      <c r="AW128" s="347"/>
      <c r="AX128" s="347"/>
      <c r="AY128" s="347"/>
      <c r="AZ128" s="347"/>
      <c r="BA128" s="347"/>
      <c r="BB128" s="347"/>
      <c r="BC128" s="347"/>
      <c r="BD128" s="347"/>
      <c r="BE128" s="347"/>
      <c r="BF128" s="347"/>
      <c r="BG128" s="347"/>
      <c r="BH128" s="347"/>
    </row>
    <row r="129">
      <c r="A129" s="347"/>
      <c r="B129" s="347"/>
      <c r="C129" s="347"/>
      <c r="D129" s="347"/>
      <c r="E129" s="347"/>
      <c r="F129" s="347"/>
      <c r="G129" s="347"/>
      <c r="H129" s="347"/>
      <c r="I129" s="347"/>
      <c r="J129" s="347"/>
      <c r="K129" s="348"/>
      <c r="L129" s="348"/>
      <c r="M129" s="348"/>
      <c r="N129" s="348"/>
      <c r="O129" s="348"/>
      <c r="P129" s="347"/>
      <c r="Q129" s="347"/>
      <c r="R129" s="347"/>
      <c r="S129" s="347"/>
      <c r="T129" s="347"/>
      <c r="U129" s="347"/>
      <c r="V129" s="347"/>
      <c r="W129" s="347"/>
      <c r="X129" s="347"/>
      <c r="Y129" s="347"/>
      <c r="Z129" s="347"/>
      <c r="AA129" s="604"/>
      <c r="AB129" s="347"/>
      <c r="AC129" s="590"/>
      <c r="AD129" s="347"/>
      <c r="AE129" s="347"/>
      <c r="AF129" s="347"/>
      <c r="AG129" s="347"/>
      <c r="AH129" s="347"/>
      <c r="AI129" s="347"/>
      <c r="AJ129" s="347"/>
      <c r="AK129" s="347"/>
      <c r="AL129" s="347"/>
      <c r="AM129" s="347"/>
      <c r="AN129" s="347"/>
      <c r="AO129" s="347"/>
      <c r="AP129" s="347"/>
      <c r="AQ129" s="347"/>
      <c r="AR129" s="347"/>
      <c r="AS129" s="347"/>
      <c r="AT129" s="347"/>
      <c r="AU129" s="347"/>
      <c r="AV129" s="347"/>
      <c r="AW129" s="347"/>
      <c r="AX129" s="347"/>
      <c r="AY129" s="347"/>
      <c r="AZ129" s="347"/>
      <c r="BA129" s="347"/>
      <c r="BB129" s="347"/>
      <c r="BC129" s="347"/>
      <c r="BD129" s="347"/>
      <c r="BE129" s="347"/>
      <c r="BF129" s="347"/>
      <c r="BG129" s="347"/>
      <c r="BH129" s="347"/>
    </row>
    <row r="130">
      <c r="A130" s="347"/>
      <c r="B130" s="347"/>
      <c r="C130" s="347"/>
      <c r="D130" s="347"/>
      <c r="E130" s="347"/>
      <c r="F130" s="347"/>
      <c r="G130" s="347"/>
      <c r="H130" s="347"/>
      <c r="I130" s="347"/>
      <c r="J130" s="347"/>
      <c r="K130" s="348"/>
      <c r="L130" s="348"/>
      <c r="M130" s="348"/>
      <c r="N130" s="348"/>
      <c r="O130" s="348"/>
      <c r="P130" s="347"/>
      <c r="Q130" s="347"/>
      <c r="R130" s="347"/>
      <c r="S130" s="347"/>
      <c r="T130" s="347"/>
      <c r="U130" s="347"/>
      <c r="V130" s="347"/>
      <c r="W130" s="347"/>
      <c r="X130" s="347"/>
      <c r="Y130" s="347"/>
      <c r="Z130" s="347"/>
      <c r="AA130" s="604"/>
      <c r="AB130" s="347"/>
      <c r="AC130" s="590"/>
      <c r="AD130" s="347"/>
      <c r="AE130" s="347"/>
      <c r="AF130" s="347"/>
      <c r="AG130" s="347"/>
      <c r="AH130" s="347"/>
      <c r="AI130" s="347"/>
      <c r="AJ130" s="347"/>
      <c r="AK130" s="347"/>
      <c r="AL130" s="347"/>
      <c r="AM130" s="347"/>
      <c r="AN130" s="347"/>
      <c r="AO130" s="347"/>
      <c r="AP130" s="347"/>
      <c r="AQ130" s="347"/>
      <c r="AR130" s="347"/>
      <c r="AS130" s="347"/>
      <c r="AT130" s="347"/>
      <c r="AU130" s="347"/>
      <c r="AV130" s="347"/>
      <c r="AW130" s="347"/>
      <c r="AX130" s="347"/>
      <c r="AY130" s="347"/>
      <c r="AZ130" s="347"/>
      <c r="BA130" s="347"/>
      <c r="BB130" s="347"/>
      <c r="BC130" s="347"/>
      <c r="BD130" s="347"/>
      <c r="BE130" s="347"/>
      <c r="BF130" s="347"/>
      <c r="BG130" s="347"/>
      <c r="BH130" s="347"/>
    </row>
    <row r="131">
      <c r="A131" s="347"/>
      <c r="B131" s="347"/>
      <c r="C131" s="347"/>
      <c r="D131" s="347"/>
      <c r="E131" s="347"/>
      <c r="F131" s="347"/>
      <c r="G131" s="347"/>
      <c r="H131" s="347"/>
      <c r="I131" s="347"/>
      <c r="J131" s="347"/>
      <c r="K131" s="348"/>
      <c r="L131" s="348"/>
      <c r="M131" s="348"/>
      <c r="N131" s="348"/>
      <c r="O131" s="348"/>
      <c r="P131" s="347"/>
      <c r="Q131" s="347"/>
      <c r="R131" s="347"/>
      <c r="S131" s="347"/>
      <c r="T131" s="347"/>
      <c r="U131" s="347"/>
      <c r="V131" s="347"/>
      <c r="W131" s="347"/>
      <c r="X131" s="347"/>
      <c r="Y131" s="347"/>
      <c r="Z131" s="347"/>
      <c r="AA131" s="604"/>
      <c r="AB131" s="347"/>
      <c r="AC131" s="590"/>
      <c r="AD131" s="347"/>
      <c r="AE131" s="347"/>
      <c r="AF131" s="347"/>
      <c r="AG131" s="347"/>
      <c r="AH131" s="347"/>
      <c r="AI131" s="347"/>
      <c r="AJ131" s="347"/>
      <c r="AK131" s="347"/>
      <c r="AL131" s="347"/>
      <c r="AM131" s="347"/>
      <c r="AN131" s="347"/>
      <c r="AO131" s="347"/>
      <c r="AP131" s="347"/>
      <c r="AQ131" s="347"/>
      <c r="AR131" s="347"/>
      <c r="AS131" s="347"/>
      <c r="AT131" s="347"/>
      <c r="AU131" s="347"/>
      <c r="AV131" s="347"/>
      <c r="AW131" s="347"/>
      <c r="AX131" s="347"/>
      <c r="AY131" s="347"/>
      <c r="AZ131" s="347"/>
      <c r="BA131" s="347"/>
      <c r="BB131" s="347"/>
      <c r="BC131" s="347"/>
      <c r="BD131" s="347"/>
      <c r="BE131" s="347"/>
      <c r="BF131" s="347"/>
      <c r="BG131" s="347"/>
      <c r="BH131" s="347"/>
    </row>
    <row r="132">
      <c r="A132" s="347"/>
      <c r="B132" s="347"/>
      <c r="C132" s="347"/>
      <c r="D132" s="347"/>
      <c r="E132" s="347"/>
      <c r="F132" s="347"/>
      <c r="G132" s="347"/>
      <c r="H132" s="347"/>
      <c r="I132" s="347"/>
      <c r="J132" s="347"/>
      <c r="K132" s="348"/>
      <c r="L132" s="348"/>
      <c r="M132" s="348"/>
      <c r="N132" s="348"/>
      <c r="O132" s="348"/>
      <c r="P132" s="347"/>
      <c r="Q132" s="347"/>
      <c r="R132" s="347"/>
      <c r="S132" s="347"/>
      <c r="T132" s="347"/>
      <c r="U132" s="347"/>
      <c r="V132" s="347"/>
      <c r="W132" s="347"/>
      <c r="X132" s="347"/>
      <c r="Y132" s="347"/>
      <c r="Z132" s="347"/>
      <c r="AA132" s="604"/>
      <c r="AB132" s="347"/>
      <c r="AC132" s="590"/>
      <c r="AD132" s="347"/>
      <c r="AE132" s="347"/>
      <c r="AF132" s="347"/>
      <c r="AG132" s="347"/>
      <c r="AH132" s="347"/>
      <c r="AI132" s="347"/>
      <c r="AJ132" s="347"/>
      <c r="AK132" s="347"/>
      <c r="AL132" s="347"/>
      <c r="AM132" s="347"/>
      <c r="AN132" s="347"/>
      <c r="AO132" s="347"/>
      <c r="AP132" s="347"/>
      <c r="AQ132" s="347"/>
      <c r="AR132" s="347"/>
      <c r="AS132" s="347"/>
      <c r="AT132" s="347"/>
      <c r="AU132" s="347"/>
      <c r="AV132" s="347"/>
      <c r="AW132" s="347"/>
      <c r="AX132" s="347"/>
      <c r="AY132" s="347"/>
      <c r="AZ132" s="347"/>
      <c r="BA132" s="347"/>
      <c r="BB132" s="347"/>
      <c r="BC132" s="347"/>
      <c r="BD132" s="347"/>
      <c r="BE132" s="347"/>
      <c r="BF132" s="347"/>
      <c r="BG132" s="347"/>
      <c r="BH132" s="347"/>
    </row>
    <row r="133">
      <c r="A133" s="347"/>
      <c r="B133" s="347"/>
      <c r="C133" s="347"/>
      <c r="D133" s="347"/>
      <c r="E133" s="347"/>
      <c r="F133" s="347"/>
      <c r="G133" s="347"/>
      <c r="H133" s="347"/>
      <c r="I133" s="347"/>
      <c r="J133" s="347"/>
      <c r="K133" s="348"/>
      <c r="L133" s="348"/>
      <c r="M133" s="348"/>
      <c r="N133" s="348"/>
      <c r="O133" s="348"/>
      <c r="P133" s="347"/>
      <c r="Q133" s="347"/>
      <c r="R133" s="347"/>
      <c r="S133" s="347"/>
      <c r="T133" s="347"/>
      <c r="U133" s="347"/>
      <c r="V133" s="347"/>
      <c r="W133" s="347"/>
      <c r="X133" s="347"/>
      <c r="Y133" s="347"/>
      <c r="Z133" s="347"/>
      <c r="AA133" s="604"/>
      <c r="AB133" s="347"/>
      <c r="AC133" s="590"/>
      <c r="AD133" s="347"/>
      <c r="AE133" s="347"/>
      <c r="AF133" s="347"/>
      <c r="AG133" s="347"/>
      <c r="AH133" s="347"/>
      <c r="AI133" s="347"/>
      <c r="AJ133" s="347"/>
      <c r="AK133" s="347"/>
      <c r="AL133" s="347"/>
      <c r="AM133" s="347"/>
      <c r="AN133" s="347"/>
      <c r="AO133" s="347"/>
      <c r="AP133" s="347"/>
      <c r="AQ133" s="347"/>
      <c r="AR133" s="347"/>
      <c r="AS133" s="347"/>
      <c r="AT133" s="347"/>
      <c r="AU133" s="347"/>
      <c r="AV133" s="347"/>
      <c r="AW133" s="347"/>
      <c r="AX133" s="347"/>
      <c r="AY133" s="347"/>
      <c r="AZ133" s="347"/>
      <c r="BA133" s="347"/>
      <c r="BB133" s="347"/>
      <c r="BC133" s="347"/>
      <c r="BD133" s="347"/>
      <c r="BE133" s="347"/>
      <c r="BF133" s="347"/>
      <c r="BG133" s="347"/>
      <c r="BH133" s="347"/>
    </row>
    <row r="134">
      <c r="A134" s="347"/>
      <c r="B134" s="347"/>
      <c r="C134" s="347"/>
      <c r="D134" s="347"/>
      <c r="E134" s="347"/>
      <c r="F134" s="347"/>
      <c r="G134" s="347"/>
      <c r="H134" s="347"/>
      <c r="I134" s="347"/>
      <c r="J134" s="347"/>
      <c r="K134" s="348"/>
      <c r="L134" s="348"/>
      <c r="M134" s="348"/>
      <c r="N134" s="348"/>
      <c r="O134" s="348"/>
      <c r="P134" s="347"/>
      <c r="Q134" s="347"/>
      <c r="R134" s="347"/>
      <c r="S134" s="347"/>
      <c r="T134" s="347"/>
      <c r="U134" s="347"/>
      <c r="V134" s="347"/>
      <c r="W134" s="347"/>
      <c r="X134" s="347"/>
      <c r="Y134" s="347"/>
      <c r="Z134" s="347"/>
      <c r="AA134" s="604"/>
      <c r="AB134" s="347"/>
      <c r="AC134" s="590"/>
      <c r="AD134" s="347"/>
      <c r="AE134" s="347"/>
      <c r="AF134" s="347"/>
      <c r="AG134" s="347"/>
      <c r="AH134" s="347"/>
      <c r="AI134" s="347"/>
      <c r="AJ134" s="347"/>
      <c r="AK134" s="347"/>
      <c r="AL134" s="347"/>
      <c r="AM134" s="347"/>
      <c r="AN134" s="347"/>
      <c r="AO134" s="347"/>
      <c r="AP134" s="347"/>
      <c r="AQ134" s="347"/>
      <c r="AR134" s="347"/>
      <c r="AS134" s="347"/>
      <c r="AT134" s="347"/>
      <c r="AU134" s="347"/>
      <c r="AV134" s="347"/>
      <c r="AW134" s="347"/>
      <c r="AX134" s="347"/>
      <c r="AY134" s="347"/>
      <c r="AZ134" s="347"/>
      <c r="BA134" s="347"/>
      <c r="BB134" s="347"/>
      <c r="BC134" s="347"/>
      <c r="BD134" s="347"/>
      <c r="BE134" s="347"/>
      <c r="BF134" s="347"/>
      <c r="BG134" s="347"/>
      <c r="BH134" s="347"/>
    </row>
    <row r="135">
      <c r="A135" s="347"/>
      <c r="B135" s="347"/>
      <c r="C135" s="347"/>
      <c r="D135" s="347"/>
      <c r="E135" s="347"/>
      <c r="F135" s="347"/>
      <c r="G135" s="347"/>
      <c r="H135" s="347"/>
      <c r="I135" s="347"/>
      <c r="J135" s="347"/>
      <c r="K135" s="348"/>
      <c r="L135" s="348"/>
      <c r="M135" s="348"/>
      <c r="N135" s="348"/>
      <c r="O135" s="348"/>
      <c r="P135" s="347"/>
      <c r="Q135" s="347"/>
      <c r="R135" s="347"/>
      <c r="S135" s="347"/>
      <c r="T135" s="347"/>
      <c r="U135" s="347"/>
      <c r="V135" s="347"/>
      <c r="W135" s="347"/>
      <c r="X135" s="347"/>
      <c r="Y135" s="347"/>
      <c r="Z135" s="347"/>
      <c r="AA135" s="604"/>
      <c r="AB135" s="347"/>
      <c r="AC135" s="590"/>
      <c r="AD135" s="347"/>
      <c r="AE135" s="347"/>
      <c r="AF135" s="347"/>
      <c r="AG135" s="347"/>
      <c r="AH135" s="347"/>
      <c r="AI135" s="347"/>
      <c r="AJ135" s="347"/>
      <c r="AK135" s="347"/>
      <c r="AL135" s="347"/>
      <c r="AM135" s="347"/>
      <c r="AN135" s="347"/>
      <c r="AO135" s="347"/>
      <c r="AP135" s="347"/>
      <c r="AQ135" s="347"/>
      <c r="AR135" s="347"/>
      <c r="AS135" s="347"/>
      <c r="AT135" s="347"/>
      <c r="AU135" s="347"/>
      <c r="AV135" s="347"/>
      <c r="AW135" s="347"/>
      <c r="AX135" s="347"/>
      <c r="AY135" s="347"/>
      <c r="AZ135" s="347"/>
      <c r="BA135" s="347"/>
      <c r="BB135" s="347"/>
      <c r="BC135" s="347"/>
      <c r="BD135" s="347"/>
      <c r="BE135" s="347"/>
      <c r="BF135" s="347"/>
      <c r="BG135" s="347"/>
      <c r="BH135" s="347"/>
    </row>
    <row r="136">
      <c r="A136" s="347"/>
      <c r="B136" s="347"/>
      <c r="C136" s="347"/>
      <c r="D136" s="347"/>
      <c r="E136" s="347"/>
      <c r="F136" s="347"/>
      <c r="G136" s="347"/>
      <c r="H136" s="347"/>
      <c r="I136" s="347"/>
      <c r="J136" s="347"/>
      <c r="K136" s="348"/>
      <c r="L136" s="348"/>
      <c r="M136" s="348"/>
      <c r="N136" s="348"/>
      <c r="O136" s="348"/>
      <c r="P136" s="347"/>
      <c r="Q136" s="347"/>
      <c r="R136" s="347"/>
      <c r="S136" s="347"/>
      <c r="T136" s="347"/>
      <c r="U136" s="347"/>
      <c r="V136" s="347"/>
      <c r="W136" s="347"/>
      <c r="X136" s="347"/>
      <c r="Y136" s="347"/>
      <c r="Z136" s="347"/>
      <c r="AA136" s="604"/>
      <c r="AB136" s="347"/>
      <c r="AC136" s="590"/>
      <c r="AD136" s="347"/>
      <c r="AE136" s="347"/>
      <c r="AF136" s="347"/>
      <c r="AG136" s="347"/>
      <c r="AH136" s="347"/>
      <c r="AI136" s="347"/>
      <c r="AJ136" s="347"/>
      <c r="AK136" s="347"/>
      <c r="AL136" s="347"/>
      <c r="AM136" s="347"/>
      <c r="AN136" s="347"/>
      <c r="AO136" s="347"/>
      <c r="AP136" s="347"/>
      <c r="AQ136" s="347"/>
      <c r="AR136" s="347"/>
      <c r="AS136" s="347"/>
      <c r="AT136" s="347"/>
      <c r="AU136" s="347"/>
      <c r="AV136" s="347"/>
      <c r="AW136" s="347"/>
      <c r="AX136" s="347"/>
      <c r="AY136" s="347"/>
      <c r="AZ136" s="347"/>
      <c r="BA136" s="347"/>
      <c r="BB136" s="347"/>
      <c r="BC136" s="347"/>
      <c r="BD136" s="347"/>
      <c r="BE136" s="347"/>
      <c r="BF136" s="347"/>
      <c r="BG136" s="347"/>
      <c r="BH136" s="347"/>
    </row>
    <row r="137">
      <c r="A137" s="347"/>
      <c r="B137" s="347"/>
      <c r="C137" s="347"/>
      <c r="D137" s="347"/>
      <c r="E137" s="347"/>
      <c r="F137" s="347"/>
      <c r="G137" s="347"/>
      <c r="H137" s="347"/>
      <c r="I137" s="347"/>
      <c r="J137" s="347"/>
      <c r="K137" s="348"/>
      <c r="L137" s="348"/>
      <c r="M137" s="348"/>
      <c r="N137" s="348"/>
      <c r="O137" s="348"/>
      <c r="P137" s="347"/>
      <c r="Q137" s="347"/>
      <c r="R137" s="347"/>
      <c r="S137" s="347"/>
      <c r="T137" s="347"/>
      <c r="U137" s="347"/>
      <c r="V137" s="347"/>
      <c r="W137" s="347"/>
      <c r="X137" s="347"/>
      <c r="Y137" s="347"/>
      <c r="Z137" s="347"/>
      <c r="AA137" s="604"/>
      <c r="AB137" s="347"/>
      <c r="AC137" s="590"/>
      <c r="AD137" s="347"/>
      <c r="AE137" s="347"/>
      <c r="AF137" s="347"/>
      <c r="AG137" s="347"/>
      <c r="AH137" s="347"/>
      <c r="AI137" s="347"/>
      <c r="AJ137" s="347"/>
      <c r="AK137" s="347"/>
      <c r="AL137" s="347"/>
      <c r="AM137" s="347"/>
      <c r="AN137" s="347"/>
      <c r="AO137" s="347"/>
      <c r="AP137" s="347"/>
      <c r="AQ137" s="347"/>
      <c r="AR137" s="347"/>
      <c r="AS137" s="347"/>
      <c r="AT137" s="347"/>
      <c r="AU137" s="347"/>
      <c r="AV137" s="347"/>
      <c r="AW137" s="347"/>
      <c r="AX137" s="347"/>
      <c r="AY137" s="347"/>
      <c r="AZ137" s="347"/>
      <c r="BA137" s="347"/>
      <c r="BB137" s="347"/>
      <c r="BC137" s="347"/>
      <c r="BD137" s="347"/>
      <c r="BE137" s="347"/>
      <c r="BF137" s="347"/>
      <c r="BG137" s="347"/>
      <c r="BH137" s="347"/>
    </row>
    <row r="138">
      <c r="A138" s="347"/>
      <c r="B138" s="347"/>
      <c r="C138" s="347"/>
      <c r="D138" s="347"/>
      <c r="E138" s="347"/>
      <c r="F138" s="347"/>
      <c r="G138" s="347"/>
      <c r="H138" s="347"/>
      <c r="I138" s="347"/>
      <c r="J138" s="347"/>
      <c r="K138" s="348"/>
      <c r="L138" s="348"/>
      <c r="M138" s="348"/>
      <c r="N138" s="348"/>
      <c r="O138" s="348"/>
      <c r="P138" s="347"/>
      <c r="Q138" s="347"/>
      <c r="R138" s="347"/>
      <c r="S138" s="347"/>
      <c r="T138" s="347"/>
      <c r="U138" s="347"/>
      <c r="V138" s="347"/>
      <c r="W138" s="347"/>
      <c r="X138" s="347"/>
      <c r="Y138" s="347"/>
      <c r="Z138" s="347"/>
      <c r="AA138" s="604"/>
      <c r="AB138" s="347"/>
      <c r="AC138" s="590"/>
      <c r="AD138" s="347"/>
      <c r="AE138" s="347"/>
      <c r="AF138" s="347"/>
      <c r="AG138" s="347"/>
      <c r="AH138" s="347"/>
      <c r="AI138" s="347"/>
      <c r="AJ138" s="347"/>
      <c r="AK138" s="347"/>
      <c r="AL138" s="347"/>
      <c r="AM138" s="347"/>
      <c r="AN138" s="347"/>
      <c r="AO138" s="347"/>
      <c r="AP138" s="347"/>
      <c r="AQ138" s="347"/>
      <c r="AR138" s="347"/>
      <c r="AS138" s="347"/>
      <c r="AT138" s="347"/>
      <c r="AU138" s="347"/>
      <c r="AV138" s="347"/>
      <c r="AW138" s="347"/>
      <c r="AX138" s="347"/>
      <c r="AY138" s="347"/>
      <c r="AZ138" s="347"/>
      <c r="BA138" s="347"/>
      <c r="BB138" s="347"/>
      <c r="BC138" s="347"/>
      <c r="BD138" s="347"/>
      <c r="BE138" s="347"/>
      <c r="BF138" s="347"/>
      <c r="BG138" s="347"/>
      <c r="BH138" s="347"/>
    </row>
    <row r="139">
      <c r="A139" s="347"/>
      <c r="B139" s="347"/>
      <c r="C139" s="347"/>
      <c r="D139" s="347"/>
      <c r="E139" s="347"/>
      <c r="F139" s="347"/>
      <c r="G139" s="347"/>
      <c r="H139" s="347"/>
      <c r="I139" s="347"/>
      <c r="J139" s="347"/>
      <c r="K139" s="348"/>
      <c r="L139" s="348"/>
      <c r="M139" s="348"/>
      <c r="N139" s="348"/>
      <c r="O139" s="348"/>
      <c r="P139" s="347"/>
      <c r="Q139" s="347"/>
      <c r="R139" s="347"/>
      <c r="S139" s="347"/>
      <c r="T139" s="347"/>
      <c r="U139" s="347"/>
      <c r="V139" s="347"/>
      <c r="W139" s="347"/>
      <c r="X139" s="347"/>
      <c r="Y139" s="347"/>
      <c r="Z139" s="347"/>
      <c r="AA139" s="604"/>
      <c r="AB139" s="347"/>
      <c r="AC139" s="590"/>
      <c r="AD139" s="347"/>
      <c r="AE139" s="347"/>
      <c r="AF139" s="347"/>
      <c r="AG139" s="347"/>
      <c r="AH139" s="347"/>
      <c r="AI139" s="347"/>
      <c r="AJ139" s="347"/>
      <c r="AK139" s="347"/>
      <c r="AL139" s="347"/>
      <c r="AM139" s="347"/>
      <c r="AN139" s="347"/>
      <c r="AO139" s="347"/>
      <c r="AP139" s="347"/>
      <c r="AQ139" s="347"/>
      <c r="AR139" s="347"/>
      <c r="AS139" s="347"/>
      <c r="AT139" s="347"/>
      <c r="AU139" s="347"/>
      <c r="AV139" s="347"/>
      <c r="AW139" s="347"/>
      <c r="AX139" s="347"/>
      <c r="AY139" s="347"/>
      <c r="AZ139" s="347"/>
      <c r="BA139" s="347"/>
      <c r="BB139" s="347"/>
      <c r="BC139" s="347"/>
      <c r="BD139" s="347"/>
      <c r="BE139" s="347"/>
      <c r="BF139" s="347"/>
      <c r="BG139" s="347"/>
      <c r="BH139" s="347"/>
    </row>
    <row r="140">
      <c r="A140" s="347"/>
      <c r="B140" s="347"/>
      <c r="C140" s="347"/>
      <c r="D140" s="347"/>
      <c r="E140" s="347"/>
      <c r="F140" s="347"/>
      <c r="G140" s="347"/>
      <c r="H140" s="347"/>
      <c r="I140" s="347"/>
      <c r="J140" s="347"/>
      <c r="K140" s="348"/>
      <c r="L140" s="348"/>
      <c r="M140" s="348"/>
      <c r="N140" s="348"/>
      <c r="O140" s="348"/>
      <c r="P140" s="347"/>
      <c r="Q140" s="347"/>
      <c r="R140" s="347"/>
      <c r="S140" s="347"/>
      <c r="T140" s="347"/>
      <c r="U140" s="347"/>
      <c r="V140" s="347"/>
      <c r="W140" s="347"/>
      <c r="X140" s="347"/>
      <c r="Y140" s="347"/>
      <c r="Z140" s="347"/>
      <c r="AA140" s="604"/>
      <c r="AB140" s="347"/>
      <c r="AC140" s="590"/>
      <c r="AD140" s="347"/>
      <c r="AE140" s="347"/>
      <c r="AF140" s="347"/>
      <c r="AG140" s="347"/>
      <c r="AH140" s="347"/>
      <c r="AI140" s="347"/>
      <c r="AJ140" s="347"/>
      <c r="AK140" s="347"/>
      <c r="AL140" s="347"/>
      <c r="AM140" s="347"/>
      <c r="AN140" s="347"/>
      <c r="AO140" s="347"/>
      <c r="AP140" s="347"/>
      <c r="AQ140" s="347"/>
      <c r="AR140" s="347"/>
      <c r="AS140" s="347"/>
      <c r="AT140" s="347"/>
      <c r="AU140" s="347"/>
      <c r="AV140" s="347"/>
      <c r="AW140" s="347"/>
      <c r="AX140" s="347"/>
      <c r="AY140" s="347"/>
      <c r="AZ140" s="347"/>
      <c r="BA140" s="347"/>
      <c r="BB140" s="347"/>
      <c r="BC140" s="347"/>
      <c r="BD140" s="347"/>
      <c r="BE140" s="347"/>
      <c r="BF140" s="347"/>
      <c r="BG140" s="347"/>
      <c r="BH140" s="347"/>
    </row>
    <row r="141">
      <c r="A141" s="347"/>
      <c r="B141" s="347"/>
      <c r="C141" s="347"/>
      <c r="D141" s="347"/>
      <c r="E141" s="347"/>
      <c r="F141" s="347"/>
      <c r="G141" s="347"/>
      <c r="H141" s="347"/>
      <c r="I141" s="347"/>
      <c r="J141" s="347"/>
      <c r="K141" s="348"/>
      <c r="L141" s="348"/>
      <c r="M141" s="348"/>
      <c r="N141" s="348"/>
      <c r="O141" s="348"/>
      <c r="P141" s="347"/>
      <c r="Q141" s="347"/>
      <c r="R141" s="347"/>
      <c r="S141" s="347"/>
      <c r="T141" s="347"/>
      <c r="U141" s="347"/>
      <c r="V141" s="347"/>
      <c r="W141" s="347"/>
      <c r="X141" s="347"/>
      <c r="Y141" s="347"/>
      <c r="Z141" s="347"/>
      <c r="AA141" s="604"/>
      <c r="AB141" s="347"/>
      <c r="AC141" s="590"/>
      <c r="AD141" s="347"/>
      <c r="AE141" s="347"/>
      <c r="AF141" s="347"/>
      <c r="AG141" s="347"/>
      <c r="AH141" s="347"/>
      <c r="AI141" s="347"/>
      <c r="AJ141" s="347"/>
      <c r="AK141" s="347"/>
      <c r="AL141" s="347"/>
      <c r="AM141" s="347"/>
      <c r="AN141" s="347"/>
      <c r="AO141" s="347"/>
      <c r="AP141" s="347"/>
      <c r="AQ141" s="347"/>
      <c r="AR141" s="347"/>
      <c r="AS141" s="347"/>
      <c r="AT141" s="347"/>
      <c r="AU141" s="347"/>
      <c r="AV141" s="347"/>
      <c r="AW141" s="347"/>
      <c r="AX141" s="347"/>
      <c r="AY141" s="347"/>
      <c r="AZ141" s="347"/>
      <c r="BA141" s="347"/>
      <c r="BB141" s="347"/>
      <c r="BC141" s="347"/>
      <c r="BD141" s="347"/>
      <c r="BE141" s="347"/>
      <c r="BF141" s="347"/>
      <c r="BG141" s="347"/>
      <c r="BH141" s="347"/>
    </row>
    <row r="142">
      <c r="A142" s="347"/>
      <c r="B142" s="347"/>
      <c r="C142" s="347"/>
      <c r="D142" s="347"/>
      <c r="E142" s="347"/>
      <c r="F142" s="347"/>
      <c r="G142" s="347"/>
      <c r="H142" s="347"/>
      <c r="I142" s="347"/>
      <c r="J142" s="347"/>
      <c r="K142" s="348"/>
      <c r="L142" s="348"/>
      <c r="M142" s="348"/>
      <c r="N142" s="348"/>
      <c r="O142" s="348"/>
      <c r="P142" s="347"/>
      <c r="Q142" s="347"/>
      <c r="R142" s="347"/>
      <c r="S142" s="347"/>
      <c r="T142" s="347"/>
      <c r="U142" s="347"/>
      <c r="V142" s="347"/>
      <c r="W142" s="347"/>
      <c r="X142" s="347"/>
      <c r="Y142" s="347"/>
      <c r="Z142" s="347"/>
      <c r="AA142" s="604"/>
      <c r="AB142" s="347"/>
      <c r="AC142" s="590"/>
      <c r="AD142" s="347"/>
      <c r="AE142" s="347"/>
      <c r="AF142" s="347"/>
      <c r="AG142" s="347"/>
      <c r="AH142" s="347"/>
      <c r="AI142" s="347"/>
      <c r="AJ142" s="347"/>
      <c r="AK142" s="347"/>
      <c r="AL142" s="347"/>
      <c r="AM142" s="347"/>
      <c r="AN142" s="347"/>
      <c r="AO142" s="347"/>
      <c r="AP142" s="347"/>
      <c r="AQ142" s="347"/>
      <c r="AR142" s="347"/>
      <c r="AS142" s="347"/>
      <c r="AT142" s="347"/>
      <c r="AU142" s="347"/>
      <c r="AV142" s="347"/>
      <c r="AW142" s="347"/>
      <c r="AX142" s="347"/>
      <c r="AY142" s="347"/>
      <c r="AZ142" s="347"/>
      <c r="BA142" s="347"/>
      <c r="BB142" s="347"/>
      <c r="BC142" s="347"/>
      <c r="BD142" s="347"/>
      <c r="BE142" s="347"/>
      <c r="BF142" s="347"/>
      <c r="BG142" s="347"/>
      <c r="BH142" s="347"/>
    </row>
    <row r="143">
      <c r="A143" s="347"/>
      <c r="B143" s="347"/>
      <c r="C143" s="347"/>
      <c r="D143" s="347"/>
      <c r="E143" s="347"/>
      <c r="F143" s="347"/>
      <c r="G143" s="347"/>
      <c r="H143" s="347"/>
      <c r="I143" s="347"/>
      <c r="J143" s="347"/>
      <c r="K143" s="348"/>
      <c r="L143" s="348"/>
      <c r="M143" s="348"/>
      <c r="N143" s="348"/>
      <c r="O143" s="348"/>
      <c r="P143" s="347"/>
      <c r="Q143" s="347"/>
      <c r="R143" s="347"/>
      <c r="S143" s="347"/>
      <c r="T143" s="347"/>
      <c r="U143" s="347"/>
      <c r="V143" s="347"/>
      <c r="W143" s="347"/>
      <c r="X143" s="347"/>
      <c r="Y143" s="347"/>
      <c r="Z143" s="347"/>
      <c r="AA143" s="604"/>
      <c r="AB143" s="347"/>
      <c r="AC143" s="590"/>
      <c r="AD143" s="347"/>
      <c r="AE143" s="347"/>
      <c r="AF143" s="347"/>
      <c r="AG143" s="347"/>
      <c r="AH143" s="347"/>
      <c r="AI143" s="347"/>
      <c r="AJ143" s="347"/>
      <c r="AK143" s="347"/>
      <c r="AL143" s="347"/>
      <c r="AM143" s="347"/>
      <c r="AN143" s="347"/>
      <c r="AO143" s="347"/>
      <c r="AP143" s="347"/>
      <c r="AQ143" s="347"/>
      <c r="AR143" s="347"/>
      <c r="AS143" s="347"/>
      <c r="AT143" s="347"/>
      <c r="AU143" s="347"/>
      <c r="AV143" s="347"/>
      <c r="AW143" s="347"/>
      <c r="AX143" s="347"/>
      <c r="AY143" s="347"/>
      <c r="AZ143" s="347"/>
      <c r="BA143" s="347"/>
      <c r="BB143" s="347"/>
      <c r="BC143" s="347"/>
      <c r="BD143" s="347"/>
      <c r="BE143" s="347"/>
      <c r="BF143" s="347"/>
      <c r="BG143" s="347"/>
      <c r="BH143" s="347"/>
    </row>
    <row r="144">
      <c r="A144" s="347"/>
      <c r="B144" s="347"/>
      <c r="C144" s="347"/>
      <c r="D144" s="347"/>
      <c r="E144" s="347"/>
      <c r="F144" s="347"/>
      <c r="G144" s="347"/>
      <c r="H144" s="347"/>
      <c r="I144" s="347"/>
      <c r="J144" s="347"/>
      <c r="K144" s="348"/>
      <c r="L144" s="348"/>
      <c r="M144" s="348"/>
      <c r="N144" s="348"/>
      <c r="O144" s="348"/>
      <c r="P144" s="347"/>
      <c r="Q144" s="347"/>
      <c r="R144" s="347"/>
      <c r="S144" s="347"/>
      <c r="T144" s="347"/>
      <c r="U144" s="347"/>
      <c r="V144" s="347"/>
      <c r="W144" s="347"/>
      <c r="X144" s="347"/>
      <c r="Y144" s="347"/>
      <c r="Z144" s="347"/>
      <c r="AA144" s="604"/>
      <c r="AB144" s="347"/>
      <c r="AC144" s="590"/>
      <c r="AD144" s="347"/>
      <c r="AE144" s="347"/>
      <c r="AF144" s="347"/>
      <c r="AG144" s="347"/>
      <c r="AH144" s="347"/>
      <c r="AI144" s="347"/>
      <c r="AJ144" s="347"/>
      <c r="AK144" s="347"/>
      <c r="AL144" s="347"/>
      <c r="AM144" s="347"/>
      <c r="AN144" s="347"/>
      <c r="AO144" s="347"/>
      <c r="AP144" s="347"/>
      <c r="AQ144" s="347"/>
      <c r="AR144" s="347"/>
      <c r="AS144" s="347"/>
      <c r="AT144" s="347"/>
      <c r="AU144" s="347"/>
      <c r="AV144" s="347"/>
      <c r="AW144" s="347"/>
      <c r="AX144" s="347"/>
      <c r="AY144" s="347"/>
      <c r="AZ144" s="347"/>
      <c r="BA144" s="347"/>
      <c r="BB144" s="347"/>
      <c r="BC144" s="347"/>
      <c r="BD144" s="347"/>
      <c r="BE144" s="347"/>
      <c r="BF144" s="347"/>
      <c r="BG144" s="347"/>
      <c r="BH144" s="347"/>
    </row>
    <row r="145">
      <c r="A145" s="347"/>
      <c r="B145" s="347"/>
      <c r="C145" s="347"/>
      <c r="D145" s="347"/>
      <c r="E145" s="347"/>
      <c r="F145" s="347"/>
      <c r="G145" s="347"/>
      <c r="H145" s="347"/>
      <c r="I145" s="347"/>
      <c r="J145" s="347"/>
      <c r="K145" s="348"/>
      <c r="L145" s="348"/>
      <c r="M145" s="348"/>
      <c r="N145" s="348"/>
      <c r="O145" s="348"/>
      <c r="P145" s="347"/>
      <c r="Q145" s="347"/>
      <c r="R145" s="347"/>
      <c r="S145" s="347"/>
      <c r="T145" s="347"/>
      <c r="U145" s="347"/>
      <c r="V145" s="347"/>
      <c r="W145" s="347"/>
      <c r="X145" s="347"/>
      <c r="Y145" s="347"/>
      <c r="Z145" s="347"/>
      <c r="AA145" s="604"/>
      <c r="AB145" s="347"/>
      <c r="AC145" s="590"/>
      <c r="AD145" s="347"/>
      <c r="AE145" s="347"/>
      <c r="AF145" s="347"/>
      <c r="AG145" s="347"/>
      <c r="AH145" s="347"/>
      <c r="AI145" s="347"/>
      <c r="AJ145" s="347"/>
      <c r="AK145" s="347"/>
      <c r="AL145" s="347"/>
      <c r="AM145" s="347"/>
      <c r="AN145" s="347"/>
      <c r="AO145" s="347"/>
      <c r="AP145" s="347"/>
      <c r="AQ145" s="347"/>
      <c r="AR145" s="347"/>
      <c r="AS145" s="347"/>
      <c r="AT145" s="347"/>
      <c r="AU145" s="347"/>
      <c r="AV145" s="347"/>
      <c r="AW145" s="347"/>
      <c r="AX145" s="347"/>
      <c r="AY145" s="347"/>
      <c r="AZ145" s="347"/>
      <c r="BA145" s="347"/>
      <c r="BB145" s="347"/>
      <c r="BC145" s="347"/>
      <c r="BD145" s="347"/>
      <c r="BE145" s="347"/>
      <c r="BF145" s="347"/>
      <c r="BG145" s="347"/>
      <c r="BH145" s="347"/>
    </row>
    <row r="146">
      <c r="A146" s="347"/>
      <c r="B146" s="347"/>
      <c r="C146" s="347"/>
      <c r="D146" s="347"/>
      <c r="E146" s="347"/>
      <c r="F146" s="347"/>
      <c r="G146" s="347"/>
      <c r="H146" s="347"/>
      <c r="I146" s="347"/>
      <c r="J146" s="347"/>
      <c r="K146" s="348"/>
      <c r="L146" s="348"/>
      <c r="M146" s="348"/>
      <c r="N146" s="348"/>
      <c r="O146" s="348"/>
      <c r="P146" s="347"/>
      <c r="Q146" s="347"/>
      <c r="R146" s="347"/>
      <c r="S146" s="347"/>
      <c r="T146" s="347"/>
      <c r="U146" s="347"/>
      <c r="V146" s="347"/>
      <c r="W146" s="347"/>
      <c r="X146" s="347"/>
      <c r="Y146" s="347"/>
      <c r="Z146" s="347"/>
      <c r="AA146" s="604"/>
      <c r="AB146" s="347"/>
      <c r="AC146" s="590"/>
      <c r="AD146" s="347"/>
      <c r="AE146" s="347"/>
      <c r="AF146" s="347"/>
      <c r="AG146" s="347"/>
      <c r="AH146" s="347"/>
      <c r="AI146" s="347"/>
      <c r="AJ146" s="347"/>
      <c r="AK146" s="347"/>
      <c r="AL146" s="347"/>
      <c r="AM146" s="347"/>
      <c r="AN146" s="347"/>
      <c r="AO146" s="347"/>
      <c r="AP146" s="347"/>
      <c r="AQ146" s="347"/>
      <c r="AR146" s="347"/>
      <c r="AS146" s="347"/>
      <c r="AT146" s="347"/>
      <c r="AU146" s="347"/>
      <c r="AV146" s="347"/>
      <c r="AW146" s="347"/>
      <c r="AX146" s="347"/>
      <c r="AY146" s="347"/>
      <c r="AZ146" s="347"/>
      <c r="BA146" s="347"/>
      <c r="BB146" s="347"/>
      <c r="BC146" s="347"/>
      <c r="BD146" s="347"/>
      <c r="BE146" s="347"/>
      <c r="BF146" s="347"/>
      <c r="BG146" s="347"/>
      <c r="BH146" s="347"/>
    </row>
    <row r="147">
      <c r="A147" s="347"/>
      <c r="B147" s="347"/>
      <c r="C147" s="347"/>
      <c r="D147" s="347"/>
      <c r="E147" s="347"/>
      <c r="F147" s="347"/>
      <c r="G147" s="347"/>
      <c r="H147" s="347"/>
      <c r="I147" s="347"/>
      <c r="J147" s="347"/>
      <c r="K147" s="348"/>
      <c r="L147" s="348"/>
      <c r="M147" s="348"/>
      <c r="N147" s="348"/>
      <c r="O147" s="348"/>
      <c r="P147" s="347"/>
      <c r="Q147" s="347"/>
      <c r="R147" s="347"/>
      <c r="S147" s="347"/>
      <c r="T147" s="347"/>
      <c r="U147" s="347"/>
      <c r="V147" s="347"/>
      <c r="W147" s="347"/>
      <c r="X147" s="347"/>
      <c r="Y147" s="347"/>
      <c r="Z147" s="347"/>
      <c r="AA147" s="604"/>
      <c r="AB147" s="347"/>
      <c r="AC147" s="590"/>
      <c r="AD147" s="347"/>
      <c r="AE147" s="347"/>
      <c r="AF147" s="347"/>
      <c r="AG147" s="347"/>
      <c r="AH147" s="347"/>
      <c r="AI147" s="347"/>
      <c r="AJ147" s="347"/>
      <c r="AK147" s="347"/>
      <c r="AL147" s="347"/>
      <c r="AM147" s="347"/>
      <c r="AN147" s="347"/>
      <c r="AO147" s="347"/>
      <c r="AP147" s="347"/>
      <c r="AQ147" s="347"/>
      <c r="AR147" s="347"/>
      <c r="AS147" s="347"/>
      <c r="AT147" s="347"/>
      <c r="AU147" s="347"/>
      <c r="AV147" s="347"/>
      <c r="AW147" s="347"/>
      <c r="AX147" s="347"/>
      <c r="AY147" s="347"/>
      <c r="AZ147" s="347"/>
      <c r="BA147" s="347"/>
      <c r="BB147" s="347"/>
      <c r="BC147" s="347"/>
      <c r="BD147" s="347"/>
      <c r="BE147" s="347"/>
      <c r="BF147" s="347"/>
      <c r="BG147" s="347"/>
      <c r="BH147" s="347"/>
    </row>
    <row r="148">
      <c r="A148" s="347"/>
      <c r="B148" s="347"/>
      <c r="C148" s="347"/>
      <c r="D148" s="347"/>
      <c r="E148" s="347"/>
      <c r="F148" s="347"/>
      <c r="G148" s="347"/>
      <c r="H148" s="347"/>
      <c r="I148" s="347"/>
      <c r="J148" s="347"/>
      <c r="K148" s="348"/>
      <c r="L148" s="348"/>
      <c r="M148" s="348"/>
      <c r="N148" s="348"/>
      <c r="O148" s="348"/>
      <c r="P148" s="347"/>
      <c r="Q148" s="347"/>
      <c r="R148" s="347"/>
      <c r="S148" s="347"/>
      <c r="T148" s="347"/>
      <c r="U148" s="347"/>
      <c r="V148" s="347"/>
      <c r="W148" s="347"/>
      <c r="X148" s="347"/>
      <c r="Y148" s="347"/>
      <c r="Z148" s="347"/>
      <c r="AA148" s="604"/>
      <c r="AB148" s="347"/>
      <c r="AC148" s="590"/>
      <c r="AD148" s="347"/>
      <c r="AE148" s="347"/>
      <c r="AF148" s="347"/>
      <c r="AG148" s="347"/>
      <c r="AH148" s="347"/>
      <c r="AI148" s="347"/>
      <c r="AJ148" s="347"/>
      <c r="AK148" s="347"/>
      <c r="AL148" s="347"/>
      <c r="AM148" s="347"/>
      <c r="AN148" s="347"/>
      <c r="AO148" s="347"/>
      <c r="AP148" s="347"/>
      <c r="AQ148" s="347"/>
      <c r="AR148" s="347"/>
      <c r="AS148" s="347"/>
      <c r="AT148" s="347"/>
      <c r="AU148" s="347"/>
      <c r="AV148" s="347"/>
      <c r="AW148" s="347"/>
      <c r="AX148" s="347"/>
      <c r="AY148" s="347"/>
      <c r="AZ148" s="347"/>
      <c r="BA148" s="347"/>
      <c r="BB148" s="347"/>
      <c r="BC148" s="347"/>
      <c r="BD148" s="347"/>
      <c r="BE148" s="347"/>
      <c r="BF148" s="347"/>
      <c r="BG148" s="347"/>
      <c r="BH148" s="347"/>
    </row>
    <row r="149">
      <c r="A149" s="347"/>
      <c r="B149" s="347"/>
      <c r="C149" s="347"/>
      <c r="D149" s="347"/>
      <c r="E149" s="347"/>
      <c r="F149" s="347"/>
      <c r="G149" s="347"/>
      <c r="H149" s="347"/>
      <c r="I149" s="347"/>
      <c r="J149" s="347"/>
      <c r="K149" s="348"/>
      <c r="L149" s="348"/>
      <c r="M149" s="348"/>
      <c r="N149" s="348"/>
      <c r="O149" s="348"/>
      <c r="P149" s="347"/>
      <c r="Q149" s="347"/>
      <c r="R149" s="347"/>
      <c r="S149" s="347"/>
      <c r="T149" s="347"/>
      <c r="U149" s="347"/>
      <c r="V149" s="347"/>
      <c r="W149" s="347"/>
      <c r="X149" s="347"/>
      <c r="Y149" s="347"/>
      <c r="Z149" s="347"/>
      <c r="AA149" s="604"/>
      <c r="AB149" s="347"/>
      <c r="AC149" s="590"/>
      <c r="AD149" s="347"/>
      <c r="AE149" s="347"/>
      <c r="AF149" s="347"/>
      <c r="AG149" s="347"/>
      <c r="AH149" s="347"/>
      <c r="AI149" s="347"/>
      <c r="AJ149" s="347"/>
      <c r="AK149" s="347"/>
      <c r="AL149" s="347"/>
      <c r="AM149" s="347"/>
      <c r="AN149" s="347"/>
      <c r="AO149" s="347"/>
      <c r="AP149" s="347"/>
      <c r="AQ149" s="347"/>
      <c r="AR149" s="347"/>
      <c r="AS149" s="347"/>
      <c r="AT149" s="347"/>
      <c r="AU149" s="347"/>
      <c r="AV149" s="347"/>
      <c r="AW149" s="347"/>
      <c r="AX149" s="347"/>
      <c r="AY149" s="347"/>
      <c r="AZ149" s="347"/>
      <c r="BA149" s="347"/>
      <c r="BB149" s="347"/>
      <c r="BC149" s="347"/>
      <c r="BD149" s="347"/>
      <c r="BE149" s="347"/>
      <c r="BF149" s="347"/>
      <c r="BG149" s="347"/>
      <c r="BH149" s="347"/>
    </row>
    <row r="150">
      <c r="A150" s="347"/>
      <c r="B150" s="347"/>
      <c r="C150" s="347"/>
      <c r="D150" s="347"/>
      <c r="E150" s="347"/>
      <c r="F150" s="347"/>
      <c r="G150" s="347"/>
      <c r="H150" s="347"/>
      <c r="I150" s="347"/>
      <c r="J150" s="347"/>
      <c r="K150" s="348"/>
      <c r="L150" s="348"/>
      <c r="M150" s="348"/>
      <c r="N150" s="348"/>
      <c r="O150" s="348"/>
      <c r="P150" s="347"/>
      <c r="Q150" s="347"/>
      <c r="R150" s="347"/>
      <c r="S150" s="347"/>
      <c r="T150" s="347"/>
      <c r="U150" s="347"/>
      <c r="V150" s="347"/>
      <c r="W150" s="347"/>
      <c r="X150" s="347"/>
      <c r="Y150" s="347"/>
      <c r="Z150" s="347"/>
      <c r="AA150" s="604"/>
      <c r="AB150" s="347"/>
      <c r="AC150" s="590"/>
      <c r="AD150" s="347"/>
      <c r="AE150" s="347"/>
      <c r="AF150" s="347"/>
      <c r="AG150" s="347"/>
      <c r="AH150" s="347"/>
      <c r="AI150" s="347"/>
      <c r="AJ150" s="347"/>
      <c r="AK150" s="347"/>
      <c r="AL150" s="347"/>
      <c r="AM150" s="347"/>
      <c r="AN150" s="347"/>
      <c r="AO150" s="347"/>
      <c r="AP150" s="347"/>
      <c r="AQ150" s="347"/>
      <c r="AR150" s="347"/>
      <c r="AS150" s="347"/>
      <c r="AT150" s="347"/>
      <c r="AU150" s="347"/>
      <c r="AV150" s="347"/>
      <c r="AW150" s="347"/>
      <c r="AX150" s="347"/>
      <c r="AY150" s="347"/>
      <c r="AZ150" s="347"/>
      <c r="BA150" s="347"/>
      <c r="BB150" s="347"/>
      <c r="BC150" s="347"/>
      <c r="BD150" s="347"/>
      <c r="BE150" s="347"/>
      <c r="BF150" s="347"/>
      <c r="BG150" s="347"/>
      <c r="BH150" s="347"/>
    </row>
    <row r="151">
      <c r="A151" s="347"/>
      <c r="B151" s="347"/>
      <c r="C151" s="347"/>
      <c r="D151" s="347"/>
      <c r="E151" s="347"/>
      <c r="F151" s="347"/>
      <c r="G151" s="347"/>
      <c r="H151" s="347"/>
      <c r="I151" s="347"/>
      <c r="J151" s="347"/>
      <c r="K151" s="348"/>
      <c r="L151" s="348"/>
      <c r="M151" s="348"/>
      <c r="N151" s="348"/>
      <c r="O151" s="348"/>
      <c r="P151" s="347"/>
      <c r="Q151" s="347"/>
      <c r="R151" s="347"/>
      <c r="S151" s="347"/>
      <c r="T151" s="347"/>
      <c r="U151" s="347"/>
      <c r="V151" s="347"/>
      <c r="W151" s="347"/>
      <c r="X151" s="347"/>
      <c r="Y151" s="347"/>
      <c r="Z151" s="347"/>
      <c r="AA151" s="604"/>
      <c r="AB151" s="347"/>
      <c r="AC151" s="590"/>
      <c r="AD151" s="347"/>
      <c r="AE151" s="347"/>
      <c r="AF151" s="347"/>
      <c r="AG151" s="347"/>
      <c r="AH151" s="347"/>
      <c r="AI151" s="347"/>
      <c r="AJ151" s="347"/>
      <c r="AK151" s="347"/>
      <c r="AL151" s="347"/>
      <c r="AM151" s="347"/>
      <c r="AN151" s="347"/>
      <c r="AO151" s="347"/>
      <c r="AP151" s="347"/>
      <c r="AQ151" s="347"/>
      <c r="AR151" s="347"/>
      <c r="AS151" s="347"/>
      <c r="AT151" s="347"/>
      <c r="AU151" s="347"/>
      <c r="AV151" s="347"/>
      <c r="AW151" s="347"/>
      <c r="AX151" s="347"/>
      <c r="AY151" s="347"/>
      <c r="AZ151" s="347"/>
      <c r="BA151" s="347"/>
      <c r="BB151" s="347"/>
      <c r="BC151" s="347"/>
      <c r="BD151" s="347"/>
      <c r="BE151" s="347"/>
      <c r="BF151" s="347"/>
      <c r="BG151" s="347"/>
      <c r="BH151" s="347"/>
    </row>
    <row r="152">
      <c r="A152" s="347"/>
      <c r="B152" s="347"/>
      <c r="C152" s="347"/>
      <c r="D152" s="347"/>
      <c r="E152" s="347"/>
      <c r="F152" s="347"/>
      <c r="G152" s="347"/>
      <c r="H152" s="347"/>
      <c r="I152" s="347"/>
      <c r="J152" s="347"/>
      <c r="K152" s="348"/>
      <c r="L152" s="348"/>
      <c r="M152" s="348"/>
      <c r="N152" s="348"/>
      <c r="O152" s="348"/>
      <c r="P152" s="347"/>
      <c r="Q152" s="347"/>
      <c r="R152" s="347"/>
      <c r="S152" s="347"/>
      <c r="T152" s="347"/>
      <c r="U152" s="347"/>
      <c r="V152" s="347"/>
      <c r="W152" s="347"/>
      <c r="X152" s="347"/>
      <c r="Y152" s="347"/>
      <c r="Z152" s="347"/>
      <c r="AA152" s="604"/>
      <c r="AB152" s="347"/>
      <c r="AC152" s="590"/>
      <c r="AD152" s="347"/>
      <c r="AE152" s="347"/>
      <c r="AF152" s="347"/>
      <c r="AG152" s="347"/>
      <c r="AH152" s="347"/>
      <c r="AI152" s="347"/>
      <c r="AJ152" s="347"/>
      <c r="AK152" s="347"/>
      <c r="AL152" s="347"/>
      <c r="AM152" s="347"/>
      <c r="AN152" s="347"/>
      <c r="AO152" s="347"/>
      <c r="AP152" s="347"/>
      <c r="AQ152" s="347"/>
      <c r="AR152" s="347"/>
      <c r="AS152" s="347"/>
      <c r="AT152" s="347"/>
      <c r="AU152" s="347"/>
      <c r="AV152" s="347"/>
      <c r="AW152" s="347"/>
      <c r="AX152" s="347"/>
      <c r="AY152" s="347"/>
      <c r="AZ152" s="347"/>
      <c r="BA152" s="347"/>
      <c r="BB152" s="347"/>
      <c r="BC152" s="347"/>
      <c r="BD152" s="347"/>
      <c r="BE152" s="347"/>
      <c r="BF152" s="347"/>
      <c r="BG152" s="347"/>
      <c r="BH152" s="347"/>
    </row>
    <row r="153">
      <c r="A153" s="347"/>
      <c r="B153" s="347"/>
      <c r="C153" s="347"/>
      <c r="D153" s="347"/>
      <c r="E153" s="347"/>
      <c r="F153" s="347"/>
      <c r="G153" s="347"/>
      <c r="H153" s="347"/>
      <c r="I153" s="347"/>
      <c r="J153" s="347"/>
      <c r="K153" s="348"/>
      <c r="L153" s="348"/>
      <c r="M153" s="348"/>
      <c r="N153" s="348"/>
      <c r="O153" s="348"/>
      <c r="P153" s="347"/>
      <c r="Q153" s="347"/>
      <c r="R153" s="347"/>
      <c r="S153" s="347"/>
      <c r="T153" s="347"/>
      <c r="U153" s="347"/>
      <c r="V153" s="347"/>
      <c r="W153" s="347"/>
      <c r="X153" s="347"/>
      <c r="Y153" s="347"/>
      <c r="Z153" s="347"/>
      <c r="AA153" s="604"/>
      <c r="AB153" s="347"/>
      <c r="AC153" s="590"/>
      <c r="AD153" s="347"/>
      <c r="AE153" s="347"/>
      <c r="AF153" s="347"/>
      <c r="AG153" s="347"/>
      <c r="AH153" s="347"/>
      <c r="AI153" s="347"/>
      <c r="AJ153" s="347"/>
      <c r="AK153" s="347"/>
      <c r="AL153" s="347"/>
      <c r="AM153" s="347"/>
      <c r="AN153" s="347"/>
      <c r="AO153" s="347"/>
      <c r="AP153" s="347"/>
      <c r="AQ153" s="347"/>
      <c r="AR153" s="347"/>
      <c r="AS153" s="347"/>
      <c r="AT153" s="347"/>
      <c r="AU153" s="347"/>
      <c r="AV153" s="347"/>
      <c r="AW153" s="347"/>
      <c r="AX153" s="347"/>
      <c r="AY153" s="347"/>
      <c r="AZ153" s="347"/>
      <c r="BA153" s="347"/>
      <c r="BB153" s="347"/>
      <c r="BC153" s="347"/>
      <c r="BD153" s="347"/>
      <c r="BE153" s="347"/>
      <c r="BF153" s="347"/>
      <c r="BG153" s="347"/>
      <c r="BH153" s="347"/>
    </row>
    <row r="154">
      <c r="A154" s="347"/>
      <c r="B154" s="347"/>
      <c r="C154" s="347"/>
      <c r="D154" s="347"/>
      <c r="E154" s="347"/>
      <c r="F154" s="347"/>
      <c r="G154" s="347"/>
      <c r="H154" s="347"/>
      <c r="I154" s="347"/>
      <c r="J154" s="347"/>
      <c r="K154" s="348"/>
      <c r="L154" s="348"/>
      <c r="M154" s="348"/>
      <c r="N154" s="348"/>
      <c r="O154" s="348"/>
      <c r="P154" s="347"/>
      <c r="Q154" s="347"/>
      <c r="R154" s="347"/>
      <c r="S154" s="347"/>
      <c r="T154" s="347"/>
      <c r="U154" s="347"/>
      <c r="V154" s="347"/>
      <c r="W154" s="347"/>
      <c r="X154" s="347"/>
      <c r="Y154" s="347"/>
      <c r="Z154" s="347"/>
      <c r="AA154" s="604"/>
      <c r="AB154" s="347"/>
      <c r="AC154" s="590"/>
      <c r="AD154" s="347"/>
      <c r="AE154" s="347"/>
      <c r="AF154" s="347"/>
      <c r="AG154" s="347"/>
      <c r="AH154" s="347"/>
      <c r="AI154" s="347"/>
      <c r="AJ154" s="347"/>
      <c r="AK154" s="347"/>
      <c r="AL154" s="347"/>
      <c r="AM154" s="347"/>
      <c r="AN154" s="347"/>
      <c r="AO154" s="347"/>
      <c r="AP154" s="347"/>
      <c r="AQ154" s="347"/>
      <c r="AR154" s="347"/>
      <c r="AS154" s="347"/>
      <c r="AT154" s="347"/>
      <c r="AU154" s="347"/>
      <c r="AV154" s="347"/>
      <c r="AW154" s="347"/>
      <c r="AX154" s="347"/>
      <c r="AY154" s="347"/>
      <c r="AZ154" s="347"/>
      <c r="BA154" s="347"/>
      <c r="BB154" s="347"/>
      <c r="BC154" s="347"/>
      <c r="BD154" s="347"/>
      <c r="BE154" s="347"/>
      <c r="BF154" s="347"/>
      <c r="BG154" s="347"/>
      <c r="BH154" s="347"/>
    </row>
    <row r="155">
      <c r="A155" s="347"/>
      <c r="B155" s="347"/>
      <c r="C155" s="347"/>
      <c r="D155" s="347"/>
      <c r="E155" s="347"/>
      <c r="F155" s="347"/>
      <c r="G155" s="347"/>
      <c r="H155" s="347"/>
      <c r="I155" s="347"/>
      <c r="J155" s="347"/>
      <c r="K155" s="348"/>
      <c r="L155" s="348"/>
      <c r="M155" s="348"/>
      <c r="N155" s="348"/>
      <c r="O155" s="348"/>
      <c r="P155" s="347"/>
      <c r="Q155" s="347"/>
      <c r="R155" s="347"/>
      <c r="S155" s="347"/>
      <c r="T155" s="347"/>
      <c r="U155" s="347"/>
      <c r="V155" s="347"/>
      <c r="W155" s="347"/>
      <c r="X155" s="347"/>
      <c r="Y155" s="347"/>
      <c r="Z155" s="347"/>
      <c r="AA155" s="604"/>
      <c r="AB155" s="347"/>
      <c r="AC155" s="590"/>
      <c r="AD155" s="347"/>
      <c r="AE155" s="347"/>
      <c r="AF155" s="347"/>
      <c r="AG155" s="347"/>
      <c r="AH155" s="347"/>
      <c r="AI155" s="347"/>
      <c r="AJ155" s="347"/>
      <c r="AK155" s="347"/>
      <c r="AL155" s="347"/>
      <c r="AM155" s="347"/>
      <c r="AN155" s="347"/>
      <c r="AO155" s="347"/>
      <c r="AP155" s="347"/>
      <c r="AQ155" s="347"/>
      <c r="AR155" s="347"/>
      <c r="AS155" s="347"/>
      <c r="AT155" s="347"/>
      <c r="AU155" s="347"/>
      <c r="AV155" s="347"/>
      <c r="AW155" s="347"/>
      <c r="AX155" s="347"/>
      <c r="AY155" s="347"/>
      <c r="AZ155" s="347"/>
      <c r="BA155" s="347"/>
      <c r="BB155" s="347"/>
      <c r="BC155" s="347"/>
      <c r="BD155" s="347"/>
      <c r="BE155" s="347"/>
      <c r="BF155" s="347"/>
      <c r="BG155" s="347"/>
      <c r="BH155" s="347"/>
    </row>
    <row r="156">
      <c r="A156" s="347"/>
      <c r="B156" s="347"/>
      <c r="C156" s="347"/>
      <c r="D156" s="347"/>
      <c r="E156" s="347"/>
      <c r="F156" s="347"/>
      <c r="G156" s="347"/>
      <c r="H156" s="347"/>
      <c r="I156" s="347"/>
      <c r="J156" s="347"/>
      <c r="K156" s="348"/>
      <c r="L156" s="348"/>
      <c r="M156" s="348"/>
      <c r="N156" s="348"/>
      <c r="O156" s="348"/>
      <c r="P156" s="347"/>
      <c r="Q156" s="347"/>
      <c r="R156" s="347"/>
      <c r="S156" s="347"/>
      <c r="T156" s="347"/>
      <c r="U156" s="347"/>
      <c r="V156" s="347"/>
      <c r="W156" s="347"/>
      <c r="X156" s="347"/>
      <c r="Y156" s="347"/>
      <c r="Z156" s="347"/>
      <c r="AA156" s="604"/>
      <c r="AB156" s="347"/>
      <c r="AC156" s="590"/>
      <c r="AD156" s="347"/>
      <c r="AE156" s="347"/>
      <c r="AF156" s="347"/>
      <c r="AG156" s="347"/>
      <c r="AH156" s="347"/>
      <c r="AI156" s="347"/>
      <c r="AJ156" s="347"/>
      <c r="AK156" s="347"/>
      <c r="AL156" s="347"/>
      <c r="AM156" s="347"/>
      <c r="AN156" s="347"/>
      <c r="AO156" s="347"/>
      <c r="AP156" s="347"/>
      <c r="AQ156" s="347"/>
      <c r="AR156" s="347"/>
      <c r="AS156" s="347"/>
      <c r="AT156" s="347"/>
      <c r="AU156" s="347"/>
      <c r="AV156" s="347"/>
      <c r="AW156" s="347"/>
      <c r="AX156" s="347"/>
      <c r="AY156" s="347"/>
      <c r="AZ156" s="347"/>
      <c r="BA156" s="347"/>
      <c r="BB156" s="347"/>
      <c r="BC156" s="347"/>
      <c r="BD156" s="347"/>
      <c r="BE156" s="347"/>
      <c r="BF156" s="347"/>
      <c r="BG156" s="347"/>
      <c r="BH156" s="347"/>
    </row>
    <row r="157">
      <c r="A157" s="347"/>
      <c r="B157" s="347"/>
      <c r="C157" s="347"/>
      <c r="D157" s="347"/>
      <c r="E157" s="347"/>
      <c r="F157" s="347"/>
      <c r="G157" s="347"/>
      <c r="H157" s="347"/>
      <c r="I157" s="347"/>
      <c r="J157" s="347"/>
      <c r="K157" s="348"/>
      <c r="L157" s="348"/>
      <c r="M157" s="348"/>
      <c r="N157" s="348"/>
      <c r="O157" s="348"/>
      <c r="P157" s="347"/>
      <c r="Q157" s="347"/>
      <c r="R157" s="347"/>
      <c r="S157" s="347"/>
      <c r="T157" s="347"/>
      <c r="U157" s="347"/>
      <c r="V157" s="347"/>
      <c r="W157" s="347"/>
      <c r="X157" s="347"/>
      <c r="Y157" s="347"/>
      <c r="Z157" s="347"/>
      <c r="AA157" s="604"/>
      <c r="AB157" s="347"/>
      <c r="AC157" s="590"/>
      <c r="AD157" s="347"/>
      <c r="AE157" s="347"/>
      <c r="AF157" s="347"/>
      <c r="AG157" s="347"/>
      <c r="AH157" s="347"/>
      <c r="AI157" s="347"/>
      <c r="AJ157" s="347"/>
      <c r="AK157" s="347"/>
      <c r="AL157" s="347"/>
      <c r="AM157" s="347"/>
      <c r="AN157" s="347"/>
      <c r="AO157" s="347"/>
      <c r="AP157" s="347"/>
      <c r="AQ157" s="347"/>
      <c r="AR157" s="347"/>
      <c r="AS157" s="347"/>
      <c r="AT157" s="347"/>
      <c r="AU157" s="347"/>
      <c r="AV157" s="347"/>
      <c r="AW157" s="347"/>
      <c r="AX157" s="347"/>
      <c r="AY157" s="347"/>
      <c r="AZ157" s="347"/>
      <c r="BA157" s="347"/>
      <c r="BB157" s="347"/>
      <c r="BC157" s="347"/>
      <c r="BD157" s="347"/>
      <c r="BE157" s="347"/>
      <c r="BF157" s="347"/>
      <c r="BG157" s="347"/>
      <c r="BH157" s="347"/>
    </row>
    <row r="158">
      <c r="A158" s="347"/>
      <c r="B158" s="347"/>
      <c r="C158" s="347"/>
      <c r="D158" s="347"/>
      <c r="E158" s="347"/>
      <c r="F158" s="347"/>
      <c r="G158" s="347"/>
      <c r="H158" s="347"/>
      <c r="I158" s="347"/>
      <c r="J158" s="347"/>
      <c r="K158" s="348"/>
      <c r="L158" s="348"/>
      <c r="M158" s="348"/>
      <c r="N158" s="348"/>
      <c r="O158" s="348"/>
      <c r="P158" s="347"/>
      <c r="Q158" s="347"/>
      <c r="R158" s="347"/>
      <c r="S158" s="347"/>
      <c r="T158" s="347"/>
      <c r="U158" s="347"/>
      <c r="V158" s="347"/>
      <c r="W158" s="347"/>
      <c r="X158" s="347"/>
      <c r="Y158" s="347"/>
      <c r="Z158" s="347"/>
      <c r="AA158" s="604"/>
      <c r="AB158" s="347"/>
      <c r="AC158" s="590"/>
      <c r="AD158" s="347"/>
      <c r="AE158" s="347"/>
      <c r="AF158" s="347"/>
      <c r="AG158" s="347"/>
      <c r="AH158" s="347"/>
      <c r="AI158" s="347"/>
      <c r="AJ158" s="347"/>
      <c r="AK158" s="347"/>
      <c r="AL158" s="347"/>
      <c r="AM158" s="347"/>
      <c r="AN158" s="347"/>
      <c r="AO158" s="347"/>
      <c r="AP158" s="347"/>
      <c r="AQ158" s="347"/>
      <c r="AR158" s="347"/>
      <c r="AS158" s="347"/>
      <c r="AT158" s="347"/>
      <c r="AU158" s="347"/>
      <c r="AV158" s="347"/>
      <c r="AW158" s="347"/>
      <c r="AX158" s="347"/>
      <c r="AY158" s="347"/>
      <c r="AZ158" s="347"/>
      <c r="BA158" s="347"/>
      <c r="BB158" s="347"/>
      <c r="BC158" s="347"/>
      <c r="BD158" s="347"/>
      <c r="BE158" s="347"/>
      <c r="BF158" s="347"/>
      <c r="BG158" s="347"/>
      <c r="BH158" s="347"/>
    </row>
    <row r="159">
      <c r="A159" s="347"/>
      <c r="B159" s="347"/>
      <c r="C159" s="347"/>
      <c r="D159" s="347"/>
      <c r="E159" s="347"/>
      <c r="F159" s="347"/>
      <c r="G159" s="347"/>
      <c r="H159" s="347"/>
      <c r="I159" s="347"/>
      <c r="J159" s="347"/>
      <c r="K159" s="348"/>
      <c r="L159" s="348"/>
      <c r="M159" s="348"/>
      <c r="N159" s="348"/>
      <c r="O159" s="348"/>
      <c r="P159" s="347"/>
      <c r="Q159" s="347"/>
      <c r="R159" s="347"/>
      <c r="S159" s="347"/>
      <c r="T159" s="347"/>
      <c r="U159" s="347"/>
      <c r="V159" s="347"/>
      <c r="W159" s="347"/>
      <c r="X159" s="347"/>
      <c r="Y159" s="347"/>
      <c r="Z159" s="347"/>
      <c r="AA159" s="604"/>
      <c r="AB159" s="347"/>
      <c r="AC159" s="590"/>
      <c r="AD159" s="347"/>
      <c r="AE159" s="347"/>
      <c r="AF159" s="347"/>
      <c r="AG159" s="347"/>
      <c r="AH159" s="347"/>
      <c r="AI159" s="347"/>
      <c r="AJ159" s="347"/>
      <c r="AK159" s="347"/>
      <c r="AL159" s="347"/>
      <c r="AM159" s="347"/>
      <c r="AN159" s="347"/>
      <c r="AO159" s="347"/>
      <c r="AP159" s="347"/>
      <c r="AQ159" s="347"/>
      <c r="AR159" s="347"/>
      <c r="AS159" s="347"/>
      <c r="AT159" s="347"/>
      <c r="AU159" s="347"/>
      <c r="AV159" s="347"/>
      <c r="AW159" s="347"/>
      <c r="AX159" s="347"/>
      <c r="AY159" s="347"/>
      <c r="AZ159" s="347"/>
      <c r="BA159" s="347"/>
      <c r="BB159" s="347"/>
      <c r="BC159" s="347"/>
      <c r="BD159" s="347"/>
      <c r="BE159" s="347"/>
      <c r="BF159" s="347"/>
      <c r="BG159" s="347"/>
      <c r="BH159" s="347"/>
    </row>
    <row r="160">
      <c r="A160" s="347"/>
      <c r="B160" s="347"/>
      <c r="C160" s="347"/>
      <c r="D160" s="347"/>
      <c r="E160" s="347"/>
      <c r="F160" s="347"/>
      <c r="G160" s="347"/>
      <c r="H160" s="347"/>
      <c r="I160" s="347"/>
      <c r="J160" s="347"/>
      <c r="K160" s="348"/>
      <c r="L160" s="348"/>
      <c r="M160" s="348"/>
      <c r="N160" s="348"/>
      <c r="O160" s="348"/>
      <c r="P160" s="347"/>
      <c r="Q160" s="347"/>
      <c r="R160" s="347"/>
      <c r="S160" s="347"/>
      <c r="T160" s="347"/>
      <c r="U160" s="347"/>
      <c r="V160" s="347"/>
      <c r="W160" s="347"/>
      <c r="X160" s="347"/>
      <c r="Y160" s="347"/>
      <c r="Z160" s="347"/>
      <c r="AA160" s="604"/>
      <c r="AB160" s="347"/>
      <c r="AC160" s="590"/>
      <c r="AD160" s="347"/>
      <c r="AE160" s="347"/>
      <c r="AF160" s="347"/>
      <c r="AG160" s="347"/>
      <c r="AH160" s="347"/>
      <c r="AI160" s="347"/>
      <c r="AJ160" s="347"/>
      <c r="AK160" s="347"/>
      <c r="AL160" s="347"/>
      <c r="AM160" s="347"/>
      <c r="AN160" s="347"/>
      <c r="AO160" s="347"/>
      <c r="AP160" s="347"/>
      <c r="AQ160" s="347"/>
      <c r="AR160" s="347"/>
      <c r="AS160" s="347"/>
      <c r="AT160" s="347"/>
      <c r="AU160" s="347"/>
      <c r="AV160" s="347"/>
      <c r="AW160" s="347"/>
      <c r="AX160" s="347"/>
      <c r="AY160" s="347"/>
      <c r="AZ160" s="347"/>
      <c r="BA160" s="347"/>
      <c r="BB160" s="347"/>
      <c r="BC160" s="347"/>
      <c r="BD160" s="347"/>
      <c r="BE160" s="347"/>
      <c r="BF160" s="347"/>
      <c r="BG160" s="347"/>
      <c r="BH160" s="347"/>
    </row>
    <row r="161">
      <c r="A161" s="347"/>
      <c r="B161" s="347"/>
      <c r="C161" s="347"/>
      <c r="D161" s="347"/>
      <c r="E161" s="347"/>
      <c r="F161" s="347"/>
      <c r="G161" s="347"/>
      <c r="H161" s="347"/>
      <c r="I161" s="347"/>
      <c r="J161" s="347"/>
      <c r="K161" s="348"/>
      <c r="L161" s="348"/>
      <c r="M161" s="348"/>
      <c r="N161" s="348"/>
      <c r="O161" s="348"/>
      <c r="P161" s="347"/>
      <c r="Q161" s="347"/>
      <c r="R161" s="347"/>
      <c r="S161" s="347"/>
      <c r="T161" s="347"/>
      <c r="U161" s="347"/>
      <c r="V161" s="347"/>
      <c r="W161" s="347"/>
      <c r="X161" s="347"/>
      <c r="Y161" s="347"/>
      <c r="Z161" s="347"/>
      <c r="AA161" s="604"/>
      <c r="AB161" s="347"/>
      <c r="AC161" s="590"/>
      <c r="AD161" s="347"/>
      <c r="AE161" s="347"/>
      <c r="AF161" s="347"/>
      <c r="AG161" s="347"/>
      <c r="AH161" s="347"/>
      <c r="AI161" s="347"/>
      <c r="AJ161" s="347"/>
      <c r="AK161" s="347"/>
      <c r="AL161" s="347"/>
      <c r="AM161" s="347"/>
      <c r="AN161" s="347"/>
      <c r="AO161" s="347"/>
      <c r="AP161" s="347"/>
      <c r="AQ161" s="347"/>
      <c r="AR161" s="347"/>
      <c r="AS161" s="347"/>
      <c r="AT161" s="347"/>
      <c r="AU161" s="347"/>
      <c r="AV161" s="347"/>
      <c r="AW161" s="347"/>
      <c r="AX161" s="347"/>
      <c r="AY161" s="347"/>
      <c r="AZ161" s="347"/>
      <c r="BA161" s="347"/>
      <c r="BB161" s="347"/>
      <c r="BC161" s="347"/>
      <c r="BD161" s="347"/>
      <c r="BE161" s="347"/>
      <c r="BF161" s="347"/>
      <c r="BG161" s="347"/>
      <c r="BH161" s="347"/>
    </row>
    <row r="162">
      <c r="A162" s="347"/>
      <c r="B162" s="347"/>
      <c r="C162" s="347"/>
      <c r="D162" s="347"/>
      <c r="E162" s="347"/>
      <c r="F162" s="347"/>
      <c r="G162" s="347"/>
      <c r="H162" s="347"/>
      <c r="I162" s="347"/>
      <c r="J162" s="347"/>
      <c r="K162" s="348"/>
      <c r="L162" s="348"/>
      <c r="M162" s="348"/>
      <c r="N162" s="348"/>
      <c r="O162" s="348"/>
      <c r="P162" s="347"/>
      <c r="Q162" s="347"/>
      <c r="R162" s="347"/>
      <c r="S162" s="347"/>
      <c r="T162" s="347"/>
      <c r="U162" s="347"/>
      <c r="V162" s="347"/>
      <c r="W162" s="347"/>
      <c r="X162" s="347"/>
      <c r="Y162" s="347"/>
      <c r="Z162" s="347"/>
      <c r="AA162" s="604"/>
      <c r="AB162" s="347"/>
      <c r="AC162" s="590"/>
      <c r="AD162" s="347"/>
      <c r="AE162" s="347"/>
      <c r="AF162" s="347"/>
      <c r="AG162" s="347"/>
      <c r="AH162" s="347"/>
      <c r="AI162" s="347"/>
      <c r="AJ162" s="347"/>
      <c r="AK162" s="347"/>
      <c r="AL162" s="347"/>
      <c r="AM162" s="347"/>
      <c r="AN162" s="347"/>
      <c r="AO162" s="347"/>
      <c r="AP162" s="347"/>
      <c r="AQ162" s="347"/>
      <c r="AR162" s="347"/>
      <c r="AS162" s="347"/>
      <c r="AT162" s="347"/>
      <c r="AU162" s="347"/>
      <c r="AV162" s="347"/>
      <c r="AW162" s="347"/>
      <c r="AX162" s="347"/>
      <c r="AY162" s="347"/>
      <c r="AZ162" s="347"/>
      <c r="BA162" s="347"/>
      <c r="BB162" s="347"/>
      <c r="BC162" s="347"/>
      <c r="BD162" s="347"/>
      <c r="BE162" s="347"/>
      <c r="BF162" s="347"/>
      <c r="BG162" s="347"/>
      <c r="BH162" s="347"/>
    </row>
    <row r="163">
      <c r="A163" s="347"/>
      <c r="B163" s="347"/>
      <c r="C163" s="347"/>
      <c r="D163" s="347"/>
      <c r="E163" s="347"/>
      <c r="F163" s="347"/>
      <c r="G163" s="347"/>
      <c r="H163" s="347"/>
      <c r="I163" s="347"/>
      <c r="J163" s="347"/>
      <c r="K163" s="348"/>
      <c r="L163" s="348"/>
      <c r="M163" s="348"/>
      <c r="N163" s="348"/>
      <c r="O163" s="348"/>
      <c r="P163" s="347"/>
      <c r="Q163" s="347"/>
      <c r="R163" s="347"/>
      <c r="S163" s="347"/>
      <c r="T163" s="347"/>
      <c r="U163" s="347"/>
      <c r="V163" s="347"/>
      <c r="W163" s="347"/>
      <c r="X163" s="347"/>
      <c r="Y163" s="347"/>
      <c r="Z163" s="347"/>
      <c r="AA163" s="604"/>
      <c r="AB163" s="347"/>
      <c r="AC163" s="590"/>
      <c r="AD163" s="347"/>
      <c r="AE163" s="347"/>
      <c r="AF163" s="347"/>
      <c r="AG163" s="347"/>
      <c r="AH163" s="347"/>
      <c r="AI163" s="347"/>
      <c r="AJ163" s="347"/>
      <c r="AK163" s="347"/>
      <c r="AL163" s="347"/>
      <c r="AM163" s="347"/>
      <c r="AN163" s="347"/>
      <c r="AO163" s="347"/>
      <c r="AP163" s="347"/>
      <c r="AQ163" s="347"/>
      <c r="AR163" s="347"/>
      <c r="AS163" s="347"/>
      <c r="AT163" s="347"/>
      <c r="AU163" s="347"/>
      <c r="AV163" s="347"/>
      <c r="AW163" s="347"/>
      <c r="AX163" s="347"/>
      <c r="AY163" s="347"/>
      <c r="AZ163" s="347"/>
      <c r="BA163" s="347"/>
      <c r="BB163" s="347"/>
      <c r="BC163" s="347"/>
      <c r="BD163" s="347"/>
      <c r="BE163" s="347"/>
      <c r="BF163" s="347"/>
      <c r="BG163" s="347"/>
      <c r="BH163" s="347"/>
    </row>
    <row r="164">
      <c r="A164" s="347"/>
      <c r="B164" s="347"/>
      <c r="C164" s="347"/>
      <c r="D164" s="347"/>
      <c r="E164" s="347"/>
      <c r="F164" s="347"/>
      <c r="G164" s="347"/>
      <c r="H164" s="347"/>
      <c r="I164" s="347"/>
      <c r="J164" s="347"/>
      <c r="K164" s="348"/>
      <c r="L164" s="348"/>
      <c r="M164" s="348"/>
      <c r="N164" s="348"/>
      <c r="O164" s="348"/>
      <c r="P164" s="347"/>
      <c r="Q164" s="347"/>
      <c r="R164" s="347"/>
      <c r="S164" s="347"/>
      <c r="T164" s="347"/>
      <c r="U164" s="347"/>
      <c r="V164" s="347"/>
      <c r="W164" s="347"/>
      <c r="X164" s="347"/>
      <c r="Y164" s="347"/>
      <c r="Z164" s="347"/>
      <c r="AA164" s="604"/>
      <c r="AB164" s="347"/>
      <c r="AC164" s="590"/>
      <c r="AD164" s="347"/>
      <c r="AE164" s="347"/>
      <c r="AF164" s="347"/>
      <c r="AG164" s="347"/>
      <c r="AH164" s="347"/>
      <c r="AI164" s="347"/>
      <c r="AJ164" s="347"/>
      <c r="AK164" s="347"/>
      <c r="AL164" s="347"/>
      <c r="AM164" s="347"/>
      <c r="AN164" s="347"/>
      <c r="AO164" s="347"/>
      <c r="AP164" s="347"/>
      <c r="AQ164" s="347"/>
      <c r="AR164" s="347"/>
      <c r="AS164" s="347"/>
      <c r="AT164" s="347"/>
      <c r="AU164" s="347"/>
      <c r="AV164" s="347"/>
      <c r="AW164" s="347"/>
      <c r="AX164" s="347"/>
      <c r="AY164" s="347"/>
      <c r="AZ164" s="347"/>
      <c r="BA164" s="347"/>
      <c r="BB164" s="347"/>
      <c r="BC164" s="347"/>
      <c r="BD164" s="347"/>
      <c r="BE164" s="347"/>
      <c r="BF164" s="347"/>
      <c r="BG164" s="347"/>
      <c r="BH164" s="347"/>
    </row>
    <row r="165">
      <c r="A165" s="347"/>
      <c r="B165" s="347"/>
      <c r="C165" s="347"/>
      <c r="D165" s="347"/>
      <c r="E165" s="347"/>
      <c r="F165" s="347"/>
      <c r="G165" s="347"/>
      <c r="H165" s="347"/>
      <c r="I165" s="347"/>
      <c r="J165" s="347"/>
      <c r="K165" s="348"/>
      <c r="L165" s="348"/>
      <c r="M165" s="348"/>
      <c r="N165" s="348"/>
      <c r="O165" s="348"/>
      <c r="P165" s="347"/>
      <c r="Q165" s="347"/>
      <c r="R165" s="347"/>
      <c r="S165" s="347"/>
      <c r="T165" s="347"/>
      <c r="U165" s="347"/>
      <c r="V165" s="347"/>
      <c r="W165" s="347"/>
      <c r="X165" s="347"/>
      <c r="Y165" s="347"/>
      <c r="Z165" s="347"/>
      <c r="AA165" s="604"/>
      <c r="AB165" s="347"/>
      <c r="AC165" s="590"/>
      <c r="AD165" s="347"/>
      <c r="AE165" s="347"/>
      <c r="AF165" s="347"/>
      <c r="AG165" s="347"/>
      <c r="AH165" s="347"/>
      <c r="AI165" s="347"/>
      <c r="AJ165" s="347"/>
      <c r="AK165" s="347"/>
      <c r="AL165" s="347"/>
      <c r="AM165" s="347"/>
      <c r="AN165" s="347"/>
      <c r="AO165" s="347"/>
      <c r="AP165" s="347"/>
      <c r="AQ165" s="347"/>
      <c r="AR165" s="347"/>
      <c r="AS165" s="347"/>
      <c r="AT165" s="347"/>
      <c r="AU165" s="347"/>
      <c r="AV165" s="347"/>
      <c r="AW165" s="347"/>
      <c r="AX165" s="347"/>
      <c r="AY165" s="347"/>
      <c r="AZ165" s="347"/>
      <c r="BA165" s="347"/>
      <c r="BB165" s="347"/>
      <c r="BC165" s="347"/>
      <c r="BD165" s="347"/>
      <c r="BE165" s="347"/>
      <c r="BF165" s="347"/>
      <c r="BG165" s="347"/>
      <c r="BH165" s="347"/>
    </row>
    <row r="166">
      <c r="A166" s="347"/>
      <c r="B166" s="347"/>
      <c r="C166" s="347"/>
      <c r="D166" s="347"/>
      <c r="E166" s="347"/>
      <c r="F166" s="347"/>
      <c r="G166" s="347"/>
      <c r="H166" s="347"/>
      <c r="I166" s="347"/>
      <c r="J166" s="347"/>
      <c r="K166" s="348"/>
      <c r="L166" s="348"/>
      <c r="M166" s="348"/>
      <c r="N166" s="348"/>
      <c r="O166" s="348"/>
      <c r="P166" s="347"/>
      <c r="Q166" s="347"/>
      <c r="R166" s="347"/>
      <c r="S166" s="347"/>
      <c r="T166" s="347"/>
      <c r="U166" s="347"/>
      <c r="V166" s="347"/>
      <c r="W166" s="347"/>
      <c r="X166" s="347"/>
      <c r="Y166" s="347"/>
      <c r="Z166" s="347"/>
      <c r="AA166" s="604"/>
      <c r="AB166" s="347"/>
      <c r="AC166" s="590"/>
      <c r="AD166" s="347"/>
      <c r="AE166" s="347"/>
      <c r="AF166" s="347"/>
      <c r="AG166" s="347"/>
      <c r="AH166" s="347"/>
      <c r="AI166" s="347"/>
      <c r="AJ166" s="347"/>
      <c r="AK166" s="347"/>
      <c r="AL166" s="347"/>
      <c r="AM166" s="347"/>
      <c r="AN166" s="347"/>
      <c r="AO166" s="347"/>
      <c r="AP166" s="347"/>
      <c r="AQ166" s="347"/>
      <c r="AR166" s="347"/>
      <c r="AS166" s="347"/>
      <c r="AT166" s="347"/>
      <c r="AU166" s="347"/>
      <c r="AV166" s="347"/>
      <c r="AW166" s="347"/>
      <c r="AX166" s="347"/>
      <c r="AY166" s="347"/>
      <c r="AZ166" s="347"/>
      <c r="BA166" s="347"/>
      <c r="BB166" s="347"/>
      <c r="BC166" s="347"/>
      <c r="BD166" s="347"/>
      <c r="BE166" s="347"/>
      <c r="BF166" s="347"/>
      <c r="BG166" s="347"/>
      <c r="BH166" s="347"/>
    </row>
    <row r="167">
      <c r="A167" s="347"/>
      <c r="B167" s="347"/>
      <c r="C167" s="347"/>
      <c r="D167" s="347"/>
      <c r="E167" s="347"/>
      <c r="F167" s="347"/>
      <c r="G167" s="347"/>
      <c r="H167" s="347"/>
      <c r="I167" s="347"/>
      <c r="J167" s="347"/>
      <c r="K167" s="348"/>
      <c r="L167" s="348"/>
      <c r="M167" s="348"/>
      <c r="N167" s="348"/>
      <c r="O167" s="348"/>
      <c r="P167" s="347"/>
      <c r="Q167" s="347"/>
      <c r="R167" s="347"/>
      <c r="S167" s="347"/>
      <c r="T167" s="347"/>
      <c r="U167" s="347"/>
      <c r="V167" s="347"/>
      <c r="W167" s="347"/>
      <c r="X167" s="347"/>
      <c r="Y167" s="347"/>
      <c r="Z167" s="347"/>
      <c r="AA167" s="604"/>
      <c r="AB167" s="347"/>
      <c r="AC167" s="590"/>
      <c r="AD167" s="347"/>
      <c r="AE167" s="347"/>
      <c r="AF167" s="347"/>
      <c r="AG167" s="347"/>
      <c r="AH167" s="347"/>
      <c r="AI167" s="347"/>
      <c r="AJ167" s="347"/>
      <c r="AK167" s="347"/>
      <c r="AL167" s="347"/>
      <c r="AM167" s="347"/>
      <c r="AN167" s="347"/>
      <c r="AO167" s="347"/>
      <c r="AP167" s="347"/>
      <c r="AQ167" s="347"/>
      <c r="AR167" s="347"/>
      <c r="AS167" s="347"/>
      <c r="AT167" s="347"/>
      <c r="AU167" s="347"/>
      <c r="AV167" s="347"/>
      <c r="AW167" s="347"/>
      <c r="AX167" s="347"/>
      <c r="AY167" s="347"/>
      <c r="AZ167" s="347"/>
      <c r="BA167" s="347"/>
      <c r="BB167" s="347"/>
      <c r="BC167" s="347"/>
      <c r="BD167" s="347"/>
      <c r="BE167" s="347"/>
      <c r="BF167" s="347"/>
      <c r="BG167" s="347"/>
      <c r="BH167" s="347"/>
    </row>
    <row r="168">
      <c r="A168" s="347"/>
      <c r="B168" s="347"/>
      <c r="C168" s="347"/>
      <c r="D168" s="347"/>
      <c r="E168" s="347"/>
      <c r="F168" s="347"/>
      <c r="G168" s="347"/>
      <c r="H168" s="347"/>
      <c r="I168" s="347"/>
      <c r="J168" s="347"/>
      <c r="K168" s="348"/>
      <c r="L168" s="348"/>
      <c r="M168" s="348"/>
      <c r="N168" s="348"/>
      <c r="O168" s="348"/>
      <c r="P168" s="347"/>
      <c r="Q168" s="347"/>
      <c r="R168" s="347"/>
      <c r="S168" s="347"/>
      <c r="T168" s="347"/>
      <c r="U168" s="347"/>
      <c r="V168" s="347"/>
      <c r="W168" s="347"/>
      <c r="X168" s="347"/>
      <c r="Y168" s="347"/>
      <c r="Z168" s="347"/>
      <c r="AA168" s="604"/>
      <c r="AB168" s="347"/>
      <c r="AC168" s="590"/>
      <c r="AD168" s="347"/>
      <c r="AE168" s="347"/>
      <c r="AF168" s="347"/>
      <c r="AG168" s="347"/>
      <c r="AH168" s="347"/>
      <c r="AI168" s="347"/>
      <c r="AJ168" s="347"/>
      <c r="AK168" s="347"/>
      <c r="AL168" s="347"/>
      <c r="AM168" s="347"/>
      <c r="AN168" s="347"/>
      <c r="AO168" s="347"/>
      <c r="AP168" s="347"/>
      <c r="AQ168" s="347"/>
      <c r="AR168" s="347"/>
      <c r="AS168" s="347"/>
      <c r="AT168" s="347"/>
      <c r="AU168" s="347"/>
      <c r="AV168" s="347"/>
      <c r="AW168" s="347"/>
      <c r="AX168" s="347"/>
      <c r="AY168" s="347"/>
      <c r="AZ168" s="347"/>
      <c r="BA168" s="347"/>
      <c r="BB168" s="347"/>
      <c r="BC168" s="347"/>
      <c r="BD168" s="347"/>
      <c r="BE168" s="347"/>
      <c r="BF168" s="347"/>
      <c r="BG168" s="347"/>
      <c r="BH168" s="347"/>
    </row>
    <row r="169">
      <c r="A169" s="347"/>
      <c r="B169" s="347"/>
      <c r="C169" s="347"/>
      <c r="D169" s="347"/>
      <c r="E169" s="347"/>
      <c r="F169" s="347"/>
      <c r="G169" s="347"/>
      <c r="H169" s="347"/>
      <c r="I169" s="347"/>
      <c r="J169" s="347"/>
      <c r="K169" s="348"/>
      <c r="L169" s="348"/>
      <c r="M169" s="348"/>
      <c r="N169" s="348"/>
      <c r="O169" s="348"/>
      <c r="P169" s="347"/>
      <c r="Q169" s="347"/>
      <c r="R169" s="347"/>
      <c r="S169" s="347"/>
      <c r="T169" s="347"/>
      <c r="U169" s="347"/>
      <c r="V169" s="347"/>
      <c r="W169" s="347"/>
      <c r="X169" s="347"/>
      <c r="Y169" s="347"/>
      <c r="Z169" s="347"/>
      <c r="AA169" s="604"/>
      <c r="AB169" s="347"/>
      <c r="AC169" s="590"/>
      <c r="AD169" s="347"/>
      <c r="AE169" s="347"/>
      <c r="AF169" s="347"/>
      <c r="AG169" s="347"/>
      <c r="AH169" s="347"/>
      <c r="AI169" s="347"/>
      <c r="AJ169" s="347"/>
      <c r="AK169" s="347"/>
      <c r="AL169" s="347"/>
      <c r="AM169" s="347"/>
      <c r="AN169" s="347"/>
      <c r="AO169" s="347"/>
      <c r="AP169" s="347"/>
      <c r="AQ169" s="347"/>
      <c r="AR169" s="347"/>
      <c r="AS169" s="347"/>
      <c r="AT169" s="347"/>
      <c r="AU169" s="347"/>
      <c r="AV169" s="347"/>
      <c r="AW169" s="347"/>
      <c r="AX169" s="347"/>
      <c r="AY169" s="347"/>
      <c r="AZ169" s="347"/>
      <c r="BA169" s="347"/>
      <c r="BB169" s="347"/>
      <c r="BC169" s="347"/>
      <c r="BD169" s="347"/>
      <c r="BE169" s="347"/>
      <c r="BF169" s="347"/>
      <c r="BG169" s="347"/>
      <c r="BH169" s="347"/>
    </row>
    <row r="170">
      <c r="A170" s="347"/>
      <c r="B170" s="347"/>
      <c r="C170" s="347"/>
      <c r="D170" s="347"/>
      <c r="E170" s="347"/>
      <c r="F170" s="347"/>
      <c r="G170" s="347"/>
      <c r="H170" s="347"/>
      <c r="I170" s="347"/>
      <c r="J170" s="347"/>
      <c r="K170" s="348"/>
      <c r="L170" s="348"/>
      <c r="M170" s="348"/>
      <c r="N170" s="348"/>
      <c r="O170" s="348"/>
      <c r="P170" s="347"/>
      <c r="Q170" s="347"/>
      <c r="R170" s="347"/>
      <c r="S170" s="347"/>
      <c r="T170" s="347"/>
      <c r="U170" s="347"/>
      <c r="V170" s="347"/>
      <c r="W170" s="347"/>
      <c r="X170" s="347"/>
      <c r="Y170" s="347"/>
      <c r="Z170" s="347"/>
      <c r="AA170" s="604"/>
      <c r="AB170" s="347"/>
      <c r="AC170" s="590"/>
      <c r="AD170" s="347"/>
      <c r="AE170" s="347"/>
      <c r="AF170" s="347"/>
      <c r="AG170" s="347"/>
      <c r="AH170" s="347"/>
      <c r="AI170" s="347"/>
      <c r="AJ170" s="347"/>
      <c r="AK170" s="347"/>
      <c r="AL170" s="347"/>
      <c r="AM170" s="347"/>
      <c r="AN170" s="347"/>
      <c r="AO170" s="347"/>
      <c r="AP170" s="347"/>
      <c r="AQ170" s="347"/>
      <c r="AR170" s="347"/>
      <c r="AS170" s="347"/>
      <c r="AT170" s="347"/>
      <c r="AU170" s="347"/>
      <c r="AV170" s="347"/>
      <c r="AW170" s="347"/>
      <c r="AX170" s="347"/>
      <c r="AY170" s="347"/>
      <c r="AZ170" s="347"/>
      <c r="BA170" s="347"/>
      <c r="BB170" s="347"/>
      <c r="BC170" s="347"/>
      <c r="BD170" s="347"/>
      <c r="BE170" s="347"/>
      <c r="BF170" s="347"/>
      <c r="BG170" s="347"/>
      <c r="BH170" s="347"/>
    </row>
    <row r="171">
      <c r="A171" s="347"/>
      <c r="B171" s="347"/>
      <c r="C171" s="347"/>
      <c r="D171" s="347"/>
      <c r="E171" s="347"/>
      <c r="F171" s="347"/>
      <c r="G171" s="347"/>
      <c r="H171" s="347"/>
      <c r="I171" s="347"/>
      <c r="J171" s="347"/>
      <c r="K171" s="348"/>
      <c r="L171" s="348"/>
      <c r="M171" s="348"/>
      <c r="N171" s="348"/>
      <c r="O171" s="348"/>
      <c r="P171" s="347"/>
      <c r="Q171" s="347"/>
      <c r="R171" s="347"/>
      <c r="S171" s="347"/>
      <c r="T171" s="347"/>
      <c r="U171" s="347"/>
      <c r="V171" s="347"/>
      <c r="W171" s="347"/>
      <c r="X171" s="347"/>
      <c r="Y171" s="347"/>
      <c r="Z171" s="347"/>
      <c r="AA171" s="604"/>
      <c r="AB171" s="347"/>
      <c r="AC171" s="590"/>
      <c r="AD171" s="347"/>
      <c r="AE171" s="347"/>
      <c r="AF171" s="347"/>
      <c r="AG171" s="347"/>
      <c r="AH171" s="347"/>
      <c r="AI171" s="347"/>
      <c r="AJ171" s="347"/>
      <c r="AK171" s="347"/>
      <c r="AL171" s="347"/>
      <c r="AM171" s="347"/>
      <c r="AN171" s="347"/>
      <c r="AO171" s="347"/>
      <c r="AP171" s="347"/>
      <c r="AQ171" s="347"/>
      <c r="AR171" s="347"/>
      <c r="AS171" s="347"/>
      <c r="AT171" s="347"/>
      <c r="AU171" s="347"/>
      <c r="AV171" s="347"/>
      <c r="AW171" s="347"/>
      <c r="AX171" s="347"/>
      <c r="AY171" s="347"/>
      <c r="AZ171" s="347"/>
      <c r="BA171" s="347"/>
      <c r="BB171" s="347"/>
      <c r="BC171" s="347"/>
      <c r="BD171" s="347"/>
      <c r="BE171" s="347"/>
      <c r="BF171" s="347"/>
      <c r="BG171" s="347"/>
      <c r="BH171" s="347"/>
    </row>
    <row r="172">
      <c r="A172" s="347"/>
      <c r="B172" s="347"/>
      <c r="C172" s="347"/>
      <c r="D172" s="347"/>
      <c r="E172" s="347"/>
      <c r="F172" s="347"/>
      <c r="G172" s="347"/>
      <c r="H172" s="347"/>
      <c r="I172" s="347"/>
      <c r="J172" s="347"/>
      <c r="K172" s="348"/>
      <c r="L172" s="348"/>
      <c r="M172" s="348"/>
      <c r="N172" s="348"/>
      <c r="O172" s="348"/>
      <c r="P172" s="347"/>
      <c r="Q172" s="347"/>
      <c r="R172" s="347"/>
      <c r="S172" s="347"/>
      <c r="T172" s="347"/>
      <c r="U172" s="347"/>
      <c r="V172" s="347"/>
      <c r="W172" s="347"/>
      <c r="X172" s="347"/>
      <c r="Y172" s="347"/>
      <c r="Z172" s="347"/>
      <c r="AA172" s="604"/>
      <c r="AB172" s="347"/>
      <c r="AC172" s="590"/>
      <c r="AD172" s="347"/>
      <c r="AE172" s="347"/>
      <c r="AF172" s="347"/>
      <c r="AG172" s="347"/>
      <c r="AH172" s="347"/>
      <c r="AI172" s="347"/>
      <c r="AJ172" s="347"/>
      <c r="AK172" s="347"/>
      <c r="AL172" s="347"/>
      <c r="AM172" s="347"/>
      <c r="AN172" s="347"/>
      <c r="AO172" s="347"/>
      <c r="AP172" s="347"/>
      <c r="AQ172" s="347"/>
      <c r="AR172" s="347"/>
      <c r="AS172" s="347"/>
      <c r="AT172" s="347"/>
      <c r="AU172" s="347"/>
      <c r="AV172" s="347"/>
      <c r="AW172" s="347"/>
      <c r="AX172" s="347"/>
      <c r="AY172" s="347"/>
      <c r="AZ172" s="347"/>
      <c r="BA172" s="347"/>
      <c r="BB172" s="347"/>
      <c r="BC172" s="347"/>
      <c r="BD172" s="347"/>
      <c r="BE172" s="347"/>
      <c r="BF172" s="347"/>
      <c r="BG172" s="347"/>
      <c r="BH172" s="347"/>
    </row>
    <row r="173">
      <c r="A173" s="347"/>
      <c r="B173" s="347"/>
      <c r="C173" s="347"/>
      <c r="D173" s="347"/>
      <c r="E173" s="347"/>
      <c r="F173" s="347"/>
      <c r="G173" s="347"/>
      <c r="H173" s="347"/>
      <c r="I173" s="347"/>
      <c r="J173" s="347"/>
      <c r="K173" s="348"/>
      <c r="L173" s="348"/>
      <c r="M173" s="348"/>
      <c r="N173" s="348"/>
      <c r="O173" s="348"/>
      <c r="P173" s="347"/>
      <c r="Q173" s="347"/>
      <c r="R173" s="347"/>
      <c r="S173" s="347"/>
      <c r="T173" s="347"/>
      <c r="U173" s="347"/>
      <c r="V173" s="347"/>
      <c r="W173" s="347"/>
      <c r="X173" s="347"/>
      <c r="Y173" s="347"/>
      <c r="Z173" s="347"/>
      <c r="AA173" s="604"/>
      <c r="AB173" s="347"/>
      <c r="AC173" s="590"/>
      <c r="AD173" s="347"/>
      <c r="AE173" s="347"/>
      <c r="AF173" s="347"/>
      <c r="AG173" s="347"/>
      <c r="AH173" s="347"/>
      <c r="AI173" s="347"/>
      <c r="AJ173" s="347"/>
      <c r="AK173" s="347"/>
      <c r="AL173" s="347"/>
      <c r="AM173" s="347"/>
      <c r="AN173" s="347"/>
      <c r="AO173" s="347"/>
      <c r="AP173" s="347"/>
      <c r="AQ173" s="347"/>
      <c r="AR173" s="347"/>
      <c r="AS173" s="347"/>
      <c r="AT173" s="347"/>
      <c r="AU173" s="347"/>
      <c r="AV173" s="347"/>
      <c r="AW173" s="347"/>
      <c r="AX173" s="347"/>
      <c r="AY173" s="347"/>
      <c r="AZ173" s="347"/>
      <c r="BA173" s="347"/>
      <c r="BB173" s="347"/>
      <c r="BC173" s="347"/>
      <c r="BD173" s="347"/>
      <c r="BE173" s="347"/>
      <c r="BF173" s="347"/>
      <c r="BG173" s="347"/>
      <c r="BH173" s="347"/>
    </row>
    <row r="174">
      <c r="A174" s="347"/>
      <c r="B174" s="347"/>
      <c r="C174" s="347"/>
      <c r="D174" s="347"/>
      <c r="E174" s="347"/>
      <c r="F174" s="347"/>
      <c r="G174" s="347"/>
      <c r="H174" s="347"/>
      <c r="I174" s="347"/>
      <c r="J174" s="347"/>
      <c r="K174" s="348"/>
      <c r="L174" s="348"/>
      <c r="M174" s="348"/>
      <c r="N174" s="348"/>
      <c r="O174" s="348"/>
      <c r="P174" s="347"/>
      <c r="Q174" s="347"/>
      <c r="R174" s="347"/>
      <c r="S174" s="347"/>
      <c r="T174" s="347"/>
      <c r="U174" s="347"/>
      <c r="V174" s="347"/>
      <c r="W174" s="347"/>
      <c r="X174" s="347"/>
      <c r="Y174" s="347"/>
      <c r="Z174" s="347"/>
      <c r="AA174" s="604"/>
      <c r="AB174" s="347"/>
      <c r="AC174" s="590"/>
      <c r="AD174" s="347"/>
      <c r="AE174" s="347"/>
      <c r="AF174" s="347"/>
      <c r="AG174" s="347"/>
      <c r="AH174" s="347"/>
      <c r="AI174" s="347"/>
      <c r="AJ174" s="347"/>
      <c r="AK174" s="347"/>
      <c r="AL174" s="347"/>
      <c r="AM174" s="347"/>
      <c r="AN174" s="347"/>
      <c r="AO174" s="347"/>
      <c r="AP174" s="347"/>
      <c r="AQ174" s="347"/>
      <c r="AR174" s="347"/>
      <c r="AS174" s="347"/>
      <c r="AT174" s="347"/>
      <c r="AU174" s="347"/>
      <c r="AV174" s="347"/>
      <c r="AW174" s="347"/>
      <c r="AX174" s="347"/>
      <c r="AY174" s="347"/>
      <c r="AZ174" s="347"/>
      <c r="BA174" s="347"/>
      <c r="BB174" s="347"/>
      <c r="BC174" s="347"/>
      <c r="BD174" s="347"/>
      <c r="BE174" s="347"/>
      <c r="BF174" s="347"/>
      <c r="BG174" s="347"/>
      <c r="BH174" s="347"/>
    </row>
    <row r="175">
      <c r="A175" s="347"/>
      <c r="B175" s="347"/>
      <c r="C175" s="347"/>
      <c r="D175" s="347"/>
      <c r="E175" s="347"/>
      <c r="F175" s="347"/>
      <c r="G175" s="347"/>
      <c r="H175" s="347"/>
      <c r="I175" s="347"/>
      <c r="J175" s="347"/>
      <c r="K175" s="348"/>
      <c r="L175" s="348"/>
      <c r="M175" s="348"/>
      <c r="N175" s="348"/>
      <c r="O175" s="348"/>
      <c r="P175" s="347"/>
      <c r="Q175" s="347"/>
      <c r="R175" s="347"/>
      <c r="S175" s="347"/>
      <c r="T175" s="347"/>
      <c r="U175" s="347"/>
      <c r="V175" s="347"/>
      <c r="W175" s="347"/>
      <c r="X175" s="347"/>
      <c r="Y175" s="347"/>
      <c r="Z175" s="347"/>
      <c r="AA175" s="604"/>
      <c r="AB175" s="347"/>
      <c r="AC175" s="590"/>
      <c r="AD175" s="347"/>
      <c r="AE175" s="347"/>
      <c r="AF175" s="347"/>
      <c r="AG175" s="347"/>
      <c r="AH175" s="347"/>
      <c r="AI175" s="347"/>
      <c r="AJ175" s="347"/>
      <c r="AK175" s="347"/>
      <c r="AL175" s="347"/>
      <c r="AM175" s="347"/>
      <c r="AN175" s="347"/>
      <c r="AO175" s="347"/>
      <c r="AP175" s="347"/>
      <c r="AQ175" s="347"/>
      <c r="AR175" s="347"/>
      <c r="AS175" s="347"/>
      <c r="AT175" s="347"/>
      <c r="AU175" s="347"/>
      <c r="AV175" s="347"/>
      <c r="AW175" s="347"/>
      <c r="AX175" s="347"/>
      <c r="AY175" s="347"/>
      <c r="AZ175" s="347"/>
      <c r="BA175" s="347"/>
      <c r="BB175" s="347"/>
      <c r="BC175" s="347"/>
      <c r="BD175" s="347"/>
      <c r="BE175" s="347"/>
      <c r="BF175" s="347"/>
      <c r="BG175" s="347"/>
      <c r="BH175" s="347"/>
    </row>
    <row r="176">
      <c r="A176" s="347"/>
      <c r="B176" s="347"/>
      <c r="C176" s="347"/>
      <c r="D176" s="347"/>
      <c r="E176" s="347"/>
      <c r="F176" s="347"/>
      <c r="G176" s="347"/>
      <c r="H176" s="347"/>
      <c r="I176" s="347"/>
      <c r="J176" s="347"/>
      <c r="K176" s="348"/>
      <c r="L176" s="348"/>
      <c r="M176" s="348"/>
      <c r="N176" s="348"/>
      <c r="O176" s="348"/>
      <c r="P176" s="347"/>
      <c r="Q176" s="347"/>
      <c r="R176" s="347"/>
      <c r="S176" s="347"/>
      <c r="T176" s="347"/>
      <c r="U176" s="347"/>
      <c r="V176" s="347"/>
      <c r="W176" s="347"/>
      <c r="X176" s="347"/>
      <c r="Y176" s="347"/>
      <c r="Z176" s="347"/>
      <c r="AA176" s="604"/>
      <c r="AB176" s="347"/>
      <c r="AC176" s="590"/>
      <c r="AD176" s="347"/>
      <c r="AE176" s="347"/>
      <c r="AF176" s="347"/>
      <c r="AG176" s="347"/>
      <c r="AH176" s="347"/>
      <c r="AI176" s="347"/>
      <c r="AJ176" s="347"/>
      <c r="AK176" s="347"/>
      <c r="AL176" s="347"/>
      <c r="AM176" s="347"/>
      <c r="AN176" s="347"/>
      <c r="AO176" s="347"/>
      <c r="AP176" s="347"/>
      <c r="AQ176" s="347"/>
      <c r="AR176" s="347"/>
      <c r="AS176" s="347"/>
      <c r="AT176" s="347"/>
      <c r="AU176" s="347"/>
      <c r="AV176" s="347"/>
      <c r="AW176" s="347"/>
      <c r="AX176" s="347"/>
      <c r="AY176" s="347"/>
      <c r="AZ176" s="347"/>
      <c r="BA176" s="347"/>
      <c r="BB176" s="347"/>
      <c r="BC176" s="347"/>
      <c r="BD176" s="347"/>
      <c r="BE176" s="347"/>
      <c r="BF176" s="347"/>
      <c r="BG176" s="347"/>
      <c r="BH176" s="347"/>
    </row>
    <row r="177">
      <c r="A177" s="347"/>
      <c r="B177" s="347"/>
      <c r="C177" s="347"/>
      <c r="D177" s="347"/>
      <c r="E177" s="347"/>
      <c r="F177" s="347"/>
      <c r="G177" s="347"/>
      <c r="H177" s="347"/>
      <c r="I177" s="347"/>
      <c r="J177" s="347"/>
      <c r="K177" s="348"/>
      <c r="L177" s="348"/>
      <c r="M177" s="348"/>
      <c r="N177" s="348"/>
      <c r="O177" s="348"/>
      <c r="P177" s="347"/>
      <c r="Q177" s="347"/>
      <c r="R177" s="347"/>
      <c r="S177" s="347"/>
      <c r="T177" s="347"/>
      <c r="U177" s="347"/>
      <c r="V177" s="347"/>
      <c r="W177" s="347"/>
      <c r="X177" s="347"/>
      <c r="Y177" s="347"/>
      <c r="Z177" s="347"/>
      <c r="AA177" s="604"/>
      <c r="AB177" s="347"/>
      <c r="AC177" s="590"/>
      <c r="AD177" s="347"/>
      <c r="AE177" s="347"/>
      <c r="AF177" s="347"/>
      <c r="AG177" s="347"/>
      <c r="AH177" s="347"/>
      <c r="AI177" s="347"/>
      <c r="AJ177" s="347"/>
      <c r="AK177" s="347"/>
      <c r="AL177" s="347"/>
      <c r="AM177" s="347"/>
      <c r="AN177" s="347"/>
      <c r="AO177" s="347"/>
      <c r="AP177" s="347"/>
      <c r="AQ177" s="347"/>
      <c r="AR177" s="347"/>
      <c r="AS177" s="347"/>
      <c r="AT177" s="347"/>
      <c r="AU177" s="347"/>
      <c r="AV177" s="347"/>
      <c r="AW177" s="347"/>
      <c r="AX177" s="347"/>
      <c r="AY177" s="347"/>
      <c r="AZ177" s="347"/>
      <c r="BA177" s="347"/>
      <c r="BB177" s="347"/>
      <c r="BC177" s="347"/>
      <c r="BD177" s="347"/>
      <c r="BE177" s="347"/>
      <c r="BF177" s="347"/>
      <c r="BG177" s="347"/>
      <c r="BH177" s="347"/>
    </row>
    <row r="178">
      <c r="A178" s="347"/>
      <c r="B178" s="347"/>
      <c r="C178" s="347"/>
      <c r="D178" s="347"/>
      <c r="E178" s="347"/>
      <c r="F178" s="347"/>
      <c r="G178" s="347"/>
      <c r="H178" s="347"/>
      <c r="I178" s="347"/>
      <c r="J178" s="347"/>
      <c r="K178" s="348"/>
      <c r="L178" s="348"/>
      <c r="M178" s="348"/>
      <c r="N178" s="348"/>
      <c r="O178" s="348"/>
      <c r="P178" s="347"/>
      <c r="Q178" s="347"/>
      <c r="R178" s="347"/>
      <c r="S178" s="347"/>
      <c r="T178" s="347"/>
      <c r="U178" s="347"/>
      <c r="V178" s="347"/>
      <c r="W178" s="347"/>
      <c r="X178" s="347"/>
      <c r="Y178" s="347"/>
      <c r="Z178" s="347"/>
      <c r="AA178" s="604"/>
      <c r="AB178" s="347"/>
      <c r="AC178" s="590"/>
      <c r="AD178" s="347"/>
      <c r="AE178" s="347"/>
      <c r="AF178" s="347"/>
      <c r="AG178" s="347"/>
      <c r="AH178" s="347"/>
      <c r="AI178" s="347"/>
      <c r="AJ178" s="347"/>
      <c r="AK178" s="347"/>
      <c r="AL178" s="347"/>
      <c r="AM178" s="347"/>
      <c r="AN178" s="347"/>
      <c r="AO178" s="347"/>
      <c r="AP178" s="347"/>
      <c r="AQ178" s="347"/>
      <c r="AR178" s="347"/>
      <c r="AS178" s="347"/>
      <c r="AT178" s="347"/>
      <c r="AU178" s="347"/>
      <c r="AV178" s="347"/>
      <c r="AW178" s="347"/>
      <c r="AX178" s="347"/>
      <c r="AY178" s="347"/>
      <c r="AZ178" s="347"/>
      <c r="BA178" s="347"/>
      <c r="BB178" s="347"/>
      <c r="BC178" s="347"/>
      <c r="BD178" s="347"/>
      <c r="BE178" s="347"/>
      <c r="BF178" s="347"/>
      <c r="BG178" s="347"/>
      <c r="BH178" s="347"/>
    </row>
    <row r="179">
      <c r="A179" s="347"/>
      <c r="B179" s="347"/>
      <c r="C179" s="347"/>
      <c r="D179" s="347"/>
      <c r="E179" s="347"/>
      <c r="F179" s="347"/>
      <c r="G179" s="347"/>
      <c r="H179" s="347"/>
      <c r="I179" s="347"/>
      <c r="J179" s="347"/>
      <c r="K179" s="348"/>
      <c r="L179" s="348"/>
      <c r="M179" s="348"/>
      <c r="N179" s="348"/>
      <c r="O179" s="348"/>
      <c r="P179" s="347"/>
      <c r="Q179" s="347"/>
      <c r="R179" s="347"/>
      <c r="S179" s="347"/>
      <c r="T179" s="347"/>
      <c r="U179" s="347"/>
      <c r="V179" s="347"/>
      <c r="W179" s="347"/>
      <c r="X179" s="347"/>
      <c r="Y179" s="347"/>
      <c r="Z179" s="347"/>
      <c r="AA179" s="604"/>
      <c r="AB179" s="347"/>
      <c r="AC179" s="590"/>
      <c r="AD179" s="347"/>
      <c r="AE179" s="347"/>
      <c r="AF179" s="347"/>
      <c r="AG179" s="347"/>
      <c r="AH179" s="347"/>
      <c r="AI179" s="347"/>
      <c r="AJ179" s="347"/>
      <c r="AK179" s="347"/>
      <c r="AL179" s="347"/>
      <c r="AM179" s="347"/>
      <c r="AN179" s="347"/>
      <c r="AO179" s="347"/>
      <c r="AP179" s="347"/>
      <c r="AQ179" s="347"/>
      <c r="AR179" s="347"/>
      <c r="AS179" s="347"/>
      <c r="AT179" s="347"/>
      <c r="AU179" s="347"/>
      <c r="AV179" s="347"/>
      <c r="AW179" s="347"/>
      <c r="AX179" s="347"/>
      <c r="AY179" s="347"/>
      <c r="AZ179" s="347"/>
      <c r="BA179" s="347"/>
      <c r="BB179" s="347"/>
      <c r="BC179" s="347"/>
      <c r="BD179" s="347"/>
      <c r="BE179" s="347"/>
      <c r="BF179" s="347"/>
      <c r="BG179" s="347"/>
      <c r="BH179" s="347"/>
    </row>
    <row r="180">
      <c r="A180" s="347"/>
      <c r="B180" s="347"/>
      <c r="C180" s="347"/>
      <c r="D180" s="347"/>
      <c r="E180" s="347"/>
      <c r="F180" s="347"/>
      <c r="G180" s="347"/>
      <c r="H180" s="347"/>
      <c r="I180" s="347"/>
      <c r="J180" s="347"/>
      <c r="K180" s="348"/>
      <c r="L180" s="348"/>
      <c r="M180" s="348"/>
      <c r="N180" s="348"/>
      <c r="O180" s="348"/>
      <c r="P180" s="347"/>
      <c r="Q180" s="347"/>
      <c r="R180" s="347"/>
      <c r="S180" s="347"/>
      <c r="T180" s="347"/>
      <c r="U180" s="347"/>
      <c r="V180" s="347"/>
      <c r="W180" s="347"/>
      <c r="X180" s="347"/>
      <c r="Y180" s="347"/>
      <c r="Z180" s="347"/>
      <c r="AA180" s="604"/>
      <c r="AB180" s="347"/>
      <c r="AC180" s="590"/>
      <c r="AD180" s="347"/>
      <c r="AE180" s="347"/>
      <c r="AF180" s="347"/>
      <c r="AG180" s="347"/>
      <c r="AH180" s="347"/>
      <c r="AI180" s="347"/>
      <c r="AJ180" s="347"/>
      <c r="AK180" s="347"/>
      <c r="AL180" s="347"/>
      <c r="AM180" s="347"/>
      <c r="AN180" s="347"/>
      <c r="AO180" s="347"/>
      <c r="AP180" s="347"/>
      <c r="AQ180" s="347"/>
      <c r="AR180" s="347"/>
      <c r="AS180" s="347"/>
      <c r="AT180" s="347"/>
      <c r="AU180" s="347"/>
      <c r="AV180" s="347"/>
      <c r="AW180" s="347"/>
      <c r="AX180" s="347"/>
      <c r="AY180" s="347"/>
      <c r="AZ180" s="347"/>
      <c r="BA180" s="347"/>
      <c r="BB180" s="347"/>
      <c r="BC180" s="347"/>
      <c r="BD180" s="347"/>
      <c r="BE180" s="347"/>
      <c r="BF180" s="347"/>
      <c r="BG180" s="347"/>
      <c r="BH180" s="347"/>
    </row>
    <row r="181">
      <c r="A181" s="347"/>
      <c r="B181" s="347"/>
      <c r="C181" s="347"/>
      <c r="D181" s="347"/>
      <c r="E181" s="347"/>
      <c r="F181" s="347"/>
      <c r="G181" s="347"/>
      <c r="H181" s="347"/>
      <c r="I181" s="347"/>
      <c r="J181" s="347"/>
      <c r="K181" s="348"/>
      <c r="L181" s="348"/>
      <c r="M181" s="348"/>
      <c r="N181" s="348"/>
      <c r="O181" s="348"/>
      <c r="P181" s="347"/>
      <c r="Q181" s="347"/>
      <c r="R181" s="347"/>
      <c r="S181" s="347"/>
      <c r="T181" s="347"/>
      <c r="U181" s="347"/>
      <c r="V181" s="347"/>
      <c r="W181" s="347"/>
      <c r="X181" s="347"/>
      <c r="Y181" s="347"/>
      <c r="Z181" s="347"/>
      <c r="AA181" s="604"/>
      <c r="AB181" s="347"/>
      <c r="AC181" s="590"/>
      <c r="AD181" s="347"/>
      <c r="AE181" s="347"/>
      <c r="AF181" s="347"/>
      <c r="AG181" s="347"/>
      <c r="AH181" s="347"/>
      <c r="AI181" s="347"/>
      <c r="AJ181" s="347"/>
      <c r="AK181" s="347"/>
      <c r="AL181" s="347"/>
      <c r="AM181" s="347"/>
      <c r="AN181" s="347"/>
      <c r="AO181" s="347"/>
      <c r="AP181" s="347"/>
      <c r="AQ181" s="347"/>
      <c r="AR181" s="347"/>
      <c r="AS181" s="347"/>
      <c r="AT181" s="347"/>
      <c r="AU181" s="347"/>
      <c r="AV181" s="347"/>
      <c r="AW181" s="347"/>
      <c r="AX181" s="347"/>
      <c r="AY181" s="347"/>
      <c r="AZ181" s="347"/>
      <c r="BA181" s="347"/>
      <c r="BB181" s="347"/>
      <c r="BC181" s="347"/>
      <c r="BD181" s="347"/>
      <c r="BE181" s="347"/>
      <c r="BF181" s="347"/>
      <c r="BG181" s="347"/>
      <c r="BH181" s="347"/>
    </row>
    <row r="182">
      <c r="A182" s="347"/>
      <c r="B182" s="347"/>
      <c r="C182" s="347"/>
      <c r="D182" s="347"/>
      <c r="E182" s="347"/>
      <c r="F182" s="347"/>
      <c r="G182" s="347"/>
      <c r="H182" s="347"/>
      <c r="I182" s="347"/>
      <c r="J182" s="347"/>
      <c r="K182" s="348"/>
      <c r="L182" s="348"/>
      <c r="M182" s="348"/>
      <c r="N182" s="348"/>
      <c r="O182" s="348"/>
      <c r="P182" s="347"/>
      <c r="Q182" s="347"/>
      <c r="R182" s="347"/>
      <c r="S182" s="347"/>
      <c r="T182" s="347"/>
      <c r="U182" s="347"/>
      <c r="V182" s="347"/>
      <c r="W182" s="347"/>
      <c r="X182" s="347"/>
      <c r="Y182" s="347"/>
      <c r="Z182" s="347"/>
      <c r="AA182" s="604"/>
      <c r="AB182" s="347"/>
      <c r="AC182" s="590"/>
      <c r="AD182" s="347"/>
      <c r="AE182" s="347"/>
      <c r="AF182" s="347"/>
      <c r="AG182" s="347"/>
      <c r="AH182" s="347"/>
      <c r="AI182" s="347"/>
      <c r="AJ182" s="347"/>
      <c r="AK182" s="347"/>
      <c r="AL182" s="347"/>
      <c r="AM182" s="347"/>
      <c r="AN182" s="347"/>
      <c r="AO182" s="347"/>
      <c r="AP182" s="347"/>
      <c r="AQ182" s="347"/>
      <c r="AR182" s="347"/>
      <c r="AS182" s="347"/>
      <c r="AT182" s="347"/>
      <c r="AU182" s="347"/>
      <c r="AV182" s="347"/>
      <c r="AW182" s="347"/>
      <c r="AX182" s="347"/>
      <c r="AY182" s="347"/>
      <c r="AZ182" s="347"/>
      <c r="BA182" s="347"/>
      <c r="BB182" s="347"/>
      <c r="BC182" s="347"/>
      <c r="BD182" s="347"/>
      <c r="BE182" s="347"/>
      <c r="BF182" s="347"/>
      <c r="BG182" s="347"/>
      <c r="BH182" s="347"/>
    </row>
    <row r="183">
      <c r="A183" s="347"/>
      <c r="B183" s="347"/>
      <c r="C183" s="347"/>
      <c r="D183" s="347"/>
      <c r="E183" s="347"/>
      <c r="F183" s="347"/>
      <c r="G183" s="347"/>
      <c r="H183" s="347"/>
      <c r="I183" s="347"/>
      <c r="J183" s="347"/>
      <c r="K183" s="348"/>
      <c r="L183" s="348"/>
      <c r="M183" s="348"/>
      <c r="N183" s="348"/>
      <c r="O183" s="348"/>
      <c r="P183" s="347"/>
      <c r="Q183" s="347"/>
      <c r="R183" s="347"/>
      <c r="S183" s="347"/>
      <c r="T183" s="347"/>
      <c r="U183" s="347"/>
      <c r="V183" s="347"/>
      <c r="W183" s="347"/>
      <c r="X183" s="347"/>
      <c r="Y183" s="347"/>
      <c r="Z183" s="347"/>
      <c r="AA183" s="604"/>
      <c r="AB183" s="347"/>
      <c r="AC183" s="590"/>
      <c r="AD183" s="347"/>
      <c r="AE183" s="347"/>
      <c r="AF183" s="347"/>
      <c r="AG183" s="347"/>
      <c r="AH183" s="347"/>
      <c r="AI183" s="347"/>
      <c r="AJ183" s="347"/>
      <c r="AK183" s="347"/>
      <c r="AL183" s="347"/>
      <c r="AM183" s="347"/>
      <c r="AN183" s="347"/>
      <c r="AO183" s="347"/>
      <c r="AP183" s="347"/>
      <c r="AQ183" s="347"/>
      <c r="AR183" s="347"/>
      <c r="AS183" s="347"/>
      <c r="AT183" s="347"/>
      <c r="AU183" s="347"/>
      <c r="AV183" s="347"/>
      <c r="AW183" s="347"/>
      <c r="AX183" s="347"/>
      <c r="AY183" s="347"/>
      <c r="AZ183" s="347"/>
      <c r="BA183" s="347"/>
      <c r="BB183" s="347"/>
      <c r="BC183" s="347"/>
      <c r="BD183" s="347"/>
      <c r="BE183" s="347"/>
      <c r="BF183" s="347"/>
      <c r="BG183" s="347"/>
      <c r="BH183" s="347"/>
    </row>
    <row r="184">
      <c r="A184" s="347"/>
      <c r="B184" s="347"/>
      <c r="C184" s="347"/>
      <c r="D184" s="347"/>
      <c r="E184" s="347"/>
      <c r="F184" s="347"/>
      <c r="G184" s="347"/>
      <c r="H184" s="347"/>
      <c r="I184" s="347"/>
      <c r="J184" s="347"/>
      <c r="K184" s="348"/>
      <c r="L184" s="348"/>
      <c r="M184" s="348"/>
      <c r="N184" s="348"/>
      <c r="O184" s="348"/>
      <c r="P184" s="347"/>
      <c r="Q184" s="347"/>
      <c r="R184" s="347"/>
      <c r="S184" s="347"/>
      <c r="T184" s="347"/>
      <c r="U184" s="347"/>
      <c r="V184" s="347"/>
      <c r="W184" s="347"/>
      <c r="X184" s="347"/>
      <c r="Y184" s="347"/>
      <c r="Z184" s="347"/>
      <c r="AA184" s="604"/>
      <c r="AB184" s="347"/>
      <c r="AC184" s="590"/>
      <c r="AD184" s="347"/>
      <c r="AE184" s="347"/>
      <c r="AF184" s="347"/>
      <c r="AG184" s="347"/>
      <c r="AH184" s="347"/>
      <c r="AI184" s="347"/>
      <c r="AJ184" s="347"/>
      <c r="AK184" s="347"/>
      <c r="AL184" s="347"/>
      <c r="AM184" s="347"/>
      <c r="AN184" s="347"/>
      <c r="AO184" s="347"/>
      <c r="AP184" s="347"/>
      <c r="AQ184" s="347"/>
      <c r="AR184" s="347"/>
      <c r="AS184" s="347"/>
      <c r="AT184" s="347"/>
      <c r="AU184" s="347"/>
      <c r="AV184" s="347"/>
      <c r="AW184" s="347"/>
      <c r="AX184" s="347"/>
      <c r="AY184" s="347"/>
      <c r="AZ184" s="347"/>
      <c r="BA184" s="347"/>
      <c r="BB184" s="347"/>
      <c r="BC184" s="347"/>
      <c r="BD184" s="347"/>
      <c r="BE184" s="347"/>
      <c r="BF184" s="347"/>
      <c r="BG184" s="347"/>
      <c r="BH184" s="347"/>
    </row>
    <row r="185">
      <c r="A185" s="347"/>
      <c r="B185" s="347"/>
      <c r="C185" s="347"/>
      <c r="D185" s="347"/>
      <c r="E185" s="347"/>
      <c r="F185" s="347"/>
      <c r="G185" s="347"/>
      <c r="H185" s="347"/>
      <c r="I185" s="347"/>
      <c r="J185" s="347"/>
      <c r="K185" s="348"/>
      <c r="L185" s="348"/>
      <c r="M185" s="348"/>
      <c r="N185" s="348"/>
      <c r="O185" s="348"/>
      <c r="P185" s="347"/>
      <c r="Q185" s="347"/>
      <c r="R185" s="347"/>
      <c r="S185" s="347"/>
      <c r="T185" s="347"/>
      <c r="U185" s="347"/>
      <c r="V185" s="347"/>
      <c r="W185" s="347"/>
      <c r="X185" s="347"/>
      <c r="Y185" s="347"/>
      <c r="Z185" s="347"/>
      <c r="AA185" s="604"/>
      <c r="AB185" s="347"/>
      <c r="AC185" s="590"/>
      <c r="AD185" s="347"/>
      <c r="AE185" s="347"/>
      <c r="AF185" s="347"/>
      <c r="AG185" s="347"/>
      <c r="AH185" s="347"/>
      <c r="AI185" s="347"/>
      <c r="AJ185" s="347"/>
      <c r="AK185" s="347"/>
      <c r="AL185" s="347"/>
      <c r="AM185" s="347"/>
      <c r="AN185" s="347"/>
      <c r="AO185" s="347"/>
      <c r="AP185" s="347"/>
      <c r="AQ185" s="347"/>
      <c r="AR185" s="347"/>
      <c r="AS185" s="347"/>
      <c r="AT185" s="347"/>
      <c r="AU185" s="347"/>
      <c r="AV185" s="347"/>
      <c r="AW185" s="347"/>
      <c r="AX185" s="347"/>
      <c r="AY185" s="347"/>
      <c r="AZ185" s="347"/>
      <c r="BA185" s="347"/>
      <c r="BB185" s="347"/>
      <c r="BC185" s="347"/>
      <c r="BD185" s="347"/>
      <c r="BE185" s="347"/>
      <c r="BF185" s="347"/>
      <c r="BG185" s="347"/>
      <c r="BH185" s="347"/>
    </row>
    <row r="186">
      <c r="A186" s="347"/>
      <c r="B186" s="347"/>
      <c r="C186" s="347"/>
      <c r="D186" s="347"/>
      <c r="E186" s="347"/>
      <c r="F186" s="347"/>
      <c r="G186" s="347"/>
      <c r="H186" s="347"/>
      <c r="I186" s="347"/>
      <c r="J186" s="347"/>
      <c r="K186" s="348"/>
      <c r="L186" s="348"/>
      <c r="M186" s="348"/>
      <c r="N186" s="348"/>
      <c r="O186" s="348"/>
      <c r="P186" s="347"/>
      <c r="Q186" s="347"/>
      <c r="R186" s="347"/>
      <c r="S186" s="347"/>
      <c r="T186" s="347"/>
      <c r="U186" s="347"/>
      <c r="V186" s="347"/>
      <c r="W186" s="347"/>
      <c r="X186" s="347"/>
      <c r="Y186" s="347"/>
      <c r="Z186" s="347"/>
      <c r="AA186" s="604"/>
      <c r="AB186" s="347"/>
      <c r="AC186" s="590"/>
      <c r="AD186" s="347"/>
      <c r="AE186" s="347"/>
      <c r="AF186" s="347"/>
      <c r="AG186" s="347"/>
      <c r="AH186" s="347"/>
      <c r="AI186" s="347"/>
      <c r="AJ186" s="347"/>
      <c r="AK186" s="347"/>
      <c r="AL186" s="347"/>
      <c r="AM186" s="347"/>
      <c r="AN186" s="347"/>
      <c r="AO186" s="347"/>
      <c r="AP186" s="347"/>
      <c r="AQ186" s="347"/>
      <c r="AR186" s="347"/>
      <c r="AS186" s="347"/>
      <c r="AT186" s="347"/>
      <c r="AU186" s="347"/>
      <c r="AV186" s="347"/>
      <c r="AW186" s="347"/>
      <c r="AX186" s="347"/>
      <c r="AY186" s="347"/>
      <c r="AZ186" s="347"/>
      <c r="BA186" s="347"/>
      <c r="BB186" s="347"/>
      <c r="BC186" s="347"/>
      <c r="BD186" s="347"/>
      <c r="BE186" s="347"/>
      <c r="BF186" s="347"/>
      <c r="BG186" s="347"/>
      <c r="BH186" s="347"/>
    </row>
    <row r="187">
      <c r="A187" s="347"/>
      <c r="B187" s="347"/>
      <c r="C187" s="347"/>
      <c r="D187" s="347"/>
      <c r="E187" s="347"/>
      <c r="F187" s="347"/>
      <c r="G187" s="347"/>
      <c r="H187" s="347"/>
      <c r="I187" s="347"/>
      <c r="J187" s="347"/>
      <c r="K187" s="348"/>
      <c r="L187" s="348"/>
      <c r="M187" s="348"/>
      <c r="N187" s="348"/>
      <c r="O187" s="348"/>
      <c r="P187" s="347"/>
      <c r="Q187" s="347"/>
      <c r="R187" s="347"/>
      <c r="S187" s="347"/>
      <c r="T187" s="347"/>
      <c r="U187" s="347"/>
      <c r="V187" s="347"/>
      <c r="W187" s="347"/>
      <c r="X187" s="347"/>
      <c r="Y187" s="347"/>
      <c r="Z187" s="347"/>
      <c r="AA187" s="604"/>
      <c r="AB187" s="347"/>
      <c r="AC187" s="590"/>
      <c r="AD187" s="347"/>
      <c r="AE187" s="347"/>
      <c r="AF187" s="347"/>
      <c r="AG187" s="347"/>
      <c r="AH187" s="347"/>
      <c r="AI187" s="347"/>
      <c r="AJ187" s="347"/>
      <c r="AK187" s="347"/>
      <c r="AL187" s="347"/>
      <c r="AM187" s="347"/>
      <c r="AN187" s="347"/>
      <c r="AO187" s="347"/>
      <c r="AP187" s="347"/>
      <c r="AQ187" s="347"/>
      <c r="AR187" s="347"/>
      <c r="AS187" s="347"/>
      <c r="AT187" s="347"/>
      <c r="AU187" s="347"/>
      <c r="AV187" s="347"/>
      <c r="AW187" s="347"/>
      <c r="AX187" s="347"/>
      <c r="AY187" s="347"/>
      <c r="AZ187" s="347"/>
      <c r="BA187" s="347"/>
      <c r="BB187" s="347"/>
      <c r="BC187" s="347"/>
      <c r="BD187" s="347"/>
      <c r="BE187" s="347"/>
      <c r="BF187" s="347"/>
      <c r="BG187" s="347"/>
      <c r="BH187" s="347"/>
    </row>
    <row r="188">
      <c r="A188" s="347"/>
      <c r="B188" s="347"/>
      <c r="C188" s="347"/>
      <c r="D188" s="347"/>
      <c r="E188" s="347"/>
      <c r="F188" s="347"/>
      <c r="G188" s="347"/>
      <c r="H188" s="347"/>
      <c r="I188" s="347"/>
      <c r="J188" s="347"/>
      <c r="K188" s="348"/>
      <c r="L188" s="348"/>
      <c r="M188" s="348"/>
      <c r="N188" s="348"/>
      <c r="O188" s="348"/>
      <c r="P188" s="347"/>
      <c r="Q188" s="347"/>
      <c r="R188" s="347"/>
      <c r="S188" s="347"/>
      <c r="T188" s="347"/>
      <c r="U188" s="347"/>
      <c r="V188" s="347"/>
      <c r="W188" s="347"/>
      <c r="X188" s="347"/>
      <c r="Y188" s="347"/>
      <c r="Z188" s="347"/>
      <c r="AA188" s="604"/>
      <c r="AB188" s="347"/>
      <c r="AC188" s="590"/>
      <c r="AD188" s="347"/>
      <c r="AE188" s="347"/>
      <c r="AF188" s="347"/>
      <c r="AG188" s="347"/>
      <c r="AH188" s="347"/>
      <c r="AI188" s="347"/>
      <c r="AJ188" s="347"/>
      <c r="AK188" s="347"/>
      <c r="AL188" s="347"/>
      <c r="AM188" s="347"/>
      <c r="AN188" s="347"/>
      <c r="AO188" s="347"/>
      <c r="AP188" s="347"/>
      <c r="AQ188" s="347"/>
      <c r="AR188" s="347"/>
      <c r="AS188" s="347"/>
      <c r="AT188" s="347"/>
      <c r="AU188" s="347"/>
      <c r="AV188" s="347"/>
      <c r="AW188" s="347"/>
      <c r="AX188" s="347"/>
      <c r="AY188" s="347"/>
      <c r="AZ188" s="347"/>
      <c r="BA188" s="347"/>
      <c r="BB188" s="347"/>
      <c r="BC188" s="347"/>
      <c r="BD188" s="347"/>
      <c r="BE188" s="347"/>
      <c r="BF188" s="347"/>
      <c r="BG188" s="347"/>
      <c r="BH188" s="347"/>
    </row>
    <row r="189">
      <c r="A189" s="347"/>
      <c r="B189" s="347"/>
      <c r="C189" s="347"/>
      <c r="D189" s="347"/>
      <c r="E189" s="347"/>
      <c r="F189" s="347"/>
      <c r="G189" s="347"/>
      <c r="H189" s="347"/>
      <c r="I189" s="347"/>
      <c r="J189" s="347"/>
      <c r="K189" s="348"/>
      <c r="L189" s="348"/>
      <c r="M189" s="348"/>
      <c r="N189" s="348"/>
      <c r="O189" s="348"/>
      <c r="P189" s="347"/>
      <c r="Q189" s="347"/>
      <c r="R189" s="347"/>
      <c r="S189" s="347"/>
      <c r="T189" s="347"/>
      <c r="U189" s="347"/>
      <c r="V189" s="347"/>
      <c r="W189" s="347"/>
      <c r="X189" s="347"/>
      <c r="Y189" s="347"/>
      <c r="Z189" s="347"/>
      <c r="AA189" s="604"/>
      <c r="AB189" s="347"/>
      <c r="AC189" s="590"/>
      <c r="AD189" s="347"/>
      <c r="AE189" s="347"/>
      <c r="AF189" s="347"/>
      <c r="AG189" s="347"/>
      <c r="AH189" s="347"/>
      <c r="AI189" s="347"/>
      <c r="AJ189" s="347"/>
      <c r="AK189" s="347"/>
      <c r="AL189" s="347"/>
      <c r="AM189" s="347"/>
      <c r="AN189" s="347"/>
      <c r="AO189" s="347"/>
      <c r="AP189" s="347"/>
      <c r="AQ189" s="347"/>
      <c r="AR189" s="347"/>
      <c r="AS189" s="347"/>
      <c r="AT189" s="347"/>
      <c r="AU189" s="347"/>
      <c r="AV189" s="347"/>
      <c r="AW189" s="347"/>
      <c r="AX189" s="347"/>
      <c r="AY189" s="347"/>
      <c r="AZ189" s="347"/>
      <c r="BA189" s="347"/>
      <c r="BB189" s="347"/>
      <c r="BC189" s="347"/>
      <c r="BD189" s="347"/>
      <c r="BE189" s="347"/>
      <c r="BF189" s="347"/>
      <c r="BG189" s="347"/>
      <c r="BH189" s="347"/>
    </row>
    <row r="190">
      <c r="A190" s="347"/>
      <c r="B190" s="347"/>
      <c r="C190" s="347"/>
      <c r="D190" s="347"/>
      <c r="E190" s="347"/>
      <c r="F190" s="347"/>
      <c r="G190" s="347"/>
      <c r="H190" s="347"/>
      <c r="I190" s="347"/>
      <c r="J190" s="347"/>
      <c r="K190" s="348"/>
      <c r="L190" s="348"/>
      <c r="M190" s="348"/>
      <c r="N190" s="348"/>
      <c r="O190" s="348"/>
      <c r="P190" s="347"/>
      <c r="Q190" s="347"/>
      <c r="R190" s="347"/>
      <c r="S190" s="347"/>
      <c r="T190" s="347"/>
      <c r="U190" s="347"/>
      <c r="V190" s="347"/>
      <c r="W190" s="347"/>
      <c r="X190" s="347"/>
      <c r="Y190" s="347"/>
      <c r="Z190" s="347"/>
      <c r="AA190" s="604"/>
      <c r="AB190" s="347"/>
      <c r="AC190" s="590"/>
      <c r="AD190" s="347"/>
      <c r="AE190" s="347"/>
      <c r="AF190" s="347"/>
      <c r="AG190" s="347"/>
      <c r="AH190" s="347"/>
      <c r="AI190" s="347"/>
      <c r="AJ190" s="347"/>
      <c r="AK190" s="347"/>
      <c r="AL190" s="347"/>
      <c r="AM190" s="347"/>
      <c r="AN190" s="347"/>
      <c r="AO190" s="347"/>
      <c r="AP190" s="347"/>
      <c r="AQ190" s="347"/>
      <c r="AR190" s="347"/>
      <c r="AS190" s="347"/>
      <c r="AT190" s="347"/>
      <c r="AU190" s="347"/>
      <c r="AV190" s="347"/>
      <c r="AW190" s="347"/>
      <c r="AX190" s="347"/>
      <c r="AY190" s="347"/>
      <c r="AZ190" s="347"/>
      <c r="BA190" s="347"/>
      <c r="BB190" s="347"/>
      <c r="BC190" s="347"/>
      <c r="BD190" s="347"/>
      <c r="BE190" s="347"/>
      <c r="BF190" s="347"/>
      <c r="BG190" s="347"/>
      <c r="BH190" s="347"/>
    </row>
    <row r="191">
      <c r="A191" s="347"/>
      <c r="B191" s="347"/>
      <c r="C191" s="347"/>
      <c r="D191" s="347"/>
      <c r="E191" s="347"/>
      <c r="F191" s="347"/>
      <c r="G191" s="347"/>
      <c r="H191" s="347"/>
      <c r="I191" s="347"/>
      <c r="J191" s="347"/>
      <c r="K191" s="348"/>
      <c r="L191" s="348"/>
      <c r="M191" s="348"/>
      <c r="N191" s="348"/>
      <c r="O191" s="348"/>
      <c r="P191" s="347"/>
      <c r="Q191" s="347"/>
      <c r="R191" s="347"/>
      <c r="S191" s="347"/>
      <c r="T191" s="347"/>
      <c r="U191" s="347"/>
      <c r="V191" s="347"/>
      <c r="W191" s="347"/>
      <c r="X191" s="347"/>
      <c r="Y191" s="347"/>
      <c r="Z191" s="347"/>
      <c r="AA191" s="604"/>
      <c r="AB191" s="347"/>
      <c r="AC191" s="590"/>
      <c r="AD191" s="347"/>
      <c r="AE191" s="347"/>
      <c r="AF191" s="347"/>
      <c r="AG191" s="347"/>
      <c r="AH191" s="347"/>
      <c r="AI191" s="347"/>
      <c r="AJ191" s="347"/>
      <c r="AK191" s="347"/>
      <c r="AL191" s="347"/>
      <c r="AM191" s="347"/>
      <c r="AN191" s="347"/>
      <c r="AO191" s="347"/>
      <c r="AP191" s="347"/>
      <c r="AQ191" s="347"/>
      <c r="AR191" s="347"/>
      <c r="AS191" s="347"/>
      <c r="AT191" s="347"/>
      <c r="AU191" s="347"/>
      <c r="AV191" s="347"/>
      <c r="AW191" s="347"/>
      <c r="AX191" s="347"/>
      <c r="AY191" s="347"/>
      <c r="AZ191" s="347"/>
      <c r="BA191" s="347"/>
      <c r="BB191" s="347"/>
      <c r="BC191" s="347"/>
      <c r="BD191" s="347"/>
      <c r="BE191" s="347"/>
      <c r="BF191" s="347"/>
      <c r="BG191" s="347"/>
      <c r="BH191" s="347"/>
    </row>
    <row r="192">
      <c r="A192" s="347"/>
      <c r="B192" s="347"/>
      <c r="C192" s="347"/>
      <c r="D192" s="347"/>
      <c r="E192" s="347"/>
      <c r="F192" s="347"/>
      <c r="G192" s="347"/>
      <c r="H192" s="347"/>
      <c r="I192" s="347"/>
      <c r="J192" s="347"/>
      <c r="K192" s="348"/>
      <c r="L192" s="348"/>
      <c r="M192" s="348"/>
      <c r="N192" s="348"/>
      <c r="O192" s="348"/>
      <c r="P192" s="347"/>
      <c r="Q192" s="347"/>
      <c r="R192" s="347"/>
      <c r="S192" s="347"/>
      <c r="T192" s="347"/>
      <c r="U192" s="347"/>
      <c r="V192" s="347"/>
      <c r="W192" s="347"/>
      <c r="X192" s="347"/>
      <c r="Y192" s="347"/>
      <c r="Z192" s="347"/>
      <c r="AA192" s="604"/>
      <c r="AB192" s="347"/>
      <c r="AC192" s="590"/>
      <c r="AD192" s="347"/>
      <c r="AE192" s="347"/>
      <c r="AF192" s="347"/>
      <c r="AG192" s="347"/>
      <c r="AH192" s="347"/>
      <c r="AI192" s="347"/>
      <c r="AJ192" s="347"/>
      <c r="AK192" s="347"/>
      <c r="AL192" s="347"/>
      <c r="AM192" s="347"/>
      <c r="AN192" s="347"/>
      <c r="AO192" s="347"/>
      <c r="AP192" s="347"/>
      <c r="AQ192" s="347"/>
      <c r="AR192" s="347"/>
      <c r="AS192" s="347"/>
      <c r="AT192" s="347"/>
      <c r="AU192" s="347"/>
      <c r="AV192" s="347"/>
      <c r="AW192" s="347"/>
      <c r="AX192" s="347"/>
      <c r="AY192" s="347"/>
      <c r="AZ192" s="347"/>
      <c r="BA192" s="347"/>
      <c r="BB192" s="347"/>
      <c r="BC192" s="347"/>
      <c r="BD192" s="347"/>
      <c r="BE192" s="347"/>
      <c r="BF192" s="347"/>
      <c r="BG192" s="347"/>
      <c r="BH192" s="347"/>
    </row>
    <row r="193">
      <c r="A193" s="347"/>
      <c r="B193" s="347"/>
      <c r="C193" s="347"/>
      <c r="D193" s="347"/>
      <c r="E193" s="347"/>
      <c r="F193" s="347"/>
      <c r="G193" s="347"/>
      <c r="H193" s="347"/>
      <c r="I193" s="347"/>
      <c r="J193" s="347"/>
      <c r="K193" s="348"/>
      <c r="L193" s="348"/>
      <c r="M193" s="348"/>
      <c r="N193" s="348"/>
      <c r="O193" s="348"/>
      <c r="P193" s="347"/>
      <c r="Q193" s="347"/>
      <c r="R193" s="347"/>
      <c r="S193" s="347"/>
      <c r="T193" s="347"/>
      <c r="U193" s="347"/>
      <c r="V193" s="347"/>
      <c r="W193" s="347"/>
      <c r="X193" s="347"/>
      <c r="Y193" s="347"/>
      <c r="Z193" s="347"/>
      <c r="AA193" s="604"/>
      <c r="AB193" s="347"/>
      <c r="AC193" s="590"/>
      <c r="AD193" s="347"/>
      <c r="AE193" s="347"/>
      <c r="AF193" s="347"/>
      <c r="AG193" s="347"/>
      <c r="AH193" s="347"/>
      <c r="AI193" s="347"/>
      <c r="AJ193" s="347"/>
      <c r="AK193" s="347"/>
      <c r="AL193" s="347"/>
      <c r="AM193" s="347"/>
      <c r="AN193" s="347"/>
      <c r="AO193" s="347"/>
      <c r="AP193" s="347"/>
      <c r="AQ193" s="347"/>
      <c r="AR193" s="347"/>
      <c r="AS193" s="347"/>
      <c r="AT193" s="347"/>
      <c r="AU193" s="347"/>
      <c r="AV193" s="347"/>
      <c r="AW193" s="347"/>
      <c r="AX193" s="347"/>
      <c r="AY193" s="347"/>
      <c r="AZ193" s="347"/>
      <c r="BA193" s="347"/>
      <c r="BB193" s="347"/>
      <c r="BC193" s="347"/>
      <c r="BD193" s="347"/>
      <c r="BE193" s="347"/>
      <c r="BF193" s="347"/>
      <c r="BG193" s="347"/>
      <c r="BH193" s="347"/>
    </row>
    <row r="194">
      <c r="A194" s="347"/>
      <c r="B194" s="347"/>
      <c r="C194" s="347"/>
      <c r="D194" s="347"/>
      <c r="E194" s="347"/>
      <c r="F194" s="347"/>
      <c r="G194" s="347"/>
      <c r="H194" s="347"/>
      <c r="I194" s="347"/>
      <c r="J194" s="347"/>
      <c r="K194" s="348"/>
      <c r="L194" s="348"/>
      <c r="M194" s="348"/>
      <c r="N194" s="348"/>
      <c r="O194" s="348"/>
      <c r="P194" s="347"/>
      <c r="Q194" s="347"/>
      <c r="R194" s="347"/>
      <c r="S194" s="347"/>
      <c r="T194" s="347"/>
      <c r="U194" s="347"/>
      <c r="V194" s="347"/>
      <c r="W194" s="347"/>
      <c r="X194" s="347"/>
      <c r="Y194" s="347"/>
      <c r="Z194" s="347"/>
      <c r="AA194" s="604"/>
      <c r="AB194" s="347"/>
      <c r="AC194" s="590"/>
      <c r="AD194" s="347"/>
      <c r="AE194" s="347"/>
      <c r="AF194" s="347"/>
      <c r="AG194" s="347"/>
      <c r="AH194" s="347"/>
      <c r="AI194" s="347"/>
      <c r="AJ194" s="347"/>
      <c r="AK194" s="347"/>
      <c r="AL194" s="347"/>
      <c r="AM194" s="347"/>
      <c r="AN194" s="347"/>
      <c r="AO194" s="347"/>
      <c r="AP194" s="347"/>
      <c r="AQ194" s="347"/>
      <c r="AR194" s="347"/>
      <c r="AS194" s="347"/>
      <c r="AT194" s="347"/>
      <c r="AU194" s="347"/>
      <c r="AV194" s="347"/>
      <c r="AW194" s="347"/>
      <c r="AX194" s="347"/>
      <c r="AY194" s="347"/>
      <c r="AZ194" s="347"/>
      <c r="BA194" s="347"/>
      <c r="BB194" s="347"/>
      <c r="BC194" s="347"/>
      <c r="BD194" s="347"/>
      <c r="BE194" s="347"/>
      <c r="BF194" s="347"/>
      <c r="BG194" s="347"/>
      <c r="BH194" s="347"/>
    </row>
    <row r="195">
      <c r="A195" s="347"/>
      <c r="B195" s="347"/>
      <c r="C195" s="347"/>
      <c r="D195" s="347"/>
      <c r="E195" s="347"/>
      <c r="F195" s="347"/>
      <c r="G195" s="347"/>
      <c r="H195" s="347"/>
      <c r="I195" s="347"/>
      <c r="J195" s="347"/>
      <c r="K195" s="348"/>
      <c r="L195" s="348"/>
      <c r="M195" s="348"/>
      <c r="N195" s="348"/>
      <c r="O195" s="348"/>
      <c r="P195" s="347"/>
      <c r="Q195" s="347"/>
      <c r="R195" s="347"/>
      <c r="S195" s="347"/>
      <c r="T195" s="347"/>
      <c r="U195" s="347"/>
      <c r="V195" s="347"/>
      <c r="W195" s="347"/>
      <c r="X195" s="347"/>
      <c r="Y195" s="347"/>
      <c r="Z195" s="347"/>
      <c r="AA195" s="604"/>
      <c r="AB195" s="347"/>
      <c r="AC195" s="590"/>
      <c r="AD195" s="347"/>
      <c r="AE195" s="347"/>
      <c r="AF195" s="347"/>
      <c r="AG195" s="347"/>
      <c r="AH195" s="347"/>
      <c r="AI195" s="347"/>
      <c r="AJ195" s="347"/>
      <c r="AK195" s="347"/>
      <c r="AL195" s="347"/>
      <c r="AM195" s="347"/>
      <c r="AN195" s="347"/>
      <c r="AO195" s="347"/>
      <c r="AP195" s="347"/>
      <c r="AQ195" s="347"/>
      <c r="AR195" s="347"/>
      <c r="AS195" s="347"/>
      <c r="AT195" s="347"/>
      <c r="AU195" s="347"/>
      <c r="AV195" s="347"/>
      <c r="AW195" s="347"/>
      <c r="AX195" s="347"/>
      <c r="AY195" s="347"/>
      <c r="AZ195" s="347"/>
      <c r="BA195" s="347"/>
      <c r="BB195" s="347"/>
      <c r="BC195" s="347"/>
      <c r="BD195" s="347"/>
      <c r="BE195" s="347"/>
      <c r="BF195" s="347"/>
      <c r="BG195" s="347"/>
      <c r="BH195" s="347"/>
    </row>
    <row r="196">
      <c r="A196" s="347"/>
      <c r="B196" s="347"/>
      <c r="C196" s="347"/>
      <c r="D196" s="347"/>
      <c r="E196" s="347"/>
      <c r="F196" s="347"/>
      <c r="G196" s="347"/>
      <c r="H196" s="347"/>
      <c r="I196" s="347"/>
      <c r="J196" s="347"/>
      <c r="K196" s="348"/>
      <c r="L196" s="348"/>
      <c r="M196" s="348"/>
      <c r="N196" s="348"/>
      <c r="O196" s="348"/>
      <c r="P196" s="347"/>
      <c r="Q196" s="347"/>
      <c r="R196" s="347"/>
      <c r="S196" s="347"/>
      <c r="T196" s="347"/>
      <c r="U196" s="347"/>
      <c r="V196" s="347"/>
      <c r="W196" s="347"/>
      <c r="X196" s="347"/>
      <c r="Y196" s="347"/>
      <c r="Z196" s="347"/>
      <c r="AA196" s="604"/>
      <c r="AB196" s="347"/>
      <c r="AC196" s="590"/>
      <c r="AD196" s="347"/>
      <c r="AE196" s="347"/>
      <c r="AF196" s="347"/>
      <c r="AG196" s="347"/>
      <c r="AH196" s="347"/>
      <c r="AI196" s="347"/>
      <c r="AJ196" s="347"/>
      <c r="AK196" s="347"/>
      <c r="AL196" s="347"/>
      <c r="AM196" s="347"/>
      <c r="AN196" s="347"/>
      <c r="AO196" s="347"/>
      <c r="AP196" s="347"/>
      <c r="AQ196" s="347"/>
      <c r="AR196" s="347"/>
      <c r="AS196" s="347"/>
      <c r="AT196" s="347"/>
      <c r="AU196" s="347"/>
      <c r="AV196" s="347"/>
      <c r="AW196" s="347"/>
      <c r="AX196" s="347"/>
      <c r="AY196" s="347"/>
      <c r="AZ196" s="347"/>
      <c r="BA196" s="347"/>
      <c r="BB196" s="347"/>
      <c r="BC196" s="347"/>
      <c r="BD196" s="347"/>
      <c r="BE196" s="347"/>
      <c r="BF196" s="347"/>
      <c r="BG196" s="347"/>
      <c r="BH196" s="347"/>
    </row>
    <row r="197">
      <c r="A197" s="347"/>
      <c r="B197" s="347"/>
      <c r="C197" s="347"/>
      <c r="D197" s="347"/>
      <c r="E197" s="347"/>
      <c r="F197" s="347"/>
      <c r="G197" s="347"/>
      <c r="H197" s="347"/>
      <c r="I197" s="347"/>
      <c r="J197" s="347"/>
      <c r="K197" s="348"/>
      <c r="L197" s="348"/>
      <c r="M197" s="348"/>
      <c r="N197" s="348"/>
      <c r="O197" s="348"/>
      <c r="P197" s="347"/>
      <c r="Q197" s="347"/>
      <c r="R197" s="347"/>
      <c r="S197" s="347"/>
      <c r="T197" s="347"/>
      <c r="U197" s="347"/>
      <c r="V197" s="347"/>
      <c r="W197" s="347"/>
      <c r="X197" s="347"/>
      <c r="Y197" s="347"/>
      <c r="Z197" s="347"/>
      <c r="AA197" s="604"/>
      <c r="AB197" s="347"/>
      <c r="AC197" s="590"/>
      <c r="AD197" s="347"/>
      <c r="AE197" s="347"/>
      <c r="AF197" s="347"/>
      <c r="AG197" s="347"/>
      <c r="AH197" s="347"/>
      <c r="AI197" s="347"/>
      <c r="AJ197" s="347"/>
      <c r="AK197" s="347"/>
      <c r="AL197" s="347"/>
      <c r="AM197" s="347"/>
      <c r="AN197" s="347"/>
      <c r="AO197" s="347"/>
      <c r="AP197" s="347"/>
      <c r="AQ197" s="347"/>
      <c r="AR197" s="347"/>
      <c r="AS197" s="347"/>
      <c r="AT197" s="347"/>
      <c r="AU197" s="347"/>
      <c r="AV197" s="347"/>
      <c r="AW197" s="347"/>
      <c r="AX197" s="347"/>
      <c r="AY197" s="347"/>
      <c r="AZ197" s="347"/>
      <c r="BA197" s="347"/>
      <c r="BB197" s="347"/>
      <c r="BC197" s="347"/>
      <c r="BD197" s="347"/>
      <c r="BE197" s="347"/>
      <c r="BF197" s="347"/>
      <c r="BG197" s="347"/>
      <c r="BH197" s="347"/>
    </row>
    <row r="198">
      <c r="A198" s="347"/>
      <c r="B198" s="347"/>
      <c r="C198" s="347"/>
      <c r="D198" s="347"/>
      <c r="E198" s="347"/>
      <c r="F198" s="347"/>
      <c r="G198" s="347"/>
      <c r="H198" s="347"/>
      <c r="I198" s="347"/>
      <c r="J198" s="347"/>
      <c r="K198" s="348"/>
      <c r="L198" s="348"/>
      <c r="M198" s="348"/>
      <c r="N198" s="348"/>
      <c r="O198" s="348"/>
      <c r="P198" s="347"/>
      <c r="Q198" s="347"/>
      <c r="R198" s="347"/>
      <c r="S198" s="347"/>
      <c r="T198" s="347"/>
      <c r="U198" s="347"/>
      <c r="V198" s="347"/>
      <c r="W198" s="347"/>
      <c r="X198" s="347"/>
      <c r="Y198" s="347"/>
      <c r="Z198" s="347"/>
      <c r="AA198" s="604"/>
      <c r="AB198" s="347"/>
      <c r="AC198" s="590"/>
      <c r="AD198" s="347"/>
      <c r="AE198" s="347"/>
      <c r="AF198" s="347"/>
      <c r="AG198" s="347"/>
      <c r="AH198" s="347"/>
      <c r="AI198" s="347"/>
      <c r="AJ198" s="347"/>
      <c r="AK198" s="347"/>
      <c r="AL198" s="347"/>
      <c r="AM198" s="347"/>
      <c r="AN198" s="347"/>
      <c r="AO198" s="347"/>
      <c r="AP198" s="347"/>
      <c r="AQ198" s="347"/>
      <c r="AR198" s="347"/>
      <c r="AS198" s="347"/>
      <c r="AT198" s="347"/>
      <c r="AU198" s="347"/>
      <c r="AV198" s="347"/>
      <c r="AW198" s="347"/>
      <c r="AX198" s="347"/>
      <c r="AY198" s="347"/>
      <c r="AZ198" s="347"/>
      <c r="BA198" s="347"/>
      <c r="BB198" s="347"/>
      <c r="BC198" s="347"/>
      <c r="BD198" s="347"/>
      <c r="BE198" s="347"/>
      <c r="BF198" s="347"/>
      <c r="BG198" s="347"/>
      <c r="BH198" s="347"/>
    </row>
    <row r="199">
      <c r="A199" s="347"/>
      <c r="B199" s="347"/>
      <c r="C199" s="347"/>
      <c r="D199" s="347"/>
      <c r="E199" s="347"/>
      <c r="F199" s="347"/>
      <c r="G199" s="347"/>
      <c r="H199" s="347"/>
      <c r="I199" s="347"/>
      <c r="J199" s="347"/>
      <c r="K199" s="348"/>
      <c r="L199" s="348"/>
      <c r="M199" s="348"/>
      <c r="N199" s="348"/>
      <c r="O199" s="348"/>
      <c r="P199" s="347"/>
      <c r="Q199" s="347"/>
      <c r="R199" s="347"/>
      <c r="S199" s="347"/>
      <c r="T199" s="347"/>
      <c r="U199" s="347"/>
      <c r="V199" s="347"/>
      <c r="W199" s="347"/>
      <c r="X199" s="347"/>
      <c r="Y199" s="347"/>
      <c r="Z199" s="347"/>
      <c r="AA199" s="604"/>
      <c r="AB199" s="347"/>
      <c r="AC199" s="590"/>
      <c r="AD199" s="347"/>
      <c r="AE199" s="347"/>
      <c r="AF199" s="347"/>
      <c r="AG199" s="347"/>
      <c r="AH199" s="347"/>
      <c r="AI199" s="347"/>
      <c r="AJ199" s="347"/>
      <c r="AK199" s="347"/>
      <c r="AL199" s="347"/>
      <c r="AM199" s="347"/>
      <c r="AN199" s="347"/>
      <c r="AO199" s="347"/>
      <c r="AP199" s="347"/>
      <c r="AQ199" s="347"/>
      <c r="AR199" s="347"/>
      <c r="AS199" s="347"/>
      <c r="AT199" s="347"/>
      <c r="AU199" s="347"/>
      <c r="AV199" s="347"/>
      <c r="AW199" s="347"/>
      <c r="AX199" s="347"/>
      <c r="AY199" s="347"/>
      <c r="AZ199" s="347"/>
      <c r="BA199" s="347"/>
      <c r="BB199" s="347"/>
      <c r="BC199" s="347"/>
      <c r="BD199" s="347"/>
      <c r="BE199" s="347"/>
      <c r="BF199" s="347"/>
      <c r="BG199" s="347"/>
      <c r="BH199" s="347"/>
    </row>
    <row r="200">
      <c r="A200" s="347"/>
      <c r="B200" s="347"/>
      <c r="C200" s="347"/>
      <c r="D200" s="347"/>
      <c r="E200" s="347"/>
      <c r="F200" s="347"/>
      <c r="G200" s="347"/>
      <c r="H200" s="347"/>
      <c r="I200" s="347"/>
      <c r="J200" s="347"/>
      <c r="K200" s="348"/>
      <c r="L200" s="348"/>
      <c r="M200" s="348"/>
      <c r="N200" s="348"/>
      <c r="O200" s="348"/>
      <c r="P200" s="347"/>
      <c r="Q200" s="347"/>
      <c r="R200" s="347"/>
      <c r="S200" s="347"/>
      <c r="T200" s="347"/>
      <c r="U200" s="347"/>
      <c r="V200" s="347"/>
      <c r="W200" s="347"/>
      <c r="X200" s="347"/>
      <c r="Y200" s="347"/>
      <c r="Z200" s="347"/>
      <c r="AA200" s="604"/>
      <c r="AB200" s="347"/>
      <c r="AC200" s="590"/>
      <c r="AD200" s="347"/>
      <c r="AE200" s="347"/>
      <c r="AF200" s="347"/>
      <c r="AG200" s="347"/>
      <c r="AH200" s="347"/>
      <c r="AI200" s="347"/>
      <c r="AJ200" s="347"/>
      <c r="AK200" s="347"/>
      <c r="AL200" s="347"/>
      <c r="AM200" s="347"/>
      <c r="AN200" s="347"/>
      <c r="AO200" s="347"/>
      <c r="AP200" s="347"/>
      <c r="AQ200" s="347"/>
      <c r="AR200" s="347"/>
      <c r="AS200" s="347"/>
      <c r="AT200" s="347"/>
      <c r="AU200" s="347"/>
      <c r="AV200" s="347"/>
      <c r="AW200" s="347"/>
      <c r="AX200" s="347"/>
      <c r="AY200" s="347"/>
      <c r="AZ200" s="347"/>
      <c r="BA200" s="347"/>
      <c r="BB200" s="347"/>
      <c r="BC200" s="347"/>
      <c r="BD200" s="347"/>
      <c r="BE200" s="347"/>
      <c r="BF200" s="347"/>
      <c r="BG200" s="347"/>
      <c r="BH200" s="347"/>
    </row>
    <row r="201">
      <c r="A201" s="347"/>
      <c r="B201" s="347"/>
      <c r="C201" s="347"/>
      <c r="D201" s="347"/>
      <c r="E201" s="347"/>
      <c r="F201" s="347"/>
      <c r="G201" s="347"/>
      <c r="H201" s="347"/>
      <c r="I201" s="347"/>
      <c r="J201" s="347"/>
      <c r="K201" s="348"/>
      <c r="L201" s="348"/>
      <c r="M201" s="348"/>
      <c r="N201" s="348"/>
      <c r="O201" s="348"/>
      <c r="P201" s="347"/>
      <c r="Q201" s="347"/>
      <c r="R201" s="347"/>
      <c r="S201" s="347"/>
      <c r="T201" s="347"/>
      <c r="U201" s="347"/>
      <c r="V201" s="347"/>
      <c r="W201" s="347"/>
      <c r="X201" s="347"/>
      <c r="Y201" s="347"/>
      <c r="Z201" s="347"/>
      <c r="AA201" s="604"/>
      <c r="AB201" s="347"/>
      <c r="AC201" s="590"/>
      <c r="AD201" s="347"/>
      <c r="AE201" s="347"/>
      <c r="AF201" s="347"/>
      <c r="AG201" s="347"/>
      <c r="AH201" s="347"/>
      <c r="AI201" s="347"/>
      <c r="AJ201" s="347"/>
      <c r="AK201" s="347"/>
      <c r="AL201" s="347"/>
      <c r="AM201" s="347"/>
      <c r="AN201" s="347"/>
      <c r="AO201" s="347"/>
      <c r="AP201" s="347"/>
      <c r="AQ201" s="347"/>
      <c r="AR201" s="347"/>
      <c r="AS201" s="347"/>
      <c r="AT201" s="347"/>
      <c r="AU201" s="347"/>
      <c r="AV201" s="347"/>
      <c r="AW201" s="347"/>
      <c r="AX201" s="347"/>
      <c r="AY201" s="347"/>
      <c r="AZ201" s="347"/>
      <c r="BA201" s="347"/>
      <c r="BB201" s="347"/>
      <c r="BC201" s="347"/>
      <c r="BD201" s="347"/>
      <c r="BE201" s="347"/>
      <c r="BF201" s="347"/>
      <c r="BG201" s="347"/>
      <c r="BH201" s="347"/>
    </row>
    <row r="202">
      <c r="A202" s="347"/>
      <c r="B202" s="347"/>
      <c r="C202" s="347"/>
      <c r="D202" s="347"/>
      <c r="E202" s="347"/>
      <c r="F202" s="347"/>
      <c r="G202" s="347"/>
      <c r="H202" s="347"/>
      <c r="I202" s="347"/>
      <c r="J202" s="347"/>
      <c r="K202" s="348"/>
      <c r="L202" s="348"/>
      <c r="M202" s="348"/>
      <c r="N202" s="348"/>
      <c r="O202" s="348"/>
      <c r="P202" s="347"/>
      <c r="Q202" s="347"/>
      <c r="R202" s="347"/>
      <c r="S202" s="347"/>
      <c r="T202" s="347"/>
      <c r="U202" s="347"/>
      <c r="V202" s="347"/>
      <c r="W202" s="347"/>
      <c r="X202" s="347"/>
      <c r="Y202" s="347"/>
      <c r="Z202" s="347"/>
      <c r="AA202" s="604"/>
      <c r="AB202" s="347"/>
      <c r="AC202" s="590"/>
      <c r="AD202" s="347"/>
      <c r="AE202" s="347"/>
      <c r="AF202" s="347"/>
      <c r="AG202" s="347"/>
      <c r="AH202" s="347"/>
      <c r="AI202" s="347"/>
      <c r="AJ202" s="347"/>
      <c r="AK202" s="347"/>
      <c r="AL202" s="347"/>
      <c r="AM202" s="347"/>
      <c r="AN202" s="347"/>
      <c r="AO202" s="347"/>
      <c r="AP202" s="347"/>
      <c r="AQ202" s="347"/>
      <c r="AR202" s="347"/>
      <c r="AS202" s="347"/>
      <c r="AT202" s="347"/>
      <c r="AU202" s="347"/>
      <c r="AV202" s="347"/>
      <c r="AW202" s="347"/>
      <c r="AX202" s="347"/>
      <c r="AY202" s="347"/>
      <c r="AZ202" s="347"/>
      <c r="BA202" s="347"/>
      <c r="BB202" s="347"/>
      <c r="BC202" s="347"/>
      <c r="BD202" s="347"/>
      <c r="BE202" s="347"/>
      <c r="BF202" s="347"/>
      <c r="BG202" s="347"/>
      <c r="BH202" s="347"/>
    </row>
    <row r="203">
      <c r="A203" s="347"/>
      <c r="B203" s="347"/>
      <c r="C203" s="347"/>
      <c r="D203" s="347"/>
      <c r="E203" s="347"/>
      <c r="F203" s="347"/>
      <c r="G203" s="347"/>
      <c r="H203" s="347"/>
      <c r="I203" s="347"/>
      <c r="J203" s="347"/>
      <c r="K203" s="348"/>
      <c r="L203" s="348"/>
      <c r="M203" s="348"/>
      <c r="N203" s="348"/>
      <c r="O203" s="348"/>
      <c r="P203" s="347"/>
      <c r="Q203" s="347"/>
      <c r="R203" s="347"/>
      <c r="S203" s="347"/>
      <c r="T203" s="347"/>
      <c r="U203" s="347"/>
      <c r="V203" s="347"/>
      <c r="W203" s="347"/>
      <c r="X203" s="347"/>
      <c r="Y203" s="347"/>
      <c r="Z203" s="347"/>
      <c r="AA203" s="604"/>
      <c r="AB203" s="347"/>
      <c r="AC203" s="590"/>
      <c r="AD203" s="347"/>
      <c r="AE203" s="347"/>
      <c r="AF203" s="347"/>
      <c r="AG203" s="347"/>
      <c r="AH203" s="347"/>
      <c r="AI203" s="347"/>
      <c r="AJ203" s="347"/>
      <c r="AK203" s="347"/>
      <c r="AL203" s="347"/>
      <c r="AM203" s="347"/>
      <c r="AN203" s="347"/>
      <c r="AO203" s="347"/>
      <c r="AP203" s="347"/>
      <c r="AQ203" s="347"/>
      <c r="AR203" s="347"/>
      <c r="AS203" s="347"/>
      <c r="AT203" s="347"/>
      <c r="AU203" s="347"/>
      <c r="AV203" s="347"/>
      <c r="AW203" s="347"/>
      <c r="AX203" s="347"/>
      <c r="AY203" s="347"/>
      <c r="AZ203" s="347"/>
      <c r="BA203" s="347"/>
      <c r="BB203" s="347"/>
      <c r="BC203" s="347"/>
      <c r="BD203" s="347"/>
      <c r="BE203" s="347"/>
      <c r="BF203" s="347"/>
      <c r="BG203" s="347"/>
      <c r="BH203" s="347"/>
    </row>
    <row r="204">
      <c r="A204" s="347"/>
      <c r="B204" s="347"/>
      <c r="C204" s="347"/>
      <c r="D204" s="347"/>
      <c r="E204" s="347"/>
      <c r="F204" s="347"/>
      <c r="G204" s="347"/>
      <c r="H204" s="347"/>
      <c r="I204" s="347"/>
      <c r="J204" s="347"/>
      <c r="K204" s="348"/>
      <c r="L204" s="348"/>
      <c r="M204" s="348"/>
      <c r="N204" s="348"/>
      <c r="O204" s="348"/>
      <c r="P204" s="347"/>
      <c r="Q204" s="347"/>
      <c r="R204" s="347"/>
      <c r="S204" s="347"/>
      <c r="T204" s="347"/>
      <c r="U204" s="347"/>
      <c r="V204" s="347"/>
      <c r="W204" s="347"/>
      <c r="X204" s="347"/>
      <c r="Y204" s="347"/>
      <c r="Z204" s="347"/>
      <c r="AA204" s="604"/>
      <c r="AB204" s="347"/>
      <c r="AC204" s="590"/>
      <c r="AD204" s="347"/>
      <c r="AE204" s="347"/>
      <c r="AF204" s="347"/>
      <c r="AG204" s="347"/>
      <c r="AH204" s="347"/>
      <c r="AI204" s="347"/>
      <c r="AJ204" s="347"/>
      <c r="AK204" s="347"/>
      <c r="AL204" s="347"/>
      <c r="AM204" s="347"/>
      <c r="AN204" s="347"/>
      <c r="AO204" s="347"/>
      <c r="AP204" s="347"/>
      <c r="AQ204" s="347"/>
      <c r="AR204" s="347"/>
      <c r="AS204" s="347"/>
      <c r="AT204" s="347"/>
      <c r="AU204" s="347"/>
      <c r="AV204" s="347"/>
      <c r="AW204" s="347"/>
      <c r="AX204" s="347"/>
      <c r="AY204" s="347"/>
      <c r="AZ204" s="347"/>
      <c r="BA204" s="347"/>
      <c r="BB204" s="347"/>
      <c r="BC204" s="347"/>
      <c r="BD204" s="347"/>
      <c r="BE204" s="347"/>
      <c r="BF204" s="347"/>
      <c r="BG204" s="347"/>
      <c r="BH204" s="347"/>
    </row>
    <row r="205">
      <c r="A205" s="347"/>
      <c r="B205" s="347"/>
      <c r="C205" s="347"/>
      <c r="D205" s="347"/>
      <c r="E205" s="347"/>
      <c r="F205" s="347"/>
      <c r="G205" s="347"/>
      <c r="H205" s="347"/>
      <c r="I205" s="347"/>
      <c r="J205" s="347"/>
      <c r="K205" s="348"/>
      <c r="L205" s="348"/>
      <c r="M205" s="348"/>
      <c r="N205" s="348"/>
      <c r="O205" s="348"/>
      <c r="P205" s="347"/>
      <c r="Q205" s="347"/>
      <c r="R205" s="347"/>
      <c r="S205" s="347"/>
      <c r="T205" s="347"/>
      <c r="U205" s="347"/>
      <c r="V205" s="347"/>
      <c r="W205" s="347"/>
      <c r="X205" s="347"/>
      <c r="Y205" s="347"/>
      <c r="Z205" s="347"/>
      <c r="AA205" s="604"/>
      <c r="AB205" s="347"/>
      <c r="AC205" s="590"/>
      <c r="AD205" s="347"/>
      <c r="AE205" s="347"/>
      <c r="AF205" s="347"/>
      <c r="AG205" s="347"/>
      <c r="AH205" s="347"/>
      <c r="AI205" s="347"/>
      <c r="AJ205" s="347"/>
      <c r="AK205" s="347"/>
      <c r="AL205" s="347"/>
      <c r="AM205" s="347"/>
      <c r="AN205" s="347"/>
      <c r="AO205" s="347"/>
      <c r="AP205" s="347"/>
      <c r="AQ205" s="347"/>
      <c r="AR205" s="347"/>
      <c r="AS205" s="347"/>
      <c r="AT205" s="347"/>
      <c r="AU205" s="347"/>
      <c r="AV205" s="347"/>
      <c r="AW205" s="347"/>
      <c r="AX205" s="347"/>
      <c r="AY205" s="347"/>
      <c r="AZ205" s="347"/>
      <c r="BA205" s="347"/>
      <c r="BB205" s="347"/>
      <c r="BC205" s="347"/>
      <c r="BD205" s="347"/>
      <c r="BE205" s="347"/>
      <c r="BF205" s="347"/>
      <c r="BG205" s="347"/>
      <c r="BH205" s="347"/>
    </row>
    <row r="206">
      <c r="A206" s="347"/>
      <c r="B206" s="347"/>
      <c r="C206" s="347"/>
      <c r="D206" s="347"/>
      <c r="E206" s="347"/>
      <c r="F206" s="347"/>
      <c r="G206" s="347"/>
      <c r="H206" s="347"/>
      <c r="I206" s="347"/>
      <c r="J206" s="347"/>
      <c r="K206" s="348"/>
      <c r="L206" s="348"/>
      <c r="M206" s="348"/>
      <c r="N206" s="348"/>
      <c r="O206" s="348"/>
      <c r="P206" s="347"/>
      <c r="Q206" s="347"/>
      <c r="R206" s="347"/>
      <c r="S206" s="347"/>
      <c r="T206" s="347"/>
      <c r="U206" s="347"/>
      <c r="V206" s="347"/>
      <c r="W206" s="347"/>
      <c r="X206" s="347"/>
      <c r="Y206" s="347"/>
      <c r="Z206" s="347"/>
      <c r="AA206" s="604"/>
      <c r="AB206" s="347"/>
      <c r="AC206" s="590"/>
      <c r="AD206" s="347"/>
      <c r="AE206" s="347"/>
      <c r="AF206" s="347"/>
      <c r="AG206" s="347"/>
      <c r="AH206" s="347"/>
      <c r="AI206" s="347"/>
      <c r="AJ206" s="347"/>
      <c r="AK206" s="347"/>
      <c r="AL206" s="347"/>
      <c r="AM206" s="347"/>
      <c r="AN206" s="347"/>
      <c r="AO206" s="347"/>
      <c r="AP206" s="347"/>
      <c r="AQ206" s="347"/>
      <c r="AR206" s="347"/>
      <c r="AS206" s="347"/>
      <c r="AT206" s="347"/>
      <c r="AU206" s="347"/>
      <c r="AV206" s="347"/>
      <c r="AW206" s="347"/>
      <c r="AX206" s="347"/>
      <c r="AY206" s="347"/>
      <c r="AZ206" s="347"/>
      <c r="BA206" s="347"/>
      <c r="BB206" s="347"/>
      <c r="BC206" s="347"/>
      <c r="BD206" s="347"/>
      <c r="BE206" s="347"/>
      <c r="BF206" s="347"/>
      <c r="BG206" s="347"/>
      <c r="BH206" s="347"/>
    </row>
    <row r="207">
      <c r="A207" s="347"/>
      <c r="B207" s="347"/>
      <c r="C207" s="347"/>
      <c r="D207" s="347"/>
      <c r="E207" s="347"/>
      <c r="F207" s="347"/>
      <c r="G207" s="347"/>
      <c r="H207" s="347"/>
      <c r="I207" s="347"/>
      <c r="J207" s="347"/>
      <c r="K207" s="348"/>
      <c r="L207" s="348"/>
      <c r="M207" s="348"/>
      <c r="N207" s="348"/>
      <c r="O207" s="348"/>
      <c r="P207" s="347"/>
      <c r="Q207" s="347"/>
      <c r="R207" s="347"/>
      <c r="S207" s="347"/>
      <c r="T207" s="347"/>
      <c r="U207" s="347"/>
      <c r="V207" s="347"/>
      <c r="W207" s="347"/>
      <c r="X207" s="347"/>
      <c r="Y207" s="347"/>
      <c r="Z207" s="347"/>
      <c r="AA207" s="604"/>
      <c r="AB207" s="347"/>
      <c r="AC207" s="590"/>
      <c r="AD207" s="347"/>
      <c r="AE207" s="347"/>
      <c r="AF207" s="347"/>
      <c r="AG207" s="347"/>
      <c r="AH207" s="347"/>
      <c r="AI207" s="347"/>
      <c r="AJ207" s="347"/>
      <c r="AK207" s="347"/>
      <c r="AL207" s="347"/>
      <c r="AM207" s="347"/>
      <c r="AN207" s="347"/>
      <c r="AO207" s="347"/>
      <c r="AP207" s="347"/>
      <c r="AQ207" s="347"/>
      <c r="AR207" s="347"/>
      <c r="AS207" s="347"/>
      <c r="AT207" s="347"/>
      <c r="AU207" s="347"/>
      <c r="AV207" s="347"/>
      <c r="AW207" s="347"/>
      <c r="AX207" s="347"/>
      <c r="AY207" s="347"/>
      <c r="AZ207" s="347"/>
      <c r="BA207" s="347"/>
      <c r="BB207" s="347"/>
      <c r="BC207" s="347"/>
      <c r="BD207" s="347"/>
      <c r="BE207" s="347"/>
      <c r="BF207" s="347"/>
      <c r="BG207" s="347"/>
      <c r="BH207" s="347"/>
    </row>
    <row r="208">
      <c r="A208" s="347"/>
      <c r="B208" s="347"/>
      <c r="C208" s="347"/>
      <c r="D208" s="347"/>
      <c r="E208" s="347"/>
      <c r="F208" s="347"/>
      <c r="G208" s="347"/>
      <c r="H208" s="347"/>
      <c r="I208" s="347"/>
      <c r="J208" s="347"/>
      <c r="K208" s="348"/>
      <c r="L208" s="348"/>
      <c r="M208" s="348"/>
      <c r="N208" s="348"/>
      <c r="O208" s="348"/>
      <c r="P208" s="347"/>
      <c r="Q208" s="347"/>
      <c r="R208" s="347"/>
      <c r="S208" s="347"/>
      <c r="T208" s="347"/>
      <c r="U208" s="347"/>
      <c r="V208" s="347"/>
      <c r="W208" s="347"/>
      <c r="X208" s="347"/>
      <c r="Y208" s="347"/>
      <c r="Z208" s="347"/>
      <c r="AA208" s="604"/>
      <c r="AB208" s="347"/>
      <c r="AC208" s="590"/>
      <c r="AD208" s="347"/>
      <c r="AE208" s="347"/>
      <c r="AF208" s="347"/>
      <c r="AG208" s="347"/>
      <c r="AH208" s="347"/>
      <c r="AI208" s="347"/>
      <c r="AJ208" s="347"/>
      <c r="AK208" s="347"/>
      <c r="AL208" s="347"/>
      <c r="AM208" s="347"/>
      <c r="AN208" s="347"/>
      <c r="AO208" s="347"/>
      <c r="AP208" s="347"/>
      <c r="AQ208" s="347"/>
      <c r="AR208" s="347"/>
      <c r="AS208" s="347"/>
      <c r="AT208" s="347"/>
      <c r="AU208" s="347"/>
      <c r="AV208" s="347"/>
      <c r="AW208" s="347"/>
      <c r="AX208" s="347"/>
      <c r="AY208" s="347"/>
      <c r="AZ208" s="347"/>
      <c r="BA208" s="347"/>
      <c r="BB208" s="347"/>
      <c r="BC208" s="347"/>
      <c r="BD208" s="347"/>
      <c r="BE208" s="347"/>
      <c r="BF208" s="347"/>
      <c r="BG208" s="347"/>
      <c r="BH208" s="347"/>
    </row>
    <row r="209">
      <c r="A209" s="347"/>
      <c r="B209" s="347"/>
      <c r="C209" s="347"/>
      <c r="D209" s="347"/>
      <c r="E209" s="347"/>
      <c r="F209" s="347"/>
      <c r="G209" s="347"/>
      <c r="H209" s="347"/>
      <c r="I209" s="347"/>
      <c r="J209" s="347"/>
      <c r="K209" s="348"/>
      <c r="L209" s="348"/>
      <c r="M209" s="348"/>
      <c r="N209" s="348"/>
      <c r="O209" s="348"/>
      <c r="P209" s="347"/>
      <c r="Q209" s="347"/>
      <c r="R209" s="347"/>
      <c r="S209" s="347"/>
      <c r="T209" s="347"/>
      <c r="U209" s="347"/>
      <c r="V209" s="347"/>
      <c r="W209" s="347"/>
      <c r="X209" s="347"/>
      <c r="Y209" s="347"/>
      <c r="Z209" s="347"/>
      <c r="AA209" s="604"/>
      <c r="AB209" s="347"/>
      <c r="AC209" s="590"/>
      <c r="AD209" s="347"/>
      <c r="AE209" s="347"/>
      <c r="AF209" s="347"/>
      <c r="AG209" s="347"/>
      <c r="AH209" s="347"/>
      <c r="AI209" s="347"/>
      <c r="AJ209" s="347"/>
      <c r="AK209" s="347"/>
      <c r="AL209" s="347"/>
      <c r="AM209" s="347"/>
      <c r="AN209" s="347"/>
      <c r="AO209" s="347"/>
      <c r="AP209" s="347"/>
      <c r="AQ209" s="347"/>
      <c r="AR209" s="347"/>
      <c r="AS209" s="347"/>
      <c r="AT209" s="347"/>
      <c r="AU209" s="347"/>
      <c r="AV209" s="347"/>
      <c r="AW209" s="347"/>
      <c r="AX209" s="347"/>
      <c r="AY209" s="347"/>
      <c r="AZ209" s="347"/>
      <c r="BA209" s="347"/>
      <c r="BB209" s="347"/>
      <c r="BC209" s="347"/>
      <c r="BD209" s="347"/>
      <c r="BE209" s="347"/>
      <c r="BF209" s="347"/>
      <c r="BG209" s="347"/>
      <c r="BH209" s="347"/>
    </row>
    <row r="210">
      <c r="A210" s="347"/>
      <c r="B210" s="347"/>
      <c r="C210" s="347"/>
      <c r="D210" s="347"/>
      <c r="E210" s="347"/>
      <c r="F210" s="347"/>
      <c r="G210" s="347"/>
      <c r="H210" s="347"/>
      <c r="I210" s="347"/>
      <c r="J210" s="347"/>
      <c r="K210" s="348"/>
      <c r="L210" s="348"/>
      <c r="M210" s="348"/>
      <c r="N210" s="348"/>
      <c r="O210" s="348"/>
      <c r="P210" s="347"/>
      <c r="Q210" s="347"/>
      <c r="R210" s="347"/>
      <c r="S210" s="347"/>
      <c r="T210" s="347"/>
      <c r="U210" s="347"/>
      <c r="V210" s="347"/>
      <c r="W210" s="347"/>
      <c r="X210" s="347"/>
      <c r="Y210" s="347"/>
      <c r="Z210" s="347"/>
      <c r="AA210" s="604"/>
      <c r="AB210" s="347"/>
      <c r="AC210" s="590"/>
      <c r="AD210" s="347"/>
      <c r="AE210" s="347"/>
      <c r="AF210" s="347"/>
      <c r="AG210" s="347"/>
      <c r="AH210" s="347"/>
      <c r="AI210" s="347"/>
      <c r="AJ210" s="347"/>
      <c r="AK210" s="347"/>
      <c r="AL210" s="347"/>
      <c r="AM210" s="347"/>
      <c r="AN210" s="347"/>
      <c r="AO210" s="347"/>
      <c r="AP210" s="347"/>
      <c r="AQ210" s="347"/>
      <c r="AR210" s="347"/>
      <c r="AS210" s="347"/>
      <c r="AT210" s="347"/>
      <c r="AU210" s="347"/>
      <c r="AV210" s="347"/>
      <c r="AW210" s="347"/>
      <c r="AX210" s="347"/>
      <c r="AY210" s="347"/>
      <c r="AZ210" s="347"/>
      <c r="BA210" s="347"/>
      <c r="BB210" s="347"/>
      <c r="BC210" s="347"/>
      <c r="BD210" s="347"/>
      <c r="BE210" s="347"/>
      <c r="BF210" s="347"/>
      <c r="BG210" s="347"/>
      <c r="BH210" s="347"/>
    </row>
    <row r="211">
      <c r="A211" s="347"/>
      <c r="B211" s="347"/>
      <c r="C211" s="347"/>
      <c r="D211" s="347"/>
      <c r="E211" s="347"/>
      <c r="F211" s="347"/>
      <c r="G211" s="347"/>
      <c r="H211" s="347"/>
      <c r="I211" s="347"/>
      <c r="J211" s="347"/>
      <c r="K211" s="348"/>
      <c r="L211" s="348"/>
      <c r="M211" s="348"/>
      <c r="N211" s="348"/>
      <c r="O211" s="348"/>
      <c r="P211" s="347"/>
      <c r="Q211" s="347"/>
      <c r="R211" s="347"/>
      <c r="S211" s="347"/>
      <c r="T211" s="347"/>
      <c r="U211" s="347"/>
      <c r="V211" s="347"/>
      <c r="W211" s="347"/>
      <c r="X211" s="347"/>
      <c r="Y211" s="347"/>
      <c r="Z211" s="347"/>
      <c r="AA211" s="604"/>
      <c r="AB211" s="347"/>
      <c r="AC211" s="590"/>
      <c r="AD211" s="347"/>
      <c r="AE211" s="347"/>
      <c r="AF211" s="347"/>
      <c r="AG211" s="347"/>
      <c r="AH211" s="347"/>
      <c r="AI211" s="347"/>
      <c r="AJ211" s="347"/>
      <c r="AK211" s="347"/>
      <c r="AL211" s="347"/>
      <c r="AM211" s="347"/>
      <c r="AN211" s="347"/>
      <c r="AO211" s="347"/>
      <c r="AP211" s="347"/>
      <c r="AQ211" s="347"/>
      <c r="AR211" s="347"/>
      <c r="AS211" s="347"/>
      <c r="AT211" s="347"/>
      <c r="AU211" s="347"/>
      <c r="AV211" s="347"/>
      <c r="AW211" s="347"/>
      <c r="AX211" s="347"/>
      <c r="AY211" s="347"/>
      <c r="AZ211" s="347"/>
      <c r="BA211" s="347"/>
      <c r="BB211" s="347"/>
      <c r="BC211" s="347"/>
      <c r="BD211" s="347"/>
      <c r="BE211" s="347"/>
      <c r="BF211" s="347"/>
      <c r="BG211" s="347"/>
      <c r="BH211" s="347"/>
    </row>
    <row r="212">
      <c r="A212" s="347"/>
      <c r="B212" s="347"/>
      <c r="C212" s="347"/>
      <c r="D212" s="347"/>
      <c r="E212" s="347"/>
      <c r="F212" s="347"/>
      <c r="G212" s="347"/>
      <c r="H212" s="347"/>
      <c r="I212" s="347"/>
      <c r="J212" s="347"/>
      <c r="K212" s="348"/>
      <c r="L212" s="348"/>
      <c r="M212" s="348"/>
      <c r="N212" s="348"/>
      <c r="O212" s="348"/>
      <c r="P212" s="347"/>
      <c r="Q212" s="347"/>
      <c r="R212" s="347"/>
      <c r="S212" s="347"/>
      <c r="T212" s="347"/>
      <c r="U212" s="347"/>
      <c r="V212" s="347"/>
      <c r="W212" s="347"/>
      <c r="X212" s="347"/>
      <c r="Y212" s="347"/>
      <c r="Z212" s="347"/>
      <c r="AA212" s="604"/>
      <c r="AB212" s="347"/>
      <c r="AC212" s="590"/>
      <c r="AD212" s="347"/>
      <c r="AE212" s="347"/>
      <c r="AF212" s="347"/>
      <c r="AG212" s="347"/>
      <c r="AH212" s="347"/>
      <c r="AI212" s="347"/>
      <c r="AJ212" s="347"/>
      <c r="AK212" s="347"/>
      <c r="AL212" s="347"/>
      <c r="AM212" s="347"/>
      <c r="AN212" s="347"/>
      <c r="AO212" s="347"/>
      <c r="AP212" s="347"/>
      <c r="AQ212" s="347"/>
      <c r="AR212" s="347"/>
      <c r="AS212" s="347"/>
      <c r="AT212" s="347"/>
      <c r="AU212" s="347"/>
      <c r="AV212" s="347"/>
      <c r="AW212" s="347"/>
      <c r="AX212" s="347"/>
      <c r="AY212" s="347"/>
      <c r="AZ212" s="347"/>
      <c r="BA212" s="347"/>
      <c r="BB212" s="347"/>
      <c r="BC212" s="347"/>
      <c r="BD212" s="347"/>
      <c r="BE212" s="347"/>
      <c r="BF212" s="347"/>
      <c r="BG212" s="347"/>
      <c r="BH212" s="347"/>
    </row>
    <row r="213">
      <c r="A213" s="347"/>
      <c r="B213" s="347"/>
      <c r="C213" s="347"/>
      <c r="D213" s="347"/>
      <c r="E213" s="347"/>
      <c r="F213" s="347"/>
      <c r="G213" s="347"/>
      <c r="H213" s="347"/>
      <c r="I213" s="347"/>
      <c r="J213" s="347"/>
      <c r="K213" s="348"/>
      <c r="L213" s="348"/>
      <c r="M213" s="348"/>
      <c r="N213" s="348"/>
      <c r="O213" s="348"/>
      <c r="P213" s="347"/>
      <c r="Q213" s="347"/>
      <c r="R213" s="347"/>
      <c r="S213" s="347"/>
      <c r="T213" s="347"/>
      <c r="U213" s="347"/>
      <c r="V213" s="347"/>
      <c r="W213" s="347"/>
      <c r="X213" s="347"/>
      <c r="Y213" s="347"/>
      <c r="Z213" s="347"/>
      <c r="AA213" s="604"/>
      <c r="AB213" s="347"/>
      <c r="AC213" s="590"/>
      <c r="AD213" s="347"/>
      <c r="AE213" s="347"/>
      <c r="AF213" s="347"/>
      <c r="AG213" s="347"/>
      <c r="AH213" s="347"/>
      <c r="AI213" s="347"/>
      <c r="AJ213" s="347"/>
      <c r="AK213" s="347"/>
      <c r="AL213" s="347"/>
      <c r="AM213" s="347"/>
      <c r="AN213" s="347"/>
      <c r="AO213" s="347"/>
      <c r="AP213" s="347"/>
      <c r="AQ213" s="347"/>
      <c r="AR213" s="347"/>
      <c r="AS213" s="347"/>
      <c r="AT213" s="347"/>
      <c r="AU213" s="347"/>
      <c r="AV213" s="347"/>
      <c r="AW213" s="347"/>
      <c r="AX213" s="347"/>
      <c r="AY213" s="347"/>
      <c r="AZ213" s="347"/>
      <c r="BA213" s="347"/>
      <c r="BB213" s="347"/>
      <c r="BC213" s="347"/>
      <c r="BD213" s="347"/>
      <c r="BE213" s="347"/>
      <c r="BF213" s="347"/>
      <c r="BG213" s="347"/>
      <c r="BH213" s="347"/>
    </row>
    <row r="214">
      <c r="A214" s="347"/>
      <c r="B214" s="347"/>
      <c r="C214" s="347"/>
      <c r="D214" s="347"/>
      <c r="E214" s="347"/>
      <c r="F214" s="347"/>
      <c r="G214" s="347"/>
      <c r="H214" s="347"/>
      <c r="I214" s="347"/>
      <c r="J214" s="347"/>
      <c r="K214" s="348"/>
      <c r="L214" s="348"/>
      <c r="M214" s="348"/>
      <c r="N214" s="348"/>
      <c r="O214" s="348"/>
      <c r="P214" s="347"/>
      <c r="Q214" s="347"/>
      <c r="R214" s="347"/>
      <c r="S214" s="347"/>
      <c r="T214" s="347"/>
      <c r="U214" s="347"/>
      <c r="V214" s="347"/>
      <c r="W214" s="347"/>
      <c r="X214" s="347"/>
      <c r="Y214" s="347"/>
      <c r="Z214" s="347"/>
      <c r="AA214" s="604"/>
      <c r="AB214" s="347"/>
      <c r="AC214" s="590"/>
      <c r="AD214" s="347"/>
      <c r="AE214" s="347"/>
      <c r="AF214" s="347"/>
      <c r="AG214" s="347"/>
      <c r="AH214" s="347"/>
      <c r="AI214" s="347"/>
      <c r="AJ214" s="347"/>
      <c r="AK214" s="347"/>
      <c r="AL214" s="347"/>
      <c r="AM214" s="347"/>
      <c r="AN214" s="347"/>
      <c r="AO214" s="347"/>
      <c r="AP214" s="347"/>
      <c r="AQ214" s="347"/>
      <c r="AR214" s="347"/>
      <c r="AS214" s="347"/>
      <c r="AT214" s="347"/>
      <c r="AU214" s="347"/>
      <c r="AV214" s="347"/>
      <c r="AW214" s="347"/>
      <c r="AX214" s="347"/>
      <c r="AY214" s="347"/>
      <c r="AZ214" s="347"/>
      <c r="BA214" s="347"/>
      <c r="BB214" s="347"/>
      <c r="BC214" s="347"/>
      <c r="BD214" s="347"/>
      <c r="BE214" s="347"/>
      <c r="BF214" s="347"/>
      <c r="BG214" s="347"/>
      <c r="BH214" s="347"/>
    </row>
    <row r="215">
      <c r="A215" s="347"/>
      <c r="B215" s="347"/>
      <c r="C215" s="347"/>
      <c r="D215" s="347"/>
      <c r="E215" s="347"/>
      <c r="F215" s="347"/>
      <c r="G215" s="347"/>
      <c r="H215" s="347"/>
      <c r="I215" s="347"/>
      <c r="J215" s="347"/>
      <c r="K215" s="348"/>
      <c r="L215" s="348"/>
      <c r="M215" s="348"/>
      <c r="N215" s="348"/>
      <c r="O215" s="348"/>
      <c r="P215" s="347"/>
      <c r="Q215" s="347"/>
      <c r="R215" s="347"/>
      <c r="S215" s="347"/>
      <c r="T215" s="347"/>
      <c r="U215" s="347"/>
      <c r="V215" s="347"/>
      <c r="W215" s="347"/>
      <c r="X215" s="347"/>
      <c r="Y215" s="347"/>
      <c r="Z215" s="347"/>
      <c r="AA215" s="604"/>
      <c r="AB215" s="347"/>
      <c r="AC215" s="590"/>
      <c r="AD215" s="347"/>
      <c r="AE215" s="347"/>
      <c r="AF215" s="347"/>
      <c r="AG215" s="347"/>
      <c r="AH215" s="347"/>
      <c r="AI215" s="347"/>
      <c r="AJ215" s="347"/>
      <c r="AK215" s="347"/>
      <c r="AL215" s="347"/>
      <c r="AM215" s="347"/>
      <c r="AN215" s="347"/>
      <c r="AO215" s="347"/>
      <c r="AP215" s="347"/>
      <c r="AQ215" s="347"/>
      <c r="AR215" s="347"/>
      <c r="AS215" s="347"/>
      <c r="AT215" s="347"/>
      <c r="AU215" s="347"/>
      <c r="AV215" s="347"/>
      <c r="AW215" s="347"/>
      <c r="AX215" s="347"/>
      <c r="AY215" s="347"/>
      <c r="AZ215" s="347"/>
      <c r="BA215" s="347"/>
      <c r="BB215" s="347"/>
      <c r="BC215" s="347"/>
      <c r="BD215" s="347"/>
      <c r="BE215" s="347"/>
      <c r="BF215" s="347"/>
      <c r="BG215" s="347"/>
      <c r="BH215" s="347"/>
    </row>
    <row r="216">
      <c r="A216" s="347"/>
      <c r="B216" s="347"/>
      <c r="C216" s="347"/>
      <c r="D216" s="347"/>
      <c r="E216" s="347"/>
      <c r="F216" s="347"/>
      <c r="G216" s="347"/>
      <c r="H216" s="347"/>
      <c r="I216" s="347"/>
      <c r="J216" s="347"/>
      <c r="K216" s="348"/>
      <c r="L216" s="348"/>
      <c r="M216" s="348"/>
      <c r="N216" s="348"/>
      <c r="O216" s="348"/>
      <c r="P216" s="347"/>
      <c r="Q216" s="347"/>
      <c r="R216" s="347"/>
      <c r="S216" s="347"/>
      <c r="T216" s="347"/>
      <c r="U216" s="347"/>
      <c r="V216" s="347"/>
      <c r="W216" s="347"/>
      <c r="X216" s="347"/>
      <c r="Y216" s="347"/>
      <c r="Z216" s="347"/>
      <c r="AA216" s="604"/>
      <c r="AB216" s="347"/>
      <c r="AC216" s="590"/>
      <c r="AD216" s="347"/>
      <c r="AE216" s="347"/>
      <c r="AF216" s="347"/>
      <c r="AG216" s="347"/>
      <c r="AH216" s="347"/>
      <c r="AI216" s="347"/>
      <c r="AJ216" s="347"/>
      <c r="AK216" s="347"/>
      <c r="AL216" s="347"/>
      <c r="AM216" s="347"/>
      <c r="AN216" s="347"/>
      <c r="AO216" s="347"/>
      <c r="AP216" s="347"/>
      <c r="AQ216" s="347"/>
      <c r="AR216" s="347"/>
      <c r="AS216" s="347"/>
      <c r="AT216" s="347"/>
      <c r="AU216" s="347"/>
      <c r="AV216" s="347"/>
      <c r="AW216" s="347"/>
      <c r="AX216" s="347"/>
      <c r="AY216" s="347"/>
      <c r="AZ216" s="347"/>
      <c r="BA216" s="347"/>
      <c r="BB216" s="347"/>
      <c r="BC216" s="347"/>
      <c r="BD216" s="347"/>
      <c r="BE216" s="347"/>
      <c r="BF216" s="347"/>
      <c r="BG216" s="347"/>
      <c r="BH216" s="347"/>
    </row>
    <row r="217">
      <c r="A217" s="347"/>
      <c r="B217" s="347"/>
      <c r="C217" s="347"/>
      <c r="D217" s="347"/>
      <c r="E217" s="347"/>
      <c r="F217" s="347"/>
      <c r="G217" s="347"/>
      <c r="H217" s="347"/>
      <c r="I217" s="347"/>
      <c r="J217" s="347"/>
      <c r="K217" s="348"/>
      <c r="L217" s="348"/>
      <c r="M217" s="348"/>
      <c r="N217" s="348"/>
      <c r="O217" s="348"/>
      <c r="P217" s="347"/>
      <c r="Q217" s="347"/>
      <c r="R217" s="347"/>
      <c r="S217" s="347"/>
      <c r="T217" s="347"/>
      <c r="U217" s="347"/>
      <c r="V217" s="347"/>
      <c r="W217" s="347"/>
      <c r="X217" s="347"/>
      <c r="Y217" s="347"/>
      <c r="Z217" s="347"/>
      <c r="AA217" s="604"/>
      <c r="AB217" s="347"/>
      <c r="AC217" s="590"/>
      <c r="AD217" s="347"/>
      <c r="AE217" s="347"/>
      <c r="AF217" s="347"/>
      <c r="AG217" s="347"/>
      <c r="AH217" s="347"/>
      <c r="AI217" s="347"/>
      <c r="AJ217" s="347"/>
      <c r="AK217" s="347"/>
      <c r="AL217" s="347"/>
      <c r="AM217" s="347"/>
      <c r="AN217" s="347"/>
      <c r="AO217" s="347"/>
      <c r="AP217" s="347"/>
      <c r="AQ217" s="347"/>
      <c r="AR217" s="347"/>
      <c r="AS217" s="347"/>
      <c r="AT217" s="347"/>
      <c r="AU217" s="347"/>
      <c r="AV217" s="347"/>
      <c r="AW217" s="347"/>
      <c r="AX217" s="347"/>
      <c r="AY217" s="347"/>
      <c r="AZ217" s="347"/>
      <c r="BA217" s="347"/>
      <c r="BB217" s="347"/>
      <c r="BC217" s="347"/>
      <c r="BD217" s="347"/>
      <c r="BE217" s="347"/>
      <c r="BF217" s="347"/>
      <c r="BG217" s="347"/>
      <c r="BH217" s="347"/>
    </row>
    <row r="218">
      <c r="A218" s="347"/>
      <c r="B218" s="347"/>
      <c r="C218" s="347"/>
      <c r="D218" s="347"/>
      <c r="E218" s="347"/>
      <c r="F218" s="347"/>
      <c r="G218" s="347"/>
      <c r="H218" s="347"/>
      <c r="I218" s="347"/>
      <c r="J218" s="347"/>
      <c r="K218" s="348"/>
      <c r="L218" s="348"/>
      <c r="M218" s="348"/>
      <c r="N218" s="348"/>
      <c r="O218" s="348"/>
      <c r="P218" s="347"/>
      <c r="Q218" s="347"/>
      <c r="R218" s="347"/>
      <c r="S218" s="347"/>
      <c r="T218" s="347"/>
      <c r="U218" s="347"/>
      <c r="V218" s="347"/>
      <c r="W218" s="347"/>
      <c r="X218" s="347"/>
      <c r="Y218" s="347"/>
      <c r="Z218" s="347"/>
      <c r="AA218" s="604"/>
      <c r="AB218" s="347"/>
      <c r="AC218" s="590"/>
      <c r="AD218" s="347"/>
      <c r="AE218" s="347"/>
      <c r="AF218" s="347"/>
      <c r="AG218" s="347"/>
      <c r="AH218" s="347"/>
      <c r="AI218" s="347"/>
      <c r="AJ218" s="347"/>
      <c r="AK218" s="347"/>
      <c r="AL218" s="347"/>
      <c r="AM218" s="347"/>
      <c r="AN218" s="347"/>
      <c r="AO218" s="347"/>
      <c r="AP218" s="347"/>
      <c r="AQ218" s="347"/>
      <c r="AR218" s="347"/>
      <c r="AS218" s="347"/>
      <c r="AT218" s="347"/>
      <c r="AU218" s="347"/>
      <c r="AV218" s="347"/>
      <c r="AW218" s="347"/>
      <c r="AX218" s="347"/>
      <c r="AY218" s="347"/>
      <c r="AZ218" s="347"/>
      <c r="BA218" s="347"/>
      <c r="BB218" s="347"/>
      <c r="BC218" s="347"/>
      <c r="BD218" s="347"/>
      <c r="BE218" s="347"/>
      <c r="BF218" s="347"/>
      <c r="BG218" s="347"/>
      <c r="BH218" s="347"/>
    </row>
    <row r="219">
      <c r="A219" s="347"/>
      <c r="B219" s="347"/>
      <c r="C219" s="347"/>
      <c r="D219" s="347"/>
      <c r="E219" s="347"/>
      <c r="F219" s="347"/>
      <c r="G219" s="347"/>
      <c r="H219" s="347"/>
      <c r="I219" s="347"/>
      <c r="J219" s="347"/>
      <c r="K219" s="348"/>
      <c r="L219" s="348"/>
      <c r="M219" s="348"/>
      <c r="N219" s="348"/>
      <c r="O219" s="348"/>
      <c r="P219" s="347"/>
      <c r="Q219" s="347"/>
      <c r="R219" s="347"/>
      <c r="S219" s="347"/>
      <c r="T219" s="347"/>
      <c r="U219" s="347"/>
      <c r="V219" s="347"/>
      <c r="W219" s="347"/>
      <c r="X219" s="347"/>
      <c r="Y219" s="347"/>
      <c r="Z219" s="347"/>
      <c r="AA219" s="604"/>
      <c r="AB219" s="347"/>
      <c r="AC219" s="590"/>
      <c r="AD219" s="347"/>
      <c r="AE219" s="347"/>
      <c r="AF219" s="347"/>
      <c r="AG219" s="347"/>
      <c r="AH219" s="347"/>
      <c r="AI219" s="347"/>
      <c r="AJ219" s="347"/>
      <c r="AK219" s="347"/>
      <c r="AL219" s="347"/>
      <c r="AM219" s="347"/>
      <c r="AN219" s="347"/>
      <c r="AO219" s="347"/>
      <c r="AP219" s="347"/>
      <c r="AQ219" s="347"/>
      <c r="AR219" s="347"/>
      <c r="AS219" s="347"/>
      <c r="AT219" s="347"/>
      <c r="AU219" s="347"/>
      <c r="AV219" s="347"/>
      <c r="AW219" s="347"/>
      <c r="AX219" s="347"/>
      <c r="AY219" s="347"/>
      <c r="AZ219" s="347"/>
      <c r="BA219" s="347"/>
      <c r="BB219" s="347"/>
      <c r="BC219" s="347"/>
      <c r="BD219" s="347"/>
      <c r="BE219" s="347"/>
      <c r="BF219" s="347"/>
      <c r="BG219" s="347"/>
      <c r="BH219" s="347"/>
    </row>
    <row r="220">
      <c r="A220" s="347"/>
      <c r="B220" s="347"/>
      <c r="C220" s="347"/>
      <c r="D220" s="347"/>
      <c r="E220" s="347"/>
      <c r="F220" s="347"/>
      <c r="G220" s="347"/>
      <c r="H220" s="347"/>
      <c r="I220" s="347"/>
      <c r="J220" s="347"/>
      <c r="K220" s="348"/>
      <c r="L220" s="348"/>
      <c r="M220" s="348"/>
      <c r="N220" s="348"/>
      <c r="O220" s="348"/>
      <c r="P220" s="347"/>
      <c r="Q220" s="347"/>
      <c r="R220" s="347"/>
      <c r="S220" s="347"/>
      <c r="T220" s="347"/>
      <c r="U220" s="347"/>
      <c r="V220" s="347"/>
      <c r="W220" s="347"/>
      <c r="X220" s="347"/>
      <c r="Y220" s="347"/>
      <c r="Z220" s="347"/>
      <c r="AA220" s="604"/>
      <c r="AB220" s="347"/>
      <c r="AC220" s="590"/>
      <c r="AD220" s="347"/>
      <c r="AE220" s="347"/>
      <c r="AF220" s="347"/>
      <c r="AG220" s="347"/>
      <c r="AH220" s="347"/>
      <c r="AI220" s="347"/>
      <c r="AJ220" s="347"/>
      <c r="AK220" s="347"/>
      <c r="AL220" s="347"/>
      <c r="AM220" s="347"/>
      <c r="AN220" s="347"/>
      <c r="AO220" s="347"/>
      <c r="AP220" s="347"/>
      <c r="AQ220" s="347"/>
      <c r="AR220" s="347"/>
      <c r="AS220" s="347"/>
      <c r="AT220" s="347"/>
      <c r="AU220" s="347"/>
      <c r="AV220" s="347"/>
      <c r="AW220" s="347"/>
      <c r="AX220" s="347"/>
      <c r="AY220" s="347"/>
      <c r="AZ220" s="347"/>
      <c r="BA220" s="347"/>
      <c r="BB220" s="347"/>
      <c r="BC220" s="347"/>
      <c r="BD220" s="347"/>
      <c r="BE220" s="347"/>
      <c r="BF220" s="347"/>
      <c r="BG220" s="347"/>
      <c r="BH220" s="347"/>
    </row>
    <row r="221">
      <c r="A221" s="347"/>
      <c r="B221" s="347"/>
      <c r="C221" s="347"/>
      <c r="D221" s="347"/>
      <c r="E221" s="347"/>
      <c r="F221" s="347"/>
      <c r="G221" s="347"/>
      <c r="H221" s="347"/>
      <c r="I221" s="347"/>
      <c r="J221" s="347"/>
      <c r="K221" s="348"/>
      <c r="L221" s="348"/>
      <c r="M221" s="348"/>
      <c r="N221" s="348"/>
      <c r="O221" s="348"/>
      <c r="P221" s="347"/>
      <c r="Q221" s="347"/>
      <c r="R221" s="347"/>
      <c r="S221" s="347"/>
      <c r="T221" s="347"/>
      <c r="U221" s="347"/>
      <c r="V221" s="347"/>
      <c r="W221" s="347"/>
      <c r="X221" s="347"/>
      <c r="Y221" s="347"/>
      <c r="Z221" s="347"/>
      <c r="AA221" s="604"/>
      <c r="AB221" s="347"/>
      <c r="AC221" s="590"/>
      <c r="AD221" s="347"/>
      <c r="AE221" s="347"/>
      <c r="AF221" s="347"/>
      <c r="AG221" s="347"/>
      <c r="AH221" s="347"/>
      <c r="AI221" s="347"/>
      <c r="AJ221" s="347"/>
      <c r="AK221" s="347"/>
      <c r="AL221" s="347"/>
      <c r="AM221" s="347"/>
      <c r="AN221" s="347"/>
      <c r="AO221" s="347"/>
      <c r="AP221" s="347"/>
      <c r="AQ221" s="347"/>
      <c r="AR221" s="347"/>
      <c r="AS221" s="347"/>
      <c r="AT221" s="347"/>
      <c r="AU221" s="347"/>
      <c r="AV221" s="347"/>
      <c r="AW221" s="347"/>
      <c r="AX221" s="347"/>
      <c r="AY221" s="347"/>
      <c r="AZ221" s="347"/>
      <c r="BA221" s="347"/>
      <c r="BB221" s="347"/>
      <c r="BC221" s="347"/>
      <c r="BD221" s="347"/>
      <c r="BE221" s="347"/>
      <c r="BF221" s="347"/>
      <c r="BG221" s="347"/>
      <c r="BH221" s="347"/>
    </row>
    <row r="222">
      <c r="A222" s="347"/>
      <c r="B222" s="347"/>
      <c r="C222" s="347"/>
      <c r="D222" s="347"/>
      <c r="E222" s="347"/>
      <c r="F222" s="347"/>
      <c r="G222" s="347"/>
      <c r="H222" s="347"/>
      <c r="I222" s="347"/>
      <c r="J222" s="347"/>
      <c r="K222" s="348"/>
      <c r="L222" s="348"/>
      <c r="M222" s="348"/>
      <c r="N222" s="348"/>
      <c r="O222" s="348"/>
      <c r="P222" s="347"/>
      <c r="Q222" s="347"/>
      <c r="R222" s="347"/>
      <c r="S222" s="347"/>
      <c r="T222" s="347"/>
      <c r="U222" s="347"/>
      <c r="V222" s="347"/>
      <c r="W222" s="347"/>
      <c r="X222" s="347"/>
      <c r="Y222" s="347"/>
      <c r="Z222" s="347"/>
      <c r="AA222" s="604"/>
      <c r="AB222" s="347"/>
      <c r="AC222" s="590"/>
      <c r="AD222" s="347"/>
      <c r="AE222" s="347"/>
      <c r="AF222" s="347"/>
      <c r="AG222" s="347"/>
      <c r="AH222" s="347"/>
      <c r="AI222" s="347"/>
      <c r="AJ222" s="347"/>
      <c r="AK222" s="347"/>
      <c r="AL222" s="347"/>
      <c r="AM222" s="347"/>
      <c r="AN222" s="347"/>
      <c r="AO222" s="347"/>
      <c r="AP222" s="347"/>
      <c r="AQ222" s="347"/>
      <c r="AR222" s="347"/>
      <c r="AS222" s="347"/>
      <c r="AT222" s="347"/>
      <c r="AU222" s="347"/>
      <c r="AV222" s="347"/>
      <c r="AW222" s="347"/>
      <c r="AX222" s="347"/>
      <c r="AY222" s="347"/>
      <c r="AZ222" s="347"/>
      <c r="BA222" s="347"/>
      <c r="BB222" s="347"/>
      <c r="BC222" s="347"/>
      <c r="BD222" s="347"/>
      <c r="BE222" s="347"/>
      <c r="BF222" s="347"/>
      <c r="BG222" s="347"/>
      <c r="BH222" s="347"/>
    </row>
    <row r="223">
      <c r="A223" s="347"/>
      <c r="B223" s="347"/>
      <c r="C223" s="347"/>
      <c r="D223" s="347"/>
      <c r="E223" s="347"/>
      <c r="F223" s="347"/>
      <c r="G223" s="347"/>
      <c r="H223" s="347"/>
      <c r="I223" s="347"/>
      <c r="J223" s="347"/>
      <c r="K223" s="348"/>
      <c r="L223" s="348"/>
      <c r="M223" s="348"/>
      <c r="N223" s="348"/>
      <c r="O223" s="348"/>
      <c r="P223" s="347"/>
      <c r="Q223" s="347"/>
      <c r="R223" s="347"/>
      <c r="S223" s="347"/>
      <c r="T223" s="347"/>
      <c r="U223" s="347"/>
      <c r="V223" s="347"/>
      <c r="W223" s="347"/>
      <c r="X223" s="347"/>
      <c r="Y223" s="347"/>
      <c r="Z223" s="347"/>
      <c r="AA223" s="604"/>
      <c r="AB223" s="347"/>
      <c r="AC223" s="590"/>
      <c r="AD223" s="347"/>
      <c r="AE223" s="347"/>
      <c r="AF223" s="347"/>
      <c r="AG223" s="347"/>
      <c r="AH223" s="347"/>
      <c r="AI223" s="347"/>
      <c r="AJ223" s="347"/>
      <c r="AK223" s="347"/>
      <c r="AL223" s="347"/>
      <c r="AM223" s="347"/>
      <c r="AN223" s="347"/>
      <c r="AO223" s="347"/>
      <c r="AP223" s="347"/>
      <c r="AQ223" s="347"/>
      <c r="AR223" s="347"/>
      <c r="AS223" s="347"/>
      <c r="AT223" s="347"/>
      <c r="AU223" s="347"/>
      <c r="AV223" s="347"/>
      <c r="AW223" s="347"/>
      <c r="AX223" s="347"/>
      <c r="AY223" s="347"/>
      <c r="AZ223" s="347"/>
      <c r="BA223" s="347"/>
      <c r="BB223" s="347"/>
      <c r="BC223" s="347"/>
      <c r="BD223" s="347"/>
      <c r="BE223" s="347"/>
      <c r="BF223" s="347"/>
      <c r="BG223" s="347"/>
      <c r="BH223" s="347"/>
    </row>
    <row r="224">
      <c r="A224" s="347"/>
      <c r="B224" s="347"/>
      <c r="C224" s="347"/>
      <c r="D224" s="347"/>
      <c r="E224" s="347"/>
      <c r="F224" s="347"/>
      <c r="G224" s="347"/>
      <c r="H224" s="347"/>
      <c r="I224" s="347"/>
      <c r="J224" s="347"/>
      <c r="K224" s="348"/>
      <c r="L224" s="348"/>
      <c r="M224" s="348"/>
      <c r="N224" s="348"/>
      <c r="O224" s="348"/>
      <c r="P224" s="347"/>
      <c r="Q224" s="347"/>
      <c r="R224" s="347"/>
      <c r="S224" s="347"/>
      <c r="T224" s="347"/>
      <c r="U224" s="347"/>
      <c r="V224" s="347"/>
      <c r="W224" s="347"/>
      <c r="X224" s="347"/>
      <c r="Y224" s="347"/>
      <c r="Z224" s="347"/>
      <c r="AA224" s="604"/>
      <c r="AB224" s="347"/>
      <c r="AC224" s="590"/>
      <c r="AD224" s="347"/>
      <c r="AE224" s="347"/>
      <c r="AF224" s="347"/>
      <c r="AG224" s="347"/>
      <c r="AH224" s="347"/>
      <c r="AI224" s="347"/>
      <c r="AJ224" s="347"/>
      <c r="AK224" s="347"/>
      <c r="AL224" s="347"/>
      <c r="AM224" s="347"/>
      <c r="AN224" s="347"/>
      <c r="AO224" s="347"/>
      <c r="AP224" s="347"/>
      <c r="AQ224" s="347"/>
      <c r="AR224" s="347"/>
      <c r="AS224" s="347"/>
      <c r="AT224" s="347"/>
      <c r="AU224" s="347"/>
      <c r="AV224" s="347"/>
      <c r="AW224" s="347"/>
      <c r="AX224" s="347"/>
      <c r="AY224" s="347"/>
      <c r="AZ224" s="347"/>
      <c r="BA224" s="347"/>
      <c r="BB224" s="347"/>
      <c r="BC224" s="347"/>
      <c r="BD224" s="347"/>
      <c r="BE224" s="347"/>
      <c r="BF224" s="347"/>
      <c r="BG224" s="347"/>
      <c r="BH224" s="347"/>
    </row>
    <row r="225">
      <c r="A225" s="347"/>
      <c r="B225" s="347"/>
      <c r="C225" s="347"/>
      <c r="D225" s="347"/>
      <c r="E225" s="347"/>
      <c r="F225" s="347"/>
      <c r="G225" s="347"/>
      <c r="H225" s="347"/>
      <c r="I225" s="347"/>
      <c r="J225" s="347"/>
      <c r="K225" s="348"/>
      <c r="L225" s="348"/>
      <c r="M225" s="348"/>
      <c r="N225" s="348"/>
      <c r="O225" s="348"/>
      <c r="P225" s="347"/>
      <c r="Q225" s="347"/>
      <c r="R225" s="347"/>
      <c r="S225" s="347"/>
      <c r="T225" s="347"/>
      <c r="U225" s="347"/>
      <c r="V225" s="347"/>
      <c r="W225" s="347"/>
      <c r="X225" s="347"/>
      <c r="Y225" s="347"/>
      <c r="Z225" s="347"/>
      <c r="AA225" s="604"/>
      <c r="AB225" s="347"/>
      <c r="AC225" s="590"/>
      <c r="AD225" s="347"/>
      <c r="AE225" s="347"/>
      <c r="AF225" s="347"/>
      <c r="AG225" s="347"/>
      <c r="AH225" s="347"/>
      <c r="AI225" s="347"/>
      <c r="AJ225" s="347"/>
      <c r="AK225" s="347"/>
      <c r="AL225" s="347"/>
      <c r="AM225" s="347"/>
      <c r="AN225" s="347"/>
      <c r="AO225" s="347"/>
      <c r="AP225" s="347"/>
      <c r="AQ225" s="347"/>
      <c r="AR225" s="347"/>
      <c r="AS225" s="347"/>
      <c r="AT225" s="347"/>
      <c r="AU225" s="347"/>
      <c r="AV225" s="347"/>
      <c r="AW225" s="347"/>
      <c r="AX225" s="347"/>
      <c r="AY225" s="347"/>
      <c r="AZ225" s="347"/>
      <c r="BA225" s="347"/>
      <c r="BB225" s="347"/>
      <c r="BC225" s="347"/>
      <c r="BD225" s="347"/>
      <c r="BE225" s="347"/>
      <c r="BF225" s="347"/>
      <c r="BG225" s="347"/>
      <c r="BH225" s="347"/>
    </row>
    <row r="226">
      <c r="A226" s="347"/>
      <c r="B226" s="347"/>
      <c r="C226" s="347"/>
      <c r="D226" s="347"/>
      <c r="E226" s="347"/>
      <c r="F226" s="347"/>
      <c r="G226" s="347"/>
      <c r="H226" s="347"/>
      <c r="I226" s="347"/>
      <c r="J226" s="347"/>
      <c r="K226" s="348"/>
      <c r="L226" s="348"/>
      <c r="M226" s="348"/>
      <c r="N226" s="348"/>
      <c r="O226" s="348"/>
      <c r="P226" s="347"/>
      <c r="Q226" s="347"/>
      <c r="R226" s="347"/>
      <c r="S226" s="347"/>
      <c r="T226" s="347"/>
      <c r="U226" s="347"/>
      <c r="V226" s="347"/>
      <c r="W226" s="347"/>
      <c r="X226" s="347"/>
      <c r="Y226" s="347"/>
      <c r="Z226" s="347"/>
      <c r="AA226" s="604"/>
      <c r="AB226" s="347"/>
      <c r="AC226" s="590"/>
      <c r="AD226" s="347"/>
      <c r="AE226" s="347"/>
      <c r="AF226" s="347"/>
      <c r="AG226" s="347"/>
      <c r="AH226" s="347"/>
      <c r="AI226" s="347"/>
      <c r="AJ226" s="347"/>
      <c r="AK226" s="347"/>
      <c r="AL226" s="347"/>
      <c r="AM226" s="347"/>
      <c r="AN226" s="347"/>
      <c r="AO226" s="347"/>
      <c r="AP226" s="347"/>
      <c r="AQ226" s="347"/>
      <c r="AR226" s="347"/>
      <c r="AS226" s="347"/>
      <c r="AT226" s="347"/>
      <c r="AU226" s="347"/>
      <c r="AV226" s="347"/>
      <c r="AW226" s="347"/>
      <c r="AX226" s="347"/>
      <c r="AY226" s="347"/>
      <c r="AZ226" s="347"/>
      <c r="BA226" s="347"/>
      <c r="BB226" s="347"/>
      <c r="BC226" s="347"/>
      <c r="BD226" s="347"/>
      <c r="BE226" s="347"/>
      <c r="BF226" s="347"/>
      <c r="BG226" s="347"/>
      <c r="BH226" s="347"/>
    </row>
    <row r="227">
      <c r="A227" s="347"/>
      <c r="B227" s="347"/>
      <c r="C227" s="347"/>
      <c r="D227" s="347"/>
      <c r="E227" s="347"/>
      <c r="F227" s="347"/>
      <c r="G227" s="347"/>
      <c r="H227" s="347"/>
      <c r="I227" s="347"/>
      <c r="J227" s="347"/>
      <c r="K227" s="348"/>
      <c r="L227" s="348"/>
      <c r="M227" s="348"/>
      <c r="N227" s="348"/>
      <c r="O227" s="348"/>
      <c r="P227" s="347"/>
      <c r="Q227" s="347"/>
      <c r="R227" s="347"/>
      <c r="S227" s="347"/>
      <c r="T227" s="347"/>
      <c r="U227" s="347"/>
      <c r="V227" s="347"/>
      <c r="W227" s="347"/>
      <c r="X227" s="347"/>
      <c r="Y227" s="347"/>
      <c r="Z227" s="347"/>
      <c r="AA227" s="604"/>
      <c r="AB227" s="347"/>
      <c r="AC227" s="590"/>
      <c r="AD227" s="347"/>
      <c r="AE227" s="347"/>
      <c r="AF227" s="347"/>
      <c r="AG227" s="347"/>
      <c r="AH227" s="347"/>
      <c r="AI227" s="347"/>
      <c r="AJ227" s="347"/>
      <c r="AK227" s="347"/>
      <c r="AL227" s="347"/>
      <c r="AM227" s="347"/>
      <c r="AN227" s="347"/>
      <c r="AO227" s="347"/>
      <c r="AP227" s="347"/>
      <c r="AQ227" s="347"/>
      <c r="AR227" s="347"/>
      <c r="AS227" s="347"/>
      <c r="AT227" s="347"/>
      <c r="AU227" s="347"/>
      <c r="AV227" s="347"/>
      <c r="AW227" s="347"/>
      <c r="AX227" s="347"/>
      <c r="AY227" s="347"/>
      <c r="AZ227" s="347"/>
      <c r="BA227" s="347"/>
      <c r="BB227" s="347"/>
      <c r="BC227" s="347"/>
      <c r="BD227" s="347"/>
      <c r="BE227" s="347"/>
      <c r="BF227" s="347"/>
      <c r="BG227" s="347"/>
      <c r="BH227" s="347"/>
    </row>
    <row r="228">
      <c r="A228" s="347"/>
      <c r="B228" s="347"/>
      <c r="C228" s="347"/>
      <c r="D228" s="347"/>
      <c r="E228" s="347"/>
      <c r="F228" s="347"/>
      <c r="G228" s="347"/>
      <c r="H228" s="347"/>
      <c r="I228" s="347"/>
      <c r="J228" s="347"/>
      <c r="K228" s="348"/>
      <c r="L228" s="348"/>
      <c r="M228" s="348"/>
      <c r="N228" s="348"/>
      <c r="O228" s="348"/>
      <c r="P228" s="347"/>
      <c r="Q228" s="347"/>
      <c r="R228" s="347"/>
      <c r="S228" s="347"/>
      <c r="T228" s="347"/>
      <c r="U228" s="347"/>
      <c r="V228" s="347"/>
      <c r="W228" s="347"/>
      <c r="X228" s="347"/>
      <c r="Y228" s="347"/>
      <c r="Z228" s="347"/>
      <c r="AA228" s="604"/>
      <c r="AB228" s="347"/>
      <c r="AC228" s="590"/>
      <c r="AD228" s="347"/>
      <c r="AE228" s="347"/>
      <c r="AF228" s="347"/>
      <c r="AG228" s="347"/>
      <c r="AH228" s="347"/>
      <c r="AI228" s="347"/>
      <c r="AJ228" s="347"/>
      <c r="AK228" s="347"/>
      <c r="AL228" s="347"/>
      <c r="AM228" s="347"/>
      <c r="AN228" s="347"/>
      <c r="AO228" s="347"/>
      <c r="AP228" s="347"/>
      <c r="AQ228" s="347"/>
      <c r="AR228" s="347"/>
      <c r="AS228" s="347"/>
      <c r="AT228" s="347"/>
      <c r="AU228" s="347"/>
      <c r="AV228" s="347"/>
      <c r="AW228" s="347"/>
      <c r="AX228" s="347"/>
      <c r="AY228" s="347"/>
      <c r="AZ228" s="347"/>
      <c r="BA228" s="347"/>
      <c r="BB228" s="347"/>
      <c r="BC228" s="347"/>
      <c r="BD228" s="347"/>
      <c r="BE228" s="347"/>
      <c r="BF228" s="347"/>
      <c r="BG228" s="347"/>
      <c r="BH228" s="347"/>
    </row>
    <row r="229">
      <c r="A229" s="347"/>
      <c r="B229" s="347"/>
      <c r="C229" s="347"/>
      <c r="D229" s="347"/>
      <c r="E229" s="347"/>
      <c r="F229" s="347"/>
      <c r="G229" s="347"/>
      <c r="H229" s="347"/>
      <c r="I229" s="347"/>
      <c r="J229" s="347"/>
      <c r="K229" s="348"/>
      <c r="L229" s="348"/>
      <c r="M229" s="348"/>
      <c r="N229" s="348"/>
      <c r="O229" s="348"/>
      <c r="P229" s="347"/>
      <c r="Q229" s="347"/>
      <c r="R229" s="347"/>
      <c r="S229" s="347"/>
      <c r="T229" s="347"/>
      <c r="U229" s="347"/>
      <c r="V229" s="347"/>
      <c r="W229" s="347"/>
      <c r="X229" s="347"/>
      <c r="Y229" s="347"/>
      <c r="Z229" s="347"/>
      <c r="AA229" s="604"/>
      <c r="AB229" s="347"/>
      <c r="AC229" s="590"/>
      <c r="AD229" s="347"/>
      <c r="AE229" s="347"/>
      <c r="AF229" s="347"/>
      <c r="AG229" s="347"/>
      <c r="AH229" s="347"/>
      <c r="AI229" s="347"/>
      <c r="AJ229" s="347"/>
      <c r="AK229" s="347"/>
      <c r="AL229" s="347"/>
      <c r="AM229" s="347"/>
      <c r="AN229" s="347"/>
      <c r="AO229" s="347"/>
      <c r="AP229" s="347"/>
      <c r="AQ229" s="347"/>
      <c r="AR229" s="347"/>
      <c r="AS229" s="347"/>
      <c r="AT229" s="347"/>
      <c r="AU229" s="347"/>
      <c r="AV229" s="347"/>
      <c r="AW229" s="347"/>
      <c r="AX229" s="347"/>
      <c r="AY229" s="347"/>
      <c r="AZ229" s="347"/>
      <c r="BA229" s="347"/>
      <c r="BB229" s="347"/>
      <c r="BC229" s="347"/>
      <c r="BD229" s="347"/>
      <c r="BE229" s="347"/>
      <c r="BF229" s="347"/>
      <c r="BG229" s="347"/>
      <c r="BH229" s="347"/>
    </row>
    <row r="230">
      <c r="A230" s="347"/>
      <c r="B230" s="347"/>
      <c r="C230" s="347"/>
      <c r="D230" s="347"/>
      <c r="E230" s="347"/>
      <c r="F230" s="347"/>
      <c r="G230" s="347"/>
      <c r="H230" s="347"/>
      <c r="I230" s="347"/>
      <c r="J230" s="347"/>
      <c r="K230" s="348"/>
      <c r="L230" s="348"/>
      <c r="M230" s="348"/>
      <c r="N230" s="348"/>
      <c r="O230" s="348"/>
      <c r="P230" s="347"/>
      <c r="Q230" s="347"/>
      <c r="R230" s="347"/>
      <c r="S230" s="347"/>
      <c r="T230" s="347"/>
      <c r="U230" s="347"/>
      <c r="V230" s="347"/>
      <c r="W230" s="347"/>
      <c r="X230" s="347"/>
      <c r="Y230" s="347"/>
      <c r="Z230" s="347"/>
      <c r="AA230" s="604"/>
      <c r="AB230" s="347"/>
      <c r="AC230" s="590"/>
      <c r="AD230" s="347"/>
      <c r="AE230" s="347"/>
      <c r="AF230" s="347"/>
      <c r="AG230" s="347"/>
      <c r="AH230" s="347"/>
      <c r="AI230" s="347"/>
      <c r="AJ230" s="347"/>
      <c r="AK230" s="347"/>
      <c r="AL230" s="347"/>
      <c r="AM230" s="347"/>
      <c r="AN230" s="347"/>
      <c r="AO230" s="347"/>
      <c r="AP230" s="347"/>
      <c r="AQ230" s="347"/>
      <c r="AR230" s="347"/>
      <c r="AS230" s="347"/>
      <c r="AT230" s="347"/>
      <c r="AU230" s="347"/>
      <c r="AV230" s="347"/>
      <c r="AW230" s="347"/>
      <c r="AX230" s="347"/>
      <c r="AY230" s="347"/>
      <c r="AZ230" s="347"/>
      <c r="BA230" s="347"/>
      <c r="BB230" s="347"/>
      <c r="BC230" s="347"/>
      <c r="BD230" s="347"/>
      <c r="BE230" s="347"/>
      <c r="BF230" s="347"/>
      <c r="BG230" s="347"/>
      <c r="BH230" s="347"/>
    </row>
    <row r="231">
      <c r="A231" s="347"/>
      <c r="B231" s="347"/>
      <c r="C231" s="347"/>
      <c r="D231" s="347"/>
      <c r="E231" s="347"/>
      <c r="F231" s="347"/>
      <c r="G231" s="347"/>
      <c r="H231" s="347"/>
      <c r="I231" s="347"/>
      <c r="J231" s="347"/>
      <c r="K231" s="348"/>
      <c r="L231" s="348"/>
      <c r="M231" s="348"/>
      <c r="N231" s="348"/>
      <c r="O231" s="348"/>
      <c r="P231" s="347"/>
      <c r="Q231" s="347"/>
      <c r="R231" s="347"/>
      <c r="S231" s="347"/>
      <c r="T231" s="347"/>
      <c r="U231" s="347"/>
      <c r="V231" s="347"/>
      <c r="W231" s="347"/>
      <c r="X231" s="347"/>
      <c r="Y231" s="347"/>
      <c r="Z231" s="347"/>
      <c r="AA231" s="604"/>
      <c r="AB231" s="347"/>
      <c r="AC231" s="590"/>
      <c r="AD231" s="347"/>
      <c r="AE231" s="347"/>
      <c r="AF231" s="347"/>
      <c r="AG231" s="347"/>
      <c r="AH231" s="347"/>
      <c r="AI231" s="347"/>
      <c r="AJ231" s="347"/>
      <c r="AK231" s="347"/>
      <c r="AL231" s="347"/>
      <c r="AM231" s="347"/>
      <c r="AN231" s="347"/>
      <c r="AO231" s="347"/>
      <c r="AP231" s="347"/>
      <c r="AQ231" s="347"/>
      <c r="AR231" s="347"/>
      <c r="AS231" s="347"/>
      <c r="AT231" s="347"/>
      <c r="AU231" s="347"/>
      <c r="AV231" s="347"/>
      <c r="AW231" s="347"/>
      <c r="AX231" s="347"/>
      <c r="AY231" s="347"/>
      <c r="AZ231" s="347"/>
      <c r="BA231" s="347"/>
      <c r="BB231" s="347"/>
      <c r="BC231" s="347"/>
      <c r="BD231" s="347"/>
      <c r="BE231" s="347"/>
      <c r="BF231" s="347"/>
      <c r="BG231" s="347"/>
      <c r="BH231" s="347"/>
    </row>
    <row r="232">
      <c r="A232" s="347"/>
      <c r="B232" s="347"/>
      <c r="C232" s="347"/>
      <c r="D232" s="347"/>
      <c r="E232" s="347"/>
      <c r="F232" s="347"/>
      <c r="G232" s="347"/>
      <c r="H232" s="347"/>
      <c r="I232" s="347"/>
      <c r="J232" s="347"/>
      <c r="K232" s="348"/>
      <c r="L232" s="348"/>
      <c r="M232" s="348"/>
      <c r="N232" s="348"/>
      <c r="O232" s="348"/>
      <c r="P232" s="347"/>
      <c r="Q232" s="347"/>
      <c r="R232" s="347"/>
      <c r="S232" s="347"/>
      <c r="T232" s="347"/>
      <c r="U232" s="347"/>
      <c r="V232" s="347"/>
      <c r="W232" s="347"/>
      <c r="X232" s="347"/>
      <c r="Y232" s="347"/>
      <c r="Z232" s="347"/>
      <c r="AA232" s="604"/>
      <c r="AB232" s="347"/>
      <c r="AC232" s="590"/>
      <c r="AD232" s="347"/>
      <c r="AE232" s="347"/>
      <c r="AF232" s="347"/>
      <c r="AG232" s="347"/>
      <c r="AH232" s="347"/>
      <c r="AI232" s="347"/>
      <c r="AJ232" s="347"/>
      <c r="AK232" s="347"/>
      <c r="AL232" s="347"/>
      <c r="AM232" s="347"/>
      <c r="AN232" s="347"/>
      <c r="AO232" s="347"/>
      <c r="AP232" s="347"/>
      <c r="AQ232" s="347"/>
      <c r="AR232" s="347"/>
      <c r="AS232" s="347"/>
      <c r="AT232" s="347"/>
      <c r="AU232" s="347"/>
      <c r="AV232" s="347"/>
      <c r="AW232" s="347"/>
      <c r="AX232" s="347"/>
      <c r="AY232" s="347"/>
      <c r="AZ232" s="347"/>
      <c r="BA232" s="347"/>
      <c r="BB232" s="347"/>
      <c r="BC232" s="347"/>
      <c r="BD232" s="347"/>
      <c r="BE232" s="347"/>
      <c r="BF232" s="347"/>
      <c r="BG232" s="347"/>
      <c r="BH232" s="347"/>
    </row>
    <row r="233">
      <c r="A233" s="347"/>
      <c r="B233" s="347"/>
      <c r="C233" s="347"/>
      <c r="D233" s="347"/>
      <c r="E233" s="347"/>
      <c r="F233" s="347"/>
      <c r="G233" s="347"/>
      <c r="H233" s="347"/>
      <c r="I233" s="347"/>
      <c r="J233" s="347"/>
      <c r="K233" s="348"/>
      <c r="L233" s="348"/>
      <c r="M233" s="348"/>
      <c r="N233" s="348"/>
      <c r="O233" s="348"/>
      <c r="P233" s="347"/>
      <c r="Q233" s="347"/>
      <c r="R233" s="347"/>
      <c r="S233" s="347"/>
      <c r="T233" s="347"/>
      <c r="U233" s="347"/>
      <c r="V233" s="347"/>
      <c r="W233" s="347"/>
      <c r="X233" s="347"/>
      <c r="Y233" s="347"/>
      <c r="Z233" s="347"/>
      <c r="AA233" s="604"/>
      <c r="AB233" s="347"/>
      <c r="AC233" s="590"/>
      <c r="AD233" s="347"/>
      <c r="AE233" s="347"/>
      <c r="AF233" s="347"/>
      <c r="AG233" s="347"/>
      <c r="AH233" s="347"/>
      <c r="AI233" s="347"/>
      <c r="AJ233" s="347"/>
      <c r="AK233" s="347"/>
      <c r="AL233" s="347"/>
      <c r="AM233" s="347"/>
      <c r="AN233" s="347"/>
      <c r="AO233" s="347"/>
      <c r="AP233" s="347"/>
      <c r="AQ233" s="347"/>
      <c r="AR233" s="347"/>
      <c r="AS233" s="347"/>
      <c r="AT233" s="347"/>
      <c r="AU233" s="347"/>
      <c r="AV233" s="347"/>
      <c r="AW233" s="347"/>
      <c r="AX233" s="347"/>
      <c r="AY233" s="347"/>
      <c r="AZ233" s="347"/>
      <c r="BA233" s="347"/>
      <c r="BB233" s="347"/>
      <c r="BC233" s="347"/>
      <c r="BD233" s="347"/>
      <c r="BE233" s="347"/>
      <c r="BF233" s="347"/>
      <c r="BG233" s="347"/>
      <c r="BH233" s="347"/>
    </row>
    <row r="234">
      <c r="A234" s="347"/>
      <c r="B234" s="347"/>
      <c r="C234" s="347"/>
      <c r="D234" s="347"/>
      <c r="E234" s="347"/>
      <c r="F234" s="347"/>
      <c r="G234" s="347"/>
      <c r="H234" s="347"/>
      <c r="I234" s="347"/>
      <c r="J234" s="347"/>
      <c r="K234" s="348"/>
      <c r="L234" s="348"/>
      <c r="M234" s="348"/>
      <c r="N234" s="348"/>
      <c r="O234" s="348"/>
      <c r="P234" s="347"/>
      <c r="Q234" s="347"/>
      <c r="R234" s="347"/>
      <c r="S234" s="347"/>
      <c r="T234" s="347"/>
      <c r="U234" s="347"/>
      <c r="V234" s="347"/>
      <c r="W234" s="347"/>
      <c r="X234" s="347"/>
      <c r="Y234" s="347"/>
      <c r="Z234" s="347"/>
      <c r="AA234" s="604"/>
      <c r="AB234" s="347"/>
      <c r="AC234" s="590"/>
      <c r="AD234" s="347"/>
      <c r="AE234" s="347"/>
      <c r="AF234" s="347"/>
      <c r="AG234" s="347"/>
      <c r="AH234" s="347"/>
      <c r="AI234" s="347"/>
      <c r="AJ234" s="347"/>
      <c r="AK234" s="347"/>
      <c r="AL234" s="347"/>
      <c r="AM234" s="347"/>
      <c r="AN234" s="347"/>
      <c r="AO234" s="347"/>
      <c r="AP234" s="347"/>
      <c r="AQ234" s="347"/>
      <c r="AR234" s="347"/>
      <c r="AS234" s="347"/>
      <c r="AT234" s="347"/>
      <c r="AU234" s="347"/>
      <c r="AV234" s="347"/>
      <c r="AW234" s="347"/>
      <c r="AX234" s="347"/>
      <c r="AY234" s="347"/>
      <c r="AZ234" s="347"/>
      <c r="BA234" s="347"/>
      <c r="BB234" s="347"/>
      <c r="BC234" s="347"/>
      <c r="BD234" s="347"/>
      <c r="BE234" s="347"/>
      <c r="BF234" s="347"/>
      <c r="BG234" s="347"/>
      <c r="BH234" s="347"/>
    </row>
    <row r="235">
      <c r="A235" s="347"/>
      <c r="B235" s="347"/>
      <c r="C235" s="347"/>
      <c r="D235" s="347"/>
      <c r="E235" s="347"/>
      <c r="F235" s="347"/>
      <c r="G235" s="347"/>
      <c r="H235" s="347"/>
      <c r="I235" s="347"/>
      <c r="J235" s="347"/>
      <c r="K235" s="348"/>
      <c r="L235" s="348"/>
      <c r="M235" s="348"/>
      <c r="N235" s="348"/>
      <c r="O235" s="348"/>
      <c r="P235" s="347"/>
      <c r="Q235" s="347"/>
      <c r="R235" s="347"/>
      <c r="S235" s="347"/>
      <c r="T235" s="347"/>
      <c r="U235" s="347"/>
      <c r="V235" s="347"/>
      <c r="W235" s="347"/>
      <c r="X235" s="347"/>
      <c r="Y235" s="347"/>
      <c r="Z235" s="347"/>
      <c r="AA235" s="604"/>
      <c r="AB235" s="347"/>
      <c r="AC235" s="590"/>
      <c r="AD235" s="347"/>
      <c r="AE235" s="347"/>
      <c r="AF235" s="347"/>
      <c r="AG235" s="347"/>
      <c r="AH235" s="347"/>
      <c r="AI235" s="347"/>
      <c r="AJ235" s="347"/>
      <c r="AK235" s="347"/>
      <c r="AL235" s="347"/>
      <c r="AM235" s="347"/>
      <c r="AN235" s="347"/>
      <c r="AO235" s="347"/>
      <c r="AP235" s="347"/>
      <c r="AQ235" s="347"/>
      <c r="AR235" s="347"/>
      <c r="AS235" s="347"/>
      <c r="AT235" s="347"/>
      <c r="AU235" s="347"/>
      <c r="AV235" s="347"/>
      <c r="AW235" s="347"/>
      <c r="AX235" s="347"/>
      <c r="AY235" s="347"/>
      <c r="AZ235" s="347"/>
      <c r="BA235" s="347"/>
      <c r="BB235" s="347"/>
      <c r="BC235" s="347"/>
      <c r="BD235" s="347"/>
      <c r="BE235" s="347"/>
      <c r="BF235" s="347"/>
      <c r="BG235" s="347"/>
      <c r="BH235" s="347"/>
    </row>
    <row r="236">
      <c r="A236" s="347"/>
      <c r="B236" s="347"/>
      <c r="C236" s="347"/>
      <c r="D236" s="347"/>
      <c r="E236" s="347"/>
      <c r="F236" s="347"/>
      <c r="G236" s="347"/>
      <c r="H236" s="347"/>
      <c r="I236" s="347"/>
      <c r="J236" s="347"/>
      <c r="K236" s="348"/>
      <c r="L236" s="348"/>
      <c r="M236" s="348"/>
      <c r="N236" s="348"/>
      <c r="O236" s="348"/>
      <c r="P236" s="347"/>
      <c r="Q236" s="347"/>
      <c r="R236" s="347"/>
      <c r="S236" s="347"/>
      <c r="T236" s="347"/>
      <c r="U236" s="347"/>
      <c r="V236" s="347"/>
      <c r="W236" s="347"/>
      <c r="X236" s="347"/>
      <c r="Y236" s="347"/>
      <c r="Z236" s="347"/>
      <c r="AA236" s="604"/>
      <c r="AB236" s="347"/>
      <c r="AC236" s="590"/>
      <c r="AD236" s="347"/>
      <c r="AE236" s="347"/>
      <c r="AF236" s="347"/>
      <c r="AG236" s="347"/>
      <c r="AH236" s="347"/>
      <c r="AI236" s="347"/>
      <c r="AJ236" s="347"/>
      <c r="AK236" s="347"/>
      <c r="AL236" s="347"/>
      <c r="AM236" s="347"/>
      <c r="AN236" s="347"/>
      <c r="AO236" s="347"/>
      <c r="AP236" s="347"/>
      <c r="AQ236" s="347"/>
      <c r="AR236" s="347"/>
      <c r="AS236" s="347"/>
      <c r="AT236" s="347"/>
      <c r="AU236" s="347"/>
      <c r="AV236" s="347"/>
      <c r="AW236" s="347"/>
      <c r="AX236" s="347"/>
      <c r="AY236" s="347"/>
      <c r="AZ236" s="347"/>
      <c r="BA236" s="347"/>
      <c r="BB236" s="347"/>
      <c r="BC236" s="347"/>
      <c r="BD236" s="347"/>
      <c r="BE236" s="347"/>
      <c r="BF236" s="347"/>
      <c r="BG236" s="347"/>
      <c r="BH236" s="347"/>
    </row>
    <row r="237">
      <c r="A237" s="347"/>
      <c r="B237" s="347"/>
      <c r="C237" s="347"/>
      <c r="D237" s="347"/>
      <c r="E237" s="347"/>
      <c r="F237" s="347"/>
      <c r="G237" s="347"/>
      <c r="H237" s="347"/>
      <c r="I237" s="347"/>
      <c r="J237" s="347"/>
      <c r="K237" s="348"/>
      <c r="L237" s="348"/>
      <c r="M237" s="348"/>
      <c r="N237" s="348"/>
      <c r="O237" s="348"/>
      <c r="P237" s="347"/>
      <c r="Q237" s="347"/>
      <c r="R237" s="347"/>
      <c r="S237" s="347"/>
      <c r="T237" s="347"/>
      <c r="U237" s="347"/>
      <c r="V237" s="347"/>
      <c r="W237" s="347"/>
      <c r="X237" s="347"/>
      <c r="Y237" s="347"/>
      <c r="Z237" s="347"/>
      <c r="AA237" s="604"/>
      <c r="AB237" s="347"/>
      <c r="AC237" s="590"/>
      <c r="AD237" s="347"/>
      <c r="AE237" s="347"/>
      <c r="AF237" s="347"/>
      <c r="AG237" s="347"/>
      <c r="AH237" s="347"/>
      <c r="AI237" s="347"/>
      <c r="AJ237" s="347"/>
      <c r="AK237" s="347"/>
      <c r="AL237" s="347"/>
      <c r="AM237" s="347"/>
      <c r="AN237" s="347"/>
      <c r="AO237" s="347"/>
      <c r="AP237" s="347"/>
      <c r="AQ237" s="347"/>
      <c r="AR237" s="347"/>
      <c r="AS237" s="347"/>
      <c r="AT237" s="347"/>
      <c r="AU237" s="347"/>
      <c r="AV237" s="347"/>
      <c r="AW237" s="347"/>
      <c r="AX237" s="347"/>
      <c r="AY237" s="347"/>
      <c r="AZ237" s="347"/>
      <c r="BA237" s="347"/>
      <c r="BB237" s="347"/>
      <c r="BC237" s="347"/>
      <c r="BD237" s="347"/>
      <c r="BE237" s="347"/>
      <c r="BF237" s="347"/>
      <c r="BG237" s="347"/>
      <c r="BH237" s="347"/>
    </row>
    <row r="238">
      <c r="A238" s="347"/>
      <c r="B238" s="347"/>
      <c r="C238" s="347"/>
      <c r="D238" s="347"/>
      <c r="E238" s="347"/>
      <c r="F238" s="347"/>
      <c r="G238" s="347"/>
      <c r="H238" s="347"/>
      <c r="I238" s="347"/>
      <c r="J238" s="347"/>
      <c r="K238" s="348"/>
      <c r="L238" s="348"/>
      <c r="M238" s="348"/>
      <c r="N238" s="348"/>
      <c r="O238" s="348"/>
      <c r="P238" s="347"/>
      <c r="Q238" s="347"/>
      <c r="R238" s="347"/>
      <c r="S238" s="347"/>
      <c r="T238" s="347"/>
      <c r="U238" s="347"/>
      <c r="V238" s="347"/>
      <c r="W238" s="347"/>
      <c r="X238" s="347"/>
      <c r="Y238" s="347"/>
      <c r="Z238" s="347"/>
      <c r="AA238" s="604"/>
      <c r="AB238" s="347"/>
      <c r="AC238" s="590"/>
      <c r="AD238" s="347"/>
      <c r="AE238" s="347"/>
      <c r="AF238" s="347"/>
      <c r="AG238" s="347"/>
      <c r="AH238" s="347"/>
      <c r="AI238" s="347"/>
      <c r="AJ238" s="347"/>
      <c r="AK238" s="347"/>
      <c r="AL238" s="347"/>
      <c r="AM238" s="347"/>
      <c r="AN238" s="347"/>
      <c r="AO238" s="347"/>
      <c r="AP238" s="347"/>
      <c r="AQ238" s="347"/>
      <c r="AR238" s="347"/>
      <c r="AS238" s="347"/>
      <c r="AT238" s="347"/>
      <c r="AU238" s="347"/>
      <c r="AV238" s="347"/>
      <c r="AW238" s="347"/>
      <c r="AX238" s="347"/>
      <c r="AY238" s="347"/>
      <c r="AZ238" s="347"/>
      <c r="BA238" s="347"/>
      <c r="BB238" s="347"/>
      <c r="BC238" s="347"/>
      <c r="BD238" s="347"/>
      <c r="BE238" s="347"/>
      <c r="BF238" s="347"/>
      <c r="BG238" s="347"/>
      <c r="BH238" s="347"/>
    </row>
    <row r="239">
      <c r="A239" s="347"/>
      <c r="B239" s="347"/>
      <c r="C239" s="347"/>
      <c r="D239" s="347"/>
      <c r="E239" s="347"/>
      <c r="F239" s="347"/>
      <c r="G239" s="347"/>
      <c r="H239" s="347"/>
      <c r="I239" s="347"/>
      <c r="J239" s="347"/>
      <c r="K239" s="348"/>
      <c r="L239" s="348"/>
      <c r="M239" s="348"/>
      <c r="N239" s="348"/>
      <c r="O239" s="348"/>
      <c r="P239" s="347"/>
      <c r="Q239" s="347"/>
      <c r="R239" s="347"/>
      <c r="S239" s="347"/>
      <c r="T239" s="347"/>
      <c r="U239" s="347"/>
      <c r="V239" s="347"/>
      <c r="W239" s="347"/>
      <c r="X239" s="347"/>
      <c r="Y239" s="347"/>
      <c r="Z239" s="347"/>
      <c r="AA239" s="604"/>
      <c r="AB239" s="347"/>
      <c r="AC239" s="590"/>
      <c r="AD239" s="347"/>
      <c r="AE239" s="347"/>
      <c r="AF239" s="347"/>
      <c r="AG239" s="347"/>
      <c r="AH239" s="347"/>
      <c r="AI239" s="347"/>
      <c r="AJ239" s="347"/>
      <c r="AK239" s="347"/>
      <c r="AL239" s="347"/>
      <c r="AM239" s="347"/>
      <c r="AN239" s="347"/>
      <c r="AO239" s="347"/>
      <c r="AP239" s="347"/>
      <c r="AQ239" s="347"/>
      <c r="AR239" s="347"/>
      <c r="AS239" s="347"/>
      <c r="AT239" s="347"/>
      <c r="AU239" s="347"/>
      <c r="AV239" s="347"/>
      <c r="AW239" s="347"/>
      <c r="AX239" s="347"/>
      <c r="AY239" s="347"/>
      <c r="AZ239" s="347"/>
      <c r="BA239" s="347"/>
      <c r="BB239" s="347"/>
      <c r="BC239" s="347"/>
      <c r="BD239" s="347"/>
      <c r="BE239" s="347"/>
      <c r="BF239" s="347"/>
      <c r="BG239" s="347"/>
      <c r="BH239" s="347"/>
    </row>
    <row r="240">
      <c r="A240" s="347"/>
      <c r="B240" s="347"/>
      <c r="C240" s="347"/>
      <c r="D240" s="347"/>
      <c r="E240" s="347"/>
      <c r="F240" s="347"/>
      <c r="G240" s="347"/>
      <c r="H240" s="347"/>
      <c r="I240" s="347"/>
      <c r="J240" s="347"/>
      <c r="K240" s="348"/>
      <c r="L240" s="348"/>
      <c r="M240" s="348"/>
      <c r="N240" s="348"/>
      <c r="O240" s="348"/>
      <c r="P240" s="347"/>
      <c r="Q240" s="347"/>
      <c r="R240" s="347"/>
      <c r="S240" s="347"/>
      <c r="T240" s="347"/>
      <c r="U240" s="347"/>
      <c r="V240" s="347"/>
      <c r="W240" s="347"/>
      <c r="X240" s="347"/>
      <c r="Y240" s="347"/>
      <c r="Z240" s="347"/>
      <c r="AA240" s="604"/>
      <c r="AB240" s="347"/>
      <c r="AC240" s="590"/>
      <c r="AD240" s="347"/>
      <c r="AE240" s="347"/>
      <c r="AF240" s="347"/>
      <c r="AG240" s="347"/>
      <c r="AH240" s="347"/>
      <c r="AI240" s="347"/>
      <c r="AJ240" s="347"/>
      <c r="AK240" s="347"/>
      <c r="AL240" s="347"/>
      <c r="AM240" s="347"/>
      <c r="AN240" s="347"/>
      <c r="AO240" s="347"/>
      <c r="AP240" s="347"/>
      <c r="AQ240" s="347"/>
      <c r="AR240" s="347"/>
      <c r="AS240" s="347"/>
      <c r="AT240" s="347"/>
      <c r="AU240" s="347"/>
      <c r="AV240" s="347"/>
      <c r="AW240" s="347"/>
      <c r="AX240" s="347"/>
      <c r="AY240" s="347"/>
      <c r="AZ240" s="347"/>
      <c r="BA240" s="347"/>
      <c r="BB240" s="347"/>
      <c r="BC240" s="347"/>
      <c r="BD240" s="347"/>
      <c r="BE240" s="347"/>
      <c r="BF240" s="347"/>
      <c r="BG240" s="347"/>
      <c r="BH240" s="347"/>
    </row>
    <row r="241">
      <c r="A241" s="347"/>
      <c r="B241" s="347"/>
      <c r="C241" s="347"/>
      <c r="D241" s="347"/>
      <c r="E241" s="347"/>
      <c r="F241" s="347"/>
      <c r="G241" s="347"/>
      <c r="H241" s="347"/>
      <c r="I241" s="347"/>
      <c r="J241" s="347"/>
      <c r="K241" s="348"/>
      <c r="L241" s="348"/>
      <c r="M241" s="348"/>
      <c r="N241" s="348"/>
      <c r="O241" s="348"/>
      <c r="P241" s="347"/>
      <c r="Q241" s="347"/>
      <c r="R241" s="347"/>
      <c r="S241" s="347"/>
      <c r="T241" s="347"/>
      <c r="U241" s="347"/>
      <c r="V241" s="347"/>
      <c r="W241" s="347"/>
      <c r="X241" s="347"/>
      <c r="Y241" s="347"/>
      <c r="Z241" s="347"/>
      <c r="AA241" s="604"/>
      <c r="AB241" s="347"/>
      <c r="AC241" s="590"/>
      <c r="AD241" s="347"/>
      <c r="AE241" s="347"/>
      <c r="AF241" s="347"/>
      <c r="AG241" s="347"/>
      <c r="AH241" s="347"/>
      <c r="AI241" s="347"/>
      <c r="AJ241" s="347"/>
      <c r="AK241" s="347"/>
      <c r="AL241" s="347"/>
      <c r="AM241" s="347"/>
      <c r="AN241" s="347"/>
      <c r="AO241" s="347"/>
      <c r="AP241" s="347"/>
      <c r="AQ241" s="347"/>
      <c r="AR241" s="347"/>
      <c r="AS241" s="347"/>
      <c r="AT241" s="347"/>
      <c r="AU241" s="347"/>
      <c r="AV241" s="347"/>
      <c r="AW241" s="347"/>
      <c r="AX241" s="347"/>
      <c r="AY241" s="347"/>
      <c r="AZ241" s="347"/>
      <c r="BA241" s="347"/>
      <c r="BB241" s="347"/>
      <c r="BC241" s="347"/>
      <c r="BD241" s="347"/>
      <c r="BE241" s="347"/>
      <c r="BF241" s="347"/>
      <c r="BG241" s="347"/>
      <c r="BH241" s="347"/>
    </row>
    <row r="242">
      <c r="A242" s="347"/>
      <c r="B242" s="347"/>
      <c r="C242" s="347"/>
      <c r="D242" s="347"/>
      <c r="E242" s="347"/>
      <c r="F242" s="347"/>
      <c r="G242" s="347"/>
      <c r="H242" s="347"/>
      <c r="I242" s="347"/>
      <c r="J242" s="347"/>
      <c r="K242" s="348"/>
      <c r="L242" s="348"/>
      <c r="M242" s="348"/>
      <c r="N242" s="348"/>
      <c r="O242" s="348"/>
      <c r="P242" s="347"/>
      <c r="Q242" s="347"/>
      <c r="R242" s="347"/>
      <c r="S242" s="347"/>
      <c r="T242" s="347"/>
      <c r="U242" s="347"/>
      <c r="V242" s="347"/>
      <c r="W242" s="347"/>
      <c r="X242" s="347"/>
      <c r="Y242" s="347"/>
      <c r="Z242" s="347"/>
      <c r="AA242" s="604"/>
      <c r="AB242" s="347"/>
      <c r="AC242" s="590"/>
      <c r="AD242" s="347"/>
      <c r="AE242" s="347"/>
      <c r="AF242" s="347"/>
      <c r="AG242" s="347"/>
      <c r="AH242" s="347"/>
      <c r="AI242" s="347"/>
      <c r="AJ242" s="347"/>
      <c r="AK242" s="347"/>
      <c r="AL242" s="347"/>
      <c r="AM242" s="347"/>
      <c r="AN242" s="347"/>
      <c r="AO242" s="347"/>
      <c r="AP242" s="347"/>
      <c r="AQ242" s="347"/>
      <c r="AR242" s="347"/>
      <c r="AS242" s="347"/>
      <c r="AT242" s="347"/>
      <c r="AU242" s="347"/>
      <c r="AV242" s="347"/>
      <c r="AW242" s="347"/>
      <c r="AX242" s="347"/>
      <c r="AY242" s="347"/>
      <c r="AZ242" s="347"/>
      <c r="BA242" s="347"/>
      <c r="BB242" s="347"/>
      <c r="BC242" s="347"/>
      <c r="BD242" s="347"/>
      <c r="BE242" s="347"/>
      <c r="BF242" s="347"/>
      <c r="BG242" s="347"/>
      <c r="BH242" s="347"/>
    </row>
    <row r="243">
      <c r="A243" s="347"/>
      <c r="B243" s="347"/>
      <c r="C243" s="347"/>
      <c r="D243" s="347"/>
      <c r="E243" s="347"/>
      <c r="F243" s="347"/>
      <c r="G243" s="347"/>
      <c r="H243" s="347"/>
      <c r="I243" s="347"/>
      <c r="J243" s="347"/>
      <c r="K243" s="348"/>
      <c r="L243" s="348"/>
      <c r="M243" s="348"/>
      <c r="N243" s="348"/>
      <c r="O243" s="348"/>
      <c r="P243" s="347"/>
      <c r="Q243" s="347"/>
      <c r="R243" s="347"/>
      <c r="S243" s="347"/>
      <c r="T243" s="347"/>
      <c r="U243" s="347"/>
      <c r="V243" s="347"/>
      <c r="W243" s="347"/>
      <c r="X243" s="347"/>
      <c r="Y243" s="347"/>
      <c r="Z243" s="347"/>
      <c r="AA243" s="604"/>
      <c r="AB243" s="347"/>
      <c r="AC243" s="590"/>
      <c r="AD243" s="347"/>
      <c r="AE243" s="347"/>
      <c r="AF243" s="347"/>
      <c r="AG243" s="347"/>
      <c r="AH243" s="347"/>
      <c r="AI243" s="347"/>
      <c r="AJ243" s="347"/>
      <c r="AK243" s="347"/>
      <c r="AL243" s="347"/>
      <c r="AM243" s="347"/>
      <c r="AN243" s="347"/>
      <c r="AO243" s="347"/>
      <c r="AP243" s="347"/>
      <c r="AQ243" s="347"/>
      <c r="AR243" s="347"/>
      <c r="AS243" s="347"/>
      <c r="AT243" s="347"/>
      <c r="AU243" s="347"/>
      <c r="AV243" s="347"/>
      <c r="AW243" s="347"/>
      <c r="AX243" s="347"/>
      <c r="AY243" s="347"/>
      <c r="AZ243" s="347"/>
      <c r="BA243" s="347"/>
      <c r="BB243" s="347"/>
      <c r="BC243" s="347"/>
      <c r="BD243" s="347"/>
      <c r="BE243" s="347"/>
      <c r="BF243" s="347"/>
      <c r="BG243" s="347"/>
      <c r="BH243" s="347"/>
    </row>
    <row r="244">
      <c r="A244" s="347"/>
      <c r="B244" s="347"/>
      <c r="C244" s="347"/>
      <c r="D244" s="347"/>
      <c r="E244" s="347"/>
      <c r="F244" s="347"/>
      <c r="G244" s="347"/>
      <c r="H244" s="347"/>
      <c r="I244" s="347"/>
      <c r="J244" s="347"/>
      <c r="K244" s="348"/>
      <c r="L244" s="348"/>
      <c r="M244" s="348"/>
      <c r="N244" s="348"/>
      <c r="O244" s="348"/>
      <c r="P244" s="347"/>
      <c r="Q244" s="347"/>
      <c r="R244" s="347"/>
      <c r="S244" s="347"/>
      <c r="T244" s="347"/>
      <c r="U244" s="347"/>
      <c r="V244" s="347"/>
      <c r="W244" s="347"/>
      <c r="X244" s="347"/>
      <c r="Y244" s="347"/>
      <c r="Z244" s="347"/>
      <c r="AA244" s="604"/>
      <c r="AB244" s="347"/>
      <c r="AC244" s="590"/>
      <c r="AD244" s="347"/>
      <c r="AE244" s="347"/>
      <c r="AF244" s="347"/>
      <c r="AG244" s="347"/>
      <c r="AH244" s="347"/>
      <c r="AI244" s="347"/>
      <c r="AJ244" s="347"/>
      <c r="AK244" s="347"/>
      <c r="AL244" s="347"/>
      <c r="AM244" s="347"/>
      <c r="AN244" s="347"/>
      <c r="AO244" s="347"/>
      <c r="AP244" s="347"/>
      <c r="AQ244" s="347"/>
      <c r="AR244" s="347"/>
      <c r="AS244" s="347"/>
      <c r="AT244" s="347"/>
      <c r="AU244" s="347"/>
      <c r="AV244" s="347"/>
      <c r="AW244" s="347"/>
      <c r="AX244" s="347"/>
      <c r="AY244" s="347"/>
      <c r="AZ244" s="347"/>
      <c r="BA244" s="347"/>
      <c r="BB244" s="347"/>
      <c r="BC244" s="347"/>
      <c r="BD244" s="347"/>
      <c r="BE244" s="347"/>
      <c r="BF244" s="347"/>
      <c r="BG244" s="347"/>
      <c r="BH244" s="347"/>
    </row>
    <row r="245">
      <c r="A245" s="347"/>
      <c r="B245" s="347"/>
      <c r="C245" s="347"/>
      <c r="D245" s="347"/>
      <c r="E245" s="347"/>
      <c r="F245" s="347"/>
      <c r="G245" s="347"/>
      <c r="H245" s="347"/>
      <c r="I245" s="347"/>
      <c r="J245" s="347"/>
      <c r="K245" s="348"/>
      <c r="L245" s="348"/>
      <c r="M245" s="348"/>
      <c r="N245" s="348"/>
      <c r="O245" s="348"/>
      <c r="P245" s="347"/>
      <c r="Q245" s="347"/>
      <c r="R245" s="347"/>
      <c r="S245" s="347"/>
      <c r="T245" s="347"/>
      <c r="U245" s="347"/>
      <c r="V245" s="347"/>
      <c r="W245" s="347"/>
      <c r="X245" s="347"/>
      <c r="Y245" s="347"/>
      <c r="Z245" s="347"/>
      <c r="AA245" s="604"/>
      <c r="AB245" s="347"/>
      <c r="AC245" s="590"/>
      <c r="AD245" s="347"/>
      <c r="AE245" s="347"/>
      <c r="AF245" s="347"/>
      <c r="AG245" s="347"/>
      <c r="AH245" s="347"/>
      <c r="AI245" s="347"/>
      <c r="AJ245" s="347"/>
      <c r="AK245" s="347"/>
      <c r="AL245" s="347"/>
      <c r="AM245" s="347"/>
      <c r="AN245" s="347"/>
      <c r="AO245" s="347"/>
      <c r="AP245" s="347"/>
      <c r="AQ245" s="347"/>
      <c r="AR245" s="347"/>
      <c r="AS245" s="347"/>
      <c r="AT245" s="347"/>
      <c r="AU245" s="347"/>
      <c r="AV245" s="347"/>
      <c r="AW245" s="347"/>
      <c r="AX245" s="347"/>
      <c r="AY245" s="347"/>
      <c r="AZ245" s="347"/>
      <c r="BA245" s="347"/>
      <c r="BB245" s="347"/>
      <c r="BC245" s="347"/>
      <c r="BD245" s="347"/>
      <c r="BE245" s="347"/>
      <c r="BF245" s="347"/>
      <c r="BG245" s="347"/>
      <c r="BH245" s="347"/>
    </row>
    <row r="246">
      <c r="A246" s="347"/>
      <c r="B246" s="347"/>
      <c r="C246" s="347"/>
      <c r="D246" s="347"/>
      <c r="E246" s="347"/>
      <c r="F246" s="347"/>
      <c r="G246" s="347"/>
      <c r="H246" s="347"/>
      <c r="I246" s="347"/>
      <c r="J246" s="347"/>
      <c r="K246" s="348"/>
      <c r="L246" s="348"/>
      <c r="M246" s="348"/>
      <c r="N246" s="348"/>
      <c r="O246" s="348"/>
      <c r="P246" s="347"/>
      <c r="Q246" s="347"/>
      <c r="R246" s="347"/>
      <c r="S246" s="347"/>
      <c r="T246" s="347"/>
      <c r="U246" s="347"/>
      <c r="V246" s="347"/>
      <c r="W246" s="347"/>
      <c r="X246" s="347"/>
      <c r="Y246" s="347"/>
      <c r="Z246" s="347"/>
      <c r="AA246" s="604"/>
      <c r="AB246" s="347"/>
      <c r="AC246" s="590"/>
      <c r="AD246" s="347"/>
      <c r="AE246" s="347"/>
      <c r="AF246" s="347"/>
      <c r="AG246" s="347"/>
      <c r="AH246" s="347"/>
      <c r="AI246" s="347"/>
      <c r="AJ246" s="347"/>
      <c r="AK246" s="347"/>
      <c r="AL246" s="347"/>
      <c r="AM246" s="347"/>
      <c r="AN246" s="347"/>
      <c r="AO246" s="347"/>
      <c r="AP246" s="347"/>
      <c r="AQ246" s="347"/>
      <c r="AR246" s="347"/>
      <c r="AS246" s="347"/>
      <c r="AT246" s="347"/>
      <c r="AU246" s="347"/>
      <c r="AV246" s="347"/>
      <c r="AW246" s="347"/>
      <c r="AX246" s="347"/>
      <c r="AY246" s="347"/>
      <c r="AZ246" s="347"/>
      <c r="BA246" s="347"/>
      <c r="BB246" s="347"/>
      <c r="BC246" s="347"/>
      <c r="BD246" s="347"/>
      <c r="BE246" s="347"/>
      <c r="BF246" s="347"/>
      <c r="BG246" s="347"/>
      <c r="BH246" s="347"/>
    </row>
    <row r="247">
      <c r="A247" s="347"/>
      <c r="B247" s="347"/>
      <c r="C247" s="347"/>
      <c r="D247" s="347"/>
      <c r="E247" s="347"/>
      <c r="F247" s="347"/>
      <c r="G247" s="347"/>
      <c r="H247" s="347"/>
      <c r="I247" s="347"/>
      <c r="J247" s="347"/>
      <c r="K247" s="348"/>
      <c r="L247" s="348"/>
      <c r="M247" s="348"/>
      <c r="N247" s="348"/>
      <c r="O247" s="348"/>
      <c r="P247" s="347"/>
      <c r="Q247" s="347"/>
      <c r="R247" s="347"/>
      <c r="S247" s="347"/>
      <c r="T247" s="347"/>
      <c r="U247" s="347"/>
      <c r="V247" s="347"/>
      <c r="W247" s="347"/>
      <c r="X247" s="347"/>
      <c r="Y247" s="347"/>
      <c r="Z247" s="347"/>
      <c r="AA247" s="604"/>
      <c r="AB247" s="347"/>
      <c r="AC247" s="590"/>
      <c r="AD247" s="347"/>
      <c r="AE247" s="347"/>
      <c r="AF247" s="347"/>
      <c r="AG247" s="347"/>
      <c r="AH247" s="347"/>
      <c r="AI247" s="347"/>
      <c r="AJ247" s="347"/>
      <c r="AK247" s="347"/>
      <c r="AL247" s="347"/>
      <c r="AM247" s="347"/>
      <c r="AN247" s="347"/>
      <c r="AO247" s="347"/>
      <c r="AP247" s="347"/>
      <c r="AQ247" s="347"/>
      <c r="AR247" s="347"/>
      <c r="AS247" s="347"/>
      <c r="AT247" s="347"/>
      <c r="AU247" s="347"/>
      <c r="AV247" s="347"/>
      <c r="AW247" s="347"/>
      <c r="AX247" s="347"/>
      <c r="AY247" s="347"/>
      <c r="AZ247" s="347"/>
      <c r="BA247" s="347"/>
      <c r="BB247" s="347"/>
      <c r="BC247" s="347"/>
      <c r="BD247" s="347"/>
      <c r="BE247" s="347"/>
      <c r="BF247" s="347"/>
      <c r="BG247" s="347"/>
      <c r="BH247" s="347"/>
    </row>
    <row r="248">
      <c r="A248" s="347"/>
      <c r="B248" s="347"/>
      <c r="C248" s="347"/>
      <c r="D248" s="347"/>
      <c r="E248" s="347"/>
      <c r="F248" s="347"/>
      <c r="G248" s="347"/>
      <c r="H248" s="347"/>
      <c r="I248" s="347"/>
      <c r="J248" s="347"/>
      <c r="K248" s="348"/>
      <c r="L248" s="348"/>
      <c r="M248" s="348"/>
      <c r="N248" s="348"/>
      <c r="O248" s="348"/>
      <c r="P248" s="347"/>
      <c r="Q248" s="347"/>
      <c r="R248" s="347"/>
      <c r="S248" s="347"/>
      <c r="T248" s="347"/>
      <c r="U248" s="347"/>
      <c r="V248" s="347"/>
      <c r="W248" s="347"/>
      <c r="X248" s="347"/>
      <c r="Y248" s="347"/>
      <c r="Z248" s="347"/>
      <c r="AA248" s="604"/>
      <c r="AB248" s="347"/>
      <c r="AC248" s="590"/>
      <c r="AD248" s="347"/>
      <c r="AE248" s="347"/>
      <c r="AF248" s="347"/>
      <c r="AG248" s="347"/>
      <c r="AH248" s="347"/>
      <c r="AI248" s="347"/>
      <c r="AJ248" s="347"/>
      <c r="AK248" s="347"/>
      <c r="AL248" s="347"/>
      <c r="AM248" s="347"/>
      <c r="AN248" s="347"/>
      <c r="AO248" s="347"/>
      <c r="AP248" s="347"/>
      <c r="AQ248" s="347"/>
      <c r="AR248" s="347"/>
      <c r="AS248" s="347"/>
      <c r="AT248" s="347"/>
      <c r="AU248" s="347"/>
      <c r="AV248" s="347"/>
      <c r="AW248" s="347"/>
      <c r="AX248" s="347"/>
      <c r="AY248" s="347"/>
      <c r="AZ248" s="347"/>
      <c r="BA248" s="347"/>
      <c r="BB248" s="347"/>
      <c r="BC248" s="347"/>
      <c r="BD248" s="347"/>
      <c r="BE248" s="347"/>
      <c r="BF248" s="347"/>
      <c r="BG248" s="347"/>
      <c r="BH248" s="347"/>
    </row>
    <row r="249">
      <c r="A249" s="347"/>
      <c r="B249" s="347"/>
      <c r="C249" s="347"/>
      <c r="D249" s="347"/>
      <c r="E249" s="347"/>
      <c r="F249" s="347"/>
      <c r="G249" s="347"/>
      <c r="H249" s="347"/>
      <c r="I249" s="347"/>
      <c r="J249" s="347"/>
      <c r="K249" s="348"/>
      <c r="L249" s="348"/>
      <c r="M249" s="348"/>
      <c r="N249" s="348"/>
      <c r="O249" s="348"/>
      <c r="P249" s="347"/>
      <c r="Q249" s="347"/>
      <c r="R249" s="347"/>
      <c r="S249" s="347"/>
      <c r="T249" s="347"/>
      <c r="U249" s="347"/>
      <c r="V249" s="347"/>
      <c r="W249" s="347"/>
      <c r="X249" s="347"/>
      <c r="Y249" s="347"/>
      <c r="Z249" s="347"/>
      <c r="AA249" s="604"/>
      <c r="AB249" s="347"/>
      <c r="AC249" s="590"/>
      <c r="AD249" s="347"/>
      <c r="AE249" s="347"/>
      <c r="AF249" s="347"/>
      <c r="AG249" s="347"/>
      <c r="AH249" s="347"/>
      <c r="AI249" s="347"/>
      <c r="AJ249" s="347"/>
      <c r="AK249" s="347"/>
      <c r="AL249" s="347"/>
      <c r="AM249" s="347"/>
      <c r="AN249" s="347"/>
      <c r="AO249" s="347"/>
      <c r="AP249" s="347"/>
      <c r="AQ249" s="347"/>
      <c r="AR249" s="347"/>
      <c r="AS249" s="347"/>
      <c r="AT249" s="347"/>
      <c r="AU249" s="347"/>
      <c r="AV249" s="347"/>
      <c r="AW249" s="347"/>
      <c r="AX249" s="347"/>
      <c r="AY249" s="347"/>
      <c r="AZ249" s="347"/>
      <c r="BA249" s="347"/>
      <c r="BB249" s="347"/>
      <c r="BC249" s="347"/>
      <c r="BD249" s="347"/>
      <c r="BE249" s="347"/>
      <c r="BF249" s="347"/>
      <c r="BG249" s="347"/>
      <c r="BH249" s="347"/>
    </row>
    <row r="250">
      <c r="A250" s="347"/>
      <c r="B250" s="347"/>
      <c r="C250" s="347"/>
      <c r="D250" s="347"/>
      <c r="E250" s="347"/>
      <c r="F250" s="347"/>
      <c r="G250" s="347"/>
      <c r="H250" s="347"/>
      <c r="I250" s="347"/>
      <c r="J250" s="347"/>
      <c r="K250" s="348"/>
      <c r="L250" s="348"/>
      <c r="M250" s="348"/>
      <c r="N250" s="348"/>
      <c r="O250" s="348"/>
      <c r="P250" s="347"/>
      <c r="Q250" s="347"/>
      <c r="R250" s="347"/>
      <c r="S250" s="347"/>
      <c r="T250" s="347"/>
      <c r="U250" s="347"/>
      <c r="V250" s="347"/>
      <c r="W250" s="347"/>
      <c r="X250" s="347"/>
      <c r="Y250" s="347"/>
      <c r="Z250" s="347"/>
      <c r="AA250" s="604"/>
      <c r="AB250" s="347"/>
      <c r="AC250" s="590"/>
      <c r="AD250" s="347"/>
      <c r="AE250" s="347"/>
      <c r="AF250" s="347"/>
      <c r="AG250" s="347"/>
      <c r="AH250" s="347"/>
      <c r="AI250" s="347"/>
      <c r="AJ250" s="347"/>
      <c r="AK250" s="347"/>
      <c r="AL250" s="347"/>
      <c r="AM250" s="347"/>
      <c r="AN250" s="347"/>
      <c r="AO250" s="347"/>
      <c r="AP250" s="347"/>
      <c r="AQ250" s="347"/>
      <c r="AR250" s="347"/>
      <c r="AS250" s="347"/>
      <c r="AT250" s="347"/>
      <c r="AU250" s="347"/>
      <c r="AV250" s="347"/>
      <c r="AW250" s="347"/>
      <c r="AX250" s="347"/>
      <c r="AY250" s="347"/>
      <c r="AZ250" s="347"/>
      <c r="BA250" s="347"/>
      <c r="BB250" s="347"/>
      <c r="BC250" s="347"/>
      <c r="BD250" s="347"/>
      <c r="BE250" s="347"/>
      <c r="BF250" s="347"/>
      <c r="BG250" s="347"/>
      <c r="BH250" s="347"/>
    </row>
    <row r="251">
      <c r="A251" s="347"/>
      <c r="B251" s="347"/>
      <c r="C251" s="347"/>
      <c r="D251" s="347"/>
      <c r="E251" s="347"/>
      <c r="F251" s="347"/>
      <c r="G251" s="347"/>
      <c r="H251" s="347"/>
      <c r="I251" s="347"/>
      <c r="J251" s="347"/>
      <c r="K251" s="348"/>
      <c r="L251" s="348"/>
      <c r="M251" s="348"/>
      <c r="N251" s="348"/>
      <c r="O251" s="348"/>
      <c r="P251" s="347"/>
      <c r="Q251" s="347"/>
      <c r="R251" s="347"/>
      <c r="S251" s="347"/>
      <c r="T251" s="347"/>
      <c r="U251" s="347"/>
      <c r="V251" s="347"/>
      <c r="W251" s="347"/>
      <c r="X251" s="347"/>
      <c r="Y251" s="347"/>
      <c r="Z251" s="347"/>
      <c r="AA251" s="604"/>
      <c r="AB251" s="347"/>
      <c r="AC251" s="590"/>
      <c r="AD251" s="347"/>
      <c r="AE251" s="347"/>
      <c r="AF251" s="347"/>
      <c r="AG251" s="347"/>
      <c r="AH251" s="347"/>
      <c r="AI251" s="347"/>
      <c r="AJ251" s="347"/>
      <c r="AK251" s="347"/>
      <c r="AL251" s="347"/>
      <c r="AM251" s="347"/>
      <c r="AN251" s="347"/>
      <c r="AO251" s="347"/>
      <c r="AP251" s="347"/>
      <c r="AQ251" s="347"/>
      <c r="AR251" s="347"/>
      <c r="AS251" s="347"/>
      <c r="AT251" s="347"/>
      <c r="AU251" s="347"/>
      <c r="AV251" s="347"/>
      <c r="AW251" s="347"/>
      <c r="AX251" s="347"/>
      <c r="AY251" s="347"/>
      <c r="AZ251" s="347"/>
      <c r="BA251" s="347"/>
      <c r="BB251" s="347"/>
      <c r="BC251" s="347"/>
      <c r="BD251" s="347"/>
      <c r="BE251" s="347"/>
      <c r="BF251" s="347"/>
      <c r="BG251" s="347"/>
      <c r="BH251" s="347"/>
    </row>
    <row r="252">
      <c r="A252" s="347"/>
      <c r="B252" s="347"/>
      <c r="C252" s="347"/>
      <c r="D252" s="347"/>
      <c r="E252" s="347"/>
      <c r="F252" s="347"/>
      <c r="G252" s="347"/>
      <c r="H252" s="347"/>
      <c r="I252" s="347"/>
      <c r="J252" s="347"/>
      <c r="K252" s="348"/>
      <c r="L252" s="348"/>
      <c r="M252" s="348"/>
      <c r="N252" s="348"/>
      <c r="O252" s="348"/>
      <c r="P252" s="347"/>
      <c r="Q252" s="347"/>
      <c r="R252" s="347"/>
      <c r="S252" s="347"/>
      <c r="T252" s="347"/>
      <c r="U252" s="347"/>
      <c r="V252" s="347"/>
      <c r="W252" s="347"/>
      <c r="X252" s="347"/>
      <c r="Y252" s="347"/>
      <c r="Z252" s="347"/>
      <c r="AA252" s="604"/>
      <c r="AB252" s="347"/>
      <c r="AC252" s="590"/>
      <c r="AD252" s="347"/>
      <c r="AE252" s="347"/>
      <c r="AF252" s="347"/>
      <c r="AG252" s="347"/>
      <c r="AH252" s="347"/>
      <c r="AI252" s="347"/>
      <c r="AJ252" s="347"/>
      <c r="AK252" s="347"/>
      <c r="AL252" s="347"/>
      <c r="AM252" s="347"/>
      <c r="AN252" s="347"/>
      <c r="AO252" s="347"/>
      <c r="AP252" s="347"/>
      <c r="AQ252" s="347"/>
      <c r="AR252" s="347"/>
      <c r="AS252" s="347"/>
      <c r="AT252" s="347"/>
      <c r="AU252" s="347"/>
      <c r="AV252" s="347"/>
      <c r="AW252" s="347"/>
      <c r="AX252" s="347"/>
      <c r="AY252" s="347"/>
      <c r="AZ252" s="347"/>
      <c r="BA252" s="347"/>
      <c r="BB252" s="347"/>
      <c r="BC252" s="347"/>
      <c r="BD252" s="347"/>
      <c r="BE252" s="347"/>
      <c r="BF252" s="347"/>
      <c r="BG252" s="347"/>
      <c r="BH252" s="347"/>
    </row>
    <row r="253">
      <c r="A253" s="347"/>
      <c r="B253" s="347"/>
      <c r="C253" s="347"/>
      <c r="D253" s="347"/>
      <c r="E253" s="347"/>
      <c r="F253" s="347"/>
      <c r="G253" s="347"/>
      <c r="H253" s="347"/>
      <c r="I253" s="347"/>
      <c r="J253" s="347"/>
      <c r="K253" s="348"/>
      <c r="L253" s="348"/>
      <c r="M253" s="348"/>
      <c r="N253" s="348"/>
      <c r="O253" s="348"/>
      <c r="P253" s="347"/>
      <c r="Q253" s="347"/>
      <c r="R253" s="347"/>
      <c r="S253" s="347"/>
      <c r="T253" s="347"/>
      <c r="U253" s="347"/>
      <c r="V253" s="347"/>
      <c r="W253" s="347"/>
      <c r="X253" s="347"/>
      <c r="Y253" s="347"/>
      <c r="Z253" s="347"/>
      <c r="AA253" s="604"/>
      <c r="AB253" s="347"/>
      <c r="AC253" s="590"/>
      <c r="AD253" s="347"/>
      <c r="AE253" s="347"/>
      <c r="AF253" s="347"/>
      <c r="AG253" s="347"/>
      <c r="AH253" s="347"/>
      <c r="AI253" s="347"/>
      <c r="AJ253" s="347"/>
      <c r="AK253" s="347"/>
      <c r="AL253" s="347"/>
      <c r="AM253" s="347"/>
      <c r="AN253" s="347"/>
      <c r="AO253" s="347"/>
      <c r="AP253" s="347"/>
      <c r="AQ253" s="347"/>
      <c r="AR253" s="347"/>
      <c r="AS253" s="347"/>
      <c r="AT253" s="347"/>
      <c r="AU253" s="347"/>
      <c r="AV253" s="347"/>
      <c r="AW253" s="347"/>
      <c r="AX253" s="347"/>
      <c r="AY253" s="347"/>
      <c r="AZ253" s="347"/>
      <c r="BA253" s="347"/>
      <c r="BB253" s="347"/>
      <c r="BC253" s="347"/>
      <c r="BD253" s="347"/>
      <c r="BE253" s="347"/>
      <c r="BF253" s="347"/>
      <c r="BG253" s="347"/>
      <c r="BH253" s="347"/>
    </row>
    <row r="254">
      <c r="A254" s="347"/>
      <c r="B254" s="347"/>
      <c r="C254" s="347"/>
      <c r="D254" s="347"/>
      <c r="E254" s="347"/>
      <c r="F254" s="347"/>
      <c r="G254" s="347"/>
      <c r="H254" s="347"/>
      <c r="I254" s="347"/>
      <c r="J254" s="347"/>
      <c r="K254" s="348"/>
      <c r="L254" s="348"/>
      <c r="M254" s="348"/>
      <c r="N254" s="348"/>
      <c r="O254" s="348"/>
      <c r="P254" s="347"/>
      <c r="Q254" s="347"/>
      <c r="R254" s="347"/>
      <c r="S254" s="347"/>
      <c r="T254" s="347"/>
      <c r="U254" s="347"/>
      <c r="V254" s="347"/>
      <c r="W254" s="347"/>
      <c r="X254" s="347"/>
      <c r="Y254" s="347"/>
      <c r="Z254" s="347"/>
      <c r="AA254" s="604"/>
      <c r="AB254" s="347"/>
      <c r="AC254" s="590"/>
      <c r="AD254" s="347"/>
      <c r="AE254" s="347"/>
      <c r="AF254" s="347"/>
      <c r="AG254" s="347"/>
      <c r="AH254" s="347"/>
      <c r="AI254" s="347"/>
      <c r="AJ254" s="347"/>
      <c r="AK254" s="347"/>
      <c r="AL254" s="347"/>
      <c r="AM254" s="347"/>
      <c r="AN254" s="347"/>
      <c r="AO254" s="347"/>
      <c r="AP254" s="347"/>
      <c r="AQ254" s="347"/>
      <c r="AR254" s="347"/>
      <c r="AS254" s="347"/>
      <c r="AT254" s="347"/>
      <c r="AU254" s="347"/>
      <c r="AV254" s="347"/>
      <c r="AW254" s="347"/>
      <c r="AX254" s="347"/>
      <c r="AY254" s="347"/>
      <c r="AZ254" s="347"/>
      <c r="BA254" s="347"/>
      <c r="BB254" s="347"/>
      <c r="BC254" s="347"/>
      <c r="BD254" s="347"/>
      <c r="BE254" s="347"/>
      <c r="BF254" s="347"/>
      <c r="BG254" s="347"/>
      <c r="BH254" s="347"/>
    </row>
    <row r="255">
      <c r="A255" s="347"/>
      <c r="B255" s="347"/>
      <c r="C255" s="347"/>
      <c r="D255" s="347"/>
      <c r="E255" s="347"/>
      <c r="F255" s="347"/>
      <c r="G255" s="347"/>
      <c r="H255" s="347"/>
      <c r="I255" s="347"/>
      <c r="J255" s="347"/>
      <c r="K255" s="348"/>
      <c r="L255" s="348"/>
      <c r="M255" s="348"/>
      <c r="N255" s="348"/>
      <c r="O255" s="348"/>
      <c r="P255" s="347"/>
      <c r="Q255" s="347"/>
      <c r="R255" s="347"/>
      <c r="S255" s="347"/>
      <c r="T255" s="347"/>
      <c r="U255" s="347"/>
      <c r="V255" s="347"/>
      <c r="W255" s="347"/>
      <c r="X255" s="347"/>
      <c r="Y255" s="347"/>
      <c r="Z255" s="347"/>
      <c r="AA255" s="604"/>
      <c r="AB255" s="347"/>
      <c r="AC255" s="590"/>
      <c r="AD255" s="347"/>
      <c r="AE255" s="347"/>
      <c r="AF255" s="347"/>
      <c r="AG255" s="347"/>
      <c r="AH255" s="347"/>
      <c r="AI255" s="347"/>
      <c r="AJ255" s="347"/>
      <c r="AK255" s="347"/>
      <c r="AL255" s="347"/>
      <c r="AM255" s="347"/>
      <c r="AN255" s="347"/>
      <c r="AO255" s="347"/>
      <c r="AP255" s="347"/>
      <c r="AQ255" s="347"/>
      <c r="AR255" s="347"/>
      <c r="AS255" s="347"/>
      <c r="AT255" s="347"/>
      <c r="AU255" s="347"/>
      <c r="AV255" s="347"/>
      <c r="AW255" s="347"/>
      <c r="AX255" s="347"/>
      <c r="AY255" s="347"/>
      <c r="AZ255" s="347"/>
      <c r="BA255" s="347"/>
      <c r="BB255" s="347"/>
      <c r="BC255" s="347"/>
      <c r="BD255" s="347"/>
      <c r="BE255" s="347"/>
      <c r="BF255" s="347"/>
      <c r="BG255" s="347"/>
      <c r="BH255" s="347"/>
    </row>
    <row r="256">
      <c r="A256" s="347"/>
      <c r="B256" s="347"/>
      <c r="C256" s="347"/>
      <c r="D256" s="347"/>
      <c r="E256" s="347"/>
      <c r="F256" s="347"/>
      <c r="G256" s="347"/>
      <c r="H256" s="347"/>
      <c r="I256" s="347"/>
      <c r="J256" s="347"/>
      <c r="K256" s="348"/>
      <c r="L256" s="348"/>
      <c r="M256" s="348"/>
      <c r="N256" s="348"/>
      <c r="O256" s="348"/>
      <c r="P256" s="347"/>
      <c r="Q256" s="347"/>
      <c r="R256" s="347"/>
      <c r="S256" s="347"/>
      <c r="T256" s="347"/>
      <c r="U256" s="347"/>
      <c r="V256" s="347"/>
      <c r="W256" s="347"/>
      <c r="X256" s="347"/>
      <c r="Y256" s="347"/>
      <c r="Z256" s="347"/>
      <c r="AA256" s="604"/>
      <c r="AB256" s="347"/>
      <c r="AC256" s="590"/>
      <c r="AD256" s="347"/>
      <c r="AE256" s="347"/>
      <c r="AF256" s="347"/>
      <c r="AG256" s="347"/>
      <c r="AH256" s="347"/>
      <c r="AI256" s="347"/>
      <c r="AJ256" s="347"/>
      <c r="AK256" s="347"/>
      <c r="AL256" s="347"/>
      <c r="AM256" s="347"/>
      <c r="AN256" s="347"/>
      <c r="AO256" s="347"/>
      <c r="AP256" s="347"/>
      <c r="AQ256" s="347"/>
      <c r="AR256" s="347"/>
      <c r="AS256" s="347"/>
      <c r="AT256" s="347"/>
      <c r="AU256" s="347"/>
      <c r="AV256" s="347"/>
      <c r="AW256" s="347"/>
      <c r="AX256" s="347"/>
      <c r="AY256" s="347"/>
      <c r="AZ256" s="347"/>
      <c r="BA256" s="347"/>
      <c r="BB256" s="347"/>
      <c r="BC256" s="347"/>
      <c r="BD256" s="347"/>
      <c r="BE256" s="347"/>
      <c r="BF256" s="347"/>
      <c r="BG256" s="347"/>
      <c r="BH256" s="347"/>
    </row>
    <row r="257">
      <c r="A257" s="347"/>
      <c r="B257" s="347"/>
      <c r="C257" s="347"/>
      <c r="D257" s="347"/>
      <c r="E257" s="347"/>
      <c r="F257" s="347"/>
      <c r="G257" s="347"/>
      <c r="H257" s="347"/>
      <c r="I257" s="347"/>
      <c r="J257" s="347"/>
      <c r="K257" s="348"/>
      <c r="L257" s="348"/>
      <c r="M257" s="348"/>
      <c r="N257" s="348"/>
      <c r="O257" s="348"/>
      <c r="P257" s="347"/>
      <c r="Q257" s="347"/>
      <c r="R257" s="347"/>
      <c r="S257" s="347"/>
      <c r="T257" s="347"/>
      <c r="U257" s="347"/>
      <c r="V257" s="347"/>
      <c r="W257" s="347"/>
      <c r="X257" s="347"/>
      <c r="Y257" s="347"/>
      <c r="Z257" s="347"/>
      <c r="AA257" s="604"/>
      <c r="AB257" s="347"/>
      <c r="AC257" s="590"/>
      <c r="AD257" s="347"/>
      <c r="AE257" s="347"/>
      <c r="AF257" s="347"/>
      <c r="AG257" s="347"/>
      <c r="AH257" s="347"/>
      <c r="AI257" s="347"/>
      <c r="AJ257" s="347"/>
      <c r="AK257" s="347"/>
      <c r="AL257" s="347"/>
      <c r="AM257" s="347"/>
      <c r="AN257" s="347"/>
      <c r="AO257" s="347"/>
      <c r="AP257" s="347"/>
      <c r="AQ257" s="347"/>
      <c r="AR257" s="347"/>
      <c r="AS257" s="347"/>
      <c r="AT257" s="347"/>
      <c r="AU257" s="347"/>
      <c r="AV257" s="347"/>
      <c r="AW257" s="347"/>
      <c r="AX257" s="347"/>
      <c r="AY257" s="347"/>
      <c r="AZ257" s="347"/>
      <c r="BA257" s="347"/>
      <c r="BB257" s="347"/>
      <c r="BC257" s="347"/>
      <c r="BD257" s="347"/>
      <c r="BE257" s="347"/>
      <c r="BF257" s="347"/>
      <c r="BG257" s="347"/>
      <c r="BH257" s="347"/>
    </row>
    <row r="258">
      <c r="A258" s="347"/>
      <c r="B258" s="347"/>
      <c r="C258" s="347"/>
      <c r="D258" s="347"/>
      <c r="E258" s="347"/>
      <c r="F258" s="347"/>
      <c r="G258" s="347"/>
      <c r="H258" s="347"/>
      <c r="I258" s="347"/>
      <c r="J258" s="347"/>
      <c r="K258" s="348"/>
      <c r="L258" s="348"/>
      <c r="M258" s="348"/>
      <c r="N258" s="348"/>
      <c r="O258" s="348"/>
      <c r="P258" s="347"/>
      <c r="Q258" s="347"/>
      <c r="R258" s="347"/>
      <c r="S258" s="347"/>
      <c r="T258" s="347"/>
      <c r="U258" s="347"/>
      <c r="V258" s="347"/>
      <c r="W258" s="347"/>
      <c r="X258" s="347"/>
      <c r="Y258" s="347"/>
      <c r="Z258" s="347"/>
      <c r="AA258" s="604"/>
      <c r="AB258" s="347"/>
      <c r="AC258" s="590"/>
      <c r="AD258" s="347"/>
      <c r="AE258" s="347"/>
      <c r="AF258" s="347"/>
      <c r="AG258" s="347"/>
      <c r="AH258" s="347"/>
      <c r="AI258" s="347"/>
      <c r="AJ258" s="347"/>
      <c r="AK258" s="347"/>
      <c r="AL258" s="347"/>
      <c r="AM258" s="347"/>
      <c r="AN258" s="347"/>
      <c r="AO258" s="347"/>
      <c r="AP258" s="347"/>
      <c r="AQ258" s="347"/>
      <c r="AR258" s="347"/>
      <c r="AS258" s="347"/>
      <c r="AT258" s="347"/>
      <c r="AU258" s="347"/>
      <c r="AV258" s="347"/>
      <c r="AW258" s="347"/>
      <c r="AX258" s="347"/>
      <c r="AY258" s="347"/>
      <c r="AZ258" s="347"/>
      <c r="BA258" s="347"/>
      <c r="BB258" s="347"/>
      <c r="BC258" s="347"/>
      <c r="BD258" s="347"/>
      <c r="BE258" s="347"/>
      <c r="BF258" s="347"/>
      <c r="BG258" s="347"/>
      <c r="BH258" s="347"/>
    </row>
    <row r="259">
      <c r="A259" s="347"/>
      <c r="B259" s="347"/>
      <c r="C259" s="347"/>
      <c r="D259" s="347"/>
      <c r="E259" s="347"/>
      <c r="F259" s="347"/>
      <c r="G259" s="347"/>
      <c r="H259" s="347"/>
      <c r="I259" s="347"/>
      <c r="J259" s="347"/>
      <c r="K259" s="348"/>
      <c r="L259" s="348"/>
      <c r="M259" s="348"/>
      <c r="N259" s="348"/>
      <c r="O259" s="348"/>
      <c r="P259" s="347"/>
      <c r="Q259" s="347"/>
      <c r="R259" s="347"/>
      <c r="S259" s="347"/>
      <c r="T259" s="347"/>
      <c r="U259" s="347"/>
      <c r="V259" s="347"/>
      <c r="W259" s="347"/>
      <c r="X259" s="347"/>
      <c r="Y259" s="347"/>
      <c r="Z259" s="347"/>
      <c r="AA259" s="604"/>
      <c r="AB259" s="347"/>
      <c r="AC259" s="590"/>
      <c r="AD259" s="347"/>
      <c r="AE259" s="347"/>
      <c r="AF259" s="347"/>
      <c r="AG259" s="347"/>
      <c r="AH259" s="347"/>
      <c r="AI259" s="347"/>
      <c r="AJ259" s="347"/>
      <c r="AK259" s="347"/>
      <c r="AL259" s="347"/>
      <c r="AM259" s="347"/>
      <c r="AN259" s="347"/>
      <c r="AO259" s="347"/>
      <c r="AP259" s="347"/>
      <c r="AQ259" s="347"/>
      <c r="AR259" s="347"/>
      <c r="AS259" s="347"/>
      <c r="AT259" s="347"/>
      <c r="AU259" s="347"/>
      <c r="AV259" s="347"/>
      <c r="AW259" s="347"/>
      <c r="AX259" s="347"/>
      <c r="AY259" s="347"/>
      <c r="AZ259" s="347"/>
      <c r="BA259" s="347"/>
      <c r="BB259" s="347"/>
      <c r="BC259" s="347"/>
      <c r="BD259" s="347"/>
      <c r="BE259" s="347"/>
      <c r="BF259" s="347"/>
      <c r="BG259" s="347"/>
      <c r="BH259" s="347"/>
    </row>
    <row r="260">
      <c r="A260" s="347"/>
      <c r="B260" s="347"/>
      <c r="C260" s="347"/>
      <c r="D260" s="347"/>
      <c r="E260" s="347"/>
      <c r="F260" s="347"/>
      <c r="G260" s="347"/>
      <c r="H260" s="347"/>
      <c r="I260" s="347"/>
      <c r="J260" s="347"/>
      <c r="K260" s="348"/>
      <c r="L260" s="348"/>
      <c r="M260" s="348"/>
      <c r="N260" s="348"/>
      <c r="O260" s="348"/>
      <c r="P260" s="347"/>
      <c r="Q260" s="347"/>
      <c r="R260" s="347"/>
      <c r="S260" s="347"/>
      <c r="T260" s="347"/>
      <c r="U260" s="347"/>
      <c r="V260" s="347"/>
      <c r="W260" s="347"/>
      <c r="X260" s="347"/>
      <c r="Y260" s="347"/>
      <c r="Z260" s="347"/>
      <c r="AA260" s="604"/>
      <c r="AB260" s="347"/>
      <c r="AC260" s="590"/>
      <c r="AD260" s="347"/>
      <c r="AE260" s="347"/>
      <c r="AF260" s="347"/>
      <c r="AG260" s="347"/>
      <c r="AH260" s="347"/>
      <c r="AI260" s="347"/>
      <c r="AJ260" s="347"/>
      <c r="AK260" s="347"/>
      <c r="AL260" s="347"/>
      <c r="AM260" s="347"/>
      <c r="AN260" s="347"/>
      <c r="AO260" s="347"/>
      <c r="AP260" s="347"/>
      <c r="AQ260" s="347"/>
      <c r="AR260" s="347"/>
      <c r="AS260" s="347"/>
      <c r="AT260" s="347"/>
      <c r="AU260" s="347"/>
      <c r="AV260" s="347"/>
      <c r="AW260" s="347"/>
      <c r="AX260" s="347"/>
      <c r="AY260" s="347"/>
      <c r="AZ260" s="347"/>
      <c r="BA260" s="347"/>
      <c r="BB260" s="347"/>
      <c r="BC260" s="347"/>
      <c r="BD260" s="347"/>
      <c r="BE260" s="347"/>
      <c r="BF260" s="347"/>
      <c r="BG260" s="347"/>
      <c r="BH260" s="347"/>
    </row>
    <row r="261">
      <c r="A261" s="347"/>
      <c r="B261" s="347"/>
      <c r="C261" s="347"/>
      <c r="D261" s="347"/>
      <c r="E261" s="347"/>
      <c r="F261" s="347"/>
      <c r="G261" s="347"/>
      <c r="H261" s="347"/>
      <c r="I261" s="347"/>
      <c r="J261" s="347"/>
      <c r="K261" s="348"/>
      <c r="L261" s="348"/>
      <c r="M261" s="348"/>
      <c r="N261" s="348"/>
      <c r="O261" s="348"/>
      <c r="P261" s="347"/>
      <c r="Q261" s="347"/>
      <c r="R261" s="347"/>
      <c r="S261" s="347"/>
      <c r="T261" s="347"/>
      <c r="U261" s="347"/>
      <c r="V261" s="347"/>
      <c r="W261" s="347"/>
      <c r="X261" s="347"/>
      <c r="Y261" s="347"/>
      <c r="Z261" s="347"/>
      <c r="AA261" s="604"/>
      <c r="AB261" s="347"/>
      <c r="AC261" s="590"/>
      <c r="AD261" s="347"/>
      <c r="AE261" s="347"/>
      <c r="AF261" s="347"/>
      <c r="AG261" s="347"/>
      <c r="AH261" s="347"/>
      <c r="AI261" s="347"/>
      <c r="AJ261" s="347"/>
      <c r="AK261" s="347"/>
      <c r="AL261" s="347"/>
      <c r="AM261" s="347"/>
      <c r="AN261" s="347"/>
      <c r="AO261" s="347"/>
      <c r="AP261" s="347"/>
      <c r="AQ261" s="347"/>
      <c r="AR261" s="347"/>
      <c r="AS261" s="347"/>
      <c r="AT261" s="347"/>
      <c r="AU261" s="347"/>
      <c r="AV261" s="347"/>
      <c r="AW261" s="347"/>
      <c r="AX261" s="347"/>
      <c r="AY261" s="347"/>
      <c r="AZ261" s="347"/>
      <c r="BA261" s="347"/>
      <c r="BB261" s="347"/>
      <c r="BC261" s="347"/>
      <c r="BD261" s="347"/>
      <c r="BE261" s="347"/>
      <c r="BF261" s="347"/>
      <c r="BG261" s="347"/>
      <c r="BH261" s="347"/>
    </row>
    <row r="262">
      <c r="A262" s="347"/>
      <c r="B262" s="347"/>
      <c r="C262" s="347"/>
      <c r="D262" s="347"/>
      <c r="E262" s="347"/>
      <c r="F262" s="347"/>
      <c r="G262" s="347"/>
      <c r="H262" s="347"/>
      <c r="I262" s="347"/>
      <c r="J262" s="347"/>
      <c r="K262" s="348"/>
      <c r="L262" s="348"/>
      <c r="M262" s="348"/>
      <c r="N262" s="348"/>
      <c r="O262" s="348"/>
      <c r="P262" s="347"/>
      <c r="Q262" s="347"/>
      <c r="R262" s="347"/>
      <c r="S262" s="347"/>
      <c r="T262" s="347"/>
      <c r="U262" s="347"/>
      <c r="V262" s="347"/>
      <c r="W262" s="347"/>
      <c r="X262" s="347"/>
      <c r="Y262" s="347"/>
      <c r="Z262" s="347"/>
      <c r="AA262" s="604"/>
      <c r="AB262" s="347"/>
      <c r="AC262" s="590"/>
      <c r="AD262" s="347"/>
      <c r="AE262" s="347"/>
      <c r="AF262" s="347"/>
      <c r="AG262" s="347"/>
      <c r="AH262" s="347"/>
      <c r="AI262" s="347"/>
      <c r="AJ262" s="347"/>
      <c r="AK262" s="347"/>
      <c r="AL262" s="347"/>
      <c r="AM262" s="347"/>
      <c r="AN262" s="347"/>
      <c r="AO262" s="347"/>
      <c r="AP262" s="347"/>
      <c r="AQ262" s="347"/>
      <c r="AR262" s="347"/>
      <c r="AS262" s="347"/>
      <c r="AT262" s="347"/>
      <c r="AU262" s="347"/>
      <c r="AV262" s="347"/>
      <c r="AW262" s="347"/>
      <c r="AX262" s="347"/>
      <c r="AY262" s="347"/>
      <c r="AZ262" s="347"/>
      <c r="BA262" s="347"/>
      <c r="BB262" s="347"/>
      <c r="BC262" s="347"/>
      <c r="BD262" s="347"/>
      <c r="BE262" s="347"/>
      <c r="BF262" s="347"/>
      <c r="BG262" s="347"/>
      <c r="BH262" s="347"/>
    </row>
    <row r="263">
      <c r="A263" s="347"/>
      <c r="B263" s="347"/>
      <c r="C263" s="347"/>
      <c r="D263" s="347"/>
      <c r="E263" s="347"/>
      <c r="F263" s="347"/>
      <c r="G263" s="347"/>
      <c r="H263" s="347"/>
      <c r="I263" s="347"/>
      <c r="J263" s="347"/>
      <c r="K263" s="348"/>
      <c r="L263" s="348"/>
      <c r="M263" s="348"/>
      <c r="N263" s="348"/>
      <c r="O263" s="348"/>
      <c r="P263" s="347"/>
      <c r="Q263" s="347"/>
      <c r="R263" s="347"/>
      <c r="S263" s="347"/>
      <c r="T263" s="347"/>
      <c r="U263" s="347"/>
      <c r="V263" s="347"/>
      <c r="W263" s="347"/>
      <c r="X263" s="347"/>
      <c r="Y263" s="347"/>
      <c r="Z263" s="347"/>
      <c r="AA263" s="604"/>
      <c r="AB263" s="347"/>
      <c r="AC263" s="590"/>
      <c r="AD263" s="347"/>
      <c r="AE263" s="347"/>
      <c r="AF263" s="347"/>
      <c r="AG263" s="347"/>
      <c r="AH263" s="347"/>
      <c r="AI263" s="347"/>
      <c r="AJ263" s="347"/>
      <c r="AK263" s="347"/>
      <c r="AL263" s="347"/>
      <c r="AM263" s="347"/>
      <c r="AN263" s="347"/>
      <c r="AO263" s="347"/>
      <c r="AP263" s="347"/>
      <c r="AQ263" s="347"/>
      <c r="AR263" s="347"/>
      <c r="AS263" s="347"/>
      <c r="AT263" s="347"/>
      <c r="AU263" s="347"/>
      <c r="AV263" s="347"/>
      <c r="AW263" s="347"/>
      <c r="AX263" s="347"/>
      <c r="AY263" s="347"/>
      <c r="AZ263" s="347"/>
      <c r="BA263" s="347"/>
      <c r="BB263" s="347"/>
      <c r="BC263" s="347"/>
      <c r="BD263" s="347"/>
      <c r="BE263" s="347"/>
      <c r="BF263" s="347"/>
      <c r="BG263" s="347"/>
      <c r="BH263" s="347"/>
    </row>
    <row r="264">
      <c r="A264" s="347"/>
      <c r="B264" s="347"/>
      <c r="C264" s="347"/>
      <c r="D264" s="347"/>
      <c r="E264" s="347"/>
      <c r="F264" s="347"/>
      <c r="G264" s="347"/>
      <c r="H264" s="347"/>
      <c r="I264" s="347"/>
      <c r="J264" s="347"/>
      <c r="K264" s="348"/>
      <c r="L264" s="348"/>
      <c r="M264" s="348"/>
      <c r="N264" s="348"/>
      <c r="O264" s="348"/>
      <c r="P264" s="347"/>
      <c r="Q264" s="347"/>
      <c r="R264" s="347"/>
      <c r="S264" s="347"/>
      <c r="T264" s="347"/>
      <c r="U264" s="347"/>
      <c r="V264" s="347"/>
      <c r="W264" s="347"/>
      <c r="X264" s="347"/>
      <c r="Y264" s="347"/>
      <c r="Z264" s="347"/>
      <c r="AA264" s="604"/>
      <c r="AB264" s="347"/>
      <c r="AC264" s="590"/>
      <c r="AD264" s="347"/>
      <c r="AE264" s="347"/>
      <c r="AF264" s="347"/>
      <c r="AG264" s="347"/>
      <c r="AH264" s="347"/>
      <c r="AI264" s="347"/>
      <c r="AJ264" s="347"/>
      <c r="AK264" s="347"/>
      <c r="AL264" s="347"/>
      <c r="AM264" s="347"/>
      <c r="AN264" s="347"/>
      <c r="AO264" s="347"/>
      <c r="AP264" s="347"/>
      <c r="AQ264" s="347"/>
      <c r="AR264" s="347"/>
      <c r="AS264" s="347"/>
      <c r="AT264" s="347"/>
      <c r="AU264" s="347"/>
      <c r="AV264" s="347"/>
      <c r="AW264" s="347"/>
      <c r="AX264" s="347"/>
      <c r="AY264" s="347"/>
      <c r="AZ264" s="347"/>
      <c r="BA264" s="347"/>
      <c r="BB264" s="347"/>
      <c r="BC264" s="347"/>
      <c r="BD264" s="347"/>
      <c r="BE264" s="347"/>
      <c r="BF264" s="347"/>
      <c r="BG264" s="347"/>
      <c r="BH264" s="347"/>
    </row>
    <row r="265">
      <c r="A265" s="347"/>
      <c r="B265" s="347"/>
      <c r="C265" s="347"/>
      <c r="D265" s="347"/>
      <c r="E265" s="347"/>
      <c r="F265" s="347"/>
      <c r="G265" s="347"/>
      <c r="H265" s="347"/>
      <c r="I265" s="347"/>
      <c r="J265" s="347"/>
      <c r="K265" s="348"/>
      <c r="L265" s="348"/>
      <c r="M265" s="348"/>
      <c r="N265" s="348"/>
      <c r="O265" s="348"/>
      <c r="P265" s="347"/>
      <c r="Q265" s="347"/>
      <c r="R265" s="347"/>
      <c r="S265" s="347"/>
      <c r="T265" s="347"/>
      <c r="U265" s="347"/>
      <c r="V265" s="347"/>
      <c r="W265" s="347"/>
      <c r="X265" s="347"/>
      <c r="Y265" s="347"/>
      <c r="Z265" s="347"/>
      <c r="AA265" s="604"/>
      <c r="AB265" s="347"/>
      <c r="AC265" s="590"/>
      <c r="AD265" s="347"/>
      <c r="AE265" s="347"/>
      <c r="AF265" s="347"/>
      <c r="AG265" s="347"/>
      <c r="AH265" s="347"/>
      <c r="AI265" s="347"/>
      <c r="AJ265" s="347"/>
      <c r="AK265" s="347"/>
      <c r="AL265" s="347"/>
      <c r="AM265" s="347"/>
      <c r="AN265" s="347"/>
      <c r="AO265" s="347"/>
      <c r="AP265" s="347"/>
      <c r="AQ265" s="347"/>
      <c r="AR265" s="347"/>
      <c r="AS265" s="347"/>
      <c r="AT265" s="347"/>
      <c r="AU265" s="347"/>
      <c r="AV265" s="347"/>
      <c r="AW265" s="347"/>
      <c r="AX265" s="347"/>
      <c r="AY265" s="347"/>
      <c r="AZ265" s="347"/>
      <c r="BA265" s="347"/>
      <c r="BB265" s="347"/>
      <c r="BC265" s="347"/>
      <c r="BD265" s="347"/>
      <c r="BE265" s="347"/>
      <c r="BF265" s="347"/>
      <c r="BG265" s="347"/>
      <c r="BH265" s="347"/>
    </row>
    <row r="266">
      <c r="A266" s="347"/>
      <c r="B266" s="347"/>
      <c r="C266" s="347"/>
      <c r="D266" s="347"/>
      <c r="E266" s="347"/>
      <c r="F266" s="347"/>
      <c r="G266" s="347"/>
      <c r="H266" s="347"/>
      <c r="I266" s="347"/>
      <c r="J266" s="347"/>
      <c r="K266" s="348"/>
      <c r="L266" s="348"/>
      <c r="M266" s="348"/>
      <c r="N266" s="348"/>
      <c r="O266" s="348"/>
      <c r="P266" s="347"/>
      <c r="Q266" s="347"/>
      <c r="R266" s="347"/>
      <c r="S266" s="347"/>
      <c r="T266" s="347"/>
      <c r="U266" s="347"/>
      <c r="V266" s="347"/>
      <c r="W266" s="347"/>
      <c r="X266" s="347"/>
      <c r="Y266" s="347"/>
      <c r="Z266" s="347"/>
      <c r="AA266" s="604"/>
      <c r="AB266" s="347"/>
      <c r="AC266" s="590"/>
      <c r="AD266" s="347"/>
      <c r="AE266" s="347"/>
      <c r="AF266" s="347"/>
      <c r="AG266" s="347"/>
      <c r="AH266" s="347"/>
      <c r="AI266" s="347"/>
      <c r="AJ266" s="347"/>
      <c r="AK266" s="347"/>
      <c r="AL266" s="347"/>
      <c r="AM266" s="347"/>
      <c r="AN266" s="347"/>
      <c r="AO266" s="347"/>
      <c r="AP266" s="347"/>
      <c r="AQ266" s="347"/>
      <c r="AR266" s="347"/>
      <c r="AS266" s="347"/>
      <c r="AT266" s="347"/>
      <c r="AU266" s="347"/>
      <c r="AV266" s="347"/>
      <c r="AW266" s="347"/>
      <c r="AX266" s="347"/>
      <c r="AY266" s="347"/>
      <c r="AZ266" s="347"/>
      <c r="BA266" s="347"/>
      <c r="BB266" s="347"/>
      <c r="BC266" s="347"/>
      <c r="BD266" s="347"/>
      <c r="BE266" s="347"/>
      <c r="BF266" s="347"/>
      <c r="BG266" s="347"/>
      <c r="BH266" s="347"/>
    </row>
    <row r="267">
      <c r="A267" s="347"/>
      <c r="B267" s="347"/>
      <c r="C267" s="347"/>
      <c r="D267" s="347"/>
      <c r="E267" s="347"/>
      <c r="F267" s="347"/>
      <c r="G267" s="347"/>
      <c r="H267" s="347"/>
      <c r="I267" s="347"/>
      <c r="J267" s="347"/>
      <c r="K267" s="348"/>
      <c r="L267" s="348"/>
      <c r="M267" s="348"/>
      <c r="N267" s="348"/>
      <c r="O267" s="348"/>
      <c r="P267" s="347"/>
      <c r="Q267" s="347"/>
      <c r="R267" s="347"/>
      <c r="S267" s="347"/>
      <c r="T267" s="347"/>
      <c r="U267" s="347"/>
      <c r="V267" s="347"/>
      <c r="W267" s="347"/>
      <c r="X267" s="347"/>
      <c r="Y267" s="347"/>
      <c r="Z267" s="347"/>
      <c r="AA267" s="604"/>
      <c r="AB267" s="347"/>
      <c r="AC267" s="590"/>
      <c r="AD267" s="347"/>
      <c r="AE267" s="347"/>
      <c r="AF267" s="347"/>
      <c r="AG267" s="347"/>
      <c r="AH267" s="347"/>
      <c r="AI267" s="347"/>
      <c r="AJ267" s="347"/>
      <c r="AK267" s="347"/>
      <c r="AL267" s="347"/>
      <c r="AM267" s="347"/>
      <c r="AN267" s="347"/>
      <c r="AO267" s="347"/>
      <c r="AP267" s="347"/>
      <c r="AQ267" s="347"/>
      <c r="AR267" s="347"/>
      <c r="AS267" s="347"/>
      <c r="AT267" s="347"/>
      <c r="AU267" s="347"/>
      <c r="AV267" s="347"/>
      <c r="AW267" s="347"/>
      <c r="AX267" s="347"/>
      <c r="AY267" s="347"/>
      <c r="AZ267" s="347"/>
      <c r="BA267" s="347"/>
      <c r="BB267" s="347"/>
      <c r="BC267" s="347"/>
      <c r="BD267" s="347"/>
      <c r="BE267" s="347"/>
      <c r="BF267" s="347"/>
      <c r="BG267" s="347"/>
      <c r="BH267" s="347"/>
    </row>
    <row r="268">
      <c r="A268" s="347"/>
      <c r="B268" s="347"/>
      <c r="C268" s="347"/>
      <c r="D268" s="347"/>
      <c r="E268" s="347"/>
      <c r="F268" s="347"/>
      <c r="G268" s="347"/>
      <c r="H268" s="347"/>
      <c r="I268" s="347"/>
      <c r="J268" s="347"/>
      <c r="K268" s="348"/>
      <c r="L268" s="348"/>
      <c r="M268" s="348"/>
      <c r="N268" s="348"/>
      <c r="O268" s="348"/>
      <c r="P268" s="347"/>
      <c r="Q268" s="347"/>
      <c r="R268" s="347"/>
      <c r="S268" s="347"/>
      <c r="T268" s="347"/>
      <c r="U268" s="347"/>
      <c r="V268" s="347"/>
      <c r="W268" s="347"/>
      <c r="X268" s="347"/>
      <c r="Y268" s="347"/>
      <c r="Z268" s="347"/>
      <c r="AA268" s="604"/>
      <c r="AB268" s="347"/>
      <c r="AC268" s="590"/>
      <c r="AD268" s="347"/>
      <c r="AE268" s="347"/>
      <c r="AF268" s="347"/>
      <c r="AG268" s="347"/>
      <c r="AH268" s="347"/>
      <c r="AI268" s="347"/>
      <c r="AJ268" s="347"/>
      <c r="AK268" s="347"/>
      <c r="AL268" s="347"/>
      <c r="AM268" s="347"/>
      <c r="AN268" s="347"/>
      <c r="AO268" s="347"/>
      <c r="AP268" s="347"/>
      <c r="AQ268" s="347"/>
      <c r="AR268" s="347"/>
      <c r="AS268" s="347"/>
      <c r="AT268" s="347"/>
      <c r="AU268" s="347"/>
      <c r="AV268" s="347"/>
      <c r="AW268" s="347"/>
      <c r="AX268" s="347"/>
      <c r="AY268" s="347"/>
      <c r="AZ268" s="347"/>
      <c r="BA268" s="347"/>
      <c r="BB268" s="347"/>
      <c r="BC268" s="347"/>
      <c r="BD268" s="347"/>
      <c r="BE268" s="347"/>
      <c r="BF268" s="347"/>
      <c r="BG268" s="347"/>
      <c r="BH268" s="347"/>
    </row>
    <row r="269">
      <c r="A269" s="347"/>
      <c r="B269" s="347"/>
      <c r="C269" s="347"/>
      <c r="D269" s="347"/>
      <c r="E269" s="347"/>
      <c r="F269" s="347"/>
      <c r="G269" s="347"/>
      <c r="H269" s="347"/>
      <c r="I269" s="347"/>
      <c r="J269" s="347"/>
      <c r="K269" s="348"/>
      <c r="L269" s="348"/>
      <c r="M269" s="348"/>
      <c r="N269" s="348"/>
      <c r="O269" s="348"/>
      <c r="P269" s="347"/>
      <c r="Q269" s="347"/>
      <c r="R269" s="347"/>
      <c r="S269" s="347"/>
      <c r="T269" s="347"/>
      <c r="U269" s="347"/>
      <c r="V269" s="347"/>
      <c r="W269" s="347"/>
      <c r="X269" s="347"/>
      <c r="Y269" s="347"/>
      <c r="Z269" s="347"/>
      <c r="AA269" s="604"/>
      <c r="AB269" s="347"/>
      <c r="AC269" s="590"/>
      <c r="AD269" s="347"/>
      <c r="AE269" s="347"/>
      <c r="AF269" s="347"/>
      <c r="AG269" s="347"/>
      <c r="AH269" s="347"/>
      <c r="AI269" s="347"/>
      <c r="AJ269" s="347"/>
      <c r="AK269" s="347"/>
      <c r="AL269" s="347"/>
      <c r="AM269" s="347"/>
      <c r="AN269" s="347"/>
      <c r="AO269" s="347"/>
      <c r="AP269" s="347"/>
      <c r="AQ269" s="347"/>
      <c r="AR269" s="347"/>
      <c r="AS269" s="347"/>
      <c r="AT269" s="347"/>
      <c r="AU269" s="347"/>
      <c r="AV269" s="347"/>
      <c r="AW269" s="347"/>
      <c r="AX269" s="347"/>
      <c r="AY269" s="347"/>
      <c r="AZ269" s="347"/>
      <c r="BA269" s="347"/>
      <c r="BB269" s="347"/>
      <c r="BC269" s="347"/>
      <c r="BD269" s="347"/>
      <c r="BE269" s="347"/>
      <c r="BF269" s="347"/>
      <c r="BG269" s="347"/>
      <c r="BH269" s="347"/>
    </row>
    <row r="270">
      <c r="A270" s="347"/>
      <c r="B270" s="347"/>
      <c r="C270" s="347"/>
      <c r="D270" s="347"/>
      <c r="E270" s="347"/>
      <c r="F270" s="347"/>
      <c r="G270" s="347"/>
      <c r="H270" s="347"/>
      <c r="I270" s="347"/>
      <c r="J270" s="347"/>
      <c r="K270" s="348"/>
      <c r="L270" s="348"/>
      <c r="M270" s="348"/>
      <c r="N270" s="348"/>
      <c r="O270" s="348"/>
      <c r="P270" s="347"/>
      <c r="Q270" s="347"/>
      <c r="R270" s="347"/>
      <c r="S270" s="347"/>
      <c r="T270" s="347"/>
      <c r="U270" s="347"/>
      <c r="V270" s="347"/>
      <c r="W270" s="347"/>
      <c r="X270" s="347"/>
      <c r="Y270" s="347"/>
      <c r="Z270" s="347"/>
      <c r="AA270" s="604"/>
      <c r="AB270" s="347"/>
      <c r="AC270" s="590"/>
      <c r="AD270" s="347"/>
      <c r="AE270" s="347"/>
      <c r="AF270" s="347"/>
      <c r="AG270" s="347"/>
      <c r="AH270" s="347"/>
      <c r="AI270" s="347"/>
      <c r="AJ270" s="347"/>
      <c r="AK270" s="347"/>
      <c r="AL270" s="347"/>
      <c r="AM270" s="347"/>
      <c r="AN270" s="347"/>
      <c r="AO270" s="347"/>
      <c r="AP270" s="347"/>
      <c r="AQ270" s="347"/>
      <c r="AR270" s="347"/>
      <c r="AS270" s="347"/>
      <c r="AT270" s="347"/>
      <c r="AU270" s="347"/>
      <c r="AV270" s="347"/>
      <c r="AW270" s="347"/>
      <c r="AX270" s="347"/>
      <c r="AY270" s="347"/>
      <c r="AZ270" s="347"/>
      <c r="BA270" s="347"/>
      <c r="BB270" s="347"/>
      <c r="BC270" s="347"/>
      <c r="BD270" s="347"/>
      <c r="BE270" s="347"/>
      <c r="BF270" s="347"/>
      <c r="BG270" s="347"/>
      <c r="BH270" s="347"/>
    </row>
    <row r="271">
      <c r="A271" s="347"/>
      <c r="B271" s="347"/>
      <c r="C271" s="347"/>
      <c r="D271" s="347"/>
      <c r="E271" s="347"/>
      <c r="F271" s="347"/>
      <c r="G271" s="347"/>
      <c r="H271" s="347"/>
      <c r="I271" s="347"/>
      <c r="J271" s="347"/>
      <c r="K271" s="348"/>
      <c r="L271" s="348"/>
      <c r="M271" s="348"/>
      <c r="N271" s="348"/>
      <c r="O271" s="348"/>
      <c r="P271" s="347"/>
      <c r="Q271" s="347"/>
      <c r="R271" s="347"/>
      <c r="S271" s="347"/>
      <c r="T271" s="347"/>
      <c r="U271" s="347"/>
      <c r="V271" s="347"/>
      <c r="W271" s="347"/>
      <c r="X271" s="347"/>
      <c r="Y271" s="347"/>
      <c r="Z271" s="347"/>
      <c r="AA271" s="604"/>
      <c r="AB271" s="347"/>
      <c r="AC271" s="590"/>
      <c r="AD271" s="347"/>
      <c r="AE271" s="347"/>
      <c r="AF271" s="347"/>
      <c r="AG271" s="347"/>
      <c r="AH271" s="347"/>
      <c r="AI271" s="347"/>
      <c r="AJ271" s="347"/>
      <c r="AK271" s="347"/>
      <c r="AL271" s="347"/>
      <c r="AM271" s="347"/>
      <c r="AN271" s="347"/>
      <c r="AO271" s="347"/>
      <c r="AP271" s="347"/>
      <c r="AQ271" s="347"/>
      <c r="AR271" s="347"/>
      <c r="AS271" s="347"/>
      <c r="AT271" s="347"/>
      <c r="AU271" s="347"/>
      <c r="AV271" s="347"/>
      <c r="AW271" s="347"/>
      <c r="AX271" s="347"/>
      <c r="AY271" s="347"/>
      <c r="AZ271" s="347"/>
      <c r="BA271" s="347"/>
      <c r="BB271" s="347"/>
      <c r="BC271" s="347"/>
      <c r="BD271" s="347"/>
      <c r="BE271" s="347"/>
      <c r="BF271" s="347"/>
      <c r="BG271" s="347"/>
      <c r="BH271" s="347"/>
    </row>
    <row r="272">
      <c r="A272" s="347"/>
      <c r="B272" s="347"/>
      <c r="C272" s="347"/>
      <c r="D272" s="347"/>
      <c r="E272" s="347"/>
      <c r="F272" s="347"/>
      <c r="G272" s="347"/>
      <c r="H272" s="347"/>
      <c r="I272" s="347"/>
      <c r="J272" s="347"/>
      <c r="K272" s="348"/>
      <c r="L272" s="348"/>
      <c r="M272" s="348"/>
      <c r="N272" s="348"/>
      <c r="O272" s="348"/>
      <c r="P272" s="347"/>
      <c r="Q272" s="347"/>
      <c r="R272" s="347"/>
      <c r="S272" s="347"/>
      <c r="T272" s="347"/>
      <c r="U272" s="347"/>
      <c r="V272" s="347"/>
      <c r="W272" s="347"/>
      <c r="X272" s="347"/>
      <c r="Y272" s="347"/>
      <c r="Z272" s="347"/>
      <c r="AA272" s="604"/>
      <c r="AB272" s="347"/>
      <c r="AC272" s="590"/>
      <c r="AD272" s="347"/>
      <c r="AE272" s="347"/>
      <c r="AF272" s="347"/>
      <c r="AG272" s="347"/>
      <c r="AH272" s="347"/>
      <c r="AI272" s="347"/>
      <c r="AJ272" s="347"/>
      <c r="AK272" s="347"/>
      <c r="AL272" s="347"/>
      <c r="AM272" s="347"/>
      <c r="AN272" s="347"/>
      <c r="AO272" s="347"/>
      <c r="AP272" s="347"/>
      <c r="AQ272" s="347"/>
      <c r="AR272" s="347"/>
      <c r="AS272" s="347"/>
      <c r="AT272" s="347"/>
      <c r="AU272" s="347"/>
      <c r="AV272" s="347"/>
      <c r="AW272" s="347"/>
      <c r="AX272" s="347"/>
      <c r="AY272" s="347"/>
      <c r="AZ272" s="347"/>
      <c r="BA272" s="347"/>
      <c r="BB272" s="347"/>
      <c r="BC272" s="347"/>
      <c r="BD272" s="347"/>
      <c r="BE272" s="347"/>
      <c r="BF272" s="347"/>
      <c r="BG272" s="347"/>
      <c r="BH272" s="347"/>
    </row>
    <row r="273">
      <c r="A273" s="347"/>
      <c r="B273" s="347"/>
      <c r="C273" s="347"/>
      <c r="D273" s="347"/>
      <c r="E273" s="347"/>
      <c r="F273" s="347"/>
      <c r="G273" s="347"/>
      <c r="H273" s="347"/>
      <c r="I273" s="347"/>
      <c r="J273" s="347"/>
      <c r="K273" s="348"/>
      <c r="L273" s="348"/>
      <c r="M273" s="348"/>
      <c r="N273" s="348"/>
      <c r="O273" s="348"/>
      <c r="P273" s="347"/>
      <c r="Q273" s="347"/>
      <c r="R273" s="347"/>
      <c r="S273" s="347"/>
      <c r="T273" s="347"/>
      <c r="U273" s="347"/>
      <c r="V273" s="347"/>
      <c r="W273" s="347"/>
      <c r="X273" s="347"/>
      <c r="Y273" s="347"/>
      <c r="Z273" s="347"/>
      <c r="AA273" s="604"/>
      <c r="AB273" s="347"/>
      <c r="AC273" s="590"/>
      <c r="AD273" s="347"/>
      <c r="AE273" s="347"/>
      <c r="AF273" s="347"/>
      <c r="AG273" s="347"/>
      <c r="AH273" s="347"/>
      <c r="AI273" s="347"/>
      <c r="AJ273" s="347"/>
      <c r="AK273" s="347"/>
      <c r="AL273" s="347"/>
      <c r="AM273" s="347"/>
      <c r="AN273" s="347"/>
      <c r="AO273" s="347"/>
      <c r="AP273" s="347"/>
      <c r="AQ273" s="347"/>
      <c r="AR273" s="347"/>
      <c r="AS273" s="347"/>
      <c r="AT273" s="347"/>
      <c r="AU273" s="347"/>
      <c r="AV273" s="347"/>
      <c r="AW273" s="347"/>
      <c r="AX273" s="347"/>
      <c r="AY273" s="347"/>
      <c r="AZ273" s="347"/>
      <c r="BA273" s="347"/>
      <c r="BB273" s="347"/>
      <c r="BC273" s="347"/>
      <c r="BD273" s="347"/>
      <c r="BE273" s="347"/>
      <c r="BF273" s="347"/>
      <c r="BG273" s="347"/>
      <c r="BH273" s="347"/>
    </row>
    <row r="274">
      <c r="A274" s="347"/>
      <c r="B274" s="347"/>
      <c r="C274" s="347"/>
      <c r="D274" s="347"/>
      <c r="E274" s="347"/>
      <c r="F274" s="347"/>
      <c r="G274" s="347"/>
      <c r="H274" s="347"/>
      <c r="I274" s="347"/>
      <c r="J274" s="347"/>
      <c r="K274" s="348"/>
      <c r="L274" s="348"/>
      <c r="M274" s="348"/>
      <c r="N274" s="348"/>
      <c r="O274" s="348"/>
      <c r="P274" s="347"/>
      <c r="Q274" s="347"/>
      <c r="R274" s="347"/>
      <c r="S274" s="347"/>
      <c r="T274" s="347"/>
      <c r="U274" s="347"/>
      <c r="V274" s="347"/>
      <c r="W274" s="347"/>
      <c r="X274" s="347"/>
      <c r="Y274" s="347"/>
      <c r="Z274" s="347"/>
      <c r="AA274" s="604"/>
      <c r="AB274" s="347"/>
      <c r="AC274" s="590"/>
      <c r="AD274" s="347"/>
      <c r="AE274" s="347"/>
      <c r="AF274" s="347"/>
      <c r="AG274" s="347"/>
      <c r="AH274" s="347"/>
      <c r="AI274" s="347"/>
      <c r="AJ274" s="347"/>
      <c r="AK274" s="347"/>
      <c r="AL274" s="347"/>
      <c r="AM274" s="347"/>
      <c r="AN274" s="347"/>
      <c r="AO274" s="347"/>
      <c r="AP274" s="347"/>
      <c r="AQ274" s="347"/>
      <c r="AR274" s="347"/>
      <c r="AS274" s="347"/>
      <c r="AT274" s="347"/>
      <c r="AU274" s="347"/>
      <c r="AV274" s="347"/>
      <c r="AW274" s="347"/>
      <c r="AX274" s="347"/>
      <c r="AY274" s="347"/>
      <c r="AZ274" s="347"/>
      <c r="BA274" s="347"/>
      <c r="BB274" s="347"/>
      <c r="BC274" s="347"/>
      <c r="BD274" s="347"/>
      <c r="BE274" s="347"/>
      <c r="BF274" s="347"/>
      <c r="BG274" s="347"/>
      <c r="BH274" s="347"/>
    </row>
    <row r="275">
      <c r="A275" s="347"/>
      <c r="B275" s="347"/>
      <c r="C275" s="347"/>
      <c r="D275" s="347"/>
      <c r="E275" s="347"/>
      <c r="F275" s="347"/>
      <c r="G275" s="347"/>
      <c r="H275" s="347"/>
      <c r="I275" s="347"/>
      <c r="J275" s="347"/>
      <c r="K275" s="348"/>
      <c r="L275" s="348"/>
      <c r="M275" s="348"/>
      <c r="N275" s="348"/>
      <c r="O275" s="348"/>
      <c r="P275" s="347"/>
      <c r="Q275" s="347"/>
      <c r="R275" s="347"/>
      <c r="S275" s="347"/>
      <c r="T275" s="347"/>
      <c r="U275" s="347"/>
      <c r="V275" s="347"/>
      <c r="W275" s="347"/>
      <c r="X275" s="347"/>
      <c r="Y275" s="347"/>
      <c r="Z275" s="347"/>
      <c r="AA275" s="604"/>
      <c r="AB275" s="347"/>
      <c r="AC275" s="590"/>
      <c r="AD275" s="347"/>
      <c r="AE275" s="347"/>
      <c r="AF275" s="347"/>
      <c r="AG275" s="347"/>
      <c r="AH275" s="347"/>
      <c r="AI275" s="347"/>
      <c r="AJ275" s="347"/>
      <c r="AK275" s="347"/>
      <c r="AL275" s="347"/>
      <c r="AM275" s="347"/>
      <c r="AN275" s="347"/>
      <c r="AO275" s="347"/>
      <c r="AP275" s="347"/>
      <c r="AQ275" s="347"/>
      <c r="AR275" s="347"/>
      <c r="AS275" s="347"/>
      <c r="AT275" s="347"/>
      <c r="AU275" s="347"/>
      <c r="AV275" s="347"/>
      <c r="AW275" s="347"/>
      <c r="AX275" s="347"/>
      <c r="AY275" s="347"/>
      <c r="AZ275" s="347"/>
      <c r="BA275" s="347"/>
      <c r="BB275" s="347"/>
      <c r="BC275" s="347"/>
      <c r="BD275" s="347"/>
      <c r="BE275" s="347"/>
      <c r="BF275" s="347"/>
      <c r="BG275" s="347"/>
      <c r="BH275" s="347"/>
    </row>
    <row r="276">
      <c r="A276" s="347"/>
      <c r="B276" s="347"/>
      <c r="C276" s="347"/>
      <c r="D276" s="347"/>
      <c r="E276" s="347"/>
      <c r="F276" s="347"/>
      <c r="G276" s="347"/>
      <c r="H276" s="347"/>
      <c r="I276" s="347"/>
      <c r="J276" s="347"/>
      <c r="K276" s="348"/>
      <c r="L276" s="348"/>
      <c r="M276" s="348"/>
      <c r="N276" s="348"/>
      <c r="O276" s="348"/>
      <c r="P276" s="347"/>
      <c r="Q276" s="347"/>
      <c r="R276" s="347"/>
      <c r="S276" s="347"/>
      <c r="T276" s="347"/>
      <c r="U276" s="347"/>
      <c r="V276" s="347"/>
      <c r="W276" s="347"/>
      <c r="X276" s="347"/>
      <c r="Y276" s="347"/>
      <c r="Z276" s="347"/>
      <c r="AA276" s="604"/>
      <c r="AB276" s="347"/>
      <c r="AC276" s="590"/>
      <c r="AD276" s="347"/>
      <c r="AE276" s="347"/>
      <c r="AF276" s="347"/>
      <c r="AG276" s="347"/>
      <c r="AH276" s="347"/>
      <c r="AI276" s="347"/>
      <c r="AJ276" s="347"/>
      <c r="AK276" s="347"/>
      <c r="AL276" s="347"/>
      <c r="AM276" s="347"/>
      <c r="AN276" s="347"/>
      <c r="AO276" s="347"/>
      <c r="AP276" s="347"/>
      <c r="AQ276" s="347"/>
      <c r="AR276" s="347"/>
      <c r="AS276" s="347"/>
      <c r="AT276" s="347"/>
      <c r="AU276" s="347"/>
      <c r="AV276" s="347"/>
      <c r="AW276" s="347"/>
      <c r="AX276" s="347"/>
      <c r="AY276" s="347"/>
      <c r="AZ276" s="347"/>
      <c r="BA276" s="347"/>
      <c r="BB276" s="347"/>
      <c r="BC276" s="347"/>
      <c r="BD276" s="347"/>
      <c r="BE276" s="347"/>
      <c r="BF276" s="347"/>
      <c r="BG276" s="347"/>
      <c r="BH276" s="347"/>
    </row>
    <row r="277">
      <c r="A277" s="347"/>
      <c r="B277" s="347"/>
      <c r="C277" s="347"/>
      <c r="D277" s="347"/>
      <c r="E277" s="347"/>
      <c r="F277" s="347"/>
      <c r="G277" s="347"/>
      <c r="H277" s="347"/>
      <c r="I277" s="347"/>
      <c r="J277" s="347"/>
      <c r="K277" s="348"/>
      <c r="L277" s="348"/>
      <c r="M277" s="348"/>
      <c r="N277" s="348"/>
      <c r="O277" s="348"/>
      <c r="P277" s="347"/>
      <c r="Q277" s="347"/>
      <c r="R277" s="347"/>
      <c r="S277" s="347"/>
      <c r="T277" s="347"/>
      <c r="U277" s="347"/>
      <c r="V277" s="347"/>
      <c r="W277" s="347"/>
      <c r="X277" s="347"/>
      <c r="Y277" s="347"/>
      <c r="Z277" s="347"/>
      <c r="AA277" s="604"/>
      <c r="AB277" s="347"/>
      <c r="AC277" s="590"/>
      <c r="AD277" s="347"/>
      <c r="AE277" s="347"/>
      <c r="AF277" s="347"/>
      <c r="AG277" s="347"/>
      <c r="AH277" s="347"/>
      <c r="AI277" s="347"/>
      <c r="AJ277" s="347"/>
      <c r="AK277" s="347"/>
      <c r="AL277" s="347"/>
      <c r="AM277" s="347"/>
      <c r="AN277" s="347"/>
      <c r="AO277" s="347"/>
      <c r="AP277" s="347"/>
      <c r="AQ277" s="347"/>
      <c r="AR277" s="347"/>
      <c r="AS277" s="347"/>
      <c r="AT277" s="347"/>
      <c r="AU277" s="347"/>
      <c r="AV277" s="347"/>
      <c r="AW277" s="347"/>
      <c r="AX277" s="347"/>
      <c r="AY277" s="347"/>
      <c r="AZ277" s="347"/>
      <c r="BA277" s="347"/>
      <c r="BB277" s="347"/>
      <c r="BC277" s="347"/>
      <c r="BD277" s="347"/>
      <c r="BE277" s="347"/>
      <c r="BF277" s="347"/>
      <c r="BG277" s="347"/>
      <c r="BH277" s="347"/>
    </row>
    <row r="278">
      <c r="A278" s="347"/>
      <c r="B278" s="347"/>
      <c r="C278" s="347"/>
      <c r="D278" s="347"/>
      <c r="E278" s="347"/>
      <c r="F278" s="347"/>
      <c r="G278" s="347"/>
      <c r="H278" s="347"/>
      <c r="I278" s="347"/>
      <c r="J278" s="347"/>
      <c r="K278" s="348"/>
      <c r="L278" s="348"/>
      <c r="M278" s="348"/>
      <c r="N278" s="348"/>
      <c r="O278" s="348"/>
      <c r="P278" s="347"/>
      <c r="Q278" s="347"/>
      <c r="R278" s="347"/>
      <c r="S278" s="347"/>
      <c r="T278" s="347"/>
      <c r="U278" s="347"/>
      <c r="V278" s="347"/>
      <c r="W278" s="347"/>
      <c r="X278" s="347"/>
      <c r="Y278" s="347"/>
      <c r="Z278" s="347"/>
      <c r="AA278" s="604"/>
      <c r="AB278" s="347"/>
      <c r="AC278" s="590"/>
      <c r="AD278" s="347"/>
      <c r="AE278" s="347"/>
      <c r="AF278" s="347"/>
      <c r="AG278" s="347"/>
      <c r="AH278" s="347"/>
      <c r="AI278" s="347"/>
      <c r="AJ278" s="347"/>
      <c r="AK278" s="347"/>
      <c r="AL278" s="347"/>
      <c r="AM278" s="347"/>
      <c r="AN278" s="347"/>
      <c r="AO278" s="347"/>
      <c r="AP278" s="347"/>
      <c r="AQ278" s="347"/>
      <c r="AR278" s="347"/>
      <c r="AS278" s="347"/>
      <c r="AT278" s="347"/>
      <c r="AU278" s="347"/>
      <c r="AV278" s="347"/>
      <c r="AW278" s="347"/>
      <c r="AX278" s="347"/>
      <c r="AY278" s="347"/>
      <c r="AZ278" s="347"/>
      <c r="BA278" s="347"/>
      <c r="BB278" s="347"/>
      <c r="BC278" s="347"/>
      <c r="BD278" s="347"/>
      <c r="BE278" s="347"/>
      <c r="BF278" s="347"/>
      <c r="BG278" s="347"/>
      <c r="BH278" s="347"/>
    </row>
    <row r="279">
      <c r="A279" s="347"/>
      <c r="B279" s="347"/>
      <c r="C279" s="347"/>
      <c r="D279" s="347"/>
      <c r="E279" s="347"/>
      <c r="F279" s="347"/>
      <c r="G279" s="347"/>
      <c r="H279" s="347"/>
      <c r="I279" s="347"/>
      <c r="J279" s="347"/>
      <c r="K279" s="348"/>
      <c r="L279" s="348"/>
      <c r="M279" s="348"/>
      <c r="N279" s="348"/>
      <c r="O279" s="348"/>
      <c r="P279" s="347"/>
      <c r="Q279" s="347"/>
      <c r="R279" s="347"/>
      <c r="S279" s="347"/>
      <c r="T279" s="347"/>
      <c r="U279" s="347"/>
      <c r="V279" s="347"/>
      <c r="W279" s="347"/>
      <c r="X279" s="347"/>
      <c r="Y279" s="347"/>
      <c r="Z279" s="347"/>
      <c r="AA279" s="604"/>
      <c r="AB279" s="347"/>
      <c r="AC279" s="590"/>
      <c r="AD279" s="347"/>
      <c r="AE279" s="347"/>
      <c r="AF279" s="347"/>
      <c r="AG279" s="347"/>
      <c r="AH279" s="347"/>
      <c r="AI279" s="347"/>
      <c r="AJ279" s="347"/>
      <c r="AK279" s="347"/>
      <c r="AL279" s="347"/>
      <c r="AM279" s="347"/>
      <c r="AN279" s="347"/>
      <c r="AO279" s="347"/>
      <c r="AP279" s="347"/>
      <c r="AQ279" s="347"/>
      <c r="AR279" s="347"/>
      <c r="AS279" s="347"/>
      <c r="AT279" s="347"/>
      <c r="AU279" s="347"/>
      <c r="AV279" s="347"/>
      <c r="AW279" s="347"/>
      <c r="AX279" s="347"/>
      <c r="AY279" s="347"/>
      <c r="AZ279" s="347"/>
      <c r="BA279" s="347"/>
      <c r="BB279" s="347"/>
      <c r="BC279" s="347"/>
      <c r="BD279" s="347"/>
      <c r="BE279" s="347"/>
      <c r="BF279" s="347"/>
      <c r="BG279" s="347"/>
      <c r="BH279" s="347"/>
    </row>
    <row r="280">
      <c r="A280" s="347"/>
      <c r="B280" s="347"/>
      <c r="C280" s="347"/>
      <c r="D280" s="347"/>
      <c r="E280" s="347"/>
      <c r="F280" s="347"/>
      <c r="G280" s="347"/>
      <c r="H280" s="347"/>
      <c r="I280" s="347"/>
      <c r="J280" s="347"/>
      <c r="K280" s="348"/>
      <c r="L280" s="348"/>
      <c r="M280" s="348"/>
      <c r="N280" s="348"/>
      <c r="O280" s="348"/>
      <c r="P280" s="347"/>
      <c r="Q280" s="347"/>
      <c r="R280" s="347"/>
      <c r="S280" s="347"/>
      <c r="T280" s="347"/>
      <c r="U280" s="347"/>
      <c r="V280" s="347"/>
      <c r="W280" s="347"/>
      <c r="X280" s="347"/>
      <c r="Y280" s="347"/>
      <c r="Z280" s="347"/>
      <c r="AA280" s="604"/>
      <c r="AB280" s="347"/>
      <c r="AC280" s="590"/>
      <c r="AD280" s="347"/>
      <c r="AE280" s="347"/>
      <c r="AF280" s="347"/>
      <c r="AG280" s="347"/>
      <c r="AH280" s="347"/>
      <c r="AI280" s="347"/>
      <c r="AJ280" s="347"/>
      <c r="AK280" s="347"/>
      <c r="AL280" s="347"/>
      <c r="AM280" s="347"/>
      <c r="AN280" s="347"/>
      <c r="AO280" s="347"/>
      <c r="AP280" s="347"/>
      <c r="AQ280" s="347"/>
      <c r="AR280" s="347"/>
      <c r="AS280" s="347"/>
      <c r="AT280" s="347"/>
      <c r="AU280" s="347"/>
      <c r="AV280" s="347"/>
      <c r="AW280" s="347"/>
      <c r="AX280" s="347"/>
      <c r="AY280" s="347"/>
      <c r="AZ280" s="347"/>
      <c r="BA280" s="347"/>
      <c r="BB280" s="347"/>
      <c r="BC280" s="347"/>
      <c r="BD280" s="347"/>
      <c r="BE280" s="347"/>
      <c r="BF280" s="347"/>
      <c r="BG280" s="347"/>
      <c r="BH280" s="347"/>
    </row>
    <row r="281">
      <c r="A281" s="347"/>
      <c r="B281" s="347"/>
      <c r="C281" s="347"/>
      <c r="D281" s="347"/>
      <c r="E281" s="347"/>
      <c r="F281" s="347"/>
      <c r="G281" s="347"/>
      <c r="H281" s="347"/>
      <c r="I281" s="347"/>
      <c r="J281" s="347"/>
      <c r="K281" s="348"/>
      <c r="L281" s="348"/>
      <c r="M281" s="348"/>
      <c r="N281" s="348"/>
      <c r="O281" s="348"/>
      <c r="P281" s="347"/>
      <c r="Q281" s="347"/>
      <c r="R281" s="347"/>
      <c r="S281" s="347"/>
      <c r="T281" s="347"/>
      <c r="U281" s="347"/>
      <c r="V281" s="347"/>
      <c r="W281" s="347"/>
      <c r="X281" s="347"/>
      <c r="Y281" s="347"/>
      <c r="Z281" s="347"/>
      <c r="AA281" s="604"/>
      <c r="AB281" s="347"/>
      <c r="AC281" s="590"/>
      <c r="AD281" s="347"/>
      <c r="AE281" s="347"/>
      <c r="AF281" s="347"/>
      <c r="AG281" s="347"/>
      <c r="AH281" s="347"/>
      <c r="AI281" s="347"/>
      <c r="AJ281" s="347"/>
      <c r="AK281" s="347"/>
      <c r="AL281" s="347"/>
      <c r="AM281" s="347"/>
      <c r="AN281" s="347"/>
      <c r="AO281" s="347"/>
      <c r="AP281" s="347"/>
      <c r="AQ281" s="347"/>
      <c r="AR281" s="347"/>
      <c r="AS281" s="347"/>
      <c r="AT281" s="347"/>
      <c r="AU281" s="347"/>
      <c r="AV281" s="347"/>
      <c r="AW281" s="347"/>
      <c r="AX281" s="347"/>
      <c r="AY281" s="347"/>
      <c r="AZ281" s="347"/>
      <c r="BA281" s="347"/>
      <c r="BB281" s="347"/>
      <c r="BC281" s="347"/>
      <c r="BD281" s="347"/>
      <c r="BE281" s="347"/>
      <c r="BF281" s="347"/>
      <c r="BG281" s="347"/>
      <c r="BH281" s="347"/>
    </row>
    <row r="282">
      <c r="A282" s="347"/>
      <c r="B282" s="347"/>
      <c r="C282" s="347"/>
      <c r="D282" s="347"/>
      <c r="E282" s="347"/>
      <c r="F282" s="347"/>
      <c r="G282" s="347"/>
      <c r="H282" s="347"/>
      <c r="I282" s="347"/>
      <c r="J282" s="347"/>
      <c r="K282" s="348"/>
      <c r="L282" s="348"/>
      <c r="M282" s="348"/>
      <c r="N282" s="348"/>
      <c r="O282" s="348"/>
      <c r="P282" s="347"/>
      <c r="Q282" s="347"/>
      <c r="R282" s="347"/>
      <c r="S282" s="347"/>
      <c r="T282" s="347"/>
      <c r="U282" s="347"/>
      <c r="V282" s="347"/>
      <c r="W282" s="347"/>
      <c r="X282" s="347"/>
      <c r="Y282" s="347"/>
      <c r="Z282" s="347"/>
      <c r="AA282" s="604"/>
      <c r="AB282" s="347"/>
      <c r="AC282" s="590"/>
      <c r="AD282" s="347"/>
      <c r="AE282" s="347"/>
      <c r="AF282" s="347"/>
      <c r="AG282" s="347"/>
      <c r="AH282" s="347"/>
      <c r="AI282" s="347"/>
      <c r="AJ282" s="347"/>
      <c r="AK282" s="347"/>
      <c r="AL282" s="347"/>
      <c r="AM282" s="347"/>
      <c r="AN282" s="347"/>
      <c r="AO282" s="347"/>
      <c r="AP282" s="347"/>
      <c r="AQ282" s="347"/>
      <c r="AR282" s="347"/>
      <c r="AS282" s="347"/>
      <c r="AT282" s="347"/>
      <c r="AU282" s="347"/>
      <c r="AV282" s="347"/>
      <c r="AW282" s="347"/>
      <c r="AX282" s="347"/>
      <c r="AY282" s="347"/>
      <c r="AZ282" s="347"/>
      <c r="BA282" s="347"/>
      <c r="BB282" s="347"/>
      <c r="BC282" s="347"/>
      <c r="BD282" s="347"/>
      <c r="BE282" s="347"/>
      <c r="BF282" s="347"/>
      <c r="BG282" s="347"/>
      <c r="BH282" s="347"/>
    </row>
    <row r="283">
      <c r="A283" s="347"/>
      <c r="B283" s="347"/>
      <c r="C283" s="347"/>
      <c r="D283" s="347"/>
      <c r="E283" s="347"/>
      <c r="F283" s="347"/>
      <c r="G283" s="347"/>
      <c r="H283" s="347"/>
      <c r="I283" s="347"/>
      <c r="J283" s="347"/>
      <c r="K283" s="348"/>
      <c r="L283" s="348"/>
      <c r="M283" s="348"/>
      <c r="N283" s="348"/>
      <c r="O283" s="348"/>
      <c r="P283" s="347"/>
      <c r="Q283" s="347"/>
      <c r="R283" s="347"/>
      <c r="S283" s="347"/>
      <c r="T283" s="347"/>
      <c r="U283" s="347"/>
      <c r="V283" s="347"/>
      <c r="W283" s="347"/>
      <c r="X283" s="347"/>
      <c r="Y283" s="347"/>
      <c r="Z283" s="347"/>
      <c r="AA283" s="604"/>
      <c r="AB283" s="347"/>
      <c r="AC283" s="590"/>
      <c r="AD283" s="347"/>
      <c r="AE283" s="347"/>
      <c r="AF283" s="347"/>
      <c r="AG283" s="347"/>
      <c r="AH283" s="347"/>
      <c r="AI283" s="347"/>
      <c r="AJ283" s="347"/>
      <c r="AK283" s="347"/>
      <c r="AL283" s="347"/>
      <c r="AM283" s="347"/>
      <c r="AN283" s="347"/>
      <c r="AO283" s="347"/>
      <c r="AP283" s="347"/>
      <c r="AQ283" s="347"/>
      <c r="AR283" s="347"/>
      <c r="AS283" s="347"/>
      <c r="AT283" s="347"/>
      <c r="AU283" s="347"/>
      <c r="AV283" s="347"/>
      <c r="AW283" s="347"/>
      <c r="AX283" s="347"/>
      <c r="AY283" s="347"/>
      <c r="AZ283" s="347"/>
      <c r="BA283" s="347"/>
      <c r="BB283" s="347"/>
      <c r="BC283" s="347"/>
      <c r="BD283" s="347"/>
      <c r="BE283" s="347"/>
      <c r="BF283" s="347"/>
      <c r="BG283" s="347"/>
      <c r="BH283" s="347"/>
    </row>
    <row r="284">
      <c r="A284" s="347"/>
      <c r="B284" s="347"/>
      <c r="C284" s="347"/>
      <c r="D284" s="347"/>
      <c r="E284" s="347"/>
      <c r="F284" s="347"/>
      <c r="G284" s="347"/>
      <c r="H284" s="347"/>
      <c r="I284" s="347"/>
      <c r="J284" s="347"/>
      <c r="K284" s="348"/>
      <c r="L284" s="348"/>
      <c r="M284" s="348"/>
      <c r="N284" s="348"/>
      <c r="O284" s="348"/>
      <c r="P284" s="347"/>
      <c r="Q284" s="347"/>
      <c r="R284" s="347"/>
      <c r="S284" s="347"/>
      <c r="T284" s="347"/>
      <c r="U284" s="347"/>
      <c r="V284" s="347"/>
      <c r="W284" s="347"/>
      <c r="X284" s="347"/>
      <c r="Y284" s="347"/>
      <c r="Z284" s="347"/>
      <c r="AA284" s="604"/>
      <c r="AB284" s="347"/>
      <c r="AC284" s="590"/>
      <c r="AD284" s="347"/>
      <c r="AE284" s="347"/>
      <c r="AF284" s="347"/>
      <c r="AG284" s="347"/>
      <c r="AH284" s="347"/>
      <c r="AI284" s="347"/>
      <c r="AJ284" s="347"/>
      <c r="AK284" s="347"/>
      <c r="AL284" s="347"/>
      <c r="AM284" s="347"/>
      <c r="AN284" s="347"/>
      <c r="AO284" s="347"/>
      <c r="AP284" s="347"/>
      <c r="AQ284" s="347"/>
      <c r="AR284" s="347"/>
      <c r="AS284" s="347"/>
      <c r="AT284" s="347"/>
      <c r="AU284" s="347"/>
      <c r="AV284" s="347"/>
      <c r="AW284" s="347"/>
      <c r="AX284" s="347"/>
      <c r="AY284" s="347"/>
      <c r="AZ284" s="347"/>
      <c r="BA284" s="347"/>
      <c r="BB284" s="347"/>
      <c r="BC284" s="347"/>
      <c r="BD284" s="347"/>
      <c r="BE284" s="347"/>
      <c r="BF284" s="347"/>
      <c r="BG284" s="347"/>
      <c r="BH284" s="347"/>
    </row>
    <row r="285">
      <c r="A285" s="347"/>
      <c r="B285" s="347"/>
      <c r="C285" s="347"/>
      <c r="D285" s="347"/>
      <c r="E285" s="347"/>
      <c r="F285" s="347"/>
      <c r="G285" s="347"/>
      <c r="H285" s="347"/>
      <c r="I285" s="347"/>
      <c r="J285" s="347"/>
      <c r="K285" s="348"/>
      <c r="L285" s="348"/>
      <c r="M285" s="348"/>
      <c r="N285" s="348"/>
      <c r="O285" s="348"/>
      <c r="P285" s="347"/>
      <c r="Q285" s="347"/>
      <c r="R285" s="347"/>
      <c r="S285" s="347"/>
      <c r="T285" s="347"/>
      <c r="U285" s="347"/>
      <c r="V285" s="347"/>
      <c r="W285" s="347"/>
      <c r="X285" s="347"/>
      <c r="Y285" s="347"/>
      <c r="Z285" s="347"/>
      <c r="AA285" s="604"/>
      <c r="AB285" s="347"/>
      <c r="AC285" s="590"/>
      <c r="AD285" s="347"/>
      <c r="AE285" s="347"/>
      <c r="AF285" s="347"/>
      <c r="AG285" s="347"/>
      <c r="AH285" s="347"/>
      <c r="AI285" s="347"/>
      <c r="AJ285" s="347"/>
      <c r="AK285" s="347"/>
      <c r="AL285" s="347"/>
      <c r="AM285" s="347"/>
      <c r="AN285" s="347"/>
      <c r="AO285" s="347"/>
      <c r="AP285" s="347"/>
      <c r="AQ285" s="347"/>
      <c r="AR285" s="347"/>
      <c r="AS285" s="347"/>
      <c r="AT285" s="347"/>
      <c r="AU285" s="347"/>
      <c r="AV285" s="347"/>
      <c r="AW285" s="347"/>
      <c r="AX285" s="347"/>
      <c r="AY285" s="347"/>
      <c r="AZ285" s="347"/>
      <c r="BA285" s="347"/>
      <c r="BB285" s="347"/>
      <c r="BC285" s="347"/>
      <c r="BD285" s="347"/>
      <c r="BE285" s="347"/>
      <c r="BF285" s="347"/>
      <c r="BG285" s="347"/>
      <c r="BH285" s="347"/>
    </row>
    <row r="286">
      <c r="A286" s="347"/>
      <c r="B286" s="347"/>
      <c r="C286" s="347"/>
      <c r="D286" s="347"/>
      <c r="E286" s="347"/>
      <c r="F286" s="347"/>
      <c r="G286" s="347"/>
      <c r="H286" s="347"/>
      <c r="I286" s="347"/>
      <c r="J286" s="347"/>
      <c r="K286" s="348"/>
      <c r="L286" s="348"/>
      <c r="M286" s="348"/>
      <c r="N286" s="348"/>
      <c r="O286" s="348"/>
      <c r="P286" s="347"/>
      <c r="Q286" s="347"/>
      <c r="R286" s="347"/>
      <c r="S286" s="347"/>
      <c r="T286" s="347"/>
      <c r="U286" s="347"/>
      <c r="V286" s="347"/>
      <c r="W286" s="347"/>
      <c r="X286" s="347"/>
      <c r="Y286" s="347"/>
      <c r="Z286" s="347"/>
      <c r="AA286" s="604"/>
      <c r="AB286" s="347"/>
      <c r="AC286" s="590"/>
      <c r="AD286" s="347"/>
      <c r="AE286" s="347"/>
      <c r="AF286" s="347"/>
      <c r="AG286" s="347"/>
      <c r="AH286" s="347"/>
      <c r="AI286" s="347"/>
      <c r="AJ286" s="347"/>
      <c r="AK286" s="347"/>
      <c r="AL286" s="347"/>
      <c r="AM286" s="347"/>
      <c r="AN286" s="347"/>
      <c r="AO286" s="347"/>
      <c r="AP286" s="347"/>
      <c r="AQ286" s="347"/>
      <c r="AR286" s="347"/>
      <c r="AS286" s="347"/>
      <c r="AT286" s="347"/>
      <c r="AU286" s="347"/>
      <c r="AV286" s="347"/>
      <c r="AW286" s="347"/>
      <c r="AX286" s="347"/>
      <c r="AY286" s="347"/>
      <c r="AZ286" s="347"/>
      <c r="BA286" s="347"/>
      <c r="BB286" s="347"/>
      <c r="BC286" s="347"/>
      <c r="BD286" s="347"/>
      <c r="BE286" s="347"/>
      <c r="BF286" s="347"/>
      <c r="BG286" s="347"/>
      <c r="BH286" s="347"/>
    </row>
    <row r="287">
      <c r="A287" s="347"/>
      <c r="B287" s="347"/>
      <c r="C287" s="347"/>
      <c r="D287" s="347"/>
      <c r="E287" s="347"/>
      <c r="F287" s="347"/>
      <c r="G287" s="347"/>
      <c r="H287" s="347"/>
      <c r="I287" s="347"/>
      <c r="J287" s="347"/>
      <c r="K287" s="348"/>
      <c r="L287" s="348"/>
      <c r="M287" s="348"/>
      <c r="N287" s="348"/>
      <c r="O287" s="348"/>
      <c r="P287" s="347"/>
      <c r="Q287" s="347"/>
      <c r="R287" s="347"/>
      <c r="S287" s="347"/>
      <c r="T287" s="347"/>
      <c r="U287" s="347"/>
      <c r="V287" s="347"/>
      <c r="W287" s="347"/>
      <c r="X287" s="347"/>
      <c r="Y287" s="347"/>
      <c r="Z287" s="347"/>
      <c r="AA287" s="604"/>
      <c r="AB287" s="347"/>
      <c r="AC287" s="590"/>
      <c r="AD287" s="347"/>
      <c r="AE287" s="347"/>
      <c r="AF287" s="347"/>
      <c r="AG287" s="347"/>
      <c r="AH287" s="347"/>
      <c r="AI287" s="347"/>
      <c r="AJ287" s="347"/>
      <c r="AK287" s="347"/>
      <c r="AL287" s="347"/>
      <c r="AM287" s="347"/>
      <c r="AN287" s="347"/>
      <c r="AO287" s="347"/>
      <c r="AP287" s="347"/>
      <c r="AQ287" s="347"/>
      <c r="AR287" s="347"/>
      <c r="AS287" s="347"/>
      <c r="AT287" s="347"/>
      <c r="AU287" s="347"/>
      <c r="AV287" s="347"/>
      <c r="AW287" s="347"/>
      <c r="AX287" s="347"/>
      <c r="AY287" s="347"/>
      <c r="AZ287" s="347"/>
      <c r="BA287" s="347"/>
      <c r="BB287" s="347"/>
      <c r="BC287" s="347"/>
      <c r="BD287" s="347"/>
      <c r="BE287" s="347"/>
      <c r="BF287" s="347"/>
      <c r="BG287" s="347"/>
      <c r="BH287" s="347"/>
    </row>
    <row r="288">
      <c r="A288" s="347"/>
      <c r="B288" s="347"/>
      <c r="C288" s="347"/>
      <c r="D288" s="347"/>
      <c r="E288" s="347"/>
      <c r="F288" s="347"/>
      <c r="G288" s="347"/>
      <c r="H288" s="347"/>
      <c r="I288" s="347"/>
      <c r="J288" s="347"/>
      <c r="K288" s="348"/>
      <c r="L288" s="348"/>
      <c r="M288" s="348"/>
      <c r="N288" s="348"/>
      <c r="O288" s="348"/>
      <c r="P288" s="347"/>
      <c r="Q288" s="347"/>
      <c r="R288" s="347"/>
      <c r="S288" s="347"/>
      <c r="T288" s="347"/>
      <c r="U288" s="347"/>
      <c r="V288" s="347"/>
      <c r="W288" s="347"/>
      <c r="X288" s="347"/>
      <c r="Y288" s="347"/>
      <c r="Z288" s="347"/>
      <c r="AA288" s="604"/>
      <c r="AB288" s="347"/>
      <c r="AC288" s="590"/>
      <c r="AD288" s="347"/>
      <c r="AE288" s="347"/>
      <c r="AF288" s="347"/>
      <c r="AG288" s="347"/>
      <c r="AH288" s="347"/>
      <c r="AI288" s="347"/>
      <c r="AJ288" s="347"/>
      <c r="AK288" s="347"/>
      <c r="AL288" s="347"/>
      <c r="AM288" s="347"/>
      <c r="AN288" s="347"/>
      <c r="AO288" s="347"/>
      <c r="AP288" s="347"/>
      <c r="AQ288" s="347"/>
      <c r="AR288" s="347"/>
      <c r="AS288" s="347"/>
      <c r="AT288" s="347"/>
      <c r="AU288" s="347"/>
      <c r="AV288" s="347"/>
      <c r="AW288" s="347"/>
      <c r="AX288" s="347"/>
      <c r="AY288" s="347"/>
      <c r="AZ288" s="347"/>
      <c r="BA288" s="347"/>
      <c r="BB288" s="347"/>
      <c r="BC288" s="347"/>
      <c r="BD288" s="347"/>
      <c r="BE288" s="347"/>
      <c r="BF288" s="347"/>
      <c r="BG288" s="347"/>
      <c r="BH288" s="347"/>
    </row>
    <row r="289">
      <c r="A289" s="347"/>
      <c r="B289" s="347"/>
      <c r="C289" s="347"/>
      <c r="D289" s="347"/>
      <c r="E289" s="347"/>
      <c r="F289" s="347"/>
      <c r="G289" s="347"/>
      <c r="H289" s="347"/>
      <c r="I289" s="347"/>
      <c r="J289" s="347"/>
      <c r="K289" s="348"/>
      <c r="L289" s="348"/>
      <c r="M289" s="348"/>
      <c r="N289" s="348"/>
      <c r="O289" s="348"/>
      <c r="P289" s="347"/>
      <c r="Q289" s="347"/>
      <c r="R289" s="347"/>
      <c r="S289" s="347"/>
      <c r="T289" s="347"/>
      <c r="U289" s="347"/>
      <c r="V289" s="347"/>
      <c r="W289" s="347"/>
      <c r="X289" s="347"/>
      <c r="Y289" s="347"/>
      <c r="Z289" s="347"/>
      <c r="AA289" s="604"/>
      <c r="AB289" s="347"/>
      <c r="AC289" s="590"/>
      <c r="AD289" s="347"/>
      <c r="AE289" s="347"/>
      <c r="AF289" s="347"/>
      <c r="AG289" s="347"/>
      <c r="AH289" s="347"/>
      <c r="AI289" s="347"/>
      <c r="AJ289" s="347"/>
      <c r="AK289" s="347"/>
      <c r="AL289" s="347"/>
      <c r="AM289" s="347"/>
      <c r="AN289" s="347"/>
      <c r="AO289" s="347"/>
      <c r="AP289" s="347"/>
      <c r="AQ289" s="347"/>
      <c r="AR289" s="347"/>
      <c r="AS289" s="347"/>
      <c r="AT289" s="347"/>
      <c r="AU289" s="347"/>
      <c r="AV289" s="347"/>
      <c r="AW289" s="347"/>
      <c r="AX289" s="347"/>
      <c r="AY289" s="347"/>
      <c r="AZ289" s="347"/>
      <c r="BA289" s="347"/>
      <c r="BB289" s="347"/>
      <c r="BC289" s="347"/>
      <c r="BD289" s="347"/>
      <c r="BE289" s="347"/>
      <c r="BF289" s="347"/>
      <c r="BG289" s="347"/>
      <c r="BH289" s="347"/>
    </row>
    <row r="290">
      <c r="A290" s="347"/>
      <c r="B290" s="347"/>
      <c r="C290" s="347"/>
      <c r="D290" s="347"/>
      <c r="E290" s="347"/>
      <c r="F290" s="347"/>
      <c r="G290" s="347"/>
      <c r="H290" s="347"/>
      <c r="I290" s="347"/>
      <c r="J290" s="347"/>
      <c r="K290" s="348"/>
      <c r="L290" s="348"/>
      <c r="M290" s="348"/>
      <c r="N290" s="348"/>
      <c r="O290" s="348"/>
      <c r="P290" s="347"/>
      <c r="Q290" s="347"/>
      <c r="R290" s="347"/>
      <c r="S290" s="347"/>
      <c r="T290" s="347"/>
      <c r="U290" s="347"/>
      <c r="V290" s="347"/>
      <c r="W290" s="347"/>
      <c r="X290" s="347"/>
      <c r="Y290" s="347"/>
      <c r="Z290" s="347"/>
      <c r="AA290" s="604"/>
      <c r="AB290" s="347"/>
      <c r="AC290" s="590"/>
      <c r="AD290" s="347"/>
      <c r="AE290" s="347"/>
      <c r="AF290" s="347"/>
      <c r="AG290" s="347"/>
      <c r="AH290" s="347"/>
      <c r="AI290" s="347"/>
      <c r="AJ290" s="347"/>
      <c r="AK290" s="347"/>
      <c r="AL290" s="347"/>
      <c r="AM290" s="347"/>
      <c r="AN290" s="347"/>
      <c r="AO290" s="347"/>
      <c r="AP290" s="347"/>
      <c r="AQ290" s="347"/>
      <c r="AR290" s="347"/>
      <c r="AS290" s="347"/>
      <c r="AT290" s="347"/>
      <c r="AU290" s="347"/>
      <c r="AV290" s="347"/>
      <c r="AW290" s="347"/>
      <c r="AX290" s="347"/>
      <c r="AY290" s="347"/>
      <c r="AZ290" s="347"/>
      <c r="BA290" s="347"/>
      <c r="BB290" s="347"/>
      <c r="BC290" s="347"/>
      <c r="BD290" s="347"/>
      <c r="BE290" s="347"/>
      <c r="BF290" s="347"/>
      <c r="BG290" s="347"/>
      <c r="BH290" s="347"/>
    </row>
    <row r="291">
      <c r="A291" s="347"/>
      <c r="B291" s="347"/>
      <c r="C291" s="347"/>
      <c r="D291" s="347"/>
      <c r="E291" s="347"/>
      <c r="F291" s="347"/>
      <c r="G291" s="347"/>
      <c r="H291" s="347"/>
      <c r="I291" s="347"/>
      <c r="J291" s="347"/>
      <c r="K291" s="348"/>
      <c r="L291" s="348"/>
      <c r="M291" s="348"/>
      <c r="N291" s="348"/>
      <c r="O291" s="348"/>
      <c r="P291" s="347"/>
      <c r="Q291" s="347"/>
      <c r="R291" s="347"/>
      <c r="S291" s="347"/>
      <c r="T291" s="347"/>
      <c r="U291" s="347"/>
      <c r="V291" s="347"/>
      <c r="W291" s="347"/>
      <c r="X291" s="347"/>
      <c r="Y291" s="347"/>
      <c r="Z291" s="347"/>
      <c r="AA291" s="604"/>
      <c r="AB291" s="347"/>
      <c r="AC291" s="590"/>
      <c r="AD291" s="347"/>
      <c r="AE291" s="347"/>
      <c r="AF291" s="347"/>
      <c r="AG291" s="347"/>
      <c r="AH291" s="347"/>
      <c r="AI291" s="347"/>
      <c r="AJ291" s="347"/>
      <c r="AK291" s="347"/>
      <c r="AL291" s="347"/>
      <c r="AM291" s="347"/>
      <c r="AN291" s="347"/>
      <c r="AO291" s="347"/>
      <c r="AP291" s="347"/>
      <c r="AQ291" s="347"/>
      <c r="AR291" s="347"/>
      <c r="AS291" s="347"/>
      <c r="AT291" s="347"/>
      <c r="AU291" s="347"/>
      <c r="AV291" s="347"/>
      <c r="AW291" s="347"/>
      <c r="AX291" s="347"/>
      <c r="AY291" s="347"/>
      <c r="AZ291" s="347"/>
      <c r="BA291" s="347"/>
      <c r="BB291" s="347"/>
      <c r="BC291" s="347"/>
      <c r="BD291" s="347"/>
      <c r="BE291" s="347"/>
      <c r="BF291" s="347"/>
      <c r="BG291" s="347"/>
      <c r="BH291" s="347"/>
    </row>
    <row r="292">
      <c r="A292" s="347"/>
      <c r="B292" s="347"/>
      <c r="C292" s="347"/>
      <c r="D292" s="347"/>
      <c r="E292" s="347"/>
      <c r="F292" s="347"/>
      <c r="G292" s="347"/>
      <c r="H292" s="347"/>
      <c r="I292" s="347"/>
      <c r="J292" s="347"/>
      <c r="K292" s="348"/>
      <c r="L292" s="348"/>
      <c r="M292" s="348"/>
      <c r="N292" s="348"/>
      <c r="O292" s="348"/>
      <c r="P292" s="347"/>
      <c r="Q292" s="347"/>
      <c r="R292" s="347"/>
      <c r="S292" s="347"/>
      <c r="T292" s="347"/>
      <c r="U292" s="347"/>
      <c r="V292" s="347"/>
      <c r="W292" s="347"/>
      <c r="X292" s="347"/>
      <c r="Y292" s="347"/>
      <c r="Z292" s="347"/>
      <c r="AA292" s="604"/>
      <c r="AB292" s="347"/>
      <c r="AC292" s="590"/>
      <c r="AD292" s="347"/>
      <c r="AE292" s="347"/>
      <c r="AF292" s="347"/>
      <c r="AG292" s="347"/>
      <c r="AH292" s="347"/>
      <c r="AI292" s="347"/>
      <c r="AJ292" s="347"/>
      <c r="AK292" s="347"/>
      <c r="AL292" s="347"/>
      <c r="AM292" s="347"/>
      <c r="AN292" s="347"/>
      <c r="AO292" s="347"/>
      <c r="AP292" s="347"/>
      <c r="AQ292" s="347"/>
      <c r="AR292" s="347"/>
      <c r="AS292" s="347"/>
      <c r="AT292" s="347"/>
      <c r="AU292" s="347"/>
      <c r="AV292" s="347"/>
      <c r="AW292" s="347"/>
      <c r="AX292" s="347"/>
      <c r="AY292" s="347"/>
      <c r="AZ292" s="347"/>
      <c r="BA292" s="347"/>
      <c r="BB292" s="347"/>
      <c r="BC292" s="347"/>
      <c r="BD292" s="347"/>
      <c r="BE292" s="347"/>
      <c r="BF292" s="347"/>
      <c r="BG292" s="347"/>
      <c r="BH292" s="347"/>
    </row>
    <row r="293">
      <c r="A293" s="347"/>
      <c r="B293" s="347"/>
      <c r="C293" s="347"/>
      <c r="D293" s="347"/>
      <c r="E293" s="347"/>
      <c r="F293" s="347"/>
      <c r="G293" s="347"/>
      <c r="H293" s="347"/>
      <c r="I293" s="347"/>
      <c r="J293" s="347"/>
      <c r="K293" s="348"/>
      <c r="L293" s="348"/>
      <c r="M293" s="348"/>
      <c r="N293" s="348"/>
      <c r="O293" s="348"/>
      <c r="P293" s="347"/>
      <c r="Q293" s="347"/>
      <c r="R293" s="347"/>
      <c r="S293" s="347"/>
      <c r="T293" s="347"/>
      <c r="U293" s="347"/>
      <c r="V293" s="347"/>
      <c r="W293" s="347"/>
      <c r="X293" s="347"/>
      <c r="Y293" s="347"/>
      <c r="Z293" s="347"/>
      <c r="AA293" s="604"/>
      <c r="AB293" s="347"/>
      <c r="AC293" s="590"/>
      <c r="AD293" s="347"/>
      <c r="AE293" s="347"/>
      <c r="AF293" s="347"/>
      <c r="AG293" s="347"/>
      <c r="AH293" s="347"/>
      <c r="AI293" s="347"/>
      <c r="AJ293" s="347"/>
      <c r="AK293" s="347"/>
      <c r="AL293" s="347"/>
      <c r="AM293" s="347"/>
      <c r="AN293" s="347"/>
      <c r="AO293" s="347"/>
      <c r="AP293" s="347"/>
      <c r="AQ293" s="347"/>
      <c r="AR293" s="347"/>
      <c r="AS293" s="347"/>
      <c r="AT293" s="347"/>
      <c r="AU293" s="347"/>
      <c r="AV293" s="347"/>
      <c r="AW293" s="347"/>
      <c r="AX293" s="347"/>
      <c r="AY293" s="347"/>
      <c r="AZ293" s="347"/>
      <c r="BA293" s="347"/>
      <c r="BB293" s="347"/>
      <c r="BC293" s="347"/>
      <c r="BD293" s="347"/>
      <c r="BE293" s="347"/>
      <c r="BF293" s="347"/>
      <c r="BG293" s="347"/>
      <c r="BH293" s="347"/>
    </row>
    <row r="294">
      <c r="A294" s="347"/>
      <c r="B294" s="347"/>
      <c r="C294" s="347"/>
      <c r="D294" s="347"/>
      <c r="E294" s="347"/>
      <c r="F294" s="347"/>
      <c r="G294" s="347"/>
      <c r="H294" s="347"/>
      <c r="I294" s="347"/>
      <c r="J294" s="347"/>
      <c r="K294" s="348"/>
      <c r="L294" s="348"/>
      <c r="M294" s="348"/>
      <c r="N294" s="348"/>
      <c r="O294" s="348"/>
      <c r="P294" s="347"/>
      <c r="Q294" s="347"/>
      <c r="R294" s="347"/>
      <c r="S294" s="347"/>
      <c r="T294" s="347"/>
      <c r="U294" s="347"/>
      <c r="V294" s="347"/>
      <c r="W294" s="347"/>
      <c r="X294" s="347"/>
      <c r="Y294" s="347"/>
      <c r="Z294" s="347"/>
      <c r="AA294" s="604"/>
      <c r="AB294" s="347"/>
      <c r="AC294" s="590"/>
      <c r="AD294" s="347"/>
      <c r="AE294" s="347"/>
      <c r="AF294" s="347"/>
      <c r="AG294" s="347"/>
      <c r="AH294" s="347"/>
      <c r="AI294" s="347"/>
      <c r="AJ294" s="347"/>
      <c r="AK294" s="347"/>
      <c r="AL294" s="347"/>
      <c r="AM294" s="347"/>
      <c r="AN294" s="347"/>
      <c r="AO294" s="347"/>
      <c r="AP294" s="347"/>
      <c r="AQ294" s="347"/>
      <c r="AR294" s="347"/>
      <c r="AS294" s="347"/>
      <c r="AT294" s="347"/>
      <c r="AU294" s="347"/>
      <c r="AV294" s="347"/>
      <c r="AW294" s="347"/>
      <c r="AX294" s="347"/>
      <c r="AY294" s="347"/>
      <c r="AZ294" s="347"/>
      <c r="BA294" s="347"/>
      <c r="BB294" s="347"/>
      <c r="BC294" s="347"/>
      <c r="BD294" s="347"/>
      <c r="BE294" s="347"/>
      <c r="BF294" s="347"/>
      <c r="BG294" s="347"/>
      <c r="BH294" s="347"/>
    </row>
    <row r="295">
      <c r="A295" s="347"/>
      <c r="B295" s="347"/>
      <c r="C295" s="347"/>
      <c r="D295" s="347"/>
      <c r="E295" s="347"/>
      <c r="F295" s="347"/>
      <c r="G295" s="347"/>
      <c r="H295" s="347"/>
      <c r="I295" s="347"/>
      <c r="J295" s="347"/>
      <c r="K295" s="348"/>
      <c r="L295" s="348"/>
      <c r="M295" s="348"/>
      <c r="N295" s="348"/>
      <c r="O295" s="348"/>
      <c r="P295" s="347"/>
      <c r="Q295" s="347"/>
      <c r="R295" s="347"/>
      <c r="S295" s="347"/>
      <c r="T295" s="347"/>
      <c r="U295" s="347"/>
      <c r="V295" s="347"/>
      <c r="W295" s="347"/>
      <c r="X295" s="347"/>
      <c r="Y295" s="347"/>
      <c r="Z295" s="347"/>
      <c r="AA295" s="604"/>
      <c r="AB295" s="347"/>
      <c r="AC295" s="590"/>
      <c r="AD295" s="347"/>
      <c r="AE295" s="347"/>
      <c r="AF295" s="347"/>
      <c r="AG295" s="347"/>
      <c r="AH295" s="347"/>
      <c r="AI295" s="347"/>
      <c r="AJ295" s="347"/>
      <c r="AK295" s="347"/>
      <c r="AL295" s="347"/>
      <c r="AM295" s="347"/>
      <c r="AN295" s="347"/>
      <c r="AO295" s="347"/>
      <c r="AP295" s="347"/>
      <c r="AQ295" s="347"/>
      <c r="AR295" s="347"/>
      <c r="AS295" s="347"/>
      <c r="AT295" s="347"/>
      <c r="AU295" s="347"/>
      <c r="AV295" s="347"/>
      <c r="AW295" s="347"/>
      <c r="AX295" s="347"/>
      <c r="AY295" s="347"/>
      <c r="AZ295" s="347"/>
      <c r="BA295" s="347"/>
      <c r="BB295" s="347"/>
      <c r="BC295" s="347"/>
      <c r="BD295" s="347"/>
      <c r="BE295" s="347"/>
      <c r="BF295" s="347"/>
      <c r="BG295" s="347"/>
      <c r="BH295" s="347"/>
    </row>
    <row r="296">
      <c r="A296" s="347"/>
      <c r="B296" s="347"/>
      <c r="C296" s="347"/>
      <c r="D296" s="347"/>
      <c r="E296" s="347"/>
      <c r="F296" s="347"/>
      <c r="G296" s="347"/>
      <c r="H296" s="347"/>
      <c r="I296" s="347"/>
      <c r="J296" s="347"/>
      <c r="K296" s="348"/>
      <c r="L296" s="348"/>
      <c r="M296" s="348"/>
      <c r="N296" s="348"/>
      <c r="O296" s="348"/>
      <c r="P296" s="347"/>
      <c r="Q296" s="347"/>
      <c r="R296" s="347"/>
      <c r="S296" s="347"/>
      <c r="T296" s="347"/>
      <c r="U296" s="347"/>
      <c r="V296" s="347"/>
      <c r="W296" s="347"/>
      <c r="X296" s="347"/>
      <c r="Y296" s="347"/>
      <c r="Z296" s="347"/>
      <c r="AA296" s="604"/>
      <c r="AB296" s="347"/>
      <c r="AC296" s="590"/>
      <c r="AD296" s="347"/>
      <c r="AE296" s="347"/>
      <c r="AF296" s="347"/>
      <c r="AG296" s="347"/>
      <c r="AH296" s="347"/>
      <c r="AI296" s="347"/>
      <c r="AJ296" s="347"/>
      <c r="AK296" s="347"/>
      <c r="AL296" s="347"/>
      <c r="AM296" s="347"/>
      <c r="AN296" s="347"/>
      <c r="AO296" s="347"/>
      <c r="AP296" s="347"/>
      <c r="AQ296" s="347"/>
      <c r="AR296" s="347"/>
      <c r="AS296" s="347"/>
      <c r="AT296" s="347"/>
      <c r="AU296" s="347"/>
      <c r="AV296" s="347"/>
      <c r="AW296" s="347"/>
      <c r="AX296" s="347"/>
      <c r="AY296" s="347"/>
      <c r="AZ296" s="347"/>
      <c r="BA296" s="347"/>
      <c r="BB296" s="347"/>
      <c r="BC296" s="347"/>
      <c r="BD296" s="347"/>
      <c r="BE296" s="347"/>
      <c r="BF296" s="347"/>
      <c r="BG296" s="347"/>
      <c r="BH296" s="347"/>
    </row>
    <row r="297">
      <c r="A297" s="347"/>
      <c r="B297" s="347"/>
      <c r="C297" s="347"/>
      <c r="D297" s="347"/>
      <c r="E297" s="347"/>
      <c r="F297" s="347"/>
      <c r="G297" s="347"/>
      <c r="H297" s="347"/>
      <c r="I297" s="347"/>
      <c r="J297" s="347"/>
      <c r="K297" s="348"/>
      <c r="L297" s="348"/>
      <c r="M297" s="348"/>
      <c r="N297" s="348"/>
      <c r="O297" s="348"/>
      <c r="P297" s="347"/>
      <c r="Q297" s="347"/>
      <c r="R297" s="347"/>
      <c r="S297" s="347"/>
      <c r="T297" s="347"/>
      <c r="U297" s="347"/>
      <c r="V297" s="347"/>
      <c r="W297" s="347"/>
      <c r="X297" s="347"/>
      <c r="Y297" s="347"/>
      <c r="Z297" s="347"/>
      <c r="AA297" s="604"/>
      <c r="AB297" s="347"/>
      <c r="AC297" s="590"/>
      <c r="AD297" s="347"/>
      <c r="AE297" s="347"/>
      <c r="AF297" s="347"/>
      <c r="AG297" s="347"/>
      <c r="AH297" s="347"/>
      <c r="AI297" s="347"/>
      <c r="AJ297" s="347"/>
      <c r="AK297" s="347"/>
      <c r="AL297" s="347"/>
      <c r="AM297" s="347"/>
      <c r="AN297" s="347"/>
      <c r="AO297" s="347"/>
      <c r="AP297" s="347"/>
      <c r="AQ297" s="347"/>
      <c r="AR297" s="347"/>
      <c r="AS297" s="347"/>
      <c r="AT297" s="347"/>
      <c r="AU297" s="347"/>
      <c r="AV297" s="347"/>
      <c r="AW297" s="347"/>
      <c r="AX297" s="347"/>
      <c r="AY297" s="347"/>
      <c r="AZ297" s="347"/>
      <c r="BA297" s="347"/>
      <c r="BB297" s="347"/>
      <c r="BC297" s="347"/>
      <c r="BD297" s="347"/>
      <c r="BE297" s="347"/>
      <c r="BF297" s="347"/>
      <c r="BG297" s="347"/>
      <c r="BH297" s="347"/>
    </row>
    <row r="298">
      <c r="A298" s="347"/>
      <c r="B298" s="347"/>
      <c r="C298" s="347"/>
      <c r="D298" s="347"/>
      <c r="E298" s="347"/>
      <c r="F298" s="347"/>
      <c r="G298" s="347"/>
      <c r="H298" s="347"/>
      <c r="I298" s="347"/>
      <c r="J298" s="347"/>
      <c r="K298" s="348"/>
      <c r="L298" s="348"/>
      <c r="M298" s="348"/>
      <c r="N298" s="348"/>
      <c r="O298" s="348"/>
      <c r="P298" s="347"/>
      <c r="Q298" s="347"/>
      <c r="R298" s="347"/>
      <c r="S298" s="347"/>
      <c r="T298" s="347"/>
      <c r="U298" s="347"/>
      <c r="V298" s="347"/>
      <c r="W298" s="347"/>
      <c r="X298" s="347"/>
      <c r="Y298" s="347"/>
      <c r="Z298" s="347"/>
      <c r="AA298" s="604"/>
      <c r="AB298" s="347"/>
      <c r="AC298" s="590"/>
      <c r="AD298" s="347"/>
      <c r="AE298" s="347"/>
      <c r="AF298" s="347"/>
      <c r="AG298" s="347"/>
      <c r="AH298" s="347"/>
      <c r="AI298" s="347"/>
      <c r="AJ298" s="347"/>
      <c r="AK298" s="347"/>
      <c r="AL298" s="347"/>
      <c r="AM298" s="347"/>
      <c r="AN298" s="347"/>
      <c r="AO298" s="347"/>
      <c r="AP298" s="347"/>
      <c r="AQ298" s="347"/>
      <c r="AR298" s="347"/>
      <c r="AS298" s="347"/>
      <c r="AT298" s="347"/>
      <c r="AU298" s="347"/>
      <c r="AV298" s="347"/>
      <c r="AW298" s="347"/>
      <c r="AX298" s="347"/>
      <c r="AY298" s="347"/>
      <c r="AZ298" s="347"/>
      <c r="BA298" s="347"/>
      <c r="BB298" s="347"/>
      <c r="BC298" s="347"/>
      <c r="BD298" s="347"/>
      <c r="BE298" s="347"/>
      <c r="BF298" s="347"/>
      <c r="BG298" s="347"/>
      <c r="BH298" s="347"/>
    </row>
    <row r="299">
      <c r="A299" s="347"/>
      <c r="B299" s="347"/>
      <c r="C299" s="347"/>
      <c r="D299" s="347"/>
      <c r="E299" s="347"/>
      <c r="F299" s="347"/>
      <c r="G299" s="347"/>
      <c r="H299" s="347"/>
      <c r="I299" s="347"/>
      <c r="J299" s="347"/>
      <c r="K299" s="348"/>
      <c r="L299" s="348"/>
      <c r="M299" s="348"/>
      <c r="N299" s="348"/>
      <c r="O299" s="348"/>
      <c r="P299" s="347"/>
      <c r="Q299" s="347"/>
      <c r="R299" s="347"/>
      <c r="S299" s="347"/>
      <c r="T299" s="347"/>
      <c r="U299" s="347"/>
      <c r="V299" s="347"/>
      <c r="W299" s="347"/>
      <c r="X299" s="347"/>
      <c r="Y299" s="347"/>
      <c r="Z299" s="347"/>
      <c r="AA299" s="604"/>
      <c r="AB299" s="347"/>
      <c r="AC299" s="590"/>
      <c r="AD299" s="347"/>
      <c r="AE299" s="347"/>
      <c r="AF299" s="347"/>
      <c r="AG299" s="347"/>
      <c r="AH299" s="347"/>
      <c r="AI299" s="347"/>
      <c r="AJ299" s="347"/>
      <c r="AK299" s="347"/>
      <c r="AL299" s="347"/>
      <c r="AM299" s="347"/>
      <c r="AN299" s="347"/>
      <c r="AO299" s="347"/>
      <c r="AP299" s="347"/>
      <c r="AQ299" s="347"/>
      <c r="AR299" s="347"/>
      <c r="AS299" s="347"/>
      <c r="AT299" s="347"/>
      <c r="AU299" s="347"/>
      <c r="AV299" s="347"/>
      <c r="AW299" s="347"/>
      <c r="AX299" s="347"/>
      <c r="AY299" s="347"/>
      <c r="AZ299" s="347"/>
      <c r="BA299" s="347"/>
      <c r="BB299" s="347"/>
      <c r="BC299" s="347"/>
      <c r="BD299" s="347"/>
      <c r="BE299" s="347"/>
      <c r="BF299" s="347"/>
      <c r="BG299" s="347"/>
      <c r="BH299" s="347"/>
    </row>
    <row r="300">
      <c r="A300" s="347"/>
      <c r="B300" s="347"/>
      <c r="C300" s="347"/>
      <c r="D300" s="347"/>
      <c r="E300" s="347"/>
      <c r="F300" s="347"/>
      <c r="G300" s="347"/>
      <c r="H300" s="347"/>
      <c r="I300" s="347"/>
      <c r="J300" s="347"/>
      <c r="K300" s="348"/>
      <c r="L300" s="348"/>
      <c r="M300" s="348"/>
      <c r="N300" s="348"/>
      <c r="O300" s="348"/>
      <c r="P300" s="347"/>
      <c r="Q300" s="347"/>
      <c r="R300" s="347"/>
      <c r="S300" s="347"/>
      <c r="T300" s="347"/>
      <c r="U300" s="347"/>
      <c r="V300" s="347"/>
      <c r="W300" s="347"/>
      <c r="X300" s="347"/>
      <c r="Y300" s="347"/>
      <c r="Z300" s="347"/>
      <c r="AA300" s="604"/>
      <c r="AB300" s="347"/>
      <c r="AC300" s="590"/>
      <c r="AD300" s="347"/>
      <c r="AE300" s="347"/>
      <c r="AF300" s="347"/>
      <c r="AG300" s="347"/>
      <c r="AH300" s="347"/>
      <c r="AI300" s="347"/>
      <c r="AJ300" s="347"/>
      <c r="AK300" s="347"/>
      <c r="AL300" s="347"/>
      <c r="AM300" s="347"/>
      <c r="AN300" s="347"/>
      <c r="AO300" s="347"/>
      <c r="AP300" s="347"/>
      <c r="AQ300" s="347"/>
      <c r="AR300" s="347"/>
      <c r="AS300" s="347"/>
      <c r="AT300" s="347"/>
      <c r="AU300" s="347"/>
      <c r="AV300" s="347"/>
      <c r="AW300" s="347"/>
      <c r="AX300" s="347"/>
      <c r="AY300" s="347"/>
      <c r="AZ300" s="347"/>
      <c r="BA300" s="347"/>
      <c r="BB300" s="347"/>
      <c r="BC300" s="347"/>
      <c r="BD300" s="347"/>
      <c r="BE300" s="347"/>
      <c r="BF300" s="347"/>
      <c r="BG300" s="347"/>
      <c r="BH300" s="347"/>
    </row>
    <row r="301">
      <c r="A301" s="347"/>
      <c r="B301" s="347"/>
      <c r="C301" s="347"/>
      <c r="D301" s="347"/>
      <c r="E301" s="347"/>
      <c r="F301" s="347"/>
      <c r="G301" s="347"/>
      <c r="H301" s="347"/>
      <c r="I301" s="347"/>
      <c r="J301" s="347"/>
      <c r="K301" s="348"/>
      <c r="L301" s="348"/>
      <c r="M301" s="348"/>
      <c r="N301" s="348"/>
      <c r="O301" s="348"/>
      <c r="P301" s="347"/>
      <c r="Q301" s="347"/>
      <c r="R301" s="347"/>
      <c r="S301" s="347"/>
      <c r="T301" s="347"/>
      <c r="U301" s="347"/>
      <c r="V301" s="347"/>
      <c r="W301" s="347"/>
      <c r="X301" s="347"/>
      <c r="Y301" s="347"/>
      <c r="Z301" s="347"/>
      <c r="AA301" s="604"/>
      <c r="AB301" s="347"/>
      <c r="AC301" s="590"/>
      <c r="AD301" s="347"/>
      <c r="AE301" s="347"/>
      <c r="AF301" s="347"/>
      <c r="AG301" s="347"/>
      <c r="AH301" s="347"/>
      <c r="AI301" s="347"/>
      <c r="AJ301" s="347"/>
      <c r="AK301" s="347"/>
      <c r="AL301" s="347"/>
      <c r="AM301" s="347"/>
      <c r="AN301" s="347"/>
      <c r="AO301" s="347"/>
      <c r="AP301" s="347"/>
      <c r="AQ301" s="347"/>
      <c r="AR301" s="347"/>
      <c r="AS301" s="347"/>
      <c r="AT301" s="347"/>
      <c r="AU301" s="347"/>
      <c r="AV301" s="347"/>
      <c r="AW301" s="347"/>
      <c r="AX301" s="347"/>
      <c r="AY301" s="347"/>
      <c r="AZ301" s="347"/>
      <c r="BA301" s="347"/>
      <c r="BB301" s="347"/>
      <c r="BC301" s="347"/>
      <c r="BD301" s="347"/>
      <c r="BE301" s="347"/>
      <c r="BF301" s="347"/>
      <c r="BG301" s="347"/>
      <c r="BH301" s="347"/>
    </row>
    <row r="302">
      <c r="A302" s="347"/>
      <c r="B302" s="347"/>
      <c r="C302" s="347"/>
      <c r="D302" s="347"/>
      <c r="E302" s="347"/>
      <c r="F302" s="347"/>
      <c r="G302" s="347"/>
      <c r="H302" s="347"/>
      <c r="I302" s="347"/>
      <c r="J302" s="347"/>
      <c r="K302" s="348"/>
      <c r="L302" s="348"/>
      <c r="M302" s="348"/>
      <c r="N302" s="348"/>
      <c r="O302" s="348"/>
      <c r="P302" s="347"/>
      <c r="Q302" s="347"/>
      <c r="R302" s="347"/>
      <c r="S302" s="347"/>
      <c r="T302" s="347"/>
      <c r="U302" s="347"/>
      <c r="V302" s="347"/>
      <c r="W302" s="347"/>
      <c r="X302" s="347"/>
      <c r="Y302" s="347"/>
      <c r="Z302" s="347"/>
      <c r="AA302" s="604"/>
      <c r="AB302" s="347"/>
      <c r="AC302" s="590"/>
      <c r="AD302" s="347"/>
      <c r="AE302" s="347"/>
      <c r="AF302" s="347"/>
      <c r="AG302" s="347"/>
      <c r="AH302" s="347"/>
      <c r="AI302" s="347"/>
      <c r="AJ302" s="347"/>
      <c r="AK302" s="347"/>
      <c r="AL302" s="347"/>
      <c r="AM302" s="347"/>
      <c r="AN302" s="347"/>
      <c r="AO302" s="347"/>
      <c r="AP302" s="347"/>
      <c r="AQ302" s="347"/>
      <c r="AR302" s="347"/>
      <c r="AS302" s="347"/>
      <c r="AT302" s="347"/>
      <c r="AU302" s="347"/>
      <c r="AV302" s="347"/>
      <c r="AW302" s="347"/>
      <c r="AX302" s="347"/>
      <c r="AY302" s="347"/>
      <c r="AZ302" s="347"/>
      <c r="BA302" s="347"/>
      <c r="BB302" s="347"/>
      <c r="BC302" s="347"/>
      <c r="BD302" s="347"/>
      <c r="BE302" s="347"/>
      <c r="BF302" s="347"/>
      <c r="BG302" s="347"/>
      <c r="BH302" s="347"/>
    </row>
    <row r="303">
      <c r="A303" s="347"/>
      <c r="B303" s="347"/>
      <c r="C303" s="347"/>
      <c r="D303" s="347"/>
      <c r="E303" s="347"/>
      <c r="F303" s="347"/>
      <c r="G303" s="347"/>
      <c r="H303" s="347"/>
      <c r="I303" s="347"/>
      <c r="J303" s="347"/>
      <c r="K303" s="348"/>
      <c r="L303" s="348"/>
      <c r="M303" s="348"/>
      <c r="N303" s="348"/>
      <c r="O303" s="348"/>
      <c r="P303" s="347"/>
      <c r="Q303" s="347"/>
      <c r="R303" s="347"/>
      <c r="S303" s="347"/>
      <c r="T303" s="347"/>
      <c r="U303" s="347"/>
      <c r="V303" s="347"/>
      <c r="W303" s="347"/>
      <c r="X303" s="347"/>
      <c r="Y303" s="347"/>
      <c r="Z303" s="347"/>
      <c r="AA303" s="604"/>
      <c r="AB303" s="347"/>
      <c r="AC303" s="590"/>
      <c r="AD303" s="347"/>
      <c r="AE303" s="347"/>
      <c r="AF303" s="347"/>
      <c r="AG303" s="347"/>
      <c r="AH303" s="347"/>
      <c r="AI303" s="347"/>
      <c r="AJ303" s="347"/>
      <c r="AK303" s="347"/>
      <c r="AL303" s="347"/>
      <c r="AM303" s="347"/>
      <c r="AN303" s="347"/>
      <c r="AO303" s="347"/>
      <c r="AP303" s="347"/>
      <c r="AQ303" s="347"/>
      <c r="AR303" s="347"/>
      <c r="AS303" s="347"/>
      <c r="AT303" s="347"/>
      <c r="AU303" s="347"/>
      <c r="AV303" s="347"/>
      <c r="AW303" s="347"/>
      <c r="AX303" s="347"/>
      <c r="AY303" s="347"/>
      <c r="AZ303" s="347"/>
      <c r="BA303" s="347"/>
      <c r="BB303" s="347"/>
      <c r="BC303" s="347"/>
      <c r="BD303" s="347"/>
      <c r="BE303" s="347"/>
      <c r="BF303" s="347"/>
      <c r="BG303" s="347"/>
      <c r="BH303" s="347"/>
    </row>
    <row r="304">
      <c r="A304" s="347"/>
      <c r="B304" s="347"/>
      <c r="C304" s="347"/>
      <c r="D304" s="347"/>
      <c r="E304" s="347"/>
      <c r="F304" s="347"/>
      <c r="G304" s="347"/>
      <c r="H304" s="347"/>
      <c r="I304" s="347"/>
      <c r="J304" s="347"/>
      <c r="K304" s="348"/>
      <c r="L304" s="348"/>
      <c r="M304" s="348"/>
      <c r="N304" s="348"/>
      <c r="O304" s="348"/>
      <c r="P304" s="347"/>
      <c r="Q304" s="347"/>
      <c r="R304" s="347"/>
      <c r="S304" s="347"/>
      <c r="T304" s="347"/>
      <c r="U304" s="347"/>
      <c r="V304" s="347"/>
      <c r="W304" s="347"/>
      <c r="X304" s="347"/>
      <c r="Y304" s="347"/>
      <c r="Z304" s="347"/>
      <c r="AA304" s="604"/>
      <c r="AB304" s="347"/>
      <c r="AC304" s="590"/>
      <c r="AD304" s="347"/>
      <c r="AE304" s="347"/>
      <c r="AF304" s="347"/>
      <c r="AG304" s="347"/>
      <c r="AH304" s="347"/>
      <c r="AI304" s="347"/>
      <c r="AJ304" s="347"/>
      <c r="AK304" s="347"/>
      <c r="AL304" s="347"/>
      <c r="AM304" s="347"/>
      <c r="AN304" s="347"/>
      <c r="AO304" s="347"/>
      <c r="AP304" s="347"/>
      <c r="AQ304" s="347"/>
      <c r="AR304" s="347"/>
      <c r="AS304" s="347"/>
      <c r="AT304" s="347"/>
      <c r="AU304" s="347"/>
      <c r="AV304" s="347"/>
      <c r="AW304" s="347"/>
      <c r="AX304" s="347"/>
      <c r="AY304" s="347"/>
      <c r="AZ304" s="347"/>
      <c r="BA304" s="347"/>
      <c r="BB304" s="347"/>
      <c r="BC304" s="347"/>
      <c r="BD304" s="347"/>
      <c r="BE304" s="347"/>
      <c r="BF304" s="347"/>
      <c r="BG304" s="347"/>
      <c r="BH304" s="347"/>
    </row>
    <row r="305">
      <c r="A305" s="347"/>
      <c r="B305" s="347"/>
      <c r="C305" s="347"/>
      <c r="D305" s="347"/>
      <c r="E305" s="347"/>
      <c r="F305" s="347"/>
      <c r="G305" s="347"/>
      <c r="H305" s="347"/>
      <c r="I305" s="347"/>
      <c r="J305" s="347"/>
      <c r="K305" s="348"/>
      <c r="L305" s="348"/>
      <c r="M305" s="348"/>
      <c r="N305" s="348"/>
      <c r="O305" s="348"/>
      <c r="P305" s="347"/>
      <c r="Q305" s="347"/>
      <c r="R305" s="347"/>
      <c r="S305" s="347"/>
      <c r="T305" s="347"/>
      <c r="U305" s="347"/>
      <c r="V305" s="347"/>
      <c r="W305" s="347"/>
      <c r="X305" s="347"/>
      <c r="Y305" s="347"/>
      <c r="Z305" s="347"/>
      <c r="AA305" s="604"/>
      <c r="AB305" s="347"/>
      <c r="AC305" s="590"/>
      <c r="AD305" s="347"/>
      <c r="AE305" s="347"/>
      <c r="AF305" s="347"/>
      <c r="AG305" s="347"/>
      <c r="AH305" s="347"/>
      <c r="AI305" s="347"/>
      <c r="AJ305" s="347"/>
      <c r="AK305" s="347"/>
      <c r="AL305" s="347"/>
      <c r="AM305" s="347"/>
      <c r="AN305" s="347"/>
      <c r="AO305" s="347"/>
      <c r="AP305" s="347"/>
      <c r="AQ305" s="347"/>
      <c r="AR305" s="347"/>
      <c r="AS305" s="347"/>
      <c r="AT305" s="347"/>
      <c r="AU305" s="347"/>
      <c r="AV305" s="347"/>
      <c r="AW305" s="347"/>
      <c r="AX305" s="347"/>
      <c r="AY305" s="347"/>
      <c r="AZ305" s="347"/>
      <c r="BA305" s="347"/>
      <c r="BB305" s="347"/>
      <c r="BC305" s="347"/>
      <c r="BD305" s="347"/>
      <c r="BE305" s="347"/>
      <c r="BF305" s="347"/>
      <c r="BG305" s="347"/>
      <c r="BH305" s="347"/>
    </row>
    <row r="306">
      <c r="A306" s="347"/>
      <c r="B306" s="347"/>
      <c r="C306" s="347"/>
      <c r="D306" s="347"/>
      <c r="E306" s="347"/>
      <c r="F306" s="347"/>
      <c r="G306" s="347"/>
      <c r="H306" s="347"/>
      <c r="I306" s="347"/>
      <c r="J306" s="347"/>
      <c r="K306" s="348"/>
      <c r="L306" s="348"/>
      <c r="M306" s="348"/>
      <c r="N306" s="348"/>
      <c r="O306" s="348"/>
      <c r="P306" s="347"/>
      <c r="Q306" s="347"/>
      <c r="R306" s="347"/>
      <c r="S306" s="347"/>
      <c r="T306" s="347"/>
      <c r="U306" s="347"/>
      <c r="V306" s="347"/>
      <c r="W306" s="347"/>
      <c r="X306" s="347"/>
      <c r="Y306" s="347"/>
      <c r="Z306" s="347"/>
      <c r="AA306" s="604"/>
      <c r="AB306" s="347"/>
      <c r="AC306" s="590"/>
      <c r="AD306" s="347"/>
      <c r="AE306" s="347"/>
      <c r="AF306" s="347"/>
      <c r="AG306" s="347"/>
      <c r="AH306" s="347"/>
      <c r="AI306" s="347"/>
      <c r="AJ306" s="347"/>
      <c r="AK306" s="347"/>
      <c r="AL306" s="347"/>
      <c r="AM306" s="347"/>
      <c r="AN306" s="347"/>
      <c r="AO306" s="347"/>
      <c r="AP306" s="347"/>
      <c r="AQ306" s="347"/>
      <c r="AR306" s="347"/>
      <c r="AS306" s="347"/>
      <c r="AT306" s="347"/>
      <c r="AU306" s="347"/>
      <c r="AV306" s="347"/>
      <c r="AW306" s="347"/>
      <c r="AX306" s="347"/>
      <c r="AY306" s="347"/>
      <c r="AZ306" s="347"/>
      <c r="BA306" s="347"/>
      <c r="BB306" s="347"/>
      <c r="BC306" s="347"/>
      <c r="BD306" s="347"/>
      <c r="BE306" s="347"/>
      <c r="BF306" s="347"/>
      <c r="BG306" s="347"/>
      <c r="BH306" s="347"/>
    </row>
    <row r="307">
      <c r="A307" s="347"/>
      <c r="B307" s="347"/>
      <c r="C307" s="347"/>
      <c r="D307" s="347"/>
      <c r="E307" s="347"/>
      <c r="F307" s="347"/>
      <c r="G307" s="347"/>
      <c r="H307" s="347"/>
      <c r="I307" s="347"/>
      <c r="J307" s="347"/>
      <c r="K307" s="348"/>
      <c r="L307" s="348"/>
      <c r="M307" s="348"/>
      <c r="N307" s="348"/>
      <c r="O307" s="348"/>
      <c r="P307" s="347"/>
      <c r="Q307" s="347"/>
      <c r="R307" s="347"/>
      <c r="S307" s="347"/>
      <c r="T307" s="347"/>
      <c r="U307" s="347"/>
      <c r="V307" s="347"/>
      <c r="W307" s="347"/>
      <c r="X307" s="347"/>
      <c r="Y307" s="347"/>
      <c r="Z307" s="347"/>
      <c r="AA307" s="604"/>
      <c r="AB307" s="347"/>
      <c r="AC307" s="590"/>
      <c r="AD307" s="347"/>
      <c r="AE307" s="347"/>
      <c r="AF307" s="347"/>
      <c r="AG307" s="347"/>
      <c r="AH307" s="347"/>
      <c r="AI307" s="347"/>
      <c r="AJ307" s="347"/>
      <c r="AK307" s="347"/>
      <c r="AL307" s="347"/>
      <c r="AM307" s="347"/>
      <c r="AN307" s="347"/>
      <c r="AO307" s="347"/>
      <c r="AP307" s="347"/>
      <c r="AQ307" s="347"/>
      <c r="AR307" s="347"/>
      <c r="AS307" s="347"/>
      <c r="AT307" s="347"/>
      <c r="AU307" s="347"/>
      <c r="AV307" s="347"/>
      <c r="AW307" s="347"/>
      <c r="AX307" s="347"/>
      <c r="AY307" s="347"/>
      <c r="AZ307" s="347"/>
      <c r="BA307" s="347"/>
      <c r="BB307" s="347"/>
      <c r="BC307" s="347"/>
      <c r="BD307" s="347"/>
      <c r="BE307" s="347"/>
      <c r="BF307" s="347"/>
      <c r="BG307" s="347"/>
      <c r="BH307" s="347"/>
    </row>
    <row r="308">
      <c r="A308" s="347"/>
      <c r="B308" s="347"/>
      <c r="C308" s="347"/>
      <c r="D308" s="347"/>
      <c r="E308" s="347"/>
      <c r="F308" s="347"/>
      <c r="G308" s="347"/>
      <c r="H308" s="347"/>
      <c r="I308" s="347"/>
      <c r="J308" s="347"/>
      <c r="K308" s="348"/>
      <c r="L308" s="348"/>
      <c r="M308" s="348"/>
      <c r="N308" s="348"/>
      <c r="O308" s="348"/>
      <c r="P308" s="347"/>
      <c r="Q308" s="347"/>
      <c r="R308" s="347"/>
      <c r="S308" s="347"/>
      <c r="T308" s="347"/>
      <c r="U308" s="347"/>
      <c r="V308" s="347"/>
      <c r="W308" s="347"/>
      <c r="X308" s="347"/>
      <c r="Y308" s="347"/>
      <c r="Z308" s="347"/>
      <c r="AA308" s="604"/>
      <c r="AB308" s="347"/>
      <c r="AC308" s="590"/>
      <c r="AD308" s="347"/>
      <c r="AE308" s="347"/>
      <c r="AF308" s="347"/>
      <c r="AG308" s="347"/>
      <c r="AH308" s="347"/>
      <c r="AI308" s="347"/>
      <c r="AJ308" s="347"/>
      <c r="AK308" s="347"/>
      <c r="AL308" s="347"/>
      <c r="AM308" s="347"/>
      <c r="AN308" s="347"/>
      <c r="AO308" s="347"/>
      <c r="AP308" s="347"/>
      <c r="AQ308" s="347"/>
      <c r="AR308" s="347"/>
      <c r="AS308" s="347"/>
      <c r="AT308" s="347"/>
      <c r="AU308" s="347"/>
      <c r="AV308" s="347"/>
      <c r="AW308" s="347"/>
      <c r="AX308" s="347"/>
      <c r="AY308" s="347"/>
      <c r="AZ308" s="347"/>
      <c r="BA308" s="347"/>
      <c r="BB308" s="347"/>
      <c r="BC308" s="347"/>
      <c r="BD308" s="347"/>
      <c r="BE308" s="347"/>
      <c r="BF308" s="347"/>
      <c r="BG308" s="347"/>
      <c r="BH308" s="347"/>
    </row>
    <row r="309">
      <c r="A309" s="347"/>
      <c r="B309" s="347"/>
      <c r="C309" s="347"/>
      <c r="D309" s="347"/>
      <c r="E309" s="347"/>
      <c r="F309" s="347"/>
      <c r="G309" s="347"/>
      <c r="H309" s="347"/>
      <c r="I309" s="347"/>
      <c r="J309" s="347"/>
      <c r="K309" s="348"/>
      <c r="L309" s="348"/>
      <c r="M309" s="348"/>
      <c r="N309" s="348"/>
      <c r="O309" s="348"/>
      <c r="P309" s="347"/>
      <c r="Q309" s="347"/>
      <c r="R309" s="347"/>
      <c r="S309" s="347"/>
      <c r="T309" s="347"/>
      <c r="U309" s="347"/>
      <c r="V309" s="347"/>
      <c r="W309" s="347"/>
      <c r="X309" s="347"/>
      <c r="Y309" s="347"/>
      <c r="Z309" s="347"/>
      <c r="AA309" s="604"/>
      <c r="AB309" s="347"/>
      <c r="AC309" s="590"/>
      <c r="AD309" s="347"/>
      <c r="AE309" s="347"/>
      <c r="AF309" s="347"/>
      <c r="AG309" s="347"/>
      <c r="AH309" s="347"/>
      <c r="AI309" s="347"/>
      <c r="AJ309" s="347"/>
      <c r="AK309" s="347"/>
      <c r="AL309" s="347"/>
      <c r="AM309" s="347"/>
      <c r="AN309" s="347"/>
      <c r="AO309" s="347"/>
      <c r="AP309" s="347"/>
      <c r="AQ309" s="347"/>
      <c r="AR309" s="347"/>
      <c r="AS309" s="347"/>
      <c r="AT309" s="347"/>
      <c r="AU309" s="347"/>
      <c r="AV309" s="347"/>
      <c r="AW309" s="347"/>
      <c r="AX309" s="347"/>
      <c r="AY309" s="347"/>
      <c r="AZ309" s="347"/>
      <c r="BA309" s="347"/>
      <c r="BB309" s="347"/>
      <c r="BC309" s="347"/>
      <c r="BD309" s="347"/>
      <c r="BE309" s="347"/>
      <c r="BF309" s="347"/>
      <c r="BG309" s="347"/>
      <c r="BH309" s="347"/>
    </row>
    <row r="310">
      <c r="A310" s="347"/>
      <c r="B310" s="347"/>
      <c r="C310" s="347"/>
      <c r="D310" s="347"/>
      <c r="E310" s="347"/>
      <c r="F310" s="347"/>
      <c r="G310" s="347"/>
      <c r="H310" s="347"/>
      <c r="I310" s="347"/>
      <c r="J310" s="347"/>
      <c r="K310" s="348"/>
      <c r="L310" s="348"/>
      <c r="M310" s="348"/>
      <c r="N310" s="348"/>
      <c r="O310" s="348"/>
      <c r="P310" s="347"/>
      <c r="Q310" s="347"/>
      <c r="R310" s="347"/>
      <c r="S310" s="347"/>
      <c r="T310" s="347"/>
      <c r="U310" s="347"/>
      <c r="V310" s="347"/>
      <c r="W310" s="347"/>
      <c r="X310" s="347"/>
      <c r="Y310" s="347"/>
      <c r="Z310" s="347"/>
      <c r="AA310" s="604"/>
      <c r="AB310" s="347"/>
      <c r="AC310" s="590"/>
      <c r="AD310" s="347"/>
      <c r="AE310" s="347"/>
      <c r="AF310" s="347"/>
      <c r="AG310" s="347"/>
      <c r="AH310" s="347"/>
      <c r="AI310" s="347"/>
      <c r="AJ310" s="347"/>
      <c r="AK310" s="347"/>
      <c r="AL310" s="347"/>
      <c r="AM310" s="347"/>
      <c r="AN310" s="347"/>
      <c r="AO310" s="347"/>
      <c r="AP310" s="347"/>
      <c r="AQ310" s="347"/>
      <c r="AR310" s="347"/>
      <c r="AS310" s="347"/>
      <c r="AT310" s="347"/>
      <c r="AU310" s="347"/>
      <c r="AV310" s="347"/>
      <c r="AW310" s="347"/>
      <c r="AX310" s="347"/>
      <c r="AY310" s="347"/>
      <c r="AZ310" s="347"/>
      <c r="BA310" s="347"/>
      <c r="BB310" s="347"/>
      <c r="BC310" s="347"/>
      <c r="BD310" s="347"/>
      <c r="BE310" s="347"/>
      <c r="BF310" s="347"/>
      <c r="BG310" s="347"/>
      <c r="BH310" s="347"/>
    </row>
    <row r="311">
      <c r="A311" s="347"/>
      <c r="B311" s="347"/>
      <c r="C311" s="347"/>
      <c r="D311" s="347"/>
      <c r="E311" s="347"/>
      <c r="F311" s="347"/>
      <c r="G311" s="347"/>
      <c r="H311" s="347"/>
      <c r="I311" s="347"/>
      <c r="J311" s="347"/>
      <c r="K311" s="348"/>
      <c r="L311" s="348"/>
      <c r="M311" s="348"/>
      <c r="N311" s="348"/>
      <c r="O311" s="348"/>
      <c r="P311" s="347"/>
      <c r="Q311" s="347"/>
      <c r="R311" s="347"/>
      <c r="S311" s="347"/>
      <c r="T311" s="347"/>
      <c r="U311" s="347"/>
      <c r="V311" s="347"/>
      <c r="W311" s="347"/>
      <c r="X311" s="347"/>
      <c r="Y311" s="347"/>
      <c r="Z311" s="347"/>
      <c r="AA311" s="604"/>
      <c r="AB311" s="347"/>
      <c r="AC311" s="590"/>
      <c r="AD311" s="347"/>
      <c r="AE311" s="347"/>
      <c r="AF311" s="347"/>
      <c r="AG311" s="347"/>
      <c r="AH311" s="347"/>
      <c r="AI311" s="347"/>
      <c r="AJ311" s="347"/>
      <c r="AK311" s="347"/>
      <c r="AL311" s="347"/>
      <c r="AM311" s="347"/>
      <c r="AN311" s="347"/>
      <c r="AO311" s="347"/>
      <c r="AP311" s="347"/>
      <c r="AQ311" s="347"/>
      <c r="AR311" s="347"/>
      <c r="AS311" s="347"/>
      <c r="AT311" s="347"/>
      <c r="AU311" s="347"/>
      <c r="AV311" s="347"/>
      <c r="AW311" s="347"/>
      <c r="AX311" s="347"/>
      <c r="AY311" s="347"/>
      <c r="AZ311" s="347"/>
      <c r="BA311" s="347"/>
      <c r="BB311" s="347"/>
      <c r="BC311" s="347"/>
      <c r="BD311" s="347"/>
      <c r="BE311" s="347"/>
      <c r="BF311" s="347"/>
      <c r="BG311" s="347"/>
      <c r="BH311" s="347"/>
    </row>
    <row r="312">
      <c r="A312" s="347"/>
      <c r="B312" s="347"/>
      <c r="C312" s="347"/>
      <c r="D312" s="347"/>
      <c r="E312" s="347"/>
      <c r="F312" s="347"/>
      <c r="G312" s="347"/>
      <c r="H312" s="347"/>
      <c r="I312" s="347"/>
      <c r="J312" s="347"/>
      <c r="K312" s="348"/>
      <c r="L312" s="348"/>
      <c r="M312" s="348"/>
      <c r="N312" s="348"/>
      <c r="O312" s="348"/>
      <c r="P312" s="347"/>
      <c r="Q312" s="347"/>
      <c r="R312" s="347"/>
      <c r="S312" s="347"/>
      <c r="T312" s="347"/>
      <c r="U312" s="347"/>
      <c r="V312" s="347"/>
      <c r="W312" s="347"/>
      <c r="X312" s="347"/>
      <c r="Y312" s="347"/>
      <c r="Z312" s="347"/>
      <c r="AA312" s="604"/>
      <c r="AB312" s="347"/>
      <c r="AC312" s="590"/>
      <c r="AD312" s="347"/>
      <c r="AE312" s="347"/>
      <c r="AF312" s="347"/>
      <c r="AG312" s="347"/>
      <c r="AH312" s="347"/>
      <c r="AI312" s="347"/>
      <c r="AJ312" s="347"/>
      <c r="AK312" s="347"/>
      <c r="AL312" s="347"/>
      <c r="AM312" s="347"/>
      <c r="AN312" s="347"/>
      <c r="AO312" s="347"/>
      <c r="AP312" s="347"/>
      <c r="AQ312" s="347"/>
      <c r="AR312" s="347"/>
      <c r="AS312" s="347"/>
      <c r="AT312" s="347"/>
      <c r="AU312" s="347"/>
      <c r="AV312" s="347"/>
      <c r="AW312" s="347"/>
      <c r="AX312" s="347"/>
      <c r="AY312" s="347"/>
      <c r="AZ312" s="347"/>
      <c r="BA312" s="347"/>
      <c r="BB312" s="347"/>
      <c r="BC312" s="347"/>
      <c r="BD312" s="347"/>
      <c r="BE312" s="347"/>
      <c r="BF312" s="347"/>
      <c r="BG312" s="347"/>
      <c r="BH312" s="347"/>
    </row>
    <row r="313">
      <c r="A313" s="347"/>
      <c r="B313" s="347"/>
      <c r="C313" s="347"/>
      <c r="D313" s="347"/>
      <c r="E313" s="347"/>
      <c r="F313" s="347"/>
      <c r="G313" s="347"/>
      <c r="H313" s="347"/>
      <c r="I313" s="347"/>
      <c r="J313" s="347"/>
      <c r="K313" s="348"/>
      <c r="L313" s="348"/>
      <c r="M313" s="348"/>
      <c r="N313" s="348"/>
      <c r="O313" s="348"/>
      <c r="P313" s="347"/>
      <c r="Q313" s="347"/>
      <c r="R313" s="347"/>
      <c r="S313" s="347"/>
      <c r="T313" s="347"/>
      <c r="U313" s="347"/>
      <c r="V313" s="347"/>
      <c r="W313" s="347"/>
      <c r="X313" s="347"/>
      <c r="Y313" s="347"/>
      <c r="Z313" s="347"/>
      <c r="AA313" s="604"/>
      <c r="AB313" s="347"/>
      <c r="AC313" s="590"/>
      <c r="AD313" s="347"/>
      <c r="AE313" s="347"/>
      <c r="AF313" s="347"/>
      <c r="AG313" s="347"/>
      <c r="AH313" s="347"/>
      <c r="AI313" s="347"/>
      <c r="AJ313" s="347"/>
      <c r="AK313" s="347"/>
      <c r="AL313" s="347"/>
      <c r="AM313" s="347"/>
      <c r="AN313" s="347"/>
      <c r="AO313" s="347"/>
      <c r="AP313" s="347"/>
      <c r="AQ313" s="347"/>
      <c r="AR313" s="347"/>
      <c r="AS313" s="347"/>
      <c r="AT313" s="347"/>
      <c r="AU313" s="347"/>
      <c r="AV313" s="347"/>
      <c r="AW313" s="347"/>
      <c r="AX313" s="347"/>
      <c r="AY313" s="347"/>
      <c r="AZ313" s="347"/>
      <c r="BA313" s="347"/>
      <c r="BB313" s="347"/>
      <c r="BC313" s="347"/>
      <c r="BD313" s="347"/>
      <c r="BE313" s="347"/>
      <c r="BF313" s="347"/>
      <c r="BG313" s="347"/>
      <c r="BH313" s="347"/>
    </row>
    <row r="314">
      <c r="A314" s="347"/>
      <c r="B314" s="347"/>
      <c r="C314" s="347"/>
      <c r="D314" s="347"/>
      <c r="E314" s="347"/>
      <c r="F314" s="347"/>
      <c r="G314" s="347"/>
      <c r="H314" s="347"/>
      <c r="I314" s="347"/>
      <c r="J314" s="347"/>
      <c r="K314" s="348"/>
      <c r="L314" s="348"/>
      <c r="M314" s="348"/>
      <c r="N314" s="348"/>
      <c r="O314" s="348"/>
      <c r="P314" s="347"/>
      <c r="Q314" s="347"/>
      <c r="R314" s="347"/>
      <c r="S314" s="347"/>
      <c r="T314" s="347"/>
      <c r="U314" s="347"/>
      <c r="V314" s="347"/>
      <c r="W314" s="347"/>
      <c r="X314" s="347"/>
      <c r="Y314" s="347"/>
      <c r="Z314" s="347"/>
      <c r="AA314" s="604"/>
      <c r="AB314" s="347"/>
      <c r="AC314" s="590"/>
      <c r="AD314" s="347"/>
      <c r="AE314" s="347"/>
      <c r="AF314" s="347"/>
      <c r="AG314" s="347"/>
      <c r="AH314" s="347"/>
      <c r="AI314" s="347"/>
      <c r="AJ314" s="347"/>
      <c r="AK314" s="347"/>
      <c r="AL314" s="347"/>
      <c r="AM314" s="347"/>
      <c r="AN314" s="347"/>
      <c r="AO314" s="347"/>
      <c r="AP314" s="347"/>
      <c r="AQ314" s="347"/>
      <c r="AR314" s="347"/>
      <c r="AS314" s="347"/>
      <c r="AT314" s="347"/>
      <c r="AU314" s="347"/>
      <c r="AV314" s="347"/>
      <c r="AW314" s="347"/>
      <c r="AX314" s="347"/>
      <c r="AY314" s="347"/>
      <c r="AZ314" s="347"/>
      <c r="BA314" s="347"/>
      <c r="BB314" s="347"/>
      <c r="BC314" s="347"/>
      <c r="BD314" s="347"/>
      <c r="BE314" s="347"/>
      <c r="BF314" s="347"/>
      <c r="BG314" s="347"/>
      <c r="BH314" s="347"/>
    </row>
    <row r="315">
      <c r="A315" s="347"/>
      <c r="B315" s="347"/>
      <c r="C315" s="347"/>
      <c r="D315" s="347"/>
      <c r="E315" s="347"/>
      <c r="F315" s="347"/>
      <c r="G315" s="347"/>
      <c r="H315" s="347"/>
      <c r="I315" s="347"/>
      <c r="J315" s="347"/>
      <c r="K315" s="348"/>
      <c r="L315" s="348"/>
      <c r="M315" s="348"/>
      <c r="N315" s="348"/>
      <c r="O315" s="348"/>
      <c r="P315" s="347"/>
      <c r="Q315" s="347"/>
      <c r="R315" s="347"/>
      <c r="S315" s="347"/>
      <c r="T315" s="347"/>
      <c r="U315" s="347"/>
      <c r="V315" s="347"/>
      <c r="W315" s="347"/>
      <c r="X315" s="347"/>
      <c r="Y315" s="347"/>
      <c r="Z315" s="347"/>
      <c r="AA315" s="604"/>
      <c r="AB315" s="347"/>
      <c r="AC315" s="590"/>
      <c r="AD315" s="347"/>
      <c r="AE315" s="347"/>
      <c r="AF315" s="347"/>
      <c r="AG315" s="347"/>
      <c r="AH315" s="347"/>
      <c r="AI315" s="347"/>
      <c r="AJ315" s="347"/>
      <c r="AK315" s="347"/>
      <c r="AL315" s="347"/>
      <c r="AM315" s="347"/>
      <c r="AN315" s="347"/>
      <c r="AO315" s="347"/>
      <c r="AP315" s="347"/>
      <c r="AQ315" s="347"/>
      <c r="AR315" s="347"/>
      <c r="AS315" s="347"/>
      <c r="AT315" s="347"/>
      <c r="AU315" s="347"/>
      <c r="AV315" s="347"/>
      <c r="AW315" s="347"/>
      <c r="AX315" s="347"/>
      <c r="AY315" s="347"/>
      <c r="AZ315" s="347"/>
      <c r="BA315" s="347"/>
      <c r="BB315" s="347"/>
      <c r="BC315" s="347"/>
      <c r="BD315" s="347"/>
      <c r="BE315" s="347"/>
      <c r="BF315" s="347"/>
      <c r="BG315" s="347"/>
      <c r="BH315" s="347"/>
    </row>
    <row r="316">
      <c r="A316" s="347"/>
      <c r="B316" s="347"/>
      <c r="C316" s="347"/>
      <c r="D316" s="347"/>
      <c r="E316" s="347"/>
      <c r="F316" s="347"/>
      <c r="G316" s="347"/>
      <c r="H316" s="347"/>
      <c r="I316" s="347"/>
      <c r="J316" s="347"/>
      <c r="K316" s="348"/>
      <c r="L316" s="348"/>
      <c r="M316" s="348"/>
      <c r="N316" s="348"/>
      <c r="O316" s="348"/>
      <c r="P316" s="347"/>
      <c r="Q316" s="347"/>
      <c r="R316" s="347"/>
      <c r="S316" s="347"/>
      <c r="T316" s="347"/>
      <c r="U316" s="347"/>
      <c r="V316" s="347"/>
      <c r="W316" s="347"/>
      <c r="X316" s="347"/>
      <c r="Y316" s="347"/>
      <c r="Z316" s="347"/>
      <c r="AA316" s="604"/>
      <c r="AB316" s="347"/>
      <c r="AC316" s="590"/>
      <c r="AD316" s="347"/>
      <c r="AE316" s="347"/>
      <c r="AF316" s="347"/>
      <c r="AG316" s="347"/>
      <c r="AH316" s="347"/>
      <c r="AI316" s="347"/>
      <c r="AJ316" s="347"/>
      <c r="AK316" s="347"/>
      <c r="AL316" s="347"/>
      <c r="AM316" s="347"/>
      <c r="AN316" s="347"/>
      <c r="AO316" s="347"/>
      <c r="AP316" s="347"/>
      <c r="AQ316" s="347"/>
      <c r="AR316" s="347"/>
      <c r="AS316" s="347"/>
      <c r="AT316" s="347"/>
      <c r="AU316" s="347"/>
      <c r="AV316" s="347"/>
      <c r="AW316" s="347"/>
      <c r="AX316" s="347"/>
      <c r="AY316" s="347"/>
      <c r="AZ316" s="347"/>
      <c r="BA316" s="347"/>
      <c r="BB316" s="347"/>
      <c r="BC316" s="347"/>
      <c r="BD316" s="347"/>
      <c r="BE316" s="347"/>
      <c r="BF316" s="347"/>
      <c r="BG316" s="347"/>
      <c r="BH316" s="347"/>
    </row>
    <row r="317">
      <c r="A317" s="347"/>
      <c r="B317" s="347"/>
      <c r="C317" s="347"/>
      <c r="D317" s="347"/>
      <c r="E317" s="347"/>
      <c r="F317" s="347"/>
      <c r="G317" s="347"/>
      <c r="H317" s="347"/>
      <c r="I317" s="347"/>
      <c r="J317" s="347"/>
      <c r="K317" s="348"/>
      <c r="L317" s="348"/>
      <c r="M317" s="348"/>
      <c r="N317" s="348"/>
      <c r="O317" s="348"/>
      <c r="P317" s="347"/>
      <c r="Q317" s="347"/>
      <c r="R317" s="347"/>
      <c r="S317" s="347"/>
      <c r="T317" s="347"/>
      <c r="U317" s="347"/>
      <c r="V317" s="347"/>
      <c r="W317" s="347"/>
      <c r="X317" s="347"/>
      <c r="Y317" s="347"/>
      <c r="Z317" s="347"/>
      <c r="AA317" s="604"/>
      <c r="AB317" s="347"/>
      <c r="AC317" s="590"/>
      <c r="AD317" s="347"/>
      <c r="AE317" s="347"/>
      <c r="AF317" s="347"/>
      <c r="AG317" s="347"/>
      <c r="AH317" s="347"/>
      <c r="AI317" s="347"/>
      <c r="AJ317" s="347"/>
      <c r="AK317" s="347"/>
      <c r="AL317" s="347"/>
      <c r="AM317" s="347"/>
      <c r="AN317" s="347"/>
      <c r="AO317" s="347"/>
      <c r="AP317" s="347"/>
      <c r="AQ317" s="347"/>
      <c r="AR317" s="347"/>
      <c r="AS317" s="347"/>
      <c r="AT317" s="347"/>
      <c r="AU317" s="347"/>
      <c r="AV317" s="347"/>
      <c r="AW317" s="347"/>
      <c r="AX317" s="347"/>
      <c r="AY317" s="347"/>
      <c r="AZ317" s="347"/>
      <c r="BA317" s="347"/>
      <c r="BB317" s="347"/>
      <c r="BC317" s="347"/>
      <c r="BD317" s="347"/>
      <c r="BE317" s="347"/>
      <c r="BF317" s="347"/>
      <c r="BG317" s="347"/>
      <c r="BH317" s="347"/>
    </row>
    <row r="318">
      <c r="A318" s="347"/>
      <c r="B318" s="347"/>
      <c r="C318" s="347"/>
      <c r="D318" s="347"/>
      <c r="E318" s="347"/>
      <c r="F318" s="347"/>
      <c r="G318" s="347"/>
      <c r="H318" s="347"/>
      <c r="I318" s="347"/>
      <c r="J318" s="347"/>
      <c r="K318" s="348"/>
      <c r="L318" s="348"/>
      <c r="M318" s="348"/>
      <c r="N318" s="348"/>
      <c r="O318" s="348"/>
      <c r="P318" s="347"/>
      <c r="Q318" s="347"/>
      <c r="R318" s="347"/>
      <c r="S318" s="347"/>
      <c r="T318" s="347"/>
      <c r="U318" s="347"/>
      <c r="V318" s="347"/>
      <c r="W318" s="347"/>
      <c r="X318" s="347"/>
      <c r="Y318" s="347"/>
      <c r="Z318" s="347"/>
      <c r="AA318" s="604"/>
      <c r="AB318" s="347"/>
      <c r="AC318" s="590"/>
      <c r="AD318" s="347"/>
      <c r="AE318" s="347"/>
      <c r="AF318" s="347"/>
      <c r="AG318" s="347"/>
      <c r="AH318" s="347"/>
      <c r="AI318" s="347"/>
      <c r="AJ318" s="347"/>
      <c r="AK318" s="347"/>
      <c r="AL318" s="347"/>
      <c r="AM318" s="347"/>
      <c r="AN318" s="347"/>
      <c r="AO318" s="347"/>
      <c r="AP318" s="347"/>
      <c r="AQ318" s="347"/>
      <c r="AR318" s="347"/>
      <c r="AS318" s="347"/>
      <c r="AT318" s="347"/>
      <c r="AU318" s="347"/>
      <c r="AV318" s="347"/>
      <c r="AW318" s="347"/>
      <c r="AX318" s="347"/>
      <c r="AY318" s="347"/>
      <c r="AZ318" s="347"/>
      <c r="BA318" s="347"/>
      <c r="BB318" s="347"/>
      <c r="BC318" s="347"/>
      <c r="BD318" s="347"/>
      <c r="BE318" s="347"/>
      <c r="BF318" s="347"/>
      <c r="BG318" s="347"/>
      <c r="BH318" s="347"/>
    </row>
    <row r="319">
      <c r="A319" s="347"/>
      <c r="B319" s="347"/>
      <c r="C319" s="347"/>
      <c r="D319" s="347"/>
      <c r="E319" s="347"/>
      <c r="F319" s="347"/>
      <c r="G319" s="347"/>
      <c r="H319" s="347"/>
      <c r="I319" s="347"/>
      <c r="J319" s="347"/>
      <c r="K319" s="348"/>
      <c r="L319" s="348"/>
      <c r="M319" s="348"/>
      <c r="N319" s="348"/>
      <c r="O319" s="348"/>
      <c r="P319" s="347"/>
      <c r="Q319" s="347"/>
      <c r="R319" s="347"/>
      <c r="S319" s="347"/>
      <c r="T319" s="347"/>
      <c r="U319" s="347"/>
      <c r="V319" s="347"/>
      <c r="W319" s="347"/>
      <c r="X319" s="347"/>
      <c r="Y319" s="347"/>
      <c r="Z319" s="347"/>
      <c r="AA319" s="604"/>
      <c r="AB319" s="347"/>
      <c r="AC319" s="590"/>
      <c r="AD319" s="347"/>
      <c r="AE319" s="347"/>
      <c r="AF319" s="347"/>
      <c r="AG319" s="347"/>
      <c r="AH319" s="347"/>
      <c r="AI319" s="347"/>
      <c r="AJ319" s="347"/>
      <c r="AK319" s="347"/>
      <c r="AL319" s="347"/>
      <c r="AM319" s="347"/>
      <c r="AN319" s="347"/>
      <c r="AO319" s="347"/>
      <c r="AP319" s="347"/>
      <c r="AQ319" s="347"/>
      <c r="AR319" s="347"/>
      <c r="AS319" s="347"/>
      <c r="AT319" s="347"/>
      <c r="AU319" s="347"/>
      <c r="AV319" s="347"/>
      <c r="AW319" s="347"/>
      <c r="AX319" s="347"/>
      <c r="AY319" s="347"/>
      <c r="AZ319" s="347"/>
      <c r="BA319" s="347"/>
      <c r="BB319" s="347"/>
      <c r="BC319" s="347"/>
      <c r="BD319" s="347"/>
      <c r="BE319" s="347"/>
      <c r="BF319" s="347"/>
      <c r="BG319" s="347"/>
      <c r="BH319" s="347"/>
    </row>
    <row r="320">
      <c r="A320" s="347"/>
      <c r="B320" s="347"/>
      <c r="C320" s="347"/>
      <c r="D320" s="347"/>
      <c r="E320" s="347"/>
      <c r="F320" s="347"/>
      <c r="G320" s="347"/>
      <c r="H320" s="347"/>
      <c r="I320" s="347"/>
      <c r="J320" s="347"/>
      <c r="K320" s="348"/>
      <c r="L320" s="348"/>
      <c r="M320" s="348"/>
      <c r="N320" s="348"/>
      <c r="O320" s="348"/>
      <c r="P320" s="347"/>
      <c r="Q320" s="347"/>
      <c r="R320" s="347"/>
      <c r="S320" s="347"/>
      <c r="T320" s="347"/>
      <c r="U320" s="347"/>
      <c r="V320" s="347"/>
      <c r="W320" s="347"/>
      <c r="X320" s="347"/>
      <c r="Y320" s="347"/>
      <c r="Z320" s="347"/>
      <c r="AA320" s="604"/>
      <c r="AB320" s="347"/>
      <c r="AC320" s="590"/>
      <c r="AD320" s="347"/>
      <c r="AE320" s="347"/>
      <c r="AF320" s="347"/>
      <c r="AG320" s="347"/>
      <c r="AH320" s="347"/>
      <c r="AI320" s="347"/>
      <c r="AJ320" s="347"/>
      <c r="AK320" s="347"/>
      <c r="AL320" s="347"/>
      <c r="AM320" s="347"/>
      <c r="AN320" s="347"/>
      <c r="AO320" s="347"/>
      <c r="AP320" s="347"/>
      <c r="AQ320" s="347"/>
      <c r="AR320" s="347"/>
      <c r="AS320" s="347"/>
      <c r="AT320" s="347"/>
      <c r="AU320" s="347"/>
      <c r="AV320" s="347"/>
      <c r="AW320" s="347"/>
      <c r="AX320" s="347"/>
      <c r="AY320" s="347"/>
      <c r="AZ320" s="347"/>
      <c r="BA320" s="347"/>
      <c r="BB320" s="347"/>
      <c r="BC320" s="347"/>
      <c r="BD320" s="347"/>
      <c r="BE320" s="347"/>
      <c r="BF320" s="347"/>
      <c r="BG320" s="347"/>
      <c r="BH320" s="347"/>
    </row>
    <row r="321">
      <c r="A321" s="347"/>
      <c r="B321" s="347"/>
      <c r="C321" s="347"/>
      <c r="D321" s="347"/>
      <c r="E321" s="347"/>
      <c r="F321" s="347"/>
      <c r="G321" s="347"/>
      <c r="H321" s="347"/>
      <c r="I321" s="347"/>
      <c r="J321" s="347"/>
      <c r="K321" s="348"/>
      <c r="L321" s="348"/>
      <c r="M321" s="348"/>
      <c r="N321" s="348"/>
      <c r="O321" s="348"/>
      <c r="P321" s="347"/>
      <c r="Q321" s="347"/>
      <c r="R321" s="347"/>
      <c r="S321" s="347"/>
      <c r="T321" s="347"/>
      <c r="U321" s="347"/>
      <c r="V321" s="347"/>
      <c r="W321" s="347"/>
      <c r="X321" s="347"/>
      <c r="Y321" s="347"/>
      <c r="Z321" s="347"/>
      <c r="AA321" s="604"/>
      <c r="AB321" s="347"/>
      <c r="AC321" s="590"/>
      <c r="AD321" s="347"/>
      <c r="AE321" s="347"/>
      <c r="AF321" s="347"/>
      <c r="AG321" s="347"/>
      <c r="AH321" s="347"/>
      <c r="AI321" s="347"/>
      <c r="AJ321" s="347"/>
      <c r="AK321" s="347"/>
      <c r="AL321" s="347"/>
      <c r="AM321" s="347"/>
      <c r="AN321" s="347"/>
      <c r="AO321" s="347"/>
      <c r="AP321" s="347"/>
      <c r="AQ321" s="347"/>
      <c r="AR321" s="347"/>
      <c r="AS321" s="347"/>
      <c r="AT321" s="347"/>
      <c r="AU321" s="347"/>
      <c r="AV321" s="347"/>
      <c r="AW321" s="347"/>
      <c r="AX321" s="347"/>
      <c r="AY321" s="347"/>
      <c r="AZ321" s="347"/>
      <c r="BA321" s="347"/>
      <c r="BB321" s="347"/>
      <c r="BC321" s="347"/>
      <c r="BD321" s="347"/>
      <c r="BE321" s="347"/>
      <c r="BF321" s="347"/>
      <c r="BG321" s="347"/>
      <c r="BH321" s="347"/>
    </row>
    <row r="322">
      <c r="A322" s="347"/>
      <c r="B322" s="347"/>
      <c r="C322" s="347"/>
      <c r="D322" s="347"/>
      <c r="E322" s="347"/>
      <c r="F322" s="347"/>
      <c r="G322" s="347"/>
      <c r="H322" s="347"/>
      <c r="I322" s="347"/>
      <c r="J322" s="347"/>
      <c r="K322" s="348"/>
      <c r="L322" s="348"/>
      <c r="M322" s="348"/>
      <c r="N322" s="348"/>
      <c r="O322" s="348"/>
      <c r="P322" s="347"/>
      <c r="Q322" s="347"/>
      <c r="R322" s="347"/>
      <c r="S322" s="347"/>
      <c r="T322" s="347"/>
      <c r="U322" s="347"/>
      <c r="V322" s="347"/>
      <c r="W322" s="347"/>
      <c r="X322" s="347"/>
      <c r="Y322" s="347"/>
      <c r="Z322" s="347"/>
      <c r="AA322" s="604"/>
      <c r="AB322" s="347"/>
      <c r="AC322" s="590"/>
      <c r="AD322" s="347"/>
      <c r="AE322" s="347"/>
      <c r="AF322" s="347"/>
      <c r="AG322" s="347"/>
      <c r="AH322" s="347"/>
      <c r="AI322" s="347"/>
      <c r="AJ322" s="347"/>
      <c r="AK322" s="347"/>
      <c r="AL322" s="347"/>
      <c r="AM322" s="347"/>
      <c r="AN322" s="347"/>
      <c r="AO322" s="347"/>
      <c r="AP322" s="347"/>
      <c r="AQ322" s="347"/>
      <c r="AR322" s="347"/>
      <c r="AS322" s="347"/>
      <c r="AT322" s="347"/>
      <c r="AU322" s="347"/>
      <c r="AV322" s="347"/>
      <c r="AW322" s="347"/>
      <c r="AX322" s="347"/>
      <c r="AY322" s="347"/>
      <c r="AZ322" s="347"/>
      <c r="BA322" s="347"/>
      <c r="BB322" s="347"/>
      <c r="BC322" s="347"/>
      <c r="BD322" s="347"/>
      <c r="BE322" s="347"/>
      <c r="BF322" s="347"/>
      <c r="BG322" s="347"/>
      <c r="BH322" s="347"/>
    </row>
    <row r="323">
      <c r="A323" s="347"/>
      <c r="B323" s="347"/>
      <c r="C323" s="347"/>
      <c r="D323" s="347"/>
      <c r="E323" s="347"/>
      <c r="F323" s="347"/>
      <c r="G323" s="347"/>
      <c r="H323" s="347"/>
      <c r="I323" s="347"/>
      <c r="J323" s="347"/>
      <c r="K323" s="348"/>
      <c r="L323" s="348"/>
      <c r="M323" s="348"/>
      <c r="N323" s="348"/>
      <c r="O323" s="348"/>
      <c r="P323" s="347"/>
      <c r="Q323" s="347"/>
      <c r="R323" s="347"/>
      <c r="S323" s="347"/>
      <c r="T323" s="347"/>
      <c r="U323" s="347"/>
      <c r="V323" s="347"/>
      <c r="W323" s="347"/>
      <c r="X323" s="347"/>
      <c r="Y323" s="347"/>
      <c r="Z323" s="347"/>
      <c r="AA323" s="604"/>
      <c r="AB323" s="347"/>
      <c r="AC323" s="590"/>
      <c r="AD323" s="347"/>
      <c r="AE323" s="347"/>
      <c r="AF323" s="347"/>
      <c r="AG323" s="347"/>
      <c r="AH323" s="347"/>
      <c r="AI323" s="347"/>
      <c r="AJ323" s="347"/>
      <c r="AK323" s="347"/>
      <c r="AL323" s="347"/>
      <c r="AM323" s="347"/>
      <c r="AN323" s="347"/>
      <c r="AO323" s="347"/>
      <c r="AP323" s="347"/>
      <c r="AQ323" s="347"/>
      <c r="AR323" s="347"/>
      <c r="AS323" s="347"/>
      <c r="AT323" s="347"/>
      <c r="AU323" s="347"/>
      <c r="AV323" s="347"/>
      <c r="AW323" s="347"/>
      <c r="AX323" s="347"/>
      <c r="AY323" s="347"/>
      <c r="AZ323" s="347"/>
      <c r="BA323" s="347"/>
      <c r="BB323" s="347"/>
      <c r="BC323" s="347"/>
      <c r="BD323" s="347"/>
      <c r="BE323" s="347"/>
      <c r="BF323" s="347"/>
      <c r="BG323" s="347"/>
      <c r="BH323" s="347"/>
    </row>
    <row r="324">
      <c r="A324" s="347"/>
      <c r="B324" s="347"/>
      <c r="C324" s="347"/>
      <c r="D324" s="347"/>
      <c r="E324" s="347"/>
      <c r="F324" s="347"/>
      <c r="G324" s="347"/>
      <c r="H324" s="347"/>
      <c r="I324" s="347"/>
      <c r="J324" s="347"/>
      <c r="K324" s="348"/>
      <c r="L324" s="348"/>
      <c r="M324" s="348"/>
      <c r="N324" s="348"/>
      <c r="O324" s="348"/>
      <c r="P324" s="347"/>
      <c r="Q324" s="347"/>
      <c r="R324" s="347"/>
      <c r="S324" s="347"/>
      <c r="T324" s="347"/>
      <c r="U324" s="347"/>
      <c r="V324" s="347"/>
      <c r="W324" s="347"/>
      <c r="X324" s="347"/>
      <c r="Y324" s="347"/>
      <c r="Z324" s="347"/>
      <c r="AA324" s="604"/>
      <c r="AB324" s="347"/>
      <c r="AC324" s="590"/>
      <c r="AD324" s="347"/>
      <c r="AE324" s="347"/>
      <c r="AF324" s="347"/>
      <c r="AG324" s="347"/>
      <c r="AH324" s="347"/>
      <c r="AI324" s="347"/>
      <c r="AJ324" s="347"/>
      <c r="AK324" s="347"/>
      <c r="AL324" s="347"/>
      <c r="AM324" s="347"/>
      <c r="AN324" s="347"/>
      <c r="AO324" s="347"/>
      <c r="AP324" s="347"/>
      <c r="AQ324" s="347"/>
      <c r="AR324" s="347"/>
      <c r="AS324" s="347"/>
      <c r="AT324" s="347"/>
      <c r="AU324" s="347"/>
      <c r="AV324" s="347"/>
      <c r="AW324" s="347"/>
      <c r="AX324" s="347"/>
      <c r="AY324" s="347"/>
      <c r="AZ324" s="347"/>
      <c r="BA324" s="347"/>
      <c r="BB324" s="347"/>
      <c r="BC324" s="347"/>
      <c r="BD324" s="347"/>
      <c r="BE324" s="347"/>
      <c r="BF324" s="347"/>
      <c r="BG324" s="347"/>
      <c r="BH324" s="347"/>
    </row>
    <row r="325">
      <c r="A325" s="347"/>
      <c r="B325" s="347"/>
      <c r="C325" s="347"/>
      <c r="D325" s="347"/>
      <c r="E325" s="347"/>
      <c r="F325" s="347"/>
      <c r="G325" s="347"/>
      <c r="H325" s="347"/>
      <c r="I325" s="347"/>
      <c r="J325" s="347"/>
      <c r="K325" s="348"/>
      <c r="L325" s="348"/>
      <c r="M325" s="348"/>
      <c r="N325" s="348"/>
      <c r="O325" s="348"/>
      <c r="P325" s="347"/>
      <c r="Q325" s="347"/>
      <c r="R325" s="347"/>
      <c r="S325" s="347"/>
      <c r="T325" s="347"/>
      <c r="U325" s="347"/>
      <c r="V325" s="347"/>
      <c r="W325" s="347"/>
      <c r="X325" s="347"/>
      <c r="Y325" s="347"/>
      <c r="Z325" s="347"/>
      <c r="AA325" s="604"/>
      <c r="AB325" s="347"/>
      <c r="AC325" s="590"/>
      <c r="AD325" s="347"/>
      <c r="AE325" s="347"/>
      <c r="AF325" s="347"/>
      <c r="AG325" s="347"/>
      <c r="AH325" s="347"/>
      <c r="AI325" s="347"/>
      <c r="AJ325" s="347"/>
      <c r="AK325" s="347"/>
      <c r="AL325" s="347"/>
      <c r="AM325" s="347"/>
      <c r="AN325" s="347"/>
      <c r="AO325" s="347"/>
      <c r="AP325" s="347"/>
      <c r="AQ325" s="347"/>
      <c r="AR325" s="347"/>
      <c r="AS325" s="347"/>
      <c r="AT325" s="347"/>
      <c r="AU325" s="347"/>
      <c r="AV325" s="347"/>
      <c r="AW325" s="347"/>
      <c r="AX325" s="347"/>
      <c r="AY325" s="347"/>
      <c r="AZ325" s="347"/>
      <c r="BA325" s="347"/>
      <c r="BB325" s="347"/>
      <c r="BC325" s="347"/>
      <c r="BD325" s="347"/>
      <c r="BE325" s="347"/>
      <c r="BF325" s="347"/>
      <c r="BG325" s="347"/>
      <c r="BH325" s="347"/>
    </row>
    <row r="326">
      <c r="A326" s="347"/>
      <c r="B326" s="347"/>
      <c r="C326" s="347"/>
      <c r="D326" s="347"/>
      <c r="E326" s="347"/>
      <c r="F326" s="347"/>
      <c r="G326" s="347"/>
      <c r="H326" s="347"/>
      <c r="I326" s="347"/>
      <c r="J326" s="347"/>
      <c r="K326" s="348"/>
      <c r="L326" s="348"/>
      <c r="M326" s="348"/>
      <c r="N326" s="348"/>
      <c r="O326" s="348"/>
      <c r="P326" s="347"/>
      <c r="Q326" s="347"/>
      <c r="R326" s="347"/>
      <c r="S326" s="347"/>
      <c r="T326" s="347"/>
      <c r="U326" s="347"/>
      <c r="V326" s="347"/>
      <c r="W326" s="347"/>
      <c r="X326" s="347"/>
      <c r="Y326" s="347"/>
      <c r="Z326" s="347"/>
      <c r="AA326" s="604"/>
      <c r="AB326" s="347"/>
      <c r="AC326" s="590"/>
      <c r="AD326" s="347"/>
      <c r="AE326" s="347"/>
      <c r="AF326" s="347"/>
      <c r="AG326" s="347"/>
      <c r="AH326" s="347"/>
      <c r="AI326" s="347"/>
      <c r="AJ326" s="347"/>
      <c r="AK326" s="347"/>
      <c r="AL326" s="347"/>
      <c r="AM326" s="347"/>
      <c r="AN326" s="347"/>
      <c r="AO326" s="347"/>
      <c r="AP326" s="347"/>
      <c r="AQ326" s="347"/>
      <c r="AR326" s="347"/>
      <c r="AS326" s="347"/>
      <c r="AT326" s="347"/>
      <c r="AU326" s="347"/>
      <c r="AV326" s="347"/>
      <c r="AW326" s="347"/>
      <c r="AX326" s="347"/>
      <c r="AY326" s="347"/>
      <c r="AZ326" s="347"/>
      <c r="BA326" s="347"/>
      <c r="BB326" s="347"/>
      <c r="BC326" s="347"/>
      <c r="BD326" s="347"/>
      <c r="BE326" s="347"/>
      <c r="BF326" s="347"/>
      <c r="BG326" s="347"/>
      <c r="BH326" s="347"/>
    </row>
    <row r="327">
      <c r="A327" s="347"/>
      <c r="B327" s="347"/>
      <c r="C327" s="347"/>
      <c r="D327" s="347"/>
      <c r="E327" s="347"/>
      <c r="F327" s="347"/>
      <c r="G327" s="347"/>
      <c r="H327" s="347"/>
      <c r="I327" s="347"/>
      <c r="J327" s="347"/>
      <c r="K327" s="348"/>
      <c r="L327" s="348"/>
      <c r="M327" s="348"/>
      <c r="N327" s="348"/>
      <c r="O327" s="348"/>
      <c r="P327" s="347"/>
      <c r="Q327" s="347"/>
      <c r="R327" s="347"/>
      <c r="S327" s="347"/>
      <c r="T327" s="347"/>
      <c r="U327" s="347"/>
      <c r="V327" s="347"/>
      <c r="W327" s="347"/>
      <c r="X327" s="347"/>
      <c r="Y327" s="347"/>
      <c r="Z327" s="347"/>
      <c r="AA327" s="604"/>
      <c r="AB327" s="347"/>
      <c r="AC327" s="590"/>
      <c r="AD327" s="347"/>
      <c r="AE327" s="347"/>
      <c r="AF327" s="347"/>
      <c r="AG327" s="347"/>
      <c r="AH327" s="347"/>
      <c r="AI327" s="347"/>
      <c r="AJ327" s="347"/>
      <c r="AK327" s="347"/>
      <c r="AL327" s="347"/>
      <c r="AM327" s="347"/>
      <c r="AN327" s="347"/>
      <c r="AO327" s="347"/>
      <c r="AP327" s="347"/>
      <c r="AQ327" s="347"/>
      <c r="AR327" s="347"/>
      <c r="AS327" s="347"/>
      <c r="AT327" s="347"/>
      <c r="AU327" s="347"/>
      <c r="AV327" s="347"/>
      <c r="AW327" s="347"/>
      <c r="AX327" s="347"/>
      <c r="AY327" s="347"/>
      <c r="AZ327" s="347"/>
      <c r="BA327" s="347"/>
      <c r="BB327" s="347"/>
      <c r="BC327" s="347"/>
      <c r="BD327" s="347"/>
      <c r="BE327" s="347"/>
      <c r="BF327" s="347"/>
      <c r="BG327" s="347"/>
      <c r="BH327" s="347"/>
    </row>
    <row r="328">
      <c r="A328" s="347"/>
      <c r="B328" s="347"/>
      <c r="C328" s="347"/>
      <c r="D328" s="347"/>
      <c r="E328" s="347"/>
      <c r="F328" s="347"/>
      <c r="G328" s="347"/>
      <c r="H328" s="347"/>
      <c r="I328" s="347"/>
      <c r="J328" s="347"/>
      <c r="K328" s="348"/>
      <c r="L328" s="348"/>
      <c r="M328" s="348"/>
      <c r="N328" s="348"/>
      <c r="O328" s="348"/>
      <c r="P328" s="347"/>
      <c r="Q328" s="347"/>
      <c r="R328" s="347"/>
      <c r="S328" s="347"/>
      <c r="T328" s="347"/>
      <c r="U328" s="347"/>
      <c r="V328" s="347"/>
      <c r="W328" s="347"/>
      <c r="X328" s="347"/>
      <c r="Y328" s="347"/>
      <c r="Z328" s="347"/>
      <c r="AA328" s="604"/>
      <c r="AB328" s="347"/>
      <c r="AC328" s="590"/>
      <c r="AD328" s="347"/>
      <c r="AE328" s="347"/>
      <c r="AF328" s="347"/>
      <c r="AG328" s="347"/>
      <c r="AH328" s="347"/>
      <c r="AI328" s="347"/>
      <c r="AJ328" s="347"/>
      <c r="AK328" s="347"/>
      <c r="AL328" s="347"/>
      <c r="AM328" s="347"/>
      <c r="AN328" s="347"/>
      <c r="AO328" s="347"/>
      <c r="AP328" s="347"/>
      <c r="AQ328" s="347"/>
      <c r="AR328" s="347"/>
      <c r="AS328" s="347"/>
      <c r="AT328" s="347"/>
      <c r="AU328" s="347"/>
      <c r="AV328" s="347"/>
      <c r="AW328" s="347"/>
      <c r="AX328" s="347"/>
      <c r="AY328" s="347"/>
      <c r="AZ328" s="347"/>
      <c r="BA328" s="347"/>
      <c r="BB328" s="347"/>
      <c r="BC328" s="347"/>
      <c r="BD328" s="347"/>
      <c r="BE328" s="347"/>
      <c r="BF328" s="347"/>
      <c r="BG328" s="347"/>
      <c r="BH328" s="347"/>
    </row>
    <row r="329">
      <c r="A329" s="347"/>
      <c r="B329" s="347"/>
      <c r="C329" s="347"/>
      <c r="D329" s="347"/>
      <c r="E329" s="347"/>
      <c r="F329" s="347"/>
      <c r="G329" s="347"/>
      <c r="H329" s="347"/>
      <c r="I329" s="347"/>
      <c r="J329" s="347"/>
      <c r="K329" s="348"/>
      <c r="L329" s="348"/>
      <c r="M329" s="348"/>
      <c r="N329" s="348"/>
      <c r="O329" s="348"/>
      <c r="P329" s="347"/>
      <c r="Q329" s="347"/>
      <c r="R329" s="347"/>
      <c r="S329" s="347"/>
      <c r="T329" s="347"/>
      <c r="U329" s="347"/>
      <c r="V329" s="347"/>
      <c r="W329" s="347"/>
      <c r="X329" s="347"/>
      <c r="Y329" s="347"/>
      <c r="Z329" s="347"/>
      <c r="AA329" s="604"/>
      <c r="AB329" s="347"/>
      <c r="AC329" s="590"/>
      <c r="AD329" s="347"/>
      <c r="AE329" s="347"/>
      <c r="AF329" s="347"/>
      <c r="AG329" s="347"/>
      <c r="AH329" s="347"/>
      <c r="AI329" s="347"/>
      <c r="AJ329" s="347"/>
      <c r="AK329" s="347"/>
      <c r="AL329" s="347"/>
      <c r="AM329" s="347"/>
      <c r="AN329" s="347"/>
      <c r="AO329" s="347"/>
      <c r="AP329" s="347"/>
      <c r="AQ329" s="347"/>
      <c r="AR329" s="347"/>
      <c r="AS329" s="347"/>
      <c r="AT329" s="347"/>
      <c r="AU329" s="347"/>
      <c r="AV329" s="347"/>
      <c r="AW329" s="347"/>
      <c r="AX329" s="347"/>
      <c r="AY329" s="347"/>
      <c r="AZ329" s="347"/>
      <c r="BA329" s="347"/>
      <c r="BB329" s="347"/>
      <c r="BC329" s="347"/>
      <c r="BD329" s="347"/>
      <c r="BE329" s="347"/>
      <c r="BF329" s="347"/>
      <c r="BG329" s="347"/>
      <c r="BH329" s="347"/>
    </row>
    <row r="330">
      <c r="A330" s="347"/>
      <c r="B330" s="347"/>
      <c r="C330" s="347"/>
      <c r="D330" s="347"/>
      <c r="E330" s="347"/>
      <c r="F330" s="347"/>
      <c r="G330" s="347"/>
      <c r="H330" s="347"/>
      <c r="I330" s="347"/>
      <c r="J330" s="347"/>
      <c r="K330" s="348"/>
      <c r="L330" s="348"/>
      <c r="M330" s="348"/>
      <c r="N330" s="348"/>
      <c r="O330" s="348"/>
      <c r="P330" s="347"/>
      <c r="Q330" s="347"/>
      <c r="R330" s="347"/>
      <c r="S330" s="347"/>
      <c r="T330" s="347"/>
      <c r="U330" s="347"/>
      <c r="V330" s="347"/>
      <c r="W330" s="347"/>
      <c r="X330" s="347"/>
      <c r="Y330" s="347"/>
      <c r="Z330" s="347"/>
      <c r="AA330" s="604"/>
      <c r="AB330" s="347"/>
      <c r="AC330" s="590"/>
      <c r="AD330" s="347"/>
      <c r="AE330" s="347"/>
      <c r="AF330" s="347"/>
      <c r="AG330" s="347"/>
      <c r="AH330" s="347"/>
      <c r="AI330" s="347"/>
      <c r="AJ330" s="347"/>
      <c r="AK330" s="347"/>
      <c r="AL330" s="347"/>
      <c r="AM330" s="347"/>
      <c r="AN330" s="347"/>
      <c r="AO330" s="347"/>
      <c r="AP330" s="347"/>
      <c r="AQ330" s="347"/>
      <c r="AR330" s="347"/>
      <c r="AS330" s="347"/>
      <c r="AT330" s="347"/>
      <c r="AU330" s="347"/>
      <c r="AV330" s="347"/>
      <c r="AW330" s="347"/>
      <c r="AX330" s="347"/>
      <c r="AY330" s="347"/>
      <c r="AZ330" s="347"/>
      <c r="BA330" s="347"/>
      <c r="BB330" s="347"/>
      <c r="BC330" s="347"/>
      <c r="BD330" s="347"/>
      <c r="BE330" s="347"/>
      <c r="BF330" s="347"/>
      <c r="BG330" s="347"/>
      <c r="BH330" s="347"/>
    </row>
    <row r="331">
      <c r="A331" s="347"/>
      <c r="B331" s="347"/>
      <c r="C331" s="347"/>
      <c r="D331" s="347"/>
      <c r="E331" s="347"/>
      <c r="F331" s="347"/>
      <c r="G331" s="347"/>
      <c r="H331" s="347"/>
      <c r="I331" s="347"/>
      <c r="J331" s="347"/>
      <c r="K331" s="348"/>
      <c r="L331" s="348"/>
      <c r="M331" s="348"/>
      <c r="N331" s="348"/>
      <c r="O331" s="348"/>
      <c r="P331" s="347"/>
      <c r="Q331" s="347"/>
      <c r="R331" s="347"/>
      <c r="S331" s="347"/>
      <c r="T331" s="347"/>
      <c r="U331" s="347"/>
      <c r="V331" s="347"/>
      <c r="W331" s="347"/>
      <c r="X331" s="347"/>
      <c r="Y331" s="347"/>
      <c r="Z331" s="347"/>
      <c r="AA331" s="604"/>
      <c r="AB331" s="347"/>
      <c r="AC331" s="590"/>
      <c r="AD331" s="347"/>
      <c r="AE331" s="347"/>
      <c r="AF331" s="347"/>
      <c r="AG331" s="347"/>
      <c r="AH331" s="347"/>
      <c r="AI331" s="347"/>
      <c r="AJ331" s="347"/>
      <c r="AK331" s="347"/>
      <c r="AL331" s="347"/>
      <c r="AM331" s="347"/>
      <c r="AN331" s="347"/>
      <c r="AO331" s="347"/>
      <c r="AP331" s="347"/>
      <c r="AQ331" s="347"/>
      <c r="AR331" s="347"/>
      <c r="AS331" s="347"/>
      <c r="AT331" s="347"/>
      <c r="AU331" s="347"/>
      <c r="AV331" s="347"/>
      <c r="AW331" s="347"/>
      <c r="AX331" s="347"/>
      <c r="AY331" s="347"/>
      <c r="AZ331" s="347"/>
      <c r="BA331" s="347"/>
      <c r="BB331" s="347"/>
      <c r="BC331" s="347"/>
      <c r="BD331" s="347"/>
      <c r="BE331" s="347"/>
      <c r="BF331" s="347"/>
      <c r="BG331" s="347"/>
      <c r="BH331" s="347"/>
    </row>
    <row r="332">
      <c r="A332" s="347"/>
      <c r="B332" s="347"/>
      <c r="C332" s="347"/>
      <c r="D332" s="347"/>
      <c r="E332" s="347"/>
      <c r="F332" s="347"/>
      <c r="G332" s="347"/>
      <c r="H332" s="347"/>
      <c r="I332" s="347"/>
      <c r="J332" s="347"/>
      <c r="K332" s="348"/>
      <c r="L332" s="348"/>
      <c r="M332" s="348"/>
      <c r="N332" s="348"/>
      <c r="O332" s="348"/>
      <c r="P332" s="347"/>
      <c r="Q332" s="347"/>
      <c r="R332" s="347"/>
      <c r="S332" s="347"/>
      <c r="T332" s="347"/>
      <c r="U332" s="347"/>
      <c r="V332" s="347"/>
      <c r="W332" s="347"/>
      <c r="X332" s="347"/>
      <c r="Y332" s="347"/>
      <c r="Z332" s="347"/>
      <c r="AA332" s="604"/>
      <c r="AB332" s="347"/>
      <c r="AC332" s="590"/>
      <c r="AD332" s="347"/>
      <c r="AE332" s="347"/>
      <c r="AF332" s="347"/>
      <c r="AG332" s="347"/>
      <c r="AH332" s="347"/>
      <c r="AI332" s="347"/>
      <c r="AJ332" s="347"/>
      <c r="AK332" s="347"/>
      <c r="AL332" s="347"/>
      <c r="AM332" s="347"/>
      <c r="AN332" s="347"/>
      <c r="AO332" s="347"/>
      <c r="AP332" s="347"/>
      <c r="AQ332" s="347"/>
      <c r="AR332" s="347"/>
      <c r="AS332" s="347"/>
      <c r="AT332" s="347"/>
      <c r="AU332" s="347"/>
      <c r="AV332" s="347"/>
      <c r="AW332" s="347"/>
      <c r="AX332" s="347"/>
      <c r="AY332" s="347"/>
      <c r="AZ332" s="347"/>
      <c r="BA332" s="347"/>
      <c r="BB332" s="347"/>
      <c r="BC332" s="347"/>
      <c r="BD332" s="347"/>
      <c r="BE332" s="347"/>
      <c r="BF332" s="347"/>
      <c r="BG332" s="347"/>
      <c r="BH332" s="347"/>
    </row>
    <row r="333">
      <c r="A333" s="347"/>
      <c r="B333" s="347"/>
      <c r="C333" s="347"/>
      <c r="D333" s="347"/>
      <c r="E333" s="347"/>
      <c r="F333" s="347"/>
      <c r="G333" s="347"/>
      <c r="H333" s="347"/>
      <c r="I333" s="347"/>
      <c r="J333" s="347"/>
      <c r="K333" s="348"/>
      <c r="L333" s="348"/>
      <c r="M333" s="348"/>
      <c r="N333" s="348"/>
      <c r="O333" s="348"/>
      <c r="P333" s="347"/>
      <c r="Q333" s="347"/>
      <c r="R333" s="347"/>
      <c r="S333" s="347"/>
      <c r="T333" s="347"/>
      <c r="U333" s="347"/>
      <c r="V333" s="347"/>
      <c r="W333" s="347"/>
      <c r="X333" s="347"/>
      <c r="Y333" s="347"/>
      <c r="Z333" s="347"/>
      <c r="AA333" s="604"/>
      <c r="AB333" s="347"/>
      <c r="AC333" s="590"/>
      <c r="AD333" s="347"/>
      <c r="AE333" s="347"/>
      <c r="AF333" s="347"/>
      <c r="AG333" s="347"/>
      <c r="AH333" s="347"/>
      <c r="AI333" s="347"/>
      <c r="AJ333" s="347"/>
      <c r="AK333" s="347"/>
      <c r="AL333" s="347"/>
      <c r="AM333" s="347"/>
      <c r="AN333" s="347"/>
      <c r="AO333" s="347"/>
      <c r="AP333" s="347"/>
      <c r="AQ333" s="347"/>
      <c r="AR333" s="347"/>
      <c r="AS333" s="347"/>
      <c r="AT333" s="347"/>
      <c r="AU333" s="347"/>
      <c r="AV333" s="347"/>
      <c r="AW333" s="347"/>
      <c r="AX333" s="347"/>
      <c r="AY333" s="347"/>
      <c r="AZ333" s="347"/>
      <c r="BA333" s="347"/>
      <c r="BB333" s="347"/>
      <c r="BC333" s="347"/>
      <c r="BD333" s="347"/>
      <c r="BE333" s="347"/>
      <c r="BF333" s="347"/>
      <c r="BG333" s="347"/>
      <c r="BH333" s="347"/>
    </row>
    <row r="334">
      <c r="A334" s="347"/>
      <c r="B334" s="347"/>
      <c r="C334" s="347"/>
      <c r="D334" s="347"/>
      <c r="E334" s="347"/>
      <c r="F334" s="347"/>
      <c r="G334" s="347"/>
      <c r="H334" s="347"/>
      <c r="I334" s="347"/>
      <c r="J334" s="347"/>
      <c r="K334" s="348"/>
      <c r="L334" s="348"/>
      <c r="M334" s="348"/>
      <c r="N334" s="348"/>
      <c r="O334" s="348"/>
      <c r="P334" s="347"/>
      <c r="Q334" s="347"/>
      <c r="R334" s="347"/>
      <c r="S334" s="347"/>
      <c r="T334" s="347"/>
      <c r="U334" s="347"/>
      <c r="V334" s="347"/>
      <c r="W334" s="347"/>
      <c r="X334" s="347"/>
      <c r="Y334" s="347"/>
      <c r="Z334" s="347"/>
      <c r="AA334" s="604"/>
      <c r="AB334" s="347"/>
      <c r="AC334" s="590"/>
      <c r="AD334" s="347"/>
      <c r="AE334" s="347"/>
      <c r="AF334" s="347"/>
      <c r="AG334" s="347"/>
      <c r="AH334" s="347"/>
      <c r="AI334" s="347"/>
      <c r="AJ334" s="347"/>
      <c r="AK334" s="347"/>
      <c r="AL334" s="347"/>
      <c r="AM334" s="347"/>
      <c r="AN334" s="347"/>
      <c r="AO334" s="347"/>
      <c r="AP334" s="347"/>
      <c r="AQ334" s="347"/>
      <c r="AR334" s="347"/>
      <c r="AS334" s="347"/>
      <c r="AT334" s="347"/>
      <c r="AU334" s="347"/>
      <c r="AV334" s="347"/>
      <c r="AW334" s="347"/>
      <c r="AX334" s="347"/>
      <c r="AY334" s="347"/>
      <c r="AZ334" s="347"/>
      <c r="BA334" s="347"/>
      <c r="BB334" s="347"/>
      <c r="BC334" s="347"/>
      <c r="BD334" s="347"/>
      <c r="BE334" s="347"/>
      <c r="BF334" s="347"/>
      <c r="BG334" s="347"/>
      <c r="BH334" s="347"/>
    </row>
    <row r="335">
      <c r="A335" s="347"/>
      <c r="B335" s="347"/>
      <c r="C335" s="347"/>
      <c r="D335" s="347"/>
      <c r="E335" s="347"/>
      <c r="F335" s="347"/>
      <c r="G335" s="347"/>
      <c r="H335" s="347"/>
      <c r="I335" s="347"/>
      <c r="J335" s="347"/>
      <c r="K335" s="348"/>
      <c r="L335" s="348"/>
      <c r="M335" s="348"/>
      <c r="N335" s="348"/>
      <c r="O335" s="348"/>
      <c r="P335" s="347"/>
      <c r="Q335" s="347"/>
      <c r="R335" s="347"/>
      <c r="S335" s="347"/>
      <c r="T335" s="347"/>
      <c r="U335" s="347"/>
      <c r="V335" s="347"/>
      <c r="W335" s="347"/>
      <c r="X335" s="347"/>
      <c r="Y335" s="347"/>
      <c r="Z335" s="347"/>
      <c r="AA335" s="604"/>
      <c r="AB335" s="347"/>
      <c r="AC335" s="590"/>
      <c r="AD335" s="347"/>
      <c r="AE335" s="347"/>
      <c r="AF335" s="347"/>
      <c r="AG335" s="347"/>
      <c r="AH335" s="347"/>
      <c r="AI335" s="347"/>
      <c r="AJ335" s="347"/>
      <c r="AK335" s="347"/>
      <c r="AL335" s="347"/>
      <c r="AM335" s="347"/>
      <c r="AN335" s="347"/>
      <c r="AO335" s="347"/>
      <c r="AP335" s="347"/>
      <c r="AQ335" s="347"/>
      <c r="AR335" s="347"/>
      <c r="AS335" s="347"/>
      <c r="AT335" s="347"/>
      <c r="AU335" s="347"/>
      <c r="AV335" s="347"/>
      <c r="AW335" s="347"/>
      <c r="AX335" s="347"/>
      <c r="AY335" s="347"/>
      <c r="AZ335" s="347"/>
      <c r="BA335" s="347"/>
      <c r="BB335" s="347"/>
      <c r="BC335" s="347"/>
      <c r="BD335" s="347"/>
      <c r="BE335" s="347"/>
      <c r="BF335" s="347"/>
      <c r="BG335" s="347"/>
      <c r="BH335" s="347"/>
    </row>
    <row r="336">
      <c r="A336" s="347"/>
      <c r="B336" s="347"/>
      <c r="C336" s="347"/>
      <c r="D336" s="347"/>
      <c r="E336" s="347"/>
      <c r="F336" s="347"/>
      <c r="G336" s="347"/>
      <c r="H336" s="347"/>
      <c r="I336" s="347"/>
      <c r="J336" s="347"/>
      <c r="K336" s="348"/>
      <c r="L336" s="348"/>
      <c r="M336" s="348"/>
      <c r="N336" s="348"/>
      <c r="O336" s="348"/>
      <c r="P336" s="347"/>
      <c r="Q336" s="347"/>
      <c r="R336" s="347"/>
      <c r="S336" s="347"/>
      <c r="T336" s="347"/>
      <c r="U336" s="347"/>
      <c r="V336" s="347"/>
      <c r="W336" s="347"/>
      <c r="X336" s="347"/>
      <c r="Y336" s="347"/>
      <c r="Z336" s="347"/>
      <c r="AA336" s="604"/>
      <c r="AB336" s="347"/>
      <c r="AC336" s="590"/>
      <c r="AD336" s="347"/>
      <c r="AE336" s="347"/>
      <c r="AF336" s="347"/>
      <c r="AG336" s="347"/>
      <c r="AH336" s="347"/>
      <c r="AI336" s="347"/>
      <c r="AJ336" s="347"/>
      <c r="AK336" s="347"/>
      <c r="AL336" s="347"/>
      <c r="AM336" s="347"/>
      <c r="AN336" s="347"/>
      <c r="AO336" s="347"/>
      <c r="AP336" s="347"/>
      <c r="AQ336" s="347"/>
      <c r="AR336" s="347"/>
      <c r="AS336" s="347"/>
      <c r="AT336" s="347"/>
      <c r="AU336" s="347"/>
      <c r="AV336" s="347"/>
      <c r="AW336" s="347"/>
      <c r="AX336" s="347"/>
      <c r="AY336" s="347"/>
      <c r="AZ336" s="347"/>
      <c r="BA336" s="347"/>
      <c r="BB336" s="347"/>
      <c r="BC336" s="347"/>
      <c r="BD336" s="347"/>
      <c r="BE336" s="347"/>
      <c r="BF336" s="347"/>
      <c r="BG336" s="347"/>
      <c r="BH336" s="347"/>
    </row>
    <row r="337">
      <c r="A337" s="347"/>
      <c r="B337" s="347"/>
      <c r="C337" s="347"/>
      <c r="D337" s="347"/>
      <c r="E337" s="347"/>
      <c r="F337" s="347"/>
      <c r="G337" s="347"/>
      <c r="H337" s="347"/>
      <c r="I337" s="347"/>
      <c r="J337" s="347"/>
      <c r="K337" s="348"/>
      <c r="L337" s="348"/>
      <c r="M337" s="348"/>
      <c r="N337" s="348"/>
      <c r="O337" s="348"/>
      <c r="P337" s="347"/>
      <c r="Q337" s="347"/>
      <c r="R337" s="347"/>
      <c r="S337" s="347"/>
      <c r="T337" s="347"/>
      <c r="U337" s="347"/>
      <c r="V337" s="347"/>
      <c r="W337" s="347"/>
      <c r="X337" s="347"/>
      <c r="Y337" s="347"/>
      <c r="Z337" s="347"/>
      <c r="AA337" s="604"/>
      <c r="AB337" s="347"/>
      <c r="AC337" s="590"/>
      <c r="AD337" s="347"/>
      <c r="AE337" s="347"/>
      <c r="AF337" s="347"/>
      <c r="AG337" s="347"/>
      <c r="AH337" s="347"/>
      <c r="AI337" s="347"/>
      <c r="AJ337" s="347"/>
      <c r="AK337" s="347"/>
      <c r="AL337" s="347"/>
      <c r="AM337" s="347"/>
      <c r="AN337" s="347"/>
      <c r="AO337" s="347"/>
      <c r="AP337" s="347"/>
      <c r="AQ337" s="347"/>
      <c r="AR337" s="347"/>
      <c r="AS337" s="347"/>
      <c r="AT337" s="347"/>
      <c r="AU337" s="347"/>
      <c r="AV337" s="347"/>
      <c r="AW337" s="347"/>
      <c r="AX337" s="347"/>
      <c r="AY337" s="347"/>
      <c r="AZ337" s="347"/>
      <c r="BA337" s="347"/>
      <c r="BB337" s="347"/>
      <c r="BC337" s="347"/>
      <c r="BD337" s="347"/>
      <c r="BE337" s="347"/>
      <c r="BF337" s="347"/>
      <c r="BG337" s="347"/>
      <c r="BH337" s="347"/>
    </row>
    <row r="338">
      <c r="A338" s="347"/>
      <c r="B338" s="347"/>
      <c r="C338" s="347"/>
      <c r="D338" s="347"/>
      <c r="E338" s="347"/>
      <c r="F338" s="347"/>
      <c r="G338" s="347"/>
      <c r="H338" s="347"/>
      <c r="I338" s="347"/>
      <c r="J338" s="347"/>
      <c r="K338" s="348"/>
      <c r="L338" s="348"/>
      <c r="M338" s="348"/>
      <c r="N338" s="348"/>
      <c r="O338" s="348"/>
      <c r="P338" s="347"/>
      <c r="Q338" s="347"/>
      <c r="R338" s="347"/>
      <c r="S338" s="347"/>
      <c r="T338" s="347"/>
      <c r="U338" s="347"/>
      <c r="V338" s="347"/>
      <c r="W338" s="347"/>
      <c r="X338" s="347"/>
      <c r="Y338" s="347"/>
      <c r="Z338" s="347"/>
      <c r="AA338" s="604"/>
      <c r="AB338" s="347"/>
      <c r="AC338" s="590"/>
      <c r="AD338" s="347"/>
      <c r="AE338" s="347"/>
      <c r="AF338" s="347"/>
      <c r="AG338" s="347"/>
      <c r="AH338" s="347"/>
      <c r="AI338" s="347"/>
      <c r="AJ338" s="347"/>
      <c r="AK338" s="347"/>
      <c r="AL338" s="347"/>
      <c r="AM338" s="347"/>
      <c r="AN338" s="347"/>
      <c r="AO338" s="347"/>
      <c r="AP338" s="347"/>
      <c r="AQ338" s="347"/>
      <c r="AR338" s="347"/>
      <c r="AS338" s="347"/>
      <c r="AT338" s="347"/>
      <c r="AU338" s="347"/>
      <c r="AV338" s="347"/>
      <c r="AW338" s="347"/>
      <c r="AX338" s="347"/>
      <c r="AY338" s="347"/>
      <c r="AZ338" s="347"/>
      <c r="BA338" s="347"/>
      <c r="BB338" s="347"/>
      <c r="BC338" s="347"/>
      <c r="BD338" s="347"/>
      <c r="BE338" s="347"/>
      <c r="BF338" s="347"/>
      <c r="BG338" s="347"/>
      <c r="BH338" s="347"/>
    </row>
    <row r="339">
      <c r="A339" s="347"/>
      <c r="B339" s="347"/>
      <c r="C339" s="347"/>
      <c r="D339" s="347"/>
      <c r="E339" s="347"/>
      <c r="F339" s="347"/>
      <c r="G339" s="347"/>
      <c r="H339" s="347"/>
      <c r="I339" s="347"/>
      <c r="J339" s="347"/>
      <c r="K339" s="348"/>
      <c r="L339" s="348"/>
      <c r="M339" s="348"/>
      <c r="N339" s="348"/>
      <c r="O339" s="348"/>
      <c r="P339" s="347"/>
      <c r="Q339" s="347"/>
      <c r="R339" s="347"/>
      <c r="S339" s="347"/>
      <c r="T339" s="347"/>
      <c r="U339" s="347"/>
      <c r="V339" s="347"/>
      <c r="W339" s="347"/>
      <c r="X339" s="347"/>
      <c r="Y339" s="347"/>
      <c r="Z339" s="347"/>
      <c r="AA339" s="604"/>
      <c r="AB339" s="347"/>
      <c r="AC339" s="590"/>
      <c r="AD339" s="347"/>
      <c r="AE339" s="347"/>
      <c r="AF339" s="347"/>
      <c r="AG339" s="347"/>
      <c r="AH339" s="347"/>
      <c r="AI339" s="347"/>
      <c r="AJ339" s="347"/>
      <c r="AK339" s="347"/>
      <c r="AL339" s="347"/>
      <c r="AM339" s="347"/>
      <c r="AN339" s="347"/>
      <c r="AO339" s="347"/>
      <c r="AP339" s="347"/>
      <c r="AQ339" s="347"/>
      <c r="AR339" s="347"/>
      <c r="AS339" s="347"/>
      <c r="AT339" s="347"/>
      <c r="AU339" s="347"/>
      <c r="AV339" s="347"/>
      <c r="AW339" s="347"/>
      <c r="AX339" s="347"/>
      <c r="AY339" s="347"/>
      <c r="AZ339" s="347"/>
      <c r="BA339" s="347"/>
      <c r="BB339" s="347"/>
      <c r="BC339" s="347"/>
      <c r="BD339" s="347"/>
      <c r="BE339" s="347"/>
      <c r="BF339" s="347"/>
      <c r="BG339" s="347"/>
      <c r="BH339" s="347"/>
    </row>
    <row r="340">
      <c r="A340" s="347"/>
      <c r="B340" s="347"/>
      <c r="C340" s="347"/>
      <c r="D340" s="347"/>
      <c r="E340" s="347"/>
      <c r="F340" s="347"/>
      <c r="G340" s="347"/>
      <c r="H340" s="347"/>
      <c r="I340" s="347"/>
      <c r="J340" s="347"/>
      <c r="K340" s="348"/>
      <c r="L340" s="348"/>
      <c r="M340" s="348"/>
      <c r="N340" s="348"/>
      <c r="O340" s="348"/>
      <c r="P340" s="347"/>
      <c r="Q340" s="347"/>
      <c r="R340" s="347"/>
      <c r="S340" s="347"/>
      <c r="T340" s="347"/>
      <c r="U340" s="347"/>
      <c r="V340" s="347"/>
      <c r="W340" s="347"/>
      <c r="X340" s="347"/>
      <c r="Y340" s="347"/>
      <c r="Z340" s="347"/>
      <c r="AA340" s="604"/>
      <c r="AB340" s="347"/>
      <c r="AC340" s="590"/>
      <c r="AD340" s="347"/>
      <c r="AE340" s="347"/>
      <c r="AF340" s="347"/>
      <c r="AG340" s="347"/>
      <c r="AH340" s="347"/>
      <c r="AI340" s="347"/>
      <c r="AJ340" s="347"/>
      <c r="AK340" s="347"/>
      <c r="AL340" s="347"/>
      <c r="AM340" s="347"/>
      <c r="AN340" s="347"/>
      <c r="AO340" s="347"/>
      <c r="AP340" s="347"/>
      <c r="AQ340" s="347"/>
      <c r="AR340" s="347"/>
      <c r="AS340" s="347"/>
      <c r="AT340" s="347"/>
      <c r="AU340" s="347"/>
      <c r="AV340" s="347"/>
      <c r="AW340" s="347"/>
      <c r="AX340" s="347"/>
      <c r="AY340" s="347"/>
      <c r="AZ340" s="347"/>
      <c r="BA340" s="347"/>
      <c r="BB340" s="347"/>
      <c r="BC340" s="347"/>
      <c r="BD340" s="347"/>
      <c r="BE340" s="347"/>
      <c r="BF340" s="347"/>
      <c r="BG340" s="347"/>
      <c r="BH340" s="347"/>
    </row>
    <row r="341">
      <c r="A341" s="347"/>
      <c r="B341" s="347"/>
      <c r="C341" s="347"/>
      <c r="D341" s="347"/>
      <c r="E341" s="347"/>
      <c r="F341" s="347"/>
      <c r="G341" s="347"/>
      <c r="H341" s="347"/>
      <c r="I341" s="347"/>
      <c r="J341" s="347"/>
      <c r="K341" s="348"/>
      <c r="L341" s="348"/>
      <c r="M341" s="348"/>
      <c r="N341" s="348"/>
      <c r="O341" s="348"/>
      <c r="P341" s="347"/>
      <c r="Q341" s="347"/>
      <c r="R341" s="347"/>
      <c r="S341" s="347"/>
      <c r="T341" s="347"/>
      <c r="U341" s="347"/>
      <c r="V341" s="347"/>
      <c r="W341" s="347"/>
      <c r="X341" s="347"/>
      <c r="Y341" s="347"/>
      <c r="Z341" s="347"/>
      <c r="AA341" s="604"/>
      <c r="AB341" s="347"/>
      <c r="AC341" s="590"/>
      <c r="AD341" s="347"/>
      <c r="AE341" s="347"/>
      <c r="AF341" s="347"/>
      <c r="AG341" s="347"/>
      <c r="AH341" s="347"/>
      <c r="AI341" s="347"/>
      <c r="AJ341" s="347"/>
      <c r="AK341" s="347"/>
      <c r="AL341" s="347"/>
      <c r="AM341" s="347"/>
      <c r="AN341" s="347"/>
      <c r="AO341" s="347"/>
      <c r="AP341" s="347"/>
      <c r="AQ341" s="347"/>
      <c r="AR341" s="347"/>
      <c r="AS341" s="347"/>
      <c r="AT341" s="347"/>
      <c r="AU341" s="347"/>
      <c r="AV341" s="347"/>
      <c r="AW341" s="347"/>
      <c r="AX341" s="347"/>
      <c r="AY341" s="347"/>
      <c r="AZ341" s="347"/>
      <c r="BA341" s="347"/>
      <c r="BB341" s="347"/>
      <c r="BC341" s="347"/>
      <c r="BD341" s="347"/>
      <c r="BE341" s="347"/>
      <c r="BF341" s="347"/>
      <c r="BG341" s="347"/>
      <c r="BH341" s="347"/>
    </row>
    <row r="342">
      <c r="A342" s="347"/>
      <c r="B342" s="347"/>
      <c r="C342" s="347"/>
      <c r="D342" s="347"/>
      <c r="E342" s="347"/>
      <c r="F342" s="347"/>
      <c r="G342" s="347"/>
      <c r="H342" s="347"/>
      <c r="I342" s="347"/>
      <c r="J342" s="347"/>
      <c r="K342" s="348"/>
      <c r="L342" s="348"/>
      <c r="M342" s="348"/>
      <c r="N342" s="348"/>
      <c r="O342" s="348"/>
      <c r="P342" s="347"/>
      <c r="Q342" s="347"/>
      <c r="R342" s="347"/>
      <c r="S342" s="347"/>
      <c r="T342" s="347"/>
      <c r="U342" s="347"/>
      <c r="V342" s="347"/>
      <c r="W342" s="347"/>
      <c r="X342" s="347"/>
      <c r="Y342" s="347"/>
      <c r="Z342" s="347"/>
      <c r="AA342" s="604"/>
      <c r="AB342" s="347"/>
      <c r="AC342" s="590"/>
      <c r="AD342" s="347"/>
      <c r="AE342" s="347"/>
      <c r="AF342" s="347"/>
      <c r="AG342" s="347"/>
      <c r="AH342" s="347"/>
      <c r="AI342" s="347"/>
      <c r="AJ342" s="347"/>
      <c r="AK342" s="347"/>
      <c r="AL342" s="347"/>
      <c r="AM342" s="347"/>
      <c r="AN342" s="347"/>
      <c r="AO342" s="347"/>
      <c r="AP342" s="347"/>
      <c r="AQ342" s="347"/>
      <c r="AR342" s="347"/>
      <c r="AS342" s="347"/>
      <c r="AT342" s="347"/>
      <c r="AU342" s="347"/>
      <c r="AV342" s="347"/>
      <c r="AW342" s="347"/>
      <c r="AX342" s="347"/>
      <c r="AY342" s="347"/>
      <c r="AZ342" s="347"/>
      <c r="BA342" s="347"/>
      <c r="BB342" s="347"/>
      <c r="BC342" s="347"/>
      <c r="BD342" s="347"/>
      <c r="BE342" s="347"/>
      <c r="BF342" s="347"/>
      <c r="BG342" s="347"/>
      <c r="BH342" s="347"/>
    </row>
    <row r="343">
      <c r="A343" s="347"/>
      <c r="B343" s="347"/>
      <c r="C343" s="347"/>
      <c r="D343" s="347"/>
      <c r="E343" s="347"/>
      <c r="F343" s="347"/>
      <c r="G343" s="347"/>
      <c r="H343" s="347"/>
      <c r="I343" s="347"/>
      <c r="J343" s="347"/>
      <c r="K343" s="348"/>
      <c r="L343" s="348"/>
      <c r="M343" s="348"/>
      <c r="N343" s="348"/>
      <c r="O343" s="348"/>
      <c r="P343" s="347"/>
      <c r="Q343" s="347"/>
      <c r="R343" s="347"/>
      <c r="S343" s="347"/>
      <c r="T343" s="347"/>
      <c r="U343" s="347"/>
      <c r="V343" s="347"/>
      <c r="W343" s="347"/>
      <c r="X343" s="347"/>
      <c r="Y343" s="347"/>
      <c r="Z343" s="347"/>
      <c r="AA343" s="604"/>
      <c r="AB343" s="347"/>
      <c r="AC343" s="590"/>
      <c r="AD343" s="347"/>
      <c r="AE343" s="347"/>
      <c r="AF343" s="347"/>
      <c r="AG343" s="347"/>
      <c r="AH343" s="347"/>
      <c r="AI343" s="347"/>
      <c r="AJ343" s="347"/>
      <c r="AK343" s="347"/>
      <c r="AL343" s="347"/>
      <c r="AM343" s="347"/>
      <c r="AN343" s="347"/>
      <c r="AO343" s="347"/>
      <c r="AP343" s="347"/>
      <c r="AQ343" s="347"/>
      <c r="AR343" s="347"/>
      <c r="AS343" s="347"/>
      <c r="AT343" s="347"/>
      <c r="AU343" s="347"/>
      <c r="AV343" s="347"/>
      <c r="AW343" s="347"/>
      <c r="AX343" s="347"/>
      <c r="AY343" s="347"/>
      <c r="AZ343" s="347"/>
      <c r="BA343" s="347"/>
      <c r="BB343" s="347"/>
      <c r="BC343" s="347"/>
      <c r="BD343" s="347"/>
      <c r="BE343" s="347"/>
      <c r="BF343" s="347"/>
      <c r="BG343" s="347"/>
      <c r="BH343" s="347"/>
    </row>
    <row r="344">
      <c r="A344" s="347"/>
      <c r="B344" s="347"/>
      <c r="C344" s="347"/>
      <c r="D344" s="347"/>
      <c r="E344" s="347"/>
      <c r="F344" s="347"/>
      <c r="G344" s="347"/>
      <c r="H344" s="347"/>
      <c r="I344" s="347"/>
      <c r="J344" s="347"/>
      <c r="K344" s="348"/>
      <c r="L344" s="348"/>
      <c r="M344" s="348"/>
      <c r="N344" s="348"/>
      <c r="O344" s="348"/>
      <c r="P344" s="347"/>
      <c r="Q344" s="347"/>
      <c r="R344" s="347"/>
      <c r="S344" s="347"/>
      <c r="T344" s="347"/>
      <c r="U344" s="347"/>
      <c r="V344" s="347"/>
      <c r="W344" s="347"/>
      <c r="X344" s="347"/>
      <c r="Y344" s="347"/>
      <c r="Z344" s="347"/>
      <c r="AA344" s="604"/>
      <c r="AB344" s="347"/>
      <c r="AC344" s="590"/>
      <c r="AD344" s="347"/>
      <c r="AE344" s="347"/>
      <c r="AF344" s="347"/>
      <c r="AG344" s="347"/>
      <c r="AH344" s="347"/>
      <c r="AI344" s="347"/>
      <c r="AJ344" s="347"/>
      <c r="AK344" s="347"/>
      <c r="AL344" s="347"/>
      <c r="AM344" s="347"/>
      <c r="AN344" s="347"/>
      <c r="AO344" s="347"/>
      <c r="AP344" s="347"/>
      <c r="AQ344" s="347"/>
      <c r="AR344" s="347"/>
      <c r="AS344" s="347"/>
      <c r="AT344" s="347"/>
      <c r="AU344" s="347"/>
      <c r="AV344" s="347"/>
      <c r="AW344" s="347"/>
      <c r="AX344" s="347"/>
      <c r="AY344" s="347"/>
      <c r="AZ344" s="347"/>
      <c r="BA344" s="347"/>
      <c r="BB344" s="347"/>
      <c r="BC344" s="347"/>
      <c r="BD344" s="347"/>
      <c r="BE344" s="347"/>
      <c r="BF344" s="347"/>
      <c r="BG344" s="347"/>
      <c r="BH344" s="347"/>
    </row>
    <row r="345">
      <c r="A345" s="347"/>
      <c r="B345" s="347"/>
      <c r="C345" s="347"/>
      <c r="D345" s="347"/>
      <c r="E345" s="347"/>
      <c r="F345" s="347"/>
      <c r="G345" s="347"/>
      <c r="H345" s="347"/>
      <c r="I345" s="347"/>
      <c r="J345" s="347"/>
      <c r="K345" s="348"/>
      <c r="L345" s="348"/>
      <c r="M345" s="348"/>
      <c r="N345" s="348"/>
      <c r="O345" s="348"/>
      <c r="P345" s="347"/>
      <c r="Q345" s="347"/>
      <c r="R345" s="347"/>
      <c r="S345" s="347"/>
      <c r="T345" s="347"/>
      <c r="U345" s="347"/>
      <c r="V345" s="347"/>
      <c r="W345" s="347"/>
      <c r="X345" s="347"/>
      <c r="Y345" s="347"/>
      <c r="Z345" s="347"/>
      <c r="AA345" s="604"/>
      <c r="AB345" s="347"/>
      <c r="AC345" s="590"/>
      <c r="AD345" s="347"/>
      <c r="AE345" s="347"/>
      <c r="AF345" s="347"/>
      <c r="AG345" s="347"/>
      <c r="AH345" s="347"/>
      <c r="AI345" s="347"/>
      <c r="AJ345" s="347"/>
      <c r="AK345" s="347"/>
      <c r="AL345" s="347"/>
      <c r="AM345" s="347"/>
      <c r="AN345" s="347"/>
      <c r="AO345" s="347"/>
      <c r="AP345" s="347"/>
      <c r="AQ345" s="347"/>
      <c r="AR345" s="347"/>
      <c r="AS345" s="347"/>
      <c r="AT345" s="347"/>
      <c r="AU345" s="347"/>
      <c r="AV345" s="347"/>
      <c r="AW345" s="347"/>
      <c r="AX345" s="347"/>
      <c r="AY345" s="347"/>
      <c r="AZ345" s="347"/>
      <c r="BA345" s="347"/>
      <c r="BB345" s="347"/>
      <c r="BC345" s="347"/>
      <c r="BD345" s="347"/>
      <c r="BE345" s="347"/>
      <c r="BF345" s="347"/>
      <c r="BG345" s="347"/>
      <c r="BH345" s="347"/>
    </row>
    <row r="346">
      <c r="A346" s="347"/>
      <c r="B346" s="347"/>
      <c r="C346" s="347"/>
      <c r="D346" s="347"/>
      <c r="E346" s="347"/>
      <c r="F346" s="347"/>
      <c r="G346" s="347"/>
      <c r="H346" s="347"/>
      <c r="I346" s="347"/>
      <c r="J346" s="347"/>
      <c r="K346" s="348"/>
      <c r="L346" s="348"/>
      <c r="M346" s="348"/>
      <c r="N346" s="348"/>
      <c r="O346" s="348"/>
      <c r="P346" s="347"/>
      <c r="Q346" s="347"/>
      <c r="R346" s="347"/>
      <c r="S346" s="347"/>
      <c r="T346" s="347"/>
      <c r="U346" s="347"/>
      <c r="V346" s="347"/>
      <c r="W346" s="347"/>
      <c r="X346" s="347"/>
      <c r="Y346" s="347"/>
      <c r="Z346" s="347"/>
      <c r="AA346" s="604"/>
      <c r="AB346" s="347"/>
      <c r="AC346" s="590"/>
      <c r="AD346" s="347"/>
      <c r="AE346" s="347"/>
      <c r="AF346" s="347"/>
      <c r="AG346" s="347"/>
      <c r="AH346" s="347"/>
      <c r="AI346" s="347"/>
      <c r="AJ346" s="347"/>
      <c r="AK346" s="347"/>
      <c r="AL346" s="347"/>
      <c r="AM346" s="347"/>
      <c r="AN346" s="347"/>
      <c r="AO346" s="347"/>
      <c r="AP346" s="347"/>
      <c r="AQ346" s="347"/>
      <c r="AR346" s="347"/>
      <c r="AS346" s="347"/>
      <c r="AT346" s="347"/>
      <c r="AU346" s="347"/>
      <c r="AV346" s="347"/>
      <c r="AW346" s="347"/>
      <c r="AX346" s="347"/>
      <c r="AY346" s="347"/>
      <c r="AZ346" s="347"/>
      <c r="BA346" s="347"/>
      <c r="BB346" s="347"/>
      <c r="BC346" s="347"/>
      <c r="BD346" s="347"/>
      <c r="BE346" s="347"/>
      <c r="BF346" s="347"/>
      <c r="BG346" s="347"/>
      <c r="BH346" s="347"/>
    </row>
    <row r="347">
      <c r="A347" s="347"/>
      <c r="B347" s="347"/>
      <c r="C347" s="347"/>
      <c r="D347" s="347"/>
      <c r="E347" s="347"/>
      <c r="F347" s="347"/>
      <c r="G347" s="347"/>
      <c r="H347" s="347"/>
      <c r="I347" s="347"/>
      <c r="J347" s="347"/>
      <c r="K347" s="348"/>
      <c r="L347" s="348"/>
      <c r="M347" s="348"/>
      <c r="N347" s="348"/>
      <c r="O347" s="348"/>
      <c r="P347" s="347"/>
      <c r="Q347" s="347"/>
      <c r="R347" s="347"/>
      <c r="S347" s="347"/>
      <c r="T347" s="347"/>
      <c r="U347" s="347"/>
      <c r="V347" s="347"/>
      <c r="W347" s="347"/>
      <c r="X347" s="347"/>
      <c r="Y347" s="347"/>
      <c r="Z347" s="347"/>
      <c r="AA347" s="604"/>
      <c r="AB347" s="347"/>
      <c r="AC347" s="590"/>
      <c r="AD347" s="347"/>
      <c r="AE347" s="347"/>
      <c r="AF347" s="347"/>
      <c r="AG347" s="347"/>
      <c r="AH347" s="347"/>
      <c r="AI347" s="347"/>
      <c r="AJ347" s="347"/>
      <c r="AK347" s="347"/>
      <c r="AL347" s="347"/>
      <c r="AM347" s="347"/>
      <c r="AN347" s="347"/>
      <c r="AO347" s="347"/>
      <c r="AP347" s="347"/>
      <c r="AQ347" s="347"/>
      <c r="AR347" s="347"/>
      <c r="AS347" s="347"/>
      <c r="AT347" s="347"/>
      <c r="AU347" s="347"/>
      <c r="AV347" s="347"/>
      <c r="AW347" s="347"/>
      <c r="AX347" s="347"/>
      <c r="AY347" s="347"/>
      <c r="AZ347" s="347"/>
      <c r="BA347" s="347"/>
      <c r="BB347" s="347"/>
      <c r="BC347" s="347"/>
      <c r="BD347" s="347"/>
      <c r="BE347" s="347"/>
      <c r="BF347" s="347"/>
      <c r="BG347" s="347"/>
      <c r="BH347" s="347"/>
    </row>
    <row r="348">
      <c r="A348" s="347"/>
      <c r="B348" s="347"/>
      <c r="C348" s="347"/>
      <c r="D348" s="347"/>
      <c r="E348" s="347"/>
      <c r="F348" s="347"/>
      <c r="G348" s="347"/>
      <c r="H348" s="347"/>
      <c r="I348" s="347"/>
      <c r="J348" s="347"/>
      <c r="K348" s="348"/>
      <c r="L348" s="348"/>
      <c r="M348" s="348"/>
      <c r="N348" s="348"/>
      <c r="O348" s="348"/>
      <c r="P348" s="347"/>
      <c r="Q348" s="347"/>
      <c r="R348" s="347"/>
      <c r="S348" s="347"/>
      <c r="T348" s="347"/>
      <c r="U348" s="347"/>
      <c r="V348" s="347"/>
      <c r="W348" s="347"/>
      <c r="X348" s="347"/>
      <c r="Y348" s="347"/>
      <c r="Z348" s="347"/>
      <c r="AA348" s="604"/>
      <c r="AB348" s="347"/>
      <c r="AC348" s="590"/>
      <c r="AD348" s="347"/>
      <c r="AE348" s="347"/>
      <c r="AF348" s="347"/>
      <c r="AG348" s="347"/>
      <c r="AH348" s="347"/>
      <c r="AI348" s="347"/>
      <c r="AJ348" s="347"/>
      <c r="AK348" s="347"/>
      <c r="AL348" s="347"/>
      <c r="AM348" s="347"/>
      <c r="AN348" s="347"/>
      <c r="AO348" s="347"/>
      <c r="AP348" s="347"/>
      <c r="AQ348" s="347"/>
      <c r="AR348" s="347"/>
      <c r="AS348" s="347"/>
      <c r="AT348" s="347"/>
      <c r="AU348" s="347"/>
      <c r="AV348" s="347"/>
      <c r="AW348" s="347"/>
      <c r="AX348" s="347"/>
      <c r="AY348" s="347"/>
      <c r="AZ348" s="347"/>
      <c r="BA348" s="347"/>
      <c r="BB348" s="347"/>
      <c r="BC348" s="347"/>
      <c r="BD348" s="347"/>
      <c r="BE348" s="347"/>
      <c r="BF348" s="347"/>
      <c r="BG348" s="347"/>
      <c r="BH348" s="347"/>
    </row>
    <row r="349">
      <c r="A349" s="347"/>
      <c r="B349" s="347"/>
      <c r="C349" s="347"/>
      <c r="D349" s="347"/>
      <c r="E349" s="347"/>
      <c r="F349" s="347"/>
      <c r="G349" s="347"/>
      <c r="H349" s="347"/>
      <c r="I349" s="347"/>
      <c r="J349" s="347"/>
      <c r="K349" s="348"/>
      <c r="L349" s="348"/>
      <c r="M349" s="348"/>
      <c r="N349" s="348"/>
      <c r="O349" s="348"/>
      <c r="P349" s="347"/>
      <c r="Q349" s="347"/>
      <c r="R349" s="347"/>
      <c r="S349" s="347"/>
      <c r="T349" s="347"/>
      <c r="U349" s="347"/>
      <c r="V349" s="347"/>
      <c r="W349" s="347"/>
      <c r="X349" s="347"/>
      <c r="Y349" s="347"/>
      <c r="Z349" s="347"/>
      <c r="AA349" s="604"/>
      <c r="AB349" s="347"/>
      <c r="AC349" s="590"/>
      <c r="AD349" s="347"/>
      <c r="AE349" s="347"/>
      <c r="AF349" s="347"/>
      <c r="AG349" s="347"/>
      <c r="AH349" s="347"/>
      <c r="AI349" s="347"/>
      <c r="AJ349" s="347"/>
      <c r="AK349" s="347"/>
      <c r="AL349" s="347"/>
      <c r="AM349" s="347"/>
      <c r="AN349" s="347"/>
      <c r="AO349" s="347"/>
      <c r="AP349" s="347"/>
      <c r="AQ349" s="347"/>
      <c r="AR349" s="347"/>
      <c r="AS349" s="347"/>
      <c r="AT349" s="347"/>
      <c r="AU349" s="347"/>
      <c r="AV349" s="347"/>
      <c r="AW349" s="347"/>
      <c r="AX349" s="347"/>
      <c r="AY349" s="347"/>
      <c r="AZ349" s="347"/>
      <c r="BA349" s="347"/>
      <c r="BB349" s="347"/>
      <c r="BC349" s="347"/>
      <c r="BD349" s="347"/>
      <c r="BE349" s="347"/>
      <c r="BF349" s="347"/>
      <c r="BG349" s="347"/>
      <c r="BH349" s="347"/>
    </row>
    <row r="350">
      <c r="A350" s="347"/>
      <c r="B350" s="347"/>
      <c r="C350" s="347"/>
      <c r="D350" s="347"/>
      <c r="E350" s="347"/>
      <c r="F350" s="347"/>
      <c r="G350" s="347"/>
      <c r="H350" s="347"/>
      <c r="I350" s="347"/>
      <c r="J350" s="347"/>
      <c r="K350" s="348"/>
      <c r="L350" s="348"/>
      <c r="M350" s="348"/>
      <c r="N350" s="348"/>
      <c r="O350" s="348"/>
      <c r="P350" s="347"/>
      <c r="Q350" s="347"/>
      <c r="R350" s="347"/>
      <c r="S350" s="347"/>
      <c r="T350" s="347"/>
      <c r="U350" s="347"/>
      <c r="V350" s="347"/>
      <c r="W350" s="347"/>
      <c r="X350" s="347"/>
      <c r="Y350" s="347"/>
      <c r="Z350" s="347"/>
      <c r="AA350" s="604"/>
      <c r="AB350" s="347"/>
      <c r="AC350" s="590"/>
      <c r="AD350" s="347"/>
      <c r="AE350" s="347"/>
      <c r="AF350" s="347"/>
      <c r="AG350" s="347"/>
      <c r="AH350" s="347"/>
      <c r="AI350" s="347"/>
      <c r="AJ350" s="347"/>
      <c r="AK350" s="347"/>
      <c r="AL350" s="347"/>
      <c r="AM350" s="347"/>
      <c r="AN350" s="347"/>
      <c r="AO350" s="347"/>
      <c r="AP350" s="347"/>
      <c r="AQ350" s="347"/>
      <c r="AR350" s="347"/>
      <c r="AS350" s="347"/>
      <c r="AT350" s="347"/>
      <c r="AU350" s="347"/>
      <c r="AV350" s="347"/>
      <c r="AW350" s="347"/>
      <c r="AX350" s="347"/>
      <c r="AY350" s="347"/>
      <c r="AZ350" s="347"/>
      <c r="BA350" s="347"/>
      <c r="BB350" s="347"/>
      <c r="BC350" s="347"/>
      <c r="BD350" s="347"/>
      <c r="BE350" s="347"/>
      <c r="BF350" s="347"/>
      <c r="BG350" s="347"/>
      <c r="BH350" s="347"/>
    </row>
    <row r="351">
      <c r="A351" s="347"/>
      <c r="B351" s="347"/>
      <c r="C351" s="347"/>
      <c r="D351" s="347"/>
      <c r="E351" s="347"/>
      <c r="F351" s="347"/>
      <c r="G351" s="347"/>
      <c r="H351" s="347"/>
      <c r="I351" s="347"/>
      <c r="J351" s="347"/>
      <c r="K351" s="348"/>
      <c r="L351" s="348"/>
      <c r="M351" s="348"/>
      <c r="N351" s="348"/>
      <c r="O351" s="348"/>
      <c r="P351" s="347"/>
      <c r="Q351" s="347"/>
      <c r="R351" s="347"/>
      <c r="S351" s="347"/>
      <c r="T351" s="347"/>
      <c r="U351" s="347"/>
      <c r="V351" s="347"/>
      <c r="W351" s="347"/>
      <c r="X351" s="347"/>
      <c r="Y351" s="347"/>
      <c r="Z351" s="347"/>
      <c r="AA351" s="604"/>
      <c r="AB351" s="347"/>
      <c r="AC351" s="590"/>
      <c r="AD351" s="347"/>
      <c r="AE351" s="347"/>
      <c r="AF351" s="347"/>
      <c r="AG351" s="347"/>
      <c r="AH351" s="347"/>
      <c r="AI351" s="347"/>
      <c r="AJ351" s="347"/>
      <c r="AK351" s="347"/>
      <c r="AL351" s="347"/>
      <c r="AM351" s="347"/>
      <c r="AN351" s="347"/>
      <c r="AO351" s="347"/>
      <c r="AP351" s="347"/>
      <c r="AQ351" s="347"/>
      <c r="AR351" s="347"/>
      <c r="AS351" s="347"/>
      <c r="AT351" s="347"/>
      <c r="AU351" s="347"/>
      <c r="AV351" s="347"/>
      <c r="AW351" s="347"/>
      <c r="AX351" s="347"/>
      <c r="AY351" s="347"/>
      <c r="AZ351" s="347"/>
      <c r="BA351" s="347"/>
      <c r="BB351" s="347"/>
      <c r="BC351" s="347"/>
      <c r="BD351" s="347"/>
      <c r="BE351" s="347"/>
      <c r="BF351" s="347"/>
      <c r="BG351" s="347"/>
      <c r="BH351" s="347"/>
    </row>
    <row r="352">
      <c r="A352" s="347"/>
      <c r="B352" s="347"/>
      <c r="C352" s="347"/>
      <c r="D352" s="347"/>
      <c r="E352" s="347"/>
      <c r="F352" s="347"/>
      <c r="G352" s="347"/>
      <c r="H352" s="347"/>
      <c r="I352" s="347"/>
      <c r="J352" s="347"/>
      <c r="K352" s="348"/>
      <c r="L352" s="348"/>
      <c r="M352" s="348"/>
      <c r="N352" s="348"/>
      <c r="O352" s="348"/>
      <c r="P352" s="347"/>
      <c r="Q352" s="347"/>
      <c r="R352" s="347"/>
      <c r="S352" s="347"/>
      <c r="T352" s="347"/>
      <c r="U352" s="347"/>
      <c r="V352" s="347"/>
      <c r="W352" s="347"/>
      <c r="X352" s="347"/>
      <c r="Y352" s="347"/>
      <c r="Z352" s="347"/>
      <c r="AA352" s="604"/>
      <c r="AB352" s="347"/>
      <c r="AC352" s="590"/>
      <c r="AD352" s="347"/>
      <c r="AE352" s="347"/>
      <c r="AF352" s="347"/>
      <c r="AG352" s="347"/>
      <c r="AH352" s="347"/>
      <c r="AI352" s="347"/>
      <c r="AJ352" s="347"/>
      <c r="AK352" s="347"/>
      <c r="AL352" s="347"/>
      <c r="AM352" s="347"/>
      <c r="AN352" s="347"/>
      <c r="AO352" s="347"/>
      <c r="AP352" s="347"/>
      <c r="AQ352" s="347"/>
      <c r="AR352" s="347"/>
      <c r="AS352" s="347"/>
      <c r="AT352" s="347"/>
      <c r="AU352" s="347"/>
      <c r="AV352" s="347"/>
      <c r="AW352" s="347"/>
      <c r="AX352" s="347"/>
      <c r="AY352" s="347"/>
      <c r="AZ352" s="347"/>
      <c r="BA352" s="347"/>
      <c r="BB352" s="347"/>
      <c r="BC352" s="347"/>
      <c r="BD352" s="347"/>
      <c r="BE352" s="347"/>
      <c r="BF352" s="347"/>
      <c r="BG352" s="347"/>
      <c r="BH352" s="347"/>
    </row>
    <row r="353">
      <c r="A353" s="347"/>
      <c r="B353" s="347"/>
      <c r="C353" s="347"/>
      <c r="D353" s="347"/>
      <c r="E353" s="347"/>
      <c r="F353" s="347"/>
      <c r="G353" s="347"/>
      <c r="H353" s="347"/>
      <c r="I353" s="347"/>
      <c r="J353" s="347"/>
      <c r="K353" s="348"/>
      <c r="L353" s="348"/>
      <c r="M353" s="348"/>
      <c r="N353" s="348"/>
      <c r="O353" s="348"/>
      <c r="P353" s="347"/>
      <c r="Q353" s="347"/>
      <c r="R353" s="347"/>
      <c r="S353" s="347"/>
      <c r="T353" s="347"/>
      <c r="U353" s="347"/>
      <c r="V353" s="347"/>
      <c r="W353" s="347"/>
      <c r="X353" s="347"/>
      <c r="Y353" s="347"/>
      <c r="Z353" s="347"/>
      <c r="AA353" s="604"/>
      <c r="AB353" s="347"/>
      <c r="AC353" s="590"/>
      <c r="AD353" s="347"/>
      <c r="AE353" s="347"/>
      <c r="AF353" s="347"/>
      <c r="AG353" s="347"/>
      <c r="AH353" s="347"/>
      <c r="AI353" s="347"/>
      <c r="AJ353" s="347"/>
      <c r="AK353" s="347"/>
      <c r="AL353" s="347"/>
      <c r="AM353" s="347"/>
      <c r="AN353" s="347"/>
      <c r="AO353" s="347"/>
      <c r="AP353" s="347"/>
      <c r="AQ353" s="347"/>
      <c r="AR353" s="347"/>
      <c r="AS353" s="347"/>
      <c r="AT353" s="347"/>
      <c r="AU353" s="347"/>
      <c r="AV353" s="347"/>
      <c r="AW353" s="347"/>
      <c r="AX353" s="347"/>
      <c r="AY353" s="347"/>
      <c r="AZ353" s="347"/>
      <c r="BA353" s="347"/>
      <c r="BB353" s="347"/>
      <c r="BC353" s="347"/>
      <c r="BD353" s="347"/>
      <c r="BE353" s="347"/>
      <c r="BF353" s="347"/>
      <c r="BG353" s="347"/>
      <c r="BH353" s="347"/>
    </row>
    <row r="354">
      <c r="A354" s="347"/>
      <c r="B354" s="347"/>
      <c r="C354" s="347"/>
      <c r="D354" s="347"/>
      <c r="E354" s="347"/>
      <c r="F354" s="347"/>
      <c r="G354" s="347"/>
      <c r="H354" s="347"/>
      <c r="I354" s="347"/>
      <c r="J354" s="347"/>
      <c r="K354" s="348"/>
      <c r="L354" s="348"/>
      <c r="M354" s="348"/>
      <c r="N354" s="348"/>
      <c r="O354" s="348"/>
      <c r="P354" s="347"/>
      <c r="Q354" s="347"/>
      <c r="R354" s="347"/>
      <c r="S354" s="347"/>
      <c r="T354" s="347"/>
      <c r="U354" s="347"/>
      <c r="V354" s="347"/>
      <c r="W354" s="347"/>
      <c r="X354" s="347"/>
      <c r="Y354" s="347"/>
      <c r="Z354" s="347"/>
      <c r="AA354" s="604"/>
      <c r="AB354" s="347"/>
      <c r="AC354" s="590"/>
      <c r="AD354" s="347"/>
      <c r="AE354" s="347"/>
      <c r="AF354" s="347"/>
      <c r="AG354" s="347"/>
      <c r="AH354" s="347"/>
      <c r="AI354" s="347"/>
      <c r="AJ354" s="347"/>
      <c r="AK354" s="347"/>
      <c r="AL354" s="347"/>
      <c r="AM354" s="347"/>
      <c r="AN354" s="347"/>
      <c r="AO354" s="347"/>
      <c r="AP354" s="347"/>
      <c r="AQ354" s="347"/>
      <c r="AR354" s="347"/>
      <c r="AS354" s="347"/>
      <c r="AT354" s="347"/>
      <c r="AU354" s="347"/>
      <c r="AV354" s="347"/>
      <c r="AW354" s="347"/>
      <c r="AX354" s="347"/>
      <c r="AY354" s="347"/>
      <c r="AZ354" s="347"/>
      <c r="BA354" s="347"/>
      <c r="BB354" s="347"/>
      <c r="BC354" s="347"/>
      <c r="BD354" s="347"/>
      <c r="BE354" s="347"/>
      <c r="BF354" s="347"/>
      <c r="BG354" s="347"/>
      <c r="BH354" s="347"/>
    </row>
    <row r="355">
      <c r="A355" s="347"/>
      <c r="B355" s="347"/>
      <c r="C355" s="347"/>
      <c r="D355" s="347"/>
      <c r="E355" s="347"/>
      <c r="F355" s="347"/>
      <c r="G355" s="347"/>
      <c r="H355" s="347"/>
      <c r="I355" s="347"/>
      <c r="J355" s="347"/>
      <c r="K355" s="348"/>
      <c r="L355" s="348"/>
      <c r="M355" s="348"/>
      <c r="N355" s="348"/>
      <c r="O355" s="348"/>
      <c r="P355" s="347"/>
      <c r="Q355" s="347"/>
      <c r="R355" s="347"/>
      <c r="S355" s="347"/>
      <c r="T355" s="347"/>
      <c r="U355" s="347"/>
      <c r="V355" s="347"/>
      <c r="W355" s="347"/>
      <c r="X355" s="347"/>
      <c r="Y355" s="347"/>
      <c r="Z355" s="347"/>
      <c r="AA355" s="604"/>
      <c r="AB355" s="347"/>
      <c r="AC355" s="590"/>
      <c r="AD355" s="347"/>
      <c r="AE355" s="347"/>
      <c r="AF355" s="347"/>
      <c r="AG355" s="347"/>
      <c r="AH355" s="347"/>
      <c r="AI355" s="347"/>
      <c r="AJ355" s="347"/>
      <c r="AK355" s="347"/>
      <c r="AL355" s="347"/>
      <c r="AM355" s="347"/>
      <c r="AN355" s="347"/>
      <c r="AO355" s="347"/>
      <c r="AP355" s="347"/>
      <c r="AQ355" s="347"/>
      <c r="AR355" s="347"/>
      <c r="AS355" s="347"/>
      <c r="AT355" s="347"/>
      <c r="AU355" s="347"/>
      <c r="AV355" s="347"/>
      <c r="AW355" s="347"/>
      <c r="AX355" s="347"/>
      <c r="AY355" s="347"/>
      <c r="AZ355" s="347"/>
      <c r="BA355" s="347"/>
      <c r="BB355" s="347"/>
      <c r="BC355" s="347"/>
      <c r="BD355" s="347"/>
      <c r="BE355" s="347"/>
      <c r="BF355" s="347"/>
      <c r="BG355" s="347"/>
      <c r="BH355" s="347"/>
    </row>
    <row r="356">
      <c r="A356" s="347"/>
      <c r="B356" s="347"/>
      <c r="C356" s="347"/>
      <c r="D356" s="347"/>
      <c r="E356" s="347"/>
      <c r="F356" s="347"/>
      <c r="G356" s="347"/>
      <c r="H356" s="347"/>
      <c r="I356" s="347"/>
      <c r="J356" s="347"/>
      <c r="K356" s="348"/>
      <c r="L356" s="348"/>
      <c r="M356" s="348"/>
      <c r="N356" s="348"/>
      <c r="O356" s="348"/>
      <c r="P356" s="347"/>
      <c r="Q356" s="347"/>
      <c r="R356" s="347"/>
      <c r="S356" s="347"/>
      <c r="T356" s="347"/>
      <c r="U356" s="347"/>
      <c r="V356" s="347"/>
      <c r="W356" s="347"/>
      <c r="X356" s="347"/>
      <c r="Y356" s="347"/>
      <c r="Z356" s="347"/>
      <c r="AA356" s="604"/>
      <c r="AB356" s="347"/>
      <c r="AC356" s="590"/>
      <c r="AD356" s="347"/>
      <c r="AE356" s="347"/>
      <c r="AF356" s="347"/>
      <c r="AG356" s="347"/>
      <c r="AH356" s="347"/>
      <c r="AI356" s="347"/>
      <c r="AJ356" s="347"/>
      <c r="AK356" s="347"/>
      <c r="AL356" s="347"/>
      <c r="AM356" s="347"/>
      <c r="AN356" s="347"/>
      <c r="AO356" s="347"/>
      <c r="AP356" s="347"/>
      <c r="AQ356" s="347"/>
      <c r="AR356" s="347"/>
      <c r="AS356" s="347"/>
      <c r="AT356" s="347"/>
      <c r="AU356" s="347"/>
      <c r="AV356" s="347"/>
      <c r="AW356" s="347"/>
      <c r="AX356" s="347"/>
      <c r="AY356" s="347"/>
      <c r="AZ356" s="347"/>
      <c r="BA356" s="347"/>
      <c r="BB356" s="347"/>
      <c r="BC356" s="347"/>
      <c r="BD356" s="347"/>
      <c r="BE356" s="347"/>
      <c r="BF356" s="347"/>
      <c r="BG356" s="347"/>
      <c r="BH356" s="347"/>
    </row>
    <row r="357">
      <c r="A357" s="347"/>
      <c r="B357" s="347"/>
      <c r="C357" s="347"/>
      <c r="D357" s="347"/>
      <c r="E357" s="347"/>
      <c r="F357" s="347"/>
      <c r="G357" s="347"/>
      <c r="H357" s="347"/>
      <c r="I357" s="347"/>
      <c r="J357" s="347"/>
      <c r="K357" s="348"/>
      <c r="L357" s="348"/>
      <c r="M357" s="348"/>
      <c r="N357" s="348"/>
      <c r="O357" s="348"/>
      <c r="P357" s="347"/>
      <c r="Q357" s="347"/>
      <c r="R357" s="347"/>
      <c r="S357" s="347"/>
      <c r="T357" s="347"/>
      <c r="U357" s="347"/>
      <c r="V357" s="347"/>
      <c r="W357" s="347"/>
      <c r="X357" s="347"/>
      <c r="Y357" s="347"/>
      <c r="Z357" s="347"/>
      <c r="AA357" s="604"/>
      <c r="AB357" s="347"/>
      <c r="AC357" s="590"/>
      <c r="AD357" s="347"/>
      <c r="AE357" s="347"/>
      <c r="AF357" s="347"/>
      <c r="AG357" s="347"/>
      <c r="AH357" s="347"/>
      <c r="AI357" s="347"/>
      <c r="AJ357" s="347"/>
      <c r="AK357" s="347"/>
      <c r="AL357" s="347"/>
      <c r="AM357" s="347"/>
      <c r="AN357" s="347"/>
      <c r="AO357" s="347"/>
      <c r="AP357" s="347"/>
      <c r="AQ357" s="347"/>
      <c r="AR357" s="347"/>
      <c r="AS357" s="347"/>
      <c r="AT357" s="347"/>
      <c r="AU357" s="347"/>
      <c r="AV357" s="347"/>
      <c r="AW357" s="347"/>
      <c r="AX357" s="347"/>
      <c r="AY357" s="347"/>
      <c r="AZ357" s="347"/>
      <c r="BA357" s="347"/>
      <c r="BB357" s="347"/>
      <c r="BC357" s="347"/>
      <c r="BD357" s="347"/>
      <c r="BE357" s="347"/>
      <c r="BF357" s="347"/>
      <c r="BG357" s="347"/>
      <c r="BH357" s="347"/>
    </row>
    <row r="358">
      <c r="A358" s="347"/>
      <c r="B358" s="347"/>
      <c r="C358" s="347"/>
      <c r="D358" s="347"/>
      <c r="E358" s="347"/>
      <c r="F358" s="347"/>
      <c r="G358" s="347"/>
      <c r="H358" s="347"/>
      <c r="I358" s="347"/>
      <c r="J358" s="347"/>
      <c r="K358" s="348"/>
      <c r="L358" s="348"/>
      <c r="M358" s="348"/>
      <c r="N358" s="348"/>
      <c r="O358" s="348"/>
      <c r="P358" s="347"/>
      <c r="Q358" s="347"/>
      <c r="R358" s="347"/>
      <c r="S358" s="347"/>
      <c r="T358" s="347"/>
      <c r="U358" s="347"/>
      <c r="V358" s="347"/>
      <c r="W358" s="347"/>
      <c r="X358" s="347"/>
      <c r="Y358" s="347"/>
      <c r="Z358" s="347"/>
      <c r="AA358" s="604"/>
      <c r="AB358" s="347"/>
      <c r="AC358" s="590"/>
      <c r="AD358" s="347"/>
      <c r="AE358" s="347"/>
      <c r="AF358" s="347"/>
      <c r="AG358" s="347"/>
      <c r="AH358" s="347"/>
      <c r="AI358" s="347"/>
      <c r="AJ358" s="347"/>
      <c r="AK358" s="347"/>
      <c r="AL358" s="347"/>
      <c r="AM358" s="347"/>
      <c r="AN358" s="347"/>
      <c r="AO358" s="347"/>
      <c r="AP358" s="347"/>
      <c r="AQ358" s="347"/>
      <c r="AR358" s="347"/>
      <c r="AS358" s="347"/>
      <c r="AT358" s="347"/>
      <c r="AU358" s="347"/>
      <c r="AV358" s="347"/>
      <c r="AW358" s="347"/>
      <c r="AX358" s="347"/>
      <c r="AY358" s="347"/>
      <c r="AZ358" s="347"/>
      <c r="BA358" s="347"/>
      <c r="BB358" s="347"/>
      <c r="BC358" s="347"/>
      <c r="BD358" s="347"/>
      <c r="BE358" s="347"/>
      <c r="BF358" s="347"/>
      <c r="BG358" s="347"/>
      <c r="BH358" s="347"/>
    </row>
    <row r="359">
      <c r="A359" s="347"/>
      <c r="B359" s="347"/>
      <c r="C359" s="347"/>
      <c r="D359" s="347"/>
      <c r="E359" s="347"/>
      <c r="F359" s="347"/>
      <c r="G359" s="347"/>
      <c r="H359" s="347"/>
      <c r="I359" s="347"/>
      <c r="J359" s="347"/>
      <c r="K359" s="348"/>
      <c r="L359" s="348"/>
      <c r="M359" s="348"/>
      <c r="N359" s="348"/>
      <c r="O359" s="348"/>
      <c r="P359" s="347"/>
      <c r="Q359" s="347"/>
      <c r="R359" s="347"/>
      <c r="S359" s="347"/>
      <c r="T359" s="347"/>
      <c r="U359" s="347"/>
      <c r="V359" s="347"/>
      <c r="W359" s="347"/>
      <c r="X359" s="347"/>
      <c r="Y359" s="347"/>
      <c r="Z359" s="347"/>
      <c r="AA359" s="604"/>
      <c r="AB359" s="347"/>
      <c r="AC359" s="590"/>
      <c r="AD359" s="347"/>
      <c r="AE359" s="347"/>
      <c r="AF359" s="347"/>
      <c r="AG359" s="347"/>
      <c r="AH359" s="347"/>
      <c r="AI359" s="347"/>
      <c r="AJ359" s="347"/>
      <c r="AK359" s="347"/>
      <c r="AL359" s="347"/>
      <c r="AM359" s="347"/>
      <c r="AN359" s="347"/>
      <c r="AO359" s="347"/>
      <c r="AP359" s="347"/>
      <c r="AQ359" s="347"/>
      <c r="AR359" s="347"/>
      <c r="AS359" s="347"/>
      <c r="AT359" s="347"/>
      <c r="AU359" s="347"/>
      <c r="AV359" s="347"/>
      <c r="AW359" s="347"/>
      <c r="AX359" s="347"/>
      <c r="AY359" s="347"/>
      <c r="AZ359" s="347"/>
      <c r="BA359" s="347"/>
      <c r="BB359" s="347"/>
      <c r="BC359" s="347"/>
      <c r="BD359" s="347"/>
      <c r="BE359" s="347"/>
      <c r="BF359" s="347"/>
      <c r="BG359" s="347"/>
      <c r="BH359" s="347"/>
    </row>
    <row r="360">
      <c r="A360" s="347"/>
      <c r="B360" s="347"/>
      <c r="C360" s="347"/>
      <c r="D360" s="347"/>
      <c r="E360" s="347"/>
      <c r="F360" s="347"/>
      <c r="G360" s="347"/>
      <c r="H360" s="347"/>
      <c r="I360" s="347"/>
      <c r="J360" s="347"/>
      <c r="K360" s="348"/>
      <c r="L360" s="348"/>
      <c r="M360" s="348"/>
      <c r="N360" s="348"/>
      <c r="O360" s="348"/>
      <c r="P360" s="347"/>
      <c r="Q360" s="347"/>
      <c r="R360" s="347"/>
      <c r="S360" s="347"/>
      <c r="T360" s="347"/>
      <c r="U360" s="347"/>
      <c r="V360" s="347"/>
      <c r="W360" s="347"/>
      <c r="X360" s="347"/>
      <c r="Y360" s="347"/>
      <c r="Z360" s="347"/>
      <c r="AA360" s="604"/>
      <c r="AB360" s="347"/>
      <c r="AC360" s="590"/>
      <c r="AD360" s="347"/>
      <c r="AE360" s="347"/>
      <c r="AF360" s="347"/>
      <c r="AG360" s="347"/>
      <c r="AH360" s="347"/>
      <c r="AI360" s="347"/>
      <c r="AJ360" s="347"/>
      <c r="AK360" s="347"/>
      <c r="AL360" s="347"/>
      <c r="AM360" s="347"/>
      <c r="AN360" s="347"/>
      <c r="AO360" s="347"/>
      <c r="AP360" s="347"/>
      <c r="AQ360" s="347"/>
      <c r="AR360" s="347"/>
      <c r="AS360" s="347"/>
      <c r="AT360" s="347"/>
      <c r="AU360" s="347"/>
      <c r="AV360" s="347"/>
      <c r="AW360" s="347"/>
      <c r="AX360" s="347"/>
      <c r="AY360" s="347"/>
      <c r="AZ360" s="347"/>
      <c r="BA360" s="347"/>
      <c r="BB360" s="347"/>
      <c r="BC360" s="347"/>
      <c r="BD360" s="347"/>
      <c r="BE360" s="347"/>
      <c r="BF360" s="347"/>
      <c r="BG360" s="347"/>
      <c r="BH360" s="347"/>
    </row>
    <row r="361">
      <c r="A361" s="347"/>
      <c r="B361" s="347"/>
      <c r="C361" s="347"/>
      <c r="D361" s="347"/>
      <c r="E361" s="347"/>
      <c r="F361" s="347"/>
      <c r="G361" s="347"/>
      <c r="H361" s="347"/>
      <c r="I361" s="347"/>
      <c r="J361" s="347"/>
      <c r="K361" s="348"/>
      <c r="L361" s="348"/>
      <c r="M361" s="348"/>
      <c r="N361" s="348"/>
      <c r="O361" s="348"/>
      <c r="P361" s="347"/>
      <c r="Q361" s="347"/>
      <c r="R361" s="347"/>
      <c r="S361" s="347"/>
      <c r="T361" s="347"/>
      <c r="U361" s="347"/>
      <c r="V361" s="347"/>
      <c r="W361" s="347"/>
      <c r="X361" s="347"/>
      <c r="Y361" s="347"/>
      <c r="Z361" s="347"/>
      <c r="AA361" s="604"/>
      <c r="AB361" s="347"/>
      <c r="AC361" s="590"/>
      <c r="AD361" s="347"/>
      <c r="AE361" s="347"/>
      <c r="AF361" s="347"/>
      <c r="AG361" s="347"/>
      <c r="AH361" s="347"/>
      <c r="AI361" s="347"/>
      <c r="AJ361" s="347"/>
      <c r="AK361" s="347"/>
      <c r="AL361" s="347"/>
      <c r="AM361" s="347"/>
      <c r="AN361" s="347"/>
      <c r="AO361" s="347"/>
      <c r="AP361" s="347"/>
      <c r="AQ361" s="347"/>
      <c r="AR361" s="347"/>
      <c r="AS361" s="347"/>
      <c r="AT361" s="347"/>
      <c r="AU361" s="347"/>
      <c r="AV361" s="347"/>
      <c r="AW361" s="347"/>
      <c r="AX361" s="347"/>
      <c r="AY361" s="347"/>
      <c r="AZ361" s="347"/>
      <c r="BA361" s="347"/>
      <c r="BB361" s="347"/>
      <c r="BC361" s="347"/>
      <c r="BD361" s="347"/>
      <c r="BE361" s="347"/>
      <c r="BF361" s="347"/>
      <c r="BG361" s="347"/>
      <c r="BH361" s="347"/>
    </row>
    <row r="362">
      <c r="A362" s="347"/>
      <c r="B362" s="347"/>
      <c r="C362" s="347"/>
      <c r="D362" s="347"/>
      <c r="E362" s="347"/>
      <c r="F362" s="347"/>
      <c r="G362" s="347"/>
      <c r="H362" s="347"/>
      <c r="I362" s="347"/>
      <c r="J362" s="347"/>
      <c r="K362" s="348"/>
      <c r="L362" s="348"/>
      <c r="M362" s="348"/>
      <c r="N362" s="348"/>
      <c r="O362" s="348"/>
      <c r="P362" s="347"/>
      <c r="Q362" s="347"/>
      <c r="R362" s="347"/>
      <c r="S362" s="347"/>
      <c r="T362" s="347"/>
      <c r="U362" s="347"/>
      <c r="V362" s="347"/>
      <c r="W362" s="347"/>
      <c r="X362" s="347"/>
      <c r="Y362" s="347"/>
      <c r="Z362" s="347"/>
      <c r="AA362" s="604"/>
      <c r="AB362" s="347"/>
      <c r="AC362" s="590"/>
      <c r="AD362" s="347"/>
      <c r="AE362" s="347"/>
      <c r="AF362" s="347"/>
      <c r="AG362" s="347"/>
      <c r="AH362" s="347"/>
      <c r="AI362" s="347"/>
      <c r="AJ362" s="347"/>
      <c r="AK362" s="347"/>
      <c r="AL362" s="347"/>
      <c r="AM362" s="347"/>
      <c r="AN362" s="347"/>
      <c r="AO362" s="347"/>
      <c r="AP362" s="347"/>
      <c r="AQ362" s="347"/>
      <c r="AR362" s="347"/>
      <c r="AS362" s="347"/>
      <c r="AT362" s="347"/>
      <c r="AU362" s="347"/>
      <c r="AV362" s="347"/>
      <c r="AW362" s="347"/>
      <c r="AX362" s="347"/>
      <c r="AY362" s="347"/>
      <c r="AZ362" s="347"/>
      <c r="BA362" s="347"/>
      <c r="BB362" s="347"/>
      <c r="BC362" s="347"/>
      <c r="BD362" s="347"/>
      <c r="BE362" s="347"/>
      <c r="BF362" s="347"/>
      <c r="BG362" s="347"/>
      <c r="BH362" s="347"/>
    </row>
    <row r="363">
      <c r="A363" s="347"/>
      <c r="B363" s="347"/>
      <c r="C363" s="347"/>
      <c r="D363" s="347"/>
      <c r="E363" s="347"/>
      <c r="F363" s="347"/>
      <c r="G363" s="347"/>
      <c r="H363" s="347"/>
      <c r="I363" s="347"/>
      <c r="J363" s="347"/>
      <c r="K363" s="348"/>
      <c r="L363" s="348"/>
      <c r="M363" s="348"/>
      <c r="N363" s="348"/>
      <c r="O363" s="348"/>
      <c r="P363" s="347"/>
      <c r="Q363" s="347"/>
      <c r="R363" s="347"/>
      <c r="S363" s="347"/>
      <c r="T363" s="347"/>
      <c r="U363" s="347"/>
      <c r="V363" s="347"/>
      <c r="W363" s="347"/>
      <c r="X363" s="347"/>
      <c r="Y363" s="347"/>
      <c r="Z363" s="347"/>
      <c r="AA363" s="604"/>
      <c r="AB363" s="347"/>
      <c r="AC363" s="590"/>
      <c r="AD363" s="347"/>
      <c r="AE363" s="347"/>
      <c r="AF363" s="347"/>
      <c r="AG363" s="347"/>
      <c r="AH363" s="347"/>
      <c r="AI363" s="347"/>
      <c r="AJ363" s="347"/>
      <c r="AK363" s="347"/>
      <c r="AL363" s="347"/>
      <c r="AM363" s="347"/>
      <c r="AN363" s="347"/>
      <c r="AO363" s="347"/>
      <c r="AP363" s="347"/>
      <c r="AQ363" s="347"/>
      <c r="AR363" s="347"/>
      <c r="AS363" s="347"/>
      <c r="AT363" s="347"/>
      <c r="AU363" s="347"/>
      <c r="AV363" s="347"/>
      <c r="AW363" s="347"/>
      <c r="AX363" s="347"/>
      <c r="AY363" s="347"/>
      <c r="AZ363" s="347"/>
      <c r="BA363" s="347"/>
      <c r="BB363" s="347"/>
      <c r="BC363" s="347"/>
      <c r="BD363" s="347"/>
      <c r="BE363" s="347"/>
      <c r="BF363" s="347"/>
      <c r="BG363" s="347"/>
      <c r="BH363" s="347"/>
    </row>
    <row r="364">
      <c r="A364" s="347"/>
      <c r="B364" s="347"/>
      <c r="C364" s="347"/>
      <c r="D364" s="347"/>
      <c r="E364" s="347"/>
      <c r="F364" s="347"/>
      <c r="G364" s="347"/>
      <c r="H364" s="347"/>
      <c r="I364" s="347"/>
      <c r="J364" s="347"/>
      <c r="K364" s="348"/>
      <c r="L364" s="348"/>
      <c r="M364" s="348"/>
      <c r="N364" s="348"/>
      <c r="O364" s="348"/>
      <c r="P364" s="347"/>
      <c r="Q364" s="347"/>
      <c r="R364" s="347"/>
      <c r="S364" s="347"/>
      <c r="T364" s="347"/>
      <c r="U364" s="347"/>
      <c r="V364" s="347"/>
      <c r="W364" s="347"/>
      <c r="X364" s="347"/>
      <c r="Y364" s="347"/>
      <c r="Z364" s="347"/>
      <c r="AA364" s="604"/>
      <c r="AB364" s="347"/>
      <c r="AC364" s="590"/>
      <c r="AD364" s="347"/>
      <c r="AE364" s="347"/>
      <c r="AF364" s="347"/>
      <c r="AG364" s="347"/>
      <c r="AH364" s="347"/>
      <c r="AI364" s="347"/>
      <c r="AJ364" s="347"/>
      <c r="AK364" s="347"/>
      <c r="AL364" s="347"/>
      <c r="AM364" s="347"/>
      <c r="AN364" s="347"/>
      <c r="AO364" s="347"/>
      <c r="AP364" s="347"/>
      <c r="AQ364" s="347"/>
      <c r="AR364" s="347"/>
      <c r="AS364" s="347"/>
      <c r="AT364" s="347"/>
      <c r="AU364" s="347"/>
      <c r="AV364" s="347"/>
      <c r="AW364" s="347"/>
      <c r="AX364" s="347"/>
      <c r="AY364" s="347"/>
      <c r="AZ364" s="347"/>
      <c r="BA364" s="347"/>
      <c r="BB364" s="347"/>
      <c r="BC364" s="347"/>
      <c r="BD364" s="347"/>
      <c r="BE364" s="347"/>
      <c r="BF364" s="347"/>
      <c r="BG364" s="347"/>
      <c r="BH364" s="347"/>
    </row>
    <row r="365">
      <c r="A365" s="347"/>
      <c r="B365" s="347"/>
      <c r="C365" s="347"/>
      <c r="D365" s="347"/>
      <c r="E365" s="347"/>
      <c r="F365" s="347"/>
      <c r="G365" s="347"/>
      <c r="H365" s="347"/>
      <c r="I365" s="347"/>
      <c r="J365" s="347"/>
      <c r="K365" s="348"/>
      <c r="L365" s="348"/>
      <c r="M365" s="348"/>
      <c r="N365" s="348"/>
      <c r="O365" s="348"/>
      <c r="P365" s="347"/>
      <c r="Q365" s="347"/>
      <c r="R365" s="347"/>
      <c r="S365" s="347"/>
      <c r="T365" s="347"/>
      <c r="U365" s="347"/>
      <c r="V365" s="347"/>
      <c r="W365" s="347"/>
      <c r="X365" s="347"/>
      <c r="Y365" s="347"/>
      <c r="Z365" s="347"/>
      <c r="AA365" s="604"/>
      <c r="AB365" s="347"/>
      <c r="AC365" s="590"/>
      <c r="AD365" s="347"/>
      <c r="AE365" s="347"/>
      <c r="AF365" s="347"/>
      <c r="AG365" s="347"/>
      <c r="AH365" s="347"/>
      <c r="AI365" s="347"/>
      <c r="AJ365" s="347"/>
      <c r="AK365" s="347"/>
      <c r="AL365" s="347"/>
      <c r="AM365" s="347"/>
      <c r="AN365" s="347"/>
      <c r="AO365" s="347"/>
      <c r="AP365" s="347"/>
      <c r="AQ365" s="347"/>
      <c r="AR365" s="347"/>
      <c r="AS365" s="347"/>
      <c r="AT365" s="347"/>
      <c r="AU365" s="347"/>
      <c r="AV365" s="347"/>
      <c r="AW365" s="347"/>
      <c r="AX365" s="347"/>
      <c r="AY365" s="347"/>
      <c r="AZ365" s="347"/>
      <c r="BA365" s="347"/>
      <c r="BB365" s="347"/>
      <c r="BC365" s="347"/>
      <c r="BD365" s="347"/>
      <c r="BE365" s="347"/>
      <c r="BF365" s="347"/>
      <c r="BG365" s="347"/>
      <c r="BH365" s="347"/>
    </row>
    <row r="366">
      <c r="A366" s="347"/>
      <c r="B366" s="347"/>
      <c r="C366" s="347"/>
      <c r="D366" s="347"/>
      <c r="E366" s="347"/>
      <c r="F366" s="347"/>
      <c r="G366" s="347"/>
      <c r="H366" s="347"/>
      <c r="I366" s="347"/>
      <c r="J366" s="347"/>
      <c r="K366" s="348"/>
      <c r="L366" s="348"/>
      <c r="M366" s="348"/>
      <c r="N366" s="348"/>
      <c r="O366" s="348"/>
      <c r="P366" s="347"/>
      <c r="Q366" s="347"/>
      <c r="R366" s="347"/>
      <c r="S366" s="347"/>
      <c r="T366" s="347"/>
      <c r="U366" s="347"/>
      <c r="V366" s="347"/>
      <c r="W366" s="347"/>
      <c r="X366" s="347"/>
      <c r="Y366" s="347"/>
      <c r="Z366" s="347"/>
      <c r="AA366" s="604"/>
      <c r="AB366" s="347"/>
      <c r="AC366" s="590"/>
      <c r="AD366" s="347"/>
      <c r="AE366" s="347"/>
      <c r="AF366" s="347"/>
      <c r="AG366" s="347"/>
      <c r="AH366" s="347"/>
      <c r="AI366" s="347"/>
      <c r="AJ366" s="347"/>
      <c r="AK366" s="347"/>
      <c r="AL366" s="347"/>
      <c r="AM366" s="347"/>
      <c r="AN366" s="347"/>
      <c r="AO366" s="347"/>
      <c r="AP366" s="347"/>
      <c r="AQ366" s="347"/>
      <c r="AR366" s="347"/>
      <c r="AS366" s="347"/>
      <c r="AT366" s="347"/>
      <c r="AU366" s="347"/>
      <c r="AV366" s="347"/>
      <c r="AW366" s="347"/>
      <c r="AX366" s="347"/>
      <c r="AY366" s="347"/>
      <c r="AZ366" s="347"/>
      <c r="BA366" s="347"/>
      <c r="BB366" s="347"/>
      <c r="BC366" s="347"/>
      <c r="BD366" s="347"/>
      <c r="BE366" s="347"/>
      <c r="BF366" s="347"/>
      <c r="BG366" s="347"/>
      <c r="BH366" s="347"/>
    </row>
    <row r="367">
      <c r="A367" s="347"/>
      <c r="B367" s="347"/>
      <c r="C367" s="347"/>
      <c r="D367" s="347"/>
      <c r="E367" s="347"/>
      <c r="F367" s="347"/>
      <c r="G367" s="347"/>
      <c r="H367" s="347"/>
      <c r="I367" s="347"/>
      <c r="J367" s="347"/>
      <c r="K367" s="348"/>
      <c r="L367" s="348"/>
      <c r="M367" s="348"/>
      <c r="N367" s="348"/>
      <c r="O367" s="348"/>
      <c r="P367" s="347"/>
      <c r="Q367" s="347"/>
      <c r="R367" s="347"/>
      <c r="S367" s="347"/>
      <c r="T367" s="347"/>
      <c r="U367" s="347"/>
      <c r="V367" s="347"/>
      <c r="W367" s="347"/>
      <c r="X367" s="347"/>
      <c r="Y367" s="347"/>
      <c r="Z367" s="347"/>
      <c r="AA367" s="604"/>
      <c r="AB367" s="347"/>
      <c r="AC367" s="590"/>
      <c r="AD367" s="347"/>
      <c r="AE367" s="347"/>
      <c r="AF367" s="347"/>
      <c r="AG367" s="347"/>
      <c r="AH367" s="347"/>
      <c r="AI367" s="347"/>
      <c r="AJ367" s="347"/>
      <c r="AK367" s="347"/>
      <c r="AL367" s="347"/>
      <c r="AM367" s="347"/>
      <c r="AN367" s="347"/>
      <c r="AO367" s="347"/>
      <c r="AP367" s="347"/>
      <c r="AQ367" s="347"/>
      <c r="AR367" s="347"/>
      <c r="AS367" s="347"/>
      <c r="AT367" s="347"/>
      <c r="AU367" s="347"/>
      <c r="AV367" s="347"/>
      <c r="AW367" s="347"/>
      <c r="AX367" s="347"/>
      <c r="AY367" s="347"/>
      <c r="AZ367" s="347"/>
      <c r="BA367" s="347"/>
      <c r="BB367" s="347"/>
      <c r="BC367" s="347"/>
      <c r="BD367" s="347"/>
      <c r="BE367" s="347"/>
      <c r="BF367" s="347"/>
      <c r="BG367" s="347"/>
      <c r="BH367" s="347"/>
    </row>
    <row r="368">
      <c r="A368" s="347"/>
      <c r="B368" s="347"/>
      <c r="C368" s="347"/>
      <c r="D368" s="347"/>
      <c r="E368" s="347"/>
      <c r="F368" s="347"/>
      <c r="G368" s="347"/>
      <c r="H368" s="347"/>
      <c r="I368" s="347"/>
      <c r="J368" s="347"/>
      <c r="K368" s="348"/>
      <c r="L368" s="348"/>
      <c r="M368" s="348"/>
      <c r="N368" s="348"/>
      <c r="O368" s="348"/>
      <c r="P368" s="347"/>
      <c r="Q368" s="347"/>
      <c r="R368" s="347"/>
      <c r="S368" s="347"/>
      <c r="T368" s="347"/>
      <c r="U368" s="347"/>
      <c r="V368" s="347"/>
      <c r="W368" s="347"/>
      <c r="X368" s="347"/>
      <c r="Y368" s="347"/>
      <c r="Z368" s="347"/>
      <c r="AA368" s="604"/>
      <c r="AB368" s="347"/>
      <c r="AC368" s="590"/>
      <c r="AD368" s="347"/>
      <c r="AE368" s="347"/>
      <c r="AF368" s="347"/>
      <c r="AG368" s="347"/>
      <c r="AH368" s="347"/>
      <c r="AI368" s="347"/>
      <c r="AJ368" s="347"/>
      <c r="AK368" s="347"/>
      <c r="AL368" s="347"/>
      <c r="AM368" s="347"/>
      <c r="AN368" s="347"/>
      <c r="AO368" s="347"/>
      <c r="AP368" s="347"/>
      <c r="AQ368" s="347"/>
      <c r="AR368" s="347"/>
      <c r="AS368" s="347"/>
      <c r="AT368" s="347"/>
      <c r="AU368" s="347"/>
      <c r="AV368" s="347"/>
      <c r="AW368" s="347"/>
      <c r="AX368" s="347"/>
      <c r="AY368" s="347"/>
      <c r="AZ368" s="347"/>
      <c r="BA368" s="347"/>
      <c r="BB368" s="347"/>
      <c r="BC368" s="347"/>
      <c r="BD368" s="347"/>
      <c r="BE368" s="347"/>
      <c r="BF368" s="347"/>
      <c r="BG368" s="347"/>
      <c r="BH368" s="347"/>
    </row>
    <row r="369">
      <c r="A369" s="347"/>
      <c r="B369" s="347"/>
      <c r="C369" s="347"/>
      <c r="D369" s="347"/>
      <c r="E369" s="347"/>
      <c r="F369" s="347"/>
      <c r="G369" s="347"/>
      <c r="H369" s="347"/>
      <c r="I369" s="347"/>
      <c r="J369" s="347"/>
      <c r="K369" s="348"/>
      <c r="L369" s="348"/>
      <c r="M369" s="348"/>
      <c r="N369" s="348"/>
      <c r="O369" s="348"/>
      <c r="P369" s="347"/>
      <c r="Q369" s="347"/>
      <c r="R369" s="347"/>
      <c r="S369" s="347"/>
      <c r="T369" s="347"/>
      <c r="U369" s="347"/>
      <c r="V369" s="347"/>
      <c r="W369" s="347"/>
      <c r="X369" s="347"/>
      <c r="Y369" s="347"/>
      <c r="Z369" s="347"/>
      <c r="AA369" s="604"/>
      <c r="AB369" s="347"/>
      <c r="AC369" s="590"/>
      <c r="AD369" s="347"/>
      <c r="AE369" s="347"/>
      <c r="AF369" s="347"/>
      <c r="AG369" s="347"/>
      <c r="AH369" s="347"/>
      <c r="AI369" s="347"/>
      <c r="AJ369" s="347"/>
      <c r="AK369" s="347"/>
      <c r="AL369" s="347"/>
      <c r="AM369" s="347"/>
      <c r="AN369" s="347"/>
      <c r="AO369" s="347"/>
      <c r="AP369" s="347"/>
      <c r="AQ369" s="347"/>
      <c r="AR369" s="347"/>
      <c r="AS369" s="347"/>
      <c r="AT369" s="347"/>
      <c r="AU369" s="347"/>
      <c r="AV369" s="347"/>
      <c r="AW369" s="347"/>
      <c r="AX369" s="347"/>
      <c r="AY369" s="347"/>
      <c r="AZ369" s="347"/>
      <c r="BA369" s="347"/>
      <c r="BB369" s="347"/>
      <c r="BC369" s="347"/>
      <c r="BD369" s="347"/>
      <c r="BE369" s="347"/>
      <c r="BF369" s="347"/>
      <c r="BG369" s="347"/>
      <c r="BH369" s="347"/>
    </row>
    <row r="370">
      <c r="A370" s="347"/>
      <c r="B370" s="347"/>
      <c r="C370" s="347"/>
      <c r="D370" s="347"/>
      <c r="E370" s="347"/>
      <c r="F370" s="347"/>
      <c r="G370" s="347"/>
      <c r="H370" s="347"/>
      <c r="I370" s="347"/>
      <c r="J370" s="347"/>
      <c r="K370" s="348"/>
      <c r="L370" s="348"/>
      <c r="M370" s="348"/>
      <c r="N370" s="348"/>
      <c r="O370" s="348"/>
      <c r="P370" s="347"/>
      <c r="Q370" s="347"/>
      <c r="R370" s="347"/>
      <c r="S370" s="347"/>
      <c r="T370" s="347"/>
      <c r="U370" s="347"/>
      <c r="V370" s="347"/>
      <c r="W370" s="347"/>
      <c r="X370" s="347"/>
      <c r="Y370" s="347"/>
      <c r="Z370" s="347"/>
      <c r="AA370" s="604"/>
      <c r="AB370" s="347"/>
      <c r="AC370" s="590"/>
      <c r="AD370" s="347"/>
      <c r="AE370" s="347"/>
      <c r="AF370" s="347"/>
      <c r="AG370" s="347"/>
      <c r="AH370" s="347"/>
      <c r="AI370" s="347"/>
      <c r="AJ370" s="347"/>
      <c r="AK370" s="347"/>
      <c r="AL370" s="347"/>
      <c r="AM370" s="347"/>
      <c r="AN370" s="347"/>
      <c r="AO370" s="347"/>
      <c r="AP370" s="347"/>
      <c r="AQ370" s="347"/>
      <c r="AR370" s="347"/>
      <c r="AS370" s="347"/>
      <c r="AT370" s="347"/>
      <c r="AU370" s="347"/>
      <c r="AV370" s="347"/>
      <c r="AW370" s="347"/>
      <c r="AX370" s="347"/>
      <c r="AY370" s="347"/>
      <c r="AZ370" s="347"/>
      <c r="BA370" s="347"/>
      <c r="BB370" s="347"/>
      <c r="BC370" s="347"/>
      <c r="BD370" s="347"/>
      <c r="BE370" s="347"/>
      <c r="BF370" s="347"/>
      <c r="BG370" s="347"/>
      <c r="BH370" s="347"/>
    </row>
    <row r="371">
      <c r="A371" s="347"/>
      <c r="B371" s="347"/>
      <c r="C371" s="347"/>
      <c r="D371" s="347"/>
      <c r="E371" s="347"/>
      <c r="F371" s="347"/>
      <c r="G371" s="347"/>
      <c r="H371" s="347"/>
      <c r="I371" s="347"/>
      <c r="J371" s="347"/>
      <c r="K371" s="348"/>
      <c r="L371" s="348"/>
      <c r="M371" s="348"/>
      <c r="N371" s="348"/>
      <c r="O371" s="348"/>
      <c r="P371" s="347"/>
      <c r="Q371" s="347"/>
      <c r="R371" s="347"/>
      <c r="S371" s="347"/>
      <c r="T371" s="347"/>
      <c r="U371" s="347"/>
      <c r="V371" s="347"/>
      <c r="W371" s="347"/>
      <c r="X371" s="347"/>
      <c r="Y371" s="347"/>
      <c r="Z371" s="347"/>
      <c r="AA371" s="604"/>
      <c r="AB371" s="347"/>
      <c r="AC371" s="590"/>
      <c r="AD371" s="347"/>
      <c r="AE371" s="347"/>
      <c r="AF371" s="347"/>
      <c r="AG371" s="347"/>
      <c r="AH371" s="347"/>
      <c r="AI371" s="347"/>
      <c r="AJ371" s="347"/>
      <c r="AK371" s="347"/>
      <c r="AL371" s="347"/>
      <c r="AM371" s="347"/>
      <c r="AN371" s="347"/>
      <c r="AO371" s="347"/>
      <c r="AP371" s="347"/>
      <c r="AQ371" s="347"/>
      <c r="AR371" s="347"/>
      <c r="AS371" s="347"/>
      <c r="AT371" s="347"/>
      <c r="AU371" s="347"/>
      <c r="AV371" s="347"/>
      <c r="AW371" s="347"/>
      <c r="AX371" s="347"/>
      <c r="AY371" s="347"/>
      <c r="AZ371" s="347"/>
      <c r="BA371" s="347"/>
      <c r="BB371" s="347"/>
      <c r="BC371" s="347"/>
      <c r="BD371" s="347"/>
      <c r="BE371" s="347"/>
      <c r="BF371" s="347"/>
      <c r="BG371" s="347"/>
      <c r="BH371" s="347"/>
    </row>
    <row r="372">
      <c r="A372" s="347"/>
      <c r="B372" s="347"/>
      <c r="C372" s="347"/>
      <c r="D372" s="347"/>
      <c r="E372" s="347"/>
      <c r="F372" s="347"/>
      <c r="G372" s="347"/>
      <c r="H372" s="347"/>
      <c r="I372" s="347"/>
      <c r="J372" s="347"/>
      <c r="K372" s="348"/>
      <c r="L372" s="348"/>
      <c r="M372" s="348"/>
      <c r="N372" s="348"/>
      <c r="O372" s="348"/>
      <c r="P372" s="347"/>
      <c r="Q372" s="347"/>
      <c r="R372" s="347"/>
      <c r="S372" s="347"/>
      <c r="T372" s="347"/>
      <c r="U372" s="347"/>
      <c r="V372" s="347"/>
      <c r="W372" s="347"/>
      <c r="X372" s="347"/>
      <c r="Y372" s="347"/>
      <c r="Z372" s="347"/>
      <c r="AA372" s="604"/>
      <c r="AB372" s="347"/>
      <c r="AC372" s="590"/>
      <c r="AD372" s="347"/>
      <c r="AE372" s="347"/>
      <c r="AF372" s="347"/>
      <c r="AG372" s="347"/>
      <c r="AH372" s="347"/>
      <c r="AI372" s="347"/>
      <c r="AJ372" s="347"/>
      <c r="AK372" s="347"/>
      <c r="AL372" s="347"/>
      <c r="AM372" s="347"/>
      <c r="AN372" s="347"/>
      <c r="AO372" s="347"/>
      <c r="AP372" s="347"/>
      <c r="AQ372" s="347"/>
      <c r="AR372" s="347"/>
      <c r="AS372" s="347"/>
      <c r="AT372" s="347"/>
      <c r="AU372" s="347"/>
      <c r="AV372" s="347"/>
      <c r="AW372" s="347"/>
      <c r="AX372" s="347"/>
      <c r="AY372" s="347"/>
      <c r="AZ372" s="347"/>
      <c r="BA372" s="347"/>
      <c r="BB372" s="347"/>
      <c r="BC372" s="347"/>
      <c r="BD372" s="347"/>
      <c r="BE372" s="347"/>
      <c r="BF372" s="347"/>
      <c r="BG372" s="347"/>
      <c r="BH372" s="347"/>
    </row>
    <row r="373">
      <c r="A373" s="347"/>
      <c r="B373" s="347"/>
      <c r="C373" s="347"/>
      <c r="D373" s="347"/>
      <c r="E373" s="347"/>
      <c r="F373" s="347"/>
      <c r="G373" s="347"/>
      <c r="H373" s="347"/>
      <c r="I373" s="347"/>
      <c r="J373" s="347"/>
      <c r="K373" s="348"/>
      <c r="L373" s="348"/>
      <c r="M373" s="348"/>
      <c r="N373" s="348"/>
      <c r="O373" s="348"/>
      <c r="P373" s="347"/>
      <c r="Q373" s="347"/>
      <c r="R373" s="347"/>
      <c r="S373" s="347"/>
      <c r="T373" s="347"/>
      <c r="U373" s="347"/>
      <c r="V373" s="347"/>
      <c r="W373" s="347"/>
      <c r="X373" s="347"/>
      <c r="Y373" s="347"/>
      <c r="Z373" s="347"/>
      <c r="AA373" s="604"/>
      <c r="AB373" s="347"/>
      <c r="AC373" s="590"/>
      <c r="AD373" s="347"/>
      <c r="AE373" s="347"/>
      <c r="AF373" s="347"/>
      <c r="AG373" s="347"/>
      <c r="AH373" s="347"/>
      <c r="AI373" s="347"/>
      <c r="AJ373" s="347"/>
      <c r="AK373" s="347"/>
      <c r="AL373" s="347"/>
      <c r="AM373" s="347"/>
      <c r="AN373" s="347"/>
      <c r="AO373" s="347"/>
      <c r="AP373" s="347"/>
      <c r="AQ373" s="347"/>
      <c r="AR373" s="347"/>
      <c r="AS373" s="347"/>
      <c r="AT373" s="347"/>
      <c r="AU373" s="347"/>
      <c r="AV373" s="347"/>
      <c r="AW373" s="347"/>
      <c r="AX373" s="347"/>
      <c r="AY373" s="347"/>
      <c r="AZ373" s="347"/>
      <c r="BA373" s="347"/>
      <c r="BB373" s="347"/>
      <c r="BC373" s="347"/>
      <c r="BD373" s="347"/>
      <c r="BE373" s="347"/>
      <c r="BF373" s="347"/>
      <c r="BG373" s="347"/>
      <c r="BH373" s="347"/>
    </row>
    <row r="374">
      <c r="A374" s="347"/>
      <c r="B374" s="347"/>
      <c r="C374" s="347"/>
      <c r="D374" s="347"/>
      <c r="E374" s="347"/>
      <c r="F374" s="347"/>
      <c r="G374" s="347"/>
      <c r="H374" s="347"/>
      <c r="I374" s="347"/>
      <c r="J374" s="347"/>
      <c r="K374" s="348"/>
      <c r="L374" s="348"/>
      <c r="M374" s="348"/>
      <c r="N374" s="348"/>
      <c r="O374" s="348"/>
      <c r="P374" s="347"/>
      <c r="Q374" s="347"/>
      <c r="R374" s="347"/>
      <c r="S374" s="347"/>
      <c r="T374" s="347"/>
      <c r="U374" s="347"/>
      <c r="V374" s="347"/>
      <c r="W374" s="347"/>
      <c r="X374" s="347"/>
      <c r="Y374" s="347"/>
      <c r="Z374" s="347"/>
      <c r="AA374" s="604"/>
      <c r="AB374" s="347"/>
      <c r="AC374" s="590"/>
      <c r="AD374" s="347"/>
      <c r="AE374" s="347"/>
      <c r="AF374" s="347"/>
      <c r="AG374" s="347"/>
      <c r="AH374" s="347"/>
      <c r="AI374" s="347"/>
      <c r="AJ374" s="347"/>
      <c r="AK374" s="347"/>
      <c r="AL374" s="347"/>
      <c r="AM374" s="347"/>
      <c r="AN374" s="347"/>
      <c r="AO374" s="347"/>
      <c r="AP374" s="347"/>
      <c r="AQ374" s="347"/>
      <c r="AR374" s="347"/>
      <c r="AS374" s="347"/>
      <c r="AT374" s="347"/>
      <c r="AU374" s="347"/>
      <c r="AV374" s="347"/>
      <c r="AW374" s="347"/>
      <c r="AX374" s="347"/>
      <c r="AY374" s="347"/>
      <c r="AZ374" s="347"/>
      <c r="BA374" s="347"/>
      <c r="BB374" s="347"/>
      <c r="BC374" s="347"/>
      <c r="BD374" s="347"/>
      <c r="BE374" s="347"/>
      <c r="BF374" s="347"/>
      <c r="BG374" s="347"/>
      <c r="BH374" s="347"/>
    </row>
    <row r="375">
      <c r="A375" s="347"/>
      <c r="B375" s="347"/>
      <c r="C375" s="347"/>
      <c r="D375" s="347"/>
      <c r="E375" s="347"/>
      <c r="F375" s="347"/>
      <c r="G375" s="347"/>
      <c r="H375" s="347"/>
      <c r="I375" s="347"/>
      <c r="J375" s="347"/>
      <c r="K375" s="348"/>
      <c r="L375" s="348"/>
      <c r="M375" s="348"/>
      <c r="N375" s="348"/>
      <c r="O375" s="348"/>
      <c r="P375" s="347"/>
      <c r="Q375" s="347"/>
      <c r="R375" s="347"/>
      <c r="S375" s="347"/>
      <c r="T375" s="347"/>
      <c r="U375" s="347"/>
      <c r="V375" s="347"/>
      <c r="W375" s="347"/>
      <c r="X375" s="347"/>
      <c r="Y375" s="347"/>
      <c r="Z375" s="347"/>
      <c r="AA375" s="604"/>
      <c r="AB375" s="347"/>
      <c r="AC375" s="590"/>
      <c r="AD375" s="347"/>
      <c r="AE375" s="347"/>
      <c r="AF375" s="347"/>
      <c r="AG375" s="347"/>
      <c r="AH375" s="347"/>
      <c r="AI375" s="347"/>
      <c r="AJ375" s="347"/>
      <c r="AK375" s="347"/>
      <c r="AL375" s="347"/>
      <c r="AM375" s="347"/>
      <c r="AN375" s="347"/>
      <c r="AO375" s="347"/>
      <c r="AP375" s="347"/>
      <c r="AQ375" s="347"/>
      <c r="AR375" s="347"/>
      <c r="AS375" s="347"/>
      <c r="AT375" s="347"/>
      <c r="AU375" s="347"/>
      <c r="AV375" s="347"/>
      <c r="AW375" s="347"/>
      <c r="AX375" s="347"/>
      <c r="AY375" s="347"/>
      <c r="AZ375" s="347"/>
      <c r="BA375" s="347"/>
      <c r="BB375" s="347"/>
      <c r="BC375" s="347"/>
      <c r="BD375" s="347"/>
      <c r="BE375" s="347"/>
      <c r="BF375" s="347"/>
      <c r="BG375" s="347"/>
      <c r="BH375" s="347"/>
    </row>
    <row r="376">
      <c r="A376" s="347"/>
      <c r="B376" s="347"/>
      <c r="C376" s="347"/>
      <c r="D376" s="347"/>
      <c r="E376" s="347"/>
      <c r="F376" s="347"/>
      <c r="G376" s="347"/>
      <c r="H376" s="347"/>
      <c r="I376" s="347"/>
      <c r="J376" s="347"/>
      <c r="K376" s="348"/>
      <c r="L376" s="348"/>
      <c r="M376" s="348"/>
      <c r="N376" s="348"/>
      <c r="O376" s="348"/>
      <c r="P376" s="347"/>
      <c r="Q376" s="347"/>
      <c r="R376" s="347"/>
      <c r="S376" s="347"/>
      <c r="T376" s="347"/>
      <c r="U376" s="347"/>
      <c r="V376" s="347"/>
      <c r="W376" s="347"/>
      <c r="X376" s="347"/>
      <c r="Y376" s="347"/>
      <c r="Z376" s="347"/>
      <c r="AA376" s="604"/>
      <c r="AB376" s="347"/>
      <c r="AC376" s="590"/>
      <c r="AD376" s="347"/>
      <c r="AE376" s="347"/>
      <c r="AF376" s="347"/>
      <c r="AG376" s="347"/>
      <c r="AH376" s="347"/>
      <c r="AI376" s="347"/>
      <c r="AJ376" s="347"/>
      <c r="AK376" s="347"/>
      <c r="AL376" s="347"/>
      <c r="AM376" s="347"/>
      <c r="AN376" s="347"/>
      <c r="AO376" s="347"/>
      <c r="AP376" s="347"/>
      <c r="AQ376" s="347"/>
      <c r="AR376" s="347"/>
      <c r="AS376" s="347"/>
      <c r="AT376" s="347"/>
      <c r="AU376" s="347"/>
      <c r="AV376" s="347"/>
      <c r="AW376" s="347"/>
      <c r="AX376" s="347"/>
      <c r="AY376" s="347"/>
      <c r="AZ376" s="347"/>
      <c r="BA376" s="347"/>
      <c r="BB376" s="347"/>
      <c r="BC376" s="347"/>
      <c r="BD376" s="347"/>
      <c r="BE376" s="347"/>
      <c r="BF376" s="347"/>
      <c r="BG376" s="347"/>
      <c r="BH376" s="347"/>
    </row>
    <row r="377">
      <c r="A377" s="347"/>
      <c r="B377" s="347"/>
      <c r="C377" s="347"/>
      <c r="D377" s="347"/>
      <c r="E377" s="347"/>
      <c r="F377" s="347"/>
      <c r="G377" s="347"/>
      <c r="H377" s="347"/>
      <c r="I377" s="347"/>
      <c r="J377" s="347"/>
      <c r="K377" s="348"/>
      <c r="L377" s="348"/>
      <c r="M377" s="348"/>
      <c r="N377" s="348"/>
      <c r="O377" s="348"/>
      <c r="P377" s="347"/>
      <c r="Q377" s="347"/>
      <c r="R377" s="347"/>
      <c r="S377" s="347"/>
      <c r="T377" s="347"/>
      <c r="U377" s="347"/>
      <c r="V377" s="347"/>
      <c r="W377" s="347"/>
      <c r="X377" s="347"/>
      <c r="Y377" s="347"/>
      <c r="Z377" s="347"/>
      <c r="AA377" s="604"/>
      <c r="AB377" s="347"/>
      <c r="AC377" s="590"/>
      <c r="AD377" s="347"/>
      <c r="AE377" s="347"/>
      <c r="AF377" s="347"/>
      <c r="AG377" s="347"/>
      <c r="AH377" s="347"/>
      <c r="AI377" s="347"/>
      <c r="AJ377" s="347"/>
      <c r="AK377" s="347"/>
      <c r="AL377" s="347"/>
      <c r="AM377" s="347"/>
      <c r="AN377" s="347"/>
      <c r="AO377" s="347"/>
      <c r="AP377" s="347"/>
      <c r="AQ377" s="347"/>
      <c r="AR377" s="347"/>
      <c r="AS377" s="347"/>
      <c r="AT377" s="347"/>
      <c r="AU377" s="347"/>
      <c r="AV377" s="347"/>
      <c r="AW377" s="347"/>
      <c r="AX377" s="347"/>
      <c r="AY377" s="347"/>
      <c r="AZ377" s="347"/>
      <c r="BA377" s="347"/>
      <c r="BB377" s="347"/>
      <c r="BC377" s="347"/>
      <c r="BD377" s="347"/>
      <c r="BE377" s="347"/>
      <c r="BF377" s="347"/>
      <c r="BG377" s="347"/>
      <c r="BH377" s="347"/>
    </row>
    <row r="378">
      <c r="A378" s="347"/>
      <c r="B378" s="347"/>
      <c r="C378" s="347"/>
      <c r="D378" s="347"/>
      <c r="E378" s="347"/>
      <c r="F378" s="347"/>
      <c r="G378" s="347"/>
      <c r="H378" s="347"/>
      <c r="I378" s="347"/>
      <c r="J378" s="347"/>
      <c r="K378" s="348"/>
      <c r="L378" s="348"/>
      <c r="M378" s="348"/>
      <c r="N378" s="348"/>
      <c r="O378" s="348"/>
      <c r="P378" s="347"/>
      <c r="Q378" s="347"/>
      <c r="R378" s="347"/>
      <c r="S378" s="347"/>
      <c r="T378" s="347"/>
      <c r="U378" s="347"/>
      <c r="V378" s="347"/>
      <c r="W378" s="347"/>
      <c r="X378" s="347"/>
      <c r="Y378" s="347"/>
      <c r="Z378" s="347"/>
      <c r="AA378" s="604"/>
      <c r="AB378" s="347"/>
      <c r="AC378" s="590"/>
      <c r="AD378" s="347"/>
      <c r="AE378" s="347"/>
      <c r="AF378" s="347"/>
      <c r="AG378" s="347"/>
      <c r="AH378" s="347"/>
      <c r="AI378" s="347"/>
      <c r="AJ378" s="347"/>
      <c r="AK378" s="347"/>
      <c r="AL378" s="347"/>
      <c r="AM378" s="347"/>
      <c r="AN378" s="347"/>
      <c r="AO378" s="347"/>
      <c r="AP378" s="347"/>
      <c r="AQ378" s="347"/>
      <c r="AR378" s="347"/>
      <c r="AS378" s="347"/>
      <c r="AT378" s="347"/>
      <c r="AU378" s="347"/>
      <c r="AV378" s="347"/>
      <c r="AW378" s="347"/>
      <c r="AX378" s="347"/>
      <c r="AY378" s="347"/>
      <c r="AZ378" s="347"/>
      <c r="BA378" s="347"/>
      <c r="BB378" s="347"/>
      <c r="BC378" s="347"/>
      <c r="BD378" s="347"/>
      <c r="BE378" s="347"/>
      <c r="BF378" s="347"/>
      <c r="BG378" s="347"/>
      <c r="BH378" s="347"/>
    </row>
    <row r="379">
      <c r="A379" s="347"/>
      <c r="B379" s="347"/>
      <c r="C379" s="347"/>
      <c r="D379" s="347"/>
      <c r="E379" s="347"/>
      <c r="F379" s="347"/>
      <c r="G379" s="347"/>
      <c r="H379" s="347"/>
      <c r="I379" s="347"/>
      <c r="J379" s="347"/>
      <c r="K379" s="348"/>
      <c r="L379" s="348"/>
      <c r="M379" s="348"/>
      <c r="N379" s="348"/>
      <c r="O379" s="348"/>
      <c r="P379" s="347"/>
      <c r="Q379" s="347"/>
      <c r="R379" s="347"/>
      <c r="S379" s="347"/>
      <c r="T379" s="347"/>
      <c r="U379" s="347"/>
      <c r="V379" s="347"/>
      <c r="W379" s="347"/>
      <c r="X379" s="347"/>
      <c r="Y379" s="347"/>
      <c r="Z379" s="347"/>
      <c r="AA379" s="604"/>
      <c r="AB379" s="347"/>
      <c r="AC379" s="590"/>
      <c r="AD379" s="347"/>
      <c r="AE379" s="347"/>
      <c r="AF379" s="347"/>
      <c r="AG379" s="347"/>
      <c r="AH379" s="347"/>
      <c r="AI379" s="347"/>
      <c r="AJ379" s="347"/>
      <c r="AK379" s="347"/>
      <c r="AL379" s="347"/>
      <c r="AM379" s="347"/>
      <c r="AN379" s="347"/>
      <c r="AO379" s="347"/>
      <c r="AP379" s="347"/>
      <c r="AQ379" s="347"/>
      <c r="AR379" s="347"/>
      <c r="AS379" s="347"/>
      <c r="AT379" s="347"/>
      <c r="AU379" s="347"/>
      <c r="AV379" s="347"/>
      <c r="AW379" s="347"/>
      <c r="AX379" s="347"/>
      <c r="AY379" s="347"/>
      <c r="AZ379" s="347"/>
      <c r="BA379" s="347"/>
      <c r="BB379" s="347"/>
      <c r="BC379" s="347"/>
      <c r="BD379" s="347"/>
      <c r="BE379" s="347"/>
      <c r="BF379" s="347"/>
      <c r="BG379" s="347"/>
      <c r="BH379" s="347"/>
    </row>
    <row r="380">
      <c r="A380" s="347"/>
      <c r="B380" s="347"/>
      <c r="C380" s="347"/>
      <c r="D380" s="347"/>
      <c r="E380" s="347"/>
      <c r="F380" s="347"/>
      <c r="G380" s="347"/>
      <c r="H380" s="347"/>
      <c r="I380" s="347"/>
      <c r="J380" s="347"/>
      <c r="K380" s="348"/>
      <c r="L380" s="348"/>
      <c r="M380" s="348"/>
      <c r="N380" s="348"/>
      <c r="O380" s="348"/>
      <c r="P380" s="347"/>
      <c r="Q380" s="347"/>
      <c r="R380" s="347"/>
      <c r="S380" s="347"/>
      <c r="T380" s="347"/>
      <c r="U380" s="347"/>
      <c r="V380" s="347"/>
      <c r="W380" s="347"/>
      <c r="X380" s="347"/>
      <c r="Y380" s="347"/>
      <c r="Z380" s="347"/>
      <c r="AA380" s="604"/>
      <c r="AB380" s="347"/>
      <c r="AC380" s="590"/>
      <c r="AD380" s="347"/>
      <c r="AE380" s="347"/>
      <c r="AF380" s="347"/>
      <c r="AG380" s="347"/>
      <c r="AH380" s="347"/>
      <c r="AI380" s="347"/>
      <c r="AJ380" s="347"/>
      <c r="AK380" s="347"/>
      <c r="AL380" s="347"/>
      <c r="AM380" s="347"/>
      <c r="AN380" s="347"/>
      <c r="AO380" s="347"/>
      <c r="AP380" s="347"/>
      <c r="AQ380" s="347"/>
      <c r="AR380" s="347"/>
      <c r="AS380" s="347"/>
      <c r="AT380" s="347"/>
      <c r="AU380" s="347"/>
      <c r="AV380" s="347"/>
      <c r="AW380" s="347"/>
      <c r="AX380" s="347"/>
      <c r="AY380" s="347"/>
      <c r="AZ380" s="347"/>
      <c r="BA380" s="347"/>
      <c r="BB380" s="347"/>
      <c r="BC380" s="347"/>
      <c r="BD380" s="347"/>
      <c r="BE380" s="347"/>
      <c r="BF380" s="347"/>
      <c r="BG380" s="347"/>
      <c r="BH380" s="347"/>
    </row>
    <row r="381">
      <c r="A381" s="347"/>
      <c r="B381" s="347"/>
      <c r="C381" s="347"/>
      <c r="D381" s="347"/>
      <c r="E381" s="347"/>
      <c r="F381" s="347"/>
      <c r="G381" s="347"/>
      <c r="H381" s="347"/>
      <c r="I381" s="347"/>
      <c r="J381" s="347"/>
      <c r="K381" s="348"/>
      <c r="L381" s="348"/>
      <c r="M381" s="348"/>
      <c r="N381" s="348"/>
      <c r="O381" s="348"/>
      <c r="P381" s="347"/>
      <c r="Q381" s="347"/>
      <c r="R381" s="347"/>
      <c r="S381" s="347"/>
      <c r="T381" s="347"/>
      <c r="U381" s="347"/>
      <c r="V381" s="347"/>
      <c r="W381" s="347"/>
      <c r="X381" s="347"/>
      <c r="Y381" s="347"/>
      <c r="Z381" s="347"/>
      <c r="AA381" s="604"/>
      <c r="AB381" s="347"/>
      <c r="AC381" s="590"/>
      <c r="AD381" s="347"/>
      <c r="AE381" s="347"/>
      <c r="AF381" s="347"/>
      <c r="AG381" s="347"/>
      <c r="AH381" s="347"/>
      <c r="AI381" s="347"/>
      <c r="AJ381" s="347"/>
      <c r="AK381" s="347"/>
      <c r="AL381" s="347"/>
      <c r="AM381" s="347"/>
      <c r="AN381" s="347"/>
      <c r="AO381" s="347"/>
      <c r="AP381" s="347"/>
      <c r="AQ381" s="347"/>
      <c r="AR381" s="347"/>
      <c r="AS381" s="347"/>
      <c r="AT381" s="347"/>
      <c r="AU381" s="347"/>
      <c r="AV381" s="347"/>
      <c r="AW381" s="347"/>
      <c r="AX381" s="347"/>
      <c r="AY381" s="347"/>
      <c r="AZ381" s="347"/>
      <c r="BA381" s="347"/>
      <c r="BB381" s="347"/>
      <c r="BC381" s="347"/>
      <c r="BD381" s="347"/>
      <c r="BE381" s="347"/>
      <c r="BF381" s="347"/>
      <c r="BG381" s="347"/>
      <c r="BH381" s="347"/>
    </row>
    <row r="382">
      <c r="A382" s="347"/>
      <c r="B382" s="347"/>
      <c r="C382" s="347"/>
      <c r="D382" s="347"/>
      <c r="E382" s="347"/>
      <c r="F382" s="347"/>
      <c r="G382" s="347"/>
      <c r="H382" s="347"/>
      <c r="I382" s="347"/>
      <c r="J382" s="347"/>
      <c r="K382" s="348"/>
      <c r="L382" s="348"/>
      <c r="M382" s="348"/>
      <c r="N382" s="348"/>
      <c r="O382" s="348"/>
      <c r="P382" s="347"/>
      <c r="Q382" s="347"/>
      <c r="R382" s="347"/>
      <c r="S382" s="347"/>
      <c r="T382" s="347"/>
      <c r="U382" s="347"/>
      <c r="V382" s="347"/>
      <c r="W382" s="347"/>
      <c r="X382" s="347"/>
      <c r="Y382" s="347"/>
      <c r="Z382" s="347"/>
      <c r="AA382" s="604"/>
      <c r="AB382" s="347"/>
      <c r="AC382" s="590"/>
      <c r="AD382" s="347"/>
      <c r="AE382" s="347"/>
      <c r="AF382" s="347"/>
      <c r="AG382" s="347"/>
      <c r="AH382" s="347"/>
      <c r="AI382" s="347"/>
      <c r="AJ382" s="347"/>
      <c r="AK382" s="347"/>
      <c r="AL382" s="347"/>
      <c r="AM382" s="347"/>
      <c r="AN382" s="347"/>
      <c r="AO382" s="347"/>
      <c r="AP382" s="347"/>
      <c r="AQ382" s="347"/>
      <c r="AR382" s="347"/>
      <c r="AS382" s="347"/>
      <c r="AT382" s="347"/>
      <c r="AU382" s="347"/>
      <c r="AV382" s="347"/>
      <c r="AW382" s="347"/>
      <c r="AX382" s="347"/>
      <c r="AY382" s="347"/>
      <c r="AZ382" s="347"/>
      <c r="BA382" s="347"/>
      <c r="BB382" s="347"/>
      <c r="BC382" s="347"/>
      <c r="BD382" s="347"/>
      <c r="BE382" s="347"/>
      <c r="BF382" s="347"/>
      <c r="BG382" s="347"/>
      <c r="BH382" s="347"/>
    </row>
    <row r="383">
      <c r="A383" s="347"/>
      <c r="B383" s="347"/>
      <c r="C383" s="347"/>
      <c r="D383" s="347"/>
      <c r="E383" s="347"/>
      <c r="F383" s="347"/>
      <c r="G383" s="347"/>
      <c r="H383" s="347"/>
      <c r="I383" s="347"/>
      <c r="J383" s="347"/>
      <c r="K383" s="348"/>
      <c r="L383" s="348"/>
      <c r="M383" s="348"/>
      <c r="N383" s="348"/>
      <c r="O383" s="348"/>
      <c r="P383" s="347"/>
      <c r="Q383" s="347"/>
      <c r="R383" s="347"/>
      <c r="S383" s="347"/>
      <c r="T383" s="347"/>
      <c r="U383" s="347"/>
      <c r="V383" s="347"/>
      <c r="W383" s="347"/>
      <c r="X383" s="347"/>
      <c r="Y383" s="347"/>
      <c r="Z383" s="347"/>
      <c r="AA383" s="604"/>
      <c r="AB383" s="347"/>
      <c r="AC383" s="590"/>
      <c r="AD383" s="347"/>
      <c r="AE383" s="347"/>
      <c r="AF383" s="347"/>
      <c r="AG383" s="347"/>
      <c r="AH383" s="347"/>
      <c r="AI383" s="347"/>
      <c r="AJ383" s="347"/>
      <c r="AK383" s="347"/>
      <c r="AL383" s="347"/>
      <c r="AM383" s="347"/>
      <c r="AN383" s="347"/>
      <c r="AO383" s="347"/>
      <c r="AP383" s="347"/>
      <c r="AQ383" s="347"/>
      <c r="AR383" s="347"/>
      <c r="AS383" s="347"/>
      <c r="AT383" s="347"/>
      <c r="AU383" s="347"/>
      <c r="AV383" s="347"/>
      <c r="AW383" s="347"/>
      <c r="AX383" s="347"/>
      <c r="AY383" s="347"/>
      <c r="AZ383" s="347"/>
      <c r="BA383" s="347"/>
      <c r="BB383" s="347"/>
      <c r="BC383" s="347"/>
      <c r="BD383" s="347"/>
      <c r="BE383" s="347"/>
      <c r="BF383" s="347"/>
      <c r="BG383" s="347"/>
      <c r="BH383" s="347"/>
    </row>
    <row r="384">
      <c r="A384" s="347"/>
      <c r="B384" s="347"/>
      <c r="C384" s="347"/>
      <c r="D384" s="347"/>
      <c r="E384" s="347"/>
      <c r="F384" s="347"/>
      <c r="G384" s="347"/>
      <c r="H384" s="347"/>
      <c r="I384" s="347"/>
      <c r="J384" s="347"/>
      <c r="K384" s="348"/>
      <c r="L384" s="348"/>
      <c r="M384" s="348"/>
      <c r="N384" s="348"/>
      <c r="O384" s="348"/>
      <c r="P384" s="347"/>
      <c r="Q384" s="347"/>
      <c r="R384" s="347"/>
      <c r="S384" s="347"/>
      <c r="T384" s="347"/>
      <c r="U384" s="347"/>
      <c r="V384" s="347"/>
      <c r="W384" s="347"/>
      <c r="X384" s="347"/>
      <c r="Y384" s="347"/>
      <c r="Z384" s="347"/>
      <c r="AA384" s="604"/>
      <c r="AB384" s="347"/>
      <c r="AC384" s="590"/>
      <c r="AD384" s="347"/>
      <c r="AE384" s="347"/>
      <c r="AF384" s="347"/>
      <c r="AG384" s="347"/>
      <c r="AH384" s="347"/>
      <c r="AI384" s="347"/>
      <c r="AJ384" s="347"/>
      <c r="AK384" s="347"/>
      <c r="AL384" s="347"/>
      <c r="AM384" s="347"/>
      <c r="AN384" s="347"/>
      <c r="AO384" s="347"/>
      <c r="AP384" s="347"/>
      <c r="AQ384" s="347"/>
      <c r="AR384" s="347"/>
      <c r="AS384" s="347"/>
      <c r="AT384" s="347"/>
      <c r="AU384" s="347"/>
      <c r="AV384" s="347"/>
      <c r="AW384" s="347"/>
      <c r="AX384" s="347"/>
      <c r="AY384" s="347"/>
      <c r="AZ384" s="347"/>
      <c r="BA384" s="347"/>
      <c r="BB384" s="347"/>
      <c r="BC384" s="347"/>
      <c r="BD384" s="347"/>
      <c r="BE384" s="347"/>
      <c r="BF384" s="347"/>
      <c r="BG384" s="347"/>
      <c r="BH384" s="347"/>
    </row>
    <row r="385">
      <c r="A385" s="347"/>
      <c r="B385" s="347"/>
      <c r="C385" s="347"/>
      <c r="D385" s="347"/>
      <c r="E385" s="347"/>
      <c r="F385" s="347"/>
      <c r="G385" s="347"/>
      <c r="H385" s="347"/>
      <c r="I385" s="347"/>
      <c r="J385" s="347"/>
      <c r="K385" s="348"/>
      <c r="L385" s="348"/>
      <c r="M385" s="348"/>
      <c r="N385" s="348"/>
      <c r="O385" s="348"/>
      <c r="P385" s="347"/>
      <c r="Q385" s="347"/>
      <c r="R385" s="347"/>
      <c r="S385" s="347"/>
      <c r="T385" s="347"/>
      <c r="U385" s="347"/>
      <c r="V385" s="347"/>
      <c r="W385" s="347"/>
      <c r="X385" s="347"/>
      <c r="Y385" s="347"/>
      <c r="Z385" s="347"/>
      <c r="AA385" s="604"/>
      <c r="AB385" s="347"/>
      <c r="AC385" s="590"/>
      <c r="AD385" s="347"/>
      <c r="AE385" s="347"/>
      <c r="AF385" s="347"/>
      <c r="AG385" s="347"/>
      <c r="AH385" s="347"/>
      <c r="AI385" s="347"/>
      <c r="AJ385" s="347"/>
      <c r="AK385" s="347"/>
      <c r="AL385" s="347"/>
      <c r="AM385" s="347"/>
      <c r="AN385" s="347"/>
      <c r="AO385" s="347"/>
      <c r="AP385" s="347"/>
      <c r="AQ385" s="347"/>
      <c r="AR385" s="347"/>
      <c r="AS385" s="347"/>
      <c r="AT385" s="347"/>
      <c r="AU385" s="347"/>
      <c r="AV385" s="347"/>
      <c r="AW385" s="347"/>
      <c r="AX385" s="347"/>
      <c r="AY385" s="347"/>
      <c r="AZ385" s="347"/>
      <c r="BA385" s="347"/>
      <c r="BB385" s="347"/>
      <c r="BC385" s="347"/>
      <c r="BD385" s="347"/>
      <c r="BE385" s="347"/>
      <c r="BF385" s="347"/>
      <c r="BG385" s="347"/>
      <c r="BH385" s="347"/>
    </row>
    <row r="386">
      <c r="A386" s="347"/>
      <c r="B386" s="347"/>
      <c r="C386" s="347"/>
      <c r="D386" s="347"/>
      <c r="E386" s="347"/>
      <c r="F386" s="347"/>
      <c r="G386" s="347"/>
      <c r="H386" s="347"/>
      <c r="I386" s="347"/>
      <c r="J386" s="347"/>
      <c r="K386" s="348"/>
      <c r="L386" s="348"/>
      <c r="M386" s="348"/>
      <c r="N386" s="348"/>
      <c r="O386" s="348"/>
      <c r="P386" s="347"/>
      <c r="Q386" s="347"/>
      <c r="R386" s="347"/>
      <c r="S386" s="347"/>
      <c r="T386" s="347"/>
      <c r="U386" s="347"/>
      <c r="V386" s="347"/>
      <c r="W386" s="347"/>
      <c r="X386" s="347"/>
      <c r="Y386" s="347"/>
      <c r="Z386" s="347"/>
      <c r="AA386" s="604"/>
      <c r="AB386" s="347"/>
      <c r="AC386" s="590"/>
      <c r="AD386" s="347"/>
      <c r="AE386" s="347"/>
      <c r="AF386" s="347"/>
      <c r="AG386" s="347"/>
      <c r="AH386" s="347"/>
      <c r="AI386" s="347"/>
      <c r="AJ386" s="347"/>
      <c r="AK386" s="347"/>
      <c r="AL386" s="347"/>
      <c r="AM386" s="347"/>
      <c r="AN386" s="347"/>
      <c r="AO386" s="347"/>
      <c r="AP386" s="347"/>
      <c r="AQ386" s="347"/>
      <c r="AR386" s="347"/>
      <c r="AS386" s="347"/>
      <c r="AT386" s="347"/>
      <c r="AU386" s="347"/>
      <c r="AV386" s="347"/>
      <c r="AW386" s="347"/>
      <c r="AX386" s="347"/>
      <c r="AY386" s="347"/>
      <c r="AZ386" s="347"/>
      <c r="BA386" s="347"/>
      <c r="BB386" s="347"/>
      <c r="BC386" s="347"/>
      <c r="BD386" s="347"/>
      <c r="BE386" s="347"/>
      <c r="BF386" s="347"/>
      <c r="BG386" s="347"/>
      <c r="BH386" s="347"/>
    </row>
    <row r="387">
      <c r="A387" s="347"/>
      <c r="B387" s="347"/>
      <c r="C387" s="347"/>
      <c r="D387" s="347"/>
      <c r="E387" s="347"/>
      <c r="F387" s="347"/>
      <c r="G387" s="347"/>
      <c r="H387" s="347"/>
      <c r="I387" s="347"/>
      <c r="J387" s="347"/>
      <c r="K387" s="348"/>
      <c r="L387" s="348"/>
      <c r="M387" s="348"/>
      <c r="N387" s="348"/>
      <c r="O387" s="348"/>
      <c r="P387" s="347"/>
      <c r="Q387" s="347"/>
      <c r="R387" s="347"/>
      <c r="S387" s="347"/>
      <c r="T387" s="347"/>
      <c r="U387" s="347"/>
      <c r="V387" s="347"/>
      <c r="W387" s="347"/>
      <c r="X387" s="347"/>
      <c r="Y387" s="347"/>
      <c r="Z387" s="347"/>
      <c r="AA387" s="604"/>
      <c r="AB387" s="347"/>
      <c r="AC387" s="590"/>
      <c r="AD387" s="347"/>
      <c r="AE387" s="347"/>
      <c r="AF387" s="347"/>
      <c r="AG387" s="347"/>
      <c r="AH387" s="347"/>
      <c r="AI387" s="347"/>
      <c r="AJ387" s="347"/>
      <c r="AK387" s="347"/>
      <c r="AL387" s="347"/>
      <c r="AM387" s="347"/>
      <c r="AN387" s="347"/>
      <c r="AO387" s="347"/>
      <c r="AP387" s="347"/>
      <c r="AQ387" s="347"/>
      <c r="AR387" s="347"/>
      <c r="AS387" s="347"/>
      <c r="AT387" s="347"/>
      <c r="AU387" s="347"/>
      <c r="AV387" s="347"/>
      <c r="AW387" s="347"/>
      <c r="AX387" s="347"/>
      <c r="AY387" s="347"/>
      <c r="AZ387" s="347"/>
      <c r="BA387" s="347"/>
      <c r="BB387" s="347"/>
      <c r="BC387" s="347"/>
      <c r="BD387" s="347"/>
      <c r="BE387" s="347"/>
      <c r="BF387" s="347"/>
      <c r="BG387" s="347"/>
      <c r="BH387" s="347"/>
    </row>
    <row r="388">
      <c r="A388" s="347"/>
      <c r="B388" s="347"/>
      <c r="C388" s="347"/>
      <c r="D388" s="347"/>
      <c r="E388" s="347"/>
      <c r="F388" s="347"/>
      <c r="G388" s="347"/>
      <c r="H388" s="347"/>
      <c r="I388" s="347"/>
      <c r="J388" s="347"/>
      <c r="K388" s="348"/>
      <c r="L388" s="348"/>
      <c r="M388" s="348"/>
      <c r="N388" s="348"/>
      <c r="O388" s="348"/>
      <c r="P388" s="347"/>
      <c r="Q388" s="347"/>
      <c r="R388" s="347"/>
      <c r="S388" s="347"/>
      <c r="T388" s="347"/>
      <c r="U388" s="347"/>
      <c r="V388" s="347"/>
      <c r="W388" s="347"/>
      <c r="X388" s="347"/>
      <c r="Y388" s="347"/>
      <c r="Z388" s="347"/>
      <c r="AA388" s="604"/>
      <c r="AB388" s="347"/>
      <c r="AC388" s="590"/>
      <c r="AD388" s="347"/>
      <c r="AE388" s="347"/>
      <c r="AF388" s="347"/>
      <c r="AG388" s="347"/>
      <c r="AH388" s="347"/>
      <c r="AI388" s="347"/>
      <c r="AJ388" s="347"/>
      <c r="AK388" s="347"/>
      <c r="AL388" s="347"/>
      <c r="AM388" s="347"/>
      <c r="AN388" s="347"/>
      <c r="AO388" s="347"/>
      <c r="AP388" s="347"/>
      <c r="AQ388" s="347"/>
      <c r="AR388" s="347"/>
      <c r="AS388" s="347"/>
      <c r="AT388" s="347"/>
      <c r="AU388" s="347"/>
      <c r="AV388" s="347"/>
      <c r="AW388" s="347"/>
      <c r="AX388" s="347"/>
      <c r="AY388" s="347"/>
      <c r="AZ388" s="347"/>
      <c r="BA388" s="347"/>
      <c r="BB388" s="347"/>
      <c r="BC388" s="347"/>
      <c r="BD388" s="347"/>
      <c r="BE388" s="347"/>
      <c r="BF388" s="347"/>
      <c r="BG388" s="347"/>
      <c r="BH388" s="347"/>
    </row>
    <row r="389">
      <c r="A389" s="347"/>
      <c r="B389" s="347"/>
      <c r="C389" s="347"/>
      <c r="D389" s="347"/>
      <c r="E389" s="347"/>
      <c r="F389" s="347"/>
      <c r="G389" s="347"/>
      <c r="H389" s="347"/>
      <c r="I389" s="347"/>
      <c r="J389" s="347"/>
      <c r="K389" s="348"/>
      <c r="L389" s="348"/>
      <c r="M389" s="348"/>
      <c r="N389" s="348"/>
      <c r="O389" s="348"/>
      <c r="P389" s="347"/>
      <c r="Q389" s="347"/>
      <c r="R389" s="347"/>
      <c r="S389" s="347"/>
      <c r="T389" s="347"/>
      <c r="U389" s="347"/>
      <c r="V389" s="347"/>
      <c r="W389" s="347"/>
      <c r="X389" s="347"/>
      <c r="Y389" s="347"/>
      <c r="Z389" s="347"/>
      <c r="AA389" s="604"/>
      <c r="AB389" s="347"/>
      <c r="AC389" s="590"/>
      <c r="AD389" s="347"/>
      <c r="AE389" s="347"/>
      <c r="AF389" s="347"/>
      <c r="AG389" s="347"/>
      <c r="AH389" s="347"/>
      <c r="AI389" s="347"/>
      <c r="AJ389" s="347"/>
      <c r="AK389" s="347"/>
      <c r="AL389" s="347"/>
      <c r="AM389" s="347"/>
      <c r="AN389" s="347"/>
      <c r="AO389" s="347"/>
      <c r="AP389" s="347"/>
      <c r="AQ389" s="347"/>
      <c r="AR389" s="347"/>
      <c r="AS389" s="347"/>
      <c r="AT389" s="347"/>
      <c r="AU389" s="347"/>
      <c r="AV389" s="347"/>
      <c r="AW389" s="347"/>
      <c r="AX389" s="347"/>
      <c r="AY389" s="347"/>
      <c r="AZ389" s="347"/>
      <c r="BA389" s="347"/>
      <c r="BB389" s="347"/>
      <c r="BC389" s="347"/>
      <c r="BD389" s="347"/>
      <c r="BE389" s="347"/>
      <c r="BF389" s="347"/>
      <c r="BG389" s="347"/>
      <c r="BH389" s="347"/>
    </row>
    <row r="390">
      <c r="A390" s="347"/>
      <c r="B390" s="347"/>
      <c r="C390" s="347"/>
      <c r="D390" s="347"/>
      <c r="E390" s="347"/>
      <c r="F390" s="347"/>
      <c r="G390" s="347"/>
      <c r="H390" s="347"/>
      <c r="I390" s="347"/>
      <c r="J390" s="347"/>
      <c r="K390" s="348"/>
      <c r="L390" s="348"/>
      <c r="M390" s="348"/>
      <c r="N390" s="348"/>
      <c r="O390" s="348"/>
      <c r="P390" s="347"/>
      <c r="Q390" s="347"/>
      <c r="R390" s="347"/>
      <c r="S390" s="347"/>
      <c r="T390" s="347"/>
      <c r="U390" s="347"/>
      <c r="V390" s="347"/>
      <c r="W390" s="347"/>
      <c r="X390" s="347"/>
      <c r="Y390" s="347"/>
      <c r="Z390" s="347"/>
      <c r="AA390" s="604"/>
      <c r="AB390" s="347"/>
      <c r="AC390" s="590"/>
      <c r="AD390" s="347"/>
      <c r="AE390" s="347"/>
      <c r="AF390" s="347"/>
      <c r="AG390" s="347"/>
      <c r="AH390" s="347"/>
      <c r="AI390" s="347"/>
      <c r="AJ390" s="347"/>
      <c r="AK390" s="347"/>
      <c r="AL390" s="347"/>
      <c r="AM390" s="347"/>
      <c r="AN390" s="347"/>
      <c r="AO390" s="347"/>
      <c r="AP390" s="347"/>
      <c r="AQ390" s="347"/>
      <c r="AR390" s="347"/>
      <c r="AS390" s="347"/>
      <c r="AT390" s="347"/>
      <c r="AU390" s="347"/>
      <c r="AV390" s="347"/>
      <c r="AW390" s="347"/>
      <c r="AX390" s="347"/>
      <c r="AY390" s="347"/>
      <c r="AZ390" s="347"/>
      <c r="BA390" s="347"/>
      <c r="BB390" s="347"/>
      <c r="BC390" s="347"/>
      <c r="BD390" s="347"/>
      <c r="BE390" s="347"/>
      <c r="BF390" s="347"/>
      <c r="BG390" s="347"/>
      <c r="BH390" s="347"/>
    </row>
    <row r="391">
      <c r="A391" s="347"/>
      <c r="B391" s="347"/>
      <c r="C391" s="347"/>
      <c r="D391" s="347"/>
      <c r="E391" s="347"/>
      <c r="F391" s="347"/>
      <c r="G391" s="347"/>
      <c r="H391" s="347"/>
      <c r="I391" s="347"/>
      <c r="J391" s="347"/>
      <c r="K391" s="348"/>
      <c r="L391" s="348"/>
      <c r="M391" s="348"/>
      <c r="N391" s="348"/>
      <c r="O391" s="348"/>
      <c r="P391" s="347"/>
      <c r="Q391" s="347"/>
      <c r="R391" s="347"/>
      <c r="S391" s="347"/>
      <c r="T391" s="347"/>
      <c r="U391" s="347"/>
      <c r="V391" s="347"/>
      <c r="W391" s="347"/>
      <c r="X391" s="347"/>
      <c r="Y391" s="347"/>
      <c r="Z391" s="347"/>
      <c r="AA391" s="604"/>
      <c r="AB391" s="347"/>
      <c r="AC391" s="590"/>
      <c r="AD391" s="347"/>
      <c r="AE391" s="347"/>
      <c r="AF391" s="347"/>
      <c r="AG391" s="347"/>
      <c r="AH391" s="347"/>
      <c r="AI391" s="347"/>
      <c r="AJ391" s="347"/>
      <c r="AK391" s="347"/>
      <c r="AL391" s="347"/>
      <c r="AM391" s="347"/>
      <c r="AN391" s="347"/>
      <c r="AO391" s="347"/>
      <c r="AP391" s="347"/>
      <c r="AQ391" s="347"/>
      <c r="AR391" s="347"/>
      <c r="AS391" s="347"/>
      <c r="AT391" s="347"/>
      <c r="AU391" s="347"/>
      <c r="AV391" s="347"/>
      <c r="AW391" s="347"/>
      <c r="AX391" s="347"/>
      <c r="AY391" s="347"/>
      <c r="AZ391" s="347"/>
      <c r="BA391" s="347"/>
      <c r="BB391" s="347"/>
      <c r="BC391" s="347"/>
      <c r="BD391" s="347"/>
      <c r="BE391" s="347"/>
      <c r="BF391" s="347"/>
      <c r="BG391" s="347"/>
      <c r="BH391" s="347"/>
    </row>
    <row r="392">
      <c r="A392" s="347"/>
      <c r="B392" s="347"/>
      <c r="C392" s="347"/>
      <c r="D392" s="347"/>
      <c r="E392" s="347"/>
      <c r="F392" s="347"/>
      <c r="G392" s="347"/>
      <c r="H392" s="347"/>
      <c r="I392" s="347"/>
      <c r="J392" s="347"/>
      <c r="K392" s="348"/>
      <c r="L392" s="348"/>
      <c r="M392" s="348"/>
      <c r="N392" s="348"/>
      <c r="O392" s="348"/>
      <c r="P392" s="347"/>
      <c r="Q392" s="347"/>
      <c r="R392" s="347"/>
      <c r="S392" s="347"/>
      <c r="T392" s="347"/>
      <c r="U392" s="347"/>
      <c r="V392" s="347"/>
      <c r="W392" s="347"/>
      <c r="X392" s="347"/>
      <c r="Y392" s="347"/>
      <c r="Z392" s="347"/>
      <c r="AA392" s="604"/>
      <c r="AB392" s="347"/>
      <c r="AC392" s="590"/>
      <c r="AD392" s="347"/>
      <c r="AE392" s="347"/>
      <c r="AF392" s="347"/>
      <c r="AG392" s="347"/>
      <c r="AH392" s="347"/>
      <c r="AI392" s="347"/>
      <c r="AJ392" s="347"/>
      <c r="AK392" s="347"/>
      <c r="AL392" s="347"/>
      <c r="AM392" s="347"/>
      <c r="AN392" s="347"/>
      <c r="AO392" s="347"/>
      <c r="AP392" s="347"/>
      <c r="AQ392" s="347"/>
      <c r="AR392" s="347"/>
      <c r="AS392" s="347"/>
      <c r="AT392" s="347"/>
      <c r="AU392" s="347"/>
      <c r="AV392" s="347"/>
      <c r="AW392" s="347"/>
      <c r="AX392" s="347"/>
      <c r="AY392" s="347"/>
      <c r="AZ392" s="347"/>
      <c r="BA392" s="347"/>
      <c r="BB392" s="347"/>
      <c r="BC392" s="347"/>
      <c r="BD392" s="347"/>
      <c r="BE392" s="347"/>
      <c r="BF392" s="347"/>
      <c r="BG392" s="347"/>
      <c r="BH392" s="347"/>
    </row>
    <row r="393">
      <c r="A393" s="347"/>
      <c r="B393" s="347"/>
      <c r="C393" s="347"/>
      <c r="D393" s="347"/>
      <c r="E393" s="347"/>
      <c r="F393" s="347"/>
      <c r="G393" s="347"/>
      <c r="H393" s="347"/>
      <c r="I393" s="347"/>
      <c r="J393" s="347"/>
      <c r="K393" s="348"/>
      <c r="L393" s="348"/>
      <c r="M393" s="348"/>
      <c r="N393" s="348"/>
      <c r="O393" s="348"/>
      <c r="P393" s="347"/>
      <c r="Q393" s="347"/>
      <c r="R393" s="347"/>
      <c r="S393" s="347"/>
      <c r="T393" s="347"/>
      <c r="U393" s="347"/>
      <c r="V393" s="347"/>
      <c r="W393" s="347"/>
      <c r="X393" s="347"/>
      <c r="Y393" s="347"/>
      <c r="Z393" s="347"/>
      <c r="AA393" s="604"/>
      <c r="AB393" s="347"/>
      <c r="AC393" s="590"/>
      <c r="AD393" s="347"/>
      <c r="AE393" s="347"/>
      <c r="AF393" s="347"/>
      <c r="AG393" s="347"/>
      <c r="AH393" s="347"/>
      <c r="AI393" s="347"/>
      <c r="AJ393" s="347"/>
      <c r="AK393" s="347"/>
      <c r="AL393" s="347"/>
      <c r="AM393" s="347"/>
      <c r="AN393" s="347"/>
      <c r="AO393" s="347"/>
      <c r="AP393" s="347"/>
      <c r="AQ393" s="347"/>
      <c r="AR393" s="347"/>
      <c r="AS393" s="347"/>
      <c r="AT393" s="347"/>
      <c r="AU393" s="347"/>
      <c r="AV393" s="347"/>
      <c r="AW393" s="347"/>
      <c r="AX393" s="347"/>
      <c r="AY393" s="347"/>
      <c r="AZ393" s="347"/>
      <c r="BA393" s="347"/>
      <c r="BB393" s="347"/>
      <c r="BC393" s="347"/>
      <c r="BD393" s="347"/>
      <c r="BE393" s="347"/>
      <c r="BF393" s="347"/>
      <c r="BG393" s="347"/>
      <c r="BH393" s="347"/>
    </row>
    <row r="394">
      <c r="A394" s="347"/>
      <c r="B394" s="347"/>
      <c r="C394" s="347"/>
      <c r="D394" s="347"/>
      <c r="E394" s="347"/>
      <c r="F394" s="347"/>
      <c r="G394" s="347"/>
      <c r="H394" s="347"/>
      <c r="I394" s="347"/>
      <c r="J394" s="347"/>
      <c r="K394" s="348"/>
      <c r="L394" s="348"/>
      <c r="M394" s="348"/>
      <c r="N394" s="348"/>
      <c r="O394" s="348"/>
      <c r="P394" s="347"/>
      <c r="Q394" s="347"/>
      <c r="R394" s="347"/>
      <c r="S394" s="347"/>
      <c r="T394" s="347"/>
      <c r="U394" s="347"/>
      <c r="V394" s="347"/>
      <c r="W394" s="347"/>
      <c r="X394" s="347"/>
      <c r="Y394" s="347"/>
      <c r="Z394" s="347"/>
      <c r="AA394" s="604"/>
      <c r="AB394" s="347"/>
      <c r="AC394" s="590"/>
      <c r="AD394" s="347"/>
      <c r="AE394" s="347"/>
      <c r="AF394" s="347"/>
      <c r="AG394" s="347"/>
      <c r="AH394" s="347"/>
      <c r="AI394" s="347"/>
      <c r="AJ394" s="347"/>
      <c r="AK394" s="347"/>
      <c r="AL394" s="347"/>
      <c r="AM394" s="347"/>
      <c r="AN394" s="347"/>
      <c r="AO394" s="347"/>
      <c r="AP394" s="347"/>
      <c r="AQ394" s="347"/>
      <c r="AR394" s="347"/>
      <c r="AS394" s="347"/>
      <c r="AT394" s="347"/>
      <c r="AU394" s="347"/>
      <c r="AV394" s="347"/>
      <c r="AW394" s="347"/>
      <c r="AX394" s="347"/>
      <c r="AY394" s="347"/>
      <c r="AZ394" s="347"/>
      <c r="BA394" s="347"/>
      <c r="BB394" s="347"/>
      <c r="BC394" s="347"/>
      <c r="BD394" s="347"/>
      <c r="BE394" s="347"/>
      <c r="BF394" s="347"/>
      <c r="BG394" s="347"/>
      <c r="BH394" s="347"/>
    </row>
    <row r="395">
      <c r="A395" s="347"/>
      <c r="B395" s="347"/>
      <c r="C395" s="347"/>
      <c r="D395" s="347"/>
      <c r="E395" s="347"/>
      <c r="F395" s="347"/>
      <c r="G395" s="347"/>
      <c r="H395" s="347"/>
      <c r="I395" s="347"/>
      <c r="J395" s="347"/>
      <c r="K395" s="348"/>
      <c r="L395" s="348"/>
      <c r="M395" s="348"/>
      <c r="N395" s="348"/>
      <c r="O395" s="348"/>
      <c r="P395" s="347"/>
      <c r="Q395" s="347"/>
      <c r="R395" s="347"/>
      <c r="S395" s="347"/>
      <c r="T395" s="347"/>
      <c r="U395" s="347"/>
      <c r="V395" s="347"/>
      <c r="W395" s="347"/>
      <c r="X395" s="347"/>
      <c r="Y395" s="347"/>
      <c r="Z395" s="347"/>
      <c r="AA395" s="604"/>
      <c r="AB395" s="347"/>
      <c r="AC395" s="590"/>
      <c r="AD395" s="347"/>
      <c r="AE395" s="347"/>
      <c r="AF395" s="347"/>
      <c r="AG395" s="347"/>
      <c r="AH395" s="347"/>
      <c r="AI395" s="347"/>
      <c r="AJ395" s="347"/>
      <c r="AK395" s="347"/>
      <c r="AL395" s="347"/>
      <c r="AM395" s="347"/>
      <c r="AN395" s="347"/>
      <c r="AO395" s="347"/>
      <c r="AP395" s="347"/>
      <c r="AQ395" s="347"/>
      <c r="AR395" s="347"/>
      <c r="AS395" s="347"/>
      <c r="AT395" s="347"/>
      <c r="AU395" s="347"/>
      <c r="AV395" s="347"/>
      <c r="AW395" s="347"/>
      <c r="AX395" s="347"/>
      <c r="AY395" s="347"/>
      <c r="AZ395" s="347"/>
      <c r="BA395" s="347"/>
      <c r="BB395" s="347"/>
      <c r="BC395" s="347"/>
      <c r="BD395" s="347"/>
      <c r="BE395" s="347"/>
      <c r="BF395" s="347"/>
      <c r="BG395" s="347"/>
      <c r="BH395" s="347"/>
    </row>
    <row r="396">
      <c r="A396" s="347"/>
      <c r="B396" s="347"/>
      <c r="C396" s="347"/>
      <c r="D396" s="347"/>
      <c r="E396" s="347"/>
      <c r="F396" s="347"/>
      <c r="G396" s="347"/>
      <c r="H396" s="347"/>
      <c r="I396" s="347"/>
      <c r="J396" s="347"/>
      <c r="K396" s="348"/>
      <c r="L396" s="348"/>
      <c r="M396" s="348"/>
      <c r="N396" s="348"/>
      <c r="O396" s="348"/>
      <c r="P396" s="347"/>
      <c r="Q396" s="347"/>
      <c r="R396" s="347"/>
      <c r="S396" s="347"/>
      <c r="T396" s="347"/>
      <c r="U396" s="347"/>
      <c r="V396" s="347"/>
      <c r="W396" s="347"/>
      <c r="X396" s="347"/>
      <c r="Y396" s="347"/>
      <c r="Z396" s="347"/>
      <c r="AA396" s="604"/>
      <c r="AB396" s="347"/>
      <c r="AC396" s="590"/>
      <c r="AD396" s="347"/>
      <c r="AE396" s="347"/>
      <c r="AF396" s="347"/>
      <c r="AG396" s="347"/>
      <c r="AH396" s="347"/>
      <c r="AI396" s="347"/>
      <c r="AJ396" s="347"/>
      <c r="AK396" s="347"/>
      <c r="AL396" s="347"/>
      <c r="AM396" s="347"/>
      <c r="AN396" s="347"/>
      <c r="AO396" s="347"/>
      <c r="AP396" s="347"/>
      <c r="AQ396" s="347"/>
      <c r="AR396" s="347"/>
      <c r="AS396" s="347"/>
      <c r="AT396" s="347"/>
      <c r="AU396" s="347"/>
      <c r="AV396" s="347"/>
      <c r="AW396" s="347"/>
      <c r="AX396" s="347"/>
      <c r="AY396" s="347"/>
      <c r="AZ396" s="347"/>
      <c r="BA396" s="347"/>
      <c r="BB396" s="347"/>
      <c r="BC396" s="347"/>
      <c r="BD396" s="347"/>
      <c r="BE396" s="347"/>
      <c r="BF396" s="347"/>
      <c r="BG396" s="347"/>
      <c r="BH396" s="347"/>
    </row>
    <row r="397">
      <c r="A397" s="347"/>
      <c r="B397" s="347"/>
      <c r="C397" s="347"/>
      <c r="D397" s="347"/>
      <c r="E397" s="347"/>
      <c r="F397" s="347"/>
      <c r="G397" s="347"/>
      <c r="H397" s="347"/>
      <c r="I397" s="347"/>
      <c r="J397" s="347"/>
      <c r="K397" s="348"/>
      <c r="L397" s="348"/>
      <c r="M397" s="348"/>
      <c r="N397" s="348"/>
      <c r="O397" s="348"/>
      <c r="P397" s="347"/>
      <c r="Q397" s="347"/>
      <c r="R397" s="347"/>
      <c r="S397" s="347"/>
      <c r="T397" s="347"/>
      <c r="U397" s="347"/>
      <c r="V397" s="347"/>
      <c r="W397" s="347"/>
      <c r="X397" s="347"/>
      <c r="Y397" s="347"/>
      <c r="Z397" s="347"/>
      <c r="AA397" s="604"/>
      <c r="AB397" s="347"/>
      <c r="AC397" s="590"/>
      <c r="AD397" s="347"/>
      <c r="AE397" s="347"/>
      <c r="AF397" s="347"/>
      <c r="AG397" s="347"/>
      <c r="AH397" s="347"/>
      <c r="AI397" s="347"/>
      <c r="AJ397" s="347"/>
      <c r="AK397" s="347"/>
      <c r="AL397" s="347"/>
      <c r="AM397" s="347"/>
      <c r="AN397" s="347"/>
      <c r="AO397" s="347"/>
      <c r="AP397" s="347"/>
      <c r="AQ397" s="347"/>
      <c r="AR397" s="347"/>
      <c r="AS397" s="347"/>
      <c r="AT397" s="347"/>
      <c r="AU397" s="347"/>
      <c r="AV397" s="347"/>
      <c r="AW397" s="347"/>
      <c r="AX397" s="347"/>
      <c r="AY397" s="347"/>
      <c r="AZ397" s="347"/>
      <c r="BA397" s="347"/>
      <c r="BB397" s="347"/>
      <c r="BC397" s="347"/>
      <c r="BD397" s="347"/>
      <c r="BE397" s="347"/>
      <c r="BF397" s="347"/>
      <c r="BG397" s="347"/>
      <c r="BH397" s="347"/>
    </row>
    <row r="398">
      <c r="A398" s="347"/>
      <c r="B398" s="347"/>
      <c r="C398" s="347"/>
      <c r="D398" s="347"/>
      <c r="E398" s="347"/>
      <c r="F398" s="347"/>
      <c r="G398" s="347"/>
      <c r="H398" s="347"/>
      <c r="I398" s="347"/>
      <c r="J398" s="347"/>
      <c r="K398" s="348"/>
      <c r="L398" s="348"/>
      <c r="M398" s="348"/>
      <c r="N398" s="348"/>
      <c r="O398" s="348"/>
      <c r="P398" s="347"/>
      <c r="Q398" s="347"/>
      <c r="R398" s="347"/>
      <c r="S398" s="347"/>
      <c r="T398" s="347"/>
      <c r="U398" s="347"/>
      <c r="V398" s="347"/>
      <c r="W398" s="347"/>
      <c r="X398" s="347"/>
      <c r="Y398" s="347"/>
      <c r="Z398" s="347"/>
      <c r="AA398" s="604"/>
      <c r="AB398" s="347"/>
      <c r="AC398" s="590"/>
      <c r="AD398" s="347"/>
      <c r="AE398" s="347"/>
      <c r="AF398" s="347"/>
      <c r="AG398" s="347"/>
      <c r="AH398" s="347"/>
      <c r="AI398" s="347"/>
      <c r="AJ398" s="347"/>
      <c r="AK398" s="347"/>
      <c r="AL398" s="347"/>
      <c r="AM398" s="347"/>
      <c r="AN398" s="347"/>
      <c r="AO398" s="347"/>
      <c r="AP398" s="347"/>
      <c r="AQ398" s="347"/>
      <c r="AR398" s="347"/>
      <c r="AS398" s="347"/>
      <c r="AT398" s="347"/>
      <c r="AU398" s="347"/>
      <c r="AV398" s="347"/>
      <c r="AW398" s="347"/>
      <c r="AX398" s="347"/>
      <c r="AY398" s="347"/>
      <c r="AZ398" s="347"/>
      <c r="BA398" s="347"/>
      <c r="BB398" s="347"/>
      <c r="BC398" s="347"/>
      <c r="BD398" s="347"/>
      <c r="BE398" s="347"/>
      <c r="BF398" s="347"/>
      <c r="BG398" s="347"/>
      <c r="BH398" s="347"/>
    </row>
    <row r="399">
      <c r="A399" s="347"/>
      <c r="B399" s="347"/>
      <c r="C399" s="347"/>
      <c r="D399" s="347"/>
      <c r="E399" s="347"/>
      <c r="F399" s="347"/>
      <c r="G399" s="347"/>
      <c r="H399" s="347"/>
      <c r="I399" s="347"/>
      <c r="J399" s="347"/>
      <c r="K399" s="348"/>
      <c r="L399" s="348"/>
      <c r="M399" s="348"/>
      <c r="N399" s="348"/>
      <c r="O399" s="348"/>
      <c r="P399" s="347"/>
      <c r="Q399" s="347"/>
      <c r="R399" s="347"/>
      <c r="S399" s="347"/>
      <c r="T399" s="347"/>
      <c r="U399" s="347"/>
      <c r="V399" s="347"/>
      <c r="W399" s="347"/>
      <c r="X399" s="347"/>
      <c r="Y399" s="347"/>
      <c r="Z399" s="347"/>
      <c r="AA399" s="604"/>
      <c r="AB399" s="347"/>
      <c r="AC399" s="590"/>
      <c r="AD399" s="347"/>
      <c r="AE399" s="347"/>
      <c r="AF399" s="347"/>
      <c r="AG399" s="347"/>
      <c r="AH399" s="347"/>
      <c r="AI399" s="347"/>
      <c r="AJ399" s="347"/>
      <c r="AK399" s="347"/>
      <c r="AL399" s="347"/>
      <c r="AM399" s="347"/>
      <c r="AN399" s="347"/>
      <c r="AO399" s="347"/>
      <c r="AP399" s="347"/>
      <c r="AQ399" s="347"/>
      <c r="AR399" s="347"/>
      <c r="AS399" s="347"/>
      <c r="AT399" s="347"/>
      <c r="AU399" s="347"/>
      <c r="AV399" s="347"/>
      <c r="AW399" s="347"/>
      <c r="AX399" s="347"/>
      <c r="AY399" s="347"/>
      <c r="AZ399" s="347"/>
      <c r="BA399" s="347"/>
      <c r="BB399" s="347"/>
      <c r="BC399" s="347"/>
      <c r="BD399" s="347"/>
      <c r="BE399" s="347"/>
      <c r="BF399" s="347"/>
      <c r="BG399" s="347"/>
      <c r="BH399" s="347"/>
    </row>
    <row r="400">
      <c r="A400" s="347"/>
      <c r="B400" s="347"/>
      <c r="C400" s="347"/>
      <c r="D400" s="347"/>
      <c r="E400" s="347"/>
      <c r="F400" s="347"/>
      <c r="G400" s="347"/>
      <c r="H400" s="347"/>
      <c r="I400" s="347"/>
      <c r="J400" s="347"/>
      <c r="K400" s="348"/>
      <c r="L400" s="348"/>
      <c r="M400" s="348"/>
      <c r="N400" s="348"/>
      <c r="O400" s="348"/>
      <c r="P400" s="347"/>
      <c r="Q400" s="347"/>
      <c r="R400" s="347"/>
      <c r="S400" s="347"/>
      <c r="T400" s="347"/>
      <c r="U400" s="347"/>
      <c r="V400" s="347"/>
      <c r="W400" s="347"/>
      <c r="X400" s="347"/>
      <c r="Y400" s="347"/>
      <c r="Z400" s="347"/>
      <c r="AA400" s="604"/>
      <c r="AB400" s="347"/>
      <c r="AC400" s="590"/>
      <c r="AD400" s="347"/>
      <c r="AE400" s="347"/>
      <c r="AF400" s="347"/>
      <c r="AG400" s="347"/>
      <c r="AH400" s="347"/>
      <c r="AI400" s="347"/>
      <c r="AJ400" s="347"/>
      <c r="AK400" s="347"/>
      <c r="AL400" s="347"/>
      <c r="AM400" s="347"/>
      <c r="AN400" s="347"/>
      <c r="AO400" s="347"/>
      <c r="AP400" s="347"/>
      <c r="AQ400" s="347"/>
      <c r="AR400" s="347"/>
      <c r="AS400" s="347"/>
      <c r="AT400" s="347"/>
      <c r="AU400" s="347"/>
      <c r="AV400" s="347"/>
      <c r="AW400" s="347"/>
      <c r="AX400" s="347"/>
      <c r="AY400" s="347"/>
      <c r="AZ400" s="347"/>
      <c r="BA400" s="347"/>
      <c r="BB400" s="347"/>
      <c r="BC400" s="347"/>
      <c r="BD400" s="347"/>
      <c r="BE400" s="347"/>
      <c r="BF400" s="347"/>
      <c r="BG400" s="347"/>
      <c r="BH400" s="347"/>
    </row>
    <row r="401">
      <c r="A401" s="347"/>
      <c r="B401" s="347"/>
      <c r="C401" s="347"/>
      <c r="D401" s="347"/>
      <c r="E401" s="347"/>
      <c r="F401" s="347"/>
      <c r="G401" s="347"/>
      <c r="H401" s="347"/>
      <c r="I401" s="347"/>
      <c r="J401" s="347"/>
      <c r="K401" s="348"/>
      <c r="L401" s="348"/>
      <c r="M401" s="348"/>
      <c r="N401" s="348"/>
      <c r="O401" s="348"/>
      <c r="P401" s="347"/>
      <c r="Q401" s="347"/>
      <c r="R401" s="347"/>
      <c r="S401" s="347"/>
      <c r="T401" s="347"/>
      <c r="U401" s="347"/>
      <c r="V401" s="347"/>
      <c r="W401" s="347"/>
      <c r="X401" s="347"/>
      <c r="Y401" s="347"/>
      <c r="Z401" s="347"/>
      <c r="AA401" s="604"/>
      <c r="AB401" s="347"/>
      <c r="AC401" s="590"/>
      <c r="AD401" s="347"/>
      <c r="AE401" s="347"/>
      <c r="AF401" s="347"/>
      <c r="AG401" s="347"/>
      <c r="AH401" s="347"/>
      <c r="AI401" s="347"/>
      <c r="AJ401" s="347"/>
      <c r="AK401" s="347"/>
      <c r="AL401" s="347"/>
      <c r="AM401" s="347"/>
      <c r="AN401" s="347"/>
      <c r="AO401" s="347"/>
      <c r="AP401" s="347"/>
      <c r="AQ401" s="347"/>
      <c r="AR401" s="347"/>
      <c r="AS401" s="347"/>
      <c r="AT401" s="347"/>
      <c r="AU401" s="347"/>
      <c r="AV401" s="347"/>
      <c r="AW401" s="347"/>
      <c r="AX401" s="347"/>
      <c r="AY401" s="347"/>
      <c r="AZ401" s="347"/>
      <c r="BA401" s="347"/>
      <c r="BB401" s="347"/>
      <c r="BC401" s="347"/>
      <c r="BD401" s="347"/>
      <c r="BE401" s="347"/>
      <c r="BF401" s="347"/>
      <c r="BG401" s="347"/>
      <c r="BH401" s="347"/>
    </row>
    <row r="402">
      <c r="A402" s="347"/>
      <c r="B402" s="347"/>
      <c r="C402" s="347"/>
      <c r="D402" s="347"/>
      <c r="E402" s="347"/>
      <c r="F402" s="347"/>
      <c r="G402" s="347"/>
      <c r="H402" s="347"/>
      <c r="I402" s="347"/>
      <c r="J402" s="347"/>
      <c r="K402" s="348"/>
      <c r="L402" s="348"/>
      <c r="M402" s="348"/>
      <c r="N402" s="348"/>
      <c r="O402" s="348"/>
      <c r="P402" s="347"/>
      <c r="Q402" s="347"/>
      <c r="R402" s="347"/>
      <c r="S402" s="347"/>
      <c r="T402" s="347"/>
      <c r="U402" s="347"/>
      <c r="V402" s="347"/>
      <c r="W402" s="347"/>
      <c r="X402" s="347"/>
      <c r="Y402" s="347"/>
      <c r="Z402" s="347"/>
      <c r="AA402" s="604"/>
      <c r="AB402" s="347"/>
      <c r="AC402" s="590"/>
      <c r="AD402" s="347"/>
      <c r="AE402" s="347"/>
      <c r="AF402" s="347"/>
      <c r="AG402" s="347"/>
      <c r="AH402" s="347"/>
      <c r="AI402" s="347"/>
      <c r="AJ402" s="347"/>
      <c r="AK402" s="347"/>
      <c r="AL402" s="347"/>
      <c r="AM402" s="347"/>
      <c r="AN402" s="347"/>
      <c r="AO402" s="347"/>
      <c r="AP402" s="347"/>
      <c r="AQ402" s="347"/>
      <c r="AR402" s="347"/>
      <c r="AS402" s="347"/>
      <c r="AT402" s="347"/>
      <c r="AU402" s="347"/>
      <c r="AV402" s="347"/>
      <c r="AW402" s="347"/>
      <c r="AX402" s="347"/>
      <c r="AY402" s="347"/>
      <c r="AZ402" s="347"/>
      <c r="BA402" s="347"/>
      <c r="BB402" s="347"/>
      <c r="BC402" s="347"/>
      <c r="BD402" s="347"/>
      <c r="BE402" s="347"/>
      <c r="BF402" s="347"/>
      <c r="BG402" s="347"/>
      <c r="BH402" s="347"/>
    </row>
    <row r="403">
      <c r="A403" s="347"/>
      <c r="B403" s="347"/>
      <c r="C403" s="347"/>
      <c r="D403" s="347"/>
      <c r="E403" s="347"/>
      <c r="F403" s="347"/>
      <c r="G403" s="347"/>
      <c r="H403" s="347"/>
      <c r="I403" s="347"/>
      <c r="J403" s="347"/>
      <c r="K403" s="348"/>
      <c r="L403" s="348"/>
      <c r="M403" s="348"/>
      <c r="N403" s="348"/>
      <c r="O403" s="348"/>
      <c r="P403" s="347"/>
      <c r="Q403" s="347"/>
      <c r="R403" s="347"/>
      <c r="S403" s="347"/>
      <c r="T403" s="347"/>
      <c r="U403" s="347"/>
      <c r="V403" s="347"/>
      <c r="W403" s="347"/>
      <c r="X403" s="347"/>
      <c r="Y403" s="347"/>
      <c r="Z403" s="347"/>
      <c r="AA403" s="604"/>
      <c r="AB403" s="347"/>
      <c r="AC403" s="590"/>
      <c r="AD403" s="347"/>
      <c r="AE403" s="347"/>
      <c r="AF403" s="347"/>
      <c r="AG403" s="347"/>
      <c r="AH403" s="347"/>
      <c r="AI403" s="347"/>
      <c r="AJ403" s="347"/>
      <c r="AK403" s="347"/>
      <c r="AL403" s="347"/>
      <c r="AM403" s="347"/>
      <c r="AN403" s="347"/>
      <c r="AO403" s="347"/>
      <c r="AP403" s="347"/>
      <c r="AQ403" s="347"/>
      <c r="AR403" s="347"/>
      <c r="AS403" s="347"/>
      <c r="AT403" s="347"/>
      <c r="AU403" s="347"/>
      <c r="AV403" s="347"/>
      <c r="AW403" s="347"/>
      <c r="AX403" s="347"/>
      <c r="AY403" s="347"/>
      <c r="AZ403" s="347"/>
      <c r="BA403" s="347"/>
      <c r="BB403" s="347"/>
      <c r="BC403" s="347"/>
      <c r="BD403" s="347"/>
      <c r="BE403" s="347"/>
      <c r="BF403" s="347"/>
      <c r="BG403" s="347"/>
      <c r="BH403" s="347"/>
    </row>
    <row r="404">
      <c r="A404" s="347"/>
      <c r="B404" s="347"/>
      <c r="C404" s="347"/>
      <c r="D404" s="347"/>
      <c r="E404" s="347"/>
      <c r="F404" s="347"/>
      <c r="G404" s="347"/>
      <c r="H404" s="347"/>
      <c r="I404" s="347"/>
      <c r="J404" s="347"/>
      <c r="K404" s="348"/>
      <c r="L404" s="348"/>
      <c r="M404" s="348"/>
      <c r="N404" s="348"/>
      <c r="O404" s="348"/>
      <c r="P404" s="347"/>
      <c r="Q404" s="347"/>
      <c r="R404" s="347"/>
      <c r="S404" s="347"/>
      <c r="T404" s="347"/>
      <c r="U404" s="347"/>
      <c r="V404" s="347"/>
      <c r="W404" s="347"/>
      <c r="X404" s="347"/>
      <c r="Y404" s="347"/>
      <c r="Z404" s="347"/>
      <c r="AA404" s="604"/>
      <c r="AB404" s="347"/>
      <c r="AC404" s="590"/>
      <c r="AD404" s="347"/>
      <c r="AE404" s="347"/>
      <c r="AF404" s="347"/>
      <c r="AG404" s="347"/>
      <c r="AH404" s="347"/>
      <c r="AI404" s="347"/>
      <c r="AJ404" s="347"/>
      <c r="AK404" s="347"/>
      <c r="AL404" s="347"/>
      <c r="AM404" s="347"/>
      <c r="AN404" s="347"/>
      <c r="AO404" s="347"/>
      <c r="AP404" s="347"/>
      <c r="AQ404" s="347"/>
      <c r="AR404" s="347"/>
      <c r="AS404" s="347"/>
      <c r="AT404" s="347"/>
      <c r="AU404" s="347"/>
      <c r="AV404" s="347"/>
      <c r="AW404" s="347"/>
      <c r="AX404" s="347"/>
      <c r="AY404" s="347"/>
      <c r="AZ404" s="347"/>
      <c r="BA404" s="347"/>
      <c r="BB404" s="347"/>
      <c r="BC404" s="347"/>
      <c r="BD404" s="347"/>
      <c r="BE404" s="347"/>
      <c r="BF404" s="347"/>
      <c r="BG404" s="347"/>
      <c r="BH404" s="347"/>
    </row>
    <row r="405">
      <c r="A405" s="347"/>
      <c r="B405" s="347"/>
      <c r="C405" s="347"/>
      <c r="D405" s="347"/>
      <c r="E405" s="347"/>
      <c r="F405" s="347"/>
      <c r="G405" s="347"/>
      <c r="H405" s="347"/>
      <c r="I405" s="347"/>
      <c r="J405" s="347"/>
      <c r="K405" s="348"/>
      <c r="L405" s="348"/>
      <c r="M405" s="348"/>
      <c r="N405" s="348"/>
      <c r="O405" s="348"/>
      <c r="P405" s="347"/>
      <c r="Q405" s="347"/>
      <c r="R405" s="347"/>
      <c r="S405" s="347"/>
      <c r="T405" s="347"/>
      <c r="U405" s="347"/>
      <c r="V405" s="347"/>
      <c r="W405" s="347"/>
      <c r="X405" s="347"/>
      <c r="Y405" s="347"/>
      <c r="Z405" s="347"/>
      <c r="AA405" s="604"/>
      <c r="AB405" s="347"/>
      <c r="AC405" s="590"/>
      <c r="AD405" s="347"/>
      <c r="AE405" s="347"/>
      <c r="AF405" s="347"/>
      <c r="AG405" s="347"/>
      <c r="AH405" s="347"/>
      <c r="AI405" s="347"/>
      <c r="AJ405" s="347"/>
      <c r="AK405" s="347"/>
      <c r="AL405" s="347"/>
      <c r="AM405" s="347"/>
      <c r="AN405" s="347"/>
      <c r="AO405" s="347"/>
      <c r="AP405" s="347"/>
      <c r="AQ405" s="347"/>
      <c r="AR405" s="347"/>
      <c r="AS405" s="347"/>
      <c r="AT405" s="347"/>
      <c r="AU405" s="347"/>
      <c r="AV405" s="347"/>
      <c r="AW405" s="347"/>
      <c r="AX405" s="347"/>
      <c r="AY405" s="347"/>
      <c r="AZ405" s="347"/>
      <c r="BA405" s="347"/>
      <c r="BB405" s="347"/>
      <c r="BC405" s="347"/>
      <c r="BD405" s="347"/>
      <c r="BE405" s="347"/>
      <c r="BF405" s="347"/>
      <c r="BG405" s="347"/>
      <c r="BH405" s="347"/>
    </row>
    <row r="406">
      <c r="A406" s="347"/>
      <c r="B406" s="347"/>
      <c r="C406" s="347"/>
      <c r="D406" s="347"/>
      <c r="E406" s="347"/>
      <c r="F406" s="347"/>
      <c r="G406" s="347"/>
      <c r="H406" s="347"/>
      <c r="I406" s="347"/>
      <c r="J406" s="347"/>
      <c r="K406" s="348"/>
      <c r="L406" s="348"/>
      <c r="M406" s="348"/>
      <c r="N406" s="348"/>
      <c r="O406" s="348"/>
      <c r="P406" s="347"/>
      <c r="Q406" s="347"/>
      <c r="R406" s="347"/>
      <c r="S406" s="347"/>
      <c r="T406" s="347"/>
      <c r="U406" s="347"/>
      <c r="V406" s="347"/>
      <c r="W406" s="347"/>
      <c r="X406" s="347"/>
      <c r="Y406" s="347"/>
      <c r="Z406" s="347"/>
      <c r="AA406" s="604"/>
      <c r="AB406" s="347"/>
      <c r="AC406" s="590"/>
      <c r="AD406" s="347"/>
      <c r="AE406" s="347"/>
      <c r="AF406" s="347"/>
      <c r="AG406" s="347"/>
      <c r="AH406" s="347"/>
      <c r="AI406" s="347"/>
      <c r="AJ406" s="347"/>
      <c r="AK406" s="347"/>
      <c r="AL406" s="347"/>
      <c r="AM406" s="347"/>
      <c r="AN406" s="347"/>
      <c r="AO406" s="347"/>
      <c r="AP406" s="347"/>
      <c r="AQ406" s="347"/>
      <c r="AR406" s="347"/>
      <c r="AS406" s="347"/>
      <c r="AT406" s="347"/>
      <c r="AU406" s="347"/>
      <c r="AV406" s="347"/>
      <c r="AW406" s="347"/>
      <c r="AX406" s="347"/>
      <c r="AY406" s="347"/>
      <c r="AZ406" s="347"/>
      <c r="BA406" s="347"/>
      <c r="BB406" s="347"/>
      <c r="BC406" s="347"/>
      <c r="BD406" s="347"/>
      <c r="BE406" s="347"/>
      <c r="BF406" s="347"/>
      <c r="BG406" s="347"/>
      <c r="BH406" s="347"/>
    </row>
    <row r="407">
      <c r="A407" s="347"/>
      <c r="B407" s="347"/>
      <c r="C407" s="347"/>
      <c r="D407" s="347"/>
      <c r="E407" s="347"/>
      <c r="F407" s="347"/>
      <c r="G407" s="347"/>
      <c r="H407" s="347"/>
      <c r="I407" s="347"/>
      <c r="J407" s="347"/>
      <c r="K407" s="348"/>
      <c r="L407" s="348"/>
      <c r="M407" s="348"/>
      <c r="N407" s="348"/>
      <c r="O407" s="348"/>
      <c r="P407" s="347"/>
      <c r="Q407" s="347"/>
      <c r="R407" s="347"/>
      <c r="S407" s="347"/>
      <c r="T407" s="347"/>
      <c r="U407" s="347"/>
      <c r="V407" s="347"/>
      <c r="W407" s="347"/>
      <c r="X407" s="347"/>
      <c r="Y407" s="347"/>
      <c r="Z407" s="347"/>
      <c r="AA407" s="604"/>
      <c r="AB407" s="347"/>
      <c r="AC407" s="590"/>
      <c r="AD407" s="347"/>
      <c r="AE407" s="347"/>
      <c r="AF407" s="347"/>
      <c r="AG407" s="347"/>
      <c r="AH407" s="347"/>
      <c r="AI407" s="347"/>
      <c r="AJ407" s="347"/>
      <c r="AK407" s="347"/>
      <c r="AL407" s="347"/>
      <c r="AM407" s="347"/>
      <c r="AN407" s="347"/>
      <c r="AO407" s="347"/>
      <c r="AP407" s="347"/>
      <c r="AQ407" s="347"/>
      <c r="AR407" s="347"/>
      <c r="AS407" s="347"/>
      <c r="AT407" s="347"/>
      <c r="AU407" s="347"/>
      <c r="AV407" s="347"/>
      <c r="AW407" s="347"/>
      <c r="AX407" s="347"/>
      <c r="AY407" s="347"/>
      <c r="AZ407" s="347"/>
      <c r="BA407" s="347"/>
      <c r="BB407" s="347"/>
      <c r="BC407" s="347"/>
      <c r="BD407" s="347"/>
      <c r="BE407" s="347"/>
      <c r="BF407" s="347"/>
      <c r="BG407" s="347"/>
      <c r="BH407" s="347"/>
    </row>
    <row r="408">
      <c r="A408" s="347"/>
      <c r="B408" s="347"/>
      <c r="C408" s="347"/>
      <c r="D408" s="347"/>
      <c r="E408" s="347"/>
      <c r="F408" s="347"/>
      <c r="G408" s="347"/>
      <c r="H408" s="347"/>
      <c r="I408" s="347"/>
      <c r="J408" s="347"/>
      <c r="K408" s="348"/>
      <c r="L408" s="348"/>
      <c r="M408" s="348"/>
      <c r="N408" s="348"/>
      <c r="O408" s="348"/>
      <c r="P408" s="347"/>
      <c r="Q408" s="347"/>
      <c r="R408" s="347"/>
      <c r="S408" s="347"/>
      <c r="T408" s="347"/>
      <c r="U408" s="347"/>
      <c r="V408" s="347"/>
      <c r="W408" s="347"/>
      <c r="X408" s="347"/>
      <c r="Y408" s="347"/>
      <c r="Z408" s="347"/>
      <c r="AA408" s="604"/>
      <c r="AB408" s="347"/>
      <c r="AC408" s="590"/>
      <c r="AD408" s="347"/>
      <c r="AE408" s="347"/>
      <c r="AF408" s="347"/>
      <c r="AG408" s="347"/>
      <c r="AH408" s="347"/>
      <c r="AI408" s="347"/>
      <c r="AJ408" s="347"/>
      <c r="AK408" s="347"/>
      <c r="AL408" s="347"/>
      <c r="AM408" s="347"/>
      <c r="AN408" s="347"/>
      <c r="AO408" s="347"/>
      <c r="AP408" s="347"/>
      <c r="AQ408" s="347"/>
      <c r="AR408" s="347"/>
      <c r="AS408" s="347"/>
      <c r="AT408" s="347"/>
      <c r="AU408" s="347"/>
      <c r="AV408" s="347"/>
      <c r="AW408" s="347"/>
      <c r="AX408" s="347"/>
      <c r="AY408" s="347"/>
      <c r="AZ408" s="347"/>
      <c r="BA408" s="347"/>
      <c r="BB408" s="347"/>
      <c r="BC408" s="347"/>
      <c r="BD408" s="347"/>
      <c r="BE408" s="347"/>
      <c r="BF408" s="347"/>
      <c r="BG408" s="347"/>
      <c r="BH408" s="347"/>
    </row>
    <row r="409">
      <c r="A409" s="347"/>
      <c r="B409" s="347"/>
      <c r="C409" s="347"/>
      <c r="D409" s="347"/>
      <c r="E409" s="347"/>
      <c r="F409" s="347"/>
      <c r="G409" s="347"/>
      <c r="H409" s="347"/>
      <c r="I409" s="347"/>
      <c r="J409" s="347"/>
      <c r="K409" s="348"/>
      <c r="L409" s="348"/>
      <c r="M409" s="348"/>
      <c r="N409" s="348"/>
      <c r="O409" s="348"/>
      <c r="P409" s="347"/>
      <c r="Q409" s="347"/>
      <c r="R409" s="347"/>
      <c r="S409" s="347"/>
      <c r="T409" s="347"/>
      <c r="U409" s="347"/>
      <c r="V409" s="347"/>
      <c r="W409" s="347"/>
      <c r="X409" s="347"/>
      <c r="Y409" s="347"/>
      <c r="Z409" s="347"/>
      <c r="AA409" s="604"/>
      <c r="AB409" s="347"/>
      <c r="AC409" s="590"/>
      <c r="AD409" s="347"/>
      <c r="AE409" s="347"/>
      <c r="AF409" s="347"/>
      <c r="AG409" s="347"/>
      <c r="AH409" s="347"/>
      <c r="AI409" s="347"/>
      <c r="AJ409" s="347"/>
      <c r="AK409" s="347"/>
      <c r="AL409" s="347"/>
      <c r="AM409" s="347"/>
      <c r="AN409" s="347"/>
      <c r="AO409" s="347"/>
      <c r="AP409" s="347"/>
      <c r="AQ409" s="347"/>
      <c r="AR409" s="347"/>
      <c r="AS409" s="347"/>
      <c r="AT409" s="347"/>
      <c r="AU409" s="347"/>
      <c r="AV409" s="347"/>
      <c r="AW409" s="347"/>
      <c r="AX409" s="347"/>
      <c r="AY409" s="347"/>
      <c r="AZ409" s="347"/>
      <c r="BA409" s="347"/>
      <c r="BB409" s="347"/>
      <c r="BC409" s="347"/>
      <c r="BD409" s="347"/>
      <c r="BE409" s="347"/>
      <c r="BF409" s="347"/>
      <c r="BG409" s="347"/>
      <c r="BH409" s="347"/>
    </row>
    <row r="410">
      <c r="A410" s="347"/>
      <c r="B410" s="347"/>
      <c r="C410" s="347"/>
      <c r="D410" s="347"/>
      <c r="E410" s="347"/>
      <c r="F410" s="347"/>
      <c r="G410" s="347"/>
      <c r="H410" s="347"/>
      <c r="I410" s="347"/>
      <c r="J410" s="347"/>
      <c r="K410" s="348"/>
      <c r="L410" s="348"/>
      <c r="M410" s="348"/>
      <c r="N410" s="348"/>
      <c r="O410" s="348"/>
      <c r="P410" s="347"/>
      <c r="Q410" s="347"/>
      <c r="R410" s="347"/>
      <c r="S410" s="347"/>
      <c r="T410" s="347"/>
      <c r="U410" s="347"/>
      <c r="V410" s="347"/>
      <c r="W410" s="347"/>
      <c r="X410" s="347"/>
      <c r="Y410" s="347"/>
      <c r="Z410" s="347"/>
      <c r="AA410" s="604"/>
      <c r="AB410" s="347"/>
      <c r="AC410" s="590"/>
      <c r="AD410" s="347"/>
      <c r="AE410" s="347"/>
      <c r="AF410" s="347"/>
      <c r="AG410" s="347"/>
      <c r="AH410" s="347"/>
      <c r="AI410" s="347"/>
      <c r="AJ410" s="347"/>
      <c r="AK410" s="347"/>
      <c r="AL410" s="347"/>
      <c r="AM410" s="347"/>
      <c r="AN410" s="347"/>
      <c r="AO410" s="347"/>
      <c r="AP410" s="347"/>
      <c r="AQ410" s="347"/>
      <c r="AR410" s="347"/>
      <c r="AS410" s="347"/>
      <c r="AT410" s="347"/>
      <c r="AU410" s="347"/>
      <c r="AV410" s="347"/>
      <c r="AW410" s="347"/>
      <c r="AX410" s="347"/>
      <c r="AY410" s="347"/>
      <c r="AZ410" s="347"/>
      <c r="BA410" s="347"/>
      <c r="BB410" s="347"/>
      <c r="BC410" s="347"/>
      <c r="BD410" s="347"/>
      <c r="BE410" s="347"/>
      <c r="BF410" s="347"/>
      <c r="BG410" s="347"/>
      <c r="BH410" s="347"/>
    </row>
    <row r="411">
      <c r="A411" s="347"/>
      <c r="B411" s="347"/>
      <c r="C411" s="347"/>
      <c r="D411" s="347"/>
      <c r="E411" s="347"/>
      <c r="F411" s="347"/>
      <c r="G411" s="347"/>
      <c r="H411" s="347"/>
      <c r="I411" s="347"/>
      <c r="J411" s="347"/>
      <c r="K411" s="348"/>
      <c r="L411" s="348"/>
      <c r="M411" s="348"/>
      <c r="N411" s="348"/>
      <c r="O411" s="348"/>
      <c r="P411" s="347"/>
      <c r="Q411" s="347"/>
      <c r="R411" s="347"/>
      <c r="S411" s="347"/>
      <c r="T411" s="347"/>
      <c r="U411" s="347"/>
      <c r="V411" s="347"/>
      <c r="W411" s="347"/>
      <c r="X411" s="347"/>
      <c r="Y411" s="347"/>
      <c r="Z411" s="347"/>
      <c r="AA411" s="604"/>
      <c r="AB411" s="347"/>
      <c r="AC411" s="590"/>
      <c r="AD411" s="347"/>
      <c r="AE411" s="347"/>
      <c r="AF411" s="347"/>
      <c r="AG411" s="347"/>
      <c r="AH411" s="347"/>
      <c r="AI411" s="347"/>
      <c r="AJ411" s="347"/>
      <c r="AK411" s="347"/>
      <c r="AL411" s="347"/>
      <c r="AM411" s="347"/>
      <c r="AN411" s="347"/>
      <c r="AO411" s="347"/>
      <c r="AP411" s="347"/>
      <c r="AQ411" s="347"/>
      <c r="AR411" s="347"/>
      <c r="AS411" s="347"/>
      <c r="AT411" s="347"/>
      <c r="AU411" s="347"/>
      <c r="AV411" s="347"/>
      <c r="AW411" s="347"/>
      <c r="AX411" s="347"/>
      <c r="AY411" s="347"/>
      <c r="AZ411" s="347"/>
      <c r="BA411" s="347"/>
      <c r="BB411" s="347"/>
      <c r="BC411" s="347"/>
      <c r="BD411" s="347"/>
      <c r="BE411" s="347"/>
      <c r="BF411" s="347"/>
      <c r="BG411" s="347"/>
      <c r="BH411" s="347"/>
    </row>
    <row r="412">
      <c r="A412" s="347"/>
      <c r="B412" s="347"/>
      <c r="C412" s="347"/>
      <c r="D412" s="347"/>
      <c r="E412" s="347"/>
      <c r="F412" s="347"/>
      <c r="G412" s="347"/>
      <c r="H412" s="347"/>
      <c r="I412" s="347"/>
      <c r="J412" s="347"/>
      <c r="K412" s="348"/>
      <c r="L412" s="348"/>
      <c r="M412" s="348"/>
      <c r="N412" s="348"/>
      <c r="O412" s="348"/>
      <c r="P412" s="347"/>
      <c r="Q412" s="347"/>
      <c r="R412" s="347"/>
      <c r="S412" s="347"/>
      <c r="T412" s="347"/>
      <c r="U412" s="347"/>
      <c r="V412" s="347"/>
      <c r="W412" s="347"/>
      <c r="X412" s="347"/>
      <c r="Y412" s="347"/>
      <c r="Z412" s="347"/>
      <c r="AA412" s="604"/>
      <c r="AB412" s="347"/>
      <c r="AC412" s="590"/>
      <c r="AD412" s="347"/>
      <c r="AE412" s="347"/>
      <c r="AF412" s="347"/>
      <c r="AG412" s="347"/>
      <c r="AH412" s="347"/>
      <c r="AI412" s="347"/>
      <c r="AJ412" s="347"/>
      <c r="AK412" s="347"/>
      <c r="AL412" s="347"/>
      <c r="AM412" s="347"/>
      <c r="AN412" s="347"/>
      <c r="AO412" s="347"/>
      <c r="AP412" s="347"/>
      <c r="AQ412" s="347"/>
      <c r="AR412" s="347"/>
      <c r="AS412" s="347"/>
      <c r="AT412" s="347"/>
      <c r="AU412" s="347"/>
      <c r="AV412" s="347"/>
      <c r="AW412" s="347"/>
      <c r="AX412" s="347"/>
      <c r="AY412" s="347"/>
      <c r="AZ412" s="347"/>
      <c r="BA412" s="347"/>
      <c r="BB412" s="347"/>
      <c r="BC412" s="347"/>
      <c r="BD412" s="347"/>
      <c r="BE412" s="347"/>
      <c r="BF412" s="347"/>
      <c r="BG412" s="347"/>
      <c r="BH412" s="347"/>
    </row>
    <row r="413">
      <c r="A413" s="347"/>
      <c r="B413" s="347"/>
      <c r="C413" s="347"/>
      <c r="D413" s="347"/>
      <c r="E413" s="347"/>
      <c r="F413" s="347"/>
      <c r="G413" s="347"/>
      <c r="H413" s="347"/>
      <c r="I413" s="347"/>
      <c r="J413" s="347"/>
      <c r="K413" s="348"/>
      <c r="L413" s="348"/>
      <c r="M413" s="348"/>
      <c r="N413" s="348"/>
      <c r="O413" s="348"/>
      <c r="P413" s="347"/>
      <c r="Q413" s="347"/>
      <c r="R413" s="347"/>
      <c r="S413" s="347"/>
      <c r="T413" s="347"/>
      <c r="U413" s="347"/>
      <c r="V413" s="347"/>
      <c r="W413" s="347"/>
      <c r="X413" s="347"/>
      <c r="Y413" s="347"/>
      <c r="Z413" s="347"/>
      <c r="AA413" s="604"/>
      <c r="AB413" s="347"/>
      <c r="AC413" s="590"/>
      <c r="AD413" s="347"/>
      <c r="AE413" s="347"/>
      <c r="AF413" s="347"/>
      <c r="AG413" s="347"/>
      <c r="AH413" s="347"/>
      <c r="AI413" s="347"/>
      <c r="AJ413" s="347"/>
      <c r="AK413" s="347"/>
      <c r="AL413" s="347"/>
      <c r="AM413" s="347"/>
      <c r="AN413" s="347"/>
      <c r="AO413" s="347"/>
      <c r="AP413" s="347"/>
      <c r="AQ413" s="347"/>
      <c r="AR413" s="347"/>
      <c r="AS413" s="347"/>
      <c r="AT413" s="347"/>
      <c r="AU413" s="347"/>
      <c r="AV413" s="347"/>
      <c r="AW413" s="347"/>
      <c r="AX413" s="347"/>
      <c r="AY413" s="347"/>
      <c r="AZ413" s="347"/>
      <c r="BA413" s="347"/>
      <c r="BB413" s="347"/>
      <c r="BC413" s="347"/>
      <c r="BD413" s="347"/>
      <c r="BE413" s="347"/>
      <c r="BF413" s="347"/>
      <c r="BG413" s="347"/>
      <c r="BH413" s="347"/>
    </row>
    <row r="414">
      <c r="A414" s="347"/>
      <c r="B414" s="347"/>
      <c r="C414" s="347"/>
      <c r="D414" s="347"/>
      <c r="E414" s="347"/>
      <c r="F414" s="347"/>
      <c r="G414" s="347"/>
      <c r="H414" s="347"/>
      <c r="I414" s="347"/>
      <c r="J414" s="347"/>
      <c r="K414" s="348"/>
      <c r="L414" s="348"/>
      <c r="M414" s="348"/>
      <c r="N414" s="348"/>
      <c r="O414" s="348"/>
      <c r="P414" s="347"/>
      <c r="Q414" s="347"/>
      <c r="R414" s="347"/>
      <c r="S414" s="347"/>
      <c r="T414" s="347"/>
      <c r="U414" s="347"/>
      <c r="V414" s="347"/>
      <c r="W414" s="347"/>
      <c r="X414" s="347"/>
      <c r="Y414" s="347"/>
      <c r="Z414" s="347"/>
      <c r="AA414" s="604"/>
      <c r="AB414" s="347"/>
      <c r="AC414" s="590"/>
      <c r="AD414" s="347"/>
      <c r="AE414" s="347"/>
      <c r="AF414" s="347"/>
      <c r="AG414" s="347"/>
      <c r="AH414" s="347"/>
      <c r="AI414" s="347"/>
      <c r="AJ414" s="347"/>
      <c r="AK414" s="347"/>
      <c r="AL414" s="347"/>
      <c r="AM414" s="347"/>
      <c r="AN414" s="347"/>
      <c r="AO414" s="347"/>
      <c r="AP414" s="347"/>
      <c r="AQ414" s="347"/>
      <c r="AR414" s="347"/>
      <c r="AS414" s="347"/>
      <c r="AT414" s="347"/>
      <c r="AU414" s="347"/>
      <c r="AV414" s="347"/>
      <c r="AW414" s="347"/>
      <c r="AX414" s="347"/>
      <c r="AY414" s="347"/>
      <c r="AZ414" s="347"/>
      <c r="BA414" s="347"/>
      <c r="BB414" s="347"/>
      <c r="BC414" s="347"/>
      <c r="BD414" s="347"/>
      <c r="BE414" s="347"/>
      <c r="BF414" s="347"/>
      <c r="BG414" s="347"/>
      <c r="BH414" s="347"/>
    </row>
    <row r="415">
      <c r="A415" s="347"/>
      <c r="B415" s="347"/>
      <c r="C415" s="347"/>
      <c r="D415" s="347"/>
      <c r="E415" s="347"/>
      <c r="F415" s="347"/>
      <c r="G415" s="347"/>
      <c r="H415" s="347"/>
      <c r="I415" s="347"/>
      <c r="J415" s="347"/>
      <c r="K415" s="348"/>
      <c r="L415" s="348"/>
      <c r="M415" s="348"/>
      <c r="N415" s="348"/>
      <c r="O415" s="348"/>
      <c r="P415" s="347"/>
      <c r="Q415" s="347"/>
      <c r="R415" s="347"/>
      <c r="S415" s="347"/>
      <c r="T415" s="347"/>
      <c r="U415" s="347"/>
      <c r="V415" s="347"/>
      <c r="W415" s="347"/>
      <c r="X415" s="347"/>
      <c r="Y415" s="347"/>
      <c r="Z415" s="347"/>
      <c r="AA415" s="604"/>
      <c r="AB415" s="347"/>
      <c r="AC415" s="590"/>
      <c r="AD415" s="347"/>
      <c r="AE415" s="347"/>
      <c r="AF415" s="347"/>
      <c r="AG415" s="347"/>
      <c r="AH415" s="347"/>
      <c r="AI415" s="347"/>
      <c r="AJ415" s="347"/>
      <c r="AK415" s="347"/>
      <c r="AL415" s="347"/>
      <c r="AM415" s="347"/>
      <c r="AN415" s="347"/>
      <c r="AO415" s="347"/>
      <c r="AP415" s="347"/>
      <c r="AQ415" s="347"/>
      <c r="AR415" s="347"/>
      <c r="AS415" s="347"/>
      <c r="AT415" s="347"/>
      <c r="AU415" s="347"/>
      <c r="AV415" s="347"/>
      <c r="AW415" s="347"/>
      <c r="AX415" s="347"/>
      <c r="AY415" s="347"/>
      <c r="AZ415" s="347"/>
      <c r="BA415" s="347"/>
      <c r="BB415" s="347"/>
      <c r="BC415" s="347"/>
      <c r="BD415" s="347"/>
      <c r="BE415" s="347"/>
      <c r="BF415" s="347"/>
      <c r="BG415" s="347"/>
      <c r="BH415" s="347"/>
    </row>
    <row r="416">
      <c r="A416" s="347"/>
      <c r="B416" s="347"/>
      <c r="C416" s="347"/>
      <c r="D416" s="347"/>
      <c r="E416" s="347"/>
      <c r="F416" s="347"/>
      <c r="G416" s="347"/>
      <c r="H416" s="347"/>
      <c r="I416" s="347"/>
      <c r="J416" s="347"/>
      <c r="K416" s="348"/>
      <c r="L416" s="348"/>
      <c r="M416" s="348"/>
      <c r="N416" s="348"/>
      <c r="O416" s="348"/>
      <c r="P416" s="347"/>
      <c r="Q416" s="347"/>
      <c r="R416" s="347"/>
      <c r="S416" s="347"/>
      <c r="T416" s="347"/>
      <c r="U416" s="347"/>
      <c r="V416" s="347"/>
      <c r="W416" s="347"/>
      <c r="X416" s="347"/>
      <c r="Y416" s="347"/>
      <c r="Z416" s="347"/>
      <c r="AA416" s="604"/>
      <c r="AB416" s="347"/>
      <c r="AC416" s="590"/>
      <c r="AD416" s="347"/>
      <c r="AE416" s="347"/>
      <c r="AF416" s="347"/>
      <c r="AG416" s="347"/>
      <c r="AH416" s="347"/>
      <c r="AI416" s="347"/>
      <c r="AJ416" s="347"/>
      <c r="AK416" s="347"/>
      <c r="AL416" s="347"/>
      <c r="AM416" s="347"/>
      <c r="AN416" s="347"/>
      <c r="AO416" s="347"/>
      <c r="AP416" s="347"/>
      <c r="AQ416" s="347"/>
      <c r="AR416" s="347"/>
      <c r="AS416" s="347"/>
      <c r="AT416" s="347"/>
      <c r="AU416" s="347"/>
      <c r="AV416" s="347"/>
      <c r="AW416" s="347"/>
      <c r="AX416" s="347"/>
      <c r="AY416" s="347"/>
      <c r="AZ416" s="347"/>
      <c r="BA416" s="347"/>
      <c r="BB416" s="347"/>
      <c r="BC416" s="347"/>
      <c r="BD416" s="347"/>
      <c r="BE416" s="347"/>
      <c r="BF416" s="347"/>
      <c r="BG416" s="347"/>
      <c r="BH416" s="347"/>
    </row>
    <row r="417">
      <c r="A417" s="347"/>
      <c r="B417" s="347"/>
      <c r="C417" s="347"/>
      <c r="D417" s="347"/>
      <c r="E417" s="347"/>
      <c r="F417" s="347"/>
      <c r="G417" s="347"/>
      <c r="H417" s="347"/>
      <c r="I417" s="347"/>
      <c r="J417" s="347"/>
      <c r="K417" s="348"/>
      <c r="L417" s="348"/>
      <c r="M417" s="348"/>
      <c r="N417" s="348"/>
      <c r="O417" s="348"/>
      <c r="P417" s="347"/>
      <c r="Q417" s="347"/>
      <c r="R417" s="347"/>
      <c r="S417" s="347"/>
      <c r="T417" s="347"/>
      <c r="U417" s="347"/>
      <c r="V417" s="347"/>
      <c r="W417" s="347"/>
      <c r="X417" s="347"/>
      <c r="Y417" s="347"/>
      <c r="Z417" s="347"/>
      <c r="AA417" s="604"/>
      <c r="AB417" s="347"/>
      <c r="AC417" s="590"/>
      <c r="AD417" s="347"/>
      <c r="AE417" s="347"/>
      <c r="AF417" s="347"/>
      <c r="AG417" s="347"/>
      <c r="AH417" s="347"/>
      <c r="AI417" s="347"/>
      <c r="AJ417" s="347"/>
      <c r="AK417" s="347"/>
      <c r="AL417" s="347"/>
      <c r="AM417" s="347"/>
      <c r="AN417" s="347"/>
      <c r="AO417" s="347"/>
      <c r="AP417" s="347"/>
      <c r="AQ417" s="347"/>
      <c r="AR417" s="347"/>
      <c r="AS417" s="347"/>
      <c r="AT417" s="347"/>
      <c r="AU417" s="347"/>
      <c r="AV417" s="347"/>
      <c r="AW417" s="347"/>
      <c r="AX417" s="347"/>
      <c r="AY417" s="347"/>
      <c r="AZ417" s="347"/>
      <c r="BA417" s="347"/>
      <c r="BB417" s="347"/>
      <c r="BC417" s="347"/>
      <c r="BD417" s="347"/>
      <c r="BE417" s="347"/>
      <c r="BF417" s="347"/>
      <c r="BG417" s="347"/>
      <c r="BH417" s="347"/>
    </row>
    <row r="418">
      <c r="A418" s="347"/>
      <c r="B418" s="347"/>
      <c r="C418" s="347"/>
      <c r="D418" s="347"/>
      <c r="E418" s="347"/>
      <c r="F418" s="347"/>
      <c r="G418" s="347"/>
      <c r="H418" s="347"/>
      <c r="I418" s="347"/>
      <c r="J418" s="347"/>
      <c r="K418" s="348"/>
      <c r="L418" s="348"/>
      <c r="M418" s="348"/>
      <c r="N418" s="348"/>
      <c r="O418" s="348"/>
      <c r="P418" s="347"/>
      <c r="Q418" s="347"/>
      <c r="R418" s="347"/>
      <c r="S418" s="347"/>
      <c r="T418" s="347"/>
      <c r="U418" s="347"/>
      <c r="V418" s="347"/>
      <c r="W418" s="347"/>
      <c r="X418" s="347"/>
      <c r="Y418" s="347"/>
      <c r="Z418" s="347"/>
      <c r="AA418" s="604"/>
      <c r="AB418" s="347"/>
      <c r="AC418" s="590"/>
      <c r="AD418" s="347"/>
      <c r="AE418" s="347"/>
      <c r="AF418" s="347"/>
      <c r="AG418" s="347"/>
      <c r="AH418" s="347"/>
      <c r="AI418" s="347"/>
      <c r="AJ418" s="347"/>
      <c r="AK418" s="347"/>
      <c r="AL418" s="347"/>
      <c r="AM418" s="347"/>
      <c r="AN418" s="347"/>
      <c r="AO418" s="347"/>
      <c r="AP418" s="347"/>
      <c r="AQ418" s="347"/>
      <c r="AR418" s="347"/>
      <c r="AS418" s="347"/>
      <c r="AT418" s="347"/>
      <c r="AU418" s="347"/>
      <c r="AV418" s="347"/>
      <c r="AW418" s="347"/>
      <c r="AX418" s="347"/>
      <c r="AY418" s="347"/>
      <c r="AZ418" s="347"/>
      <c r="BA418" s="347"/>
      <c r="BB418" s="347"/>
      <c r="BC418" s="347"/>
      <c r="BD418" s="347"/>
      <c r="BE418" s="347"/>
      <c r="BF418" s="347"/>
      <c r="BG418" s="347"/>
      <c r="BH418" s="347"/>
    </row>
    <row r="419">
      <c r="A419" s="347"/>
      <c r="B419" s="347"/>
      <c r="C419" s="347"/>
      <c r="D419" s="347"/>
      <c r="E419" s="347"/>
      <c r="F419" s="347"/>
      <c r="G419" s="347"/>
      <c r="H419" s="347"/>
      <c r="I419" s="347"/>
      <c r="J419" s="347"/>
      <c r="K419" s="348"/>
      <c r="L419" s="348"/>
      <c r="M419" s="348"/>
      <c r="N419" s="348"/>
      <c r="O419" s="348"/>
      <c r="P419" s="347"/>
      <c r="Q419" s="347"/>
      <c r="R419" s="347"/>
      <c r="S419" s="347"/>
      <c r="T419" s="347"/>
      <c r="U419" s="347"/>
      <c r="V419" s="347"/>
      <c r="W419" s="347"/>
      <c r="X419" s="347"/>
      <c r="Y419" s="347"/>
      <c r="Z419" s="347"/>
      <c r="AA419" s="604"/>
      <c r="AB419" s="347"/>
      <c r="AC419" s="590"/>
      <c r="AD419" s="347"/>
      <c r="AE419" s="347"/>
      <c r="AF419" s="347"/>
      <c r="AG419" s="347"/>
      <c r="AH419" s="347"/>
      <c r="AI419" s="347"/>
      <c r="AJ419" s="347"/>
      <c r="AK419" s="347"/>
      <c r="AL419" s="347"/>
      <c r="AM419" s="347"/>
      <c r="AN419" s="347"/>
      <c r="AO419" s="347"/>
      <c r="AP419" s="347"/>
      <c r="AQ419" s="347"/>
      <c r="AR419" s="347"/>
      <c r="AS419" s="347"/>
      <c r="AT419" s="347"/>
      <c r="AU419" s="347"/>
      <c r="AV419" s="347"/>
      <c r="AW419" s="347"/>
      <c r="AX419" s="347"/>
      <c r="AY419" s="347"/>
      <c r="AZ419" s="347"/>
      <c r="BA419" s="347"/>
      <c r="BB419" s="347"/>
      <c r="BC419" s="347"/>
      <c r="BD419" s="347"/>
      <c r="BE419" s="347"/>
      <c r="BF419" s="347"/>
      <c r="BG419" s="347"/>
      <c r="BH419" s="347"/>
    </row>
    <row r="420">
      <c r="A420" s="347"/>
      <c r="B420" s="347"/>
      <c r="C420" s="347"/>
      <c r="D420" s="347"/>
      <c r="E420" s="347"/>
      <c r="F420" s="347"/>
      <c r="G420" s="347"/>
      <c r="H420" s="347"/>
      <c r="I420" s="347"/>
      <c r="J420" s="347"/>
      <c r="K420" s="348"/>
      <c r="L420" s="348"/>
      <c r="M420" s="348"/>
      <c r="N420" s="348"/>
      <c r="O420" s="348"/>
      <c r="P420" s="347"/>
      <c r="Q420" s="347"/>
      <c r="R420" s="347"/>
      <c r="S420" s="347"/>
      <c r="T420" s="347"/>
      <c r="U420" s="347"/>
      <c r="V420" s="347"/>
      <c r="W420" s="347"/>
      <c r="X420" s="347"/>
      <c r="Y420" s="347"/>
      <c r="Z420" s="347"/>
      <c r="AA420" s="604"/>
      <c r="AB420" s="347"/>
      <c r="AC420" s="590"/>
      <c r="AD420" s="347"/>
      <c r="AE420" s="347"/>
      <c r="AF420" s="347"/>
      <c r="AG420" s="347"/>
      <c r="AH420" s="347"/>
      <c r="AI420" s="347"/>
      <c r="AJ420" s="347"/>
      <c r="AK420" s="347"/>
      <c r="AL420" s="347"/>
      <c r="AM420" s="347"/>
      <c r="AN420" s="347"/>
      <c r="AO420" s="347"/>
      <c r="AP420" s="347"/>
      <c r="AQ420" s="347"/>
      <c r="AR420" s="347"/>
      <c r="AS420" s="347"/>
      <c r="AT420" s="347"/>
      <c r="AU420" s="347"/>
      <c r="AV420" s="347"/>
      <c r="AW420" s="347"/>
      <c r="AX420" s="347"/>
      <c r="AY420" s="347"/>
      <c r="AZ420" s="347"/>
      <c r="BA420" s="347"/>
      <c r="BB420" s="347"/>
      <c r="BC420" s="347"/>
      <c r="BD420" s="347"/>
      <c r="BE420" s="347"/>
      <c r="BF420" s="347"/>
      <c r="BG420" s="347"/>
      <c r="BH420" s="347"/>
    </row>
    <row r="421">
      <c r="A421" s="347"/>
      <c r="B421" s="347"/>
      <c r="C421" s="347"/>
      <c r="D421" s="347"/>
      <c r="E421" s="347"/>
      <c r="F421" s="347"/>
      <c r="G421" s="347"/>
      <c r="H421" s="347"/>
      <c r="I421" s="347"/>
      <c r="J421" s="347"/>
      <c r="K421" s="348"/>
      <c r="L421" s="348"/>
      <c r="M421" s="348"/>
      <c r="N421" s="348"/>
      <c r="O421" s="348"/>
      <c r="P421" s="347"/>
      <c r="Q421" s="347"/>
      <c r="R421" s="347"/>
      <c r="S421" s="347"/>
      <c r="T421" s="347"/>
      <c r="U421" s="347"/>
      <c r="V421" s="347"/>
      <c r="W421" s="347"/>
      <c r="X421" s="347"/>
      <c r="Y421" s="347"/>
      <c r="Z421" s="347"/>
      <c r="AA421" s="604"/>
      <c r="AB421" s="347"/>
      <c r="AC421" s="590"/>
      <c r="AD421" s="347"/>
      <c r="AE421" s="347"/>
      <c r="AF421" s="347"/>
      <c r="AG421" s="347"/>
      <c r="AH421" s="347"/>
      <c r="AI421" s="347"/>
      <c r="AJ421" s="347"/>
      <c r="AK421" s="347"/>
      <c r="AL421" s="347"/>
      <c r="AM421" s="347"/>
      <c r="AN421" s="347"/>
      <c r="AO421" s="347"/>
      <c r="AP421" s="347"/>
      <c r="AQ421" s="347"/>
      <c r="AR421" s="347"/>
      <c r="AS421" s="347"/>
      <c r="AT421" s="347"/>
      <c r="AU421" s="347"/>
      <c r="AV421" s="347"/>
      <c r="AW421" s="347"/>
      <c r="AX421" s="347"/>
      <c r="AY421" s="347"/>
      <c r="AZ421" s="347"/>
      <c r="BA421" s="347"/>
      <c r="BB421" s="347"/>
      <c r="BC421" s="347"/>
      <c r="BD421" s="347"/>
      <c r="BE421" s="347"/>
      <c r="BF421" s="347"/>
      <c r="BG421" s="347"/>
      <c r="BH421" s="347"/>
    </row>
    <row r="422">
      <c r="A422" s="347"/>
      <c r="B422" s="347"/>
      <c r="C422" s="347"/>
      <c r="D422" s="347"/>
      <c r="E422" s="347"/>
      <c r="F422" s="347"/>
      <c r="G422" s="347"/>
      <c r="H422" s="347"/>
      <c r="I422" s="347"/>
      <c r="J422" s="347"/>
      <c r="K422" s="348"/>
      <c r="L422" s="348"/>
      <c r="M422" s="348"/>
      <c r="N422" s="348"/>
      <c r="O422" s="348"/>
      <c r="P422" s="347"/>
      <c r="Q422" s="347"/>
      <c r="R422" s="347"/>
      <c r="S422" s="347"/>
      <c r="T422" s="347"/>
      <c r="U422" s="347"/>
      <c r="V422" s="347"/>
      <c r="W422" s="347"/>
      <c r="X422" s="347"/>
      <c r="Y422" s="347"/>
      <c r="Z422" s="347"/>
      <c r="AA422" s="604"/>
      <c r="AB422" s="347"/>
      <c r="AC422" s="590"/>
      <c r="AD422" s="347"/>
      <c r="AE422" s="347"/>
      <c r="AF422" s="347"/>
      <c r="AG422" s="347"/>
      <c r="AH422" s="347"/>
      <c r="AI422" s="347"/>
      <c r="AJ422" s="347"/>
      <c r="AK422" s="347"/>
      <c r="AL422" s="347"/>
      <c r="AM422" s="347"/>
      <c r="AN422" s="347"/>
      <c r="AO422" s="347"/>
      <c r="AP422" s="347"/>
      <c r="AQ422" s="347"/>
      <c r="AR422" s="347"/>
      <c r="AS422" s="347"/>
      <c r="AT422" s="347"/>
      <c r="AU422" s="347"/>
      <c r="AV422" s="347"/>
      <c r="AW422" s="347"/>
      <c r="AX422" s="347"/>
      <c r="AY422" s="347"/>
      <c r="AZ422" s="347"/>
      <c r="BA422" s="347"/>
      <c r="BB422" s="347"/>
      <c r="BC422" s="347"/>
      <c r="BD422" s="347"/>
      <c r="BE422" s="347"/>
      <c r="BF422" s="347"/>
      <c r="BG422" s="347"/>
      <c r="BH422" s="347"/>
    </row>
    <row r="423">
      <c r="A423" s="347"/>
      <c r="B423" s="347"/>
      <c r="C423" s="347"/>
      <c r="D423" s="347"/>
      <c r="E423" s="347"/>
      <c r="F423" s="347"/>
      <c r="G423" s="347"/>
      <c r="H423" s="347"/>
      <c r="I423" s="347"/>
      <c r="J423" s="347"/>
      <c r="K423" s="348"/>
      <c r="L423" s="348"/>
      <c r="M423" s="348"/>
      <c r="N423" s="348"/>
      <c r="O423" s="348"/>
      <c r="P423" s="347"/>
      <c r="Q423" s="347"/>
      <c r="R423" s="347"/>
      <c r="S423" s="347"/>
      <c r="T423" s="347"/>
      <c r="U423" s="347"/>
      <c r="V423" s="347"/>
      <c r="W423" s="347"/>
      <c r="X423" s="347"/>
      <c r="Y423" s="347"/>
      <c r="Z423" s="347"/>
      <c r="AA423" s="604"/>
      <c r="AB423" s="347"/>
      <c r="AC423" s="590"/>
      <c r="AD423" s="347"/>
      <c r="AE423" s="347"/>
      <c r="AF423" s="347"/>
      <c r="AG423" s="347"/>
      <c r="AH423" s="347"/>
      <c r="AI423" s="347"/>
      <c r="AJ423" s="347"/>
      <c r="AK423" s="347"/>
      <c r="AL423" s="347"/>
      <c r="AM423" s="347"/>
      <c r="AN423" s="347"/>
      <c r="AO423" s="347"/>
      <c r="AP423" s="347"/>
      <c r="AQ423" s="347"/>
      <c r="AR423" s="347"/>
      <c r="AS423" s="347"/>
      <c r="AT423" s="347"/>
      <c r="AU423" s="347"/>
      <c r="AV423" s="347"/>
      <c r="AW423" s="347"/>
      <c r="AX423" s="347"/>
      <c r="AY423" s="347"/>
      <c r="AZ423" s="347"/>
      <c r="BA423" s="347"/>
      <c r="BB423" s="347"/>
      <c r="BC423" s="347"/>
      <c r="BD423" s="347"/>
      <c r="BE423" s="347"/>
      <c r="BF423" s="347"/>
      <c r="BG423" s="347"/>
      <c r="BH423" s="347"/>
    </row>
    <row r="424">
      <c r="A424" s="347"/>
      <c r="B424" s="347"/>
      <c r="C424" s="347"/>
      <c r="D424" s="347"/>
      <c r="E424" s="347"/>
      <c r="F424" s="347"/>
      <c r="G424" s="347"/>
      <c r="H424" s="347"/>
      <c r="I424" s="347"/>
      <c r="J424" s="347"/>
      <c r="K424" s="348"/>
      <c r="L424" s="348"/>
      <c r="M424" s="348"/>
      <c r="N424" s="348"/>
      <c r="O424" s="348"/>
      <c r="P424" s="347"/>
      <c r="Q424" s="347"/>
      <c r="R424" s="347"/>
      <c r="S424" s="347"/>
      <c r="T424" s="347"/>
      <c r="U424" s="347"/>
      <c r="V424" s="347"/>
      <c r="W424" s="347"/>
      <c r="X424" s="347"/>
      <c r="Y424" s="347"/>
      <c r="Z424" s="347"/>
      <c r="AA424" s="604"/>
      <c r="AB424" s="347"/>
      <c r="AC424" s="590"/>
      <c r="AD424" s="347"/>
      <c r="AE424" s="347"/>
      <c r="AF424" s="347"/>
      <c r="AG424" s="347"/>
      <c r="AH424" s="347"/>
      <c r="AI424" s="347"/>
      <c r="AJ424" s="347"/>
      <c r="AK424" s="347"/>
      <c r="AL424" s="347"/>
      <c r="AM424" s="347"/>
      <c r="AN424" s="347"/>
      <c r="AO424" s="347"/>
      <c r="AP424" s="347"/>
      <c r="AQ424" s="347"/>
      <c r="AR424" s="347"/>
      <c r="AS424" s="347"/>
      <c r="AT424" s="347"/>
      <c r="AU424" s="347"/>
      <c r="AV424" s="347"/>
      <c r="AW424" s="347"/>
      <c r="AX424" s="347"/>
      <c r="AY424" s="347"/>
      <c r="AZ424" s="347"/>
      <c r="BA424" s="347"/>
      <c r="BB424" s="347"/>
      <c r="BC424" s="347"/>
      <c r="BD424" s="347"/>
      <c r="BE424" s="347"/>
      <c r="BF424" s="347"/>
      <c r="BG424" s="347"/>
      <c r="BH424" s="347"/>
    </row>
    <row r="425">
      <c r="A425" s="347"/>
      <c r="B425" s="347"/>
      <c r="C425" s="347"/>
      <c r="D425" s="347"/>
      <c r="E425" s="347"/>
      <c r="F425" s="347"/>
      <c r="G425" s="347"/>
      <c r="H425" s="347"/>
      <c r="I425" s="347"/>
      <c r="J425" s="347"/>
      <c r="K425" s="348"/>
      <c r="L425" s="348"/>
      <c r="M425" s="348"/>
      <c r="N425" s="348"/>
      <c r="O425" s="348"/>
      <c r="P425" s="347"/>
      <c r="Q425" s="347"/>
      <c r="R425" s="347"/>
      <c r="S425" s="347"/>
      <c r="T425" s="347"/>
      <c r="U425" s="347"/>
      <c r="V425" s="347"/>
      <c r="W425" s="347"/>
      <c r="X425" s="347"/>
      <c r="Y425" s="347"/>
      <c r="Z425" s="347"/>
      <c r="AA425" s="604"/>
      <c r="AB425" s="347"/>
      <c r="AC425" s="590"/>
      <c r="AD425" s="347"/>
      <c r="AE425" s="347"/>
      <c r="AF425" s="347"/>
      <c r="AG425" s="347"/>
      <c r="AH425" s="347"/>
      <c r="AI425" s="347"/>
      <c r="AJ425" s="347"/>
      <c r="AK425" s="347"/>
      <c r="AL425" s="347"/>
      <c r="AM425" s="347"/>
      <c r="AN425" s="347"/>
      <c r="AO425" s="347"/>
      <c r="AP425" s="347"/>
      <c r="AQ425" s="347"/>
      <c r="AR425" s="347"/>
      <c r="AS425" s="347"/>
      <c r="AT425" s="347"/>
      <c r="AU425" s="347"/>
      <c r="AV425" s="347"/>
      <c r="AW425" s="347"/>
      <c r="AX425" s="347"/>
      <c r="AY425" s="347"/>
      <c r="AZ425" s="347"/>
      <c r="BA425" s="347"/>
      <c r="BB425" s="347"/>
      <c r="BC425" s="347"/>
      <c r="BD425" s="347"/>
      <c r="BE425" s="347"/>
      <c r="BF425" s="347"/>
      <c r="BG425" s="347"/>
      <c r="BH425" s="347"/>
    </row>
    <row r="426">
      <c r="A426" s="347"/>
      <c r="B426" s="347"/>
      <c r="C426" s="347"/>
      <c r="D426" s="347"/>
      <c r="E426" s="347"/>
      <c r="F426" s="347"/>
      <c r="G426" s="347"/>
      <c r="H426" s="347"/>
      <c r="I426" s="347"/>
      <c r="J426" s="347"/>
      <c r="K426" s="348"/>
      <c r="L426" s="348"/>
      <c r="M426" s="348"/>
      <c r="N426" s="348"/>
      <c r="O426" s="348"/>
      <c r="P426" s="347"/>
      <c r="Q426" s="347"/>
      <c r="R426" s="347"/>
      <c r="S426" s="347"/>
      <c r="T426" s="347"/>
      <c r="U426" s="347"/>
      <c r="V426" s="347"/>
      <c r="W426" s="347"/>
      <c r="X426" s="347"/>
      <c r="Y426" s="347"/>
      <c r="Z426" s="347"/>
      <c r="AA426" s="604"/>
      <c r="AB426" s="347"/>
      <c r="AC426" s="590"/>
      <c r="AD426" s="347"/>
      <c r="AE426" s="347"/>
      <c r="AF426" s="347"/>
      <c r="AG426" s="347"/>
      <c r="AH426" s="347"/>
      <c r="AI426" s="347"/>
      <c r="AJ426" s="347"/>
      <c r="AK426" s="347"/>
      <c r="AL426" s="347"/>
      <c r="AM426" s="347"/>
      <c r="AN426" s="347"/>
      <c r="AO426" s="347"/>
      <c r="AP426" s="347"/>
      <c r="AQ426" s="347"/>
      <c r="AR426" s="347"/>
      <c r="AS426" s="347"/>
      <c r="AT426" s="347"/>
      <c r="AU426" s="347"/>
      <c r="AV426" s="347"/>
      <c r="AW426" s="347"/>
      <c r="AX426" s="347"/>
      <c r="AY426" s="347"/>
      <c r="AZ426" s="347"/>
      <c r="BA426" s="347"/>
      <c r="BB426" s="347"/>
      <c r="BC426" s="347"/>
      <c r="BD426" s="347"/>
      <c r="BE426" s="347"/>
      <c r="BF426" s="347"/>
      <c r="BG426" s="347"/>
      <c r="BH426" s="347"/>
    </row>
    <row r="427">
      <c r="A427" s="347"/>
      <c r="B427" s="347"/>
      <c r="C427" s="347"/>
      <c r="D427" s="347"/>
      <c r="E427" s="347"/>
      <c r="F427" s="347"/>
      <c r="G427" s="347"/>
      <c r="H427" s="347"/>
      <c r="I427" s="347"/>
      <c r="J427" s="347"/>
      <c r="K427" s="348"/>
      <c r="L427" s="348"/>
      <c r="M427" s="348"/>
      <c r="N427" s="348"/>
      <c r="O427" s="348"/>
      <c r="P427" s="347"/>
      <c r="Q427" s="347"/>
      <c r="R427" s="347"/>
      <c r="S427" s="347"/>
      <c r="T427" s="347"/>
      <c r="U427" s="347"/>
      <c r="V427" s="347"/>
      <c r="W427" s="347"/>
      <c r="X427" s="347"/>
      <c r="Y427" s="347"/>
      <c r="Z427" s="347"/>
      <c r="AA427" s="604"/>
      <c r="AB427" s="347"/>
      <c r="AC427" s="590"/>
      <c r="AD427" s="347"/>
      <c r="AE427" s="347"/>
      <c r="AF427" s="347"/>
      <c r="AG427" s="347"/>
      <c r="AH427" s="347"/>
      <c r="AI427" s="347"/>
      <c r="AJ427" s="347"/>
      <c r="AK427" s="347"/>
      <c r="AL427" s="347"/>
      <c r="AM427" s="347"/>
      <c r="AN427" s="347"/>
      <c r="AO427" s="347"/>
      <c r="AP427" s="347"/>
      <c r="AQ427" s="347"/>
      <c r="AR427" s="347"/>
      <c r="AS427" s="347"/>
      <c r="AT427" s="347"/>
      <c r="AU427" s="347"/>
      <c r="AV427" s="347"/>
      <c r="AW427" s="347"/>
      <c r="AX427" s="347"/>
      <c r="AY427" s="347"/>
      <c r="AZ427" s="347"/>
      <c r="BA427" s="347"/>
      <c r="BB427" s="347"/>
      <c r="BC427" s="347"/>
      <c r="BD427" s="347"/>
      <c r="BE427" s="347"/>
      <c r="BF427" s="347"/>
      <c r="BG427" s="347"/>
      <c r="BH427" s="347"/>
    </row>
    <row r="428">
      <c r="A428" s="347"/>
      <c r="B428" s="347"/>
      <c r="C428" s="347"/>
      <c r="D428" s="347"/>
      <c r="E428" s="347"/>
      <c r="F428" s="347"/>
      <c r="G428" s="347"/>
      <c r="H428" s="347"/>
      <c r="I428" s="347"/>
      <c r="J428" s="347"/>
      <c r="K428" s="348"/>
      <c r="L428" s="348"/>
      <c r="M428" s="348"/>
      <c r="N428" s="348"/>
      <c r="O428" s="348"/>
      <c r="P428" s="347"/>
      <c r="Q428" s="347"/>
      <c r="R428" s="347"/>
      <c r="S428" s="347"/>
      <c r="T428" s="347"/>
      <c r="U428" s="347"/>
      <c r="V428" s="347"/>
      <c r="W428" s="347"/>
      <c r="X428" s="347"/>
      <c r="Y428" s="347"/>
      <c r="Z428" s="347"/>
      <c r="AA428" s="604"/>
      <c r="AB428" s="347"/>
      <c r="AC428" s="590"/>
      <c r="AD428" s="347"/>
      <c r="AE428" s="347"/>
      <c r="AF428" s="347"/>
      <c r="AG428" s="347"/>
      <c r="AH428" s="347"/>
      <c r="AI428" s="347"/>
      <c r="AJ428" s="347"/>
      <c r="AK428" s="347"/>
      <c r="AL428" s="347"/>
      <c r="AM428" s="347"/>
      <c r="AN428" s="347"/>
      <c r="AO428" s="347"/>
      <c r="AP428" s="347"/>
      <c r="AQ428" s="347"/>
      <c r="AR428" s="347"/>
      <c r="AS428" s="347"/>
      <c r="AT428" s="347"/>
      <c r="AU428" s="347"/>
      <c r="AV428" s="347"/>
      <c r="AW428" s="347"/>
      <c r="AX428" s="347"/>
      <c r="AY428" s="347"/>
      <c r="AZ428" s="347"/>
      <c r="BA428" s="347"/>
      <c r="BB428" s="347"/>
      <c r="BC428" s="347"/>
      <c r="BD428" s="347"/>
      <c r="BE428" s="347"/>
      <c r="BF428" s="347"/>
      <c r="BG428" s="347"/>
      <c r="BH428" s="347"/>
    </row>
    <row r="429">
      <c r="A429" s="347"/>
      <c r="B429" s="347"/>
      <c r="C429" s="347"/>
      <c r="D429" s="347"/>
      <c r="E429" s="347"/>
      <c r="F429" s="347"/>
      <c r="G429" s="347"/>
      <c r="H429" s="347"/>
      <c r="I429" s="347"/>
      <c r="J429" s="347"/>
      <c r="K429" s="348"/>
      <c r="L429" s="348"/>
      <c r="M429" s="348"/>
      <c r="N429" s="348"/>
      <c r="O429" s="348"/>
      <c r="P429" s="347"/>
      <c r="Q429" s="347"/>
      <c r="R429" s="347"/>
      <c r="S429" s="347"/>
      <c r="T429" s="347"/>
      <c r="U429" s="347"/>
      <c r="V429" s="347"/>
      <c r="W429" s="347"/>
      <c r="X429" s="347"/>
      <c r="Y429" s="347"/>
      <c r="Z429" s="347"/>
      <c r="AA429" s="604"/>
      <c r="AB429" s="347"/>
      <c r="AC429" s="590"/>
      <c r="AD429" s="347"/>
      <c r="AE429" s="347"/>
      <c r="AF429" s="347"/>
      <c r="AG429" s="347"/>
      <c r="AH429" s="347"/>
      <c r="AI429" s="347"/>
      <c r="AJ429" s="347"/>
      <c r="AK429" s="347"/>
      <c r="AL429" s="347"/>
      <c r="AM429" s="347"/>
      <c r="AN429" s="347"/>
      <c r="AO429" s="347"/>
      <c r="AP429" s="347"/>
      <c r="AQ429" s="347"/>
      <c r="AR429" s="347"/>
      <c r="AS429" s="347"/>
      <c r="AT429" s="347"/>
      <c r="AU429" s="347"/>
      <c r="AV429" s="347"/>
      <c r="AW429" s="347"/>
      <c r="AX429" s="347"/>
      <c r="AY429" s="347"/>
      <c r="AZ429" s="347"/>
      <c r="BA429" s="347"/>
      <c r="BB429" s="347"/>
      <c r="BC429" s="347"/>
      <c r="BD429" s="347"/>
      <c r="BE429" s="347"/>
      <c r="BF429" s="347"/>
      <c r="BG429" s="347"/>
      <c r="BH429" s="347"/>
    </row>
    <row r="430">
      <c r="A430" s="347"/>
      <c r="B430" s="347"/>
      <c r="C430" s="347"/>
      <c r="D430" s="347"/>
      <c r="E430" s="347"/>
      <c r="F430" s="347"/>
      <c r="G430" s="347"/>
      <c r="H430" s="347"/>
      <c r="I430" s="347"/>
      <c r="J430" s="347"/>
      <c r="K430" s="348"/>
      <c r="L430" s="348"/>
      <c r="M430" s="348"/>
      <c r="N430" s="348"/>
      <c r="O430" s="348"/>
      <c r="P430" s="347"/>
      <c r="Q430" s="347"/>
      <c r="R430" s="347"/>
      <c r="S430" s="347"/>
      <c r="T430" s="347"/>
      <c r="U430" s="347"/>
      <c r="V430" s="347"/>
      <c r="W430" s="347"/>
      <c r="X430" s="347"/>
      <c r="Y430" s="347"/>
      <c r="Z430" s="347"/>
      <c r="AA430" s="604"/>
      <c r="AB430" s="347"/>
      <c r="AC430" s="590"/>
      <c r="AD430" s="347"/>
      <c r="AE430" s="347"/>
      <c r="AF430" s="347"/>
      <c r="AG430" s="347"/>
      <c r="AH430" s="347"/>
      <c r="AI430" s="347"/>
      <c r="AJ430" s="347"/>
      <c r="AK430" s="347"/>
      <c r="AL430" s="347"/>
      <c r="AM430" s="347"/>
      <c r="AN430" s="347"/>
      <c r="AO430" s="347"/>
      <c r="AP430" s="347"/>
      <c r="AQ430" s="347"/>
      <c r="AR430" s="347"/>
      <c r="AS430" s="347"/>
      <c r="AT430" s="347"/>
      <c r="AU430" s="347"/>
      <c r="AV430" s="347"/>
      <c r="AW430" s="347"/>
      <c r="AX430" s="347"/>
      <c r="AY430" s="347"/>
      <c r="AZ430" s="347"/>
      <c r="BA430" s="347"/>
      <c r="BB430" s="347"/>
      <c r="BC430" s="347"/>
      <c r="BD430" s="347"/>
      <c r="BE430" s="347"/>
      <c r="BF430" s="347"/>
      <c r="BG430" s="347"/>
      <c r="BH430" s="347"/>
    </row>
    <row r="431">
      <c r="A431" s="347"/>
      <c r="B431" s="347"/>
      <c r="C431" s="347"/>
      <c r="D431" s="347"/>
      <c r="E431" s="347"/>
      <c r="F431" s="347"/>
      <c r="G431" s="347"/>
      <c r="H431" s="347"/>
      <c r="I431" s="347"/>
      <c r="J431" s="347"/>
      <c r="K431" s="348"/>
      <c r="L431" s="348"/>
      <c r="M431" s="348"/>
      <c r="N431" s="348"/>
      <c r="O431" s="348"/>
      <c r="P431" s="347"/>
      <c r="Q431" s="347"/>
      <c r="R431" s="347"/>
      <c r="S431" s="347"/>
      <c r="T431" s="347"/>
      <c r="U431" s="347"/>
      <c r="V431" s="347"/>
      <c r="W431" s="347"/>
      <c r="X431" s="347"/>
      <c r="Y431" s="347"/>
      <c r="Z431" s="347"/>
      <c r="AA431" s="604"/>
      <c r="AB431" s="347"/>
      <c r="AC431" s="590"/>
      <c r="AD431" s="347"/>
      <c r="AE431" s="347"/>
      <c r="AF431" s="347"/>
      <c r="AG431" s="347"/>
      <c r="AH431" s="347"/>
      <c r="AI431" s="347"/>
      <c r="AJ431" s="347"/>
      <c r="AK431" s="347"/>
      <c r="AL431" s="347"/>
      <c r="AM431" s="347"/>
      <c r="AN431" s="347"/>
      <c r="AO431" s="347"/>
      <c r="AP431" s="347"/>
      <c r="AQ431" s="347"/>
      <c r="AR431" s="347"/>
      <c r="AS431" s="347"/>
      <c r="AT431" s="347"/>
      <c r="AU431" s="347"/>
      <c r="AV431" s="347"/>
      <c r="AW431" s="347"/>
      <c r="AX431" s="347"/>
      <c r="AY431" s="347"/>
      <c r="AZ431" s="347"/>
      <c r="BA431" s="347"/>
      <c r="BB431" s="347"/>
      <c r="BC431" s="347"/>
      <c r="BD431" s="347"/>
      <c r="BE431" s="347"/>
      <c r="BF431" s="347"/>
      <c r="BG431" s="347"/>
      <c r="BH431" s="347"/>
    </row>
    <row r="432">
      <c r="A432" s="347"/>
      <c r="B432" s="347"/>
      <c r="C432" s="347"/>
      <c r="D432" s="347"/>
      <c r="E432" s="347"/>
      <c r="F432" s="347"/>
      <c r="G432" s="347"/>
      <c r="H432" s="347"/>
      <c r="I432" s="347"/>
      <c r="J432" s="347"/>
      <c r="K432" s="348"/>
      <c r="L432" s="348"/>
      <c r="M432" s="348"/>
      <c r="N432" s="348"/>
      <c r="O432" s="348"/>
      <c r="P432" s="347"/>
      <c r="Q432" s="347"/>
      <c r="R432" s="347"/>
      <c r="S432" s="347"/>
      <c r="T432" s="347"/>
      <c r="U432" s="347"/>
      <c r="V432" s="347"/>
      <c r="W432" s="347"/>
      <c r="X432" s="347"/>
      <c r="Y432" s="347"/>
      <c r="Z432" s="347"/>
      <c r="AA432" s="604"/>
      <c r="AB432" s="347"/>
      <c r="AC432" s="590"/>
      <c r="AD432" s="347"/>
      <c r="AE432" s="347"/>
      <c r="AF432" s="347"/>
      <c r="AG432" s="347"/>
      <c r="AH432" s="347"/>
      <c r="AI432" s="347"/>
      <c r="AJ432" s="347"/>
      <c r="AK432" s="347"/>
      <c r="AL432" s="347"/>
      <c r="AM432" s="347"/>
      <c r="AN432" s="347"/>
      <c r="AO432" s="347"/>
      <c r="AP432" s="347"/>
      <c r="AQ432" s="347"/>
      <c r="AR432" s="347"/>
      <c r="AS432" s="347"/>
      <c r="AT432" s="347"/>
      <c r="AU432" s="347"/>
      <c r="AV432" s="347"/>
      <c r="AW432" s="347"/>
      <c r="AX432" s="347"/>
      <c r="AY432" s="347"/>
      <c r="AZ432" s="347"/>
      <c r="BA432" s="347"/>
      <c r="BB432" s="347"/>
      <c r="BC432" s="347"/>
      <c r="BD432" s="347"/>
      <c r="BE432" s="347"/>
      <c r="BF432" s="347"/>
      <c r="BG432" s="347"/>
      <c r="BH432" s="347"/>
    </row>
    <row r="433">
      <c r="A433" s="347"/>
      <c r="B433" s="347"/>
      <c r="C433" s="347"/>
      <c r="D433" s="347"/>
      <c r="E433" s="347"/>
      <c r="F433" s="347"/>
      <c r="G433" s="347"/>
      <c r="H433" s="347"/>
      <c r="I433" s="347"/>
      <c r="J433" s="347"/>
      <c r="K433" s="348"/>
      <c r="L433" s="348"/>
      <c r="M433" s="348"/>
      <c r="N433" s="348"/>
      <c r="O433" s="348"/>
      <c r="P433" s="347"/>
      <c r="Q433" s="347"/>
      <c r="R433" s="347"/>
      <c r="S433" s="347"/>
      <c r="T433" s="347"/>
      <c r="U433" s="347"/>
      <c r="V433" s="347"/>
      <c r="W433" s="347"/>
      <c r="X433" s="347"/>
      <c r="Y433" s="347"/>
      <c r="Z433" s="347"/>
      <c r="AA433" s="604"/>
      <c r="AB433" s="347"/>
      <c r="AC433" s="590"/>
      <c r="AD433" s="347"/>
      <c r="AE433" s="347"/>
      <c r="AF433" s="347"/>
      <c r="AG433" s="347"/>
      <c r="AH433" s="347"/>
      <c r="AI433" s="347"/>
      <c r="AJ433" s="347"/>
      <c r="AK433" s="347"/>
      <c r="AL433" s="347"/>
      <c r="AM433" s="347"/>
      <c r="AN433" s="347"/>
      <c r="AO433" s="347"/>
      <c r="AP433" s="347"/>
      <c r="AQ433" s="347"/>
      <c r="AR433" s="347"/>
      <c r="AS433" s="347"/>
      <c r="AT433" s="347"/>
      <c r="AU433" s="347"/>
      <c r="AV433" s="347"/>
      <c r="AW433" s="347"/>
      <c r="AX433" s="347"/>
      <c r="AY433" s="347"/>
      <c r="AZ433" s="347"/>
      <c r="BA433" s="347"/>
      <c r="BB433" s="347"/>
      <c r="BC433" s="347"/>
      <c r="BD433" s="347"/>
      <c r="BE433" s="347"/>
      <c r="BF433" s="347"/>
      <c r="BG433" s="347"/>
      <c r="BH433" s="347"/>
    </row>
    <row r="434">
      <c r="A434" s="347"/>
      <c r="B434" s="347"/>
      <c r="C434" s="347"/>
      <c r="D434" s="347"/>
      <c r="E434" s="347"/>
      <c r="F434" s="347"/>
      <c r="G434" s="347"/>
      <c r="H434" s="347"/>
      <c r="I434" s="347"/>
      <c r="J434" s="347"/>
      <c r="K434" s="348"/>
      <c r="L434" s="348"/>
      <c r="M434" s="348"/>
      <c r="N434" s="348"/>
      <c r="O434" s="348"/>
      <c r="P434" s="347"/>
      <c r="Q434" s="347"/>
      <c r="R434" s="347"/>
      <c r="S434" s="347"/>
      <c r="T434" s="347"/>
      <c r="U434" s="347"/>
      <c r="V434" s="347"/>
      <c r="W434" s="347"/>
      <c r="X434" s="347"/>
      <c r="Y434" s="347"/>
      <c r="Z434" s="347"/>
      <c r="AA434" s="604"/>
      <c r="AB434" s="347"/>
      <c r="AC434" s="590"/>
      <c r="AD434" s="347"/>
      <c r="AE434" s="347"/>
      <c r="AF434" s="347"/>
      <c r="AG434" s="347"/>
      <c r="AH434" s="347"/>
      <c r="AI434" s="347"/>
      <c r="AJ434" s="347"/>
      <c r="AK434" s="347"/>
      <c r="AL434" s="347"/>
      <c r="AM434" s="347"/>
      <c r="AN434" s="347"/>
      <c r="AO434" s="347"/>
      <c r="AP434" s="347"/>
      <c r="AQ434" s="347"/>
      <c r="AR434" s="347"/>
      <c r="AS434" s="347"/>
      <c r="AT434" s="347"/>
      <c r="AU434" s="347"/>
      <c r="AV434" s="347"/>
      <c r="AW434" s="347"/>
      <c r="AX434" s="347"/>
      <c r="AY434" s="347"/>
      <c r="AZ434" s="347"/>
      <c r="BA434" s="347"/>
      <c r="BB434" s="347"/>
      <c r="BC434" s="347"/>
      <c r="BD434" s="347"/>
      <c r="BE434" s="347"/>
      <c r="BF434" s="347"/>
      <c r="BG434" s="347"/>
      <c r="BH434" s="347"/>
    </row>
    <row r="435">
      <c r="A435" s="347"/>
      <c r="B435" s="347"/>
      <c r="C435" s="347"/>
      <c r="D435" s="347"/>
      <c r="E435" s="347"/>
      <c r="F435" s="347"/>
      <c r="G435" s="347"/>
      <c r="H435" s="347"/>
      <c r="I435" s="347"/>
      <c r="J435" s="347"/>
      <c r="K435" s="348"/>
      <c r="L435" s="348"/>
      <c r="M435" s="348"/>
      <c r="N435" s="348"/>
      <c r="O435" s="348"/>
      <c r="P435" s="347"/>
      <c r="Q435" s="347"/>
      <c r="R435" s="347"/>
      <c r="S435" s="347"/>
      <c r="T435" s="347"/>
      <c r="U435" s="347"/>
      <c r="V435" s="347"/>
      <c r="W435" s="347"/>
      <c r="X435" s="347"/>
      <c r="Y435" s="347"/>
      <c r="Z435" s="347"/>
      <c r="AA435" s="604"/>
      <c r="AB435" s="347"/>
      <c r="AC435" s="590"/>
      <c r="AD435" s="347"/>
      <c r="AE435" s="347"/>
      <c r="AF435" s="347"/>
      <c r="AG435" s="347"/>
      <c r="AH435" s="347"/>
      <c r="AI435" s="347"/>
      <c r="AJ435" s="347"/>
      <c r="AK435" s="347"/>
      <c r="AL435" s="347"/>
      <c r="AM435" s="347"/>
      <c r="AN435" s="347"/>
      <c r="AO435" s="347"/>
      <c r="AP435" s="347"/>
      <c r="AQ435" s="347"/>
      <c r="AR435" s="347"/>
      <c r="AS435" s="347"/>
      <c r="AT435" s="347"/>
      <c r="AU435" s="347"/>
      <c r="AV435" s="347"/>
      <c r="AW435" s="347"/>
      <c r="AX435" s="347"/>
      <c r="AY435" s="347"/>
      <c r="AZ435" s="347"/>
      <c r="BA435" s="347"/>
      <c r="BB435" s="347"/>
      <c r="BC435" s="347"/>
      <c r="BD435" s="347"/>
      <c r="BE435" s="347"/>
      <c r="BF435" s="347"/>
      <c r="BG435" s="347"/>
      <c r="BH435" s="347"/>
    </row>
    <row r="436">
      <c r="A436" s="347"/>
      <c r="B436" s="347"/>
      <c r="C436" s="347"/>
      <c r="D436" s="347"/>
      <c r="E436" s="347"/>
      <c r="F436" s="347"/>
      <c r="G436" s="347"/>
      <c r="H436" s="347"/>
      <c r="I436" s="347"/>
      <c r="J436" s="347"/>
      <c r="K436" s="348"/>
      <c r="L436" s="348"/>
      <c r="M436" s="348"/>
      <c r="N436" s="348"/>
      <c r="O436" s="348"/>
      <c r="P436" s="347"/>
      <c r="Q436" s="347"/>
      <c r="R436" s="347"/>
      <c r="S436" s="347"/>
      <c r="T436" s="347"/>
      <c r="U436" s="347"/>
      <c r="V436" s="347"/>
      <c r="W436" s="347"/>
      <c r="X436" s="347"/>
      <c r="Y436" s="347"/>
      <c r="Z436" s="347"/>
      <c r="AA436" s="604"/>
      <c r="AB436" s="347"/>
      <c r="AC436" s="590"/>
      <c r="AD436" s="347"/>
      <c r="AE436" s="347"/>
      <c r="AF436" s="347"/>
      <c r="AG436" s="347"/>
      <c r="AH436" s="347"/>
      <c r="AI436" s="347"/>
      <c r="AJ436" s="347"/>
      <c r="AK436" s="347"/>
      <c r="AL436" s="347"/>
      <c r="AM436" s="347"/>
      <c r="AN436" s="347"/>
      <c r="AO436" s="347"/>
      <c r="AP436" s="347"/>
      <c r="AQ436" s="347"/>
      <c r="AR436" s="347"/>
      <c r="AS436" s="347"/>
      <c r="AT436" s="347"/>
      <c r="AU436" s="347"/>
      <c r="AV436" s="347"/>
      <c r="AW436" s="347"/>
      <c r="AX436" s="347"/>
      <c r="AY436" s="347"/>
      <c r="AZ436" s="347"/>
      <c r="BA436" s="347"/>
      <c r="BB436" s="347"/>
      <c r="BC436" s="347"/>
      <c r="BD436" s="347"/>
      <c r="BE436" s="347"/>
      <c r="BF436" s="347"/>
      <c r="BG436" s="347"/>
      <c r="BH436" s="347"/>
    </row>
    <row r="437">
      <c r="A437" s="347"/>
      <c r="B437" s="347"/>
      <c r="C437" s="347"/>
      <c r="D437" s="347"/>
      <c r="E437" s="347"/>
      <c r="F437" s="347"/>
      <c r="G437" s="347"/>
      <c r="H437" s="347"/>
      <c r="I437" s="347"/>
      <c r="J437" s="347"/>
      <c r="K437" s="348"/>
      <c r="L437" s="348"/>
      <c r="M437" s="348"/>
      <c r="N437" s="348"/>
      <c r="O437" s="348"/>
      <c r="P437" s="347"/>
      <c r="Q437" s="347"/>
      <c r="R437" s="347"/>
      <c r="S437" s="347"/>
      <c r="T437" s="347"/>
      <c r="U437" s="347"/>
      <c r="V437" s="347"/>
      <c r="W437" s="347"/>
      <c r="X437" s="347"/>
      <c r="Y437" s="347"/>
      <c r="Z437" s="347"/>
      <c r="AA437" s="604"/>
      <c r="AB437" s="347"/>
      <c r="AC437" s="590"/>
      <c r="AD437" s="347"/>
      <c r="AE437" s="347"/>
      <c r="AF437" s="347"/>
      <c r="AG437" s="347"/>
      <c r="AH437" s="347"/>
      <c r="AI437" s="347"/>
      <c r="AJ437" s="347"/>
      <c r="AK437" s="347"/>
      <c r="AL437" s="347"/>
      <c r="AM437" s="347"/>
      <c r="AN437" s="347"/>
      <c r="AO437" s="347"/>
      <c r="AP437" s="347"/>
      <c r="AQ437" s="347"/>
      <c r="AR437" s="347"/>
      <c r="AS437" s="347"/>
      <c r="AT437" s="347"/>
      <c r="AU437" s="347"/>
      <c r="AV437" s="347"/>
      <c r="AW437" s="347"/>
      <c r="AX437" s="347"/>
      <c r="AY437" s="347"/>
      <c r="AZ437" s="347"/>
      <c r="BA437" s="347"/>
      <c r="BB437" s="347"/>
      <c r="BC437" s="347"/>
      <c r="BD437" s="347"/>
      <c r="BE437" s="347"/>
      <c r="BF437" s="347"/>
      <c r="BG437" s="347"/>
      <c r="BH437" s="347"/>
    </row>
    <row r="438">
      <c r="A438" s="347"/>
      <c r="B438" s="347"/>
      <c r="C438" s="347"/>
      <c r="D438" s="347"/>
      <c r="E438" s="347"/>
      <c r="F438" s="347"/>
      <c r="G438" s="347"/>
      <c r="H438" s="347"/>
      <c r="I438" s="347"/>
      <c r="J438" s="347"/>
      <c r="K438" s="348"/>
      <c r="L438" s="348"/>
      <c r="M438" s="348"/>
      <c r="N438" s="348"/>
      <c r="O438" s="348"/>
      <c r="P438" s="347"/>
      <c r="Q438" s="347"/>
      <c r="R438" s="347"/>
      <c r="S438" s="347"/>
      <c r="T438" s="347"/>
      <c r="U438" s="347"/>
      <c r="V438" s="347"/>
      <c r="W438" s="347"/>
      <c r="X438" s="347"/>
      <c r="Y438" s="347"/>
      <c r="Z438" s="347"/>
      <c r="AA438" s="604"/>
      <c r="AB438" s="347"/>
      <c r="AC438" s="590"/>
      <c r="AD438" s="347"/>
      <c r="AE438" s="347"/>
      <c r="AF438" s="347"/>
      <c r="AG438" s="347"/>
      <c r="AH438" s="347"/>
      <c r="AI438" s="347"/>
      <c r="AJ438" s="347"/>
      <c r="AK438" s="347"/>
      <c r="AL438" s="347"/>
      <c r="AM438" s="347"/>
      <c r="AN438" s="347"/>
      <c r="AO438" s="347"/>
      <c r="AP438" s="347"/>
      <c r="AQ438" s="347"/>
      <c r="AR438" s="347"/>
      <c r="AS438" s="347"/>
      <c r="AT438" s="347"/>
      <c r="AU438" s="347"/>
      <c r="AV438" s="347"/>
      <c r="AW438" s="347"/>
      <c r="AX438" s="347"/>
      <c r="AY438" s="347"/>
      <c r="AZ438" s="347"/>
      <c r="BA438" s="347"/>
      <c r="BB438" s="347"/>
      <c r="BC438" s="347"/>
      <c r="BD438" s="347"/>
      <c r="BE438" s="347"/>
      <c r="BF438" s="347"/>
      <c r="BG438" s="347"/>
      <c r="BH438" s="347"/>
    </row>
    <row r="439">
      <c r="A439" s="347"/>
      <c r="B439" s="347"/>
      <c r="C439" s="347"/>
      <c r="D439" s="347"/>
      <c r="E439" s="347"/>
      <c r="F439" s="347"/>
      <c r="G439" s="347"/>
      <c r="H439" s="347"/>
      <c r="I439" s="347"/>
      <c r="J439" s="347"/>
      <c r="K439" s="348"/>
      <c r="L439" s="348"/>
      <c r="M439" s="348"/>
      <c r="N439" s="348"/>
      <c r="O439" s="348"/>
      <c r="P439" s="347"/>
      <c r="Q439" s="347"/>
      <c r="R439" s="347"/>
      <c r="S439" s="347"/>
      <c r="T439" s="347"/>
      <c r="U439" s="347"/>
      <c r="V439" s="347"/>
      <c r="W439" s="347"/>
      <c r="X439" s="347"/>
      <c r="Y439" s="347"/>
      <c r="Z439" s="347"/>
      <c r="AA439" s="604"/>
      <c r="AB439" s="347"/>
      <c r="AC439" s="590"/>
      <c r="AD439" s="347"/>
      <c r="AE439" s="347"/>
      <c r="AF439" s="347"/>
      <c r="AG439" s="347"/>
      <c r="AH439" s="347"/>
      <c r="AI439" s="347"/>
      <c r="AJ439" s="347"/>
      <c r="AK439" s="347"/>
      <c r="AL439" s="347"/>
      <c r="AM439" s="347"/>
      <c r="AN439" s="347"/>
      <c r="AO439" s="347"/>
      <c r="AP439" s="347"/>
      <c r="AQ439" s="347"/>
      <c r="AR439" s="347"/>
      <c r="AS439" s="347"/>
      <c r="AT439" s="347"/>
      <c r="AU439" s="347"/>
      <c r="AV439" s="347"/>
      <c r="AW439" s="347"/>
      <c r="AX439" s="347"/>
      <c r="AY439" s="347"/>
      <c r="AZ439" s="347"/>
      <c r="BA439" s="347"/>
      <c r="BB439" s="347"/>
      <c r="BC439" s="347"/>
      <c r="BD439" s="347"/>
      <c r="BE439" s="347"/>
      <c r="BF439" s="347"/>
      <c r="BG439" s="347"/>
      <c r="BH439" s="347"/>
    </row>
    <row r="440">
      <c r="A440" s="347"/>
      <c r="B440" s="347"/>
      <c r="C440" s="347"/>
      <c r="D440" s="347"/>
      <c r="E440" s="347"/>
      <c r="F440" s="347"/>
      <c r="G440" s="347"/>
      <c r="H440" s="347"/>
      <c r="I440" s="347"/>
      <c r="J440" s="347"/>
      <c r="K440" s="348"/>
      <c r="L440" s="348"/>
      <c r="M440" s="348"/>
      <c r="N440" s="348"/>
      <c r="O440" s="348"/>
      <c r="P440" s="347"/>
      <c r="Q440" s="347"/>
      <c r="R440" s="347"/>
      <c r="S440" s="347"/>
      <c r="T440" s="347"/>
      <c r="U440" s="347"/>
      <c r="V440" s="347"/>
      <c r="W440" s="347"/>
      <c r="X440" s="347"/>
      <c r="Y440" s="347"/>
      <c r="Z440" s="347"/>
      <c r="AA440" s="604"/>
      <c r="AB440" s="347"/>
      <c r="AC440" s="590"/>
      <c r="AD440" s="347"/>
      <c r="AE440" s="347"/>
      <c r="AF440" s="347"/>
      <c r="AG440" s="347"/>
      <c r="AH440" s="347"/>
      <c r="AI440" s="347"/>
      <c r="AJ440" s="347"/>
      <c r="AK440" s="347"/>
      <c r="AL440" s="347"/>
      <c r="AM440" s="347"/>
      <c r="AN440" s="347"/>
      <c r="AO440" s="347"/>
      <c r="AP440" s="347"/>
      <c r="AQ440" s="347"/>
      <c r="AR440" s="347"/>
      <c r="AS440" s="347"/>
      <c r="AT440" s="347"/>
      <c r="AU440" s="347"/>
      <c r="AV440" s="347"/>
      <c r="AW440" s="347"/>
      <c r="AX440" s="347"/>
      <c r="AY440" s="347"/>
      <c r="AZ440" s="347"/>
      <c r="BA440" s="347"/>
      <c r="BB440" s="347"/>
      <c r="BC440" s="347"/>
      <c r="BD440" s="347"/>
      <c r="BE440" s="347"/>
      <c r="BF440" s="347"/>
      <c r="BG440" s="347"/>
      <c r="BH440" s="347"/>
    </row>
    <row r="441">
      <c r="A441" s="347"/>
      <c r="B441" s="347"/>
      <c r="C441" s="347"/>
      <c r="D441" s="347"/>
      <c r="E441" s="347"/>
      <c r="F441" s="347"/>
      <c r="G441" s="347"/>
      <c r="H441" s="347"/>
      <c r="I441" s="347"/>
      <c r="J441" s="347"/>
      <c r="K441" s="348"/>
      <c r="L441" s="348"/>
      <c r="M441" s="348"/>
      <c r="N441" s="348"/>
      <c r="O441" s="348"/>
      <c r="P441" s="347"/>
      <c r="Q441" s="347"/>
      <c r="R441" s="347"/>
      <c r="S441" s="347"/>
      <c r="T441" s="347"/>
      <c r="U441" s="347"/>
      <c r="V441" s="347"/>
      <c r="W441" s="347"/>
      <c r="X441" s="347"/>
      <c r="Y441" s="347"/>
      <c r="Z441" s="347"/>
      <c r="AA441" s="604"/>
      <c r="AB441" s="347"/>
      <c r="AC441" s="590"/>
      <c r="AD441" s="347"/>
      <c r="AE441" s="347"/>
      <c r="AF441" s="347"/>
      <c r="AG441" s="347"/>
      <c r="AH441" s="347"/>
      <c r="AI441" s="347"/>
      <c r="AJ441" s="347"/>
      <c r="AK441" s="347"/>
      <c r="AL441" s="347"/>
      <c r="AM441" s="347"/>
      <c r="AN441" s="347"/>
      <c r="AO441" s="347"/>
      <c r="AP441" s="347"/>
      <c r="AQ441" s="347"/>
      <c r="AR441" s="347"/>
      <c r="AS441" s="347"/>
      <c r="AT441" s="347"/>
      <c r="AU441" s="347"/>
      <c r="AV441" s="347"/>
      <c r="AW441" s="347"/>
      <c r="AX441" s="347"/>
      <c r="AY441" s="347"/>
      <c r="AZ441" s="347"/>
      <c r="BA441" s="347"/>
      <c r="BB441" s="347"/>
      <c r="BC441" s="347"/>
      <c r="BD441" s="347"/>
      <c r="BE441" s="347"/>
      <c r="BF441" s="347"/>
      <c r="BG441" s="347"/>
      <c r="BH441" s="347"/>
    </row>
    <row r="442">
      <c r="A442" s="347"/>
      <c r="B442" s="347"/>
      <c r="C442" s="347"/>
      <c r="D442" s="347"/>
      <c r="E442" s="347"/>
      <c r="F442" s="347"/>
      <c r="G442" s="347"/>
      <c r="H442" s="347"/>
      <c r="I442" s="347"/>
      <c r="J442" s="347"/>
      <c r="K442" s="348"/>
      <c r="L442" s="348"/>
      <c r="M442" s="348"/>
      <c r="N442" s="348"/>
      <c r="O442" s="348"/>
      <c r="P442" s="347"/>
      <c r="Q442" s="347"/>
      <c r="R442" s="347"/>
      <c r="S442" s="347"/>
      <c r="T442" s="347"/>
      <c r="U442" s="347"/>
      <c r="V442" s="347"/>
      <c r="W442" s="347"/>
      <c r="X442" s="347"/>
      <c r="Y442" s="347"/>
      <c r="Z442" s="347"/>
      <c r="AA442" s="604"/>
      <c r="AB442" s="347"/>
      <c r="AC442" s="590"/>
      <c r="AD442" s="347"/>
      <c r="AE442" s="347"/>
      <c r="AF442" s="347"/>
      <c r="AG442" s="347"/>
      <c r="AH442" s="347"/>
      <c r="AI442" s="347"/>
      <c r="AJ442" s="347"/>
      <c r="AK442" s="347"/>
      <c r="AL442" s="347"/>
      <c r="AM442" s="347"/>
      <c r="AN442" s="347"/>
      <c r="AO442" s="347"/>
      <c r="AP442" s="347"/>
      <c r="AQ442" s="347"/>
      <c r="AR442" s="347"/>
      <c r="AS442" s="347"/>
      <c r="AT442" s="347"/>
      <c r="AU442" s="347"/>
      <c r="AV442" s="347"/>
      <c r="AW442" s="347"/>
      <c r="AX442" s="347"/>
      <c r="AY442" s="347"/>
      <c r="AZ442" s="347"/>
      <c r="BA442" s="347"/>
      <c r="BB442" s="347"/>
      <c r="BC442" s="347"/>
      <c r="BD442" s="347"/>
      <c r="BE442" s="347"/>
      <c r="BF442" s="347"/>
      <c r="BG442" s="347"/>
      <c r="BH442" s="347"/>
    </row>
    <row r="443">
      <c r="A443" s="347"/>
      <c r="B443" s="347"/>
      <c r="C443" s="347"/>
      <c r="D443" s="347"/>
      <c r="E443" s="347"/>
      <c r="F443" s="347"/>
      <c r="G443" s="347"/>
      <c r="H443" s="347"/>
      <c r="I443" s="347"/>
      <c r="J443" s="347"/>
      <c r="K443" s="348"/>
      <c r="L443" s="348"/>
      <c r="M443" s="348"/>
      <c r="N443" s="348"/>
      <c r="O443" s="348"/>
      <c r="P443" s="347"/>
      <c r="Q443" s="347"/>
      <c r="R443" s="347"/>
      <c r="S443" s="347"/>
      <c r="T443" s="347"/>
      <c r="U443" s="347"/>
      <c r="V443" s="347"/>
      <c r="W443" s="347"/>
      <c r="X443" s="347"/>
      <c r="Y443" s="347"/>
      <c r="Z443" s="347"/>
      <c r="AA443" s="604"/>
      <c r="AB443" s="347"/>
      <c r="AC443" s="590"/>
      <c r="AD443" s="347"/>
      <c r="AE443" s="347"/>
      <c r="AF443" s="347"/>
      <c r="AG443" s="347"/>
      <c r="AH443" s="347"/>
      <c r="AI443" s="347"/>
      <c r="AJ443" s="347"/>
      <c r="AK443" s="347"/>
      <c r="AL443" s="347"/>
      <c r="AM443" s="347"/>
      <c r="AN443" s="347"/>
      <c r="AO443" s="347"/>
      <c r="AP443" s="347"/>
      <c r="AQ443" s="347"/>
      <c r="AR443" s="347"/>
      <c r="AS443" s="347"/>
      <c r="AT443" s="347"/>
      <c r="AU443" s="347"/>
      <c r="AV443" s="347"/>
      <c r="AW443" s="347"/>
      <c r="AX443" s="347"/>
      <c r="AY443" s="347"/>
      <c r="AZ443" s="347"/>
      <c r="BA443" s="347"/>
      <c r="BB443" s="347"/>
      <c r="BC443" s="347"/>
      <c r="BD443" s="347"/>
      <c r="BE443" s="347"/>
      <c r="BF443" s="347"/>
      <c r="BG443" s="347"/>
      <c r="BH443" s="347"/>
    </row>
    <row r="444">
      <c r="A444" s="347"/>
      <c r="B444" s="347"/>
      <c r="C444" s="347"/>
      <c r="D444" s="347"/>
      <c r="E444" s="347"/>
      <c r="F444" s="347"/>
      <c r="G444" s="347"/>
      <c r="H444" s="347"/>
      <c r="I444" s="347"/>
      <c r="J444" s="347"/>
      <c r="K444" s="348"/>
      <c r="L444" s="348"/>
      <c r="M444" s="348"/>
      <c r="N444" s="348"/>
      <c r="O444" s="348"/>
      <c r="P444" s="347"/>
      <c r="Q444" s="347"/>
      <c r="R444" s="347"/>
      <c r="S444" s="347"/>
      <c r="T444" s="347"/>
      <c r="U444" s="347"/>
      <c r="V444" s="347"/>
      <c r="W444" s="347"/>
      <c r="X444" s="347"/>
      <c r="Y444" s="347"/>
      <c r="Z444" s="347"/>
      <c r="AA444" s="604"/>
      <c r="AB444" s="347"/>
      <c r="AC444" s="590"/>
      <c r="AD444" s="347"/>
      <c r="AE444" s="347"/>
      <c r="AF444" s="347"/>
      <c r="AG444" s="347"/>
      <c r="AH444" s="347"/>
      <c r="AI444" s="347"/>
      <c r="AJ444" s="347"/>
      <c r="AK444" s="347"/>
      <c r="AL444" s="347"/>
      <c r="AM444" s="347"/>
      <c r="AN444" s="347"/>
      <c r="AO444" s="347"/>
      <c r="AP444" s="347"/>
      <c r="AQ444" s="347"/>
      <c r="AR444" s="347"/>
      <c r="AS444" s="347"/>
      <c r="AT444" s="347"/>
      <c r="AU444" s="347"/>
      <c r="AV444" s="347"/>
      <c r="AW444" s="347"/>
      <c r="AX444" s="347"/>
      <c r="AY444" s="347"/>
      <c r="AZ444" s="347"/>
      <c r="BA444" s="347"/>
      <c r="BB444" s="347"/>
      <c r="BC444" s="347"/>
      <c r="BD444" s="347"/>
      <c r="BE444" s="347"/>
      <c r="BF444" s="347"/>
      <c r="BG444" s="347"/>
      <c r="BH444" s="347"/>
    </row>
    <row r="445">
      <c r="A445" s="347"/>
      <c r="B445" s="347"/>
      <c r="C445" s="347"/>
      <c r="D445" s="347"/>
      <c r="E445" s="347"/>
      <c r="F445" s="347"/>
      <c r="G445" s="347"/>
      <c r="H445" s="347"/>
      <c r="I445" s="347"/>
      <c r="J445" s="347"/>
      <c r="K445" s="348"/>
      <c r="L445" s="348"/>
      <c r="M445" s="348"/>
      <c r="N445" s="348"/>
      <c r="O445" s="348"/>
      <c r="P445" s="347"/>
      <c r="Q445" s="347"/>
      <c r="R445" s="347"/>
      <c r="S445" s="347"/>
      <c r="T445" s="347"/>
      <c r="U445" s="347"/>
      <c r="V445" s="347"/>
      <c r="W445" s="347"/>
      <c r="X445" s="347"/>
      <c r="Y445" s="347"/>
      <c r="Z445" s="347"/>
      <c r="AA445" s="604"/>
      <c r="AB445" s="347"/>
      <c r="AC445" s="590"/>
      <c r="AD445" s="347"/>
      <c r="AE445" s="347"/>
      <c r="AF445" s="347"/>
      <c r="AG445" s="347"/>
      <c r="AH445" s="347"/>
      <c r="AI445" s="347"/>
      <c r="AJ445" s="347"/>
      <c r="AK445" s="347"/>
      <c r="AL445" s="347"/>
      <c r="AM445" s="347"/>
      <c r="AN445" s="347"/>
      <c r="AO445" s="347"/>
      <c r="AP445" s="347"/>
      <c r="AQ445" s="347"/>
      <c r="AR445" s="347"/>
      <c r="AS445" s="347"/>
      <c r="AT445" s="347"/>
      <c r="AU445" s="347"/>
      <c r="AV445" s="347"/>
      <c r="AW445" s="347"/>
      <c r="AX445" s="347"/>
      <c r="AY445" s="347"/>
      <c r="AZ445" s="347"/>
      <c r="BA445" s="347"/>
      <c r="BB445" s="347"/>
      <c r="BC445" s="347"/>
      <c r="BD445" s="347"/>
      <c r="BE445" s="347"/>
      <c r="BF445" s="347"/>
      <c r="BG445" s="347"/>
      <c r="BH445" s="347"/>
    </row>
    <row r="446">
      <c r="A446" s="347"/>
      <c r="B446" s="347"/>
      <c r="C446" s="347"/>
      <c r="D446" s="347"/>
      <c r="E446" s="347"/>
      <c r="F446" s="347"/>
      <c r="G446" s="347"/>
      <c r="H446" s="347"/>
      <c r="I446" s="347"/>
      <c r="J446" s="347"/>
      <c r="K446" s="348"/>
      <c r="L446" s="348"/>
      <c r="M446" s="348"/>
      <c r="N446" s="348"/>
      <c r="O446" s="348"/>
      <c r="P446" s="347"/>
      <c r="Q446" s="347"/>
      <c r="R446" s="347"/>
      <c r="S446" s="347"/>
      <c r="T446" s="347"/>
      <c r="U446" s="347"/>
      <c r="V446" s="347"/>
      <c r="W446" s="347"/>
      <c r="X446" s="347"/>
      <c r="Y446" s="347"/>
      <c r="Z446" s="347"/>
      <c r="AA446" s="604"/>
      <c r="AB446" s="347"/>
      <c r="AC446" s="590"/>
      <c r="AD446" s="347"/>
      <c r="AE446" s="347"/>
      <c r="AF446" s="347"/>
      <c r="AG446" s="347"/>
      <c r="AH446" s="347"/>
      <c r="AI446" s="347"/>
      <c r="AJ446" s="347"/>
      <c r="AK446" s="347"/>
      <c r="AL446" s="347"/>
      <c r="AM446" s="347"/>
      <c r="AN446" s="347"/>
      <c r="AO446" s="347"/>
      <c r="AP446" s="347"/>
      <c r="AQ446" s="347"/>
      <c r="AR446" s="347"/>
      <c r="AS446" s="347"/>
      <c r="AT446" s="347"/>
      <c r="AU446" s="347"/>
      <c r="AV446" s="347"/>
      <c r="AW446" s="347"/>
      <c r="AX446" s="347"/>
      <c r="AY446" s="347"/>
      <c r="AZ446" s="347"/>
      <c r="BA446" s="347"/>
      <c r="BB446" s="347"/>
      <c r="BC446" s="347"/>
      <c r="BD446" s="347"/>
      <c r="BE446" s="347"/>
      <c r="BF446" s="347"/>
      <c r="BG446" s="347"/>
      <c r="BH446" s="347"/>
    </row>
    <row r="447">
      <c r="A447" s="347"/>
      <c r="B447" s="347"/>
      <c r="C447" s="347"/>
      <c r="D447" s="347"/>
      <c r="E447" s="347"/>
      <c r="F447" s="347"/>
      <c r="G447" s="347"/>
      <c r="H447" s="347"/>
      <c r="I447" s="347"/>
      <c r="J447" s="347"/>
      <c r="K447" s="348"/>
      <c r="L447" s="348"/>
      <c r="M447" s="348"/>
      <c r="N447" s="348"/>
      <c r="O447" s="348"/>
      <c r="P447" s="347"/>
      <c r="Q447" s="347"/>
      <c r="R447" s="347"/>
      <c r="S447" s="347"/>
      <c r="T447" s="347"/>
      <c r="U447" s="347"/>
      <c r="V447" s="347"/>
      <c r="W447" s="347"/>
      <c r="X447" s="347"/>
      <c r="Y447" s="347"/>
      <c r="Z447" s="347"/>
      <c r="AA447" s="604"/>
      <c r="AB447" s="347"/>
      <c r="AC447" s="590"/>
      <c r="AD447" s="347"/>
      <c r="AE447" s="347"/>
      <c r="AF447" s="347"/>
      <c r="AG447" s="347"/>
      <c r="AH447" s="347"/>
      <c r="AI447" s="347"/>
      <c r="AJ447" s="347"/>
      <c r="AK447" s="347"/>
      <c r="AL447" s="347"/>
      <c r="AM447" s="347"/>
      <c r="AN447" s="347"/>
      <c r="AO447" s="347"/>
      <c r="AP447" s="347"/>
      <c r="AQ447" s="347"/>
      <c r="AR447" s="347"/>
      <c r="AS447" s="347"/>
      <c r="AT447" s="347"/>
      <c r="AU447" s="347"/>
      <c r="AV447" s="347"/>
      <c r="AW447" s="347"/>
      <c r="AX447" s="347"/>
      <c r="AY447" s="347"/>
      <c r="AZ447" s="347"/>
      <c r="BA447" s="347"/>
      <c r="BB447" s="347"/>
      <c r="BC447" s="347"/>
      <c r="BD447" s="347"/>
      <c r="BE447" s="347"/>
      <c r="BF447" s="347"/>
      <c r="BG447" s="347"/>
      <c r="BH447" s="347"/>
    </row>
    <row r="448">
      <c r="A448" s="347"/>
      <c r="B448" s="347"/>
      <c r="C448" s="347"/>
      <c r="D448" s="347"/>
      <c r="E448" s="347"/>
      <c r="F448" s="347"/>
      <c r="G448" s="347"/>
      <c r="H448" s="347"/>
      <c r="I448" s="347"/>
      <c r="J448" s="347"/>
      <c r="K448" s="348"/>
      <c r="L448" s="348"/>
      <c r="M448" s="348"/>
      <c r="N448" s="348"/>
      <c r="O448" s="348"/>
      <c r="P448" s="347"/>
      <c r="Q448" s="347"/>
      <c r="R448" s="347"/>
      <c r="S448" s="347"/>
      <c r="T448" s="347"/>
      <c r="U448" s="347"/>
      <c r="V448" s="347"/>
      <c r="W448" s="347"/>
      <c r="X448" s="347"/>
      <c r="Y448" s="347"/>
      <c r="Z448" s="347"/>
      <c r="AA448" s="604"/>
      <c r="AB448" s="347"/>
      <c r="AC448" s="590"/>
      <c r="AD448" s="347"/>
      <c r="AE448" s="347"/>
      <c r="AF448" s="347"/>
      <c r="AG448" s="347"/>
      <c r="AH448" s="347"/>
      <c r="AI448" s="347"/>
      <c r="AJ448" s="347"/>
      <c r="AK448" s="347"/>
      <c r="AL448" s="347"/>
      <c r="AM448" s="347"/>
      <c r="AN448" s="347"/>
      <c r="AO448" s="347"/>
      <c r="AP448" s="347"/>
      <c r="AQ448" s="347"/>
      <c r="AR448" s="347"/>
      <c r="AS448" s="347"/>
      <c r="AT448" s="347"/>
      <c r="AU448" s="347"/>
      <c r="AV448" s="347"/>
      <c r="AW448" s="347"/>
      <c r="AX448" s="347"/>
      <c r="AY448" s="347"/>
      <c r="AZ448" s="347"/>
      <c r="BA448" s="347"/>
      <c r="BB448" s="347"/>
      <c r="BC448" s="347"/>
      <c r="BD448" s="347"/>
      <c r="BE448" s="347"/>
      <c r="BF448" s="347"/>
      <c r="BG448" s="347"/>
      <c r="BH448" s="347"/>
    </row>
    <row r="449">
      <c r="A449" s="347"/>
      <c r="B449" s="347"/>
      <c r="C449" s="347"/>
      <c r="D449" s="347"/>
      <c r="E449" s="347"/>
      <c r="F449" s="347"/>
      <c r="G449" s="347"/>
      <c r="H449" s="347"/>
      <c r="I449" s="347"/>
      <c r="J449" s="347"/>
      <c r="K449" s="348"/>
      <c r="L449" s="348"/>
      <c r="M449" s="348"/>
      <c r="N449" s="348"/>
      <c r="O449" s="348"/>
      <c r="P449" s="347"/>
      <c r="Q449" s="347"/>
      <c r="R449" s="347"/>
      <c r="S449" s="347"/>
      <c r="T449" s="347"/>
      <c r="U449" s="347"/>
      <c r="V449" s="347"/>
      <c r="W449" s="347"/>
      <c r="X449" s="347"/>
      <c r="Y449" s="347"/>
      <c r="Z449" s="347"/>
      <c r="AA449" s="604"/>
      <c r="AB449" s="347"/>
      <c r="AC449" s="590"/>
      <c r="AD449" s="347"/>
      <c r="AE449" s="347"/>
      <c r="AF449" s="347"/>
      <c r="AG449" s="347"/>
      <c r="AH449" s="347"/>
      <c r="AI449" s="347"/>
      <c r="AJ449" s="347"/>
      <c r="AK449" s="347"/>
      <c r="AL449" s="347"/>
      <c r="AM449" s="347"/>
      <c r="AN449" s="347"/>
      <c r="AO449" s="347"/>
      <c r="AP449" s="347"/>
      <c r="AQ449" s="347"/>
      <c r="AR449" s="347"/>
      <c r="AS449" s="347"/>
      <c r="AT449" s="347"/>
      <c r="AU449" s="347"/>
      <c r="AV449" s="347"/>
      <c r="AW449" s="347"/>
      <c r="AX449" s="347"/>
      <c r="AY449" s="347"/>
      <c r="AZ449" s="347"/>
      <c r="BA449" s="347"/>
      <c r="BB449" s="347"/>
      <c r="BC449" s="347"/>
      <c r="BD449" s="347"/>
      <c r="BE449" s="347"/>
      <c r="BF449" s="347"/>
      <c r="BG449" s="347"/>
      <c r="BH449" s="347"/>
    </row>
    <row r="450">
      <c r="A450" s="347"/>
      <c r="B450" s="347"/>
      <c r="C450" s="347"/>
      <c r="D450" s="347"/>
      <c r="E450" s="347"/>
      <c r="F450" s="347"/>
      <c r="G450" s="347"/>
      <c r="H450" s="347"/>
      <c r="I450" s="347"/>
      <c r="J450" s="347"/>
      <c r="K450" s="348"/>
      <c r="L450" s="348"/>
      <c r="M450" s="348"/>
      <c r="N450" s="348"/>
      <c r="O450" s="348"/>
      <c r="P450" s="347"/>
      <c r="Q450" s="347"/>
      <c r="R450" s="347"/>
      <c r="S450" s="347"/>
      <c r="T450" s="347"/>
      <c r="U450" s="347"/>
      <c r="V450" s="347"/>
      <c r="W450" s="347"/>
      <c r="X450" s="347"/>
      <c r="Y450" s="347"/>
      <c r="Z450" s="347"/>
      <c r="AA450" s="604"/>
      <c r="AB450" s="347"/>
      <c r="AC450" s="590"/>
      <c r="AD450" s="347"/>
      <c r="AE450" s="347"/>
      <c r="AF450" s="347"/>
      <c r="AG450" s="347"/>
      <c r="AH450" s="347"/>
      <c r="AI450" s="347"/>
      <c r="AJ450" s="347"/>
      <c r="AK450" s="347"/>
      <c r="AL450" s="347"/>
      <c r="AM450" s="347"/>
      <c r="AN450" s="347"/>
      <c r="AO450" s="347"/>
      <c r="AP450" s="347"/>
      <c r="AQ450" s="347"/>
      <c r="AR450" s="347"/>
      <c r="AS450" s="347"/>
      <c r="AT450" s="347"/>
      <c r="AU450" s="347"/>
      <c r="AV450" s="347"/>
      <c r="AW450" s="347"/>
      <c r="AX450" s="347"/>
      <c r="AY450" s="347"/>
      <c r="AZ450" s="347"/>
      <c r="BA450" s="347"/>
      <c r="BB450" s="347"/>
      <c r="BC450" s="347"/>
      <c r="BD450" s="347"/>
      <c r="BE450" s="347"/>
      <c r="BF450" s="347"/>
      <c r="BG450" s="347"/>
      <c r="BH450" s="347"/>
    </row>
    <row r="451">
      <c r="A451" s="347"/>
      <c r="B451" s="347"/>
      <c r="C451" s="347"/>
      <c r="D451" s="347"/>
      <c r="E451" s="347"/>
      <c r="F451" s="347"/>
      <c r="G451" s="347"/>
      <c r="H451" s="347"/>
      <c r="I451" s="347"/>
      <c r="J451" s="347"/>
      <c r="K451" s="348"/>
      <c r="L451" s="348"/>
      <c r="M451" s="348"/>
      <c r="N451" s="348"/>
      <c r="O451" s="348"/>
      <c r="P451" s="347"/>
      <c r="Q451" s="347"/>
      <c r="R451" s="347"/>
      <c r="S451" s="347"/>
      <c r="T451" s="347"/>
      <c r="U451" s="347"/>
      <c r="V451" s="347"/>
      <c r="W451" s="347"/>
      <c r="X451" s="347"/>
      <c r="Y451" s="347"/>
      <c r="Z451" s="347"/>
      <c r="AA451" s="604"/>
      <c r="AB451" s="347"/>
      <c r="AC451" s="590"/>
      <c r="AD451" s="347"/>
      <c r="AE451" s="347"/>
      <c r="AF451" s="347"/>
      <c r="AG451" s="347"/>
      <c r="AH451" s="347"/>
      <c r="AI451" s="347"/>
      <c r="AJ451" s="347"/>
      <c r="AK451" s="347"/>
      <c r="AL451" s="347"/>
      <c r="AM451" s="347"/>
      <c r="AN451" s="347"/>
      <c r="AO451" s="347"/>
      <c r="AP451" s="347"/>
      <c r="AQ451" s="347"/>
      <c r="AR451" s="347"/>
      <c r="AS451" s="347"/>
      <c r="AT451" s="347"/>
      <c r="AU451" s="347"/>
      <c r="AV451" s="347"/>
      <c r="AW451" s="347"/>
      <c r="AX451" s="347"/>
      <c r="AY451" s="347"/>
      <c r="AZ451" s="347"/>
      <c r="BA451" s="347"/>
      <c r="BB451" s="347"/>
      <c r="BC451" s="347"/>
      <c r="BD451" s="347"/>
      <c r="BE451" s="347"/>
      <c r="BF451" s="347"/>
      <c r="BG451" s="347"/>
      <c r="BH451" s="347"/>
    </row>
    <row r="452">
      <c r="A452" s="347"/>
      <c r="B452" s="347"/>
      <c r="C452" s="347"/>
      <c r="D452" s="347"/>
      <c r="E452" s="347"/>
      <c r="F452" s="347"/>
      <c r="G452" s="347"/>
      <c r="H452" s="347"/>
      <c r="I452" s="347"/>
      <c r="J452" s="347"/>
      <c r="K452" s="348"/>
      <c r="L452" s="348"/>
      <c r="M452" s="348"/>
      <c r="N452" s="348"/>
      <c r="O452" s="348"/>
      <c r="P452" s="347"/>
      <c r="Q452" s="347"/>
      <c r="R452" s="347"/>
      <c r="S452" s="347"/>
      <c r="T452" s="347"/>
      <c r="U452" s="347"/>
      <c r="V452" s="347"/>
      <c r="W452" s="347"/>
      <c r="X452" s="347"/>
      <c r="Y452" s="347"/>
      <c r="Z452" s="347"/>
      <c r="AA452" s="604"/>
      <c r="AB452" s="347"/>
      <c r="AC452" s="590"/>
      <c r="AD452" s="347"/>
      <c r="AE452" s="347"/>
      <c r="AF452" s="347"/>
      <c r="AG452" s="347"/>
      <c r="AH452" s="347"/>
      <c r="AI452" s="347"/>
      <c r="AJ452" s="347"/>
      <c r="AK452" s="347"/>
      <c r="AL452" s="347"/>
      <c r="AM452" s="347"/>
      <c r="AN452" s="347"/>
      <c r="AO452" s="347"/>
      <c r="AP452" s="347"/>
      <c r="AQ452" s="347"/>
      <c r="AR452" s="347"/>
      <c r="AS452" s="347"/>
      <c r="AT452" s="347"/>
      <c r="AU452" s="347"/>
      <c r="AV452" s="347"/>
      <c r="AW452" s="347"/>
      <c r="AX452" s="347"/>
      <c r="AY452" s="347"/>
      <c r="AZ452" s="347"/>
      <c r="BA452" s="347"/>
      <c r="BB452" s="347"/>
      <c r="BC452" s="347"/>
      <c r="BD452" s="347"/>
      <c r="BE452" s="347"/>
      <c r="BF452" s="347"/>
      <c r="BG452" s="347"/>
      <c r="BH452" s="347"/>
    </row>
    <row r="453">
      <c r="A453" s="347"/>
      <c r="B453" s="347"/>
      <c r="C453" s="347"/>
      <c r="D453" s="347"/>
      <c r="E453" s="347"/>
      <c r="F453" s="347"/>
      <c r="G453" s="347"/>
      <c r="H453" s="347"/>
      <c r="I453" s="347"/>
      <c r="J453" s="347"/>
      <c r="K453" s="348"/>
      <c r="L453" s="348"/>
      <c r="M453" s="348"/>
      <c r="N453" s="348"/>
      <c r="O453" s="348"/>
      <c r="P453" s="347"/>
      <c r="Q453" s="347"/>
      <c r="R453" s="347"/>
      <c r="S453" s="347"/>
      <c r="T453" s="347"/>
      <c r="U453" s="347"/>
      <c r="V453" s="347"/>
      <c r="W453" s="347"/>
      <c r="X453" s="347"/>
      <c r="Y453" s="347"/>
      <c r="Z453" s="347"/>
      <c r="AA453" s="604"/>
      <c r="AB453" s="347"/>
      <c r="AC453" s="590"/>
      <c r="AD453" s="347"/>
      <c r="AE453" s="347"/>
      <c r="AF453" s="347"/>
      <c r="AG453" s="347"/>
      <c r="AH453" s="347"/>
      <c r="AI453" s="347"/>
      <c r="AJ453" s="347"/>
      <c r="AK453" s="347"/>
      <c r="AL453" s="347"/>
      <c r="AM453" s="347"/>
      <c r="AN453" s="347"/>
      <c r="AO453" s="347"/>
      <c r="AP453" s="347"/>
      <c r="AQ453" s="347"/>
      <c r="AR453" s="347"/>
      <c r="AS453" s="347"/>
      <c r="AT453" s="347"/>
      <c r="AU453" s="347"/>
      <c r="AV453" s="347"/>
      <c r="AW453" s="347"/>
      <c r="AX453" s="347"/>
      <c r="AY453" s="347"/>
      <c r="AZ453" s="347"/>
      <c r="BA453" s="347"/>
      <c r="BB453" s="347"/>
      <c r="BC453" s="347"/>
      <c r="BD453" s="347"/>
      <c r="BE453" s="347"/>
      <c r="BF453" s="347"/>
      <c r="BG453" s="347"/>
      <c r="BH453" s="347"/>
    </row>
    <row r="454">
      <c r="A454" s="347"/>
      <c r="B454" s="347"/>
      <c r="C454" s="347"/>
      <c r="D454" s="347"/>
      <c r="E454" s="347"/>
      <c r="F454" s="347"/>
      <c r="G454" s="347"/>
      <c r="H454" s="347"/>
      <c r="I454" s="347"/>
      <c r="J454" s="347"/>
      <c r="K454" s="348"/>
      <c r="L454" s="348"/>
      <c r="M454" s="348"/>
      <c r="N454" s="348"/>
      <c r="O454" s="348"/>
      <c r="P454" s="347"/>
      <c r="Q454" s="347"/>
      <c r="R454" s="347"/>
      <c r="S454" s="347"/>
      <c r="T454" s="347"/>
      <c r="U454" s="347"/>
      <c r="V454" s="347"/>
      <c r="W454" s="347"/>
      <c r="X454" s="347"/>
      <c r="Y454" s="347"/>
      <c r="Z454" s="347"/>
      <c r="AA454" s="604"/>
      <c r="AB454" s="347"/>
      <c r="AC454" s="590"/>
      <c r="AD454" s="347"/>
      <c r="AE454" s="347"/>
      <c r="AF454" s="347"/>
      <c r="AG454" s="347"/>
      <c r="AH454" s="347"/>
      <c r="AI454" s="347"/>
      <c r="AJ454" s="347"/>
      <c r="AK454" s="347"/>
      <c r="AL454" s="347"/>
      <c r="AM454" s="347"/>
      <c r="AN454" s="347"/>
      <c r="AO454" s="347"/>
      <c r="AP454" s="347"/>
      <c r="AQ454" s="347"/>
      <c r="AR454" s="347"/>
      <c r="AS454" s="347"/>
      <c r="AT454" s="347"/>
      <c r="AU454" s="347"/>
      <c r="AV454" s="347"/>
      <c r="AW454" s="347"/>
      <c r="AX454" s="347"/>
      <c r="AY454" s="347"/>
      <c r="AZ454" s="347"/>
      <c r="BA454" s="347"/>
      <c r="BB454" s="347"/>
      <c r="BC454" s="347"/>
      <c r="BD454" s="347"/>
      <c r="BE454" s="347"/>
      <c r="BF454" s="347"/>
      <c r="BG454" s="347"/>
      <c r="BH454" s="347"/>
    </row>
    <row r="455">
      <c r="A455" s="347"/>
      <c r="B455" s="347"/>
      <c r="C455" s="347"/>
      <c r="D455" s="347"/>
      <c r="E455" s="347"/>
      <c r="F455" s="347"/>
      <c r="G455" s="347"/>
      <c r="H455" s="347"/>
      <c r="I455" s="347"/>
      <c r="J455" s="347"/>
      <c r="K455" s="348"/>
      <c r="L455" s="348"/>
      <c r="M455" s="348"/>
      <c r="N455" s="348"/>
      <c r="O455" s="348"/>
      <c r="P455" s="347"/>
      <c r="Q455" s="347"/>
      <c r="R455" s="347"/>
      <c r="S455" s="347"/>
      <c r="T455" s="347"/>
      <c r="U455" s="347"/>
      <c r="V455" s="347"/>
      <c r="W455" s="347"/>
      <c r="X455" s="347"/>
      <c r="Y455" s="347"/>
      <c r="Z455" s="347"/>
      <c r="AA455" s="604"/>
      <c r="AB455" s="347"/>
      <c r="AC455" s="590"/>
      <c r="AD455" s="347"/>
      <c r="AE455" s="347"/>
      <c r="AF455" s="347"/>
      <c r="AG455" s="347"/>
      <c r="AH455" s="347"/>
      <c r="AI455" s="347"/>
      <c r="AJ455" s="347"/>
      <c r="AK455" s="347"/>
      <c r="AL455" s="347"/>
      <c r="AM455" s="347"/>
      <c r="AN455" s="347"/>
      <c r="AO455" s="347"/>
      <c r="AP455" s="347"/>
      <c r="AQ455" s="347"/>
      <c r="AR455" s="347"/>
      <c r="AS455" s="347"/>
      <c r="AT455" s="347"/>
      <c r="AU455" s="347"/>
      <c r="AV455" s="347"/>
      <c r="AW455" s="347"/>
      <c r="AX455" s="347"/>
      <c r="AY455" s="347"/>
      <c r="AZ455" s="347"/>
      <c r="BA455" s="347"/>
      <c r="BB455" s="347"/>
      <c r="BC455" s="347"/>
      <c r="BD455" s="347"/>
      <c r="BE455" s="347"/>
      <c r="BF455" s="347"/>
      <c r="BG455" s="347"/>
      <c r="BH455" s="347"/>
    </row>
    <row r="456">
      <c r="A456" s="347"/>
      <c r="B456" s="347"/>
      <c r="C456" s="347"/>
      <c r="D456" s="347"/>
      <c r="E456" s="347"/>
      <c r="F456" s="347"/>
      <c r="G456" s="347"/>
      <c r="H456" s="347"/>
      <c r="I456" s="347"/>
      <c r="J456" s="347"/>
      <c r="K456" s="348"/>
      <c r="L456" s="348"/>
      <c r="M456" s="348"/>
      <c r="N456" s="348"/>
      <c r="O456" s="348"/>
      <c r="P456" s="347"/>
      <c r="Q456" s="347"/>
      <c r="R456" s="347"/>
      <c r="S456" s="347"/>
      <c r="T456" s="347"/>
      <c r="U456" s="347"/>
      <c r="V456" s="347"/>
      <c r="W456" s="347"/>
      <c r="X456" s="347"/>
      <c r="Y456" s="347"/>
      <c r="Z456" s="347"/>
      <c r="AA456" s="604"/>
      <c r="AB456" s="347"/>
      <c r="AC456" s="590"/>
      <c r="AD456" s="347"/>
      <c r="AE456" s="347"/>
      <c r="AF456" s="347"/>
      <c r="AG456" s="347"/>
      <c r="AH456" s="347"/>
      <c r="AI456" s="347"/>
      <c r="AJ456" s="347"/>
      <c r="AK456" s="347"/>
      <c r="AL456" s="347"/>
      <c r="AM456" s="347"/>
      <c r="AN456" s="347"/>
      <c r="AO456" s="347"/>
      <c r="AP456" s="347"/>
      <c r="AQ456" s="347"/>
      <c r="AR456" s="347"/>
      <c r="AS456" s="347"/>
      <c r="AT456" s="347"/>
      <c r="AU456" s="347"/>
      <c r="AV456" s="347"/>
      <c r="AW456" s="347"/>
      <c r="AX456" s="347"/>
      <c r="AY456" s="347"/>
      <c r="AZ456" s="347"/>
      <c r="BA456" s="347"/>
      <c r="BB456" s="347"/>
      <c r="BC456" s="347"/>
      <c r="BD456" s="347"/>
      <c r="BE456" s="347"/>
      <c r="BF456" s="347"/>
      <c r="BG456" s="347"/>
      <c r="BH456" s="347"/>
    </row>
    <row r="457">
      <c r="A457" s="347"/>
      <c r="B457" s="347"/>
      <c r="C457" s="347"/>
      <c r="D457" s="347"/>
      <c r="E457" s="347"/>
      <c r="F457" s="347"/>
      <c r="G457" s="347"/>
      <c r="H457" s="347"/>
      <c r="I457" s="347"/>
      <c r="J457" s="347"/>
      <c r="K457" s="348"/>
      <c r="L457" s="348"/>
      <c r="M457" s="348"/>
      <c r="N457" s="348"/>
      <c r="O457" s="348"/>
      <c r="P457" s="347"/>
      <c r="Q457" s="347"/>
      <c r="R457" s="347"/>
      <c r="S457" s="347"/>
      <c r="T457" s="347"/>
      <c r="U457" s="347"/>
      <c r="V457" s="347"/>
      <c r="W457" s="347"/>
      <c r="X457" s="347"/>
      <c r="Y457" s="347"/>
      <c r="Z457" s="347"/>
      <c r="AA457" s="604"/>
      <c r="AB457" s="347"/>
      <c r="AC457" s="590"/>
      <c r="AD457" s="347"/>
      <c r="AE457" s="347"/>
      <c r="AF457" s="347"/>
      <c r="AG457" s="347"/>
      <c r="AH457" s="347"/>
      <c r="AI457" s="347"/>
      <c r="AJ457" s="347"/>
      <c r="AK457" s="347"/>
      <c r="AL457" s="347"/>
      <c r="AM457" s="347"/>
      <c r="AN457" s="347"/>
      <c r="AO457" s="347"/>
      <c r="AP457" s="347"/>
      <c r="AQ457" s="347"/>
      <c r="AR457" s="347"/>
      <c r="AS457" s="347"/>
      <c r="AT457" s="347"/>
      <c r="AU457" s="347"/>
      <c r="AV457" s="347"/>
      <c r="AW457" s="347"/>
      <c r="AX457" s="347"/>
      <c r="AY457" s="347"/>
      <c r="AZ457" s="347"/>
      <c r="BA457" s="347"/>
      <c r="BB457" s="347"/>
      <c r="BC457" s="347"/>
      <c r="BD457" s="347"/>
      <c r="BE457" s="347"/>
      <c r="BF457" s="347"/>
      <c r="BG457" s="347"/>
      <c r="BH457" s="347"/>
    </row>
    <row r="458">
      <c r="A458" s="347"/>
      <c r="B458" s="347"/>
      <c r="C458" s="347"/>
      <c r="D458" s="347"/>
      <c r="E458" s="347"/>
      <c r="F458" s="347"/>
      <c r="G458" s="347"/>
      <c r="H458" s="347"/>
      <c r="I458" s="347"/>
      <c r="J458" s="347"/>
      <c r="K458" s="348"/>
      <c r="L458" s="348"/>
      <c r="M458" s="348"/>
      <c r="N458" s="348"/>
      <c r="O458" s="348"/>
      <c r="P458" s="347"/>
      <c r="Q458" s="347"/>
      <c r="R458" s="347"/>
      <c r="S458" s="347"/>
      <c r="T458" s="347"/>
      <c r="U458" s="347"/>
      <c r="V458" s="347"/>
      <c r="W458" s="347"/>
      <c r="X458" s="347"/>
      <c r="Y458" s="347"/>
      <c r="Z458" s="347"/>
      <c r="AA458" s="604"/>
      <c r="AB458" s="347"/>
      <c r="AC458" s="590"/>
      <c r="AD458" s="347"/>
      <c r="AE458" s="347"/>
      <c r="AF458" s="347"/>
      <c r="AG458" s="347"/>
      <c r="AH458" s="347"/>
      <c r="AI458" s="347"/>
      <c r="AJ458" s="347"/>
      <c r="AK458" s="347"/>
      <c r="AL458" s="347"/>
      <c r="AM458" s="347"/>
      <c r="AN458" s="347"/>
      <c r="AO458" s="347"/>
      <c r="AP458" s="347"/>
      <c r="AQ458" s="347"/>
      <c r="AR458" s="347"/>
      <c r="AS458" s="347"/>
      <c r="AT458" s="347"/>
      <c r="AU458" s="347"/>
      <c r="AV458" s="347"/>
      <c r="AW458" s="347"/>
      <c r="AX458" s="347"/>
      <c r="AY458" s="347"/>
      <c r="AZ458" s="347"/>
      <c r="BA458" s="347"/>
      <c r="BB458" s="347"/>
      <c r="BC458" s="347"/>
      <c r="BD458" s="347"/>
      <c r="BE458" s="347"/>
      <c r="BF458" s="347"/>
      <c r="BG458" s="347"/>
      <c r="BH458" s="347"/>
    </row>
    <row r="459">
      <c r="A459" s="347"/>
      <c r="B459" s="347"/>
      <c r="C459" s="347"/>
      <c r="D459" s="347"/>
      <c r="E459" s="347"/>
      <c r="F459" s="347"/>
      <c r="G459" s="347"/>
      <c r="H459" s="347"/>
      <c r="I459" s="347"/>
      <c r="J459" s="347"/>
      <c r="K459" s="348"/>
      <c r="L459" s="348"/>
      <c r="M459" s="348"/>
      <c r="N459" s="348"/>
      <c r="O459" s="348"/>
      <c r="P459" s="347"/>
      <c r="Q459" s="347"/>
      <c r="R459" s="347"/>
      <c r="S459" s="347"/>
      <c r="T459" s="347"/>
      <c r="U459" s="347"/>
      <c r="V459" s="347"/>
      <c r="W459" s="347"/>
      <c r="X459" s="347"/>
      <c r="Y459" s="347"/>
      <c r="Z459" s="347"/>
      <c r="AA459" s="604"/>
      <c r="AB459" s="347"/>
      <c r="AC459" s="590"/>
      <c r="AD459" s="347"/>
      <c r="AE459" s="347"/>
      <c r="AF459" s="347"/>
      <c r="AG459" s="347"/>
      <c r="AH459" s="347"/>
      <c r="AI459" s="347"/>
      <c r="AJ459" s="347"/>
      <c r="AK459" s="347"/>
      <c r="AL459" s="347"/>
      <c r="AM459" s="347"/>
      <c r="AN459" s="347"/>
      <c r="AO459" s="347"/>
      <c r="AP459" s="347"/>
      <c r="AQ459" s="347"/>
      <c r="AR459" s="347"/>
      <c r="AS459" s="347"/>
      <c r="AT459" s="347"/>
      <c r="AU459" s="347"/>
      <c r="AV459" s="347"/>
      <c r="AW459" s="347"/>
      <c r="AX459" s="347"/>
      <c r="AY459" s="347"/>
      <c r="AZ459" s="347"/>
      <c r="BA459" s="347"/>
      <c r="BB459" s="347"/>
      <c r="BC459" s="347"/>
      <c r="BD459" s="347"/>
      <c r="BE459" s="347"/>
      <c r="BF459" s="347"/>
      <c r="BG459" s="347"/>
      <c r="BH459" s="347"/>
    </row>
    <row r="460">
      <c r="A460" s="347"/>
      <c r="B460" s="347"/>
      <c r="C460" s="347"/>
      <c r="D460" s="347"/>
      <c r="E460" s="347"/>
      <c r="F460" s="347"/>
      <c r="G460" s="347"/>
      <c r="H460" s="347"/>
      <c r="I460" s="347"/>
      <c r="J460" s="347"/>
      <c r="K460" s="348"/>
      <c r="L460" s="348"/>
      <c r="M460" s="348"/>
      <c r="N460" s="348"/>
      <c r="O460" s="348"/>
      <c r="P460" s="347"/>
      <c r="Q460" s="347"/>
      <c r="R460" s="347"/>
      <c r="S460" s="347"/>
      <c r="T460" s="347"/>
      <c r="U460" s="347"/>
      <c r="V460" s="347"/>
      <c r="W460" s="347"/>
      <c r="X460" s="347"/>
      <c r="Y460" s="347"/>
      <c r="Z460" s="347"/>
      <c r="AA460" s="604"/>
      <c r="AB460" s="347"/>
      <c r="AC460" s="590"/>
      <c r="AD460" s="347"/>
      <c r="AE460" s="347"/>
      <c r="AF460" s="347"/>
      <c r="AG460" s="347"/>
      <c r="AH460" s="347"/>
      <c r="AI460" s="347"/>
      <c r="AJ460" s="347"/>
      <c r="AK460" s="347"/>
      <c r="AL460" s="347"/>
      <c r="AM460" s="347"/>
      <c r="AN460" s="347"/>
      <c r="AO460" s="347"/>
      <c r="AP460" s="347"/>
      <c r="AQ460" s="347"/>
      <c r="AR460" s="347"/>
      <c r="AS460" s="347"/>
      <c r="AT460" s="347"/>
      <c r="AU460" s="347"/>
      <c r="AV460" s="347"/>
      <c r="AW460" s="347"/>
      <c r="AX460" s="347"/>
      <c r="AY460" s="347"/>
      <c r="AZ460" s="347"/>
      <c r="BA460" s="347"/>
      <c r="BB460" s="347"/>
      <c r="BC460" s="347"/>
      <c r="BD460" s="347"/>
      <c r="BE460" s="347"/>
      <c r="BF460" s="347"/>
      <c r="BG460" s="347"/>
      <c r="BH460" s="347"/>
    </row>
    <row r="461">
      <c r="A461" s="347"/>
      <c r="B461" s="347"/>
      <c r="C461" s="347"/>
      <c r="D461" s="347"/>
      <c r="E461" s="347"/>
      <c r="F461" s="347"/>
      <c r="G461" s="347"/>
      <c r="H461" s="347"/>
      <c r="I461" s="347"/>
      <c r="J461" s="347"/>
      <c r="K461" s="348"/>
      <c r="L461" s="348"/>
      <c r="M461" s="348"/>
      <c r="N461" s="348"/>
      <c r="O461" s="348"/>
      <c r="P461" s="347"/>
      <c r="Q461" s="347"/>
      <c r="R461" s="347"/>
      <c r="S461" s="347"/>
      <c r="T461" s="347"/>
      <c r="U461" s="347"/>
      <c r="V461" s="347"/>
      <c r="W461" s="347"/>
      <c r="X461" s="347"/>
      <c r="Y461" s="347"/>
      <c r="Z461" s="347"/>
      <c r="AA461" s="604"/>
      <c r="AB461" s="347"/>
      <c r="AC461" s="590"/>
      <c r="AD461" s="347"/>
      <c r="AE461" s="347"/>
      <c r="AF461" s="347"/>
      <c r="AG461" s="347"/>
      <c r="AH461" s="347"/>
      <c r="AI461" s="347"/>
      <c r="AJ461" s="347"/>
      <c r="AK461" s="347"/>
      <c r="AL461" s="347"/>
      <c r="AM461" s="347"/>
      <c r="AN461" s="347"/>
      <c r="AO461" s="347"/>
      <c r="AP461" s="347"/>
      <c r="AQ461" s="347"/>
      <c r="AR461" s="347"/>
      <c r="AS461" s="347"/>
      <c r="AT461" s="347"/>
      <c r="AU461" s="347"/>
      <c r="AV461" s="347"/>
      <c r="AW461" s="347"/>
      <c r="AX461" s="347"/>
      <c r="AY461" s="347"/>
      <c r="AZ461" s="347"/>
      <c r="BA461" s="347"/>
      <c r="BB461" s="347"/>
      <c r="BC461" s="347"/>
      <c r="BD461" s="347"/>
      <c r="BE461" s="347"/>
      <c r="BF461" s="347"/>
      <c r="BG461" s="347"/>
      <c r="BH461" s="347"/>
    </row>
    <row r="462">
      <c r="A462" s="347"/>
      <c r="B462" s="347"/>
      <c r="C462" s="347"/>
      <c r="D462" s="347"/>
      <c r="E462" s="347"/>
      <c r="F462" s="347"/>
      <c r="G462" s="347"/>
      <c r="H462" s="347"/>
      <c r="I462" s="347"/>
      <c r="J462" s="347"/>
      <c r="K462" s="348"/>
      <c r="L462" s="348"/>
      <c r="M462" s="348"/>
      <c r="N462" s="348"/>
      <c r="O462" s="348"/>
      <c r="P462" s="347"/>
      <c r="Q462" s="347"/>
      <c r="R462" s="347"/>
      <c r="S462" s="347"/>
      <c r="T462" s="347"/>
      <c r="U462" s="347"/>
      <c r="V462" s="347"/>
      <c r="W462" s="347"/>
      <c r="X462" s="347"/>
      <c r="Y462" s="347"/>
      <c r="Z462" s="347"/>
      <c r="AA462" s="604"/>
      <c r="AB462" s="347"/>
      <c r="AC462" s="590"/>
      <c r="AD462" s="347"/>
      <c r="AE462" s="347"/>
      <c r="AF462" s="347"/>
      <c r="AG462" s="347"/>
      <c r="AH462" s="347"/>
      <c r="AI462" s="347"/>
      <c r="AJ462" s="347"/>
      <c r="AK462" s="347"/>
      <c r="AL462" s="347"/>
      <c r="AM462" s="347"/>
      <c r="AN462" s="347"/>
      <c r="AO462" s="347"/>
      <c r="AP462" s="347"/>
      <c r="AQ462" s="347"/>
      <c r="AR462" s="347"/>
      <c r="AS462" s="347"/>
      <c r="AT462" s="347"/>
      <c r="AU462" s="347"/>
      <c r="AV462" s="347"/>
      <c r="AW462" s="347"/>
      <c r="AX462" s="347"/>
      <c r="AY462" s="347"/>
      <c r="AZ462" s="347"/>
      <c r="BA462" s="347"/>
      <c r="BB462" s="347"/>
      <c r="BC462" s="347"/>
      <c r="BD462" s="347"/>
      <c r="BE462" s="347"/>
      <c r="BF462" s="347"/>
      <c r="BG462" s="347"/>
      <c r="BH462" s="347"/>
    </row>
    <row r="463">
      <c r="A463" s="347"/>
      <c r="B463" s="347"/>
      <c r="C463" s="347"/>
      <c r="D463" s="347"/>
      <c r="E463" s="347"/>
      <c r="F463" s="347"/>
      <c r="G463" s="347"/>
      <c r="H463" s="347"/>
      <c r="I463" s="347"/>
      <c r="J463" s="347"/>
      <c r="K463" s="348"/>
      <c r="L463" s="348"/>
      <c r="M463" s="348"/>
      <c r="N463" s="348"/>
      <c r="O463" s="348"/>
      <c r="P463" s="347"/>
      <c r="Q463" s="347"/>
      <c r="R463" s="347"/>
      <c r="S463" s="347"/>
      <c r="T463" s="347"/>
      <c r="U463" s="347"/>
      <c r="V463" s="347"/>
      <c r="W463" s="347"/>
      <c r="X463" s="347"/>
      <c r="Y463" s="347"/>
      <c r="Z463" s="347"/>
      <c r="AA463" s="604"/>
      <c r="AB463" s="347"/>
      <c r="AC463" s="590"/>
      <c r="AD463" s="347"/>
      <c r="AE463" s="347"/>
      <c r="AF463" s="347"/>
      <c r="AG463" s="347"/>
      <c r="AH463" s="347"/>
      <c r="AI463" s="347"/>
      <c r="AJ463" s="347"/>
      <c r="AK463" s="347"/>
      <c r="AL463" s="347"/>
      <c r="AM463" s="347"/>
      <c r="AN463" s="347"/>
      <c r="AO463" s="347"/>
      <c r="AP463" s="347"/>
      <c r="AQ463" s="347"/>
      <c r="AR463" s="347"/>
      <c r="AS463" s="347"/>
      <c r="AT463" s="347"/>
      <c r="AU463" s="347"/>
      <c r="AV463" s="347"/>
      <c r="AW463" s="347"/>
      <c r="AX463" s="347"/>
      <c r="AY463" s="347"/>
      <c r="AZ463" s="347"/>
      <c r="BA463" s="347"/>
      <c r="BB463" s="347"/>
      <c r="BC463" s="347"/>
      <c r="BD463" s="347"/>
      <c r="BE463" s="347"/>
      <c r="BF463" s="347"/>
      <c r="BG463" s="347"/>
      <c r="BH463" s="347"/>
    </row>
    <row r="464">
      <c r="A464" s="347"/>
      <c r="B464" s="347"/>
      <c r="C464" s="347"/>
      <c r="D464" s="347"/>
      <c r="E464" s="347"/>
      <c r="F464" s="347"/>
      <c r="G464" s="347"/>
      <c r="H464" s="347"/>
      <c r="I464" s="347"/>
      <c r="J464" s="347"/>
      <c r="K464" s="348"/>
      <c r="L464" s="348"/>
      <c r="M464" s="348"/>
      <c r="N464" s="348"/>
      <c r="O464" s="348"/>
      <c r="P464" s="347"/>
      <c r="Q464" s="347"/>
      <c r="R464" s="347"/>
      <c r="S464" s="347"/>
      <c r="T464" s="347"/>
      <c r="U464" s="347"/>
      <c r="V464" s="347"/>
      <c r="W464" s="347"/>
      <c r="X464" s="347"/>
      <c r="Y464" s="347"/>
      <c r="Z464" s="347"/>
      <c r="AA464" s="604"/>
      <c r="AB464" s="347"/>
      <c r="AC464" s="590"/>
      <c r="AD464" s="347"/>
      <c r="AE464" s="347"/>
      <c r="AF464" s="347"/>
      <c r="AG464" s="347"/>
      <c r="AH464" s="347"/>
      <c r="AI464" s="347"/>
      <c r="AJ464" s="347"/>
      <c r="AK464" s="347"/>
      <c r="AL464" s="347"/>
      <c r="AM464" s="347"/>
      <c r="AN464" s="347"/>
      <c r="AO464" s="347"/>
      <c r="AP464" s="347"/>
      <c r="AQ464" s="347"/>
      <c r="AR464" s="347"/>
      <c r="AS464" s="347"/>
      <c r="AT464" s="347"/>
      <c r="AU464" s="347"/>
      <c r="AV464" s="347"/>
      <c r="AW464" s="347"/>
      <c r="AX464" s="347"/>
      <c r="AY464" s="347"/>
      <c r="AZ464" s="347"/>
      <c r="BA464" s="347"/>
      <c r="BB464" s="347"/>
      <c r="BC464" s="347"/>
      <c r="BD464" s="347"/>
      <c r="BE464" s="347"/>
      <c r="BF464" s="347"/>
      <c r="BG464" s="347"/>
      <c r="BH464" s="347"/>
    </row>
    <row r="465">
      <c r="A465" s="347"/>
      <c r="B465" s="347"/>
      <c r="C465" s="347"/>
      <c r="D465" s="347"/>
      <c r="E465" s="347"/>
      <c r="F465" s="347"/>
      <c r="G465" s="347"/>
      <c r="H465" s="347"/>
      <c r="I465" s="347"/>
      <c r="J465" s="347"/>
      <c r="K465" s="348"/>
      <c r="L465" s="348"/>
      <c r="M465" s="348"/>
      <c r="N465" s="348"/>
      <c r="O465" s="348"/>
      <c r="P465" s="347"/>
      <c r="Q465" s="347"/>
      <c r="R465" s="347"/>
      <c r="S465" s="347"/>
      <c r="T465" s="347"/>
      <c r="U465" s="347"/>
      <c r="V465" s="347"/>
      <c r="W465" s="347"/>
      <c r="X465" s="347"/>
      <c r="Y465" s="347"/>
      <c r="Z465" s="347"/>
      <c r="AA465" s="604"/>
      <c r="AB465" s="347"/>
      <c r="AC465" s="590"/>
      <c r="AD465" s="347"/>
      <c r="AE465" s="347"/>
      <c r="AF465" s="347"/>
      <c r="AG465" s="347"/>
      <c r="AH465" s="347"/>
      <c r="AI465" s="347"/>
      <c r="AJ465" s="347"/>
      <c r="AK465" s="347"/>
      <c r="AL465" s="347"/>
      <c r="AM465" s="347"/>
      <c r="AN465" s="347"/>
      <c r="AO465" s="347"/>
      <c r="AP465" s="347"/>
      <c r="AQ465" s="347"/>
      <c r="AR465" s="347"/>
      <c r="AS465" s="347"/>
      <c r="AT465" s="347"/>
      <c r="AU465" s="347"/>
      <c r="AV465" s="347"/>
      <c r="AW465" s="347"/>
      <c r="AX465" s="347"/>
      <c r="AY465" s="347"/>
      <c r="AZ465" s="347"/>
      <c r="BA465" s="347"/>
      <c r="BB465" s="347"/>
      <c r="BC465" s="347"/>
      <c r="BD465" s="347"/>
      <c r="BE465" s="347"/>
      <c r="BF465" s="347"/>
      <c r="BG465" s="347"/>
      <c r="BH465" s="347"/>
    </row>
    <row r="466">
      <c r="A466" s="347"/>
      <c r="B466" s="347"/>
      <c r="C466" s="347"/>
      <c r="D466" s="347"/>
      <c r="E466" s="347"/>
      <c r="F466" s="347"/>
      <c r="G466" s="347"/>
      <c r="H466" s="347"/>
      <c r="I466" s="347"/>
      <c r="J466" s="347"/>
      <c r="K466" s="348"/>
      <c r="L466" s="348"/>
      <c r="M466" s="348"/>
      <c r="N466" s="348"/>
      <c r="O466" s="348"/>
      <c r="P466" s="347"/>
      <c r="Q466" s="347"/>
      <c r="R466" s="347"/>
      <c r="S466" s="347"/>
      <c r="T466" s="347"/>
      <c r="U466" s="347"/>
      <c r="V466" s="347"/>
      <c r="W466" s="347"/>
      <c r="X466" s="347"/>
      <c r="Y466" s="347"/>
      <c r="Z466" s="347"/>
      <c r="AA466" s="604"/>
      <c r="AB466" s="347"/>
      <c r="AC466" s="590"/>
      <c r="AD466" s="347"/>
      <c r="AE466" s="347"/>
      <c r="AF466" s="347"/>
      <c r="AG466" s="347"/>
      <c r="AH466" s="347"/>
      <c r="AI466" s="347"/>
      <c r="AJ466" s="347"/>
      <c r="AK466" s="347"/>
      <c r="AL466" s="347"/>
      <c r="AM466" s="347"/>
      <c r="AN466" s="347"/>
      <c r="AO466" s="347"/>
      <c r="AP466" s="347"/>
      <c r="AQ466" s="347"/>
      <c r="AR466" s="347"/>
      <c r="AS466" s="347"/>
      <c r="AT466" s="347"/>
      <c r="AU466" s="347"/>
      <c r="AV466" s="347"/>
      <c r="AW466" s="347"/>
      <c r="AX466" s="347"/>
      <c r="AY466" s="347"/>
      <c r="AZ466" s="347"/>
      <c r="BA466" s="347"/>
      <c r="BB466" s="347"/>
      <c r="BC466" s="347"/>
      <c r="BD466" s="347"/>
      <c r="BE466" s="347"/>
      <c r="BF466" s="347"/>
      <c r="BG466" s="347"/>
      <c r="BH466" s="347"/>
    </row>
    <row r="467">
      <c r="A467" s="347"/>
      <c r="B467" s="347"/>
      <c r="C467" s="347"/>
      <c r="D467" s="347"/>
      <c r="E467" s="347"/>
      <c r="F467" s="347"/>
      <c r="G467" s="347"/>
      <c r="H467" s="347"/>
      <c r="I467" s="347"/>
      <c r="J467" s="347"/>
      <c r="K467" s="348"/>
      <c r="L467" s="348"/>
      <c r="M467" s="348"/>
      <c r="N467" s="348"/>
      <c r="O467" s="348"/>
      <c r="P467" s="347"/>
      <c r="Q467" s="347"/>
      <c r="R467" s="347"/>
      <c r="S467" s="347"/>
      <c r="T467" s="347"/>
      <c r="U467" s="347"/>
      <c r="V467" s="347"/>
      <c r="W467" s="347"/>
      <c r="X467" s="347"/>
      <c r="Y467" s="347"/>
      <c r="Z467" s="347"/>
      <c r="AA467" s="604"/>
      <c r="AB467" s="347"/>
      <c r="AC467" s="590"/>
      <c r="AD467" s="347"/>
      <c r="AE467" s="347"/>
      <c r="AF467" s="347"/>
      <c r="AG467" s="347"/>
      <c r="AH467" s="347"/>
      <c r="AI467" s="347"/>
      <c r="AJ467" s="347"/>
      <c r="AK467" s="347"/>
      <c r="AL467" s="347"/>
      <c r="AM467" s="347"/>
      <c r="AN467" s="347"/>
      <c r="AO467" s="347"/>
      <c r="AP467" s="347"/>
      <c r="AQ467" s="347"/>
      <c r="AR467" s="347"/>
      <c r="AS467" s="347"/>
      <c r="AT467" s="347"/>
      <c r="AU467" s="347"/>
      <c r="AV467" s="347"/>
      <c r="AW467" s="347"/>
      <c r="AX467" s="347"/>
      <c r="AY467" s="347"/>
      <c r="AZ467" s="347"/>
      <c r="BA467" s="347"/>
      <c r="BB467" s="347"/>
      <c r="BC467" s="347"/>
      <c r="BD467" s="347"/>
      <c r="BE467" s="347"/>
      <c r="BF467" s="347"/>
      <c r="BG467" s="347"/>
      <c r="BH467" s="347"/>
    </row>
    <row r="468">
      <c r="A468" s="347"/>
      <c r="B468" s="347"/>
      <c r="C468" s="347"/>
      <c r="D468" s="347"/>
      <c r="E468" s="347"/>
      <c r="F468" s="347"/>
      <c r="G468" s="347"/>
      <c r="H468" s="347"/>
      <c r="I468" s="347"/>
      <c r="J468" s="347"/>
      <c r="K468" s="348"/>
      <c r="L468" s="348"/>
      <c r="M468" s="348"/>
      <c r="N468" s="348"/>
      <c r="O468" s="348"/>
      <c r="P468" s="347"/>
      <c r="Q468" s="347"/>
      <c r="R468" s="347"/>
      <c r="S468" s="347"/>
      <c r="T468" s="347"/>
      <c r="U468" s="347"/>
      <c r="V468" s="347"/>
      <c r="W468" s="347"/>
      <c r="X468" s="347"/>
      <c r="Y468" s="347"/>
      <c r="Z468" s="347"/>
      <c r="AA468" s="604"/>
      <c r="AB468" s="347"/>
      <c r="AC468" s="590"/>
      <c r="AD468" s="347"/>
      <c r="AE468" s="347"/>
      <c r="AF468" s="347"/>
      <c r="AG468" s="347"/>
      <c r="AH468" s="347"/>
      <c r="AI468" s="347"/>
      <c r="AJ468" s="347"/>
      <c r="AK468" s="347"/>
      <c r="AL468" s="347"/>
      <c r="AM468" s="347"/>
      <c r="AN468" s="347"/>
      <c r="AO468" s="347"/>
      <c r="AP468" s="347"/>
      <c r="AQ468" s="347"/>
      <c r="AR468" s="347"/>
      <c r="AS468" s="347"/>
      <c r="AT468" s="347"/>
      <c r="AU468" s="347"/>
      <c r="AV468" s="347"/>
      <c r="AW468" s="347"/>
      <c r="AX468" s="347"/>
      <c r="AY468" s="347"/>
      <c r="AZ468" s="347"/>
      <c r="BA468" s="347"/>
      <c r="BB468" s="347"/>
      <c r="BC468" s="347"/>
      <c r="BD468" s="347"/>
      <c r="BE468" s="347"/>
      <c r="BF468" s="347"/>
      <c r="BG468" s="347"/>
      <c r="BH468" s="347"/>
    </row>
    <row r="469">
      <c r="A469" s="347"/>
      <c r="B469" s="347"/>
      <c r="C469" s="347"/>
      <c r="D469" s="347"/>
      <c r="E469" s="347"/>
      <c r="F469" s="347"/>
      <c r="G469" s="347"/>
      <c r="H469" s="347"/>
      <c r="I469" s="347"/>
      <c r="J469" s="347"/>
      <c r="K469" s="348"/>
      <c r="L469" s="348"/>
      <c r="M469" s="348"/>
      <c r="N469" s="348"/>
      <c r="O469" s="348"/>
      <c r="P469" s="347"/>
      <c r="Q469" s="347"/>
      <c r="R469" s="347"/>
      <c r="S469" s="347"/>
      <c r="T469" s="347"/>
      <c r="U469" s="347"/>
      <c r="V469" s="347"/>
      <c r="W469" s="347"/>
      <c r="X469" s="347"/>
      <c r="Y469" s="347"/>
      <c r="Z469" s="347"/>
      <c r="AA469" s="604"/>
      <c r="AB469" s="347"/>
      <c r="AC469" s="590"/>
      <c r="AD469" s="347"/>
      <c r="AE469" s="347"/>
      <c r="AF469" s="347"/>
      <c r="AG469" s="347"/>
      <c r="AH469" s="347"/>
      <c r="AI469" s="347"/>
      <c r="AJ469" s="347"/>
      <c r="AK469" s="347"/>
      <c r="AL469" s="347"/>
      <c r="AM469" s="347"/>
      <c r="AN469" s="347"/>
      <c r="AO469" s="347"/>
      <c r="AP469" s="347"/>
      <c r="AQ469" s="347"/>
      <c r="AR469" s="347"/>
      <c r="AS469" s="347"/>
      <c r="AT469" s="347"/>
      <c r="AU469" s="347"/>
      <c r="AV469" s="347"/>
      <c r="AW469" s="347"/>
      <c r="AX469" s="347"/>
      <c r="AY469" s="347"/>
      <c r="AZ469" s="347"/>
      <c r="BA469" s="347"/>
      <c r="BB469" s="347"/>
      <c r="BC469" s="347"/>
      <c r="BD469" s="347"/>
      <c r="BE469" s="347"/>
      <c r="BF469" s="347"/>
      <c r="BG469" s="347"/>
      <c r="BH469" s="347"/>
    </row>
    <row r="470">
      <c r="A470" s="347"/>
      <c r="B470" s="347"/>
      <c r="C470" s="347"/>
      <c r="D470" s="347"/>
      <c r="E470" s="347"/>
      <c r="F470" s="347"/>
      <c r="G470" s="347"/>
      <c r="H470" s="347"/>
      <c r="I470" s="347"/>
      <c r="J470" s="347"/>
      <c r="K470" s="348"/>
      <c r="L470" s="348"/>
      <c r="M470" s="348"/>
      <c r="N470" s="348"/>
      <c r="O470" s="348"/>
      <c r="P470" s="347"/>
      <c r="Q470" s="347"/>
      <c r="R470" s="347"/>
      <c r="S470" s="347"/>
      <c r="T470" s="347"/>
      <c r="U470" s="347"/>
      <c r="V470" s="347"/>
      <c r="W470" s="347"/>
      <c r="X470" s="347"/>
      <c r="Y470" s="347"/>
      <c r="Z470" s="347"/>
      <c r="AA470" s="604"/>
      <c r="AB470" s="347"/>
      <c r="AC470" s="590"/>
      <c r="AD470" s="347"/>
      <c r="AE470" s="347"/>
      <c r="AF470" s="347"/>
      <c r="AG470" s="347"/>
      <c r="AH470" s="347"/>
      <c r="AI470" s="347"/>
      <c r="AJ470" s="347"/>
      <c r="AK470" s="347"/>
      <c r="AL470" s="347"/>
      <c r="AM470" s="347"/>
      <c r="AN470" s="347"/>
      <c r="AO470" s="347"/>
      <c r="AP470" s="347"/>
      <c r="AQ470" s="347"/>
      <c r="AR470" s="347"/>
      <c r="AS470" s="347"/>
      <c r="AT470" s="347"/>
      <c r="AU470" s="347"/>
      <c r="AV470" s="347"/>
      <c r="AW470" s="347"/>
      <c r="AX470" s="347"/>
      <c r="AY470" s="347"/>
      <c r="AZ470" s="347"/>
      <c r="BA470" s="347"/>
      <c r="BB470" s="347"/>
      <c r="BC470" s="347"/>
      <c r="BD470" s="347"/>
      <c r="BE470" s="347"/>
      <c r="BF470" s="347"/>
      <c r="BG470" s="347"/>
      <c r="BH470" s="347"/>
    </row>
    <row r="471">
      <c r="A471" s="347"/>
      <c r="B471" s="347"/>
      <c r="C471" s="347"/>
      <c r="D471" s="347"/>
      <c r="E471" s="347"/>
      <c r="F471" s="347"/>
      <c r="G471" s="347"/>
      <c r="H471" s="347"/>
      <c r="I471" s="347"/>
      <c r="J471" s="347"/>
      <c r="K471" s="348"/>
      <c r="L471" s="348"/>
      <c r="M471" s="348"/>
      <c r="N471" s="348"/>
      <c r="O471" s="348"/>
      <c r="P471" s="347"/>
      <c r="Q471" s="347"/>
      <c r="R471" s="347"/>
      <c r="S471" s="347"/>
      <c r="T471" s="347"/>
      <c r="U471" s="347"/>
      <c r="V471" s="347"/>
      <c r="W471" s="347"/>
      <c r="X471" s="347"/>
      <c r="Y471" s="347"/>
      <c r="Z471" s="347"/>
      <c r="AA471" s="604"/>
      <c r="AB471" s="347"/>
      <c r="AC471" s="590"/>
      <c r="AD471" s="347"/>
      <c r="AE471" s="347"/>
      <c r="AF471" s="347"/>
      <c r="AG471" s="347"/>
      <c r="AH471" s="347"/>
      <c r="AI471" s="347"/>
      <c r="AJ471" s="347"/>
      <c r="AK471" s="347"/>
      <c r="AL471" s="347"/>
      <c r="AM471" s="347"/>
      <c r="AN471" s="347"/>
      <c r="AO471" s="347"/>
      <c r="AP471" s="347"/>
      <c r="AQ471" s="347"/>
      <c r="AR471" s="347"/>
      <c r="AS471" s="347"/>
      <c r="AT471" s="347"/>
      <c r="AU471" s="347"/>
      <c r="AV471" s="347"/>
      <c r="AW471" s="347"/>
      <c r="AX471" s="347"/>
      <c r="AY471" s="347"/>
      <c r="AZ471" s="347"/>
      <c r="BA471" s="347"/>
      <c r="BB471" s="347"/>
      <c r="BC471" s="347"/>
      <c r="BD471" s="347"/>
      <c r="BE471" s="347"/>
      <c r="BF471" s="347"/>
      <c r="BG471" s="347"/>
      <c r="BH471" s="347"/>
    </row>
    <row r="472">
      <c r="A472" s="347"/>
      <c r="B472" s="347"/>
      <c r="C472" s="347"/>
      <c r="D472" s="347"/>
      <c r="E472" s="347"/>
      <c r="F472" s="347"/>
      <c r="G472" s="347"/>
      <c r="H472" s="347"/>
      <c r="I472" s="347"/>
      <c r="J472" s="347"/>
      <c r="K472" s="348"/>
      <c r="L472" s="348"/>
      <c r="M472" s="348"/>
      <c r="N472" s="348"/>
      <c r="O472" s="348"/>
      <c r="P472" s="347"/>
      <c r="Q472" s="347"/>
      <c r="R472" s="347"/>
      <c r="S472" s="347"/>
      <c r="T472" s="347"/>
      <c r="U472" s="347"/>
      <c r="V472" s="347"/>
      <c r="W472" s="347"/>
      <c r="X472" s="347"/>
      <c r="Y472" s="347"/>
      <c r="Z472" s="347"/>
      <c r="AA472" s="604"/>
      <c r="AB472" s="347"/>
      <c r="AC472" s="590"/>
      <c r="AD472" s="347"/>
      <c r="AE472" s="347"/>
      <c r="AF472" s="347"/>
      <c r="AG472" s="347"/>
      <c r="AH472" s="347"/>
      <c r="AI472" s="347"/>
      <c r="AJ472" s="347"/>
      <c r="AK472" s="347"/>
      <c r="AL472" s="347"/>
      <c r="AM472" s="347"/>
      <c r="AN472" s="347"/>
      <c r="AO472" s="347"/>
      <c r="AP472" s="347"/>
      <c r="AQ472" s="347"/>
      <c r="AR472" s="347"/>
      <c r="AS472" s="347"/>
      <c r="AT472" s="347"/>
      <c r="AU472" s="347"/>
      <c r="AV472" s="347"/>
      <c r="AW472" s="347"/>
      <c r="AX472" s="347"/>
      <c r="AY472" s="347"/>
      <c r="AZ472" s="347"/>
      <c r="BA472" s="347"/>
      <c r="BB472" s="347"/>
      <c r="BC472" s="347"/>
      <c r="BD472" s="347"/>
      <c r="BE472" s="347"/>
      <c r="BF472" s="347"/>
      <c r="BG472" s="347"/>
      <c r="BH472" s="347"/>
    </row>
    <row r="473">
      <c r="A473" s="347"/>
      <c r="B473" s="347"/>
      <c r="C473" s="347"/>
      <c r="D473" s="347"/>
      <c r="E473" s="347"/>
      <c r="F473" s="347"/>
      <c r="G473" s="347"/>
      <c r="H473" s="347"/>
      <c r="I473" s="347"/>
      <c r="J473" s="347"/>
      <c r="K473" s="348"/>
      <c r="L473" s="348"/>
      <c r="M473" s="348"/>
      <c r="N473" s="348"/>
      <c r="O473" s="348"/>
      <c r="P473" s="347"/>
      <c r="Q473" s="347"/>
      <c r="R473" s="347"/>
      <c r="S473" s="347"/>
      <c r="T473" s="347"/>
      <c r="U473" s="347"/>
      <c r="V473" s="347"/>
      <c r="W473" s="347"/>
      <c r="X473" s="347"/>
      <c r="Y473" s="347"/>
      <c r="Z473" s="347"/>
      <c r="AA473" s="604"/>
      <c r="AB473" s="347"/>
      <c r="AC473" s="590"/>
      <c r="AD473" s="347"/>
      <c r="AE473" s="347"/>
      <c r="AF473" s="347"/>
      <c r="AG473" s="347"/>
      <c r="AH473" s="347"/>
      <c r="AI473" s="347"/>
      <c r="AJ473" s="347"/>
      <c r="AK473" s="347"/>
      <c r="AL473" s="347"/>
      <c r="AM473" s="347"/>
      <c r="AN473" s="347"/>
      <c r="AO473" s="347"/>
      <c r="AP473" s="347"/>
      <c r="AQ473" s="347"/>
      <c r="AR473" s="347"/>
      <c r="AS473" s="347"/>
      <c r="AT473" s="347"/>
      <c r="AU473" s="347"/>
      <c r="AV473" s="347"/>
      <c r="AW473" s="347"/>
      <c r="AX473" s="347"/>
      <c r="AY473" s="347"/>
      <c r="AZ473" s="347"/>
      <c r="BA473" s="347"/>
      <c r="BB473" s="347"/>
      <c r="BC473" s="347"/>
      <c r="BD473" s="347"/>
      <c r="BE473" s="347"/>
      <c r="BF473" s="347"/>
      <c r="BG473" s="347"/>
      <c r="BH473" s="347"/>
    </row>
    <row r="474">
      <c r="A474" s="347"/>
      <c r="B474" s="347"/>
      <c r="C474" s="347"/>
      <c r="D474" s="347"/>
      <c r="E474" s="347"/>
      <c r="F474" s="347"/>
      <c r="G474" s="347"/>
      <c r="H474" s="347"/>
      <c r="I474" s="347"/>
      <c r="J474" s="347"/>
      <c r="K474" s="348"/>
      <c r="L474" s="348"/>
      <c r="M474" s="348"/>
      <c r="N474" s="348"/>
      <c r="O474" s="348"/>
      <c r="P474" s="347"/>
      <c r="Q474" s="347"/>
      <c r="R474" s="347"/>
      <c r="S474" s="347"/>
      <c r="T474" s="347"/>
      <c r="U474" s="347"/>
      <c r="V474" s="347"/>
      <c r="W474" s="347"/>
      <c r="X474" s="347"/>
      <c r="Y474" s="347"/>
      <c r="Z474" s="347"/>
      <c r="AA474" s="604"/>
      <c r="AB474" s="347"/>
      <c r="AC474" s="590"/>
      <c r="AD474" s="347"/>
      <c r="AE474" s="347"/>
      <c r="AF474" s="347"/>
      <c r="AG474" s="347"/>
      <c r="AH474" s="347"/>
      <c r="AI474" s="347"/>
      <c r="AJ474" s="347"/>
      <c r="AK474" s="347"/>
      <c r="AL474" s="347"/>
      <c r="AM474" s="347"/>
      <c r="AN474" s="347"/>
      <c r="AO474" s="347"/>
      <c r="AP474" s="347"/>
      <c r="AQ474" s="347"/>
      <c r="AR474" s="347"/>
      <c r="AS474" s="347"/>
      <c r="AT474" s="347"/>
      <c r="AU474" s="347"/>
      <c r="AV474" s="347"/>
      <c r="AW474" s="347"/>
      <c r="AX474" s="347"/>
      <c r="AY474" s="347"/>
      <c r="AZ474" s="347"/>
      <c r="BA474" s="347"/>
      <c r="BB474" s="347"/>
      <c r="BC474" s="347"/>
      <c r="BD474" s="347"/>
      <c r="BE474" s="347"/>
      <c r="BF474" s="347"/>
      <c r="BG474" s="347"/>
      <c r="BH474" s="347"/>
    </row>
    <row r="475">
      <c r="A475" s="347"/>
      <c r="B475" s="347"/>
      <c r="C475" s="347"/>
      <c r="D475" s="347"/>
      <c r="E475" s="347"/>
      <c r="F475" s="347"/>
      <c r="G475" s="347"/>
      <c r="H475" s="347"/>
      <c r="I475" s="347"/>
      <c r="J475" s="347"/>
      <c r="K475" s="348"/>
      <c r="L475" s="348"/>
      <c r="M475" s="348"/>
      <c r="N475" s="348"/>
      <c r="O475" s="348"/>
      <c r="P475" s="347"/>
      <c r="Q475" s="347"/>
      <c r="R475" s="347"/>
      <c r="S475" s="347"/>
      <c r="T475" s="347"/>
      <c r="U475" s="347"/>
      <c r="V475" s="347"/>
      <c r="W475" s="347"/>
      <c r="X475" s="347"/>
      <c r="Y475" s="347"/>
      <c r="Z475" s="347"/>
      <c r="AA475" s="604"/>
      <c r="AB475" s="347"/>
      <c r="AC475" s="590"/>
      <c r="AD475" s="347"/>
      <c r="AE475" s="347"/>
      <c r="AF475" s="347"/>
      <c r="AG475" s="347"/>
      <c r="AH475" s="347"/>
      <c r="AI475" s="347"/>
      <c r="AJ475" s="347"/>
      <c r="AK475" s="347"/>
      <c r="AL475" s="347"/>
      <c r="AM475" s="347"/>
      <c r="AN475" s="347"/>
      <c r="AO475" s="347"/>
      <c r="AP475" s="347"/>
      <c r="AQ475" s="347"/>
      <c r="AR475" s="347"/>
      <c r="AS475" s="347"/>
      <c r="AT475" s="347"/>
      <c r="AU475" s="347"/>
      <c r="AV475" s="347"/>
      <c r="AW475" s="347"/>
      <c r="AX475" s="347"/>
      <c r="AY475" s="347"/>
      <c r="AZ475" s="347"/>
      <c r="BA475" s="347"/>
      <c r="BB475" s="347"/>
      <c r="BC475" s="347"/>
      <c r="BD475" s="347"/>
      <c r="BE475" s="347"/>
      <c r="BF475" s="347"/>
      <c r="BG475" s="347"/>
      <c r="BH475" s="347"/>
    </row>
    <row r="476">
      <c r="A476" s="347"/>
      <c r="B476" s="347"/>
      <c r="C476" s="347"/>
      <c r="D476" s="347"/>
      <c r="E476" s="347"/>
      <c r="F476" s="347"/>
      <c r="G476" s="347"/>
      <c r="H476" s="347"/>
      <c r="I476" s="347"/>
      <c r="J476" s="347"/>
      <c r="K476" s="348"/>
      <c r="L476" s="348"/>
      <c r="M476" s="348"/>
      <c r="N476" s="348"/>
      <c r="O476" s="348"/>
      <c r="P476" s="347"/>
      <c r="Q476" s="347"/>
      <c r="R476" s="347"/>
      <c r="S476" s="347"/>
      <c r="T476" s="347"/>
      <c r="U476" s="347"/>
      <c r="V476" s="347"/>
      <c r="W476" s="347"/>
      <c r="X476" s="347"/>
      <c r="Y476" s="347"/>
      <c r="Z476" s="347"/>
      <c r="AA476" s="604"/>
      <c r="AB476" s="347"/>
      <c r="AC476" s="590"/>
      <c r="AD476" s="347"/>
      <c r="AE476" s="347"/>
      <c r="AF476" s="347"/>
      <c r="AG476" s="347"/>
      <c r="AH476" s="347"/>
      <c r="AI476" s="347"/>
      <c r="AJ476" s="347"/>
      <c r="AK476" s="347"/>
      <c r="AL476" s="347"/>
      <c r="AM476" s="347"/>
      <c r="AN476" s="347"/>
      <c r="AO476" s="347"/>
      <c r="AP476" s="347"/>
      <c r="AQ476" s="347"/>
      <c r="AR476" s="347"/>
      <c r="AS476" s="347"/>
      <c r="AT476" s="347"/>
      <c r="AU476" s="347"/>
      <c r="AV476" s="347"/>
      <c r="AW476" s="347"/>
      <c r="AX476" s="347"/>
      <c r="AY476" s="347"/>
      <c r="AZ476" s="347"/>
      <c r="BA476" s="347"/>
      <c r="BB476" s="347"/>
      <c r="BC476" s="347"/>
      <c r="BD476" s="347"/>
      <c r="BE476" s="347"/>
      <c r="BF476" s="347"/>
      <c r="BG476" s="347"/>
      <c r="BH476" s="347"/>
    </row>
    <row r="477">
      <c r="A477" s="347"/>
      <c r="B477" s="347"/>
      <c r="C477" s="347"/>
      <c r="D477" s="347"/>
      <c r="E477" s="347"/>
      <c r="F477" s="347"/>
      <c r="G477" s="347"/>
      <c r="H477" s="347"/>
      <c r="I477" s="347"/>
      <c r="J477" s="347"/>
      <c r="K477" s="348"/>
      <c r="L477" s="348"/>
      <c r="M477" s="348"/>
      <c r="N477" s="348"/>
      <c r="O477" s="348"/>
      <c r="P477" s="347"/>
      <c r="Q477" s="347"/>
      <c r="R477" s="347"/>
      <c r="S477" s="347"/>
      <c r="T477" s="347"/>
      <c r="U477" s="347"/>
      <c r="V477" s="347"/>
      <c r="W477" s="347"/>
      <c r="X477" s="347"/>
      <c r="Y477" s="347"/>
      <c r="Z477" s="347"/>
      <c r="AA477" s="604"/>
      <c r="AB477" s="347"/>
      <c r="AC477" s="590"/>
      <c r="AD477" s="347"/>
      <c r="AE477" s="347"/>
      <c r="AF477" s="347"/>
      <c r="AG477" s="347"/>
      <c r="AH477" s="347"/>
      <c r="AI477" s="347"/>
      <c r="AJ477" s="347"/>
      <c r="AK477" s="347"/>
      <c r="AL477" s="347"/>
      <c r="AM477" s="347"/>
      <c r="AN477" s="347"/>
      <c r="AO477" s="347"/>
      <c r="AP477" s="347"/>
      <c r="AQ477" s="347"/>
      <c r="AR477" s="347"/>
      <c r="AS477" s="347"/>
      <c r="AT477" s="347"/>
      <c r="AU477" s="347"/>
      <c r="AV477" s="347"/>
      <c r="AW477" s="347"/>
      <c r="AX477" s="347"/>
      <c r="AY477" s="347"/>
      <c r="AZ477" s="347"/>
      <c r="BA477" s="347"/>
      <c r="BB477" s="347"/>
      <c r="BC477" s="347"/>
      <c r="BD477" s="347"/>
      <c r="BE477" s="347"/>
      <c r="BF477" s="347"/>
      <c r="BG477" s="347"/>
      <c r="BH477" s="347"/>
    </row>
    <row r="478">
      <c r="A478" s="347"/>
      <c r="B478" s="347"/>
      <c r="C478" s="347"/>
      <c r="D478" s="347"/>
      <c r="E478" s="347"/>
      <c r="F478" s="347"/>
      <c r="G478" s="347"/>
      <c r="H478" s="347"/>
      <c r="I478" s="347"/>
      <c r="J478" s="347"/>
      <c r="K478" s="348"/>
      <c r="L478" s="348"/>
      <c r="M478" s="348"/>
      <c r="N478" s="348"/>
      <c r="O478" s="348"/>
      <c r="P478" s="347"/>
      <c r="Q478" s="347"/>
      <c r="R478" s="347"/>
      <c r="S478" s="347"/>
      <c r="T478" s="347"/>
      <c r="U478" s="347"/>
      <c r="V478" s="347"/>
      <c r="W478" s="347"/>
      <c r="X478" s="347"/>
      <c r="Y478" s="347"/>
      <c r="Z478" s="347"/>
      <c r="AA478" s="604"/>
      <c r="AB478" s="347"/>
      <c r="AC478" s="590"/>
      <c r="AD478" s="347"/>
      <c r="AE478" s="347"/>
      <c r="AF478" s="347"/>
      <c r="AG478" s="347"/>
      <c r="AH478" s="347"/>
      <c r="AI478" s="347"/>
      <c r="AJ478" s="347"/>
      <c r="AK478" s="347"/>
      <c r="AL478" s="347"/>
      <c r="AM478" s="347"/>
      <c r="AN478" s="347"/>
      <c r="AO478" s="347"/>
      <c r="AP478" s="347"/>
      <c r="AQ478" s="347"/>
      <c r="AR478" s="347"/>
      <c r="AS478" s="347"/>
      <c r="AT478" s="347"/>
      <c r="AU478" s="347"/>
      <c r="AV478" s="347"/>
      <c r="AW478" s="347"/>
      <c r="AX478" s="347"/>
      <c r="AY478" s="347"/>
      <c r="AZ478" s="347"/>
      <c r="BA478" s="347"/>
      <c r="BB478" s="347"/>
      <c r="BC478" s="347"/>
      <c r="BD478" s="347"/>
      <c r="BE478" s="347"/>
      <c r="BF478" s="347"/>
      <c r="BG478" s="347"/>
      <c r="BH478" s="347"/>
    </row>
    <row r="479">
      <c r="A479" s="347"/>
      <c r="B479" s="347"/>
      <c r="C479" s="347"/>
      <c r="D479" s="347"/>
      <c r="E479" s="347"/>
      <c r="F479" s="347"/>
      <c r="G479" s="347"/>
      <c r="H479" s="347"/>
      <c r="I479" s="347"/>
      <c r="J479" s="347"/>
      <c r="K479" s="348"/>
      <c r="L479" s="348"/>
      <c r="M479" s="348"/>
      <c r="N479" s="348"/>
      <c r="O479" s="348"/>
      <c r="P479" s="347"/>
      <c r="Q479" s="347"/>
      <c r="R479" s="347"/>
      <c r="S479" s="347"/>
      <c r="T479" s="347"/>
      <c r="U479" s="347"/>
      <c r="V479" s="347"/>
      <c r="W479" s="347"/>
      <c r="X479" s="347"/>
      <c r="Y479" s="347"/>
      <c r="Z479" s="347"/>
      <c r="AA479" s="604"/>
      <c r="AB479" s="347"/>
      <c r="AC479" s="590"/>
      <c r="AD479" s="347"/>
      <c r="AE479" s="347"/>
      <c r="AF479" s="347"/>
      <c r="AG479" s="347"/>
      <c r="AH479" s="347"/>
      <c r="AI479" s="347"/>
      <c r="AJ479" s="347"/>
      <c r="AK479" s="347"/>
      <c r="AL479" s="347"/>
      <c r="AM479" s="347"/>
      <c r="AN479" s="347"/>
      <c r="AO479" s="347"/>
      <c r="AP479" s="347"/>
      <c r="AQ479" s="347"/>
      <c r="AR479" s="347"/>
      <c r="AS479" s="347"/>
      <c r="AT479" s="347"/>
      <c r="AU479" s="347"/>
      <c r="AV479" s="347"/>
      <c r="AW479" s="347"/>
      <c r="AX479" s="347"/>
      <c r="AY479" s="347"/>
      <c r="AZ479" s="347"/>
      <c r="BA479" s="347"/>
      <c r="BB479" s="347"/>
      <c r="BC479" s="347"/>
      <c r="BD479" s="347"/>
      <c r="BE479" s="347"/>
      <c r="BF479" s="347"/>
      <c r="BG479" s="347"/>
      <c r="BH479" s="347"/>
    </row>
    <row r="480">
      <c r="A480" s="347"/>
      <c r="B480" s="347"/>
      <c r="C480" s="347"/>
      <c r="D480" s="347"/>
      <c r="E480" s="347"/>
      <c r="F480" s="347"/>
      <c r="G480" s="347"/>
      <c r="H480" s="347"/>
      <c r="I480" s="347"/>
      <c r="J480" s="347"/>
      <c r="K480" s="348"/>
      <c r="L480" s="348"/>
      <c r="M480" s="348"/>
      <c r="N480" s="348"/>
      <c r="O480" s="348"/>
      <c r="P480" s="347"/>
      <c r="Q480" s="347"/>
      <c r="R480" s="347"/>
      <c r="S480" s="347"/>
      <c r="T480" s="347"/>
      <c r="U480" s="347"/>
      <c r="V480" s="347"/>
      <c r="W480" s="347"/>
      <c r="X480" s="347"/>
      <c r="Y480" s="347"/>
      <c r="Z480" s="347"/>
      <c r="AA480" s="604"/>
      <c r="AB480" s="347"/>
      <c r="AC480" s="590"/>
      <c r="AD480" s="347"/>
      <c r="AE480" s="347"/>
      <c r="AF480" s="347"/>
      <c r="AG480" s="347"/>
      <c r="AH480" s="347"/>
      <c r="AI480" s="347"/>
      <c r="AJ480" s="347"/>
      <c r="AK480" s="347"/>
      <c r="AL480" s="347"/>
      <c r="AM480" s="347"/>
      <c r="AN480" s="347"/>
      <c r="AO480" s="347"/>
      <c r="AP480" s="347"/>
      <c r="AQ480" s="347"/>
      <c r="AR480" s="347"/>
      <c r="AS480" s="347"/>
      <c r="AT480" s="347"/>
      <c r="AU480" s="347"/>
      <c r="AV480" s="347"/>
      <c r="AW480" s="347"/>
      <c r="AX480" s="347"/>
      <c r="AY480" s="347"/>
      <c r="AZ480" s="347"/>
      <c r="BA480" s="347"/>
      <c r="BB480" s="347"/>
      <c r="BC480" s="347"/>
      <c r="BD480" s="347"/>
      <c r="BE480" s="347"/>
      <c r="BF480" s="347"/>
      <c r="BG480" s="347"/>
      <c r="BH480" s="347"/>
    </row>
    <row r="481">
      <c r="A481" s="347"/>
      <c r="B481" s="347"/>
      <c r="C481" s="347"/>
      <c r="D481" s="347"/>
      <c r="E481" s="347"/>
      <c r="F481" s="347"/>
      <c r="G481" s="347"/>
      <c r="H481" s="347"/>
      <c r="I481" s="347"/>
      <c r="J481" s="347"/>
      <c r="K481" s="348"/>
      <c r="L481" s="348"/>
      <c r="M481" s="348"/>
      <c r="N481" s="348"/>
      <c r="O481" s="348"/>
      <c r="P481" s="347"/>
      <c r="Q481" s="347"/>
      <c r="R481" s="347"/>
      <c r="S481" s="347"/>
      <c r="T481" s="347"/>
      <c r="U481" s="347"/>
      <c r="V481" s="347"/>
      <c r="W481" s="347"/>
      <c r="X481" s="347"/>
      <c r="Y481" s="347"/>
      <c r="Z481" s="347"/>
      <c r="AA481" s="604"/>
      <c r="AB481" s="347"/>
      <c r="AC481" s="590"/>
      <c r="AD481" s="347"/>
      <c r="AE481" s="347"/>
      <c r="AF481" s="347"/>
      <c r="AG481" s="347"/>
      <c r="AH481" s="347"/>
      <c r="AI481" s="347"/>
      <c r="AJ481" s="347"/>
      <c r="AK481" s="347"/>
      <c r="AL481" s="347"/>
      <c r="AM481" s="347"/>
      <c r="AN481" s="347"/>
      <c r="AO481" s="347"/>
      <c r="AP481" s="347"/>
      <c r="AQ481" s="347"/>
      <c r="AR481" s="347"/>
      <c r="AS481" s="347"/>
      <c r="AT481" s="347"/>
      <c r="AU481" s="347"/>
      <c r="AV481" s="347"/>
      <c r="AW481" s="347"/>
      <c r="AX481" s="347"/>
      <c r="AY481" s="347"/>
      <c r="AZ481" s="347"/>
      <c r="BA481" s="347"/>
      <c r="BB481" s="347"/>
      <c r="BC481" s="347"/>
      <c r="BD481" s="347"/>
      <c r="BE481" s="347"/>
      <c r="BF481" s="347"/>
      <c r="BG481" s="347"/>
      <c r="BH481" s="347"/>
    </row>
    <row r="482">
      <c r="A482" s="347"/>
      <c r="B482" s="347"/>
      <c r="C482" s="347"/>
      <c r="D482" s="347"/>
      <c r="E482" s="347"/>
      <c r="F482" s="347"/>
      <c r="G482" s="347"/>
      <c r="H482" s="347"/>
      <c r="I482" s="347"/>
      <c r="J482" s="347"/>
      <c r="K482" s="348"/>
      <c r="L482" s="348"/>
      <c r="M482" s="348"/>
      <c r="N482" s="348"/>
      <c r="O482" s="348"/>
      <c r="P482" s="347"/>
      <c r="Q482" s="347"/>
      <c r="R482" s="347"/>
      <c r="S482" s="347"/>
      <c r="T482" s="347"/>
      <c r="U482" s="347"/>
      <c r="V482" s="347"/>
      <c r="W482" s="347"/>
      <c r="X482" s="347"/>
      <c r="Y482" s="347"/>
      <c r="Z482" s="347"/>
      <c r="AA482" s="604"/>
      <c r="AB482" s="347"/>
      <c r="AC482" s="590"/>
      <c r="AD482" s="347"/>
      <c r="AE482" s="347"/>
      <c r="AF482" s="347"/>
      <c r="AG482" s="347"/>
      <c r="AH482" s="347"/>
      <c r="AI482" s="347"/>
      <c r="AJ482" s="347"/>
      <c r="AK482" s="347"/>
      <c r="AL482" s="347"/>
      <c r="AM482" s="347"/>
      <c r="AN482" s="347"/>
      <c r="AO482" s="347"/>
      <c r="AP482" s="347"/>
      <c r="AQ482" s="347"/>
      <c r="AR482" s="347"/>
      <c r="AS482" s="347"/>
      <c r="AT482" s="347"/>
      <c r="AU482" s="347"/>
      <c r="AV482" s="347"/>
      <c r="AW482" s="347"/>
      <c r="AX482" s="347"/>
      <c r="AY482" s="347"/>
      <c r="AZ482" s="347"/>
      <c r="BA482" s="347"/>
      <c r="BB482" s="347"/>
      <c r="BC482" s="347"/>
      <c r="BD482" s="347"/>
      <c r="BE482" s="347"/>
      <c r="BF482" s="347"/>
      <c r="BG482" s="347"/>
      <c r="BH482" s="347"/>
    </row>
    <row r="483">
      <c r="A483" s="347"/>
      <c r="B483" s="347"/>
      <c r="C483" s="347"/>
      <c r="D483" s="347"/>
      <c r="E483" s="347"/>
      <c r="F483" s="347"/>
      <c r="G483" s="347"/>
      <c r="H483" s="347"/>
      <c r="I483" s="347"/>
      <c r="J483" s="347"/>
      <c r="K483" s="348"/>
      <c r="L483" s="348"/>
      <c r="M483" s="348"/>
      <c r="N483" s="348"/>
      <c r="O483" s="348"/>
      <c r="P483" s="347"/>
      <c r="Q483" s="347"/>
      <c r="R483" s="347"/>
      <c r="S483" s="347"/>
      <c r="T483" s="347"/>
      <c r="U483" s="347"/>
      <c r="V483" s="347"/>
      <c r="W483" s="347"/>
      <c r="X483" s="347"/>
      <c r="Y483" s="347"/>
      <c r="Z483" s="347"/>
      <c r="AA483" s="604"/>
      <c r="AB483" s="347"/>
      <c r="AC483" s="590"/>
      <c r="AD483" s="347"/>
      <c r="AE483" s="347"/>
      <c r="AF483" s="347"/>
      <c r="AG483" s="347"/>
      <c r="AH483" s="347"/>
      <c r="AI483" s="347"/>
      <c r="AJ483" s="347"/>
      <c r="AK483" s="347"/>
      <c r="AL483" s="347"/>
      <c r="AM483" s="347"/>
      <c r="AN483" s="347"/>
      <c r="AO483" s="347"/>
      <c r="AP483" s="347"/>
      <c r="AQ483" s="347"/>
      <c r="AR483" s="347"/>
      <c r="AS483" s="347"/>
      <c r="AT483" s="347"/>
      <c r="AU483" s="347"/>
      <c r="AV483" s="347"/>
      <c r="AW483" s="347"/>
      <c r="AX483" s="347"/>
      <c r="AY483" s="347"/>
      <c r="AZ483" s="347"/>
      <c r="BA483" s="347"/>
      <c r="BB483" s="347"/>
      <c r="BC483" s="347"/>
      <c r="BD483" s="347"/>
      <c r="BE483" s="347"/>
      <c r="BF483" s="347"/>
      <c r="BG483" s="347"/>
      <c r="BH483" s="347"/>
    </row>
    <row r="484">
      <c r="A484" s="347"/>
      <c r="B484" s="347"/>
      <c r="C484" s="347"/>
      <c r="D484" s="347"/>
      <c r="E484" s="347"/>
      <c r="F484" s="347"/>
      <c r="G484" s="347"/>
      <c r="H484" s="347"/>
      <c r="I484" s="347"/>
      <c r="J484" s="347"/>
      <c r="K484" s="348"/>
      <c r="L484" s="348"/>
      <c r="M484" s="348"/>
      <c r="N484" s="348"/>
      <c r="O484" s="348"/>
      <c r="P484" s="347"/>
      <c r="Q484" s="347"/>
      <c r="R484" s="347"/>
      <c r="S484" s="347"/>
      <c r="T484" s="347"/>
      <c r="U484" s="347"/>
      <c r="V484" s="347"/>
      <c r="W484" s="347"/>
      <c r="X484" s="347"/>
      <c r="Y484" s="347"/>
      <c r="Z484" s="347"/>
      <c r="AA484" s="604"/>
      <c r="AB484" s="347"/>
      <c r="AC484" s="590"/>
      <c r="AD484" s="347"/>
      <c r="AE484" s="347"/>
      <c r="AF484" s="347"/>
      <c r="AG484" s="347"/>
      <c r="AH484" s="347"/>
      <c r="AI484" s="347"/>
      <c r="AJ484" s="347"/>
      <c r="AK484" s="347"/>
      <c r="AL484" s="347"/>
      <c r="AM484" s="347"/>
      <c r="AN484" s="347"/>
      <c r="AO484" s="347"/>
      <c r="AP484" s="347"/>
      <c r="AQ484" s="347"/>
      <c r="AR484" s="347"/>
      <c r="AS484" s="347"/>
      <c r="AT484" s="347"/>
      <c r="AU484" s="347"/>
      <c r="AV484" s="347"/>
      <c r="AW484" s="347"/>
      <c r="AX484" s="347"/>
      <c r="AY484" s="347"/>
      <c r="AZ484" s="347"/>
      <c r="BA484" s="347"/>
      <c r="BB484" s="347"/>
      <c r="BC484" s="347"/>
      <c r="BD484" s="347"/>
      <c r="BE484" s="347"/>
      <c r="BF484" s="347"/>
      <c r="BG484" s="347"/>
      <c r="BH484" s="347"/>
    </row>
    <row r="485">
      <c r="A485" s="347"/>
      <c r="B485" s="347"/>
      <c r="C485" s="347"/>
      <c r="D485" s="347"/>
      <c r="E485" s="347"/>
      <c r="F485" s="347"/>
      <c r="G485" s="347"/>
      <c r="H485" s="347"/>
      <c r="I485" s="347"/>
      <c r="J485" s="347"/>
      <c r="K485" s="348"/>
      <c r="L485" s="348"/>
      <c r="M485" s="348"/>
      <c r="N485" s="348"/>
      <c r="O485" s="348"/>
      <c r="P485" s="347"/>
      <c r="Q485" s="347"/>
      <c r="R485" s="347"/>
      <c r="S485" s="347"/>
      <c r="T485" s="347"/>
      <c r="U485" s="347"/>
      <c r="V485" s="347"/>
      <c r="W485" s="347"/>
      <c r="X485" s="347"/>
      <c r="Y485" s="347"/>
      <c r="Z485" s="347"/>
      <c r="AA485" s="604"/>
      <c r="AB485" s="347"/>
      <c r="AC485" s="590"/>
      <c r="AD485" s="347"/>
      <c r="AE485" s="347"/>
      <c r="AF485" s="347"/>
      <c r="AG485" s="347"/>
      <c r="AH485" s="347"/>
      <c r="AI485" s="347"/>
      <c r="AJ485" s="347"/>
      <c r="AK485" s="347"/>
      <c r="AL485" s="347"/>
      <c r="AM485" s="347"/>
      <c r="AN485" s="347"/>
      <c r="AO485" s="347"/>
      <c r="AP485" s="347"/>
      <c r="AQ485" s="347"/>
      <c r="AR485" s="347"/>
      <c r="AS485" s="347"/>
      <c r="AT485" s="347"/>
      <c r="AU485" s="347"/>
      <c r="AV485" s="347"/>
      <c r="AW485" s="347"/>
      <c r="AX485" s="347"/>
      <c r="AY485" s="347"/>
      <c r="AZ485" s="347"/>
      <c r="BA485" s="347"/>
      <c r="BB485" s="347"/>
      <c r="BC485" s="347"/>
      <c r="BD485" s="347"/>
      <c r="BE485" s="347"/>
      <c r="BF485" s="347"/>
      <c r="BG485" s="347"/>
      <c r="BH485" s="347"/>
    </row>
    <row r="486">
      <c r="A486" s="347"/>
      <c r="B486" s="347"/>
      <c r="C486" s="347"/>
      <c r="D486" s="347"/>
      <c r="E486" s="347"/>
      <c r="F486" s="347"/>
      <c r="G486" s="347"/>
      <c r="H486" s="347"/>
      <c r="I486" s="347"/>
      <c r="J486" s="347"/>
      <c r="K486" s="348"/>
      <c r="L486" s="348"/>
      <c r="M486" s="348"/>
      <c r="N486" s="348"/>
      <c r="O486" s="348"/>
      <c r="P486" s="347"/>
      <c r="Q486" s="347"/>
      <c r="R486" s="347"/>
      <c r="S486" s="347"/>
      <c r="T486" s="347"/>
      <c r="U486" s="347"/>
      <c r="V486" s="347"/>
      <c r="W486" s="347"/>
      <c r="X486" s="347"/>
      <c r="Y486" s="347"/>
      <c r="Z486" s="347"/>
      <c r="AA486" s="604"/>
      <c r="AB486" s="347"/>
      <c r="AC486" s="590"/>
      <c r="AD486" s="347"/>
      <c r="AE486" s="347"/>
      <c r="AF486" s="347"/>
      <c r="AG486" s="347"/>
      <c r="AH486" s="347"/>
      <c r="AI486" s="347"/>
      <c r="AJ486" s="347"/>
      <c r="AK486" s="347"/>
      <c r="AL486" s="347"/>
      <c r="AM486" s="347"/>
      <c r="AN486" s="347"/>
      <c r="AO486" s="347"/>
      <c r="AP486" s="347"/>
      <c r="AQ486" s="347"/>
      <c r="AR486" s="347"/>
      <c r="AS486" s="347"/>
      <c r="AT486" s="347"/>
      <c r="AU486" s="347"/>
      <c r="AV486" s="347"/>
      <c r="AW486" s="347"/>
      <c r="AX486" s="347"/>
      <c r="AY486" s="347"/>
      <c r="AZ486" s="347"/>
      <c r="BA486" s="347"/>
      <c r="BB486" s="347"/>
      <c r="BC486" s="347"/>
      <c r="BD486" s="347"/>
      <c r="BE486" s="347"/>
      <c r="BF486" s="347"/>
      <c r="BG486" s="347"/>
      <c r="BH486" s="347"/>
    </row>
    <row r="487">
      <c r="A487" s="347"/>
      <c r="B487" s="347"/>
      <c r="C487" s="347"/>
      <c r="D487" s="347"/>
      <c r="E487" s="347"/>
      <c r="F487" s="347"/>
      <c r="G487" s="347"/>
      <c r="H487" s="347"/>
      <c r="I487" s="347"/>
      <c r="J487" s="347"/>
      <c r="K487" s="348"/>
      <c r="L487" s="348"/>
      <c r="M487" s="348"/>
      <c r="N487" s="348"/>
      <c r="O487" s="348"/>
      <c r="P487" s="347"/>
      <c r="Q487" s="347"/>
      <c r="R487" s="347"/>
      <c r="S487" s="347"/>
      <c r="T487" s="347"/>
      <c r="U487" s="347"/>
      <c r="V487" s="347"/>
      <c r="W487" s="347"/>
      <c r="X487" s="347"/>
      <c r="Y487" s="347"/>
      <c r="Z487" s="347"/>
      <c r="AA487" s="604"/>
      <c r="AB487" s="347"/>
      <c r="AC487" s="590"/>
      <c r="AD487" s="347"/>
      <c r="AE487" s="347"/>
      <c r="AF487" s="347"/>
      <c r="AG487" s="347"/>
      <c r="AH487" s="347"/>
      <c r="AI487" s="347"/>
      <c r="AJ487" s="347"/>
      <c r="AK487" s="347"/>
      <c r="AL487" s="347"/>
      <c r="AM487" s="347"/>
      <c r="AN487" s="347"/>
      <c r="AO487" s="347"/>
      <c r="AP487" s="347"/>
      <c r="AQ487" s="347"/>
      <c r="AR487" s="347"/>
      <c r="AS487" s="347"/>
      <c r="AT487" s="347"/>
      <c r="AU487" s="347"/>
      <c r="AV487" s="347"/>
      <c r="AW487" s="347"/>
      <c r="AX487" s="347"/>
      <c r="AY487" s="347"/>
      <c r="AZ487" s="347"/>
      <c r="BA487" s="347"/>
      <c r="BB487" s="347"/>
      <c r="BC487" s="347"/>
      <c r="BD487" s="347"/>
      <c r="BE487" s="347"/>
      <c r="BF487" s="347"/>
      <c r="BG487" s="347"/>
      <c r="BH487" s="347"/>
    </row>
    <row r="488">
      <c r="A488" s="347"/>
      <c r="B488" s="347"/>
      <c r="C488" s="347"/>
      <c r="D488" s="347"/>
      <c r="E488" s="347"/>
      <c r="F488" s="347"/>
      <c r="G488" s="347"/>
      <c r="H488" s="347"/>
      <c r="I488" s="347"/>
      <c r="J488" s="347"/>
      <c r="K488" s="348"/>
      <c r="L488" s="348"/>
      <c r="M488" s="348"/>
      <c r="N488" s="348"/>
      <c r="O488" s="348"/>
      <c r="P488" s="347"/>
      <c r="Q488" s="347"/>
      <c r="R488" s="347"/>
      <c r="S488" s="347"/>
      <c r="T488" s="347"/>
      <c r="U488" s="347"/>
      <c r="V488" s="347"/>
      <c r="W488" s="347"/>
      <c r="X488" s="347"/>
      <c r="Y488" s="347"/>
      <c r="Z488" s="347"/>
      <c r="AA488" s="604"/>
      <c r="AB488" s="347"/>
      <c r="AC488" s="590"/>
      <c r="AD488" s="347"/>
      <c r="AE488" s="347"/>
      <c r="AF488" s="347"/>
      <c r="AG488" s="347"/>
      <c r="AH488" s="347"/>
      <c r="AI488" s="347"/>
      <c r="AJ488" s="347"/>
      <c r="AK488" s="347"/>
      <c r="AL488" s="347"/>
      <c r="AM488" s="347"/>
      <c r="AN488" s="347"/>
      <c r="AO488" s="347"/>
      <c r="AP488" s="347"/>
      <c r="AQ488" s="347"/>
      <c r="AR488" s="347"/>
      <c r="AS488" s="347"/>
      <c r="AT488" s="347"/>
      <c r="AU488" s="347"/>
      <c r="AV488" s="347"/>
      <c r="AW488" s="347"/>
      <c r="AX488" s="347"/>
      <c r="AY488" s="347"/>
      <c r="AZ488" s="347"/>
      <c r="BA488" s="347"/>
      <c r="BB488" s="347"/>
      <c r="BC488" s="347"/>
      <c r="BD488" s="347"/>
      <c r="BE488" s="347"/>
      <c r="BF488" s="347"/>
      <c r="BG488" s="347"/>
      <c r="BH488" s="347"/>
    </row>
    <row r="489">
      <c r="A489" s="347"/>
      <c r="B489" s="347"/>
      <c r="C489" s="347"/>
      <c r="D489" s="347"/>
      <c r="E489" s="347"/>
      <c r="F489" s="347"/>
      <c r="G489" s="347"/>
      <c r="H489" s="347"/>
      <c r="I489" s="347"/>
      <c r="J489" s="347"/>
      <c r="K489" s="348"/>
      <c r="L489" s="348"/>
      <c r="M489" s="348"/>
      <c r="N489" s="348"/>
      <c r="O489" s="348"/>
      <c r="P489" s="347"/>
      <c r="Q489" s="347"/>
      <c r="R489" s="347"/>
      <c r="S489" s="347"/>
      <c r="T489" s="347"/>
      <c r="U489" s="347"/>
      <c r="V489" s="347"/>
      <c r="W489" s="347"/>
      <c r="X489" s="347"/>
      <c r="Y489" s="347"/>
      <c r="Z489" s="347"/>
      <c r="AA489" s="604"/>
      <c r="AB489" s="347"/>
      <c r="AC489" s="590"/>
      <c r="AD489" s="347"/>
      <c r="AE489" s="347"/>
      <c r="AF489" s="347"/>
      <c r="AG489" s="347"/>
      <c r="AH489" s="347"/>
      <c r="AI489" s="347"/>
      <c r="AJ489" s="347"/>
      <c r="AK489" s="347"/>
      <c r="AL489" s="347"/>
      <c r="AM489" s="347"/>
      <c r="AN489" s="347"/>
      <c r="AO489" s="347"/>
      <c r="AP489" s="347"/>
      <c r="AQ489" s="347"/>
      <c r="AR489" s="347"/>
      <c r="AS489" s="347"/>
      <c r="AT489" s="347"/>
      <c r="AU489" s="347"/>
      <c r="AV489" s="347"/>
      <c r="AW489" s="347"/>
      <c r="AX489" s="347"/>
      <c r="AY489" s="347"/>
      <c r="AZ489" s="347"/>
      <c r="BA489" s="347"/>
      <c r="BB489" s="347"/>
      <c r="BC489" s="347"/>
      <c r="BD489" s="347"/>
      <c r="BE489" s="347"/>
      <c r="BF489" s="347"/>
      <c r="BG489" s="347"/>
      <c r="BH489" s="347"/>
    </row>
    <row r="490">
      <c r="A490" s="347"/>
      <c r="B490" s="347"/>
      <c r="C490" s="347"/>
      <c r="D490" s="347"/>
      <c r="E490" s="347"/>
      <c r="F490" s="347"/>
      <c r="G490" s="347"/>
      <c r="H490" s="347"/>
      <c r="I490" s="347"/>
      <c r="J490" s="347"/>
      <c r="K490" s="348"/>
      <c r="L490" s="348"/>
      <c r="M490" s="348"/>
      <c r="N490" s="348"/>
      <c r="O490" s="348"/>
      <c r="P490" s="347"/>
      <c r="Q490" s="347"/>
      <c r="R490" s="347"/>
      <c r="S490" s="347"/>
      <c r="T490" s="347"/>
      <c r="U490" s="347"/>
      <c r="V490" s="347"/>
      <c r="W490" s="347"/>
      <c r="X490" s="347"/>
      <c r="Y490" s="347"/>
      <c r="Z490" s="347"/>
      <c r="AA490" s="604"/>
      <c r="AB490" s="347"/>
      <c r="AC490" s="590"/>
      <c r="AD490" s="347"/>
      <c r="AE490" s="347"/>
      <c r="AF490" s="347"/>
      <c r="AG490" s="347"/>
      <c r="AH490" s="347"/>
      <c r="AI490" s="347"/>
      <c r="AJ490" s="347"/>
      <c r="AK490" s="347"/>
      <c r="AL490" s="347"/>
      <c r="AM490" s="347"/>
      <c r="AN490" s="347"/>
      <c r="AO490" s="347"/>
      <c r="AP490" s="347"/>
      <c r="AQ490" s="347"/>
      <c r="AR490" s="347"/>
      <c r="AS490" s="347"/>
      <c r="AT490" s="347"/>
      <c r="AU490" s="347"/>
      <c r="AV490" s="347"/>
      <c r="AW490" s="347"/>
      <c r="AX490" s="347"/>
      <c r="AY490" s="347"/>
      <c r="AZ490" s="347"/>
      <c r="BA490" s="347"/>
      <c r="BB490" s="347"/>
      <c r="BC490" s="347"/>
      <c r="BD490" s="347"/>
      <c r="BE490" s="347"/>
      <c r="BF490" s="347"/>
      <c r="BG490" s="347"/>
      <c r="BH490" s="347"/>
    </row>
    <row r="491">
      <c r="A491" s="347"/>
      <c r="B491" s="347"/>
      <c r="C491" s="347"/>
      <c r="D491" s="347"/>
      <c r="E491" s="347"/>
      <c r="F491" s="347"/>
      <c r="G491" s="347"/>
      <c r="H491" s="347"/>
      <c r="I491" s="347"/>
      <c r="J491" s="347"/>
      <c r="K491" s="348"/>
      <c r="L491" s="348"/>
      <c r="M491" s="348"/>
      <c r="N491" s="348"/>
      <c r="O491" s="348"/>
      <c r="P491" s="347"/>
      <c r="Q491" s="347"/>
      <c r="R491" s="347"/>
      <c r="S491" s="347"/>
      <c r="T491" s="347"/>
      <c r="U491" s="347"/>
      <c r="V491" s="347"/>
      <c r="W491" s="347"/>
      <c r="X491" s="347"/>
      <c r="Y491" s="347"/>
      <c r="Z491" s="347"/>
      <c r="AA491" s="604"/>
      <c r="AB491" s="347"/>
      <c r="AC491" s="590"/>
      <c r="AD491" s="347"/>
      <c r="AE491" s="347"/>
      <c r="AF491" s="347"/>
      <c r="AG491" s="347"/>
      <c r="AH491" s="347"/>
      <c r="AI491" s="347"/>
      <c r="AJ491" s="347"/>
      <c r="AK491" s="347"/>
      <c r="AL491" s="347"/>
      <c r="AM491" s="347"/>
      <c r="AN491" s="347"/>
      <c r="AO491" s="347"/>
      <c r="AP491" s="347"/>
      <c r="AQ491" s="347"/>
      <c r="AR491" s="347"/>
      <c r="AS491" s="347"/>
      <c r="AT491" s="347"/>
      <c r="AU491" s="347"/>
      <c r="AV491" s="347"/>
      <c r="AW491" s="347"/>
      <c r="AX491" s="347"/>
      <c r="AY491" s="347"/>
      <c r="AZ491" s="347"/>
      <c r="BA491" s="347"/>
      <c r="BB491" s="347"/>
      <c r="BC491" s="347"/>
      <c r="BD491" s="347"/>
      <c r="BE491" s="347"/>
      <c r="BF491" s="347"/>
      <c r="BG491" s="347"/>
      <c r="BH491" s="347"/>
    </row>
    <row r="492">
      <c r="A492" s="347"/>
      <c r="B492" s="347"/>
      <c r="C492" s="347"/>
      <c r="D492" s="347"/>
      <c r="E492" s="347"/>
      <c r="F492" s="347"/>
      <c r="G492" s="347"/>
      <c r="H492" s="347"/>
      <c r="I492" s="347"/>
      <c r="J492" s="347"/>
      <c r="K492" s="348"/>
      <c r="L492" s="348"/>
      <c r="M492" s="348"/>
      <c r="N492" s="348"/>
      <c r="O492" s="348"/>
      <c r="P492" s="347"/>
      <c r="Q492" s="347"/>
      <c r="R492" s="347"/>
      <c r="S492" s="347"/>
      <c r="T492" s="347"/>
      <c r="U492" s="347"/>
      <c r="V492" s="347"/>
      <c r="W492" s="347"/>
      <c r="X492" s="347"/>
      <c r="Y492" s="347"/>
      <c r="Z492" s="347"/>
      <c r="AA492" s="604"/>
      <c r="AB492" s="347"/>
      <c r="AC492" s="590"/>
      <c r="AD492" s="347"/>
      <c r="AE492" s="347"/>
      <c r="AF492" s="347"/>
      <c r="AG492" s="347"/>
      <c r="AH492" s="347"/>
      <c r="AI492" s="347"/>
      <c r="AJ492" s="347"/>
      <c r="AK492" s="347"/>
      <c r="AL492" s="347"/>
      <c r="AM492" s="347"/>
      <c r="AN492" s="347"/>
      <c r="AO492" s="347"/>
      <c r="AP492" s="347"/>
      <c r="AQ492" s="347"/>
      <c r="AR492" s="347"/>
      <c r="AS492" s="347"/>
      <c r="AT492" s="347"/>
      <c r="AU492" s="347"/>
      <c r="AV492" s="347"/>
      <c r="AW492" s="347"/>
      <c r="AX492" s="347"/>
      <c r="AY492" s="347"/>
      <c r="AZ492" s="347"/>
      <c r="BA492" s="347"/>
      <c r="BB492" s="347"/>
      <c r="BC492" s="347"/>
      <c r="BD492" s="347"/>
      <c r="BE492" s="347"/>
      <c r="BF492" s="347"/>
      <c r="BG492" s="347"/>
      <c r="BH492" s="347"/>
    </row>
    <row r="493">
      <c r="A493" s="347"/>
      <c r="B493" s="347"/>
      <c r="C493" s="347"/>
      <c r="D493" s="347"/>
      <c r="E493" s="347"/>
      <c r="F493" s="347"/>
      <c r="G493" s="347"/>
      <c r="H493" s="347"/>
      <c r="I493" s="347"/>
      <c r="J493" s="347"/>
      <c r="K493" s="348"/>
      <c r="L493" s="348"/>
      <c r="M493" s="348"/>
      <c r="N493" s="348"/>
      <c r="O493" s="348"/>
      <c r="P493" s="347"/>
      <c r="Q493" s="347"/>
      <c r="R493" s="347"/>
      <c r="S493" s="347"/>
      <c r="T493" s="347"/>
      <c r="U493" s="347"/>
      <c r="V493" s="347"/>
      <c r="W493" s="347"/>
      <c r="X493" s="347"/>
      <c r="Y493" s="347"/>
      <c r="Z493" s="347"/>
      <c r="AA493" s="604"/>
      <c r="AB493" s="347"/>
      <c r="AC493" s="590"/>
      <c r="AD493" s="347"/>
      <c r="AE493" s="347"/>
      <c r="AF493" s="347"/>
      <c r="AG493" s="347"/>
      <c r="AH493" s="347"/>
      <c r="AI493" s="347"/>
      <c r="AJ493" s="347"/>
      <c r="AK493" s="347"/>
      <c r="AL493" s="347"/>
      <c r="AM493" s="347"/>
      <c r="AN493" s="347"/>
      <c r="AO493" s="347"/>
      <c r="AP493" s="347"/>
      <c r="AQ493" s="347"/>
      <c r="AR493" s="347"/>
      <c r="AS493" s="347"/>
      <c r="AT493" s="347"/>
      <c r="AU493" s="347"/>
      <c r="AV493" s="347"/>
      <c r="AW493" s="347"/>
      <c r="AX493" s="347"/>
      <c r="AY493" s="347"/>
      <c r="AZ493" s="347"/>
      <c r="BA493" s="347"/>
      <c r="BB493" s="347"/>
      <c r="BC493" s="347"/>
      <c r="BD493" s="347"/>
      <c r="BE493" s="347"/>
      <c r="BF493" s="347"/>
      <c r="BG493" s="347"/>
      <c r="BH493" s="347"/>
    </row>
    <row r="494">
      <c r="A494" s="347"/>
      <c r="B494" s="347"/>
      <c r="C494" s="347"/>
      <c r="D494" s="347"/>
      <c r="E494" s="347"/>
      <c r="F494" s="347"/>
      <c r="G494" s="347"/>
      <c r="H494" s="347"/>
      <c r="I494" s="347"/>
      <c r="J494" s="347"/>
      <c r="K494" s="348"/>
      <c r="L494" s="348"/>
      <c r="M494" s="348"/>
      <c r="N494" s="348"/>
      <c r="O494" s="348"/>
      <c r="P494" s="347"/>
      <c r="Q494" s="347"/>
      <c r="R494" s="347"/>
      <c r="S494" s="347"/>
      <c r="T494" s="347"/>
      <c r="U494" s="347"/>
      <c r="V494" s="347"/>
      <c r="W494" s="347"/>
      <c r="X494" s="347"/>
      <c r="Y494" s="347"/>
      <c r="Z494" s="347"/>
      <c r="AA494" s="604"/>
      <c r="AB494" s="347"/>
      <c r="AC494" s="590"/>
      <c r="AD494" s="347"/>
      <c r="AE494" s="347"/>
      <c r="AF494" s="347"/>
      <c r="AG494" s="347"/>
      <c r="AH494" s="347"/>
      <c r="AI494" s="347"/>
      <c r="AJ494" s="347"/>
      <c r="AK494" s="347"/>
      <c r="AL494" s="347"/>
      <c r="AM494" s="347"/>
      <c r="AN494" s="347"/>
      <c r="AO494" s="347"/>
      <c r="AP494" s="347"/>
      <c r="AQ494" s="347"/>
      <c r="AR494" s="347"/>
      <c r="AS494" s="347"/>
      <c r="AT494" s="347"/>
      <c r="AU494" s="347"/>
      <c r="AV494" s="347"/>
      <c r="AW494" s="347"/>
      <c r="AX494" s="347"/>
      <c r="AY494" s="347"/>
      <c r="AZ494" s="347"/>
      <c r="BA494" s="347"/>
      <c r="BB494" s="347"/>
      <c r="BC494" s="347"/>
      <c r="BD494" s="347"/>
      <c r="BE494" s="347"/>
      <c r="BF494" s="347"/>
      <c r="BG494" s="347"/>
      <c r="BH494" s="347"/>
    </row>
    <row r="495">
      <c r="A495" s="347"/>
      <c r="B495" s="347"/>
      <c r="C495" s="347"/>
      <c r="D495" s="347"/>
      <c r="E495" s="347"/>
      <c r="F495" s="347"/>
      <c r="G495" s="347"/>
      <c r="H495" s="347"/>
      <c r="I495" s="347"/>
      <c r="J495" s="347"/>
      <c r="K495" s="348"/>
      <c r="L495" s="348"/>
      <c r="M495" s="348"/>
      <c r="N495" s="348"/>
      <c r="O495" s="348"/>
      <c r="P495" s="347"/>
      <c r="Q495" s="347"/>
      <c r="R495" s="347"/>
      <c r="S495" s="347"/>
      <c r="T495" s="347"/>
      <c r="U495" s="347"/>
      <c r="V495" s="347"/>
      <c r="W495" s="347"/>
      <c r="X495" s="347"/>
      <c r="Y495" s="347"/>
      <c r="Z495" s="347"/>
      <c r="AA495" s="604"/>
      <c r="AB495" s="347"/>
      <c r="AC495" s="590"/>
      <c r="AD495" s="347"/>
      <c r="AE495" s="347"/>
      <c r="AF495" s="347"/>
      <c r="AG495" s="347"/>
      <c r="AH495" s="347"/>
      <c r="AI495" s="347"/>
      <c r="AJ495" s="347"/>
      <c r="AK495" s="347"/>
      <c r="AL495" s="347"/>
      <c r="AM495" s="347"/>
      <c r="AN495" s="347"/>
      <c r="AO495" s="347"/>
      <c r="AP495" s="347"/>
      <c r="AQ495" s="347"/>
      <c r="AR495" s="347"/>
      <c r="AS495" s="347"/>
      <c r="AT495" s="347"/>
      <c r="AU495" s="347"/>
      <c r="AV495" s="347"/>
      <c r="AW495" s="347"/>
      <c r="AX495" s="347"/>
      <c r="AY495" s="347"/>
      <c r="AZ495" s="347"/>
      <c r="BA495" s="347"/>
      <c r="BB495" s="347"/>
      <c r="BC495" s="347"/>
      <c r="BD495" s="347"/>
      <c r="BE495" s="347"/>
      <c r="BF495" s="347"/>
      <c r="BG495" s="347"/>
      <c r="BH495" s="347"/>
    </row>
    <row r="496">
      <c r="A496" s="347"/>
      <c r="B496" s="347"/>
      <c r="C496" s="347"/>
      <c r="D496" s="347"/>
      <c r="E496" s="347"/>
      <c r="F496" s="347"/>
      <c r="G496" s="347"/>
      <c r="H496" s="347"/>
      <c r="I496" s="347"/>
      <c r="J496" s="347"/>
      <c r="K496" s="348"/>
      <c r="L496" s="348"/>
      <c r="M496" s="348"/>
      <c r="N496" s="348"/>
      <c r="O496" s="348"/>
      <c r="P496" s="347"/>
      <c r="Q496" s="347"/>
      <c r="R496" s="347"/>
      <c r="S496" s="347"/>
      <c r="T496" s="347"/>
      <c r="U496" s="347"/>
      <c r="V496" s="347"/>
      <c r="W496" s="347"/>
      <c r="X496" s="347"/>
      <c r="Y496" s="347"/>
      <c r="Z496" s="347"/>
      <c r="AA496" s="604"/>
      <c r="AB496" s="347"/>
      <c r="AC496" s="590"/>
      <c r="AD496" s="347"/>
      <c r="AE496" s="347"/>
      <c r="AF496" s="347"/>
      <c r="AG496" s="347"/>
      <c r="AH496" s="347"/>
      <c r="AI496" s="347"/>
      <c r="AJ496" s="347"/>
      <c r="AK496" s="347"/>
      <c r="AL496" s="347"/>
      <c r="AM496" s="347"/>
      <c r="AN496" s="347"/>
      <c r="AO496" s="347"/>
      <c r="AP496" s="347"/>
      <c r="AQ496" s="347"/>
      <c r="AR496" s="347"/>
      <c r="AS496" s="347"/>
      <c r="AT496" s="347"/>
      <c r="AU496" s="347"/>
      <c r="AV496" s="347"/>
      <c r="AW496" s="347"/>
      <c r="AX496" s="347"/>
      <c r="AY496" s="347"/>
      <c r="AZ496" s="347"/>
      <c r="BA496" s="347"/>
      <c r="BB496" s="347"/>
      <c r="BC496" s="347"/>
      <c r="BD496" s="347"/>
      <c r="BE496" s="347"/>
      <c r="BF496" s="347"/>
      <c r="BG496" s="347"/>
      <c r="BH496" s="347"/>
    </row>
    <row r="497">
      <c r="A497" s="347"/>
      <c r="B497" s="347"/>
      <c r="C497" s="347"/>
      <c r="D497" s="347"/>
      <c r="E497" s="347"/>
      <c r="F497" s="347"/>
      <c r="G497" s="347"/>
      <c r="H497" s="347"/>
      <c r="I497" s="347"/>
      <c r="J497" s="347"/>
      <c r="K497" s="348"/>
      <c r="L497" s="348"/>
      <c r="M497" s="348"/>
      <c r="N497" s="348"/>
      <c r="O497" s="348"/>
      <c r="P497" s="347"/>
      <c r="Q497" s="347"/>
      <c r="R497" s="347"/>
      <c r="S497" s="347"/>
      <c r="T497" s="347"/>
      <c r="U497" s="347"/>
      <c r="V497" s="347"/>
      <c r="W497" s="347"/>
      <c r="X497" s="347"/>
      <c r="Y497" s="347"/>
      <c r="Z497" s="347"/>
      <c r="AA497" s="604"/>
      <c r="AB497" s="347"/>
      <c r="AC497" s="590"/>
      <c r="AD497" s="347"/>
      <c r="AE497" s="347"/>
      <c r="AF497" s="347"/>
      <c r="AG497" s="347"/>
      <c r="AH497" s="347"/>
      <c r="AI497" s="347"/>
      <c r="AJ497" s="347"/>
      <c r="AK497" s="347"/>
      <c r="AL497" s="347"/>
      <c r="AM497" s="347"/>
      <c r="AN497" s="347"/>
      <c r="AO497" s="347"/>
      <c r="AP497" s="347"/>
      <c r="AQ497" s="347"/>
      <c r="AR497" s="347"/>
      <c r="AS497" s="347"/>
      <c r="AT497" s="347"/>
      <c r="AU497" s="347"/>
      <c r="AV497" s="347"/>
      <c r="AW497" s="347"/>
      <c r="AX497" s="347"/>
      <c r="AY497" s="347"/>
      <c r="AZ497" s="347"/>
      <c r="BA497" s="347"/>
      <c r="BB497" s="347"/>
      <c r="BC497" s="347"/>
      <c r="BD497" s="347"/>
      <c r="BE497" s="347"/>
      <c r="BF497" s="347"/>
      <c r="BG497" s="347"/>
      <c r="BH497" s="347"/>
    </row>
    <row r="498">
      <c r="A498" s="347"/>
      <c r="B498" s="347"/>
      <c r="C498" s="347"/>
      <c r="D498" s="347"/>
      <c r="E498" s="347"/>
      <c r="F498" s="347"/>
      <c r="G498" s="347"/>
      <c r="H498" s="347"/>
      <c r="I498" s="347"/>
      <c r="J498" s="347"/>
      <c r="K498" s="348"/>
      <c r="L498" s="348"/>
      <c r="M498" s="348"/>
      <c r="N498" s="348"/>
      <c r="O498" s="348"/>
      <c r="P498" s="347"/>
      <c r="Q498" s="347"/>
      <c r="R498" s="347"/>
      <c r="S498" s="347"/>
      <c r="T498" s="347"/>
      <c r="U498" s="347"/>
      <c r="V498" s="347"/>
      <c r="W498" s="347"/>
      <c r="X498" s="347"/>
      <c r="Y498" s="347"/>
      <c r="Z498" s="347"/>
      <c r="AA498" s="604"/>
      <c r="AB498" s="347"/>
      <c r="AC498" s="590"/>
      <c r="AD498" s="347"/>
      <c r="AE498" s="347"/>
      <c r="AF498" s="347"/>
      <c r="AG498" s="347"/>
      <c r="AH498" s="347"/>
      <c r="AI498" s="347"/>
      <c r="AJ498" s="347"/>
      <c r="AK498" s="347"/>
      <c r="AL498" s="347"/>
      <c r="AM498" s="347"/>
      <c r="AN498" s="347"/>
      <c r="AO498" s="347"/>
      <c r="AP498" s="347"/>
      <c r="AQ498" s="347"/>
      <c r="AR498" s="347"/>
      <c r="AS498" s="347"/>
      <c r="AT498" s="347"/>
      <c r="AU498" s="347"/>
      <c r="AV498" s="347"/>
      <c r="AW498" s="347"/>
      <c r="AX498" s="347"/>
      <c r="AY498" s="347"/>
      <c r="AZ498" s="347"/>
      <c r="BA498" s="347"/>
      <c r="BB498" s="347"/>
      <c r="BC498" s="347"/>
      <c r="BD498" s="347"/>
      <c r="BE498" s="347"/>
      <c r="BF498" s="347"/>
      <c r="BG498" s="347"/>
      <c r="BH498" s="347"/>
    </row>
    <row r="499">
      <c r="A499" s="347"/>
      <c r="B499" s="347"/>
      <c r="C499" s="347"/>
      <c r="D499" s="347"/>
      <c r="E499" s="347"/>
      <c r="F499" s="347"/>
      <c r="G499" s="347"/>
      <c r="H499" s="347"/>
      <c r="I499" s="347"/>
      <c r="J499" s="347"/>
      <c r="K499" s="348"/>
      <c r="L499" s="348"/>
      <c r="M499" s="348"/>
      <c r="N499" s="348"/>
      <c r="O499" s="348"/>
      <c r="P499" s="347"/>
      <c r="Q499" s="347"/>
      <c r="R499" s="347"/>
      <c r="S499" s="347"/>
      <c r="T499" s="347"/>
      <c r="U499" s="347"/>
      <c r="V499" s="347"/>
      <c r="W499" s="347"/>
      <c r="X499" s="347"/>
      <c r="Y499" s="347"/>
      <c r="Z499" s="347"/>
      <c r="AA499" s="604"/>
      <c r="AB499" s="347"/>
      <c r="AC499" s="590"/>
      <c r="AD499" s="347"/>
      <c r="AE499" s="347"/>
      <c r="AF499" s="347"/>
      <c r="AG499" s="347"/>
      <c r="AH499" s="347"/>
      <c r="AI499" s="347"/>
      <c r="AJ499" s="347"/>
      <c r="AK499" s="347"/>
      <c r="AL499" s="347"/>
      <c r="AM499" s="347"/>
      <c r="AN499" s="347"/>
      <c r="AO499" s="347"/>
      <c r="AP499" s="347"/>
      <c r="AQ499" s="347"/>
      <c r="AR499" s="347"/>
      <c r="AS499" s="347"/>
      <c r="AT499" s="347"/>
      <c r="AU499" s="347"/>
      <c r="AV499" s="347"/>
      <c r="AW499" s="347"/>
      <c r="AX499" s="347"/>
      <c r="AY499" s="347"/>
      <c r="AZ499" s="347"/>
      <c r="BA499" s="347"/>
      <c r="BB499" s="347"/>
      <c r="BC499" s="347"/>
      <c r="BD499" s="347"/>
      <c r="BE499" s="347"/>
      <c r="BF499" s="347"/>
      <c r="BG499" s="347"/>
      <c r="BH499" s="347"/>
    </row>
    <row r="500">
      <c r="A500" s="347"/>
      <c r="B500" s="347"/>
      <c r="C500" s="347"/>
      <c r="D500" s="347"/>
      <c r="E500" s="347"/>
      <c r="F500" s="347"/>
      <c r="G500" s="347"/>
      <c r="H500" s="347"/>
      <c r="I500" s="347"/>
      <c r="J500" s="347"/>
      <c r="K500" s="348"/>
      <c r="L500" s="348"/>
      <c r="M500" s="348"/>
      <c r="N500" s="348"/>
      <c r="O500" s="348"/>
      <c r="P500" s="347"/>
      <c r="Q500" s="347"/>
      <c r="R500" s="347"/>
      <c r="S500" s="347"/>
      <c r="T500" s="347"/>
      <c r="U500" s="347"/>
      <c r="V500" s="347"/>
      <c r="W500" s="347"/>
      <c r="X500" s="347"/>
      <c r="Y500" s="347"/>
      <c r="Z500" s="347"/>
      <c r="AA500" s="604"/>
      <c r="AB500" s="347"/>
      <c r="AC500" s="590"/>
      <c r="AD500" s="347"/>
      <c r="AE500" s="347"/>
      <c r="AF500" s="347"/>
      <c r="AG500" s="347"/>
      <c r="AH500" s="347"/>
      <c r="AI500" s="347"/>
      <c r="AJ500" s="347"/>
      <c r="AK500" s="347"/>
      <c r="AL500" s="347"/>
      <c r="AM500" s="347"/>
      <c r="AN500" s="347"/>
      <c r="AO500" s="347"/>
      <c r="AP500" s="347"/>
      <c r="AQ500" s="347"/>
      <c r="AR500" s="347"/>
      <c r="AS500" s="347"/>
      <c r="AT500" s="347"/>
      <c r="AU500" s="347"/>
      <c r="AV500" s="347"/>
      <c r="AW500" s="347"/>
      <c r="AX500" s="347"/>
      <c r="AY500" s="347"/>
      <c r="AZ500" s="347"/>
      <c r="BA500" s="347"/>
      <c r="BB500" s="347"/>
      <c r="BC500" s="347"/>
      <c r="BD500" s="347"/>
      <c r="BE500" s="347"/>
      <c r="BF500" s="347"/>
      <c r="BG500" s="347"/>
      <c r="BH500" s="347"/>
    </row>
    <row r="501">
      <c r="A501" s="347"/>
      <c r="B501" s="347"/>
      <c r="C501" s="347"/>
      <c r="D501" s="347"/>
      <c r="E501" s="347"/>
      <c r="F501" s="347"/>
      <c r="G501" s="347"/>
      <c r="H501" s="347"/>
      <c r="I501" s="347"/>
      <c r="J501" s="347"/>
      <c r="K501" s="348"/>
      <c r="L501" s="348"/>
      <c r="M501" s="348"/>
      <c r="N501" s="348"/>
      <c r="O501" s="348"/>
      <c r="P501" s="347"/>
      <c r="Q501" s="347"/>
      <c r="R501" s="347"/>
      <c r="S501" s="347"/>
      <c r="T501" s="347"/>
      <c r="U501" s="347"/>
      <c r="V501" s="347"/>
      <c r="W501" s="347"/>
      <c r="X501" s="347"/>
      <c r="Y501" s="347"/>
      <c r="Z501" s="347"/>
      <c r="AA501" s="604"/>
      <c r="AB501" s="347"/>
      <c r="AC501" s="590"/>
      <c r="AD501" s="347"/>
      <c r="AE501" s="347"/>
      <c r="AF501" s="347"/>
      <c r="AG501" s="347"/>
      <c r="AH501" s="347"/>
      <c r="AI501" s="347"/>
      <c r="AJ501" s="347"/>
      <c r="AK501" s="347"/>
      <c r="AL501" s="347"/>
      <c r="AM501" s="347"/>
      <c r="AN501" s="347"/>
      <c r="AO501" s="347"/>
      <c r="AP501" s="347"/>
      <c r="AQ501" s="347"/>
      <c r="AR501" s="347"/>
      <c r="AS501" s="347"/>
      <c r="AT501" s="347"/>
      <c r="AU501" s="347"/>
      <c r="AV501" s="347"/>
      <c r="AW501" s="347"/>
      <c r="AX501" s="347"/>
      <c r="AY501" s="347"/>
      <c r="AZ501" s="347"/>
      <c r="BA501" s="347"/>
      <c r="BB501" s="347"/>
      <c r="BC501" s="347"/>
      <c r="BD501" s="347"/>
      <c r="BE501" s="347"/>
      <c r="BF501" s="347"/>
      <c r="BG501" s="347"/>
      <c r="BH501" s="347"/>
    </row>
    <row r="502">
      <c r="A502" s="347"/>
      <c r="B502" s="347"/>
      <c r="C502" s="347"/>
      <c r="D502" s="347"/>
      <c r="E502" s="347"/>
      <c r="F502" s="347"/>
      <c r="G502" s="347"/>
      <c r="H502" s="347"/>
      <c r="I502" s="347"/>
      <c r="J502" s="347"/>
      <c r="K502" s="348"/>
      <c r="L502" s="348"/>
      <c r="M502" s="348"/>
      <c r="N502" s="348"/>
      <c r="O502" s="348"/>
      <c r="P502" s="347"/>
      <c r="Q502" s="347"/>
      <c r="R502" s="347"/>
      <c r="S502" s="347"/>
      <c r="T502" s="347"/>
      <c r="U502" s="347"/>
      <c r="V502" s="347"/>
      <c r="W502" s="347"/>
      <c r="X502" s="347"/>
      <c r="Y502" s="347"/>
      <c r="Z502" s="347"/>
      <c r="AA502" s="604"/>
      <c r="AB502" s="347"/>
      <c r="AC502" s="590"/>
      <c r="AD502" s="347"/>
      <c r="AE502" s="347"/>
      <c r="AF502" s="347"/>
      <c r="AG502" s="347"/>
      <c r="AH502" s="347"/>
      <c r="AI502" s="347"/>
      <c r="AJ502" s="347"/>
      <c r="AK502" s="347"/>
      <c r="AL502" s="347"/>
      <c r="AM502" s="347"/>
      <c r="AN502" s="347"/>
      <c r="AO502" s="347"/>
      <c r="AP502" s="347"/>
      <c r="AQ502" s="347"/>
      <c r="AR502" s="347"/>
      <c r="AS502" s="347"/>
      <c r="AT502" s="347"/>
      <c r="AU502" s="347"/>
      <c r="AV502" s="347"/>
      <c r="AW502" s="347"/>
      <c r="AX502" s="347"/>
      <c r="AY502" s="347"/>
      <c r="AZ502" s="347"/>
      <c r="BA502" s="347"/>
      <c r="BB502" s="347"/>
      <c r="BC502" s="347"/>
      <c r="BD502" s="347"/>
      <c r="BE502" s="347"/>
      <c r="BF502" s="347"/>
      <c r="BG502" s="347"/>
      <c r="BH502" s="347"/>
    </row>
    <row r="503">
      <c r="A503" s="347"/>
      <c r="B503" s="347"/>
      <c r="C503" s="347"/>
      <c r="D503" s="347"/>
      <c r="E503" s="347"/>
      <c r="F503" s="347"/>
      <c r="G503" s="347"/>
      <c r="H503" s="347"/>
      <c r="I503" s="347"/>
      <c r="J503" s="347"/>
      <c r="K503" s="348"/>
      <c r="L503" s="348"/>
      <c r="M503" s="348"/>
      <c r="N503" s="348"/>
      <c r="O503" s="348"/>
      <c r="P503" s="347"/>
      <c r="Q503" s="347"/>
      <c r="R503" s="347"/>
      <c r="S503" s="347"/>
      <c r="T503" s="347"/>
      <c r="U503" s="347"/>
      <c r="V503" s="347"/>
      <c r="W503" s="347"/>
      <c r="X503" s="347"/>
      <c r="Y503" s="347"/>
      <c r="Z503" s="347"/>
      <c r="AA503" s="604"/>
      <c r="AB503" s="347"/>
      <c r="AC503" s="590"/>
      <c r="AD503" s="347"/>
      <c r="AE503" s="347"/>
      <c r="AF503" s="347"/>
      <c r="AG503" s="347"/>
      <c r="AH503" s="347"/>
      <c r="AI503" s="347"/>
      <c r="AJ503" s="347"/>
      <c r="AK503" s="347"/>
      <c r="AL503" s="347"/>
      <c r="AM503" s="347"/>
      <c r="AN503" s="347"/>
      <c r="AO503" s="347"/>
      <c r="AP503" s="347"/>
      <c r="AQ503" s="347"/>
      <c r="AR503" s="347"/>
      <c r="AS503" s="347"/>
      <c r="AT503" s="347"/>
      <c r="AU503" s="347"/>
      <c r="AV503" s="347"/>
      <c r="AW503" s="347"/>
      <c r="AX503" s="347"/>
      <c r="AY503" s="347"/>
      <c r="AZ503" s="347"/>
      <c r="BA503" s="347"/>
      <c r="BB503" s="347"/>
      <c r="BC503" s="347"/>
      <c r="BD503" s="347"/>
      <c r="BE503" s="347"/>
      <c r="BF503" s="347"/>
      <c r="BG503" s="347"/>
      <c r="BH503" s="347"/>
    </row>
    <row r="504">
      <c r="A504" s="347"/>
      <c r="B504" s="347"/>
      <c r="C504" s="347"/>
      <c r="D504" s="347"/>
      <c r="E504" s="347"/>
      <c r="F504" s="347"/>
      <c r="G504" s="347"/>
      <c r="H504" s="347"/>
      <c r="I504" s="347"/>
      <c r="J504" s="347"/>
      <c r="K504" s="348"/>
      <c r="L504" s="348"/>
      <c r="M504" s="348"/>
      <c r="N504" s="348"/>
      <c r="O504" s="348"/>
      <c r="P504" s="347"/>
      <c r="Q504" s="347"/>
      <c r="R504" s="347"/>
      <c r="S504" s="347"/>
      <c r="T504" s="347"/>
      <c r="U504" s="347"/>
      <c r="V504" s="347"/>
      <c r="W504" s="347"/>
      <c r="X504" s="347"/>
      <c r="Y504" s="347"/>
      <c r="Z504" s="347"/>
      <c r="AA504" s="604"/>
      <c r="AB504" s="347"/>
      <c r="AC504" s="590"/>
      <c r="AD504" s="347"/>
      <c r="AE504" s="347"/>
      <c r="AF504" s="347"/>
      <c r="AG504" s="347"/>
      <c r="AH504" s="347"/>
      <c r="AI504" s="347"/>
      <c r="AJ504" s="347"/>
      <c r="AK504" s="347"/>
      <c r="AL504" s="347"/>
      <c r="AM504" s="347"/>
      <c r="AN504" s="347"/>
      <c r="AO504" s="347"/>
      <c r="AP504" s="347"/>
      <c r="AQ504" s="347"/>
      <c r="AR504" s="347"/>
      <c r="AS504" s="347"/>
      <c r="AT504" s="347"/>
      <c r="AU504" s="347"/>
      <c r="AV504" s="347"/>
      <c r="AW504" s="347"/>
      <c r="AX504" s="347"/>
      <c r="AY504" s="347"/>
      <c r="AZ504" s="347"/>
      <c r="BA504" s="347"/>
      <c r="BB504" s="347"/>
      <c r="BC504" s="347"/>
      <c r="BD504" s="347"/>
      <c r="BE504" s="347"/>
      <c r="BF504" s="347"/>
      <c r="BG504" s="347"/>
      <c r="BH504" s="347"/>
    </row>
    <row r="505">
      <c r="A505" s="347"/>
      <c r="B505" s="347"/>
      <c r="C505" s="347"/>
      <c r="D505" s="347"/>
      <c r="E505" s="347"/>
      <c r="F505" s="347"/>
      <c r="G505" s="347"/>
      <c r="H505" s="347"/>
      <c r="I505" s="347"/>
      <c r="J505" s="347"/>
      <c r="K505" s="348"/>
      <c r="L505" s="348"/>
      <c r="M505" s="348"/>
      <c r="N505" s="348"/>
      <c r="O505" s="348"/>
      <c r="P505" s="347"/>
      <c r="Q505" s="347"/>
      <c r="R505" s="347"/>
      <c r="S505" s="347"/>
      <c r="T505" s="347"/>
      <c r="U505" s="347"/>
      <c r="V505" s="347"/>
      <c r="W505" s="347"/>
      <c r="X505" s="347"/>
      <c r="Y505" s="347"/>
      <c r="Z505" s="347"/>
      <c r="AA505" s="604"/>
      <c r="AB505" s="347"/>
      <c r="AC505" s="590"/>
      <c r="AD505" s="347"/>
      <c r="AE505" s="347"/>
      <c r="AF505" s="347"/>
      <c r="AG505" s="347"/>
      <c r="AH505" s="347"/>
      <c r="AI505" s="347"/>
      <c r="AJ505" s="347"/>
      <c r="AK505" s="347"/>
      <c r="AL505" s="347"/>
      <c r="AM505" s="347"/>
      <c r="AN505" s="347"/>
      <c r="AO505" s="347"/>
      <c r="AP505" s="347"/>
      <c r="AQ505" s="347"/>
      <c r="AR505" s="347"/>
      <c r="AS505" s="347"/>
      <c r="AT505" s="347"/>
      <c r="AU505" s="347"/>
      <c r="AV505" s="347"/>
      <c r="AW505" s="347"/>
      <c r="AX505" s="347"/>
      <c r="AY505" s="347"/>
      <c r="AZ505" s="347"/>
      <c r="BA505" s="347"/>
      <c r="BB505" s="347"/>
      <c r="BC505" s="347"/>
      <c r="BD505" s="347"/>
      <c r="BE505" s="347"/>
      <c r="BF505" s="347"/>
      <c r="BG505" s="347"/>
      <c r="BH505" s="347"/>
    </row>
    <row r="506">
      <c r="A506" s="347"/>
      <c r="B506" s="347"/>
      <c r="C506" s="347"/>
      <c r="D506" s="347"/>
      <c r="E506" s="347"/>
      <c r="F506" s="347"/>
      <c r="G506" s="347"/>
      <c r="H506" s="347"/>
      <c r="I506" s="347"/>
      <c r="J506" s="347"/>
      <c r="K506" s="348"/>
      <c r="L506" s="348"/>
      <c r="M506" s="348"/>
      <c r="N506" s="348"/>
      <c r="O506" s="348"/>
      <c r="P506" s="347"/>
      <c r="Q506" s="347"/>
      <c r="R506" s="347"/>
      <c r="S506" s="347"/>
      <c r="T506" s="347"/>
      <c r="U506" s="347"/>
      <c r="V506" s="347"/>
      <c r="W506" s="347"/>
      <c r="X506" s="347"/>
      <c r="Y506" s="347"/>
      <c r="Z506" s="347"/>
      <c r="AA506" s="604"/>
      <c r="AB506" s="347"/>
      <c r="AC506" s="590"/>
      <c r="AD506" s="347"/>
      <c r="AE506" s="347"/>
      <c r="AF506" s="347"/>
      <c r="AG506" s="347"/>
      <c r="AH506" s="347"/>
      <c r="AI506" s="347"/>
      <c r="AJ506" s="347"/>
      <c r="AK506" s="347"/>
      <c r="AL506" s="347"/>
      <c r="AM506" s="347"/>
      <c r="AN506" s="347"/>
      <c r="AO506" s="347"/>
      <c r="AP506" s="347"/>
      <c r="AQ506" s="347"/>
      <c r="AR506" s="347"/>
      <c r="AS506" s="347"/>
      <c r="AT506" s="347"/>
      <c r="AU506" s="347"/>
      <c r="AV506" s="347"/>
      <c r="AW506" s="347"/>
      <c r="AX506" s="347"/>
      <c r="AY506" s="347"/>
      <c r="AZ506" s="347"/>
      <c r="BA506" s="347"/>
      <c r="BB506" s="347"/>
      <c r="BC506" s="347"/>
      <c r="BD506" s="347"/>
      <c r="BE506" s="347"/>
      <c r="BF506" s="347"/>
      <c r="BG506" s="347"/>
      <c r="BH506" s="347"/>
    </row>
    <row r="507">
      <c r="A507" s="347"/>
      <c r="B507" s="347"/>
      <c r="C507" s="347"/>
      <c r="D507" s="347"/>
      <c r="E507" s="347"/>
      <c r="F507" s="347"/>
      <c r="G507" s="347"/>
      <c r="H507" s="347"/>
      <c r="I507" s="347"/>
      <c r="J507" s="347"/>
      <c r="K507" s="348"/>
      <c r="L507" s="348"/>
      <c r="M507" s="348"/>
      <c r="N507" s="348"/>
      <c r="O507" s="348"/>
      <c r="P507" s="347"/>
      <c r="Q507" s="347"/>
      <c r="R507" s="347"/>
      <c r="S507" s="347"/>
      <c r="T507" s="347"/>
      <c r="U507" s="347"/>
      <c r="V507" s="347"/>
      <c r="W507" s="347"/>
      <c r="X507" s="347"/>
      <c r="Y507" s="347"/>
      <c r="Z507" s="347"/>
      <c r="AA507" s="604"/>
      <c r="AB507" s="347"/>
      <c r="AC507" s="590"/>
      <c r="AD507" s="347"/>
      <c r="AE507" s="347"/>
      <c r="AF507" s="347"/>
      <c r="AG507" s="347"/>
      <c r="AH507" s="347"/>
      <c r="AI507" s="347"/>
      <c r="AJ507" s="347"/>
      <c r="AK507" s="347"/>
      <c r="AL507" s="347"/>
      <c r="AM507" s="347"/>
      <c r="AN507" s="347"/>
      <c r="AO507" s="347"/>
      <c r="AP507" s="347"/>
      <c r="AQ507" s="347"/>
      <c r="AR507" s="347"/>
      <c r="AS507" s="347"/>
      <c r="AT507" s="347"/>
      <c r="AU507" s="347"/>
      <c r="AV507" s="347"/>
      <c r="AW507" s="347"/>
      <c r="AX507" s="347"/>
      <c r="AY507" s="347"/>
      <c r="AZ507" s="347"/>
      <c r="BA507" s="347"/>
      <c r="BB507" s="347"/>
      <c r="BC507" s="347"/>
      <c r="BD507" s="347"/>
      <c r="BE507" s="347"/>
      <c r="BF507" s="347"/>
      <c r="BG507" s="347"/>
      <c r="BH507" s="347"/>
    </row>
    <row r="508">
      <c r="A508" s="347"/>
      <c r="B508" s="347"/>
      <c r="C508" s="347"/>
      <c r="D508" s="347"/>
      <c r="E508" s="347"/>
      <c r="F508" s="347"/>
      <c r="G508" s="347"/>
      <c r="H508" s="347"/>
      <c r="I508" s="347"/>
      <c r="J508" s="347"/>
      <c r="K508" s="348"/>
      <c r="L508" s="348"/>
      <c r="M508" s="348"/>
      <c r="N508" s="348"/>
      <c r="O508" s="348"/>
      <c r="P508" s="347"/>
      <c r="Q508" s="347"/>
      <c r="R508" s="347"/>
      <c r="S508" s="347"/>
      <c r="T508" s="347"/>
      <c r="U508" s="347"/>
      <c r="V508" s="347"/>
      <c r="W508" s="347"/>
      <c r="X508" s="347"/>
      <c r="Y508" s="347"/>
      <c r="Z508" s="347"/>
      <c r="AA508" s="604"/>
      <c r="AB508" s="347"/>
      <c r="AC508" s="590"/>
      <c r="AD508" s="347"/>
      <c r="AE508" s="347"/>
      <c r="AF508" s="347"/>
      <c r="AG508" s="347"/>
      <c r="AH508" s="347"/>
      <c r="AI508" s="347"/>
      <c r="AJ508" s="347"/>
      <c r="AK508" s="347"/>
      <c r="AL508" s="347"/>
      <c r="AM508" s="347"/>
      <c r="AN508" s="347"/>
      <c r="AO508" s="347"/>
      <c r="AP508" s="347"/>
      <c r="AQ508" s="347"/>
      <c r="AR508" s="347"/>
      <c r="AS508" s="347"/>
      <c r="AT508" s="347"/>
      <c r="AU508" s="347"/>
      <c r="AV508" s="347"/>
      <c r="AW508" s="347"/>
      <c r="AX508" s="347"/>
      <c r="AY508" s="347"/>
      <c r="AZ508" s="347"/>
      <c r="BA508" s="347"/>
      <c r="BB508" s="347"/>
      <c r="BC508" s="347"/>
      <c r="BD508" s="347"/>
      <c r="BE508" s="347"/>
      <c r="BF508" s="347"/>
      <c r="BG508" s="347"/>
      <c r="BH508" s="347"/>
    </row>
    <row r="509">
      <c r="A509" s="347"/>
      <c r="B509" s="347"/>
      <c r="C509" s="347"/>
      <c r="D509" s="347"/>
      <c r="E509" s="347"/>
      <c r="F509" s="347"/>
      <c r="G509" s="347"/>
      <c r="H509" s="347"/>
      <c r="I509" s="347"/>
      <c r="J509" s="347"/>
      <c r="K509" s="348"/>
      <c r="L509" s="348"/>
      <c r="M509" s="348"/>
      <c r="N509" s="348"/>
      <c r="O509" s="348"/>
      <c r="P509" s="347"/>
      <c r="Q509" s="347"/>
      <c r="R509" s="347"/>
      <c r="S509" s="347"/>
      <c r="T509" s="347"/>
      <c r="U509" s="347"/>
      <c r="V509" s="347"/>
      <c r="W509" s="347"/>
      <c r="X509" s="347"/>
      <c r="Y509" s="347"/>
      <c r="Z509" s="347"/>
      <c r="AA509" s="604"/>
      <c r="AB509" s="347"/>
      <c r="AC509" s="590"/>
      <c r="AD509" s="347"/>
      <c r="AE509" s="347"/>
      <c r="AF509" s="347"/>
      <c r="AG509" s="347"/>
      <c r="AH509" s="347"/>
      <c r="AI509" s="347"/>
      <c r="AJ509" s="347"/>
      <c r="AK509" s="347"/>
      <c r="AL509" s="347"/>
      <c r="AM509" s="347"/>
      <c r="AN509" s="347"/>
      <c r="AO509" s="347"/>
      <c r="AP509" s="347"/>
      <c r="AQ509" s="347"/>
      <c r="AR509" s="347"/>
      <c r="AS509" s="347"/>
      <c r="AT509" s="347"/>
      <c r="AU509" s="347"/>
      <c r="AV509" s="347"/>
      <c r="AW509" s="347"/>
      <c r="AX509" s="347"/>
      <c r="AY509" s="347"/>
      <c r="AZ509" s="347"/>
      <c r="BA509" s="347"/>
      <c r="BB509" s="347"/>
      <c r="BC509" s="347"/>
      <c r="BD509" s="347"/>
      <c r="BE509" s="347"/>
      <c r="BF509" s="347"/>
      <c r="BG509" s="347"/>
      <c r="BH509" s="347"/>
    </row>
    <row r="510">
      <c r="A510" s="347"/>
      <c r="B510" s="347"/>
      <c r="C510" s="347"/>
      <c r="D510" s="347"/>
      <c r="E510" s="347"/>
      <c r="F510" s="347"/>
      <c r="G510" s="347"/>
      <c r="H510" s="347"/>
      <c r="I510" s="347"/>
      <c r="J510" s="347"/>
      <c r="K510" s="348"/>
      <c r="L510" s="348"/>
      <c r="M510" s="348"/>
      <c r="N510" s="348"/>
      <c r="O510" s="348"/>
      <c r="P510" s="347"/>
      <c r="Q510" s="347"/>
      <c r="R510" s="347"/>
      <c r="S510" s="347"/>
      <c r="T510" s="347"/>
      <c r="U510" s="347"/>
      <c r="V510" s="347"/>
      <c r="W510" s="347"/>
      <c r="X510" s="347"/>
      <c r="Y510" s="347"/>
      <c r="Z510" s="347"/>
      <c r="AA510" s="604"/>
      <c r="AB510" s="347"/>
      <c r="AC510" s="590"/>
      <c r="AD510" s="347"/>
      <c r="AE510" s="347"/>
      <c r="AF510" s="347"/>
      <c r="AG510" s="347"/>
      <c r="AH510" s="347"/>
      <c r="AI510" s="347"/>
      <c r="AJ510" s="347"/>
      <c r="AK510" s="347"/>
      <c r="AL510" s="347"/>
      <c r="AM510" s="347"/>
      <c r="AN510" s="347"/>
      <c r="AO510" s="347"/>
      <c r="AP510" s="347"/>
      <c r="AQ510" s="347"/>
      <c r="AR510" s="347"/>
      <c r="AS510" s="347"/>
      <c r="AT510" s="347"/>
      <c r="AU510" s="347"/>
      <c r="AV510" s="347"/>
      <c r="AW510" s="347"/>
      <c r="AX510" s="347"/>
      <c r="AY510" s="347"/>
      <c r="AZ510" s="347"/>
      <c r="BA510" s="347"/>
      <c r="BB510" s="347"/>
      <c r="BC510" s="347"/>
      <c r="BD510" s="347"/>
      <c r="BE510" s="347"/>
      <c r="BF510" s="347"/>
      <c r="BG510" s="347"/>
      <c r="BH510" s="347"/>
    </row>
    <row r="511">
      <c r="A511" s="347"/>
      <c r="B511" s="347"/>
      <c r="C511" s="347"/>
      <c r="D511" s="347"/>
      <c r="E511" s="347"/>
      <c r="F511" s="347"/>
      <c r="G511" s="347"/>
      <c r="H511" s="347"/>
      <c r="I511" s="347"/>
      <c r="J511" s="347"/>
      <c r="K511" s="348"/>
      <c r="L511" s="348"/>
      <c r="M511" s="348"/>
      <c r="N511" s="348"/>
      <c r="O511" s="348"/>
      <c r="P511" s="347"/>
      <c r="Q511" s="347"/>
      <c r="R511" s="347"/>
      <c r="S511" s="347"/>
      <c r="T511" s="347"/>
      <c r="U511" s="347"/>
      <c r="V511" s="347"/>
      <c r="W511" s="347"/>
      <c r="X511" s="347"/>
      <c r="Y511" s="347"/>
      <c r="Z511" s="347"/>
      <c r="AA511" s="604"/>
      <c r="AB511" s="347"/>
      <c r="AC511" s="590"/>
      <c r="AD511" s="347"/>
      <c r="AE511" s="347"/>
      <c r="AF511" s="347"/>
      <c r="AG511" s="347"/>
      <c r="AH511" s="347"/>
      <c r="AI511" s="347"/>
      <c r="AJ511" s="347"/>
      <c r="AK511" s="347"/>
      <c r="AL511" s="347"/>
      <c r="AM511" s="347"/>
      <c r="AN511" s="347"/>
      <c r="AO511" s="347"/>
      <c r="AP511" s="347"/>
      <c r="AQ511" s="347"/>
      <c r="AR511" s="347"/>
      <c r="AS511" s="347"/>
      <c r="AT511" s="347"/>
      <c r="AU511" s="347"/>
      <c r="AV511" s="347"/>
      <c r="AW511" s="347"/>
      <c r="AX511" s="347"/>
      <c r="AY511" s="347"/>
      <c r="AZ511" s="347"/>
      <c r="BA511" s="347"/>
      <c r="BB511" s="347"/>
      <c r="BC511" s="347"/>
      <c r="BD511" s="347"/>
      <c r="BE511" s="347"/>
      <c r="BF511" s="347"/>
      <c r="BG511" s="347"/>
      <c r="BH511" s="347"/>
    </row>
    <row r="512">
      <c r="A512" s="347"/>
      <c r="B512" s="347"/>
      <c r="C512" s="347"/>
      <c r="D512" s="347"/>
      <c r="E512" s="347"/>
      <c r="F512" s="347"/>
      <c r="G512" s="347"/>
      <c r="H512" s="347"/>
      <c r="I512" s="347"/>
      <c r="J512" s="347"/>
      <c r="K512" s="348"/>
      <c r="L512" s="348"/>
      <c r="M512" s="348"/>
      <c r="N512" s="348"/>
      <c r="O512" s="348"/>
      <c r="P512" s="347"/>
      <c r="Q512" s="347"/>
      <c r="R512" s="347"/>
      <c r="S512" s="347"/>
      <c r="T512" s="347"/>
      <c r="U512" s="347"/>
      <c r="V512" s="347"/>
      <c r="W512" s="347"/>
      <c r="X512" s="347"/>
      <c r="Y512" s="347"/>
      <c r="Z512" s="347"/>
      <c r="AA512" s="604"/>
      <c r="AB512" s="347"/>
      <c r="AC512" s="590"/>
      <c r="AD512" s="347"/>
      <c r="AE512" s="347"/>
      <c r="AF512" s="347"/>
      <c r="AG512" s="347"/>
      <c r="AH512" s="347"/>
      <c r="AI512" s="347"/>
      <c r="AJ512" s="347"/>
      <c r="AK512" s="347"/>
      <c r="AL512" s="347"/>
      <c r="AM512" s="347"/>
      <c r="AN512" s="347"/>
      <c r="AO512" s="347"/>
      <c r="AP512" s="347"/>
      <c r="AQ512" s="347"/>
      <c r="AR512" s="347"/>
      <c r="AS512" s="347"/>
      <c r="AT512" s="347"/>
      <c r="AU512" s="347"/>
      <c r="AV512" s="347"/>
      <c r="AW512" s="347"/>
      <c r="AX512" s="347"/>
      <c r="AY512" s="347"/>
      <c r="AZ512" s="347"/>
      <c r="BA512" s="347"/>
      <c r="BB512" s="347"/>
      <c r="BC512" s="347"/>
      <c r="BD512" s="347"/>
      <c r="BE512" s="347"/>
      <c r="BF512" s="347"/>
      <c r="BG512" s="347"/>
      <c r="BH512" s="347"/>
    </row>
    <row r="513">
      <c r="A513" s="347"/>
      <c r="B513" s="347"/>
      <c r="C513" s="347"/>
      <c r="D513" s="347"/>
      <c r="E513" s="347"/>
      <c r="F513" s="347"/>
      <c r="G513" s="347"/>
      <c r="H513" s="347"/>
      <c r="I513" s="347"/>
      <c r="J513" s="347"/>
      <c r="K513" s="348"/>
      <c r="L513" s="348"/>
      <c r="M513" s="348"/>
      <c r="N513" s="348"/>
      <c r="O513" s="348"/>
      <c r="P513" s="347"/>
      <c r="Q513" s="347"/>
      <c r="R513" s="347"/>
      <c r="S513" s="347"/>
      <c r="T513" s="347"/>
      <c r="U513" s="347"/>
      <c r="V513" s="347"/>
      <c r="W513" s="347"/>
      <c r="X513" s="347"/>
      <c r="Y513" s="347"/>
      <c r="Z513" s="347"/>
      <c r="AA513" s="604"/>
      <c r="AB513" s="347"/>
      <c r="AC513" s="590"/>
      <c r="AD513" s="347"/>
      <c r="AE513" s="347"/>
      <c r="AF513" s="347"/>
      <c r="AG513" s="347"/>
      <c r="AH513" s="347"/>
      <c r="AI513" s="347"/>
      <c r="AJ513" s="347"/>
      <c r="AK513" s="347"/>
      <c r="AL513" s="347"/>
      <c r="AM513" s="347"/>
      <c r="AN513" s="347"/>
      <c r="AO513" s="347"/>
      <c r="AP513" s="347"/>
      <c r="AQ513" s="347"/>
      <c r="AR513" s="347"/>
      <c r="AS513" s="347"/>
      <c r="AT513" s="347"/>
      <c r="AU513" s="347"/>
      <c r="AV513" s="347"/>
      <c r="AW513" s="347"/>
      <c r="AX513" s="347"/>
      <c r="AY513" s="347"/>
      <c r="AZ513" s="347"/>
      <c r="BA513" s="347"/>
      <c r="BB513" s="347"/>
      <c r="BC513" s="347"/>
      <c r="BD513" s="347"/>
      <c r="BE513" s="347"/>
      <c r="BF513" s="347"/>
      <c r="BG513" s="347"/>
      <c r="BH513" s="347"/>
    </row>
    <row r="514">
      <c r="A514" s="347"/>
      <c r="B514" s="347"/>
      <c r="C514" s="347"/>
      <c r="D514" s="347"/>
      <c r="E514" s="347"/>
      <c r="F514" s="347"/>
      <c r="G514" s="347"/>
      <c r="H514" s="347"/>
      <c r="I514" s="347"/>
      <c r="J514" s="347"/>
      <c r="K514" s="348"/>
      <c r="L514" s="348"/>
      <c r="M514" s="348"/>
      <c r="N514" s="348"/>
      <c r="O514" s="348"/>
      <c r="P514" s="347"/>
      <c r="Q514" s="347"/>
      <c r="R514" s="347"/>
      <c r="S514" s="347"/>
      <c r="T514" s="347"/>
      <c r="U514" s="347"/>
      <c r="V514" s="347"/>
      <c r="W514" s="347"/>
      <c r="X514" s="347"/>
      <c r="Y514" s="347"/>
      <c r="Z514" s="347"/>
      <c r="AA514" s="604"/>
      <c r="AB514" s="347"/>
      <c r="AC514" s="590"/>
      <c r="AD514" s="347"/>
      <c r="AE514" s="347"/>
      <c r="AF514" s="347"/>
      <c r="AG514" s="347"/>
      <c r="AH514" s="347"/>
      <c r="AI514" s="347"/>
      <c r="AJ514" s="347"/>
      <c r="AK514" s="347"/>
      <c r="AL514" s="347"/>
      <c r="AM514" s="347"/>
      <c r="AN514" s="347"/>
      <c r="AO514" s="347"/>
      <c r="AP514" s="347"/>
      <c r="AQ514" s="347"/>
      <c r="AR514" s="347"/>
      <c r="AS514" s="347"/>
      <c r="AT514" s="347"/>
      <c r="AU514" s="347"/>
      <c r="AV514" s="347"/>
      <c r="AW514" s="347"/>
      <c r="AX514" s="347"/>
      <c r="AY514" s="347"/>
      <c r="AZ514" s="347"/>
      <c r="BA514" s="347"/>
      <c r="BB514" s="347"/>
      <c r="BC514" s="347"/>
      <c r="BD514" s="347"/>
      <c r="BE514" s="347"/>
      <c r="BF514" s="347"/>
      <c r="BG514" s="347"/>
      <c r="BH514" s="347"/>
    </row>
    <row r="515">
      <c r="A515" s="347"/>
      <c r="B515" s="347"/>
      <c r="C515" s="347"/>
      <c r="D515" s="347"/>
      <c r="E515" s="347"/>
      <c r="F515" s="347"/>
      <c r="G515" s="347"/>
      <c r="H515" s="347"/>
      <c r="I515" s="347"/>
      <c r="J515" s="347"/>
      <c r="K515" s="348"/>
      <c r="L515" s="348"/>
      <c r="M515" s="348"/>
      <c r="N515" s="348"/>
      <c r="O515" s="348"/>
      <c r="P515" s="347"/>
      <c r="Q515" s="347"/>
      <c r="R515" s="347"/>
      <c r="S515" s="347"/>
      <c r="T515" s="347"/>
      <c r="U515" s="347"/>
      <c r="V515" s="347"/>
      <c r="W515" s="347"/>
      <c r="X515" s="347"/>
      <c r="Y515" s="347"/>
      <c r="Z515" s="347"/>
      <c r="AA515" s="604"/>
      <c r="AB515" s="347"/>
      <c r="AC515" s="590"/>
      <c r="AD515" s="347"/>
      <c r="AE515" s="347"/>
      <c r="AF515" s="347"/>
      <c r="AG515" s="347"/>
      <c r="AH515" s="347"/>
      <c r="AI515" s="347"/>
      <c r="AJ515" s="347"/>
      <c r="AK515" s="347"/>
      <c r="AL515" s="347"/>
      <c r="AM515" s="347"/>
      <c r="AN515" s="347"/>
      <c r="AO515" s="347"/>
      <c r="AP515" s="347"/>
      <c r="AQ515" s="347"/>
      <c r="AR515" s="347"/>
      <c r="AS515" s="347"/>
      <c r="AT515" s="347"/>
      <c r="AU515" s="347"/>
      <c r="AV515" s="347"/>
      <c r="AW515" s="347"/>
      <c r="AX515" s="347"/>
      <c r="AY515" s="347"/>
      <c r="AZ515" s="347"/>
      <c r="BA515" s="347"/>
      <c r="BB515" s="347"/>
      <c r="BC515" s="347"/>
      <c r="BD515" s="347"/>
      <c r="BE515" s="347"/>
      <c r="BF515" s="347"/>
      <c r="BG515" s="347"/>
      <c r="BH515" s="347"/>
    </row>
    <row r="516">
      <c r="A516" s="347"/>
      <c r="B516" s="347"/>
      <c r="C516" s="347"/>
      <c r="D516" s="347"/>
      <c r="E516" s="347"/>
      <c r="F516" s="347"/>
      <c r="G516" s="347"/>
      <c r="H516" s="347"/>
      <c r="I516" s="347"/>
      <c r="J516" s="347"/>
      <c r="K516" s="348"/>
      <c r="L516" s="348"/>
      <c r="M516" s="348"/>
      <c r="N516" s="348"/>
      <c r="O516" s="348"/>
      <c r="P516" s="347"/>
      <c r="Q516" s="347"/>
      <c r="R516" s="347"/>
      <c r="S516" s="347"/>
      <c r="T516" s="347"/>
      <c r="U516" s="347"/>
      <c r="V516" s="347"/>
      <c r="W516" s="347"/>
      <c r="X516" s="347"/>
      <c r="Y516" s="347"/>
      <c r="Z516" s="347"/>
      <c r="AA516" s="604"/>
      <c r="AB516" s="347"/>
      <c r="AC516" s="590"/>
      <c r="AD516" s="347"/>
      <c r="AE516" s="347"/>
      <c r="AF516" s="347"/>
      <c r="AG516" s="347"/>
      <c r="AH516" s="347"/>
      <c r="AI516" s="347"/>
      <c r="AJ516" s="347"/>
      <c r="AK516" s="347"/>
      <c r="AL516" s="347"/>
      <c r="AM516" s="347"/>
      <c r="AN516" s="347"/>
      <c r="AO516" s="347"/>
      <c r="AP516" s="347"/>
      <c r="AQ516" s="347"/>
      <c r="AR516" s="347"/>
      <c r="AS516" s="347"/>
      <c r="AT516" s="347"/>
      <c r="AU516" s="347"/>
      <c r="AV516" s="347"/>
      <c r="AW516" s="347"/>
      <c r="AX516" s="347"/>
      <c r="AY516" s="347"/>
      <c r="AZ516" s="347"/>
      <c r="BA516" s="347"/>
      <c r="BB516" s="347"/>
      <c r="BC516" s="347"/>
      <c r="BD516" s="347"/>
      <c r="BE516" s="347"/>
      <c r="BF516" s="347"/>
      <c r="BG516" s="347"/>
      <c r="BH516" s="347"/>
    </row>
    <row r="517">
      <c r="A517" s="347"/>
      <c r="B517" s="347"/>
      <c r="C517" s="347"/>
      <c r="D517" s="347"/>
      <c r="E517" s="347"/>
      <c r="F517" s="347"/>
      <c r="G517" s="347"/>
      <c r="H517" s="347"/>
      <c r="I517" s="347"/>
      <c r="J517" s="347"/>
      <c r="K517" s="348"/>
      <c r="L517" s="348"/>
      <c r="M517" s="348"/>
      <c r="N517" s="348"/>
      <c r="O517" s="348"/>
      <c r="P517" s="347"/>
      <c r="Q517" s="347"/>
      <c r="R517" s="347"/>
      <c r="S517" s="347"/>
      <c r="T517" s="347"/>
      <c r="U517" s="347"/>
      <c r="V517" s="347"/>
      <c r="W517" s="347"/>
      <c r="X517" s="347"/>
      <c r="Y517" s="347"/>
      <c r="Z517" s="347"/>
      <c r="AA517" s="604"/>
      <c r="AB517" s="347"/>
      <c r="AC517" s="590"/>
      <c r="AD517" s="347"/>
      <c r="AE517" s="347"/>
      <c r="AF517" s="347"/>
      <c r="AG517" s="347"/>
      <c r="AH517" s="347"/>
      <c r="AI517" s="347"/>
      <c r="AJ517" s="347"/>
      <c r="AK517" s="347"/>
      <c r="AL517" s="347"/>
      <c r="AM517" s="347"/>
      <c r="AN517" s="347"/>
      <c r="AO517" s="347"/>
      <c r="AP517" s="347"/>
      <c r="AQ517" s="347"/>
      <c r="AR517" s="347"/>
      <c r="AS517" s="347"/>
      <c r="AT517" s="347"/>
      <c r="AU517" s="347"/>
      <c r="AV517" s="347"/>
      <c r="AW517" s="347"/>
      <c r="AX517" s="347"/>
      <c r="AY517" s="347"/>
      <c r="AZ517" s="347"/>
      <c r="BA517" s="347"/>
      <c r="BB517" s="347"/>
      <c r="BC517" s="347"/>
      <c r="BD517" s="347"/>
      <c r="BE517" s="347"/>
      <c r="BF517" s="347"/>
      <c r="BG517" s="347"/>
      <c r="BH517" s="347"/>
    </row>
    <row r="518">
      <c r="A518" s="347"/>
      <c r="B518" s="347"/>
      <c r="C518" s="347"/>
      <c r="D518" s="347"/>
      <c r="E518" s="347"/>
      <c r="F518" s="347"/>
      <c r="G518" s="347"/>
      <c r="H518" s="347"/>
      <c r="I518" s="347"/>
      <c r="J518" s="347"/>
      <c r="K518" s="348"/>
      <c r="L518" s="348"/>
      <c r="M518" s="348"/>
      <c r="N518" s="348"/>
      <c r="O518" s="348"/>
      <c r="P518" s="347"/>
      <c r="Q518" s="347"/>
      <c r="R518" s="347"/>
      <c r="S518" s="347"/>
      <c r="T518" s="347"/>
      <c r="U518" s="347"/>
      <c r="V518" s="347"/>
      <c r="W518" s="347"/>
      <c r="X518" s="347"/>
      <c r="Y518" s="347"/>
      <c r="Z518" s="347"/>
      <c r="AA518" s="604"/>
      <c r="AB518" s="347"/>
      <c r="AC518" s="590"/>
      <c r="AD518" s="347"/>
      <c r="AE518" s="347"/>
      <c r="AF518" s="347"/>
      <c r="AG518" s="347"/>
      <c r="AH518" s="347"/>
      <c r="AI518" s="347"/>
      <c r="AJ518" s="347"/>
      <c r="AK518" s="347"/>
      <c r="AL518" s="347"/>
      <c r="AM518" s="347"/>
      <c r="AN518" s="347"/>
      <c r="AO518" s="347"/>
      <c r="AP518" s="347"/>
      <c r="AQ518" s="347"/>
      <c r="AR518" s="347"/>
      <c r="AS518" s="347"/>
      <c r="AT518" s="347"/>
      <c r="AU518" s="347"/>
      <c r="AV518" s="347"/>
      <c r="AW518" s="347"/>
      <c r="AX518" s="347"/>
      <c r="AY518" s="347"/>
      <c r="AZ518" s="347"/>
      <c r="BA518" s="347"/>
      <c r="BB518" s="347"/>
      <c r="BC518" s="347"/>
      <c r="BD518" s="347"/>
      <c r="BE518" s="347"/>
      <c r="BF518" s="347"/>
      <c r="BG518" s="347"/>
      <c r="BH518" s="347"/>
    </row>
    <row r="519">
      <c r="A519" s="347"/>
      <c r="B519" s="347"/>
      <c r="C519" s="347"/>
      <c r="D519" s="347"/>
      <c r="E519" s="347"/>
      <c r="F519" s="347"/>
      <c r="G519" s="347"/>
      <c r="H519" s="347"/>
      <c r="I519" s="347"/>
      <c r="J519" s="347"/>
      <c r="K519" s="348"/>
      <c r="L519" s="348"/>
      <c r="M519" s="348"/>
      <c r="N519" s="348"/>
      <c r="O519" s="348"/>
      <c r="P519" s="347"/>
      <c r="Q519" s="347"/>
      <c r="R519" s="347"/>
      <c r="S519" s="347"/>
      <c r="T519" s="347"/>
      <c r="U519" s="347"/>
      <c r="V519" s="347"/>
      <c r="W519" s="347"/>
      <c r="X519" s="347"/>
      <c r="Y519" s="347"/>
      <c r="Z519" s="347"/>
      <c r="AA519" s="604"/>
      <c r="AB519" s="347"/>
      <c r="AC519" s="590"/>
      <c r="AD519" s="347"/>
      <c r="AE519" s="347"/>
      <c r="AF519" s="347"/>
      <c r="AG519" s="347"/>
      <c r="AH519" s="347"/>
      <c r="AI519" s="347"/>
      <c r="AJ519" s="347"/>
      <c r="AK519" s="347"/>
      <c r="AL519" s="347"/>
      <c r="AM519" s="347"/>
      <c r="AN519" s="347"/>
      <c r="AO519" s="347"/>
      <c r="AP519" s="347"/>
      <c r="AQ519" s="347"/>
      <c r="AR519" s="347"/>
      <c r="AS519" s="347"/>
      <c r="AT519" s="347"/>
      <c r="AU519" s="347"/>
      <c r="AV519" s="347"/>
      <c r="AW519" s="347"/>
      <c r="AX519" s="347"/>
      <c r="AY519" s="347"/>
      <c r="AZ519" s="347"/>
      <c r="BA519" s="347"/>
      <c r="BB519" s="347"/>
      <c r="BC519" s="347"/>
      <c r="BD519" s="347"/>
      <c r="BE519" s="347"/>
      <c r="BF519" s="347"/>
      <c r="BG519" s="347"/>
      <c r="BH519" s="347"/>
    </row>
    <row r="520">
      <c r="A520" s="347"/>
      <c r="B520" s="347"/>
      <c r="C520" s="347"/>
      <c r="D520" s="347"/>
      <c r="E520" s="347"/>
      <c r="F520" s="347"/>
      <c r="G520" s="347"/>
      <c r="H520" s="347"/>
      <c r="I520" s="347"/>
      <c r="J520" s="347"/>
      <c r="K520" s="348"/>
      <c r="L520" s="348"/>
      <c r="M520" s="348"/>
      <c r="N520" s="348"/>
      <c r="O520" s="348"/>
      <c r="P520" s="347"/>
      <c r="Q520" s="347"/>
      <c r="R520" s="347"/>
      <c r="S520" s="347"/>
      <c r="T520" s="347"/>
      <c r="U520" s="347"/>
      <c r="V520" s="347"/>
      <c r="W520" s="347"/>
      <c r="X520" s="347"/>
      <c r="Y520" s="347"/>
      <c r="Z520" s="347"/>
      <c r="AA520" s="604"/>
      <c r="AB520" s="347"/>
      <c r="AC520" s="590"/>
      <c r="AD520" s="347"/>
      <c r="AE520" s="347"/>
      <c r="AF520" s="347"/>
      <c r="AG520" s="347"/>
      <c r="AH520" s="347"/>
      <c r="AI520" s="347"/>
      <c r="AJ520" s="347"/>
      <c r="AK520" s="347"/>
      <c r="AL520" s="347"/>
      <c r="AM520" s="347"/>
      <c r="AN520" s="347"/>
      <c r="AO520" s="347"/>
      <c r="AP520" s="347"/>
      <c r="AQ520" s="347"/>
      <c r="AR520" s="347"/>
      <c r="AS520" s="347"/>
      <c r="AT520" s="347"/>
      <c r="AU520" s="347"/>
      <c r="AV520" s="347"/>
      <c r="AW520" s="347"/>
      <c r="AX520" s="347"/>
      <c r="AY520" s="347"/>
      <c r="AZ520" s="347"/>
      <c r="BA520" s="347"/>
      <c r="BB520" s="347"/>
      <c r="BC520" s="347"/>
      <c r="BD520" s="347"/>
      <c r="BE520" s="347"/>
      <c r="BF520" s="347"/>
      <c r="BG520" s="347"/>
      <c r="BH520" s="347"/>
    </row>
    <row r="521">
      <c r="A521" s="347"/>
      <c r="B521" s="347"/>
      <c r="C521" s="347"/>
      <c r="D521" s="347"/>
      <c r="E521" s="347"/>
      <c r="F521" s="347"/>
      <c r="G521" s="347"/>
      <c r="H521" s="347"/>
      <c r="I521" s="347"/>
      <c r="J521" s="347"/>
      <c r="K521" s="348"/>
      <c r="L521" s="348"/>
      <c r="M521" s="348"/>
      <c r="N521" s="348"/>
      <c r="O521" s="348"/>
      <c r="P521" s="347"/>
      <c r="Q521" s="347"/>
      <c r="R521" s="347"/>
      <c r="S521" s="347"/>
      <c r="T521" s="347"/>
      <c r="U521" s="347"/>
      <c r="V521" s="347"/>
      <c r="W521" s="347"/>
      <c r="X521" s="347"/>
      <c r="Y521" s="347"/>
      <c r="Z521" s="347"/>
      <c r="AA521" s="604"/>
      <c r="AB521" s="347"/>
      <c r="AC521" s="590"/>
      <c r="AD521" s="347"/>
      <c r="AE521" s="347"/>
      <c r="AF521" s="347"/>
      <c r="AG521" s="347"/>
      <c r="AH521" s="347"/>
      <c r="AI521" s="347"/>
      <c r="AJ521" s="347"/>
      <c r="AK521" s="347"/>
      <c r="AL521" s="347"/>
      <c r="AM521" s="347"/>
      <c r="AN521" s="347"/>
      <c r="AO521" s="347"/>
      <c r="AP521" s="347"/>
      <c r="AQ521" s="347"/>
      <c r="AR521" s="347"/>
      <c r="AS521" s="347"/>
      <c r="AT521" s="347"/>
      <c r="AU521" s="347"/>
      <c r="AV521" s="347"/>
      <c r="AW521" s="347"/>
      <c r="AX521" s="347"/>
      <c r="AY521" s="347"/>
      <c r="AZ521" s="347"/>
      <c r="BA521" s="347"/>
      <c r="BB521" s="347"/>
      <c r="BC521" s="347"/>
      <c r="BD521" s="347"/>
      <c r="BE521" s="347"/>
      <c r="BF521" s="347"/>
      <c r="BG521" s="347"/>
      <c r="BH521" s="347"/>
    </row>
    <row r="522">
      <c r="A522" s="347"/>
      <c r="B522" s="347"/>
      <c r="C522" s="347"/>
      <c r="D522" s="347"/>
      <c r="E522" s="347"/>
      <c r="F522" s="347"/>
      <c r="G522" s="347"/>
      <c r="H522" s="347"/>
      <c r="I522" s="347"/>
      <c r="J522" s="347"/>
      <c r="K522" s="348"/>
      <c r="L522" s="348"/>
      <c r="M522" s="348"/>
      <c r="N522" s="348"/>
      <c r="O522" s="348"/>
      <c r="P522" s="347"/>
      <c r="Q522" s="347"/>
      <c r="R522" s="347"/>
      <c r="S522" s="347"/>
      <c r="T522" s="347"/>
      <c r="U522" s="347"/>
      <c r="V522" s="347"/>
      <c r="W522" s="347"/>
      <c r="X522" s="347"/>
      <c r="Y522" s="347"/>
      <c r="Z522" s="347"/>
      <c r="AA522" s="604"/>
      <c r="AB522" s="347"/>
      <c r="AC522" s="590"/>
      <c r="AD522" s="347"/>
      <c r="AE522" s="347"/>
      <c r="AF522" s="347"/>
      <c r="AG522" s="347"/>
      <c r="AH522" s="347"/>
      <c r="AI522" s="347"/>
      <c r="AJ522" s="347"/>
      <c r="AK522" s="347"/>
      <c r="AL522" s="347"/>
      <c r="AM522" s="347"/>
      <c r="AN522" s="347"/>
      <c r="AO522" s="347"/>
      <c r="AP522" s="347"/>
      <c r="AQ522" s="347"/>
      <c r="AR522" s="347"/>
      <c r="AS522" s="347"/>
      <c r="AT522" s="347"/>
      <c r="AU522" s="347"/>
      <c r="AV522" s="347"/>
      <c r="AW522" s="347"/>
      <c r="AX522" s="347"/>
      <c r="AY522" s="347"/>
      <c r="AZ522" s="347"/>
      <c r="BA522" s="347"/>
      <c r="BB522" s="347"/>
      <c r="BC522" s="347"/>
      <c r="BD522" s="347"/>
      <c r="BE522" s="347"/>
      <c r="BF522" s="347"/>
      <c r="BG522" s="347"/>
      <c r="BH522" s="347"/>
    </row>
    <row r="523">
      <c r="A523" s="347"/>
      <c r="B523" s="347"/>
      <c r="C523" s="347"/>
      <c r="D523" s="347"/>
      <c r="E523" s="347"/>
      <c r="F523" s="347"/>
      <c r="G523" s="347"/>
      <c r="H523" s="347"/>
      <c r="I523" s="347"/>
      <c r="J523" s="347"/>
      <c r="K523" s="348"/>
      <c r="L523" s="348"/>
      <c r="M523" s="348"/>
      <c r="N523" s="348"/>
      <c r="O523" s="348"/>
      <c r="P523" s="347"/>
      <c r="Q523" s="347"/>
      <c r="R523" s="347"/>
      <c r="S523" s="347"/>
      <c r="T523" s="347"/>
      <c r="U523" s="347"/>
      <c r="V523" s="347"/>
      <c r="W523" s="347"/>
      <c r="X523" s="347"/>
      <c r="Y523" s="347"/>
      <c r="Z523" s="347"/>
      <c r="AA523" s="604"/>
      <c r="AB523" s="347"/>
      <c r="AC523" s="590"/>
      <c r="AD523" s="347"/>
      <c r="AE523" s="347"/>
      <c r="AF523" s="347"/>
      <c r="AG523" s="347"/>
      <c r="AH523" s="347"/>
      <c r="AI523" s="347"/>
      <c r="AJ523" s="347"/>
      <c r="AK523" s="347"/>
      <c r="AL523" s="347"/>
      <c r="AM523" s="347"/>
      <c r="AN523" s="347"/>
      <c r="AO523" s="347"/>
      <c r="AP523" s="347"/>
      <c r="AQ523" s="347"/>
      <c r="AR523" s="347"/>
      <c r="AS523" s="347"/>
      <c r="AT523" s="347"/>
      <c r="AU523" s="347"/>
      <c r="AV523" s="347"/>
      <c r="AW523" s="347"/>
      <c r="AX523" s="347"/>
      <c r="AY523" s="347"/>
      <c r="AZ523" s="347"/>
      <c r="BA523" s="347"/>
      <c r="BB523" s="347"/>
      <c r="BC523" s="347"/>
      <c r="BD523" s="347"/>
      <c r="BE523" s="347"/>
      <c r="BF523" s="347"/>
      <c r="BG523" s="347"/>
      <c r="BH523" s="347"/>
    </row>
    <row r="524">
      <c r="A524" s="347"/>
      <c r="B524" s="347"/>
      <c r="C524" s="347"/>
      <c r="D524" s="347"/>
      <c r="E524" s="347"/>
      <c r="F524" s="347"/>
      <c r="G524" s="347"/>
      <c r="H524" s="347"/>
      <c r="I524" s="347"/>
      <c r="J524" s="347"/>
      <c r="K524" s="348"/>
      <c r="L524" s="348"/>
      <c r="M524" s="348"/>
      <c r="N524" s="348"/>
      <c r="O524" s="348"/>
      <c r="P524" s="347"/>
      <c r="Q524" s="347"/>
      <c r="R524" s="347"/>
      <c r="S524" s="347"/>
      <c r="T524" s="347"/>
      <c r="U524" s="347"/>
      <c r="V524" s="347"/>
      <c r="W524" s="347"/>
      <c r="X524" s="347"/>
      <c r="Y524" s="347"/>
      <c r="Z524" s="347"/>
      <c r="AA524" s="604"/>
      <c r="AB524" s="347"/>
      <c r="AC524" s="590"/>
      <c r="AD524" s="347"/>
      <c r="AE524" s="347"/>
      <c r="AF524" s="347"/>
      <c r="AG524" s="347"/>
      <c r="AH524" s="347"/>
      <c r="AI524" s="347"/>
      <c r="AJ524" s="347"/>
      <c r="AK524" s="347"/>
      <c r="AL524" s="347"/>
      <c r="AM524" s="347"/>
      <c r="AN524" s="347"/>
      <c r="AO524" s="347"/>
      <c r="AP524" s="347"/>
      <c r="AQ524" s="347"/>
      <c r="AR524" s="347"/>
      <c r="AS524" s="347"/>
      <c r="AT524" s="347"/>
      <c r="AU524" s="347"/>
      <c r="AV524" s="347"/>
      <c r="AW524" s="347"/>
      <c r="AX524" s="347"/>
      <c r="AY524" s="347"/>
      <c r="AZ524" s="347"/>
      <c r="BA524" s="347"/>
      <c r="BB524" s="347"/>
      <c r="BC524" s="347"/>
      <c r="BD524" s="347"/>
      <c r="BE524" s="347"/>
      <c r="BF524" s="347"/>
      <c r="BG524" s="347"/>
      <c r="BH524" s="347"/>
    </row>
    <row r="525">
      <c r="A525" s="347"/>
      <c r="B525" s="347"/>
      <c r="C525" s="347"/>
      <c r="D525" s="347"/>
      <c r="E525" s="347"/>
      <c r="F525" s="347"/>
      <c r="G525" s="347"/>
      <c r="H525" s="347"/>
      <c r="I525" s="347"/>
      <c r="J525" s="347"/>
      <c r="K525" s="348"/>
      <c r="L525" s="348"/>
      <c r="M525" s="348"/>
      <c r="N525" s="348"/>
      <c r="O525" s="348"/>
      <c r="P525" s="347"/>
      <c r="Q525" s="347"/>
      <c r="R525" s="347"/>
      <c r="S525" s="347"/>
      <c r="T525" s="347"/>
      <c r="U525" s="347"/>
      <c r="V525" s="347"/>
      <c r="W525" s="347"/>
      <c r="X525" s="347"/>
      <c r="Y525" s="347"/>
      <c r="Z525" s="347"/>
      <c r="AA525" s="604"/>
      <c r="AB525" s="347"/>
      <c r="AC525" s="590"/>
      <c r="AD525" s="347"/>
      <c r="AE525" s="347"/>
      <c r="AF525" s="347"/>
      <c r="AG525" s="347"/>
      <c r="AH525" s="347"/>
      <c r="AI525" s="347"/>
      <c r="AJ525" s="347"/>
      <c r="AK525" s="347"/>
      <c r="AL525" s="347"/>
      <c r="AM525" s="347"/>
      <c r="AN525" s="347"/>
      <c r="AO525" s="347"/>
      <c r="AP525" s="347"/>
      <c r="AQ525" s="347"/>
      <c r="AR525" s="347"/>
      <c r="AS525" s="347"/>
      <c r="AT525" s="347"/>
      <c r="AU525" s="347"/>
      <c r="AV525" s="347"/>
      <c r="AW525" s="347"/>
      <c r="AX525" s="347"/>
      <c r="AY525" s="347"/>
      <c r="AZ525" s="347"/>
      <c r="BA525" s="347"/>
      <c r="BB525" s="347"/>
      <c r="BC525" s="347"/>
      <c r="BD525" s="347"/>
      <c r="BE525" s="347"/>
      <c r="BF525" s="347"/>
      <c r="BG525" s="347"/>
      <c r="BH525" s="347"/>
    </row>
    <row r="526">
      <c r="A526" s="347"/>
      <c r="B526" s="347"/>
      <c r="C526" s="347"/>
      <c r="D526" s="347"/>
      <c r="E526" s="347"/>
      <c r="F526" s="347"/>
      <c r="G526" s="347"/>
      <c r="H526" s="347"/>
      <c r="I526" s="347"/>
      <c r="J526" s="347"/>
      <c r="K526" s="348"/>
      <c r="L526" s="348"/>
      <c r="M526" s="348"/>
      <c r="N526" s="348"/>
      <c r="O526" s="348"/>
      <c r="P526" s="347"/>
      <c r="Q526" s="347"/>
      <c r="R526" s="347"/>
      <c r="S526" s="347"/>
      <c r="T526" s="347"/>
      <c r="U526" s="347"/>
      <c r="V526" s="347"/>
      <c r="W526" s="347"/>
      <c r="X526" s="347"/>
      <c r="Y526" s="347"/>
      <c r="Z526" s="347"/>
      <c r="AA526" s="604"/>
      <c r="AB526" s="347"/>
      <c r="AC526" s="590"/>
      <c r="AD526" s="347"/>
      <c r="AE526" s="347"/>
      <c r="AF526" s="347"/>
      <c r="AG526" s="347"/>
      <c r="AH526" s="347"/>
      <c r="AI526" s="347"/>
      <c r="AJ526" s="347"/>
      <c r="AK526" s="347"/>
      <c r="AL526" s="347"/>
      <c r="AM526" s="347"/>
      <c r="AN526" s="347"/>
      <c r="AO526" s="347"/>
      <c r="AP526" s="347"/>
      <c r="AQ526" s="347"/>
      <c r="AR526" s="347"/>
      <c r="AS526" s="347"/>
      <c r="AT526" s="347"/>
      <c r="AU526" s="347"/>
      <c r="AV526" s="347"/>
      <c r="AW526" s="347"/>
      <c r="AX526" s="347"/>
      <c r="AY526" s="347"/>
      <c r="AZ526" s="347"/>
      <c r="BA526" s="347"/>
      <c r="BB526" s="347"/>
      <c r="BC526" s="347"/>
      <c r="BD526" s="347"/>
      <c r="BE526" s="347"/>
      <c r="BF526" s="347"/>
      <c r="BG526" s="347"/>
      <c r="BH526" s="347"/>
    </row>
    <row r="527">
      <c r="A527" s="347"/>
      <c r="B527" s="347"/>
      <c r="C527" s="347"/>
      <c r="D527" s="347"/>
      <c r="E527" s="347"/>
      <c r="F527" s="347"/>
      <c r="G527" s="347"/>
      <c r="H527" s="347"/>
      <c r="I527" s="347"/>
      <c r="J527" s="347"/>
      <c r="K527" s="348"/>
      <c r="L527" s="348"/>
      <c r="M527" s="348"/>
      <c r="N527" s="348"/>
      <c r="O527" s="348"/>
      <c r="P527" s="347"/>
      <c r="Q527" s="347"/>
      <c r="R527" s="347"/>
      <c r="S527" s="347"/>
      <c r="T527" s="347"/>
      <c r="U527" s="347"/>
      <c r="V527" s="347"/>
      <c r="W527" s="347"/>
      <c r="X527" s="347"/>
      <c r="Y527" s="347"/>
      <c r="Z527" s="347"/>
      <c r="AA527" s="604"/>
      <c r="AB527" s="347"/>
      <c r="AC527" s="590"/>
      <c r="AD527" s="347"/>
      <c r="AE527" s="347"/>
      <c r="AF527" s="347"/>
      <c r="AG527" s="347"/>
      <c r="AH527" s="347"/>
      <c r="AI527" s="347"/>
      <c r="AJ527" s="347"/>
      <c r="AK527" s="347"/>
      <c r="AL527" s="347"/>
      <c r="AM527" s="347"/>
      <c r="AN527" s="347"/>
      <c r="AO527" s="347"/>
      <c r="AP527" s="347"/>
      <c r="AQ527" s="347"/>
      <c r="AR527" s="347"/>
      <c r="AS527" s="347"/>
      <c r="AT527" s="347"/>
      <c r="AU527" s="347"/>
      <c r="AV527" s="347"/>
      <c r="AW527" s="347"/>
      <c r="AX527" s="347"/>
      <c r="AY527" s="347"/>
      <c r="AZ527" s="347"/>
      <c r="BA527" s="347"/>
      <c r="BB527" s="347"/>
      <c r="BC527" s="347"/>
      <c r="BD527" s="347"/>
      <c r="BE527" s="347"/>
      <c r="BF527" s="347"/>
      <c r="BG527" s="347"/>
      <c r="BH527" s="347"/>
    </row>
    <row r="528">
      <c r="A528" s="347"/>
      <c r="B528" s="347"/>
      <c r="C528" s="347"/>
      <c r="D528" s="347"/>
      <c r="E528" s="347"/>
      <c r="F528" s="347"/>
      <c r="G528" s="347"/>
      <c r="H528" s="347"/>
      <c r="I528" s="347"/>
      <c r="J528" s="347"/>
      <c r="K528" s="348"/>
      <c r="L528" s="348"/>
      <c r="M528" s="348"/>
      <c r="N528" s="348"/>
      <c r="O528" s="348"/>
      <c r="P528" s="347"/>
      <c r="Q528" s="347"/>
      <c r="R528" s="347"/>
      <c r="S528" s="347"/>
      <c r="T528" s="347"/>
      <c r="U528" s="347"/>
      <c r="V528" s="347"/>
      <c r="W528" s="347"/>
      <c r="X528" s="347"/>
      <c r="Y528" s="347"/>
      <c r="Z528" s="347"/>
      <c r="AA528" s="604"/>
      <c r="AB528" s="347"/>
      <c r="AC528" s="590"/>
      <c r="AD528" s="347"/>
      <c r="AE528" s="347"/>
      <c r="AF528" s="347"/>
      <c r="AG528" s="347"/>
      <c r="AH528" s="347"/>
      <c r="AI528" s="347"/>
      <c r="AJ528" s="347"/>
      <c r="AK528" s="347"/>
      <c r="AL528" s="347"/>
      <c r="AM528" s="347"/>
      <c r="AN528" s="347"/>
      <c r="AO528" s="347"/>
      <c r="AP528" s="347"/>
      <c r="AQ528" s="347"/>
      <c r="AR528" s="347"/>
      <c r="AS528" s="347"/>
      <c r="AT528" s="347"/>
      <c r="AU528" s="347"/>
      <c r="AV528" s="347"/>
      <c r="AW528" s="347"/>
      <c r="AX528" s="347"/>
      <c r="AY528" s="347"/>
      <c r="AZ528" s="347"/>
      <c r="BA528" s="347"/>
      <c r="BB528" s="347"/>
      <c r="BC528" s="347"/>
      <c r="BD528" s="347"/>
      <c r="BE528" s="347"/>
      <c r="BF528" s="347"/>
      <c r="BG528" s="347"/>
      <c r="BH528" s="347"/>
    </row>
    <row r="529">
      <c r="A529" s="347"/>
      <c r="B529" s="347"/>
      <c r="C529" s="347"/>
      <c r="D529" s="347"/>
      <c r="E529" s="347"/>
      <c r="F529" s="347"/>
      <c r="G529" s="347"/>
      <c r="H529" s="347"/>
      <c r="I529" s="347"/>
      <c r="J529" s="347"/>
      <c r="K529" s="348"/>
      <c r="L529" s="348"/>
      <c r="M529" s="348"/>
      <c r="N529" s="348"/>
      <c r="O529" s="348"/>
      <c r="P529" s="347"/>
      <c r="Q529" s="347"/>
      <c r="R529" s="347"/>
      <c r="S529" s="347"/>
      <c r="T529" s="347"/>
      <c r="U529" s="347"/>
      <c r="V529" s="347"/>
      <c r="W529" s="347"/>
      <c r="X529" s="347"/>
      <c r="Y529" s="347"/>
      <c r="Z529" s="347"/>
      <c r="AA529" s="604"/>
      <c r="AB529" s="347"/>
      <c r="AC529" s="590"/>
      <c r="AD529" s="347"/>
      <c r="AE529" s="347"/>
      <c r="AF529" s="347"/>
      <c r="AG529" s="347"/>
      <c r="AH529" s="347"/>
      <c r="AI529" s="347"/>
      <c r="AJ529" s="347"/>
      <c r="AK529" s="347"/>
      <c r="AL529" s="347"/>
      <c r="AM529" s="347"/>
      <c r="AN529" s="347"/>
      <c r="AO529" s="347"/>
      <c r="AP529" s="347"/>
      <c r="AQ529" s="347"/>
      <c r="AR529" s="347"/>
      <c r="AS529" s="347"/>
      <c r="AT529" s="347"/>
      <c r="AU529" s="347"/>
      <c r="AV529" s="347"/>
      <c r="AW529" s="347"/>
      <c r="AX529" s="347"/>
      <c r="AY529" s="347"/>
      <c r="AZ529" s="347"/>
      <c r="BA529" s="347"/>
      <c r="BB529" s="347"/>
      <c r="BC529" s="347"/>
      <c r="BD529" s="347"/>
      <c r="BE529" s="347"/>
      <c r="BF529" s="347"/>
      <c r="BG529" s="347"/>
      <c r="BH529" s="347"/>
    </row>
    <row r="530">
      <c r="A530" s="347"/>
      <c r="B530" s="347"/>
      <c r="C530" s="347"/>
      <c r="D530" s="347"/>
      <c r="E530" s="347"/>
      <c r="F530" s="347"/>
      <c r="G530" s="347"/>
      <c r="H530" s="347"/>
      <c r="I530" s="347"/>
      <c r="J530" s="347"/>
      <c r="K530" s="348"/>
      <c r="L530" s="348"/>
      <c r="M530" s="348"/>
      <c r="N530" s="348"/>
      <c r="O530" s="348"/>
      <c r="P530" s="347"/>
      <c r="Q530" s="347"/>
      <c r="R530" s="347"/>
      <c r="S530" s="347"/>
      <c r="T530" s="347"/>
      <c r="U530" s="347"/>
      <c r="V530" s="347"/>
      <c r="W530" s="347"/>
      <c r="X530" s="347"/>
      <c r="Y530" s="347"/>
      <c r="Z530" s="347"/>
      <c r="AA530" s="604"/>
      <c r="AB530" s="347"/>
      <c r="AC530" s="590"/>
      <c r="AD530" s="347"/>
      <c r="AE530" s="347"/>
      <c r="AF530" s="347"/>
      <c r="AG530" s="347"/>
      <c r="AH530" s="347"/>
      <c r="AI530" s="347"/>
      <c r="AJ530" s="347"/>
      <c r="AK530" s="347"/>
      <c r="AL530" s="347"/>
      <c r="AM530" s="347"/>
      <c r="AN530" s="347"/>
      <c r="AO530" s="347"/>
      <c r="AP530" s="347"/>
      <c r="AQ530" s="347"/>
      <c r="AR530" s="347"/>
      <c r="AS530" s="347"/>
      <c r="AT530" s="347"/>
      <c r="AU530" s="347"/>
      <c r="AV530" s="347"/>
      <c r="AW530" s="347"/>
      <c r="AX530" s="347"/>
      <c r="AY530" s="347"/>
      <c r="AZ530" s="347"/>
      <c r="BA530" s="347"/>
      <c r="BB530" s="347"/>
      <c r="BC530" s="347"/>
      <c r="BD530" s="347"/>
      <c r="BE530" s="347"/>
      <c r="BF530" s="347"/>
      <c r="BG530" s="347"/>
      <c r="BH530" s="347"/>
    </row>
    <row r="531">
      <c r="A531" s="347"/>
      <c r="B531" s="347"/>
      <c r="C531" s="347"/>
      <c r="D531" s="347"/>
      <c r="E531" s="347"/>
      <c r="F531" s="347"/>
      <c r="G531" s="347"/>
      <c r="H531" s="347"/>
      <c r="I531" s="347"/>
      <c r="J531" s="347"/>
      <c r="K531" s="348"/>
      <c r="L531" s="348"/>
      <c r="M531" s="348"/>
      <c r="N531" s="348"/>
      <c r="O531" s="348"/>
      <c r="P531" s="347"/>
      <c r="Q531" s="347"/>
      <c r="R531" s="347"/>
      <c r="S531" s="347"/>
      <c r="T531" s="347"/>
      <c r="U531" s="347"/>
      <c r="V531" s="347"/>
      <c r="W531" s="347"/>
      <c r="X531" s="347"/>
      <c r="Y531" s="347"/>
      <c r="Z531" s="347"/>
      <c r="AA531" s="604"/>
      <c r="AB531" s="347"/>
      <c r="AC531" s="590"/>
      <c r="AD531" s="347"/>
      <c r="AE531" s="347"/>
      <c r="AF531" s="347"/>
      <c r="AG531" s="347"/>
      <c r="AH531" s="347"/>
      <c r="AI531" s="347"/>
      <c r="AJ531" s="347"/>
      <c r="AK531" s="347"/>
      <c r="AL531" s="347"/>
      <c r="AM531" s="347"/>
      <c r="AN531" s="347"/>
      <c r="AO531" s="347"/>
      <c r="AP531" s="347"/>
      <c r="AQ531" s="347"/>
      <c r="AR531" s="347"/>
      <c r="AS531" s="347"/>
      <c r="AT531" s="347"/>
      <c r="AU531" s="347"/>
      <c r="AV531" s="347"/>
      <c r="AW531" s="347"/>
      <c r="AX531" s="347"/>
      <c r="AY531" s="347"/>
      <c r="AZ531" s="347"/>
      <c r="BA531" s="347"/>
      <c r="BB531" s="347"/>
      <c r="BC531" s="347"/>
      <c r="BD531" s="347"/>
      <c r="BE531" s="347"/>
      <c r="BF531" s="347"/>
      <c r="BG531" s="347"/>
      <c r="BH531" s="347"/>
    </row>
    <row r="532">
      <c r="A532" s="347"/>
      <c r="B532" s="347"/>
      <c r="C532" s="347"/>
      <c r="D532" s="347"/>
      <c r="E532" s="347"/>
      <c r="F532" s="347"/>
      <c r="G532" s="347"/>
      <c r="H532" s="347"/>
      <c r="I532" s="347"/>
      <c r="J532" s="347"/>
      <c r="K532" s="348"/>
      <c r="L532" s="348"/>
      <c r="M532" s="348"/>
      <c r="N532" s="348"/>
      <c r="O532" s="348"/>
      <c r="P532" s="347"/>
      <c r="Q532" s="347"/>
      <c r="R532" s="347"/>
      <c r="S532" s="347"/>
      <c r="T532" s="347"/>
      <c r="U532" s="347"/>
      <c r="V532" s="347"/>
      <c r="W532" s="347"/>
      <c r="X532" s="347"/>
      <c r="Y532" s="347"/>
      <c r="Z532" s="347"/>
      <c r="AA532" s="604"/>
      <c r="AB532" s="347"/>
      <c r="AC532" s="590"/>
      <c r="AD532" s="347"/>
      <c r="AE532" s="347"/>
      <c r="AF532" s="347"/>
      <c r="AG532" s="347"/>
      <c r="AH532" s="347"/>
      <c r="AI532" s="347"/>
      <c r="AJ532" s="347"/>
      <c r="AK532" s="347"/>
      <c r="AL532" s="347"/>
      <c r="AM532" s="347"/>
      <c r="AN532" s="347"/>
      <c r="AO532" s="347"/>
      <c r="AP532" s="347"/>
      <c r="AQ532" s="347"/>
      <c r="AR532" s="347"/>
      <c r="AS532" s="347"/>
      <c r="AT532" s="347"/>
      <c r="AU532" s="347"/>
      <c r="AV532" s="347"/>
      <c r="AW532" s="347"/>
      <c r="AX532" s="347"/>
      <c r="AY532" s="347"/>
      <c r="AZ532" s="347"/>
      <c r="BA532" s="347"/>
      <c r="BB532" s="347"/>
      <c r="BC532" s="347"/>
      <c r="BD532" s="347"/>
      <c r="BE532" s="347"/>
      <c r="BF532" s="347"/>
      <c r="BG532" s="347"/>
      <c r="BH532" s="347"/>
    </row>
    <row r="533">
      <c r="A533" s="347"/>
      <c r="B533" s="347"/>
      <c r="C533" s="347"/>
      <c r="D533" s="347"/>
      <c r="E533" s="347"/>
      <c r="F533" s="347"/>
      <c r="G533" s="347"/>
      <c r="H533" s="347"/>
      <c r="I533" s="347"/>
      <c r="J533" s="347"/>
      <c r="K533" s="348"/>
      <c r="L533" s="348"/>
      <c r="M533" s="348"/>
      <c r="N533" s="348"/>
      <c r="O533" s="348"/>
      <c r="P533" s="347"/>
      <c r="Q533" s="347"/>
      <c r="R533" s="347"/>
      <c r="S533" s="347"/>
      <c r="T533" s="347"/>
      <c r="U533" s="347"/>
      <c r="V533" s="347"/>
      <c r="W533" s="347"/>
      <c r="X533" s="347"/>
      <c r="Y533" s="347"/>
      <c r="Z533" s="347"/>
      <c r="AA533" s="604"/>
      <c r="AB533" s="347"/>
      <c r="AC533" s="590"/>
      <c r="AD533" s="347"/>
      <c r="AE533" s="347"/>
      <c r="AF533" s="347"/>
      <c r="AG533" s="347"/>
      <c r="AH533" s="347"/>
      <c r="AI533" s="347"/>
      <c r="AJ533" s="347"/>
      <c r="AK533" s="347"/>
      <c r="AL533" s="347"/>
      <c r="AM533" s="347"/>
      <c r="AN533" s="347"/>
      <c r="AO533" s="347"/>
      <c r="AP533" s="347"/>
      <c r="AQ533" s="347"/>
      <c r="AR533" s="347"/>
      <c r="AS533" s="347"/>
      <c r="AT533" s="347"/>
      <c r="AU533" s="347"/>
      <c r="AV533" s="347"/>
      <c r="AW533" s="347"/>
      <c r="AX533" s="347"/>
      <c r="AY533" s="347"/>
      <c r="AZ533" s="347"/>
      <c r="BA533" s="347"/>
      <c r="BB533" s="347"/>
      <c r="BC533" s="347"/>
      <c r="BD533" s="347"/>
      <c r="BE533" s="347"/>
      <c r="BF533" s="347"/>
      <c r="BG533" s="347"/>
      <c r="BH533" s="347"/>
    </row>
    <row r="534">
      <c r="A534" s="347"/>
      <c r="B534" s="347"/>
      <c r="C534" s="347"/>
      <c r="D534" s="347"/>
      <c r="E534" s="347"/>
      <c r="F534" s="347"/>
      <c r="G534" s="347"/>
      <c r="H534" s="347"/>
      <c r="I534" s="347"/>
      <c r="J534" s="347"/>
      <c r="K534" s="348"/>
      <c r="L534" s="348"/>
      <c r="M534" s="348"/>
      <c r="N534" s="348"/>
      <c r="O534" s="348"/>
      <c r="P534" s="347"/>
      <c r="Q534" s="347"/>
      <c r="R534" s="347"/>
      <c r="S534" s="347"/>
      <c r="T534" s="347"/>
      <c r="U534" s="347"/>
      <c r="V534" s="347"/>
      <c r="W534" s="347"/>
      <c r="X534" s="347"/>
      <c r="Y534" s="347"/>
      <c r="Z534" s="347"/>
      <c r="AA534" s="604"/>
      <c r="AB534" s="347"/>
      <c r="AC534" s="590"/>
      <c r="AD534" s="347"/>
      <c r="AE534" s="347"/>
      <c r="AF534" s="347"/>
      <c r="AG534" s="347"/>
      <c r="AH534" s="347"/>
      <c r="AI534" s="347"/>
      <c r="AJ534" s="347"/>
      <c r="AK534" s="347"/>
      <c r="AL534" s="347"/>
      <c r="AM534" s="347"/>
      <c r="AN534" s="347"/>
      <c r="AO534" s="347"/>
      <c r="AP534" s="347"/>
      <c r="AQ534" s="347"/>
      <c r="AR534" s="347"/>
      <c r="AS534" s="347"/>
      <c r="AT534" s="347"/>
      <c r="AU534" s="347"/>
      <c r="AV534" s="347"/>
      <c r="AW534" s="347"/>
      <c r="AX534" s="347"/>
      <c r="AY534" s="347"/>
      <c r="AZ534" s="347"/>
      <c r="BA534" s="347"/>
      <c r="BB534" s="347"/>
      <c r="BC534" s="347"/>
      <c r="BD534" s="347"/>
      <c r="BE534" s="347"/>
      <c r="BF534" s="347"/>
      <c r="BG534" s="347"/>
      <c r="BH534" s="347"/>
    </row>
    <row r="535">
      <c r="A535" s="347"/>
      <c r="B535" s="347"/>
      <c r="C535" s="347"/>
      <c r="D535" s="347"/>
      <c r="E535" s="347"/>
      <c r="F535" s="347"/>
      <c r="G535" s="347"/>
      <c r="H535" s="347"/>
      <c r="I535" s="347"/>
      <c r="J535" s="347"/>
      <c r="K535" s="348"/>
      <c r="L535" s="348"/>
      <c r="M535" s="348"/>
      <c r="N535" s="348"/>
      <c r="O535" s="348"/>
      <c r="P535" s="347"/>
      <c r="Q535" s="347"/>
      <c r="R535" s="347"/>
      <c r="S535" s="347"/>
      <c r="T535" s="347"/>
      <c r="U535" s="347"/>
      <c r="V535" s="347"/>
      <c r="W535" s="347"/>
      <c r="X535" s="347"/>
      <c r="Y535" s="347"/>
      <c r="Z535" s="347"/>
      <c r="AA535" s="604"/>
      <c r="AB535" s="347"/>
      <c r="AC535" s="590"/>
      <c r="AD535" s="347"/>
      <c r="AE535" s="347"/>
      <c r="AF535" s="347"/>
      <c r="AG535" s="347"/>
      <c r="AH535" s="347"/>
      <c r="AI535" s="347"/>
      <c r="AJ535" s="347"/>
      <c r="AK535" s="347"/>
      <c r="AL535" s="347"/>
      <c r="AM535" s="347"/>
      <c r="AN535" s="347"/>
      <c r="AO535" s="347"/>
      <c r="AP535" s="347"/>
      <c r="AQ535" s="347"/>
      <c r="AR535" s="347"/>
      <c r="AS535" s="347"/>
      <c r="AT535" s="347"/>
      <c r="AU535" s="347"/>
      <c r="AV535" s="347"/>
      <c r="AW535" s="347"/>
      <c r="AX535" s="347"/>
      <c r="AY535" s="347"/>
      <c r="AZ535" s="347"/>
      <c r="BA535" s="347"/>
      <c r="BB535" s="347"/>
      <c r="BC535" s="347"/>
      <c r="BD535" s="347"/>
      <c r="BE535" s="347"/>
      <c r="BF535" s="347"/>
      <c r="BG535" s="347"/>
      <c r="BH535" s="347"/>
    </row>
    <row r="536">
      <c r="A536" s="347"/>
      <c r="B536" s="347"/>
      <c r="C536" s="347"/>
      <c r="D536" s="347"/>
      <c r="E536" s="347"/>
      <c r="F536" s="347"/>
      <c r="G536" s="347"/>
      <c r="H536" s="347"/>
      <c r="I536" s="347"/>
      <c r="J536" s="347"/>
      <c r="K536" s="348"/>
      <c r="L536" s="348"/>
      <c r="M536" s="348"/>
      <c r="N536" s="348"/>
      <c r="O536" s="348"/>
      <c r="P536" s="347"/>
      <c r="Q536" s="347"/>
      <c r="R536" s="347"/>
      <c r="S536" s="347"/>
      <c r="T536" s="347"/>
      <c r="U536" s="347"/>
      <c r="V536" s="347"/>
      <c r="W536" s="347"/>
      <c r="X536" s="347"/>
      <c r="Y536" s="347"/>
      <c r="Z536" s="347"/>
      <c r="AA536" s="604"/>
      <c r="AB536" s="347"/>
      <c r="AC536" s="590"/>
      <c r="AD536" s="347"/>
      <c r="AE536" s="347"/>
      <c r="AF536" s="347"/>
      <c r="AG536" s="347"/>
      <c r="AH536" s="347"/>
      <c r="AI536" s="347"/>
      <c r="AJ536" s="347"/>
      <c r="AK536" s="347"/>
      <c r="AL536" s="347"/>
      <c r="AM536" s="347"/>
      <c r="AN536" s="347"/>
      <c r="AO536" s="347"/>
      <c r="AP536" s="347"/>
      <c r="AQ536" s="347"/>
      <c r="AR536" s="347"/>
      <c r="AS536" s="347"/>
      <c r="AT536" s="347"/>
      <c r="AU536" s="347"/>
      <c r="AV536" s="347"/>
      <c r="AW536" s="347"/>
      <c r="AX536" s="347"/>
      <c r="AY536" s="347"/>
      <c r="AZ536" s="347"/>
      <c r="BA536" s="347"/>
      <c r="BB536" s="347"/>
      <c r="BC536" s="347"/>
      <c r="BD536" s="347"/>
      <c r="BE536" s="347"/>
      <c r="BF536" s="347"/>
      <c r="BG536" s="347"/>
      <c r="BH536" s="347"/>
    </row>
    <row r="537">
      <c r="A537" s="347"/>
      <c r="B537" s="347"/>
      <c r="C537" s="347"/>
      <c r="D537" s="347"/>
      <c r="E537" s="347"/>
      <c r="F537" s="347"/>
      <c r="G537" s="347"/>
      <c r="H537" s="347"/>
      <c r="I537" s="347"/>
      <c r="J537" s="347"/>
      <c r="K537" s="348"/>
      <c r="L537" s="348"/>
      <c r="M537" s="348"/>
      <c r="N537" s="348"/>
      <c r="O537" s="348"/>
      <c r="P537" s="347"/>
      <c r="Q537" s="347"/>
      <c r="R537" s="347"/>
      <c r="S537" s="347"/>
      <c r="T537" s="347"/>
      <c r="U537" s="347"/>
      <c r="V537" s="347"/>
      <c r="W537" s="347"/>
      <c r="X537" s="347"/>
      <c r="Y537" s="347"/>
      <c r="Z537" s="347"/>
      <c r="AA537" s="604"/>
      <c r="AB537" s="347"/>
      <c r="AC537" s="590"/>
      <c r="AD537" s="347"/>
      <c r="AE537" s="347"/>
      <c r="AF537" s="347"/>
      <c r="AG537" s="347"/>
      <c r="AH537" s="347"/>
      <c r="AI537" s="347"/>
      <c r="AJ537" s="347"/>
      <c r="AK537" s="347"/>
      <c r="AL537" s="347"/>
      <c r="AM537" s="347"/>
      <c r="AN537" s="347"/>
      <c r="AO537" s="347"/>
      <c r="AP537" s="347"/>
      <c r="AQ537" s="347"/>
      <c r="AR537" s="347"/>
      <c r="AS537" s="347"/>
      <c r="AT537" s="347"/>
      <c r="AU537" s="347"/>
      <c r="AV537" s="347"/>
      <c r="AW537" s="347"/>
      <c r="AX537" s="347"/>
      <c r="AY537" s="347"/>
      <c r="AZ537" s="347"/>
      <c r="BA537" s="347"/>
      <c r="BB537" s="347"/>
      <c r="BC537" s="347"/>
      <c r="BD537" s="347"/>
      <c r="BE537" s="347"/>
      <c r="BF537" s="347"/>
      <c r="BG537" s="347"/>
      <c r="BH537" s="347"/>
    </row>
    <row r="538">
      <c r="A538" s="347"/>
      <c r="B538" s="347"/>
      <c r="C538" s="347"/>
      <c r="D538" s="347"/>
      <c r="E538" s="347"/>
      <c r="F538" s="347"/>
      <c r="G538" s="347"/>
      <c r="H538" s="347"/>
      <c r="I538" s="347"/>
      <c r="J538" s="347"/>
      <c r="K538" s="348"/>
      <c r="L538" s="348"/>
      <c r="M538" s="348"/>
      <c r="N538" s="348"/>
      <c r="O538" s="348"/>
      <c r="P538" s="347"/>
      <c r="Q538" s="347"/>
      <c r="R538" s="347"/>
      <c r="S538" s="347"/>
      <c r="T538" s="347"/>
      <c r="U538" s="347"/>
      <c r="V538" s="347"/>
      <c r="W538" s="347"/>
      <c r="X538" s="347"/>
      <c r="Y538" s="347"/>
      <c r="Z538" s="347"/>
      <c r="AA538" s="604"/>
      <c r="AB538" s="347"/>
      <c r="AC538" s="590"/>
      <c r="AD538" s="347"/>
      <c r="AE538" s="347"/>
      <c r="AF538" s="347"/>
      <c r="AG538" s="347"/>
      <c r="AH538" s="347"/>
      <c r="AI538" s="347"/>
      <c r="AJ538" s="347"/>
      <c r="AK538" s="347"/>
      <c r="AL538" s="347"/>
      <c r="AM538" s="347"/>
      <c r="AN538" s="347"/>
      <c r="AO538" s="347"/>
      <c r="AP538" s="347"/>
      <c r="AQ538" s="347"/>
      <c r="AR538" s="347"/>
      <c r="AS538" s="347"/>
      <c r="AT538" s="347"/>
      <c r="AU538" s="347"/>
      <c r="AV538" s="347"/>
      <c r="AW538" s="347"/>
      <c r="AX538" s="347"/>
      <c r="AY538" s="347"/>
      <c r="AZ538" s="347"/>
      <c r="BA538" s="347"/>
      <c r="BB538" s="347"/>
      <c r="BC538" s="347"/>
      <c r="BD538" s="347"/>
      <c r="BE538" s="347"/>
      <c r="BF538" s="347"/>
      <c r="BG538" s="347"/>
      <c r="BH538" s="347"/>
    </row>
    <row r="539">
      <c r="A539" s="347"/>
      <c r="B539" s="347"/>
      <c r="C539" s="347"/>
      <c r="D539" s="347"/>
      <c r="E539" s="347"/>
      <c r="F539" s="347"/>
      <c r="G539" s="347"/>
      <c r="H539" s="347"/>
      <c r="I539" s="347"/>
      <c r="J539" s="347"/>
      <c r="K539" s="348"/>
      <c r="L539" s="348"/>
      <c r="M539" s="348"/>
      <c r="N539" s="348"/>
      <c r="O539" s="348"/>
      <c r="P539" s="347"/>
      <c r="Q539" s="347"/>
      <c r="R539" s="347"/>
      <c r="S539" s="347"/>
      <c r="T539" s="347"/>
      <c r="U539" s="347"/>
      <c r="V539" s="347"/>
      <c r="W539" s="347"/>
      <c r="X539" s="347"/>
      <c r="Y539" s="347"/>
      <c r="Z539" s="347"/>
      <c r="AA539" s="604"/>
      <c r="AB539" s="347"/>
      <c r="AC539" s="590"/>
      <c r="AD539" s="347"/>
      <c r="AE539" s="347"/>
      <c r="AF539" s="347"/>
      <c r="AG539" s="347"/>
      <c r="AH539" s="347"/>
      <c r="AI539" s="347"/>
      <c r="AJ539" s="347"/>
      <c r="AK539" s="347"/>
      <c r="AL539" s="347"/>
      <c r="AM539" s="347"/>
      <c r="AN539" s="347"/>
      <c r="AO539" s="347"/>
      <c r="AP539" s="347"/>
      <c r="AQ539" s="347"/>
      <c r="AR539" s="347"/>
      <c r="AS539" s="347"/>
      <c r="AT539" s="347"/>
      <c r="AU539" s="347"/>
      <c r="AV539" s="347"/>
      <c r="AW539" s="347"/>
      <c r="AX539" s="347"/>
      <c r="AY539" s="347"/>
      <c r="AZ539" s="347"/>
      <c r="BA539" s="347"/>
      <c r="BB539" s="347"/>
      <c r="BC539" s="347"/>
      <c r="BD539" s="347"/>
      <c r="BE539" s="347"/>
      <c r="BF539" s="347"/>
      <c r="BG539" s="347"/>
      <c r="BH539" s="347"/>
    </row>
    <row r="540">
      <c r="A540" s="347"/>
      <c r="B540" s="347"/>
      <c r="C540" s="347"/>
      <c r="D540" s="347"/>
      <c r="E540" s="347"/>
      <c r="F540" s="347"/>
      <c r="G540" s="347"/>
      <c r="H540" s="347"/>
      <c r="I540" s="347"/>
      <c r="J540" s="347"/>
      <c r="K540" s="348"/>
      <c r="L540" s="348"/>
      <c r="M540" s="348"/>
      <c r="N540" s="348"/>
      <c r="O540" s="348"/>
      <c r="P540" s="347"/>
      <c r="Q540" s="347"/>
      <c r="R540" s="347"/>
      <c r="S540" s="347"/>
      <c r="T540" s="347"/>
      <c r="U540" s="347"/>
      <c r="V540" s="347"/>
      <c r="W540" s="347"/>
      <c r="X540" s="347"/>
      <c r="Y540" s="347"/>
      <c r="Z540" s="347"/>
      <c r="AA540" s="604"/>
      <c r="AB540" s="347"/>
      <c r="AC540" s="590"/>
      <c r="AD540" s="347"/>
      <c r="AE540" s="347"/>
      <c r="AF540" s="347"/>
      <c r="AG540" s="347"/>
      <c r="AH540" s="347"/>
      <c r="AI540" s="347"/>
      <c r="AJ540" s="347"/>
      <c r="AK540" s="347"/>
      <c r="AL540" s="347"/>
      <c r="AM540" s="347"/>
      <c r="AN540" s="347"/>
      <c r="AO540" s="347"/>
      <c r="AP540" s="347"/>
      <c r="AQ540" s="347"/>
      <c r="AR540" s="347"/>
      <c r="AS540" s="347"/>
      <c r="AT540" s="347"/>
      <c r="AU540" s="347"/>
      <c r="AV540" s="347"/>
      <c r="AW540" s="347"/>
      <c r="AX540" s="347"/>
      <c r="AY540" s="347"/>
      <c r="AZ540" s="347"/>
      <c r="BA540" s="347"/>
      <c r="BB540" s="347"/>
      <c r="BC540" s="347"/>
      <c r="BD540" s="347"/>
      <c r="BE540" s="347"/>
      <c r="BF540" s="347"/>
      <c r="BG540" s="347"/>
      <c r="BH540" s="347"/>
    </row>
    <row r="541">
      <c r="A541" s="347"/>
      <c r="B541" s="347"/>
      <c r="C541" s="347"/>
      <c r="D541" s="347"/>
      <c r="E541" s="347"/>
      <c r="F541" s="347"/>
      <c r="G541" s="347"/>
      <c r="H541" s="347"/>
      <c r="I541" s="347"/>
      <c r="J541" s="347"/>
      <c r="K541" s="348"/>
      <c r="L541" s="348"/>
      <c r="M541" s="348"/>
      <c r="N541" s="348"/>
      <c r="O541" s="348"/>
      <c r="P541" s="347"/>
      <c r="Q541" s="347"/>
      <c r="R541" s="347"/>
      <c r="S541" s="347"/>
      <c r="T541" s="347"/>
      <c r="U541" s="347"/>
      <c r="V541" s="347"/>
      <c r="W541" s="347"/>
      <c r="X541" s="347"/>
      <c r="Y541" s="347"/>
      <c r="Z541" s="347"/>
      <c r="AA541" s="604"/>
      <c r="AB541" s="347"/>
      <c r="AC541" s="590"/>
      <c r="AD541" s="347"/>
      <c r="AE541" s="347"/>
      <c r="AF541" s="347"/>
      <c r="AG541" s="347"/>
      <c r="AH541" s="347"/>
      <c r="AI541" s="347"/>
      <c r="AJ541" s="347"/>
      <c r="AK541" s="347"/>
      <c r="AL541" s="347"/>
      <c r="AM541" s="347"/>
      <c r="AN541" s="347"/>
      <c r="AO541" s="347"/>
      <c r="AP541" s="347"/>
      <c r="AQ541" s="347"/>
      <c r="AR541" s="347"/>
      <c r="AS541" s="347"/>
      <c r="AT541" s="347"/>
      <c r="AU541" s="347"/>
      <c r="AV541" s="347"/>
      <c r="AW541" s="347"/>
      <c r="AX541" s="347"/>
      <c r="AY541" s="347"/>
      <c r="AZ541" s="347"/>
      <c r="BA541" s="347"/>
      <c r="BB541" s="347"/>
      <c r="BC541" s="347"/>
      <c r="BD541" s="347"/>
      <c r="BE541" s="347"/>
      <c r="BF541" s="347"/>
      <c r="BG541" s="347"/>
      <c r="BH541" s="347"/>
    </row>
    <row r="542">
      <c r="A542" s="347"/>
      <c r="B542" s="347"/>
      <c r="C542" s="347"/>
      <c r="D542" s="347"/>
      <c r="E542" s="347"/>
      <c r="F542" s="347"/>
      <c r="G542" s="347"/>
      <c r="H542" s="347"/>
      <c r="I542" s="347"/>
      <c r="J542" s="347"/>
      <c r="K542" s="348"/>
      <c r="L542" s="348"/>
      <c r="M542" s="348"/>
      <c r="N542" s="348"/>
      <c r="O542" s="348"/>
      <c r="P542" s="347"/>
      <c r="Q542" s="347"/>
      <c r="R542" s="347"/>
      <c r="S542" s="347"/>
      <c r="T542" s="347"/>
      <c r="U542" s="347"/>
      <c r="V542" s="347"/>
      <c r="W542" s="347"/>
      <c r="X542" s="347"/>
      <c r="Y542" s="347"/>
      <c r="Z542" s="347"/>
      <c r="AA542" s="604"/>
      <c r="AB542" s="347"/>
      <c r="AC542" s="590"/>
      <c r="AD542" s="347"/>
      <c r="AE542" s="347"/>
      <c r="AF542" s="347"/>
      <c r="AG542" s="347"/>
      <c r="AH542" s="347"/>
      <c r="AI542" s="347"/>
      <c r="AJ542" s="347"/>
      <c r="AK542" s="347"/>
      <c r="AL542" s="347"/>
      <c r="AM542" s="347"/>
      <c r="AN542" s="347"/>
      <c r="AO542" s="347"/>
      <c r="AP542" s="347"/>
      <c r="AQ542" s="347"/>
      <c r="AR542" s="347"/>
      <c r="AS542" s="347"/>
      <c r="AT542" s="347"/>
      <c r="AU542" s="347"/>
      <c r="AV542" s="347"/>
      <c r="AW542" s="347"/>
      <c r="AX542" s="347"/>
      <c r="AY542" s="347"/>
      <c r="AZ542" s="347"/>
      <c r="BA542" s="347"/>
      <c r="BB542" s="347"/>
      <c r="BC542" s="347"/>
      <c r="BD542" s="347"/>
      <c r="BE542" s="347"/>
      <c r="BF542" s="347"/>
      <c r="BG542" s="347"/>
      <c r="BH542" s="347"/>
    </row>
    <row r="543">
      <c r="A543" s="347"/>
      <c r="B543" s="347"/>
      <c r="C543" s="347"/>
      <c r="D543" s="347"/>
      <c r="E543" s="347"/>
      <c r="F543" s="347"/>
      <c r="G543" s="347"/>
      <c r="H543" s="347"/>
      <c r="I543" s="347"/>
      <c r="J543" s="347"/>
      <c r="K543" s="348"/>
      <c r="L543" s="348"/>
      <c r="M543" s="348"/>
      <c r="N543" s="348"/>
      <c r="O543" s="348"/>
      <c r="P543" s="347"/>
      <c r="Q543" s="347"/>
      <c r="R543" s="347"/>
      <c r="S543" s="347"/>
      <c r="T543" s="347"/>
      <c r="U543" s="347"/>
      <c r="V543" s="347"/>
      <c r="W543" s="347"/>
      <c r="X543" s="347"/>
      <c r="Y543" s="347"/>
      <c r="Z543" s="347"/>
      <c r="AA543" s="604"/>
      <c r="AB543" s="347"/>
      <c r="AC543" s="590"/>
      <c r="AD543" s="347"/>
      <c r="AE543" s="347"/>
      <c r="AF543" s="347"/>
      <c r="AG543" s="347"/>
      <c r="AH543" s="347"/>
      <c r="AI543" s="347"/>
      <c r="AJ543" s="347"/>
      <c r="AK543" s="347"/>
      <c r="AL543" s="347"/>
      <c r="AM543" s="347"/>
      <c r="AN543" s="347"/>
      <c r="AO543" s="347"/>
      <c r="AP543" s="347"/>
      <c r="AQ543" s="347"/>
      <c r="AR543" s="347"/>
      <c r="AS543" s="347"/>
      <c r="AT543" s="347"/>
      <c r="AU543" s="347"/>
      <c r="AV543" s="347"/>
      <c r="AW543" s="347"/>
      <c r="AX543" s="347"/>
      <c r="AY543" s="347"/>
      <c r="AZ543" s="347"/>
      <c r="BA543" s="347"/>
      <c r="BB543" s="347"/>
      <c r="BC543" s="347"/>
      <c r="BD543" s="347"/>
      <c r="BE543" s="347"/>
      <c r="BF543" s="347"/>
      <c r="BG543" s="347"/>
      <c r="BH543" s="347"/>
    </row>
    <row r="544">
      <c r="A544" s="347"/>
      <c r="B544" s="347"/>
      <c r="C544" s="347"/>
      <c r="D544" s="347"/>
      <c r="E544" s="347"/>
      <c r="F544" s="347"/>
      <c r="G544" s="347"/>
      <c r="H544" s="347"/>
      <c r="I544" s="347"/>
      <c r="J544" s="347"/>
      <c r="K544" s="348"/>
      <c r="L544" s="348"/>
      <c r="M544" s="348"/>
      <c r="N544" s="348"/>
      <c r="O544" s="348"/>
      <c r="P544" s="347"/>
      <c r="Q544" s="347"/>
      <c r="R544" s="347"/>
      <c r="S544" s="347"/>
      <c r="T544" s="347"/>
      <c r="U544" s="347"/>
      <c r="V544" s="347"/>
      <c r="W544" s="347"/>
      <c r="X544" s="347"/>
      <c r="Y544" s="347"/>
      <c r="Z544" s="347"/>
      <c r="AA544" s="604"/>
      <c r="AB544" s="347"/>
      <c r="AC544" s="590"/>
      <c r="AD544" s="347"/>
      <c r="AE544" s="347"/>
      <c r="AF544" s="347"/>
      <c r="AG544" s="347"/>
      <c r="AH544" s="347"/>
      <c r="AI544" s="347"/>
      <c r="AJ544" s="347"/>
      <c r="AK544" s="347"/>
      <c r="AL544" s="347"/>
      <c r="AM544" s="347"/>
      <c r="AN544" s="347"/>
      <c r="AO544" s="347"/>
      <c r="AP544" s="347"/>
      <c r="AQ544" s="347"/>
      <c r="AR544" s="347"/>
      <c r="AS544" s="347"/>
      <c r="AT544" s="347"/>
      <c r="AU544" s="347"/>
      <c r="AV544" s="347"/>
      <c r="AW544" s="347"/>
      <c r="AX544" s="347"/>
      <c r="AY544" s="347"/>
      <c r="AZ544" s="347"/>
      <c r="BA544" s="347"/>
      <c r="BB544" s="347"/>
      <c r="BC544" s="347"/>
      <c r="BD544" s="347"/>
      <c r="BE544" s="347"/>
      <c r="BF544" s="347"/>
      <c r="BG544" s="347"/>
      <c r="BH544" s="347"/>
    </row>
    <row r="545">
      <c r="A545" s="347"/>
      <c r="B545" s="347"/>
      <c r="C545" s="347"/>
      <c r="D545" s="347"/>
      <c r="E545" s="347"/>
      <c r="F545" s="347"/>
      <c r="G545" s="347"/>
      <c r="H545" s="347"/>
      <c r="I545" s="347"/>
      <c r="J545" s="347"/>
      <c r="K545" s="348"/>
      <c r="L545" s="348"/>
      <c r="M545" s="348"/>
      <c r="N545" s="348"/>
      <c r="O545" s="348"/>
      <c r="P545" s="347"/>
      <c r="Q545" s="347"/>
      <c r="R545" s="347"/>
      <c r="S545" s="347"/>
      <c r="T545" s="347"/>
      <c r="U545" s="347"/>
      <c r="V545" s="347"/>
      <c r="W545" s="347"/>
      <c r="X545" s="347"/>
      <c r="Y545" s="347"/>
      <c r="Z545" s="347"/>
      <c r="AA545" s="604"/>
      <c r="AB545" s="347"/>
      <c r="AC545" s="590"/>
      <c r="AD545" s="347"/>
      <c r="AE545" s="347"/>
      <c r="AF545" s="347"/>
      <c r="AG545" s="347"/>
      <c r="AH545" s="347"/>
      <c r="AI545" s="347"/>
      <c r="AJ545" s="347"/>
      <c r="AK545" s="347"/>
      <c r="AL545" s="347"/>
      <c r="AM545" s="347"/>
      <c r="AN545" s="347"/>
      <c r="AO545" s="347"/>
      <c r="AP545" s="347"/>
      <c r="AQ545" s="347"/>
      <c r="AR545" s="347"/>
      <c r="AS545" s="347"/>
      <c r="AT545" s="347"/>
      <c r="AU545" s="347"/>
      <c r="AV545" s="347"/>
      <c r="AW545" s="347"/>
      <c r="AX545" s="347"/>
      <c r="AY545" s="347"/>
      <c r="AZ545" s="347"/>
      <c r="BA545" s="347"/>
      <c r="BB545" s="347"/>
      <c r="BC545" s="347"/>
      <c r="BD545" s="347"/>
      <c r="BE545" s="347"/>
      <c r="BF545" s="347"/>
      <c r="BG545" s="347"/>
      <c r="BH545" s="347"/>
    </row>
    <row r="546">
      <c r="A546" s="347"/>
      <c r="B546" s="347"/>
      <c r="C546" s="347"/>
      <c r="D546" s="347"/>
      <c r="E546" s="347"/>
      <c r="F546" s="347"/>
      <c r="G546" s="347"/>
      <c r="H546" s="347"/>
      <c r="I546" s="347"/>
      <c r="J546" s="347"/>
      <c r="K546" s="348"/>
      <c r="L546" s="348"/>
      <c r="M546" s="348"/>
      <c r="N546" s="348"/>
      <c r="O546" s="348"/>
      <c r="P546" s="347"/>
      <c r="Q546" s="347"/>
      <c r="R546" s="347"/>
      <c r="S546" s="347"/>
      <c r="T546" s="347"/>
      <c r="U546" s="347"/>
      <c r="V546" s="347"/>
      <c r="W546" s="347"/>
      <c r="X546" s="347"/>
      <c r="Y546" s="347"/>
      <c r="Z546" s="347"/>
      <c r="AA546" s="604"/>
      <c r="AB546" s="347"/>
      <c r="AC546" s="590"/>
      <c r="AD546" s="347"/>
      <c r="AE546" s="347"/>
      <c r="AF546" s="347"/>
      <c r="AG546" s="347"/>
      <c r="AH546" s="347"/>
      <c r="AI546" s="347"/>
      <c r="AJ546" s="347"/>
      <c r="AK546" s="347"/>
      <c r="AL546" s="347"/>
      <c r="AM546" s="347"/>
      <c r="AN546" s="347"/>
      <c r="AO546" s="347"/>
      <c r="AP546" s="347"/>
      <c r="AQ546" s="347"/>
      <c r="AR546" s="347"/>
      <c r="AS546" s="347"/>
      <c r="AT546" s="347"/>
      <c r="AU546" s="347"/>
      <c r="AV546" s="347"/>
      <c r="AW546" s="347"/>
      <c r="AX546" s="347"/>
      <c r="AY546" s="347"/>
      <c r="AZ546" s="347"/>
      <c r="BA546" s="347"/>
      <c r="BB546" s="347"/>
      <c r="BC546" s="347"/>
      <c r="BD546" s="347"/>
      <c r="BE546" s="347"/>
      <c r="BF546" s="347"/>
      <c r="BG546" s="347"/>
      <c r="BH546" s="347"/>
    </row>
    <row r="547">
      <c r="A547" s="347"/>
      <c r="B547" s="347"/>
      <c r="C547" s="347"/>
      <c r="D547" s="347"/>
      <c r="E547" s="347"/>
      <c r="F547" s="347"/>
      <c r="G547" s="347"/>
      <c r="H547" s="347"/>
      <c r="I547" s="347"/>
      <c r="J547" s="347"/>
      <c r="K547" s="348"/>
      <c r="L547" s="348"/>
      <c r="M547" s="348"/>
      <c r="N547" s="348"/>
      <c r="O547" s="348"/>
      <c r="P547" s="347"/>
      <c r="Q547" s="347"/>
      <c r="R547" s="347"/>
      <c r="S547" s="347"/>
      <c r="T547" s="347"/>
      <c r="U547" s="347"/>
      <c r="V547" s="347"/>
      <c r="W547" s="347"/>
      <c r="X547" s="347"/>
      <c r="Y547" s="347"/>
      <c r="Z547" s="347"/>
      <c r="AA547" s="604"/>
      <c r="AB547" s="347"/>
      <c r="AC547" s="590"/>
      <c r="AD547" s="347"/>
      <c r="AE547" s="347"/>
      <c r="AF547" s="347"/>
      <c r="AG547" s="347"/>
      <c r="AH547" s="347"/>
      <c r="AI547" s="347"/>
      <c r="AJ547" s="347"/>
      <c r="AK547" s="347"/>
      <c r="AL547" s="347"/>
      <c r="AM547" s="347"/>
      <c r="AN547" s="347"/>
      <c r="AO547" s="347"/>
      <c r="AP547" s="347"/>
      <c r="AQ547" s="347"/>
      <c r="AR547" s="347"/>
      <c r="AS547" s="347"/>
      <c r="AT547" s="347"/>
      <c r="AU547" s="347"/>
      <c r="AV547" s="347"/>
      <c r="AW547" s="347"/>
      <c r="AX547" s="347"/>
      <c r="AY547" s="347"/>
      <c r="AZ547" s="347"/>
      <c r="BA547" s="347"/>
      <c r="BB547" s="347"/>
      <c r="BC547" s="347"/>
      <c r="BD547" s="347"/>
      <c r="BE547" s="347"/>
      <c r="BF547" s="347"/>
      <c r="BG547" s="347"/>
      <c r="BH547" s="347"/>
    </row>
    <row r="548">
      <c r="A548" s="347"/>
      <c r="B548" s="347"/>
      <c r="C548" s="347"/>
      <c r="D548" s="347"/>
      <c r="E548" s="347"/>
      <c r="F548" s="347"/>
      <c r="G548" s="347"/>
      <c r="H548" s="347"/>
      <c r="I548" s="347"/>
      <c r="J548" s="347"/>
      <c r="K548" s="348"/>
      <c r="L548" s="348"/>
      <c r="M548" s="348"/>
      <c r="N548" s="348"/>
      <c r="O548" s="348"/>
      <c r="P548" s="347"/>
      <c r="Q548" s="347"/>
      <c r="R548" s="347"/>
      <c r="S548" s="347"/>
      <c r="T548" s="347"/>
      <c r="U548" s="347"/>
      <c r="V548" s="347"/>
      <c r="W548" s="347"/>
      <c r="X548" s="347"/>
      <c r="Y548" s="347"/>
      <c r="Z548" s="347"/>
      <c r="AA548" s="604"/>
      <c r="AB548" s="347"/>
      <c r="AC548" s="590"/>
      <c r="AD548" s="347"/>
      <c r="AE548" s="347"/>
      <c r="AF548" s="347"/>
      <c r="AG548" s="347"/>
      <c r="AH548" s="347"/>
      <c r="AI548" s="347"/>
      <c r="AJ548" s="347"/>
      <c r="AK548" s="347"/>
      <c r="AL548" s="347"/>
      <c r="AM548" s="347"/>
      <c r="AN548" s="347"/>
      <c r="AO548" s="347"/>
      <c r="AP548" s="347"/>
      <c r="AQ548" s="347"/>
      <c r="AR548" s="347"/>
      <c r="AS548" s="347"/>
      <c r="AT548" s="347"/>
      <c r="AU548" s="347"/>
      <c r="AV548" s="347"/>
      <c r="AW548" s="347"/>
      <c r="AX548" s="347"/>
      <c r="AY548" s="347"/>
      <c r="AZ548" s="347"/>
      <c r="BA548" s="347"/>
      <c r="BB548" s="347"/>
      <c r="BC548" s="347"/>
      <c r="BD548" s="347"/>
      <c r="BE548" s="347"/>
      <c r="BF548" s="347"/>
      <c r="BG548" s="347"/>
      <c r="BH548" s="347"/>
    </row>
    <row r="549">
      <c r="A549" s="347"/>
      <c r="B549" s="347"/>
      <c r="C549" s="347"/>
      <c r="D549" s="347"/>
      <c r="E549" s="347"/>
      <c r="F549" s="347"/>
      <c r="G549" s="347"/>
      <c r="H549" s="347"/>
      <c r="I549" s="347"/>
      <c r="J549" s="347"/>
      <c r="K549" s="348"/>
      <c r="L549" s="348"/>
      <c r="M549" s="348"/>
      <c r="N549" s="348"/>
      <c r="O549" s="348"/>
      <c r="P549" s="347"/>
      <c r="Q549" s="347"/>
      <c r="R549" s="347"/>
      <c r="S549" s="347"/>
      <c r="T549" s="347"/>
      <c r="U549" s="347"/>
      <c r="V549" s="347"/>
      <c r="W549" s="347"/>
      <c r="X549" s="347"/>
      <c r="Y549" s="347"/>
      <c r="Z549" s="347"/>
      <c r="AA549" s="604"/>
      <c r="AB549" s="347"/>
      <c r="AC549" s="590"/>
      <c r="AD549" s="347"/>
      <c r="AE549" s="347"/>
      <c r="AF549" s="347"/>
      <c r="AG549" s="347"/>
      <c r="AH549" s="347"/>
      <c r="AI549" s="347"/>
      <c r="AJ549" s="347"/>
      <c r="AK549" s="347"/>
      <c r="AL549" s="347"/>
      <c r="AM549" s="347"/>
      <c r="AN549" s="347"/>
      <c r="AO549" s="347"/>
      <c r="AP549" s="347"/>
      <c r="AQ549" s="347"/>
      <c r="AR549" s="347"/>
      <c r="AS549" s="347"/>
      <c r="AT549" s="347"/>
      <c r="AU549" s="347"/>
      <c r="AV549" s="347"/>
      <c r="AW549" s="347"/>
      <c r="AX549" s="347"/>
      <c r="AY549" s="347"/>
      <c r="AZ549" s="347"/>
      <c r="BA549" s="347"/>
      <c r="BB549" s="347"/>
      <c r="BC549" s="347"/>
      <c r="BD549" s="347"/>
      <c r="BE549" s="347"/>
      <c r="BF549" s="347"/>
      <c r="BG549" s="347"/>
      <c r="BH549" s="347"/>
    </row>
    <row r="550">
      <c r="A550" s="347"/>
      <c r="B550" s="347"/>
      <c r="C550" s="347"/>
      <c r="D550" s="347"/>
      <c r="E550" s="347"/>
      <c r="F550" s="347"/>
      <c r="G550" s="347"/>
      <c r="H550" s="347"/>
      <c r="I550" s="347"/>
      <c r="J550" s="347"/>
      <c r="K550" s="348"/>
      <c r="L550" s="348"/>
      <c r="M550" s="348"/>
      <c r="N550" s="348"/>
      <c r="O550" s="348"/>
      <c r="P550" s="347"/>
      <c r="Q550" s="347"/>
      <c r="R550" s="347"/>
      <c r="S550" s="347"/>
      <c r="T550" s="347"/>
      <c r="U550" s="347"/>
      <c r="V550" s="347"/>
      <c r="W550" s="347"/>
      <c r="X550" s="347"/>
      <c r="Y550" s="347"/>
      <c r="Z550" s="347"/>
      <c r="AA550" s="604"/>
      <c r="AB550" s="347"/>
      <c r="AC550" s="590"/>
      <c r="AD550" s="347"/>
      <c r="AE550" s="347"/>
      <c r="AF550" s="347"/>
      <c r="AG550" s="347"/>
      <c r="AH550" s="347"/>
      <c r="AI550" s="347"/>
      <c r="AJ550" s="347"/>
      <c r="AK550" s="347"/>
      <c r="AL550" s="347"/>
      <c r="AM550" s="347"/>
      <c r="AN550" s="347"/>
      <c r="AO550" s="347"/>
      <c r="AP550" s="347"/>
      <c r="AQ550" s="347"/>
      <c r="AR550" s="347"/>
      <c r="AS550" s="347"/>
      <c r="AT550" s="347"/>
      <c r="AU550" s="347"/>
      <c r="AV550" s="347"/>
      <c r="AW550" s="347"/>
      <c r="AX550" s="347"/>
      <c r="AY550" s="347"/>
      <c r="AZ550" s="347"/>
      <c r="BA550" s="347"/>
      <c r="BB550" s="347"/>
      <c r="BC550" s="347"/>
      <c r="BD550" s="347"/>
      <c r="BE550" s="347"/>
      <c r="BF550" s="347"/>
      <c r="BG550" s="347"/>
      <c r="BH550" s="347"/>
    </row>
    <row r="551">
      <c r="A551" s="347"/>
      <c r="B551" s="347"/>
      <c r="C551" s="347"/>
      <c r="D551" s="347"/>
      <c r="E551" s="347"/>
      <c r="F551" s="347"/>
      <c r="G551" s="347"/>
      <c r="H551" s="347"/>
      <c r="I551" s="347"/>
      <c r="J551" s="347"/>
      <c r="K551" s="348"/>
      <c r="L551" s="348"/>
      <c r="M551" s="348"/>
      <c r="N551" s="348"/>
      <c r="O551" s="348"/>
      <c r="P551" s="347"/>
      <c r="Q551" s="347"/>
      <c r="R551" s="347"/>
      <c r="S551" s="347"/>
      <c r="T551" s="347"/>
      <c r="U551" s="347"/>
      <c r="V551" s="347"/>
      <c r="W551" s="347"/>
      <c r="X551" s="347"/>
      <c r="Y551" s="347"/>
      <c r="Z551" s="347"/>
      <c r="AA551" s="604"/>
      <c r="AB551" s="347"/>
      <c r="AC551" s="590"/>
      <c r="AD551" s="347"/>
      <c r="AE551" s="347"/>
      <c r="AF551" s="347"/>
      <c r="AG551" s="347"/>
      <c r="AH551" s="347"/>
      <c r="AI551" s="347"/>
      <c r="AJ551" s="347"/>
      <c r="AK551" s="347"/>
      <c r="AL551" s="347"/>
      <c r="AM551" s="347"/>
      <c r="AN551" s="347"/>
      <c r="AO551" s="347"/>
      <c r="AP551" s="347"/>
      <c r="AQ551" s="347"/>
      <c r="AR551" s="347"/>
      <c r="AS551" s="347"/>
      <c r="AT551" s="347"/>
      <c r="AU551" s="347"/>
      <c r="AV551" s="347"/>
      <c r="AW551" s="347"/>
      <c r="AX551" s="347"/>
      <c r="AY551" s="347"/>
      <c r="AZ551" s="347"/>
      <c r="BA551" s="347"/>
      <c r="BB551" s="347"/>
      <c r="BC551" s="347"/>
      <c r="BD551" s="347"/>
      <c r="BE551" s="347"/>
      <c r="BF551" s="347"/>
      <c r="BG551" s="347"/>
      <c r="BH551" s="347"/>
    </row>
    <row r="552">
      <c r="A552" s="347"/>
      <c r="B552" s="347"/>
      <c r="C552" s="347"/>
      <c r="D552" s="347"/>
      <c r="E552" s="347"/>
      <c r="F552" s="347"/>
      <c r="G552" s="347"/>
      <c r="H552" s="347"/>
      <c r="I552" s="347"/>
      <c r="J552" s="347"/>
      <c r="K552" s="348"/>
      <c r="L552" s="348"/>
      <c r="M552" s="348"/>
      <c r="N552" s="348"/>
      <c r="O552" s="348"/>
      <c r="P552" s="347"/>
      <c r="Q552" s="347"/>
      <c r="R552" s="347"/>
      <c r="S552" s="347"/>
      <c r="T552" s="347"/>
      <c r="U552" s="347"/>
      <c r="V552" s="347"/>
      <c r="W552" s="347"/>
      <c r="X552" s="347"/>
      <c r="Y552" s="347"/>
      <c r="Z552" s="347"/>
      <c r="AA552" s="604"/>
      <c r="AB552" s="347"/>
      <c r="AC552" s="590"/>
      <c r="AD552" s="347"/>
      <c r="AE552" s="347"/>
      <c r="AF552" s="347"/>
      <c r="AG552" s="347"/>
      <c r="AH552" s="347"/>
      <c r="AI552" s="347"/>
      <c r="AJ552" s="347"/>
      <c r="AK552" s="347"/>
      <c r="AL552" s="347"/>
      <c r="AM552" s="347"/>
      <c r="AN552" s="347"/>
      <c r="AO552" s="347"/>
      <c r="AP552" s="347"/>
      <c r="AQ552" s="347"/>
      <c r="AR552" s="347"/>
      <c r="AS552" s="347"/>
      <c r="AT552" s="347"/>
      <c r="AU552" s="347"/>
      <c r="AV552" s="347"/>
      <c r="AW552" s="347"/>
      <c r="AX552" s="347"/>
      <c r="AY552" s="347"/>
      <c r="AZ552" s="347"/>
      <c r="BA552" s="347"/>
      <c r="BB552" s="347"/>
      <c r="BC552" s="347"/>
      <c r="BD552" s="347"/>
      <c r="BE552" s="347"/>
      <c r="BF552" s="347"/>
      <c r="BG552" s="347"/>
      <c r="BH552" s="347"/>
    </row>
    <row r="553">
      <c r="A553" s="347"/>
      <c r="B553" s="347"/>
      <c r="C553" s="347"/>
      <c r="D553" s="347"/>
      <c r="E553" s="347"/>
      <c r="F553" s="347"/>
      <c r="G553" s="347"/>
      <c r="H553" s="347"/>
      <c r="I553" s="347"/>
      <c r="J553" s="347"/>
      <c r="K553" s="348"/>
      <c r="L553" s="348"/>
      <c r="M553" s="348"/>
      <c r="N553" s="348"/>
      <c r="O553" s="348"/>
      <c r="P553" s="347"/>
      <c r="Q553" s="347"/>
      <c r="R553" s="347"/>
      <c r="S553" s="347"/>
      <c r="T553" s="347"/>
      <c r="U553" s="347"/>
      <c r="V553" s="347"/>
      <c r="W553" s="347"/>
      <c r="X553" s="347"/>
      <c r="Y553" s="347"/>
      <c r="Z553" s="347"/>
      <c r="AA553" s="604"/>
      <c r="AB553" s="347"/>
      <c r="AC553" s="590"/>
      <c r="AD553" s="347"/>
      <c r="AE553" s="347"/>
      <c r="AF553" s="347"/>
      <c r="AG553" s="347"/>
      <c r="AH553" s="347"/>
      <c r="AI553" s="347"/>
      <c r="AJ553" s="347"/>
      <c r="AK553" s="347"/>
      <c r="AL553" s="347"/>
      <c r="AM553" s="347"/>
      <c r="AN553" s="347"/>
      <c r="AO553" s="347"/>
      <c r="AP553" s="347"/>
      <c r="AQ553" s="347"/>
      <c r="AR553" s="347"/>
      <c r="AS553" s="347"/>
      <c r="AT553" s="347"/>
      <c r="AU553" s="347"/>
      <c r="AV553" s="347"/>
      <c r="AW553" s="347"/>
      <c r="AX553" s="347"/>
      <c r="AY553" s="347"/>
      <c r="AZ553" s="347"/>
      <c r="BA553" s="347"/>
      <c r="BB553" s="347"/>
      <c r="BC553" s="347"/>
      <c r="BD553" s="347"/>
      <c r="BE553" s="347"/>
      <c r="BF553" s="347"/>
      <c r="BG553" s="347"/>
      <c r="BH553" s="347"/>
    </row>
    <row r="554">
      <c r="A554" s="347"/>
      <c r="B554" s="347"/>
      <c r="C554" s="347"/>
      <c r="D554" s="347"/>
      <c r="E554" s="347"/>
      <c r="F554" s="347"/>
      <c r="G554" s="347"/>
      <c r="H554" s="347"/>
      <c r="I554" s="347"/>
      <c r="J554" s="347"/>
      <c r="K554" s="348"/>
      <c r="L554" s="348"/>
      <c r="M554" s="348"/>
      <c r="N554" s="348"/>
      <c r="O554" s="348"/>
      <c r="P554" s="347"/>
      <c r="Q554" s="347"/>
      <c r="R554" s="347"/>
      <c r="S554" s="347"/>
      <c r="T554" s="347"/>
      <c r="U554" s="347"/>
      <c r="V554" s="347"/>
      <c r="W554" s="347"/>
      <c r="X554" s="347"/>
      <c r="Y554" s="347"/>
      <c r="Z554" s="347"/>
      <c r="AA554" s="604"/>
      <c r="AB554" s="347"/>
      <c r="AC554" s="590"/>
      <c r="AD554" s="347"/>
      <c r="AE554" s="347"/>
      <c r="AF554" s="347"/>
      <c r="AG554" s="347"/>
      <c r="AH554" s="347"/>
      <c r="AI554" s="347"/>
      <c r="AJ554" s="347"/>
      <c r="AK554" s="347"/>
      <c r="AL554" s="347"/>
      <c r="AM554" s="347"/>
      <c r="AN554" s="347"/>
      <c r="AO554" s="347"/>
      <c r="AP554" s="347"/>
      <c r="AQ554" s="347"/>
      <c r="AR554" s="347"/>
      <c r="AS554" s="347"/>
      <c r="AT554" s="347"/>
      <c r="AU554" s="347"/>
      <c r="AV554" s="347"/>
      <c r="AW554" s="347"/>
      <c r="AX554" s="347"/>
      <c r="AY554" s="347"/>
      <c r="AZ554" s="347"/>
      <c r="BA554" s="347"/>
      <c r="BB554" s="347"/>
      <c r="BC554" s="347"/>
      <c r="BD554" s="347"/>
      <c r="BE554" s="347"/>
      <c r="BF554" s="347"/>
      <c r="BG554" s="347"/>
      <c r="BH554" s="347"/>
    </row>
    <row r="555">
      <c r="A555" s="347"/>
      <c r="B555" s="347"/>
      <c r="C555" s="347"/>
      <c r="D555" s="347"/>
      <c r="E555" s="347"/>
      <c r="F555" s="347"/>
      <c r="G555" s="347"/>
      <c r="H555" s="347"/>
      <c r="I555" s="347"/>
      <c r="J555" s="347"/>
      <c r="K555" s="348"/>
      <c r="L555" s="348"/>
      <c r="M555" s="348"/>
      <c r="N555" s="348"/>
      <c r="O555" s="348"/>
      <c r="P555" s="347"/>
      <c r="Q555" s="347"/>
      <c r="R555" s="347"/>
      <c r="S555" s="347"/>
      <c r="T555" s="347"/>
      <c r="U555" s="347"/>
      <c r="V555" s="347"/>
      <c r="W555" s="347"/>
      <c r="X555" s="347"/>
      <c r="Y555" s="347"/>
      <c r="Z555" s="347"/>
      <c r="AA555" s="604"/>
      <c r="AB555" s="347"/>
      <c r="AC555" s="590"/>
      <c r="AD555" s="347"/>
      <c r="AE555" s="347"/>
      <c r="AF555" s="347"/>
      <c r="AG555" s="347"/>
      <c r="AH555" s="347"/>
      <c r="AI555" s="347"/>
      <c r="AJ555" s="347"/>
      <c r="AK555" s="347"/>
      <c r="AL555" s="347"/>
      <c r="AM555" s="347"/>
      <c r="AN555" s="347"/>
      <c r="AO555" s="347"/>
      <c r="AP555" s="347"/>
      <c r="AQ555" s="347"/>
      <c r="AR555" s="347"/>
      <c r="AS555" s="347"/>
      <c r="AT555" s="347"/>
      <c r="AU555" s="347"/>
      <c r="AV555" s="347"/>
      <c r="AW555" s="347"/>
      <c r="AX555" s="347"/>
      <c r="AY555" s="347"/>
      <c r="AZ555" s="347"/>
      <c r="BA555" s="347"/>
      <c r="BB555" s="347"/>
      <c r="BC555" s="347"/>
      <c r="BD555" s="347"/>
      <c r="BE555" s="347"/>
      <c r="BF555" s="347"/>
      <c r="BG555" s="347"/>
      <c r="BH555" s="347"/>
    </row>
    <row r="556">
      <c r="A556" s="347"/>
      <c r="B556" s="347"/>
      <c r="C556" s="347"/>
      <c r="D556" s="347"/>
      <c r="E556" s="347"/>
      <c r="F556" s="347"/>
      <c r="G556" s="347"/>
      <c r="H556" s="347"/>
      <c r="I556" s="347"/>
      <c r="J556" s="347"/>
      <c r="K556" s="348"/>
      <c r="L556" s="348"/>
      <c r="M556" s="348"/>
      <c r="N556" s="348"/>
      <c r="O556" s="348"/>
      <c r="P556" s="347"/>
      <c r="Q556" s="347"/>
      <c r="R556" s="347"/>
      <c r="S556" s="347"/>
      <c r="T556" s="347"/>
      <c r="U556" s="347"/>
      <c r="V556" s="347"/>
      <c r="W556" s="347"/>
      <c r="X556" s="347"/>
      <c r="Y556" s="347"/>
      <c r="Z556" s="347"/>
      <c r="AA556" s="604"/>
      <c r="AB556" s="347"/>
      <c r="AC556" s="590"/>
      <c r="AD556" s="347"/>
      <c r="AE556" s="347"/>
      <c r="AF556" s="347"/>
      <c r="AG556" s="347"/>
      <c r="AH556" s="347"/>
      <c r="AI556" s="347"/>
      <c r="AJ556" s="347"/>
      <c r="AK556" s="347"/>
      <c r="AL556" s="347"/>
      <c r="AM556" s="347"/>
      <c r="AN556" s="347"/>
      <c r="AO556" s="347"/>
      <c r="AP556" s="347"/>
      <c r="AQ556" s="347"/>
      <c r="AR556" s="347"/>
      <c r="AS556" s="347"/>
      <c r="AT556" s="347"/>
      <c r="AU556" s="347"/>
      <c r="AV556" s="347"/>
      <c r="AW556" s="347"/>
      <c r="AX556" s="347"/>
      <c r="AY556" s="347"/>
      <c r="AZ556" s="347"/>
      <c r="BA556" s="347"/>
      <c r="BB556" s="347"/>
      <c r="BC556" s="347"/>
      <c r="BD556" s="347"/>
      <c r="BE556" s="347"/>
      <c r="BF556" s="347"/>
      <c r="BG556" s="347"/>
      <c r="BH556" s="347"/>
    </row>
    <row r="557">
      <c r="A557" s="347"/>
      <c r="B557" s="347"/>
      <c r="C557" s="347"/>
      <c r="D557" s="347"/>
      <c r="E557" s="347"/>
      <c r="F557" s="347"/>
      <c r="G557" s="347"/>
      <c r="H557" s="347"/>
      <c r="I557" s="347"/>
      <c r="J557" s="347"/>
      <c r="K557" s="348"/>
      <c r="L557" s="348"/>
      <c r="M557" s="348"/>
      <c r="N557" s="348"/>
      <c r="O557" s="348"/>
      <c r="P557" s="347"/>
      <c r="Q557" s="347"/>
      <c r="R557" s="347"/>
      <c r="S557" s="347"/>
      <c r="T557" s="347"/>
      <c r="U557" s="347"/>
      <c r="V557" s="347"/>
      <c r="W557" s="347"/>
      <c r="X557" s="347"/>
      <c r="Y557" s="347"/>
      <c r="Z557" s="347"/>
      <c r="AA557" s="604"/>
      <c r="AB557" s="347"/>
      <c r="AC557" s="590"/>
      <c r="AD557" s="347"/>
      <c r="AE557" s="347"/>
      <c r="AF557" s="347"/>
      <c r="AG557" s="347"/>
      <c r="AH557" s="347"/>
      <c r="AI557" s="347"/>
      <c r="AJ557" s="347"/>
      <c r="AK557" s="347"/>
      <c r="AL557" s="347"/>
      <c r="AM557" s="347"/>
      <c r="AN557" s="347"/>
      <c r="AO557" s="347"/>
      <c r="AP557" s="347"/>
      <c r="AQ557" s="347"/>
      <c r="AR557" s="347"/>
      <c r="AS557" s="347"/>
      <c r="AT557" s="347"/>
      <c r="AU557" s="347"/>
      <c r="AV557" s="347"/>
      <c r="AW557" s="347"/>
      <c r="AX557" s="347"/>
      <c r="AY557" s="347"/>
      <c r="AZ557" s="347"/>
      <c r="BA557" s="347"/>
      <c r="BB557" s="347"/>
      <c r="BC557" s="347"/>
      <c r="BD557" s="347"/>
      <c r="BE557" s="347"/>
      <c r="BF557" s="347"/>
      <c r="BG557" s="347"/>
      <c r="BH557" s="347"/>
    </row>
    <row r="558">
      <c r="A558" s="347"/>
      <c r="B558" s="347"/>
      <c r="C558" s="347"/>
      <c r="D558" s="347"/>
      <c r="E558" s="347"/>
      <c r="F558" s="347"/>
      <c r="G558" s="347"/>
      <c r="H558" s="347"/>
      <c r="I558" s="347"/>
      <c r="J558" s="347"/>
      <c r="K558" s="348"/>
      <c r="L558" s="348"/>
      <c r="M558" s="348"/>
      <c r="N558" s="348"/>
      <c r="O558" s="348"/>
      <c r="P558" s="347"/>
      <c r="Q558" s="347"/>
      <c r="R558" s="347"/>
      <c r="S558" s="347"/>
      <c r="T558" s="347"/>
      <c r="U558" s="347"/>
      <c r="V558" s="347"/>
      <c r="W558" s="347"/>
      <c r="X558" s="347"/>
      <c r="Y558" s="347"/>
      <c r="Z558" s="347"/>
      <c r="AA558" s="604"/>
      <c r="AB558" s="347"/>
      <c r="AC558" s="590"/>
      <c r="AD558" s="347"/>
      <c r="AE558" s="347"/>
      <c r="AF558" s="347"/>
      <c r="AG558" s="347"/>
      <c r="AH558" s="347"/>
      <c r="AI558" s="347"/>
      <c r="AJ558" s="347"/>
      <c r="AK558" s="347"/>
      <c r="AL558" s="347"/>
      <c r="AM558" s="347"/>
      <c r="AN558" s="347"/>
      <c r="AO558" s="347"/>
      <c r="AP558" s="347"/>
      <c r="AQ558" s="347"/>
      <c r="AR558" s="347"/>
      <c r="AS558" s="347"/>
      <c r="AT558" s="347"/>
      <c r="AU558" s="347"/>
      <c r="AV558" s="347"/>
      <c r="AW558" s="347"/>
      <c r="AX558" s="347"/>
      <c r="AY558" s="347"/>
      <c r="AZ558" s="347"/>
      <c r="BA558" s="347"/>
      <c r="BB558" s="347"/>
      <c r="BC558" s="347"/>
      <c r="BD558" s="347"/>
      <c r="BE558" s="347"/>
      <c r="BF558" s="347"/>
      <c r="BG558" s="347"/>
      <c r="BH558" s="347"/>
    </row>
    <row r="559">
      <c r="A559" s="347"/>
      <c r="B559" s="347"/>
      <c r="C559" s="347"/>
      <c r="D559" s="347"/>
      <c r="E559" s="347"/>
      <c r="F559" s="347"/>
      <c r="G559" s="347"/>
      <c r="H559" s="347"/>
      <c r="I559" s="347"/>
      <c r="J559" s="347"/>
      <c r="K559" s="348"/>
      <c r="L559" s="348"/>
      <c r="M559" s="348"/>
      <c r="N559" s="348"/>
      <c r="O559" s="348"/>
      <c r="P559" s="347"/>
      <c r="Q559" s="347"/>
      <c r="R559" s="347"/>
      <c r="S559" s="347"/>
      <c r="T559" s="347"/>
      <c r="U559" s="347"/>
      <c r="V559" s="347"/>
      <c r="W559" s="347"/>
      <c r="X559" s="347"/>
      <c r="Y559" s="347"/>
      <c r="Z559" s="347"/>
      <c r="AA559" s="604"/>
      <c r="AB559" s="347"/>
      <c r="AC559" s="590"/>
      <c r="AD559" s="347"/>
      <c r="AE559" s="347"/>
      <c r="AF559" s="347"/>
      <c r="AG559" s="347"/>
      <c r="AH559" s="347"/>
      <c r="AI559" s="347"/>
      <c r="AJ559" s="347"/>
      <c r="AK559" s="347"/>
      <c r="AL559" s="347"/>
      <c r="AM559" s="347"/>
      <c r="AN559" s="347"/>
      <c r="AO559" s="347"/>
      <c r="AP559" s="347"/>
      <c r="AQ559" s="347"/>
      <c r="AR559" s="347"/>
      <c r="AS559" s="347"/>
      <c r="AT559" s="347"/>
      <c r="AU559" s="347"/>
      <c r="AV559" s="347"/>
      <c r="AW559" s="347"/>
      <c r="AX559" s="347"/>
      <c r="AY559" s="347"/>
      <c r="AZ559" s="347"/>
      <c r="BA559" s="347"/>
      <c r="BB559" s="347"/>
      <c r="BC559" s="347"/>
      <c r="BD559" s="347"/>
      <c r="BE559" s="347"/>
      <c r="BF559" s="347"/>
      <c r="BG559" s="347"/>
      <c r="BH559" s="347"/>
    </row>
    <row r="560">
      <c r="A560" s="347"/>
      <c r="B560" s="347"/>
      <c r="C560" s="347"/>
      <c r="D560" s="347"/>
      <c r="E560" s="347"/>
      <c r="F560" s="347"/>
      <c r="G560" s="347"/>
      <c r="H560" s="347"/>
      <c r="I560" s="347"/>
      <c r="J560" s="347"/>
      <c r="K560" s="348"/>
      <c r="L560" s="348"/>
      <c r="M560" s="348"/>
      <c r="N560" s="348"/>
      <c r="O560" s="348"/>
      <c r="P560" s="347"/>
      <c r="Q560" s="347"/>
      <c r="R560" s="347"/>
      <c r="S560" s="347"/>
      <c r="T560" s="347"/>
      <c r="U560" s="347"/>
      <c r="V560" s="347"/>
      <c r="W560" s="347"/>
      <c r="X560" s="347"/>
      <c r="Y560" s="347"/>
      <c r="Z560" s="347"/>
      <c r="AA560" s="604"/>
      <c r="AB560" s="347"/>
      <c r="AC560" s="590"/>
      <c r="AD560" s="347"/>
      <c r="AE560" s="347"/>
      <c r="AF560" s="347"/>
      <c r="AG560" s="347"/>
      <c r="AH560" s="347"/>
      <c r="AI560" s="347"/>
      <c r="AJ560" s="347"/>
      <c r="AK560" s="347"/>
      <c r="AL560" s="347"/>
      <c r="AM560" s="347"/>
      <c r="AN560" s="347"/>
      <c r="AO560" s="347"/>
      <c r="AP560" s="347"/>
      <c r="AQ560" s="347"/>
      <c r="AR560" s="347"/>
      <c r="AS560" s="347"/>
      <c r="AT560" s="347"/>
      <c r="AU560" s="347"/>
      <c r="AV560" s="347"/>
      <c r="AW560" s="347"/>
      <c r="AX560" s="347"/>
      <c r="AY560" s="347"/>
      <c r="AZ560" s="347"/>
      <c r="BA560" s="347"/>
      <c r="BB560" s="347"/>
      <c r="BC560" s="347"/>
      <c r="BD560" s="347"/>
      <c r="BE560" s="347"/>
      <c r="BF560" s="347"/>
      <c r="BG560" s="347"/>
      <c r="BH560" s="347"/>
    </row>
    <row r="561">
      <c r="A561" s="347"/>
      <c r="B561" s="347"/>
      <c r="C561" s="347"/>
      <c r="D561" s="347"/>
      <c r="E561" s="347"/>
      <c r="F561" s="347"/>
      <c r="G561" s="347"/>
      <c r="H561" s="347"/>
      <c r="I561" s="347"/>
      <c r="J561" s="347"/>
      <c r="K561" s="348"/>
      <c r="L561" s="348"/>
      <c r="M561" s="348"/>
      <c r="N561" s="348"/>
      <c r="O561" s="348"/>
      <c r="P561" s="347"/>
      <c r="Q561" s="347"/>
      <c r="R561" s="347"/>
      <c r="S561" s="347"/>
      <c r="T561" s="347"/>
      <c r="U561" s="347"/>
      <c r="V561" s="347"/>
      <c r="W561" s="347"/>
      <c r="X561" s="347"/>
      <c r="Y561" s="347"/>
      <c r="Z561" s="347"/>
      <c r="AA561" s="604"/>
      <c r="AB561" s="347"/>
      <c r="AC561" s="590"/>
      <c r="AD561" s="347"/>
      <c r="AE561" s="347"/>
      <c r="AF561" s="347"/>
      <c r="AG561" s="347"/>
      <c r="AH561" s="347"/>
      <c r="AI561" s="347"/>
      <c r="AJ561" s="347"/>
      <c r="AK561" s="347"/>
      <c r="AL561" s="347"/>
      <c r="AM561" s="347"/>
      <c r="AN561" s="347"/>
      <c r="AO561" s="347"/>
      <c r="AP561" s="347"/>
      <c r="AQ561" s="347"/>
      <c r="AR561" s="347"/>
      <c r="AS561" s="347"/>
      <c r="AT561" s="347"/>
      <c r="AU561" s="347"/>
      <c r="AV561" s="347"/>
      <c r="AW561" s="347"/>
      <c r="AX561" s="347"/>
      <c r="AY561" s="347"/>
      <c r="AZ561" s="347"/>
      <c r="BA561" s="347"/>
      <c r="BB561" s="347"/>
      <c r="BC561" s="347"/>
      <c r="BD561" s="347"/>
      <c r="BE561" s="347"/>
      <c r="BF561" s="347"/>
      <c r="BG561" s="347"/>
      <c r="BH561" s="347"/>
    </row>
    <row r="562">
      <c r="A562" s="347"/>
      <c r="B562" s="347"/>
      <c r="C562" s="347"/>
      <c r="D562" s="347"/>
      <c r="E562" s="347"/>
      <c r="F562" s="347"/>
      <c r="G562" s="347"/>
      <c r="H562" s="347"/>
      <c r="I562" s="347"/>
      <c r="J562" s="347"/>
      <c r="K562" s="348"/>
      <c r="L562" s="348"/>
      <c r="M562" s="348"/>
      <c r="N562" s="348"/>
      <c r="O562" s="348"/>
      <c r="P562" s="347"/>
      <c r="Q562" s="347"/>
      <c r="R562" s="347"/>
      <c r="S562" s="347"/>
      <c r="T562" s="347"/>
      <c r="U562" s="347"/>
      <c r="V562" s="347"/>
      <c r="W562" s="347"/>
      <c r="X562" s="347"/>
      <c r="Y562" s="347"/>
      <c r="Z562" s="347"/>
      <c r="AA562" s="604"/>
      <c r="AB562" s="347"/>
      <c r="AC562" s="590"/>
      <c r="AD562" s="347"/>
      <c r="AE562" s="347"/>
      <c r="AF562" s="347"/>
      <c r="AG562" s="347"/>
      <c r="AH562" s="347"/>
      <c r="AI562" s="347"/>
      <c r="AJ562" s="347"/>
      <c r="AK562" s="347"/>
      <c r="AL562" s="347"/>
      <c r="AM562" s="347"/>
      <c r="AN562" s="347"/>
      <c r="AO562" s="347"/>
      <c r="AP562" s="347"/>
      <c r="AQ562" s="347"/>
      <c r="AR562" s="347"/>
      <c r="AS562" s="347"/>
      <c r="AT562" s="347"/>
      <c r="AU562" s="347"/>
      <c r="AV562" s="347"/>
      <c r="AW562" s="347"/>
      <c r="AX562" s="347"/>
      <c r="AY562" s="347"/>
      <c r="AZ562" s="347"/>
      <c r="BA562" s="347"/>
      <c r="BB562" s="347"/>
      <c r="BC562" s="347"/>
      <c r="BD562" s="347"/>
      <c r="BE562" s="347"/>
      <c r="BF562" s="347"/>
      <c r="BG562" s="347"/>
      <c r="BH562" s="347"/>
    </row>
    <row r="563">
      <c r="A563" s="347"/>
      <c r="B563" s="347"/>
      <c r="C563" s="347"/>
      <c r="D563" s="347"/>
      <c r="E563" s="347"/>
      <c r="F563" s="347"/>
      <c r="G563" s="347"/>
      <c r="H563" s="347"/>
      <c r="I563" s="347"/>
      <c r="J563" s="347"/>
      <c r="K563" s="348"/>
      <c r="L563" s="348"/>
      <c r="M563" s="348"/>
      <c r="N563" s="348"/>
      <c r="O563" s="348"/>
      <c r="P563" s="347"/>
      <c r="Q563" s="347"/>
      <c r="R563" s="347"/>
      <c r="S563" s="347"/>
      <c r="T563" s="347"/>
      <c r="U563" s="347"/>
      <c r="V563" s="347"/>
      <c r="W563" s="347"/>
      <c r="X563" s="347"/>
      <c r="Y563" s="347"/>
      <c r="Z563" s="347"/>
      <c r="AA563" s="604"/>
      <c r="AB563" s="347"/>
      <c r="AC563" s="590"/>
      <c r="AD563" s="347"/>
      <c r="AE563" s="347"/>
      <c r="AF563" s="347"/>
      <c r="AG563" s="347"/>
      <c r="AH563" s="347"/>
      <c r="AI563" s="347"/>
      <c r="AJ563" s="347"/>
      <c r="AK563" s="347"/>
      <c r="AL563" s="347"/>
      <c r="AM563" s="347"/>
      <c r="AN563" s="347"/>
      <c r="AO563" s="347"/>
      <c r="AP563" s="347"/>
      <c r="AQ563" s="347"/>
      <c r="AR563" s="347"/>
      <c r="AS563" s="347"/>
      <c r="AT563" s="347"/>
      <c r="AU563" s="347"/>
      <c r="AV563" s="347"/>
      <c r="AW563" s="347"/>
      <c r="AX563" s="347"/>
      <c r="AY563" s="347"/>
      <c r="AZ563" s="347"/>
      <c r="BA563" s="347"/>
      <c r="BB563" s="347"/>
      <c r="BC563" s="347"/>
      <c r="BD563" s="347"/>
      <c r="BE563" s="347"/>
      <c r="BF563" s="347"/>
      <c r="BG563" s="347"/>
      <c r="BH563" s="347"/>
    </row>
    <row r="564">
      <c r="A564" s="347"/>
      <c r="B564" s="347"/>
      <c r="C564" s="347"/>
      <c r="D564" s="347"/>
      <c r="E564" s="347"/>
      <c r="F564" s="347"/>
      <c r="G564" s="347"/>
      <c r="H564" s="347"/>
      <c r="I564" s="347"/>
      <c r="J564" s="347"/>
      <c r="K564" s="348"/>
      <c r="L564" s="348"/>
      <c r="M564" s="348"/>
      <c r="N564" s="348"/>
      <c r="O564" s="348"/>
      <c r="P564" s="347"/>
      <c r="Q564" s="347"/>
      <c r="R564" s="347"/>
      <c r="S564" s="347"/>
      <c r="T564" s="347"/>
      <c r="U564" s="347"/>
      <c r="V564" s="347"/>
      <c r="W564" s="347"/>
      <c r="X564" s="347"/>
      <c r="Y564" s="347"/>
      <c r="Z564" s="347"/>
      <c r="AA564" s="604"/>
      <c r="AB564" s="347"/>
      <c r="AC564" s="590"/>
      <c r="AD564" s="347"/>
      <c r="AE564" s="347"/>
      <c r="AF564" s="347"/>
      <c r="AG564" s="347"/>
      <c r="AH564" s="347"/>
      <c r="AI564" s="347"/>
      <c r="AJ564" s="347"/>
      <c r="AK564" s="347"/>
      <c r="AL564" s="347"/>
      <c r="AM564" s="347"/>
      <c r="AN564" s="347"/>
      <c r="AO564" s="347"/>
      <c r="AP564" s="347"/>
      <c r="AQ564" s="347"/>
      <c r="AR564" s="347"/>
      <c r="AS564" s="347"/>
      <c r="AT564" s="347"/>
      <c r="AU564" s="347"/>
      <c r="AV564" s="347"/>
      <c r="AW564" s="347"/>
      <c r="AX564" s="347"/>
      <c r="AY564" s="347"/>
      <c r="AZ564" s="347"/>
      <c r="BA564" s="347"/>
      <c r="BB564" s="347"/>
      <c r="BC564" s="347"/>
      <c r="BD564" s="347"/>
      <c r="BE564" s="347"/>
      <c r="BF564" s="347"/>
      <c r="BG564" s="347"/>
      <c r="BH564" s="347"/>
    </row>
    <row r="565">
      <c r="A565" s="347"/>
      <c r="B565" s="347"/>
      <c r="C565" s="347"/>
      <c r="D565" s="347"/>
      <c r="E565" s="347"/>
      <c r="F565" s="347"/>
      <c r="G565" s="347"/>
      <c r="H565" s="347"/>
      <c r="I565" s="347"/>
      <c r="J565" s="347"/>
      <c r="K565" s="348"/>
      <c r="L565" s="348"/>
      <c r="M565" s="348"/>
      <c r="N565" s="348"/>
      <c r="O565" s="348"/>
      <c r="P565" s="347"/>
      <c r="Q565" s="347"/>
      <c r="R565" s="347"/>
      <c r="S565" s="347"/>
      <c r="T565" s="347"/>
      <c r="U565" s="347"/>
      <c r="V565" s="347"/>
      <c r="W565" s="347"/>
      <c r="X565" s="347"/>
      <c r="Y565" s="347"/>
      <c r="Z565" s="347"/>
      <c r="AA565" s="604"/>
      <c r="AB565" s="347"/>
      <c r="AC565" s="590"/>
      <c r="AD565" s="347"/>
      <c r="AE565" s="347"/>
      <c r="AF565" s="347"/>
      <c r="AG565" s="347"/>
      <c r="AH565" s="347"/>
      <c r="AI565" s="347"/>
      <c r="AJ565" s="347"/>
      <c r="AK565" s="347"/>
      <c r="AL565" s="347"/>
      <c r="AM565" s="347"/>
      <c r="AN565" s="347"/>
      <c r="AO565" s="347"/>
      <c r="AP565" s="347"/>
      <c r="AQ565" s="347"/>
      <c r="AR565" s="347"/>
      <c r="AS565" s="347"/>
      <c r="AT565" s="347"/>
      <c r="AU565" s="347"/>
      <c r="AV565" s="347"/>
      <c r="AW565" s="347"/>
      <c r="AX565" s="347"/>
      <c r="AY565" s="347"/>
      <c r="AZ565" s="347"/>
      <c r="BA565" s="347"/>
      <c r="BB565" s="347"/>
      <c r="BC565" s="347"/>
      <c r="BD565" s="347"/>
      <c r="BE565" s="347"/>
      <c r="BF565" s="347"/>
      <c r="BG565" s="347"/>
      <c r="BH565" s="347"/>
    </row>
    <row r="566">
      <c r="A566" s="347"/>
      <c r="B566" s="347"/>
      <c r="C566" s="347"/>
      <c r="D566" s="347"/>
      <c r="E566" s="347"/>
      <c r="F566" s="347"/>
      <c r="G566" s="347"/>
      <c r="H566" s="347"/>
      <c r="I566" s="347"/>
      <c r="J566" s="347"/>
      <c r="K566" s="348"/>
      <c r="L566" s="348"/>
      <c r="M566" s="348"/>
      <c r="N566" s="348"/>
      <c r="O566" s="348"/>
      <c r="P566" s="347"/>
      <c r="Q566" s="347"/>
      <c r="R566" s="347"/>
      <c r="S566" s="347"/>
      <c r="T566" s="347"/>
      <c r="U566" s="347"/>
      <c r="V566" s="347"/>
      <c r="W566" s="347"/>
      <c r="X566" s="347"/>
      <c r="Y566" s="347"/>
      <c r="Z566" s="347"/>
      <c r="AA566" s="604"/>
      <c r="AB566" s="347"/>
      <c r="AC566" s="590"/>
      <c r="AD566" s="347"/>
      <c r="AE566" s="347"/>
      <c r="AF566" s="347"/>
      <c r="AG566" s="347"/>
      <c r="AH566" s="347"/>
      <c r="AI566" s="347"/>
      <c r="AJ566" s="347"/>
      <c r="AK566" s="347"/>
      <c r="AL566" s="347"/>
      <c r="AM566" s="347"/>
      <c r="AN566" s="347"/>
      <c r="AO566" s="347"/>
      <c r="AP566" s="347"/>
      <c r="AQ566" s="347"/>
      <c r="AR566" s="347"/>
      <c r="AS566" s="347"/>
      <c r="AT566" s="347"/>
      <c r="AU566" s="347"/>
      <c r="AV566" s="347"/>
      <c r="AW566" s="347"/>
      <c r="AX566" s="347"/>
      <c r="AY566" s="347"/>
      <c r="AZ566" s="347"/>
      <c r="BA566" s="347"/>
      <c r="BB566" s="347"/>
      <c r="BC566" s="347"/>
      <c r="BD566" s="347"/>
      <c r="BE566" s="347"/>
      <c r="BF566" s="347"/>
      <c r="BG566" s="347"/>
      <c r="BH566" s="347"/>
    </row>
    <row r="567">
      <c r="A567" s="347"/>
      <c r="B567" s="347"/>
      <c r="C567" s="347"/>
      <c r="D567" s="347"/>
      <c r="E567" s="347"/>
      <c r="F567" s="347"/>
      <c r="G567" s="347"/>
      <c r="H567" s="347"/>
      <c r="I567" s="347"/>
      <c r="J567" s="347"/>
      <c r="K567" s="348"/>
      <c r="L567" s="348"/>
      <c r="M567" s="348"/>
      <c r="N567" s="348"/>
      <c r="O567" s="348"/>
      <c r="P567" s="347"/>
      <c r="Q567" s="347"/>
      <c r="R567" s="347"/>
      <c r="S567" s="347"/>
      <c r="T567" s="347"/>
      <c r="U567" s="347"/>
      <c r="V567" s="347"/>
      <c r="W567" s="347"/>
      <c r="X567" s="347"/>
      <c r="Y567" s="347"/>
      <c r="Z567" s="347"/>
      <c r="AA567" s="604"/>
      <c r="AB567" s="347"/>
      <c r="AC567" s="590"/>
      <c r="AD567" s="347"/>
      <c r="AE567" s="347"/>
      <c r="AF567" s="347"/>
      <c r="AG567" s="347"/>
      <c r="AH567" s="347"/>
      <c r="AI567" s="347"/>
      <c r="AJ567" s="347"/>
      <c r="AK567" s="347"/>
      <c r="AL567" s="347"/>
      <c r="AM567" s="347"/>
      <c r="AN567" s="347"/>
      <c r="AO567" s="347"/>
      <c r="AP567" s="347"/>
      <c r="AQ567" s="347"/>
      <c r="AR567" s="347"/>
      <c r="AS567" s="347"/>
      <c r="AT567" s="347"/>
      <c r="AU567" s="347"/>
      <c r="AV567" s="347"/>
      <c r="AW567" s="347"/>
      <c r="AX567" s="347"/>
      <c r="AY567" s="347"/>
      <c r="AZ567" s="347"/>
      <c r="BA567" s="347"/>
      <c r="BB567" s="347"/>
      <c r="BC567" s="347"/>
      <c r="BD567" s="347"/>
      <c r="BE567" s="347"/>
      <c r="BF567" s="347"/>
      <c r="BG567" s="347"/>
      <c r="BH567" s="347"/>
    </row>
    <row r="568">
      <c r="A568" s="347"/>
      <c r="B568" s="347"/>
      <c r="C568" s="347"/>
      <c r="D568" s="347"/>
      <c r="E568" s="347"/>
      <c r="F568" s="347"/>
      <c r="G568" s="347"/>
      <c r="H568" s="347"/>
      <c r="I568" s="347"/>
      <c r="J568" s="347"/>
      <c r="K568" s="348"/>
      <c r="L568" s="348"/>
      <c r="M568" s="348"/>
      <c r="N568" s="348"/>
      <c r="O568" s="348"/>
      <c r="P568" s="347"/>
      <c r="Q568" s="347"/>
      <c r="R568" s="347"/>
      <c r="S568" s="347"/>
      <c r="T568" s="347"/>
      <c r="U568" s="347"/>
      <c r="V568" s="347"/>
      <c r="W568" s="347"/>
      <c r="X568" s="347"/>
      <c r="Y568" s="347"/>
      <c r="Z568" s="347"/>
      <c r="AA568" s="604"/>
      <c r="AB568" s="347"/>
      <c r="AC568" s="590"/>
      <c r="AD568" s="347"/>
      <c r="AE568" s="347"/>
      <c r="AF568" s="347"/>
      <c r="AG568" s="347"/>
      <c r="AH568" s="347"/>
      <c r="AI568" s="347"/>
      <c r="AJ568" s="347"/>
      <c r="AK568" s="347"/>
      <c r="AL568" s="347"/>
      <c r="AM568" s="347"/>
      <c r="AN568" s="347"/>
      <c r="AO568" s="347"/>
      <c r="AP568" s="347"/>
      <c r="AQ568" s="347"/>
      <c r="AR568" s="347"/>
      <c r="AS568" s="347"/>
      <c r="AT568" s="347"/>
      <c r="AU568" s="347"/>
      <c r="AV568" s="347"/>
      <c r="AW568" s="347"/>
      <c r="AX568" s="347"/>
      <c r="AY568" s="347"/>
      <c r="AZ568" s="347"/>
      <c r="BA568" s="347"/>
      <c r="BB568" s="347"/>
      <c r="BC568" s="347"/>
      <c r="BD568" s="347"/>
      <c r="BE568" s="347"/>
      <c r="BF568" s="347"/>
      <c r="BG568" s="347"/>
      <c r="BH568" s="347"/>
    </row>
    <row r="569">
      <c r="A569" s="347"/>
      <c r="B569" s="347"/>
      <c r="C569" s="347"/>
      <c r="D569" s="347"/>
      <c r="E569" s="347"/>
      <c r="F569" s="347"/>
      <c r="G569" s="347"/>
      <c r="H569" s="347"/>
      <c r="I569" s="347"/>
      <c r="J569" s="347"/>
      <c r="K569" s="348"/>
      <c r="L569" s="348"/>
      <c r="M569" s="348"/>
      <c r="N569" s="348"/>
      <c r="O569" s="348"/>
      <c r="P569" s="347"/>
      <c r="Q569" s="347"/>
      <c r="R569" s="347"/>
      <c r="S569" s="347"/>
      <c r="T569" s="347"/>
      <c r="U569" s="347"/>
      <c r="V569" s="347"/>
      <c r="W569" s="347"/>
      <c r="X569" s="347"/>
      <c r="Y569" s="347"/>
      <c r="Z569" s="347"/>
      <c r="AA569" s="604"/>
      <c r="AB569" s="347"/>
      <c r="AC569" s="590"/>
      <c r="AD569" s="347"/>
      <c r="AE569" s="347"/>
      <c r="AF569" s="347"/>
      <c r="AG569" s="347"/>
      <c r="AH569" s="347"/>
      <c r="AI569" s="347"/>
      <c r="AJ569" s="347"/>
      <c r="AK569" s="347"/>
      <c r="AL569" s="347"/>
      <c r="AM569" s="347"/>
      <c r="AN569" s="347"/>
      <c r="AO569" s="347"/>
      <c r="AP569" s="347"/>
      <c r="AQ569" s="347"/>
      <c r="AR569" s="347"/>
      <c r="AS569" s="347"/>
      <c r="AT569" s="347"/>
      <c r="AU569" s="347"/>
      <c r="AV569" s="347"/>
      <c r="AW569" s="347"/>
      <c r="AX569" s="347"/>
      <c r="AY569" s="347"/>
      <c r="AZ569" s="347"/>
      <c r="BA569" s="347"/>
      <c r="BB569" s="347"/>
      <c r="BC569" s="347"/>
      <c r="BD569" s="347"/>
      <c r="BE569" s="347"/>
      <c r="BF569" s="347"/>
      <c r="BG569" s="347"/>
      <c r="BH569" s="347"/>
    </row>
    <row r="570">
      <c r="A570" s="347"/>
      <c r="B570" s="347"/>
      <c r="C570" s="347"/>
      <c r="D570" s="347"/>
      <c r="E570" s="347"/>
      <c r="F570" s="347"/>
      <c r="G570" s="347"/>
      <c r="H570" s="347"/>
      <c r="I570" s="347"/>
      <c r="J570" s="347"/>
      <c r="K570" s="348"/>
      <c r="L570" s="348"/>
      <c r="M570" s="348"/>
      <c r="N570" s="348"/>
      <c r="O570" s="348"/>
      <c r="P570" s="347"/>
      <c r="Q570" s="347"/>
      <c r="R570" s="347"/>
      <c r="S570" s="347"/>
      <c r="T570" s="347"/>
      <c r="U570" s="347"/>
      <c r="V570" s="347"/>
      <c r="W570" s="347"/>
      <c r="X570" s="347"/>
      <c r="Y570" s="347"/>
      <c r="Z570" s="347"/>
      <c r="AA570" s="604"/>
      <c r="AB570" s="347"/>
      <c r="AC570" s="590"/>
      <c r="AD570" s="347"/>
      <c r="AE570" s="347"/>
      <c r="AF570" s="347"/>
      <c r="AG570" s="347"/>
      <c r="AH570" s="347"/>
      <c r="AI570" s="347"/>
      <c r="AJ570" s="347"/>
      <c r="AK570" s="347"/>
      <c r="AL570" s="347"/>
      <c r="AM570" s="347"/>
      <c r="AN570" s="347"/>
      <c r="AO570" s="347"/>
      <c r="AP570" s="347"/>
      <c r="AQ570" s="347"/>
      <c r="AR570" s="347"/>
      <c r="AS570" s="347"/>
      <c r="AT570" s="347"/>
      <c r="AU570" s="347"/>
      <c r="AV570" s="347"/>
      <c r="AW570" s="347"/>
      <c r="AX570" s="347"/>
      <c r="AY570" s="347"/>
      <c r="AZ570" s="347"/>
      <c r="BA570" s="347"/>
      <c r="BB570" s="347"/>
      <c r="BC570" s="347"/>
      <c r="BD570" s="347"/>
      <c r="BE570" s="347"/>
      <c r="BF570" s="347"/>
      <c r="BG570" s="347"/>
      <c r="BH570" s="347"/>
    </row>
    <row r="571">
      <c r="A571" s="347"/>
      <c r="B571" s="347"/>
      <c r="C571" s="347"/>
      <c r="D571" s="347"/>
      <c r="E571" s="347"/>
      <c r="F571" s="347"/>
      <c r="G571" s="347"/>
      <c r="H571" s="347"/>
      <c r="I571" s="347"/>
      <c r="J571" s="347"/>
      <c r="K571" s="348"/>
      <c r="L571" s="348"/>
      <c r="M571" s="348"/>
      <c r="N571" s="348"/>
      <c r="O571" s="348"/>
      <c r="P571" s="347"/>
      <c r="Q571" s="347"/>
      <c r="R571" s="347"/>
      <c r="S571" s="347"/>
      <c r="T571" s="347"/>
      <c r="U571" s="347"/>
      <c r="V571" s="347"/>
      <c r="W571" s="347"/>
      <c r="X571" s="347"/>
      <c r="Y571" s="347"/>
      <c r="Z571" s="347"/>
      <c r="AA571" s="604"/>
      <c r="AB571" s="347"/>
      <c r="AC571" s="590"/>
      <c r="AD571" s="347"/>
      <c r="AE571" s="347"/>
      <c r="AF571" s="347"/>
      <c r="AG571" s="347"/>
      <c r="AH571" s="347"/>
      <c r="AI571" s="347"/>
      <c r="AJ571" s="347"/>
      <c r="AK571" s="347"/>
      <c r="AL571" s="347"/>
      <c r="AM571" s="347"/>
      <c r="AN571" s="347"/>
      <c r="AO571" s="347"/>
      <c r="AP571" s="347"/>
      <c r="AQ571" s="347"/>
      <c r="AR571" s="347"/>
      <c r="AS571" s="347"/>
      <c r="AT571" s="347"/>
      <c r="AU571" s="347"/>
      <c r="AV571" s="347"/>
      <c r="AW571" s="347"/>
      <c r="AX571" s="347"/>
      <c r="AY571" s="347"/>
      <c r="AZ571" s="347"/>
      <c r="BA571" s="347"/>
      <c r="BB571" s="347"/>
      <c r="BC571" s="347"/>
      <c r="BD571" s="347"/>
      <c r="BE571" s="347"/>
      <c r="BF571" s="347"/>
      <c r="BG571" s="347"/>
      <c r="BH571" s="347"/>
    </row>
    <row r="572">
      <c r="A572" s="347"/>
      <c r="B572" s="347"/>
      <c r="C572" s="347"/>
      <c r="D572" s="347"/>
      <c r="E572" s="347"/>
      <c r="F572" s="347"/>
      <c r="G572" s="347"/>
      <c r="H572" s="347"/>
      <c r="I572" s="347"/>
      <c r="J572" s="347"/>
      <c r="K572" s="348"/>
      <c r="L572" s="348"/>
      <c r="M572" s="348"/>
      <c r="N572" s="348"/>
      <c r="O572" s="348"/>
      <c r="P572" s="347"/>
      <c r="Q572" s="347"/>
      <c r="R572" s="347"/>
      <c r="S572" s="347"/>
      <c r="T572" s="347"/>
      <c r="U572" s="347"/>
      <c r="V572" s="347"/>
      <c r="W572" s="347"/>
      <c r="X572" s="347"/>
      <c r="Y572" s="347"/>
      <c r="Z572" s="347"/>
      <c r="AA572" s="604"/>
      <c r="AB572" s="347"/>
      <c r="AC572" s="590"/>
      <c r="AD572" s="347"/>
      <c r="AE572" s="347"/>
      <c r="AF572" s="347"/>
      <c r="AG572" s="347"/>
      <c r="AH572" s="347"/>
      <c r="AI572" s="347"/>
      <c r="AJ572" s="347"/>
      <c r="AK572" s="347"/>
      <c r="AL572" s="347"/>
      <c r="AM572" s="347"/>
      <c r="AN572" s="347"/>
      <c r="AO572" s="347"/>
      <c r="AP572" s="347"/>
      <c r="AQ572" s="347"/>
      <c r="AR572" s="347"/>
      <c r="AS572" s="347"/>
      <c r="AT572" s="347"/>
      <c r="AU572" s="347"/>
      <c r="AV572" s="347"/>
      <c r="AW572" s="347"/>
      <c r="AX572" s="347"/>
      <c r="AY572" s="347"/>
      <c r="AZ572" s="347"/>
      <c r="BA572" s="347"/>
      <c r="BB572" s="347"/>
      <c r="BC572" s="347"/>
      <c r="BD572" s="347"/>
      <c r="BE572" s="347"/>
      <c r="BF572" s="347"/>
      <c r="BG572" s="347"/>
      <c r="BH572" s="347"/>
    </row>
    <row r="573">
      <c r="A573" s="347"/>
      <c r="B573" s="347"/>
      <c r="C573" s="347"/>
      <c r="D573" s="347"/>
      <c r="E573" s="347"/>
      <c r="F573" s="347"/>
      <c r="G573" s="347"/>
      <c r="H573" s="347"/>
      <c r="I573" s="347"/>
      <c r="J573" s="347"/>
      <c r="K573" s="348"/>
      <c r="L573" s="348"/>
      <c r="M573" s="348"/>
      <c r="N573" s="348"/>
      <c r="O573" s="348"/>
      <c r="P573" s="347"/>
      <c r="Q573" s="347"/>
      <c r="R573" s="347"/>
      <c r="S573" s="347"/>
      <c r="T573" s="347"/>
      <c r="U573" s="347"/>
      <c r="V573" s="347"/>
      <c r="W573" s="347"/>
      <c r="X573" s="347"/>
      <c r="Y573" s="347"/>
      <c r="Z573" s="347"/>
      <c r="AA573" s="604"/>
      <c r="AB573" s="347"/>
      <c r="AC573" s="590"/>
      <c r="AD573" s="347"/>
      <c r="AE573" s="347"/>
      <c r="AF573" s="347"/>
      <c r="AG573" s="347"/>
      <c r="AH573" s="347"/>
      <c r="AI573" s="347"/>
      <c r="AJ573" s="347"/>
      <c r="AK573" s="347"/>
      <c r="AL573" s="347"/>
      <c r="AM573" s="347"/>
      <c r="AN573" s="347"/>
      <c r="AO573" s="347"/>
      <c r="AP573" s="347"/>
      <c r="AQ573" s="347"/>
      <c r="AR573" s="347"/>
      <c r="AS573" s="347"/>
      <c r="AT573" s="347"/>
      <c r="AU573" s="347"/>
      <c r="AV573" s="347"/>
      <c r="AW573" s="347"/>
      <c r="AX573" s="347"/>
      <c r="AY573" s="347"/>
      <c r="AZ573" s="347"/>
      <c r="BA573" s="347"/>
      <c r="BB573" s="347"/>
      <c r="BC573" s="347"/>
      <c r="BD573" s="347"/>
      <c r="BE573" s="347"/>
      <c r="BF573" s="347"/>
      <c r="BG573" s="347"/>
      <c r="BH573" s="347"/>
    </row>
    <row r="574">
      <c r="A574" s="347"/>
      <c r="B574" s="347"/>
      <c r="C574" s="347"/>
      <c r="D574" s="347"/>
      <c r="E574" s="347"/>
      <c r="F574" s="347"/>
      <c r="G574" s="347"/>
      <c r="H574" s="347"/>
      <c r="I574" s="347"/>
      <c r="J574" s="347"/>
      <c r="K574" s="348"/>
      <c r="L574" s="348"/>
      <c r="M574" s="348"/>
      <c r="N574" s="348"/>
      <c r="O574" s="348"/>
      <c r="P574" s="347"/>
      <c r="Q574" s="347"/>
      <c r="R574" s="347"/>
      <c r="S574" s="347"/>
      <c r="T574" s="347"/>
      <c r="U574" s="347"/>
      <c r="V574" s="347"/>
      <c r="W574" s="347"/>
      <c r="X574" s="347"/>
      <c r="Y574" s="347"/>
      <c r="Z574" s="347"/>
      <c r="AA574" s="604"/>
      <c r="AB574" s="347"/>
      <c r="AC574" s="590"/>
      <c r="AD574" s="347"/>
      <c r="AE574" s="347"/>
      <c r="AF574" s="347"/>
      <c r="AG574" s="347"/>
      <c r="AH574" s="347"/>
      <c r="AI574" s="347"/>
      <c r="AJ574" s="347"/>
      <c r="AK574" s="347"/>
      <c r="AL574" s="347"/>
      <c r="AM574" s="347"/>
      <c r="AN574" s="347"/>
      <c r="AO574" s="347"/>
      <c r="AP574" s="347"/>
      <c r="AQ574" s="347"/>
      <c r="AR574" s="347"/>
      <c r="AS574" s="347"/>
      <c r="AT574" s="347"/>
      <c r="AU574" s="347"/>
      <c r="AV574" s="347"/>
      <c r="AW574" s="347"/>
      <c r="AX574" s="347"/>
      <c r="AY574" s="347"/>
      <c r="AZ574" s="347"/>
      <c r="BA574" s="347"/>
      <c r="BB574" s="347"/>
      <c r="BC574" s="347"/>
      <c r="BD574" s="347"/>
      <c r="BE574" s="347"/>
      <c r="BF574" s="347"/>
      <c r="BG574" s="347"/>
      <c r="BH574" s="347"/>
    </row>
    <row r="575">
      <c r="A575" s="347"/>
      <c r="B575" s="347"/>
      <c r="C575" s="347"/>
      <c r="D575" s="347"/>
      <c r="E575" s="347"/>
      <c r="F575" s="347"/>
      <c r="G575" s="347"/>
      <c r="H575" s="347"/>
      <c r="I575" s="347"/>
      <c r="J575" s="347"/>
      <c r="K575" s="348"/>
      <c r="L575" s="348"/>
      <c r="M575" s="348"/>
      <c r="N575" s="348"/>
      <c r="O575" s="348"/>
      <c r="P575" s="347"/>
      <c r="Q575" s="347"/>
      <c r="R575" s="347"/>
      <c r="S575" s="347"/>
      <c r="T575" s="347"/>
      <c r="U575" s="347"/>
      <c r="V575" s="347"/>
      <c r="W575" s="347"/>
      <c r="X575" s="347"/>
      <c r="Y575" s="347"/>
      <c r="Z575" s="347"/>
      <c r="AA575" s="604"/>
      <c r="AB575" s="347"/>
      <c r="AC575" s="590"/>
      <c r="AD575" s="347"/>
      <c r="AE575" s="347"/>
      <c r="AF575" s="347"/>
      <c r="AG575" s="347"/>
      <c r="AH575" s="347"/>
      <c r="AI575" s="347"/>
      <c r="AJ575" s="347"/>
      <c r="AK575" s="347"/>
      <c r="AL575" s="347"/>
      <c r="AM575" s="347"/>
      <c r="AN575" s="347"/>
      <c r="AO575" s="347"/>
      <c r="AP575" s="347"/>
      <c r="AQ575" s="347"/>
      <c r="AR575" s="347"/>
      <c r="AS575" s="347"/>
      <c r="AT575" s="347"/>
      <c r="AU575" s="347"/>
      <c r="AV575" s="347"/>
      <c r="AW575" s="347"/>
      <c r="AX575" s="347"/>
      <c r="AY575" s="347"/>
      <c r="AZ575" s="347"/>
      <c r="BA575" s="347"/>
      <c r="BB575" s="347"/>
      <c r="BC575" s="347"/>
      <c r="BD575" s="347"/>
      <c r="BE575" s="347"/>
      <c r="BF575" s="347"/>
      <c r="BG575" s="347"/>
      <c r="BH575" s="347"/>
    </row>
    <row r="576">
      <c r="A576" s="347"/>
      <c r="B576" s="347"/>
      <c r="C576" s="347"/>
      <c r="D576" s="347"/>
      <c r="E576" s="347"/>
      <c r="F576" s="347"/>
      <c r="G576" s="347"/>
      <c r="H576" s="347"/>
      <c r="I576" s="347"/>
      <c r="J576" s="347"/>
      <c r="K576" s="348"/>
      <c r="L576" s="348"/>
      <c r="M576" s="348"/>
      <c r="N576" s="348"/>
      <c r="O576" s="348"/>
      <c r="P576" s="347"/>
      <c r="Q576" s="347"/>
      <c r="R576" s="347"/>
      <c r="S576" s="347"/>
      <c r="T576" s="347"/>
      <c r="U576" s="347"/>
      <c r="V576" s="347"/>
      <c r="W576" s="347"/>
      <c r="X576" s="347"/>
      <c r="Y576" s="347"/>
      <c r="Z576" s="347"/>
      <c r="AA576" s="604"/>
      <c r="AB576" s="347"/>
      <c r="AC576" s="590"/>
      <c r="AD576" s="347"/>
      <c r="AE576" s="347"/>
      <c r="AF576" s="347"/>
      <c r="AG576" s="347"/>
      <c r="AH576" s="347"/>
      <c r="AI576" s="347"/>
      <c r="AJ576" s="347"/>
      <c r="AK576" s="347"/>
      <c r="AL576" s="347"/>
      <c r="AM576" s="347"/>
      <c r="AN576" s="347"/>
      <c r="AO576" s="347"/>
      <c r="AP576" s="347"/>
      <c r="AQ576" s="347"/>
      <c r="AR576" s="347"/>
      <c r="AS576" s="347"/>
      <c r="AT576" s="347"/>
      <c r="AU576" s="347"/>
      <c r="AV576" s="347"/>
      <c r="AW576" s="347"/>
      <c r="AX576" s="347"/>
      <c r="AY576" s="347"/>
      <c r="AZ576" s="347"/>
      <c r="BA576" s="347"/>
      <c r="BB576" s="347"/>
      <c r="BC576" s="347"/>
      <c r="BD576" s="347"/>
      <c r="BE576" s="347"/>
      <c r="BF576" s="347"/>
      <c r="BG576" s="347"/>
      <c r="BH576" s="347"/>
    </row>
    <row r="577">
      <c r="A577" s="347"/>
      <c r="B577" s="347"/>
      <c r="C577" s="347"/>
      <c r="D577" s="347"/>
      <c r="E577" s="347"/>
      <c r="F577" s="347"/>
      <c r="G577" s="347"/>
      <c r="H577" s="347"/>
      <c r="I577" s="347"/>
      <c r="J577" s="347"/>
      <c r="K577" s="348"/>
      <c r="L577" s="348"/>
      <c r="M577" s="348"/>
      <c r="N577" s="348"/>
      <c r="O577" s="348"/>
      <c r="P577" s="347"/>
      <c r="Q577" s="347"/>
      <c r="R577" s="347"/>
      <c r="S577" s="347"/>
      <c r="T577" s="347"/>
      <c r="U577" s="347"/>
      <c r="V577" s="347"/>
      <c r="W577" s="347"/>
      <c r="X577" s="347"/>
      <c r="Y577" s="347"/>
      <c r="Z577" s="347"/>
      <c r="AA577" s="604"/>
      <c r="AB577" s="347"/>
      <c r="AC577" s="590"/>
      <c r="AD577" s="347"/>
      <c r="AE577" s="347"/>
      <c r="AF577" s="347"/>
      <c r="AG577" s="347"/>
      <c r="AH577" s="347"/>
      <c r="AI577" s="347"/>
      <c r="AJ577" s="347"/>
      <c r="AK577" s="347"/>
      <c r="AL577" s="347"/>
      <c r="AM577" s="347"/>
      <c r="AN577" s="347"/>
      <c r="AO577" s="347"/>
      <c r="AP577" s="347"/>
      <c r="AQ577" s="347"/>
      <c r="AR577" s="347"/>
      <c r="AS577" s="347"/>
      <c r="AT577" s="347"/>
      <c r="AU577" s="347"/>
      <c r="AV577" s="347"/>
      <c r="AW577" s="347"/>
      <c r="AX577" s="347"/>
      <c r="AY577" s="347"/>
      <c r="AZ577" s="347"/>
      <c r="BA577" s="347"/>
      <c r="BB577" s="347"/>
      <c r="BC577" s="347"/>
      <c r="BD577" s="347"/>
      <c r="BE577" s="347"/>
      <c r="BF577" s="347"/>
      <c r="BG577" s="347"/>
      <c r="BH577" s="347"/>
    </row>
    <row r="578">
      <c r="A578" s="347"/>
      <c r="B578" s="347"/>
      <c r="C578" s="347"/>
      <c r="D578" s="347"/>
      <c r="E578" s="347"/>
      <c r="F578" s="347"/>
      <c r="G578" s="347"/>
      <c r="H578" s="347"/>
      <c r="I578" s="347"/>
      <c r="J578" s="347"/>
      <c r="K578" s="348"/>
      <c r="L578" s="348"/>
      <c r="M578" s="348"/>
      <c r="N578" s="348"/>
      <c r="O578" s="348"/>
      <c r="P578" s="347"/>
      <c r="Q578" s="347"/>
      <c r="R578" s="347"/>
      <c r="S578" s="347"/>
      <c r="T578" s="347"/>
      <c r="U578" s="347"/>
      <c r="V578" s="347"/>
      <c r="W578" s="347"/>
      <c r="X578" s="347"/>
      <c r="Y578" s="347"/>
      <c r="Z578" s="347"/>
      <c r="AA578" s="604"/>
      <c r="AB578" s="347"/>
      <c r="AC578" s="590"/>
      <c r="AD578" s="347"/>
      <c r="AE578" s="347"/>
      <c r="AF578" s="347"/>
      <c r="AG578" s="347"/>
      <c r="AH578" s="347"/>
      <c r="AI578" s="347"/>
      <c r="AJ578" s="347"/>
      <c r="AK578" s="347"/>
      <c r="AL578" s="347"/>
      <c r="AM578" s="347"/>
      <c r="AN578" s="347"/>
      <c r="AO578" s="347"/>
      <c r="AP578" s="347"/>
      <c r="AQ578" s="347"/>
      <c r="AR578" s="347"/>
      <c r="AS578" s="347"/>
      <c r="AT578" s="347"/>
      <c r="AU578" s="347"/>
      <c r="AV578" s="347"/>
      <c r="AW578" s="347"/>
      <c r="AX578" s="347"/>
      <c r="AY578" s="347"/>
      <c r="AZ578" s="347"/>
      <c r="BA578" s="347"/>
      <c r="BB578" s="347"/>
      <c r="BC578" s="347"/>
      <c r="BD578" s="347"/>
      <c r="BE578" s="347"/>
      <c r="BF578" s="347"/>
      <c r="BG578" s="347"/>
      <c r="BH578" s="347"/>
    </row>
    <row r="579">
      <c r="A579" s="347"/>
      <c r="B579" s="347"/>
      <c r="C579" s="347"/>
      <c r="D579" s="347"/>
      <c r="E579" s="347"/>
      <c r="F579" s="347"/>
      <c r="G579" s="347"/>
      <c r="H579" s="347"/>
      <c r="I579" s="347"/>
      <c r="J579" s="347"/>
      <c r="K579" s="348"/>
      <c r="L579" s="348"/>
      <c r="M579" s="348"/>
      <c r="N579" s="348"/>
      <c r="O579" s="348"/>
      <c r="P579" s="347"/>
      <c r="Q579" s="347"/>
      <c r="R579" s="347"/>
      <c r="S579" s="347"/>
      <c r="T579" s="347"/>
      <c r="U579" s="347"/>
      <c r="V579" s="347"/>
      <c r="W579" s="347"/>
      <c r="X579" s="347"/>
      <c r="Y579" s="347"/>
      <c r="Z579" s="347"/>
      <c r="AA579" s="604"/>
      <c r="AB579" s="347"/>
      <c r="AC579" s="590"/>
      <c r="AD579" s="347"/>
      <c r="AE579" s="347"/>
      <c r="AF579" s="347"/>
      <c r="AG579" s="347"/>
      <c r="AH579" s="347"/>
      <c r="AI579" s="347"/>
      <c r="AJ579" s="347"/>
      <c r="AK579" s="347"/>
      <c r="AL579" s="347"/>
      <c r="AM579" s="347"/>
      <c r="AN579" s="347"/>
      <c r="AO579" s="347"/>
      <c r="AP579" s="347"/>
      <c r="AQ579" s="347"/>
      <c r="AR579" s="347"/>
      <c r="AS579" s="347"/>
      <c r="AT579" s="347"/>
      <c r="AU579" s="347"/>
      <c r="AV579" s="347"/>
      <c r="AW579" s="347"/>
      <c r="AX579" s="347"/>
      <c r="AY579" s="347"/>
      <c r="AZ579" s="347"/>
      <c r="BA579" s="347"/>
      <c r="BB579" s="347"/>
      <c r="BC579" s="347"/>
      <c r="BD579" s="347"/>
      <c r="BE579" s="347"/>
      <c r="BF579" s="347"/>
      <c r="BG579" s="347"/>
      <c r="BH579" s="347"/>
    </row>
    <row r="580">
      <c r="A580" s="347"/>
      <c r="B580" s="347"/>
      <c r="C580" s="347"/>
      <c r="D580" s="347"/>
      <c r="E580" s="347"/>
      <c r="F580" s="347"/>
      <c r="G580" s="347"/>
      <c r="H580" s="347"/>
      <c r="I580" s="347"/>
      <c r="J580" s="347"/>
      <c r="K580" s="348"/>
      <c r="L580" s="348"/>
      <c r="M580" s="348"/>
      <c r="N580" s="348"/>
      <c r="O580" s="348"/>
      <c r="P580" s="347"/>
      <c r="Q580" s="347"/>
      <c r="R580" s="347"/>
      <c r="S580" s="347"/>
      <c r="T580" s="347"/>
      <c r="U580" s="347"/>
      <c r="V580" s="347"/>
      <c r="W580" s="347"/>
      <c r="X580" s="347"/>
      <c r="Y580" s="347"/>
      <c r="Z580" s="347"/>
      <c r="AA580" s="604"/>
      <c r="AB580" s="347"/>
      <c r="AC580" s="590"/>
      <c r="AD580" s="347"/>
      <c r="AE580" s="347"/>
      <c r="AF580" s="347"/>
      <c r="AG580" s="347"/>
      <c r="AH580" s="347"/>
      <c r="AI580" s="347"/>
      <c r="AJ580" s="347"/>
      <c r="AK580" s="347"/>
      <c r="AL580" s="347"/>
      <c r="AM580" s="347"/>
      <c r="AN580" s="347"/>
      <c r="AO580" s="347"/>
      <c r="AP580" s="347"/>
      <c r="AQ580" s="347"/>
      <c r="AR580" s="347"/>
      <c r="AS580" s="347"/>
      <c r="AT580" s="347"/>
      <c r="AU580" s="347"/>
      <c r="AV580" s="347"/>
      <c r="AW580" s="347"/>
      <c r="AX580" s="347"/>
      <c r="AY580" s="347"/>
      <c r="AZ580" s="347"/>
      <c r="BA580" s="347"/>
      <c r="BB580" s="347"/>
      <c r="BC580" s="347"/>
      <c r="BD580" s="347"/>
      <c r="BE580" s="347"/>
      <c r="BF580" s="347"/>
      <c r="BG580" s="347"/>
      <c r="BH580" s="347"/>
    </row>
    <row r="581">
      <c r="A581" s="347"/>
      <c r="B581" s="347"/>
      <c r="C581" s="347"/>
      <c r="D581" s="347"/>
      <c r="E581" s="347"/>
      <c r="F581" s="347"/>
      <c r="G581" s="347"/>
      <c r="H581" s="347"/>
      <c r="I581" s="347"/>
      <c r="J581" s="347"/>
      <c r="K581" s="348"/>
      <c r="L581" s="348"/>
      <c r="M581" s="348"/>
      <c r="N581" s="348"/>
      <c r="O581" s="348"/>
      <c r="P581" s="347"/>
      <c r="Q581" s="347"/>
      <c r="R581" s="347"/>
      <c r="S581" s="347"/>
      <c r="T581" s="347"/>
      <c r="U581" s="347"/>
      <c r="V581" s="347"/>
      <c r="W581" s="347"/>
      <c r="X581" s="347"/>
      <c r="Y581" s="347"/>
      <c r="Z581" s="347"/>
      <c r="AA581" s="604"/>
      <c r="AB581" s="347"/>
      <c r="AC581" s="590"/>
      <c r="AD581" s="347"/>
      <c r="AE581" s="347"/>
      <c r="AF581" s="347"/>
      <c r="AG581" s="347"/>
      <c r="AH581" s="347"/>
      <c r="AI581" s="347"/>
      <c r="AJ581" s="347"/>
      <c r="AK581" s="347"/>
      <c r="AL581" s="347"/>
      <c r="AM581" s="347"/>
      <c r="AN581" s="347"/>
      <c r="AO581" s="347"/>
      <c r="AP581" s="347"/>
      <c r="AQ581" s="347"/>
      <c r="AR581" s="347"/>
      <c r="AS581" s="347"/>
      <c r="AT581" s="347"/>
      <c r="AU581" s="347"/>
      <c r="AV581" s="347"/>
      <c r="AW581" s="347"/>
      <c r="AX581" s="347"/>
      <c r="AY581" s="347"/>
      <c r="AZ581" s="347"/>
      <c r="BA581" s="347"/>
      <c r="BB581" s="347"/>
      <c r="BC581" s="347"/>
      <c r="BD581" s="347"/>
      <c r="BE581" s="347"/>
      <c r="BF581" s="347"/>
      <c r="BG581" s="347"/>
      <c r="BH581" s="347"/>
    </row>
    <row r="582">
      <c r="A582" s="347"/>
      <c r="B582" s="347"/>
      <c r="C582" s="347"/>
      <c r="D582" s="347"/>
      <c r="E582" s="347"/>
      <c r="F582" s="347"/>
      <c r="G582" s="347"/>
      <c r="H582" s="347"/>
      <c r="I582" s="347"/>
      <c r="J582" s="347"/>
      <c r="K582" s="348"/>
      <c r="L582" s="348"/>
      <c r="M582" s="348"/>
      <c r="N582" s="348"/>
      <c r="O582" s="348"/>
      <c r="P582" s="347"/>
      <c r="Q582" s="347"/>
      <c r="R582" s="347"/>
      <c r="S582" s="347"/>
      <c r="T582" s="347"/>
      <c r="U582" s="347"/>
      <c r="V582" s="347"/>
      <c r="W582" s="347"/>
      <c r="X582" s="347"/>
      <c r="Y582" s="347"/>
      <c r="Z582" s="347"/>
      <c r="AA582" s="604"/>
      <c r="AB582" s="347"/>
      <c r="AC582" s="590"/>
      <c r="AD582" s="347"/>
      <c r="AE582" s="347"/>
      <c r="AF582" s="347"/>
      <c r="AG582" s="347"/>
      <c r="AH582" s="347"/>
      <c r="AI582" s="347"/>
      <c r="AJ582" s="347"/>
      <c r="AK582" s="347"/>
      <c r="AL582" s="347"/>
      <c r="AM582" s="347"/>
      <c r="AN582" s="347"/>
      <c r="AO582" s="347"/>
      <c r="AP582" s="347"/>
      <c r="AQ582" s="347"/>
      <c r="AR582" s="347"/>
      <c r="AS582" s="347"/>
      <c r="AT582" s="347"/>
      <c r="AU582" s="347"/>
      <c r="AV582" s="347"/>
      <c r="AW582" s="347"/>
      <c r="AX582" s="347"/>
      <c r="AY582" s="347"/>
      <c r="AZ582" s="347"/>
      <c r="BA582" s="347"/>
      <c r="BB582" s="347"/>
      <c r="BC582" s="347"/>
      <c r="BD582" s="347"/>
      <c r="BE582" s="347"/>
      <c r="BF582" s="347"/>
      <c r="BG582" s="347"/>
      <c r="BH582" s="347"/>
    </row>
    <row r="583">
      <c r="A583" s="347"/>
      <c r="B583" s="347"/>
      <c r="C583" s="347"/>
      <c r="D583" s="347"/>
      <c r="E583" s="347"/>
      <c r="F583" s="347"/>
      <c r="G583" s="347"/>
      <c r="H583" s="347"/>
      <c r="I583" s="347"/>
      <c r="J583" s="347"/>
      <c r="K583" s="348"/>
      <c r="L583" s="348"/>
      <c r="M583" s="348"/>
      <c r="N583" s="348"/>
      <c r="O583" s="348"/>
      <c r="P583" s="347"/>
      <c r="Q583" s="347"/>
      <c r="R583" s="347"/>
      <c r="S583" s="347"/>
      <c r="T583" s="347"/>
      <c r="U583" s="347"/>
      <c r="V583" s="347"/>
      <c r="W583" s="347"/>
      <c r="X583" s="347"/>
      <c r="Y583" s="347"/>
      <c r="Z583" s="347"/>
      <c r="AA583" s="604"/>
      <c r="AB583" s="347"/>
      <c r="AC583" s="590"/>
      <c r="AD583" s="347"/>
      <c r="AE583" s="347"/>
      <c r="AF583" s="347"/>
      <c r="AG583" s="347"/>
      <c r="AH583" s="347"/>
      <c r="AI583" s="347"/>
      <c r="AJ583" s="347"/>
      <c r="AK583" s="347"/>
      <c r="AL583" s="347"/>
      <c r="AM583" s="347"/>
      <c r="AN583" s="347"/>
      <c r="AO583" s="347"/>
      <c r="AP583" s="347"/>
      <c r="AQ583" s="347"/>
      <c r="AR583" s="347"/>
      <c r="AS583" s="347"/>
      <c r="AT583" s="347"/>
      <c r="AU583" s="347"/>
      <c r="AV583" s="347"/>
      <c r="AW583" s="347"/>
      <c r="AX583" s="347"/>
      <c r="AY583" s="347"/>
      <c r="AZ583" s="347"/>
      <c r="BA583" s="347"/>
      <c r="BB583" s="347"/>
      <c r="BC583" s="347"/>
      <c r="BD583" s="347"/>
      <c r="BE583" s="347"/>
      <c r="BF583" s="347"/>
      <c r="BG583" s="347"/>
      <c r="BH583" s="347"/>
    </row>
    <row r="584">
      <c r="A584" s="347"/>
      <c r="B584" s="347"/>
      <c r="C584" s="347"/>
      <c r="D584" s="347"/>
      <c r="E584" s="347"/>
      <c r="F584" s="347"/>
      <c r="G584" s="347"/>
      <c r="H584" s="347"/>
      <c r="I584" s="347"/>
      <c r="J584" s="347"/>
      <c r="K584" s="348"/>
      <c r="L584" s="348"/>
      <c r="M584" s="348"/>
      <c r="N584" s="348"/>
      <c r="O584" s="348"/>
      <c r="P584" s="347"/>
      <c r="Q584" s="347"/>
      <c r="R584" s="347"/>
      <c r="S584" s="347"/>
      <c r="T584" s="347"/>
      <c r="U584" s="347"/>
      <c r="V584" s="347"/>
      <c r="W584" s="347"/>
      <c r="X584" s="347"/>
      <c r="Y584" s="347"/>
      <c r="Z584" s="347"/>
      <c r="AA584" s="604"/>
      <c r="AB584" s="347"/>
      <c r="AC584" s="590"/>
      <c r="AD584" s="347"/>
      <c r="AE584" s="347"/>
      <c r="AF584" s="347"/>
      <c r="AG584" s="347"/>
      <c r="AH584" s="347"/>
      <c r="AI584" s="347"/>
      <c r="AJ584" s="347"/>
      <c r="AK584" s="347"/>
      <c r="AL584" s="347"/>
      <c r="AM584" s="347"/>
      <c r="AN584" s="347"/>
      <c r="AO584" s="347"/>
      <c r="AP584" s="347"/>
      <c r="AQ584" s="347"/>
      <c r="AR584" s="347"/>
      <c r="AS584" s="347"/>
      <c r="AT584" s="347"/>
      <c r="AU584" s="347"/>
      <c r="AV584" s="347"/>
      <c r="AW584" s="347"/>
      <c r="AX584" s="347"/>
      <c r="AY584" s="347"/>
      <c r="AZ584" s="347"/>
      <c r="BA584" s="347"/>
      <c r="BB584" s="347"/>
      <c r="BC584" s="347"/>
      <c r="BD584" s="347"/>
      <c r="BE584" s="347"/>
      <c r="BF584" s="347"/>
      <c r="BG584" s="347"/>
      <c r="BH584" s="347"/>
    </row>
    <row r="585">
      <c r="A585" s="347"/>
      <c r="B585" s="347"/>
      <c r="C585" s="347"/>
      <c r="D585" s="347"/>
      <c r="E585" s="347"/>
      <c r="F585" s="347"/>
      <c r="G585" s="347"/>
      <c r="H585" s="347"/>
      <c r="I585" s="347"/>
      <c r="J585" s="347"/>
      <c r="K585" s="348"/>
      <c r="L585" s="348"/>
      <c r="M585" s="348"/>
      <c r="N585" s="348"/>
      <c r="O585" s="348"/>
      <c r="P585" s="347"/>
      <c r="Q585" s="347"/>
      <c r="R585" s="347"/>
      <c r="S585" s="347"/>
      <c r="T585" s="347"/>
      <c r="U585" s="347"/>
      <c r="V585" s="347"/>
      <c r="W585" s="347"/>
      <c r="X585" s="347"/>
      <c r="Y585" s="347"/>
      <c r="Z585" s="347"/>
      <c r="AA585" s="604"/>
      <c r="AB585" s="347"/>
      <c r="AC585" s="590"/>
      <c r="AD585" s="347"/>
      <c r="AE585" s="347"/>
      <c r="AF585" s="347"/>
      <c r="AG585" s="347"/>
      <c r="AH585" s="347"/>
      <c r="AI585" s="347"/>
      <c r="AJ585" s="347"/>
      <c r="AK585" s="347"/>
      <c r="AL585" s="347"/>
      <c r="AM585" s="347"/>
      <c r="AN585" s="347"/>
      <c r="AO585" s="347"/>
      <c r="AP585" s="347"/>
      <c r="AQ585" s="347"/>
      <c r="AR585" s="347"/>
      <c r="AS585" s="347"/>
      <c r="AT585" s="347"/>
      <c r="AU585" s="347"/>
      <c r="AV585" s="347"/>
      <c r="AW585" s="347"/>
      <c r="AX585" s="347"/>
      <c r="AY585" s="347"/>
      <c r="AZ585" s="347"/>
      <c r="BA585" s="347"/>
      <c r="BB585" s="347"/>
      <c r="BC585" s="347"/>
      <c r="BD585" s="347"/>
      <c r="BE585" s="347"/>
      <c r="BF585" s="347"/>
      <c r="BG585" s="347"/>
      <c r="BH585" s="347"/>
    </row>
    <row r="586">
      <c r="A586" s="347"/>
      <c r="B586" s="347"/>
      <c r="C586" s="347"/>
      <c r="D586" s="347"/>
      <c r="E586" s="347"/>
      <c r="F586" s="347"/>
      <c r="G586" s="347"/>
      <c r="H586" s="347"/>
      <c r="I586" s="347"/>
      <c r="J586" s="347"/>
      <c r="K586" s="348"/>
      <c r="L586" s="348"/>
      <c r="M586" s="348"/>
      <c r="N586" s="348"/>
      <c r="O586" s="348"/>
      <c r="P586" s="347"/>
      <c r="Q586" s="347"/>
      <c r="R586" s="347"/>
      <c r="S586" s="347"/>
      <c r="T586" s="347"/>
      <c r="U586" s="347"/>
      <c r="V586" s="347"/>
      <c r="W586" s="347"/>
      <c r="X586" s="347"/>
      <c r="Y586" s="347"/>
      <c r="Z586" s="347"/>
      <c r="AA586" s="604"/>
      <c r="AB586" s="347"/>
      <c r="AC586" s="590"/>
      <c r="AD586" s="347"/>
      <c r="AE586" s="347"/>
      <c r="AF586" s="347"/>
      <c r="AG586" s="347"/>
      <c r="AH586" s="347"/>
      <c r="AI586" s="347"/>
      <c r="AJ586" s="347"/>
      <c r="AK586" s="347"/>
      <c r="AL586" s="347"/>
      <c r="AM586" s="347"/>
      <c r="AN586" s="347"/>
      <c r="AO586" s="347"/>
      <c r="AP586" s="347"/>
      <c r="AQ586" s="347"/>
      <c r="AR586" s="347"/>
      <c r="AS586" s="347"/>
      <c r="AT586" s="347"/>
      <c r="AU586" s="347"/>
      <c r="AV586" s="347"/>
      <c r="AW586" s="347"/>
      <c r="AX586" s="347"/>
      <c r="AY586" s="347"/>
      <c r="AZ586" s="347"/>
      <c r="BA586" s="347"/>
      <c r="BB586" s="347"/>
      <c r="BC586" s="347"/>
      <c r="BD586" s="347"/>
      <c r="BE586" s="347"/>
      <c r="BF586" s="347"/>
      <c r="BG586" s="347"/>
      <c r="BH586" s="347"/>
    </row>
    <row r="587">
      <c r="A587" s="347"/>
      <c r="B587" s="347"/>
      <c r="C587" s="347"/>
      <c r="D587" s="347"/>
      <c r="E587" s="347"/>
      <c r="F587" s="347"/>
      <c r="G587" s="347"/>
      <c r="H587" s="347"/>
      <c r="I587" s="347"/>
      <c r="J587" s="347"/>
      <c r="K587" s="348"/>
      <c r="L587" s="348"/>
      <c r="M587" s="348"/>
      <c r="N587" s="348"/>
      <c r="O587" s="348"/>
      <c r="P587" s="347"/>
      <c r="Q587" s="347"/>
      <c r="R587" s="347"/>
      <c r="S587" s="347"/>
      <c r="T587" s="347"/>
      <c r="U587" s="347"/>
      <c r="V587" s="347"/>
      <c r="W587" s="347"/>
      <c r="X587" s="347"/>
      <c r="Y587" s="347"/>
      <c r="Z587" s="347"/>
      <c r="AA587" s="604"/>
      <c r="AB587" s="347"/>
      <c r="AC587" s="590"/>
      <c r="AD587" s="347"/>
      <c r="AE587" s="347"/>
      <c r="AF587" s="347"/>
      <c r="AG587" s="347"/>
      <c r="AH587" s="347"/>
      <c r="AI587" s="347"/>
      <c r="AJ587" s="347"/>
      <c r="AK587" s="347"/>
      <c r="AL587" s="347"/>
      <c r="AM587" s="347"/>
      <c r="AN587" s="347"/>
      <c r="AO587" s="347"/>
      <c r="AP587" s="347"/>
      <c r="AQ587" s="347"/>
      <c r="AR587" s="347"/>
      <c r="AS587" s="347"/>
      <c r="AT587" s="347"/>
      <c r="AU587" s="347"/>
      <c r="AV587" s="347"/>
      <c r="AW587" s="347"/>
      <c r="AX587" s="347"/>
      <c r="AY587" s="347"/>
      <c r="AZ587" s="347"/>
      <c r="BA587" s="347"/>
      <c r="BB587" s="347"/>
      <c r="BC587" s="347"/>
      <c r="BD587" s="347"/>
      <c r="BE587" s="347"/>
      <c r="BF587" s="347"/>
      <c r="BG587" s="347"/>
      <c r="BH587" s="347"/>
    </row>
    <row r="588">
      <c r="A588" s="347"/>
      <c r="B588" s="347"/>
      <c r="C588" s="347"/>
      <c r="D588" s="347"/>
      <c r="E588" s="347"/>
      <c r="F588" s="347"/>
      <c r="G588" s="347"/>
      <c r="H588" s="347"/>
      <c r="I588" s="347"/>
      <c r="J588" s="347"/>
      <c r="K588" s="348"/>
      <c r="L588" s="348"/>
      <c r="M588" s="348"/>
      <c r="N588" s="348"/>
      <c r="O588" s="348"/>
      <c r="P588" s="347"/>
      <c r="Q588" s="347"/>
      <c r="R588" s="347"/>
      <c r="S588" s="347"/>
      <c r="T588" s="347"/>
      <c r="U588" s="347"/>
      <c r="V588" s="347"/>
      <c r="W588" s="347"/>
      <c r="X588" s="347"/>
      <c r="Y588" s="347"/>
      <c r="Z588" s="347"/>
      <c r="AA588" s="604"/>
      <c r="AB588" s="347"/>
      <c r="AC588" s="590"/>
      <c r="AD588" s="347"/>
      <c r="AE588" s="347"/>
      <c r="AF588" s="347"/>
      <c r="AG588" s="347"/>
      <c r="AH588" s="347"/>
      <c r="AI588" s="347"/>
      <c r="AJ588" s="347"/>
      <c r="AK588" s="347"/>
      <c r="AL588" s="347"/>
      <c r="AM588" s="347"/>
      <c r="AN588" s="347"/>
      <c r="AO588" s="347"/>
      <c r="AP588" s="347"/>
      <c r="AQ588" s="347"/>
      <c r="AR588" s="347"/>
      <c r="AS588" s="347"/>
      <c r="AT588" s="347"/>
      <c r="AU588" s="347"/>
      <c r="AV588" s="347"/>
      <c r="AW588" s="347"/>
      <c r="AX588" s="347"/>
      <c r="AY588" s="347"/>
      <c r="AZ588" s="347"/>
      <c r="BA588" s="347"/>
      <c r="BB588" s="347"/>
      <c r="BC588" s="347"/>
      <c r="BD588" s="347"/>
      <c r="BE588" s="347"/>
      <c r="BF588" s="347"/>
      <c r="BG588" s="347"/>
      <c r="BH588" s="347"/>
    </row>
    <row r="589">
      <c r="A589" s="347"/>
      <c r="B589" s="347"/>
      <c r="C589" s="347"/>
      <c r="D589" s="347"/>
      <c r="E589" s="347"/>
      <c r="F589" s="347"/>
      <c r="G589" s="347"/>
      <c r="H589" s="347"/>
      <c r="I589" s="347"/>
      <c r="J589" s="347"/>
      <c r="K589" s="348"/>
      <c r="L589" s="348"/>
      <c r="M589" s="348"/>
      <c r="N589" s="348"/>
      <c r="O589" s="348"/>
      <c r="P589" s="347"/>
      <c r="Q589" s="347"/>
      <c r="R589" s="347"/>
      <c r="S589" s="347"/>
      <c r="T589" s="347"/>
      <c r="U589" s="347"/>
      <c r="V589" s="347"/>
      <c r="W589" s="347"/>
      <c r="X589" s="347"/>
      <c r="Y589" s="347"/>
      <c r="Z589" s="347"/>
      <c r="AA589" s="604"/>
      <c r="AB589" s="347"/>
      <c r="AC589" s="590"/>
      <c r="AD589" s="347"/>
      <c r="AE589" s="347"/>
      <c r="AF589" s="347"/>
      <c r="AG589" s="347"/>
      <c r="AH589" s="347"/>
      <c r="AI589" s="347"/>
      <c r="AJ589" s="347"/>
      <c r="AK589" s="347"/>
      <c r="AL589" s="347"/>
      <c r="AM589" s="347"/>
      <c r="AN589" s="347"/>
      <c r="AO589" s="347"/>
      <c r="AP589" s="347"/>
      <c r="AQ589" s="347"/>
      <c r="AR589" s="347"/>
      <c r="AS589" s="347"/>
      <c r="AT589" s="347"/>
      <c r="AU589" s="347"/>
      <c r="AV589" s="347"/>
      <c r="AW589" s="347"/>
      <c r="AX589" s="347"/>
      <c r="AY589" s="347"/>
      <c r="AZ589" s="347"/>
      <c r="BA589" s="347"/>
      <c r="BB589" s="347"/>
      <c r="BC589" s="347"/>
      <c r="BD589" s="347"/>
      <c r="BE589" s="347"/>
      <c r="BF589" s="347"/>
      <c r="BG589" s="347"/>
      <c r="BH589" s="347"/>
    </row>
    <row r="590">
      <c r="A590" s="347"/>
      <c r="B590" s="347"/>
      <c r="C590" s="347"/>
      <c r="D590" s="347"/>
      <c r="E590" s="347"/>
      <c r="F590" s="347"/>
      <c r="G590" s="347"/>
      <c r="H590" s="347"/>
      <c r="I590" s="347"/>
      <c r="J590" s="347"/>
      <c r="K590" s="348"/>
      <c r="L590" s="348"/>
      <c r="M590" s="348"/>
      <c r="N590" s="348"/>
      <c r="O590" s="348"/>
      <c r="P590" s="347"/>
      <c r="Q590" s="347"/>
      <c r="R590" s="347"/>
      <c r="S590" s="347"/>
      <c r="T590" s="347"/>
      <c r="U590" s="347"/>
      <c r="V590" s="347"/>
      <c r="W590" s="347"/>
      <c r="X590" s="347"/>
      <c r="Y590" s="347"/>
      <c r="Z590" s="347"/>
      <c r="AA590" s="604"/>
      <c r="AB590" s="347"/>
      <c r="AC590" s="590"/>
      <c r="AD590" s="347"/>
      <c r="AE590" s="347"/>
      <c r="AF590" s="347"/>
      <c r="AG590" s="347"/>
      <c r="AH590" s="347"/>
      <c r="AI590" s="347"/>
      <c r="AJ590" s="347"/>
      <c r="AK590" s="347"/>
      <c r="AL590" s="347"/>
      <c r="AM590" s="347"/>
      <c r="AN590" s="347"/>
      <c r="AO590" s="347"/>
      <c r="AP590" s="347"/>
      <c r="AQ590" s="347"/>
      <c r="AR590" s="347"/>
      <c r="AS590" s="347"/>
      <c r="AT590" s="347"/>
      <c r="AU590" s="347"/>
      <c r="AV590" s="347"/>
      <c r="AW590" s="347"/>
      <c r="AX590" s="347"/>
      <c r="AY590" s="347"/>
      <c r="AZ590" s="347"/>
      <c r="BA590" s="347"/>
      <c r="BB590" s="347"/>
      <c r="BC590" s="347"/>
      <c r="BD590" s="347"/>
      <c r="BE590" s="347"/>
      <c r="BF590" s="347"/>
      <c r="BG590" s="347"/>
      <c r="BH590" s="347"/>
    </row>
    <row r="591">
      <c r="A591" s="347"/>
      <c r="B591" s="347"/>
      <c r="C591" s="347"/>
      <c r="D591" s="347"/>
      <c r="E591" s="347"/>
      <c r="F591" s="347"/>
      <c r="G591" s="347"/>
      <c r="H591" s="347"/>
      <c r="I591" s="347"/>
      <c r="J591" s="347"/>
      <c r="K591" s="348"/>
      <c r="L591" s="348"/>
      <c r="M591" s="348"/>
      <c r="N591" s="348"/>
      <c r="O591" s="348"/>
      <c r="P591" s="347"/>
      <c r="Q591" s="347"/>
      <c r="R591" s="347"/>
      <c r="S591" s="347"/>
      <c r="T591" s="347"/>
      <c r="U591" s="347"/>
      <c r="V591" s="347"/>
      <c r="W591" s="347"/>
      <c r="X591" s="347"/>
      <c r="Y591" s="347"/>
      <c r="Z591" s="347"/>
      <c r="AA591" s="604"/>
      <c r="AB591" s="347"/>
      <c r="AC591" s="590"/>
      <c r="AD591" s="347"/>
      <c r="AE591" s="347"/>
      <c r="AF591" s="347"/>
      <c r="AG591" s="347"/>
      <c r="AH591" s="347"/>
      <c r="AI591" s="347"/>
      <c r="AJ591" s="347"/>
      <c r="AK591" s="347"/>
      <c r="AL591" s="347"/>
      <c r="AM591" s="347"/>
      <c r="AN591" s="347"/>
      <c r="AO591" s="347"/>
      <c r="AP591" s="347"/>
      <c r="AQ591" s="347"/>
      <c r="AR591" s="347"/>
      <c r="AS591" s="347"/>
      <c r="AT591" s="347"/>
      <c r="AU591" s="347"/>
      <c r="AV591" s="347"/>
      <c r="AW591" s="347"/>
      <c r="AX591" s="347"/>
      <c r="AY591" s="347"/>
      <c r="AZ591" s="347"/>
      <c r="BA591" s="347"/>
      <c r="BB591" s="347"/>
      <c r="BC591" s="347"/>
      <c r="BD591" s="347"/>
      <c r="BE591" s="347"/>
      <c r="BF591" s="347"/>
      <c r="BG591" s="347"/>
      <c r="BH591" s="347"/>
    </row>
    <row r="592">
      <c r="A592" s="347"/>
      <c r="B592" s="347"/>
      <c r="C592" s="347"/>
      <c r="D592" s="347"/>
      <c r="E592" s="347"/>
      <c r="F592" s="347"/>
      <c r="G592" s="347"/>
      <c r="H592" s="347"/>
      <c r="I592" s="347"/>
      <c r="J592" s="347"/>
      <c r="K592" s="348"/>
      <c r="L592" s="348"/>
      <c r="M592" s="348"/>
      <c r="N592" s="348"/>
      <c r="O592" s="348"/>
      <c r="P592" s="347"/>
      <c r="Q592" s="347"/>
      <c r="R592" s="347"/>
      <c r="S592" s="347"/>
      <c r="T592" s="347"/>
      <c r="U592" s="347"/>
      <c r="V592" s="347"/>
      <c r="W592" s="347"/>
      <c r="X592" s="347"/>
      <c r="Y592" s="347"/>
      <c r="Z592" s="347"/>
      <c r="AA592" s="604"/>
      <c r="AB592" s="347"/>
      <c r="AC592" s="590"/>
      <c r="AD592" s="347"/>
      <c r="AE592" s="347"/>
      <c r="AF592" s="347"/>
      <c r="AG592" s="347"/>
      <c r="AH592" s="347"/>
      <c r="AI592" s="347"/>
      <c r="AJ592" s="347"/>
      <c r="AK592" s="347"/>
      <c r="AL592" s="347"/>
      <c r="AM592" s="347"/>
      <c r="AN592" s="347"/>
      <c r="AO592" s="347"/>
      <c r="AP592" s="347"/>
      <c r="AQ592" s="347"/>
      <c r="AR592" s="347"/>
      <c r="AS592" s="347"/>
      <c r="AT592" s="347"/>
      <c r="AU592" s="347"/>
      <c r="AV592" s="347"/>
      <c r="AW592" s="347"/>
      <c r="AX592" s="347"/>
      <c r="AY592" s="347"/>
      <c r="AZ592" s="347"/>
      <c r="BA592" s="347"/>
      <c r="BB592" s="347"/>
      <c r="BC592" s="347"/>
      <c r="BD592" s="347"/>
      <c r="BE592" s="347"/>
      <c r="BF592" s="347"/>
      <c r="BG592" s="347"/>
      <c r="BH592" s="347"/>
    </row>
    <row r="593">
      <c r="A593" s="347"/>
      <c r="B593" s="347"/>
      <c r="C593" s="347"/>
      <c r="D593" s="347"/>
      <c r="E593" s="347"/>
      <c r="F593" s="347"/>
      <c r="G593" s="347"/>
      <c r="H593" s="347"/>
      <c r="I593" s="347"/>
      <c r="J593" s="347"/>
      <c r="K593" s="348"/>
      <c r="L593" s="348"/>
      <c r="M593" s="348"/>
      <c r="N593" s="348"/>
      <c r="O593" s="348"/>
      <c r="P593" s="347"/>
      <c r="Q593" s="347"/>
      <c r="R593" s="347"/>
      <c r="S593" s="347"/>
      <c r="T593" s="347"/>
      <c r="U593" s="347"/>
      <c r="V593" s="347"/>
      <c r="W593" s="347"/>
      <c r="X593" s="347"/>
      <c r="Y593" s="347"/>
      <c r="Z593" s="347"/>
      <c r="AA593" s="604"/>
      <c r="AB593" s="347"/>
      <c r="AC593" s="590"/>
      <c r="AD593" s="347"/>
      <c r="AE593" s="347"/>
      <c r="AF593" s="347"/>
      <c r="AG593" s="347"/>
      <c r="AH593" s="347"/>
      <c r="AI593" s="347"/>
      <c r="AJ593" s="347"/>
      <c r="AK593" s="347"/>
      <c r="AL593" s="347"/>
      <c r="AM593" s="347"/>
      <c r="AN593" s="347"/>
      <c r="AO593" s="347"/>
      <c r="AP593" s="347"/>
      <c r="AQ593" s="347"/>
      <c r="AR593" s="347"/>
      <c r="AS593" s="347"/>
      <c r="AT593" s="347"/>
      <c r="AU593" s="347"/>
      <c r="AV593" s="347"/>
      <c r="AW593" s="347"/>
      <c r="AX593" s="347"/>
      <c r="AY593" s="347"/>
      <c r="AZ593" s="347"/>
      <c r="BA593" s="347"/>
      <c r="BB593" s="347"/>
      <c r="BC593" s="347"/>
      <c r="BD593" s="347"/>
      <c r="BE593" s="347"/>
      <c r="BF593" s="347"/>
      <c r="BG593" s="347"/>
      <c r="BH593" s="347"/>
    </row>
    <row r="594">
      <c r="A594" s="347"/>
      <c r="B594" s="347"/>
      <c r="C594" s="347"/>
      <c r="D594" s="347"/>
      <c r="E594" s="347"/>
      <c r="F594" s="347"/>
      <c r="G594" s="347"/>
      <c r="H594" s="347"/>
      <c r="I594" s="347"/>
      <c r="J594" s="347"/>
      <c r="K594" s="348"/>
      <c r="L594" s="348"/>
      <c r="M594" s="348"/>
      <c r="N594" s="348"/>
      <c r="O594" s="348"/>
      <c r="P594" s="347"/>
      <c r="Q594" s="347"/>
      <c r="R594" s="347"/>
      <c r="S594" s="347"/>
      <c r="T594" s="347"/>
      <c r="U594" s="347"/>
      <c r="V594" s="347"/>
      <c r="W594" s="347"/>
      <c r="X594" s="347"/>
      <c r="Y594" s="347"/>
      <c r="Z594" s="347"/>
      <c r="AA594" s="604"/>
      <c r="AB594" s="347"/>
      <c r="AC594" s="590"/>
      <c r="AD594" s="347"/>
      <c r="AE594" s="347"/>
      <c r="AF594" s="347"/>
      <c r="AG594" s="347"/>
      <c r="AH594" s="347"/>
      <c r="AI594" s="347"/>
      <c r="AJ594" s="347"/>
      <c r="AK594" s="347"/>
      <c r="AL594" s="347"/>
      <c r="AM594" s="347"/>
      <c r="AN594" s="347"/>
      <c r="AO594" s="347"/>
      <c r="AP594" s="347"/>
      <c r="AQ594" s="347"/>
      <c r="AR594" s="347"/>
      <c r="AS594" s="347"/>
      <c r="AT594" s="347"/>
      <c r="AU594" s="347"/>
      <c r="AV594" s="347"/>
      <c r="AW594" s="347"/>
      <c r="AX594" s="347"/>
      <c r="AY594" s="347"/>
      <c r="AZ594" s="347"/>
      <c r="BA594" s="347"/>
      <c r="BB594" s="347"/>
      <c r="BC594" s="347"/>
      <c r="BD594" s="347"/>
      <c r="BE594" s="347"/>
      <c r="BF594" s="347"/>
      <c r="BG594" s="347"/>
      <c r="BH594" s="347"/>
    </row>
    <row r="595">
      <c r="A595" s="347"/>
      <c r="B595" s="347"/>
      <c r="C595" s="347"/>
      <c r="D595" s="347"/>
      <c r="E595" s="347"/>
      <c r="F595" s="347"/>
      <c r="G595" s="347"/>
      <c r="H595" s="347"/>
      <c r="I595" s="347"/>
      <c r="J595" s="347"/>
      <c r="K595" s="348"/>
      <c r="L595" s="348"/>
      <c r="M595" s="348"/>
      <c r="N595" s="348"/>
      <c r="O595" s="348"/>
      <c r="P595" s="347"/>
      <c r="Q595" s="347"/>
      <c r="R595" s="347"/>
      <c r="S595" s="347"/>
      <c r="T595" s="347"/>
      <c r="U595" s="347"/>
      <c r="V595" s="347"/>
      <c r="W595" s="347"/>
      <c r="X595" s="347"/>
      <c r="Y595" s="347"/>
      <c r="Z595" s="347"/>
      <c r="AA595" s="604"/>
      <c r="AB595" s="347"/>
      <c r="AC595" s="590"/>
      <c r="AD595" s="347"/>
      <c r="AE595" s="347"/>
      <c r="AF595" s="347"/>
      <c r="AG595" s="347"/>
      <c r="AH595" s="347"/>
      <c r="AI595" s="347"/>
      <c r="AJ595" s="347"/>
      <c r="AK595" s="347"/>
      <c r="AL595" s="347"/>
      <c r="AM595" s="347"/>
      <c r="AN595" s="347"/>
      <c r="AO595" s="347"/>
      <c r="AP595" s="347"/>
      <c r="AQ595" s="347"/>
      <c r="AR595" s="347"/>
      <c r="AS595" s="347"/>
      <c r="AT595" s="347"/>
      <c r="AU595" s="347"/>
      <c r="AV595" s="347"/>
      <c r="AW595" s="347"/>
      <c r="AX595" s="347"/>
      <c r="AY595" s="347"/>
      <c r="AZ595" s="347"/>
      <c r="BA595" s="347"/>
      <c r="BB595" s="347"/>
      <c r="BC595" s="347"/>
      <c r="BD595" s="347"/>
      <c r="BE595" s="347"/>
      <c r="BF595" s="347"/>
      <c r="BG595" s="347"/>
      <c r="BH595" s="347"/>
    </row>
    <row r="596">
      <c r="A596" s="347"/>
      <c r="B596" s="347"/>
      <c r="C596" s="347"/>
      <c r="D596" s="347"/>
      <c r="E596" s="347"/>
      <c r="F596" s="347"/>
      <c r="G596" s="347"/>
      <c r="H596" s="347"/>
      <c r="I596" s="347"/>
      <c r="J596" s="347"/>
      <c r="K596" s="348"/>
      <c r="L596" s="348"/>
      <c r="M596" s="348"/>
      <c r="N596" s="348"/>
      <c r="O596" s="348"/>
      <c r="P596" s="347"/>
      <c r="Q596" s="347"/>
      <c r="R596" s="347"/>
      <c r="S596" s="347"/>
      <c r="T596" s="347"/>
      <c r="U596" s="347"/>
      <c r="V596" s="347"/>
      <c r="W596" s="347"/>
      <c r="X596" s="347"/>
      <c r="Y596" s="347"/>
      <c r="Z596" s="347"/>
      <c r="AA596" s="604"/>
      <c r="AB596" s="347"/>
      <c r="AC596" s="590"/>
      <c r="AD596" s="347"/>
      <c r="AE596" s="347"/>
      <c r="AF596" s="347"/>
      <c r="AG596" s="347"/>
      <c r="AH596" s="347"/>
      <c r="AI596" s="347"/>
      <c r="AJ596" s="347"/>
      <c r="AK596" s="347"/>
      <c r="AL596" s="347"/>
      <c r="AM596" s="347"/>
      <c r="AN596" s="347"/>
      <c r="AO596" s="347"/>
      <c r="AP596" s="347"/>
      <c r="AQ596" s="347"/>
      <c r="AR596" s="347"/>
      <c r="AS596" s="347"/>
      <c r="AT596" s="347"/>
      <c r="AU596" s="347"/>
      <c r="AV596" s="347"/>
      <c r="AW596" s="347"/>
      <c r="AX596" s="347"/>
      <c r="AY596" s="347"/>
      <c r="AZ596" s="347"/>
      <c r="BA596" s="347"/>
      <c r="BB596" s="347"/>
      <c r="BC596" s="347"/>
      <c r="BD596" s="347"/>
      <c r="BE596" s="347"/>
      <c r="BF596" s="347"/>
      <c r="BG596" s="347"/>
      <c r="BH596" s="347"/>
    </row>
    <row r="597">
      <c r="A597" s="347"/>
      <c r="B597" s="347"/>
      <c r="C597" s="347"/>
      <c r="D597" s="347"/>
      <c r="E597" s="347"/>
      <c r="F597" s="347"/>
      <c r="G597" s="347"/>
      <c r="H597" s="347"/>
      <c r="I597" s="347"/>
      <c r="J597" s="347"/>
      <c r="K597" s="348"/>
      <c r="L597" s="348"/>
      <c r="M597" s="348"/>
      <c r="N597" s="348"/>
      <c r="O597" s="348"/>
      <c r="P597" s="347"/>
      <c r="Q597" s="347"/>
      <c r="R597" s="347"/>
      <c r="S597" s="347"/>
      <c r="T597" s="347"/>
      <c r="U597" s="347"/>
      <c r="V597" s="347"/>
      <c r="W597" s="347"/>
      <c r="X597" s="347"/>
      <c r="Y597" s="347"/>
      <c r="Z597" s="347"/>
      <c r="AA597" s="604"/>
      <c r="AB597" s="347"/>
      <c r="AC597" s="590"/>
      <c r="AD597" s="347"/>
      <c r="AE597" s="347"/>
      <c r="AF597" s="347"/>
      <c r="AG597" s="347"/>
      <c r="AH597" s="347"/>
      <c r="AI597" s="347"/>
      <c r="AJ597" s="347"/>
      <c r="AK597" s="347"/>
      <c r="AL597" s="347"/>
      <c r="AM597" s="347"/>
      <c r="AN597" s="347"/>
      <c r="AO597" s="347"/>
      <c r="AP597" s="347"/>
      <c r="AQ597" s="347"/>
      <c r="AR597" s="347"/>
      <c r="AS597" s="347"/>
      <c r="AT597" s="347"/>
      <c r="AU597" s="347"/>
      <c r="AV597" s="347"/>
      <c r="AW597" s="347"/>
      <c r="AX597" s="347"/>
      <c r="AY597" s="347"/>
      <c r="AZ597" s="347"/>
      <c r="BA597" s="347"/>
      <c r="BB597" s="347"/>
      <c r="BC597" s="347"/>
      <c r="BD597" s="347"/>
      <c r="BE597" s="347"/>
      <c r="BF597" s="347"/>
      <c r="BG597" s="347"/>
      <c r="BH597" s="347"/>
    </row>
    <row r="598">
      <c r="A598" s="347"/>
      <c r="B598" s="347"/>
      <c r="C598" s="347"/>
      <c r="D598" s="347"/>
      <c r="E598" s="347"/>
      <c r="F598" s="347"/>
      <c r="G598" s="347"/>
      <c r="H598" s="347"/>
      <c r="I598" s="347"/>
      <c r="J598" s="347"/>
      <c r="K598" s="348"/>
      <c r="L598" s="348"/>
      <c r="M598" s="348"/>
      <c r="N598" s="348"/>
      <c r="O598" s="348"/>
      <c r="P598" s="347"/>
      <c r="Q598" s="347"/>
      <c r="R598" s="347"/>
      <c r="S598" s="347"/>
      <c r="T598" s="347"/>
      <c r="U598" s="347"/>
      <c r="V598" s="347"/>
      <c r="W598" s="347"/>
      <c r="X598" s="347"/>
      <c r="Y598" s="347"/>
      <c r="Z598" s="347"/>
      <c r="AA598" s="604"/>
      <c r="AB598" s="347"/>
      <c r="AC598" s="590"/>
      <c r="AD598" s="347"/>
      <c r="AE598" s="347"/>
      <c r="AF598" s="347"/>
      <c r="AG598" s="347"/>
      <c r="AH598" s="347"/>
      <c r="AI598" s="347"/>
      <c r="AJ598" s="347"/>
      <c r="AK598" s="347"/>
      <c r="AL598" s="347"/>
      <c r="AM598" s="347"/>
      <c r="AN598" s="347"/>
      <c r="AO598" s="347"/>
      <c r="AP598" s="347"/>
      <c r="AQ598" s="347"/>
      <c r="AR598" s="347"/>
      <c r="AS598" s="347"/>
      <c r="AT598" s="347"/>
      <c r="AU598" s="347"/>
      <c r="AV598" s="347"/>
      <c r="AW598" s="347"/>
      <c r="AX598" s="347"/>
      <c r="AY598" s="347"/>
      <c r="AZ598" s="347"/>
      <c r="BA598" s="347"/>
      <c r="BB598" s="347"/>
      <c r="BC598" s="347"/>
      <c r="BD598" s="347"/>
      <c r="BE598" s="347"/>
      <c r="BF598" s="347"/>
      <c r="BG598" s="347"/>
      <c r="BH598" s="347"/>
    </row>
    <row r="599">
      <c r="A599" s="347"/>
      <c r="B599" s="347"/>
      <c r="C599" s="347"/>
      <c r="D599" s="347"/>
      <c r="E599" s="347"/>
      <c r="F599" s="347"/>
      <c r="G599" s="347"/>
      <c r="H599" s="347"/>
      <c r="I599" s="347"/>
      <c r="J599" s="347"/>
      <c r="K599" s="348"/>
      <c r="L599" s="348"/>
      <c r="M599" s="348"/>
      <c r="N599" s="348"/>
      <c r="O599" s="348"/>
      <c r="P599" s="347"/>
      <c r="Q599" s="347"/>
      <c r="R599" s="347"/>
      <c r="S599" s="347"/>
      <c r="T599" s="347"/>
      <c r="U599" s="347"/>
      <c r="V599" s="347"/>
      <c r="W599" s="347"/>
      <c r="X599" s="347"/>
      <c r="Y599" s="347"/>
      <c r="Z599" s="347"/>
      <c r="AA599" s="604"/>
      <c r="AB599" s="347"/>
      <c r="AC599" s="590"/>
      <c r="AD599" s="347"/>
      <c r="AE599" s="347"/>
      <c r="AF599" s="347"/>
      <c r="AG599" s="347"/>
      <c r="AH599" s="347"/>
      <c r="AI599" s="347"/>
      <c r="AJ599" s="347"/>
      <c r="AK599" s="347"/>
      <c r="AL599" s="347"/>
      <c r="AM599" s="347"/>
      <c r="AN599" s="347"/>
      <c r="AO599" s="347"/>
      <c r="AP599" s="347"/>
      <c r="AQ599" s="347"/>
      <c r="AR599" s="347"/>
      <c r="AS599" s="347"/>
      <c r="AT599" s="347"/>
      <c r="AU599" s="347"/>
      <c r="AV599" s="347"/>
      <c r="AW599" s="347"/>
      <c r="AX599" s="347"/>
      <c r="AY599" s="347"/>
      <c r="AZ599" s="347"/>
      <c r="BA599" s="347"/>
      <c r="BB599" s="347"/>
      <c r="BC599" s="347"/>
      <c r="BD599" s="347"/>
      <c r="BE599" s="347"/>
      <c r="BF599" s="347"/>
      <c r="BG599" s="347"/>
      <c r="BH599" s="347"/>
    </row>
    <row r="600">
      <c r="A600" s="347"/>
      <c r="B600" s="347"/>
      <c r="C600" s="347"/>
      <c r="D600" s="347"/>
      <c r="E600" s="347"/>
      <c r="F600" s="347"/>
      <c r="G600" s="347"/>
      <c r="H600" s="347"/>
      <c r="I600" s="347"/>
      <c r="J600" s="347"/>
      <c r="K600" s="348"/>
      <c r="L600" s="348"/>
      <c r="M600" s="348"/>
      <c r="N600" s="348"/>
      <c r="O600" s="348"/>
      <c r="P600" s="347"/>
      <c r="Q600" s="347"/>
      <c r="R600" s="347"/>
      <c r="S600" s="347"/>
      <c r="T600" s="347"/>
      <c r="U600" s="347"/>
      <c r="V600" s="347"/>
      <c r="W600" s="347"/>
      <c r="X600" s="347"/>
      <c r="Y600" s="347"/>
      <c r="Z600" s="347"/>
      <c r="AA600" s="604"/>
      <c r="AB600" s="347"/>
      <c r="AC600" s="590"/>
      <c r="AD600" s="347"/>
      <c r="AE600" s="347"/>
      <c r="AF600" s="347"/>
      <c r="AG600" s="347"/>
      <c r="AH600" s="347"/>
      <c r="AI600" s="347"/>
      <c r="AJ600" s="347"/>
      <c r="AK600" s="347"/>
      <c r="AL600" s="347"/>
      <c r="AM600" s="347"/>
      <c r="AN600" s="347"/>
      <c r="AO600" s="347"/>
      <c r="AP600" s="347"/>
      <c r="AQ600" s="347"/>
      <c r="AR600" s="347"/>
      <c r="AS600" s="347"/>
      <c r="AT600" s="347"/>
      <c r="AU600" s="347"/>
      <c r="AV600" s="347"/>
      <c r="AW600" s="347"/>
      <c r="AX600" s="347"/>
      <c r="AY600" s="347"/>
      <c r="AZ600" s="347"/>
      <c r="BA600" s="347"/>
      <c r="BB600" s="347"/>
      <c r="BC600" s="347"/>
      <c r="BD600" s="347"/>
      <c r="BE600" s="347"/>
      <c r="BF600" s="347"/>
      <c r="BG600" s="347"/>
      <c r="BH600" s="347"/>
    </row>
    <row r="601">
      <c r="A601" s="347"/>
      <c r="B601" s="347"/>
      <c r="C601" s="347"/>
      <c r="D601" s="347"/>
      <c r="E601" s="347"/>
      <c r="F601" s="347"/>
      <c r="G601" s="347"/>
      <c r="H601" s="347"/>
      <c r="I601" s="347"/>
      <c r="J601" s="347"/>
      <c r="K601" s="348"/>
      <c r="L601" s="348"/>
      <c r="M601" s="348"/>
      <c r="N601" s="348"/>
      <c r="O601" s="348"/>
      <c r="P601" s="347"/>
      <c r="Q601" s="347"/>
      <c r="R601" s="347"/>
      <c r="S601" s="347"/>
      <c r="T601" s="347"/>
      <c r="U601" s="347"/>
      <c r="V601" s="347"/>
      <c r="W601" s="347"/>
      <c r="X601" s="347"/>
      <c r="Y601" s="347"/>
      <c r="Z601" s="347"/>
      <c r="AA601" s="604"/>
      <c r="AB601" s="347"/>
      <c r="AC601" s="590"/>
      <c r="AD601" s="347"/>
      <c r="AE601" s="347"/>
      <c r="AF601" s="347"/>
      <c r="AG601" s="347"/>
      <c r="AH601" s="347"/>
      <c r="AI601" s="347"/>
      <c r="AJ601" s="347"/>
      <c r="AK601" s="347"/>
      <c r="AL601" s="347"/>
      <c r="AM601" s="347"/>
      <c r="AN601" s="347"/>
      <c r="AO601" s="347"/>
      <c r="AP601" s="347"/>
      <c r="AQ601" s="347"/>
      <c r="AR601" s="347"/>
      <c r="AS601" s="347"/>
      <c r="AT601" s="347"/>
      <c r="AU601" s="347"/>
      <c r="AV601" s="347"/>
      <c r="AW601" s="347"/>
      <c r="AX601" s="347"/>
      <c r="AY601" s="347"/>
      <c r="AZ601" s="347"/>
      <c r="BA601" s="347"/>
      <c r="BB601" s="347"/>
      <c r="BC601" s="347"/>
      <c r="BD601" s="347"/>
      <c r="BE601" s="347"/>
      <c r="BF601" s="347"/>
      <c r="BG601" s="347"/>
      <c r="BH601" s="347"/>
    </row>
    <row r="602">
      <c r="A602" s="347"/>
      <c r="B602" s="347"/>
      <c r="C602" s="347"/>
      <c r="D602" s="347"/>
      <c r="E602" s="347"/>
      <c r="F602" s="347"/>
      <c r="G602" s="347"/>
      <c r="H602" s="347"/>
      <c r="I602" s="347"/>
      <c r="J602" s="347"/>
      <c r="K602" s="348"/>
      <c r="L602" s="348"/>
      <c r="M602" s="348"/>
      <c r="N602" s="348"/>
      <c r="O602" s="348"/>
      <c r="P602" s="347"/>
      <c r="Q602" s="347"/>
      <c r="R602" s="347"/>
      <c r="S602" s="347"/>
      <c r="T602" s="347"/>
      <c r="U602" s="347"/>
      <c r="V602" s="347"/>
      <c r="W602" s="347"/>
      <c r="X602" s="347"/>
      <c r="Y602" s="347"/>
      <c r="Z602" s="347"/>
      <c r="AA602" s="604"/>
      <c r="AB602" s="347"/>
      <c r="AC602" s="590"/>
      <c r="AD602" s="347"/>
      <c r="AE602" s="347"/>
      <c r="AF602" s="347"/>
      <c r="AG602" s="347"/>
      <c r="AH602" s="347"/>
      <c r="AI602" s="347"/>
      <c r="AJ602" s="347"/>
      <c r="AK602" s="347"/>
      <c r="AL602" s="347"/>
      <c r="AM602" s="347"/>
      <c r="AN602" s="347"/>
      <c r="AO602" s="347"/>
      <c r="AP602" s="347"/>
      <c r="AQ602" s="347"/>
      <c r="AR602" s="347"/>
      <c r="AS602" s="347"/>
      <c r="AT602" s="347"/>
      <c r="AU602" s="347"/>
      <c r="AV602" s="347"/>
      <c r="AW602" s="347"/>
      <c r="AX602" s="347"/>
      <c r="AY602" s="347"/>
      <c r="AZ602" s="347"/>
      <c r="BA602" s="347"/>
      <c r="BB602" s="347"/>
      <c r="BC602" s="347"/>
      <c r="BD602" s="347"/>
      <c r="BE602" s="347"/>
      <c r="BF602" s="347"/>
      <c r="BG602" s="347"/>
      <c r="BH602" s="347"/>
    </row>
    <row r="603">
      <c r="A603" s="347"/>
      <c r="B603" s="347"/>
      <c r="C603" s="347"/>
      <c r="D603" s="347"/>
      <c r="E603" s="347"/>
      <c r="F603" s="347"/>
      <c r="G603" s="347"/>
      <c r="H603" s="347"/>
      <c r="I603" s="347"/>
      <c r="J603" s="347"/>
      <c r="K603" s="348"/>
      <c r="L603" s="348"/>
      <c r="M603" s="348"/>
      <c r="N603" s="348"/>
      <c r="O603" s="348"/>
      <c r="P603" s="347"/>
      <c r="Q603" s="347"/>
      <c r="R603" s="347"/>
      <c r="S603" s="347"/>
      <c r="T603" s="347"/>
      <c r="U603" s="347"/>
      <c r="V603" s="347"/>
      <c r="W603" s="347"/>
      <c r="X603" s="347"/>
      <c r="Y603" s="347"/>
      <c r="Z603" s="347"/>
      <c r="AA603" s="604"/>
      <c r="AB603" s="347"/>
      <c r="AC603" s="590"/>
      <c r="AD603" s="347"/>
      <c r="AE603" s="347"/>
      <c r="AF603" s="347"/>
      <c r="AG603" s="347"/>
      <c r="AH603" s="347"/>
      <c r="AI603" s="347"/>
      <c r="AJ603" s="347"/>
      <c r="AK603" s="347"/>
      <c r="AL603" s="347"/>
      <c r="AM603" s="347"/>
      <c r="AN603" s="347"/>
      <c r="AO603" s="347"/>
      <c r="AP603" s="347"/>
      <c r="AQ603" s="347"/>
      <c r="AR603" s="347"/>
      <c r="AS603" s="347"/>
      <c r="AT603" s="347"/>
      <c r="AU603" s="347"/>
      <c r="AV603" s="347"/>
      <c r="AW603" s="347"/>
      <c r="AX603" s="347"/>
      <c r="AY603" s="347"/>
      <c r="AZ603" s="347"/>
      <c r="BA603" s="347"/>
      <c r="BB603" s="347"/>
      <c r="BC603" s="347"/>
      <c r="BD603" s="347"/>
      <c r="BE603" s="347"/>
      <c r="BF603" s="347"/>
      <c r="BG603" s="347"/>
      <c r="BH603" s="347"/>
    </row>
    <row r="604">
      <c r="A604" s="347"/>
      <c r="B604" s="347"/>
      <c r="C604" s="347"/>
      <c r="D604" s="347"/>
      <c r="E604" s="347"/>
      <c r="F604" s="347"/>
      <c r="G604" s="347"/>
      <c r="H604" s="347"/>
      <c r="I604" s="347"/>
      <c r="J604" s="347"/>
      <c r="K604" s="348"/>
      <c r="L604" s="348"/>
      <c r="M604" s="348"/>
      <c r="N604" s="348"/>
      <c r="O604" s="348"/>
      <c r="P604" s="347"/>
      <c r="Q604" s="347"/>
      <c r="R604" s="347"/>
      <c r="S604" s="347"/>
      <c r="T604" s="347"/>
      <c r="U604" s="347"/>
      <c r="V604" s="347"/>
      <c r="W604" s="347"/>
      <c r="X604" s="347"/>
      <c r="Y604" s="347"/>
      <c r="Z604" s="347"/>
      <c r="AA604" s="604"/>
      <c r="AB604" s="347"/>
      <c r="AC604" s="590"/>
      <c r="AD604" s="347"/>
      <c r="AE604" s="347"/>
      <c r="AF604" s="347"/>
      <c r="AG604" s="347"/>
      <c r="AH604" s="347"/>
      <c r="AI604" s="347"/>
      <c r="AJ604" s="347"/>
      <c r="AK604" s="347"/>
      <c r="AL604" s="347"/>
      <c r="AM604" s="347"/>
      <c r="AN604" s="347"/>
      <c r="AO604" s="347"/>
      <c r="AP604" s="347"/>
      <c r="AQ604" s="347"/>
      <c r="AR604" s="347"/>
      <c r="AS604" s="347"/>
      <c r="AT604" s="347"/>
      <c r="AU604" s="347"/>
      <c r="AV604" s="347"/>
      <c r="AW604" s="347"/>
      <c r="AX604" s="347"/>
      <c r="AY604" s="347"/>
      <c r="AZ604" s="347"/>
      <c r="BA604" s="347"/>
      <c r="BB604" s="347"/>
      <c r="BC604" s="347"/>
      <c r="BD604" s="347"/>
      <c r="BE604" s="347"/>
      <c r="BF604" s="347"/>
      <c r="BG604" s="347"/>
      <c r="BH604" s="347"/>
    </row>
    <row r="605">
      <c r="A605" s="347"/>
      <c r="B605" s="347"/>
      <c r="C605" s="347"/>
      <c r="D605" s="347"/>
      <c r="E605" s="347"/>
      <c r="F605" s="347"/>
      <c r="G605" s="347"/>
      <c r="H605" s="347"/>
      <c r="I605" s="347"/>
      <c r="J605" s="347"/>
      <c r="K605" s="348"/>
      <c r="L605" s="348"/>
      <c r="M605" s="348"/>
      <c r="N605" s="348"/>
      <c r="O605" s="348"/>
      <c r="P605" s="347"/>
      <c r="Q605" s="347"/>
      <c r="R605" s="347"/>
      <c r="S605" s="347"/>
      <c r="T605" s="347"/>
      <c r="U605" s="347"/>
      <c r="V605" s="347"/>
      <c r="W605" s="347"/>
      <c r="X605" s="347"/>
      <c r="Y605" s="347"/>
      <c r="Z605" s="347"/>
      <c r="AA605" s="604"/>
      <c r="AB605" s="347"/>
      <c r="AC605" s="590"/>
      <c r="AD605" s="347"/>
      <c r="AE605" s="347"/>
      <c r="AF605" s="347"/>
      <c r="AG605" s="347"/>
      <c r="AH605" s="347"/>
      <c r="AI605" s="347"/>
      <c r="AJ605" s="347"/>
      <c r="AK605" s="347"/>
      <c r="AL605" s="347"/>
      <c r="AM605" s="347"/>
      <c r="AN605" s="347"/>
      <c r="AO605" s="347"/>
      <c r="AP605" s="347"/>
      <c r="AQ605" s="347"/>
      <c r="AR605" s="347"/>
      <c r="AS605" s="347"/>
      <c r="AT605" s="347"/>
      <c r="AU605" s="347"/>
      <c r="AV605" s="347"/>
      <c r="AW605" s="347"/>
      <c r="AX605" s="347"/>
      <c r="AY605" s="347"/>
      <c r="AZ605" s="347"/>
      <c r="BA605" s="347"/>
      <c r="BB605" s="347"/>
      <c r="BC605" s="347"/>
      <c r="BD605" s="347"/>
      <c r="BE605" s="347"/>
      <c r="BF605" s="347"/>
      <c r="BG605" s="347"/>
      <c r="BH605" s="347"/>
    </row>
    <row r="606">
      <c r="A606" s="347"/>
      <c r="B606" s="347"/>
      <c r="C606" s="347"/>
      <c r="D606" s="347"/>
      <c r="E606" s="347"/>
      <c r="F606" s="347"/>
      <c r="G606" s="347"/>
      <c r="H606" s="347"/>
      <c r="I606" s="347"/>
      <c r="J606" s="347"/>
      <c r="K606" s="348"/>
      <c r="L606" s="348"/>
      <c r="M606" s="348"/>
      <c r="N606" s="348"/>
      <c r="O606" s="348"/>
      <c r="P606" s="347"/>
      <c r="Q606" s="347"/>
      <c r="R606" s="347"/>
      <c r="S606" s="347"/>
      <c r="T606" s="347"/>
      <c r="U606" s="347"/>
      <c r="V606" s="347"/>
      <c r="W606" s="347"/>
      <c r="X606" s="347"/>
      <c r="Y606" s="347"/>
      <c r="Z606" s="347"/>
      <c r="AA606" s="604"/>
      <c r="AB606" s="347"/>
      <c r="AC606" s="590"/>
      <c r="AD606" s="347"/>
      <c r="AE606" s="347"/>
      <c r="AF606" s="347"/>
      <c r="AG606" s="347"/>
      <c r="AH606" s="347"/>
      <c r="AI606" s="347"/>
      <c r="AJ606" s="347"/>
      <c r="AK606" s="347"/>
      <c r="AL606" s="347"/>
      <c r="AM606" s="347"/>
      <c r="AN606" s="347"/>
      <c r="AO606" s="347"/>
      <c r="AP606" s="347"/>
      <c r="AQ606" s="347"/>
      <c r="AR606" s="347"/>
      <c r="AS606" s="347"/>
      <c r="AT606" s="347"/>
      <c r="AU606" s="347"/>
      <c r="AV606" s="347"/>
      <c r="AW606" s="347"/>
      <c r="AX606" s="347"/>
      <c r="AY606" s="347"/>
      <c r="AZ606" s="347"/>
      <c r="BA606" s="347"/>
      <c r="BB606" s="347"/>
      <c r="BC606" s="347"/>
      <c r="BD606" s="347"/>
      <c r="BE606" s="347"/>
      <c r="BF606" s="347"/>
      <c r="BG606" s="347"/>
      <c r="BH606" s="347"/>
    </row>
    <row r="607">
      <c r="A607" s="347"/>
      <c r="B607" s="347"/>
      <c r="C607" s="347"/>
      <c r="D607" s="347"/>
      <c r="E607" s="347"/>
      <c r="F607" s="347"/>
      <c r="G607" s="347"/>
      <c r="H607" s="347"/>
      <c r="I607" s="347"/>
      <c r="J607" s="347"/>
      <c r="K607" s="348"/>
      <c r="L607" s="348"/>
      <c r="M607" s="348"/>
      <c r="N607" s="348"/>
      <c r="O607" s="348"/>
      <c r="P607" s="347"/>
      <c r="Q607" s="347"/>
      <c r="R607" s="347"/>
      <c r="S607" s="347"/>
      <c r="T607" s="347"/>
      <c r="U607" s="347"/>
      <c r="V607" s="347"/>
      <c r="W607" s="347"/>
      <c r="X607" s="347"/>
      <c r="Y607" s="347"/>
      <c r="Z607" s="347"/>
      <c r="AA607" s="604"/>
      <c r="AB607" s="347"/>
      <c r="AC607" s="590"/>
      <c r="AD607" s="347"/>
      <c r="AE607" s="347"/>
      <c r="AF607" s="347"/>
      <c r="AG607" s="347"/>
      <c r="AH607" s="347"/>
      <c r="AI607" s="347"/>
      <c r="AJ607" s="347"/>
      <c r="AK607" s="347"/>
      <c r="AL607" s="347"/>
      <c r="AM607" s="347"/>
      <c r="AN607" s="347"/>
      <c r="AO607" s="347"/>
      <c r="AP607" s="347"/>
      <c r="AQ607" s="347"/>
      <c r="AR607" s="347"/>
      <c r="AS607" s="347"/>
      <c r="AT607" s="347"/>
      <c r="AU607" s="347"/>
      <c r="AV607" s="347"/>
      <c r="AW607" s="347"/>
      <c r="AX607" s="347"/>
      <c r="AY607" s="347"/>
      <c r="AZ607" s="347"/>
      <c r="BA607" s="347"/>
      <c r="BB607" s="347"/>
      <c r="BC607" s="347"/>
      <c r="BD607" s="347"/>
      <c r="BE607" s="347"/>
      <c r="BF607" s="347"/>
      <c r="BG607" s="347"/>
      <c r="BH607" s="347"/>
    </row>
    <row r="608">
      <c r="A608" s="347"/>
      <c r="B608" s="347"/>
      <c r="C608" s="347"/>
      <c r="D608" s="347"/>
      <c r="E608" s="347"/>
      <c r="F608" s="347"/>
      <c r="G608" s="347"/>
      <c r="H608" s="347"/>
      <c r="I608" s="347"/>
      <c r="J608" s="347"/>
      <c r="K608" s="348"/>
      <c r="L608" s="348"/>
      <c r="M608" s="348"/>
      <c r="N608" s="348"/>
      <c r="O608" s="348"/>
      <c r="P608" s="347"/>
      <c r="Q608" s="347"/>
      <c r="R608" s="347"/>
      <c r="S608" s="347"/>
      <c r="T608" s="347"/>
      <c r="U608" s="347"/>
      <c r="V608" s="347"/>
      <c r="W608" s="347"/>
      <c r="X608" s="347"/>
      <c r="Y608" s="347"/>
      <c r="Z608" s="347"/>
      <c r="AA608" s="604"/>
      <c r="AB608" s="347"/>
      <c r="AC608" s="590"/>
      <c r="AD608" s="347"/>
      <c r="AE608" s="347"/>
      <c r="AF608" s="347"/>
      <c r="AG608" s="347"/>
      <c r="AH608" s="347"/>
      <c r="AI608" s="347"/>
      <c r="AJ608" s="347"/>
      <c r="AK608" s="347"/>
      <c r="AL608" s="347"/>
      <c r="AM608" s="347"/>
      <c r="AN608" s="347"/>
      <c r="AO608" s="347"/>
      <c r="AP608" s="347"/>
      <c r="AQ608" s="347"/>
      <c r="AR608" s="347"/>
      <c r="AS608" s="347"/>
      <c r="AT608" s="347"/>
      <c r="AU608" s="347"/>
      <c r="AV608" s="347"/>
      <c r="AW608" s="347"/>
      <c r="AX608" s="347"/>
      <c r="AY608" s="347"/>
      <c r="AZ608" s="347"/>
      <c r="BA608" s="347"/>
      <c r="BB608" s="347"/>
      <c r="BC608" s="347"/>
      <c r="BD608" s="347"/>
      <c r="BE608" s="347"/>
      <c r="BF608" s="347"/>
      <c r="BG608" s="347"/>
      <c r="BH608" s="347"/>
    </row>
    <row r="609">
      <c r="A609" s="347"/>
      <c r="B609" s="347"/>
      <c r="C609" s="347"/>
      <c r="D609" s="347"/>
      <c r="E609" s="347"/>
      <c r="F609" s="347"/>
      <c r="G609" s="347"/>
      <c r="H609" s="347"/>
      <c r="I609" s="347"/>
      <c r="J609" s="347"/>
      <c r="K609" s="348"/>
      <c r="L609" s="348"/>
      <c r="M609" s="348"/>
      <c r="N609" s="348"/>
      <c r="O609" s="348"/>
      <c r="P609" s="347"/>
      <c r="Q609" s="347"/>
      <c r="R609" s="347"/>
      <c r="S609" s="347"/>
      <c r="T609" s="347"/>
      <c r="U609" s="347"/>
      <c r="V609" s="347"/>
      <c r="W609" s="347"/>
      <c r="X609" s="347"/>
      <c r="Y609" s="347"/>
      <c r="Z609" s="347"/>
      <c r="AA609" s="604"/>
      <c r="AB609" s="347"/>
      <c r="AC609" s="590"/>
      <c r="AD609" s="347"/>
      <c r="AE609" s="347"/>
      <c r="AF609" s="347"/>
      <c r="AG609" s="347"/>
      <c r="AH609" s="347"/>
      <c r="AI609" s="347"/>
      <c r="AJ609" s="347"/>
      <c r="AK609" s="347"/>
      <c r="AL609" s="347"/>
      <c r="AM609" s="347"/>
      <c r="AN609" s="347"/>
      <c r="AO609" s="347"/>
      <c r="AP609" s="347"/>
      <c r="AQ609" s="347"/>
      <c r="AR609" s="347"/>
      <c r="AS609" s="347"/>
      <c r="AT609" s="347"/>
      <c r="AU609" s="347"/>
      <c r="AV609" s="347"/>
      <c r="AW609" s="347"/>
      <c r="AX609" s="347"/>
      <c r="AY609" s="347"/>
      <c r="AZ609" s="347"/>
      <c r="BA609" s="347"/>
      <c r="BB609" s="347"/>
      <c r="BC609" s="347"/>
      <c r="BD609" s="347"/>
      <c r="BE609" s="347"/>
      <c r="BF609" s="347"/>
      <c r="BG609" s="347"/>
      <c r="BH609" s="347"/>
    </row>
    <row r="610">
      <c r="A610" s="347"/>
      <c r="B610" s="347"/>
      <c r="C610" s="347"/>
      <c r="D610" s="347"/>
      <c r="E610" s="347"/>
      <c r="F610" s="347"/>
      <c r="G610" s="347"/>
      <c r="H610" s="347"/>
      <c r="I610" s="347"/>
      <c r="J610" s="347"/>
      <c r="K610" s="348"/>
      <c r="L610" s="348"/>
      <c r="M610" s="348"/>
      <c r="N610" s="348"/>
      <c r="O610" s="348"/>
      <c r="P610" s="347"/>
      <c r="Q610" s="347"/>
      <c r="R610" s="347"/>
      <c r="S610" s="347"/>
      <c r="T610" s="347"/>
      <c r="U610" s="347"/>
      <c r="V610" s="347"/>
      <c r="W610" s="347"/>
      <c r="X610" s="347"/>
      <c r="Y610" s="347"/>
      <c r="Z610" s="347"/>
      <c r="AA610" s="604"/>
      <c r="AB610" s="347"/>
      <c r="AC610" s="590"/>
      <c r="AD610" s="347"/>
      <c r="AE610" s="347"/>
      <c r="AF610" s="347"/>
      <c r="AG610" s="347"/>
      <c r="AH610" s="347"/>
      <c r="AI610" s="347"/>
      <c r="AJ610" s="347"/>
      <c r="AK610" s="347"/>
      <c r="AL610" s="347"/>
      <c r="AM610" s="347"/>
      <c r="AN610" s="347"/>
      <c r="AO610" s="347"/>
      <c r="AP610" s="347"/>
      <c r="AQ610" s="347"/>
      <c r="AR610" s="347"/>
      <c r="AS610" s="347"/>
      <c r="AT610" s="347"/>
      <c r="AU610" s="347"/>
      <c r="AV610" s="347"/>
      <c r="AW610" s="347"/>
      <c r="AX610" s="347"/>
      <c r="AY610" s="347"/>
      <c r="AZ610" s="347"/>
      <c r="BA610" s="347"/>
      <c r="BB610" s="347"/>
      <c r="BC610" s="347"/>
      <c r="BD610" s="347"/>
      <c r="BE610" s="347"/>
      <c r="BF610" s="347"/>
      <c r="BG610" s="347"/>
      <c r="BH610" s="347"/>
    </row>
    <row r="611">
      <c r="A611" s="347"/>
      <c r="B611" s="347"/>
      <c r="C611" s="347"/>
      <c r="D611" s="347"/>
      <c r="E611" s="347"/>
      <c r="F611" s="347"/>
      <c r="G611" s="347"/>
      <c r="H611" s="347"/>
      <c r="I611" s="347"/>
      <c r="J611" s="347"/>
      <c r="K611" s="348"/>
      <c r="L611" s="348"/>
      <c r="M611" s="348"/>
      <c r="N611" s="348"/>
      <c r="O611" s="348"/>
      <c r="P611" s="347"/>
      <c r="Q611" s="347"/>
      <c r="R611" s="347"/>
      <c r="S611" s="347"/>
      <c r="T611" s="347"/>
      <c r="U611" s="347"/>
      <c r="V611" s="347"/>
      <c r="W611" s="347"/>
      <c r="X611" s="347"/>
      <c r="Y611" s="347"/>
      <c r="Z611" s="347"/>
      <c r="AA611" s="604"/>
      <c r="AB611" s="347"/>
      <c r="AC611" s="590"/>
      <c r="AD611" s="347"/>
      <c r="AE611" s="347"/>
      <c r="AF611" s="347"/>
      <c r="AG611" s="347"/>
      <c r="AH611" s="347"/>
      <c r="AI611" s="347"/>
      <c r="AJ611" s="347"/>
      <c r="AK611" s="347"/>
      <c r="AL611" s="347"/>
      <c r="AM611" s="347"/>
      <c r="AN611" s="347"/>
      <c r="AO611" s="347"/>
      <c r="AP611" s="347"/>
      <c r="AQ611" s="347"/>
      <c r="AR611" s="347"/>
      <c r="AS611" s="347"/>
      <c r="AT611" s="347"/>
      <c r="AU611" s="347"/>
      <c r="AV611" s="347"/>
      <c r="AW611" s="347"/>
      <c r="AX611" s="347"/>
      <c r="AY611" s="347"/>
      <c r="AZ611" s="347"/>
      <c r="BA611" s="347"/>
      <c r="BB611" s="347"/>
      <c r="BC611" s="347"/>
      <c r="BD611" s="347"/>
      <c r="BE611" s="347"/>
      <c r="BF611" s="347"/>
      <c r="BG611" s="347"/>
      <c r="BH611" s="347"/>
    </row>
    <row r="612">
      <c r="A612" s="347"/>
      <c r="B612" s="347"/>
      <c r="C612" s="347"/>
      <c r="D612" s="347"/>
      <c r="E612" s="347"/>
      <c r="F612" s="347"/>
      <c r="G612" s="347"/>
      <c r="H612" s="347"/>
      <c r="I612" s="347"/>
      <c r="J612" s="347"/>
      <c r="K612" s="348"/>
      <c r="L612" s="348"/>
      <c r="M612" s="348"/>
      <c r="N612" s="348"/>
      <c r="O612" s="348"/>
      <c r="P612" s="347"/>
      <c r="Q612" s="347"/>
      <c r="R612" s="347"/>
      <c r="S612" s="347"/>
      <c r="T612" s="347"/>
      <c r="U612" s="347"/>
      <c r="V612" s="347"/>
      <c r="W612" s="347"/>
      <c r="X612" s="347"/>
      <c r="Y612" s="347"/>
      <c r="Z612" s="347"/>
      <c r="AA612" s="604"/>
      <c r="AB612" s="347"/>
      <c r="AC612" s="590"/>
      <c r="AD612" s="347"/>
      <c r="AE612" s="347"/>
      <c r="AF612" s="347"/>
      <c r="AG612" s="347"/>
      <c r="AH612" s="347"/>
      <c r="AI612" s="347"/>
      <c r="AJ612" s="347"/>
      <c r="AK612" s="347"/>
      <c r="AL612" s="347"/>
      <c r="AM612" s="347"/>
      <c r="AN612" s="347"/>
      <c r="AO612" s="347"/>
      <c r="AP612" s="347"/>
      <c r="AQ612" s="347"/>
      <c r="AR612" s="347"/>
      <c r="AS612" s="347"/>
      <c r="AT612" s="347"/>
      <c r="AU612" s="347"/>
      <c r="AV612" s="347"/>
      <c r="AW612" s="347"/>
      <c r="AX612" s="347"/>
      <c r="AY612" s="347"/>
      <c r="AZ612" s="347"/>
      <c r="BA612" s="347"/>
      <c r="BB612" s="347"/>
      <c r="BC612" s="347"/>
      <c r="BD612" s="347"/>
      <c r="BE612" s="347"/>
      <c r="BF612" s="347"/>
      <c r="BG612" s="347"/>
      <c r="BH612" s="347"/>
    </row>
    <row r="613">
      <c r="A613" s="347"/>
      <c r="B613" s="347"/>
      <c r="C613" s="347"/>
      <c r="D613" s="347"/>
      <c r="E613" s="347"/>
      <c r="F613" s="347"/>
      <c r="G613" s="347"/>
      <c r="H613" s="347"/>
      <c r="I613" s="347"/>
      <c r="J613" s="347"/>
      <c r="K613" s="348"/>
      <c r="L613" s="348"/>
      <c r="M613" s="348"/>
      <c r="N613" s="348"/>
      <c r="O613" s="348"/>
      <c r="P613" s="347"/>
      <c r="Q613" s="347"/>
      <c r="R613" s="347"/>
      <c r="S613" s="347"/>
      <c r="T613" s="347"/>
      <c r="U613" s="347"/>
      <c r="V613" s="347"/>
      <c r="W613" s="347"/>
      <c r="X613" s="347"/>
      <c r="Y613" s="347"/>
      <c r="Z613" s="347"/>
      <c r="AA613" s="604"/>
      <c r="AB613" s="347"/>
      <c r="AC613" s="590"/>
      <c r="AD613" s="347"/>
      <c r="AE613" s="347"/>
      <c r="AF613" s="347"/>
      <c r="AG613" s="347"/>
      <c r="AH613" s="347"/>
      <c r="AI613" s="347"/>
      <c r="AJ613" s="347"/>
      <c r="AK613" s="347"/>
      <c r="AL613" s="347"/>
      <c r="AM613" s="347"/>
      <c r="AN613" s="347"/>
      <c r="AO613" s="347"/>
      <c r="AP613" s="347"/>
      <c r="AQ613" s="347"/>
      <c r="AR613" s="347"/>
      <c r="AS613" s="347"/>
      <c r="AT613" s="347"/>
      <c r="AU613" s="347"/>
      <c r="AV613" s="347"/>
      <c r="AW613" s="347"/>
      <c r="AX613" s="347"/>
      <c r="AY613" s="347"/>
      <c r="AZ613" s="347"/>
      <c r="BA613" s="347"/>
      <c r="BB613" s="347"/>
      <c r="BC613" s="347"/>
      <c r="BD613" s="347"/>
      <c r="BE613" s="347"/>
      <c r="BF613" s="347"/>
      <c r="BG613" s="347"/>
      <c r="BH613" s="347"/>
    </row>
    <row r="614">
      <c r="A614" s="347"/>
      <c r="B614" s="347"/>
      <c r="C614" s="347"/>
      <c r="D614" s="347"/>
      <c r="E614" s="347"/>
      <c r="F614" s="347"/>
      <c r="G614" s="347"/>
      <c r="H614" s="347"/>
      <c r="I614" s="347"/>
      <c r="J614" s="347"/>
      <c r="K614" s="348"/>
      <c r="L614" s="348"/>
      <c r="M614" s="348"/>
      <c r="N614" s="348"/>
      <c r="O614" s="348"/>
      <c r="P614" s="347"/>
      <c r="Q614" s="347"/>
      <c r="R614" s="347"/>
      <c r="S614" s="347"/>
      <c r="T614" s="347"/>
      <c r="U614" s="347"/>
      <c r="V614" s="347"/>
      <c r="W614" s="347"/>
      <c r="X614" s="347"/>
      <c r="Y614" s="347"/>
      <c r="Z614" s="347"/>
      <c r="AA614" s="604"/>
      <c r="AB614" s="347"/>
      <c r="AC614" s="590"/>
      <c r="AD614" s="347"/>
      <c r="AE614" s="347"/>
      <c r="AF614" s="347"/>
      <c r="AG614" s="347"/>
      <c r="AH614" s="347"/>
      <c r="AI614" s="347"/>
      <c r="AJ614" s="347"/>
      <c r="AK614" s="347"/>
      <c r="AL614" s="347"/>
      <c r="AM614" s="347"/>
      <c r="AN614" s="347"/>
      <c r="AO614" s="347"/>
      <c r="AP614" s="347"/>
      <c r="AQ614" s="347"/>
      <c r="AR614" s="347"/>
      <c r="AS614" s="347"/>
      <c r="AT614" s="347"/>
      <c r="AU614" s="347"/>
      <c r="AV614" s="347"/>
      <c r="AW614" s="347"/>
      <c r="AX614" s="347"/>
      <c r="AY614" s="347"/>
      <c r="AZ614" s="347"/>
      <c r="BA614" s="347"/>
      <c r="BB614" s="347"/>
      <c r="BC614" s="347"/>
      <c r="BD614" s="347"/>
      <c r="BE614" s="347"/>
      <c r="BF614" s="347"/>
      <c r="BG614" s="347"/>
      <c r="BH614" s="347"/>
    </row>
    <row r="615">
      <c r="A615" s="347"/>
      <c r="B615" s="347"/>
      <c r="C615" s="347"/>
      <c r="D615" s="347"/>
      <c r="E615" s="347"/>
      <c r="F615" s="347"/>
      <c r="G615" s="347"/>
      <c r="H615" s="347"/>
      <c r="I615" s="347"/>
      <c r="J615" s="347"/>
      <c r="K615" s="348"/>
      <c r="L615" s="348"/>
      <c r="M615" s="348"/>
      <c r="N615" s="348"/>
      <c r="O615" s="348"/>
      <c r="P615" s="347"/>
      <c r="Q615" s="347"/>
      <c r="R615" s="347"/>
      <c r="S615" s="347"/>
      <c r="T615" s="347"/>
      <c r="U615" s="347"/>
      <c r="V615" s="347"/>
      <c r="W615" s="347"/>
      <c r="X615" s="347"/>
      <c r="Y615" s="347"/>
      <c r="Z615" s="347"/>
      <c r="AA615" s="604"/>
      <c r="AB615" s="347"/>
      <c r="AC615" s="590"/>
      <c r="AD615" s="347"/>
      <c r="AE615" s="347"/>
      <c r="AF615" s="347"/>
      <c r="AG615" s="347"/>
      <c r="AH615" s="347"/>
      <c r="AI615" s="347"/>
      <c r="AJ615" s="347"/>
      <c r="AK615" s="347"/>
      <c r="AL615" s="347"/>
      <c r="AM615" s="347"/>
      <c r="AN615" s="347"/>
      <c r="AO615" s="347"/>
      <c r="AP615" s="347"/>
      <c r="AQ615" s="347"/>
      <c r="AR615" s="347"/>
      <c r="AS615" s="347"/>
      <c r="AT615" s="347"/>
      <c r="AU615" s="347"/>
      <c r="AV615" s="347"/>
      <c r="AW615" s="347"/>
      <c r="AX615" s="347"/>
      <c r="AY615" s="347"/>
      <c r="AZ615" s="347"/>
      <c r="BA615" s="347"/>
      <c r="BB615" s="347"/>
      <c r="BC615" s="347"/>
      <c r="BD615" s="347"/>
      <c r="BE615" s="347"/>
      <c r="BF615" s="347"/>
      <c r="BG615" s="347"/>
      <c r="BH615" s="347"/>
    </row>
    <row r="616">
      <c r="A616" s="347"/>
      <c r="B616" s="347"/>
      <c r="C616" s="347"/>
      <c r="D616" s="347"/>
      <c r="E616" s="347"/>
      <c r="F616" s="347"/>
      <c r="G616" s="347"/>
      <c r="H616" s="347"/>
      <c r="I616" s="347"/>
      <c r="J616" s="347"/>
      <c r="K616" s="348"/>
      <c r="L616" s="348"/>
      <c r="M616" s="348"/>
      <c r="N616" s="348"/>
      <c r="O616" s="348"/>
      <c r="P616" s="347"/>
      <c r="Q616" s="347"/>
      <c r="R616" s="347"/>
      <c r="S616" s="347"/>
      <c r="T616" s="347"/>
      <c r="U616" s="347"/>
      <c r="V616" s="347"/>
      <c r="W616" s="347"/>
      <c r="X616" s="347"/>
      <c r="Y616" s="347"/>
      <c r="Z616" s="347"/>
      <c r="AA616" s="604"/>
      <c r="AB616" s="347"/>
      <c r="AC616" s="590"/>
      <c r="AD616" s="347"/>
      <c r="AE616" s="347"/>
      <c r="AF616" s="347"/>
      <c r="AG616" s="347"/>
      <c r="AH616" s="347"/>
      <c r="AI616" s="347"/>
      <c r="AJ616" s="347"/>
      <c r="AK616" s="347"/>
      <c r="AL616" s="347"/>
      <c r="AM616" s="347"/>
      <c r="AN616" s="347"/>
      <c r="AO616" s="347"/>
      <c r="AP616" s="347"/>
      <c r="AQ616" s="347"/>
      <c r="AR616" s="347"/>
      <c r="AS616" s="347"/>
      <c r="AT616" s="347"/>
      <c r="AU616" s="347"/>
      <c r="AV616" s="347"/>
      <c r="AW616" s="347"/>
      <c r="AX616" s="347"/>
      <c r="AY616" s="347"/>
      <c r="AZ616" s="347"/>
      <c r="BA616" s="347"/>
      <c r="BB616" s="347"/>
      <c r="BC616" s="347"/>
      <c r="BD616" s="347"/>
      <c r="BE616" s="347"/>
      <c r="BF616" s="347"/>
      <c r="BG616" s="347"/>
      <c r="BH616" s="347"/>
    </row>
    <row r="617">
      <c r="A617" s="347"/>
      <c r="B617" s="347"/>
      <c r="C617" s="347"/>
      <c r="D617" s="347"/>
      <c r="E617" s="347"/>
      <c r="F617" s="347"/>
      <c r="G617" s="347"/>
      <c r="H617" s="347"/>
      <c r="I617" s="347"/>
      <c r="J617" s="347"/>
      <c r="K617" s="348"/>
      <c r="L617" s="348"/>
      <c r="M617" s="348"/>
      <c r="N617" s="348"/>
      <c r="O617" s="348"/>
      <c r="P617" s="347"/>
      <c r="Q617" s="347"/>
      <c r="R617" s="347"/>
      <c r="S617" s="347"/>
      <c r="T617" s="347"/>
      <c r="U617" s="347"/>
      <c r="V617" s="347"/>
      <c r="W617" s="347"/>
      <c r="X617" s="347"/>
      <c r="Y617" s="347"/>
      <c r="Z617" s="347"/>
      <c r="AA617" s="604"/>
      <c r="AB617" s="347"/>
      <c r="AC617" s="590"/>
      <c r="AD617" s="347"/>
      <c r="AE617" s="347"/>
      <c r="AF617" s="347"/>
      <c r="AG617" s="347"/>
      <c r="AH617" s="347"/>
      <c r="AI617" s="347"/>
      <c r="AJ617" s="347"/>
      <c r="AK617" s="347"/>
      <c r="AL617" s="347"/>
      <c r="AM617" s="347"/>
      <c r="AN617" s="347"/>
      <c r="AO617" s="347"/>
      <c r="AP617" s="347"/>
      <c r="AQ617" s="347"/>
      <c r="AR617" s="347"/>
      <c r="AS617" s="347"/>
      <c r="AT617" s="347"/>
      <c r="AU617" s="347"/>
      <c r="AV617" s="347"/>
      <c r="AW617" s="347"/>
      <c r="AX617" s="347"/>
      <c r="AY617" s="347"/>
      <c r="AZ617" s="347"/>
      <c r="BA617" s="347"/>
      <c r="BB617" s="347"/>
      <c r="BC617" s="347"/>
      <c r="BD617" s="347"/>
      <c r="BE617" s="347"/>
      <c r="BF617" s="347"/>
      <c r="BG617" s="347"/>
      <c r="BH617" s="347"/>
    </row>
    <row r="618">
      <c r="A618" s="347"/>
      <c r="B618" s="347"/>
      <c r="C618" s="347"/>
      <c r="D618" s="347"/>
      <c r="E618" s="347"/>
      <c r="F618" s="347"/>
      <c r="G618" s="347"/>
      <c r="H618" s="347"/>
      <c r="I618" s="347"/>
      <c r="J618" s="347"/>
      <c r="K618" s="348"/>
      <c r="L618" s="348"/>
      <c r="M618" s="348"/>
      <c r="N618" s="348"/>
      <c r="O618" s="348"/>
      <c r="P618" s="347"/>
      <c r="Q618" s="347"/>
      <c r="R618" s="347"/>
      <c r="S618" s="347"/>
      <c r="T618" s="347"/>
      <c r="U618" s="347"/>
      <c r="V618" s="347"/>
      <c r="W618" s="347"/>
      <c r="X618" s="347"/>
      <c r="Y618" s="347"/>
      <c r="Z618" s="347"/>
      <c r="AA618" s="604"/>
      <c r="AB618" s="347"/>
      <c r="AC618" s="590"/>
      <c r="AD618" s="347"/>
      <c r="AE618" s="347"/>
      <c r="AF618" s="347"/>
      <c r="AG618" s="347"/>
      <c r="AH618" s="347"/>
      <c r="AI618" s="347"/>
      <c r="AJ618" s="347"/>
      <c r="AK618" s="347"/>
      <c r="AL618" s="347"/>
      <c r="AM618" s="347"/>
      <c r="AN618" s="347"/>
      <c r="AO618" s="347"/>
      <c r="AP618" s="347"/>
      <c r="AQ618" s="347"/>
      <c r="AR618" s="347"/>
      <c r="AS618" s="347"/>
      <c r="AT618" s="347"/>
      <c r="AU618" s="347"/>
      <c r="AV618" s="347"/>
      <c r="AW618" s="347"/>
      <c r="AX618" s="347"/>
      <c r="AY618" s="347"/>
      <c r="AZ618" s="347"/>
      <c r="BA618" s="347"/>
      <c r="BB618" s="347"/>
      <c r="BC618" s="347"/>
      <c r="BD618" s="347"/>
      <c r="BE618" s="347"/>
      <c r="BF618" s="347"/>
      <c r="BG618" s="347"/>
      <c r="BH618" s="347"/>
    </row>
    <row r="619">
      <c r="A619" s="347"/>
      <c r="B619" s="347"/>
      <c r="C619" s="347"/>
      <c r="D619" s="347"/>
      <c r="E619" s="347"/>
      <c r="F619" s="347"/>
      <c r="G619" s="347"/>
      <c r="H619" s="347"/>
      <c r="I619" s="347"/>
      <c r="J619" s="347"/>
      <c r="K619" s="348"/>
      <c r="L619" s="348"/>
      <c r="M619" s="348"/>
      <c r="N619" s="348"/>
      <c r="O619" s="348"/>
      <c r="P619" s="347"/>
      <c r="Q619" s="347"/>
      <c r="R619" s="347"/>
      <c r="S619" s="347"/>
      <c r="T619" s="347"/>
      <c r="U619" s="347"/>
      <c r="V619" s="347"/>
      <c r="W619" s="347"/>
      <c r="X619" s="347"/>
      <c r="Y619" s="347"/>
      <c r="Z619" s="347"/>
      <c r="AA619" s="604"/>
      <c r="AB619" s="347"/>
      <c r="AC619" s="590"/>
      <c r="AD619" s="347"/>
      <c r="AE619" s="347"/>
      <c r="AF619" s="347"/>
      <c r="AG619" s="347"/>
      <c r="AH619" s="347"/>
      <c r="AI619" s="347"/>
      <c r="AJ619" s="347"/>
      <c r="AK619" s="347"/>
      <c r="AL619" s="347"/>
      <c r="AM619" s="347"/>
      <c r="AN619" s="347"/>
      <c r="AO619" s="347"/>
      <c r="AP619" s="347"/>
      <c r="AQ619" s="347"/>
      <c r="AR619" s="347"/>
      <c r="AS619" s="347"/>
      <c r="AT619" s="347"/>
      <c r="AU619" s="347"/>
      <c r="AV619" s="347"/>
      <c r="AW619" s="347"/>
      <c r="AX619" s="347"/>
      <c r="AY619" s="347"/>
      <c r="AZ619" s="347"/>
      <c r="BA619" s="347"/>
      <c r="BB619" s="347"/>
      <c r="BC619" s="347"/>
      <c r="BD619" s="347"/>
      <c r="BE619" s="347"/>
      <c r="BF619" s="347"/>
      <c r="BG619" s="347"/>
      <c r="BH619" s="347"/>
    </row>
    <row r="620">
      <c r="A620" s="347"/>
      <c r="B620" s="347"/>
      <c r="C620" s="347"/>
      <c r="D620" s="347"/>
      <c r="E620" s="347"/>
      <c r="F620" s="347"/>
      <c r="G620" s="347"/>
      <c r="H620" s="347"/>
      <c r="I620" s="347"/>
      <c r="J620" s="347"/>
      <c r="K620" s="348"/>
      <c r="L620" s="348"/>
      <c r="M620" s="348"/>
      <c r="N620" s="348"/>
      <c r="O620" s="348"/>
      <c r="P620" s="347"/>
      <c r="Q620" s="347"/>
      <c r="R620" s="347"/>
      <c r="S620" s="347"/>
      <c r="T620" s="347"/>
      <c r="U620" s="347"/>
      <c r="V620" s="347"/>
      <c r="W620" s="347"/>
      <c r="X620" s="347"/>
      <c r="Y620" s="347"/>
      <c r="Z620" s="347"/>
      <c r="AA620" s="604"/>
      <c r="AB620" s="347"/>
      <c r="AC620" s="590"/>
      <c r="AD620" s="347"/>
      <c r="AE620" s="347"/>
      <c r="AF620" s="347"/>
      <c r="AG620" s="347"/>
      <c r="AH620" s="347"/>
      <c r="AI620" s="347"/>
      <c r="AJ620" s="347"/>
      <c r="AK620" s="347"/>
      <c r="AL620" s="347"/>
      <c r="AM620" s="347"/>
      <c r="AN620" s="347"/>
      <c r="AO620" s="347"/>
      <c r="AP620" s="347"/>
      <c r="AQ620" s="347"/>
      <c r="AR620" s="347"/>
      <c r="AS620" s="347"/>
      <c r="AT620" s="347"/>
      <c r="AU620" s="347"/>
      <c r="AV620" s="347"/>
      <c r="AW620" s="347"/>
      <c r="AX620" s="347"/>
      <c r="AY620" s="347"/>
      <c r="AZ620" s="347"/>
      <c r="BA620" s="347"/>
      <c r="BB620" s="347"/>
      <c r="BC620" s="347"/>
      <c r="BD620" s="347"/>
      <c r="BE620" s="347"/>
      <c r="BF620" s="347"/>
      <c r="BG620" s="347"/>
      <c r="BH620" s="347"/>
    </row>
    <row r="621">
      <c r="A621" s="347"/>
      <c r="B621" s="347"/>
      <c r="C621" s="347"/>
      <c r="D621" s="347"/>
      <c r="E621" s="347"/>
      <c r="F621" s="347"/>
      <c r="G621" s="347"/>
      <c r="H621" s="347"/>
      <c r="I621" s="347"/>
      <c r="J621" s="347"/>
      <c r="K621" s="348"/>
      <c r="L621" s="348"/>
      <c r="M621" s="348"/>
      <c r="N621" s="348"/>
      <c r="O621" s="348"/>
      <c r="P621" s="347"/>
      <c r="Q621" s="347"/>
      <c r="R621" s="347"/>
      <c r="S621" s="347"/>
      <c r="T621" s="347"/>
      <c r="U621" s="347"/>
      <c r="V621" s="347"/>
      <c r="W621" s="347"/>
      <c r="X621" s="347"/>
      <c r="Y621" s="347"/>
      <c r="Z621" s="347"/>
      <c r="AA621" s="604"/>
      <c r="AB621" s="347"/>
      <c r="AC621" s="590"/>
      <c r="AD621" s="347"/>
      <c r="AE621" s="347"/>
      <c r="AF621" s="347"/>
      <c r="AG621" s="347"/>
      <c r="AH621" s="347"/>
      <c r="AI621" s="347"/>
      <c r="AJ621" s="347"/>
      <c r="AK621" s="347"/>
      <c r="AL621" s="347"/>
      <c r="AM621" s="347"/>
      <c r="AN621" s="347"/>
      <c r="AO621" s="347"/>
      <c r="AP621" s="347"/>
      <c r="AQ621" s="347"/>
      <c r="AR621" s="347"/>
      <c r="AS621" s="347"/>
      <c r="AT621" s="347"/>
      <c r="AU621" s="347"/>
      <c r="AV621" s="347"/>
      <c r="AW621" s="347"/>
      <c r="AX621" s="347"/>
      <c r="AY621" s="347"/>
      <c r="AZ621" s="347"/>
      <c r="BA621" s="347"/>
      <c r="BB621" s="347"/>
      <c r="BC621" s="347"/>
      <c r="BD621" s="347"/>
      <c r="BE621" s="347"/>
      <c r="BF621" s="347"/>
      <c r="BG621" s="347"/>
      <c r="BH621" s="347"/>
    </row>
    <row r="622">
      <c r="A622" s="347"/>
      <c r="B622" s="347"/>
      <c r="C622" s="347"/>
      <c r="D622" s="347"/>
      <c r="E622" s="347"/>
      <c r="F622" s="347"/>
      <c r="G622" s="347"/>
      <c r="H622" s="347"/>
      <c r="I622" s="347"/>
      <c r="J622" s="347"/>
      <c r="K622" s="348"/>
      <c r="L622" s="348"/>
      <c r="M622" s="348"/>
      <c r="N622" s="348"/>
      <c r="O622" s="348"/>
      <c r="P622" s="347"/>
      <c r="Q622" s="347"/>
      <c r="R622" s="347"/>
      <c r="S622" s="347"/>
      <c r="T622" s="347"/>
      <c r="U622" s="347"/>
      <c r="V622" s="347"/>
      <c r="W622" s="347"/>
      <c r="X622" s="347"/>
      <c r="Y622" s="347"/>
      <c r="Z622" s="347"/>
      <c r="AA622" s="604"/>
      <c r="AB622" s="347"/>
      <c r="AC622" s="590"/>
      <c r="AD622" s="347"/>
      <c r="AE622" s="347"/>
      <c r="AF622" s="347"/>
      <c r="AG622" s="347"/>
      <c r="AH622" s="347"/>
      <c r="AI622" s="347"/>
      <c r="AJ622" s="347"/>
      <c r="AK622" s="347"/>
      <c r="AL622" s="347"/>
      <c r="AM622" s="347"/>
      <c r="AN622" s="347"/>
      <c r="AO622" s="347"/>
      <c r="AP622" s="347"/>
      <c r="AQ622" s="347"/>
      <c r="AR622" s="347"/>
      <c r="AS622" s="347"/>
      <c r="AT622" s="347"/>
      <c r="AU622" s="347"/>
      <c r="AV622" s="347"/>
      <c r="AW622" s="347"/>
      <c r="AX622" s="347"/>
      <c r="AY622" s="347"/>
      <c r="AZ622" s="347"/>
      <c r="BA622" s="347"/>
      <c r="BB622" s="347"/>
      <c r="BC622" s="347"/>
      <c r="BD622" s="347"/>
      <c r="BE622" s="347"/>
      <c r="BF622" s="347"/>
      <c r="BG622" s="347"/>
      <c r="BH622" s="347"/>
    </row>
    <row r="623">
      <c r="A623" s="347"/>
      <c r="B623" s="347"/>
      <c r="C623" s="347"/>
      <c r="D623" s="347"/>
      <c r="E623" s="347"/>
      <c r="F623" s="347"/>
      <c r="G623" s="347"/>
      <c r="H623" s="347"/>
      <c r="I623" s="347"/>
      <c r="J623" s="347"/>
      <c r="K623" s="348"/>
      <c r="L623" s="348"/>
      <c r="M623" s="348"/>
      <c r="N623" s="348"/>
      <c r="O623" s="348"/>
      <c r="P623" s="347"/>
      <c r="Q623" s="347"/>
      <c r="R623" s="347"/>
      <c r="S623" s="347"/>
      <c r="T623" s="347"/>
      <c r="U623" s="347"/>
      <c r="V623" s="347"/>
      <c r="W623" s="347"/>
      <c r="X623" s="347"/>
      <c r="Y623" s="347"/>
      <c r="Z623" s="347"/>
      <c r="AA623" s="604"/>
      <c r="AB623" s="347"/>
      <c r="AC623" s="590"/>
      <c r="AD623" s="347"/>
      <c r="AE623" s="347"/>
      <c r="AF623" s="347"/>
      <c r="AG623" s="347"/>
      <c r="AH623" s="347"/>
      <c r="AI623" s="347"/>
      <c r="AJ623" s="347"/>
      <c r="AK623" s="347"/>
      <c r="AL623" s="347"/>
      <c r="AM623" s="347"/>
      <c r="AN623" s="347"/>
      <c r="AO623" s="347"/>
      <c r="AP623" s="347"/>
      <c r="AQ623" s="347"/>
      <c r="AR623" s="347"/>
      <c r="AS623" s="347"/>
      <c r="AT623" s="347"/>
      <c r="AU623" s="347"/>
      <c r="AV623" s="347"/>
      <c r="AW623" s="347"/>
      <c r="AX623" s="347"/>
      <c r="AY623" s="347"/>
      <c r="AZ623" s="347"/>
      <c r="BA623" s="347"/>
      <c r="BB623" s="347"/>
      <c r="BC623" s="347"/>
      <c r="BD623" s="347"/>
      <c r="BE623" s="347"/>
      <c r="BF623" s="347"/>
      <c r="BG623" s="347"/>
      <c r="BH623" s="347"/>
    </row>
    <row r="624">
      <c r="A624" s="347"/>
      <c r="B624" s="347"/>
      <c r="C624" s="347"/>
      <c r="D624" s="347"/>
      <c r="E624" s="347"/>
      <c r="F624" s="347"/>
      <c r="G624" s="347"/>
      <c r="H624" s="347"/>
      <c r="I624" s="347"/>
      <c r="J624" s="347"/>
      <c r="K624" s="348"/>
      <c r="L624" s="348"/>
      <c r="M624" s="348"/>
      <c r="N624" s="348"/>
      <c r="O624" s="348"/>
      <c r="P624" s="347"/>
      <c r="Q624" s="347"/>
      <c r="R624" s="347"/>
      <c r="S624" s="347"/>
      <c r="T624" s="347"/>
      <c r="U624" s="347"/>
      <c r="V624" s="347"/>
      <c r="W624" s="347"/>
      <c r="X624" s="347"/>
      <c r="Y624" s="347"/>
      <c r="Z624" s="347"/>
      <c r="AA624" s="604"/>
      <c r="AB624" s="347"/>
      <c r="AC624" s="590"/>
      <c r="AD624" s="347"/>
      <c r="AE624" s="347"/>
      <c r="AF624" s="347"/>
      <c r="AG624" s="347"/>
      <c r="AH624" s="347"/>
      <c r="AI624" s="347"/>
      <c r="AJ624" s="347"/>
      <c r="AK624" s="347"/>
      <c r="AL624" s="347"/>
      <c r="AM624" s="347"/>
      <c r="AN624" s="347"/>
      <c r="AO624" s="347"/>
      <c r="AP624" s="347"/>
      <c r="AQ624" s="347"/>
      <c r="AR624" s="347"/>
      <c r="AS624" s="347"/>
      <c r="AT624" s="347"/>
      <c r="AU624" s="347"/>
      <c r="AV624" s="347"/>
      <c r="AW624" s="347"/>
      <c r="AX624" s="347"/>
      <c r="AY624" s="347"/>
      <c r="AZ624" s="347"/>
      <c r="BA624" s="347"/>
      <c r="BB624" s="347"/>
      <c r="BC624" s="347"/>
      <c r="BD624" s="347"/>
      <c r="BE624" s="347"/>
      <c r="BF624" s="347"/>
      <c r="BG624" s="347"/>
      <c r="BH624" s="347"/>
    </row>
    <row r="625">
      <c r="A625" s="347"/>
      <c r="B625" s="347"/>
      <c r="C625" s="347"/>
      <c r="D625" s="347"/>
      <c r="E625" s="347"/>
      <c r="F625" s="347"/>
      <c r="G625" s="347"/>
      <c r="H625" s="347"/>
      <c r="I625" s="347"/>
      <c r="J625" s="347"/>
      <c r="K625" s="348"/>
      <c r="L625" s="348"/>
      <c r="M625" s="348"/>
      <c r="N625" s="348"/>
      <c r="O625" s="348"/>
      <c r="P625" s="347"/>
      <c r="Q625" s="347"/>
      <c r="R625" s="347"/>
      <c r="S625" s="347"/>
      <c r="T625" s="347"/>
      <c r="U625" s="347"/>
      <c r="V625" s="347"/>
      <c r="W625" s="347"/>
      <c r="X625" s="347"/>
      <c r="Y625" s="347"/>
      <c r="Z625" s="347"/>
      <c r="AA625" s="604"/>
      <c r="AB625" s="347"/>
      <c r="AC625" s="590"/>
      <c r="AD625" s="347"/>
      <c r="AE625" s="347"/>
      <c r="AF625" s="347"/>
      <c r="AG625" s="347"/>
      <c r="AH625" s="347"/>
      <c r="AI625" s="347"/>
      <c r="AJ625" s="347"/>
      <c r="AK625" s="347"/>
      <c r="AL625" s="347"/>
      <c r="AM625" s="347"/>
      <c r="AN625" s="347"/>
      <c r="AO625" s="347"/>
      <c r="AP625" s="347"/>
      <c r="AQ625" s="347"/>
      <c r="AR625" s="347"/>
      <c r="AS625" s="347"/>
      <c r="AT625" s="347"/>
      <c r="AU625" s="347"/>
      <c r="AV625" s="347"/>
      <c r="AW625" s="347"/>
      <c r="AX625" s="347"/>
      <c r="AY625" s="347"/>
      <c r="AZ625" s="347"/>
      <c r="BA625" s="347"/>
      <c r="BB625" s="347"/>
      <c r="BC625" s="347"/>
      <c r="BD625" s="347"/>
      <c r="BE625" s="347"/>
      <c r="BF625" s="347"/>
      <c r="BG625" s="347"/>
      <c r="BH625" s="347"/>
    </row>
    <row r="626">
      <c r="A626" s="347"/>
      <c r="B626" s="347"/>
      <c r="C626" s="347"/>
      <c r="D626" s="347"/>
      <c r="E626" s="347"/>
      <c r="F626" s="347"/>
      <c r="G626" s="347"/>
      <c r="H626" s="347"/>
      <c r="I626" s="347"/>
      <c r="J626" s="347"/>
      <c r="K626" s="348"/>
      <c r="L626" s="348"/>
      <c r="M626" s="348"/>
      <c r="N626" s="348"/>
      <c r="O626" s="348"/>
      <c r="P626" s="347"/>
      <c r="Q626" s="347"/>
      <c r="R626" s="347"/>
      <c r="S626" s="347"/>
      <c r="T626" s="347"/>
      <c r="U626" s="347"/>
      <c r="V626" s="347"/>
      <c r="W626" s="347"/>
      <c r="X626" s="347"/>
      <c r="Y626" s="347"/>
      <c r="Z626" s="347"/>
      <c r="AA626" s="604"/>
      <c r="AB626" s="347"/>
      <c r="AC626" s="590"/>
      <c r="AD626" s="347"/>
      <c r="AE626" s="347"/>
      <c r="AF626" s="347"/>
      <c r="AG626" s="347"/>
      <c r="AH626" s="347"/>
      <c r="AI626" s="347"/>
      <c r="AJ626" s="347"/>
      <c r="AK626" s="347"/>
      <c r="AL626" s="347"/>
      <c r="AM626" s="347"/>
      <c r="AN626" s="347"/>
      <c r="AO626" s="347"/>
      <c r="AP626" s="347"/>
      <c r="AQ626" s="347"/>
      <c r="AR626" s="347"/>
      <c r="AS626" s="347"/>
      <c r="AT626" s="347"/>
      <c r="AU626" s="347"/>
      <c r="AV626" s="347"/>
      <c r="AW626" s="347"/>
      <c r="AX626" s="347"/>
      <c r="AY626" s="347"/>
      <c r="AZ626" s="347"/>
      <c r="BA626" s="347"/>
      <c r="BB626" s="347"/>
      <c r="BC626" s="347"/>
      <c r="BD626" s="347"/>
      <c r="BE626" s="347"/>
      <c r="BF626" s="347"/>
      <c r="BG626" s="347"/>
      <c r="BH626" s="347"/>
    </row>
    <row r="627">
      <c r="A627" s="347"/>
      <c r="B627" s="347"/>
      <c r="C627" s="347"/>
      <c r="D627" s="347"/>
      <c r="E627" s="347"/>
      <c r="F627" s="347"/>
      <c r="G627" s="347"/>
      <c r="H627" s="347"/>
      <c r="I627" s="347"/>
      <c r="J627" s="347"/>
      <c r="K627" s="348"/>
      <c r="L627" s="348"/>
      <c r="M627" s="348"/>
      <c r="N627" s="348"/>
      <c r="O627" s="348"/>
      <c r="P627" s="347"/>
      <c r="Q627" s="347"/>
      <c r="R627" s="347"/>
      <c r="S627" s="347"/>
      <c r="T627" s="347"/>
      <c r="U627" s="347"/>
      <c r="V627" s="347"/>
      <c r="W627" s="347"/>
      <c r="X627" s="347"/>
      <c r="Y627" s="347"/>
      <c r="Z627" s="347"/>
      <c r="AA627" s="604"/>
      <c r="AB627" s="347"/>
      <c r="AC627" s="590"/>
      <c r="AD627" s="347"/>
      <c r="AE627" s="347"/>
      <c r="AF627" s="347"/>
      <c r="AG627" s="347"/>
      <c r="AH627" s="347"/>
      <c r="AI627" s="347"/>
      <c r="AJ627" s="347"/>
      <c r="AK627" s="347"/>
      <c r="AL627" s="347"/>
      <c r="AM627" s="347"/>
      <c r="AN627" s="347"/>
      <c r="AO627" s="347"/>
      <c r="AP627" s="347"/>
      <c r="AQ627" s="347"/>
      <c r="AR627" s="347"/>
      <c r="AS627" s="347"/>
      <c r="AT627" s="347"/>
      <c r="AU627" s="347"/>
      <c r="AV627" s="347"/>
      <c r="AW627" s="347"/>
      <c r="AX627" s="347"/>
      <c r="AY627" s="347"/>
      <c r="AZ627" s="347"/>
      <c r="BA627" s="347"/>
      <c r="BB627" s="347"/>
      <c r="BC627" s="347"/>
      <c r="BD627" s="347"/>
      <c r="BE627" s="347"/>
      <c r="BF627" s="347"/>
      <c r="BG627" s="347"/>
      <c r="BH627" s="347"/>
    </row>
    <row r="628">
      <c r="A628" s="347"/>
      <c r="B628" s="347"/>
      <c r="C628" s="347"/>
      <c r="D628" s="347"/>
      <c r="E628" s="347"/>
      <c r="F628" s="347"/>
      <c r="G628" s="347"/>
      <c r="H628" s="347"/>
      <c r="I628" s="347"/>
      <c r="J628" s="347"/>
      <c r="K628" s="348"/>
      <c r="L628" s="348"/>
      <c r="M628" s="348"/>
      <c r="N628" s="348"/>
      <c r="O628" s="348"/>
      <c r="P628" s="347"/>
      <c r="Q628" s="347"/>
      <c r="R628" s="347"/>
      <c r="S628" s="347"/>
      <c r="T628" s="347"/>
      <c r="U628" s="347"/>
      <c r="V628" s="347"/>
      <c r="W628" s="347"/>
      <c r="X628" s="347"/>
      <c r="Y628" s="347"/>
      <c r="Z628" s="347"/>
      <c r="AA628" s="604"/>
      <c r="AB628" s="347"/>
      <c r="AC628" s="590"/>
      <c r="AD628" s="347"/>
      <c r="AE628" s="347"/>
      <c r="AF628" s="347"/>
      <c r="AG628" s="347"/>
      <c r="AH628" s="347"/>
      <c r="AI628" s="347"/>
      <c r="AJ628" s="347"/>
      <c r="AK628" s="347"/>
      <c r="AL628" s="347"/>
      <c r="AM628" s="347"/>
      <c r="AN628" s="347"/>
      <c r="AO628" s="347"/>
      <c r="AP628" s="347"/>
      <c r="AQ628" s="347"/>
      <c r="AR628" s="347"/>
      <c r="AS628" s="347"/>
      <c r="AT628" s="347"/>
      <c r="AU628" s="347"/>
      <c r="AV628" s="347"/>
      <c r="AW628" s="347"/>
      <c r="AX628" s="347"/>
      <c r="AY628" s="347"/>
      <c r="AZ628" s="347"/>
      <c r="BA628" s="347"/>
      <c r="BB628" s="347"/>
      <c r="BC628" s="347"/>
      <c r="BD628" s="347"/>
      <c r="BE628" s="347"/>
      <c r="BF628" s="347"/>
      <c r="BG628" s="347"/>
      <c r="BH628" s="347"/>
    </row>
    <row r="629">
      <c r="A629" s="347"/>
      <c r="B629" s="347"/>
      <c r="C629" s="347"/>
      <c r="D629" s="347"/>
      <c r="E629" s="347"/>
      <c r="F629" s="347"/>
      <c r="G629" s="347"/>
      <c r="H629" s="347"/>
      <c r="I629" s="347"/>
      <c r="J629" s="347"/>
      <c r="K629" s="348"/>
      <c r="L629" s="348"/>
      <c r="M629" s="348"/>
      <c r="N629" s="348"/>
      <c r="O629" s="348"/>
      <c r="P629" s="347"/>
      <c r="Q629" s="347"/>
      <c r="R629" s="347"/>
      <c r="S629" s="347"/>
      <c r="T629" s="347"/>
      <c r="U629" s="347"/>
      <c r="V629" s="347"/>
      <c r="W629" s="347"/>
      <c r="X629" s="347"/>
      <c r="Y629" s="347"/>
      <c r="Z629" s="347"/>
      <c r="AA629" s="604"/>
      <c r="AB629" s="347"/>
      <c r="AC629" s="590"/>
      <c r="AD629" s="347"/>
      <c r="AE629" s="347"/>
      <c r="AF629" s="347"/>
      <c r="AG629" s="347"/>
      <c r="AH629" s="347"/>
      <c r="AI629" s="347"/>
      <c r="AJ629" s="347"/>
      <c r="AK629" s="347"/>
      <c r="AL629" s="347"/>
      <c r="AM629" s="347"/>
      <c r="AN629" s="347"/>
      <c r="AO629" s="347"/>
      <c r="AP629" s="347"/>
      <c r="AQ629" s="347"/>
      <c r="AR629" s="347"/>
      <c r="AS629" s="347"/>
      <c r="AT629" s="347"/>
      <c r="AU629" s="347"/>
      <c r="AV629" s="347"/>
      <c r="AW629" s="347"/>
      <c r="AX629" s="347"/>
      <c r="AY629" s="347"/>
      <c r="AZ629" s="347"/>
      <c r="BA629" s="347"/>
      <c r="BB629" s="347"/>
      <c r="BC629" s="347"/>
      <c r="BD629" s="347"/>
      <c r="BE629" s="347"/>
      <c r="BF629" s="347"/>
      <c r="BG629" s="347"/>
      <c r="BH629" s="347"/>
    </row>
    <row r="630">
      <c r="A630" s="347"/>
      <c r="B630" s="347"/>
      <c r="C630" s="347"/>
      <c r="D630" s="347"/>
      <c r="E630" s="347"/>
      <c r="F630" s="347"/>
      <c r="G630" s="347"/>
      <c r="H630" s="347"/>
      <c r="I630" s="347"/>
      <c r="J630" s="347"/>
      <c r="K630" s="348"/>
      <c r="L630" s="348"/>
      <c r="M630" s="348"/>
      <c r="N630" s="348"/>
      <c r="O630" s="348"/>
      <c r="P630" s="347"/>
      <c r="Q630" s="347"/>
      <c r="R630" s="347"/>
      <c r="S630" s="347"/>
      <c r="T630" s="347"/>
      <c r="U630" s="347"/>
      <c r="V630" s="347"/>
      <c r="W630" s="347"/>
      <c r="X630" s="347"/>
      <c r="Y630" s="347"/>
      <c r="Z630" s="347"/>
      <c r="AA630" s="604"/>
      <c r="AB630" s="347"/>
      <c r="AC630" s="590"/>
      <c r="AD630" s="347"/>
      <c r="AE630" s="347"/>
      <c r="AF630" s="347"/>
      <c r="AG630" s="347"/>
      <c r="AH630" s="347"/>
      <c r="AI630" s="347"/>
      <c r="AJ630" s="347"/>
      <c r="AK630" s="347"/>
      <c r="AL630" s="347"/>
      <c r="AM630" s="347"/>
      <c r="AN630" s="347"/>
      <c r="AO630" s="347"/>
      <c r="AP630" s="347"/>
      <c r="AQ630" s="347"/>
      <c r="AR630" s="347"/>
      <c r="AS630" s="347"/>
      <c r="AT630" s="347"/>
      <c r="AU630" s="347"/>
      <c r="AV630" s="347"/>
      <c r="AW630" s="347"/>
      <c r="AX630" s="347"/>
      <c r="AY630" s="347"/>
      <c r="AZ630" s="347"/>
      <c r="BA630" s="347"/>
      <c r="BB630" s="347"/>
      <c r="BC630" s="347"/>
      <c r="BD630" s="347"/>
      <c r="BE630" s="347"/>
      <c r="BF630" s="347"/>
      <c r="BG630" s="347"/>
      <c r="BH630" s="347"/>
    </row>
    <row r="631">
      <c r="A631" s="347"/>
      <c r="B631" s="347"/>
      <c r="C631" s="347"/>
      <c r="D631" s="347"/>
      <c r="E631" s="347"/>
      <c r="F631" s="347"/>
      <c r="G631" s="347"/>
      <c r="H631" s="347"/>
      <c r="I631" s="347"/>
      <c r="J631" s="347"/>
      <c r="K631" s="348"/>
      <c r="L631" s="348"/>
      <c r="M631" s="348"/>
      <c r="N631" s="348"/>
      <c r="O631" s="348"/>
      <c r="P631" s="347"/>
      <c r="Q631" s="347"/>
      <c r="R631" s="347"/>
      <c r="S631" s="347"/>
      <c r="T631" s="347"/>
      <c r="U631" s="347"/>
      <c r="V631" s="347"/>
      <c r="W631" s="347"/>
      <c r="X631" s="347"/>
      <c r="Y631" s="347"/>
      <c r="Z631" s="347"/>
      <c r="AA631" s="604"/>
      <c r="AB631" s="347"/>
      <c r="AC631" s="590"/>
      <c r="AD631" s="347"/>
      <c r="AE631" s="347"/>
      <c r="AF631" s="347"/>
      <c r="AG631" s="347"/>
      <c r="AH631" s="347"/>
      <c r="AI631" s="347"/>
      <c r="AJ631" s="347"/>
      <c r="AK631" s="347"/>
      <c r="AL631" s="347"/>
      <c r="AM631" s="347"/>
      <c r="AN631" s="347"/>
      <c r="AO631" s="347"/>
      <c r="AP631" s="347"/>
      <c r="AQ631" s="347"/>
      <c r="AR631" s="347"/>
      <c r="AS631" s="347"/>
      <c r="AT631" s="347"/>
      <c r="AU631" s="347"/>
      <c r="AV631" s="347"/>
      <c r="AW631" s="347"/>
      <c r="AX631" s="347"/>
      <c r="AY631" s="347"/>
      <c r="AZ631" s="347"/>
      <c r="BA631" s="347"/>
      <c r="BB631" s="347"/>
      <c r="BC631" s="347"/>
      <c r="BD631" s="347"/>
      <c r="BE631" s="347"/>
      <c r="BF631" s="347"/>
      <c r="BG631" s="347"/>
      <c r="BH631" s="347"/>
    </row>
    <row r="632">
      <c r="A632" s="347"/>
      <c r="B632" s="347"/>
      <c r="C632" s="347"/>
      <c r="D632" s="347"/>
      <c r="E632" s="347"/>
      <c r="F632" s="347"/>
      <c r="G632" s="347"/>
      <c r="H632" s="347"/>
      <c r="I632" s="347"/>
      <c r="J632" s="347"/>
      <c r="K632" s="348"/>
      <c r="L632" s="348"/>
      <c r="M632" s="348"/>
      <c r="N632" s="348"/>
      <c r="O632" s="348"/>
      <c r="P632" s="347"/>
      <c r="Q632" s="347"/>
      <c r="R632" s="347"/>
      <c r="S632" s="347"/>
      <c r="T632" s="347"/>
      <c r="U632" s="347"/>
      <c r="V632" s="347"/>
      <c r="W632" s="347"/>
      <c r="X632" s="347"/>
      <c r="Y632" s="347"/>
      <c r="Z632" s="347"/>
      <c r="AA632" s="604"/>
      <c r="AB632" s="347"/>
      <c r="AC632" s="590"/>
      <c r="AD632" s="347"/>
      <c r="AE632" s="347"/>
      <c r="AF632" s="347"/>
      <c r="AG632" s="347"/>
      <c r="AH632" s="347"/>
      <c r="AI632" s="347"/>
      <c r="AJ632" s="347"/>
      <c r="AK632" s="347"/>
      <c r="AL632" s="347"/>
      <c r="AM632" s="347"/>
      <c r="AN632" s="347"/>
      <c r="AO632" s="347"/>
      <c r="AP632" s="347"/>
      <c r="AQ632" s="347"/>
      <c r="AR632" s="347"/>
      <c r="AS632" s="347"/>
      <c r="AT632" s="347"/>
      <c r="AU632" s="347"/>
      <c r="AV632" s="347"/>
      <c r="AW632" s="347"/>
      <c r="AX632" s="347"/>
      <c r="AY632" s="347"/>
      <c r="AZ632" s="347"/>
      <c r="BA632" s="347"/>
      <c r="BB632" s="347"/>
      <c r="BC632" s="347"/>
      <c r="BD632" s="347"/>
      <c r="BE632" s="347"/>
      <c r="BF632" s="347"/>
      <c r="BG632" s="347"/>
      <c r="BH632" s="347"/>
    </row>
    <row r="633">
      <c r="A633" s="347"/>
      <c r="B633" s="347"/>
      <c r="C633" s="347"/>
      <c r="D633" s="347"/>
      <c r="E633" s="347"/>
      <c r="F633" s="347"/>
      <c r="G633" s="347"/>
      <c r="H633" s="347"/>
      <c r="I633" s="347"/>
      <c r="J633" s="347"/>
      <c r="K633" s="348"/>
      <c r="L633" s="348"/>
      <c r="M633" s="348"/>
      <c r="N633" s="348"/>
      <c r="O633" s="348"/>
      <c r="P633" s="347"/>
      <c r="Q633" s="347"/>
      <c r="R633" s="347"/>
      <c r="S633" s="347"/>
      <c r="T633" s="347"/>
      <c r="U633" s="347"/>
      <c r="V633" s="347"/>
      <c r="W633" s="347"/>
      <c r="X633" s="347"/>
      <c r="Y633" s="347"/>
      <c r="Z633" s="347"/>
      <c r="AA633" s="604"/>
      <c r="AB633" s="347"/>
      <c r="AC633" s="590"/>
      <c r="AD633" s="347"/>
      <c r="AE633" s="347"/>
      <c r="AF633" s="347"/>
      <c r="AG633" s="347"/>
      <c r="AH633" s="347"/>
      <c r="AI633" s="347"/>
      <c r="AJ633" s="347"/>
      <c r="AK633" s="347"/>
      <c r="AL633" s="347"/>
      <c r="AM633" s="347"/>
      <c r="AN633" s="347"/>
      <c r="AO633" s="347"/>
      <c r="AP633" s="347"/>
      <c r="AQ633" s="347"/>
      <c r="AR633" s="347"/>
      <c r="AS633" s="347"/>
      <c r="AT633" s="347"/>
      <c r="AU633" s="347"/>
      <c r="AV633" s="347"/>
      <c r="AW633" s="347"/>
      <c r="AX633" s="347"/>
      <c r="AY633" s="347"/>
      <c r="AZ633" s="347"/>
      <c r="BA633" s="347"/>
      <c r="BB633" s="347"/>
      <c r="BC633" s="347"/>
      <c r="BD633" s="347"/>
      <c r="BE633" s="347"/>
      <c r="BF633" s="347"/>
      <c r="BG633" s="347"/>
      <c r="BH633" s="347"/>
    </row>
    <row r="634">
      <c r="A634" s="347"/>
      <c r="B634" s="347"/>
      <c r="C634" s="347"/>
      <c r="D634" s="347"/>
      <c r="E634" s="347"/>
      <c r="F634" s="347"/>
      <c r="G634" s="347"/>
      <c r="H634" s="347"/>
      <c r="I634" s="347"/>
      <c r="J634" s="347"/>
      <c r="K634" s="348"/>
      <c r="L634" s="348"/>
      <c r="M634" s="348"/>
      <c r="N634" s="348"/>
      <c r="O634" s="348"/>
      <c r="P634" s="347"/>
      <c r="Q634" s="347"/>
      <c r="R634" s="347"/>
      <c r="S634" s="347"/>
      <c r="T634" s="347"/>
      <c r="U634" s="347"/>
      <c r="V634" s="347"/>
      <c r="W634" s="347"/>
      <c r="X634" s="347"/>
      <c r="Y634" s="347"/>
      <c r="Z634" s="347"/>
      <c r="AA634" s="604"/>
      <c r="AB634" s="347"/>
      <c r="AC634" s="590"/>
      <c r="AD634" s="347"/>
      <c r="AE634" s="347"/>
      <c r="AF634" s="347"/>
      <c r="AG634" s="347"/>
      <c r="AH634" s="347"/>
      <c r="AI634" s="347"/>
      <c r="AJ634" s="347"/>
      <c r="AK634" s="347"/>
      <c r="AL634" s="347"/>
      <c r="AM634" s="347"/>
      <c r="AN634" s="347"/>
      <c r="AO634" s="347"/>
      <c r="AP634" s="347"/>
      <c r="AQ634" s="347"/>
      <c r="AR634" s="347"/>
      <c r="AS634" s="347"/>
      <c r="AT634" s="347"/>
      <c r="AU634" s="347"/>
      <c r="AV634" s="347"/>
      <c r="AW634" s="347"/>
      <c r="AX634" s="347"/>
      <c r="AY634" s="347"/>
      <c r="AZ634" s="347"/>
      <c r="BA634" s="347"/>
      <c r="BB634" s="347"/>
      <c r="BC634" s="347"/>
      <c r="BD634" s="347"/>
      <c r="BE634" s="347"/>
      <c r="BF634" s="347"/>
      <c r="BG634" s="347"/>
      <c r="BH634" s="347"/>
    </row>
    <row r="635">
      <c r="A635" s="347"/>
      <c r="B635" s="347"/>
      <c r="C635" s="347"/>
      <c r="D635" s="347"/>
      <c r="E635" s="347"/>
      <c r="F635" s="347"/>
      <c r="G635" s="347"/>
      <c r="H635" s="347"/>
      <c r="I635" s="347"/>
      <c r="J635" s="347"/>
      <c r="K635" s="348"/>
      <c r="L635" s="348"/>
      <c r="M635" s="348"/>
      <c r="N635" s="348"/>
      <c r="O635" s="348"/>
      <c r="P635" s="347"/>
      <c r="Q635" s="347"/>
      <c r="R635" s="347"/>
      <c r="S635" s="347"/>
      <c r="T635" s="347"/>
      <c r="U635" s="347"/>
      <c r="V635" s="347"/>
      <c r="W635" s="347"/>
      <c r="X635" s="347"/>
      <c r="Y635" s="347"/>
      <c r="Z635" s="347"/>
      <c r="AA635" s="604"/>
      <c r="AB635" s="347"/>
      <c r="AC635" s="590"/>
      <c r="AD635" s="347"/>
      <c r="AE635" s="347"/>
      <c r="AF635" s="347"/>
      <c r="AG635" s="347"/>
      <c r="AH635" s="347"/>
      <c r="AI635" s="347"/>
      <c r="AJ635" s="347"/>
      <c r="AK635" s="347"/>
      <c r="AL635" s="347"/>
      <c r="AM635" s="347"/>
      <c r="AN635" s="347"/>
      <c r="AO635" s="347"/>
      <c r="AP635" s="347"/>
      <c r="AQ635" s="347"/>
      <c r="AR635" s="347"/>
      <c r="AS635" s="347"/>
      <c r="AT635" s="347"/>
      <c r="AU635" s="347"/>
      <c r="AV635" s="347"/>
      <c r="AW635" s="347"/>
      <c r="AX635" s="347"/>
      <c r="AY635" s="347"/>
      <c r="AZ635" s="347"/>
      <c r="BA635" s="347"/>
      <c r="BB635" s="347"/>
      <c r="BC635" s="347"/>
      <c r="BD635" s="347"/>
      <c r="BE635" s="347"/>
      <c r="BF635" s="347"/>
      <c r="BG635" s="347"/>
      <c r="BH635" s="347"/>
    </row>
    <row r="636">
      <c r="A636" s="347"/>
      <c r="B636" s="347"/>
      <c r="C636" s="347"/>
      <c r="D636" s="347"/>
      <c r="E636" s="347"/>
      <c r="F636" s="347"/>
      <c r="G636" s="347"/>
      <c r="H636" s="347"/>
      <c r="I636" s="347"/>
      <c r="J636" s="347"/>
      <c r="K636" s="348"/>
      <c r="L636" s="348"/>
      <c r="M636" s="348"/>
      <c r="N636" s="348"/>
      <c r="O636" s="348"/>
      <c r="P636" s="347"/>
      <c r="Q636" s="347"/>
      <c r="R636" s="347"/>
      <c r="S636" s="347"/>
      <c r="T636" s="347"/>
      <c r="U636" s="347"/>
      <c r="V636" s="347"/>
      <c r="W636" s="347"/>
      <c r="X636" s="347"/>
      <c r="Y636" s="347"/>
      <c r="Z636" s="347"/>
      <c r="AA636" s="604"/>
      <c r="AB636" s="347"/>
      <c r="AC636" s="590"/>
      <c r="AD636" s="347"/>
      <c r="AE636" s="347"/>
      <c r="AF636" s="347"/>
      <c r="AG636" s="347"/>
      <c r="AH636" s="347"/>
      <c r="AI636" s="347"/>
      <c r="AJ636" s="347"/>
      <c r="AK636" s="347"/>
      <c r="AL636" s="347"/>
      <c r="AM636" s="347"/>
      <c r="AN636" s="347"/>
      <c r="AO636" s="347"/>
      <c r="AP636" s="347"/>
      <c r="AQ636" s="347"/>
      <c r="AR636" s="347"/>
      <c r="AS636" s="347"/>
      <c r="AT636" s="347"/>
      <c r="AU636" s="347"/>
      <c r="AV636" s="347"/>
      <c r="AW636" s="347"/>
      <c r="AX636" s="347"/>
      <c r="AY636" s="347"/>
      <c r="AZ636" s="347"/>
      <c r="BA636" s="347"/>
      <c r="BB636" s="347"/>
      <c r="BC636" s="347"/>
      <c r="BD636" s="347"/>
      <c r="BE636" s="347"/>
      <c r="BF636" s="347"/>
      <c r="BG636" s="347"/>
      <c r="BH636" s="347"/>
    </row>
    <row r="637">
      <c r="A637" s="347"/>
      <c r="B637" s="347"/>
      <c r="C637" s="347"/>
      <c r="D637" s="347"/>
      <c r="E637" s="347"/>
      <c r="F637" s="347"/>
      <c r="G637" s="347"/>
      <c r="H637" s="347"/>
      <c r="I637" s="347"/>
      <c r="J637" s="347"/>
      <c r="K637" s="348"/>
      <c r="L637" s="348"/>
      <c r="M637" s="348"/>
      <c r="N637" s="348"/>
      <c r="O637" s="348"/>
      <c r="P637" s="347"/>
      <c r="Q637" s="347"/>
      <c r="R637" s="347"/>
      <c r="S637" s="347"/>
      <c r="T637" s="347"/>
      <c r="U637" s="347"/>
      <c r="V637" s="347"/>
      <c r="W637" s="347"/>
      <c r="X637" s="347"/>
      <c r="Y637" s="347"/>
      <c r="Z637" s="347"/>
      <c r="AA637" s="604"/>
      <c r="AB637" s="347"/>
      <c r="AC637" s="590"/>
      <c r="AD637" s="347"/>
      <c r="AE637" s="347"/>
      <c r="AF637" s="347"/>
      <c r="AG637" s="347"/>
      <c r="AH637" s="347"/>
      <c r="AI637" s="347"/>
      <c r="AJ637" s="347"/>
      <c r="AK637" s="347"/>
      <c r="AL637" s="347"/>
      <c r="AM637" s="347"/>
      <c r="AN637" s="347"/>
      <c r="AO637" s="347"/>
      <c r="AP637" s="347"/>
      <c r="AQ637" s="347"/>
      <c r="AR637" s="347"/>
      <c r="AS637" s="347"/>
      <c r="AT637" s="347"/>
      <c r="AU637" s="347"/>
      <c r="AV637" s="347"/>
      <c r="AW637" s="347"/>
      <c r="AX637" s="347"/>
      <c r="AY637" s="347"/>
      <c r="AZ637" s="347"/>
      <c r="BA637" s="347"/>
      <c r="BB637" s="347"/>
      <c r="BC637" s="347"/>
      <c r="BD637" s="347"/>
      <c r="BE637" s="347"/>
      <c r="BF637" s="347"/>
      <c r="BG637" s="347"/>
      <c r="BH637" s="347"/>
    </row>
    <row r="638">
      <c r="A638" s="347"/>
      <c r="B638" s="347"/>
      <c r="C638" s="347"/>
      <c r="D638" s="347"/>
      <c r="E638" s="347"/>
      <c r="F638" s="347"/>
      <c r="G638" s="347"/>
      <c r="H638" s="347"/>
      <c r="I638" s="347"/>
      <c r="J638" s="347"/>
      <c r="K638" s="348"/>
      <c r="L638" s="348"/>
      <c r="M638" s="348"/>
      <c r="N638" s="348"/>
      <c r="O638" s="348"/>
      <c r="P638" s="347"/>
      <c r="Q638" s="347"/>
      <c r="R638" s="347"/>
      <c r="S638" s="347"/>
      <c r="T638" s="347"/>
      <c r="U638" s="347"/>
      <c r="V638" s="347"/>
      <c r="W638" s="347"/>
      <c r="X638" s="347"/>
      <c r="Y638" s="347"/>
      <c r="Z638" s="347"/>
      <c r="AA638" s="604"/>
      <c r="AB638" s="347"/>
      <c r="AC638" s="590"/>
      <c r="AD638" s="347"/>
      <c r="AE638" s="347"/>
      <c r="AF638" s="347"/>
      <c r="AG638" s="347"/>
      <c r="AH638" s="347"/>
      <c r="AI638" s="347"/>
      <c r="AJ638" s="347"/>
      <c r="AK638" s="347"/>
      <c r="AL638" s="347"/>
      <c r="AM638" s="347"/>
      <c r="AN638" s="347"/>
      <c r="AO638" s="347"/>
      <c r="AP638" s="347"/>
      <c r="AQ638" s="347"/>
      <c r="AR638" s="347"/>
      <c r="AS638" s="347"/>
      <c r="AT638" s="347"/>
      <c r="AU638" s="347"/>
      <c r="AV638" s="347"/>
      <c r="AW638" s="347"/>
      <c r="AX638" s="347"/>
      <c r="AY638" s="347"/>
      <c r="AZ638" s="347"/>
      <c r="BA638" s="347"/>
      <c r="BB638" s="347"/>
      <c r="BC638" s="347"/>
      <c r="BD638" s="347"/>
      <c r="BE638" s="347"/>
      <c r="BF638" s="347"/>
      <c r="BG638" s="347"/>
      <c r="BH638" s="347"/>
    </row>
    <row r="639">
      <c r="A639" s="347"/>
      <c r="B639" s="347"/>
      <c r="C639" s="347"/>
      <c r="D639" s="347"/>
      <c r="E639" s="347"/>
      <c r="F639" s="347"/>
      <c r="G639" s="347"/>
      <c r="H639" s="347"/>
      <c r="I639" s="347"/>
      <c r="J639" s="347"/>
      <c r="K639" s="348"/>
      <c r="L639" s="348"/>
      <c r="M639" s="348"/>
      <c r="N639" s="348"/>
      <c r="O639" s="348"/>
      <c r="P639" s="347"/>
      <c r="Q639" s="347"/>
      <c r="R639" s="347"/>
      <c r="S639" s="347"/>
      <c r="T639" s="347"/>
      <c r="U639" s="347"/>
      <c r="V639" s="347"/>
      <c r="W639" s="347"/>
      <c r="X639" s="347"/>
      <c r="Y639" s="347"/>
      <c r="Z639" s="347"/>
      <c r="AA639" s="604"/>
      <c r="AB639" s="347"/>
      <c r="AC639" s="590"/>
      <c r="AD639" s="347"/>
      <c r="AE639" s="347"/>
      <c r="AF639" s="347"/>
      <c r="AG639" s="347"/>
      <c r="AH639" s="347"/>
      <c r="AI639" s="347"/>
      <c r="AJ639" s="347"/>
      <c r="AK639" s="347"/>
      <c r="AL639" s="347"/>
      <c r="AM639" s="347"/>
      <c r="AN639" s="347"/>
      <c r="AO639" s="347"/>
      <c r="AP639" s="347"/>
      <c r="AQ639" s="347"/>
      <c r="AR639" s="347"/>
      <c r="AS639" s="347"/>
      <c r="AT639" s="347"/>
      <c r="AU639" s="347"/>
      <c r="AV639" s="347"/>
      <c r="AW639" s="347"/>
      <c r="AX639" s="347"/>
      <c r="AY639" s="347"/>
      <c r="AZ639" s="347"/>
      <c r="BA639" s="347"/>
      <c r="BB639" s="347"/>
      <c r="BC639" s="347"/>
      <c r="BD639" s="347"/>
      <c r="BE639" s="347"/>
      <c r="BF639" s="347"/>
      <c r="BG639" s="347"/>
      <c r="BH639" s="347"/>
    </row>
    <row r="640">
      <c r="A640" s="347"/>
      <c r="B640" s="347"/>
      <c r="C640" s="347"/>
      <c r="D640" s="347"/>
      <c r="E640" s="347"/>
      <c r="F640" s="347"/>
      <c r="G640" s="347"/>
      <c r="H640" s="347"/>
      <c r="I640" s="347"/>
      <c r="J640" s="347"/>
      <c r="K640" s="348"/>
      <c r="L640" s="348"/>
      <c r="M640" s="348"/>
      <c r="N640" s="348"/>
      <c r="O640" s="348"/>
      <c r="P640" s="347"/>
      <c r="Q640" s="347"/>
      <c r="R640" s="347"/>
      <c r="S640" s="347"/>
      <c r="T640" s="347"/>
      <c r="U640" s="347"/>
      <c r="V640" s="347"/>
      <c r="W640" s="347"/>
      <c r="X640" s="347"/>
      <c r="Y640" s="347"/>
      <c r="Z640" s="347"/>
      <c r="AA640" s="604"/>
      <c r="AB640" s="347"/>
      <c r="AC640" s="590"/>
      <c r="AD640" s="347"/>
      <c r="AE640" s="347"/>
      <c r="AF640" s="347"/>
      <c r="AG640" s="347"/>
      <c r="AH640" s="347"/>
      <c r="AI640" s="347"/>
      <c r="AJ640" s="347"/>
      <c r="AK640" s="347"/>
      <c r="AL640" s="347"/>
      <c r="AM640" s="347"/>
      <c r="AN640" s="347"/>
      <c r="AO640" s="347"/>
      <c r="AP640" s="347"/>
      <c r="AQ640" s="347"/>
      <c r="AR640" s="347"/>
      <c r="AS640" s="347"/>
      <c r="AT640" s="347"/>
      <c r="AU640" s="347"/>
      <c r="AV640" s="347"/>
      <c r="AW640" s="347"/>
      <c r="AX640" s="347"/>
      <c r="AY640" s="347"/>
      <c r="AZ640" s="347"/>
      <c r="BA640" s="347"/>
      <c r="BB640" s="347"/>
      <c r="BC640" s="347"/>
      <c r="BD640" s="347"/>
      <c r="BE640" s="347"/>
      <c r="BF640" s="347"/>
      <c r="BG640" s="347"/>
      <c r="BH640" s="347"/>
    </row>
    <row r="641">
      <c r="A641" s="347"/>
      <c r="B641" s="347"/>
      <c r="C641" s="347"/>
      <c r="D641" s="347"/>
      <c r="E641" s="347"/>
      <c r="F641" s="347"/>
      <c r="G641" s="347"/>
      <c r="H641" s="347"/>
      <c r="I641" s="347"/>
      <c r="J641" s="347"/>
      <c r="K641" s="348"/>
      <c r="L641" s="348"/>
      <c r="M641" s="348"/>
      <c r="N641" s="348"/>
      <c r="O641" s="348"/>
      <c r="P641" s="347"/>
      <c r="Q641" s="347"/>
      <c r="R641" s="347"/>
      <c r="S641" s="347"/>
      <c r="T641" s="347"/>
      <c r="U641" s="347"/>
      <c r="V641" s="347"/>
      <c r="W641" s="347"/>
      <c r="X641" s="347"/>
      <c r="Y641" s="347"/>
      <c r="Z641" s="347"/>
      <c r="AA641" s="604"/>
      <c r="AB641" s="347"/>
      <c r="AC641" s="590"/>
      <c r="AD641" s="347"/>
      <c r="AE641" s="347"/>
      <c r="AF641" s="347"/>
      <c r="AG641" s="347"/>
      <c r="AH641" s="347"/>
      <c r="AI641" s="347"/>
      <c r="AJ641" s="347"/>
      <c r="AK641" s="347"/>
      <c r="AL641" s="347"/>
      <c r="AM641" s="347"/>
      <c r="AN641" s="347"/>
      <c r="AO641" s="347"/>
      <c r="AP641" s="347"/>
      <c r="AQ641" s="347"/>
      <c r="AR641" s="347"/>
      <c r="AS641" s="347"/>
      <c r="AT641" s="347"/>
      <c r="AU641" s="347"/>
      <c r="AV641" s="347"/>
      <c r="AW641" s="347"/>
      <c r="AX641" s="347"/>
      <c r="AY641" s="347"/>
      <c r="AZ641" s="347"/>
      <c r="BA641" s="347"/>
      <c r="BB641" s="347"/>
      <c r="BC641" s="347"/>
      <c r="BD641" s="347"/>
      <c r="BE641" s="347"/>
      <c r="BF641" s="347"/>
      <c r="BG641" s="347"/>
      <c r="BH641" s="347"/>
    </row>
    <row r="642">
      <c r="A642" s="347"/>
      <c r="B642" s="347"/>
      <c r="C642" s="347"/>
      <c r="D642" s="347"/>
      <c r="E642" s="347"/>
      <c r="F642" s="347"/>
      <c r="G642" s="347"/>
      <c r="H642" s="347"/>
      <c r="I642" s="347"/>
      <c r="J642" s="347"/>
      <c r="K642" s="348"/>
      <c r="L642" s="348"/>
      <c r="M642" s="348"/>
      <c r="N642" s="348"/>
      <c r="O642" s="348"/>
      <c r="P642" s="347"/>
      <c r="Q642" s="347"/>
      <c r="R642" s="347"/>
      <c r="S642" s="347"/>
      <c r="T642" s="347"/>
      <c r="U642" s="347"/>
      <c r="V642" s="347"/>
      <c r="W642" s="347"/>
      <c r="X642" s="347"/>
      <c r="Y642" s="347"/>
      <c r="Z642" s="347"/>
      <c r="AA642" s="604"/>
      <c r="AB642" s="347"/>
      <c r="AC642" s="590"/>
      <c r="AD642" s="347"/>
      <c r="AE642" s="347"/>
      <c r="AF642" s="347"/>
      <c r="AG642" s="347"/>
      <c r="AH642" s="347"/>
      <c r="AI642" s="347"/>
      <c r="AJ642" s="347"/>
      <c r="AK642" s="347"/>
      <c r="AL642" s="347"/>
      <c r="AM642" s="347"/>
      <c r="AN642" s="347"/>
      <c r="AO642" s="347"/>
      <c r="AP642" s="347"/>
      <c r="AQ642" s="347"/>
      <c r="AR642" s="347"/>
      <c r="AS642" s="347"/>
      <c r="AT642" s="347"/>
      <c r="AU642" s="347"/>
      <c r="AV642" s="347"/>
      <c r="AW642" s="347"/>
      <c r="AX642" s="347"/>
      <c r="AY642" s="347"/>
      <c r="AZ642" s="347"/>
      <c r="BA642" s="347"/>
      <c r="BB642" s="347"/>
      <c r="BC642" s="347"/>
      <c r="BD642" s="347"/>
      <c r="BE642" s="347"/>
      <c r="BF642" s="347"/>
      <c r="BG642" s="347"/>
      <c r="BH642" s="347"/>
    </row>
    <row r="643">
      <c r="A643" s="347"/>
      <c r="B643" s="347"/>
      <c r="C643" s="347"/>
      <c r="D643" s="347"/>
      <c r="E643" s="347"/>
      <c r="F643" s="347"/>
      <c r="G643" s="347"/>
      <c r="H643" s="347"/>
      <c r="I643" s="347"/>
      <c r="J643" s="347"/>
      <c r="K643" s="348"/>
      <c r="L643" s="348"/>
      <c r="M643" s="348"/>
      <c r="N643" s="348"/>
      <c r="O643" s="348"/>
      <c r="P643" s="347"/>
      <c r="Q643" s="347"/>
      <c r="R643" s="347"/>
      <c r="S643" s="347"/>
      <c r="T643" s="347"/>
      <c r="U643" s="347"/>
      <c r="V643" s="347"/>
      <c r="W643" s="347"/>
      <c r="X643" s="347"/>
      <c r="Y643" s="347"/>
      <c r="Z643" s="347"/>
      <c r="AA643" s="604"/>
      <c r="AB643" s="347"/>
      <c r="AC643" s="590"/>
      <c r="AD643" s="347"/>
      <c r="AE643" s="347"/>
      <c r="AF643" s="347"/>
      <c r="AG643" s="347"/>
      <c r="AH643" s="347"/>
      <c r="AI643" s="347"/>
      <c r="AJ643" s="347"/>
      <c r="AK643" s="347"/>
      <c r="AL643" s="347"/>
      <c r="AM643" s="347"/>
      <c r="AN643" s="347"/>
      <c r="AO643" s="347"/>
      <c r="AP643" s="347"/>
      <c r="AQ643" s="347"/>
      <c r="AR643" s="347"/>
      <c r="AS643" s="347"/>
      <c r="AT643" s="347"/>
      <c r="AU643" s="347"/>
      <c r="AV643" s="347"/>
      <c r="AW643" s="347"/>
      <c r="AX643" s="347"/>
      <c r="AY643" s="347"/>
      <c r="AZ643" s="347"/>
      <c r="BA643" s="347"/>
      <c r="BB643" s="347"/>
      <c r="BC643" s="347"/>
      <c r="BD643" s="347"/>
      <c r="BE643" s="347"/>
      <c r="BF643" s="347"/>
      <c r="BG643" s="347"/>
      <c r="BH643" s="347"/>
    </row>
    <row r="644">
      <c r="A644" s="347"/>
      <c r="B644" s="347"/>
      <c r="C644" s="347"/>
      <c r="D644" s="347"/>
      <c r="E644" s="347"/>
      <c r="F644" s="347"/>
      <c r="G644" s="347"/>
      <c r="H644" s="347"/>
      <c r="I644" s="347"/>
      <c r="J644" s="347"/>
      <c r="K644" s="348"/>
      <c r="L644" s="348"/>
      <c r="M644" s="348"/>
      <c r="N644" s="348"/>
      <c r="O644" s="348"/>
      <c r="P644" s="347"/>
      <c r="Q644" s="347"/>
      <c r="R644" s="347"/>
      <c r="S644" s="347"/>
      <c r="T644" s="347"/>
      <c r="U644" s="347"/>
      <c r="V644" s="347"/>
      <c r="W644" s="347"/>
      <c r="X644" s="347"/>
      <c r="Y644" s="347"/>
      <c r="Z644" s="347"/>
      <c r="AA644" s="604"/>
      <c r="AB644" s="347"/>
      <c r="AC644" s="590"/>
      <c r="AD644" s="347"/>
      <c r="AE644" s="347"/>
      <c r="AF644" s="347"/>
      <c r="AG644" s="347"/>
      <c r="AH644" s="347"/>
      <c r="AI644" s="347"/>
      <c r="AJ644" s="347"/>
      <c r="AK644" s="347"/>
      <c r="AL644" s="347"/>
      <c r="AM644" s="347"/>
      <c r="AN644" s="347"/>
      <c r="AO644" s="347"/>
      <c r="AP644" s="347"/>
      <c r="AQ644" s="347"/>
      <c r="AR644" s="347"/>
      <c r="AS644" s="347"/>
      <c r="AT644" s="347"/>
      <c r="AU644" s="347"/>
      <c r="AV644" s="347"/>
      <c r="AW644" s="347"/>
      <c r="AX644" s="347"/>
      <c r="AY644" s="347"/>
      <c r="AZ644" s="347"/>
      <c r="BA644" s="347"/>
      <c r="BB644" s="347"/>
      <c r="BC644" s="347"/>
      <c r="BD644" s="347"/>
      <c r="BE644" s="347"/>
      <c r="BF644" s="347"/>
      <c r="BG644" s="347"/>
      <c r="BH644" s="347"/>
    </row>
    <row r="645">
      <c r="A645" s="347"/>
      <c r="B645" s="347"/>
      <c r="C645" s="347"/>
      <c r="D645" s="347"/>
      <c r="E645" s="347"/>
      <c r="F645" s="347"/>
      <c r="G645" s="347"/>
      <c r="H645" s="347"/>
      <c r="I645" s="347"/>
      <c r="J645" s="347"/>
      <c r="K645" s="348"/>
      <c r="L645" s="348"/>
      <c r="M645" s="348"/>
      <c r="N645" s="348"/>
      <c r="O645" s="348"/>
      <c r="P645" s="347"/>
      <c r="Q645" s="347"/>
      <c r="R645" s="347"/>
      <c r="S645" s="347"/>
      <c r="T645" s="347"/>
      <c r="U645" s="347"/>
      <c r="V645" s="347"/>
      <c r="W645" s="347"/>
      <c r="X645" s="347"/>
      <c r="Y645" s="347"/>
      <c r="Z645" s="347"/>
      <c r="AA645" s="604"/>
      <c r="AB645" s="347"/>
      <c r="AC645" s="590"/>
      <c r="AD645" s="347"/>
      <c r="AE645" s="347"/>
      <c r="AF645" s="347"/>
      <c r="AG645" s="347"/>
      <c r="AH645" s="347"/>
      <c r="AI645" s="347"/>
      <c r="AJ645" s="347"/>
      <c r="AK645" s="347"/>
      <c r="AL645" s="347"/>
      <c r="AM645" s="347"/>
      <c r="AN645" s="347"/>
      <c r="AO645" s="347"/>
      <c r="AP645" s="347"/>
      <c r="AQ645" s="347"/>
      <c r="AR645" s="347"/>
      <c r="AS645" s="347"/>
      <c r="AT645" s="347"/>
      <c r="AU645" s="347"/>
      <c r="AV645" s="347"/>
      <c r="AW645" s="347"/>
      <c r="AX645" s="347"/>
      <c r="AY645" s="347"/>
      <c r="AZ645" s="347"/>
      <c r="BA645" s="347"/>
      <c r="BB645" s="347"/>
      <c r="BC645" s="347"/>
      <c r="BD645" s="347"/>
      <c r="BE645" s="347"/>
      <c r="BF645" s="347"/>
      <c r="BG645" s="347"/>
      <c r="BH645" s="347"/>
    </row>
    <row r="646">
      <c r="A646" s="347"/>
      <c r="B646" s="347"/>
      <c r="C646" s="347"/>
      <c r="D646" s="347"/>
      <c r="E646" s="347"/>
      <c r="F646" s="347"/>
      <c r="G646" s="347"/>
      <c r="H646" s="347"/>
      <c r="I646" s="347"/>
      <c r="J646" s="347"/>
      <c r="K646" s="348"/>
      <c r="L646" s="348"/>
      <c r="M646" s="348"/>
      <c r="N646" s="348"/>
      <c r="O646" s="348"/>
      <c r="P646" s="347"/>
      <c r="Q646" s="347"/>
      <c r="R646" s="347"/>
      <c r="S646" s="347"/>
      <c r="T646" s="347"/>
      <c r="U646" s="347"/>
      <c r="V646" s="347"/>
      <c r="W646" s="347"/>
      <c r="X646" s="347"/>
      <c r="Y646" s="347"/>
      <c r="Z646" s="347"/>
      <c r="AA646" s="604"/>
      <c r="AB646" s="347"/>
      <c r="AC646" s="590"/>
      <c r="AD646" s="347"/>
      <c r="AE646" s="347"/>
      <c r="AF646" s="347"/>
      <c r="AG646" s="347"/>
      <c r="AH646" s="347"/>
      <c r="AI646" s="347"/>
      <c r="AJ646" s="347"/>
      <c r="AK646" s="347"/>
      <c r="AL646" s="347"/>
      <c r="AM646" s="347"/>
      <c r="AN646" s="347"/>
      <c r="AO646" s="347"/>
      <c r="AP646" s="347"/>
      <c r="AQ646" s="347"/>
      <c r="AR646" s="347"/>
      <c r="AS646" s="347"/>
      <c r="AT646" s="347"/>
      <c r="AU646" s="347"/>
      <c r="AV646" s="347"/>
      <c r="AW646" s="347"/>
      <c r="AX646" s="347"/>
      <c r="AY646" s="347"/>
      <c r="AZ646" s="347"/>
      <c r="BA646" s="347"/>
      <c r="BB646" s="347"/>
      <c r="BC646" s="347"/>
      <c r="BD646" s="347"/>
      <c r="BE646" s="347"/>
      <c r="BF646" s="347"/>
      <c r="BG646" s="347"/>
      <c r="BH646" s="347"/>
    </row>
    <row r="647">
      <c r="A647" s="347"/>
      <c r="B647" s="347"/>
      <c r="C647" s="347"/>
      <c r="D647" s="347"/>
      <c r="E647" s="347"/>
      <c r="F647" s="347"/>
      <c r="G647" s="347"/>
      <c r="H647" s="347"/>
      <c r="I647" s="347"/>
      <c r="J647" s="347"/>
      <c r="K647" s="348"/>
      <c r="L647" s="348"/>
      <c r="M647" s="348"/>
      <c r="N647" s="348"/>
      <c r="O647" s="348"/>
      <c r="P647" s="347"/>
      <c r="Q647" s="347"/>
      <c r="R647" s="347"/>
      <c r="S647" s="347"/>
      <c r="T647" s="347"/>
      <c r="U647" s="347"/>
      <c r="V647" s="347"/>
      <c r="W647" s="347"/>
      <c r="X647" s="347"/>
      <c r="Y647" s="347"/>
      <c r="Z647" s="347"/>
      <c r="AA647" s="604"/>
      <c r="AB647" s="347"/>
      <c r="AC647" s="590"/>
      <c r="AD647" s="347"/>
      <c r="AE647" s="347"/>
      <c r="AF647" s="347"/>
      <c r="AG647" s="347"/>
      <c r="AH647" s="347"/>
      <c r="AI647" s="347"/>
      <c r="AJ647" s="347"/>
      <c r="AK647" s="347"/>
      <c r="AL647" s="347"/>
      <c r="AM647" s="347"/>
      <c r="AN647" s="347"/>
      <c r="AO647" s="347"/>
      <c r="AP647" s="347"/>
      <c r="AQ647" s="347"/>
      <c r="AR647" s="347"/>
      <c r="AS647" s="347"/>
      <c r="AT647" s="347"/>
      <c r="AU647" s="347"/>
      <c r="AV647" s="347"/>
      <c r="AW647" s="347"/>
      <c r="AX647" s="347"/>
      <c r="AY647" s="347"/>
      <c r="AZ647" s="347"/>
      <c r="BA647" s="347"/>
      <c r="BB647" s="347"/>
      <c r="BC647" s="347"/>
      <c r="BD647" s="347"/>
      <c r="BE647" s="347"/>
      <c r="BF647" s="347"/>
      <c r="BG647" s="347"/>
      <c r="BH647" s="347"/>
    </row>
    <row r="648">
      <c r="A648" s="347"/>
      <c r="B648" s="347"/>
      <c r="C648" s="347"/>
      <c r="D648" s="347"/>
      <c r="E648" s="347"/>
      <c r="F648" s="347"/>
      <c r="G648" s="347"/>
      <c r="H648" s="347"/>
      <c r="I648" s="347"/>
      <c r="J648" s="347"/>
      <c r="K648" s="348"/>
      <c r="L648" s="348"/>
      <c r="M648" s="348"/>
      <c r="N648" s="348"/>
      <c r="O648" s="348"/>
      <c r="P648" s="347"/>
      <c r="Q648" s="347"/>
      <c r="R648" s="347"/>
      <c r="S648" s="347"/>
      <c r="T648" s="347"/>
      <c r="U648" s="347"/>
      <c r="V648" s="347"/>
      <c r="W648" s="347"/>
      <c r="X648" s="347"/>
      <c r="Y648" s="347"/>
      <c r="Z648" s="347"/>
      <c r="AA648" s="604"/>
      <c r="AB648" s="347"/>
      <c r="AC648" s="590"/>
      <c r="AD648" s="347"/>
      <c r="AE648" s="347"/>
      <c r="AF648" s="347"/>
      <c r="AG648" s="347"/>
      <c r="AH648" s="347"/>
      <c r="AI648" s="347"/>
      <c r="AJ648" s="347"/>
      <c r="AK648" s="347"/>
      <c r="AL648" s="347"/>
      <c r="AM648" s="347"/>
      <c r="AN648" s="347"/>
      <c r="AO648" s="347"/>
      <c r="AP648" s="347"/>
      <c r="AQ648" s="347"/>
      <c r="AR648" s="347"/>
      <c r="AS648" s="347"/>
      <c r="AT648" s="347"/>
      <c r="AU648" s="347"/>
      <c r="AV648" s="347"/>
      <c r="AW648" s="347"/>
      <c r="AX648" s="347"/>
      <c r="AY648" s="347"/>
      <c r="AZ648" s="347"/>
      <c r="BA648" s="347"/>
      <c r="BB648" s="347"/>
      <c r="BC648" s="347"/>
      <c r="BD648" s="347"/>
      <c r="BE648" s="347"/>
      <c r="BF648" s="347"/>
      <c r="BG648" s="347"/>
      <c r="BH648" s="347"/>
    </row>
    <row r="649">
      <c r="A649" s="347"/>
      <c r="B649" s="347"/>
      <c r="C649" s="347"/>
      <c r="D649" s="347"/>
      <c r="E649" s="347"/>
      <c r="F649" s="347"/>
      <c r="G649" s="347"/>
      <c r="H649" s="347"/>
      <c r="I649" s="347"/>
      <c r="J649" s="347"/>
      <c r="K649" s="348"/>
      <c r="L649" s="348"/>
      <c r="M649" s="348"/>
      <c r="N649" s="348"/>
      <c r="O649" s="348"/>
      <c r="P649" s="347"/>
      <c r="Q649" s="347"/>
      <c r="R649" s="347"/>
      <c r="S649" s="347"/>
      <c r="T649" s="347"/>
      <c r="U649" s="347"/>
      <c r="V649" s="347"/>
      <c r="W649" s="347"/>
      <c r="X649" s="347"/>
      <c r="Y649" s="347"/>
      <c r="Z649" s="347"/>
      <c r="AA649" s="604"/>
      <c r="AB649" s="347"/>
      <c r="AC649" s="590"/>
      <c r="AD649" s="347"/>
      <c r="AE649" s="347"/>
      <c r="AF649" s="347"/>
      <c r="AG649" s="347"/>
      <c r="AH649" s="347"/>
      <c r="AI649" s="347"/>
      <c r="AJ649" s="347"/>
      <c r="AK649" s="347"/>
      <c r="AL649" s="347"/>
      <c r="AM649" s="347"/>
      <c r="AN649" s="347"/>
      <c r="AO649" s="347"/>
      <c r="AP649" s="347"/>
      <c r="AQ649" s="347"/>
      <c r="AR649" s="347"/>
      <c r="AS649" s="347"/>
      <c r="AT649" s="347"/>
      <c r="AU649" s="347"/>
      <c r="AV649" s="347"/>
      <c r="AW649" s="347"/>
      <c r="AX649" s="347"/>
      <c r="AY649" s="347"/>
      <c r="AZ649" s="347"/>
      <c r="BA649" s="347"/>
      <c r="BB649" s="347"/>
      <c r="BC649" s="347"/>
      <c r="BD649" s="347"/>
      <c r="BE649" s="347"/>
      <c r="BF649" s="347"/>
      <c r="BG649" s="347"/>
      <c r="BH649" s="347"/>
    </row>
    <row r="650">
      <c r="A650" s="347"/>
      <c r="B650" s="347"/>
      <c r="C650" s="347"/>
      <c r="D650" s="347"/>
      <c r="E650" s="347"/>
      <c r="F650" s="347"/>
      <c r="G650" s="347"/>
      <c r="H650" s="347"/>
      <c r="I650" s="347"/>
      <c r="J650" s="347"/>
      <c r="K650" s="348"/>
      <c r="L650" s="348"/>
      <c r="M650" s="348"/>
      <c r="N650" s="348"/>
      <c r="O650" s="348"/>
      <c r="P650" s="347"/>
      <c r="Q650" s="347"/>
      <c r="R650" s="347"/>
      <c r="S650" s="347"/>
      <c r="T650" s="347"/>
      <c r="U650" s="347"/>
      <c r="V650" s="347"/>
      <c r="W650" s="347"/>
      <c r="X650" s="347"/>
      <c r="Y650" s="347"/>
      <c r="Z650" s="347"/>
      <c r="AA650" s="604"/>
      <c r="AB650" s="347"/>
      <c r="AC650" s="590"/>
      <c r="AD650" s="347"/>
      <c r="AE650" s="347"/>
      <c r="AF650" s="347"/>
      <c r="AG650" s="347"/>
      <c r="AH650" s="347"/>
      <c r="AI650" s="347"/>
      <c r="AJ650" s="347"/>
      <c r="AK650" s="347"/>
      <c r="AL650" s="347"/>
      <c r="AM650" s="347"/>
      <c r="AN650" s="347"/>
      <c r="AO650" s="347"/>
      <c r="AP650" s="347"/>
      <c r="AQ650" s="347"/>
      <c r="AR650" s="347"/>
      <c r="AS650" s="347"/>
      <c r="AT650" s="347"/>
      <c r="AU650" s="347"/>
      <c r="AV650" s="347"/>
      <c r="AW650" s="347"/>
      <c r="AX650" s="347"/>
      <c r="AY650" s="347"/>
      <c r="AZ650" s="347"/>
      <c r="BA650" s="347"/>
      <c r="BB650" s="347"/>
      <c r="BC650" s="347"/>
      <c r="BD650" s="347"/>
      <c r="BE650" s="347"/>
      <c r="BF650" s="347"/>
      <c r="BG650" s="347"/>
      <c r="BH650" s="347"/>
    </row>
    <row r="651">
      <c r="A651" s="347"/>
      <c r="B651" s="347"/>
      <c r="C651" s="347"/>
      <c r="D651" s="347"/>
      <c r="E651" s="347"/>
      <c r="F651" s="347"/>
      <c r="G651" s="347"/>
      <c r="H651" s="347"/>
      <c r="I651" s="347"/>
      <c r="J651" s="347"/>
      <c r="K651" s="348"/>
      <c r="L651" s="348"/>
      <c r="M651" s="348"/>
      <c r="N651" s="348"/>
      <c r="O651" s="348"/>
      <c r="P651" s="347"/>
      <c r="Q651" s="347"/>
      <c r="R651" s="347"/>
      <c r="S651" s="347"/>
      <c r="T651" s="347"/>
      <c r="U651" s="347"/>
      <c r="V651" s="347"/>
      <c r="W651" s="347"/>
      <c r="X651" s="347"/>
      <c r="Y651" s="347"/>
      <c r="Z651" s="347"/>
      <c r="AA651" s="604"/>
      <c r="AB651" s="347"/>
      <c r="AC651" s="590"/>
      <c r="AD651" s="347"/>
      <c r="AE651" s="347"/>
      <c r="AF651" s="347"/>
      <c r="AG651" s="347"/>
      <c r="AH651" s="347"/>
      <c r="AI651" s="347"/>
      <c r="AJ651" s="347"/>
      <c r="AK651" s="347"/>
      <c r="AL651" s="347"/>
      <c r="AM651" s="347"/>
      <c r="AN651" s="347"/>
      <c r="AO651" s="347"/>
      <c r="AP651" s="347"/>
      <c r="AQ651" s="347"/>
      <c r="AR651" s="347"/>
      <c r="AS651" s="347"/>
      <c r="AT651" s="347"/>
      <c r="AU651" s="347"/>
      <c r="AV651" s="347"/>
      <c r="AW651" s="347"/>
      <c r="AX651" s="347"/>
      <c r="AY651" s="347"/>
      <c r="AZ651" s="347"/>
      <c r="BA651" s="347"/>
      <c r="BB651" s="347"/>
      <c r="BC651" s="347"/>
      <c r="BD651" s="347"/>
      <c r="BE651" s="347"/>
      <c r="BF651" s="347"/>
      <c r="BG651" s="347"/>
      <c r="BH651" s="347"/>
    </row>
    <row r="652">
      <c r="A652" s="347"/>
      <c r="B652" s="347"/>
      <c r="C652" s="347"/>
      <c r="D652" s="347"/>
      <c r="E652" s="347"/>
      <c r="F652" s="347"/>
      <c r="G652" s="347"/>
      <c r="H652" s="347"/>
      <c r="I652" s="347"/>
      <c r="J652" s="347"/>
      <c r="K652" s="348"/>
      <c r="L652" s="348"/>
      <c r="M652" s="348"/>
      <c r="N652" s="348"/>
      <c r="O652" s="348"/>
      <c r="P652" s="347"/>
      <c r="Q652" s="347"/>
      <c r="R652" s="347"/>
      <c r="S652" s="347"/>
      <c r="T652" s="347"/>
      <c r="U652" s="347"/>
      <c r="V652" s="347"/>
      <c r="W652" s="347"/>
      <c r="X652" s="347"/>
      <c r="Y652" s="347"/>
      <c r="Z652" s="347"/>
      <c r="AA652" s="604"/>
      <c r="AB652" s="347"/>
      <c r="AC652" s="590"/>
      <c r="AD652" s="347"/>
      <c r="AE652" s="347"/>
      <c r="AF652" s="347"/>
      <c r="AG652" s="347"/>
      <c r="AH652" s="347"/>
      <c r="AI652" s="347"/>
      <c r="AJ652" s="347"/>
      <c r="AK652" s="347"/>
      <c r="AL652" s="347"/>
      <c r="AM652" s="347"/>
      <c r="AN652" s="347"/>
      <c r="AO652" s="347"/>
      <c r="AP652" s="347"/>
      <c r="AQ652" s="347"/>
      <c r="AR652" s="347"/>
      <c r="AS652" s="347"/>
      <c r="AT652" s="347"/>
      <c r="AU652" s="347"/>
      <c r="AV652" s="347"/>
      <c r="AW652" s="347"/>
      <c r="AX652" s="347"/>
      <c r="AY652" s="347"/>
      <c r="AZ652" s="347"/>
      <c r="BA652" s="347"/>
      <c r="BB652" s="347"/>
      <c r="BC652" s="347"/>
      <c r="BD652" s="347"/>
      <c r="BE652" s="347"/>
      <c r="BF652" s="347"/>
      <c r="BG652" s="347"/>
      <c r="BH652" s="347"/>
    </row>
    <row r="653">
      <c r="A653" s="347"/>
      <c r="B653" s="347"/>
      <c r="C653" s="347"/>
      <c r="D653" s="347"/>
      <c r="E653" s="347"/>
      <c r="F653" s="347"/>
      <c r="G653" s="347"/>
      <c r="H653" s="347"/>
      <c r="I653" s="347"/>
      <c r="J653" s="347"/>
      <c r="K653" s="348"/>
      <c r="L653" s="348"/>
      <c r="M653" s="348"/>
      <c r="N653" s="348"/>
      <c r="O653" s="348"/>
      <c r="P653" s="347"/>
      <c r="Q653" s="347"/>
      <c r="R653" s="347"/>
      <c r="S653" s="347"/>
      <c r="T653" s="347"/>
      <c r="U653" s="347"/>
      <c r="V653" s="347"/>
      <c r="W653" s="347"/>
      <c r="X653" s="347"/>
      <c r="Y653" s="347"/>
      <c r="Z653" s="347"/>
      <c r="AA653" s="604"/>
      <c r="AB653" s="347"/>
      <c r="AC653" s="590"/>
      <c r="AD653" s="347"/>
      <c r="AE653" s="347"/>
      <c r="AF653" s="347"/>
      <c r="AG653" s="347"/>
      <c r="AH653" s="347"/>
      <c r="AI653" s="347"/>
      <c r="AJ653" s="347"/>
      <c r="AK653" s="347"/>
      <c r="AL653" s="347"/>
      <c r="AM653" s="347"/>
      <c r="AN653" s="347"/>
      <c r="AO653" s="347"/>
      <c r="AP653" s="347"/>
      <c r="AQ653" s="347"/>
      <c r="AR653" s="347"/>
      <c r="AS653" s="347"/>
      <c r="AT653" s="347"/>
      <c r="AU653" s="347"/>
      <c r="AV653" s="347"/>
      <c r="AW653" s="347"/>
      <c r="AX653" s="347"/>
      <c r="AY653" s="347"/>
      <c r="AZ653" s="347"/>
      <c r="BA653" s="347"/>
      <c r="BB653" s="347"/>
      <c r="BC653" s="347"/>
      <c r="BD653" s="347"/>
      <c r="BE653" s="347"/>
      <c r="BF653" s="347"/>
      <c r="BG653" s="347"/>
      <c r="BH653" s="347"/>
    </row>
    <row r="654">
      <c r="A654" s="347"/>
      <c r="B654" s="347"/>
      <c r="C654" s="347"/>
      <c r="D654" s="347"/>
      <c r="E654" s="347"/>
      <c r="F654" s="347"/>
      <c r="G654" s="347"/>
      <c r="H654" s="347"/>
      <c r="I654" s="347"/>
      <c r="J654" s="347"/>
      <c r="K654" s="348"/>
      <c r="L654" s="348"/>
      <c r="M654" s="348"/>
      <c r="N654" s="348"/>
      <c r="O654" s="348"/>
      <c r="P654" s="347"/>
      <c r="Q654" s="347"/>
      <c r="R654" s="347"/>
      <c r="S654" s="347"/>
      <c r="T654" s="347"/>
      <c r="U654" s="347"/>
      <c r="V654" s="347"/>
      <c r="W654" s="347"/>
      <c r="X654" s="347"/>
      <c r="Y654" s="347"/>
      <c r="Z654" s="347"/>
      <c r="AA654" s="604"/>
      <c r="AB654" s="347"/>
      <c r="AC654" s="590"/>
      <c r="AD654" s="347"/>
      <c r="AE654" s="347"/>
      <c r="AF654" s="347"/>
      <c r="AG654" s="347"/>
      <c r="AH654" s="347"/>
      <c r="AI654" s="347"/>
      <c r="AJ654" s="347"/>
      <c r="AK654" s="347"/>
      <c r="AL654" s="347"/>
      <c r="AM654" s="347"/>
      <c r="AN654" s="347"/>
      <c r="AO654" s="347"/>
      <c r="AP654" s="347"/>
      <c r="AQ654" s="347"/>
      <c r="AR654" s="347"/>
      <c r="AS654" s="347"/>
      <c r="AT654" s="347"/>
      <c r="AU654" s="347"/>
      <c r="AV654" s="347"/>
      <c r="AW654" s="347"/>
      <c r="AX654" s="347"/>
      <c r="AY654" s="347"/>
      <c r="AZ654" s="347"/>
      <c r="BA654" s="347"/>
      <c r="BB654" s="347"/>
      <c r="BC654" s="347"/>
      <c r="BD654" s="347"/>
      <c r="BE654" s="347"/>
      <c r="BF654" s="347"/>
      <c r="BG654" s="347"/>
      <c r="BH654" s="347"/>
    </row>
    <row r="655">
      <c r="A655" s="347"/>
      <c r="B655" s="347"/>
      <c r="C655" s="347"/>
      <c r="D655" s="347"/>
      <c r="E655" s="347"/>
      <c r="F655" s="347"/>
      <c r="G655" s="347"/>
      <c r="H655" s="347"/>
      <c r="I655" s="347"/>
      <c r="J655" s="347"/>
      <c r="K655" s="348"/>
      <c r="L655" s="348"/>
      <c r="M655" s="348"/>
      <c r="N655" s="348"/>
      <c r="O655" s="348"/>
      <c r="P655" s="347"/>
      <c r="Q655" s="347"/>
      <c r="R655" s="347"/>
      <c r="S655" s="347"/>
      <c r="T655" s="347"/>
      <c r="U655" s="347"/>
      <c r="V655" s="347"/>
      <c r="W655" s="347"/>
      <c r="X655" s="347"/>
      <c r="Y655" s="347"/>
      <c r="Z655" s="347"/>
      <c r="AA655" s="604"/>
      <c r="AB655" s="347"/>
      <c r="AC655" s="590"/>
      <c r="AD655" s="347"/>
      <c r="AE655" s="347"/>
      <c r="AF655" s="347"/>
      <c r="AG655" s="347"/>
      <c r="AH655" s="347"/>
      <c r="AI655" s="347"/>
      <c r="AJ655" s="347"/>
      <c r="AK655" s="347"/>
      <c r="AL655" s="347"/>
      <c r="AM655" s="347"/>
      <c r="AN655" s="347"/>
      <c r="AO655" s="347"/>
      <c r="AP655" s="347"/>
      <c r="AQ655" s="347"/>
      <c r="AR655" s="347"/>
      <c r="AS655" s="347"/>
      <c r="AT655" s="347"/>
      <c r="AU655" s="347"/>
      <c r="AV655" s="347"/>
      <c r="AW655" s="347"/>
      <c r="AX655" s="347"/>
      <c r="AY655" s="347"/>
      <c r="AZ655" s="347"/>
      <c r="BA655" s="347"/>
      <c r="BB655" s="347"/>
      <c r="BC655" s="347"/>
      <c r="BD655" s="347"/>
      <c r="BE655" s="347"/>
      <c r="BF655" s="347"/>
      <c r="BG655" s="347"/>
      <c r="BH655" s="347"/>
    </row>
    <row r="656">
      <c r="A656" s="347"/>
      <c r="B656" s="347"/>
      <c r="C656" s="347"/>
      <c r="D656" s="347"/>
      <c r="E656" s="347"/>
      <c r="F656" s="347"/>
      <c r="G656" s="347"/>
      <c r="H656" s="347"/>
      <c r="I656" s="347"/>
      <c r="J656" s="347"/>
      <c r="K656" s="348"/>
      <c r="L656" s="348"/>
      <c r="M656" s="348"/>
      <c r="N656" s="348"/>
      <c r="O656" s="348"/>
      <c r="P656" s="347"/>
      <c r="Q656" s="347"/>
      <c r="R656" s="347"/>
      <c r="S656" s="347"/>
      <c r="T656" s="347"/>
      <c r="U656" s="347"/>
      <c r="V656" s="347"/>
      <c r="W656" s="347"/>
      <c r="X656" s="347"/>
      <c r="Y656" s="347"/>
      <c r="Z656" s="347"/>
      <c r="AA656" s="604"/>
      <c r="AB656" s="347"/>
      <c r="AC656" s="590"/>
      <c r="AD656" s="347"/>
      <c r="AE656" s="347"/>
      <c r="AF656" s="347"/>
      <c r="AG656" s="347"/>
      <c r="AH656" s="347"/>
      <c r="AI656" s="347"/>
      <c r="AJ656" s="347"/>
      <c r="AK656" s="347"/>
      <c r="AL656" s="347"/>
      <c r="AM656" s="347"/>
      <c r="AN656" s="347"/>
      <c r="AO656" s="347"/>
      <c r="AP656" s="347"/>
      <c r="AQ656" s="347"/>
      <c r="AR656" s="347"/>
      <c r="AS656" s="347"/>
      <c r="AT656" s="347"/>
      <c r="AU656" s="347"/>
      <c r="AV656" s="347"/>
      <c r="AW656" s="347"/>
      <c r="AX656" s="347"/>
      <c r="AY656" s="347"/>
      <c r="AZ656" s="347"/>
      <c r="BA656" s="347"/>
      <c r="BB656" s="347"/>
      <c r="BC656" s="347"/>
      <c r="BD656" s="347"/>
      <c r="BE656" s="347"/>
      <c r="BF656" s="347"/>
      <c r="BG656" s="347"/>
      <c r="BH656" s="347"/>
    </row>
    <row r="657">
      <c r="A657" s="347"/>
      <c r="B657" s="347"/>
      <c r="C657" s="347"/>
      <c r="D657" s="347"/>
      <c r="E657" s="347"/>
      <c r="F657" s="347"/>
      <c r="G657" s="347"/>
      <c r="H657" s="347"/>
      <c r="I657" s="347"/>
      <c r="J657" s="347"/>
      <c r="K657" s="348"/>
      <c r="L657" s="348"/>
      <c r="M657" s="348"/>
      <c r="N657" s="348"/>
      <c r="O657" s="348"/>
      <c r="P657" s="347"/>
      <c r="Q657" s="347"/>
      <c r="R657" s="347"/>
      <c r="S657" s="347"/>
      <c r="T657" s="347"/>
      <c r="U657" s="347"/>
      <c r="V657" s="347"/>
      <c r="W657" s="347"/>
      <c r="X657" s="347"/>
      <c r="Y657" s="347"/>
      <c r="Z657" s="347"/>
      <c r="AA657" s="604"/>
      <c r="AB657" s="347"/>
      <c r="AC657" s="590"/>
      <c r="AD657" s="347"/>
      <c r="AE657" s="347"/>
      <c r="AF657" s="347"/>
      <c r="AG657" s="347"/>
      <c r="AH657" s="347"/>
      <c r="AI657" s="347"/>
      <c r="AJ657" s="347"/>
      <c r="AK657" s="347"/>
      <c r="AL657" s="347"/>
      <c r="AM657" s="347"/>
      <c r="AN657" s="347"/>
      <c r="AO657" s="347"/>
      <c r="AP657" s="347"/>
      <c r="AQ657" s="347"/>
      <c r="AR657" s="347"/>
      <c r="AS657" s="347"/>
      <c r="AT657" s="347"/>
      <c r="AU657" s="347"/>
      <c r="AV657" s="347"/>
      <c r="AW657" s="347"/>
      <c r="AX657" s="347"/>
      <c r="AY657" s="347"/>
      <c r="AZ657" s="347"/>
      <c r="BA657" s="347"/>
      <c r="BB657" s="347"/>
      <c r="BC657" s="347"/>
      <c r="BD657" s="347"/>
      <c r="BE657" s="347"/>
      <c r="BF657" s="347"/>
      <c r="BG657" s="347"/>
      <c r="BH657" s="347"/>
    </row>
    <row r="658">
      <c r="A658" s="347"/>
      <c r="B658" s="347"/>
      <c r="C658" s="347"/>
      <c r="D658" s="347"/>
      <c r="E658" s="347"/>
      <c r="F658" s="347"/>
      <c r="G658" s="347"/>
      <c r="H658" s="347"/>
      <c r="I658" s="347"/>
      <c r="J658" s="347"/>
      <c r="K658" s="348"/>
      <c r="L658" s="348"/>
      <c r="M658" s="348"/>
      <c r="N658" s="348"/>
      <c r="O658" s="348"/>
      <c r="P658" s="347"/>
      <c r="Q658" s="347"/>
      <c r="R658" s="347"/>
      <c r="S658" s="347"/>
      <c r="T658" s="347"/>
      <c r="U658" s="347"/>
      <c r="V658" s="347"/>
      <c r="W658" s="347"/>
      <c r="X658" s="347"/>
      <c r="Y658" s="347"/>
      <c r="Z658" s="347"/>
      <c r="AA658" s="604"/>
      <c r="AB658" s="347"/>
      <c r="AC658" s="590"/>
      <c r="AD658" s="347"/>
      <c r="AE658" s="347"/>
      <c r="AF658" s="347"/>
      <c r="AG658" s="347"/>
      <c r="AH658" s="347"/>
      <c r="AI658" s="347"/>
      <c r="AJ658" s="347"/>
      <c r="AK658" s="347"/>
      <c r="AL658" s="347"/>
      <c r="AM658" s="347"/>
      <c r="AN658" s="347"/>
      <c r="AO658" s="347"/>
      <c r="AP658" s="347"/>
      <c r="AQ658" s="347"/>
      <c r="AR658" s="347"/>
      <c r="AS658" s="347"/>
      <c r="AT658" s="347"/>
      <c r="AU658" s="347"/>
      <c r="AV658" s="347"/>
      <c r="AW658" s="347"/>
      <c r="AX658" s="347"/>
      <c r="AY658" s="347"/>
      <c r="AZ658" s="347"/>
      <c r="BA658" s="347"/>
      <c r="BB658" s="347"/>
      <c r="BC658" s="347"/>
      <c r="BD658" s="347"/>
      <c r="BE658" s="347"/>
      <c r="BF658" s="347"/>
      <c r="BG658" s="347"/>
      <c r="BH658" s="347"/>
    </row>
    <row r="659">
      <c r="A659" s="347"/>
      <c r="B659" s="347"/>
      <c r="C659" s="347"/>
      <c r="D659" s="347"/>
      <c r="E659" s="347"/>
      <c r="F659" s="347"/>
      <c r="G659" s="347"/>
      <c r="H659" s="347"/>
      <c r="I659" s="347"/>
      <c r="J659" s="347"/>
      <c r="K659" s="348"/>
      <c r="L659" s="348"/>
      <c r="M659" s="348"/>
      <c r="N659" s="348"/>
      <c r="O659" s="348"/>
      <c r="P659" s="347"/>
      <c r="Q659" s="347"/>
      <c r="R659" s="347"/>
      <c r="S659" s="347"/>
      <c r="T659" s="347"/>
      <c r="U659" s="347"/>
      <c r="V659" s="347"/>
      <c r="W659" s="347"/>
      <c r="X659" s="347"/>
      <c r="Y659" s="347"/>
      <c r="Z659" s="347"/>
      <c r="AA659" s="604"/>
      <c r="AB659" s="347"/>
      <c r="AC659" s="590"/>
      <c r="AD659" s="347"/>
      <c r="AE659" s="347"/>
      <c r="AF659" s="347"/>
      <c r="AG659" s="347"/>
      <c r="AH659" s="347"/>
      <c r="AI659" s="347"/>
      <c r="AJ659" s="347"/>
      <c r="AK659" s="347"/>
      <c r="AL659" s="347"/>
      <c r="AM659" s="347"/>
      <c r="AN659" s="347"/>
      <c r="AO659" s="347"/>
      <c r="AP659" s="347"/>
      <c r="AQ659" s="347"/>
      <c r="AR659" s="347"/>
      <c r="AS659" s="347"/>
      <c r="AT659" s="347"/>
      <c r="AU659" s="347"/>
      <c r="AV659" s="347"/>
      <c r="AW659" s="347"/>
      <c r="AX659" s="347"/>
      <c r="AY659" s="347"/>
      <c r="AZ659" s="347"/>
      <c r="BA659" s="347"/>
      <c r="BB659" s="347"/>
      <c r="BC659" s="347"/>
      <c r="BD659" s="347"/>
      <c r="BE659" s="347"/>
      <c r="BF659" s="347"/>
      <c r="BG659" s="347"/>
      <c r="BH659" s="347"/>
    </row>
    <row r="660">
      <c r="A660" s="347"/>
      <c r="B660" s="347"/>
      <c r="C660" s="347"/>
      <c r="D660" s="347"/>
      <c r="E660" s="347"/>
      <c r="F660" s="347"/>
      <c r="G660" s="347"/>
      <c r="H660" s="347"/>
      <c r="I660" s="347"/>
      <c r="J660" s="347"/>
      <c r="K660" s="348"/>
      <c r="L660" s="348"/>
      <c r="M660" s="348"/>
      <c r="N660" s="348"/>
      <c r="O660" s="348"/>
      <c r="P660" s="347"/>
      <c r="Q660" s="347"/>
      <c r="R660" s="347"/>
      <c r="S660" s="347"/>
      <c r="T660" s="347"/>
      <c r="U660" s="347"/>
      <c r="V660" s="347"/>
      <c r="W660" s="347"/>
      <c r="X660" s="347"/>
      <c r="Y660" s="347"/>
      <c r="Z660" s="347"/>
      <c r="AA660" s="604"/>
      <c r="AB660" s="347"/>
      <c r="AC660" s="590"/>
      <c r="AD660" s="347"/>
      <c r="AE660" s="347"/>
      <c r="AF660" s="347"/>
      <c r="AG660" s="347"/>
      <c r="AH660" s="347"/>
      <c r="AI660" s="347"/>
      <c r="AJ660" s="347"/>
      <c r="AK660" s="347"/>
      <c r="AL660" s="347"/>
      <c r="AM660" s="347"/>
      <c r="AN660" s="347"/>
      <c r="AO660" s="347"/>
      <c r="AP660" s="347"/>
      <c r="AQ660" s="347"/>
      <c r="AR660" s="347"/>
      <c r="AS660" s="347"/>
      <c r="AT660" s="347"/>
      <c r="AU660" s="347"/>
      <c r="AV660" s="347"/>
      <c r="AW660" s="347"/>
      <c r="AX660" s="347"/>
      <c r="AY660" s="347"/>
      <c r="AZ660" s="347"/>
      <c r="BA660" s="347"/>
      <c r="BB660" s="347"/>
      <c r="BC660" s="347"/>
      <c r="BD660" s="347"/>
      <c r="BE660" s="347"/>
      <c r="BF660" s="347"/>
      <c r="BG660" s="347"/>
      <c r="BH660" s="347"/>
    </row>
    <row r="661">
      <c r="A661" s="347"/>
      <c r="B661" s="347"/>
      <c r="C661" s="347"/>
      <c r="D661" s="347"/>
      <c r="E661" s="347"/>
      <c r="F661" s="347"/>
      <c r="G661" s="347"/>
      <c r="H661" s="347"/>
      <c r="I661" s="347"/>
      <c r="J661" s="347"/>
      <c r="K661" s="348"/>
      <c r="L661" s="348"/>
      <c r="M661" s="348"/>
      <c r="N661" s="348"/>
      <c r="O661" s="348"/>
      <c r="P661" s="347"/>
      <c r="Q661" s="347"/>
      <c r="R661" s="347"/>
      <c r="S661" s="347"/>
      <c r="T661" s="347"/>
      <c r="U661" s="347"/>
      <c r="V661" s="347"/>
      <c r="W661" s="347"/>
      <c r="X661" s="347"/>
      <c r="Y661" s="347"/>
      <c r="Z661" s="347"/>
      <c r="AA661" s="604"/>
      <c r="AB661" s="347"/>
      <c r="AC661" s="590"/>
      <c r="AD661" s="347"/>
      <c r="AE661" s="347"/>
      <c r="AF661" s="347"/>
      <c r="AG661" s="347"/>
      <c r="AH661" s="347"/>
      <c r="AI661" s="347"/>
      <c r="AJ661" s="347"/>
      <c r="AK661" s="347"/>
      <c r="AL661" s="347"/>
      <c r="AM661" s="347"/>
      <c r="AN661" s="347"/>
      <c r="AO661" s="347"/>
      <c r="AP661" s="347"/>
      <c r="AQ661" s="347"/>
      <c r="AR661" s="347"/>
      <c r="AS661" s="347"/>
      <c r="AT661" s="347"/>
      <c r="AU661" s="347"/>
      <c r="AV661" s="347"/>
      <c r="AW661" s="347"/>
      <c r="AX661" s="347"/>
      <c r="AY661" s="347"/>
      <c r="AZ661" s="347"/>
      <c r="BA661" s="347"/>
      <c r="BB661" s="347"/>
      <c r="BC661" s="347"/>
      <c r="BD661" s="347"/>
      <c r="BE661" s="347"/>
      <c r="BF661" s="347"/>
      <c r="BG661" s="347"/>
      <c r="BH661" s="347"/>
    </row>
    <row r="662">
      <c r="A662" s="347"/>
      <c r="B662" s="347"/>
      <c r="C662" s="347"/>
      <c r="D662" s="347"/>
      <c r="E662" s="347"/>
      <c r="F662" s="347"/>
      <c r="G662" s="347"/>
      <c r="H662" s="347"/>
      <c r="I662" s="347"/>
      <c r="J662" s="347"/>
      <c r="K662" s="348"/>
      <c r="L662" s="348"/>
      <c r="M662" s="348"/>
      <c r="N662" s="348"/>
      <c r="O662" s="348"/>
      <c r="P662" s="347"/>
      <c r="Q662" s="347"/>
      <c r="R662" s="347"/>
      <c r="S662" s="347"/>
      <c r="T662" s="347"/>
      <c r="U662" s="347"/>
      <c r="V662" s="347"/>
      <c r="W662" s="347"/>
      <c r="X662" s="347"/>
      <c r="Y662" s="347"/>
      <c r="Z662" s="347"/>
      <c r="AA662" s="604"/>
      <c r="AB662" s="347"/>
      <c r="AC662" s="590"/>
      <c r="AD662" s="347"/>
      <c r="AE662" s="347"/>
      <c r="AF662" s="347"/>
      <c r="AG662" s="347"/>
      <c r="AH662" s="347"/>
      <c r="AI662" s="347"/>
      <c r="AJ662" s="347"/>
      <c r="AK662" s="347"/>
      <c r="AL662" s="347"/>
      <c r="AM662" s="347"/>
      <c r="AN662" s="347"/>
      <c r="AO662" s="347"/>
      <c r="AP662" s="347"/>
      <c r="AQ662" s="347"/>
      <c r="AR662" s="347"/>
      <c r="AS662" s="347"/>
      <c r="AT662" s="347"/>
      <c r="AU662" s="347"/>
      <c r="AV662" s="347"/>
      <c r="AW662" s="347"/>
      <c r="AX662" s="347"/>
      <c r="AY662" s="347"/>
      <c r="AZ662" s="347"/>
      <c r="BA662" s="347"/>
      <c r="BB662" s="347"/>
      <c r="BC662" s="347"/>
      <c r="BD662" s="347"/>
      <c r="BE662" s="347"/>
      <c r="BF662" s="347"/>
      <c r="BG662" s="347"/>
      <c r="BH662" s="347"/>
    </row>
    <row r="663">
      <c r="A663" s="347"/>
      <c r="B663" s="347"/>
      <c r="C663" s="347"/>
      <c r="D663" s="347"/>
      <c r="E663" s="347"/>
      <c r="F663" s="347"/>
      <c r="G663" s="347"/>
      <c r="H663" s="347"/>
      <c r="I663" s="347"/>
      <c r="J663" s="347"/>
      <c r="K663" s="348"/>
      <c r="L663" s="348"/>
      <c r="M663" s="348"/>
      <c r="N663" s="348"/>
      <c r="O663" s="348"/>
      <c r="P663" s="347"/>
      <c r="Q663" s="347"/>
      <c r="R663" s="347"/>
      <c r="S663" s="347"/>
      <c r="T663" s="347"/>
      <c r="U663" s="347"/>
      <c r="V663" s="347"/>
      <c r="W663" s="347"/>
      <c r="X663" s="347"/>
      <c r="Y663" s="347"/>
      <c r="Z663" s="347"/>
      <c r="AA663" s="604"/>
      <c r="AB663" s="347"/>
      <c r="AC663" s="590"/>
      <c r="AD663" s="347"/>
      <c r="AE663" s="347"/>
      <c r="AF663" s="347"/>
      <c r="AG663" s="347"/>
      <c r="AH663" s="347"/>
      <c r="AI663" s="347"/>
      <c r="AJ663" s="347"/>
      <c r="AK663" s="347"/>
      <c r="AL663" s="347"/>
      <c r="AM663" s="347"/>
      <c r="AN663" s="347"/>
      <c r="AO663" s="347"/>
      <c r="AP663" s="347"/>
      <c r="AQ663" s="347"/>
      <c r="AR663" s="347"/>
      <c r="AS663" s="347"/>
      <c r="AT663" s="347"/>
      <c r="AU663" s="347"/>
      <c r="AV663" s="347"/>
      <c r="AW663" s="347"/>
      <c r="AX663" s="347"/>
      <c r="AY663" s="347"/>
      <c r="AZ663" s="347"/>
      <c r="BA663" s="347"/>
      <c r="BB663" s="347"/>
      <c r="BC663" s="347"/>
      <c r="BD663" s="347"/>
      <c r="BE663" s="347"/>
      <c r="BF663" s="347"/>
      <c r="BG663" s="347"/>
      <c r="BH663" s="347"/>
    </row>
    <row r="664">
      <c r="A664" s="347"/>
      <c r="B664" s="347"/>
      <c r="C664" s="347"/>
      <c r="D664" s="347"/>
      <c r="E664" s="347"/>
      <c r="F664" s="347"/>
      <c r="G664" s="347"/>
      <c r="H664" s="347"/>
      <c r="I664" s="347"/>
      <c r="J664" s="347"/>
      <c r="K664" s="348"/>
      <c r="L664" s="348"/>
      <c r="M664" s="348"/>
      <c r="N664" s="348"/>
      <c r="O664" s="348"/>
      <c r="P664" s="347"/>
      <c r="Q664" s="347"/>
      <c r="R664" s="347"/>
      <c r="S664" s="347"/>
      <c r="T664" s="347"/>
      <c r="U664" s="347"/>
      <c r="V664" s="347"/>
      <c r="W664" s="347"/>
      <c r="X664" s="347"/>
      <c r="Y664" s="347"/>
      <c r="Z664" s="347"/>
      <c r="AA664" s="604"/>
      <c r="AB664" s="347"/>
      <c r="AC664" s="590"/>
      <c r="AD664" s="347"/>
      <c r="AE664" s="347"/>
      <c r="AF664" s="347"/>
      <c r="AG664" s="347"/>
      <c r="AH664" s="347"/>
      <c r="AI664" s="347"/>
      <c r="AJ664" s="347"/>
      <c r="AK664" s="347"/>
      <c r="AL664" s="347"/>
      <c r="AM664" s="347"/>
      <c r="AN664" s="347"/>
      <c r="AO664" s="347"/>
      <c r="AP664" s="347"/>
      <c r="AQ664" s="347"/>
      <c r="AR664" s="347"/>
      <c r="AS664" s="347"/>
      <c r="AT664" s="347"/>
      <c r="AU664" s="347"/>
      <c r="AV664" s="347"/>
      <c r="AW664" s="347"/>
      <c r="AX664" s="347"/>
      <c r="AY664" s="347"/>
      <c r="AZ664" s="347"/>
      <c r="BA664" s="347"/>
      <c r="BB664" s="347"/>
      <c r="BC664" s="347"/>
      <c r="BD664" s="347"/>
      <c r="BE664" s="347"/>
      <c r="BF664" s="347"/>
      <c r="BG664" s="347"/>
      <c r="BH664" s="347"/>
    </row>
    <row r="665">
      <c r="A665" s="347"/>
      <c r="B665" s="347"/>
      <c r="C665" s="347"/>
      <c r="D665" s="347"/>
      <c r="E665" s="347"/>
      <c r="F665" s="347"/>
      <c r="G665" s="347"/>
      <c r="H665" s="347"/>
      <c r="I665" s="347"/>
      <c r="J665" s="347"/>
      <c r="K665" s="348"/>
      <c r="L665" s="348"/>
      <c r="M665" s="348"/>
      <c r="N665" s="348"/>
      <c r="O665" s="348"/>
      <c r="P665" s="347"/>
      <c r="Q665" s="347"/>
      <c r="R665" s="347"/>
      <c r="S665" s="347"/>
      <c r="T665" s="347"/>
      <c r="U665" s="347"/>
      <c r="V665" s="347"/>
      <c r="W665" s="347"/>
      <c r="X665" s="347"/>
      <c r="Y665" s="347"/>
      <c r="Z665" s="347"/>
      <c r="AA665" s="604"/>
      <c r="AB665" s="347"/>
      <c r="AC665" s="590"/>
      <c r="AD665" s="347"/>
      <c r="AE665" s="347"/>
      <c r="AF665" s="347"/>
      <c r="AG665" s="347"/>
      <c r="AH665" s="347"/>
      <c r="AI665" s="347"/>
      <c r="AJ665" s="347"/>
      <c r="AK665" s="347"/>
      <c r="AL665" s="347"/>
      <c r="AM665" s="347"/>
      <c r="AN665" s="347"/>
      <c r="AO665" s="347"/>
      <c r="AP665" s="347"/>
      <c r="AQ665" s="347"/>
      <c r="AR665" s="347"/>
      <c r="AS665" s="347"/>
      <c r="AT665" s="347"/>
      <c r="AU665" s="347"/>
      <c r="AV665" s="347"/>
      <c r="AW665" s="347"/>
      <c r="AX665" s="347"/>
      <c r="AY665" s="347"/>
      <c r="AZ665" s="347"/>
      <c r="BA665" s="347"/>
      <c r="BB665" s="347"/>
      <c r="BC665" s="347"/>
      <c r="BD665" s="347"/>
      <c r="BE665" s="347"/>
      <c r="BF665" s="347"/>
      <c r="BG665" s="347"/>
      <c r="BH665" s="347"/>
    </row>
    <row r="666">
      <c r="A666" s="347"/>
      <c r="B666" s="347"/>
      <c r="C666" s="347"/>
      <c r="D666" s="347"/>
      <c r="E666" s="347"/>
      <c r="F666" s="347"/>
      <c r="G666" s="347"/>
      <c r="H666" s="347"/>
      <c r="I666" s="347"/>
      <c r="J666" s="347"/>
      <c r="K666" s="348"/>
      <c r="L666" s="348"/>
      <c r="M666" s="348"/>
      <c r="N666" s="348"/>
      <c r="O666" s="348"/>
      <c r="P666" s="347"/>
      <c r="Q666" s="347"/>
      <c r="R666" s="347"/>
      <c r="S666" s="347"/>
      <c r="T666" s="347"/>
      <c r="U666" s="347"/>
      <c r="V666" s="347"/>
      <c r="W666" s="347"/>
      <c r="X666" s="347"/>
      <c r="Y666" s="347"/>
      <c r="Z666" s="347"/>
      <c r="AA666" s="604"/>
      <c r="AB666" s="347"/>
      <c r="AC666" s="590"/>
      <c r="AD666" s="347"/>
      <c r="AE666" s="347"/>
      <c r="AF666" s="347"/>
      <c r="AG666" s="347"/>
      <c r="AH666" s="347"/>
      <c r="AI666" s="347"/>
      <c r="AJ666" s="347"/>
      <c r="AK666" s="347"/>
      <c r="AL666" s="347"/>
      <c r="AM666" s="347"/>
      <c r="AN666" s="347"/>
      <c r="AO666" s="347"/>
      <c r="AP666" s="347"/>
      <c r="AQ666" s="347"/>
      <c r="AR666" s="347"/>
      <c r="AS666" s="347"/>
      <c r="AT666" s="347"/>
      <c r="AU666" s="347"/>
      <c r="AV666" s="347"/>
      <c r="AW666" s="347"/>
      <c r="AX666" s="347"/>
      <c r="AY666" s="347"/>
      <c r="AZ666" s="347"/>
      <c r="BA666" s="347"/>
      <c r="BB666" s="347"/>
      <c r="BC666" s="347"/>
      <c r="BD666" s="347"/>
      <c r="BE666" s="347"/>
      <c r="BF666" s="347"/>
      <c r="BG666" s="347"/>
      <c r="BH666" s="347"/>
    </row>
    <row r="667">
      <c r="A667" s="347"/>
      <c r="B667" s="347"/>
      <c r="C667" s="347"/>
      <c r="D667" s="347"/>
      <c r="E667" s="347"/>
      <c r="F667" s="347"/>
      <c r="G667" s="347"/>
      <c r="H667" s="347"/>
      <c r="I667" s="347"/>
      <c r="J667" s="347"/>
      <c r="K667" s="348"/>
      <c r="L667" s="348"/>
      <c r="M667" s="348"/>
      <c r="N667" s="348"/>
      <c r="O667" s="348"/>
      <c r="P667" s="347"/>
      <c r="Q667" s="347"/>
      <c r="R667" s="347"/>
      <c r="S667" s="347"/>
      <c r="T667" s="347"/>
      <c r="U667" s="347"/>
      <c r="V667" s="347"/>
      <c r="W667" s="347"/>
      <c r="X667" s="347"/>
      <c r="Y667" s="347"/>
      <c r="Z667" s="347"/>
      <c r="AA667" s="604"/>
      <c r="AB667" s="347"/>
      <c r="AC667" s="590"/>
      <c r="AD667" s="347"/>
      <c r="AE667" s="347"/>
      <c r="AF667" s="347"/>
      <c r="AG667" s="347"/>
      <c r="AH667" s="347"/>
      <c r="AI667" s="347"/>
      <c r="AJ667" s="347"/>
      <c r="AK667" s="347"/>
      <c r="AL667" s="347"/>
      <c r="AM667" s="347"/>
      <c r="AN667" s="347"/>
      <c r="AO667" s="347"/>
      <c r="AP667" s="347"/>
      <c r="AQ667" s="347"/>
      <c r="AR667" s="347"/>
      <c r="AS667" s="347"/>
      <c r="AT667" s="347"/>
      <c r="AU667" s="347"/>
      <c r="AV667" s="347"/>
      <c r="AW667" s="347"/>
      <c r="AX667" s="347"/>
      <c r="AY667" s="347"/>
      <c r="AZ667" s="347"/>
      <c r="BA667" s="347"/>
      <c r="BB667" s="347"/>
      <c r="BC667" s="347"/>
      <c r="BD667" s="347"/>
      <c r="BE667" s="347"/>
      <c r="BF667" s="347"/>
      <c r="BG667" s="347"/>
      <c r="BH667" s="347"/>
    </row>
    <row r="668">
      <c r="A668" s="347"/>
      <c r="B668" s="347"/>
      <c r="C668" s="347"/>
      <c r="D668" s="347"/>
      <c r="E668" s="347"/>
      <c r="F668" s="347"/>
      <c r="G668" s="347"/>
      <c r="H668" s="347"/>
      <c r="I668" s="347"/>
      <c r="J668" s="347"/>
      <c r="K668" s="348"/>
      <c r="L668" s="348"/>
      <c r="M668" s="348"/>
      <c r="N668" s="348"/>
      <c r="O668" s="348"/>
      <c r="P668" s="347"/>
      <c r="Q668" s="347"/>
      <c r="R668" s="347"/>
      <c r="S668" s="347"/>
      <c r="T668" s="347"/>
      <c r="U668" s="347"/>
      <c r="V668" s="347"/>
      <c r="W668" s="347"/>
      <c r="X668" s="347"/>
      <c r="Y668" s="347"/>
      <c r="Z668" s="347"/>
      <c r="AA668" s="604"/>
      <c r="AB668" s="347"/>
      <c r="AC668" s="590"/>
      <c r="AD668" s="347"/>
      <c r="AE668" s="347"/>
      <c r="AF668" s="347"/>
      <c r="AG668" s="347"/>
      <c r="AH668" s="347"/>
      <c r="AI668" s="347"/>
      <c r="AJ668" s="347"/>
      <c r="AK668" s="347"/>
      <c r="AL668" s="347"/>
      <c r="AM668" s="347"/>
      <c r="AN668" s="347"/>
      <c r="AO668" s="347"/>
      <c r="AP668" s="347"/>
      <c r="AQ668" s="347"/>
      <c r="AR668" s="347"/>
      <c r="AS668" s="347"/>
      <c r="AT668" s="347"/>
      <c r="AU668" s="347"/>
      <c r="AV668" s="347"/>
      <c r="AW668" s="347"/>
      <c r="AX668" s="347"/>
      <c r="AY668" s="347"/>
      <c r="AZ668" s="347"/>
      <c r="BA668" s="347"/>
      <c r="BB668" s="347"/>
      <c r="BC668" s="347"/>
      <c r="BD668" s="347"/>
      <c r="BE668" s="347"/>
      <c r="BF668" s="347"/>
      <c r="BG668" s="347"/>
      <c r="BH668" s="347"/>
    </row>
    <row r="669">
      <c r="A669" s="347"/>
      <c r="B669" s="347"/>
      <c r="C669" s="347"/>
      <c r="D669" s="347"/>
      <c r="E669" s="347"/>
      <c r="F669" s="347"/>
      <c r="G669" s="347"/>
      <c r="H669" s="347"/>
      <c r="I669" s="347"/>
      <c r="J669" s="347"/>
      <c r="K669" s="348"/>
      <c r="L669" s="348"/>
      <c r="M669" s="348"/>
      <c r="N669" s="348"/>
      <c r="O669" s="348"/>
      <c r="P669" s="347"/>
      <c r="Q669" s="347"/>
      <c r="R669" s="347"/>
      <c r="S669" s="347"/>
      <c r="T669" s="347"/>
      <c r="U669" s="347"/>
      <c r="V669" s="347"/>
      <c r="W669" s="347"/>
      <c r="X669" s="347"/>
      <c r="Y669" s="347"/>
      <c r="Z669" s="347"/>
      <c r="AA669" s="604"/>
      <c r="AB669" s="347"/>
      <c r="AC669" s="590"/>
      <c r="AD669" s="347"/>
      <c r="AE669" s="347"/>
      <c r="AF669" s="347"/>
      <c r="AG669" s="347"/>
      <c r="AH669" s="347"/>
      <c r="AI669" s="347"/>
      <c r="AJ669" s="347"/>
      <c r="AK669" s="347"/>
      <c r="AL669" s="347"/>
      <c r="AM669" s="347"/>
      <c r="AN669" s="347"/>
      <c r="AO669" s="347"/>
      <c r="AP669" s="347"/>
      <c r="AQ669" s="347"/>
      <c r="AR669" s="347"/>
      <c r="AS669" s="347"/>
      <c r="AT669" s="347"/>
      <c r="AU669" s="347"/>
      <c r="AV669" s="347"/>
      <c r="AW669" s="347"/>
      <c r="AX669" s="347"/>
      <c r="AY669" s="347"/>
      <c r="AZ669" s="347"/>
      <c r="BA669" s="347"/>
      <c r="BB669" s="347"/>
      <c r="BC669" s="347"/>
      <c r="BD669" s="347"/>
      <c r="BE669" s="347"/>
      <c r="BF669" s="347"/>
      <c r="BG669" s="347"/>
      <c r="BH669" s="347"/>
    </row>
    <row r="670">
      <c r="A670" s="347"/>
      <c r="B670" s="347"/>
      <c r="C670" s="347"/>
      <c r="D670" s="347"/>
      <c r="E670" s="347"/>
      <c r="F670" s="347"/>
      <c r="G670" s="347"/>
      <c r="H670" s="347"/>
      <c r="I670" s="347"/>
      <c r="J670" s="347"/>
      <c r="K670" s="348"/>
      <c r="L670" s="348"/>
      <c r="M670" s="348"/>
      <c r="N670" s="348"/>
      <c r="O670" s="348"/>
      <c r="P670" s="347"/>
      <c r="Q670" s="347"/>
      <c r="R670" s="347"/>
      <c r="S670" s="347"/>
      <c r="T670" s="347"/>
      <c r="U670" s="347"/>
      <c r="V670" s="347"/>
      <c r="W670" s="347"/>
      <c r="X670" s="347"/>
      <c r="Y670" s="347"/>
      <c r="Z670" s="347"/>
      <c r="AA670" s="604"/>
      <c r="AB670" s="347"/>
      <c r="AC670" s="590"/>
      <c r="AD670" s="347"/>
      <c r="AE670" s="347"/>
      <c r="AF670" s="347"/>
      <c r="AG670" s="347"/>
      <c r="AH670" s="347"/>
      <c r="AI670" s="347"/>
      <c r="AJ670" s="347"/>
      <c r="AK670" s="347"/>
      <c r="AL670" s="347"/>
      <c r="AM670" s="347"/>
      <c r="AN670" s="347"/>
      <c r="AO670" s="347"/>
      <c r="AP670" s="347"/>
      <c r="AQ670" s="347"/>
      <c r="AR670" s="347"/>
      <c r="AS670" s="347"/>
      <c r="AT670" s="347"/>
      <c r="AU670" s="347"/>
      <c r="AV670" s="347"/>
      <c r="AW670" s="347"/>
      <c r="AX670" s="347"/>
      <c r="AY670" s="347"/>
      <c r="AZ670" s="347"/>
      <c r="BA670" s="347"/>
      <c r="BB670" s="347"/>
      <c r="BC670" s="347"/>
      <c r="BD670" s="347"/>
      <c r="BE670" s="347"/>
      <c r="BF670" s="347"/>
      <c r="BG670" s="347"/>
      <c r="BH670" s="347"/>
    </row>
    <row r="671">
      <c r="A671" s="347"/>
      <c r="B671" s="347"/>
      <c r="C671" s="347"/>
      <c r="D671" s="347"/>
      <c r="E671" s="347"/>
      <c r="F671" s="347"/>
      <c r="G671" s="347"/>
      <c r="H671" s="347"/>
      <c r="I671" s="347"/>
      <c r="J671" s="347"/>
      <c r="K671" s="348"/>
      <c r="L671" s="348"/>
      <c r="M671" s="348"/>
      <c r="N671" s="348"/>
      <c r="O671" s="348"/>
      <c r="P671" s="347"/>
      <c r="Q671" s="347"/>
      <c r="R671" s="347"/>
      <c r="S671" s="347"/>
      <c r="T671" s="347"/>
      <c r="U671" s="347"/>
      <c r="V671" s="347"/>
      <c r="W671" s="347"/>
      <c r="X671" s="347"/>
      <c r="Y671" s="347"/>
      <c r="Z671" s="347"/>
      <c r="AA671" s="604"/>
      <c r="AB671" s="347"/>
      <c r="AC671" s="590"/>
      <c r="AD671" s="347"/>
      <c r="AE671" s="347"/>
      <c r="AF671" s="347"/>
      <c r="AG671" s="347"/>
      <c r="AH671" s="347"/>
      <c r="AI671" s="347"/>
      <c r="AJ671" s="347"/>
      <c r="AK671" s="347"/>
      <c r="AL671" s="347"/>
      <c r="AM671" s="347"/>
      <c r="AN671" s="347"/>
      <c r="AO671" s="347"/>
      <c r="AP671" s="347"/>
      <c r="AQ671" s="347"/>
      <c r="AR671" s="347"/>
      <c r="AS671" s="347"/>
      <c r="AT671" s="347"/>
      <c r="AU671" s="347"/>
      <c r="AV671" s="347"/>
      <c r="AW671" s="347"/>
      <c r="AX671" s="347"/>
      <c r="AY671" s="347"/>
      <c r="AZ671" s="347"/>
      <c r="BA671" s="347"/>
      <c r="BB671" s="347"/>
      <c r="BC671" s="347"/>
      <c r="BD671" s="347"/>
      <c r="BE671" s="347"/>
      <c r="BF671" s="347"/>
      <c r="BG671" s="347"/>
      <c r="BH671" s="347"/>
    </row>
    <row r="672">
      <c r="A672" s="347"/>
      <c r="B672" s="347"/>
      <c r="C672" s="347"/>
      <c r="D672" s="347"/>
      <c r="E672" s="347"/>
      <c r="F672" s="347"/>
      <c r="G672" s="347"/>
      <c r="H672" s="347"/>
      <c r="I672" s="347"/>
      <c r="J672" s="347"/>
      <c r="K672" s="348"/>
      <c r="L672" s="348"/>
      <c r="M672" s="348"/>
      <c r="N672" s="348"/>
      <c r="O672" s="348"/>
      <c r="P672" s="347"/>
      <c r="Q672" s="347"/>
      <c r="R672" s="347"/>
      <c r="S672" s="347"/>
      <c r="T672" s="347"/>
      <c r="U672" s="347"/>
      <c r="V672" s="347"/>
      <c r="W672" s="347"/>
      <c r="X672" s="347"/>
      <c r="Y672" s="347"/>
      <c r="Z672" s="347"/>
      <c r="AA672" s="604"/>
      <c r="AB672" s="347"/>
      <c r="AC672" s="590"/>
      <c r="AD672" s="347"/>
      <c r="AE672" s="347"/>
      <c r="AF672" s="347"/>
      <c r="AG672" s="347"/>
      <c r="AH672" s="347"/>
      <c r="AI672" s="347"/>
      <c r="AJ672" s="347"/>
      <c r="AK672" s="347"/>
      <c r="AL672" s="347"/>
      <c r="AM672" s="347"/>
      <c r="AN672" s="347"/>
      <c r="AO672" s="347"/>
      <c r="AP672" s="347"/>
      <c r="AQ672" s="347"/>
      <c r="AR672" s="347"/>
      <c r="AS672" s="347"/>
      <c r="AT672" s="347"/>
      <c r="AU672" s="347"/>
      <c r="AV672" s="347"/>
      <c r="AW672" s="347"/>
      <c r="AX672" s="347"/>
      <c r="AY672" s="347"/>
      <c r="AZ672" s="347"/>
      <c r="BA672" s="347"/>
      <c r="BB672" s="347"/>
      <c r="BC672" s="347"/>
      <c r="BD672" s="347"/>
      <c r="BE672" s="347"/>
      <c r="BF672" s="347"/>
      <c r="BG672" s="347"/>
      <c r="BH672" s="347"/>
    </row>
    <row r="673">
      <c r="A673" s="347"/>
      <c r="B673" s="347"/>
      <c r="C673" s="347"/>
      <c r="D673" s="347"/>
      <c r="E673" s="347"/>
      <c r="F673" s="347"/>
      <c r="G673" s="347"/>
      <c r="H673" s="347"/>
      <c r="I673" s="347"/>
      <c r="J673" s="347"/>
      <c r="K673" s="348"/>
      <c r="L673" s="348"/>
      <c r="M673" s="348"/>
      <c r="N673" s="348"/>
      <c r="O673" s="348"/>
      <c r="P673" s="347"/>
      <c r="Q673" s="347"/>
      <c r="R673" s="347"/>
      <c r="S673" s="347"/>
      <c r="T673" s="347"/>
      <c r="U673" s="347"/>
      <c r="V673" s="347"/>
      <c r="W673" s="347"/>
      <c r="X673" s="347"/>
      <c r="Y673" s="347"/>
      <c r="Z673" s="347"/>
      <c r="AA673" s="604"/>
      <c r="AB673" s="347"/>
      <c r="AC673" s="590"/>
      <c r="AD673" s="347"/>
      <c r="AE673" s="347"/>
      <c r="AF673" s="347"/>
      <c r="AG673" s="347"/>
      <c r="AH673" s="347"/>
      <c r="AI673" s="347"/>
      <c r="AJ673" s="347"/>
      <c r="AK673" s="347"/>
      <c r="AL673" s="347"/>
      <c r="AM673" s="347"/>
      <c r="AN673" s="347"/>
      <c r="AO673" s="347"/>
      <c r="AP673" s="347"/>
      <c r="AQ673" s="347"/>
      <c r="AR673" s="347"/>
      <c r="AS673" s="347"/>
      <c r="AT673" s="347"/>
      <c r="AU673" s="347"/>
      <c r="AV673" s="347"/>
      <c r="AW673" s="347"/>
      <c r="AX673" s="347"/>
      <c r="AY673" s="347"/>
      <c r="AZ673" s="347"/>
      <c r="BA673" s="347"/>
      <c r="BB673" s="347"/>
      <c r="BC673" s="347"/>
      <c r="BD673" s="347"/>
      <c r="BE673" s="347"/>
      <c r="BF673" s="347"/>
      <c r="BG673" s="347"/>
      <c r="BH673" s="347"/>
    </row>
    <row r="674">
      <c r="A674" s="347"/>
      <c r="B674" s="347"/>
      <c r="C674" s="347"/>
      <c r="D674" s="347"/>
      <c r="E674" s="347"/>
      <c r="F674" s="347"/>
      <c r="G674" s="347"/>
      <c r="H674" s="347"/>
      <c r="I674" s="347"/>
      <c r="J674" s="347"/>
      <c r="K674" s="348"/>
      <c r="L674" s="348"/>
      <c r="M674" s="348"/>
      <c r="N674" s="348"/>
      <c r="O674" s="348"/>
      <c r="P674" s="347"/>
      <c r="Q674" s="347"/>
      <c r="R674" s="347"/>
      <c r="S674" s="347"/>
      <c r="T674" s="347"/>
      <c r="U674" s="347"/>
      <c r="V674" s="347"/>
      <c r="W674" s="347"/>
      <c r="X674" s="347"/>
      <c r="Y674" s="347"/>
      <c r="Z674" s="347"/>
      <c r="AA674" s="604"/>
      <c r="AB674" s="347"/>
      <c r="AC674" s="590"/>
      <c r="AD674" s="347"/>
      <c r="AE674" s="347"/>
      <c r="AF674" s="347"/>
      <c r="AG674" s="347"/>
      <c r="AH674" s="347"/>
      <c r="AI674" s="347"/>
      <c r="AJ674" s="347"/>
      <c r="AK674" s="347"/>
      <c r="AL674" s="347"/>
      <c r="AM674" s="347"/>
      <c r="AN674" s="347"/>
      <c r="AO674" s="347"/>
      <c r="AP674" s="347"/>
      <c r="AQ674" s="347"/>
      <c r="AR674" s="347"/>
      <c r="AS674" s="347"/>
      <c r="AT674" s="347"/>
      <c r="AU674" s="347"/>
      <c r="AV674" s="347"/>
      <c r="AW674" s="347"/>
      <c r="AX674" s="347"/>
      <c r="AY674" s="347"/>
      <c r="AZ674" s="347"/>
      <c r="BA674" s="347"/>
      <c r="BB674" s="347"/>
      <c r="BC674" s="347"/>
      <c r="BD674" s="347"/>
      <c r="BE674" s="347"/>
      <c r="BF674" s="347"/>
      <c r="BG674" s="347"/>
      <c r="BH674" s="347"/>
    </row>
    <row r="675">
      <c r="A675" s="347"/>
      <c r="B675" s="347"/>
      <c r="C675" s="347"/>
      <c r="D675" s="347"/>
      <c r="E675" s="347"/>
      <c r="F675" s="347"/>
      <c r="G675" s="347"/>
      <c r="H675" s="347"/>
      <c r="I675" s="347"/>
      <c r="J675" s="347"/>
      <c r="K675" s="348"/>
      <c r="L675" s="348"/>
      <c r="M675" s="348"/>
      <c r="N675" s="348"/>
      <c r="O675" s="348"/>
      <c r="P675" s="347"/>
      <c r="Q675" s="347"/>
      <c r="R675" s="347"/>
      <c r="S675" s="347"/>
      <c r="T675" s="347"/>
      <c r="U675" s="347"/>
      <c r="V675" s="347"/>
      <c r="W675" s="347"/>
      <c r="X675" s="347"/>
      <c r="Y675" s="347"/>
      <c r="Z675" s="347"/>
      <c r="AA675" s="604"/>
      <c r="AB675" s="347"/>
      <c r="AC675" s="590"/>
      <c r="AD675" s="347"/>
      <c r="AE675" s="347"/>
      <c r="AF675" s="347"/>
      <c r="AG675" s="347"/>
      <c r="AH675" s="347"/>
      <c r="AI675" s="347"/>
      <c r="AJ675" s="347"/>
      <c r="AK675" s="347"/>
      <c r="AL675" s="347"/>
      <c r="AM675" s="347"/>
      <c r="AN675" s="347"/>
      <c r="AO675" s="347"/>
      <c r="AP675" s="347"/>
      <c r="AQ675" s="347"/>
      <c r="AR675" s="347"/>
      <c r="AS675" s="347"/>
      <c r="AT675" s="347"/>
      <c r="AU675" s="347"/>
      <c r="AV675" s="347"/>
      <c r="AW675" s="347"/>
      <c r="AX675" s="347"/>
      <c r="AY675" s="347"/>
      <c r="AZ675" s="347"/>
      <c r="BA675" s="347"/>
      <c r="BB675" s="347"/>
      <c r="BC675" s="347"/>
      <c r="BD675" s="347"/>
      <c r="BE675" s="347"/>
      <c r="BF675" s="347"/>
      <c r="BG675" s="347"/>
      <c r="BH675" s="347"/>
    </row>
    <row r="676">
      <c r="A676" s="347"/>
      <c r="B676" s="347"/>
      <c r="C676" s="347"/>
      <c r="D676" s="347"/>
      <c r="E676" s="347"/>
      <c r="F676" s="347"/>
      <c r="G676" s="347"/>
      <c r="H676" s="347"/>
      <c r="I676" s="347"/>
      <c r="J676" s="347"/>
      <c r="K676" s="348"/>
      <c r="L676" s="348"/>
      <c r="M676" s="348"/>
      <c r="N676" s="348"/>
      <c r="O676" s="348"/>
      <c r="P676" s="347"/>
      <c r="Q676" s="347"/>
      <c r="R676" s="347"/>
      <c r="S676" s="347"/>
      <c r="T676" s="347"/>
      <c r="U676" s="347"/>
      <c r="V676" s="347"/>
      <c r="W676" s="347"/>
      <c r="X676" s="347"/>
      <c r="Y676" s="347"/>
      <c r="Z676" s="347"/>
      <c r="AA676" s="604"/>
      <c r="AB676" s="347"/>
      <c r="AC676" s="590"/>
      <c r="AD676" s="347"/>
      <c r="AE676" s="347"/>
      <c r="AF676" s="347"/>
      <c r="AG676" s="347"/>
      <c r="AH676" s="347"/>
      <c r="AI676" s="347"/>
      <c r="AJ676" s="347"/>
      <c r="AK676" s="347"/>
      <c r="AL676" s="347"/>
      <c r="AM676" s="347"/>
      <c r="AN676" s="347"/>
      <c r="AO676" s="347"/>
      <c r="AP676" s="347"/>
      <c r="AQ676" s="347"/>
      <c r="AR676" s="347"/>
      <c r="AS676" s="347"/>
      <c r="AT676" s="347"/>
      <c r="AU676" s="347"/>
      <c r="AV676" s="347"/>
      <c r="AW676" s="347"/>
      <c r="AX676" s="347"/>
      <c r="AY676" s="347"/>
      <c r="AZ676" s="347"/>
      <c r="BA676" s="347"/>
      <c r="BB676" s="347"/>
      <c r="BC676" s="347"/>
      <c r="BD676" s="347"/>
      <c r="BE676" s="347"/>
      <c r="BF676" s="347"/>
      <c r="BG676" s="347"/>
      <c r="BH676" s="347"/>
    </row>
    <row r="677">
      <c r="A677" s="347"/>
      <c r="B677" s="347"/>
      <c r="C677" s="347"/>
      <c r="D677" s="347"/>
      <c r="E677" s="347"/>
      <c r="F677" s="347"/>
      <c r="G677" s="347"/>
      <c r="H677" s="347"/>
      <c r="I677" s="347"/>
      <c r="J677" s="347"/>
      <c r="K677" s="348"/>
      <c r="L677" s="348"/>
      <c r="M677" s="348"/>
      <c r="N677" s="348"/>
      <c r="O677" s="348"/>
      <c r="P677" s="347"/>
      <c r="Q677" s="347"/>
      <c r="R677" s="347"/>
      <c r="S677" s="347"/>
      <c r="T677" s="347"/>
      <c r="U677" s="347"/>
      <c r="V677" s="347"/>
      <c r="W677" s="347"/>
      <c r="X677" s="347"/>
      <c r="Y677" s="347"/>
      <c r="Z677" s="347"/>
      <c r="AA677" s="604"/>
      <c r="AB677" s="347"/>
      <c r="AC677" s="590"/>
      <c r="AD677" s="347"/>
      <c r="AE677" s="347"/>
      <c r="AF677" s="347"/>
      <c r="AG677" s="347"/>
      <c r="AH677" s="347"/>
      <c r="AI677" s="347"/>
      <c r="AJ677" s="347"/>
      <c r="AK677" s="347"/>
      <c r="AL677" s="347"/>
      <c r="AM677" s="347"/>
      <c r="AN677" s="347"/>
      <c r="AO677" s="347"/>
      <c r="AP677" s="347"/>
      <c r="AQ677" s="347"/>
      <c r="AR677" s="347"/>
      <c r="AS677" s="347"/>
      <c r="AT677" s="347"/>
      <c r="AU677" s="347"/>
      <c r="AV677" s="347"/>
      <c r="AW677" s="347"/>
      <c r="AX677" s="347"/>
      <c r="AY677" s="347"/>
      <c r="AZ677" s="347"/>
      <c r="BA677" s="347"/>
      <c r="BB677" s="347"/>
      <c r="BC677" s="347"/>
      <c r="BD677" s="347"/>
      <c r="BE677" s="347"/>
      <c r="BF677" s="347"/>
      <c r="BG677" s="347"/>
      <c r="BH677" s="347"/>
    </row>
    <row r="678">
      <c r="A678" s="347"/>
      <c r="B678" s="347"/>
      <c r="C678" s="347"/>
      <c r="D678" s="347"/>
      <c r="E678" s="347"/>
      <c r="F678" s="347"/>
      <c r="G678" s="347"/>
      <c r="H678" s="347"/>
      <c r="I678" s="347"/>
      <c r="J678" s="347"/>
      <c r="K678" s="348"/>
      <c r="L678" s="348"/>
      <c r="M678" s="348"/>
      <c r="N678" s="348"/>
      <c r="O678" s="348"/>
      <c r="P678" s="347"/>
      <c r="Q678" s="347"/>
      <c r="R678" s="347"/>
      <c r="S678" s="347"/>
      <c r="T678" s="347"/>
      <c r="U678" s="347"/>
      <c r="V678" s="347"/>
      <c r="W678" s="347"/>
      <c r="X678" s="347"/>
      <c r="Y678" s="347"/>
      <c r="Z678" s="347"/>
      <c r="AA678" s="604"/>
      <c r="AB678" s="347"/>
      <c r="AC678" s="590"/>
      <c r="AD678" s="347"/>
      <c r="AE678" s="347"/>
      <c r="AF678" s="347"/>
      <c r="AG678" s="347"/>
      <c r="AH678" s="347"/>
      <c r="AI678" s="347"/>
      <c r="AJ678" s="347"/>
      <c r="AK678" s="347"/>
      <c r="AL678" s="347"/>
      <c r="AM678" s="347"/>
      <c r="AN678" s="347"/>
      <c r="AO678" s="347"/>
      <c r="AP678" s="347"/>
      <c r="AQ678" s="347"/>
      <c r="AR678" s="347"/>
      <c r="AS678" s="347"/>
      <c r="AT678" s="347"/>
      <c r="AU678" s="347"/>
      <c r="AV678" s="347"/>
      <c r="AW678" s="347"/>
      <c r="AX678" s="347"/>
      <c r="AY678" s="347"/>
      <c r="AZ678" s="347"/>
      <c r="BA678" s="347"/>
      <c r="BB678" s="347"/>
      <c r="BC678" s="347"/>
      <c r="BD678" s="347"/>
      <c r="BE678" s="347"/>
      <c r="BF678" s="347"/>
      <c r="BG678" s="347"/>
      <c r="BH678" s="347"/>
    </row>
    <row r="679">
      <c r="A679" s="347"/>
      <c r="B679" s="347"/>
      <c r="C679" s="347"/>
      <c r="D679" s="347"/>
      <c r="E679" s="347"/>
      <c r="F679" s="347"/>
      <c r="G679" s="347"/>
      <c r="H679" s="347"/>
      <c r="I679" s="347"/>
      <c r="J679" s="347"/>
      <c r="K679" s="348"/>
      <c r="L679" s="348"/>
      <c r="M679" s="348"/>
      <c r="N679" s="348"/>
      <c r="O679" s="348"/>
      <c r="P679" s="347"/>
      <c r="Q679" s="347"/>
      <c r="R679" s="347"/>
      <c r="S679" s="347"/>
      <c r="T679" s="347"/>
      <c r="U679" s="347"/>
      <c r="V679" s="347"/>
      <c r="W679" s="347"/>
      <c r="X679" s="347"/>
      <c r="Y679" s="347"/>
      <c r="Z679" s="347"/>
      <c r="AA679" s="604"/>
      <c r="AB679" s="347"/>
      <c r="AC679" s="590"/>
      <c r="AD679" s="347"/>
      <c r="AE679" s="347"/>
      <c r="AF679" s="347"/>
      <c r="AG679" s="347"/>
      <c r="AH679" s="347"/>
      <c r="AI679" s="347"/>
      <c r="AJ679" s="347"/>
      <c r="AK679" s="347"/>
      <c r="AL679" s="347"/>
      <c r="AM679" s="347"/>
      <c r="AN679" s="347"/>
      <c r="AO679" s="347"/>
      <c r="AP679" s="347"/>
      <c r="AQ679" s="347"/>
      <c r="AR679" s="347"/>
      <c r="AS679" s="347"/>
      <c r="AT679" s="347"/>
      <c r="AU679" s="347"/>
      <c r="AV679" s="347"/>
      <c r="AW679" s="347"/>
      <c r="AX679" s="347"/>
      <c r="AY679" s="347"/>
      <c r="AZ679" s="347"/>
      <c r="BA679" s="347"/>
      <c r="BB679" s="347"/>
      <c r="BC679" s="347"/>
      <c r="BD679" s="347"/>
      <c r="BE679" s="347"/>
      <c r="BF679" s="347"/>
      <c r="BG679" s="347"/>
      <c r="BH679" s="347"/>
    </row>
    <row r="680">
      <c r="A680" s="347"/>
      <c r="B680" s="347"/>
      <c r="C680" s="347"/>
      <c r="D680" s="347"/>
      <c r="E680" s="347"/>
      <c r="F680" s="347"/>
      <c r="G680" s="347"/>
      <c r="H680" s="347"/>
      <c r="I680" s="347"/>
      <c r="J680" s="347"/>
      <c r="K680" s="348"/>
      <c r="L680" s="348"/>
      <c r="M680" s="348"/>
      <c r="N680" s="348"/>
      <c r="O680" s="348"/>
      <c r="P680" s="347"/>
      <c r="Q680" s="347"/>
      <c r="R680" s="347"/>
      <c r="S680" s="347"/>
      <c r="T680" s="347"/>
      <c r="U680" s="347"/>
      <c r="V680" s="347"/>
      <c r="W680" s="347"/>
      <c r="X680" s="347"/>
      <c r="Y680" s="347"/>
      <c r="Z680" s="347"/>
      <c r="AA680" s="604"/>
      <c r="AB680" s="347"/>
      <c r="AC680" s="590"/>
      <c r="AD680" s="347"/>
      <c r="AE680" s="347"/>
      <c r="AF680" s="347"/>
      <c r="AG680" s="347"/>
      <c r="AH680" s="347"/>
      <c r="AI680" s="347"/>
      <c r="AJ680" s="347"/>
      <c r="AK680" s="347"/>
      <c r="AL680" s="347"/>
      <c r="AM680" s="347"/>
      <c r="AN680" s="347"/>
      <c r="AO680" s="347"/>
      <c r="AP680" s="347"/>
      <c r="AQ680" s="347"/>
      <c r="AR680" s="347"/>
      <c r="AS680" s="347"/>
      <c r="AT680" s="347"/>
      <c r="AU680" s="347"/>
      <c r="AV680" s="347"/>
      <c r="AW680" s="347"/>
      <c r="AX680" s="347"/>
      <c r="AY680" s="347"/>
      <c r="AZ680" s="347"/>
      <c r="BA680" s="347"/>
      <c r="BB680" s="347"/>
      <c r="BC680" s="347"/>
      <c r="BD680" s="347"/>
      <c r="BE680" s="347"/>
      <c r="BF680" s="347"/>
      <c r="BG680" s="347"/>
      <c r="BH680" s="347"/>
    </row>
    <row r="681">
      <c r="A681" s="347"/>
      <c r="B681" s="347"/>
      <c r="C681" s="347"/>
      <c r="D681" s="347"/>
      <c r="E681" s="347"/>
      <c r="F681" s="347"/>
      <c r="G681" s="347"/>
      <c r="H681" s="347"/>
      <c r="I681" s="347"/>
      <c r="J681" s="347"/>
      <c r="K681" s="348"/>
      <c r="L681" s="348"/>
      <c r="M681" s="348"/>
      <c r="N681" s="348"/>
      <c r="O681" s="348"/>
      <c r="P681" s="347"/>
      <c r="Q681" s="347"/>
      <c r="R681" s="347"/>
      <c r="S681" s="347"/>
      <c r="T681" s="347"/>
      <c r="U681" s="347"/>
      <c r="V681" s="347"/>
      <c r="W681" s="347"/>
      <c r="X681" s="347"/>
      <c r="Y681" s="347"/>
      <c r="Z681" s="347"/>
      <c r="AA681" s="604"/>
      <c r="AB681" s="347"/>
      <c r="AC681" s="590"/>
      <c r="AD681" s="347"/>
      <c r="AE681" s="347"/>
      <c r="AF681" s="347"/>
      <c r="AG681" s="347"/>
      <c r="AH681" s="347"/>
      <c r="AI681" s="347"/>
      <c r="AJ681" s="347"/>
      <c r="AK681" s="347"/>
      <c r="AL681" s="347"/>
      <c r="AM681" s="347"/>
      <c r="AN681" s="347"/>
      <c r="AO681" s="347"/>
      <c r="AP681" s="347"/>
      <c r="AQ681" s="347"/>
      <c r="AR681" s="347"/>
      <c r="AS681" s="347"/>
      <c r="AT681" s="347"/>
      <c r="AU681" s="347"/>
      <c r="AV681" s="347"/>
      <c r="AW681" s="347"/>
      <c r="AX681" s="347"/>
      <c r="AY681" s="347"/>
      <c r="AZ681" s="347"/>
      <c r="BA681" s="347"/>
      <c r="BB681" s="347"/>
      <c r="BC681" s="347"/>
      <c r="BD681" s="347"/>
      <c r="BE681" s="347"/>
      <c r="BF681" s="347"/>
      <c r="BG681" s="347"/>
      <c r="BH681" s="347"/>
    </row>
    <row r="682">
      <c r="A682" s="347"/>
      <c r="B682" s="347"/>
      <c r="C682" s="347"/>
      <c r="D682" s="347"/>
      <c r="E682" s="347"/>
      <c r="F682" s="347"/>
      <c r="G682" s="347"/>
      <c r="H682" s="347"/>
      <c r="I682" s="347"/>
      <c r="J682" s="347"/>
      <c r="K682" s="348"/>
      <c r="L682" s="348"/>
      <c r="M682" s="348"/>
      <c r="N682" s="348"/>
      <c r="O682" s="348"/>
      <c r="P682" s="347"/>
      <c r="Q682" s="347"/>
      <c r="R682" s="347"/>
      <c r="S682" s="347"/>
      <c r="T682" s="347"/>
      <c r="U682" s="347"/>
      <c r="V682" s="347"/>
      <c r="W682" s="347"/>
      <c r="X682" s="347"/>
      <c r="Y682" s="347"/>
      <c r="Z682" s="347"/>
      <c r="AA682" s="604"/>
      <c r="AB682" s="347"/>
      <c r="AC682" s="590"/>
      <c r="AD682" s="347"/>
      <c r="AE682" s="347"/>
      <c r="AF682" s="347"/>
      <c r="AG682" s="347"/>
      <c r="AH682" s="347"/>
      <c r="AI682" s="347"/>
      <c r="AJ682" s="347"/>
      <c r="AK682" s="347"/>
      <c r="AL682" s="347"/>
      <c r="AM682" s="347"/>
      <c r="AN682" s="347"/>
      <c r="AO682" s="347"/>
      <c r="AP682" s="347"/>
      <c r="AQ682" s="347"/>
      <c r="AR682" s="347"/>
      <c r="AS682" s="347"/>
      <c r="AT682" s="347"/>
      <c r="AU682" s="347"/>
      <c r="AV682" s="347"/>
      <c r="AW682" s="347"/>
      <c r="AX682" s="347"/>
      <c r="AY682" s="347"/>
      <c r="AZ682" s="347"/>
      <c r="BA682" s="347"/>
      <c r="BB682" s="347"/>
      <c r="BC682" s="347"/>
      <c r="BD682" s="347"/>
      <c r="BE682" s="347"/>
      <c r="BF682" s="347"/>
      <c r="BG682" s="347"/>
      <c r="BH682" s="347"/>
    </row>
    <row r="683">
      <c r="A683" s="347"/>
      <c r="B683" s="347"/>
      <c r="C683" s="347"/>
      <c r="D683" s="347"/>
      <c r="E683" s="347"/>
      <c r="F683" s="347"/>
      <c r="G683" s="347"/>
      <c r="H683" s="347"/>
      <c r="I683" s="347"/>
      <c r="J683" s="347"/>
      <c r="K683" s="348"/>
      <c r="L683" s="348"/>
      <c r="M683" s="348"/>
      <c r="N683" s="348"/>
      <c r="O683" s="348"/>
      <c r="P683" s="347"/>
      <c r="Q683" s="347"/>
      <c r="R683" s="347"/>
      <c r="S683" s="347"/>
      <c r="T683" s="347"/>
      <c r="U683" s="347"/>
      <c r="V683" s="347"/>
      <c r="W683" s="347"/>
      <c r="X683" s="347"/>
      <c r="Y683" s="347"/>
      <c r="Z683" s="347"/>
      <c r="AA683" s="604"/>
      <c r="AB683" s="347"/>
      <c r="AC683" s="590"/>
      <c r="AD683" s="347"/>
      <c r="AE683" s="347"/>
      <c r="AF683" s="347"/>
      <c r="AG683" s="347"/>
      <c r="AH683" s="347"/>
      <c r="AI683" s="347"/>
      <c r="AJ683" s="347"/>
      <c r="AK683" s="347"/>
      <c r="AL683" s="347"/>
      <c r="AM683" s="347"/>
      <c r="AN683" s="347"/>
      <c r="AO683" s="347"/>
      <c r="AP683" s="347"/>
      <c r="AQ683" s="347"/>
      <c r="AR683" s="347"/>
      <c r="AS683" s="347"/>
      <c r="AT683" s="347"/>
      <c r="AU683" s="347"/>
      <c r="AV683" s="347"/>
      <c r="AW683" s="347"/>
      <c r="AX683" s="347"/>
      <c r="AY683" s="347"/>
      <c r="AZ683" s="347"/>
      <c r="BA683" s="347"/>
      <c r="BB683" s="347"/>
      <c r="BC683" s="347"/>
      <c r="BD683" s="347"/>
      <c r="BE683" s="347"/>
      <c r="BF683" s="347"/>
      <c r="BG683" s="347"/>
      <c r="BH683" s="347"/>
    </row>
    <row r="684">
      <c r="A684" s="347"/>
      <c r="B684" s="347"/>
      <c r="C684" s="347"/>
      <c r="D684" s="347"/>
      <c r="E684" s="347"/>
      <c r="F684" s="347"/>
      <c r="G684" s="347"/>
      <c r="H684" s="347"/>
      <c r="I684" s="347"/>
      <c r="J684" s="347"/>
      <c r="K684" s="348"/>
      <c r="L684" s="348"/>
      <c r="M684" s="348"/>
      <c r="N684" s="348"/>
      <c r="O684" s="348"/>
      <c r="P684" s="347"/>
      <c r="Q684" s="347"/>
      <c r="R684" s="347"/>
      <c r="S684" s="347"/>
      <c r="T684" s="347"/>
      <c r="U684" s="347"/>
      <c r="V684" s="347"/>
      <c r="W684" s="347"/>
      <c r="X684" s="347"/>
      <c r="Y684" s="347"/>
      <c r="Z684" s="347"/>
      <c r="AA684" s="604"/>
      <c r="AB684" s="347"/>
      <c r="AC684" s="590"/>
      <c r="AD684" s="347"/>
      <c r="AE684" s="347"/>
      <c r="AF684" s="347"/>
      <c r="AG684" s="347"/>
      <c r="AH684" s="347"/>
      <c r="AI684" s="347"/>
      <c r="AJ684" s="347"/>
      <c r="AK684" s="347"/>
      <c r="AL684" s="347"/>
      <c r="AM684" s="347"/>
      <c r="AN684" s="347"/>
      <c r="AO684" s="347"/>
      <c r="AP684" s="347"/>
      <c r="AQ684" s="347"/>
      <c r="AR684" s="347"/>
      <c r="AS684" s="347"/>
      <c r="AT684" s="347"/>
      <c r="AU684" s="347"/>
      <c r="AV684" s="347"/>
      <c r="AW684" s="347"/>
      <c r="AX684" s="347"/>
      <c r="AY684" s="347"/>
      <c r="AZ684" s="347"/>
      <c r="BA684" s="347"/>
      <c r="BB684" s="347"/>
      <c r="BC684" s="347"/>
      <c r="BD684" s="347"/>
      <c r="BE684" s="347"/>
      <c r="BF684" s="347"/>
      <c r="BG684" s="347"/>
      <c r="BH684" s="347"/>
    </row>
    <row r="685">
      <c r="A685" s="347"/>
      <c r="B685" s="347"/>
      <c r="C685" s="347"/>
      <c r="D685" s="347"/>
      <c r="E685" s="347"/>
      <c r="F685" s="347"/>
      <c r="G685" s="347"/>
      <c r="H685" s="347"/>
      <c r="I685" s="347"/>
      <c r="J685" s="347"/>
      <c r="K685" s="348"/>
      <c r="L685" s="348"/>
      <c r="M685" s="348"/>
      <c r="N685" s="348"/>
      <c r="O685" s="348"/>
      <c r="P685" s="347"/>
      <c r="Q685" s="347"/>
      <c r="R685" s="347"/>
      <c r="S685" s="347"/>
      <c r="T685" s="347"/>
      <c r="U685" s="347"/>
      <c r="V685" s="347"/>
      <c r="W685" s="347"/>
      <c r="X685" s="347"/>
      <c r="Y685" s="347"/>
      <c r="Z685" s="347"/>
      <c r="AA685" s="604"/>
      <c r="AB685" s="347"/>
      <c r="AC685" s="590"/>
      <c r="AD685" s="347"/>
      <c r="AE685" s="347"/>
      <c r="AF685" s="347"/>
      <c r="AG685" s="347"/>
      <c r="AH685" s="347"/>
      <c r="AI685" s="347"/>
      <c r="AJ685" s="347"/>
      <c r="AK685" s="347"/>
      <c r="AL685" s="347"/>
      <c r="AM685" s="347"/>
      <c r="AN685" s="347"/>
      <c r="AO685" s="347"/>
      <c r="AP685" s="347"/>
      <c r="AQ685" s="347"/>
      <c r="AR685" s="347"/>
      <c r="AS685" s="347"/>
      <c r="AT685" s="347"/>
      <c r="AU685" s="347"/>
      <c r="AV685" s="347"/>
      <c r="AW685" s="347"/>
      <c r="AX685" s="347"/>
      <c r="AY685" s="347"/>
      <c r="AZ685" s="347"/>
      <c r="BA685" s="347"/>
      <c r="BB685" s="347"/>
      <c r="BC685" s="347"/>
      <c r="BD685" s="347"/>
      <c r="BE685" s="347"/>
      <c r="BF685" s="347"/>
      <c r="BG685" s="347"/>
      <c r="BH685" s="347"/>
    </row>
    <row r="686">
      <c r="A686" s="347"/>
      <c r="B686" s="347"/>
      <c r="C686" s="347"/>
      <c r="D686" s="347"/>
      <c r="E686" s="347"/>
      <c r="F686" s="347"/>
      <c r="G686" s="347"/>
      <c r="H686" s="347"/>
      <c r="I686" s="347"/>
      <c r="J686" s="347"/>
      <c r="K686" s="348"/>
      <c r="L686" s="348"/>
      <c r="M686" s="348"/>
      <c r="N686" s="348"/>
      <c r="O686" s="348"/>
      <c r="P686" s="347"/>
      <c r="Q686" s="347"/>
      <c r="R686" s="347"/>
      <c r="S686" s="347"/>
      <c r="T686" s="347"/>
      <c r="U686" s="347"/>
      <c r="V686" s="347"/>
      <c r="W686" s="347"/>
      <c r="X686" s="347"/>
      <c r="Y686" s="347"/>
      <c r="Z686" s="347"/>
      <c r="AA686" s="604"/>
      <c r="AB686" s="347"/>
      <c r="AC686" s="590"/>
      <c r="AD686" s="347"/>
      <c r="AE686" s="347"/>
      <c r="AF686" s="347"/>
      <c r="AG686" s="347"/>
      <c r="AH686" s="347"/>
      <c r="AI686" s="347"/>
      <c r="AJ686" s="347"/>
      <c r="AK686" s="347"/>
      <c r="AL686" s="347"/>
      <c r="AM686" s="347"/>
      <c r="AN686" s="347"/>
      <c r="AO686" s="347"/>
      <c r="AP686" s="347"/>
      <c r="AQ686" s="347"/>
      <c r="AR686" s="347"/>
      <c r="AS686" s="347"/>
      <c r="AT686" s="347"/>
      <c r="AU686" s="347"/>
      <c r="AV686" s="347"/>
      <c r="AW686" s="347"/>
      <c r="AX686" s="347"/>
      <c r="AY686" s="347"/>
      <c r="AZ686" s="347"/>
      <c r="BA686" s="347"/>
      <c r="BB686" s="347"/>
      <c r="BC686" s="347"/>
      <c r="BD686" s="347"/>
      <c r="BE686" s="347"/>
      <c r="BF686" s="347"/>
      <c r="BG686" s="347"/>
      <c r="BH686" s="347"/>
    </row>
    <row r="687">
      <c r="A687" s="347"/>
      <c r="B687" s="347"/>
      <c r="C687" s="347"/>
      <c r="D687" s="347"/>
      <c r="E687" s="347"/>
      <c r="F687" s="347"/>
      <c r="G687" s="347"/>
      <c r="H687" s="347"/>
      <c r="I687" s="347"/>
      <c r="J687" s="347"/>
      <c r="K687" s="348"/>
      <c r="L687" s="348"/>
      <c r="M687" s="348"/>
      <c r="N687" s="348"/>
      <c r="O687" s="348"/>
      <c r="P687" s="347"/>
      <c r="Q687" s="347"/>
      <c r="R687" s="347"/>
      <c r="S687" s="347"/>
      <c r="T687" s="347"/>
      <c r="U687" s="347"/>
      <c r="V687" s="347"/>
      <c r="W687" s="347"/>
      <c r="X687" s="347"/>
      <c r="Y687" s="347"/>
      <c r="Z687" s="347"/>
      <c r="AA687" s="604"/>
      <c r="AB687" s="347"/>
      <c r="AC687" s="590"/>
      <c r="AD687" s="347"/>
      <c r="AE687" s="347"/>
      <c r="AF687" s="347"/>
      <c r="AG687" s="347"/>
      <c r="AH687" s="347"/>
      <c r="AI687" s="347"/>
      <c r="AJ687" s="347"/>
      <c r="AK687" s="347"/>
      <c r="AL687" s="347"/>
      <c r="AM687" s="347"/>
      <c r="AN687" s="347"/>
      <c r="AO687" s="347"/>
      <c r="AP687" s="347"/>
      <c r="AQ687" s="347"/>
      <c r="AR687" s="347"/>
      <c r="AS687" s="347"/>
      <c r="AT687" s="347"/>
      <c r="AU687" s="347"/>
      <c r="AV687" s="347"/>
      <c r="AW687" s="347"/>
      <c r="AX687" s="347"/>
      <c r="AY687" s="347"/>
      <c r="AZ687" s="347"/>
      <c r="BA687" s="347"/>
      <c r="BB687" s="347"/>
      <c r="BC687" s="347"/>
      <c r="BD687" s="347"/>
      <c r="BE687" s="347"/>
      <c r="BF687" s="347"/>
      <c r="BG687" s="347"/>
      <c r="BH687" s="347"/>
    </row>
    <row r="688">
      <c r="A688" s="347"/>
      <c r="B688" s="347"/>
      <c r="C688" s="347"/>
      <c r="D688" s="347"/>
      <c r="E688" s="347"/>
      <c r="F688" s="347"/>
      <c r="G688" s="347"/>
      <c r="H688" s="347"/>
      <c r="I688" s="347"/>
      <c r="J688" s="347"/>
      <c r="K688" s="348"/>
      <c r="L688" s="348"/>
      <c r="M688" s="348"/>
      <c r="N688" s="348"/>
      <c r="O688" s="348"/>
      <c r="P688" s="347"/>
      <c r="Q688" s="347"/>
      <c r="R688" s="347"/>
      <c r="S688" s="347"/>
      <c r="T688" s="347"/>
      <c r="U688" s="347"/>
      <c r="V688" s="347"/>
      <c r="W688" s="347"/>
      <c r="X688" s="347"/>
      <c r="Y688" s="347"/>
      <c r="Z688" s="347"/>
      <c r="AA688" s="604"/>
      <c r="AB688" s="347"/>
      <c r="AC688" s="590"/>
      <c r="AD688" s="347"/>
      <c r="AE688" s="347"/>
      <c r="AF688" s="347"/>
      <c r="AG688" s="347"/>
      <c r="AH688" s="347"/>
      <c r="AI688" s="347"/>
      <c r="AJ688" s="347"/>
      <c r="AK688" s="347"/>
      <c r="AL688" s="347"/>
      <c r="AM688" s="347"/>
      <c r="AN688" s="347"/>
      <c r="AO688" s="347"/>
      <c r="AP688" s="347"/>
      <c r="AQ688" s="347"/>
      <c r="AR688" s="347"/>
      <c r="AS688" s="347"/>
      <c r="AT688" s="347"/>
      <c r="AU688" s="347"/>
      <c r="AV688" s="347"/>
      <c r="AW688" s="347"/>
      <c r="AX688" s="347"/>
      <c r="AY688" s="347"/>
      <c r="AZ688" s="347"/>
      <c r="BA688" s="347"/>
      <c r="BB688" s="347"/>
      <c r="BC688" s="347"/>
      <c r="BD688" s="347"/>
      <c r="BE688" s="347"/>
      <c r="BF688" s="347"/>
      <c r="BG688" s="347"/>
      <c r="BH688" s="347"/>
    </row>
    <row r="689">
      <c r="A689" s="347"/>
      <c r="B689" s="347"/>
      <c r="C689" s="347"/>
      <c r="D689" s="347"/>
      <c r="E689" s="347"/>
      <c r="F689" s="347"/>
      <c r="G689" s="347"/>
      <c r="H689" s="347"/>
      <c r="I689" s="347"/>
      <c r="J689" s="347"/>
      <c r="K689" s="348"/>
      <c r="L689" s="348"/>
      <c r="M689" s="348"/>
      <c r="N689" s="348"/>
      <c r="O689" s="348"/>
      <c r="P689" s="347"/>
      <c r="Q689" s="347"/>
      <c r="R689" s="347"/>
      <c r="S689" s="347"/>
      <c r="T689" s="347"/>
      <c r="U689" s="347"/>
      <c r="V689" s="347"/>
      <c r="W689" s="347"/>
      <c r="X689" s="347"/>
      <c r="Y689" s="347"/>
      <c r="Z689" s="347"/>
      <c r="AA689" s="604"/>
      <c r="AB689" s="347"/>
      <c r="AC689" s="590"/>
      <c r="AD689" s="347"/>
      <c r="AE689" s="347"/>
      <c r="AF689" s="347"/>
      <c r="AG689" s="347"/>
      <c r="AH689" s="347"/>
      <c r="AI689" s="347"/>
      <c r="AJ689" s="347"/>
      <c r="AK689" s="347"/>
      <c r="AL689" s="347"/>
      <c r="AM689" s="347"/>
      <c r="AN689" s="347"/>
      <c r="AO689" s="347"/>
      <c r="AP689" s="347"/>
      <c r="AQ689" s="347"/>
      <c r="AR689" s="347"/>
      <c r="AS689" s="347"/>
      <c r="AT689" s="347"/>
      <c r="AU689" s="347"/>
      <c r="AV689" s="347"/>
      <c r="AW689" s="347"/>
      <c r="AX689" s="347"/>
      <c r="AY689" s="347"/>
      <c r="AZ689" s="347"/>
      <c r="BA689" s="347"/>
      <c r="BB689" s="347"/>
      <c r="BC689" s="347"/>
      <c r="BD689" s="347"/>
      <c r="BE689" s="347"/>
      <c r="BF689" s="347"/>
      <c r="BG689" s="347"/>
      <c r="BH689" s="347"/>
    </row>
    <row r="690">
      <c r="A690" s="347"/>
      <c r="B690" s="347"/>
      <c r="C690" s="347"/>
      <c r="D690" s="347"/>
      <c r="E690" s="347"/>
      <c r="F690" s="347"/>
      <c r="G690" s="347"/>
      <c r="H690" s="347"/>
      <c r="I690" s="347"/>
      <c r="J690" s="347"/>
      <c r="K690" s="348"/>
      <c r="L690" s="348"/>
      <c r="M690" s="348"/>
      <c r="N690" s="348"/>
      <c r="O690" s="348"/>
      <c r="P690" s="347"/>
      <c r="Q690" s="347"/>
      <c r="R690" s="347"/>
      <c r="S690" s="347"/>
      <c r="T690" s="347"/>
      <c r="U690" s="347"/>
      <c r="V690" s="347"/>
      <c r="W690" s="347"/>
      <c r="X690" s="347"/>
      <c r="Y690" s="347"/>
      <c r="Z690" s="347"/>
      <c r="AA690" s="604"/>
      <c r="AB690" s="347"/>
      <c r="AC690" s="590"/>
      <c r="AD690" s="347"/>
      <c r="AE690" s="347"/>
      <c r="AF690" s="347"/>
      <c r="AG690" s="347"/>
      <c r="AH690" s="347"/>
      <c r="AI690" s="347"/>
      <c r="AJ690" s="347"/>
      <c r="AK690" s="347"/>
      <c r="AL690" s="347"/>
      <c r="AM690" s="347"/>
      <c r="AN690" s="347"/>
      <c r="AO690" s="347"/>
      <c r="AP690" s="347"/>
      <c r="AQ690" s="347"/>
      <c r="AR690" s="347"/>
      <c r="AS690" s="347"/>
      <c r="AT690" s="347"/>
      <c r="AU690" s="347"/>
      <c r="AV690" s="347"/>
      <c r="AW690" s="347"/>
      <c r="AX690" s="347"/>
      <c r="AY690" s="347"/>
      <c r="AZ690" s="347"/>
      <c r="BA690" s="347"/>
      <c r="BB690" s="347"/>
      <c r="BC690" s="347"/>
      <c r="BD690" s="347"/>
      <c r="BE690" s="347"/>
      <c r="BF690" s="347"/>
      <c r="BG690" s="347"/>
      <c r="BH690" s="347"/>
    </row>
    <row r="691">
      <c r="A691" s="347"/>
      <c r="B691" s="347"/>
      <c r="C691" s="347"/>
      <c r="D691" s="347"/>
      <c r="E691" s="347"/>
      <c r="F691" s="347"/>
      <c r="G691" s="347"/>
      <c r="H691" s="347"/>
      <c r="I691" s="347"/>
      <c r="J691" s="347"/>
      <c r="K691" s="348"/>
      <c r="L691" s="348"/>
      <c r="M691" s="348"/>
      <c r="N691" s="348"/>
      <c r="O691" s="348"/>
      <c r="P691" s="347"/>
      <c r="Q691" s="347"/>
      <c r="R691" s="347"/>
      <c r="S691" s="347"/>
      <c r="T691" s="347"/>
      <c r="U691" s="347"/>
      <c r="V691" s="347"/>
      <c r="W691" s="347"/>
      <c r="X691" s="347"/>
      <c r="Y691" s="347"/>
      <c r="Z691" s="347"/>
      <c r="AA691" s="604"/>
      <c r="AB691" s="347"/>
      <c r="AC691" s="590"/>
      <c r="AD691" s="347"/>
      <c r="AE691" s="347"/>
      <c r="AF691" s="347"/>
      <c r="AG691" s="347"/>
      <c r="AH691" s="347"/>
      <c r="AI691" s="347"/>
      <c r="AJ691" s="347"/>
      <c r="AK691" s="347"/>
      <c r="AL691" s="347"/>
      <c r="AM691" s="347"/>
      <c r="AN691" s="347"/>
      <c r="AO691" s="347"/>
      <c r="AP691" s="347"/>
      <c r="AQ691" s="347"/>
      <c r="AR691" s="347"/>
      <c r="AS691" s="347"/>
      <c r="AT691" s="347"/>
      <c r="AU691" s="347"/>
      <c r="AV691" s="347"/>
      <c r="AW691" s="347"/>
      <c r="AX691" s="347"/>
      <c r="AY691" s="347"/>
      <c r="AZ691" s="347"/>
      <c r="BA691" s="347"/>
      <c r="BB691" s="347"/>
      <c r="BC691" s="347"/>
      <c r="BD691" s="347"/>
      <c r="BE691" s="347"/>
      <c r="BF691" s="347"/>
      <c r="BG691" s="347"/>
      <c r="BH691" s="347"/>
    </row>
    <row r="692">
      <c r="A692" s="347"/>
      <c r="B692" s="347"/>
      <c r="C692" s="347"/>
      <c r="D692" s="347"/>
      <c r="E692" s="347"/>
      <c r="F692" s="347"/>
      <c r="G692" s="347"/>
      <c r="H692" s="347"/>
      <c r="I692" s="347"/>
      <c r="J692" s="347"/>
      <c r="K692" s="348"/>
      <c r="L692" s="348"/>
      <c r="M692" s="348"/>
      <c r="N692" s="348"/>
      <c r="O692" s="348"/>
      <c r="P692" s="347"/>
      <c r="Q692" s="347"/>
      <c r="R692" s="347"/>
      <c r="S692" s="347"/>
      <c r="T692" s="347"/>
      <c r="U692" s="347"/>
      <c r="V692" s="347"/>
      <c r="W692" s="347"/>
      <c r="X692" s="347"/>
      <c r="Y692" s="347"/>
      <c r="Z692" s="347"/>
      <c r="AA692" s="604"/>
      <c r="AB692" s="347"/>
      <c r="AC692" s="590"/>
      <c r="AD692" s="347"/>
      <c r="AE692" s="347"/>
      <c r="AF692" s="347"/>
      <c r="AG692" s="347"/>
      <c r="AH692" s="347"/>
      <c r="AI692" s="347"/>
      <c r="AJ692" s="347"/>
      <c r="AK692" s="347"/>
      <c r="AL692" s="347"/>
      <c r="AM692" s="347"/>
      <c r="AN692" s="347"/>
      <c r="AO692" s="347"/>
      <c r="AP692" s="347"/>
      <c r="AQ692" s="347"/>
      <c r="AR692" s="347"/>
      <c r="AS692" s="347"/>
      <c r="AT692" s="347"/>
      <c r="AU692" s="347"/>
      <c r="AV692" s="347"/>
      <c r="AW692" s="347"/>
      <c r="AX692" s="347"/>
      <c r="AY692" s="347"/>
      <c r="AZ692" s="347"/>
      <c r="BA692" s="347"/>
      <c r="BB692" s="347"/>
      <c r="BC692" s="347"/>
      <c r="BD692" s="347"/>
      <c r="BE692" s="347"/>
      <c r="BF692" s="347"/>
      <c r="BG692" s="347"/>
      <c r="BH692" s="347"/>
    </row>
    <row r="693">
      <c r="A693" s="347"/>
      <c r="B693" s="347"/>
      <c r="C693" s="347"/>
      <c r="D693" s="347"/>
      <c r="E693" s="347"/>
      <c r="F693" s="347"/>
      <c r="G693" s="347"/>
      <c r="H693" s="347"/>
      <c r="I693" s="347"/>
      <c r="J693" s="347"/>
      <c r="K693" s="348"/>
      <c r="L693" s="348"/>
      <c r="M693" s="348"/>
      <c r="N693" s="348"/>
      <c r="O693" s="348"/>
      <c r="P693" s="347"/>
      <c r="Q693" s="347"/>
      <c r="R693" s="347"/>
      <c r="S693" s="347"/>
      <c r="T693" s="347"/>
      <c r="U693" s="347"/>
      <c r="V693" s="347"/>
      <c r="W693" s="347"/>
      <c r="X693" s="347"/>
      <c r="Y693" s="347"/>
      <c r="Z693" s="347"/>
      <c r="AA693" s="604"/>
      <c r="AB693" s="347"/>
      <c r="AC693" s="590"/>
      <c r="AD693" s="347"/>
      <c r="AE693" s="347"/>
      <c r="AF693" s="347"/>
      <c r="AG693" s="347"/>
      <c r="AH693" s="347"/>
      <c r="AI693" s="347"/>
      <c r="AJ693" s="347"/>
      <c r="AK693" s="347"/>
      <c r="AL693" s="347"/>
      <c r="AM693" s="347"/>
      <c r="AN693" s="347"/>
      <c r="AO693" s="347"/>
      <c r="AP693" s="347"/>
      <c r="AQ693" s="347"/>
      <c r="AR693" s="347"/>
      <c r="AS693" s="347"/>
      <c r="AT693" s="347"/>
      <c r="AU693" s="347"/>
      <c r="AV693" s="347"/>
      <c r="AW693" s="347"/>
      <c r="AX693" s="347"/>
      <c r="AY693" s="347"/>
      <c r="AZ693" s="347"/>
      <c r="BA693" s="347"/>
      <c r="BB693" s="347"/>
      <c r="BC693" s="347"/>
      <c r="BD693" s="347"/>
      <c r="BE693" s="347"/>
      <c r="BF693" s="347"/>
      <c r="BG693" s="347"/>
      <c r="BH693" s="347"/>
    </row>
    <row r="694">
      <c r="A694" s="347"/>
      <c r="B694" s="347"/>
      <c r="C694" s="347"/>
      <c r="D694" s="347"/>
      <c r="E694" s="347"/>
      <c r="F694" s="347"/>
      <c r="G694" s="347"/>
      <c r="H694" s="347"/>
      <c r="I694" s="347"/>
      <c r="J694" s="347"/>
      <c r="K694" s="348"/>
      <c r="L694" s="348"/>
      <c r="M694" s="348"/>
      <c r="N694" s="348"/>
      <c r="O694" s="348"/>
      <c r="P694" s="347"/>
      <c r="Q694" s="347"/>
      <c r="R694" s="347"/>
      <c r="S694" s="347"/>
      <c r="T694" s="347"/>
      <c r="U694" s="347"/>
      <c r="V694" s="347"/>
      <c r="W694" s="347"/>
      <c r="X694" s="347"/>
      <c r="Y694" s="347"/>
      <c r="Z694" s="347"/>
      <c r="AA694" s="604"/>
      <c r="AB694" s="347"/>
      <c r="AC694" s="590"/>
      <c r="AD694" s="347"/>
      <c r="AE694" s="347"/>
      <c r="AF694" s="347"/>
      <c r="AG694" s="347"/>
      <c r="AH694" s="347"/>
      <c r="AI694" s="347"/>
      <c r="AJ694" s="347"/>
      <c r="AK694" s="347"/>
      <c r="AL694" s="347"/>
      <c r="AM694" s="347"/>
      <c r="AN694" s="347"/>
      <c r="AO694" s="347"/>
      <c r="AP694" s="347"/>
      <c r="AQ694" s="347"/>
      <c r="AR694" s="347"/>
      <c r="AS694" s="347"/>
      <c r="AT694" s="347"/>
      <c r="AU694" s="347"/>
      <c r="AV694" s="347"/>
      <c r="AW694" s="347"/>
      <c r="AX694" s="347"/>
      <c r="AY694" s="347"/>
      <c r="AZ694" s="347"/>
      <c r="BA694" s="347"/>
      <c r="BB694" s="347"/>
      <c r="BC694" s="347"/>
      <c r="BD694" s="347"/>
      <c r="BE694" s="347"/>
      <c r="BF694" s="347"/>
      <c r="BG694" s="347"/>
      <c r="BH694" s="347"/>
    </row>
    <row r="695">
      <c r="A695" s="347"/>
      <c r="B695" s="347"/>
      <c r="C695" s="347"/>
      <c r="D695" s="347"/>
      <c r="E695" s="347"/>
      <c r="F695" s="347"/>
      <c r="G695" s="347"/>
      <c r="H695" s="347"/>
      <c r="I695" s="347"/>
      <c r="J695" s="347"/>
      <c r="K695" s="348"/>
      <c r="L695" s="348"/>
      <c r="M695" s="348"/>
      <c r="N695" s="348"/>
      <c r="O695" s="348"/>
      <c r="P695" s="347"/>
      <c r="Q695" s="347"/>
      <c r="R695" s="347"/>
      <c r="S695" s="347"/>
      <c r="T695" s="347"/>
      <c r="U695" s="347"/>
      <c r="V695" s="347"/>
      <c r="W695" s="347"/>
      <c r="X695" s="347"/>
      <c r="Y695" s="347"/>
      <c r="Z695" s="347"/>
      <c r="AA695" s="604"/>
      <c r="AB695" s="347"/>
      <c r="AC695" s="590"/>
      <c r="AD695" s="347"/>
      <c r="AE695" s="347"/>
      <c r="AF695" s="347"/>
      <c r="AG695" s="347"/>
      <c r="AH695" s="347"/>
      <c r="AI695" s="347"/>
      <c r="AJ695" s="347"/>
      <c r="AK695" s="347"/>
      <c r="AL695" s="347"/>
      <c r="AM695" s="347"/>
      <c r="AN695" s="347"/>
      <c r="AO695" s="347"/>
      <c r="AP695" s="347"/>
      <c r="AQ695" s="347"/>
      <c r="AR695" s="347"/>
      <c r="AS695" s="347"/>
      <c r="AT695" s="347"/>
      <c r="AU695" s="347"/>
      <c r="AV695" s="347"/>
      <c r="AW695" s="347"/>
      <c r="AX695" s="347"/>
      <c r="AY695" s="347"/>
      <c r="AZ695" s="347"/>
      <c r="BA695" s="347"/>
      <c r="BB695" s="347"/>
      <c r="BC695" s="347"/>
      <c r="BD695" s="347"/>
      <c r="BE695" s="347"/>
      <c r="BF695" s="347"/>
      <c r="BG695" s="347"/>
      <c r="BH695" s="347"/>
    </row>
    <row r="696">
      <c r="A696" s="347"/>
      <c r="B696" s="347"/>
      <c r="C696" s="347"/>
      <c r="D696" s="347"/>
      <c r="E696" s="347"/>
      <c r="F696" s="347"/>
      <c r="G696" s="347"/>
      <c r="H696" s="347"/>
      <c r="I696" s="347"/>
      <c r="J696" s="347"/>
      <c r="K696" s="348"/>
      <c r="L696" s="348"/>
      <c r="M696" s="348"/>
      <c r="N696" s="348"/>
      <c r="O696" s="348"/>
      <c r="P696" s="347"/>
      <c r="Q696" s="347"/>
      <c r="R696" s="347"/>
      <c r="S696" s="347"/>
      <c r="T696" s="347"/>
      <c r="U696" s="347"/>
      <c r="V696" s="347"/>
      <c r="W696" s="347"/>
      <c r="X696" s="347"/>
      <c r="Y696" s="347"/>
      <c r="Z696" s="347"/>
      <c r="AA696" s="604"/>
      <c r="AB696" s="347"/>
      <c r="AC696" s="590"/>
      <c r="AD696" s="347"/>
      <c r="AE696" s="347"/>
      <c r="AF696" s="347"/>
      <c r="AG696" s="347"/>
      <c r="AH696" s="347"/>
      <c r="AI696" s="347"/>
      <c r="AJ696" s="347"/>
      <c r="AK696" s="347"/>
      <c r="AL696" s="347"/>
      <c r="AM696" s="347"/>
      <c r="AN696" s="347"/>
      <c r="AO696" s="347"/>
      <c r="AP696" s="347"/>
      <c r="AQ696" s="347"/>
      <c r="AR696" s="347"/>
      <c r="AS696" s="347"/>
      <c r="AT696" s="347"/>
      <c r="AU696" s="347"/>
      <c r="AV696" s="347"/>
      <c r="AW696" s="347"/>
      <c r="AX696" s="347"/>
      <c r="AY696" s="347"/>
      <c r="AZ696" s="347"/>
      <c r="BA696" s="347"/>
      <c r="BB696" s="347"/>
      <c r="BC696" s="347"/>
      <c r="BD696" s="347"/>
      <c r="BE696" s="347"/>
      <c r="BF696" s="347"/>
      <c r="BG696" s="347"/>
      <c r="BH696" s="347"/>
    </row>
    <row r="697">
      <c r="A697" s="347"/>
      <c r="B697" s="347"/>
      <c r="C697" s="347"/>
      <c r="D697" s="347"/>
      <c r="E697" s="347"/>
      <c r="F697" s="347"/>
      <c r="G697" s="347"/>
      <c r="H697" s="347"/>
      <c r="I697" s="347"/>
      <c r="J697" s="347"/>
      <c r="K697" s="348"/>
      <c r="L697" s="348"/>
      <c r="M697" s="348"/>
      <c r="N697" s="348"/>
      <c r="O697" s="348"/>
      <c r="P697" s="347"/>
      <c r="Q697" s="347"/>
      <c r="R697" s="347"/>
      <c r="S697" s="347"/>
      <c r="T697" s="347"/>
      <c r="U697" s="347"/>
      <c r="V697" s="347"/>
      <c r="W697" s="347"/>
      <c r="X697" s="347"/>
      <c r="Y697" s="347"/>
      <c r="Z697" s="347"/>
      <c r="AA697" s="604"/>
      <c r="AB697" s="347"/>
      <c r="AC697" s="590"/>
      <c r="AD697" s="347"/>
      <c r="AE697" s="347"/>
      <c r="AF697" s="347"/>
      <c r="AG697" s="347"/>
      <c r="AH697" s="347"/>
      <c r="AI697" s="347"/>
      <c r="AJ697" s="347"/>
      <c r="AK697" s="347"/>
      <c r="AL697" s="347"/>
      <c r="AM697" s="347"/>
      <c r="AN697" s="347"/>
      <c r="AO697" s="347"/>
      <c r="AP697" s="347"/>
      <c r="AQ697" s="347"/>
      <c r="AR697" s="347"/>
      <c r="AS697" s="347"/>
      <c r="AT697" s="347"/>
      <c r="AU697" s="347"/>
      <c r="AV697" s="347"/>
      <c r="AW697" s="347"/>
      <c r="AX697" s="347"/>
      <c r="AY697" s="347"/>
      <c r="AZ697" s="347"/>
      <c r="BA697" s="347"/>
      <c r="BB697" s="347"/>
      <c r="BC697" s="347"/>
      <c r="BD697" s="347"/>
      <c r="BE697" s="347"/>
      <c r="BF697" s="347"/>
      <c r="BG697" s="347"/>
      <c r="BH697" s="347"/>
    </row>
    <row r="698">
      <c r="A698" s="347"/>
      <c r="B698" s="347"/>
      <c r="C698" s="347"/>
      <c r="D698" s="347"/>
      <c r="E698" s="347"/>
      <c r="F698" s="347"/>
      <c r="G698" s="347"/>
      <c r="H698" s="347"/>
      <c r="I698" s="347"/>
      <c r="J698" s="347"/>
      <c r="K698" s="348"/>
      <c r="L698" s="348"/>
      <c r="M698" s="348"/>
      <c r="N698" s="348"/>
      <c r="O698" s="348"/>
      <c r="P698" s="347"/>
      <c r="Q698" s="347"/>
      <c r="R698" s="347"/>
      <c r="S698" s="347"/>
      <c r="T698" s="347"/>
      <c r="U698" s="347"/>
      <c r="V698" s="347"/>
      <c r="W698" s="347"/>
      <c r="X698" s="347"/>
      <c r="Y698" s="347"/>
      <c r="Z698" s="347"/>
      <c r="AA698" s="604"/>
      <c r="AB698" s="347"/>
      <c r="AC698" s="590"/>
      <c r="AD698" s="347"/>
      <c r="AE698" s="347"/>
      <c r="AF698" s="347"/>
      <c r="AG698" s="347"/>
      <c r="AH698" s="347"/>
      <c r="AI698" s="347"/>
      <c r="AJ698" s="347"/>
      <c r="AK698" s="347"/>
      <c r="AL698" s="347"/>
      <c r="AM698" s="347"/>
      <c r="AN698" s="347"/>
      <c r="AO698" s="347"/>
      <c r="AP698" s="347"/>
      <c r="AQ698" s="347"/>
      <c r="AR698" s="347"/>
      <c r="AS698" s="347"/>
      <c r="AT698" s="347"/>
      <c r="AU698" s="347"/>
      <c r="AV698" s="347"/>
      <c r="AW698" s="347"/>
      <c r="AX698" s="347"/>
      <c r="AY698" s="347"/>
      <c r="AZ698" s="347"/>
      <c r="BA698" s="347"/>
      <c r="BB698" s="347"/>
      <c r="BC698" s="347"/>
      <c r="BD698" s="347"/>
      <c r="BE698" s="347"/>
      <c r="BF698" s="347"/>
      <c r="BG698" s="347"/>
      <c r="BH698" s="347"/>
    </row>
    <row r="699">
      <c r="A699" s="347"/>
      <c r="B699" s="347"/>
      <c r="C699" s="347"/>
      <c r="D699" s="347"/>
      <c r="E699" s="347"/>
      <c r="F699" s="347"/>
      <c r="G699" s="347"/>
      <c r="H699" s="347"/>
      <c r="I699" s="347"/>
      <c r="J699" s="347"/>
      <c r="K699" s="348"/>
      <c r="L699" s="348"/>
      <c r="M699" s="348"/>
      <c r="N699" s="348"/>
      <c r="O699" s="348"/>
      <c r="P699" s="347"/>
      <c r="Q699" s="347"/>
      <c r="R699" s="347"/>
      <c r="S699" s="347"/>
      <c r="T699" s="347"/>
      <c r="U699" s="347"/>
      <c r="V699" s="347"/>
      <c r="W699" s="347"/>
      <c r="X699" s="347"/>
      <c r="Y699" s="347"/>
      <c r="Z699" s="347"/>
      <c r="AA699" s="604"/>
      <c r="AB699" s="347"/>
      <c r="AC699" s="590"/>
      <c r="AD699" s="347"/>
      <c r="AE699" s="347"/>
      <c r="AF699" s="347"/>
      <c r="AG699" s="347"/>
      <c r="AH699" s="347"/>
      <c r="AI699" s="347"/>
      <c r="AJ699" s="347"/>
      <c r="AK699" s="347"/>
      <c r="AL699" s="347"/>
      <c r="AM699" s="347"/>
      <c r="AN699" s="347"/>
      <c r="AO699" s="347"/>
      <c r="AP699" s="347"/>
      <c r="AQ699" s="347"/>
      <c r="AR699" s="347"/>
      <c r="AS699" s="347"/>
      <c r="AT699" s="347"/>
      <c r="AU699" s="347"/>
      <c r="AV699" s="347"/>
      <c r="AW699" s="347"/>
      <c r="AX699" s="347"/>
      <c r="AY699" s="347"/>
      <c r="AZ699" s="347"/>
      <c r="BA699" s="347"/>
      <c r="BB699" s="347"/>
      <c r="BC699" s="347"/>
      <c r="BD699" s="347"/>
      <c r="BE699" s="347"/>
      <c r="BF699" s="347"/>
      <c r="BG699" s="347"/>
      <c r="BH699" s="347"/>
    </row>
    <row r="700">
      <c r="A700" s="347"/>
      <c r="B700" s="347"/>
      <c r="C700" s="347"/>
      <c r="D700" s="347"/>
      <c r="E700" s="347"/>
      <c r="F700" s="347"/>
      <c r="G700" s="347"/>
      <c r="H700" s="347"/>
      <c r="I700" s="347"/>
      <c r="J700" s="347"/>
      <c r="K700" s="348"/>
      <c r="L700" s="348"/>
      <c r="M700" s="348"/>
      <c r="N700" s="348"/>
      <c r="O700" s="348"/>
      <c r="P700" s="347"/>
      <c r="Q700" s="347"/>
      <c r="R700" s="347"/>
      <c r="S700" s="347"/>
      <c r="T700" s="347"/>
      <c r="U700" s="347"/>
      <c r="V700" s="347"/>
      <c r="W700" s="347"/>
      <c r="X700" s="347"/>
      <c r="Y700" s="347"/>
      <c r="Z700" s="347"/>
      <c r="AA700" s="604"/>
      <c r="AB700" s="347"/>
      <c r="AC700" s="590"/>
      <c r="AD700" s="347"/>
      <c r="AE700" s="347"/>
      <c r="AF700" s="347"/>
      <c r="AG700" s="347"/>
      <c r="AH700" s="347"/>
      <c r="AI700" s="347"/>
      <c r="AJ700" s="347"/>
      <c r="AK700" s="347"/>
      <c r="AL700" s="347"/>
      <c r="AM700" s="347"/>
      <c r="AN700" s="347"/>
      <c r="AO700" s="347"/>
      <c r="AP700" s="347"/>
      <c r="AQ700" s="347"/>
      <c r="AR700" s="347"/>
      <c r="AS700" s="347"/>
      <c r="AT700" s="347"/>
      <c r="AU700" s="347"/>
      <c r="AV700" s="347"/>
      <c r="AW700" s="347"/>
      <c r="AX700" s="347"/>
      <c r="AY700" s="347"/>
      <c r="AZ700" s="347"/>
      <c r="BA700" s="347"/>
      <c r="BB700" s="347"/>
      <c r="BC700" s="347"/>
      <c r="BD700" s="347"/>
      <c r="BE700" s="347"/>
      <c r="BF700" s="347"/>
      <c r="BG700" s="347"/>
      <c r="BH700" s="347"/>
    </row>
    <row r="701">
      <c r="A701" s="347"/>
      <c r="B701" s="347"/>
      <c r="C701" s="347"/>
      <c r="D701" s="347"/>
      <c r="E701" s="347"/>
      <c r="F701" s="347"/>
      <c r="G701" s="347"/>
      <c r="H701" s="347"/>
      <c r="I701" s="347"/>
      <c r="J701" s="347"/>
      <c r="K701" s="348"/>
      <c r="L701" s="348"/>
      <c r="M701" s="348"/>
      <c r="N701" s="348"/>
      <c r="O701" s="348"/>
      <c r="P701" s="347"/>
      <c r="Q701" s="347"/>
      <c r="R701" s="347"/>
      <c r="S701" s="347"/>
      <c r="T701" s="347"/>
      <c r="U701" s="347"/>
      <c r="V701" s="347"/>
      <c r="W701" s="347"/>
      <c r="X701" s="347"/>
      <c r="Y701" s="347"/>
      <c r="Z701" s="347"/>
      <c r="AA701" s="604"/>
      <c r="AB701" s="347"/>
      <c r="AC701" s="590"/>
      <c r="AD701" s="347"/>
      <c r="AE701" s="347"/>
      <c r="AF701" s="347"/>
      <c r="AG701" s="347"/>
      <c r="AH701" s="347"/>
      <c r="AI701" s="347"/>
      <c r="AJ701" s="347"/>
      <c r="AK701" s="347"/>
      <c r="AL701" s="347"/>
      <c r="AM701" s="347"/>
      <c r="AN701" s="347"/>
      <c r="AO701" s="347"/>
      <c r="AP701" s="347"/>
      <c r="AQ701" s="347"/>
      <c r="AR701" s="347"/>
      <c r="AS701" s="347"/>
      <c r="AT701" s="347"/>
      <c r="AU701" s="347"/>
      <c r="AV701" s="347"/>
      <c r="AW701" s="347"/>
      <c r="AX701" s="347"/>
      <c r="AY701" s="347"/>
      <c r="AZ701" s="347"/>
      <c r="BA701" s="347"/>
      <c r="BB701" s="347"/>
      <c r="BC701" s="347"/>
      <c r="BD701" s="347"/>
      <c r="BE701" s="347"/>
      <c r="BF701" s="347"/>
      <c r="BG701" s="347"/>
      <c r="BH701" s="347"/>
    </row>
    <row r="702">
      <c r="A702" s="347"/>
      <c r="B702" s="347"/>
      <c r="C702" s="347"/>
      <c r="D702" s="347"/>
      <c r="E702" s="347"/>
      <c r="F702" s="347"/>
      <c r="G702" s="347"/>
      <c r="H702" s="347"/>
      <c r="I702" s="347"/>
      <c r="J702" s="347"/>
      <c r="K702" s="348"/>
      <c r="L702" s="348"/>
      <c r="M702" s="348"/>
      <c r="N702" s="348"/>
      <c r="O702" s="348"/>
      <c r="P702" s="347"/>
      <c r="Q702" s="347"/>
      <c r="R702" s="347"/>
      <c r="S702" s="347"/>
      <c r="T702" s="347"/>
      <c r="U702" s="347"/>
      <c r="V702" s="347"/>
      <c r="W702" s="347"/>
      <c r="X702" s="347"/>
      <c r="Y702" s="347"/>
      <c r="Z702" s="347"/>
      <c r="AA702" s="604"/>
      <c r="AB702" s="347"/>
      <c r="AC702" s="590"/>
      <c r="AD702" s="347"/>
      <c r="AE702" s="347"/>
      <c r="AF702" s="347"/>
      <c r="AG702" s="347"/>
      <c r="AH702" s="347"/>
      <c r="AI702" s="347"/>
      <c r="AJ702" s="347"/>
      <c r="AK702" s="347"/>
      <c r="AL702" s="347"/>
      <c r="AM702" s="347"/>
      <c r="AN702" s="347"/>
      <c r="AO702" s="347"/>
      <c r="AP702" s="347"/>
      <c r="AQ702" s="347"/>
      <c r="AR702" s="347"/>
      <c r="AS702" s="347"/>
      <c r="AT702" s="347"/>
      <c r="AU702" s="347"/>
      <c r="AV702" s="347"/>
      <c r="AW702" s="347"/>
      <c r="AX702" s="347"/>
      <c r="AY702" s="347"/>
      <c r="AZ702" s="347"/>
      <c r="BA702" s="347"/>
      <c r="BB702" s="347"/>
      <c r="BC702" s="347"/>
      <c r="BD702" s="347"/>
      <c r="BE702" s="347"/>
      <c r="BF702" s="347"/>
      <c r="BG702" s="347"/>
      <c r="BH702" s="347"/>
    </row>
    <row r="703">
      <c r="A703" s="347"/>
      <c r="B703" s="347"/>
      <c r="C703" s="347"/>
      <c r="D703" s="347"/>
      <c r="E703" s="347"/>
      <c r="F703" s="347"/>
      <c r="G703" s="347"/>
      <c r="H703" s="347"/>
      <c r="I703" s="347"/>
      <c r="J703" s="347"/>
      <c r="K703" s="348"/>
      <c r="L703" s="348"/>
      <c r="M703" s="348"/>
      <c r="N703" s="348"/>
      <c r="O703" s="348"/>
      <c r="P703" s="347"/>
      <c r="Q703" s="347"/>
      <c r="R703" s="347"/>
      <c r="S703" s="347"/>
      <c r="T703" s="347"/>
      <c r="U703" s="347"/>
      <c r="V703" s="347"/>
      <c r="W703" s="347"/>
      <c r="X703" s="347"/>
      <c r="Y703" s="347"/>
      <c r="Z703" s="347"/>
      <c r="AA703" s="604"/>
      <c r="AB703" s="347"/>
      <c r="AC703" s="590"/>
      <c r="AD703" s="347"/>
      <c r="AE703" s="347"/>
      <c r="AF703" s="347"/>
      <c r="AG703" s="347"/>
      <c r="AH703" s="347"/>
      <c r="AI703" s="347"/>
      <c r="AJ703" s="347"/>
      <c r="AK703" s="347"/>
      <c r="AL703" s="347"/>
      <c r="AM703" s="347"/>
      <c r="AN703" s="347"/>
      <c r="AO703" s="347"/>
      <c r="AP703" s="347"/>
      <c r="AQ703" s="347"/>
      <c r="AR703" s="347"/>
      <c r="AS703" s="347"/>
      <c r="AT703" s="347"/>
      <c r="AU703" s="347"/>
      <c r="AV703" s="347"/>
      <c r="AW703" s="347"/>
      <c r="AX703" s="347"/>
      <c r="AY703" s="347"/>
      <c r="AZ703" s="347"/>
      <c r="BA703" s="347"/>
      <c r="BB703" s="347"/>
      <c r="BC703" s="347"/>
      <c r="BD703" s="347"/>
      <c r="BE703" s="347"/>
      <c r="BF703" s="347"/>
      <c r="BG703" s="347"/>
      <c r="BH703" s="347"/>
    </row>
    <row r="704">
      <c r="A704" s="347"/>
      <c r="B704" s="347"/>
      <c r="C704" s="347"/>
      <c r="D704" s="347"/>
      <c r="E704" s="347"/>
      <c r="F704" s="347"/>
      <c r="G704" s="347"/>
      <c r="H704" s="347"/>
      <c r="I704" s="347"/>
      <c r="J704" s="347"/>
      <c r="K704" s="348"/>
      <c r="L704" s="348"/>
      <c r="M704" s="348"/>
      <c r="N704" s="348"/>
      <c r="O704" s="348"/>
      <c r="P704" s="347"/>
      <c r="Q704" s="347"/>
      <c r="R704" s="347"/>
      <c r="S704" s="347"/>
      <c r="T704" s="347"/>
      <c r="U704" s="347"/>
      <c r="V704" s="347"/>
      <c r="W704" s="347"/>
      <c r="X704" s="347"/>
      <c r="Y704" s="347"/>
      <c r="Z704" s="347"/>
      <c r="AA704" s="604"/>
      <c r="AB704" s="347"/>
      <c r="AC704" s="590"/>
      <c r="AD704" s="347"/>
      <c r="AE704" s="347"/>
      <c r="AF704" s="347"/>
      <c r="AG704" s="347"/>
      <c r="AH704" s="347"/>
      <c r="AI704" s="347"/>
      <c r="AJ704" s="347"/>
      <c r="AK704" s="347"/>
      <c r="AL704" s="347"/>
      <c r="AM704" s="347"/>
      <c r="AN704" s="347"/>
      <c r="AO704" s="347"/>
      <c r="AP704" s="347"/>
      <c r="AQ704" s="347"/>
      <c r="AR704" s="347"/>
      <c r="AS704" s="347"/>
      <c r="AT704" s="347"/>
      <c r="AU704" s="347"/>
      <c r="AV704" s="347"/>
      <c r="AW704" s="347"/>
      <c r="AX704" s="347"/>
      <c r="AY704" s="347"/>
      <c r="AZ704" s="347"/>
      <c r="BA704" s="347"/>
      <c r="BB704" s="347"/>
      <c r="BC704" s="347"/>
      <c r="BD704" s="347"/>
      <c r="BE704" s="347"/>
      <c r="BF704" s="347"/>
      <c r="BG704" s="347"/>
      <c r="BH704" s="347"/>
    </row>
    <row r="705">
      <c r="A705" s="347"/>
      <c r="B705" s="347"/>
      <c r="C705" s="347"/>
      <c r="D705" s="347"/>
      <c r="E705" s="347"/>
      <c r="F705" s="347"/>
      <c r="G705" s="347"/>
      <c r="H705" s="347"/>
      <c r="I705" s="347"/>
      <c r="J705" s="347"/>
      <c r="K705" s="348"/>
      <c r="L705" s="348"/>
      <c r="M705" s="348"/>
      <c r="N705" s="348"/>
      <c r="O705" s="348"/>
      <c r="P705" s="347"/>
      <c r="Q705" s="347"/>
      <c r="R705" s="347"/>
      <c r="S705" s="347"/>
      <c r="T705" s="347"/>
      <c r="U705" s="347"/>
      <c r="V705" s="347"/>
      <c r="W705" s="347"/>
      <c r="X705" s="347"/>
      <c r="Y705" s="347"/>
      <c r="Z705" s="347"/>
      <c r="AA705" s="604"/>
      <c r="AB705" s="347"/>
      <c r="AC705" s="590"/>
      <c r="AD705" s="347"/>
      <c r="AE705" s="347"/>
      <c r="AF705" s="347"/>
      <c r="AG705" s="347"/>
      <c r="AH705" s="347"/>
      <c r="AI705" s="347"/>
      <c r="AJ705" s="347"/>
      <c r="AK705" s="347"/>
      <c r="AL705" s="347"/>
      <c r="AM705" s="347"/>
      <c r="AN705" s="347"/>
      <c r="AO705" s="347"/>
      <c r="AP705" s="347"/>
      <c r="AQ705" s="347"/>
      <c r="AR705" s="347"/>
      <c r="AS705" s="347"/>
      <c r="AT705" s="347"/>
      <c r="AU705" s="347"/>
      <c r="AV705" s="347"/>
      <c r="AW705" s="347"/>
      <c r="AX705" s="347"/>
      <c r="AY705" s="347"/>
      <c r="AZ705" s="347"/>
      <c r="BA705" s="347"/>
      <c r="BB705" s="347"/>
      <c r="BC705" s="347"/>
      <c r="BD705" s="347"/>
      <c r="BE705" s="347"/>
      <c r="BF705" s="347"/>
      <c r="BG705" s="347"/>
      <c r="BH705" s="347"/>
    </row>
    <row r="706">
      <c r="A706" s="347"/>
      <c r="B706" s="347"/>
      <c r="C706" s="347"/>
      <c r="D706" s="347"/>
      <c r="E706" s="347"/>
      <c r="F706" s="347"/>
      <c r="G706" s="347"/>
      <c r="H706" s="347"/>
      <c r="I706" s="347"/>
      <c r="J706" s="347"/>
      <c r="K706" s="348"/>
      <c r="L706" s="348"/>
      <c r="M706" s="348"/>
      <c r="N706" s="348"/>
      <c r="O706" s="348"/>
      <c r="P706" s="347"/>
      <c r="Q706" s="347"/>
      <c r="R706" s="347"/>
      <c r="S706" s="347"/>
      <c r="T706" s="347"/>
      <c r="U706" s="347"/>
      <c r="V706" s="347"/>
      <c r="W706" s="347"/>
      <c r="X706" s="347"/>
      <c r="Y706" s="347"/>
      <c r="Z706" s="347"/>
      <c r="AA706" s="604"/>
      <c r="AB706" s="347"/>
      <c r="AC706" s="590"/>
      <c r="AD706" s="347"/>
      <c r="AE706" s="347"/>
      <c r="AF706" s="347"/>
      <c r="AG706" s="347"/>
      <c r="AH706" s="347"/>
      <c r="AI706" s="347"/>
      <c r="AJ706" s="347"/>
      <c r="AK706" s="347"/>
      <c r="AL706" s="347"/>
      <c r="AM706" s="347"/>
      <c r="AN706" s="347"/>
      <c r="AO706" s="347"/>
      <c r="AP706" s="347"/>
      <c r="AQ706" s="347"/>
      <c r="AR706" s="347"/>
      <c r="AS706" s="347"/>
      <c r="AT706" s="347"/>
      <c r="AU706" s="347"/>
      <c r="AV706" s="347"/>
      <c r="AW706" s="347"/>
      <c r="AX706" s="347"/>
      <c r="AY706" s="347"/>
      <c r="AZ706" s="347"/>
      <c r="BA706" s="347"/>
      <c r="BB706" s="347"/>
      <c r="BC706" s="347"/>
      <c r="BD706" s="347"/>
      <c r="BE706" s="347"/>
      <c r="BF706" s="347"/>
      <c r="BG706" s="347"/>
      <c r="BH706" s="347"/>
    </row>
    <row r="707">
      <c r="A707" s="347"/>
      <c r="B707" s="347"/>
      <c r="C707" s="347"/>
      <c r="D707" s="347"/>
      <c r="E707" s="347"/>
      <c r="F707" s="347"/>
      <c r="G707" s="347"/>
      <c r="H707" s="347"/>
      <c r="I707" s="347"/>
      <c r="J707" s="347"/>
      <c r="K707" s="348"/>
      <c r="L707" s="348"/>
      <c r="M707" s="348"/>
      <c r="N707" s="348"/>
      <c r="O707" s="348"/>
      <c r="P707" s="347"/>
      <c r="Q707" s="347"/>
      <c r="R707" s="347"/>
      <c r="S707" s="347"/>
      <c r="T707" s="347"/>
      <c r="U707" s="347"/>
      <c r="V707" s="347"/>
      <c r="W707" s="347"/>
      <c r="X707" s="347"/>
      <c r="Y707" s="347"/>
      <c r="Z707" s="347"/>
      <c r="AA707" s="604"/>
      <c r="AB707" s="347"/>
      <c r="AC707" s="590"/>
      <c r="AD707" s="347"/>
      <c r="AE707" s="347"/>
      <c r="AF707" s="347"/>
      <c r="AG707" s="347"/>
      <c r="AH707" s="347"/>
      <c r="AI707" s="347"/>
      <c r="AJ707" s="347"/>
      <c r="AK707" s="347"/>
      <c r="AL707" s="347"/>
      <c r="AM707" s="347"/>
      <c r="AN707" s="347"/>
      <c r="AO707" s="347"/>
      <c r="AP707" s="347"/>
      <c r="AQ707" s="347"/>
      <c r="AR707" s="347"/>
      <c r="AS707" s="347"/>
      <c r="AT707" s="347"/>
      <c r="AU707" s="347"/>
      <c r="AV707" s="347"/>
      <c r="AW707" s="347"/>
      <c r="AX707" s="347"/>
      <c r="AY707" s="347"/>
      <c r="AZ707" s="347"/>
      <c r="BA707" s="347"/>
      <c r="BB707" s="347"/>
      <c r="BC707" s="347"/>
      <c r="BD707" s="347"/>
      <c r="BE707" s="347"/>
      <c r="BF707" s="347"/>
      <c r="BG707" s="347"/>
      <c r="BH707" s="347"/>
    </row>
    <row r="708">
      <c r="A708" s="347"/>
      <c r="B708" s="347"/>
      <c r="C708" s="347"/>
      <c r="D708" s="347"/>
      <c r="E708" s="347"/>
      <c r="F708" s="347"/>
      <c r="G708" s="347"/>
      <c r="H708" s="347"/>
      <c r="I708" s="347"/>
      <c r="J708" s="347"/>
      <c r="K708" s="348"/>
      <c r="L708" s="348"/>
      <c r="M708" s="348"/>
      <c r="N708" s="348"/>
      <c r="O708" s="348"/>
      <c r="P708" s="347"/>
      <c r="Q708" s="347"/>
      <c r="R708" s="347"/>
      <c r="S708" s="347"/>
      <c r="T708" s="347"/>
      <c r="U708" s="347"/>
      <c r="V708" s="347"/>
      <c r="W708" s="347"/>
      <c r="X708" s="347"/>
      <c r="Y708" s="347"/>
      <c r="Z708" s="347"/>
      <c r="AA708" s="604"/>
      <c r="AB708" s="347"/>
      <c r="AC708" s="590"/>
      <c r="AD708" s="347"/>
      <c r="AE708" s="347"/>
      <c r="AF708" s="347"/>
      <c r="AG708" s="347"/>
      <c r="AH708" s="347"/>
      <c r="AI708" s="347"/>
      <c r="AJ708" s="347"/>
      <c r="AK708" s="347"/>
      <c r="AL708" s="347"/>
      <c r="AM708" s="347"/>
      <c r="AN708" s="347"/>
      <c r="AO708" s="347"/>
      <c r="AP708" s="347"/>
      <c r="AQ708" s="347"/>
      <c r="AR708" s="347"/>
      <c r="AS708" s="347"/>
      <c r="AT708" s="347"/>
      <c r="AU708" s="347"/>
      <c r="AV708" s="347"/>
      <c r="AW708" s="347"/>
      <c r="AX708" s="347"/>
      <c r="AY708" s="347"/>
      <c r="AZ708" s="347"/>
      <c r="BA708" s="347"/>
      <c r="BB708" s="347"/>
      <c r="BC708" s="347"/>
      <c r="BD708" s="347"/>
      <c r="BE708" s="347"/>
      <c r="BF708" s="347"/>
      <c r="BG708" s="347"/>
      <c r="BH708" s="347"/>
    </row>
    <row r="709">
      <c r="A709" s="347"/>
      <c r="B709" s="347"/>
      <c r="C709" s="347"/>
      <c r="D709" s="347"/>
      <c r="E709" s="347"/>
      <c r="F709" s="347"/>
      <c r="G709" s="347"/>
      <c r="H709" s="347"/>
      <c r="I709" s="347"/>
      <c r="J709" s="347"/>
      <c r="K709" s="348"/>
      <c r="L709" s="348"/>
      <c r="M709" s="348"/>
      <c r="N709" s="348"/>
      <c r="O709" s="348"/>
      <c r="P709" s="347"/>
      <c r="Q709" s="347"/>
      <c r="R709" s="347"/>
      <c r="S709" s="347"/>
      <c r="T709" s="347"/>
      <c r="U709" s="347"/>
      <c r="V709" s="347"/>
      <c r="W709" s="347"/>
      <c r="X709" s="347"/>
      <c r="Y709" s="347"/>
      <c r="Z709" s="347"/>
      <c r="AA709" s="604"/>
      <c r="AB709" s="347"/>
      <c r="AC709" s="590"/>
      <c r="AD709" s="347"/>
      <c r="AE709" s="347"/>
      <c r="AF709" s="347"/>
      <c r="AG709" s="347"/>
      <c r="AH709" s="347"/>
      <c r="AI709" s="347"/>
      <c r="AJ709" s="347"/>
      <c r="AK709" s="347"/>
      <c r="AL709" s="347"/>
      <c r="AM709" s="347"/>
      <c r="AN709" s="347"/>
      <c r="AO709" s="347"/>
      <c r="AP709" s="347"/>
      <c r="AQ709" s="347"/>
      <c r="AR709" s="347"/>
      <c r="AS709" s="347"/>
      <c r="AT709" s="347"/>
      <c r="AU709" s="347"/>
      <c r="AV709" s="347"/>
      <c r="AW709" s="347"/>
      <c r="AX709" s="347"/>
      <c r="AY709" s="347"/>
      <c r="AZ709" s="347"/>
      <c r="BA709" s="347"/>
      <c r="BB709" s="347"/>
      <c r="BC709" s="347"/>
      <c r="BD709" s="347"/>
      <c r="BE709" s="347"/>
      <c r="BF709" s="347"/>
      <c r="BG709" s="347"/>
      <c r="BH709" s="347"/>
    </row>
    <row r="710">
      <c r="A710" s="347"/>
      <c r="B710" s="347"/>
      <c r="C710" s="347"/>
      <c r="D710" s="347"/>
      <c r="E710" s="347"/>
      <c r="F710" s="347"/>
      <c r="G710" s="347"/>
      <c r="H710" s="347"/>
      <c r="I710" s="347"/>
      <c r="J710" s="347"/>
      <c r="K710" s="348"/>
      <c r="L710" s="348"/>
      <c r="M710" s="348"/>
      <c r="N710" s="348"/>
      <c r="O710" s="348"/>
      <c r="P710" s="347"/>
      <c r="Q710" s="347"/>
      <c r="R710" s="347"/>
      <c r="S710" s="347"/>
      <c r="T710" s="347"/>
      <c r="U710" s="347"/>
      <c r="V710" s="347"/>
      <c r="W710" s="347"/>
      <c r="X710" s="347"/>
      <c r="Y710" s="347"/>
      <c r="Z710" s="347"/>
      <c r="AA710" s="604"/>
      <c r="AB710" s="347"/>
      <c r="AC710" s="590"/>
      <c r="AD710" s="347"/>
      <c r="AE710" s="347"/>
      <c r="AF710" s="347"/>
      <c r="AG710" s="347"/>
      <c r="AH710" s="347"/>
      <c r="AI710" s="347"/>
      <c r="AJ710" s="347"/>
      <c r="AK710" s="347"/>
      <c r="AL710" s="347"/>
      <c r="AM710" s="347"/>
      <c r="AN710" s="347"/>
      <c r="AO710" s="347"/>
      <c r="AP710" s="347"/>
      <c r="AQ710" s="347"/>
      <c r="AR710" s="347"/>
      <c r="AS710" s="347"/>
      <c r="AT710" s="347"/>
      <c r="AU710" s="347"/>
      <c r="AV710" s="347"/>
      <c r="AW710" s="347"/>
      <c r="AX710" s="347"/>
      <c r="AY710" s="347"/>
      <c r="AZ710" s="347"/>
      <c r="BA710" s="347"/>
      <c r="BB710" s="347"/>
      <c r="BC710" s="347"/>
      <c r="BD710" s="347"/>
      <c r="BE710" s="347"/>
      <c r="BF710" s="347"/>
      <c r="BG710" s="347"/>
      <c r="BH710" s="347"/>
    </row>
    <row r="711">
      <c r="A711" s="347"/>
      <c r="B711" s="347"/>
      <c r="C711" s="347"/>
      <c r="D711" s="347"/>
      <c r="E711" s="347"/>
      <c r="F711" s="347"/>
      <c r="G711" s="347"/>
      <c r="H711" s="347"/>
      <c r="I711" s="347"/>
      <c r="J711" s="347"/>
      <c r="K711" s="348"/>
      <c r="L711" s="348"/>
      <c r="M711" s="348"/>
      <c r="N711" s="348"/>
      <c r="O711" s="348"/>
      <c r="P711" s="347"/>
      <c r="Q711" s="347"/>
      <c r="R711" s="347"/>
      <c r="S711" s="347"/>
      <c r="T711" s="347"/>
      <c r="U711" s="347"/>
      <c r="V711" s="347"/>
      <c r="W711" s="347"/>
      <c r="X711" s="347"/>
      <c r="Y711" s="347"/>
      <c r="Z711" s="347"/>
      <c r="AA711" s="604"/>
      <c r="AB711" s="347"/>
      <c r="AC711" s="590"/>
      <c r="AD711" s="347"/>
      <c r="AE711" s="347"/>
      <c r="AF711" s="347"/>
      <c r="AG711" s="347"/>
      <c r="AH711" s="347"/>
      <c r="AI711" s="347"/>
      <c r="AJ711" s="347"/>
      <c r="AK711" s="347"/>
      <c r="AL711" s="347"/>
      <c r="AM711" s="347"/>
      <c r="AN711" s="347"/>
      <c r="AO711" s="347"/>
      <c r="AP711" s="347"/>
      <c r="AQ711" s="347"/>
      <c r="AR711" s="347"/>
      <c r="AS711" s="347"/>
      <c r="AT711" s="347"/>
      <c r="AU711" s="347"/>
      <c r="AV711" s="347"/>
      <c r="AW711" s="347"/>
      <c r="AX711" s="347"/>
      <c r="AY711" s="347"/>
      <c r="AZ711" s="347"/>
      <c r="BA711" s="347"/>
      <c r="BB711" s="347"/>
      <c r="BC711" s="347"/>
      <c r="BD711" s="347"/>
      <c r="BE711" s="347"/>
      <c r="BF711" s="347"/>
      <c r="BG711" s="347"/>
      <c r="BH711" s="347"/>
    </row>
    <row r="712">
      <c r="A712" s="347"/>
      <c r="B712" s="347"/>
      <c r="C712" s="347"/>
      <c r="D712" s="347"/>
      <c r="E712" s="347"/>
      <c r="F712" s="347"/>
      <c r="G712" s="347"/>
      <c r="H712" s="347"/>
      <c r="I712" s="347"/>
      <c r="J712" s="347"/>
      <c r="K712" s="348"/>
      <c r="L712" s="348"/>
      <c r="M712" s="348"/>
      <c r="N712" s="348"/>
      <c r="O712" s="348"/>
      <c r="P712" s="347"/>
      <c r="Q712" s="347"/>
      <c r="R712" s="347"/>
      <c r="S712" s="347"/>
      <c r="T712" s="347"/>
      <c r="U712" s="347"/>
      <c r="V712" s="347"/>
      <c r="W712" s="347"/>
      <c r="X712" s="347"/>
      <c r="Y712" s="347"/>
      <c r="Z712" s="347"/>
      <c r="AA712" s="604"/>
      <c r="AB712" s="347"/>
      <c r="AC712" s="590"/>
      <c r="AD712" s="347"/>
      <c r="AE712" s="347"/>
      <c r="AF712" s="347"/>
      <c r="AG712" s="347"/>
      <c r="AH712" s="347"/>
      <c r="AI712" s="347"/>
      <c r="AJ712" s="347"/>
      <c r="AK712" s="347"/>
      <c r="AL712" s="347"/>
      <c r="AM712" s="347"/>
      <c r="AN712" s="347"/>
      <c r="AO712" s="347"/>
      <c r="AP712" s="347"/>
      <c r="AQ712" s="347"/>
      <c r="AR712" s="347"/>
      <c r="AS712" s="347"/>
      <c r="AT712" s="347"/>
      <c r="AU712" s="347"/>
      <c r="AV712" s="347"/>
      <c r="AW712" s="347"/>
      <c r="AX712" s="347"/>
      <c r="AY712" s="347"/>
      <c r="AZ712" s="347"/>
      <c r="BA712" s="347"/>
      <c r="BB712" s="347"/>
      <c r="BC712" s="347"/>
      <c r="BD712" s="347"/>
      <c r="BE712" s="347"/>
      <c r="BF712" s="347"/>
      <c r="BG712" s="347"/>
      <c r="BH712" s="347"/>
    </row>
    <row r="713">
      <c r="A713" s="347"/>
      <c r="B713" s="347"/>
      <c r="C713" s="347"/>
      <c r="D713" s="347"/>
      <c r="E713" s="347"/>
      <c r="F713" s="347"/>
      <c r="G713" s="347"/>
      <c r="H713" s="347"/>
      <c r="I713" s="347"/>
      <c r="J713" s="347"/>
      <c r="K713" s="348"/>
      <c r="L713" s="348"/>
      <c r="M713" s="348"/>
      <c r="N713" s="348"/>
      <c r="O713" s="348"/>
      <c r="P713" s="347"/>
      <c r="Q713" s="347"/>
      <c r="R713" s="347"/>
      <c r="S713" s="347"/>
      <c r="T713" s="347"/>
      <c r="U713" s="347"/>
      <c r="V713" s="347"/>
      <c r="W713" s="347"/>
      <c r="X713" s="347"/>
      <c r="Y713" s="347"/>
      <c r="Z713" s="347"/>
      <c r="AA713" s="604"/>
      <c r="AB713" s="347"/>
      <c r="AC713" s="590"/>
      <c r="AD713" s="347"/>
      <c r="AE713" s="347"/>
      <c r="AF713" s="347"/>
      <c r="AG713" s="347"/>
      <c r="AH713" s="347"/>
      <c r="AI713" s="347"/>
      <c r="AJ713" s="347"/>
      <c r="AK713" s="347"/>
      <c r="AL713" s="347"/>
      <c r="AM713" s="347"/>
      <c r="AN713" s="347"/>
      <c r="AO713" s="347"/>
      <c r="AP713" s="347"/>
      <c r="AQ713" s="347"/>
      <c r="AR713" s="347"/>
      <c r="AS713" s="347"/>
      <c r="AT713" s="347"/>
      <c r="AU713" s="347"/>
      <c r="AV713" s="347"/>
      <c r="AW713" s="347"/>
      <c r="AX713" s="347"/>
      <c r="AY713" s="347"/>
      <c r="AZ713" s="347"/>
      <c r="BA713" s="347"/>
      <c r="BB713" s="347"/>
      <c r="BC713" s="347"/>
      <c r="BD713" s="347"/>
      <c r="BE713" s="347"/>
      <c r="BF713" s="347"/>
      <c r="BG713" s="347"/>
      <c r="BH713" s="347"/>
    </row>
    <row r="714">
      <c r="A714" s="347"/>
      <c r="B714" s="347"/>
      <c r="C714" s="347"/>
      <c r="D714" s="347"/>
      <c r="E714" s="347"/>
      <c r="F714" s="347"/>
      <c r="G714" s="347"/>
      <c r="H714" s="347"/>
      <c r="I714" s="347"/>
      <c r="J714" s="347"/>
      <c r="K714" s="348"/>
      <c r="L714" s="348"/>
      <c r="M714" s="348"/>
      <c r="N714" s="348"/>
      <c r="O714" s="348"/>
      <c r="P714" s="347"/>
      <c r="Q714" s="347"/>
      <c r="R714" s="347"/>
      <c r="S714" s="347"/>
      <c r="T714" s="347"/>
      <c r="U714" s="347"/>
      <c r="V714" s="347"/>
      <c r="W714" s="347"/>
      <c r="X714" s="347"/>
      <c r="Y714" s="347"/>
      <c r="Z714" s="347"/>
      <c r="AA714" s="604"/>
      <c r="AB714" s="347"/>
      <c r="AC714" s="590"/>
      <c r="AD714" s="347"/>
      <c r="AE714" s="347"/>
      <c r="AF714" s="347"/>
      <c r="AG714" s="347"/>
      <c r="AH714" s="347"/>
      <c r="AI714" s="347"/>
      <c r="AJ714" s="347"/>
      <c r="AK714" s="347"/>
      <c r="AL714" s="347"/>
      <c r="AM714" s="347"/>
      <c r="AN714" s="347"/>
      <c r="AO714" s="347"/>
      <c r="AP714" s="347"/>
      <c r="AQ714" s="347"/>
      <c r="AR714" s="347"/>
      <c r="AS714" s="347"/>
      <c r="AT714" s="347"/>
      <c r="AU714" s="347"/>
      <c r="AV714" s="347"/>
      <c r="AW714" s="347"/>
      <c r="AX714" s="347"/>
      <c r="AY714" s="347"/>
      <c r="AZ714" s="347"/>
      <c r="BA714" s="347"/>
      <c r="BB714" s="347"/>
      <c r="BC714" s="347"/>
      <c r="BD714" s="347"/>
      <c r="BE714" s="347"/>
      <c r="BF714" s="347"/>
      <c r="BG714" s="347"/>
      <c r="BH714" s="347"/>
    </row>
    <row r="715">
      <c r="A715" s="347"/>
      <c r="B715" s="347"/>
      <c r="C715" s="347"/>
      <c r="D715" s="347"/>
      <c r="E715" s="347"/>
      <c r="F715" s="347"/>
      <c r="G715" s="347"/>
      <c r="H715" s="347"/>
      <c r="I715" s="347"/>
      <c r="J715" s="347"/>
      <c r="K715" s="348"/>
      <c r="L715" s="348"/>
      <c r="M715" s="348"/>
      <c r="N715" s="348"/>
      <c r="O715" s="348"/>
      <c r="P715" s="347"/>
      <c r="Q715" s="347"/>
      <c r="R715" s="347"/>
      <c r="S715" s="347"/>
      <c r="T715" s="347"/>
      <c r="U715" s="347"/>
      <c r="V715" s="347"/>
      <c r="W715" s="347"/>
      <c r="X715" s="347"/>
      <c r="Y715" s="347"/>
      <c r="Z715" s="347"/>
      <c r="AA715" s="604"/>
      <c r="AB715" s="347"/>
      <c r="AC715" s="590"/>
      <c r="AD715" s="347"/>
      <c r="AE715" s="347"/>
      <c r="AF715" s="347"/>
      <c r="AG715" s="347"/>
      <c r="AH715" s="347"/>
      <c r="AI715" s="347"/>
      <c r="AJ715" s="347"/>
      <c r="AK715" s="347"/>
      <c r="AL715" s="347"/>
      <c r="AM715" s="347"/>
      <c r="AN715" s="347"/>
      <c r="AO715" s="347"/>
      <c r="AP715" s="347"/>
      <c r="AQ715" s="347"/>
      <c r="AR715" s="347"/>
      <c r="AS715" s="347"/>
      <c r="AT715" s="347"/>
      <c r="AU715" s="347"/>
      <c r="AV715" s="347"/>
      <c r="AW715" s="347"/>
      <c r="AX715" s="347"/>
      <c r="AY715" s="347"/>
      <c r="AZ715" s="347"/>
      <c r="BA715" s="347"/>
      <c r="BB715" s="347"/>
      <c r="BC715" s="347"/>
      <c r="BD715" s="347"/>
      <c r="BE715" s="347"/>
      <c r="BF715" s="347"/>
      <c r="BG715" s="347"/>
      <c r="BH715" s="347"/>
    </row>
    <row r="716">
      <c r="A716" s="347"/>
      <c r="B716" s="347"/>
      <c r="C716" s="347"/>
      <c r="D716" s="347"/>
      <c r="E716" s="347"/>
      <c r="F716" s="347"/>
      <c r="G716" s="347"/>
      <c r="H716" s="347"/>
      <c r="I716" s="347"/>
      <c r="J716" s="347"/>
      <c r="K716" s="348"/>
      <c r="L716" s="348"/>
      <c r="M716" s="348"/>
      <c r="N716" s="348"/>
      <c r="O716" s="348"/>
      <c r="P716" s="347"/>
      <c r="Q716" s="347"/>
      <c r="R716" s="347"/>
      <c r="S716" s="347"/>
      <c r="T716" s="347"/>
      <c r="U716" s="347"/>
      <c r="V716" s="347"/>
      <c r="W716" s="347"/>
      <c r="X716" s="347"/>
      <c r="Y716" s="347"/>
      <c r="Z716" s="347"/>
      <c r="AA716" s="604"/>
      <c r="AB716" s="347"/>
      <c r="AC716" s="590"/>
      <c r="AD716" s="347"/>
      <c r="AE716" s="347"/>
      <c r="AF716" s="347"/>
      <c r="AG716" s="347"/>
      <c r="AH716" s="347"/>
      <c r="AI716" s="347"/>
      <c r="AJ716" s="347"/>
      <c r="AK716" s="347"/>
      <c r="AL716" s="347"/>
      <c r="AM716" s="347"/>
      <c r="AN716" s="347"/>
      <c r="AO716" s="347"/>
      <c r="AP716" s="347"/>
      <c r="AQ716" s="347"/>
      <c r="AR716" s="347"/>
      <c r="AS716" s="347"/>
      <c r="AT716" s="347"/>
      <c r="AU716" s="347"/>
      <c r="AV716" s="347"/>
      <c r="AW716" s="347"/>
      <c r="AX716" s="347"/>
      <c r="AY716" s="347"/>
      <c r="AZ716" s="347"/>
      <c r="BA716" s="347"/>
      <c r="BB716" s="347"/>
      <c r="BC716" s="347"/>
      <c r="BD716" s="347"/>
      <c r="BE716" s="347"/>
      <c r="BF716" s="347"/>
      <c r="BG716" s="347"/>
      <c r="BH716" s="347"/>
    </row>
    <row r="717">
      <c r="A717" s="347"/>
      <c r="B717" s="347"/>
      <c r="C717" s="347"/>
      <c r="D717" s="347"/>
      <c r="E717" s="347"/>
      <c r="F717" s="347"/>
      <c r="G717" s="347"/>
      <c r="H717" s="347"/>
      <c r="I717" s="347"/>
      <c r="J717" s="347"/>
      <c r="K717" s="348"/>
      <c r="L717" s="348"/>
      <c r="M717" s="348"/>
      <c r="N717" s="348"/>
      <c r="O717" s="348"/>
      <c r="P717" s="347"/>
      <c r="Q717" s="347"/>
      <c r="R717" s="347"/>
      <c r="S717" s="347"/>
      <c r="T717" s="347"/>
      <c r="U717" s="347"/>
      <c r="V717" s="347"/>
      <c r="W717" s="347"/>
      <c r="X717" s="347"/>
      <c r="Y717" s="347"/>
      <c r="Z717" s="347"/>
      <c r="AA717" s="604"/>
      <c r="AB717" s="347"/>
      <c r="AC717" s="590"/>
      <c r="AD717" s="347"/>
      <c r="AE717" s="347"/>
      <c r="AF717" s="347"/>
      <c r="AG717" s="347"/>
      <c r="AH717" s="347"/>
      <c r="AI717" s="347"/>
      <c r="AJ717" s="347"/>
      <c r="AK717" s="347"/>
      <c r="AL717" s="347"/>
      <c r="AM717" s="347"/>
      <c r="AN717" s="347"/>
      <c r="AO717" s="347"/>
      <c r="AP717" s="347"/>
      <c r="AQ717" s="347"/>
      <c r="AR717" s="347"/>
      <c r="AS717" s="347"/>
      <c r="AT717" s="347"/>
      <c r="AU717" s="347"/>
      <c r="AV717" s="347"/>
      <c r="AW717" s="347"/>
      <c r="AX717" s="347"/>
      <c r="AY717" s="347"/>
      <c r="AZ717" s="347"/>
      <c r="BA717" s="347"/>
      <c r="BB717" s="347"/>
      <c r="BC717" s="347"/>
      <c r="BD717" s="347"/>
      <c r="BE717" s="347"/>
      <c r="BF717" s="347"/>
      <c r="BG717" s="347"/>
      <c r="BH717" s="347"/>
    </row>
    <row r="718">
      <c r="A718" s="347"/>
      <c r="B718" s="347"/>
      <c r="C718" s="347"/>
      <c r="D718" s="347"/>
      <c r="E718" s="347"/>
      <c r="F718" s="347"/>
      <c r="G718" s="347"/>
      <c r="H718" s="347"/>
      <c r="I718" s="347"/>
      <c r="J718" s="347"/>
      <c r="K718" s="348"/>
      <c r="L718" s="348"/>
      <c r="M718" s="348"/>
      <c r="N718" s="348"/>
      <c r="O718" s="348"/>
      <c r="P718" s="347"/>
      <c r="Q718" s="347"/>
      <c r="R718" s="347"/>
      <c r="S718" s="347"/>
      <c r="T718" s="347"/>
      <c r="U718" s="347"/>
      <c r="V718" s="347"/>
      <c r="W718" s="347"/>
      <c r="X718" s="347"/>
      <c r="Y718" s="347"/>
      <c r="Z718" s="347"/>
      <c r="AA718" s="604"/>
      <c r="AB718" s="347"/>
      <c r="AC718" s="590"/>
      <c r="AD718" s="347"/>
      <c r="AE718" s="347"/>
      <c r="AF718" s="347"/>
      <c r="AG718" s="347"/>
      <c r="AH718" s="347"/>
      <c r="AI718" s="347"/>
      <c r="AJ718" s="347"/>
      <c r="AK718" s="347"/>
      <c r="AL718" s="347"/>
      <c r="AM718" s="347"/>
      <c r="AN718" s="347"/>
      <c r="AO718" s="347"/>
      <c r="AP718" s="347"/>
      <c r="AQ718" s="347"/>
      <c r="AR718" s="347"/>
      <c r="AS718" s="347"/>
      <c r="AT718" s="347"/>
      <c r="AU718" s="347"/>
      <c r="AV718" s="347"/>
      <c r="AW718" s="347"/>
      <c r="AX718" s="347"/>
      <c r="AY718" s="347"/>
      <c r="AZ718" s="347"/>
      <c r="BA718" s="347"/>
      <c r="BB718" s="347"/>
      <c r="BC718" s="347"/>
      <c r="BD718" s="347"/>
      <c r="BE718" s="347"/>
      <c r="BF718" s="347"/>
      <c r="BG718" s="347"/>
      <c r="BH718" s="347"/>
    </row>
    <row r="719">
      <c r="A719" s="347"/>
      <c r="B719" s="347"/>
      <c r="C719" s="347"/>
      <c r="D719" s="347"/>
      <c r="E719" s="347"/>
      <c r="F719" s="347"/>
      <c r="G719" s="347"/>
      <c r="H719" s="347"/>
      <c r="I719" s="347"/>
      <c r="J719" s="347"/>
      <c r="K719" s="348"/>
      <c r="L719" s="348"/>
      <c r="M719" s="348"/>
      <c r="N719" s="348"/>
      <c r="O719" s="348"/>
      <c r="P719" s="347"/>
      <c r="Q719" s="347"/>
      <c r="R719" s="347"/>
      <c r="S719" s="347"/>
      <c r="T719" s="347"/>
      <c r="U719" s="347"/>
      <c r="V719" s="347"/>
      <c r="W719" s="347"/>
      <c r="X719" s="347"/>
      <c r="Y719" s="347"/>
      <c r="Z719" s="347"/>
      <c r="AA719" s="604"/>
      <c r="AB719" s="347"/>
      <c r="AC719" s="590"/>
      <c r="AD719" s="347"/>
      <c r="AE719" s="347"/>
      <c r="AF719" s="347"/>
      <c r="AG719" s="347"/>
      <c r="AH719" s="347"/>
      <c r="AI719" s="347"/>
      <c r="AJ719" s="347"/>
      <c r="AK719" s="347"/>
      <c r="AL719" s="347"/>
      <c r="AM719" s="347"/>
      <c r="AN719" s="347"/>
      <c r="AO719" s="347"/>
      <c r="AP719" s="347"/>
      <c r="AQ719" s="347"/>
      <c r="AR719" s="347"/>
      <c r="AS719" s="347"/>
      <c r="AT719" s="347"/>
      <c r="AU719" s="347"/>
      <c r="AV719" s="347"/>
      <c r="AW719" s="347"/>
      <c r="AX719" s="347"/>
      <c r="AY719" s="347"/>
      <c r="AZ719" s="347"/>
      <c r="BA719" s="347"/>
      <c r="BB719" s="347"/>
      <c r="BC719" s="347"/>
      <c r="BD719" s="347"/>
      <c r="BE719" s="347"/>
      <c r="BF719" s="347"/>
      <c r="BG719" s="347"/>
      <c r="BH719" s="347"/>
    </row>
    <row r="720">
      <c r="A720" s="347"/>
      <c r="B720" s="347"/>
      <c r="C720" s="347"/>
      <c r="D720" s="347"/>
      <c r="E720" s="347"/>
      <c r="F720" s="347"/>
      <c r="G720" s="347"/>
      <c r="H720" s="347"/>
      <c r="I720" s="347"/>
      <c r="J720" s="347"/>
      <c r="K720" s="348"/>
      <c r="L720" s="348"/>
      <c r="M720" s="348"/>
      <c r="N720" s="348"/>
      <c r="O720" s="348"/>
      <c r="P720" s="347"/>
      <c r="Q720" s="347"/>
      <c r="R720" s="347"/>
      <c r="S720" s="347"/>
      <c r="T720" s="347"/>
      <c r="U720" s="347"/>
      <c r="V720" s="347"/>
      <c r="W720" s="347"/>
      <c r="X720" s="347"/>
      <c r="Y720" s="347"/>
      <c r="Z720" s="347"/>
      <c r="AA720" s="604"/>
      <c r="AB720" s="347"/>
      <c r="AC720" s="590"/>
      <c r="AD720" s="347"/>
      <c r="AE720" s="347"/>
      <c r="AF720" s="347"/>
      <c r="AG720" s="347"/>
      <c r="AH720" s="347"/>
      <c r="AI720" s="347"/>
      <c r="AJ720" s="347"/>
      <c r="AK720" s="347"/>
      <c r="AL720" s="347"/>
      <c r="AM720" s="347"/>
      <c r="AN720" s="347"/>
      <c r="AO720" s="347"/>
      <c r="AP720" s="347"/>
      <c r="AQ720" s="347"/>
      <c r="AR720" s="347"/>
      <c r="AS720" s="347"/>
      <c r="AT720" s="347"/>
      <c r="AU720" s="347"/>
      <c r="AV720" s="347"/>
      <c r="AW720" s="347"/>
      <c r="AX720" s="347"/>
      <c r="AY720" s="347"/>
      <c r="AZ720" s="347"/>
      <c r="BA720" s="347"/>
      <c r="BB720" s="347"/>
      <c r="BC720" s="347"/>
      <c r="BD720" s="347"/>
      <c r="BE720" s="347"/>
      <c r="BF720" s="347"/>
      <c r="BG720" s="347"/>
      <c r="BH720" s="347"/>
    </row>
    <row r="721">
      <c r="A721" s="347"/>
      <c r="B721" s="347"/>
      <c r="C721" s="347"/>
      <c r="D721" s="347"/>
      <c r="E721" s="347"/>
      <c r="F721" s="347"/>
      <c r="G721" s="347"/>
      <c r="H721" s="347"/>
      <c r="I721" s="347"/>
      <c r="J721" s="347"/>
      <c r="K721" s="348"/>
      <c r="L721" s="348"/>
      <c r="M721" s="348"/>
      <c r="N721" s="348"/>
      <c r="O721" s="348"/>
      <c r="P721" s="347"/>
      <c r="Q721" s="347"/>
      <c r="R721" s="347"/>
      <c r="S721" s="347"/>
      <c r="T721" s="347"/>
      <c r="U721" s="347"/>
      <c r="V721" s="347"/>
      <c r="W721" s="347"/>
      <c r="X721" s="347"/>
      <c r="Y721" s="347"/>
      <c r="Z721" s="347"/>
      <c r="AA721" s="604"/>
      <c r="AB721" s="347"/>
      <c r="AC721" s="590"/>
      <c r="AD721" s="347"/>
      <c r="AE721" s="347"/>
      <c r="AF721" s="347"/>
      <c r="AG721" s="347"/>
      <c r="AH721" s="347"/>
      <c r="AI721" s="347"/>
      <c r="AJ721" s="347"/>
      <c r="AK721" s="347"/>
      <c r="AL721" s="347"/>
      <c r="AM721" s="347"/>
      <c r="AN721" s="347"/>
      <c r="AO721" s="347"/>
      <c r="AP721" s="347"/>
      <c r="AQ721" s="347"/>
      <c r="AR721" s="347"/>
      <c r="AS721" s="347"/>
      <c r="AT721" s="347"/>
      <c r="AU721" s="347"/>
      <c r="AV721" s="347"/>
      <c r="AW721" s="347"/>
      <c r="AX721" s="347"/>
      <c r="AY721" s="347"/>
      <c r="AZ721" s="347"/>
      <c r="BA721" s="347"/>
      <c r="BB721" s="347"/>
      <c r="BC721" s="347"/>
      <c r="BD721" s="347"/>
      <c r="BE721" s="347"/>
      <c r="BF721" s="347"/>
      <c r="BG721" s="347"/>
      <c r="BH721" s="347"/>
    </row>
    <row r="722">
      <c r="A722" s="347"/>
      <c r="B722" s="347"/>
      <c r="C722" s="347"/>
      <c r="D722" s="347"/>
      <c r="E722" s="347"/>
      <c r="F722" s="347"/>
      <c r="G722" s="347"/>
      <c r="H722" s="347"/>
      <c r="I722" s="347"/>
      <c r="J722" s="347"/>
      <c r="K722" s="348"/>
      <c r="L722" s="348"/>
      <c r="M722" s="348"/>
      <c r="N722" s="348"/>
      <c r="O722" s="348"/>
      <c r="P722" s="347"/>
      <c r="Q722" s="347"/>
      <c r="R722" s="347"/>
      <c r="S722" s="347"/>
      <c r="T722" s="347"/>
      <c r="U722" s="347"/>
      <c r="V722" s="347"/>
      <c r="W722" s="347"/>
      <c r="X722" s="347"/>
      <c r="Y722" s="347"/>
      <c r="Z722" s="347"/>
      <c r="AA722" s="604"/>
      <c r="AB722" s="347"/>
      <c r="AC722" s="590"/>
      <c r="AD722" s="347"/>
      <c r="AE722" s="347"/>
      <c r="AF722" s="347"/>
      <c r="AG722" s="347"/>
      <c r="AH722" s="347"/>
      <c r="AI722" s="347"/>
      <c r="AJ722" s="347"/>
      <c r="AK722" s="347"/>
      <c r="AL722" s="347"/>
      <c r="AM722" s="347"/>
      <c r="AN722" s="347"/>
      <c r="AO722" s="347"/>
      <c r="AP722" s="347"/>
      <c r="AQ722" s="347"/>
      <c r="AR722" s="347"/>
      <c r="AS722" s="347"/>
      <c r="AT722" s="347"/>
      <c r="AU722" s="347"/>
      <c r="AV722" s="347"/>
      <c r="AW722" s="347"/>
      <c r="AX722" s="347"/>
      <c r="AY722" s="347"/>
      <c r="AZ722" s="347"/>
      <c r="BA722" s="347"/>
      <c r="BB722" s="347"/>
      <c r="BC722" s="347"/>
      <c r="BD722" s="347"/>
      <c r="BE722" s="347"/>
      <c r="BF722" s="347"/>
      <c r="BG722" s="347"/>
      <c r="BH722" s="347"/>
    </row>
    <row r="723">
      <c r="A723" s="347"/>
      <c r="B723" s="347"/>
      <c r="C723" s="347"/>
      <c r="D723" s="347"/>
      <c r="E723" s="347"/>
      <c r="F723" s="347"/>
      <c r="G723" s="347"/>
      <c r="H723" s="347"/>
      <c r="I723" s="347"/>
      <c r="J723" s="347"/>
      <c r="K723" s="348"/>
      <c r="L723" s="348"/>
      <c r="M723" s="348"/>
      <c r="N723" s="348"/>
      <c r="O723" s="348"/>
      <c r="P723" s="347"/>
      <c r="Q723" s="347"/>
      <c r="R723" s="347"/>
      <c r="S723" s="347"/>
      <c r="T723" s="347"/>
      <c r="U723" s="347"/>
      <c r="V723" s="347"/>
      <c r="W723" s="347"/>
      <c r="X723" s="347"/>
      <c r="Y723" s="347"/>
      <c r="Z723" s="347"/>
      <c r="AA723" s="604"/>
      <c r="AB723" s="347"/>
      <c r="AC723" s="590"/>
      <c r="AD723" s="347"/>
      <c r="AE723" s="347"/>
      <c r="AF723" s="347"/>
      <c r="AG723" s="347"/>
      <c r="AH723" s="347"/>
      <c r="AI723" s="347"/>
      <c r="AJ723" s="347"/>
      <c r="AK723" s="347"/>
      <c r="AL723" s="347"/>
      <c r="AM723" s="347"/>
      <c r="AN723" s="347"/>
      <c r="AO723" s="347"/>
      <c r="AP723" s="347"/>
      <c r="AQ723" s="347"/>
      <c r="AR723" s="347"/>
      <c r="AS723" s="347"/>
      <c r="AT723" s="347"/>
      <c r="AU723" s="347"/>
      <c r="AV723" s="347"/>
      <c r="AW723" s="347"/>
      <c r="AX723" s="347"/>
      <c r="AY723" s="347"/>
      <c r="AZ723" s="347"/>
      <c r="BA723" s="347"/>
      <c r="BB723" s="347"/>
      <c r="BC723" s="347"/>
      <c r="BD723" s="347"/>
      <c r="BE723" s="347"/>
      <c r="BF723" s="347"/>
      <c r="BG723" s="347"/>
      <c r="BH723" s="347"/>
    </row>
    <row r="724">
      <c r="A724" s="347"/>
      <c r="B724" s="347"/>
      <c r="C724" s="347"/>
      <c r="D724" s="347"/>
      <c r="E724" s="347"/>
      <c r="F724" s="347"/>
      <c r="G724" s="347"/>
      <c r="H724" s="347"/>
      <c r="I724" s="347"/>
      <c r="J724" s="347"/>
      <c r="K724" s="348"/>
      <c r="L724" s="348"/>
      <c r="M724" s="348"/>
      <c r="N724" s="348"/>
      <c r="O724" s="348"/>
      <c r="P724" s="347"/>
      <c r="Q724" s="347"/>
      <c r="R724" s="347"/>
      <c r="S724" s="347"/>
      <c r="T724" s="347"/>
      <c r="U724" s="347"/>
      <c r="V724" s="347"/>
      <c r="W724" s="347"/>
      <c r="X724" s="347"/>
      <c r="Y724" s="347"/>
      <c r="Z724" s="347"/>
      <c r="AA724" s="604"/>
      <c r="AB724" s="347"/>
      <c r="AC724" s="590"/>
      <c r="AD724" s="347"/>
      <c r="AE724" s="347"/>
      <c r="AF724" s="347"/>
      <c r="AG724" s="347"/>
      <c r="AH724" s="347"/>
      <c r="AI724" s="347"/>
      <c r="AJ724" s="347"/>
      <c r="AK724" s="347"/>
      <c r="AL724" s="347"/>
      <c r="AM724" s="347"/>
      <c r="AN724" s="347"/>
      <c r="AO724" s="347"/>
      <c r="AP724" s="347"/>
      <c r="AQ724" s="347"/>
      <c r="AR724" s="347"/>
      <c r="AS724" s="347"/>
      <c r="AT724" s="347"/>
      <c r="AU724" s="347"/>
      <c r="AV724" s="347"/>
      <c r="AW724" s="347"/>
      <c r="AX724" s="347"/>
      <c r="AY724" s="347"/>
      <c r="AZ724" s="347"/>
      <c r="BA724" s="347"/>
      <c r="BB724" s="347"/>
      <c r="BC724" s="347"/>
      <c r="BD724" s="347"/>
      <c r="BE724" s="347"/>
      <c r="BF724" s="347"/>
      <c r="BG724" s="347"/>
      <c r="BH724" s="347"/>
    </row>
    <row r="725">
      <c r="A725" s="347"/>
      <c r="B725" s="347"/>
      <c r="C725" s="347"/>
      <c r="D725" s="347"/>
      <c r="E725" s="347"/>
      <c r="F725" s="347"/>
      <c r="G725" s="347"/>
      <c r="H725" s="347"/>
      <c r="I725" s="347"/>
      <c r="J725" s="347"/>
      <c r="K725" s="348"/>
      <c r="L725" s="348"/>
      <c r="M725" s="348"/>
      <c r="N725" s="348"/>
      <c r="O725" s="348"/>
      <c r="P725" s="347"/>
      <c r="Q725" s="347"/>
      <c r="R725" s="347"/>
      <c r="S725" s="347"/>
      <c r="T725" s="347"/>
      <c r="U725" s="347"/>
      <c r="V725" s="347"/>
      <c r="W725" s="347"/>
      <c r="X725" s="347"/>
      <c r="Y725" s="347"/>
      <c r="Z725" s="347"/>
      <c r="AA725" s="604"/>
      <c r="AB725" s="347"/>
      <c r="AC725" s="590"/>
      <c r="AD725" s="347"/>
      <c r="AE725" s="347"/>
      <c r="AF725" s="347"/>
      <c r="AG725" s="347"/>
      <c r="AH725" s="347"/>
      <c r="AI725" s="347"/>
      <c r="AJ725" s="347"/>
      <c r="AK725" s="347"/>
      <c r="AL725" s="347"/>
      <c r="AM725" s="347"/>
      <c r="AN725" s="347"/>
      <c r="AO725" s="347"/>
      <c r="AP725" s="347"/>
      <c r="AQ725" s="347"/>
      <c r="AR725" s="347"/>
      <c r="AS725" s="347"/>
      <c r="AT725" s="347"/>
      <c r="AU725" s="347"/>
      <c r="AV725" s="347"/>
      <c r="AW725" s="347"/>
      <c r="AX725" s="347"/>
      <c r="AY725" s="347"/>
      <c r="AZ725" s="347"/>
      <c r="BA725" s="347"/>
      <c r="BB725" s="347"/>
      <c r="BC725" s="347"/>
      <c r="BD725" s="347"/>
      <c r="BE725" s="347"/>
      <c r="BF725" s="347"/>
      <c r="BG725" s="347"/>
      <c r="BH725" s="347"/>
    </row>
    <row r="726">
      <c r="A726" s="347"/>
      <c r="B726" s="347"/>
      <c r="C726" s="347"/>
      <c r="D726" s="347"/>
      <c r="E726" s="347"/>
      <c r="F726" s="347"/>
      <c r="G726" s="347"/>
      <c r="H726" s="347"/>
      <c r="I726" s="347"/>
      <c r="J726" s="347"/>
      <c r="K726" s="348"/>
      <c r="L726" s="348"/>
      <c r="M726" s="348"/>
      <c r="N726" s="348"/>
      <c r="O726" s="348"/>
      <c r="P726" s="347"/>
      <c r="Q726" s="347"/>
      <c r="R726" s="347"/>
      <c r="S726" s="347"/>
      <c r="T726" s="347"/>
      <c r="U726" s="347"/>
      <c r="V726" s="347"/>
      <c r="W726" s="347"/>
      <c r="X726" s="347"/>
      <c r="Y726" s="347"/>
      <c r="Z726" s="347"/>
      <c r="AA726" s="604"/>
      <c r="AB726" s="347"/>
      <c r="AC726" s="590"/>
      <c r="AD726" s="347"/>
      <c r="AE726" s="347"/>
      <c r="AF726" s="347"/>
      <c r="AG726" s="347"/>
      <c r="AH726" s="347"/>
      <c r="AI726" s="347"/>
      <c r="AJ726" s="347"/>
      <c r="AK726" s="347"/>
      <c r="AL726" s="347"/>
      <c r="AM726" s="347"/>
      <c r="AN726" s="347"/>
      <c r="AO726" s="347"/>
      <c r="AP726" s="347"/>
      <c r="AQ726" s="347"/>
      <c r="AR726" s="347"/>
      <c r="AS726" s="347"/>
      <c r="AT726" s="347"/>
      <c r="AU726" s="347"/>
      <c r="AV726" s="347"/>
      <c r="AW726" s="347"/>
      <c r="AX726" s="347"/>
      <c r="AY726" s="347"/>
      <c r="AZ726" s="347"/>
      <c r="BA726" s="347"/>
      <c r="BB726" s="347"/>
      <c r="BC726" s="347"/>
      <c r="BD726" s="347"/>
      <c r="BE726" s="347"/>
      <c r="BF726" s="347"/>
      <c r="BG726" s="347"/>
      <c r="BH726" s="347"/>
    </row>
    <row r="727">
      <c r="A727" s="347"/>
      <c r="B727" s="347"/>
      <c r="C727" s="347"/>
      <c r="D727" s="347"/>
      <c r="E727" s="347"/>
      <c r="F727" s="347"/>
      <c r="G727" s="347"/>
      <c r="H727" s="347"/>
      <c r="I727" s="347"/>
      <c r="J727" s="347"/>
      <c r="K727" s="348"/>
      <c r="L727" s="348"/>
      <c r="M727" s="348"/>
      <c r="N727" s="348"/>
      <c r="O727" s="348"/>
      <c r="P727" s="347"/>
      <c r="Q727" s="347"/>
      <c r="R727" s="347"/>
      <c r="S727" s="347"/>
      <c r="T727" s="347"/>
      <c r="U727" s="347"/>
      <c r="V727" s="347"/>
      <c r="W727" s="347"/>
      <c r="X727" s="347"/>
      <c r="Y727" s="347"/>
      <c r="Z727" s="347"/>
      <c r="AA727" s="604"/>
      <c r="AB727" s="347"/>
      <c r="AC727" s="590"/>
      <c r="AD727" s="347"/>
      <c r="AE727" s="347"/>
      <c r="AF727" s="347"/>
      <c r="AG727" s="347"/>
      <c r="AH727" s="347"/>
      <c r="AI727" s="347"/>
      <c r="AJ727" s="347"/>
      <c r="AK727" s="347"/>
      <c r="AL727" s="347"/>
      <c r="AM727" s="347"/>
      <c r="AN727" s="347"/>
      <c r="AO727" s="347"/>
      <c r="AP727" s="347"/>
      <c r="AQ727" s="347"/>
      <c r="AR727" s="347"/>
      <c r="AS727" s="347"/>
      <c r="AT727" s="347"/>
      <c r="AU727" s="347"/>
      <c r="AV727" s="347"/>
      <c r="AW727" s="347"/>
      <c r="AX727" s="347"/>
      <c r="AY727" s="347"/>
      <c r="AZ727" s="347"/>
      <c r="BA727" s="347"/>
      <c r="BB727" s="347"/>
      <c r="BC727" s="347"/>
      <c r="BD727" s="347"/>
      <c r="BE727" s="347"/>
      <c r="BF727" s="347"/>
      <c r="BG727" s="347"/>
      <c r="BH727" s="347"/>
    </row>
    <row r="728">
      <c r="A728" s="347"/>
      <c r="B728" s="347"/>
      <c r="C728" s="347"/>
      <c r="D728" s="347"/>
      <c r="E728" s="347"/>
      <c r="F728" s="347"/>
      <c r="G728" s="347"/>
      <c r="H728" s="347"/>
      <c r="I728" s="347"/>
      <c r="J728" s="347"/>
      <c r="K728" s="348"/>
      <c r="L728" s="348"/>
      <c r="M728" s="348"/>
      <c r="N728" s="348"/>
      <c r="O728" s="348"/>
      <c r="P728" s="347"/>
      <c r="Q728" s="347"/>
      <c r="R728" s="347"/>
      <c r="S728" s="347"/>
      <c r="T728" s="347"/>
      <c r="U728" s="347"/>
      <c r="V728" s="347"/>
      <c r="W728" s="347"/>
      <c r="X728" s="347"/>
      <c r="Y728" s="347"/>
      <c r="Z728" s="347"/>
      <c r="AA728" s="604"/>
      <c r="AB728" s="347"/>
      <c r="AC728" s="590"/>
      <c r="AD728" s="347"/>
      <c r="AE728" s="347"/>
      <c r="AF728" s="347"/>
      <c r="AG728" s="347"/>
      <c r="AH728" s="347"/>
      <c r="AI728" s="347"/>
      <c r="AJ728" s="347"/>
      <c r="AK728" s="347"/>
      <c r="AL728" s="347"/>
      <c r="AM728" s="347"/>
      <c r="AN728" s="347"/>
      <c r="AO728" s="347"/>
      <c r="AP728" s="347"/>
      <c r="AQ728" s="347"/>
      <c r="AR728" s="347"/>
      <c r="AS728" s="347"/>
      <c r="AT728" s="347"/>
      <c r="AU728" s="347"/>
      <c r="AV728" s="347"/>
      <c r="AW728" s="347"/>
      <c r="AX728" s="347"/>
      <c r="AY728" s="347"/>
      <c r="AZ728" s="347"/>
      <c r="BA728" s="347"/>
      <c r="BB728" s="347"/>
      <c r="BC728" s="347"/>
      <c r="BD728" s="347"/>
      <c r="BE728" s="347"/>
      <c r="BF728" s="347"/>
      <c r="BG728" s="347"/>
      <c r="BH728" s="347"/>
    </row>
    <row r="729">
      <c r="A729" s="347"/>
      <c r="B729" s="347"/>
      <c r="C729" s="347"/>
      <c r="D729" s="347"/>
      <c r="E729" s="347"/>
      <c r="F729" s="347"/>
      <c r="G729" s="347"/>
      <c r="H729" s="347"/>
      <c r="I729" s="347"/>
      <c r="J729" s="347"/>
      <c r="K729" s="348"/>
      <c r="L729" s="348"/>
      <c r="M729" s="348"/>
      <c r="N729" s="348"/>
      <c r="O729" s="348"/>
      <c r="P729" s="347"/>
      <c r="Q729" s="347"/>
      <c r="R729" s="347"/>
      <c r="S729" s="347"/>
      <c r="T729" s="347"/>
      <c r="U729" s="347"/>
      <c r="V729" s="347"/>
      <c r="W729" s="347"/>
      <c r="X729" s="347"/>
      <c r="Y729" s="347"/>
      <c r="Z729" s="347"/>
      <c r="AA729" s="604"/>
      <c r="AB729" s="347"/>
      <c r="AC729" s="590"/>
      <c r="AD729" s="347"/>
      <c r="AE729" s="347"/>
      <c r="AF729" s="347"/>
      <c r="AG729" s="347"/>
      <c r="AH729" s="347"/>
      <c r="AI729" s="347"/>
      <c r="AJ729" s="347"/>
      <c r="AK729" s="347"/>
      <c r="AL729" s="347"/>
      <c r="AM729" s="347"/>
      <c r="AN729" s="347"/>
      <c r="AO729" s="347"/>
      <c r="AP729" s="347"/>
      <c r="AQ729" s="347"/>
      <c r="AR729" s="347"/>
      <c r="AS729" s="347"/>
      <c r="AT729" s="347"/>
      <c r="AU729" s="347"/>
      <c r="AV729" s="347"/>
      <c r="AW729" s="347"/>
      <c r="AX729" s="347"/>
      <c r="AY729" s="347"/>
      <c r="AZ729" s="347"/>
      <c r="BA729" s="347"/>
      <c r="BB729" s="347"/>
      <c r="BC729" s="347"/>
      <c r="BD729" s="347"/>
      <c r="BE729" s="347"/>
      <c r="BF729" s="347"/>
      <c r="BG729" s="347"/>
      <c r="BH729" s="347"/>
    </row>
    <row r="730">
      <c r="A730" s="347"/>
      <c r="B730" s="347"/>
      <c r="C730" s="347"/>
      <c r="D730" s="347"/>
      <c r="E730" s="347"/>
      <c r="F730" s="347"/>
      <c r="G730" s="347"/>
      <c r="H730" s="347"/>
      <c r="I730" s="347"/>
      <c r="J730" s="347"/>
      <c r="K730" s="348"/>
      <c r="L730" s="348"/>
      <c r="M730" s="348"/>
      <c r="N730" s="348"/>
      <c r="O730" s="348"/>
      <c r="P730" s="347"/>
      <c r="Q730" s="347"/>
      <c r="R730" s="347"/>
      <c r="S730" s="347"/>
      <c r="T730" s="347"/>
      <c r="U730" s="347"/>
      <c r="V730" s="347"/>
      <c r="W730" s="347"/>
      <c r="X730" s="347"/>
      <c r="Y730" s="347"/>
      <c r="Z730" s="347"/>
      <c r="AA730" s="604"/>
      <c r="AB730" s="347"/>
      <c r="AC730" s="590"/>
      <c r="AD730" s="347"/>
      <c r="AE730" s="347"/>
      <c r="AF730" s="347"/>
      <c r="AG730" s="347"/>
      <c r="AH730" s="347"/>
      <c r="AI730" s="347"/>
      <c r="AJ730" s="347"/>
      <c r="AK730" s="347"/>
      <c r="AL730" s="347"/>
      <c r="AM730" s="347"/>
      <c r="AN730" s="347"/>
      <c r="AO730" s="347"/>
      <c r="AP730" s="347"/>
      <c r="AQ730" s="347"/>
      <c r="AR730" s="347"/>
      <c r="AS730" s="347"/>
      <c r="AT730" s="347"/>
      <c r="AU730" s="347"/>
      <c r="AV730" s="347"/>
      <c r="AW730" s="347"/>
      <c r="AX730" s="347"/>
      <c r="AY730" s="347"/>
      <c r="AZ730" s="347"/>
      <c r="BA730" s="347"/>
      <c r="BB730" s="347"/>
      <c r="BC730" s="347"/>
      <c r="BD730" s="347"/>
      <c r="BE730" s="347"/>
      <c r="BF730" s="347"/>
      <c r="BG730" s="347"/>
      <c r="BH730" s="347"/>
    </row>
    <row r="731">
      <c r="A731" s="347"/>
      <c r="B731" s="347"/>
      <c r="C731" s="347"/>
      <c r="D731" s="347"/>
      <c r="E731" s="347"/>
      <c r="F731" s="347"/>
      <c r="G731" s="347"/>
      <c r="H731" s="347"/>
      <c r="I731" s="347"/>
      <c r="J731" s="347"/>
      <c r="K731" s="348"/>
      <c r="L731" s="348"/>
      <c r="M731" s="348"/>
      <c r="N731" s="348"/>
      <c r="O731" s="348"/>
      <c r="P731" s="347"/>
      <c r="Q731" s="347"/>
      <c r="R731" s="347"/>
      <c r="S731" s="347"/>
      <c r="T731" s="347"/>
      <c r="U731" s="347"/>
      <c r="V731" s="347"/>
      <c r="W731" s="347"/>
      <c r="X731" s="347"/>
      <c r="Y731" s="347"/>
      <c r="Z731" s="347"/>
      <c r="AA731" s="604"/>
      <c r="AB731" s="347"/>
      <c r="AC731" s="590"/>
      <c r="AD731" s="347"/>
      <c r="AE731" s="347"/>
      <c r="AF731" s="347"/>
      <c r="AG731" s="347"/>
      <c r="AH731" s="347"/>
      <c r="AI731" s="347"/>
      <c r="AJ731" s="347"/>
      <c r="AK731" s="347"/>
      <c r="AL731" s="347"/>
      <c r="AM731" s="347"/>
      <c r="AN731" s="347"/>
      <c r="AO731" s="347"/>
      <c r="AP731" s="347"/>
      <c r="AQ731" s="347"/>
      <c r="AR731" s="347"/>
      <c r="AS731" s="347"/>
      <c r="AT731" s="347"/>
      <c r="AU731" s="347"/>
      <c r="AV731" s="347"/>
      <c r="AW731" s="347"/>
      <c r="AX731" s="347"/>
      <c r="AY731" s="347"/>
      <c r="AZ731" s="347"/>
      <c r="BA731" s="347"/>
      <c r="BB731" s="347"/>
      <c r="BC731" s="347"/>
      <c r="BD731" s="347"/>
      <c r="BE731" s="347"/>
      <c r="BF731" s="347"/>
      <c r="BG731" s="347"/>
      <c r="BH731" s="347"/>
    </row>
    <row r="732">
      <c r="A732" s="347"/>
      <c r="B732" s="347"/>
      <c r="C732" s="347"/>
      <c r="D732" s="347"/>
      <c r="E732" s="347"/>
      <c r="F732" s="347"/>
      <c r="G732" s="347"/>
      <c r="H732" s="347"/>
      <c r="I732" s="347"/>
      <c r="J732" s="347"/>
      <c r="K732" s="348"/>
      <c r="L732" s="348"/>
      <c r="M732" s="348"/>
      <c r="N732" s="348"/>
      <c r="O732" s="348"/>
      <c r="P732" s="347"/>
      <c r="Q732" s="347"/>
      <c r="R732" s="347"/>
      <c r="S732" s="347"/>
      <c r="T732" s="347"/>
      <c r="U732" s="347"/>
      <c r="V732" s="347"/>
      <c r="W732" s="347"/>
      <c r="X732" s="347"/>
      <c r="Y732" s="347"/>
      <c r="Z732" s="347"/>
      <c r="AA732" s="604"/>
      <c r="AB732" s="347"/>
      <c r="AC732" s="590"/>
      <c r="AD732" s="347"/>
      <c r="AE732" s="347"/>
      <c r="AF732" s="347"/>
      <c r="AG732" s="347"/>
      <c r="AH732" s="347"/>
      <c r="AI732" s="347"/>
      <c r="AJ732" s="347"/>
      <c r="AK732" s="347"/>
      <c r="AL732" s="347"/>
      <c r="AM732" s="347"/>
      <c r="AN732" s="347"/>
      <c r="AO732" s="347"/>
      <c r="AP732" s="347"/>
      <c r="AQ732" s="347"/>
      <c r="AR732" s="347"/>
      <c r="AS732" s="347"/>
      <c r="AT732" s="347"/>
      <c r="AU732" s="347"/>
      <c r="AV732" s="347"/>
      <c r="AW732" s="347"/>
      <c r="AX732" s="347"/>
      <c r="AY732" s="347"/>
      <c r="AZ732" s="347"/>
      <c r="BA732" s="347"/>
      <c r="BB732" s="347"/>
      <c r="BC732" s="347"/>
      <c r="BD732" s="347"/>
      <c r="BE732" s="347"/>
      <c r="BF732" s="347"/>
      <c r="BG732" s="347"/>
      <c r="BH732" s="347"/>
    </row>
    <row r="733">
      <c r="A733" s="347"/>
      <c r="B733" s="347"/>
      <c r="C733" s="347"/>
      <c r="D733" s="347"/>
      <c r="E733" s="347"/>
      <c r="F733" s="347"/>
      <c r="G733" s="347"/>
      <c r="H733" s="347"/>
      <c r="I733" s="347"/>
      <c r="J733" s="347"/>
      <c r="K733" s="348"/>
      <c r="L733" s="348"/>
      <c r="M733" s="348"/>
      <c r="N733" s="348"/>
      <c r="O733" s="348"/>
      <c r="P733" s="347"/>
      <c r="Q733" s="347"/>
      <c r="R733" s="347"/>
      <c r="S733" s="347"/>
      <c r="T733" s="347"/>
      <c r="U733" s="347"/>
      <c r="V733" s="347"/>
      <c r="W733" s="347"/>
      <c r="X733" s="347"/>
      <c r="Y733" s="347"/>
      <c r="Z733" s="347"/>
      <c r="AA733" s="604"/>
      <c r="AB733" s="347"/>
      <c r="AC733" s="590"/>
      <c r="AD733" s="347"/>
      <c r="AE733" s="347"/>
      <c r="AF733" s="347"/>
      <c r="AG733" s="347"/>
      <c r="AH733" s="347"/>
      <c r="AI733" s="347"/>
      <c r="AJ733" s="347"/>
      <c r="AK733" s="347"/>
      <c r="AL733" s="347"/>
      <c r="AM733" s="347"/>
      <c r="AN733" s="347"/>
      <c r="AO733" s="347"/>
      <c r="AP733" s="347"/>
      <c r="AQ733" s="347"/>
      <c r="AR733" s="347"/>
      <c r="AS733" s="347"/>
      <c r="AT733" s="347"/>
      <c r="AU733" s="347"/>
      <c r="AV733" s="347"/>
      <c r="AW733" s="347"/>
      <c r="AX733" s="347"/>
      <c r="AY733" s="347"/>
      <c r="AZ733" s="347"/>
      <c r="BA733" s="347"/>
      <c r="BB733" s="347"/>
      <c r="BC733" s="347"/>
      <c r="BD733" s="347"/>
      <c r="BE733" s="347"/>
      <c r="BF733" s="347"/>
      <c r="BG733" s="347"/>
      <c r="BH733" s="347"/>
    </row>
    <row r="734">
      <c r="A734" s="347"/>
      <c r="B734" s="347"/>
      <c r="C734" s="347"/>
      <c r="D734" s="347"/>
      <c r="E734" s="347"/>
      <c r="F734" s="347"/>
      <c r="G734" s="347"/>
      <c r="H734" s="347"/>
      <c r="I734" s="347"/>
      <c r="J734" s="347"/>
      <c r="K734" s="348"/>
      <c r="L734" s="348"/>
      <c r="M734" s="348"/>
      <c r="N734" s="348"/>
      <c r="O734" s="348"/>
      <c r="P734" s="347"/>
      <c r="Q734" s="347"/>
      <c r="R734" s="347"/>
      <c r="S734" s="347"/>
      <c r="T734" s="347"/>
      <c r="U734" s="347"/>
      <c r="V734" s="347"/>
      <c r="W734" s="347"/>
      <c r="X734" s="347"/>
      <c r="Y734" s="347"/>
      <c r="Z734" s="347"/>
      <c r="AA734" s="604"/>
      <c r="AB734" s="347"/>
      <c r="AC734" s="590"/>
      <c r="AD734" s="347"/>
      <c r="AE734" s="347"/>
      <c r="AF734" s="347"/>
      <c r="AG734" s="347"/>
      <c r="AH734" s="347"/>
      <c r="AI734" s="347"/>
      <c r="AJ734" s="347"/>
      <c r="AK734" s="347"/>
      <c r="AL734" s="347"/>
      <c r="AM734" s="347"/>
      <c r="AN734" s="347"/>
      <c r="AO734" s="347"/>
      <c r="AP734" s="347"/>
      <c r="AQ734" s="347"/>
      <c r="AR734" s="347"/>
      <c r="AS734" s="347"/>
      <c r="AT734" s="347"/>
      <c r="AU734" s="347"/>
      <c r="AV734" s="347"/>
      <c r="AW734" s="347"/>
      <c r="AX734" s="347"/>
      <c r="AY734" s="347"/>
      <c r="AZ734" s="347"/>
      <c r="BA734" s="347"/>
      <c r="BB734" s="347"/>
      <c r="BC734" s="347"/>
      <c r="BD734" s="347"/>
      <c r="BE734" s="347"/>
      <c r="BF734" s="347"/>
      <c r="BG734" s="347"/>
      <c r="BH734" s="347"/>
    </row>
    <row r="735">
      <c r="A735" s="347"/>
      <c r="B735" s="347"/>
      <c r="C735" s="347"/>
      <c r="D735" s="347"/>
      <c r="E735" s="347"/>
      <c r="F735" s="347"/>
      <c r="G735" s="347"/>
      <c r="H735" s="347"/>
      <c r="I735" s="347"/>
      <c r="J735" s="347"/>
      <c r="K735" s="348"/>
      <c r="L735" s="348"/>
      <c r="M735" s="348"/>
      <c r="N735" s="348"/>
      <c r="O735" s="348"/>
      <c r="P735" s="347"/>
      <c r="Q735" s="347"/>
      <c r="R735" s="347"/>
      <c r="S735" s="347"/>
      <c r="T735" s="347"/>
      <c r="U735" s="347"/>
      <c r="V735" s="347"/>
      <c r="W735" s="347"/>
      <c r="X735" s="347"/>
      <c r="Y735" s="347"/>
      <c r="Z735" s="347"/>
      <c r="AA735" s="604"/>
      <c r="AB735" s="347"/>
      <c r="AC735" s="590"/>
      <c r="AD735" s="347"/>
      <c r="AE735" s="347"/>
      <c r="AF735" s="347"/>
      <c r="AG735" s="347"/>
      <c r="AH735" s="347"/>
      <c r="AI735" s="347"/>
      <c r="AJ735" s="347"/>
      <c r="AK735" s="347"/>
      <c r="AL735" s="347"/>
      <c r="AM735" s="347"/>
      <c r="AN735" s="347"/>
      <c r="AO735" s="347"/>
      <c r="AP735" s="347"/>
      <c r="AQ735" s="347"/>
      <c r="AR735" s="347"/>
      <c r="AS735" s="347"/>
      <c r="AT735" s="347"/>
      <c r="AU735" s="347"/>
      <c r="AV735" s="347"/>
      <c r="AW735" s="347"/>
      <c r="AX735" s="347"/>
      <c r="AY735" s="347"/>
      <c r="AZ735" s="347"/>
      <c r="BA735" s="347"/>
      <c r="BB735" s="347"/>
      <c r="BC735" s="347"/>
      <c r="BD735" s="347"/>
      <c r="BE735" s="347"/>
      <c r="BF735" s="347"/>
      <c r="BG735" s="347"/>
      <c r="BH735" s="347"/>
    </row>
    <row r="736">
      <c r="A736" s="347"/>
      <c r="B736" s="347"/>
      <c r="C736" s="347"/>
      <c r="D736" s="347"/>
      <c r="E736" s="347"/>
      <c r="F736" s="347"/>
      <c r="G736" s="347"/>
      <c r="H736" s="347"/>
      <c r="I736" s="347"/>
      <c r="J736" s="347"/>
      <c r="K736" s="348"/>
      <c r="L736" s="348"/>
      <c r="M736" s="348"/>
      <c r="N736" s="348"/>
      <c r="O736" s="348"/>
      <c r="P736" s="347"/>
      <c r="Q736" s="347"/>
      <c r="R736" s="347"/>
      <c r="S736" s="347"/>
      <c r="T736" s="347"/>
      <c r="U736" s="347"/>
      <c r="V736" s="347"/>
      <c r="W736" s="347"/>
      <c r="X736" s="347"/>
      <c r="Y736" s="347"/>
      <c r="Z736" s="347"/>
      <c r="AA736" s="604"/>
      <c r="AB736" s="347"/>
      <c r="AC736" s="590"/>
      <c r="AD736" s="347"/>
      <c r="AE736" s="347"/>
      <c r="AF736" s="347"/>
      <c r="AG736" s="347"/>
      <c r="AH736" s="347"/>
      <c r="AI736" s="347"/>
      <c r="AJ736" s="347"/>
      <c r="AK736" s="347"/>
      <c r="AL736" s="347"/>
      <c r="AM736" s="347"/>
      <c r="AN736" s="347"/>
      <c r="AO736" s="347"/>
      <c r="AP736" s="347"/>
      <c r="AQ736" s="347"/>
      <c r="AR736" s="347"/>
      <c r="AS736" s="347"/>
      <c r="AT736" s="347"/>
      <c r="AU736" s="347"/>
      <c r="AV736" s="347"/>
      <c r="AW736" s="347"/>
      <c r="AX736" s="347"/>
      <c r="AY736" s="347"/>
      <c r="AZ736" s="347"/>
      <c r="BA736" s="347"/>
      <c r="BB736" s="347"/>
      <c r="BC736" s="347"/>
      <c r="BD736" s="347"/>
      <c r="BE736" s="347"/>
      <c r="BF736" s="347"/>
      <c r="BG736" s="347"/>
      <c r="BH736" s="347"/>
    </row>
    <row r="737">
      <c r="A737" s="347"/>
      <c r="B737" s="347"/>
      <c r="C737" s="347"/>
      <c r="D737" s="347"/>
      <c r="E737" s="347"/>
      <c r="F737" s="347"/>
      <c r="G737" s="347"/>
      <c r="H737" s="347"/>
      <c r="I737" s="347"/>
      <c r="J737" s="347"/>
      <c r="K737" s="348"/>
      <c r="L737" s="348"/>
      <c r="M737" s="348"/>
      <c r="N737" s="348"/>
      <c r="O737" s="348"/>
      <c r="P737" s="347"/>
      <c r="Q737" s="347"/>
      <c r="R737" s="347"/>
      <c r="S737" s="347"/>
      <c r="T737" s="347"/>
      <c r="U737" s="347"/>
      <c r="V737" s="347"/>
      <c r="W737" s="347"/>
      <c r="X737" s="347"/>
      <c r="Y737" s="347"/>
      <c r="Z737" s="347"/>
      <c r="AA737" s="604"/>
      <c r="AB737" s="347"/>
      <c r="AC737" s="590"/>
      <c r="AD737" s="347"/>
      <c r="AE737" s="347"/>
      <c r="AF737" s="347"/>
      <c r="AG737" s="347"/>
      <c r="AH737" s="347"/>
      <c r="AI737" s="347"/>
      <c r="AJ737" s="347"/>
      <c r="AK737" s="347"/>
      <c r="AL737" s="347"/>
      <c r="AM737" s="347"/>
      <c r="AN737" s="347"/>
      <c r="AO737" s="347"/>
      <c r="AP737" s="347"/>
      <c r="AQ737" s="347"/>
      <c r="AR737" s="347"/>
      <c r="AS737" s="347"/>
      <c r="AT737" s="347"/>
      <c r="AU737" s="347"/>
      <c r="AV737" s="347"/>
      <c r="AW737" s="347"/>
      <c r="AX737" s="347"/>
      <c r="AY737" s="347"/>
      <c r="AZ737" s="347"/>
      <c r="BA737" s="347"/>
      <c r="BB737" s="347"/>
      <c r="BC737" s="347"/>
      <c r="BD737" s="347"/>
      <c r="BE737" s="347"/>
      <c r="BF737" s="347"/>
      <c r="BG737" s="347"/>
      <c r="BH737" s="347"/>
    </row>
    <row r="738">
      <c r="A738" s="347"/>
      <c r="B738" s="347"/>
      <c r="C738" s="347"/>
      <c r="D738" s="347"/>
      <c r="E738" s="347"/>
      <c r="F738" s="347"/>
      <c r="G738" s="347"/>
      <c r="H738" s="347"/>
      <c r="I738" s="347"/>
      <c r="J738" s="347"/>
      <c r="K738" s="348"/>
      <c r="L738" s="348"/>
      <c r="M738" s="348"/>
      <c r="N738" s="348"/>
      <c r="O738" s="348"/>
      <c r="P738" s="347"/>
      <c r="Q738" s="347"/>
      <c r="R738" s="347"/>
      <c r="S738" s="347"/>
      <c r="T738" s="347"/>
      <c r="U738" s="347"/>
      <c r="V738" s="347"/>
      <c r="W738" s="347"/>
      <c r="X738" s="347"/>
      <c r="Y738" s="347"/>
      <c r="Z738" s="347"/>
      <c r="AA738" s="604"/>
      <c r="AB738" s="347"/>
      <c r="AC738" s="590"/>
      <c r="AD738" s="347"/>
      <c r="AE738" s="347"/>
      <c r="AF738" s="347"/>
      <c r="AG738" s="347"/>
      <c r="AH738" s="347"/>
      <c r="AI738" s="347"/>
      <c r="AJ738" s="347"/>
      <c r="AK738" s="347"/>
      <c r="AL738" s="347"/>
      <c r="AM738" s="347"/>
      <c r="AN738" s="347"/>
      <c r="AO738" s="347"/>
      <c r="AP738" s="347"/>
      <c r="AQ738" s="347"/>
      <c r="AR738" s="347"/>
      <c r="AS738" s="347"/>
      <c r="AT738" s="347"/>
      <c r="AU738" s="347"/>
      <c r="AV738" s="347"/>
      <c r="AW738" s="347"/>
      <c r="AX738" s="347"/>
      <c r="AY738" s="347"/>
      <c r="AZ738" s="347"/>
      <c r="BA738" s="347"/>
      <c r="BB738" s="347"/>
      <c r="BC738" s="347"/>
      <c r="BD738" s="347"/>
      <c r="BE738" s="347"/>
      <c r="BF738" s="347"/>
      <c r="BG738" s="347"/>
      <c r="BH738" s="347"/>
    </row>
    <row r="739">
      <c r="A739" s="347"/>
      <c r="B739" s="347"/>
      <c r="C739" s="347"/>
      <c r="D739" s="347"/>
      <c r="E739" s="347"/>
      <c r="F739" s="347"/>
      <c r="G739" s="347"/>
      <c r="H739" s="347"/>
      <c r="I739" s="347"/>
      <c r="J739" s="347"/>
      <c r="K739" s="348"/>
      <c r="L739" s="348"/>
      <c r="M739" s="348"/>
      <c r="N739" s="348"/>
      <c r="O739" s="348"/>
      <c r="P739" s="347"/>
      <c r="Q739" s="347"/>
      <c r="R739" s="347"/>
      <c r="S739" s="347"/>
      <c r="T739" s="347"/>
      <c r="U739" s="347"/>
      <c r="V739" s="347"/>
      <c r="W739" s="347"/>
      <c r="X739" s="347"/>
      <c r="Y739" s="347"/>
      <c r="Z739" s="347"/>
      <c r="AA739" s="604"/>
      <c r="AB739" s="347"/>
      <c r="AC739" s="590"/>
      <c r="AD739" s="347"/>
      <c r="AE739" s="347"/>
      <c r="AF739" s="347"/>
      <c r="AG739" s="347"/>
      <c r="AH739" s="347"/>
      <c r="AI739" s="347"/>
      <c r="AJ739" s="347"/>
      <c r="AK739" s="347"/>
      <c r="AL739" s="347"/>
      <c r="AM739" s="347"/>
      <c r="AN739" s="347"/>
      <c r="AO739" s="347"/>
      <c r="AP739" s="347"/>
      <c r="AQ739" s="347"/>
      <c r="AR739" s="347"/>
      <c r="AS739" s="347"/>
      <c r="AT739" s="347"/>
      <c r="AU739" s="347"/>
      <c r="AV739" s="347"/>
      <c r="AW739" s="347"/>
      <c r="AX739" s="347"/>
      <c r="AY739" s="347"/>
      <c r="AZ739" s="347"/>
      <c r="BA739" s="347"/>
      <c r="BB739" s="347"/>
      <c r="BC739" s="347"/>
      <c r="BD739" s="347"/>
      <c r="BE739" s="347"/>
      <c r="BF739" s="347"/>
      <c r="BG739" s="347"/>
      <c r="BH739" s="347"/>
    </row>
    <row r="740">
      <c r="A740" s="347"/>
      <c r="B740" s="347"/>
      <c r="C740" s="347"/>
      <c r="D740" s="347"/>
      <c r="E740" s="347"/>
      <c r="F740" s="347"/>
      <c r="G740" s="347"/>
      <c r="H740" s="347"/>
      <c r="I740" s="347"/>
      <c r="J740" s="347"/>
      <c r="K740" s="348"/>
      <c r="L740" s="348"/>
      <c r="M740" s="348"/>
      <c r="N740" s="348"/>
      <c r="O740" s="348"/>
      <c r="P740" s="347"/>
      <c r="Q740" s="347"/>
      <c r="R740" s="347"/>
      <c r="S740" s="347"/>
      <c r="T740" s="347"/>
      <c r="U740" s="347"/>
      <c r="V740" s="347"/>
      <c r="W740" s="347"/>
      <c r="X740" s="347"/>
      <c r="Y740" s="347"/>
      <c r="Z740" s="347"/>
      <c r="AA740" s="604"/>
      <c r="AB740" s="347"/>
      <c r="AC740" s="590"/>
      <c r="AD740" s="347"/>
      <c r="AE740" s="347"/>
      <c r="AF740" s="347"/>
      <c r="AG740" s="347"/>
      <c r="AH740" s="347"/>
      <c r="AI740" s="347"/>
      <c r="AJ740" s="347"/>
      <c r="AK740" s="347"/>
      <c r="AL740" s="347"/>
      <c r="AM740" s="347"/>
      <c r="AN740" s="347"/>
      <c r="AO740" s="347"/>
      <c r="AP740" s="347"/>
      <c r="AQ740" s="347"/>
      <c r="AR740" s="347"/>
      <c r="AS740" s="347"/>
      <c r="AT740" s="347"/>
      <c r="AU740" s="347"/>
      <c r="AV740" s="347"/>
      <c r="AW740" s="347"/>
      <c r="AX740" s="347"/>
      <c r="AY740" s="347"/>
      <c r="AZ740" s="347"/>
      <c r="BA740" s="347"/>
      <c r="BB740" s="347"/>
      <c r="BC740" s="347"/>
      <c r="BD740" s="347"/>
      <c r="BE740" s="347"/>
      <c r="BF740" s="347"/>
      <c r="BG740" s="347"/>
      <c r="BH740" s="347"/>
    </row>
    <row r="741">
      <c r="A741" s="347"/>
      <c r="B741" s="347"/>
      <c r="C741" s="347"/>
      <c r="D741" s="347"/>
      <c r="E741" s="347"/>
      <c r="F741" s="347"/>
      <c r="G741" s="347"/>
      <c r="H741" s="347"/>
      <c r="I741" s="347"/>
      <c r="J741" s="347"/>
      <c r="K741" s="348"/>
      <c r="L741" s="348"/>
      <c r="M741" s="348"/>
      <c r="N741" s="348"/>
      <c r="O741" s="348"/>
      <c r="P741" s="347"/>
      <c r="Q741" s="347"/>
      <c r="R741" s="347"/>
      <c r="S741" s="347"/>
      <c r="T741" s="347"/>
      <c r="U741" s="347"/>
      <c r="V741" s="347"/>
      <c r="W741" s="347"/>
      <c r="X741" s="347"/>
      <c r="Y741" s="347"/>
      <c r="Z741" s="347"/>
      <c r="AA741" s="604"/>
      <c r="AB741" s="347"/>
      <c r="AC741" s="590"/>
      <c r="AD741" s="347"/>
      <c r="AE741" s="347"/>
      <c r="AF741" s="347"/>
      <c r="AG741" s="347"/>
      <c r="AH741" s="347"/>
      <c r="AI741" s="347"/>
      <c r="AJ741" s="347"/>
      <c r="AK741" s="347"/>
      <c r="AL741" s="347"/>
      <c r="AM741" s="347"/>
      <c r="AN741" s="347"/>
      <c r="AO741" s="347"/>
      <c r="AP741" s="347"/>
      <c r="AQ741" s="347"/>
      <c r="AR741" s="347"/>
      <c r="AS741" s="347"/>
      <c r="AT741" s="347"/>
      <c r="AU741" s="347"/>
      <c r="AV741" s="347"/>
      <c r="AW741" s="347"/>
      <c r="AX741" s="347"/>
      <c r="AY741" s="347"/>
      <c r="AZ741" s="347"/>
      <c r="BA741" s="347"/>
      <c r="BB741" s="347"/>
      <c r="BC741" s="347"/>
      <c r="BD741" s="347"/>
      <c r="BE741" s="347"/>
      <c r="BF741" s="347"/>
      <c r="BG741" s="347"/>
      <c r="BH741" s="347"/>
    </row>
    <row r="742">
      <c r="A742" s="347"/>
      <c r="B742" s="347"/>
      <c r="C742" s="347"/>
      <c r="D742" s="347"/>
      <c r="E742" s="347"/>
      <c r="F742" s="347"/>
      <c r="G742" s="347"/>
      <c r="H742" s="347"/>
      <c r="I742" s="347"/>
      <c r="J742" s="347"/>
      <c r="K742" s="348"/>
      <c r="L742" s="348"/>
      <c r="M742" s="348"/>
      <c r="N742" s="348"/>
      <c r="O742" s="348"/>
      <c r="P742" s="347"/>
      <c r="Q742" s="347"/>
      <c r="R742" s="347"/>
      <c r="S742" s="347"/>
      <c r="T742" s="347"/>
      <c r="U742" s="347"/>
      <c r="V742" s="347"/>
      <c r="W742" s="347"/>
      <c r="X742" s="347"/>
      <c r="Y742" s="347"/>
      <c r="Z742" s="347"/>
      <c r="AA742" s="604"/>
      <c r="AB742" s="347"/>
      <c r="AC742" s="590"/>
      <c r="AD742" s="347"/>
      <c r="AE742" s="347"/>
      <c r="AF742" s="347"/>
      <c r="AG742" s="347"/>
      <c r="AH742" s="347"/>
      <c r="AI742" s="347"/>
      <c r="AJ742" s="347"/>
      <c r="AK742" s="347"/>
      <c r="AL742" s="347"/>
      <c r="AM742" s="347"/>
      <c r="AN742" s="347"/>
      <c r="AO742" s="347"/>
      <c r="AP742" s="347"/>
      <c r="AQ742" s="347"/>
      <c r="AR742" s="347"/>
      <c r="AS742" s="347"/>
      <c r="AT742" s="347"/>
      <c r="AU742" s="347"/>
      <c r="AV742" s="347"/>
      <c r="AW742" s="347"/>
      <c r="AX742" s="347"/>
      <c r="AY742" s="347"/>
      <c r="AZ742" s="347"/>
      <c r="BA742" s="347"/>
      <c r="BB742" s="347"/>
      <c r="BC742" s="347"/>
      <c r="BD742" s="347"/>
      <c r="BE742" s="347"/>
      <c r="BF742" s="347"/>
      <c r="BG742" s="347"/>
      <c r="BH742" s="347"/>
    </row>
    <row r="743">
      <c r="A743" s="347"/>
      <c r="B743" s="347"/>
      <c r="C743" s="347"/>
      <c r="D743" s="347"/>
      <c r="E743" s="347"/>
      <c r="F743" s="347"/>
      <c r="G743" s="347"/>
      <c r="H743" s="347"/>
      <c r="I743" s="347"/>
      <c r="J743" s="347"/>
      <c r="K743" s="348"/>
      <c r="L743" s="348"/>
      <c r="M743" s="348"/>
      <c r="N743" s="348"/>
      <c r="O743" s="348"/>
      <c r="P743" s="347"/>
      <c r="Q743" s="347"/>
      <c r="R743" s="347"/>
      <c r="S743" s="347"/>
      <c r="T743" s="347"/>
      <c r="U743" s="347"/>
      <c r="V743" s="347"/>
      <c r="W743" s="347"/>
      <c r="X743" s="347"/>
      <c r="Y743" s="347"/>
      <c r="Z743" s="347"/>
      <c r="AA743" s="604"/>
      <c r="AB743" s="347"/>
      <c r="AC743" s="590"/>
      <c r="AD743" s="347"/>
      <c r="AE743" s="347"/>
      <c r="AF743" s="347"/>
      <c r="AG743" s="347"/>
      <c r="AH743" s="347"/>
      <c r="AI743" s="347"/>
      <c r="AJ743" s="347"/>
      <c r="AK743" s="347"/>
      <c r="AL743" s="347"/>
      <c r="AM743" s="347"/>
      <c r="AN743" s="347"/>
      <c r="AO743" s="347"/>
      <c r="AP743" s="347"/>
      <c r="AQ743" s="347"/>
      <c r="AR743" s="347"/>
      <c r="AS743" s="347"/>
      <c r="AT743" s="347"/>
      <c r="AU743" s="347"/>
      <c r="AV743" s="347"/>
      <c r="AW743" s="347"/>
      <c r="AX743" s="347"/>
      <c r="AY743" s="347"/>
      <c r="AZ743" s="347"/>
      <c r="BA743" s="347"/>
      <c r="BB743" s="347"/>
      <c r="BC743" s="347"/>
      <c r="BD743" s="347"/>
      <c r="BE743" s="347"/>
      <c r="BF743" s="347"/>
      <c r="BG743" s="347"/>
      <c r="BH743" s="347"/>
    </row>
    <row r="744">
      <c r="A744" s="347"/>
      <c r="B744" s="347"/>
      <c r="C744" s="347"/>
      <c r="D744" s="347"/>
      <c r="E744" s="347"/>
      <c r="F744" s="347"/>
      <c r="G744" s="347"/>
      <c r="H744" s="347"/>
      <c r="I744" s="347"/>
      <c r="J744" s="347"/>
      <c r="K744" s="348"/>
      <c r="L744" s="348"/>
      <c r="M744" s="348"/>
      <c r="N744" s="348"/>
      <c r="O744" s="348"/>
      <c r="P744" s="347"/>
      <c r="Q744" s="347"/>
      <c r="R744" s="347"/>
      <c r="S744" s="347"/>
      <c r="T744" s="347"/>
      <c r="U744" s="347"/>
      <c r="V744" s="347"/>
      <c r="W744" s="347"/>
      <c r="X744" s="347"/>
      <c r="Y744" s="347"/>
      <c r="Z744" s="347"/>
      <c r="AA744" s="604"/>
      <c r="AB744" s="347"/>
      <c r="AC744" s="590"/>
      <c r="AD744" s="347"/>
      <c r="AE744" s="347"/>
      <c r="AF744" s="347"/>
      <c r="AG744" s="347"/>
      <c r="AH744" s="347"/>
      <c r="AI744" s="347"/>
      <c r="AJ744" s="347"/>
      <c r="AK744" s="347"/>
      <c r="AL744" s="347"/>
      <c r="AM744" s="347"/>
      <c r="AN744" s="347"/>
      <c r="AO744" s="347"/>
      <c r="AP744" s="347"/>
      <c r="AQ744" s="347"/>
      <c r="AR744" s="347"/>
      <c r="AS744" s="347"/>
      <c r="AT744" s="347"/>
      <c r="AU744" s="347"/>
      <c r="AV744" s="347"/>
      <c r="AW744" s="347"/>
      <c r="AX744" s="347"/>
      <c r="AY744" s="347"/>
      <c r="AZ744" s="347"/>
      <c r="BA744" s="347"/>
      <c r="BB744" s="347"/>
      <c r="BC744" s="347"/>
      <c r="BD744" s="347"/>
      <c r="BE744" s="347"/>
      <c r="BF744" s="347"/>
      <c r="BG744" s="347"/>
      <c r="BH744" s="347"/>
    </row>
    <row r="745">
      <c r="A745" s="347"/>
      <c r="B745" s="347"/>
      <c r="C745" s="347"/>
      <c r="D745" s="347"/>
      <c r="E745" s="347"/>
      <c r="F745" s="347"/>
      <c r="G745" s="347"/>
      <c r="H745" s="347"/>
      <c r="I745" s="347"/>
      <c r="J745" s="347"/>
      <c r="K745" s="348"/>
      <c r="L745" s="348"/>
      <c r="M745" s="348"/>
      <c r="N745" s="348"/>
      <c r="O745" s="348"/>
      <c r="P745" s="347"/>
      <c r="Q745" s="347"/>
      <c r="R745" s="347"/>
      <c r="S745" s="347"/>
      <c r="T745" s="347"/>
      <c r="U745" s="347"/>
      <c r="V745" s="347"/>
      <c r="W745" s="347"/>
      <c r="X745" s="347"/>
      <c r="Y745" s="347"/>
      <c r="Z745" s="347"/>
      <c r="AA745" s="604"/>
      <c r="AB745" s="347"/>
      <c r="AC745" s="590"/>
      <c r="AD745" s="347"/>
      <c r="AE745" s="347"/>
      <c r="AF745" s="347"/>
      <c r="AG745" s="347"/>
      <c r="AH745" s="347"/>
      <c r="AI745" s="347"/>
      <c r="AJ745" s="347"/>
      <c r="AK745" s="347"/>
      <c r="AL745" s="347"/>
      <c r="AM745" s="347"/>
      <c r="AN745" s="347"/>
      <c r="AO745" s="347"/>
      <c r="AP745" s="347"/>
      <c r="AQ745" s="347"/>
      <c r="AR745" s="347"/>
      <c r="AS745" s="347"/>
      <c r="AT745" s="347"/>
      <c r="AU745" s="347"/>
      <c r="AV745" s="347"/>
      <c r="AW745" s="347"/>
      <c r="AX745" s="347"/>
      <c r="AY745" s="347"/>
      <c r="AZ745" s="347"/>
      <c r="BA745" s="347"/>
      <c r="BB745" s="347"/>
      <c r="BC745" s="347"/>
      <c r="BD745" s="347"/>
      <c r="BE745" s="347"/>
      <c r="BF745" s="347"/>
      <c r="BG745" s="347"/>
      <c r="BH745" s="347"/>
    </row>
    <row r="746">
      <c r="A746" s="347"/>
      <c r="B746" s="347"/>
      <c r="C746" s="347"/>
      <c r="D746" s="347"/>
      <c r="E746" s="347"/>
      <c r="F746" s="347"/>
      <c r="G746" s="347"/>
      <c r="H746" s="347"/>
      <c r="I746" s="347"/>
      <c r="J746" s="347"/>
      <c r="K746" s="348"/>
      <c r="L746" s="348"/>
      <c r="M746" s="348"/>
      <c r="N746" s="348"/>
      <c r="O746" s="348"/>
      <c r="P746" s="347"/>
      <c r="Q746" s="347"/>
      <c r="R746" s="347"/>
      <c r="S746" s="347"/>
      <c r="T746" s="347"/>
      <c r="U746" s="347"/>
      <c r="V746" s="347"/>
      <c r="W746" s="347"/>
      <c r="X746" s="347"/>
      <c r="Y746" s="347"/>
      <c r="Z746" s="347"/>
      <c r="AA746" s="604"/>
      <c r="AB746" s="347"/>
      <c r="AC746" s="590"/>
      <c r="AD746" s="347"/>
      <c r="AE746" s="347"/>
      <c r="AF746" s="347"/>
      <c r="AG746" s="347"/>
      <c r="AH746" s="347"/>
      <c r="AI746" s="347"/>
      <c r="AJ746" s="347"/>
      <c r="AK746" s="347"/>
      <c r="AL746" s="347"/>
      <c r="AM746" s="347"/>
      <c r="AN746" s="347"/>
      <c r="AO746" s="347"/>
      <c r="AP746" s="347"/>
      <c r="AQ746" s="347"/>
      <c r="AR746" s="347"/>
      <c r="AS746" s="347"/>
      <c r="AT746" s="347"/>
      <c r="AU746" s="347"/>
      <c r="AV746" s="347"/>
      <c r="AW746" s="347"/>
      <c r="AX746" s="347"/>
      <c r="AY746" s="347"/>
      <c r="AZ746" s="347"/>
      <c r="BA746" s="347"/>
      <c r="BB746" s="347"/>
      <c r="BC746" s="347"/>
      <c r="BD746" s="347"/>
      <c r="BE746" s="347"/>
      <c r="BF746" s="347"/>
      <c r="BG746" s="347"/>
      <c r="BH746" s="347"/>
    </row>
    <row r="747">
      <c r="A747" s="347"/>
      <c r="B747" s="347"/>
      <c r="C747" s="347"/>
      <c r="D747" s="347"/>
      <c r="E747" s="347"/>
      <c r="F747" s="347"/>
      <c r="G747" s="347"/>
      <c r="H747" s="347"/>
      <c r="I747" s="347"/>
      <c r="J747" s="347"/>
      <c r="K747" s="348"/>
      <c r="L747" s="348"/>
      <c r="M747" s="348"/>
      <c r="N747" s="348"/>
      <c r="O747" s="348"/>
      <c r="P747" s="347"/>
      <c r="Q747" s="347"/>
      <c r="R747" s="347"/>
      <c r="S747" s="347"/>
      <c r="T747" s="347"/>
      <c r="U747" s="347"/>
      <c r="V747" s="347"/>
      <c r="W747" s="347"/>
      <c r="X747" s="347"/>
      <c r="Y747" s="347"/>
      <c r="Z747" s="347"/>
      <c r="AA747" s="604"/>
      <c r="AB747" s="347"/>
      <c r="AC747" s="590"/>
      <c r="AD747" s="347"/>
      <c r="AE747" s="347"/>
      <c r="AF747" s="347"/>
      <c r="AG747" s="347"/>
      <c r="AH747" s="347"/>
      <c r="AI747" s="347"/>
      <c r="AJ747" s="347"/>
      <c r="AK747" s="347"/>
      <c r="AL747" s="347"/>
      <c r="AM747" s="347"/>
      <c r="AN747" s="347"/>
      <c r="AO747" s="347"/>
      <c r="AP747" s="347"/>
      <c r="AQ747" s="347"/>
      <c r="AR747" s="347"/>
      <c r="AS747" s="347"/>
      <c r="AT747" s="347"/>
      <c r="AU747" s="347"/>
      <c r="AV747" s="347"/>
      <c r="AW747" s="347"/>
      <c r="AX747" s="347"/>
      <c r="AY747" s="347"/>
      <c r="AZ747" s="347"/>
      <c r="BA747" s="347"/>
      <c r="BB747" s="347"/>
      <c r="BC747" s="347"/>
      <c r="BD747" s="347"/>
      <c r="BE747" s="347"/>
      <c r="BF747" s="347"/>
      <c r="BG747" s="347"/>
      <c r="BH747" s="347"/>
    </row>
    <row r="748">
      <c r="A748" s="347"/>
      <c r="B748" s="347"/>
      <c r="C748" s="347"/>
      <c r="D748" s="347"/>
      <c r="E748" s="347"/>
      <c r="F748" s="347"/>
      <c r="G748" s="347"/>
      <c r="H748" s="347"/>
      <c r="I748" s="347"/>
      <c r="J748" s="347"/>
      <c r="K748" s="348"/>
      <c r="L748" s="348"/>
      <c r="M748" s="348"/>
      <c r="N748" s="348"/>
      <c r="O748" s="348"/>
      <c r="P748" s="347"/>
      <c r="Q748" s="347"/>
      <c r="R748" s="347"/>
      <c r="S748" s="347"/>
      <c r="T748" s="347"/>
      <c r="U748" s="347"/>
      <c r="V748" s="347"/>
      <c r="W748" s="347"/>
      <c r="X748" s="347"/>
      <c r="Y748" s="347"/>
      <c r="Z748" s="347"/>
      <c r="AA748" s="604"/>
      <c r="AB748" s="347"/>
      <c r="AC748" s="590"/>
      <c r="AD748" s="347"/>
      <c r="AE748" s="347"/>
      <c r="AF748" s="347"/>
      <c r="AG748" s="347"/>
      <c r="AH748" s="347"/>
      <c r="AI748" s="347"/>
      <c r="AJ748" s="347"/>
      <c r="AK748" s="347"/>
      <c r="AL748" s="347"/>
      <c r="AM748" s="347"/>
      <c r="AN748" s="347"/>
      <c r="AO748" s="347"/>
      <c r="AP748" s="347"/>
      <c r="AQ748" s="347"/>
      <c r="AR748" s="347"/>
      <c r="AS748" s="347"/>
      <c r="AT748" s="347"/>
      <c r="AU748" s="347"/>
      <c r="AV748" s="347"/>
      <c r="AW748" s="347"/>
      <c r="AX748" s="347"/>
      <c r="AY748" s="347"/>
      <c r="AZ748" s="347"/>
      <c r="BA748" s="347"/>
      <c r="BB748" s="347"/>
      <c r="BC748" s="347"/>
      <c r="BD748" s="347"/>
      <c r="BE748" s="347"/>
      <c r="BF748" s="347"/>
      <c r="BG748" s="347"/>
      <c r="BH748" s="347"/>
    </row>
    <row r="749">
      <c r="A749" s="347"/>
      <c r="B749" s="347"/>
      <c r="C749" s="347"/>
      <c r="D749" s="347"/>
      <c r="E749" s="347"/>
      <c r="F749" s="347"/>
      <c r="G749" s="347"/>
      <c r="H749" s="347"/>
      <c r="I749" s="347"/>
      <c r="J749" s="347"/>
      <c r="K749" s="348"/>
      <c r="L749" s="348"/>
      <c r="M749" s="348"/>
      <c r="N749" s="348"/>
      <c r="O749" s="348"/>
      <c r="P749" s="347"/>
      <c r="Q749" s="347"/>
      <c r="R749" s="347"/>
      <c r="S749" s="347"/>
      <c r="T749" s="347"/>
      <c r="U749" s="347"/>
      <c r="V749" s="347"/>
      <c r="W749" s="347"/>
      <c r="X749" s="347"/>
      <c r="Y749" s="347"/>
      <c r="Z749" s="347"/>
      <c r="AA749" s="604"/>
      <c r="AB749" s="347"/>
      <c r="AC749" s="590"/>
      <c r="AD749" s="347"/>
      <c r="AE749" s="347"/>
      <c r="AF749" s="347"/>
      <c r="AG749" s="347"/>
      <c r="AH749" s="347"/>
      <c r="AI749" s="347"/>
      <c r="AJ749" s="347"/>
      <c r="AK749" s="347"/>
      <c r="AL749" s="347"/>
      <c r="AM749" s="347"/>
      <c r="AN749" s="347"/>
      <c r="AO749" s="347"/>
      <c r="AP749" s="347"/>
      <c r="AQ749" s="347"/>
      <c r="AR749" s="347"/>
      <c r="AS749" s="347"/>
      <c r="AT749" s="347"/>
      <c r="AU749" s="347"/>
      <c r="AV749" s="347"/>
      <c r="AW749" s="347"/>
      <c r="AX749" s="347"/>
      <c r="AY749" s="347"/>
      <c r="AZ749" s="347"/>
      <c r="BA749" s="347"/>
      <c r="BB749" s="347"/>
      <c r="BC749" s="347"/>
      <c r="BD749" s="347"/>
      <c r="BE749" s="347"/>
      <c r="BF749" s="347"/>
      <c r="BG749" s="347"/>
      <c r="BH749" s="347"/>
    </row>
    <row r="750">
      <c r="A750" s="347"/>
      <c r="B750" s="347"/>
      <c r="C750" s="347"/>
      <c r="D750" s="347"/>
      <c r="E750" s="347"/>
      <c r="F750" s="347"/>
      <c r="G750" s="347"/>
      <c r="H750" s="347"/>
      <c r="I750" s="347"/>
      <c r="J750" s="347"/>
      <c r="K750" s="348"/>
      <c r="L750" s="348"/>
      <c r="M750" s="348"/>
      <c r="N750" s="348"/>
      <c r="O750" s="348"/>
      <c r="P750" s="347"/>
      <c r="Q750" s="347"/>
      <c r="R750" s="347"/>
      <c r="S750" s="347"/>
      <c r="T750" s="347"/>
      <c r="U750" s="347"/>
      <c r="V750" s="347"/>
      <c r="W750" s="347"/>
      <c r="X750" s="347"/>
      <c r="Y750" s="347"/>
      <c r="Z750" s="347"/>
      <c r="AA750" s="604"/>
      <c r="AB750" s="347"/>
      <c r="AC750" s="590"/>
      <c r="AD750" s="347"/>
      <c r="AE750" s="347"/>
      <c r="AF750" s="347"/>
      <c r="AG750" s="347"/>
      <c r="AH750" s="347"/>
      <c r="AI750" s="347"/>
      <c r="AJ750" s="347"/>
      <c r="AK750" s="347"/>
      <c r="AL750" s="347"/>
      <c r="AM750" s="347"/>
      <c r="AN750" s="347"/>
      <c r="AO750" s="347"/>
      <c r="AP750" s="347"/>
      <c r="AQ750" s="347"/>
      <c r="AR750" s="347"/>
      <c r="AS750" s="347"/>
      <c r="AT750" s="347"/>
      <c r="AU750" s="347"/>
      <c r="AV750" s="347"/>
      <c r="AW750" s="347"/>
      <c r="AX750" s="347"/>
      <c r="AY750" s="347"/>
      <c r="AZ750" s="347"/>
      <c r="BA750" s="347"/>
      <c r="BB750" s="347"/>
      <c r="BC750" s="347"/>
      <c r="BD750" s="347"/>
      <c r="BE750" s="347"/>
      <c r="BF750" s="347"/>
      <c r="BG750" s="347"/>
      <c r="BH750" s="347"/>
    </row>
    <row r="751">
      <c r="A751" s="347"/>
      <c r="B751" s="347"/>
      <c r="C751" s="347"/>
      <c r="D751" s="347"/>
      <c r="E751" s="347"/>
      <c r="F751" s="347"/>
      <c r="G751" s="347"/>
      <c r="H751" s="347"/>
      <c r="I751" s="347"/>
      <c r="J751" s="347"/>
      <c r="K751" s="348"/>
      <c r="L751" s="348"/>
      <c r="M751" s="348"/>
      <c r="N751" s="348"/>
      <c r="O751" s="348"/>
      <c r="P751" s="347"/>
      <c r="Q751" s="347"/>
      <c r="R751" s="347"/>
      <c r="S751" s="347"/>
      <c r="T751" s="347"/>
      <c r="U751" s="347"/>
      <c r="V751" s="347"/>
      <c r="W751" s="347"/>
      <c r="X751" s="347"/>
      <c r="Y751" s="347"/>
      <c r="Z751" s="347"/>
      <c r="AA751" s="604"/>
      <c r="AB751" s="347"/>
      <c r="AC751" s="590"/>
      <c r="AD751" s="347"/>
      <c r="AE751" s="347"/>
      <c r="AF751" s="347"/>
      <c r="AG751" s="347"/>
      <c r="AH751" s="347"/>
      <c r="AI751" s="347"/>
      <c r="AJ751" s="347"/>
      <c r="AK751" s="347"/>
      <c r="AL751" s="347"/>
      <c r="AM751" s="347"/>
      <c r="AN751" s="347"/>
      <c r="AO751" s="347"/>
      <c r="AP751" s="347"/>
      <c r="AQ751" s="347"/>
      <c r="AR751" s="347"/>
      <c r="AS751" s="347"/>
      <c r="AT751" s="347"/>
      <c r="AU751" s="347"/>
      <c r="AV751" s="347"/>
      <c r="AW751" s="347"/>
      <c r="AX751" s="347"/>
      <c r="AY751" s="347"/>
      <c r="AZ751" s="347"/>
      <c r="BA751" s="347"/>
      <c r="BB751" s="347"/>
      <c r="BC751" s="347"/>
      <c r="BD751" s="347"/>
      <c r="BE751" s="347"/>
      <c r="BF751" s="347"/>
      <c r="BG751" s="347"/>
      <c r="BH751" s="347"/>
    </row>
    <row r="752">
      <c r="A752" s="347"/>
      <c r="B752" s="347"/>
      <c r="C752" s="347"/>
      <c r="D752" s="347"/>
      <c r="E752" s="347"/>
      <c r="F752" s="347"/>
      <c r="G752" s="347"/>
      <c r="H752" s="347"/>
      <c r="I752" s="347"/>
      <c r="J752" s="347"/>
      <c r="K752" s="348"/>
      <c r="L752" s="348"/>
      <c r="M752" s="348"/>
      <c r="N752" s="348"/>
      <c r="O752" s="348"/>
      <c r="P752" s="347"/>
      <c r="Q752" s="347"/>
      <c r="R752" s="347"/>
      <c r="S752" s="347"/>
      <c r="T752" s="347"/>
      <c r="U752" s="347"/>
      <c r="V752" s="347"/>
      <c r="W752" s="347"/>
      <c r="X752" s="347"/>
      <c r="Y752" s="347"/>
      <c r="Z752" s="347"/>
      <c r="AA752" s="604"/>
      <c r="AB752" s="347"/>
      <c r="AC752" s="590"/>
      <c r="AD752" s="347"/>
      <c r="AE752" s="347"/>
      <c r="AF752" s="347"/>
      <c r="AG752" s="347"/>
      <c r="AH752" s="347"/>
      <c r="AI752" s="347"/>
      <c r="AJ752" s="347"/>
      <c r="AK752" s="347"/>
      <c r="AL752" s="347"/>
      <c r="AM752" s="347"/>
      <c r="AN752" s="347"/>
      <c r="AO752" s="347"/>
      <c r="AP752" s="347"/>
      <c r="AQ752" s="347"/>
      <c r="AR752" s="347"/>
      <c r="AS752" s="347"/>
      <c r="AT752" s="347"/>
      <c r="AU752" s="347"/>
      <c r="AV752" s="347"/>
      <c r="AW752" s="347"/>
      <c r="AX752" s="347"/>
      <c r="AY752" s="347"/>
      <c r="AZ752" s="347"/>
      <c r="BA752" s="347"/>
      <c r="BB752" s="347"/>
      <c r="BC752" s="347"/>
      <c r="BD752" s="347"/>
      <c r="BE752" s="347"/>
      <c r="BF752" s="347"/>
      <c r="BG752" s="347"/>
      <c r="BH752" s="347"/>
    </row>
    <row r="753">
      <c r="A753" s="347"/>
      <c r="B753" s="347"/>
      <c r="C753" s="347"/>
      <c r="D753" s="347"/>
      <c r="E753" s="347"/>
      <c r="F753" s="347"/>
      <c r="G753" s="347"/>
      <c r="H753" s="347"/>
      <c r="I753" s="347"/>
      <c r="J753" s="347"/>
      <c r="K753" s="348"/>
      <c r="L753" s="348"/>
      <c r="M753" s="348"/>
      <c r="N753" s="348"/>
      <c r="O753" s="348"/>
      <c r="P753" s="347"/>
      <c r="Q753" s="347"/>
      <c r="R753" s="347"/>
      <c r="S753" s="347"/>
      <c r="T753" s="347"/>
      <c r="U753" s="347"/>
      <c r="V753" s="347"/>
      <c r="W753" s="347"/>
      <c r="X753" s="347"/>
      <c r="Y753" s="347"/>
      <c r="Z753" s="347"/>
      <c r="AA753" s="604"/>
      <c r="AB753" s="347"/>
      <c r="AC753" s="590"/>
      <c r="AD753" s="347"/>
      <c r="AE753" s="347"/>
      <c r="AF753" s="347"/>
      <c r="AG753" s="347"/>
      <c r="AH753" s="347"/>
      <c r="AI753" s="347"/>
      <c r="AJ753" s="347"/>
      <c r="AK753" s="347"/>
      <c r="AL753" s="347"/>
      <c r="AM753" s="347"/>
      <c r="AN753" s="347"/>
      <c r="AO753" s="347"/>
      <c r="AP753" s="347"/>
      <c r="AQ753" s="347"/>
      <c r="AR753" s="347"/>
      <c r="AS753" s="347"/>
      <c r="AT753" s="347"/>
      <c r="AU753" s="347"/>
      <c r="AV753" s="347"/>
      <c r="AW753" s="347"/>
      <c r="AX753" s="347"/>
      <c r="AY753" s="347"/>
      <c r="AZ753" s="347"/>
      <c r="BA753" s="347"/>
      <c r="BB753" s="347"/>
      <c r="BC753" s="347"/>
      <c r="BD753" s="347"/>
      <c r="BE753" s="347"/>
      <c r="BF753" s="347"/>
      <c r="BG753" s="347"/>
      <c r="BH753" s="347"/>
    </row>
    <row r="754">
      <c r="A754" s="347"/>
      <c r="B754" s="347"/>
      <c r="C754" s="347"/>
      <c r="D754" s="347"/>
      <c r="E754" s="347"/>
      <c r="F754" s="347"/>
      <c r="G754" s="347"/>
      <c r="H754" s="347"/>
      <c r="I754" s="347"/>
      <c r="J754" s="347"/>
      <c r="K754" s="348"/>
      <c r="L754" s="348"/>
      <c r="M754" s="348"/>
      <c r="N754" s="348"/>
      <c r="O754" s="348"/>
      <c r="P754" s="347"/>
      <c r="Q754" s="347"/>
      <c r="R754" s="347"/>
      <c r="S754" s="347"/>
      <c r="T754" s="347"/>
      <c r="U754" s="347"/>
      <c r="V754" s="347"/>
      <c r="W754" s="347"/>
      <c r="X754" s="347"/>
      <c r="Y754" s="347"/>
      <c r="Z754" s="347"/>
      <c r="AA754" s="604"/>
      <c r="AB754" s="347"/>
      <c r="AC754" s="590"/>
      <c r="AD754" s="347"/>
      <c r="AE754" s="347"/>
      <c r="AF754" s="347"/>
      <c r="AG754" s="347"/>
      <c r="AH754" s="347"/>
      <c r="AI754" s="347"/>
      <c r="AJ754" s="347"/>
      <c r="AK754" s="347"/>
      <c r="AL754" s="347"/>
      <c r="AM754" s="347"/>
      <c r="AN754" s="347"/>
      <c r="AO754" s="347"/>
      <c r="AP754" s="347"/>
      <c r="AQ754" s="347"/>
      <c r="AR754" s="347"/>
      <c r="AS754" s="347"/>
      <c r="AT754" s="347"/>
      <c r="AU754" s="347"/>
      <c r="AV754" s="347"/>
      <c r="AW754" s="347"/>
      <c r="AX754" s="347"/>
      <c r="AY754" s="347"/>
      <c r="AZ754" s="347"/>
      <c r="BA754" s="347"/>
      <c r="BB754" s="347"/>
      <c r="BC754" s="347"/>
      <c r="BD754" s="347"/>
      <c r="BE754" s="347"/>
      <c r="BF754" s="347"/>
      <c r="BG754" s="347"/>
      <c r="BH754" s="347"/>
    </row>
    <row r="755">
      <c r="A755" s="347"/>
      <c r="B755" s="347"/>
      <c r="C755" s="347"/>
      <c r="D755" s="347"/>
      <c r="E755" s="347"/>
      <c r="F755" s="347"/>
      <c r="G755" s="347"/>
      <c r="H755" s="347"/>
      <c r="I755" s="347"/>
      <c r="J755" s="347"/>
      <c r="K755" s="348"/>
      <c r="L755" s="348"/>
      <c r="M755" s="348"/>
      <c r="N755" s="348"/>
      <c r="O755" s="348"/>
      <c r="P755" s="347"/>
      <c r="Q755" s="347"/>
      <c r="R755" s="347"/>
      <c r="S755" s="347"/>
      <c r="T755" s="347"/>
      <c r="U755" s="347"/>
      <c r="V755" s="347"/>
      <c r="W755" s="347"/>
      <c r="X755" s="347"/>
      <c r="Y755" s="347"/>
      <c r="Z755" s="347"/>
      <c r="AA755" s="604"/>
      <c r="AB755" s="347"/>
      <c r="AC755" s="590"/>
      <c r="AD755" s="347"/>
      <c r="AE755" s="347"/>
      <c r="AF755" s="347"/>
      <c r="AG755" s="347"/>
      <c r="AH755" s="347"/>
      <c r="AI755" s="347"/>
      <c r="AJ755" s="347"/>
      <c r="AK755" s="347"/>
      <c r="AL755" s="347"/>
      <c r="AM755" s="347"/>
      <c r="AN755" s="347"/>
      <c r="AO755" s="347"/>
      <c r="AP755" s="347"/>
      <c r="AQ755" s="347"/>
      <c r="AR755" s="347"/>
      <c r="AS755" s="347"/>
      <c r="AT755" s="347"/>
      <c r="AU755" s="347"/>
      <c r="AV755" s="347"/>
      <c r="AW755" s="347"/>
      <c r="AX755" s="347"/>
      <c r="AY755" s="347"/>
      <c r="AZ755" s="347"/>
      <c r="BA755" s="347"/>
      <c r="BB755" s="347"/>
      <c r="BC755" s="347"/>
      <c r="BD755" s="347"/>
      <c r="BE755" s="347"/>
      <c r="BF755" s="347"/>
      <c r="BG755" s="347"/>
      <c r="BH755" s="347"/>
    </row>
    <row r="756">
      <c r="A756" s="347"/>
      <c r="B756" s="347"/>
      <c r="C756" s="347"/>
      <c r="D756" s="347"/>
      <c r="E756" s="347"/>
      <c r="F756" s="347"/>
      <c r="G756" s="347"/>
      <c r="H756" s="347"/>
      <c r="I756" s="347"/>
      <c r="J756" s="347"/>
      <c r="K756" s="348"/>
      <c r="L756" s="348"/>
      <c r="M756" s="348"/>
      <c r="N756" s="348"/>
      <c r="O756" s="348"/>
      <c r="P756" s="347"/>
      <c r="Q756" s="347"/>
      <c r="R756" s="347"/>
      <c r="S756" s="347"/>
      <c r="T756" s="347"/>
      <c r="U756" s="347"/>
      <c r="V756" s="347"/>
      <c r="W756" s="347"/>
      <c r="X756" s="347"/>
      <c r="Y756" s="347"/>
      <c r="Z756" s="347"/>
      <c r="AA756" s="604"/>
      <c r="AB756" s="347"/>
      <c r="AC756" s="590"/>
      <c r="AD756" s="347"/>
      <c r="AE756" s="347"/>
      <c r="AF756" s="347"/>
      <c r="AG756" s="347"/>
      <c r="AH756" s="347"/>
      <c r="AI756" s="347"/>
      <c r="AJ756" s="347"/>
      <c r="AK756" s="347"/>
      <c r="AL756" s="347"/>
      <c r="AM756" s="347"/>
      <c r="AN756" s="347"/>
      <c r="AO756" s="347"/>
      <c r="AP756" s="347"/>
      <c r="AQ756" s="347"/>
      <c r="AR756" s="347"/>
      <c r="AS756" s="347"/>
      <c r="AT756" s="347"/>
      <c r="AU756" s="347"/>
      <c r="AV756" s="347"/>
      <c r="AW756" s="347"/>
      <c r="AX756" s="347"/>
      <c r="AY756" s="347"/>
      <c r="AZ756" s="347"/>
      <c r="BA756" s="347"/>
      <c r="BB756" s="347"/>
      <c r="BC756" s="347"/>
      <c r="BD756" s="347"/>
      <c r="BE756" s="347"/>
      <c r="BF756" s="347"/>
      <c r="BG756" s="347"/>
      <c r="BH756" s="347"/>
    </row>
    <row r="757">
      <c r="A757" s="347"/>
      <c r="B757" s="347"/>
      <c r="C757" s="347"/>
      <c r="D757" s="347"/>
      <c r="E757" s="347"/>
      <c r="F757" s="347"/>
      <c r="G757" s="347"/>
      <c r="H757" s="347"/>
      <c r="I757" s="347"/>
      <c r="J757" s="347"/>
      <c r="K757" s="348"/>
      <c r="L757" s="348"/>
      <c r="M757" s="348"/>
      <c r="N757" s="348"/>
      <c r="O757" s="348"/>
      <c r="P757" s="347"/>
      <c r="Q757" s="347"/>
      <c r="R757" s="347"/>
      <c r="S757" s="347"/>
      <c r="T757" s="347"/>
      <c r="U757" s="347"/>
      <c r="V757" s="347"/>
      <c r="W757" s="347"/>
      <c r="X757" s="347"/>
      <c r="Y757" s="347"/>
      <c r="Z757" s="347"/>
      <c r="AA757" s="604"/>
      <c r="AB757" s="347"/>
      <c r="AC757" s="590"/>
      <c r="AD757" s="347"/>
      <c r="AE757" s="347"/>
      <c r="AF757" s="347"/>
      <c r="AG757" s="347"/>
      <c r="AH757" s="347"/>
      <c r="AI757" s="347"/>
      <c r="AJ757" s="347"/>
      <c r="AK757" s="347"/>
      <c r="AL757" s="347"/>
      <c r="AM757" s="347"/>
      <c r="AN757" s="347"/>
      <c r="AO757" s="347"/>
      <c r="AP757" s="347"/>
      <c r="AQ757" s="347"/>
      <c r="AR757" s="347"/>
      <c r="AS757" s="347"/>
      <c r="AT757" s="347"/>
      <c r="AU757" s="347"/>
      <c r="AV757" s="347"/>
      <c r="AW757" s="347"/>
      <c r="AX757" s="347"/>
      <c r="AY757" s="347"/>
      <c r="AZ757" s="347"/>
      <c r="BA757" s="347"/>
      <c r="BB757" s="347"/>
      <c r="BC757" s="347"/>
      <c r="BD757" s="347"/>
      <c r="BE757" s="347"/>
      <c r="BF757" s="347"/>
      <c r="BG757" s="347"/>
      <c r="BH757" s="347"/>
    </row>
    <row r="758">
      <c r="A758" s="347"/>
      <c r="B758" s="347"/>
      <c r="C758" s="347"/>
      <c r="D758" s="347"/>
      <c r="E758" s="347"/>
      <c r="F758" s="347"/>
      <c r="G758" s="347"/>
      <c r="H758" s="347"/>
      <c r="I758" s="347"/>
      <c r="J758" s="347"/>
      <c r="K758" s="348"/>
      <c r="L758" s="348"/>
      <c r="M758" s="348"/>
      <c r="N758" s="348"/>
      <c r="O758" s="348"/>
      <c r="P758" s="347"/>
      <c r="Q758" s="347"/>
      <c r="R758" s="347"/>
      <c r="S758" s="347"/>
      <c r="T758" s="347"/>
      <c r="U758" s="347"/>
      <c r="V758" s="347"/>
      <c r="W758" s="347"/>
      <c r="X758" s="347"/>
      <c r="Y758" s="347"/>
      <c r="Z758" s="347"/>
      <c r="AA758" s="604"/>
      <c r="AB758" s="347"/>
      <c r="AC758" s="590"/>
      <c r="AD758" s="347"/>
      <c r="AE758" s="347"/>
      <c r="AF758" s="347"/>
      <c r="AG758" s="347"/>
      <c r="AH758" s="347"/>
      <c r="AI758" s="347"/>
      <c r="AJ758" s="347"/>
      <c r="AK758" s="347"/>
      <c r="AL758" s="347"/>
      <c r="AM758" s="347"/>
      <c r="AN758" s="347"/>
      <c r="AO758" s="347"/>
      <c r="AP758" s="347"/>
      <c r="AQ758" s="347"/>
      <c r="AR758" s="347"/>
      <c r="AS758" s="347"/>
      <c r="AT758" s="347"/>
      <c r="AU758" s="347"/>
      <c r="AV758" s="347"/>
      <c r="AW758" s="347"/>
      <c r="AX758" s="347"/>
      <c r="AY758" s="347"/>
      <c r="AZ758" s="347"/>
      <c r="BA758" s="347"/>
      <c r="BB758" s="347"/>
      <c r="BC758" s="347"/>
      <c r="BD758" s="347"/>
      <c r="BE758" s="347"/>
      <c r="BF758" s="347"/>
      <c r="BG758" s="347"/>
      <c r="BH758" s="347"/>
    </row>
    <row r="759">
      <c r="A759" s="347"/>
      <c r="B759" s="347"/>
      <c r="C759" s="347"/>
      <c r="D759" s="347"/>
      <c r="E759" s="347"/>
      <c r="F759" s="347"/>
      <c r="G759" s="347"/>
      <c r="H759" s="347"/>
      <c r="I759" s="347"/>
      <c r="J759" s="347"/>
      <c r="K759" s="348"/>
      <c r="L759" s="348"/>
      <c r="M759" s="348"/>
      <c r="N759" s="348"/>
      <c r="O759" s="348"/>
      <c r="P759" s="347"/>
      <c r="Q759" s="347"/>
      <c r="R759" s="347"/>
      <c r="S759" s="347"/>
      <c r="T759" s="347"/>
      <c r="U759" s="347"/>
      <c r="V759" s="347"/>
      <c r="W759" s="347"/>
      <c r="X759" s="347"/>
      <c r="Y759" s="347"/>
      <c r="Z759" s="347"/>
      <c r="AA759" s="604"/>
      <c r="AB759" s="347"/>
      <c r="AC759" s="590"/>
      <c r="AD759" s="347"/>
      <c r="AE759" s="347"/>
      <c r="AF759" s="347"/>
      <c r="AG759" s="347"/>
      <c r="AH759" s="347"/>
      <c r="AI759" s="347"/>
      <c r="AJ759" s="347"/>
      <c r="AK759" s="347"/>
      <c r="AL759" s="347"/>
      <c r="AM759" s="347"/>
      <c r="AN759" s="347"/>
      <c r="AO759" s="347"/>
      <c r="AP759" s="347"/>
      <c r="AQ759" s="347"/>
      <c r="AR759" s="347"/>
      <c r="AS759" s="347"/>
      <c r="AT759" s="347"/>
      <c r="AU759" s="347"/>
      <c r="AV759" s="347"/>
      <c r="AW759" s="347"/>
      <c r="AX759" s="347"/>
      <c r="AY759" s="347"/>
      <c r="AZ759" s="347"/>
      <c r="BA759" s="347"/>
      <c r="BB759" s="347"/>
      <c r="BC759" s="347"/>
      <c r="BD759" s="347"/>
      <c r="BE759" s="347"/>
      <c r="BF759" s="347"/>
      <c r="BG759" s="347"/>
      <c r="BH759" s="347"/>
    </row>
    <row r="760">
      <c r="A760" s="347"/>
      <c r="B760" s="347"/>
      <c r="C760" s="347"/>
      <c r="D760" s="347"/>
      <c r="E760" s="347"/>
      <c r="F760" s="347"/>
      <c r="G760" s="347"/>
      <c r="H760" s="347"/>
      <c r="I760" s="347"/>
      <c r="J760" s="347"/>
      <c r="K760" s="348"/>
      <c r="L760" s="348"/>
      <c r="M760" s="348"/>
      <c r="N760" s="348"/>
      <c r="O760" s="348"/>
      <c r="P760" s="347"/>
      <c r="Q760" s="347"/>
      <c r="R760" s="347"/>
      <c r="S760" s="347"/>
      <c r="T760" s="347"/>
      <c r="U760" s="347"/>
      <c r="V760" s="347"/>
      <c r="W760" s="347"/>
      <c r="X760" s="347"/>
      <c r="Y760" s="347"/>
      <c r="Z760" s="347"/>
      <c r="AA760" s="604"/>
      <c r="AB760" s="347"/>
      <c r="AC760" s="590"/>
      <c r="AD760" s="347"/>
      <c r="AE760" s="347"/>
      <c r="AF760" s="347"/>
      <c r="AG760" s="347"/>
      <c r="AH760" s="347"/>
      <c r="AI760" s="347"/>
      <c r="AJ760" s="347"/>
      <c r="AK760" s="347"/>
      <c r="AL760" s="347"/>
      <c r="AM760" s="347"/>
      <c r="AN760" s="347"/>
      <c r="AO760" s="347"/>
      <c r="AP760" s="347"/>
      <c r="AQ760" s="347"/>
      <c r="AR760" s="347"/>
      <c r="AS760" s="347"/>
      <c r="AT760" s="347"/>
      <c r="AU760" s="347"/>
      <c r="AV760" s="347"/>
      <c r="AW760" s="347"/>
      <c r="AX760" s="347"/>
      <c r="AY760" s="347"/>
      <c r="AZ760" s="347"/>
      <c r="BA760" s="347"/>
      <c r="BB760" s="347"/>
      <c r="BC760" s="347"/>
      <c r="BD760" s="347"/>
      <c r="BE760" s="347"/>
      <c r="BF760" s="347"/>
      <c r="BG760" s="347"/>
      <c r="BH760" s="347"/>
    </row>
    <row r="761">
      <c r="A761" s="347"/>
      <c r="B761" s="347"/>
      <c r="C761" s="347"/>
      <c r="D761" s="347"/>
      <c r="E761" s="347"/>
      <c r="F761" s="347"/>
      <c r="G761" s="347"/>
      <c r="H761" s="347"/>
      <c r="I761" s="347"/>
      <c r="J761" s="347"/>
      <c r="K761" s="348"/>
      <c r="L761" s="348"/>
      <c r="M761" s="348"/>
      <c r="N761" s="348"/>
      <c r="O761" s="348"/>
      <c r="P761" s="347"/>
      <c r="Q761" s="347"/>
      <c r="R761" s="347"/>
      <c r="S761" s="347"/>
      <c r="T761" s="347"/>
      <c r="U761" s="347"/>
      <c r="V761" s="347"/>
      <c r="W761" s="347"/>
      <c r="X761" s="347"/>
      <c r="Y761" s="347"/>
      <c r="Z761" s="347"/>
      <c r="AA761" s="604"/>
      <c r="AB761" s="347"/>
      <c r="AC761" s="590"/>
      <c r="AD761" s="347"/>
      <c r="AE761" s="347"/>
      <c r="AF761" s="347"/>
      <c r="AG761" s="347"/>
      <c r="AH761" s="347"/>
      <c r="AI761" s="347"/>
      <c r="AJ761" s="347"/>
      <c r="AK761" s="347"/>
      <c r="AL761" s="347"/>
      <c r="AM761" s="347"/>
      <c r="AN761" s="347"/>
      <c r="AO761" s="347"/>
      <c r="AP761" s="347"/>
      <c r="AQ761" s="347"/>
      <c r="AR761" s="347"/>
      <c r="AS761" s="347"/>
      <c r="AT761" s="347"/>
      <c r="AU761" s="347"/>
      <c r="AV761" s="347"/>
      <c r="AW761" s="347"/>
      <c r="AX761" s="347"/>
      <c r="AY761" s="347"/>
      <c r="AZ761" s="347"/>
      <c r="BA761" s="347"/>
      <c r="BB761" s="347"/>
      <c r="BC761" s="347"/>
      <c r="BD761" s="347"/>
      <c r="BE761" s="347"/>
      <c r="BF761" s="347"/>
      <c r="BG761" s="347"/>
      <c r="BH761" s="347"/>
    </row>
    <row r="762">
      <c r="A762" s="347"/>
      <c r="B762" s="347"/>
      <c r="C762" s="347"/>
      <c r="D762" s="347"/>
      <c r="E762" s="347"/>
      <c r="F762" s="347"/>
      <c r="G762" s="347"/>
      <c r="H762" s="347"/>
      <c r="I762" s="347"/>
      <c r="J762" s="347"/>
      <c r="K762" s="348"/>
      <c r="L762" s="348"/>
      <c r="M762" s="348"/>
      <c r="N762" s="348"/>
      <c r="O762" s="348"/>
      <c r="P762" s="347"/>
      <c r="Q762" s="347"/>
      <c r="R762" s="347"/>
      <c r="S762" s="347"/>
      <c r="T762" s="347"/>
      <c r="U762" s="347"/>
      <c r="V762" s="347"/>
      <c r="W762" s="347"/>
      <c r="X762" s="347"/>
      <c r="Y762" s="347"/>
      <c r="Z762" s="347"/>
      <c r="AA762" s="604"/>
      <c r="AB762" s="347"/>
      <c r="AC762" s="590"/>
      <c r="AD762" s="347"/>
      <c r="AE762" s="347"/>
      <c r="AF762" s="347"/>
      <c r="AG762" s="347"/>
      <c r="AH762" s="347"/>
      <c r="AI762" s="347"/>
      <c r="AJ762" s="347"/>
      <c r="AK762" s="347"/>
      <c r="AL762" s="347"/>
      <c r="AM762" s="347"/>
      <c r="AN762" s="347"/>
      <c r="AO762" s="347"/>
      <c r="AP762" s="347"/>
      <c r="AQ762" s="347"/>
      <c r="AR762" s="347"/>
      <c r="AS762" s="347"/>
      <c r="AT762" s="347"/>
      <c r="AU762" s="347"/>
      <c r="AV762" s="347"/>
      <c r="AW762" s="347"/>
      <c r="AX762" s="347"/>
      <c r="AY762" s="347"/>
      <c r="AZ762" s="347"/>
      <c r="BA762" s="347"/>
      <c r="BB762" s="347"/>
      <c r="BC762" s="347"/>
      <c r="BD762" s="347"/>
      <c r="BE762" s="347"/>
      <c r="BF762" s="347"/>
      <c r="BG762" s="347"/>
      <c r="BH762" s="347"/>
    </row>
    <row r="763">
      <c r="A763" s="347"/>
      <c r="B763" s="347"/>
      <c r="C763" s="347"/>
      <c r="D763" s="347"/>
      <c r="E763" s="347"/>
      <c r="F763" s="347"/>
      <c r="G763" s="347"/>
      <c r="H763" s="347"/>
      <c r="I763" s="347"/>
      <c r="J763" s="347"/>
      <c r="K763" s="348"/>
      <c r="L763" s="348"/>
      <c r="M763" s="348"/>
      <c r="N763" s="348"/>
      <c r="O763" s="348"/>
      <c r="P763" s="347"/>
      <c r="Q763" s="347"/>
      <c r="R763" s="347"/>
      <c r="S763" s="347"/>
      <c r="T763" s="347"/>
      <c r="U763" s="347"/>
      <c r="V763" s="347"/>
      <c r="W763" s="347"/>
      <c r="X763" s="347"/>
      <c r="Y763" s="347"/>
      <c r="Z763" s="347"/>
      <c r="AA763" s="604"/>
      <c r="AB763" s="347"/>
      <c r="AC763" s="590"/>
      <c r="AD763" s="347"/>
      <c r="AE763" s="347"/>
      <c r="AF763" s="347"/>
      <c r="AG763" s="347"/>
      <c r="AH763" s="347"/>
      <c r="AI763" s="347"/>
      <c r="AJ763" s="347"/>
      <c r="AK763" s="347"/>
      <c r="AL763" s="347"/>
      <c r="AM763" s="347"/>
      <c r="AN763" s="347"/>
      <c r="AO763" s="347"/>
      <c r="AP763" s="347"/>
      <c r="AQ763" s="347"/>
      <c r="AR763" s="347"/>
      <c r="AS763" s="347"/>
      <c r="AT763" s="347"/>
      <c r="AU763" s="347"/>
      <c r="AV763" s="347"/>
      <c r="AW763" s="347"/>
      <c r="AX763" s="347"/>
      <c r="AY763" s="347"/>
      <c r="AZ763" s="347"/>
      <c r="BA763" s="347"/>
      <c r="BB763" s="347"/>
      <c r="BC763" s="347"/>
      <c r="BD763" s="347"/>
      <c r="BE763" s="347"/>
      <c r="BF763" s="347"/>
      <c r="BG763" s="347"/>
      <c r="BH763" s="347"/>
    </row>
    <row r="764">
      <c r="A764" s="347"/>
      <c r="B764" s="347"/>
      <c r="C764" s="347"/>
      <c r="D764" s="347"/>
      <c r="E764" s="347"/>
      <c r="F764" s="347"/>
      <c r="G764" s="347"/>
      <c r="H764" s="347"/>
      <c r="I764" s="347"/>
      <c r="J764" s="347"/>
      <c r="K764" s="348"/>
      <c r="L764" s="348"/>
      <c r="M764" s="348"/>
      <c r="N764" s="348"/>
      <c r="O764" s="348"/>
      <c r="P764" s="347"/>
      <c r="Q764" s="347"/>
      <c r="R764" s="347"/>
      <c r="S764" s="347"/>
      <c r="T764" s="347"/>
      <c r="U764" s="347"/>
      <c r="V764" s="347"/>
      <c r="W764" s="347"/>
      <c r="X764" s="347"/>
      <c r="Y764" s="347"/>
      <c r="Z764" s="347"/>
      <c r="AA764" s="604"/>
      <c r="AB764" s="347"/>
      <c r="AC764" s="590"/>
      <c r="AD764" s="347"/>
      <c r="AE764" s="347"/>
      <c r="AF764" s="347"/>
      <c r="AG764" s="347"/>
      <c r="AH764" s="347"/>
      <c r="AI764" s="347"/>
      <c r="AJ764" s="347"/>
      <c r="AK764" s="347"/>
      <c r="AL764" s="347"/>
      <c r="AM764" s="347"/>
      <c r="AN764" s="347"/>
      <c r="AO764" s="347"/>
      <c r="AP764" s="347"/>
      <c r="AQ764" s="347"/>
      <c r="AR764" s="347"/>
      <c r="AS764" s="347"/>
      <c r="AT764" s="347"/>
      <c r="AU764" s="347"/>
      <c r="AV764" s="347"/>
      <c r="AW764" s="347"/>
      <c r="AX764" s="347"/>
      <c r="AY764" s="347"/>
      <c r="AZ764" s="347"/>
      <c r="BA764" s="347"/>
      <c r="BB764" s="347"/>
      <c r="BC764" s="347"/>
      <c r="BD764" s="347"/>
      <c r="BE764" s="347"/>
      <c r="BF764" s="347"/>
      <c r="BG764" s="347"/>
      <c r="BH764" s="347"/>
    </row>
    <row r="765">
      <c r="A765" s="347"/>
      <c r="B765" s="347"/>
      <c r="C765" s="347"/>
      <c r="D765" s="347"/>
      <c r="E765" s="347"/>
      <c r="F765" s="347"/>
      <c r="G765" s="347"/>
      <c r="H765" s="347"/>
      <c r="I765" s="347"/>
      <c r="J765" s="347"/>
      <c r="K765" s="348"/>
      <c r="L765" s="348"/>
      <c r="M765" s="348"/>
      <c r="N765" s="348"/>
      <c r="O765" s="348"/>
      <c r="P765" s="347"/>
      <c r="Q765" s="347"/>
      <c r="R765" s="347"/>
      <c r="S765" s="347"/>
      <c r="T765" s="347"/>
      <c r="U765" s="347"/>
      <c r="V765" s="347"/>
      <c r="W765" s="347"/>
      <c r="X765" s="347"/>
      <c r="Y765" s="347"/>
      <c r="Z765" s="347"/>
      <c r="AA765" s="604"/>
      <c r="AB765" s="347"/>
      <c r="AC765" s="590"/>
      <c r="AD765" s="347"/>
      <c r="AE765" s="347"/>
      <c r="AF765" s="347"/>
      <c r="AG765" s="347"/>
      <c r="AH765" s="347"/>
      <c r="AI765" s="347"/>
      <c r="AJ765" s="347"/>
      <c r="AK765" s="347"/>
      <c r="AL765" s="347"/>
      <c r="AM765" s="347"/>
      <c r="AN765" s="347"/>
      <c r="AO765" s="347"/>
      <c r="AP765" s="347"/>
      <c r="AQ765" s="347"/>
      <c r="AR765" s="347"/>
      <c r="AS765" s="347"/>
      <c r="AT765" s="347"/>
      <c r="AU765" s="347"/>
      <c r="AV765" s="347"/>
      <c r="AW765" s="347"/>
      <c r="AX765" s="347"/>
      <c r="AY765" s="347"/>
      <c r="AZ765" s="347"/>
      <c r="BA765" s="347"/>
      <c r="BB765" s="347"/>
      <c r="BC765" s="347"/>
      <c r="BD765" s="347"/>
      <c r="BE765" s="347"/>
      <c r="BF765" s="347"/>
      <c r="BG765" s="347"/>
      <c r="BH765" s="347"/>
    </row>
    <row r="766">
      <c r="A766" s="347"/>
      <c r="B766" s="347"/>
      <c r="C766" s="347"/>
      <c r="D766" s="347"/>
      <c r="E766" s="347"/>
      <c r="F766" s="347"/>
      <c r="G766" s="347"/>
      <c r="H766" s="347"/>
      <c r="I766" s="347"/>
      <c r="J766" s="347"/>
      <c r="K766" s="348"/>
      <c r="L766" s="348"/>
      <c r="M766" s="348"/>
      <c r="N766" s="348"/>
      <c r="O766" s="348"/>
      <c r="P766" s="347"/>
      <c r="Q766" s="347"/>
      <c r="R766" s="347"/>
      <c r="S766" s="347"/>
      <c r="T766" s="347"/>
      <c r="U766" s="347"/>
      <c r="V766" s="347"/>
      <c r="W766" s="347"/>
      <c r="X766" s="347"/>
      <c r="Y766" s="347"/>
      <c r="Z766" s="347"/>
      <c r="AA766" s="604"/>
      <c r="AB766" s="347"/>
      <c r="AC766" s="590"/>
      <c r="AD766" s="347"/>
      <c r="AE766" s="347"/>
      <c r="AF766" s="347"/>
      <c r="AG766" s="347"/>
      <c r="AH766" s="347"/>
      <c r="AI766" s="347"/>
      <c r="AJ766" s="347"/>
      <c r="AK766" s="347"/>
      <c r="AL766" s="347"/>
      <c r="AM766" s="347"/>
      <c r="AN766" s="347"/>
      <c r="AO766" s="347"/>
      <c r="AP766" s="347"/>
      <c r="AQ766" s="347"/>
      <c r="AR766" s="347"/>
      <c r="AS766" s="347"/>
      <c r="AT766" s="347"/>
      <c r="AU766" s="347"/>
      <c r="AV766" s="347"/>
      <c r="AW766" s="347"/>
      <c r="AX766" s="347"/>
      <c r="AY766" s="347"/>
      <c r="AZ766" s="347"/>
      <c r="BA766" s="347"/>
      <c r="BB766" s="347"/>
      <c r="BC766" s="347"/>
      <c r="BD766" s="347"/>
      <c r="BE766" s="347"/>
      <c r="BF766" s="347"/>
      <c r="BG766" s="347"/>
      <c r="BH766" s="347"/>
    </row>
    <row r="767">
      <c r="A767" s="347"/>
      <c r="B767" s="347"/>
      <c r="C767" s="347"/>
      <c r="D767" s="347"/>
      <c r="E767" s="347"/>
      <c r="F767" s="347"/>
      <c r="G767" s="347"/>
      <c r="H767" s="347"/>
      <c r="I767" s="347"/>
      <c r="J767" s="347"/>
      <c r="K767" s="348"/>
      <c r="L767" s="348"/>
      <c r="M767" s="348"/>
      <c r="N767" s="348"/>
      <c r="O767" s="348"/>
      <c r="P767" s="347"/>
      <c r="Q767" s="347"/>
      <c r="R767" s="347"/>
      <c r="S767" s="347"/>
      <c r="T767" s="347"/>
      <c r="U767" s="347"/>
      <c r="V767" s="347"/>
      <c r="W767" s="347"/>
      <c r="X767" s="347"/>
      <c r="Y767" s="347"/>
      <c r="Z767" s="347"/>
      <c r="AA767" s="604"/>
      <c r="AB767" s="347"/>
      <c r="AC767" s="590"/>
      <c r="AD767" s="347"/>
      <c r="AE767" s="347"/>
      <c r="AF767" s="347"/>
      <c r="AG767" s="347"/>
      <c r="AH767" s="347"/>
      <c r="AI767" s="347"/>
      <c r="AJ767" s="347"/>
      <c r="AK767" s="347"/>
      <c r="AL767" s="347"/>
      <c r="AM767" s="347"/>
      <c r="AN767" s="347"/>
      <c r="AO767" s="347"/>
      <c r="AP767" s="347"/>
      <c r="AQ767" s="347"/>
      <c r="AR767" s="347"/>
      <c r="AS767" s="347"/>
      <c r="AT767" s="347"/>
      <c r="AU767" s="347"/>
      <c r="AV767" s="347"/>
      <c r="AW767" s="347"/>
      <c r="AX767" s="347"/>
      <c r="AY767" s="347"/>
      <c r="AZ767" s="347"/>
      <c r="BA767" s="347"/>
      <c r="BB767" s="347"/>
      <c r="BC767" s="347"/>
      <c r="BD767" s="347"/>
      <c r="BE767" s="347"/>
      <c r="BF767" s="347"/>
      <c r="BG767" s="347"/>
      <c r="BH767" s="347"/>
    </row>
    <row r="768">
      <c r="A768" s="347"/>
      <c r="B768" s="347"/>
      <c r="C768" s="347"/>
      <c r="D768" s="347"/>
      <c r="E768" s="347"/>
      <c r="F768" s="347"/>
      <c r="G768" s="347"/>
      <c r="H768" s="347"/>
      <c r="I768" s="347"/>
      <c r="J768" s="347"/>
      <c r="K768" s="348"/>
      <c r="L768" s="348"/>
      <c r="M768" s="348"/>
      <c r="N768" s="348"/>
      <c r="O768" s="348"/>
      <c r="P768" s="347"/>
      <c r="Q768" s="347"/>
      <c r="R768" s="347"/>
      <c r="S768" s="347"/>
      <c r="T768" s="347"/>
      <c r="U768" s="347"/>
      <c r="V768" s="347"/>
      <c r="W768" s="347"/>
      <c r="X768" s="347"/>
      <c r="Y768" s="347"/>
      <c r="Z768" s="347"/>
      <c r="AA768" s="604"/>
      <c r="AB768" s="347"/>
      <c r="AC768" s="590"/>
      <c r="AD768" s="347"/>
      <c r="AE768" s="347"/>
      <c r="AF768" s="347"/>
      <c r="AG768" s="347"/>
      <c r="AH768" s="347"/>
      <c r="AI768" s="347"/>
      <c r="AJ768" s="347"/>
      <c r="AK768" s="347"/>
      <c r="AL768" s="347"/>
      <c r="AM768" s="347"/>
      <c r="AN768" s="347"/>
      <c r="AO768" s="347"/>
      <c r="AP768" s="347"/>
      <c r="AQ768" s="347"/>
      <c r="AR768" s="347"/>
      <c r="AS768" s="347"/>
      <c r="AT768" s="347"/>
      <c r="AU768" s="347"/>
      <c r="AV768" s="347"/>
      <c r="AW768" s="347"/>
      <c r="AX768" s="347"/>
      <c r="AY768" s="347"/>
      <c r="AZ768" s="347"/>
      <c r="BA768" s="347"/>
      <c r="BB768" s="347"/>
      <c r="BC768" s="347"/>
      <c r="BD768" s="347"/>
      <c r="BE768" s="347"/>
      <c r="BF768" s="347"/>
      <c r="BG768" s="347"/>
      <c r="BH768" s="347"/>
    </row>
    <row r="769">
      <c r="A769" s="347"/>
      <c r="B769" s="347"/>
      <c r="C769" s="347"/>
      <c r="D769" s="347"/>
      <c r="E769" s="347"/>
      <c r="F769" s="347"/>
      <c r="G769" s="347"/>
      <c r="H769" s="347"/>
      <c r="I769" s="347"/>
      <c r="J769" s="347"/>
      <c r="K769" s="348"/>
      <c r="L769" s="348"/>
      <c r="M769" s="348"/>
      <c r="N769" s="348"/>
      <c r="O769" s="348"/>
      <c r="P769" s="347"/>
      <c r="Q769" s="347"/>
      <c r="R769" s="347"/>
      <c r="S769" s="347"/>
      <c r="T769" s="347"/>
      <c r="U769" s="347"/>
      <c r="V769" s="347"/>
      <c r="W769" s="347"/>
      <c r="X769" s="347"/>
      <c r="Y769" s="347"/>
      <c r="Z769" s="347"/>
      <c r="AA769" s="604"/>
      <c r="AB769" s="347"/>
      <c r="AC769" s="590"/>
      <c r="AD769" s="347"/>
      <c r="AE769" s="347"/>
      <c r="AF769" s="347"/>
      <c r="AG769" s="347"/>
      <c r="AH769" s="347"/>
      <c r="AI769" s="347"/>
      <c r="AJ769" s="347"/>
      <c r="AK769" s="347"/>
      <c r="AL769" s="347"/>
      <c r="AM769" s="347"/>
      <c r="AN769" s="347"/>
      <c r="AO769" s="347"/>
      <c r="AP769" s="347"/>
      <c r="AQ769" s="347"/>
      <c r="AR769" s="347"/>
      <c r="AS769" s="347"/>
      <c r="AT769" s="347"/>
      <c r="AU769" s="347"/>
      <c r="AV769" s="347"/>
      <c r="AW769" s="347"/>
      <c r="AX769" s="347"/>
      <c r="AY769" s="347"/>
      <c r="AZ769" s="347"/>
      <c r="BA769" s="347"/>
      <c r="BB769" s="347"/>
      <c r="BC769" s="347"/>
      <c r="BD769" s="347"/>
      <c r="BE769" s="347"/>
      <c r="BF769" s="347"/>
      <c r="BG769" s="347"/>
      <c r="BH769" s="347"/>
    </row>
    <row r="770">
      <c r="A770" s="347"/>
      <c r="B770" s="347"/>
      <c r="C770" s="347"/>
      <c r="D770" s="347"/>
      <c r="E770" s="347"/>
      <c r="F770" s="347"/>
      <c r="G770" s="347"/>
      <c r="H770" s="347"/>
      <c r="I770" s="347"/>
      <c r="J770" s="347"/>
      <c r="K770" s="348"/>
      <c r="L770" s="348"/>
      <c r="M770" s="348"/>
      <c r="N770" s="348"/>
      <c r="O770" s="348"/>
      <c r="P770" s="347"/>
      <c r="Q770" s="347"/>
      <c r="R770" s="347"/>
      <c r="S770" s="347"/>
      <c r="T770" s="347"/>
      <c r="U770" s="347"/>
      <c r="V770" s="347"/>
      <c r="W770" s="347"/>
      <c r="X770" s="347"/>
      <c r="Y770" s="347"/>
      <c r="Z770" s="347"/>
      <c r="AA770" s="604"/>
      <c r="AB770" s="347"/>
      <c r="AC770" s="590"/>
      <c r="AD770" s="347"/>
      <c r="AE770" s="347"/>
      <c r="AF770" s="347"/>
      <c r="AG770" s="347"/>
      <c r="AH770" s="347"/>
      <c r="AI770" s="347"/>
      <c r="AJ770" s="347"/>
      <c r="AK770" s="347"/>
      <c r="AL770" s="347"/>
      <c r="AM770" s="347"/>
      <c r="AN770" s="347"/>
      <c r="AO770" s="347"/>
      <c r="AP770" s="347"/>
      <c r="AQ770" s="347"/>
      <c r="AR770" s="347"/>
      <c r="AS770" s="347"/>
      <c r="AT770" s="347"/>
      <c r="AU770" s="347"/>
      <c r="AV770" s="347"/>
      <c r="AW770" s="347"/>
      <c r="AX770" s="347"/>
      <c r="AY770" s="347"/>
      <c r="AZ770" s="347"/>
      <c r="BA770" s="347"/>
      <c r="BB770" s="347"/>
      <c r="BC770" s="347"/>
      <c r="BD770" s="347"/>
      <c r="BE770" s="347"/>
      <c r="BF770" s="347"/>
      <c r="BG770" s="347"/>
      <c r="BH770" s="347"/>
    </row>
    <row r="771">
      <c r="A771" s="347"/>
      <c r="B771" s="347"/>
      <c r="C771" s="347"/>
      <c r="D771" s="347"/>
      <c r="E771" s="347"/>
      <c r="F771" s="347"/>
      <c r="G771" s="347"/>
      <c r="H771" s="347"/>
      <c r="I771" s="347"/>
      <c r="J771" s="347"/>
      <c r="K771" s="348"/>
      <c r="L771" s="348"/>
      <c r="M771" s="348"/>
      <c r="N771" s="348"/>
      <c r="O771" s="348"/>
      <c r="P771" s="347"/>
      <c r="Q771" s="347"/>
      <c r="R771" s="347"/>
      <c r="S771" s="347"/>
      <c r="T771" s="347"/>
      <c r="U771" s="347"/>
      <c r="V771" s="347"/>
      <c r="W771" s="347"/>
      <c r="X771" s="347"/>
      <c r="Y771" s="347"/>
      <c r="Z771" s="347"/>
      <c r="AA771" s="604"/>
      <c r="AB771" s="347"/>
      <c r="AC771" s="590"/>
      <c r="AD771" s="347"/>
      <c r="AE771" s="347"/>
      <c r="AF771" s="347"/>
      <c r="AG771" s="347"/>
      <c r="AH771" s="347"/>
      <c r="AI771" s="347"/>
      <c r="AJ771" s="347"/>
      <c r="AK771" s="347"/>
      <c r="AL771" s="347"/>
      <c r="AM771" s="347"/>
      <c r="AN771" s="347"/>
      <c r="AO771" s="347"/>
      <c r="AP771" s="347"/>
      <c r="AQ771" s="347"/>
      <c r="AR771" s="347"/>
      <c r="AS771" s="347"/>
      <c r="AT771" s="347"/>
      <c r="AU771" s="347"/>
      <c r="AV771" s="347"/>
      <c r="AW771" s="347"/>
      <c r="AX771" s="347"/>
      <c r="AY771" s="347"/>
      <c r="AZ771" s="347"/>
      <c r="BA771" s="347"/>
      <c r="BB771" s="347"/>
      <c r="BC771" s="347"/>
      <c r="BD771" s="347"/>
      <c r="BE771" s="347"/>
      <c r="BF771" s="347"/>
      <c r="BG771" s="347"/>
      <c r="BH771" s="347"/>
    </row>
    <row r="772">
      <c r="A772" s="347"/>
      <c r="B772" s="347"/>
      <c r="C772" s="347"/>
      <c r="D772" s="347"/>
      <c r="E772" s="347"/>
      <c r="F772" s="347"/>
      <c r="G772" s="347"/>
      <c r="H772" s="347"/>
      <c r="I772" s="347"/>
      <c r="J772" s="347"/>
      <c r="K772" s="348"/>
      <c r="L772" s="348"/>
      <c r="M772" s="348"/>
      <c r="N772" s="348"/>
      <c r="O772" s="348"/>
      <c r="P772" s="347"/>
      <c r="Q772" s="347"/>
      <c r="R772" s="347"/>
      <c r="S772" s="347"/>
      <c r="T772" s="347"/>
      <c r="U772" s="347"/>
      <c r="V772" s="347"/>
      <c r="W772" s="347"/>
      <c r="X772" s="347"/>
      <c r="Y772" s="347"/>
      <c r="Z772" s="347"/>
      <c r="AA772" s="604"/>
      <c r="AB772" s="347"/>
      <c r="AC772" s="590"/>
      <c r="AD772" s="347"/>
      <c r="AE772" s="347"/>
      <c r="AF772" s="347"/>
      <c r="AG772" s="347"/>
      <c r="AH772" s="347"/>
      <c r="AI772" s="347"/>
      <c r="AJ772" s="347"/>
      <c r="AK772" s="347"/>
      <c r="AL772" s="347"/>
      <c r="AM772" s="347"/>
      <c r="AN772" s="347"/>
      <c r="AO772" s="347"/>
      <c r="AP772" s="347"/>
      <c r="AQ772" s="347"/>
      <c r="AR772" s="347"/>
      <c r="AS772" s="347"/>
      <c r="AT772" s="347"/>
      <c r="AU772" s="347"/>
      <c r="AV772" s="347"/>
      <c r="AW772" s="347"/>
      <c r="AX772" s="347"/>
      <c r="AY772" s="347"/>
      <c r="AZ772" s="347"/>
      <c r="BA772" s="347"/>
      <c r="BB772" s="347"/>
      <c r="BC772" s="347"/>
      <c r="BD772" s="347"/>
      <c r="BE772" s="347"/>
      <c r="BF772" s="347"/>
      <c r="BG772" s="347"/>
      <c r="BH772" s="347"/>
    </row>
    <row r="773">
      <c r="A773" s="347"/>
      <c r="B773" s="347"/>
      <c r="C773" s="347"/>
      <c r="D773" s="347"/>
      <c r="E773" s="347"/>
      <c r="F773" s="347"/>
      <c r="G773" s="347"/>
      <c r="H773" s="347"/>
      <c r="I773" s="347"/>
      <c r="J773" s="347"/>
      <c r="K773" s="348"/>
      <c r="L773" s="348"/>
      <c r="M773" s="348"/>
      <c r="N773" s="348"/>
      <c r="O773" s="348"/>
      <c r="P773" s="347"/>
      <c r="Q773" s="347"/>
      <c r="R773" s="347"/>
      <c r="S773" s="347"/>
      <c r="T773" s="347"/>
      <c r="U773" s="347"/>
      <c r="V773" s="347"/>
      <c r="W773" s="347"/>
      <c r="X773" s="347"/>
      <c r="Y773" s="347"/>
      <c r="Z773" s="347"/>
      <c r="AA773" s="604"/>
      <c r="AB773" s="347"/>
      <c r="AC773" s="590"/>
      <c r="AD773" s="347"/>
      <c r="AE773" s="347"/>
      <c r="AF773" s="347"/>
      <c r="AG773" s="347"/>
      <c r="AH773" s="347"/>
      <c r="AI773" s="347"/>
      <c r="AJ773" s="347"/>
      <c r="AK773" s="347"/>
      <c r="AL773" s="347"/>
      <c r="AM773" s="347"/>
      <c r="AN773" s="347"/>
      <c r="AO773" s="347"/>
      <c r="AP773" s="347"/>
      <c r="AQ773" s="347"/>
      <c r="AR773" s="347"/>
      <c r="AS773" s="347"/>
      <c r="AT773" s="347"/>
      <c r="AU773" s="347"/>
      <c r="AV773" s="347"/>
      <c r="AW773" s="347"/>
      <c r="AX773" s="347"/>
      <c r="AY773" s="347"/>
      <c r="AZ773" s="347"/>
      <c r="BA773" s="347"/>
      <c r="BB773" s="347"/>
      <c r="BC773" s="347"/>
      <c r="BD773" s="347"/>
      <c r="BE773" s="347"/>
      <c r="BF773" s="347"/>
      <c r="BG773" s="347"/>
      <c r="BH773" s="347"/>
    </row>
    <row r="774">
      <c r="A774" s="347"/>
      <c r="B774" s="347"/>
      <c r="C774" s="347"/>
      <c r="D774" s="347"/>
      <c r="E774" s="347"/>
      <c r="F774" s="347"/>
      <c r="G774" s="347"/>
      <c r="H774" s="347"/>
      <c r="I774" s="347"/>
      <c r="J774" s="347"/>
      <c r="K774" s="348"/>
      <c r="L774" s="348"/>
      <c r="M774" s="348"/>
      <c r="N774" s="348"/>
      <c r="O774" s="348"/>
      <c r="P774" s="347"/>
      <c r="Q774" s="347"/>
      <c r="R774" s="347"/>
      <c r="S774" s="347"/>
      <c r="T774" s="347"/>
      <c r="U774" s="347"/>
      <c r="V774" s="347"/>
      <c r="W774" s="347"/>
      <c r="X774" s="347"/>
      <c r="Y774" s="347"/>
      <c r="Z774" s="347"/>
      <c r="AA774" s="604"/>
      <c r="AB774" s="347"/>
      <c r="AC774" s="590"/>
      <c r="AD774" s="347"/>
      <c r="AE774" s="347"/>
      <c r="AF774" s="347"/>
      <c r="AG774" s="347"/>
      <c r="AH774" s="347"/>
      <c r="AI774" s="347"/>
      <c r="AJ774" s="347"/>
      <c r="AK774" s="347"/>
      <c r="AL774" s="347"/>
      <c r="AM774" s="347"/>
      <c r="AN774" s="347"/>
      <c r="AO774" s="347"/>
      <c r="AP774" s="347"/>
      <c r="AQ774" s="347"/>
      <c r="AR774" s="347"/>
      <c r="AS774" s="347"/>
      <c r="AT774" s="347"/>
      <c r="AU774" s="347"/>
      <c r="AV774" s="347"/>
      <c r="AW774" s="347"/>
      <c r="AX774" s="347"/>
      <c r="AY774" s="347"/>
      <c r="AZ774" s="347"/>
      <c r="BA774" s="347"/>
      <c r="BB774" s="347"/>
      <c r="BC774" s="347"/>
      <c r="BD774" s="347"/>
      <c r="BE774" s="347"/>
      <c r="BF774" s="347"/>
      <c r="BG774" s="347"/>
      <c r="BH774" s="347"/>
    </row>
    <row r="775">
      <c r="A775" s="347"/>
      <c r="B775" s="347"/>
      <c r="C775" s="347"/>
      <c r="D775" s="347"/>
      <c r="E775" s="347"/>
      <c r="F775" s="347"/>
      <c r="G775" s="347"/>
      <c r="H775" s="347"/>
      <c r="I775" s="347"/>
      <c r="J775" s="347"/>
      <c r="K775" s="348"/>
      <c r="L775" s="348"/>
      <c r="M775" s="348"/>
      <c r="N775" s="348"/>
      <c r="O775" s="348"/>
      <c r="P775" s="347"/>
      <c r="Q775" s="347"/>
      <c r="R775" s="347"/>
      <c r="S775" s="347"/>
      <c r="T775" s="347"/>
      <c r="U775" s="347"/>
      <c r="V775" s="347"/>
      <c r="W775" s="347"/>
      <c r="X775" s="347"/>
      <c r="Y775" s="347"/>
      <c r="Z775" s="347"/>
      <c r="AA775" s="604"/>
      <c r="AB775" s="347"/>
      <c r="AC775" s="590"/>
      <c r="AD775" s="347"/>
      <c r="AE775" s="347"/>
      <c r="AF775" s="347"/>
      <c r="AG775" s="347"/>
      <c r="AH775" s="347"/>
      <c r="AI775" s="347"/>
      <c r="AJ775" s="347"/>
      <c r="AK775" s="347"/>
      <c r="AL775" s="347"/>
      <c r="AM775" s="347"/>
      <c r="AN775" s="347"/>
      <c r="AO775" s="347"/>
      <c r="AP775" s="347"/>
      <c r="AQ775" s="347"/>
      <c r="AR775" s="347"/>
      <c r="AS775" s="347"/>
      <c r="AT775" s="347"/>
      <c r="AU775" s="347"/>
      <c r="AV775" s="347"/>
      <c r="AW775" s="347"/>
      <c r="AX775" s="347"/>
      <c r="AY775" s="347"/>
      <c r="AZ775" s="347"/>
      <c r="BA775" s="347"/>
      <c r="BB775" s="347"/>
      <c r="BC775" s="347"/>
      <c r="BD775" s="347"/>
      <c r="BE775" s="347"/>
      <c r="BF775" s="347"/>
      <c r="BG775" s="347"/>
      <c r="BH775" s="347"/>
    </row>
    <row r="776">
      <c r="A776" s="347"/>
      <c r="B776" s="347"/>
      <c r="C776" s="347"/>
      <c r="D776" s="347"/>
      <c r="E776" s="347"/>
      <c r="F776" s="347"/>
      <c r="G776" s="347"/>
      <c r="H776" s="347"/>
      <c r="I776" s="347"/>
      <c r="J776" s="347"/>
      <c r="K776" s="348"/>
      <c r="L776" s="348"/>
      <c r="M776" s="348"/>
      <c r="N776" s="348"/>
      <c r="O776" s="348"/>
      <c r="P776" s="347"/>
      <c r="Q776" s="347"/>
      <c r="R776" s="347"/>
      <c r="S776" s="347"/>
      <c r="T776" s="347"/>
      <c r="U776" s="347"/>
      <c r="V776" s="347"/>
      <c r="W776" s="347"/>
      <c r="X776" s="347"/>
      <c r="Y776" s="347"/>
      <c r="Z776" s="347"/>
      <c r="AA776" s="604"/>
      <c r="AB776" s="347"/>
      <c r="AC776" s="590"/>
      <c r="AD776" s="347"/>
      <c r="AE776" s="347"/>
      <c r="AF776" s="347"/>
      <c r="AG776" s="347"/>
      <c r="AH776" s="347"/>
      <c r="AI776" s="347"/>
      <c r="AJ776" s="347"/>
      <c r="AK776" s="347"/>
      <c r="AL776" s="347"/>
      <c r="AM776" s="347"/>
      <c r="AN776" s="347"/>
      <c r="AO776" s="347"/>
      <c r="AP776" s="347"/>
      <c r="AQ776" s="347"/>
      <c r="AR776" s="347"/>
      <c r="AS776" s="347"/>
      <c r="AT776" s="347"/>
      <c r="AU776" s="347"/>
      <c r="AV776" s="347"/>
      <c r="AW776" s="347"/>
      <c r="AX776" s="347"/>
      <c r="AY776" s="347"/>
      <c r="AZ776" s="347"/>
      <c r="BA776" s="347"/>
      <c r="BB776" s="347"/>
      <c r="BC776" s="347"/>
      <c r="BD776" s="347"/>
      <c r="BE776" s="347"/>
      <c r="BF776" s="347"/>
      <c r="BG776" s="347"/>
      <c r="BH776" s="347"/>
    </row>
    <row r="777">
      <c r="A777" s="347"/>
      <c r="B777" s="347"/>
      <c r="C777" s="347"/>
      <c r="D777" s="347"/>
      <c r="E777" s="347"/>
      <c r="F777" s="347"/>
      <c r="G777" s="347"/>
      <c r="H777" s="347"/>
      <c r="I777" s="347"/>
      <c r="J777" s="347"/>
      <c r="K777" s="348"/>
      <c r="L777" s="348"/>
      <c r="M777" s="348"/>
      <c r="N777" s="348"/>
      <c r="O777" s="348"/>
      <c r="P777" s="347"/>
      <c r="Q777" s="347"/>
      <c r="R777" s="347"/>
      <c r="S777" s="347"/>
      <c r="T777" s="347"/>
      <c r="U777" s="347"/>
      <c r="V777" s="347"/>
      <c r="W777" s="347"/>
      <c r="X777" s="347"/>
      <c r="Y777" s="347"/>
      <c r="Z777" s="347"/>
      <c r="AA777" s="604"/>
      <c r="AB777" s="347"/>
      <c r="AC777" s="590"/>
      <c r="AD777" s="347"/>
      <c r="AE777" s="347"/>
      <c r="AF777" s="347"/>
      <c r="AG777" s="347"/>
      <c r="AH777" s="347"/>
      <c r="AI777" s="347"/>
      <c r="AJ777" s="347"/>
      <c r="AK777" s="347"/>
      <c r="AL777" s="347"/>
      <c r="AM777" s="347"/>
      <c r="AN777" s="347"/>
      <c r="AO777" s="347"/>
      <c r="AP777" s="347"/>
      <c r="AQ777" s="347"/>
      <c r="AR777" s="347"/>
      <c r="AS777" s="347"/>
      <c r="AT777" s="347"/>
      <c r="AU777" s="347"/>
      <c r="AV777" s="347"/>
      <c r="AW777" s="347"/>
      <c r="AX777" s="347"/>
      <c r="AY777" s="347"/>
      <c r="AZ777" s="347"/>
      <c r="BA777" s="347"/>
      <c r="BB777" s="347"/>
      <c r="BC777" s="347"/>
      <c r="BD777" s="347"/>
      <c r="BE777" s="347"/>
      <c r="BF777" s="347"/>
      <c r="BG777" s="347"/>
      <c r="BH777" s="347"/>
    </row>
    <row r="778">
      <c r="A778" s="347"/>
      <c r="B778" s="347"/>
      <c r="C778" s="347"/>
      <c r="D778" s="347"/>
      <c r="E778" s="347"/>
      <c r="F778" s="347"/>
      <c r="G778" s="347"/>
      <c r="H778" s="347"/>
      <c r="I778" s="347"/>
      <c r="J778" s="347"/>
      <c r="K778" s="348"/>
      <c r="L778" s="348"/>
      <c r="M778" s="348"/>
      <c r="N778" s="348"/>
      <c r="O778" s="348"/>
      <c r="P778" s="347"/>
      <c r="Q778" s="347"/>
      <c r="R778" s="347"/>
      <c r="S778" s="347"/>
      <c r="T778" s="347"/>
      <c r="U778" s="347"/>
      <c r="V778" s="347"/>
      <c r="W778" s="347"/>
      <c r="X778" s="347"/>
      <c r="Y778" s="347"/>
      <c r="Z778" s="347"/>
      <c r="AA778" s="604"/>
      <c r="AB778" s="347"/>
      <c r="AC778" s="590"/>
      <c r="AD778" s="347"/>
      <c r="AE778" s="347"/>
      <c r="AF778" s="347"/>
      <c r="AG778" s="347"/>
      <c r="AH778" s="347"/>
      <c r="AI778" s="347"/>
      <c r="AJ778" s="347"/>
      <c r="AK778" s="347"/>
      <c r="AL778" s="347"/>
      <c r="AM778" s="347"/>
      <c r="AN778" s="347"/>
      <c r="AO778" s="347"/>
      <c r="AP778" s="347"/>
      <c r="AQ778" s="347"/>
      <c r="AR778" s="347"/>
      <c r="AS778" s="347"/>
      <c r="AT778" s="347"/>
      <c r="AU778" s="347"/>
      <c r="AV778" s="347"/>
      <c r="AW778" s="347"/>
      <c r="AX778" s="347"/>
      <c r="AY778" s="347"/>
      <c r="AZ778" s="347"/>
      <c r="BA778" s="347"/>
      <c r="BB778" s="347"/>
      <c r="BC778" s="347"/>
      <c r="BD778" s="347"/>
      <c r="BE778" s="347"/>
      <c r="BF778" s="347"/>
      <c r="BG778" s="347"/>
      <c r="BH778" s="347"/>
    </row>
    <row r="779">
      <c r="A779" s="347"/>
      <c r="B779" s="347"/>
      <c r="C779" s="347"/>
      <c r="D779" s="347"/>
      <c r="E779" s="347"/>
      <c r="F779" s="347"/>
      <c r="G779" s="347"/>
      <c r="H779" s="347"/>
      <c r="I779" s="347"/>
      <c r="J779" s="347"/>
      <c r="K779" s="348"/>
      <c r="L779" s="348"/>
      <c r="M779" s="348"/>
      <c r="N779" s="348"/>
      <c r="O779" s="348"/>
      <c r="P779" s="347"/>
      <c r="Q779" s="347"/>
      <c r="R779" s="347"/>
      <c r="S779" s="347"/>
      <c r="T779" s="347"/>
      <c r="U779" s="347"/>
      <c r="V779" s="347"/>
      <c r="W779" s="347"/>
      <c r="X779" s="347"/>
      <c r="Y779" s="347"/>
      <c r="Z779" s="347"/>
      <c r="AA779" s="604"/>
      <c r="AB779" s="347"/>
      <c r="AC779" s="590"/>
      <c r="AD779" s="347"/>
      <c r="AE779" s="347"/>
      <c r="AF779" s="347"/>
      <c r="AG779" s="347"/>
      <c r="AH779" s="347"/>
      <c r="AI779" s="347"/>
      <c r="AJ779" s="347"/>
      <c r="AK779" s="347"/>
      <c r="AL779" s="347"/>
      <c r="AM779" s="347"/>
      <c r="AN779" s="347"/>
      <c r="AO779" s="347"/>
      <c r="AP779" s="347"/>
      <c r="AQ779" s="347"/>
      <c r="AR779" s="347"/>
      <c r="AS779" s="347"/>
      <c r="AT779" s="347"/>
      <c r="AU779" s="347"/>
      <c r="AV779" s="347"/>
      <c r="AW779" s="347"/>
      <c r="AX779" s="347"/>
      <c r="AY779" s="347"/>
      <c r="AZ779" s="347"/>
      <c r="BA779" s="347"/>
      <c r="BB779" s="347"/>
      <c r="BC779" s="347"/>
      <c r="BD779" s="347"/>
      <c r="BE779" s="347"/>
      <c r="BF779" s="347"/>
      <c r="BG779" s="347"/>
      <c r="BH779" s="347"/>
    </row>
    <row r="780">
      <c r="A780" s="347"/>
      <c r="B780" s="347"/>
      <c r="C780" s="347"/>
      <c r="D780" s="347"/>
      <c r="E780" s="347"/>
      <c r="F780" s="347"/>
      <c r="G780" s="347"/>
      <c r="H780" s="347"/>
      <c r="I780" s="347"/>
      <c r="J780" s="347"/>
      <c r="K780" s="348"/>
      <c r="L780" s="348"/>
      <c r="M780" s="348"/>
      <c r="N780" s="348"/>
      <c r="O780" s="348"/>
      <c r="P780" s="347"/>
      <c r="Q780" s="347"/>
      <c r="R780" s="347"/>
      <c r="S780" s="347"/>
      <c r="T780" s="347"/>
      <c r="U780" s="347"/>
      <c r="V780" s="347"/>
      <c r="W780" s="347"/>
      <c r="X780" s="347"/>
      <c r="Y780" s="347"/>
      <c r="Z780" s="347"/>
      <c r="AA780" s="604"/>
      <c r="AB780" s="347"/>
      <c r="AC780" s="590"/>
      <c r="AD780" s="347"/>
      <c r="AE780" s="347"/>
      <c r="AF780" s="347"/>
      <c r="AG780" s="347"/>
      <c r="AH780" s="347"/>
      <c r="AI780" s="347"/>
      <c r="AJ780" s="347"/>
      <c r="AK780" s="347"/>
      <c r="AL780" s="347"/>
      <c r="AM780" s="347"/>
      <c r="AN780" s="347"/>
      <c r="AO780" s="347"/>
      <c r="AP780" s="347"/>
      <c r="AQ780" s="347"/>
      <c r="AR780" s="347"/>
      <c r="AS780" s="347"/>
      <c r="AT780" s="347"/>
      <c r="AU780" s="347"/>
      <c r="AV780" s="347"/>
      <c r="AW780" s="347"/>
      <c r="AX780" s="347"/>
      <c r="AY780" s="347"/>
      <c r="AZ780" s="347"/>
      <c r="BA780" s="347"/>
      <c r="BB780" s="347"/>
      <c r="BC780" s="347"/>
      <c r="BD780" s="347"/>
      <c r="BE780" s="347"/>
      <c r="BF780" s="347"/>
      <c r="BG780" s="347"/>
      <c r="BH780" s="347"/>
    </row>
    <row r="781">
      <c r="A781" s="347"/>
      <c r="B781" s="347"/>
      <c r="C781" s="347"/>
      <c r="D781" s="347"/>
      <c r="E781" s="347"/>
      <c r="F781" s="347"/>
      <c r="G781" s="347"/>
      <c r="H781" s="347"/>
      <c r="I781" s="347"/>
      <c r="J781" s="347"/>
      <c r="K781" s="348"/>
      <c r="L781" s="348"/>
      <c r="M781" s="348"/>
      <c r="N781" s="348"/>
      <c r="O781" s="348"/>
      <c r="P781" s="347"/>
      <c r="Q781" s="347"/>
      <c r="R781" s="347"/>
      <c r="S781" s="347"/>
      <c r="T781" s="347"/>
      <c r="U781" s="347"/>
      <c r="V781" s="347"/>
      <c r="W781" s="347"/>
      <c r="X781" s="347"/>
      <c r="Y781" s="347"/>
      <c r="Z781" s="347"/>
      <c r="AA781" s="604"/>
      <c r="AB781" s="347"/>
      <c r="AC781" s="590"/>
      <c r="AD781" s="347"/>
      <c r="AE781" s="347"/>
      <c r="AF781" s="347"/>
      <c r="AG781" s="347"/>
      <c r="AH781" s="347"/>
      <c r="AI781" s="347"/>
      <c r="AJ781" s="347"/>
      <c r="AK781" s="347"/>
      <c r="AL781" s="347"/>
      <c r="AM781" s="347"/>
      <c r="AN781" s="347"/>
      <c r="AO781" s="347"/>
      <c r="AP781" s="347"/>
      <c r="AQ781" s="347"/>
      <c r="AR781" s="347"/>
      <c r="AS781" s="347"/>
      <c r="AT781" s="347"/>
      <c r="AU781" s="347"/>
      <c r="AV781" s="347"/>
      <c r="AW781" s="347"/>
      <c r="AX781" s="347"/>
      <c r="AY781" s="347"/>
      <c r="AZ781" s="347"/>
      <c r="BA781" s="347"/>
      <c r="BB781" s="347"/>
      <c r="BC781" s="347"/>
      <c r="BD781" s="347"/>
      <c r="BE781" s="347"/>
      <c r="BF781" s="347"/>
      <c r="BG781" s="347"/>
      <c r="BH781" s="347"/>
    </row>
    <row r="782">
      <c r="A782" s="347"/>
      <c r="B782" s="347"/>
      <c r="C782" s="347"/>
      <c r="D782" s="347"/>
      <c r="E782" s="347"/>
      <c r="F782" s="347"/>
      <c r="G782" s="347"/>
      <c r="H782" s="347"/>
      <c r="I782" s="347"/>
      <c r="J782" s="347"/>
      <c r="K782" s="348"/>
      <c r="L782" s="348"/>
      <c r="M782" s="348"/>
      <c r="N782" s="348"/>
      <c r="O782" s="348"/>
      <c r="P782" s="347"/>
      <c r="Q782" s="347"/>
      <c r="R782" s="347"/>
      <c r="S782" s="347"/>
      <c r="T782" s="347"/>
      <c r="U782" s="347"/>
      <c r="V782" s="347"/>
      <c r="W782" s="347"/>
      <c r="X782" s="347"/>
      <c r="Y782" s="347"/>
      <c r="Z782" s="347"/>
      <c r="AA782" s="604"/>
      <c r="AB782" s="347"/>
      <c r="AC782" s="590"/>
      <c r="AD782" s="347"/>
      <c r="AE782" s="347"/>
      <c r="AF782" s="347"/>
      <c r="AG782" s="347"/>
      <c r="AH782" s="347"/>
      <c r="AI782" s="347"/>
      <c r="AJ782" s="347"/>
      <c r="AK782" s="347"/>
      <c r="AL782" s="347"/>
      <c r="AM782" s="347"/>
      <c r="AN782" s="347"/>
      <c r="AO782" s="347"/>
      <c r="AP782" s="347"/>
      <c r="AQ782" s="347"/>
      <c r="AR782" s="347"/>
      <c r="AS782" s="347"/>
      <c r="AT782" s="347"/>
      <c r="AU782" s="347"/>
      <c r="AV782" s="347"/>
      <c r="AW782" s="347"/>
      <c r="AX782" s="347"/>
      <c r="AY782" s="347"/>
      <c r="AZ782" s="347"/>
      <c r="BA782" s="347"/>
      <c r="BB782" s="347"/>
      <c r="BC782" s="347"/>
      <c r="BD782" s="347"/>
      <c r="BE782" s="347"/>
      <c r="BF782" s="347"/>
      <c r="BG782" s="347"/>
      <c r="BH782" s="347"/>
    </row>
    <row r="783">
      <c r="A783" s="347"/>
      <c r="B783" s="347"/>
      <c r="C783" s="347"/>
      <c r="D783" s="347"/>
      <c r="E783" s="347"/>
      <c r="F783" s="347"/>
      <c r="G783" s="347"/>
      <c r="H783" s="347"/>
      <c r="I783" s="347"/>
      <c r="J783" s="347"/>
      <c r="K783" s="348"/>
      <c r="L783" s="348"/>
      <c r="M783" s="348"/>
      <c r="N783" s="348"/>
      <c r="O783" s="348"/>
      <c r="P783" s="347"/>
      <c r="Q783" s="347"/>
      <c r="R783" s="347"/>
      <c r="S783" s="347"/>
      <c r="T783" s="347"/>
      <c r="U783" s="347"/>
      <c r="V783" s="347"/>
      <c r="W783" s="347"/>
      <c r="X783" s="347"/>
      <c r="Y783" s="347"/>
      <c r="Z783" s="347"/>
      <c r="AA783" s="604"/>
      <c r="AB783" s="347"/>
      <c r="AC783" s="590"/>
      <c r="AD783" s="347"/>
      <c r="AE783" s="347"/>
      <c r="AF783" s="347"/>
      <c r="AG783" s="347"/>
      <c r="AH783" s="347"/>
      <c r="AI783" s="347"/>
      <c r="AJ783" s="347"/>
      <c r="AK783" s="347"/>
      <c r="AL783" s="347"/>
      <c r="AM783" s="347"/>
      <c r="AN783" s="347"/>
      <c r="AO783" s="347"/>
      <c r="AP783" s="347"/>
      <c r="AQ783" s="347"/>
      <c r="AR783" s="347"/>
      <c r="AS783" s="347"/>
      <c r="AT783" s="347"/>
      <c r="AU783" s="347"/>
      <c r="AV783" s="347"/>
      <c r="AW783" s="347"/>
      <c r="AX783" s="347"/>
      <c r="AY783" s="347"/>
      <c r="AZ783" s="347"/>
      <c r="BA783" s="347"/>
      <c r="BB783" s="347"/>
      <c r="BC783" s="347"/>
      <c r="BD783" s="347"/>
      <c r="BE783" s="347"/>
      <c r="BF783" s="347"/>
      <c r="BG783" s="347"/>
      <c r="BH783" s="347"/>
    </row>
    <row r="784">
      <c r="A784" s="347"/>
      <c r="B784" s="347"/>
      <c r="C784" s="347"/>
      <c r="D784" s="347"/>
      <c r="E784" s="347"/>
      <c r="F784" s="347"/>
      <c r="G784" s="347"/>
      <c r="H784" s="347"/>
      <c r="I784" s="347"/>
      <c r="J784" s="347"/>
      <c r="K784" s="348"/>
      <c r="L784" s="348"/>
      <c r="M784" s="348"/>
      <c r="N784" s="348"/>
      <c r="O784" s="348"/>
      <c r="P784" s="347"/>
      <c r="Q784" s="347"/>
      <c r="R784" s="347"/>
      <c r="S784" s="347"/>
      <c r="T784" s="347"/>
      <c r="U784" s="347"/>
      <c r="V784" s="347"/>
      <c r="W784" s="347"/>
      <c r="X784" s="347"/>
      <c r="Y784" s="347"/>
      <c r="Z784" s="347"/>
      <c r="AA784" s="604"/>
      <c r="AB784" s="347"/>
      <c r="AC784" s="590"/>
      <c r="AD784" s="347"/>
      <c r="AE784" s="347"/>
      <c r="AF784" s="347"/>
      <c r="AG784" s="347"/>
      <c r="AH784" s="347"/>
      <c r="AI784" s="347"/>
      <c r="AJ784" s="347"/>
      <c r="AK784" s="347"/>
      <c r="AL784" s="347"/>
      <c r="AM784" s="347"/>
      <c r="AN784" s="347"/>
      <c r="AO784" s="347"/>
      <c r="AP784" s="347"/>
      <c r="AQ784" s="347"/>
      <c r="AR784" s="347"/>
      <c r="AS784" s="347"/>
      <c r="AT784" s="347"/>
      <c r="AU784" s="347"/>
      <c r="AV784" s="347"/>
      <c r="AW784" s="347"/>
      <c r="AX784" s="347"/>
      <c r="AY784" s="347"/>
      <c r="AZ784" s="347"/>
      <c r="BA784" s="347"/>
      <c r="BB784" s="347"/>
      <c r="BC784" s="347"/>
      <c r="BD784" s="347"/>
      <c r="BE784" s="347"/>
      <c r="BF784" s="347"/>
      <c r="BG784" s="347"/>
      <c r="BH784" s="347"/>
    </row>
    <row r="785">
      <c r="A785" s="347"/>
      <c r="B785" s="347"/>
      <c r="C785" s="347"/>
      <c r="D785" s="347"/>
      <c r="E785" s="347"/>
      <c r="F785" s="347"/>
      <c r="G785" s="347"/>
      <c r="H785" s="347"/>
      <c r="I785" s="347"/>
      <c r="J785" s="347"/>
      <c r="K785" s="348"/>
      <c r="L785" s="348"/>
      <c r="M785" s="348"/>
      <c r="N785" s="348"/>
      <c r="O785" s="348"/>
      <c r="P785" s="347"/>
      <c r="Q785" s="347"/>
      <c r="R785" s="347"/>
      <c r="S785" s="347"/>
      <c r="T785" s="347"/>
      <c r="U785" s="347"/>
      <c r="V785" s="347"/>
      <c r="W785" s="347"/>
      <c r="X785" s="347"/>
      <c r="Y785" s="347"/>
      <c r="Z785" s="347"/>
      <c r="AA785" s="604"/>
      <c r="AB785" s="347"/>
      <c r="AC785" s="590"/>
      <c r="AD785" s="347"/>
      <c r="AE785" s="347"/>
      <c r="AF785" s="347"/>
      <c r="AG785" s="347"/>
      <c r="AH785" s="347"/>
      <c r="AI785" s="347"/>
      <c r="AJ785" s="347"/>
      <c r="AK785" s="347"/>
      <c r="AL785" s="347"/>
      <c r="AM785" s="347"/>
      <c r="AN785" s="347"/>
      <c r="AO785" s="347"/>
      <c r="AP785" s="347"/>
      <c r="AQ785" s="347"/>
      <c r="AR785" s="347"/>
      <c r="AS785" s="347"/>
      <c r="AT785" s="347"/>
      <c r="AU785" s="347"/>
      <c r="AV785" s="347"/>
      <c r="AW785" s="347"/>
      <c r="AX785" s="347"/>
      <c r="AY785" s="347"/>
      <c r="AZ785" s="347"/>
      <c r="BA785" s="347"/>
      <c r="BB785" s="347"/>
      <c r="BC785" s="347"/>
      <c r="BD785" s="347"/>
      <c r="BE785" s="347"/>
      <c r="BF785" s="347"/>
      <c r="BG785" s="347"/>
      <c r="BH785" s="347"/>
    </row>
    <row r="786">
      <c r="A786" s="347"/>
      <c r="B786" s="347"/>
      <c r="C786" s="347"/>
      <c r="D786" s="347"/>
      <c r="E786" s="347"/>
      <c r="F786" s="347"/>
      <c r="G786" s="347"/>
      <c r="H786" s="347"/>
      <c r="I786" s="347"/>
      <c r="J786" s="347"/>
      <c r="K786" s="348"/>
      <c r="L786" s="348"/>
      <c r="M786" s="348"/>
      <c r="N786" s="348"/>
      <c r="O786" s="348"/>
      <c r="P786" s="347"/>
      <c r="Q786" s="347"/>
      <c r="R786" s="347"/>
      <c r="S786" s="347"/>
      <c r="T786" s="347"/>
      <c r="U786" s="347"/>
      <c r="V786" s="347"/>
      <c r="W786" s="347"/>
      <c r="X786" s="347"/>
      <c r="Y786" s="347"/>
      <c r="Z786" s="347"/>
      <c r="AA786" s="604"/>
      <c r="AB786" s="347"/>
      <c r="AC786" s="590"/>
      <c r="AD786" s="347"/>
      <c r="AE786" s="347"/>
      <c r="AF786" s="347"/>
      <c r="AG786" s="347"/>
      <c r="AH786" s="347"/>
      <c r="AI786" s="347"/>
      <c r="AJ786" s="347"/>
      <c r="AK786" s="347"/>
      <c r="AL786" s="347"/>
      <c r="AM786" s="347"/>
      <c r="AN786" s="347"/>
      <c r="AO786" s="347"/>
      <c r="AP786" s="347"/>
      <c r="AQ786" s="347"/>
      <c r="AR786" s="347"/>
      <c r="AS786" s="347"/>
      <c r="AT786" s="347"/>
      <c r="AU786" s="347"/>
      <c r="AV786" s="347"/>
      <c r="AW786" s="347"/>
      <c r="AX786" s="347"/>
      <c r="AY786" s="347"/>
      <c r="AZ786" s="347"/>
      <c r="BA786" s="347"/>
      <c r="BB786" s="347"/>
      <c r="BC786" s="347"/>
      <c r="BD786" s="347"/>
      <c r="BE786" s="347"/>
      <c r="BF786" s="347"/>
      <c r="BG786" s="347"/>
      <c r="BH786" s="347"/>
    </row>
    <row r="787">
      <c r="A787" s="347"/>
      <c r="B787" s="347"/>
      <c r="C787" s="347"/>
      <c r="D787" s="347"/>
      <c r="E787" s="347"/>
      <c r="F787" s="347"/>
      <c r="G787" s="347"/>
      <c r="H787" s="347"/>
      <c r="I787" s="347"/>
      <c r="J787" s="347"/>
      <c r="K787" s="348"/>
      <c r="L787" s="348"/>
      <c r="M787" s="348"/>
      <c r="N787" s="348"/>
      <c r="O787" s="348"/>
      <c r="P787" s="347"/>
      <c r="Q787" s="347"/>
      <c r="R787" s="347"/>
      <c r="S787" s="347"/>
      <c r="T787" s="347"/>
      <c r="U787" s="347"/>
      <c r="V787" s="347"/>
      <c r="W787" s="347"/>
      <c r="X787" s="347"/>
      <c r="Y787" s="347"/>
      <c r="Z787" s="347"/>
      <c r="AA787" s="604"/>
      <c r="AB787" s="347"/>
      <c r="AC787" s="590"/>
      <c r="AD787" s="347"/>
      <c r="AE787" s="347"/>
      <c r="AF787" s="347"/>
      <c r="AG787" s="347"/>
      <c r="AH787" s="347"/>
      <c r="AI787" s="347"/>
      <c r="AJ787" s="347"/>
      <c r="AK787" s="347"/>
      <c r="AL787" s="347"/>
      <c r="AM787" s="347"/>
      <c r="AN787" s="347"/>
      <c r="AO787" s="347"/>
      <c r="AP787" s="347"/>
      <c r="AQ787" s="347"/>
      <c r="AR787" s="347"/>
      <c r="AS787" s="347"/>
      <c r="AT787" s="347"/>
      <c r="AU787" s="347"/>
      <c r="AV787" s="347"/>
      <c r="AW787" s="347"/>
      <c r="AX787" s="347"/>
      <c r="AY787" s="347"/>
      <c r="AZ787" s="347"/>
      <c r="BA787" s="347"/>
      <c r="BB787" s="347"/>
      <c r="BC787" s="347"/>
      <c r="BD787" s="347"/>
      <c r="BE787" s="347"/>
      <c r="BF787" s="347"/>
      <c r="BG787" s="347"/>
      <c r="BH787" s="347"/>
    </row>
    <row r="788">
      <c r="A788" s="347"/>
      <c r="B788" s="347"/>
      <c r="C788" s="347"/>
      <c r="D788" s="347"/>
      <c r="E788" s="347"/>
      <c r="F788" s="347"/>
      <c r="G788" s="347"/>
      <c r="H788" s="347"/>
      <c r="I788" s="347"/>
      <c r="J788" s="347"/>
      <c r="K788" s="348"/>
      <c r="L788" s="348"/>
      <c r="M788" s="348"/>
      <c r="N788" s="348"/>
      <c r="O788" s="348"/>
      <c r="P788" s="347"/>
      <c r="Q788" s="347"/>
      <c r="R788" s="347"/>
      <c r="S788" s="347"/>
      <c r="T788" s="347"/>
      <c r="U788" s="347"/>
      <c r="V788" s="347"/>
      <c r="W788" s="347"/>
      <c r="X788" s="347"/>
      <c r="Y788" s="347"/>
      <c r="Z788" s="347"/>
      <c r="AA788" s="604"/>
      <c r="AB788" s="347"/>
      <c r="AC788" s="590"/>
      <c r="AD788" s="347"/>
      <c r="AE788" s="347"/>
      <c r="AF788" s="347"/>
      <c r="AG788" s="347"/>
      <c r="AH788" s="347"/>
      <c r="AI788" s="347"/>
      <c r="AJ788" s="347"/>
      <c r="AK788" s="347"/>
      <c r="AL788" s="347"/>
      <c r="AM788" s="347"/>
      <c r="AN788" s="347"/>
      <c r="AO788" s="347"/>
      <c r="AP788" s="347"/>
      <c r="AQ788" s="347"/>
      <c r="AR788" s="347"/>
      <c r="AS788" s="347"/>
      <c r="AT788" s="347"/>
      <c r="AU788" s="347"/>
      <c r="AV788" s="347"/>
      <c r="AW788" s="347"/>
      <c r="AX788" s="347"/>
      <c r="AY788" s="347"/>
      <c r="AZ788" s="347"/>
      <c r="BA788" s="347"/>
      <c r="BB788" s="347"/>
      <c r="BC788" s="347"/>
      <c r="BD788" s="347"/>
      <c r="BE788" s="347"/>
      <c r="BF788" s="347"/>
      <c r="BG788" s="347"/>
      <c r="BH788" s="347"/>
    </row>
    <row r="789">
      <c r="A789" s="347"/>
      <c r="B789" s="347"/>
      <c r="C789" s="347"/>
      <c r="D789" s="347"/>
      <c r="E789" s="347"/>
      <c r="F789" s="347"/>
      <c r="G789" s="347"/>
      <c r="H789" s="347"/>
      <c r="I789" s="347"/>
      <c r="J789" s="347"/>
      <c r="K789" s="348"/>
      <c r="L789" s="348"/>
      <c r="M789" s="348"/>
      <c r="N789" s="348"/>
      <c r="O789" s="348"/>
      <c r="P789" s="347"/>
      <c r="Q789" s="347"/>
      <c r="R789" s="347"/>
      <c r="S789" s="347"/>
      <c r="T789" s="347"/>
      <c r="U789" s="347"/>
      <c r="V789" s="347"/>
      <c r="W789" s="347"/>
      <c r="X789" s="347"/>
      <c r="Y789" s="347"/>
      <c r="Z789" s="347"/>
      <c r="AA789" s="604"/>
      <c r="AB789" s="347"/>
      <c r="AC789" s="590"/>
      <c r="AD789" s="347"/>
      <c r="AE789" s="347"/>
      <c r="AF789" s="347"/>
      <c r="AG789" s="347"/>
      <c r="AH789" s="347"/>
      <c r="AI789" s="347"/>
      <c r="AJ789" s="347"/>
      <c r="AK789" s="347"/>
      <c r="AL789" s="347"/>
      <c r="AM789" s="347"/>
      <c r="AN789" s="347"/>
      <c r="AO789" s="347"/>
      <c r="AP789" s="347"/>
      <c r="AQ789" s="347"/>
      <c r="AR789" s="347"/>
      <c r="AS789" s="347"/>
      <c r="AT789" s="347"/>
      <c r="AU789" s="347"/>
      <c r="AV789" s="347"/>
      <c r="AW789" s="347"/>
      <c r="AX789" s="347"/>
      <c r="AY789" s="347"/>
      <c r="AZ789" s="347"/>
      <c r="BA789" s="347"/>
      <c r="BB789" s="347"/>
      <c r="BC789" s="347"/>
      <c r="BD789" s="347"/>
      <c r="BE789" s="347"/>
      <c r="BF789" s="347"/>
      <c r="BG789" s="347"/>
      <c r="BH789" s="347"/>
    </row>
    <row r="790">
      <c r="A790" s="347"/>
      <c r="B790" s="347"/>
      <c r="C790" s="347"/>
      <c r="D790" s="347"/>
      <c r="E790" s="347"/>
      <c r="F790" s="347"/>
      <c r="G790" s="347"/>
      <c r="H790" s="347"/>
      <c r="I790" s="347"/>
      <c r="J790" s="347"/>
      <c r="K790" s="348"/>
      <c r="L790" s="348"/>
      <c r="M790" s="348"/>
      <c r="N790" s="348"/>
      <c r="O790" s="348"/>
      <c r="P790" s="347"/>
      <c r="Q790" s="347"/>
      <c r="R790" s="347"/>
      <c r="S790" s="347"/>
      <c r="T790" s="347"/>
      <c r="U790" s="347"/>
      <c r="V790" s="347"/>
      <c r="W790" s="347"/>
      <c r="X790" s="347"/>
      <c r="Y790" s="347"/>
      <c r="Z790" s="347"/>
      <c r="AA790" s="604"/>
      <c r="AB790" s="347"/>
      <c r="AC790" s="590"/>
      <c r="AD790" s="347"/>
      <c r="AE790" s="347"/>
      <c r="AF790" s="347"/>
      <c r="AG790" s="347"/>
      <c r="AH790" s="347"/>
      <c r="AI790" s="347"/>
      <c r="AJ790" s="347"/>
      <c r="AK790" s="347"/>
      <c r="AL790" s="347"/>
      <c r="AM790" s="347"/>
      <c r="AN790" s="347"/>
      <c r="AO790" s="347"/>
      <c r="AP790" s="347"/>
      <c r="AQ790" s="347"/>
      <c r="AR790" s="347"/>
      <c r="AS790" s="347"/>
      <c r="AT790" s="347"/>
      <c r="AU790" s="347"/>
      <c r="AV790" s="347"/>
      <c r="AW790" s="347"/>
      <c r="AX790" s="347"/>
      <c r="AY790" s="347"/>
      <c r="AZ790" s="347"/>
      <c r="BA790" s="347"/>
      <c r="BB790" s="347"/>
      <c r="BC790" s="347"/>
      <c r="BD790" s="347"/>
      <c r="BE790" s="347"/>
      <c r="BF790" s="347"/>
      <c r="BG790" s="347"/>
      <c r="BH790" s="347"/>
    </row>
    <row r="791">
      <c r="A791" s="347"/>
      <c r="B791" s="347"/>
      <c r="C791" s="347"/>
      <c r="D791" s="347"/>
      <c r="E791" s="347"/>
      <c r="F791" s="347"/>
      <c r="G791" s="347"/>
      <c r="H791" s="347"/>
      <c r="I791" s="347"/>
      <c r="J791" s="347"/>
      <c r="K791" s="348"/>
      <c r="L791" s="348"/>
      <c r="M791" s="348"/>
      <c r="N791" s="348"/>
      <c r="O791" s="348"/>
      <c r="P791" s="347"/>
      <c r="Q791" s="347"/>
      <c r="R791" s="347"/>
      <c r="S791" s="347"/>
      <c r="T791" s="347"/>
      <c r="U791" s="347"/>
      <c r="V791" s="347"/>
      <c r="W791" s="347"/>
      <c r="X791" s="347"/>
      <c r="Y791" s="347"/>
      <c r="Z791" s="347"/>
      <c r="AA791" s="604"/>
      <c r="AB791" s="347"/>
      <c r="AC791" s="590"/>
      <c r="AD791" s="347"/>
      <c r="AE791" s="347"/>
      <c r="AF791" s="347"/>
      <c r="AG791" s="347"/>
      <c r="AH791" s="347"/>
      <c r="AI791" s="347"/>
      <c r="AJ791" s="347"/>
      <c r="AK791" s="347"/>
      <c r="AL791" s="347"/>
      <c r="AM791" s="347"/>
      <c r="AN791" s="347"/>
      <c r="AO791" s="347"/>
      <c r="AP791" s="347"/>
      <c r="AQ791" s="347"/>
      <c r="AR791" s="347"/>
      <c r="AS791" s="347"/>
      <c r="AT791" s="347"/>
      <c r="AU791" s="347"/>
      <c r="AV791" s="347"/>
      <c r="AW791" s="347"/>
      <c r="AX791" s="347"/>
      <c r="AY791" s="347"/>
      <c r="AZ791" s="347"/>
      <c r="BA791" s="347"/>
      <c r="BB791" s="347"/>
      <c r="BC791" s="347"/>
      <c r="BD791" s="347"/>
      <c r="BE791" s="347"/>
      <c r="BF791" s="347"/>
      <c r="BG791" s="347"/>
      <c r="BH791" s="347"/>
    </row>
    <row r="792">
      <c r="A792" s="347"/>
      <c r="B792" s="347"/>
      <c r="C792" s="347"/>
      <c r="D792" s="347"/>
      <c r="E792" s="347"/>
      <c r="F792" s="347"/>
      <c r="G792" s="347"/>
      <c r="H792" s="347"/>
      <c r="I792" s="347"/>
      <c r="J792" s="347"/>
      <c r="K792" s="348"/>
      <c r="L792" s="348"/>
      <c r="M792" s="348"/>
      <c r="N792" s="348"/>
      <c r="O792" s="348"/>
      <c r="P792" s="347"/>
      <c r="Q792" s="347"/>
      <c r="R792" s="347"/>
      <c r="S792" s="347"/>
      <c r="T792" s="347"/>
      <c r="U792" s="347"/>
      <c r="V792" s="347"/>
      <c r="W792" s="347"/>
      <c r="X792" s="347"/>
      <c r="Y792" s="347"/>
      <c r="Z792" s="347"/>
      <c r="AA792" s="604"/>
      <c r="AB792" s="347"/>
      <c r="AC792" s="590"/>
      <c r="AD792" s="347"/>
      <c r="AE792" s="347"/>
      <c r="AF792" s="347"/>
      <c r="AG792" s="347"/>
      <c r="AH792" s="347"/>
      <c r="AI792" s="347"/>
      <c r="AJ792" s="347"/>
      <c r="AK792" s="347"/>
      <c r="AL792" s="347"/>
      <c r="AM792" s="347"/>
      <c r="AN792" s="347"/>
      <c r="AO792" s="347"/>
      <c r="AP792" s="347"/>
      <c r="AQ792" s="347"/>
      <c r="AR792" s="347"/>
      <c r="AS792" s="347"/>
      <c r="AT792" s="347"/>
      <c r="AU792" s="347"/>
      <c r="AV792" s="347"/>
      <c r="AW792" s="347"/>
      <c r="AX792" s="347"/>
      <c r="AY792" s="347"/>
      <c r="AZ792" s="347"/>
      <c r="BA792" s="347"/>
      <c r="BB792" s="347"/>
      <c r="BC792" s="347"/>
      <c r="BD792" s="347"/>
      <c r="BE792" s="347"/>
      <c r="BF792" s="347"/>
      <c r="BG792" s="347"/>
      <c r="BH792" s="347"/>
    </row>
    <row r="793">
      <c r="A793" s="347"/>
      <c r="B793" s="347"/>
      <c r="C793" s="347"/>
      <c r="D793" s="347"/>
      <c r="E793" s="347"/>
      <c r="F793" s="347"/>
      <c r="G793" s="347"/>
      <c r="H793" s="347"/>
      <c r="I793" s="347"/>
      <c r="J793" s="347"/>
      <c r="K793" s="348"/>
      <c r="L793" s="348"/>
      <c r="M793" s="348"/>
      <c r="N793" s="348"/>
      <c r="O793" s="348"/>
      <c r="P793" s="347"/>
      <c r="Q793" s="347"/>
      <c r="R793" s="347"/>
      <c r="S793" s="347"/>
      <c r="T793" s="347"/>
      <c r="U793" s="347"/>
      <c r="V793" s="347"/>
      <c r="W793" s="347"/>
      <c r="X793" s="347"/>
      <c r="Y793" s="347"/>
      <c r="Z793" s="347"/>
      <c r="AA793" s="604"/>
      <c r="AB793" s="347"/>
      <c r="AC793" s="590"/>
      <c r="AD793" s="347"/>
      <c r="AE793" s="347"/>
      <c r="AF793" s="347"/>
      <c r="AG793" s="347"/>
      <c r="AH793" s="347"/>
      <c r="AI793" s="347"/>
      <c r="AJ793" s="347"/>
      <c r="AK793" s="347"/>
      <c r="AL793" s="347"/>
      <c r="AM793" s="347"/>
      <c r="AN793" s="347"/>
      <c r="AO793" s="347"/>
      <c r="AP793" s="347"/>
      <c r="AQ793" s="347"/>
      <c r="AR793" s="347"/>
      <c r="AS793" s="347"/>
      <c r="AT793" s="347"/>
      <c r="AU793" s="347"/>
      <c r="AV793" s="347"/>
      <c r="AW793" s="347"/>
      <c r="AX793" s="347"/>
      <c r="AY793" s="347"/>
      <c r="AZ793" s="347"/>
      <c r="BA793" s="347"/>
      <c r="BB793" s="347"/>
      <c r="BC793" s="347"/>
      <c r="BD793" s="347"/>
      <c r="BE793" s="347"/>
      <c r="BF793" s="347"/>
      <c r="BG793" s="347"/>
      <c r="BH793" s="347"/>
    </row>
    <row r="794">
      <c r="A794" s="347"/>
      <c r="B794" s="347"/>
      <c r="C794" s="347"/>
      <c r="D794" s="347"/>
      <c r="E794" s="347"/>
      <c r="F794" s="347"/>
      <c r="G794" s="347"/>
      <c r="H794" s="347"/>
      <c r="I794" s="347"/>
      <c r="J794" s="347"/>
      <c r="K794" s="348"/>
      <c r="L794" s="348"/>
      <c r="M794" s="348"/>
      <c r="N794" s="348"/>
      <c r="O794" s="348"/>
      <c r="P794" s="347"/>
      <c r="Q794" s="347"/>
      <c r="R794" s="347"/>
      <c r="S794" s="347"/>
      <c r="T794" s="347"/>
      <c r="U794" s="347"/>
      <c r="V794" s="347"/>
      <c r="W794" s="347"/>
      <c r="X794" s="347"/>
      <c r="Y794" s="347"/>
      <c r="Z794" s="347"/>
      <c r="AA794" s="604"/>
      <c r="AB794" s="347"/>
      <c r="AC794" s="590"/>
      <c r="AD794" s="347"/>
      <c r="AE794" s="347"/>
      <c r="AF794" s="347"/>
      <c r="AG794" s="347"/>
      <c r="AH794" s="347"/>
      <c r="AI794" s="347"/>
      <c r="AJ794" s="347"/>
      <c r="AK794" s="347"/>
      <c r="AL794" s="347"/>
      <c r="AM794" s="347"/>
      <c r="AN794" s="347"/>
      <c r="AO794" s="347"/>
      <c r="AP794" s="347"/>
      <c r="AQ794" s="347"/>
      <c r="AR794" s="347"/>
      <c r="AS794" s="347"/>
      <c r="AT794" s="347"/>
      <c r="AU794" s="347"/>
      <c r="AV794" s="347"/>
      <c r="AW794" s="347"/>
      <c r="AX794" s="347"/>
      <c r="AY794" s="347"/>
      <c r="AZ794" s="347"/>
      <c r="BA794" s="347"/>
      <c r="BB794" s="347"/>
      <c r="BC794" s="347"/>
      <c r="BD794" s="347"/>
      <c r="BE794" s="347"/>
      <c r="BF794" s="347"/>
      <c r="BG794" s="347"/>
      <c r="BH794" s="347"/>
    </row>
    <row r="795">
      <c r="A795" s="347"/>
      <c r="B795" s="347"/>
      <c r="C795" s="347"/>
      <c r="D795" s="347"/>
      <c r="E795" s="347"/>
      <c r="F795" s="347"/>
      <c r="G795" s="347"/>
      <c r="H795" s="347"/>
      <c r="I795" s="347"/>
      <c r="J795" s="347"/>
      <c r="K795" s="348"/>
      <c r="L795" s="348"/>
      <c r="M795" s="348"/>
      <c r="N795" s="348"/>
      <c r="O795" s="348"/>
      <c r="P795" s="347"/>
      <c r="Q795" s="347"/>
      <c r="R795" s="347"/>
      <c r="S795" s="347"/>
      <c r="T795" s="347"/>
      <c r="U795" s="347"/>
      <c r="V795" s="347"/>
      <c r="W795" s="347"/>
      <c r="X795" s="347"/>
      <c r="Y795" s="347"/>
      <c r="Z795" s="347"/>
      <c r="AA795" s="604"/>
      <c r="AB795" s="347"/>
      <c r="AC795" s="590"/>
      <c r="AD795" s="347"/>
      <c r="AE795" s="347"/>
      <c r="AF795" s="347"/>
      <c r="AG795" s="347"/>
      <c r="AH795" s="347"/>
      <c r="AI795" s="347"/>
      <c r="AJ795" s="347"/>
      <c r="AK795" s="347"/>
      <c r="AL795" s="347"/>
      <c r="AM795" s="347"/>
      <c r="AN795" s="347"/>
      <c r="AO795" s="347"/>
      <c r="AP795" s="347"/>
      <c r="AQ795" s="347"/>
      <c r="AR795" s="347"/>
      <c r="AS795" s="347"/>
      <c r="AT795" s="347"/>
      <c r="AU795" s="347"/>
      <c r="AV795" s="347"/>
      <c r="AW795" s="347"/>
      <c r="AX795" s="347"/>
      <c r="AY795" s="347"/>
      <c r="AZ795" s="347"/>
      <c r="BA795" s="347"/>
      <c r="BB795" s="347"/>
      <c r="BC795" s="347"/>
      <c r="BD795" s="347"/>
      <c r="BE795" s="347"/>
      <c r="BF795" s="347"/>
      <c r="BG795" s="347"/>
      <c r="BH795" s="347"/>
    </row>
    <row r="796">
      <c r="A796" s="347"/>
      <c r="B796" s="347"/>
      <c r="C796" s="347"/>
      <c r="D796" s="347"/>
      <c r="E796" s="347"/>
      <c r="F796" s="347"/>
      <c r="G796" s="347"/>
      <c r="H796" s="347"/>
      <c r="I796" s="347"/>
      <c r="J796" s="347"/>
      <c r="K796" s="348"/>
      <c r="L796" s="348"/>
      <c r="M796" s="348"/>
      <c r="N796" s="348"/>
      <c r="O796" s="348"/>
      <c r="P796" s="347"/>
      <c r="Q796" s="347"/>
      <c r="R796" s="347"/>
      <c r="S796" s="347"/>
      <c r="T796" s="347"/>
      <c r="U796" s="347"/>
      <c r="V796" s="347"/>
      <c r="W796" s="347"/>
      <c r="X796" s="347"/>
      <c r="Y796" s="347"/>
      <c r="Z796" s="347"/>
      <c r="AA796" s="604"/>
      <c r="AB796" s="347"/>
      <c r="AC796" s="590"/>
      <c r="AD796" s="347"/>
      <c r="AE796" s="347"/>
      <c r="AF796" s="347"/>
      <c r="AG796" s="347"/>
      <c r="AH796" s="347"/>
      <c r="AI796" s="347"/>
      <c r="AJ796" s="347"/>
      <c r="AK796" s="347"/>
      <c r="AL796" s="347"/>
      <c r="AM796" s="347"/>
      <c r="AN796" s="347"/>
      <c r="AO796" s="347"/>
      <c r="AP796" s="347"/>
      <c r="AQ796" s="347"/>
      <c r="AR796" s="347"/>
      <c r="AS796" s="347"/>
      <c r="AT796" s="347"/>
      <c r="AU796" s="347"/>
      <c r="AV796" s="347"/>
      <c r="AW796" s="347"/>
      <c r="AX796" s="347"/>
      <c r="AY796" s="347"/>
      <c r="AZ796" s="347"/>
      <c r="BA796" s="347"/>
      <c r="BB796" s="347"/>
      <c r="BC796" s="347"/>
      <c r="BD796" s="347"/>
      <c r="BE796" s="347"/>
      <c r="BF796" s="347"/>
      <c r="BG796" s="347"/>
      <c r="BH796" s="347"/>
    </row>
    <row r="797">
      <c r="A797" s="347"/>
      <c r="B797" s="347"/>
      <c r="C797" s="347"/>
      <c r="D797" s="347"/>
      <c r="E797" s="347"/>
      <c r="F797" s="347"/>
      <c r="G797" s="347"/>
      <c r="H797" s="347"/>
      <c r="I797" s="347"/>
      <c r="J797" s="347"/>
      <c r="K797" s="348"/>
      <c r="L797" s="348"/>
      <c r="M797" s="348"/>
      <c r="N797" s="348"/>
      <c r="O797" s="348"/>
      <c r="P797" s="347"/>
      <c r="Q797" s="347"/>
      <c r="R797" s="347"/>
      <c r="S797" s="347"/>
      <c r="T797" s="347"/>
      <c r="U797" s="347"/>
      <c r="V797" s="347"/>
      <c r="W797" s="347"/>
      <c r="X797" s="347"/>
      <c r="Y797" s="347"/>
      <c r="Z797" s="347"/>
      <c r="AA797" s="604"/>
      <c r="AB797" s="347"/>
      <c r="AC797" s="590"/>
      <c r="AD797" s="347"/>
      <c r="AE797" s="347"/>
      <c r="AF797" s="347"/>
      <c r="AG797" s="347"/>
      <c r="AH797" s="347"/>
      <c r="AI797" s="347"/>
      <c r="AJ797" s="347"/>
      <c r="AK797" s="347"/>
      <c r="AL797" s="347"/>
      <c r="AM797" s="347"/>
      <c r="AN797" s="347"/>
      <c r="AO797" s="347"/>
      <c r="AP797" s="347"/>
      <c r="AQ797" s="347"/>
      <c r="AR797" s="347"/>
      <c r="AS797" s="347"/>
      <c r="AT797" s="347"/>
      <c r="AU797" s="347"/>
      <c r="AV797" s="347"/>
      <c r="AW797" s="347"/>
      <c r="AX797" s="347"/>
      <c r="AY797" s="347"/>
      <c r="AZ797" s="347"/>
      <c r="BA797" s="347"/>
      <c r="BB797" s="347"/>
      <c r="BC797" s="347"/>
      <c r="BD797" s="347"/>
      <c r="BE797" s="347"/>
      <c r="BF797" s="347"/>
      <c r="BG797" s="347"/>
      <c r="BH797" s="347"/>
    </row>
    <row r="798">
      <c r="A798" s="347"/>
      <c r="B798" s="347"/>
      <c r="C798" s="347"/>
      <c r="D798" s="347"/>
      <c r="E798" s="347"/>
      <c r="F798" s="347"/>
      <c r="G798" s="347"/>
      <c r="H798" s="347"/>
      <c r="I798" s="347"/>
      <c r="J798" s="347"/>
      <c r="K798" s="348"/>
      <c r="L798" s="348"/>
      <c r="M798" s="348"/>
      <c r="N798" s="348"/>
      <c r="O798" s="348"/>
      <c r="P798" s="347"/>
      <c r="Q798" s="347"/>
      <c r="R798" s="347"/>
      <c r="S798" s="347"/>
      <c r="T798" s="347"/>
      <c r="U798" s="347"/>
      <c r="V798" s="347"/>
      <c r="W798" s="347"/>
      <c r="X798" s="347"/>
      <c r="Y798" s="347"/>
      <c r="Z798" s="347"/>
      <c r="AA798" s="604"/>
      <c r="AB798" s="347"/>
      <c r="AC798" s="590"/>
      <c r="AD798" s="347"/>
      <c r="AE798" s="347"/>
      <c r="AF798" s="347"/>
      <c r="AG798" s="347"/>
      <c r="AH798" s="347"/>
      <c r="AI798" s="347"/>
      <c r="AJ798" s="347"/>
      <c r="AK798" s="347"/>
      <c r="AL798" s="347"/>
      <c r="AM798" s="347"/>
      <c r="AN798" s="347"/>
      <c r="AO798" s="347"/>
      <c r="AP798" s="347"/>
      <c r="AQ798" s="347"/>
      <c r="AR798" s="347"/>
      <c r="AS798" s="347"/>
      <c r="AT798" s="347"/>
      <c r="AU798" s="347"/>
      <c r="AV798" s="347"/>
      <c r="AW798" s="347"/>
      <c r="AX798" s="347"/>
      <c r="AY798" s="347"/>
      <c r="AZ798" s="347"/>
      <c r="BA798" s="347"/>
      <c r="BB798" s="347"/>
      <c r="BC798" s="347"/>
      <c r="BD798" s="347"/>
      <c r="BE798" s="347"/>
      <c r="BF798" s="347"/>
      <c r="BG798" s="347"/>
      <c r="BH798" s="347"/>
    </row>
    <row r="799">
      <c r="A799" s="347"/>
      <c r="B799" s="347"/>
      <c r="C799" s="347"/>
      <c r="D799" s="347"/>
      <c r="E799" s="347"/>
      <c r="F799" s="347"/>
      <c r="G799" s="347"/>
      <c r="H799" s="347"/>
      <c r="I799" s="347"/>
      <c r="J799" s="347"/>
      <c r="K799" s="348"/>
      <c r="L799" s="348"/>
      <c r="M799" s="348"/>
      <c r="N799" s="348"/>
      <c r="O799" s="348"/>
      <c r="P799" s="347"/>
      <c r="Q799" s="347"/>
      <c r="R799" s="347"/>
      <c r="S799" s="347"/>
      <c r="T799" s="347"/>
      <c r="U799" s="347"/>
      <c r="V799" s="347"/>
      <c r="W799" s="347"/>
      <c r="X799" s="347"/>
      <c r="Y799" s="347"/>
      <c r="Z799" s="347"/>
      <c r="AA799" s="604"/>
      <c r="AB799" s="347"/>
      <c r="AC799" s="590"/>
      <c r="AD799" s="347"/>
      <c r="AE799" s="347"/>
      <c r="AF799" s="347"/>
      <c r="AG799" s="347"/>
      <c r="AH799" s="347"/>
      <c r="AI799" s="347"/>
      <c r="AJ799" s="347"/>
      <c r="AK799" s="347"/>
      <c r="AL799" s="347"/>
      <c r="AM799" s="347"/>
      <c r="AN799" s="347"/>
      <c r="AO799" s="347"/>
      <c r="AP799" s="347"/>
      <c r="AQ799" s="347"/>
      <c r="AR799" s="347"/>
      <c r="AS799" s="347"/>
      <c r="AT799" s="347"/>
      <c r="AU799" s="347"/>
      <c r="AV799" s="347"/>
      <c r="AW799" s="347"/>
      <c r="AX799" s="347"/>
      <c r="AY799" s="347"/>
      <c r="AZ799" s="347"/>
      <c r="BA799" s="347"/>
      <c r="BB799" s="347"/>
      <c r="BC799" s="347"/>
      <c r="BD799" s="347"/>
      <c r="BE799" s="347"/>
      <c r="BF799" s="347"/>
      <c r="BG799" s="347"/>
      <c r="BH799" s="347"/>
    </row>
    <row r="800">
      <c r="A800" s="347"/>
      <c r="B800" s="347"/>
      <c r="C800" s="347"/>
      <c r="D800" s="347"/>
      <c r="E800" s="347"/>
      <c r="F800" s="347"/>
      <c r="G800" s="347"/>
      <c r="H800" s="347"/>
      <c r="I800" s="347"/>
      <c r="J800" s="347"/>
      <c r="K800" s="348"/>
      <c r="L800" s="348"/>
      <c r="M800" s="348"/>
      <c r="N800" s="348"/>
      <c r="O800" s="348"/>
      <c r="P800" s="347"/>
      <c r="Q800" s="347"/>
      <c r="R800" s="347"/>
      <c r="S800" s="347"/>
      <c r="T800" s="347"/>
      <c r="U800" s="347"/>
      <c r="V800" s="347"/>
      <c r="W800" s="347"/>
      <c r="X800" s="347"/>
      <c r="Y800" s="347"/>
      <c r="Z800" s="347"/>
      <c r="AA800" s="604"/>
      <c r="AB800" s="347"/>
      <c r="AC800" s="590"/>
      <c r="AD800" s="347"/>
      <c r="AE800" s="347"/>
      <c r="AF800" s="347"/>
      <c r="AG800" s="347"/>
      <c r="AH800" s="347"/>
      <c r="AI800" s="347"/>
      <c r="AJ800" s="347"/>
      <c r="AK800" s="347"/>
      <c r="AL800" s="347"/>
      <c r="AM800" s="347"/>
      <c r="AN800" s="347"/>
      <c r="AO800" s="347"/>
      <c r="AP800" s="347"/>
      <c r="AQ800" s="347"/>
      <c r="AR800" s="347"/>
      <c r="AS800" s="347"/>
      <c r="AT800" s="347"/>
      <c r="AU800" s="347"/>
      <c r="AV800" s="347"/>
      <c r="AW800" s="347"/>
      <c r="AX800" s="347"/>
      <c r="AY800" s="347"/>
      <c r="AZ800" s="347"/>
      <c r="BA800" s="347"/>
      <c r="BB800" s="347"/>
      <c r="BC800" s="347"/>
      <c r="BD800" s="347"/>
      <c r="BE800" s="347"/>
      <c r="BF800" s="347"/>
      <c r="BG800" s="347"/>
      <c r="BH800" s="347"/>
    </row>
    <row r="801">
      <c r="A801" s="347"/>
      <c r="B801" s="347"/>
      <c r="C801" s="347"/>
      <c r="D801" s="347"/>
      <c r="E801" s="347"/>
      <c r="F801" s="347"/>
      <c r="G801" s="347"/>
      <c r="H801" s="347"/>
      <c r="I801" s="347"/>
      <c r="J801" s="347"/>
      <c r="K801" s="348"/>
      <c r="L801" s="348"/>
      <c r="M801" s="348"/>
      <c r="N801" s="348"/>
      <c r="O801" s="348"/>
      <c r="P801" s="347"/>
      <c r="Q801" s="347"/>
      <c r="R801" s="347"/>
      <c r="S801" s="347"/>
      <c r="T801" s="347"/>
      <c r="U801" s="347"/>
      <c r="V801" s="347"/>
      <c r="W801" s="347"/>
      <c r="X801" s="347"/>
      <c r="Y801" s="347"/>
      <c r="Z801" s="347"/>
      <c r="AA801" s="604"/>
      <c r="AB801" s="347"/>
      <c r="AC801" s="590"/>
      <c r="AD801" s="347"/>
      <c r="AE801" s="347"/>
      <c r="AF801" s="347"/>
      <c r="AG801" s="347"/>
      <c r="AH801" s="347"/>
      <c r="AI801" s="347"/>
      <c r="AJ801" s="347"/>
      <c r="AK801" s="347"/>
      <c r="AL801" s="347"/>
      <c r="AM801" s="347"/>
      <c r="AN801" s="347"/>
      <c r="AO801" s="347"/>
      <c r="AP801" s="347"/>
      <c r="AQ801" s="347"/>
      <c r="AR801" s="347"/>
      <c r="AS801" s="347"/>
      <c r="AT801" s="347"/>
      <c r="AU801" s="347"/>
      <c r="AV801" s="347"/>
      <c r="AW801" s="347"/>
      <c r="AX801" s="347"/>
      <c r="AY801" s="347"/>
      <c r="AZ801" s="347"/>
      <c r="BA801" s="347"/>
      <c r="BB801" s="347"/>
      <c r="BC801" s="347"/>
      <c r="BD801" s="347"/>
      <c r="BE801" s="347"/>
      <c r="BF801" s="347"/>
      <c r="BG801" s="347"/>
      <c r="BH801" s="347"/>
    </row>
    <row r="802">
      <c r="A802" s="347"/>
      <c r="B802" s="347"/>
      <c r="C802" s="347"/>
      <c r="D802" s="347"/>
      <c r="E802" s="347"/>
      <c r="F802" s="347"/>
      <c r="G802" s="347"/>
      <c r="H802" s="347"/>
      <c r="I802" s="347"/>
      <c r="J802" s="347"/>
      <c r="K802" s="348"/>
      <c r="L802" s="348"/>
      <c r="M802" s="348"/>
      <c r="N802" s="348"/>
      <c r="O802" s="348"/>
      <c r="P802" s="347"/>
      <c r="Q802" s="347"/>
      <c r="R802" s="347"/>
      <c r="S802" s="347"/>
      <c r="T802" s="347"/>
      <c r="U802" s="347"/>
      <c r="V802" s="347"/>
      <c r="W802" s="347"/>
      <c r="X802" s="347"/>
      <c r="Y802" s="347"/>
      <c r="Z802" s="347"/>
      <c r="AA802" s="604"/>
      <c r="AB802" s="347"/>
      <c r="AC802" s="590"/>
      <c r="AD802" s="347"/>
      <c r="AE802" s="347"/>
      <c r="AF802" s="347"/>
      <c r="AG802" s="347"/>
      <c r="AH802" s="347"/>
      <c r="AI802" s="347"/>
      <c r="AJ802" s="347"/>
      <c r="AK802" s="347"/>
      <c r="AL802" s="347"/>
      <c r="AM802" s="347"/>
      <c r="AN802" s="347"/>
      <c r="AO802" s="347"/>
      <c r="AP802" s="347"/>
      <c r="AQ802" s="347"/>
      <c r="AR802" s="347"/>
      <c r="AS802" s="347"/>
      <c r="AT802" s="347"/>
      <c r="AU802" s="347"/>
      <c r="AV802" s="347"/>
      <c r="AW802" s="347"/>
      <c r="AX802" s="347"/>
      <c r="AY802" s="347"/>
      <c r="AZ802" s="347"/>
      <c r="BA802" s="347"/>
      <c r="BB802" s="347"/>
      <c r="BC802" s="347"/>
      <c r="BD802" s="347"/>
      <c r="BE802" s="347"/>
      <c r="BF802" s="347"/>
      <c r="BG802" s="347"/>
      <c r="BH802" s="347"/>
    </row>
    <row r="803">
      <c r="A803" s="347"/>
      <c r="B803" s="347"/>
      <c r="C803" s="347"/>
      <c r="D803" s="347"/>
      <c r="E803" s="347"/>
      <c r="F803" s="347"/>
      <c r="G803" s="347"/>
      <c r="H803" s="347"/>
      <c r="I803" s="347"/>
      <c r="J803" s="347"/>
      <c r="K803" s="348"/>
      <c r="L803" s="348"/>
      <c r="M803" s="348"/>
      <c r="N803" s="348"/>
      <c r="O803" s="348"/>
      <c r="P803" s="347"/>
      <c r="Q803" s="347"/>
      <c r="R803" s="347"/>
      <c r="S803" s="347"/>
      <c r="T803" s="347"/>
      <c r="U803" s="347"/>
      <c r="V803" s="347"/>
      <c r="W803" s="347"/>
      <c r="X803" s="347"/>
      <c r="Y803" s="347"/>
      <c r="Z803" s="347"/>
      <c r="AA803" s="604"/>
      <c r="AB803" s="347"/>
      <c r="AC803" s="590"/>
      <c r="AD803" s="347"/>
      <c r="AE803" s="347"/>
      <c r="AF803" s="347"/>
      <c r="AG803" s="347"/>
      <c r="AH803" s="347"/>
      <c r="AI803" s="347"/>
      <c r="AJ803" s="347"/>
      <c r="AK803" s="347"/>
      <c r="AL803" s="347"/>
      <c r="AM803" s="347"/>
      <c r="AN803" s="347"/>
      <c r="AO803" s="347"/>
      <c r="AP803" s="347"/>
      <c r="AQ803" s="347"/>
      <c r="AR803" s="347"/>
      <c r="AS803" s="347"/>
      <c r="AT803" s="347"/>
      <c r="AU803" s="347"/>
      <c r="AV803" s="347"/>
      <c r="AW803" s="347"/>
      <c r="AX803" s="347"/>
      <c r="AY803" s="347"/>
      <c r="AZ803" s="347"/>
      <c r="BA803" s="347"/>
      <c r="BB803" s="347"/>
      <c r="BC803" s="347"/>
      <c r="BD803" s="347"/>
      <c r="BE803" s="347"/>
      <c r="BF803" s="347"/>
      <c r="BG803" s="347"/>
      <c r="BH803" s="347"/>
    </row>
    <row r="804">
      <c r="A804" s="347"/>
      <c r="B804" s="347"/>
      <c r="C804" s="347"/>
      <c r="D804" s="347"/>
      <c r="E804" s="347"/>
      <c r="F804" s="347"/>
      <c r="G804" s="347"/>
      <c r="H804" s="347"/>
      <c r="I804" s="347"/>
      <c r="J804" s="347"/>
      <c r="K804" s="348"/>
      <c r="L804" s="348"/>
      <c r="M804" s="348"/>
      <c r="N804" s="348"/>
      <c r="O804" s="348"/>
      <c r="P804" s="347"/>
      <c r="Q804" s="347"/>
      <c r="R804" s="347"/>
      <c r="S804" s="347"/>
      <c r="T804" s="347"/>
      <c r="U804" s="347"/>
      <c r="V804" s="347"/>
      <c r="W804" s="347"/>
      <c r="X804" s="347"/>
      <c r="Y804" s="347"/>
      <c r="Z804" s="347"/>
      <c r="AA804" s="604"/>
      <c r="AB804" s="347"/>
      <c r="AC804" s="590"/>
      <c r="AD804" s="347"/>
      <c r="AE804" s="347"/>
      <c r="AF804" s="347"/>
      <c r="AG804" s="347"/>
      <c r="AH804" s="347"/>
      <c r="AI804" s="347"/>
      <c r="AJ804" s="347"/>
      <c r="AK804" s="347"/>
      <c r="AL804" s="347"/>
      <c r="AM804" s="347"/>
      <c r="AN804" s="347"/>
      <c r="AO804" s="347"/>
      <c r="AP804" s="347"/>
      <c r="AQ804" s="347"/>
      <c r="AR804" s="347"/>
      <c r="AS804" s="347"/>
      <c r="AT804" s="347"/>
      <c r="AU804" s="347"/>
      <c r="AV804" s="347"/>
      <c r="AW804" s="347"/>
      <c r="AX804" s="347"/>
      <c r="AY804" s="347"/>
      <c r="AZ804" s="347"/>
      <c r="BA804" s="347"/>
      <c r="BB804" s="347"/>
      <c r="BC804" s="347"/>
      <c r="BD804" s="347"/>
      <c r="BE804" s="347"/>
      <c r="BF804" s="347"/>
      <c r="BG804" s="347"/>
      <c r="BH804" s="347"/>
    </row>
    <row r="805">
      <c r="A805" s="347"/>
      <c r="B805" s="347"/>
      <c r="C805" s="347"/>
      <c r="D805" s="347"/>
      <c r="E805" s="347"/>
      <c r="F805" s="347"/>
      <c r="G805" s="347"/>
      <c r="H805" s="347"/>
      <c r="I805" s="347"/>
      <c r="J805" s="347"/>
      <c r="K805" s="348"/>
      <c r="L805" s="348"/>
      <c r="M805" s="348"/>
      <c r="N805" s="348"/>
      <c r="O805" s="348"/>
      <c r="P805" s="347"/>
      <c r="Q805" s="347"/>
      <c r="R805" s="347"/>
      <c r="S805" s="347"/>
      <c r="T805" s="347"/>
      <c r="U805" s="347"/>
      <c r="V805" s="347"/>
      <c r="W805" s="347"/>
      <c r="X805" s="347"/>
      <c r="Y805" s="347"/>
      <c r="Z805" s="347"/>
      <c r="AA805" s="604"/>
      <c r="AB805" s="347"/>
      <c r="AC805" s="590"/>
      <c r="AD805" s="347"/>
      <c r="AE805" s="347"/>
      <c r="AF805" s="347"/>
      <c r="AG805" s="347"/>
      <c r="AH805" s="347"/>
      <c r="AI805" s="347"/>
      <c r="AJ805" s="347"/>
      <c r="AK805" s="347"/>
      <c r="AL805" s="347"/>
      <c r="AM805" s="347"/>
      <c r="AN805" s="347"/>
      <c r="AO805" s="347"/>
      <c r="AP805" s="347"/>
      <c r="AQ805" s="347"/>
      <c r="AR805" s="347"/>
      <c r="AS805" s="347"/>
      <c r="AT805" s="347"/>
      <c r="AU805" s="347"/>
      <c r="AV805" s="347"/>
      <c r="AW805" s="347"/>
      <c r="AX805" s="347"/>
      <c r="AY805" s="347"/>
      <c r="AZ805" s="347"/>
      <c r="BA805" s="347"/>
      <c r="BB805" s="347"/>
      <c r="BC805" s="347"/>
      <c r="BD805" s="347"/>
      <c r="BE805" s="347"/>
      <c r="BF805" s="347"/>
      <c r="BG805" s="347"/>
      <c r="BH805" s="347"/>
    </row>
    <row r="806">
      <c r="A806" s="347"/>
      <c r="B806" s="347"/>
      <c r="C806" s="347"/>
      <c r="D806" s="347"/>
      <c r="E806" s="347"/>
      <c r="F806" s="347"/>
      <c r="G806" s="347"/>
      <c r="H806" s="347"/>
      <c r="I806" s="347"/>
      <c r="J806" s="347"/>
      <c r="K806" s="348"/>
      <c r="L806" s="348"/>
      <c r="M806" s="348"/>
      <c r="N806" s="348"/>
      <c r="O806" s="348"/>
      <c r="P806" s="347"/>
      <c r="Q806" s="347"/>
      <c r="R806" s="347"/>
      <c r="S806" s="347"/>
      <c r="T806" s="347"/>
      <c r="U806" s="347"/>
      <c r="V806" s="347"/>
      <c r="W806" s="347"/>
      <c r="X806" s="347"/>
      <c r="Y806" s="347"/>
      <c r="Z806" s="347"/>
      <c r="AA806" s="604"/>
      <c r="AB806" s="347"/>
      <c r="AC806" s="590"/>
      <c r="AD806" s="347"/>
      <c r="AE806" s="347"/>
      <c r="AF806" s="347"/>
      <c r="AG806" s="347"/>
      <c r="AH806" s="347"/>
      <c r="AI806" s="347"/>
      <c r="AJ806" s="347"/>
      <c r="AK806" s="347"/>
      <c r="AL806" s="347"/>
      <c r="AM806" s="347"/>
      <c r="AN806" s="347"/>
      <c r="AO806" s="347"/>
      <c r="AP806" s="347"/>
      <c r="AQ806" s="347"/>
      <c r="AR806" s="347"/>
      <c r="AS806" s="347"/>
      <c r="AT806" s="347"/>
      <c r="AU806" s="347"/>
      <c r="AV806" s="347"/>
      <c r="AW806" s="347"/>
      <c r="AX806" s="347"/>
      <c r="AY806" s="347"/>
      <c r="AZ806" s="347"/>
      <c r="BA806" s="347"/>
      <c r="BB806" s="347"/>
      <c r="BC806" s="347"/>
      <c r="BD806" s="347"/>
      <c r="BE806" s="347"/>
      <c r="BF806" s="347"/>
      <c r="BG806" s="347"/>
      <c r="BH806" s="347"/>
    </row>
    <row r="807">
      <c r="A807" s="347"/>
      <c r="B807" s="347"/>
      <c r="C807" s="347"/>
      <c r="D807" s="347"/>
      <c r="E807" s="347"/>
      <c r="F807" s="347"/>
      <c r="G807" s="347"/>
      <c r="H807" s="347"/>
      <c r="I807" s="347"/>
      <c r="J807" s="347"/>
      <c r="K807" s="348"/>
      <c r="L807" s="348"/>
      <c r="M807" s="348"/>
      <c r="N807" s="348"/>
      <c r="O807" s="348"/>
      <c r="P807" s="347"/>
      <c r="Q807" s="347"/>
      <c r="R807" s="347"/>
      <c r="S807" s="347"/>
      <c r="T807" s="347"/>
      <c r="U807" s="347"/>
      <c r="V807" s="347"/>
      <c r="W807" s="347"/>
      <c r="X807" s="347"/>
      <c r="Y807" s="347"/>
      <c r="Z807" s="347"/>
      <c r="AA807" s="604"/>
      <c r="AB807" s="347"/>
      <c r="AC807" s="590"/>
      <c r="AD807" s="347"/>
      <c r="AE807" s="347"/>
      <c r="AF807" s="347"/>
      <c r="AG807" s="347"/>
      <c r="AH807" s="347"/>
      <c r="AI807" s="347"/>
      <c r="AJ807" s="347"/>
      <c r="AK807" s="347"/>
      <c r="AL807" s="347"/>
      <c r="AM807" s="347"/>
      <c r="AN807" s="347"/>
      <c r="AO807" s="347"/>
      <c r="AP807" s="347"/>
      <c r="AQ807" s="347"/>
      <c r="AR807" s="347"/>
      <c r="AS807" s="347"/>
      <c r="AT807" s="347"/>
      <c r="AU807" s="347"/>
      <c r="AV807" s="347"/>
      <c r="AW807" s="347"/>
      <c r="AX807" s="347"/>
      <c r="AY807" s="347"/>
      <c r="AZ807" s="347"/>
      <c r="BA807" s="347"/>
      <c r="BB807" s="347"/>
      <c r="BC807" s="347"/>
      <c r="BD807" s="347"/>
      <c r="BE807" s="347"/>
      <c r="BF807" s="347"/>
      <c r="BG807" s="347"/>
      <c r="BH807" s="347"/>
    </row>
    <row r="808">
      <c r="A808" s="347"/>
      <c r="B808" s="347"/>
      <c r="C808" s="347"/>
      <c r="D808" s="347"/>
      <c r="E808" s="347"/>
      <c r="F808" s="347"/>
      <c r="G808" s="347"/>
      <c r="H808" s="347"/>
      <c r="I808" s="347"/>
      <c r="J808" s="347"/>
      <c r="K808" s="348"/>
      <c r="L808" s="348"/>
      <c r="M808" s="348"/>
      <c r="N808" s="348"/>
      <c r="O808" s="348"/>
      <c r="P808" s="347"/>
      <c r="Q808" s="347"/>
      <c r="R808" s="347"/>
      <c r="S808" s="347"/>
      <c r="T808" s="347"/>
      <c r="U808" s="347"/>
      <c r="V808" s="347"/>
      <c r="W808" s="347"/>
      <c r="X808" s="347"/>
      <c r="Y808" s="347"/>
      <c r="Z808" s="347"/>
      <c r="AA808" s="604"/>
      <c r="AB808" s="347"/>
      <c r="AC808" s="590"/>
      <c r="AD808" s="347"/>
      <c r="AE808" s="347"/>
      <c r="AF808" s="347"/>
      <c r="AG808" s="347"/>
      <c r="AH808" s="347"/>
      <c r="AI808" s="347"/>
      <c r="AJ808" s="347"/>
      <c r="AK808" s="347"/>
      <c r="AL808" s="347"/>
      <c r="AM808" s="347"/>
      <c r="AN808" s="347"/>
      <c r="AO808" s="347"/>
      <c r="AP808" s="347"/>
      <c r="AQ808" s="347"/>
      <c r="AR808" s="347"/>
      <c r="AS808" s="347"/>
      <c r="AT808" s="347"/>
      <c r="AU808" s="347"/>
      <c r="AV808" s="347"/>
      <c r="AW808" s="347"/>
      <c r="AX808" s="347"/>
      <c r="AY808" s="347"/>
      <c r="AZ808" s="347"/>
      <c r="BA808" s="347"/>
      <c r="BB808" s="347"/>
      <c r="BC808" s="347"/>
      <c r="BD808" s="347"/>
      <c r="BE808" s="347"/>
      <c r="BF808" s="347"/>
      <c r="BG808" s="347"/>
      <c r="BH808" s="347"/>
    </row>
    <row r="809">
      <c r="A809" s="347"/>
      <c r="B809" s="347"/>
      <c r="C809" s="347"/>
      <c r="D809" s="347"/>
      <c r="E809" s="347"/>
      <c r="F809" s="347"/>
      <c r="G809" s="347"/>
      <c r="H809" s="347"/>
      <c r="I809" s="347"/>
      <c r="J809" s="347"/>
      <c r="K809" s="348"/>
      <c r="L809" s="348"/>
      <c r="M809" s="348"/>
      <c r="N809" s="348"/>
      <c r="O809" s="348"/>
      <c r="P809" s="347"/>
      <c r="Q809" s="347"/>
      <c r="R809" s="347"/>
      <c r="S809" s="347"/>
      <c r="T809" s="347"/>
      <c r="U809" s="347"/>
      <c r="V809" s="347"/>
      <c r="W809" s="347"/>
      <c r="X809" s="347"/>
      <c r="Y809" s="347"/>
      <c r="Z809" s="347"/>
      <c r="AA809" s="604"/>
      <c r="AB809" s="347"/>
      <c r="AC809" s="590"/>
      <c r="AD809" s="347"/>
      <c r="AE809" s="347"/>
      <c r="AF809" s="347"/>
      <c r="AG809" s="347"/>
      <c r="AH809" s="347"/>
      <c r="AI809" s="347"/>
      <c r="AJ809" s="347"/>
      <c r="AK809" s="347"/>
      <c r="AL809" s="347"/>
      <c r="AM809" s="347"/>
      <c r="AN809" s="347"/>
      <c r="AO809" s="347"/>
      <c r="AP809" s="347"/>
      <c r="AQ809" s="347"/>
      <c r="AR809" s="347"/>
      <c r="AS809" s="347"/>
      <c r="AT809" s="347"/>
      <c r="AU809" s="347"/>
      <c r="AV809" s="347"/>
      <c r="AW809" s="347"/>
      <c r="AX809" s="347"/>
      <c r="AY809" s="347"/>
      <c r="AZ809" s="347"/>
      <c r="BA809" s="347"/>
      <c r="BB809" s="347"/>
      <c r="BC809" s="347"/>
      <c r="BD809" s="347"/>
      <c r="BE809" s="347"/>
      <c r="BF809" s="347"/>
      <c r="BG809" s="347"/>
      <c r="BH809" s="347"/>
    </row>
    <row r="810">
      <c r="A810" s="347"/>
      <c r="B810" s="347"/>
      <c r="C810" s="347"/>
      <c r="D810" s="347"/>
      <c r="E810" s="347"/>
      <c r="F810" s="347"/>
      <c r="G810" s="347"/>
      <c r="H810" s="347"/>
      <c r="I810" s="347"/>
      <c r="J810" s="347"/>
      <c r="K810" s="348"/>
      <c r="L810" s="348"/>
      <c r="M810" s="348"/>
      <c r="N810" s="348"/>
      <c r="O810" s="348"/>
      <c r="P810" s="347"/>
      <c r="Q810" s="347"/>
      <c r="R810" s="347"/>
      <c r="S810" s="347"/>
      <c r="T810" s="347"/>
      <c r="U810" s="347"/>
      <c r="V810" s="347"/>
      <c r="W810" s="347"/>
      <c r="X810" s="347"/>
      <c r="Y810" s="347"/>
      <c r="Z810" s="347"/>
      <c r="AA810" s="604"/>
      <c r="AB810" s="347"/>
      <c r="AC810" s="590"/>
      <c r="AD810" s="347"/>
      <c r="AE810" s="347"/>
      <c r="AF810" s="347"/>
      <c r="AG810" s="347"/>
      <c r="AH810" s="347"/>
      <c r="AI810" s="347"/>
      <c r="AJ810" s="347"/>
      <c r="AK810" s="347"/>
      <c r="AL810" s="347"/>
      <c r="AM810" s="347"/>
      <c r="AN810" s="347"/>
      <c r="AO810" s="347"/>
      <c r="AP810" s="347"/>
      <c r="AQ810" s="347"/>
      <c r="AR810" s="347"/>
      <c r="AS810" s="347"/>
      <c r="AT810" s="347"/>
      <c r="AU810" s="347"/>
      <c r="AV810" s="347"/>
      <c r="AW810" s="347"/>
      <c r="AX810" s="347"/>
      <c r="AY810" s="347"/>
      <c r="AZ810" s="347"/>
      <c r="BA810" s="347"/>
      <c r="BB810" s="347"/>
      <c r="BC810" s="347"/>
      <c r="BD810" s="347"/>
      <c r="BE810" s="347"/>
      <c r="BF810" s="347"/>
      <c r="BG810" s="347"/>
      <c r="BH810" s="347"/>
    </row>
    <row r="811">
      <c r="A811" s="347"/>
      <c r="B811" s="347"/>
      <c r="C811" s="347"/>
      <c r="D811" s="347"/>
      <c r="E811" s="347"/>
      <c r="F811" s="347"/>
      <c r="G811" s="347"/>
      <c r="H811" s="347"/>
      <c r="I811" s="347"/>
      <c r="J811" s="347"/>
      <c r="K811" s="348"/>
      <c r="L811" s="348"/>
      <c r="M811" s="348"/>
      <c r="N811" s="348"/>
      <c r="O811" s="348"/>
      <c r="P811" s="347"/>
      <c r="Q811" s="347"/>
      <c r="R811" s="347"/>
      <c r="S811" s="347"/>
      <c r="T811" s="347"/>
      <c r="U811" s="347"/>
      <c r="V811" s="347"/>
      <c r="W811" s="347"/>
      <c r="X811" s="347"/>
      <c r="Y811" s="347"/>
      <c r="Z811" s="347"/>
      <c r="AA811" s="604"/>
      <c r="AB811" s="347"/>
      <c r="AC811" s="590"/>
      <c r="AD811" s="347"/>
      <c r="AE811" s="347"/>
      <c r="AF811" s="347"/>
      <c r="AG811" s="347"/>
      <c r="AH811" s="347"/>
      <c r="AI811" s="347"/>
      <c r="AJ811" s="347"/>
      <c r="AK811" s="347"/>
      <c r="AL811" s="347"/>
      <c r="AM811" s="347"/>
      <c r="AN811" s="347"/>
      <c r="AO811" s="347"/>
      <c r="AP811" s="347"/>
      <c r="AQ811" s="347"/>
      <c r="AR811" s="347"/>
      <c r="AS811" s="347"/>
      <c r="AT811" s="347"/>
      <c r="AU811" s="347"/>
      <c r="AV811" s="347"/>
      <c r="AW811" s="347"/>
      <c r="AX811" s="347"/>
      <c r="AY811" s="347"/>
      <c r="AZ811" s="347"/>
      <c r="BA811" s="347"/>
      <c r="BB811" s="347"/>
      <c r="BC811" s="347"/>
      <c r="BD811" s="347"/>
      <c r="BE811" s="347"/>
      <c r="BF811" s="347"/>
      <c r="BG811" s="347"/>
      <c r="BH811" s="347"/>
    </row>
    <row r="812">
      <c r="A812" s="347"/>
      <c r="B812" s="347"/>
      <c r="C812" s="347"/>
      <c r="D812" s="347"/>
      <c r="E812" s="347"/>
      <c r="F812" s="347"/>
      <c r="G812" s="347"/>
      <c r="H812" s="347"/>
      <c r="I812" s="347"/>
      <c r="J812" s="347"/>
      <c r="K812" s="348"/>
      <c r="L812" s="348"/>
      <c r="M812" s="348"/>
      <c r="N812" s="348"/>
      <c r="O812" s="348"/>
      <c r="P812" s="347"/>
      <c r="Q812" s="347"/>
      <c r="R812" s="347"/>
      <c r="S812" s="347"/>
      <c r="T812" s="347"/>
      <c r="U812" s="347"/>
      <c r="V812" s="347"/>
      <c r="W812" s="347"/>
      <c r="X812" s="347"/>
      <c r="Y812" s="347"/>
      <c r="Z812" s="347"/>
      <c r="AA812" s="604"/>
      <c r="AB812" s="347"/>
      <c r="AC812" s="590"/>
      <c r="AD812" s="347"/>
      <c r="AE812" s="347"/>
      <c r="AF812" s="347"/>
      <c r="AG812" s="347"/>
      <c r="AH812" s="347"/>
      <c r="AI812" s="347"/>
      <c r="AJ812" s="347"/>
      <c r="AK812" s="347"/>
      <c r="AL812" s="347"/>
      <c r="AM812" s="347"/>
      <c r="AN812" s="347"/>
      <c r="AO812" s="347"/>
      <c r="AP812" s="347"/>
      <c r="AQ812" s="347"/>
      <c r="AR812" s="347"/>
      <c r="AS812" s="347"/>
      <c r="AT812" s="347"/>
      <c r="AU812" s="347"/>
      <c r="AV812" s="347"/>
      <c r="AW812" s="347"/>
      <c r="AX812" s="347"/>
      <c r="AY812" s="347"/>
      <c r="AZ812" s="347"/>
      <c r="BA812" s="347"/>
      <c r="BB812" s="347"/>
      <c r="BC812" s="347"/>
      <c r="BD812" s="347"/>
      <c r="BE812" s="347"/>
      <c r="BF812" s="347"/>
      <c r="BG812" s="347"/>
      <c r="BH812" s="347"/>
    </row>
    <row r="813">
      <c r="A813" s="347"/>
      <c r="B813" s="347"/>
      <c r="C813" s="347"/>
      <c r="D813" s="347"/>
      <c r="E813" s="347"/>
      <c r="F813" s="347"/>
      <c r="G813" s="347"/>
      <c r="H813" s="347"/>
      <c r="I813" s="347"/>
      <c r="J813" s="347"/>
      <c r="K813" s="348"/>
      <c r="L813" s="348"/>
      <c r="M813" s="348"/>
      <c r="N813" s="348"/>
      <c r="O813" s="348"/>
      <c r="P813" s="347"/>
      <c r="Q813" s="347"/>
      <c r="R813" s="347"/>
      <c r="S813" s="347"/>
      <c r="T813" s="347"/>
      <c r="U813" s="347"/>
      <c r="V813" s="347"/>
      <c r="W813" s="347"/>
      <c r="X813" s="347"/>
      <c r="Y813" s="347"/>
      <c r="Z813" s="347"/>
      <c r="AA813" s="604"/>
      <c r="AB813" s="347"/>
      <c r="AC813" s="590"/>
      <c r="AD813" s="347"/>
      <c r="AE813" s="347"/>
      <c r="AF813" s="347"/>
      <c r="AG813" s="347"/>
      <c r="AH813" s="347"/>
      <c r="AI813" s="347"/>
      <c r="AJ813" s="347"/>
      <c r="AK813" s="347"/>
      <c r="AL813" s="347"/>
      <c r="AM813" s="347"/>
      <c r="AN813" s="347"/>
      <c r="AO813" s="347"/>
      <c r="AP813" s="347"/>
      <c r="AQ813" s="347"/>
      <c r="AR813" s="347"/>
      <c r="AS813" s="347"/>
      <c r="AT813" s="347"/>
      <c r="AU813" s="347"/>
      <c r="AV813" s="347"/>
      <c r="AW813" s="347"/>
      <c r="AX813" s="347"/>
      <c r="AY813" s="347"/>
      <c r="AZ813" s="347"/>
      <c r="BA813" s="347"/>
      <c r="BB813" s="347"/>
      <c r="BC813" s="347"/>
      <c r="BD813" s="347"/>
      <c r="BE813" s="347"/>
      <c r="BF813" s="347"/>
      <c r="BG813" s="347"/>
      <c r="BH813" s="347"/>
    </row>
    <row r="814">
      <c r="A814" s="347"/>
      <c r="B814" s="347"/>
      <c r="C814" s="347"/>
      <c r="D814" s="347"/>
      <c r="E814" s="347"/>
      <c r="F814" s="347"/>
      <c r="G814" s="347"/>
      <c r="H814" s="347"/>
      <c r="I814" s="347"/>
      <c r="J814" s="347"/>
      <c r="K814" s="348"/>
      <c r="L814" s="348"/>
      <c r="M814" s="348"/>
      <c r="N814" s="348"/>
      <c r="O814" s="348"/>
      <c r="P814" s="347"/>
      <c r="Q814" s="347"/>
      <c r="R814" s="347"/>
      <c r="S814" s="347"/>
      <c r="T814" s="347"/>
      <c r="U814" s="347"/>
      <c r="V814" s="347"/>
      <c r="W814" s="347"/>
      <c r="X814" s="347"/>
      <c r="Y814" s="347"/>
      <c r="Z814" s="347"/>
      <c r="AA814" s="604"/>
      <c r="AB814" s="347"/>
      <c r="AC814" s="590"/>
      <c r="AD814" s="347"/>
      <c r="AE814" s="347"/>
      <c r="AF814" s="347"/>
      <c r="AG814" s="347"/>
      <c r="AH814" s="347"/>
      <c r="AI814" s="347"/>
      <c r="AJ814" s="347"/>
      <c r="AK814" s="347"/>
      <c r="AL814" s="347"/>
      <c r="AM814" s="347"/>
      <c r="AN814" s="347"/>
      <c r="AO814" s="347"/>
      <c r="AP814" s="347"/>
      <c r="AQ814" s="347"/>
      <c r="AR814" s="347"/>
      <c r="AS814" s="347"/>
      <c r="AT814" s="347"/>
      <c r="AU814" s="347"/>
      <c r="AV814" s="347"/>
      <c r="AW814" s="347"/>
      <c r="AX814" s="347"/>
      <c r="AY814" s="347"/>
      <c r="AZ814" s="347"/>
      <c r="BA814" s="347"/>
      <c r="BB814" s="347"/>
      <c r="BC814" s="347"/>
      <c r="BD814" s="347"/>
      <c r="BE814" s="347"/>
      <c r="BF814" s="347"/>
      <c r="BG814" s="347"/>
      <c r="BH814" s="347"/>
    </row>
    <row r="815">
      <c r="A815" s="347"/>
      <c r="B815" s="347"/>
      <c r="C815" s="347"/>
      <c r="D815" s="347"/>
      <c r="E815" s="347"/>
      <c r="F815" s="347"/>
      <c r="G815" s="347"/>
      <c r="H815" s="347"/>
      <c r="I815" s="347"/>
      <c r="J815" s="347"/>
      <c r="K815" s="348"/>
      <c r="L815" s="348"/>
      <c r="M815" s="348"/>
      <c r="N815" s="348"/>
      <c r="O815" s="348"/>
      <c r="P815" s="347"/>
      <c r="Q815" s="347"/>
      <c r="R815" s="347"/>
      <c r="S815" s="347"/>
      <c r="T815" s="347"/>
      <c r="U815" s="347"/>
      <c r="V815" s="347"/>
      <c r="W815" s="347"/>
      <c r="X815" s="347"/>
      <c r="Y815" s="347"/>
      <c r="Z815" s="347"/>
      <c r="AA815" s="604"/>
      <c r="AB815" s="347"/>
      <c r="AC815" s="590"/>
      <c r="AD815" s="347"/>
      <c r="AE815" s="347"/>
      <c r="AF815" s="347"/>
      <c r="AG815" s="347"/>
      <c r="AH815" s="347"/>
      <c r="AI815" s="347"/>
      <c r="AJ815" s="347"/>
      <c r="AK815" s="347"/>
      <c r="AL815" s="347"/>
      <c r="AM815" s="347"/>
      <c r="AN815" s="347"/>
      <c r="AO815" s="347"/>
      <c r="AP815" s="347"/>
      <c r="AQ815" s="347"/>
      <c r="AR815" s="347"/>
      <c r="AS815" s="347"/>
      <c r="AT815" s="347"/>
      <c r="AU815" s="347"/>
      <c r="AV815" s="347"/>
      <c r="AW815" s="347"/>
      <c r="AX815" s="347"/>
      <c r="AY815" s="347"/>
      <c r="AZ815" s="347"/>
      <c r="BA815" s="347"/>
      <c r="BB815" s="347"/>
      <c r="BC815" s="347"/>
      <c r="BD815" s="347"/>
      <c r="BE815" s="347"/>
      <c r="BF815" s="347"/>
      <c r="BG815" s="347"/>
      <c r="BH815" s="347"/>
    </row>
    <row r="816">
      <c r="A816" s="347"/>
      <c r="B816" s="347"/>
      <c r="C816" s="347"/>
      <c r="D816" s="347"/>
      <c r="E816" s="347"/>
      <c r="F816" s="347"/>
      <c r="G816" s="347"/>
      <c r="H816" s="347"/>
      <c r="I816" s="347"/>
      <c r="J816" s="347"/>
      <c r="K816" s="348"/>
      <c r="L816" s="348"/>
      <c r="M816" s="348"/>
      <c r="N816" s="348"/>
      <c r="O816" s="348"/>
      <c r="P816" s="347"/>
      <c r="Q816" s="347"/>
      <c r="R816" s="347"/>
      <c r="S816" s="347"/>
      <c r="T816" s="347"/>
      <c r="U816" s="347"/>
      <c r="V816" s="347"/>
      <c r="W816" s="347"/>
      <c r="X816" s="347"/>
      <c r="Y816" s="347"/>
      <c r="Z816" s="347"/>
      <c r="AA816" s="604"/>
      <c r="AB816" s="347"/>
      <c r="AC816" s="590"/>
      <c r="AD816" s="347"/>
      <c r="AE816" s="347"/>
      <c r="AF816" s="347"/>
      <c r="AG816" s="347"/>
      <c r="AH816" s="347"/>
      <c r="AI816" s="347"/>
      <c r="AJ816" s="347"/>
      <c r="AK816" s="347"/>
      <c r="AL816" s="347"/>
      <c r="AM816" s="347"/>
      <c r="AN816" s="347"/>
      <c r="AO816" s="347"/>
      <c r="AP816" s="347"/>
      <c r="AQ816" s="347"/>
      <c r="AR816" s="347"/>
      <c r="AS816" s="347"/>
      <c r="AT816" s="347"/>
      <c r="AU816" s="347"/>
      <c r="AV816" s="347"/>
      <c r="AW816" s="347"/>
      <c r="AX816" s="347"/>
      <c r="AY816" s="347"/>
      <c r="AZ816" s="347"/>
      <c r="BA816" s="347"/>
      <c r="BB816" s="347"/>
      <c r="BC816" s="347"/>
      <c r="BD816" s="347"/>
      <c r="BE816" s="347"/>
      <c r="BF816" s="347"/>
      <c r="BG816" s="347"/>
      <c r="BH816" s="347"/>
    </row>
    <row r="817">
      <c r="A817" s="347"/>
      <c r="B817" s="347"/>
      <c r="C817" s="347"/>
      <c r="D817" s="347"/>
      <c r="E817" s="347"/>
      <c r="F817" s="347"/>
      <c r="G817" s="347"/>
      <c r="H817" s="347"/>
      <c r="I817" s="347"/>
      <c r="J817" s="347"/>
      <c r="K817" s="348"/>
      <c r="L817" s="348"/>
      <c r="M817" s="348"/>
      <c r="N817" s="348"/>
      <c r="O817" s="348"/>
      <c r="P817" s="347"/>
      <c r="Q817" s="347"/>
      <c r="R817" s="347"/>
      <c r="S817" s="347"/>
      <c r="T817" s="347"/>
      <c r="U817" s="347"/>
      <c r="V817" s="347"/>
      <c r="W817" s="347"/>
      <c r="X817" s="347"/>
      <c r="Y817" s="347"/>
      <c r="Z817" s="347"/>
      <c r="AA817" s="604"/>
      <c r="AB817" s="347"/>
      <c r="AC817" s="590"/>
      <c r="AD817" s="347"/>
      <c r="AE817" s="347"/>
      <c r="AF817" s="347"/>
      <c r="AG817" s="347"/>
      <c r="AH817" s="347"/>
      <c r="AI817" s="347"/>
      <c r="AJ817" s="347"/>
      <c r="AK817" s="347"/>
      <c r="AL817" s="347"/>
      <c r="AM817" s="347"/>
      <c r="AN817" s="347"/>
      <c r="AO817" s="347"/>
      <c r="AP817" s="347"/>
      <c r="AQ817" s="347"/>
      <c r="AR817" s="347"/>
      <c r="AS817" s="347"/>
      <c r="AT817" s="347"/>
      <c r="AU817" s="347"/>
      <c r="AV817" s="347"/>
      <c r="AW817" s="347"/>
      <c r="AX817" s="347"/>
      <c r="AY817" s="347"/>
      <c r="AZ817" s="347"/>
      <c r="BA817" s="347"/>
      <c r="BB817" s="347"/>
      <c r="BC817" s="347"/>
      <c r="BD817" s="347"/>
      <c r="BE817" s="347"/>
      <c r="BF817" s="347"/>
      <c r="BG817" s="347"/>
      <c r="BH817" s="347"/>
    </row>
    <row r="818">
      <c r="A818" s="347"/>
      <c r="B818" s="347"/>
      <c r="C818" s="347"/>
      <c r="D818" s="347"/>
      <c r="E818" s="347"/>
      <c r="F818" s="347"/>
      <c r="G818" s="347"/>
      <c r="H818" s="347"/>
      <c r="I818" s="347"/>
      <c r="J818" s="347"/>
      <c r="K818" s="348"/>
      <c r="L818" s="348"/>
      <c r="M818" s="348"/>
      <c r="N818" s="348"/>
      <c r="O818" s="348"/>
      <c r="P818" s="347"/>
      <c r="Q818" s="347"/>
      <c r="R818" s="347"/>
      <c r="S818" s="347"/>
      <c r="T818" s="347"/>
      <c r="U818" s="347"/>
      <c r="V818" s="347"/>
      <c r="W818" s="347"/>
      <c r="X818" s="347"/>
      <c r="Y818" s="347"/>
      <c r="Z818" s="347"/>
      <c r="AA818" s="604"/>
      <c r="AB818" s="347"/>
      <c r="AC818" s="590"/>
      <c r="AD818" s="347"/>
      <c r="AE818" s="347"/>
      <c r="AF818" s="347"/>
      <c r="AG818" s="347"/>
      <c r="AH818" s="347"/>
      <c r="AI818" s="347"/>
      <c r="AJ818" s="347"/>
      <c r="AK818" s="347"/>
      <c r="AL818" s="347"/>
      <c r="AM818" s="347"/>
      <c r="AN818" s="347"/>
      <c r="AO818" s="347"/>
      <c r="AP818" s="347"/>
      <c r="AQ818" s="347"/>
      <c r="AR818" s="347"/>
      <c r="AS818" s="347"/>
      <c r="AT818" s="347"/>
      <c r="AU818" s="347"/>
      <c r="AV818" s="347"/>
      <c r="AW818" s="347"/>
      <c r="AX818" s="347"/>
      <c r="AY818" s="347"/>
      <c r="AZ818" s="347"/>
      <c r="BA818" s="347"/>
      <c r="BB818" s="347"/>
      <c r="BC818" s="347"/>
      <c r="BD818" s="347"/>
      <c r="BE818" s="347"/>
      <c r="BF818" s="347"/>
      <c r="BG818" s="347"/>
      <c r="BH818" s="347"/>
    </row>
    <row r="819">
      <c r="A819" s="347"/>
      <c r="B819" s="347"/>
      <c r="C819" s="347"/>
      <c r="D819" s="347"/>
      <c r="E819" s="347"/>
      <c r="F819" s="347"/>
      <c r="G819" s="347"/>
      <c r="H819" s="347"/>
      <c r="I819" s="347"/>
      <c r="J819" s="347"/>
      <c r="K819" s="348"/>
      <c r="L819" s="348"/>
      <c r="M819" s="348"/>
      <c r="N819" s="348"/>
      <c r="O819" s="348"/>
      <c r="P819" s="347"/>
      <c r="Q819" s="347"/>
      <c r="R819" s="347"/>
      <c r="S819" s="347"/>
      <c r="T819" s="347"/>
      <c r="U819" s="347"/>
      <c r="V819" s="347"/>
      <c r="W819" s="347"/>
      <c r="X819" s="347"/>
      <c r="Y819" s="347"/>
      <c r="Z819" s="347"/>
      <c r="AA819" s="604"/>
      <c r="AB819" s="347"/>
      <c r="AC819" s="590"/>
      <c r="AD819" s="347"/>
      <c r="AE819" s="347"/>
      <c r="AF819" s="347"/>
      <c r="AG819" s="347"/>
      <c r="AH819" s="347"/>
      <c r="AI819" s="347"/>
      <c r="AJ819" s="347"/>
      <c r="AK819" s="347"/>
      <c r="AL819" s="347"/>
      <c r="AM819" s="347"/>
      <c r="AN819" s="347"/>
      <c r="AO819" s="347"/>
      <c r="AP819" s="347"/>
      <c r="AQ819" s="347"/>
      <c r="AR819" s="347"/>
      <c r="AS819" s="347"/>
      <c r="AT819" s="347"/>
      <c r="AU819" s="347"/>
      <c r="AV819" s="347"/>
      <c r="AW819" s="347"/>
      <c r="AX819" s="347"/>
      <c r="AY819" s="347"/>
      <c r="AZ819" s="347"/>
      <c r="BA819" s="347"/>
      <c r="BB819" s="347"/>
      <c r="BC819" s="347"/>
      <c r="BD819" s="347"/>
      <c r="BE819" s="347"/>
      <c r="BF819" s="347"/>
      <c r="BG819" s="347"/>
      <c r="BH819" s="347"/>
    </row>
    <row r="820">
      <c r="A820" s="347"/>
      <c r="B820" s="347"/>
      <c r="C820" s="347"/>
      <c r="D820" s="347"/>
      <c r="E820" s="347"/>
      <c r="F820" s="347"/>
      <c r="G820" s="347"/>
      <c r="H820" s="347"/>
      <c r="I820" s="347"/>
      <c r="J820" s="347"/>
      <c r="K820" s="348"/>
      <c r="L820" s="348"/>
      <c r="M820" s="348"/>
      <c r="N820" s="348"/>
      <c r="O820" s="348"/>
      <c r="P820" s="347"/>
      <c r="Q820" s="347"/>
      <c r="R820" s="347"/>
      <c r="S820" s="347"/>
      <c r="T820" s="347"/>
      <c r="U820" s="347"/>
      <c r="V820" s="347"/>
      <c r="W820" s="347"/>
      <c r="X820" s="347"/>
      <c r="Y820" s="347"/>
      <c r="Z820" s="347"/>
      <c r="AA820" s="604"/>
      <c r="AB820" s="347"/>
      <c r="AC820" s="590"/>
      <c r="AD820" s="347"/>
      <c r="AE820" s="347"/>
      <c r="AF820" s="347"/>
      <c r="AG820" s="347"/>
      <c r="AH820" s="347"/>
      <c r="AI820" s="347"/>
      <c r="AJ820" s="347"/>
      <c r="AK820" s="347"/>
      <c r="AL820" s="347"/>
      <c r="AM820" s="347"/>
      <c r="AN820" s="347"/>
      <c r="AO820" s="347"/>
      <c r="AP820" s="347"/>
      <c r="AQ820" s="347"/>
      <c r="AR820" s="347"/>
      <c r="AS820" s="347"/>
      <c r="AT820" s="347"/>
      <c r="AU820" s="347"/>
      <c r="AV820" s="347"/>
      <c r="AW820" s="347"/>
      <c r="AX820" s="347"/>
      <c r="AY820" s="347"/>
      <c r="AZ820" s="347"/>
      <c r="BA820" s="347"/>
      <c r="BB820" s="347"/>
      <c r="BC820" s="347"/>
      <c r="BD820" s="347"/>
      <c r="BE820" s="347"/>
      <c r="BF820" s="347"/>
      <c r="BG820" s="347"/>
      <c r="BH820" s="347"/>
    </row>
    <row r="821">
      <c r="A821" s="347"/>
      <c r="B821" s="347"/>
      <c r="C821" s="347"/>
      <c r="D821" s="347"/>
      <c r="E821" s="347"/>
      <c r="F821" s="347"/>
      <c r="G821" s="347"/>
      <c r="H821" s="347"/>
      <c r="I821" s="347"/>
      <c r="J821" s="347"/>
      <c r="K821" s="348"/>
      <c r="L821" s="348"/>
      <c r="M821" s="348"/>
      <c r="N821" s="348"/>
      <c r="O821" s="348"/>
      <c r="P821" s="347"/>
      <c r="Q821" s="347"/>
      <c r="R821" s="347"/>
      <c r="S821" s="347"/>
      <c r="T821" s="347"/>
      <c r="U821" s="347"/>
      <c r="V821" s="347"/>
      <c r="W821" s="347"/>
      <c r="X821" s="347"/>
      <c r="Y821" s="347"/>
      <c r="Z821" s="347"/>
      <c r="AA821" s="604"/>
      <c r="AB821" s="347"/>
      <c r="AC821" s="590"/>
      <c r="AD821" s="347"/>
      <c r="AE821" s="347"/>
      <c r="AF821" s="347"/>
      <c r="AG821" s="347"/>
      <c r="AH821" s="347"/>
      <c r="AI821" s="347"/>
      <c r="AJ821" s="347"/>
      <c r="AK821" s="347"/>
      <c r="AL821" s="347"/>
      <c r="AM821" s="347"/>
      <c r="AN821" s="347"/>
      <c r="AO821" s="347"/>
      <c r="AP821" s="347"/>
      <c r="AQ821" s="347"/>
      <c r="AR821" s="347"/>
      <c r="AS821" s="347"/>
      <c r="AT821" s="347"/>
      <c r="AU821" s="347"/>
      <c r="AV821" s="347"/>
      <c r="AW821" s="347"/>
      <c r="AX821" s="347"/>
      <c r="AY821" s="347"/>
      <c r="AZ821" s="347"/>
      <c r="BA821" s="347"/>
      <c r="BB821" s="347"/>
      <c r="BC821" s="347"/>
      <c r="BD821" s="347"/>
      <c r="BE821" s="347"/>
      <c r="BF821" s="347"/>
      <c r="BG821" s="347"/>
      <c r="BH821" s="347"/>
    </row>
    <row r="822">
      <c r="A822" s="347"/>
      <c r="B822" s="347"/>
      <c r="C822" s="347"/>
      <c r="D822" s="347"/>
      <c r="E822" s="347"/>
      <c r="F822" s="347"/>
      <c r="G822" s="347"/>
      <c r="H822" s="347"/>
      <c r="I822" s="347"/>
      <c r="J822" s="347"/>
      <c r="K822" s="348"/>
      <c r="L822" s="348"/>
      <c r="M822" s="348"/>
      <c r="N822" s="348"/>
      <c r="O822" s="348"/>
      <c r="P822" s="347"/>
      <c r="Q822" s="347"/>
      <c r="R822" s="347"/>
      <c r="S822" s="347"/>
      <c r="T822" s="347"/>
      <c r="U822" s="347"/>
      <c r="V822" s="347"/>
      <c r="W822" s="347"/>
      <c r="X822" s="347"/>
      <c r="Y822" s="347"/>
      <c r="Z822" s="347"/>
      <c r="AA822" s="604"/>
      <c r="AB822" s="347"/>
      <c r="AC822" s="590"/>
      <c r="AD822" s="347"/>
      <c r="AE822" s="347"/>
      <c r="AF822" s="347"/>
      <c r="AG822" s="347"/>
      <c r="AH822" s="347"/>
      <c r="AI822" s="347"/>
      <c r="AJ822" s="347"/>
      <c r="AK822" s="347"/>
      <c r="AL822" s="347"/>
      <c r="AM822" s="347"/>
      <c r="AN822" s="347"/>
      <c r="AO822" s="347"/>
      <c r="AP822" s="347"/>
      <c r="AQ822" s="347"/>
      <c r="AR822" s="347"/>
      <c r="AS822" s="347"/>
      <c r="AT822" s="347"/>
      <c r="AU822" s="347"/>
      <c r="AV822" s="347"/>
      <c r="AW822" s="347"/>
      <c r="AX822" s="347"/>
      <c r="AY822" s="347"/>
      <c r="AZ822" s="347"/>
      <c r="BA822" s="347"/>
      <c r="BB822" s="347"/>
      <c r="BC822" s="347"/>
      <c r="BD822" s="347"/>
      <c r="BE822" s="347"/>
      <c r="BF822" s="347"/>
      <c r="BG822" s="347"/>
      <c r="BH822" s="347"/>
    </row>
    <row r="823">
      <c r="A823" s="347"/>
      <c r="B823" s="347"/>
      <c r="C823" s="347"/>
      <c r="D823" s="347"/>
      <c r="E823" s="347"/>
      <c r="F823" s="347"/>
      <c r="G823" s="347"/>
      <c r="H823" s="347"/>
      <c r="I823" s="347"/>
      <c r="J823" s="347"/>
      <c r="K823" s="348"/>
      <c r="L823" s="348"/>
      <c r="M823" s="348"/>
      <c r="N823" s="348"/>
      <c r="O823" s="348"/>
      <c r="P823" s="347"/>
      <c r="Q823" s="347"/>
      <c r="R823" s="347"/>
      <c r="S823" s="347"/>
      <c r="T823" s="347"/>
      <c r="U823" s="347"/>
      <c r="V823" s="347"/>
      <c r="W823" s="347"/>
      <c r="X823" s="347"/>
      <c r="Y823" s="347"/>
      <c r="Z823" s="347"/>
      <c r="AA823" s="604"/>
      <c r="AB823" s="347"/>
      <c r="AC823" s="590"/>
      <c r="AD823" s="347"/>
      <c r="AE823" s="347"/>
      <c r="AF823" s="347"/>
      <c r="AG823" s="347"/>
      <c r="AH823" s="347"/>
      <c r="AI823" s="347"/>
      <c r="AJ823" s="347"/>
      <c r="AK823" s="347"/>
      <c r="AL823" s="347"/>
      <c r="AM823" s="347"/>
      <c r="AN823" s="347"/>
      <c r="AO823" s="347"/>
      <c r="AP823" s="347"/>
      <c r="AQ823" s="347"/>
      <c r="AR823" s="347"/>
      <c r="AS823" s="347"/>
      <c r="AT823" s="347"/>
      <c r="AU823" s="347"/>
      <c r="AV823" s="347"/>
      <c r="AW823" s="347"/>
      <c r="AX823" s="347"/>
      <c r="AY823" s="347"/>
      <c r="AZ823" s="347"/>
      <c r="BA823" s="347"/>
      <c r="BB823" s="347"/>
      <c r="BC823" s="347"/>
      <c r="BD823" s="347"/>
      <c r="BE823" s="347"/>
      <c r="BF823" s="347"/>
      <c r="BG823" s="347"/>
      <c r="BH823" s="347"/>
    </row>
    <row r="824">
      <c r="A824" s="347"/>
      <c r="B824" s="347"/>
      <c r="C824" s="347"/>
      <c r="D824" s="347"/>
      <c r="E824" s="347"/>
      <c r="F824" s="347"/>
      <c r="G824" s="347"/>
      <c r="H824" s="347"/>
      <c r="I824" s="347"/>
      <c r="J824" s="347"/>
      <c r="K824" s="348"/>
      <c r="L824" s="348"/>
      <c r="M824" s="348"/>
      <c r="N824" s="348"/>
      <c r="O824" s="348"/>
      <c r="P824" s="347"/>
      <c r="Q824" s="347"/>
      <c r="R824" s="347"/>
      <c r="S824" s="347"/>
      <c r="T824" s="347"/>
      <c r="U824" s="347"/>
      <c r="V824" s="347"/>
      <c r="W824" s="347"/>
      <c r="X824" s="347"/>
      <c r="Y824" s="347"/>
      <c r="Z824" s="347"/>
      <c r="AA824" s="604"/>
      <c r="AB824" s="347"/>
      <c r="AC824" s="590"/>
      <c r="AD824" s="347"/>
      <c r="AE824" s="347"/>
      <c r="AF824" s="347"/>
      <c r="AG824" s="347"/>
      <c r="AH824" s="347"/>
      <c r="AI824" s="347"/>
      <c r="AJ824" s="347"/>
      <c r="AK824" s="347"/>
      <c r="AL824" s="347"/>
      <c r="AM824" s="347"/>
      <c r="AN824" s="347"/>
      <c r="AO824" s="347"/>
      <c r="AP824" s="347"/>
      <c r="AQ824" s="347"/>
      <c r="AR824" s="347"/>
      <c r="AS824" s="347"/>
      <c r="AT824" s="347"/>
      <c r="AU824" s="347"/>
      <c r="AV824" s="347"/>
      <c r="AW824" s="347"/>
      <c r="AX824" s="347"/>
      <c r="AY824" s="347"/>
      <c r="AZ824" s="347"/>
      <c r="BA824" s="347"/>
      <c r="BB824" s="347"/>
      <c r="BC824" s="347"/>
      <c r="BD824" s="347"/>
      <c r="BE824" s="347"/>
      <c r="BF824" s="347"/>
      <c r="BG824" s="347"/>
      <c r="BH824" s="347"/>
    </row>
    <row r="825">
      <c r="A825" s="347"/>
      <c r="B825" s="347"/>
      <c r="C825" s="347"/>
      <c r="D825" s="347"/>
      <c r="E825" s="347"/>
      <c r="F825" s="347"/>
      <c r="G825" s="347"/>
      <c r="H825" s="347"/>
      <c r="I825" s="347"/>
      <c r="J825" s="347"/>
      <c r="K825" s="348"/>
      <c r="L825" s="348"/>
      <c r="M825" s="348"/>
      <c r="N825" s="348"/>
      <c r="O825" s="348"/>
      <c r="P825" s="347"/>
      <c r="Q825" s="347"/>
      <c r="R825" s="347"/>
      <c r="S825" s="347"/>
      <c r="T825" s="347"/>
      <c r="U825" s="347"/>
      <c r="V825" s="347"/>
      <c r="W825" s="347"/>
      <c r="X825" s="347"/>
      <c r="Y825" s="347"/>
      <c r="Z825" s="347"/>
      <c r="AA825" s="604"/>
      <c r="AB825" s="347"/>
      <c r="AC825" s="590"/>
      <c r="AD825" s="347"/>
      <c r="AE825" s="347"/>
      <c r="AF825" s="347"/>
      <c r="AG825" s="347"/>
      <c r="AH825" s="347"/>
      <c r="AI825" s="347"/>
      <c r="AJ825" s="347"/>
      <c r="AK825" s="347"/>
      <c r="AL825" s="347"/>
      <c r="AM825" s="347"/>
      <c r="AN825" s="347"/>
      <c r="AO825" s="347"/>
      <c r="AP825" s="347"/>
      <c r="AQ825" s="347"/>
      <c r="AR825" s="347"/>
      <c r="AS825" s="347"/>
      <c r="AT825" s="347"/>
      <c r="AU825" s="347"/>
      <c r="AV825" s="347"/>
      <c r="AW825" s="347"/>
      <c r="AX825" s="347"/>
      <c r="AY825" s="347"/>
      <c r="AZ825" s="347"/>
      <c r="BA825" s="347"/>
      <c r="BB825" s="347"/>
      <c r="BC825" s="347"/>
      <c r="BD825" s="347"/>
      <c r="BE825" s="347"/>
      <c r="BF825" s="347"/>
      <c r="BG825" s="347"/>
      <c r="BH825" s="347"/>
    </row>
    <row r="826">
      <c r="A826" s="347"/>
      <c r="B826" s="347"/>
      <c r="C826" s="347"/>
      <c r="D826" s="347"/>
      <c r="E826" s="347"/>
      <c r="F826" s="347"/>
      <c r="G826" s="347"/>
      <c r="H826" s="347"/>
      <c r="I826" s="347"/>
      <c r="J826" s="347"/>
      <c r="K826" s="348"/>
      <c r="L826" s="348"/>
      <c r="M826" s="348"/>
      <c r="N826" s="348"/>
      <c r="O826" s="348"/>
      <c r="P826" s="347"/>
      <c r="Q826" s="347"/>
      <c r="R826" s="347"/>
      <c r="S826" s="347"/>
      <c r="T826" s="347"/>
      <c r="U826" s="347"/>
      <c r="V826" s="347"/>
      <c r="W826" s="347"/>
      <c r="X826" s="347"/>
      <c r="Y826" s="347"/>
      <c r="Z826" s="347"/>
      <c r="AA826" s="604"/>
      <c r="AB826" s="347"/>
      <c r="AC826" s="590"/>
      <c r="AD826" s="347"/>
      <c r="AE826" s="347"/>
      <c r="AF826" s="347"/>
      <c r="AG826" s="347"/>
      <c r="AH826" s="347"/>
      <c r="AI826" s="347"/>
      <c r="AJ826" s="347"/>
      <c r="AK826" s="347"/>
      <c r="AL826" s="347"/>
      <c r="AM826" s="347"/>
      <c r="AN826" s="347"/>
      <c r="AO826" s="347"/>
      <c r="AP826" s="347"/>
      <c r="AQ826" s="347"/>
      <c r="AR826" s="347"/>
      <c r="AS826" s="347"/>
      <c r="AT826" s="347"/>
      <c r="AU826" s="347"/>
      <c r="AV826" s="347"/>
      <c r="AW826" s="347"/>
      <c r="AX826" s="347"/>
      <c r="AY826" s="347"/>
      <c r="AZ826" s="347"/>
      <c r="BA826" s="347"/>
      <c r="BB826" s="347"/>
      <c r="BC826" s="347"/>
      <c r="BD826" s="347"/>
      <c r="BE826" s="347"/>
      <c r="BF826" s="347"/>
      <c r="BG826" s="347"/>
      <c r="BH826" s="347"/>
    </row>
    <row r="827">
      <c r="A827" s="347"/>
      <c r="B827" s="347"/>
      <c r="C827" s="347"/>
      <c r="D827" s="347"/>
      <c r="E827" s="347"/>
      <c r="F827" s="347"/>
      <c r="G827" s="347"/>
      <c r="H827" s="347"/>
      <c r="I827" s="347"/>
      <c r="J827" s="347"/>
      <c r="K827" s="348"/>
      <c r="L827" s="348"/>
      <c r="M827" s="348"/>
      <c r="N827" s="348"/>
      <c r="O827" s="348"/>
      <c r="P827" s="347"/>
      <c r="Q827" s="347"/>
      <c r="R827" s="347"/>
      <c r="S827" s="347"/>
      <c r="T827" s="347"/>
      <c r="U827" s="347"/>
      <c r="V827" s="347"/>
      <c r="W827" s="347"/>
      <c r="X827" s="347"/>
      <c r="Y827" s="347"/>
      <c r="Z827" s="347"/>
      <c r="AA827" s="604"/>
      <c r="AB827" s="347"/>
      <c r="AC827" s="590"/>
      <c r="AD827" s="347"/>
      <c r="AE827" s="347"/>
      <c r="AF827" s="347"/>
      <c r="AG827" s="347"/>
      <c r="AH827" s="347"/>
      <c r="AI827" s="347"/>
      <c r="AJ827" s="347"/>
      <c r="AK827" s="347"/>
      <c r="AL827" s="347"/>
      <c r="AM827" s="347"/>
      <c r="AN827" s="347"/>
      <c r="AO827" s="347"/>
      <c r="AP827" s="347"/>
      <c r="AQ827" s="347"/>
      <c r="AR827" s="347"/>
      <c r="AS827" s="347"/>
      <c r="AT827" s="347"/>
      <c r="AU827" s="347"/>
      <c r="AV827" s="347"/>
      <c r="AW827" s="347"/>
      <c r="AX827" s="347"/>
      <c r="AY827" s="347"/>
      <c r="AZ827" s="347"/>
      <c r="BA827" s="347"/>
      <c r="BB827" s="347"/>
      <c r="BC827" s="347"/>
      <c r="BD827" s="347"/>
      <c r="BE827" s="347"/>
      <c r="BF827" s="347"/>
      <c r="BG827" s="347"/>
      <c r="BH827" s="347"/>
    </row>
    <row r="828">
      <c r="A828" s="347"/>
      <c r="B828" s="347"/>
      <c r="C828" s="347"/>
      <c r="D828" s="347"/>
      <c r="E828" s="347"/>
      <c r="F828" s="347"/>
      <c r="G828" s="347"/>
      <c r="H828" s="347"/>
      <c r="I828" s="347"/>
      <c r="J828" s="347"/>
      <c r="K828" s="348"/>
      <c r="L828" s="348"/>
      <c r="M828" s="348"/>
      <c r="N828" s="348"/>
      <c r="O828" s="348"/>
      <c r="P828" s="347"/>
      <c r="Q828" s="347"/>
      <c r="R828" s="347"/>
      <c r="S828" s="347"/>
      <c r="T828" s="347"/>
      <c r="U828" s="347"/>
      <c r="V828" s="347"/>
      <c r="W828" s="347"/>
      <c r="X828" s="347"/>
      <c r="Y828" s="347"/>
      <c r="Z828" s="347"/>
      <c r="AA828" s="604"/>
      <c r="AB828" s="347"/>
      <c r="AC828" s="590"/>
      <c r="AD828" s="347"/>
      <c r="AE828" s="347"/>
      <c r="AF828" s="347"/>
      <c r="AG828" s="347"/>
      <c r="AH828" s="347"/>
      <c r="AI828" s="347"/>
      <c r="AJ828" s="347"/>
      <c r="AK828" s="347"/>
      <c r="AL828" s="347"/>
      <c r="AM828" s="347"/>
      <c r="AN828" s="347"/>
      <c r="AO828" s="347"/>
      <c r="AP828" s="347"/>
      <c r="AQ828" s="347"/>
      <c r="AR828" s="347"/>
      <c r="AS828" s="347"/>
      <c r="AT828" s="347"/>
      <c r="AU828" s="347"/>
      <c r="AV828" s="347"/>
      <c r="AW828" s="347"/>
      <c r="AX828" s="347"/>
      <c r="AY828" s="347"/>
      <c r="AZ828" s="347"/>
      <c r="BA828" s="347"/>
      <c r="BB828" s="347"/>
      <c r="BC828" s="347"/>
      <c r="BD828" s="347"/>
      <c r="BE828" s="347"/>
      <c r="BF828" s="347"/>
      <c r="BG828" s="347"/>
      <c r="BH828" s="347"/>
    </row>
    <row r="829">
      <c r="A829" s="347"/>
      <c r="B829" s="347"/>
      <c r="C829" s="347"/>
      <c r="D829" s="347"/>
      <c r="E829" s="347"/>
      <c r="F829" s="347"/>
      <c r="G829" s="347"/>
      <c r="H829" s="347"/>
      <c r="I829" s="347"/>
      <c r="J829" s="347"/>
      <c r="K829" s="348"/>
      <c r="L829" s="348"/>
      <c r="M829" s="348"/>
      <c r="N829" s="348"/>
      <c r="O829" s="348"/>
      <c r="P829" s="347"/>
      <c r="Q829" s="347"/>
      <c r="R829" s="347"/>
      <c r="S829" s="347"/>
      <c r="T829" s="347"/>
      <c r="U829" s="347"/>
      <c r="V829" s="347"/>
      <c r="W829" s="347"/>
      <c r="X829" s="347"/>
      <c r="Y829" s="347"/>
      <c r="Z829" s="347"/>
      <c r="AA829" s="604"/>
      <c r="AB829" s="347"/>
      <c r="AC829" s="590"/>
      <c r="AD829" s="347"/>
      <c r="AE829" s="347"/>
      <c r="AF829" s="347"/>
      <c r="AG829" s="347"/>
      <c r="AH829" s="347"/>
      <c r="AI829" s="347"/>
      <c r="AJ829" s="347"/>
      <c r="AK829" s="347"/>
      <c r="AL829" s="347"/>
      <c r="AM829" s="347"/>
      <c r="AN829" s="347"/>
      <c r="AO829" s="347"/>
      <c r="AP829" s="347"/>
      <c r="AQ829" s="347"/>
      <c r="AR829" s="347"/>
      <c r="AS829" s="347"/>
      <c r="AT829" s="347"/>
      <c r="AU829" s="347"/>
      <c r="AV829" s="347"/>
      <c r="AW829" s="347"/>
      <c r="AX829" s="347"/>
      <c r="AY829" s="347"/>
      <c r="AZ829" s="347"/>
      <c r="BA829" s="347"/>
      <c r="BB829" s="347"/>
      <c r="BC829" s="347"/>
      <c r="BD829" s="347"/>
      <c r="BE829" s="347"/>
      <c r="BF829" s="347"/>
      <c r="BG829" s="347"/>
      <c r="BH829" s="347"/>
    </row>
    <row r="830">
      <c r="A830" s="347"/>
      <c r="B830" s="347"/>
      <c r="C830" s="347"/>
      <c r="D830" s="347"/>
      <c r="E830" s="347"/>
      <c r="F830" s="347"/>
      <c r="G830" s="347"/>
      <c r="H830" s="347"/>
      <c r="I830" s="347"/>
      <c r="J830" s="347"/>
      <c r="K830" s="348"/>
      <c r="L830" s="348"/>
      <c r="M830" s="348"/>
      <c r="N830" s="348"/>
      <c r="O830" s="348"/>
      <c r="P830" s="347"/>
      <c r="Q830" s="347"/>
      <c r="R830" s="347"/>
      <c r="S830" s="347"/>
      <c r="T830" s="347"/>
      <c r="U830" s="347"/>
      <c r="V830" s="347"/>
      <c r="W830" s="347"/>
      <c r="X830" s="347"/>
      <c r="Y830" s="347"/>
      <c r="Z830" s="347"/>
      <c r="AA830" s="604"/>
      <c r="AB830" s="347"/>
      <c r="AC830" s="590"/>
      <c r="AD830" s="347"/>
      <c r="AE830" s="347"/>
      <c r="AF830" s="347"/>
      <c r="AG830" s="347"/>
      <c r="AH830" s="347"/>
      <c r="AI830" s="347"/>
      <c r="AJ830" s="347"/>
      <c r="AK830" s="347"/>
      <c r="AL830" s="347"/>
      <c r="AM830" s="347"/>
      <c r="AN830" s="347"/>
      <c r="AO830" s="347"/>
      <c r="AP830" s="347"/>
      <c r="AQ830" s="347"/>
      <c r="AR830" s="347"/>
      <c r="AS830" s="347"/>
      <c r="AT830" s="347"/>
      <c r="AU830" s="347"/>
      <c r="AV830" s="347"/>
      <c r="AW830" s="347"/>
      <c r="AX830" s="347"/>
      <c r="AY830" s="347"/>
      <c r="AZ830" s="347"/>
      <c r="BA830" s="347"/>
      <c r="BB830" s="347"/>
      <c r="BC830" s="347"/>
      <c r="BD830" s="347"/>
      <c r="BE830" s="347"/>
      <c r="BF830" s="347"/>
      <c r="BG830" s="347"/>
      <c r="BH830" s="347"/>
    </row>
    <row r="831">
      <c r="A831" s="347"/>
      <c r="B831" s="347"/>
      <c r="C831" s="347"/>
      <c r="D831" s="347"/>
      <c r="E831" s="347"/>
      <c r="F831" s="347"/>
      <c r="G831" s="347"/>
      <c r="H831" s="347"/>
      <c r="I831" s="347"/>
      <c r="J831" s="347"/>
      <c r="K831" s="348"/>
      <c r="L831" s="348"/>
      <c r="M831" s="348"/>
      <c r="N831" s="348"/>
      <c r="O831" s="348"/>
      <c r="P831" s="347"/>
      <c r="Q831" s="347"/>
      <c r="R831" s="347"/>
      <c r="S831" s="347"/>
      <c r="T831" s="347"/>
      <c r="U831" s="347"/>
      <c r="V831" s="347"/>
      <c r="W831" s="347"/>
      <c r="X831" s="347"/>
      <c r="Y831" s="347"/>
      <c r="Z831" s="347"/>
      <c r="AA831" s="604"/>
      <c r="AB831" s="347"/>
      <c r="AC831" s="590"/>
      <c r="AD831" s="347"/>
      <c r="AE831" s="347"/>
      <c r="AF831" s="347"/>
      <c r="AG831" s="347"/>
      <c r="AH831" s="347"/>
      <c r="AI831" s="347"/>
      <c r="AJ831" s="347"/>
      <c r="AK831" s="347"/>
      <c r="AL831" s="347"/>
      <c r="AM831" s="347"/>
      <c r="AN831" s="347"/>
      <c r="AO831" s="347"/>
      <c r="AP831" s="347"/>
      <c r="AQ831" s="347"/>
      <c r="AR831" s="347"/>
      <c r="AS831" s="347"/>
      <c r="AT831" s="347"/>
      <c r="AU831" s="347"/>
      <c r="AV831" s="347"/>
      <c r="AW831" s="347"/>
      <c r="AX831" s="347"/>
      <c r="AY831" s="347"/>
      <c r="AZ831" s="347"/>
      <c r="BA831" s="347"/>
      <c r="BB831" s="347"/>
      <c r="BC831" s="347"/>
      <c r="BD831" s="347"/>
      <c r="BE831" s="347"/>
      <c r="BF831" s="347"/>
      <c r="BG831" s="347"/>
      <c r="BH831" s="347"/>
    </row>
    <row r="832">
      <c r="A832" s="347"/>
      <c r="B832" s="347"/>
      <c r="C832" s="347"/>
      <c r="D832" s="347"/>
      <c r="E832" s="347"/>
      <c r="F832" s="347"/>
      <c r="G832" s="347"/>
      <c r="H832" s="347"/>
      <c r="I832" s="347"/>
      <c r="J832" s="347"/>
      <c r="K832" s="348"/>
      <c r="L832" s="348"/>
      <c r="M832" s="348"/>
      <c r="N832" s="348"/>
      <c r="O832" s="348"/>
      <c r="P832" s="347"/>
      <c r="Q832" s="347"/>
      <c r="R832" s="347"/>
      <c r="S832" s="347"/>
      <c r="T832" s="347"/>
      <c r="U832" s="347"/>
      <c r="V832" s="347"/>
      <c r="W832" s="347"/>
      <c r="X832" s="347"/>
      <c r="Y832" s="347"/>
      <c r="Z832" s="347"/>
      <c r="AA832" s="604"/>
      <c r="AB832" s="347"/>
      <c r="AC832" s="590"/>
      <c r="AD832" s="347"/>
      <c r="AE832" s="347"/>
      <c r="AF832" s="347"/>
      <c r="AG832" s="347"/>
      <c r="AH832" s="347"/>
      <c r="AI832" s="347"/>
      <c r="AJ832" s="347"/>
      <c r="AK832" s="347"/>
      <c r="AL832" s="347"/>
      <c r="AM832" s="347"/>
      <c r="AN832" s="347"/>
      <c r="AO832" s="347"/>
      <c r="AP832" s="347"/>
      <c r="AQ832" s="347"/>
      <c r="AR832" s="347"/>
      <c r="AS832" s="347"/>
      <c r="AT832" s="347"/>
      <c r="AU832" s="347"/>
      <c r="AV832" s="347"/>
      <c r="AW832" s="347"/>
      <c r="AX832" s="347"/>
      <c r="AY832" s="347"/>
      <c r="AZ832" s="347"/>
      <c r="BA832" s="347"/>
      <c r="BB832" s="347"/>
      <c r="BC832" s="347"/>
      <c r="BD832" s="347"/>
      <c r="BE832" s="347"/>
      <c r="BF832" s="347"/>
      <c r="BG832" s="347"/>
      <c r="BH832" s="347"/>
    </row>
    <row r="833">
      <c r="A833" s="347"/>
      <c r="B833" s="347"/>
      <c r="C833" s="347"/>
      <c r="D833" s="347"/>
      <c r="E833" s="347"/>
      <c r="F833" s="347"/>
      <c r="G833" s="347"/>
      <c r="H833" s="347"/>
      <c r="I833" s="347"/>
      <c r="J833" s="347"/>
      <c r="K833" s="348"/>
      <c r="L833" s="348"/>
      <c r="M833" s="348"/>
      <c r="N833" s="348"/>
      <c r="O833" s="348"/>
      <c r="P833" s="347"/>
      <c r="Q833" s="347"/>
      <c r="R833" s="347"/>
      <c r="S833" s="347"/>
      <c r="T833" s="347"/>
      <c r="U833" s="347"/>
      <c r="V833" s="347"/>
      <c r="W833" s="347"/>
      <c r="X833" s="347"/>
      <c r="Y833" s="347"/>
      <c r="Z833" s="347"/>
      <c r="AA833" s="604"/>
      <c r="AB833" s="347"/>
      <c r="AC833" s="590"/>
      <c r="AD833" s="347"/>
      <c r="AE833" s="347"/>
      <c r="AF833" s="347"/>
      <c r="AG833" s="347"/>
      <c r="AH833" s="347"/>
      <c r="AI833" s="347"/>
      <c r="AJ833" s="347"/>
      <c r="AK833" s="347"/>
      <c r="AL833" s="347"/>
      <c r="AM833" s="347"/>
      <c r="AN833" s="347"/>
      <c r="AO833" s="347"/>
      <c r="AP833" s="347"/>
      <c r="AQ833" s="347"/>
      <c r="AR833" s="347"/>
      <c r="AS833" s="347"/>
      <c r="AT833" s="347"/>
      <c r="AU833" s="347"/>
      <c r="AV833" s="347"/>
      <c r="AW833" s="347"/>
      <c r="AX833" s="347"/>
      <c r="AY833" s="347"/>
      <c r="AZ833" s="347"/>
      <c r="BA833" s="347"/>
      <c r="BB833" s="347"/>
      <c r="BC833" s="347"/>
      <c r="BD833" s="347"/>
      <c r="BE833" s="347"/>
      <c r="BF833" s="347"/>
      <c r="BG833" s="347"/>
      <c r="BH833" s="347"/>
    </row>
    <row r="834">
      <c r="A834" s="347"/>
      <c r="B834" s="347"/>
      <c r="C834" s="347"/>
      <c r="D834" s="347"/>
      <c r="E834" s="347"/>
      <c r="F834" s="347"/>
      <c r="G834" s="347"/>
      <c r="H834" s="347"/>
      <c r="I834" s="347"/>
      <c r="J834" s="347"/>
      <c r="K834" s="348"/>
      <c r="L834" s="348"/>
      <c r="M834" s="348"/>
      <c r="N834" s="348"/>
      <c r="O834" s="348"/>
      <c r="P834" s="347"/>
      <c r="Q834" s="347"/>
      <c r="R834" s="347"/>
      <c r="S834" s="347"/>
      <c r="T834" s="347"/>
      <c r="U834" s="347"/>
      <c r="V834" s="347"/>
      <c r="W834" s="347"/>
      <c r="X834" s="347"/>
      <c r="Y834" s="347"/>
      <c r="Z834" s="347"/>
      <c r="AA834" s="604"/>
      <c r="AB834" s="347"/>
      <c r="AC834" s="590"/>
      <c r="AD834" s="347"/>
      <c r="AE834" s="347"/>
      <c r="AF834" s="347"/>
      <c r="AG834" s="347"/>
      <c r="AH834" s="347"/>
      <c r="AI834" s="347"/>
      <c r="AJ834" s="347"/>
      <c r="AK834" s="347"/>
      <c r="AL834" s="347"/>
      <c r="AM834" s="347"/>
      <c r="AN834" s="347"/>
      <c r="AO834" s="347"/>
      <c r="AP834" s="347"/>
      <c r="AQ834" s="347"/>
      <c r="AR834" s="347"/>
      <c r="AS834" s="347"/>
      <c r="AT834" s="347"/>
      <c r="AU834" s="347"/>
      <c r="AV834" s="347"/>
      <c r="AW834" s="347"/>
      <c r="AX834" s="347"/>
      <c r="AY834" s="347"/>
      <c r="AZ834" s="347"/>
      <c r="BA834" s="347"/>
      <c r="BB834" s="347"/>
      <c r="BC834" s="347"/>
      <c r="BD834" s="347"/>
      <c r="BE834" s="347"/>
      <c r="BF834" s="347"/>
      <c r="BG834" s="347"/>
      <c r="BH834" s="347"/>
    </row>
    <row r="835">
      <c r="A835" s="347"/>
      <c r="B835" s="347"/>
      <c r="C835" s="347"/>
      <c r="D835" s="347"/>
      <c r="E835" s="347"/>
      <c r="F835" s="347"/>
      <c r="G835" s="347"/>
      <c r="H835" s="347"/>
      <c r="I835" s="347"/>
      <c r="J835" s="347"/>
      <c r="K835" s="348"/>
      <c r="L835" s="348"/>
      <c r="M835" s="348"/>
      <c r="N835" s="348"/>
      <c r="O835" s="348"/>
      <c r="P835" s="347"/>
      <c r="Q835" s="347"/>
      <c r="R835" s="347"/>
      <c r="S835" s="347"/>
      <c r="T835" s="347"/>
      <c r="U835" s="347"/>
      <c r="V835" s="347"/>
      <c r="W835" s="347"/>
      <c r="X835" s="347"/>
      <c r="Y835" s="347"/>
      <c r="Z835" s="347"/>
      <c r="AA835" s="604"/>
      <c r="AB835" s="347"/>
      <c r="AC835" s="590"/>
      <c r="AD835" s="347"/>
      <c r="AE835" s="347"/>
      <c r="AF835" s="347"/>
      <c r="AG835" s="347"/>
      <c r="AH835" s="347"/>
      <c r="AI835" s="347"/>
      <c r="AJ835" s="347"/>
      <c r="AK835" s="347"/>
      <c r="AL835" s="347"/>
      <c r="AM835" s="347"/>
      <c r="AN835" s="347"/>
      <c r="AO835" s="347"/>
      <c r="AP835" s="347"/>
      <c r="AQ835" s="347"/>
      <c r="AR835" s="347"/>
      <c r="AS835" s="347"/>
      <c r="AT835" s="347"/>
      <c r="AU835" s="347"/>
      <c r="AV835" s="347"/>
      <c r="AW835" s="347"/>
      <c r="AX835" s="347"/>
      <c r="AY835" s="347"/>
      <c r="AZ835" s="347"/>
      <c r="BA835" s="347"/>
      <c r="BB835" s="347"/>
      <c r="BC835" s="347"/>
      <c r="BD835" s="347"/>
      <c r="BE835" s="347"/>
      <c r="BF835" s="347"/>
      <c r="BG835" s="347"/>
      <c r="BH835" s="347"/>
    </row>
    <row r="836">
      <c r="A836" s="347"/>
      <c r="B836" s="347"/>
      <c r="C836" s="347"/>
      <c r="D836" s="347"/>
      <c r="E836" s="347"/>
      <c r="F836" s="347"/>
      <c r="G836" s="347"/>
      <c r="H836" s="347"/>
      <c r="I836" s="347"/>
      <c r="J836" s="347"/>
      <c r="K836" s="348"/>
      <c r="L836" s="348"/>
      <c r="M836" s="348"/>
      <c r="N836" s="348"/>
      <c r="O836" s="348"/>
      <c r="P836" s="347"/>
      <c r="Q836" s="347"/>
      <c r="R836" s="347"/>
      <c r="S836" s="347"/>
      <c r="T836" s="347"/>
      <c r="U836" s="347"/>
      <c r="V836" s="347"/>
      <c r="W836" s="347"/>
      <c r="X836" s="347"/>
      <c r="Y836" s="347"/>
      <c r="Z836" s="347"/>
      <c r="AA836" s="604"/>
      <c r="AB836" s="347"/>
      <c r="AC836" s="590"/>
      <c r="AD836" s="347"/>
      <c r="AE836" s="347"/>
      <c r="AF836" s="347"/>
      <c r="AG836" s="347"/>
      <c r="AH836" s="347"/>
      <c r="AI836" s="347"/>
      <c r="AJ836" s="347"/>
      <c r="AK836" s="347"/>
      <c r="AL836" s="347"/>
      <c r="AM836" s="347"/>
      <c r="AN836" s="347"/>
      <c r="AO836" s="347"/>
      <c r="AP836" s="347"/>
      <c r="AQ836" s="347"/>
      <c r="AR836" s="347"/>
      <c r="AS836" s="347"/>
      <c r="AT836" s="347"/>
      <c r="AU836" s="347"/>
      <c r="AV836" s="347"/>
      <c r="AW836" s="347"/>
      <c r="AX836" s="347"/>
      <c r="AY836" s="347"/>
      <c r="AZ836" s="347"/>
      <c r="BA836" s="347"/>
      <c r="BB836" s="347"/>
      <c r="BC836" s="347"/>
      <c r="BD836" s="347"/>
      <c r="BE836" s="347"/>
      <c r="BF836" s="347"/>
      <c r="BG836" s="347"/>
      <c r="BH836" s="347"/>
    </row>
    <row r="837">
      <c r="A837" s="347"/>
      <c r="B837" s="347"/>
      <c r="C837" s="347"/>
      <c r="D837" s="347"/>
      <c r="E837" s="347"/>
      <c r="F837" s="347"/>
      <c r="G837" s="347"/>
      <c r="H837" s="347"/>
      <c r="I837" s="347"/>
      <c r="J837" s="347"/>
      <c r="K837" s="348"/>
      <c r="L837" s="348"/>
      <c r="M837" s="348"/>
      <c r="N837" s="348"/>
      <c r="O837" s="348"/>
      <c r="P837" s="347"/>
      <c r="Q837" s="347"/>
      <c r="R837" s="347"/>
      <c r="S837" s="347"/>
      <c r="T837" s="347"/>
      <c r="U837" s="347"/>
      <c r="V837" s="347"/>
      <c r="W837" s="347"/>
      <c r="X837" s="347"/>
      <c r="Y837" s="347"/>
      <c r="Z837" s="347"/>
      <c r="AA837" s="604"/>
      <c r="AB837" s="347"/>
      <c r="AC837" s="590"/>
      <c r="AD837" s="347"/>
      <c r="AE837" s="347"/>
      <c r="AF837" s="347"/>
      <c r="AG837" s="347"/>
      <c r="AH837" s="347"/>
      <c r="AI837" s="347"/>
      <c r="AJ837" s="347"/>
      <c r="AK837" s="347"/>
      <c r="AL837" s="347"/>
      <c r="AM837" s="347"/>
      <c r="AN837" s="347"/>
      <c r="AO837" s="347"/>
      <c r="AP837" s="347"/>
      <c r="AQ837" s="347"/>
      <c r="AR837" s="347"/>
      <c r="AS837" s="347"/>
      <c r="AT837" s="347"/>
      <c r="AU837" s="347"/>
      <c r="AV837" s="347"/>
      <c r="AW837" s="347"/>
      <c r="AX837" s="347"/>
      <c r="AY837" s="347"/>
      <c r="AZ837" s="347"/>
      <c r="BA837" s="347"/>
      <c r="BB837" s="347"/>
      <c r="BC837" s="347"/>
      <c r="BD837" s="347"/>
      <c r="BE837" s="347"/>
      <c r="BF837" s="347"/>
      <c r="BG837" s="347"/>
      <c r="BH837" s="347"/>
    </row>
    <row r="838">
      <c r="A838" s="347"/>
      <c r="B838" s="347"/>
      <c r="C838" s="347"/>
      <c r="D838" s="347"/>
      <c r="E838" s="347"/>
      <c r="F838" s="347"/>
      <c r="G838" s="347"/>
      <c r="H838" s="347"/>
      <c r="I838" s="347"/>
      <c r="J838" s="347"/>
      <c r="K838" s="348"/>
      <c r="L838" s="348"/>
      <c r="M838" s="348"/>
      <c r="N838" s="348"/>
      <c r="O838" s="348"/>
      <c r="P838" s="347"/>
      <c r="Q838" s="347"/>
      <c r="R838" s="347"/>
      <c r="S838" s="347"/>
      <c r="T838" s="347"/>
      <c r="U838" s="347"/>
      <c r="V838" s="347"/>
      <c r="W838" s="347"/>
      <c r="X838" s="347"/>
      <c r="Y838" s="347"/>
      <c r="Z838" s="347"/>
      <c r="AA838" s="604"/>
      <c r="AB838" s="347"/>
      <c r="AC838" s="590"/>
      <c r="AD838" s="347"/>
      <c r="AE838" s="347"/>
      <c r="AF838" s="347"/>
      <c r="AG838" s="347"/>
      <c r="AH838" s="347"/>
      <c r="AI838" s="347"/>
      <c r="AJ838" s="347"/>
      <c r="AK838" s="347"/>
      <c r="AL838" s="347"/>
      <c r="AM838" s="347"/>
      <c r="AN838" s="347"/>
      <c r="AO838" s="347"/>
      <c r="AP838" s="347"/>
      <c r="AQ838" s="347"/>
      <c r="AR838" s="347"/>
      <c r="AS838" s="347"/>
      <c r="AT838" s="347"/>
      <c r="AU838" s="347"/>
      <c r="AV838" s="347"/>
      <c r="AW838" s="347"/>
      <c r="AX838" s="347"/>
      <c r="AY838" s="347"/>
      <c r="AZ838" s="347"/>
      <c r="BA838" s="347"/>
      <c r="BB838" s="347"/>
      <c r="BC838" s="347"/>
      <c r="BD838" s="347"/>
      <c r="BE838" s="347"/>
      <c r="BF838" s="347"/>
      <c r="BG838" s="347"/>
      <c r="BH838" s="347"/>
    </row>
    <row r="839">
      <c r="A839" s="347"/>
      <c r="B839" s="347"/>
      <c r="C839" s="347"/>
      <c r="D839" s="347"/>
      <c r="E839" s="347"/>
      <c r="F839" s="347"/>
      <c r="G839" s="347"/>
      <c r="H839" s="347"/>
      <c r="I839" s="347"/>
      <c r="J839" s="347"/>
      <c r="K839" s="348"/>
      <c r="L839" s="348"/>
      <c r="M839" s="348"/>
      <c r="N839" s="348"/>
      <c r="O839" s="348"/>
      <c r="P839" s="347"/>
      <c r="Q839" s="347"/>
      <c r="R839" s="347"/>
      <c r="S839" s="347"/>
      <c r="T839" s="347"/>
      <c r="U839" s="347"/>
      <c r="V839" s="347"/>
      <c r="W839" s="347"/>
      <c r="X839" s="347"/>
      <c r="Y839" s="347"/>
      <c r="Z839" s="347"/>
      <c r="AA839" s="604"/>
      <c r="AB839" s="347"/>
      <c r="AC839" s="590"/>
      <c r="AD839" s="347"/>
      <c r="AE839" s="347"/>
      <c r="AF839" s="347"/>
      <c r="AG839" s="347"/>
      <c r="AH839" s="347"/>
      <c r="AI839" s="347"/>
      <c r="AJ839" s="347"/>
      <c r="AK839" s="347"/>
      <c r="AL839" s="347"/>
      <c r="AM839" s="347"/>
      <c r="AN839" s="347"/>
      <c r="AO839" s="347"/>
      <c r="AP839" s="347"/>
      <c r="AQ839" s="347"/>
      <c r="AR839" s="347"/>
      <c r="AS839" s="347"/>
      <c r="AT839" s="347"/>
      <c r="AU839" s="347"/>
      <c r="AV839" s="347"/>
      <c r="AW839" s="347"/>
      <c r="AX839" s="347"/>
      <c r="AY839" s="347"/>
      <c r="AZ839" s="347"/>
      <c r="BA839" s="347"/>
      <c r="BB839" s="347"/>
      <c r="BC839" s="347"/>
      <c r="BD839" s="347"/>
      <c r="BE839" s="347"/>
      <c r="BF839" s="347"/>
      <c r="BG839" s="347"/>
      <c r="BH839" s="347"/>
    </row>
    <row r="840">
      <c r="A840" s="347"/>
      <c r="B840" s="347"/>
      <c r="C840" s="347"/>
      <c r="D840" s="347"/>
      <c r="E840" s="347"/>
      <c r="F840" s="347"/>
      <c r="G840" s="347"/>
      <c r="H840" s="347"/>
      <c r="I840" s="347"/>
      <c r="J840" s="347"/>
      <c r="K840" s="348"/>
      <c r="L840" s="348"/>
      <c r="M840" s="348"/>
      <c r="N840" s="348"/>
      <c r="O840" s="348"/>
      <c r="P840" s="347"/>
      <c r="Q840" s="347"/>
      <c r="R840" s="347"/>
      <c r="S840" s="347"/>
      <c r="T840" s="347"/>
      <c r="U840" s="347"/>
      <c r="V840" s="347"/>
      <c r="W840" s="347"/>
      <c r="X840" s="347"/>
      <c r="Y840" s="347"/>
      <c r="Z840" s="347"/>
      <c r="AA840" s="604"/>
      <c r="AB840" s="347"/>
      <c r="AC840" s="590"/>
      <c r="AD840" s="347"/>
      <c r="AE840" s="347"/>
      <c r="AF840" s="347"/>
      <c r="AG840" s="347"/>
      <c r="AH840" s="347"/>
      <c r="AI840" s="347"/>
      <c r="AJ840" s="347"/>
      <c r="AK840" s="347"/>
      <c r="AL840" s="347"/>
      <c r="AM840" s="347"/>
      <c r="AN840" s="347"/>
      <c r="AO840" s="347"/>
      <c r="AP840" s="347"/>
      <c r="AQ840" s="347"/>
      <c r="AR840" s="347"/>
      <c r="AS840" s="347"/>
      <c r="AT840" s="347"/>
      <c r="AU840" s="347"/>
      <c r="AV840" s="347"/>
      <c r="AW840" s="347"/>
      <c r="AX840" s="347"/>
      <c r="AY840" s="347"/>
      <c r="AZ840" s="347"/>
      <c r="BA840" s="347"/>
      <c r="BB840" s="347"/>
      <c r="BC840" s="347"/>
      <c r="BD840" s="347"/>
      <c r="BE840" s="347"/>
      <c r="BF840" s="347"/>
      <c r="BG840" s="347"/>
      <c r="BH840" s="347"/>
    </row>
    <row r="841">
      <c r="A841" s="347"/>
      <c r="B841" s="347"/>
      <c r="C841" s="347"/>
      <c r="D841" s="347"/>
      <c r="E841" s="347"/>
      <c r="F841" s="347"/>
      <c r="G841" s="347"/>
      <c r="H841" s="347"/>
      <c r="I841" s="347"/>
      <c r="J841" s="347"/>
      <c r="K841" s="348"/>
      <c r="L841" s="348"/>
      <c r="M841" s="348"/>
      <c r="N841" s="348"/>
      <c r="O841" s="348"/>
      <c r="P841" s="347"/>
      <c r="Q841" s="347"/>
      <c r="R841" s="347"/>
      <c r="S841" s="347"/>
      <c r="T841" s="347"/>
      <c r="U841" s="347"/>
      <c r="V841" s="347"/>
      <c r="W841" s="347"/>
      <c r="X841" s="347"/>
      <c r="Y841" s="347"/>
      <c r="Z841" s="347"/>
      <c r="AA841" s="604"/>
      <c r="AB841" s="347"/>
      <c r="AC841" s="590"/>
      <c r="AD841" s="347"/>
      <c r="AE841" s="347"/>
      <c r="AF841" s="347"/>
      <c r="AG841" s="347"/>
      <c r="AH841" s="347"/>
      <c r="AI841" s="347"/>
      <c r="AJ841" s="347"/>
      <c r="AK841" s="347"/>
      <c r="AL841" s="347"/>
      <c r="AM841" s="347"/>
      <c r="AN841" s="347"/>
      <c r="AO841" s="347"/>
      <c r="AP841" s="347"/>
      <c r="AQ841" s="347"/>
      <c r="AR841" s="347"/>
      <c r="AS841" s="347"/>
      <c r="AT841" s="347"/>
      <c r="AU841" s="347"/>
      <c r="AV841" s="347"/>
      <c r="AW841" s="347"/>
      <c r="AX841" s="347"/>
      <c r="AY841" s="347"/>
      <c r="AZ841" s="347"/>
      <c r="BA841" s="347"/>
      <c r="BB841" s="347"/>
      <c r="BC841" s="347"/>
      <c r="BD841" s="347"/>
      <c r="BE841" s="347"/>
      <c r="BF841" s="347"/>
      <c r="BG841" s="347"/>
      <c r="BH841" s="347"/>
    </row>
    <row r="842">
      <c r="A842" s="347"/>
      <c r="B842" s="347"/>
      <c r="C842" s="347"/>
      <c r="D842" s="347"/>
      <c r="E842" s="347"/>
      <c r="F842" s="347"/>
      <c r="G842" s="347"/>
      <c r="H842" s="347"/>
      <c r="I842" s="347"/>
      <c r="J842" s="347"/>
      <c r="K842" s="348"/>
      <c r="L842" s="348"/>
      <c r="M842" s="348"/>
      <c r="N842" s="348"/>
      <c r="O842" s="348"/>
      <c r="P842" s="347"/>
      <c r="Q842" s="347"/>
      <c r="R842" s="347"/>
      <c r="S842" s="347"/>
      <c r="T842" s="347"/>
      <c r="U842" s="347"/>
      <c r="V842" s="347"/>
      <c r="W842" s="347"/>
      <c r="X842" s="347"/>
      <c r="Y842" s="347"/>
      <c r="Z842" s="347"/>
      <c r="AA842" s="604"/>
      <c r="AB842" s="347"/>
      <c r="AC842" s="590"/>
      <c r="AD842" s="347"/>
      <c r="AE842" s="347"/>
      <c r="AF842" s="347"/>
      <c r="AG842" s="347"/>
      <c r="AH842" s="347"/>
      <c r="AI842" s="347"/>
      <c r="AJ842" s="347"/>
      <c r="AK842" s="347"/>
      <c r="AL842" s="347"/>
      <c r="AM842" s="347"/>
      <c r="AN842" s="347"/>
      <c r="AO842" s="347"/>
      <c r="AP842" s="347"/>
      <c r="AQ842" s="347"/>
      <c r="AR842" s="347"/>
      <c r="AS842" s="347"/>
      <c r="AT842" s="347"/>
      <c r="AU842" s="347"/>
      <c r="AV842" s="347"/>
      <c r="AW842" s="347"/>
      <c r="AX842" s="347"/>
      <c r="AY842" s="347"/>
      <c r="AZ842" s="347"/>
      <c r="BA842" s="347"/>
      <c r="BB842" s="347"/>
      <c r="BC842" s="347"/>
      <c r="BD842" s="347"/>
      <c r="BE842" s="347"/>
      <c r="BF842" s="347"/>
      <c r="BG842" s="347"/>
      <c r="BH842" s="347"/>
    </row>
    <row r="843">
      <c r="A843" s="347"/>
      <c r="B843" s="347"/>
      <c r="C843" s="347"/>
      <c r="D843" s="347"/>
      <c r="E843" s="347"/>
      <c r="F843" s="347"/>
      <c r="G843" s="347"/>
      <c r="H843" s="347"/>
      <c r="I843" s="347"/>
      <c r="J843" s="347"/>
      <c r="K843" s="348"/>
      <c r="L843" s="348"/>
      <c r="M843" s="348"/>
      <c r="N843" s="348"/>
      <c r="O843" s="348"/>
      <c r="P843" s="347"/>
      <c r="Q843" s="347"/>
      <c r="R843" s="347"/>
      <c r="S843" s="347"/>
      <c r="T843" s="347"/>
      <c r="U843" s="347"/>
      <c r="V843" s="347"/>
      <c r="W843" s="347"/>
      <c r="X843" s="347"/>
      <c r="Y843" s="347"/>
      <c r="Z843" s="347"/>
      <c r="AA843" s="604"/>
      <c r="AB843" s="347"/>
      <c r="AC843" s="590"/>
      <c r="AD843" s="347"/>
      <c r="AE843" s="347"/>
      <c r="AF843" s="347"/>
      <c r="AG843" s="347"/>
      <c r="AH843" s="347"/>
      <c r="AI843" s="347"/>
      <c r="AJ843" s="347"/>
      <c r="AK843" s="347"/>
      <c r="AL843" s="347"/>
      <c r="AM843" s="347"/>
      <c r="AN843" s="347"/>
      <c r="AO843" s="347"/>
      <c r="AP843" s="347"/>
      <c r="AQ843" s="347"/>
      <c r="AR843" s="347"/>
      <c r="AS843" s="347"/>
      <c r="AT843" s="347"/>
      <c r="AU843" s="347"/>
      <c r="AV843" s="347"/>
      <c r="AW843" s="347"/>
      <c r="AX843" s="347"/>
      <c r="AY843" s="347"/>
      <c r="AZ843" s="347"/>
      <c r="BA843" s="347"/>
      <c r="BB843" s="347"/>
      <c r="BC843" s="347"/>
      <c r="BD843" s="347"/>
      <c r="BE843" s="347"/>
      <c r="BF843" s="347"/>
      <c r="BG843" s="347"/>
      <c r="BH843" s="347"/>
    </row>
    <row r="844">
      <c r="A844" s="347"/>
      <c r="B844" s="347"/>
      <c r="C844" s="347"/>
      <c r="D844" s="347"/>
      <c r="E844" s="347"/>
      <c r="F844" s="347"/>
      <c r="G844" s="347"/>
      <c r="H844" s="347"/>
      <c r="I844" s="347"/>
      <c r="J844" s="347"/>
      <c r="K844" s="348"/>
      <c r="L844" s="348"/>
      <c r="M844" s="348"/>
      <c r="N844" s="348"/>
      <c r="O844" s="348"/>
      <c r="P844" s="347"/>
      <c r="Q844" s="347"/>
      <c r="R844" s="347"/>
      <c r="S844" s="347"/>
      <c r="T844" s="347"/>
      <c r="U844" s="347"/>
      <c r="V844" s="347"/>
      <c r="W844" s="347"/>
      <c r="X844" s="347"/>
      <c r="Y844" s="347"/>
      <c r="Z844" s="347"/>
      <c r="AA844" s="604"/>
      <c r="AB844" s="347"/>
      <c r="AC844" s="590"/>
      <c r="AD844" s="347"/>
      <c r="AE844" s="347"/>
      <c r="AF844" s="347"/>
      <c r="AG844" s="347"/>
      <c r="AH844" s="347"/>
      <c r="AI844" s="347"/>
      <c r="AJ844" s="347"/>
      <c r="AK844" s="347"/>
      <c r="AL844" s="347"/>
      <c r="AM844" s="347"/>
      <c r="AN844" s="347"/>
      <c r="AO844" s="347"/>
      <c r="AP844" s="347"/>
      <c r="AQ844" s="347"/>
      <c r="AR844" s="347"/>
      <c r="AS844" s="347"/>
      <c r="AT844" s="347"/>
      <c r="AU844" s="347"/>
      <c r="AV844" s="347"/>
      <c r="AW844" s="347"/>
      <c r="AX844" s="347"/>
      <c r="AY844" s="347"/>
      <c r="AZ844" s="347"/>
      <c r="BA844" s="347"/>
      <c r="BB844" s="347"/>
      <c r="BC844" s="347"/>
      <c r="BD844" s="347"/>
      <c r="BE844" s="347"/>
      <c r="BF844" s="347"/>
      <c r="BG844" s="347"/>
      <c r="BH844" s="347"/>
    </row>
    <row r="845">
      <c r="A845" s="347"/>
      <c r="B845" s="347"/>
      <c r="C845" s="347"/>
      <c r="D845" s="347"/>
      <c r="E845" s="347"/>
      <c r="F845" s="347"/>
      <c r="G845" s="347"/>
      <c r="H845" s="347"/>
      <c r="I845" s="347"/>
      <c r="J845" s="347"/>
      <c r="K845" s="348"/>
      <c r="L845" s="348"/>
      <c r="M845" s="348"/>
      <c r="N845" s="348"/>
      <c r="O845" s="348"/>
      <c r="P845" s="347"/>
      <c r="Q845" s="347"/>
      <c r="R845" s="347"/>
      <c r="S845" s="347"/>
      <c r="T845" s="347"/>
      <c r="U845" s="347"/>
      <c r="V845" s="347"/>
      <c r="W845" s="347"/>
      <c r="X845" s="347"/>
      <c r="Y845" s="347"/>
      <c r="Z845" s="347"/>
      <c r="AA845" s="604"/>
      <c r="AB845" s="347"/>
      <c r="AC845" s="590"/>
      <c r="AD845" s="347"/>
      <c r="AE845" s="347"/>
      <c r="AF845" s="347"/>
      <c r="AG845" s="347"/>
      <c r="AH845" s="347"/>
      <c r="AI845" s="347"/>
      <c r="AJ845" s="347"/>
      <c r="AK845" s="347"/>
      <c r="AL845" s="347"/>
      <c r="AM845" s="347"/>
      <c r="AN845" s="347"/>
      <c r="AO845" s="347"/>
      <c r="AP845" s="347"/>
      <c r="AQ845" s="347"/>
      <c r="AR845" s="347"/>
      <c r="AS845" s="347"/>
      <c r="AT845" s="347"/>
      <c r="AU845" s="347"/>
      <c r="AV845" s="347"/>
      <c r="AW845" s="347"/>
      <c r="AX845" s="347"/>
      <c r="AY845" s="347"/>
      <c r="AZ845" s="347"/>
      <c r="BA845" s="347"/>
      <c r="BB845" s="347"/>
      <c r="BC845" s="347"/>
      <c r="BD845" s="347"/>
      <c r="BE845" s="347"/>
      <c r="BF845" s="347"/>
      <c r="BG845" s="347"/>
      <c r="BH845" s="347"/>
    </row>
    <row r="846">
      <c r="A846" s="347"/>
      <c r="B846" s="347"/>
      <c r="C846" s="347"/>
      <c r="D846" s="347"/>
      <c r="E846" s="347"/>
      <c r="F846" s="347"/>
      <c r="G846" s="347"/>
      <c r="H846" s="347"/>
      <c r="I846" s="347"/>
      <c r="J846" s="347"/>
      <c r="K846" s="348"/>
      <c r="L846" s="348"/>
      <c r="M846" s="348"/>
      <c r="N846" s="348"/>
      <c r="O846" s="348"/>
      <c r="P846" s="347"/>
      <c r="Q846" s="347"/>
      <c r="R846" s="347"/>
      <c r="S846" s="347"/>
      <c r="T846" s="347"/>
      <c r="U846" s="347"/>
      <c r="V846" s="347"/>
      <c r="W846" s="347"/>
      <c r="X846" s="347"/>
      <c r="Y846" s="347"/>
      <c r="Z846" s="347"/>
      <c r="AA846" s="604"/>
      <c r="AB846" s="347"/>
      <c r="AC846" s="590"/>
      <c r="AD846" s="347"/>
      <c r="AE846" s="347"/>
      <c r="AF846" s="347"/>
      <c r="AG846" s="347"/>
      <c r="AH846" s="347"/>
      <c r="AI846" s="347"/>
      <c r="AJ846" s="347"/>
      <c r="AK846" s="347"/>
      <c r="AL846" s="347"/>
      <c r="AM846" s="347"/>
      <c r="AN846" s="347"/>
      <c r="AO846" s="347"/>
      <c r="AP846" s="347"/>
      <c r="AQ846" s="347"/>
      <c r="AR846" s="347"/>
      <c r="AS846" s="347"/>
      <c r="AT846" s="347"/>
      <c r="AU846" s="347"/>
      <c r="AV846" s="347"/>
      <c r="AW846" s="347"/>
      <c r="AX846" s="347"/>
      <c r="AY846" s="347"/>
      <c r="AZ846" s="347"/>
      <c r="BA846" s="347"/>
      <c r="BB846" s="347"/>
      <c r="BC846" s="347"/>
      <c r="BD846" s="347"/>
      <c r="BE846" s="347"/>
      <c r="BF846" s="347"/>
      <c r="BG846" s="347"/>
      <c r="BH846" s="347"/>
    </row>
    <row r="847">
      <c r="A847" s="347"/>
      <c r="B847" s="347"/>
      <c r="C847" s="347"/>
      <c r="D847" s="347"/>
      <c r="E847" s="347"/>
      <c r="F847" s="347"/>
      <c r="G847" s="347"/>
      <c r="H847" s="347"/>
      <c r="I847" s="347"/>
      <c r="J847" s="347"/>
      <c r="K847" s="348"/>
      <c r="L847" s="348"/>
      <c r="M847" s="348"/>
      <c r="N847" s="348"/>
      <c r="O847" s="348"/>
      <c r="P847" s="347"/>
      <c r="Q847" s="347"/>
      <c r="R847" s="347"/>
      <c r="S847" s="347"/>
      <c r="T847" s="347"/>
      <c r="U847" s="347"/>
      <c r="V847" s="347"/>
      <c r="W847" s="347"/>
      <c r="X847" s="347"/>
      <c r="Y847" s="347"/>
      <c r="Z847" s="347"/>
      <c r="AA847" s="604"/>
      <c r="AB847" s="347"/>
      <c r="AC847" s="590"/>
      <c r="AD847" s="347"/>
      <c r="AE847" s="347"/>
      <c r="AF847" s="347"/>
      <c r="AG847" s="347"/>
      <c r="AH847" s="347"/>
      <c r="AI847" s="347"/>
      <c r="AJ847" s="347"/>
      <c r="AK847" s="347"/>
      <c r="AL847" s="347"/>
      <c r="AM847" s="347"/>
      <c r="AN847" s="347"/>
      <c r="AO847" s="347"/>
      <c r="AP847" s="347"/>
      <c r="AQ847" s="347"/>
      <c r="AR847" s="347"/>
      <c r="AS847" s="347"/>
      <c r="AT847" s="347"/>
      <c r="AU847" s="347"/>
      <c r="AV847" s="347"/>
      <c r="AW847" s="347"/>
      <c r="AX847" s="347"/>
      <c r="AY847" s="347"/>
      <c r="AZ847" s="347"/>
      <c r="BA847" s="347"/>
      <c r="BB847" s="347"/>
      <c r="BC847" s="347"/>
      <c r="BD847" s="347"/>
      <c r="BE847" s="347"/>
      <c r="BF847" s="347"/>
      <c r="BG847" s="347"/>
      <c r="BH847" s="347"/>
    </row>
    <row r="848">
      <c r="A848" s="347"/>
      <c r="B848" s="347"/>
      <c r="C848" s="347"/>
      <c r="D848" s="347"/>
      <c r="E848" s="347"/>
      <c r="F848" s="347"/>
      <c r="G848" s="347"/>
      <c r="H848" s="347"/>
      <c r="I848" s="347"/>
      <c r="J848" s="347"/>
      <c r="K848" s="348"/>
      <c r="L848" s="348"/>
      <c r="M848" s="348"/>
      <c r="N848" s="348"/>
      <c r="O848" s="348"/>
      <c r="P848" s="347"/>
      <c r="Q848" s="347"/>
      <c r="R848" s="347"/>
      <c r="S848" s="347"/>
      <c r="T848" s="347"/>
      <c r="U848" s="347"/>
      <c r="V848" s="347"/>
      <c r="W848" s="347"/>
      <c r="X848" s="347"/>
      <c r="Y848" s="347"/>
      <c r="Z848" s="347"/>
      <c r="AA848" s="604"/>
      <c r="AB848" s="347"/>
      <c r="AC848" s="590"/>
      <c r="AD848" s="347"/>
      <c r="AE848" s="347"/>
      <c r="AF848" s="347"/>
      <c r="AG848" s="347"/>
      <c r="AH848" s="347"/>
      <c r="AI848" s="347"/>
      <c r="AJ848" s="347"/>
      <c r="AK848" s="347"/>
      <c r="AL848" s="347"/>
      <c r="AM848" s="347"/>
      <c r="AN848" s="347"/>
      <c r="AO848" s="347"/>
      <c r="AP848" s="347"/>
      <c r="AQ848" s="347"/>
      <c r="AR848" s="347"/>
      <c r="AS848" s="347"/>
      <c r="AT848" s="347"/>
      <c r="AU848" s="347"/>
      <c r="AV848" s="347"/>
      <c r="AW848" s="347"/>
      <c r="AX848" s="347"/>
      <c r="AY848" s="347"/>
      <c r="AZ848" s="347"/>
      <c r="BA848" s="347"/>
      <c r="BB848" s="347"/>
      <c r="BC848" s="347"/>
      <c r="BD848" s="347"/>
      <c r="BE848" s="347"/>
      <c r="BF848" s="347"/>
      <c r="BG848" s="347"/>
      <c r="BH848" s="347"/>
    </row>
    <row r="849">
      <c r="A849" s="347"/>
      <c r="B849" s="347"/>
      <c r="C849" s="347"/>
      <c r="D849" s="347"/>
      <c r="E849" s="347"/>
      <c r="F849" s="347"/>
      <c r="G849" s="347"/>
      <c r="H849" s="347"/>
      <c r="I849" s="347"/>
      <c r="J849" s="347"/>
      <c r="K849" s="348"/>
      <c r="L849" s="348"/>
      <c r="M849" s="348"/>
      <c r="N849" s="348"/>
      <c r="O849" s="348"/>
      <c r="P849" s="347"/>
      <c r="Q849" s="347"/>
      <c r="R849" s="347"/>
      <c r="S849" s="347"/>
      <c r="T849" s="347"/>
      <c r="U849" s="347"/>
      <c r="V849" s="347"/>
      <c r="W849" s="347"/>
      <c r="X849" s="347"/>
      <c r="Y849" s="347"/>
      <c r="Z849" s="347"/>
      <c r="AA849" s="604"/>
      <c r="AB849" s="347"/>
      <c r="AC849" s="590"/>
      <c r="AD849" s="347"/>
      <c r="AE849" s="347"/>
      <c r="AF849" s="347"/>
      <c r="AG849" s="347"/>
      <c r="AH849" s="347"/>
      <c r="AI849" s="347"/>
      <c r="AJ849" s="347"/>
      <c r="AK849" s="347"/>
      <c r="AL849" s="347"/>
      <c r="AM849" s="347"/>
      <c r="AN849" s="347"/>
      <c r="AO849" s="347"/>
      <c r="AP849" s="347"/>
      <c r="AQ849" s="347"/>
      <c r="AR849" s="347"/>
      <c r="AS849" s="347"/>
      <c r="AT849" s="347"/>
      <c r="AU849" s="347"/>
      <c r="AV849" s="347"/>
      <c r="AW849" s="347"/>
      <c r="AX849" s="347"/>
      <c r="AY849" s="347"/>
      <c r="AZ849" s="347"/>
      <c r="BA849" s="347"/>
      <c r="BB849" s="347"/>
      <c r="BC849" s="347"/>
      <c r="BD849" s="347"/>
      <c r="BE849" s="347"/>
      <c r="BF849" s="347"/>
      <c r="BG849" s="347"/>
      <c r="BH849" s="347"/>
    </row>
    <row r="850">
      <c r="A850" s="347"/>
      <c r="B850" s="347"/>
      <c r="C850" s="347"/>
      <c r="D850" s="347"/>
      <c r="E850" s="347"/>
      <c r="F850" s="347"/>
      <c r="G850" s="347"/>
      <c r="H850" s="347"/>
      <c r="I850" s="347"/>
      <c r="J850" s="347"/>
      <c r="K850" s="348"/>
      <c r="L850" s="348"/>
      <c r="M850" s="348"/>
      <c r="N850" s="348"/>
      <c r="O850" s="348"/>
      <c r="P850" s="347"/>
      <c r="Q850" s="347"/>
      <c r="R850" s="347"/>
      <c r="S850" s="347"/>
      <c r="T850" s="347"/>
      <c r="U850" s="347"/>
      <c r="V850" s="347"/>
      <c r="W850" s="347"/>
      <c r="X850" s="347"/>
      <c r="Y850" s="347"/>
      <c r="Z850" s="347"/>
      <c r="AA850" s="604"/>
      <c r="AB850" s="347"/>
      <c r="AC850" s="590"/>
      <c r="AD850" s="347"/>
      <c r="AE850" s="347"/>
      <c r="AF850" s="347"/>
      <c r="AG850" s="347"/>
      <c r="AH850" s="347"/>
      <c r="AI850" s="347"/>
      <c r="AJ850" s="347"/>
      <c r="AK850" s="347"/>
      <c r="AL850" s="347"/>
      <c r="AM850" s="347"/>
      <c r="AN850" s="347"/>
      <c r="AO850" s="347"/>
      <c r="AP850" s="347"/>
      <c r="AQ850" s="347"/>
      <c r="AR850" s="347"/>
      <c r="AS850" s="347"/>
      <c r="AT850" s="347"/>
      <c r="AU850" s="347"/>
      <c r="AV850" s="347"/>
      <c r="AW850" s="347"/>
      <c r="AX850" s="347"/>
      <c r="AY850" s="347"/>
      <c r="AZ850" s="347"/>
      <c r="BA850" s="347"/>
      <c r="BB850" s="347"/>
      <c r="BC850" s="347"/>
      <c r="BD850" s="347"/>
      <c r="BE850" s="347"/>
      <c r="BF850" s="347"/>
      <c r="BG850" s="347"/>
      <c r="BH850" s="347"/>
    </row>
    <row r="851">
      <c r="A851" s="347"/>
      <c r="B851" s="347"/>
      <c r="C851" s="347"/>
      <c r="D851" s="347"/>
      <c r="E851" s="347"/>
      <c r="F851" s="347"/>
      <c r="G851" s="347"/>
      <c r="H851" s="347"/>
      <c r="I851" s="347"/>
      <c r="J851" s="347"/>
      <c r="K851" s="348"/>
      <c r="L851" s="348"/>
      <c r="M851" s="348"/>
      <c r="N851" s="348"/>
      <c r="O851" s="348"/>
      <c r="P851" s="347"/>
      <c r="Q851" s="347"/>
      <c r="R851" s="347"/>
      <c r="S851" s="347"/>
      <c r="T851" s="347"/>
      <c r="U851" s="347"/>
      <c r="V851" s="347"/>
      <c r="W851" s="347"/>
      <c r="X851" s="347"/>
      <c r="Y851" s="347"/>
      <c r="Z851" s="347"/>
      <c r="AA851" s="604"/>
      <c r="AB851" s="347"/>
      <c r="AC851" s="590"/>
      <c r="AD851" s="347"/>
      <c r="AE851" s="347"/>
      <c r="AF851" s="347"/>
      <c r="AG851" s="347"/>
      <c r="AH851" s="347"/>
      <c r="AI851" s="347"/>
      <c r="AJ851" s="347"/>
      <c r="AK851" s="347"/>
      <c r="AL851" s="347"/>
      <c r="AM851" s="347"/>
      <c r="AN851" s="347"/>
      <c r="AO851" s="347"/>
      <c r="AP851" s="347"/>
      <c r="AQ851" s="347"/>
      <c r="AR851" s="347"/>
      <c r="AS851" s="347"/>
      <c r="AT851" s="347"/>
      <c r="AU851" s="347"/>
      <c r="AV851" s="347"/>
      <c r="AW851" s="347"/>
      <c r="AX851" s="347"/>
      <c r="AY851" s="347"/>
      <c r="AZ851" s="347"/>
      <c r="BA851" s="347"/>
      <c r="BB851" s="347"/>
      <c r="BC851" s="347"/>
      <c r="BD851" s="347"/>
      <c r="BE851" s="347"/>
      <c r="BF851" s="347"/>
      <c r="BG851" s="347"/>
      <c r="BH851" s="347"/>
    </row>
    <row r="852">
      <c r="A852" s="347"/>
      <c r="B852" s="347"/>
      <c r="C852" s="347"/>
      <c r="D852" s="347"/>
      <c r="E852" s="347"/>
      <c r="F852" s="347"/>
      <c r="G852" s="347"/>
      <c r="H852" s="347"/>
      <c r="I852" s="347"/>
      <c r="J852" s="347"/>
      <c r="K852" s="348"/>
      <c r="L852" s="348"/>
      <c r="M852" s="348"/>
      <c r="N852" s="348"/>
      <c r="O852" s="348"/>
      <c r="P852" s="347"/>
      <c r="Q852" s="347"/>
      <c r="R852" s="347"/>
      <c r="S852" s="347"/>
      <c r="T852" s="347"/>
      <c r="U852" s="347"/>
      <c r="V852" s="347"/>
      <c r="W852" s="347"/>
      <c r="X852" s="347"/>
      <c r="Y852" s="347"/>
      <c r="Z852" s="347"/>
      <c r="AA852" s="604"/>
      <c r="AB852" s="347"/>
      <c r="AC852" s="590"/>
      <c r="AD852" s="347"/>
      <c r="AE852" s="347"/>
      <c r="AF852" s="347"/>
      <c r="AG852" s="347"/>
      <c r="AH852" s="347"/>
      <c r="AI852" s="347"/>
      <c r="AJ852" s="347"/>
      <c r="AK852" s="347"/>
      <c r="AL852" s="347"/>
      <c r="AM852" s="347"/>
      <c r="AN852" s="347"/>
      <c r="AO852" s="347"/>
      <c r="AP852" s="347"/>
      <c r="AQ852" s="347"/>
      <c r="AR852" s="347"/>
      <c r="AS852" s="347"/>
      <c r="AT852" s="347"/>
      <c r="AU852" s="347"/>
      <c r="AV852" s="347"/>
      <c r="AW852" s="347"/>
      <c r="AX852" s="347"/>
      <c r="AY852" s="347"/>
      <c r="AZ852" s="347"/>
      <c r="BA852" s="347"/>
      <c r="BB852" s="347"/>
      <c r="BC852" s="347"/>
      <c r="BD852" s="347"/>
      <c r="BE852" s="347"/>
      <c r="BF852" s="347"/>
      <c r="BG852" s="347"/>
      <c r="BH852" s="347"/>
    </row>
    <row r="853">
      <c r="A853" s="347"/>
      <c r="B853" s="347"/>
      <c r="C853" s="347"/>
      <c r="D853" s="347"/>
      <c r="E853" s="347"/>
      <c r="F853" s="347"/>
      <c r="G853" s="347"/>
      <c r="H853" s="347"/>
      <c r="I853" s="347"/>
      <c r="J853" s="347"/>
      <c r="K853" s="348"/>
      <c r="L853" s="348"/>
      <c r="M853" s="348"/>
      <c r="N853" s="348"/>
      <c r="O853" s="348"/>
      <c r="P853" s="347"/>
      <c r="Q853" s="347"/>
      <c r="R853" s="347"/>
      <c r="S853" s="347"/>
      <c r="T853" s="347"/>
      <c r="U853" s="347"/>
      <c r="V853" s="347"/>
      <c r="W853" s="347"/>
      <c r="X853" s="347"/>
      <c r="Y853" s="347"/>
      <c r="Z853" s="347"/>
      <c r="AA853" s="604"/>
      <c r="AB853" s="347"/>
      <c r="AC853" s="590"/>
      <c r="AD853" s="347"/>
      <c r="AE853" s="347"/>
      <c r="AF853" s="347"/>
      <c r="AG853" s="347"/>
      <c r="AH853" s="347"/>
      <c r="AI853" s="347"/>
      <c r="AJ853" s="347"/>
      <c r="AK853" s="347"/>
      <c r="AL853" s="347"/>
      <c r="AM853" s="347"/>
      <c r="AN853" s="347"/>
      <c r="AO853" s="347"/>
      <c r="AP853" s="347"/>
      <c r="AQ853" s="347"/>
      <c r="AR853" s="347"/>
      <c r="AS853" s="347"/>
      <c r="AT853" s="347"/>
      <c r="AU853" s="347"/>
      <c r="AV853" s="347"/>
      <c r="AW853" s="347"/>
      <c r="AX853" s="347"/>
      <c r="AY853" s="347"/>
      <c r="AZ853" s="347"/>
      <c r="BA853" s="347"/>
      <c r="BB853" s="347"/>
      <c r="BC853" s="347"/>
      <c r="BD853" s="347"/>
      <c r="BE853" s="347"/>
      <c r="BF853" s="347"/>
      <c r="BG853" s="347"/>
      <c r="BH853" s="347"/>
    </row>
    <row r="854">
      <c r="A854" s="347"/>
      <c r="B854" s="347"/>
      <c r="C854" s="347"/>
      <c r="D854" s="347"/>
      <c r="E854" s="347"/>
      <c r="F854" s="347"/>
      <c r="G854" s="347"/>
      <c r="H854" s="347"/>
      <c r="I854" s="347"/>
      <c r="J854" s="347"/>
      <c r="K854" s="348"/>
      <c r="L854" s="348"/>
      <c r="M854" s="348"/>
      <c r="N854" s="348"/>
      <c r="O854" s="348"/>
      <c r="P854" s="347"/>
      <c r="Q854" s="347"/>
      <c r="R854" s="347"/>
      <c r="S854" s="347"/>
      <c r="T854" s="347"/>
      <c r="U854" s="347"/>
      <c r="V854" s="347"/>
      <c r="W854" s="347"/>
      <c r="X854" s="347"/>
      <c r="Y854" s="347"/>
      <c r="Z854" s="347"/>
      <c r="AA854" s="604"/>
      <c r="AB854" s="347"/>
      <c r="AC854" s="590"/>
      <c r="AD854" s="347"/>
      <c r="AE854" s="347"/>
      <c r="AF854" s="347"/>
      <c r="AG854" s="347"/>
      <c r="AH854" s="347"/>
      <c r="AI854" s="347"/>
      <c r="AJ854" s="347"/>
      <c r="AK854" s="347"/>
      <c r="AL854" s="347"/>
      <c r="AM854" s="347"/>
      <c r="AN854" s="347"/>
      <c r="AO854" s="347"/>
      <c r="AP854" s="347"/>
      <c r="AQ854" s="347"/>
      <c r="AR854" s="347"/>
      <c r="AS854" s="347"/>
      <c r="AT854" s="347"/>
      <c r="AU854" s="347"/>
      <c r="AV854" s="347"/>
      <c r="AW854" s="347"/>
      <c r="AX854" s="347"/>
      <c r="AY854" s="347"/>
      <c r="AZ854" s="347"/>
      <c r="BA854" s="347"/>
      <c r="BB854" s="347"/>
      <c r="BC854" s="347"/>
      <c r="BD854" s="347"/>
      <c r="BE854" s="347"/>
      <c r="BF854" s="347"/>
      <c r="BG854" s="347"/>
      <c r="BH854" s="347"/>
    </row>
    <row r="855">
      <c r="A855" s="347"/>
      <c r="B855" s="347"/>
      <c r="C855" s="347"/>
      <c r="D855" s="347"/>
      <c r="E855" s="347"/>
      <c r="F855" s="347"/>
      <c r="G855" s="347"/>
      <c r="H855" s="347"/>
      <c r="I855" s="347"/>
      <c r="J855" s="347"/>
      <c r="K855" s="348"/>
      <c r="L855" s="348"/>
      <c r="M855" s="348"/>
      <c r="N855" s="348"/>
      <c r="O855" s="348"/>
      <c r="P855" s="347"/>
      <c r="Q855" s="347"/>
      <c r="R855" s="347"/>
      <c r="S855" s="347"/>
      <c r="T855" s="347"/>
      <c r="U855" s="347"/>
      <c r="V855" s="347"/>
      <c r="W855" s="347"/>
      <c r="X855" s="347"/>
      <c r="Y855" s="347"/>
      <c r="Z855" s="347"/>
      <c r="AA855" s="604"/>
      <c r="AB855" s="347"/>
      <c r="AC855" s="590"/>
      <c r="AD855" s="347"/>
      <c r="AE855" s="347"/>
      <c r="AF855" s="347"/>
      <c r="AG855" s="347"/>
      <c r="AH855" s="347"/>
      <c r="AI855" s="347"/>
      <c r="AJ855" s="347"/>
      <c r="AK855" s="347"/>
      <c r="AL855" s="347"/>
      <c r="AM855" s="347"/>
      <c r="AN855" s="347"/>
      <c r="AO855" s="347"/>
      <c r="AP855" s="347"/>
      <c r="AQ855" s="347"/>
      <c r="AR855" s="347"/>
      <c r="AS855" s="347"/>
      <c r="AT855" s="347"/>
      <c r="AU855" s="347"/>
      <c r="AV855" s="347"/>
      <c r="AW855" s="347"/>
      <c r="AX855" s="347"/>
      <c r="AY855" s="347"/>
      <c r="AZ855" s="347"/>
      <c r="BA855" s="347"/>
      <c r="BB855" s="347"/>
      <c r="BC855" s="347"/>
      <c r="BD855" s="347"/>
      <c r="BE855" s="347"/>
      <c r="BF855" s="347"/>
      <c r="BG855" s="347"/>
      <c r="BH855" s="347"/>
    </row>
    <row r="856">
      <c r="A856" s="347"/>
      <c r="B856" s="347"/>
      <c r="C856" s="347"/>
      <c r="D856" s="347"/>
      <c r="E856" s="347"/>
      <c r="F856" s="347"/>
      <c r="G856" s="347"/>
      <c r="H856" s="347"/>
      <c r="I856" s="347"/>
      <c r="J856" s="347"/>
      <c r="K856" s="348"/>
      <c r="L856" s="348"/>
      <c r="M856" s="348"/>
      <c r="N856" s="348"/>
      <c r="O856" s="348"/>
      <c r="P856" s="347"/>
      <c r="Q856" s="347"/>
      <c r="R856" s="347"/>
      <c r="S856" s="347"/>
      <c r="T856" s="347"/>
      <c r="U856" s="347"/>
      <c r="V856" s="347"/>
      <c r="W856" s="347"/>
      <c r="X856" s="347"/>
      <c r="Y856" s="347"/>
      <c r="Z856" s="347"/>
      <c r="AA856" s="604"/>
      <c r="AB856" s="347"/>
      <c r="AC856" s="590"/>
      <c r="AD856" s="347"/>
      <c r="AE856" s="347"/>
      <c r="AF856" s="347"/>
      <c r="AG856" s="347"/>
      <c r="AH856" s="347"/>
      <c r="AI856" s="347"/>
      <c r="AJ856" s="347"/>
      <c r="AK856" s="347"/>
      <c r="AL856" s="347"/>
      <c r="AM856" s="347"/>
      <c r="AN856" s="347"/>
      <c r="AO856" s="347"/>
      <c r="AP856" s="347"/>
      <c r="AQ856" s="347"/>
      <c r="AR856" s="347"/>
      <c r="AS856" s="347"/>
      <c r="AT856" s="347"/>
      <c r="AU856" s="347"/>
      <c r="AV856" s="347"/>
      <c r="AW856" s="347"/>
      <c r="AX856" s="347"/>
      <c r="AY856" s="347"/>
      <c r="AZ856" s="347"/>
      <c r="BA856" s="347"/>
      <c r="BB856" s="347"/>
      <c r="BC856" s="347"/>
      <c r="BD856" s="347"/>
      <c r="BE856" s="347"/>
      <c r="BF856" s="347"/>
      <c r="BG856" s="347"/>
      <c r="BH856" s="347"/>
    </row>
    <row r="857">
      <c r="A857" s="347"/>
      <c r="B857" s="347"/>
      <c r="C857" s="347"/>
      <c r="D857" s="347"/>
      <c r="E857" s="347"/>
      <c r="F857" s="347"/>
      <c r="G857" s="347"/>
      <c r="H857" s="347"/>
      <c r="I857" s="347"/>
      <c r="J857" s="347"/>
      <c r="K857" s="348"/>
      <c r="L857" s="348"/>
      <c r="M857" s="348"/>
      <c r="N857" s="348"/>
      <c r="O857" s="348"/>
      <c r="P857" s="347"/>
      <c r="Q857" s="347"/>
      <c r="R857" s="347"/>
      <c r="S857" s="347"/>
      <c r="T857" s="347"/>
      <c r="U857" s="347"/>
      <c r="V857" s="347"/>
      <c r="W857" s="347"/>
      <c r="X857" s="347"/>
      <c r="Y857" s="347"/>
      <c r="Z857" s="347"/>
      <c r="AA857" s="604"/>
      <c r="AB857" s="347"/>
      <c r="AC857" s="590"/>
      <c r="AD857" s="347"/>
      <c r="AE857" s="347"/>
      <c r="AF857" s="347"/>
      <c r="AG857" s="347"/>
      <c r="AH857" s="347"/>
      <c r="AI857" s="347"/>
      <c r="AJ857" s="347"/>
      <c r="AK857" s="347"/>
      <c r="AL857" s="347"/>
      <c r="AM857" s="347"/>
      <c r="AN857" s="347"/>
      <c r="AO857" s="347"/>
      <c r="AP857" s="347"/>
      <c r="AQ857" s="347"/>
      <c r="AR857" s="347"/>
      <c r="AS857" s="347"/>
      <c r="AT857" s="347"/>
      <c r="AU857" s="347"/>
      <c r="AV857" s="347"/>
      <c r="AW857" s="347"/>
      <c r="AX857" s="347"/>
      <c r="AY857" s="347"/>
      <c r="AZ857" s="347"/>
      <c r="BA857" s="347"/>
      <c r="BB857" s="347"/>
      <c r="BC857" s="347"/>
      <c r="BD857" s="347"/>
      <c r="BE857" s="347"/>
      <c r="BF857" s="347"/>
      <c r="BG857" s="347"/>
      <c r="BH857" s="347"/>
    </row>
    <row r="858">
      <c r="A858" s="347"/>
      <c r="B858" s="347"/>
      <c r="C858" s="347"/>
      <c r="D858" s="347"/>
      <c r="E858" s="347"/>
      <c r="F858" s="347"/>
      <c r="G858" s="347"/>
      <c r="H858" s="347"/>
      <c r="I858" s="347"/>
      <c r="J858" s="347"/>
      <c r="K858" s="348"/>
      <c r="L858" s="348"/>
      <c r="M858" s="348"/>
      <c r="N858" s="348"/>
      <c r="O858" s="348"/>
      <c r="P858" s="347"/>
      <c r="Q858" s="347"/>
      <c r="R858" s="347"/>
      <c r="S858" s="347"/>
      <c r="T858" s="347"/>
      <c r="U858" s="347"/>
      <c r="V858" s="347"/>
      <c r="W858" s="347"/>
      <c r="X858" s="347"/>
      <c r="Y858" s="347"/>
      <c r="Z858" s="347"/>
      <c r="AA858" s="604"/>
      <c r="AB858" s="347"/>
      <c r="AC858" s="590"/>
      <c r="AD858" s="347"/>
      <c r="AE858" s="347"/>
      <c r="AF858" s="347"/>
      <c r="AG858" s="347"/>
      <c r="AH858" s="347"/>
      <c r="AI858" s="347"/>
      <c r="AJ858" s="347"/>
      <c r="AK858" s="347"/>
      <c r="AL858" s="347"/>
      <c r="AM858" s="347"/>
      <c r="AN858" s="347"/>
      <c r="AO858" s="347"/>
      <c r="AP858" s="347"/>
      <c r="AQ858" s="347"/>
      <c r="AR858" s="347"/>
      <c r="AS858" s="347"/>
      <c r="AT858" s="347"/>
      <c r="AU858" s="347"/>
      <c r="AV858" s="347"/>
      <c r="AW858" s="347"/>
      <c r="AX858" s="347"/>
      <c r="AY858" s="347"/>
      <c r="AZ858" s="347"/>
      <c r="BA858" s="347"/>
      <c r="BB858" s="347"/>
      <c r="BC858" s="347"/>
      <c r="BD858" s="347"/>
      <c r="BE858" s="347"/>
      <c r="BF858" s="347"/>
      <c r="BG858" s="347"/>
      <c r="BH858" s="347"/>
    </row>
    <row r="859">
      <c r="A859" s="347"/>
      <c r="B859" s="347"/>
      <c r="C859" s="347"/>
      <c r="D859" s="347"/>
      <c r="E859" s="347"/>
      <c r="F859" s="347"/>
      <c r="G859" s="347"/>
      <c r="H859" s="347"/>
      <c r="I859" s="347"/>
      <c r="J859" s="347"/>
      <c r="K859" s="348"/>
      <c r="L859" s="348"/>
      <c r="M859" s="348"/>
      <c r="N859" s="348"/>
      <c r="O859" s="348"/>
      <c r="P859" s="347"/>
      <c r="Q859" s="347"/>
      <c r="R859" s="347"/>
      <c r="S859" s="347"/>
      <c r="T859" s="347"/>
      <c r="U859" s="347"/>
      <c r="V859" s="347"/>
      <c r="W859" s="347"/>
      <c r="X859" s="347"/>
      <c r="Y859" s="347"/>
      <c r="Z859" s="347"/>
      <c r="AA859" s="604"/>
      <c r="AB859" s="347"/>
      <c r="AC859" s="590"/>
      <c r="AD859" s="347"/>
      <c r="AE859" s="347"/>
      <c r="AF859" s="347"/>
      <c r="AG859" s="347"/>
      <c r="AH859" s="347"/>
      <c r="AI859" s="347"/>
      <c r="AJ859" s="347"/>
      <c r="AK859" s="347"/>
      <c r="AL859" s="347"/>
      <c r="AM859" s="347"/>
      <c r="AN859" s="347"/>
      <c r="AO859" s="347"/>
      <c r="AP859" s="347"/>
      <c r="AQ859" s="347"/>
      <c r="AR859" s="347"/>
      <c r="AS859" s="347"/>
      <c r="AT859" s="347"/>
      <c r="AU859" s="347"/>
      <c r="AV859" s="347"/>
      <c r="AW859" s="347"/>
      <c r="AX859" s="347"/>
      <c r="AY859" s="347"/>
      <c r="AZ859" s="347"/>
      <c r="BA859" s="347"/>
      <c r="BB859" s="347"/>
      <c r="BC859" s="347"/>
      <c r="BD859" s="347"/>
      <c r="BE859" s="347"/>
      <c r="BF859" s="347"/>
      <c r="BG859" s="347"/>
      <c r="BH859" s="347"/>
    </row>
    <row r="860">
      <c r="A860" s="347"/>
      <c r="B860" s="347"/>
      <c r="C860" s="347"/>
      <c r="D860" s="347"/>
      <c r="E860" s="347"/>
      <c r="F860" s="347"/>
      <c r="G860" s="347"/>
      <c r="H860" s="347"/>
      <c r="I860" s="347"/>
      <c r="J860" s="347"/>
      <c r="K860" s="348"/>
      <c r="L860" s="348"/>
      <c r="M860" s="348"/>
      <c r="N860" s="348"/>
      <c r="O860" s="348"/>
      <c r="P860" s="347"/>
      <c r="Q860" s="347"/>
      <c r="R860" s="347"/>
      <c r="S860" s="347"/>
      <c r="T860" s="347"/>
      <c r="U860" s="347"/>
      <c r="V860" s="347"/>
      <c r="W860" s="347"/>
      <c r="X860" s="347"/>
      <c r="Y860" s="347"/>
      <c r="Z860" s="347"/>
      <c r="AA860" s="604"/>
      <c r="AB860" s="347"/>
      <c r="AC860" s="590"/>
      <c r="AD860" s="347"/>
      <c r="AE860" s="347"/>
      <c r="AF860" s="347"/>
      <c r="AG860" s="347"/>
      <c r="AH860" s="347"/>
      <c r="AI860" s="347"/>
      <c r="AJ860" s="347"/>
      <c r="AK860" s="347"/>
      <c r="AL860" s="347"/>
      <c r="AM860" s="347"/>
      <c r="AN860" s="347"/>
      <c r="AO860" s="347"/>
      <c r="AP860" s="347"/>
      <c r="AQ860" s="347"/>
      <c r="AR860" s="347"/>
      <c r="AS860" s="347"/>
      <c r="AT860" s="347"/>
      <c r="AU860" s="347"/>
      <c r="AV860" s="347"/>
      <c r="AW860" s="347"/>
      <c r="AX860" s="347"/>
      <c r="AY860" s="347"/>
      <c r="AZ860" s="347"/>
      <c r="BA860" s="347"/>
      <c r="BB860" s="347"/>
      <c r="BC860" s="347"/>
      <c r="BD860" s="347"/>
      <c r="BE860" s="347"/>
      <c r="BF860" s="347"/>
      <c r="BG860" s="347"/>
      <c r="BH860" s="347"/>
    </row>
    <row r="861">
      <c r="A861" s="347"/>
      <c r="B861" s="347"/>
      <c r="C861" s="347"/>
      <c r="D861" s="347"/>
      <c r="E861" s="347"/>
      <c r="F861" s="347"/>
      <c r="G861" s="347"/>
      <c r="H861" s="347"/>
      <c r="I861" s="347"/>
      <c r="J861" s="347"/>
      <c r="K861" s="348"/>
      <c r="L861" s="348"/>
      <c r="M861" s="348"/>
      <c r="N861" s="348"/>
      <c r="O861" s="348"/>
      <c r="P861" s="347"/>
      <c r="Q861" s="347"/>
      <c r="R861" s="347"/>
      <c r="S861" s="347"/>
      <c r="T861" s="347"/>
      <c r="U861" s="347"/>
      <c r="V861" s="347"/>
      <c r="W861" s="347"/>
      <c r="X861" s="347"/>
      <c r="Y861" s="347"/>
      <c r="Z861" s="347"/>
      <c r="AA861" s="604"/>
      <c r="AB861" s="347"/>
      <c r="AC861" s="590"/>
      <c r="AD861" s="347"/>
      <c r="AE861" s="347"/>
      <c r="AF861" s="347"/>
      <c r="AG861" s="347"/>
      <c r="AH861" s="347"/>
      <c r="AI861" s="347"/>
      <c r="AJ861" s="347"/>
      <c r="AK861" s="347"/>
      <c r="AL861" s="347"/>
      <c r="AM861" s="347"/>
      <c r="AN861" s="347"/>
      <c r="AO861" s="347"/>
      <c r="AP861" s="347"/>
      <c r="AQ861" s="347"/>
      <c r="AR861" s="347"/>
      <c r="AS861" s="347"/>
      <c r="AT861" s="347"/>
      <c r="AU861" s="347"/>
      <c r="AV861" s="347"/>
      <c r="AW861" s="347"/>
      <c r="AX861" s="347"/>
      <c r="AY861" s="347"/>
      <c r="AZ861" s="347"/>
      <c r="BA861" s="347"/>
      <c r="BB861" s="347"/>
      <c r="BC861" s="347"/>
      <c r="BD861" s="347"/>
      <c r="BE861" s="347"/>
      <c r="BF861" s="347"/>
      <c r="BG861" s="347"/>
      <c r="BH861" s="347"/>
    </row>
    <row r="862">
      <c r="A862" s="347"/>
      <c r="B862" s="347"/>
      <c r="C862" s="347"/>
      <c r="D862" s="347"/>
      <c r="E862" s="347"/>
      <c r="F862" s="347"/>
      <c r="G862" s="347"/>
      <c r="H862" s="347"/>
      <c r="I862" s="347"/>
      <c r="J862" s="347"/>
      <c r="K862" s="348"/>
      <c r="L862" s="348"/>
      <c r="M862" s="348"/>
      <c r="N862" s="348"/>
      <c r="O862" s="348"/>
      <c r="P862" s="347"/>
      <c r="Q862" s="347"/>
      <c r="R862" s="347"/>
      <c r="S862" s="347"/>
      <c r="T862" s="347"/>
      <c r="U862" s="347"/>
      <c r="V862" s="347"/>
      <c r="W862" s="347"/>
      <c r="X862" s="347"/>
      <c r="Y862" s="347"/>
      <c r="Z862" s="347"/>
      <c r="AA862" s="604"/>
      <c r="AB862" s="347"/>
      <c r="AC862" s="590"/>
      <c r="AD862" s="347"/>
      <c r="AE862" s="347"/>
      <c r="AF862" s="347"/>
      <c r="AG862" s="347"/>
      <c r="AH862" s="347"/>
      <c r="AI862" s="347"/>
      <c r="AJ862" s="347"/>
      <c r="AK862" s="347"/>
      <c r="AL862" s="347"/>
      <c r="AM862" s="347"/>
      <c r="AN862" s="347"/>
      <c r="AO862" s="347"/>
      <c r="AP862" s="347"/>
      <c r="AQ862" s="347"/>
      <c r="AR862" s="347"/>
      <c r="AS862" s="347"/>
      <c r="AT862" s="347"/>
      <c r="AU862" s="347"/>
      <c r="AV862" s="347"/>
      <c r="AW862" s="347"/>
      <c r="AX862" s="347"/>
      <c r="AY862" s="347"/>
      <c r="AZ862" s="347"/>
      <c r="BA862" s="347"/>
      <c r="BB862" s="347"/>
      <c r="BC862" s="347"/>
      <c r="BD862" s="347"/>
      <c r="BE862" s="347"/>
      <c r="BF862" s="347"/>
      <c r="BG862" s="347"/>
      <c r="BH862" s="347"/>
    </row>
    <row r="863">
      <c r="A863" s="347"/>
      <c r="B863" s="347"/>
      <c r="C863" s="347"/>
      <c r="D863" s="347"/>
      <c r="E863" s="347"/>
      <c r="F863" s="347"/>
      <c r="G863" s="347"/>
      <c r="H863" s="347"/>
      <c r="I863" s="347"/>
      <c r="J863" s="347"/>
      <c r="K863" s="348"/>
      <c r="L863" s="348"/>
      <c r="M863" s="348"/>
      <c r="N863" s="348"/>
      <c r="O863" s="348"/>
      <c r="P863" s="347"/>
      <c r="Q863" s="347"/>
      <c r="R863" s="347"/>
      <c r="S863" s="347"/>
      <c r="T863" s="347"/>
      <c r="U863" s="347"/>
      <c r="V863" s="347"/>
      <c r="W863" s="347"/>
      <c r="X863" s="347"/>
      <c r="Y863" s="347"/>
      <c r="Z863" s="347"/>
      <c r="AA863" s="604"/>
      <c r="AB863" s="347"/>
      <c r="AC863" s="590"/>
      <c r="AD863" s="347"/>
      <c r="AE863" s="347"/>
      <c r="AF863" s="347"/>
      <c r="AG863" s="347"/>
      <c r="AH863" s="347"/>
      <c r="AI863" s="347"/>
      <c r="AJ863" s="347"/>
      <c r="AK863" s="347"/>
      <c r="AL863" s="347"/>
      <c r="AM863" s="347"/>
      <c r="AN863" s="347"/>
      <c r="AO863" s="347"/>
      <c r="AP863" s="347"/>
      <c r="AQ863" s="347"/>
      <c r="AR863" s="347"/>
      <c r="AS863" s="347"/>
      <c r="AT863" s="347"/>
      <c r="AU863" s="347"/>
      <c r="AV863" s="347"/>
      <c r="AW863" s="347"/>
      <c r="AX863" s="347"/>
      <c r="AY863" s="347"/>
      <c r="AZ863" s="347"/>
      <c r="BA863" s="347"/>
      <c r="BB863" s="347"/>
      <c r="BC863" s="347"/>
      <c r="BD863" s="347"/>
      <c r="BE863" s="347"/>
      <c r="BF863" s="347"/>
      <c r="BG863" s="347"/>
      <c r="BH863" s="347"/>
    </row>
    <row r="864">
      <c r="A864" s="347"/>
      <c r="B864" s="347"/>
      <c r="C864" s="347"/>
      <c r="D864" s="347"/>
      <c r="E864" s="347"/>
      <c r="F864" s="347"/>
      <c r="G864" s="347"/>
      <c r="H864" s="347"/>
      <c r="I864" s="347"/>
      <c r="J864" s="347"/>
      <c r="K864" s="348"/>
      <c r="L864" s="348"/>
      <c r="M864" s="348"/>
      <c r="N864" s="348"/>
      <c r="O864" s="348"/>
      <c r="P864" s="347"/>
      <c r="Q864" s="347"/>
      <c r="R864" s="347"/>
      <c r="S864" s="347"/>
      <c r="T864" s="347"/>
      <c r="U864" s="347"/>
      <c r="V864" s="347"/>
      <c r="W864" s="347"/>
      <c r="X864" s="347"/>
      <c r="Y864" s="347"/>
      <c r="Z864" s="347"/>
      <c r="AA864" s="604"/>
      <c r="AB864" s="347"/>
      <c r="AC864" s="590"/>
      <c r="AD864" s="347"/>
      <c r="AE864" s="347"/>
      <c r="AF864" s="347"/>
      <c r="AG864" s="347"/>
      <c r="AH864" s="347"/>
      <c r="AI864" s="347"/>
      <c r="AJ864" s="347"/>
      <c r="AK864" s="347"/>
      <c r="AL864" s="347"/>
      <c r="AM864" s="347"/>
      <c r="AN864" s="347"/>
      <c r="AO864" s="347"/>
      <c r="AP864" s="347"/>
      <c r="AQ864" s="347"/>
      <c r="AR864" s="347"/>
      <c r="AS864" s="347"/>
      <c r="AT864" s="347"/>
      <c r="AU864" s="347"/>
      <c r="AV864" s="347"/>
      <c r="AW864" s="347"/>
      <c r="AX864" s="347"/>
      <c r="AY864" s="347"/>
      <c r="AZ864" s="347"/>
      <c r="BA864" s="347"/>
      <c r="BB864" s="347"/>
      <c r="BC864" s="347"/>
      <c r="BD864" s="347"/>
      <c r="BE864" s="347"/>
      <c r="BF864" s="347"/>
      <c r="BG864" s="347"/>
      <c r="BH864" s="347"/>
    </row>
    <row r="865">
      <c r="A865" s="347"/>
      <c r="B865" s="347"/>
      <c r="C865" s="347"/>
      <c r="D865" s="347"/>
      <c r="E865" s="347"/>
      <c r="F865" s="347"/>
      <c r="G865" s="347"/>
      <c r="H865" s="347"/>
      <c r="I865" s="347"/>
      <c r="J865" s="347"/>
      <c r="K865" s="348"/>
      <c r="L865" s="348"/>
      <c r="M865" s="348"/>
      <c r="N865" s="348"/>
      <c r="O865" s="348"/>
      <c r="P865" s="347"/>
      <c r="Q865" s="347"/>
      <c r="R865" s="347"/>
      <c r="S865" s="347"/>
      <c r="T865" s="347"/>
      <c r="U865" s="347"/>
      <c r="V865" s="347"/>
      <c r="W865" s="347"/>
      <c r="X865" s="347"/>
      <c r="Y865" s="347"/>
      <c r="Z865" s="347"/>
      <c r="AA865" s="604"/>
      <c r="AB865" s="347"/>
      <c r="AC865" s="590"/>
      <c r="AD865" s="347"/>
      <c r="AE865" s="347"/>
      <c r="AF865" s="347"/>
      <c r="AG865" s="347"/>
      <c r="AH865" s="347"/>
      <c r="AI865" s="347"/>
      <c r="AJ865" s="347"/>
      <c r="AK865" s="347"/>
      <c r="AL865" s="347"/>
      <c r="AM865" s="347"/>
      <c r="AN865" s="347"/>
      <c r="AO865" s="347"/>
      <c r="AP865" s="347"/>
      <c r="AQ865" s="347"/>
      <c r="AR865" s="347"/>
      <c r="AS865" s="347"/>
      <c r="AT865" s="347"/>
      <c r="AU865" s="347"/>
      <c r="AV865" s="347"/>
      <c r="AW865" s="347"/>
      <c r="AX865" s="347"/>
      <c r="AY865" s="347"/>
      <c r="AZ865" s="347"/>
      <c r="BA865" s="347"/>
      <c r="BB865" s="347"/>
      <c r="BC865" s="347"/>
      <c r="BD865" s="347"/>
      <c r="BE865" s="347"/>
      <c r="BF865" s="347"/>
      <c r="BG865" s="347"/>
      <c r="BH865" s="347"/>
    </row>
    <row r="866">
      <c r="A866" s="347"/>
      <c r="B866" s="347"/>
      <c r="C866" s="347"/>
      <c r="D866" s="347"/>
      <c r="E866" s="347"/>
      <c r="F866" s="347"/>
      <c r="G866" s="347"/>
      <c r="H866" s="347"/>
      <c r="I866" s="347"/>
      <c r="J866" s="347"/>
      <c r="K866" s="348"/>
      <c r="L866" s="348"/>
      <c r="M866" s="348"/>
      <c r="N866" s="348"/>
      <c r="O866" s="348"/>
      <c r="P866" s="347"/>
      <c r="Q866" s="347"/>
      <c r="R866" s="347"/>
      <c r="S866" s="347"/>
      <c r="T866" s="347"/>
      <c r="U866" s="347"/>
      <c r="V866" s="347"/>
      <c r="W866" s="347"/>
      <c r="X866" s="347"/>
      <c r="Y866" s="347"/>
      <c r="Z866" s="347"/>
      <c r="AA866" s="604"/>
      <c r="AB866" s="347"/>
      <c r="AC866" s="590"/>
      <c r="AD866" s="347"/>
      <c r="AE866" s="347"/>
      <c r="AF866" s="347"/>
      <c r="AG866" s="347"/>
      <c r="AH866" s="347"/>
      <c r="AI866" s="347"/>
      <c r="AJ866" s="347"/>
      <c r="AK866" s="347"/>
      <c r="AL866" s="347"/>
      <c r="AM866" s="347"/>
      <c r="AN866" s="347"/>
      <c r="AO866" s="347"/>
      <c r="AP866" s="347"/>
      <c r="AQ866" s="347"/>
      <c r="AR866" s="347"/>
      <c r="AS866" s="347"/>
      <c r="AT866" s="347"/>
      <c r="AU866" s="347"/>
      <c r="AV866" s="347"/>
      <c r="AW866" s="347"/>
      <c r="AX866" s="347"/>
      <c r="AY866" s="347"/>
      <c r="AZ866" s="347"/>
      <c r="BA866" s="347"/>
      <c r="BB866" s="347"/>
      <c r="BC866" s="347"/>
      <c r="BD866" s="347"/>
      <c r="BE866" s="347"/>
      <c r="BF866" s="347"/>
      <c r="BG866" s="347"/>
      <c r="BH866" s="347"/>
    </row>
    <row r="867">
      <c r="A867" s="347"/>
      <c r="B867" s="347"/>
      <c r="C867" s="347"/>
      <c r="D867" s="347"/>
      <c r="E867" s="347"/>
      <c r="F867" s="347"/>
      <c r="G867" s="347"/>
      <c r="H867" s="347"/>
      <c r="I867" s="347"/>
      <c r="J867" s="347"/>
      <c r="K867" s="348"/>
      <c r="L867" s="348"/>
      <c r="M867" s="348"/>
      <c r="N867" s="348"/>
      <c r="O867" s="348"/>
      <c r="P867" s="347"/>
      <c r="Q867" s="347"/>
      <c r="R867" s="347"/>
      <c r="S867" s="347"/>
      <c r="T867" s="347"/>
      <c r="U867" s="347"/>
      <c r="V867" s="347"/>
      <c r="W867" s="347"/>
      <c r="X867" s="347"/>
      <c r="Y867" s="347"/>
      <c r="Z867" s="347"/>
      <c r="AA867" s="604"/>
      <c r="AB867" s="347"/>
      <c r="AC867" s="590"/>
      <c r="AD867" s="347"/>
      <c r="AE867" s="347"/>
      <c r="AF867" s="347"/>
      <c r="AG867" s="347"/>
      <c r="AH867" s="347"/>
      <c r="AI867" s="347"/>
      <c r="AJ867" s="347"/>
      <c r="AK867" s="347"/>
      <c r="AL867" s="347"/>
      <c r="AM867" s="347"/>
      <c r="AN867" s="347"/>
      <c r="AO867" s="347"/>
      <c r="AP867" s="347"/>
      <c r="AQ867" s="347"/>
      <c r="AR867" s="347"/>
      <c r="AS867" s="347"/>
      <c r="AT867" s="347"/>
      <c r="AU867" s="347"/>
      <c r="AV867" s="347"/>
      <c r="AW867" s="347"/>
      <c r="AX867" s="347"/>
      <c r="AY867" s="347"/>
      <c r="AZ867" s="347"/>
      <c r="BA867" s="347"/>
      <c r="BB867" s="347"/>
      <c r="BC867" s="347"/>
      <c r="BD867" s="347"/>
      <c r="BE867" s="347"/>
      <c r="BF867" s="347"/>
      <c r="BG867" s="347"/>
      <c r="BH867" s="347"/>
    </row>
    <row r="868">
      <c r="A868" s="347"/>
      <c r="B868" s="347"/>
      <c r="C868" s="347"/>
      <c r="D868" s="347"/>
      <c r="E868" s="347"/>
      <c r="F868" s="347"/>
      <c r="G868" s="347"/>
      <c r="H868" s="347"/>
      <c r="I868" s="347"/>
      <c r="J868" s="347"/>
      <c r="K868" s="348"/>
      <c r="L868" s="348"/>
      <c r="M868" s="348"/>
      <c r="N868" s="348"/>
      <c r="O868" s="348"/>
      <c r="P868" s="347"/>
      <c r="Q868" s="347"/>
      <c r="R868" s="347"/>
      <c r="S868" s="347"/>
      <c r="T868" s="347"/>
      <c r="U868" s="347"/>
      <c r="V868" s="347"/>
      <c r="W868" s="347"/>
      <c r="X868" s="347"/>
      <c r="Y868" s="347"/>
      <c r="Z868" s="347"/>
      <c r="AA868" s="604"/>
      <c r="AB868" s="347"/>
      <c r="AC868" s="590"/>
      <c r="AD868" s="347"/>
      <c r="AE868" s="347"/>
      <c r="AF868" s="347"/>
      <c r="AG868" s="347"/>
      <c r="AH868" s="347"/>
      <c r="AI868" s="347"/>
      <c r="AJ868" s="347"/>
      <c r="AK868" s="347"/>
      <c r="AL868" s="347"/>
      <c r="AM868" s="347"/>
      <c r="AN868" s="347"/>
      <c r="AO868" s="347"/>
      <c r="AP868" s="347"/>
      <c r="AQ868" s="347"/>
      <c r="AR868" s="347"/>
      <c r="AS868" s="347"/>
      <c r="AT868" s="347"/>
      <c r="AU868" s="347"/>
      <c r="AV868" s="347"/>
      <c r="AW868" s="347"/>
      <c r="AX868" s="347"/>
      <c r="AY868" s="347"/>
      <c r="AZ868" s="347"/>
      <c r="BA868" s="347"/>
      <c r="BB868" s="347"/>
      <c r="BC868" s="347"/>
      <c r="BD868" s="347"/>
      <c r="BE868" s="347"/>
      <c r="BF868" s="347"/>
      <c r="BG868" s="347"/>
      <c r="BH868" s="347"/>
    </row>
    <row r="869">
      <c r="A869" s="347"/>
      <c r="B869" s="347"/>
      <c r="C869" s="347"/>
      <c r="D869" s="347"/>
      <c r="E869" s="347"/>
      <c r="F869" s="347"/>
      <c r="G869" s="347"/>
      <c r="H869" s="347"/>
      <c r="I869" s="347"/>
      <c r="J869" s="347"/>
      <c r="K869" s="348"/>
      <c r="L869" s="348"/>
      <c r="M869" s="348"/>
      <c r="N869" s="348"/>
      <c r="O869" s="348"/>
      <c r="P869" s="347"/>
      <c r="Q869" s="347"/>
      <c r="R869" s="347"/>
      <c r="S869" s="347"/>
      <c r="T869" s="347"/>
      <c r="U869" s="347"/>
      <c r="V869" s="347"/>
      <c r="W869" s="347"/>
      <c r="X869" s="347"/>
      <c r="Y869" s="347"/>
      <c r="Z869" s="347"/>
      <c r="AA869" s="604"/>
      <c r="AB869" s="347"/>
      <c r="AC869" s="590"/>
      <c r="AD869" s="347"/>
      <c r="AE869" s="347"/>
      <c r="AF869" s="347"/>
      <c r="AG869" s="347"/>
      <c r="AH869" s="347"/>
      <c r="AI869" s="347"/>
      <c r="AJ869" s="347"/>
      <c r="AK869" s="347"/>
      <c r="AL869" s="347"/>
      <c r="AM869" s="347"/>
      <c r="AN869" s="347"/>
      <c r="AO869" s="347"/>
      <c r="AP869" s="347"/>
      <c r="AQ869" s="347"/>
      <c r="AR869" s="347"/>
      <c r="AS869" s="347"/>
      <c r="AT869" s="347"/>
      <c r="AU869" s="347"/>
      <c r="AV869" s="347"/>
      <c r="AW869" s="347"/>
      <c r="AX869" s="347"/>
      <c r="AY869" s="347"/>
      <c r="AZ869" s="347"/>
      <c r="BA869" s="347"/>
      <c r="BB869" s="347"/>
      <c r="BC869" s="347"/>
      <c r="BD869" s="347"/>
      <c r="BE869" s="347"/>
      <c r="BF869" s="347"/>
      <c r="BG869" s="347"/>
      <c r="BH869" s="347"/>
    </row>
    <row r="870">
      <c r="A870" s="347"/>
      <c r="B870" s="347"/>
      <c r="C870" s="347"/>
      <c r="D870" s="347"/>
      <c r="E870" s="347"/>
      <c r="F870" s="347"/>
      <c r="G870" s="347"/>
      <c r="H870" s="347"/>
      <c r="I870" s="347"/>
      <c r="J870" s="347"/>
      <c r="K870" s="348"/>
      <c r="L870" s="348"/>
      <c r="M870" s="348"/>
      <c r="N870" s="348"/>
      <c r="O870" s="348"/>
      <c r="P870" s="347"/>
      <c r="Q870" s="347"/>
      <c r="R870" s="347"/>
      <c r="S870" s="347"/>
      <c r="T870" s="347"/>
      <c r="U870" s="347"/>
      <c r="V870" s="347"/>
      <c r="W870" s="347"/>
      <c r="X870" s="347"/>
      <c r="Y870" s="347"/>
      <c r="Z870" s="347"/>
      <c r="AA870" s="604"/>
      <c r="AB870" s="347"/>
      <c r="AC870" s="590"/>
      <c r="AD870" s="347"/>
      <c r="AE870" s="347"/>
      <c r="AF870" s="347"/>
      <c r="AG870" s="347"/>
      <c r="AH870" s="347"/>
      <c r="AI870" s="347"/>
      <c r="AJ870" s="347"/>
      <c r="AK870" s="347"/>
      <c r="AL870" s="347"/>
      <c r="AM870" s="347"/>
      <c r="AN870" s="347"/>
      <c r="AO870" s="347"/>
      <c r="AP870" s="347"/>
      <c r="AQ870" s="347"/>
      <c r="AR870" s="347"/>
      <c r="AS870" s="347"/>
      <c r="AT870" s="347"/>
      <c r="AU870" s="347"/>
      <c r="AV870" s="347"/>
      <c r="AW870" s="347"/>
      <c r="AX870" s="347"/>
      <c r="AY870" s="347"/>
      <c r="AZ870" s="347"/>
      <c r="BA870" s="347"/>
      <c r="BB870" s="347"/>
      <c r="BC870" s="347"/>
      <c r="BD870" s="347"/>
      <c r="BE870" s="347"/>
      <c r="BF870" s="347"/>
      <c r="BG870" s="347"/>
      <c r="BH870" s="347"/>
    </row>
    <row r="871">
      <c r="A871" s="347"/>
      <c r="B871" s="347"/>
      <c r="C871" s="347"/>
      <c r="D871" s="347"/>
      <c r="E871" s="347"/>
      <c r="F871" s="347"/>
      <c r="G871" s="347"/>
      <c r="H871" s="347"/>
      <c r="I871" s="347"/>
      <c r="J871" s="347"/>
      <c r="K871" s="348"/>
      <c r="L871" s="348"/>
      <c r="M871" s="348"/>
      <c r="N871" s="348"/>
      <c r="O871" s="348"/>
      <c r="P871" s="347"/>
      <c r="Q871" s="347"/>
      <c r="R871" s="347"/>
      <c r="S871" s="347"/>
      <c r="T871" s="347"/>
      <c r="U871" s="347"/>
      <c r="V871" s="347"/>
      <c r="W871" s="347"/>
      <c r="X871" s="347"/>
      <c r="Y871" s="347"/>
      <c r="Z871" s="347"/>
      <c r="AA871" s="604"/>
      <c r="AB871" s="347"/>
      <c r="AC871" s="590"/>
      <c r="AD871" s="347"/>
      <c r="AE871" s="347"/>
      <c r="AF871" s="347"/>
      <c r="AG871" s="347"/>
      <c r="AH871" s="347"/>
      <c r="AI871" s="347"/>
      <c r="AJ871" s="347"/>
      <c r="AK871" s="347"/>
      <c r="AL871" s="347"/>
      <c r="AM871" s="347"/>
      <c r="AN871" s="347"/>
      <c r="AO871" s="347"/>
      <c r="AP871" s="347"/>
      <c r="AQ871" s="347"/>
      <c r="AR871" s="347"/>
      <c r="AS871" s="347"/>
      <c r="AT871" s="347"/>
      <c r="AU871" s="347"/>
      <c r="AV871" s="347"/>
      <c r="AW871" s="347"/>
      <c r="AX871" s="347"/>
      <c r="AY871" s="347"/>
      <c r="AZ871" s="347"/>
      <c r="BA871" s="347"/>
      <c r="BB871" s="347"/>
      <c r="BC871" s="347"/>
      <c r="BD871" s="347"/>
      <c r="BE871" s="347"/>
      <c r="BF871" s="347"/>
      <c r="BG871" s="347"/>
      <c r="BH871" s="347"/>
    </row>
    <row r="872">
      <c r="A872" s="347"/>
      <c r="B872" s="347"/>
      <c r="C872" s="347"/>
      <c r="D872" s="347"/>
      <c r="E872" s="347"/>
      <c r="F872" s="347"/>
      <c r="G872" s="347"/>
      <c r="H872" s="347"/>
      <c r="I872" s="347"/>
      <c r="J872" s="347"/>
      <c r="K872" s="348"/>
      <c r="L872" s="348"/>
      <c r="M872" s="348"/>
      <c r="N872" s="348"/>
      <c r="O872" s="348"/>
      <c r="P872" s="347"/>
      <c r="Q872" s="347"/>
      <c r="R872" s="347"/>
      <c r="S872" s="347"/>
      <c r="T872" s="347"/>
      <c r="U872" s="347"/>
      <c r="V872" s="347"/>
      <c r="W872" s="347"/>
      <c r="X872" s="347"/>
      <c r="Y872" s="347"/>
      <c r="Z872" s="347"/>
      <c r="AA872" s="604"/>
      <c r="AB872" s="347"/>
      <c r="AC872" s="590"/>
      <c r="AD872" s="347"/>
      <c r="AE872" s="347"/>
      <c r="AF872" s="347"/>
      <c r="AG872" s="347"/>
      <c r="AH872" s="347"/>
      <c r="AI872" s="347"/>
      <c r="AJ872" s="347"/>
      <c r="AK872" s="347"/>
      <c r="AL872" s="347"/>
      <c r="AM872" s="347"/>
      <c r="AN872" s="347"/>
      <c r="AO872" s="347"/>
      <c r="AP872" s="347"/>
      <c r="AQ872" s="347"/>
      <c r="AR872" s="347"/>
      <c r="AS872" s="347"/>
      <c r="AT872" s="347"/>
      <c r="AU872" s="347"/>
      <c r="AV872" s="347"/>
      <c r="AW872" s="347"/>
      <c r="AX872" s="347"/>
      <c r="AY872" s="347"/>
      <c r="AZ872" s="347"/>
      <c r="BA872" s="347"/>
      <c r="BB872" s="347"/>
      <c r="BC872" s="347"/>
      <c r="BD872" s="347"/>
      <c r="BE872" s="347"/>
      <c r="BF872" s="347"/>
      <c r="BG872" s="347"/>
      <c r="BH872" s="347"/>
    </row>
    <row r="873">
      <c r="A873" s="347"/>
      <c r="B873" s="347"/>
      <c r="C873" s="347"/>
      <c r="D873" s="347"/>
      <c r="E873" s="347"/>
      <c r="F873" s="347"/>
      <c r="G873" s="347"/>
      <c r="H873" s="347"/>
      <c r="I873" s="347"/>
      <c r="J873" s="347"/>
      <c r="K873" s="348"/>
      <c r="L873" s="348"/>
      <c r="M873" s="348"/>
      <c r="N873" s="348"/>
      <c r="O873" s="348"/>
      <c r="P873" s="347"/>
      <c r="Q873" s="347"/>
      <c r="R873" s="347"/>
      <c r="S873" s="347"/>
      <c r="T873" s="347"/>
      <c r="U873" s="347"/>
      <c r="V873" s="347"/>
      <c r="W873" s="347"/>
      <c r="X873" s="347"/>
      <c r="Y873" s="347"/>
      <c r="Z873" s="347"/>
      <c r="AA873" s="604"/>
      <c r="AB873" s="347"/>
      <c r="AC873" s="590"/>
      <c r="AD873" s="347"/>
      <c r="AE873" s="347"/>
      <c r="AF873" s="347"/>
      <c r="AG873" s="347"/>
      <c r="AH873" s="347"/>
      <c r="AI873" s="347"/>
      <c r="AJ873" s="347"/>
      <c r="AK873" s="347"/>
      <c r="AL873" s="347"/>
      <c r="AM873" s="347"/>
      <c r="AN873" s="347"/>
      <c r="AO873" s="347"/>
      <c r="AP873" s="347"/>
      <c r="AQ873" s="347"/>
      <c r="AR873" s="347"/>
      <c r="AS873" s="347"/>
      <c r="AT873" s="347"/>
      <c r="AU873" s="347"/>
      <c r="AV873" s="347"/>
      <c r="AW873" s="347"/>
      <c r="AX873" s="347"/>
      <c r="AY873" s="347"/>
      <c r="AZ873" s="347"/>
      <c r="BA873" s="347"/>
      <c r="BB873" s="347"/>
      <c r="BC873" s="347"/>
      <c r="BD873" s="347"/>
      <c r="BE873" s="347"/>
      <c r="BF873" s="347"/>
      <c r="BG873" s="347"/>
      <c r="BH873" s="347"/>
    </row>
    <row r="874">
      <c r="A874" s="347"/>
      <c r="B874" s="347"/>
      <c r="C874" s="347"/>
      <c r="D874" s="347"/>
      <c r="E874" s="347"/>
      <c r="F874" s="347"/>
      <c r="G874" s="347"/>
      <c r="H874" s="347"/>
      <c r="I874" s="347"/>
      <c r="J874" s="347"/>
      <c r="K874" s="348"/>
      <c r="L874" s="348"/>
      <c r="M874" s="348"/>
      <c r="N874" s="348"/>
      <c r="O874" s="348"/>
      <c r="P874" s="347"/>
      <c r="Q874" s="347"/>
      <c r="R874" s="347"/>
      <c r="S874" s="347"/>
      <c r="T874" s="347"/>
      <c r="U874" s="347"/>
      <c r="V874" s="347"/>
      <c r="W874" s="347"/>
      <c r="X874" s="347"/>
      <c r="Y874" s="347"/>
      <c r="Z874" s="347"/>
      <c r="AA874" s="604"/>
      <c r="AB874" s="347"/>
      <c r="AC874" s="590"/>
      <c r="AD874" s="347"/>
      <c r="AE874" s="347"/>
      <c r="AF874" s="347"/>
      <c r="AG874" s="347"/>
      <c r="AH874" s="347"/>
      <c r="AI874" s="347"/>
      <c r="AJ874" s="347"/>
      <c r="AK874" s="347"/>
      <c r="AL874" s="347"/>
      <c r="AM874" s="347"/>
      <c r="AN874" s="347"/>
      <c r="AO874" s="347"/>
      <c r="AP874" s="347"/>
      <c r="AQ874" s="347"/>
      <c r="AR874" s="347"/>
      <c r="AS874" s="347"/>
      <c r="AT874" s="347"/>
      <c r="AU874" s="347"/>
      <c r="AV874" s="347"/>
      <c r="AW874" s="347"/>
      <c r="AX874" s="347"/>
      <c r="AY874" s="347"/>
      <c r="AZ874" s="347"/>
      <c r="BA874" s="347"/>
      <c r="BB874" s="347"/>
      <c r="BC874" s="347"/>
      <c r="BD874" s="347"/>
      <c r="BE874" s="347"/>
      <c r="BF874" s="347"/>
      <c r="BG874" s="347"/>
      <c r="BH874" s="347"/>
    </row>
    <row r="875">
      <c r="A875" s="347"/>
      <c r="B875" s="347"/>
      <c r="C875" s="347"/>
      <c r="D875" s="347"/>
      <c r="E875" s="347"/>
      <c r="F875" s="347"/>
      <c r="G875" s="347"/>
      <c r="H875" s="347"/>
      <c r="I875" s="347"/>
      <c r="J875" s="347"/>
      <c r="K875" s="348"/>
      <c r="L875" s="348"/>
      <c r="M875" s="348"/>
      <c r="N875" s="348"/>
      <c r="O875" s="348"/>
      <c r="P875" s="347"/>
      <c r="Q875" s="347"/>
      <c r="R875" s="347"/>
      <c r="S875" s="347"/>
      <c r="T875" s="347"/>
      <c r="U875" s="347"/>
      <c r="V875" s="347"/>
      <c r="W875" s="347"/>
      <c r="X875" s="347"/>
      <c r="Y875" s="347"/>
      <c r="Z875" s="347"/>
      <c r="AA875" s="604"/>
      <c r="AB875" s="347"/>
      <c r="AC875" s="590"/>
      <c r="AD875" s="347"/>
      <c r="AE875" s="347"/>
      <c r="AF875" s="347"/>
      <c r="AG875" s="347"/>
      <c r="AH875" s="347"/>
      <c r="AI875" s="347"/>
      <c r="AJ875" s="347"/>
      <c r="AK875" s="347"/>
      <c r="AL875" s="347"/>
      <c r="AM875" s="347"/>
      <c r="AN875" s="347"/>
      <c r="AO875" s="347"/>
      <c r="AP875" s="347"/>
      <c r="AQ875" s="347"/>
      <c r="AR875" s="347"/>
      <c r="AS875" s="347"/>
      <c r="AT875" s="347"/>
      <c r="AU875" s="347"/>
      <c r="AV875" s="347"/>
      <c r="AW875" s="347"/>
      <c r="AX875" s="347"/>
      <c r="AY875" s="347"/>
      <c r="AZ875" s="347"/>
      <c r="BA875" s="347"/>
      <c r="BB875" s="347"/>
      <c r="BC875" s="347"/>
      <c r="BD875" s="347"/>
      <c r="BE875" s="347"/>
      <c r="BF875" s="347"/>
      <c r="BG875" s="347"/>
      <c r="BH875" s="347"/>
    </row>
    <row r="876">
      <c r="A876" s="347"/>
      <c r="B876" s="347"/>
      <c r="C876" s="347"/>
      <c r="D876" s="347"/>
      <c r="E876" s="347"/>
      <c r="F876" s="347"/>
      <c r="G876" s="347"/>
      <c r="H876" s="347"/>
      <c r="I876" s="347"/>
      <c r="J876" s="347"/>
      <c r="K876" s="348"/>
      <c r="L876" s="348"/>
      <c r="M876" s="348"/>
      <c r="N876" s="348"/>
      <c r="O876" s="348"/>
      <c r="P876" s="347"/>
      <c r="Q876" s="347"/>
      <c r="R876" s="347"/>
      <c r="S876" s="347"/>
      <c r="T876" s="347"/>
      <c r="U876" s="347"/>
      <c r="V876" s="347"/>
      <c r="W876" s="347"/>
      <c r="X876" s="347"/>
      <c r="Y876" s="347"/>
      <c r="Z876" s="347"/>
      <c r="AA876" s="604"/>
      <c r="AB876" s="347"/>
      <c r="AC876" s="590"/>
      <c r="AD876" s="347"/>
      <c r="AE876" s="347"/>
      <c r="AF876" s="347"/>
      <c r="AG876" s="347"/>
      <c r="AH876" s="347"/>
      <c r="AI876" s="347"/>
      <c r="AJ876" s="347"/>
      <c r="AK876" s="347"/>
      <c r="AL876" s="347"/>
      <c r="AM876" s="347"/>
      <c r="AN876" s="347"/>
      <c r="AO876" s="347"/>
      <c r="AP876" s="347"/>
      <c r="AQ876" s="347"/>
      <c r="AR876" s="347"/>
      <c r="AS876" s="347"/>
      <c r="AT876" s="347"/>
      <c r="AU876" s="347"/>
      <c r="AV876" s="347"/>
      <c r="AW876" s="347"/>
      <c r="AX876" s="347"/>
      <c r="AY876" s="347"/>
      <c r="AZ876" s="347"/>
      <c r="BA876" s="347"/>
      <c r="BB876" s="347"/>
      <c r="BC876" s="347"/>
      <c r="BD876" s="347"/>
      <c r="BE876" s="347"/>
      <c r="BF876" s="347"/>
      <c r="BG876" s="347"/>
      <c r="BH876" s="347"/>
    </row>
    <row r="877">
      <c r="A877" s="347"/>
      <c r="B877" s="347"/>
      <c r="C877" s="347"/>
      <c r="D877" s="347"/>
      <c r="E877" s="347"/>
      <c r="F877" s="347"/>
      <c r="G877" s="347"/>
      <c r="H877" s="347"/>
      <c r="I877" s="347"/>
      <c r="J877" s="347"/>
      <c r="K877" s="348"/>
      <c r="L877" s="348"/>
      <c r="M877" s="348"/>
      <c r="N877" s="348"/>
      <c r="O877" s="348"/>
      <c r="P877" s="347"/>
      <c r="Q877" s="347"/>
      <c r="R877" s="347"/>
      <c r="S877" s="347"/>
      <c r="T877" s="347"/>
      <c r="U877" s="347"/>
      <c r="V877" s="347"/>
      <c r="W877" s="347"/>
      <c r="X877" s="347"/>
      <c r="Y877" s="347"/>
      <c r="Z877" s="347"/>
      <c r="AA877" s="604"/>
      <c r="AB877" s="347"/>
      <c r="AC877" s="590"/>
      <c r="AD877" s="347"/>
      <c r="AE877" s="347"/>
      <c r="AF877" s="347"/>
      <c r="AG877" s="347"/>
      <c r="AH877" s="347"/>
      <c r="AI877" s="347"/>
      <c r="AJ877" s="347"/>
      <c r="AK877" s="347"/>
      <c r="AL877" s="347"/>
      <c r="AM877" s="347"/>
      <c r="AN877" s="347"/>
      <c r="AO877" s="347"/>
      <c r="AP877" s="347"/>
      <c r="AQ877" s="347"/>
      <c r="AR877" s="347"/>
      <c r="AS877" s="347"/>
      <c r="AT877" s="347"/>
      <c r="AU877" s="347"/>
      <c r="AV877" s="347"/>
      <c r="AW877" s="347"/>
      <c r="AX877" s="347"/>
      <c r="AY877" s="347"/>
      <c r="AZ877" s="347"/>
      <c r="BA877" s="347"/>
      <c r="BB877" s="347"/>
      <c r="BC877" s="347"/>
      <c r="BD877" s="347"/>
      <c r="BE877" s="347"/>
      <c r="BF877" s="347"/>
      <c r="BG877" s="347"/>
      <c r="BH877" s="347"/>
    </row>
    <row r="878">
      <c r="A878" s="347"/>
      <c r="B878" s="347"/>
      <c r="C878" s="347"/>
      <c r="D878" s="347"/>
      <c r="E878" s="347"/>
      <c r="F878" s="347"/>
      <c r="G878" s="347"/>
      <c r="H878" s="347"/>
      <c r="I878" s="347"/>
      <c r="J878" s="347"/>
      <c r="K878" s="348"/>
      <c r="L878" s="348"/>
      <c r="M878" s="348"/>
      <c r="N878" s="348"/>
      <c r="O878" s="348"/>
      <c r="P878" s="347"/>
      <c r="Q878" s="347"/>
      <c r="R878" s="347"/>
      <c r="S878" s="347"/>
      <c r="T878" s="347"/>
      <c r="U878" s="347"/>
      <c r="V878" s="347"/>
      <c r="W878" s="347"/>
      <c r="X878" s="347"/>
      <c r="Y878" s="347"/>
      <c r="Z878" s="347"/>
      <c r="AA878" s="604"/>
      <c r="AB878" s="347"/>
      <c r="AC878" s="590"/>
      <c r="AD878" s="347"/>
      <c r="AE878" s="347"/>
      <c r="AF878" s="347"/>
      <c r="AG878" s="347"/>
      <c r="AH878" s="347"/>
      <c r="AI878" s="347"/>
      <c r="AJ878" s="347"/>
      <c r="AK878" s="347"/>
      <c r="AL878" s="347"/>
      <c r="AM878" s="347"/>
      <c r="AN878" s="347"/>
      <c r="AO878" s="347"/>
      <c r="AP878" s="347"/>
      <c r="AQ878" s="347"/>
      <c r="AR878" s="347"/>
      <c r="AS878" s="347"/>
      <c r="AT878" s="347"/>
      <c r="AU878" s="347"/>
      <c r="AV878" s="347"/>
      <c r="AW878" s="347"/>
      <c r="AX878" s="347"/>
      <c r="AY878" s="347"/>
      <c r="AZ878" s="347"/>
      <c r="BA878" s="347"/>
      <c r="BB878" s="347"/>
      <c r="BC878" s="347"/>
      <c r="BD878" s="347"/>
      <c r="BE878" s="347"/>
      <c r="BF878" s="347"/>
      <c r="BG878" s="347"/>
      <c r="BH878" s="347"/>
    </row>
    <row r="879">
      <c r="A879" s="347"/>
      <c r="B879" s="347"/>
      <c r="C879" s="347"/>
      <c r="D879" s="347"/>
      <c r="E879" s="347"/>
      <c r="F879" s="347"/>
      <c r="G879" s="347"/>
      <c r="H879" s="347"/>
      <c r="I879" s="347"/>
      <c r="J879" s="347"/>
      <c r="K879" s="348"/>
      <c r="L879" s="348"/>
      <c r="M879" s="348"/>
      <c r="N879" s="348"/>
      <c r="O879" s="348"/>
      <c r="P879" s="347"/>
      <c r="Q879" s="347"/>
      <c r="R879" s="347"/>
      <c r="S879" s="347"/>
      <c r="T879" s="347"/>
      <c r="U879" s="347"/>
      <c r="V879" s="347"/>
      <c r="W879" s="347"/>
      <c r="X879" s="347"/>
      <c r="Y879" s="347"/>
      <c r="Z879" s="347"/>
      <c r="AA879" s="604"/>
      <c r="AB879" s="347"/>
      <c r="AC879" s="590"/>
      <c r="AD879" s="347"/>
      <c r="AE879" s="347"/>
      <c r="AF879" s="347"/>
      <c r="AG879" s="347"/>
      <c r="AH879" s="347"/>
      <c r="AI879" s="347"/>
      <c r="AJ879" s="347"/>
      <c r="AK879" s="347"/>
      <c r="AL879" s="347"/>
      <c r="AM879" s="347"/>
      <c r="AN879" s="347"/>
      <c r="AO879" s="347"/>
      <c r="AP879" s="347"/>
      <c r="AQ879" s="347"/>
      <c r="AR879" s="347"/>
      <c r="AS879" s="347"/>
      <c r="AT879" s="347"/>
      <c r="AU879" s="347"/>
      <c r="AV879" s="347"/>
      <c r="AW879" s="347"/>
      <c r="AX879" s="347"/>
      <c r="AY879" s="347"/>
      <c r="AZ879" s="347"/>
      <c r="BA879" s="347"/>
      <c r="BB879" s="347"/>
      <c r="BC879" s="347"/>
      <c r="BD879" s="347"/>
      <c r="BE879" s="347"/>
      <c r="BF879" s="347"/>
      <c r="BG879" s="347"/>
      <c r="BH879" s="347"/>
    </row>
    <row r="880">
      <c r="A880" s="347"/>
      <c r="B880" s="347"/>
      <c r="C880" s="347"/>
      <c r="D880" s="347"/>
      <c r="E880" s="347"/>
      <c r="F880" s="347"/>
      <c r="G880" s="347"/>
      <c r="H880" s="347"/>
      <c r="I880" s="347"/>
      <c r="J880" s="347"/>
      <c r="K880" s="348"/>
      <c r="L880" s="348"/>
      <c r="M880" s="348"/>
      <c r="N880" s="348"/>
      <c r="O880" s="348"/>
      <c r="P880" s="347"/>
      <c r="Q880" s="347"/>
      <c r="R880" s="347"/>
      <c r="S880" s="347"/>
      <c r="T880" s="347"/>
      <c r="U880" s="347"/>
      <c r="V880" s="347"/>
      <c r="W880" s="347"/>
      <c r="X880" s="347"/>
      <c r="Y880" s="347"/>
      <c r="Z880" s="347"/>
      <c r="AA880" s="604"/>
      <c r="AB880" s="347"/>
      <c r="AC880" s="590"/>
      <c r="AD880" s="347"/>
      <c r="AE880" s="347"/>
      <c r="AF880" s="347"/>
      <c r="AG880" s="347"/>
      <c r="AH880" s="347"/>
      <c r="AI880" s="347"/>
      <c r="AJ880" s="347"/>
      <c r="AK880" s="347"/>
      <c r="AL880" s="347"/>
      <c r="AM880" s="347"/>
      <c r="AN880" s="347"/>
      <c r="AO880" s="347"/>
      <c r="AP880" s="347"/>
      <c r="AQ880" s="347"/>
      <c r="AR880" s="347"/>
      <c r="AS880" s="347"/>
      <c r="AT880" s="347"/>
      <c r="AU880" s="347"/>
      <c r="AV880" s="347"/>
      <c r="AW880" s="347"/>
      <c r="AX880" s="347"/>
      <c r="AY880" s="347"/>
      <c r="AZ880" s="347"/>
      <c r="BA880" s="347"/>
      <c r="BB880" s="347"/>
      <c r="BC880" s="347"/>
      <c r="BD880" s="347"/>
      <c r="BE880" s="347"/>
      <c r="BF880" s="347"/>
      <c r="BG880" s="347"/>
      <c r="BH880" s="347"/>
    </row>
    <row r="881">
      <c r="A881" s="347"/>
      <c r="B881" s="347"/>
      <c r="C881" s="347"/>
      <c r="D881" s="347"/>
      <c r="E881" s="347"/>
      <c r="F881" s="347"/>
      <c r="G881" s="347"/>
      <c r="H881" s="347"/>
      <c r="I881" s="347"/>
      <c r="J881" s="347"/>
      <c r="K881" s="348"/>
      <c r="L881" s="348"/>
      <c r="M881" s="348"/>
      <c r="N881" s="348"/>
      <c r="O881" s="348"/>
      <c r="P881" s="347"/>
      <c r="Q881" s="347"/>
      <c r="R881" s="347"/>
      <c r="S881" s="347"/>
      <c r="T881" s="347"/>
      <c r="U881" s="347"/>
      <c r="V881" s="347"/>
      <c r="W881" s="347"/>
      <c r="X881" s="347"/>
      <c r="Y881" s="347"/>
      <c r="Z881" s="347"/>
      <c r="AA881" s="604"/>
      <c r="AB881" s="347"/>
      <c r="AC881" s="590"/>
      <c r="AD881" s="347"/>
      <c r="AE881" s="347"/>
      <c r="AF881" s="347"/>
      <c r="AG881" s="347"/>
      <c r="AH881" s="347"/>
      <c r="AI881" s="347"/>
      <c r="AJ881" s="347"/>
      <c r="AK881" s="347"/>
      <c r="AL881" s="347"/>
      <c r="AM881" s="347"/>
      <c r="AN881" s="347"/>
      <c r="AO881" s="347"/>
      <c r="AP881" s="347"/>
      <c r="AQ881" s="347"/>
      <c r="AR881" s="347"/>
      <c r="AS881" s="347"/>
      <c r="AT881" s="347"/>
      <c r="AU881" s="347"/>
      <c r="AV881" s="347"/>
      <c r="AW881" s="347"/>
      <c r="AX881" s="347"/>
      <c r="AY881" s="347"/>
      <c r="AZ881" s="347"/>
      <c r="BA881" s="347"/>
      <c r="BB881" s="347"/>
      <c r="BC881" s="347"/>
      <c r="BD881" s="347"/>
      <c r="BE881" s="347"/>
      <c r="BF881" s="347"/>
      <c r="BG881" s="347"/>
      <c r="BH881" s="347"/>
    </row>
    <row r="882">
      <c r="A882" s="347"/>
      <c r="B882" s="347"/>
      <c r="C882" s="347"/>
      <c r="D882" s="347"/>
      <c r="E882" s="347"/>
      <c r="F882" s="347"/>
      <c r="G882" s="347"/>
      <c r="H882" s="347"/>
      <c r="I882" s="347"/>
      <c r="J882" s="347"/>
      <c r="K882" s="348"/>
      <c r="L882" s="348"/>
      <c r="M882" s="348"/>
      <c r="N882" s="348"/>
      <c r="O882" s="348"/>
      <c r="P882" s="347"/>
      <c r="Q882" s="347"/>
      <c r="R882" s="347"/>
      <c r="S882" s="347"/>
      <c r="T882" s="347"/>
      <c r="U882" s="347"/>
      <c r="V882" s="347"/>
      <c r="W882" s="347"/>
      <c r="X882" s="347"/>
      <c r="Y882" s="347"/>
      <c r="Z882" s="347"/>
      <c r="AA882" s="604"/>
      <c r="AB882" s="347"/>
      <c r="AC882" s="590"/>
      <c r="AD882" s="347"/>
      <c r="AE882" s="347"/>
      <c r="AF882" s="347"/>
      <c r="AG882" s="347"/>
      <c r="AH882" s="347"/>
      <c r="AI882" s="347"/>
      <c r="AJ882" s="347"/>
      <c r="AK882" s="347"/>
      <c r="AL882" s="347"/>
      <c r="AM882" s="347"/>
      <c r="AN882" s="347"/>
      <c r="AO882" s="347"/>
      <c r="AP882" s="347"/>
      <c r="AQ882" s="347"/>
      <c r="AR882" s="347"/>
      <c r="AS882" s="347"/>
      <c r="AT882" s="347"/>
      <c r="AU882" s="347"/>
      <c r="AV882" s="347"/>
      <c r="AW882" s="347"/>
      <c r="AX882" s="347"/>
      <c r="AY882" s="347"/>
      <c r="AZ882" s="347"/>
      <c r="BA882" s="347"/>
      <c r="BB882" s="347"/>
      <c r="BC882" s="347"/>
      <c r="BD882" s="347"/>
      <c r="BE882" s="347"/>
      <c r="BF882" s="347"/>
      <c r="BG882" s="347"/>
      <c r="BH882" s="347"/>
    </row>
    <row r="883">
      <c r="A883" s="347"/>
      <c r="B883" s="347"/>
      <c r="C883" s="347"/>
      <c r="D883" s="347"/>
      <c r="E883" s="347"/>
      <c r="F883" s="347"/>
      <c r="G883" s="347"/>
      <c r="H883" s="347"/>
      <c r="I883" s="347"/>
      <c r="J883" s="347"/>
      <c r="K883" s="348"/>
      <c r="L883" s="348"/>
      <c r="M883" s="348"/>
      <c r="N883" s="348"/>
      <c r="O883" s="348"/>
      <c r="P883" s="347"/>
      <c r="Q883" s="347"/>
      <c r="R883" s="347"/>
      <c r="S883" s="347"/>
      <c r="T883" s="347"/>
      <c r="U883" s="347"/>
      <c r="V883" s="347"/>
      <c r="W883" s="347"/>
      <c r="X883" s="347"/>
      <c r="Y883" s="347"/>
      <c r="Z883" s="347"/>
      <c r="AA883" s="604"/>
      <c r="AB883" s="347"/>
      <c r="AC883" s="590"/>
      <c r="AD883" s="347"/>
      <c r="AE883" s="347"/>
      <c r="AF883" s="347"/>
      <c r="AG883" s="347"/>
      <c r="AH883" s="347"/>
      <c r="AI883" s="347"/>
      <c r="AJ883" s="347"/>
      <c r="AK883" s="347"/>
      <c r="AL883" s="347"/>
      <c r="AM883" s="347"/>
      <c r="AN883" s="347"/>
      <c r="AO883" s="347"/>
      <c r="AP883" s="347"/>
      <c r="AQ883" s="347"/>
      <c r="AR883" s="347"/>
      <c r="AS883" s="347"/>
      <c r="AT883" s="347"/>
      <c r="AU883" s="347"/>
      <c r="AV883" s="347"/>
      <c r="AW883" s="347"/>
      <c r="AX883" s="347"/>
      <c r="AY883" s="347"/>
      <c r="AZ883" s="347"/>
      <c r="BA883" s="347"/>
      <c r="BB883" s="347"/>
      <c r="BC883" s="347"/>
      <c r="BD883" s="347"/>
      <c r="BE883" s="347"/>
      <c r="BF883" s="347"/>
      <c r="BG883" s="347"/>
      <c r="BH883" s="347"/>
    </row>
    <row r="884">
      <c r="A884" s="347"/>
      <c r="B884" s="347"/>
      <c r="C884" s="347"/>
      <c r="D884" s="347"/>
      <c r="E884" s="347"/>
      <c r="F884" s="347"/>
      <c r="G884" s="347"/>
      <c r="H884" s="347"/>
      <c r="I884" s="347"/>
      <c r="J884" s="347"/>
      <c r="K884" s="348"/>
      <c r="L884" s="348"/>
      <c r="M884" s="348"/>
      <c r="N884" s="348"/>
      <c r="O884" s="348"/>
      <c r="P884" s="347"/>
      <c r="Q884" s="347"/>
      <c r="R884" s="347"/>
      <c r="S884" s="347"/>
      <c r="T884" s="347"/>
      <c r="U884" s="347"/>
      <c r="V884" s="347"/>
      <c r="W884" s="347"/>
      <c r="X884" s="347"/>
      <c r="Y884" s="347"/>
      <c r="Z884" s="347"/>
      <c r="AA884" s="604"/>
      <c r="AB884" s="347"/>
      <c r="AC884" s="590"/>
      <c r="AD884" s="347"/>
      <c r="AE884" s="347"/>
      <c r="AF884" s="347"/>
      <c r="AG884" s="347"/>
      <c r="AH884" s="347"/>
      <c r="AI884" s="347"/>
      <c r="AJ884" s="347"/>
      <c r="AK884" s="347"/>
      <c r="AL884" s="347"/>
      <c r="AM884" s="347"/>
      <c r="AN884" s="347"/>
      <c r="AO884" s="347"/>
      <c r="AP884" s="347"/>
      <c r="AQ884" s="347"/>
      <c r="AR884" s="347"/>
      <c r="AS884" s="347"/>
      <c r="AT884" s="347"/>
      <c r="AU884" s="347"/>
      <c r="AV884" s="347"/>
      <c r="AW884" s="347"/>
      <c r="AX884" s="347"/>
      <c r="AY884" s="347"/>
      <c r="AZ884" s="347"/>
      <c r="BA884" s="347"/>
      <c r="BB884" s="347"/>
      <c r="BC884" s="347"/>
      <c r="BD884" s="347"/>
      <c r="BE884" s="347"/>
      <c r="BF884" s="347"/>
      <c r="BG884" s="347"/>
      <c r="BH884" s="347"/>
    </row>
    <row r="885">
      <c r="A885" s="347"/>
      <c r="B885" s="347"/>
      <c r="C885" s="347"/>
      <c r="D885" s="347"/>
      <c r="E885" s="347"/>
      <c r="F885" s="347"/>
      <c r="G885" s="347"/>
      <c r="H885" s="347"/>
      <c r="I885" s="347"/>
      <c r="J885" s="347"/>
      <c r="K885" s="348"/>
      <c r="L885" s="348"/>
      <c r="M885" s="348"/>
      <c r="N885" s="348"/>
      <c r="O885" s="348"/>
      <c r="P885" s="347"/>
      <c r="Q885" s="347"/>
      <c r="R885" s="347"/>
      <c r="S885" s="347"/>
      <c r="T885" s="347"/>
      <c r="U885" s="347"/>
      <c r="V885" s="347"/>
      <c r="W885" s="347"/>
      <c r="X885" s="347"/>
      <c r="Y885" s="347"/>
      <c r="Z885" s="347"/>
      <c r="AA885" s="604"/>
      <c r="AB885" s="347"/>
      <c r="AC885" s="590"/>
      <c r="AD885" s="347"/>
      <c r="AE885" s="347"/>
      <c r="AF885" s="347"/>
      <c r="AG885" s="347"/>
      <c r="AH885" s="347"/>
      <c r="AI885" s="347"/>
      <c r="AJ885" s="347"/>
      <c r="AK885" s="347"/>
      <c r="AL885" s="347"/>
      <c r="AM885" s="347"/>
      <c r="AN885" s="347"/>
      <c r="AO885" s="347"/>
      <c r="AP885" s="347"/>
      <c r="AQ885" s="347"/>
      <c r="AR885" s="347"/>
      <c r="AS885" s="347"/>
      <c r="AT885" s="347"/>
      <c r="AU885" s="347"/>
      <c r="AV885" s="347"/>
      <c r="AW885" s="347"/>
      <c r="AX885" s="347"/>
      <c r="AY885" s="347"/>
      <c r="AZ885" s="347"/>
      <c r="BA885" s="347"/>
      <c r="BB885" s="347"/>
      <c r="BC885" s="347"/>
      <c r="BD885" s="347"/>
      <c r="BE885" s="347"/>
      <c r="BF885" s="347"/>
      <c r="BG885" s="347"/>
      <c r="BH885" s="347"/>
    </row>
    <row r="886">
      <c r="A886" s="347"/>
      <c r="B886" s="347"/>
      <c r="C886" s="347"/>
      <c r="D886" s="347"/>
      <c r="E886" s="347"/>
      <c r="F886" s="347"/>
      <c r="G886" s="347"/>
      <c r="H886" s="347"/>
      <c r="I886" s="347"/>
      <c r="J886" s="347"/>
      <c r="K886" s="348"/>
      <c r="L886" s="348"/>
      <c r="M886" s="348"/>
      <c r="N886" s="348"/>
      <c r="O886" s="348"/>
      <c r="P886" s="347"/>
      <c r="Q886" s="347"/>
      <c r="R886" s="347"/>
      <c r="S886" s="347"/>
      <c r="T886" s="347"/>
      <c r="U886" s="347"/>
      <c r="V886" s="347"/>
      <c r="W886" s="347"/>
      <c r="X886" s="347"/>
      <c r="Y886" s="347"/>
      <c r="Z886" s="347"/>
      <c r="AA886" s="604"/>
      <c r="AB886" s="347"/>
      <c r="AC886" s="590"/>
      <c r="AD886" s="347"/>
      <c r="AE886" s="347"/>
      <c r="AF886" s="347"/>
      <c r="AG886" s="347"/>
      <c r="AH886" s="347"/>
      <c r="AI886" s="347"/>
      <c r="AJ886" s="347"/>
      <c r="AK886" s="347"/>
      <c r="AL886" s="347"/>
      <c r="AM886" s="347"/>
      <c r="AN886" s="347"/>
      <c r="AO886" s="347"/>
      <c r="AP886" s="347"/>
      <c r="AQ886" s="347"/>
      <c r="AR886" s="347"/>
      <c r="AS886" s="347"/>
      <c r="AT886" s="347"/>
      <c r="AU886" s="347"/>
      <c r="AV886" s="347"/>
      <c r="AW886" s="347"/>
      <c r="AX886" s="347"/>
      <c r="AY886" s="347"/>
      <c r="AZ886" s="347"/>
      <c r="BA886" s="347"/>
      <c r="BB886" s="347"/>
      <c r="BC886" s="347"/>
      <c r="BD886" s="347"/>
      <c r="BE886" s="347"/>
      <c r="BF886" s="347"/>
      <c r="BG886" s="347"/>
      <c r="BH886" s="347"/>
    </row>
    <row r="887">
      <c r="A887" s="347"/>
      <c r="B887" s="347"/>
      <c r="C887" s="347"/>
      <c r="D887" s="347"/>
      <c r="E887" s="347"/>
      <c r="F887" s="347"/>
      <c r="G887" s="347"/>
      <c r="H887" s="347"/>
      <c r="I887" s="347"/>
      <c r="J887" s="347"/>
      <c r="K887" s="348"/>
      <c r="L887" s="348"/>
      <c r="M887" s="348"/>
      <c r="N887" s="348"/>
      <c r="O887" s="348"/>
      <c r="P887" s="347"/>
      <c r="Q887" s="347"/>
      <c r="R887" s="347"/>
      <c r="S887" s="347"/>
      <c r="T887" s="347"/>
      <c r="U887" s="347"/>
      <c r="V887" s="347"/>
      <c r="W887" s="347"/>
      <c r="X887" s="347"/>
      <c r="Y887" s="347"/>
      <c r="Z887" s="347"/>
      <c r="AA887" s="604"/>
      <c r="AB887" s="347"/>
      <c r="AC887" s="590"/>
      <c r="AD887" s="347"/>
      <c r="AE887" s="347"/>
      <c r="AF887" s="347"/>
      <c r="AG887" s="347"/>
      <c r="AH887" s="347"/>
      <c r="AI887" s="347"/>
      <c r="AJ887" s="347"/>
      <c r="AK887" s="347"/>
      <c r="AL887" s="347"/>
      <c r="AM887" s="347"/>
      <c r="AN887" s="347"/>
      <c r="AO887" s="347"/>
      <c r="AP887" s="347"/>
      <c r="AQ887" s="347"/>
      <c r="AR887" s="347"/>
      <c r="AS887" s="347"/>
      <c r="AT887" s="347"/>
      <c r="AU887" s="347"/>
      <c r="AV887" s="347"/>
      <c r="AW887" s="347"/>
      <c r="AX887" s="347"/>
      <c r="AY887" s="347"/>
      <c r="AZ887" s="347"/>
      <c r="BA887" s="347"/>
      <c r="BB887" s="347"/>
      <c r="BC887" s="347"/>
      <c r="BD887" s="347"/>
      <c r="BE887" s="347"/>
      <c r="BF887" s="347"/>
      <c r="BG887" s="347"/>
      <c r="BH887" s="347"/>
    </row>
    <row r="888">
      <c r="A888" s="347"/>
      <c r="B888" s="347"/>
      <c r="C888" s="347"/>
      <c r="D888" s="347"/>
      <c r="E888" s="347"/>
      <c r="F888" s="347"/>
      <c r="G888" s="347"/>
      <c r="H888" s="347"/>
      <c r="I888" s="347"/>
      <c r="J888" s="347"/>
      <c r="K888" s="348"/>
      <c r="L888" s="348"/>
      <c r="M888" s="348"/>
      <c r="N888" s="348"/>
      <c r="O888" s="348"/>
      <c r="P888" s="347"/>
      <c r="Q888" s="347"/>
      <c r="R888" s="347"/>
      <c r="S888" s="347"/>
      <c r="T888" s="347"/>
      <c r="U888" s="347"/>
      <c r="V888" s="347"/>
      <c r="W888" s="347"/>
      <c r="X888" s="347"/>
      <c r="Y888" s="347"/>
      <c r="Z888" s="347"/>
      <c r="AA888" s="604"/>
      <c r="AB888" s="347"/>
      <c r="AC888" s="590"/>
      <c r="AD888" s="347"/>
      <c r="AE888" s="347"/>
      <c r="AF888" s="347"/>
      <c r="AG888" s="347"/>
      <c r="AH888" s="347"/>
      <c r="AI888" s="347"/>
      <c r="AJ888" s="347"/>
      <c r="AK888" s="347"/>
      <c r="AL888" s="347"/>
      <c r="AM888" s="347"/>
      <c r="AN888" s="347"/>
      <c r="AO888" s="347"/>
      <c r="AP888" s="347"/>
      <c r="AQ888" s="347"/>
      <c r="AR888" s="347"/>
      <c r="AS888" s="347"/>
      <c r="AT888" s="347"/>
      <c r="AU888" s="347"/>
      <c r="AV888" s="347"/>
      <c r="AW888" s="347"/>
      <c r="AX888" s="347"/>
      <c r="AY888" s="347"/>
      <c r="AZ888" s="347"/>
      <c r="BA888" s="347"/>
      <c r="BB888" s="347"/>
      <c r="BC888" s="347"/>
      <c r="BD888" s="347"/>
      <c r="BE888" s="347"/>
      <c r="BF888" s="347"/>
      <c r="BG888" s="347"/>
      <c r="BH888" s="347"/>
    </row>
    <row r="889">
      <c r="A889" s="347"/>
      <c r="B889" s="347"/>
      <c r="C889" s="347"/>
      <c r="D889" s="347"/>
      <c r="E889" s="347"/>
      <c r="F889" s="347"/>
      <c r="G889" s="347"/>
      <c r="H889" s="347"/>
      <c r="I889" s="347"/>
      <c r="J889" s="347"/>
      <c r="K889" s="348"/>
      <c r="L889" s="348"/>
      <c r="M889" s="348"/>
      <c r="N889" s="348"/>
      <c r="O889" s="348"/>
      <c r="P889" s="347"/>
      <c r="Q889" s="347"/>
      <c r="R889" s="347"/>
      <c r="S889" s="347"/>
      <c r="T889" s="347"/>
      <c r="U889" s="347"/>
      <c r="V889" s="347"/>
      <c r="W889" s="347"/>
      <c r="X889" s="347"/>
      <c r="Y889" s="347"/>
      <c r="Z889" s="347"/>
      <c r="AA889" s="604"/>
      <c r="AB889" s="347"/>
      <c r="AC889" s="590"/>
      <c r="AD889" s="347"/>
      <c r="AE889" s="347"/>
      <c r="AF889" s="347"/>
      <c r="AG889" s="347"/>
      <c r="AH889" s="347"/>
      <c r="AI889" s="347"/>
      <c r="AJ889" s="347"/>
      <c r="AK889" s="347"/>
      <c r="AL889" s="347"/>
      <c r="AM889" s="347"/>
      <c r="AN889" s="347"/>
      <c r="AO889" s="347"/>
      <c r="AP889" s="347"/>
      <c r="AQ889" s="347"/>
      <c r="AR889" s="347"/>
      <c r="AS889" s="347"/>
      <c r="AT889" s="347"/>
      <c r="AU889" s="347"/>
      <c r="AV889" s="347"/>
      <c r="AW889" s="347"/>
      <c r="AX889" s="347"/>
      <c r="AY889" s="347"/>
      <c r="AZ889" s="347"/>
      <c r="BA889" s="347"/>
      <c r="BB889" s="347"/>
      <c r="BC889" s="347"/>
      <c r="BD889" s="347"/>
      <c r="BE889" s="347"/>
      <c r="BF889" s="347"/>
      <c r="BG889" s="347"/>
      <c r="BH889" s="347"/>
    </row>
    <row r="890">
      <c r="A890" s="347"/>
      <c r="B890" s="347"/>
      <c r="C890" s="347"/>
      <c r="D890" s="347"/>
      <c r="E890" s="347"/>
      <c r="F890" s="347"/>
      <c r="G890" s="347"/>
      <c r="H890" s="347"/>
      <c r="I890" s="347"/>
      <c r="J890" s="347"/>
      <c r="K890" s="348"/>
      <c r="L890" s="348"/>
      <c r="M890" s="348"/>
      <c r="N890" s="348"/>
      <c r="O890" s="348"/>
      <c r="P890" s="347"/>
      <c r="Q890" s="347"/>
      <c r="R890" s="347"/>
      <c r="S890" s="347"/>
      <c r="T890" s="347"/>
      <c r="U890" s="347"/>
      <c r="V890" s="347"/>
      <c r="W890" s="347"/>
      <c r="X890" s="347"/>
      <c r="Y890" s="347"/>
      <c r="Z890" s="347"/>
      <c r="AA890" s="604"/>
      <c r="AB890" s="347"/>
      <c r="AC890" s="590"/>
      <c r="AD890" s="347"/>
      <c r="AE890" s="347"/>
      <c r="AF890" s="347"/>
      <c r="AG890" s="347"/>
      <c r="AH890" s="347"/>
      <c r="AI890" s="347"/>
      <c r="AJ890" s="347"/>
      <c r="AK890" s="347"/>
      <c r="AL890" s="347"/>
      <c r="AM890" s="347"/>
      <c r="AN890" s="347"/>
      <c r="AO890" s="347"/>
      <c r="AP890" s="347"/>
      <c r="AQ890" s="347"/>
      <c r="AR890" s="347"/>
      <c r="AS890" s="347"/>
      <c r="AT890" s="347"/>
      <c r="AU890" s="347"/>
      <c r="AV890" s="347"/>
      <c r="AW890" s="347"/>
      <c r="AX890" s="347"/>
      <c r="AY890" s="347"/>
      <c r="AZ890" s="347"/>
      <c r="BA890" s="347"/>
      <c r="BB890" s="347"/>
      <c r="BC890" s="347"/>
      <c r="BD890" s="347"/>
      <c r="BE890" s="347"/>
      <c r="BF890" s="347"/>
      <c r="BG890" s="347"/>
      <c r="BH890" s="347"/>
    </row>
    <row r="891">
      <c r="A891" s="347"/>
      <c r="B891" s="347"/>
      <c r="C891" s="347"/>
      <c r="D891" s="347"/>
      <c r="E891" s="347"/>
      <c r="F891" s="347"/>
      <c r="G891" s="347"/>
      <c r="H891" s="347"/>
      <c r="I891" s="347"/>
      <c r="J891" s="347"/>
      <c r="K891" s="348"/>
      <c r="L891" s="348"/>
      <c r="M891" s="348"/>
      <c r="N891" s="348"/>
      <c r="O891" s="348"/>
      <c r="P891" s="347"/>
      <c r="Q891" s="347"/>
      <c r="R891" s="347"/>
      <c r="S891" s="347"/>
      <c r="T891" s="347"/>
      <c r="U891" s="347"/>
      <c r="V891" s="347"/>
      <c r="W891" s="347"/>
      <c r="X891" s="347"/>
      <c r="Y891" s="347"/>
      <c r="Z891" s="347"/>
      <c r="AA891" s="604"/>
      <c r="AB891" s="347"/>
      <c r="AC891" s="590"/>
      <c r="AD891" s="347"/>
      <c r="AE891" s="347"/>
      <c r="AF891" s="347"/>
      <c r="AG891" s="347"/>
      <c r="AH891" s="347"/>
      <c r="AI891" s="347"/>
      <c r="AJ891" s="347"/>
      <c r="AK891" s="347"/>
      <c r="AL891" s="347"/>
      <c r="AM891" s="347"/>
      <c r="AN891" s="347"/>
      <c r="AO891" s="347"/>
      <c r="AP891" s="347"/>
      <c r="AQ891" s="347"/>
      <c r="AR891" s="347"/>
      <c r="AS891" s="347"/>
      <c r="AT891" s="347"/>
      <c r="AU891" s="347"/>
      <c r="AV891" s="347"/>
      <c r="AW891" s="347"/>
      <c r="AX891" s="347"/>
      <c r="AY891" s="347"/>
      <c r="AZ891" s="347"/>
      <c r="BA891" s="347"/>
      <c r="BB891" s="347"/>
      <c r="BC891" s="347"/>
      <c r="BD891" s="347"/>
      <c r="BE891" s="347"/>
      <c r="BF891" s="347"/>
      <c r="BG891" s="347"/>
      <c r="BH891" s="347"/>
    </row>
    <row r="892">
      <c r="A892" s="347"/>
      <c r="B892" s="347"/>
      <c r="C892" s="347"/>
      <c r="D892" s="347"/>
      <c r="E892" s="347"/>
      <c r="F892" s="347"/>
      <c r="G892" s="347"/>
      <c r="H892" s="347"/>
      <c r="I892" s="347"/>
      <c r="J892" s="347"/>
      <c r="K892" s="348"/>
      <c r="L892" s="348"/>
      <c r="M892" s="348"/>
      <c r="N892" s="348"/>
      <c r="O892" s="348"/>
      <c r="P892" s="347"/>
      <c r="Q892" s="347"/>
      <c r="R892" s="347"/>
      <c r="S892" s="347"/>
      <c r="T892" s="347"/>
      <c r="U892" s="347"/>
      <c r="V892" s="347"/>
      <c r="W892" s="347"/>
      <c r="X892" s="347"/>
      <c r="Y892" s="347"/>
      <c r="Z892" s="347"/>
      <c r="AA892" s="604"/>
      <c r="AB892" s="347"/>
      <c r="AC892" s="590"/>
      <c r="AD892" s="347"/>
      <c r="AE892" s="347"/>
      <c r="AF892" s="347"/>
      <c r="AG892" s="347"/>
      <c r="AH892" s="347"/>
      <c r="AI892" s="347"/>
      <c r="AJ892" s="347"/>
      <c r="AK892" s="347"/>
      <c r="AL892" s="347"/>
      <c r="AM892" s="347"/>
      <c r="AN892" s="347"/>
      <c r="AO892" s="347"/>
      <c r="AP892" s="347"/>
      <c r="AQ892" s="347"/>
      <c r="AR892" s="347"/>
      <c r="AS892" s="347"/>
      <c r="AT892" s="347"/>
      <c r="AU892" s="347"/>
      <c r="AV892" s="347"/>
      <c r="AW892" s="347"/>
      <c r="AX892" s="347"/>
      <c r="AY892" s="347"/>
      <c r="AZ892" s="347"/>
      <c r="BA892" s="347"/>
      <c r="BB892" s="347"/>
      <c r="BC892" s="347"/>
      <c r="BD892" s="347"/>
      <c r="BE892" s="347"/>
      <c r="BF892" s="347"/>
      <c r="BG892" s="347"/>
      <c r="BH892" s="347"/>
    </row>
    <row r="893">
      <c r="A893" s="347"/>
      <c r="B893" s="347"/>
      <c r="C893" s="347"/>
      <c r="D893" s="347"/>
      <c r="E893" s="347"/>
      <c r="F893" s="347"/>
      <c r="G893" s="347"/>
      <c r="H893" s="347"/>
      <c r="I893" s="347"/>
      <c r="J893" s="347"/>
      <c r="K893" s="348"/>
      <c r="L893" s="348"/>
      <c r="M893" s="348"/>
      <c r="N893" s="348"/>
      <c r="O893" s="348"/>
      <c r="P893" s="347"/>
      <c r="Q893" s="347"/>
      <c r="R893" s="347"/>
      <c r="S893" s="347"/>
      <c r="T893" s="347"/>
      <c r="U893" s="347"/>
      <c r="V893" s="347"/>
      <c r="W893" s="347"/>
      <c r="X893" s="347"/>
      <c r="Y893" s="347"/>
      <c r="Z893" s="347"/>
      <c r="AA893" s="604"/>
      <c r="AB893" s="347"/>
      <c r="AC893" s="590"/>
      <c r="AD893" s="347"/>
      <c r="AE893" s="347"/>
      <c r="AF893" s="347"/>
      <c r="AG893" s="347"/>
      <c r="AH893" s="347"/>
      <c r="AI893" s="347"/>
      <c r="AJ893" s="347"/>
      <c r="AK893" s="347"/>
      <c r="AL893" s="347"/>
      <c r="AM893" s="347"/>
      <c r="AN893" s="347"/>
      <c r="AO893" s="347"/>
      <c r="AP893" s="347"/>
      <c r="AQ893" s="347"/>
      <c r="AR893" s="347"/>
      <c r="AS893" s="347"/>
      <c r="AT893" s="347"/>
      <c r="AU893" s="347"/>
      <c r="AV893" s="347"/>
      <c r="AW893" s="347"/>
      <c r="AX893" s="347"/>
      <c r="AY893" s="347"/>
      <c r="AZ893" s="347"/>
      <c r="BA893" s="347"/>
      <c r="BB893" s="347"/>
      <c r="BC893" s="347"/>
      <c r="BD893" s="347"/>
      <c r="BE893" s="347"/>
      <c r="BF893" s="347"/>
      <c r="BG893" s="347"/>
      <c r="BH893" s="347"/>
    </row>
    <row r="894">
      <c r="A894" s="347"/>
      <c r="B894" s="347"/>
      <c r="C894" s="347"/>
      <c r="D894" s="347"/>
      <c r="E894" s="347"/>
      <c r="F894" s="347"/>
      <c r="G894" s="347"/>
      <c r="H894" s="347"/>
      <c r="I894" s="347"/>
      <c r="J894" s="347"/>
      <c r="K894" s="348"/>
      <c r="L894" s="348"/>
      <c r="M894" s="348"/>
      <c r="N894" s="348"/>
      <c r="O894" s="348"/>
      <c r="P894" s="347"/>
      <c r="Q894" s="347"/>
      <c r="R894" s="347"/>
      <c r="S894" s="347"/>
      <c r="T894" s="347"/>
      <c r="U894" s="347"/>
      <c r="V894" s="347"/>
      <c r="W894" s="347"/>
      <c r="X894" s="347"/>
      <c r="Y894" s="347"/>
      <c r="Z894" s="347"/>
      <c r="AA894" s="604"/>
      <c r="AB894" s="347"/>
      <c r="AC894" s="590"/>
      <c r="AD894" s="347"/>
      <c r="AE894" s="347"/>
      <c r="AF894" s="347"/>
      <c r="AG894" s="347"/>
      <c r="AH894" s="347"/>
      <c r="AI894" s="347"/>
      <c r="AJ894" s="347"/>
      <c r="AK894" s="347"/>
      <c r="AL894" s="347"/>
      <c r="AM894" s="347"/>
      <c r="AN894" s="347"/>
      <c r="AO894" s="347"/>
      <c r="AP894" s="347"/>
      <c r="AQ894" s="347"/>
      <c r="AR894" s="347"/>
      <c r="AS894" s="347"/>
      <c r="AT894" s="347"/>
      <c r="AU894" s="347"/>
      <c r="AV894" s="347"/>
      <c r="AW894" s="347"/>
      <c r="AX894" s="347"/>
      <c r="AY894" s="347"/>
      <c r="AZ894" s="347"/>
      <c r="BA894" s="347"/>
      <c r="BB894" s="347"/>
      <c r="BC894" s="347"/>
      <c r="BD894" s="347"/>
      <c r="BE894" s="347"/>
      <c r="BF894" s="347"/>
      <c r="BG894" s="347"/>
      <c r="BH894" s="347"/>
    </row>
    <row r="895">
      <c r="A895" s="347"/>
      <c r="B895" s="347"/>
      <c r="C895" s="347"/>
      <c r="D895" s="347"/>
      <c r="E895" s="347"/>
      <c r="F895" s="347"/>
      <c r="G895" s="347"/>
      <c r="H895" s="347"/>
      <c r="I895" s="347"/>
      <c r="J895" s="347"/>
      <c r="K895" s="348"/>
      <c r="L895" s="348"/>
      <c r="M895" s="348"/>
      <c r="N895" s="348"/>
      <c r="O895" s="348"/>
      <c r="P895" s="347"/>
      <c r="Q895" s="347"/>
      <c r="R895" s="347"/>
      <c r="S895" s="347"/>
      <c r="T895" s="347"/>
      <c r="U895" s="347"/>
      <c r="V895" s="347"/>
      <c r="W895" s="347"/>
      <c r="X895" s="347"/>
      <c r="Y895" s="347"/>
      <c r="Z895" s="347"/>
      <c r="AA895" s="604"/>
      <c r="AB895" s="347"/>
      <c r="AC895" s="590"/>
      <c r="AD895" s="347"/>
      <c r="AE895" s="347"/>
      <c r="AF895" s="347"/>
      <c r="AG895" s="347"/>
      <c r="AH895" s="347"/>
      <c r="AI895" s="347"/>
      <c r="AJ895" s="347"/>
      <c r="AK895" s="347"/>
      <c r="AL895" s="347"/>
      <c r="AM895" s="347"/>
      <c r="AN895" s="347"/>
      <c r="AO895" s="347"/>
      <c r="AP895" s="347"/>
      <c r="AQ895" s="347"/>
      <c r="AR895" s="347"/>
      <c r="AS895" s="347"/>
      <c r="AT895" s="347"/>
      <c r="AU895" s="347"/>
      <c r="AV895" s="347"/>
      <c r="AW895" s="347"/>
      <c r="AX895" s="347"/>
      <c r="AY895" s="347"/>
      <c r="AZ895" s="347"/>
      <c r="BA895" s="347"/>
      <c r="BB895" s="347"/>
      <c r="BC895" s="347"/>
      <c r="BD895" s="347"/>
      <c r="BE895" s="347"/>
      <c r="BF895" s="347"/>
      <c r="BG895" s="347"/>
      <c r="BH895" s="347"/>
    </row>
    <row r="896">
      <c r="A896" s="347"/>
      <c r="B896" s="347"/>
      <c r="C896" s="347"/>
      <c r="D896" s="347"/>
      <c r="E896" s="347"/>
      <c r="F896" s="347"/>
      <c r="G896" s="347"/>
      <c r="H896" s="347"/>
      <c r="I896" s="347"/>
      <c r="J896" s="347"/>
      <c r="K896" s="348"/>
      <c r="L896" s="348"/>
      <c r="M896" s="348"/>
      <c r="N896" s="348"/>
      <c r="O896" s="348"/>
      <c r="P896" s="347"/>
      <c r="Q896" s="347"/>
      <c r="R896" s="347"/>
      <c r="S896" s="347"/>
      <c r="T896" s="347"/>
      <c r="U896" s="347"/>
      <c r="V896" s="347"/>
      <c r="W896" s="347"/>
      <c r="X896" s="347"/>
      <c r="Y896" s="347"/>
      <c r="Z896" s="347"/>
      <c r="AA896" s="604"/>
      <c r="AB896" s="347"/>
      <c r="AC896" s="590"/>
      <c r="AD896" s="347"/>
      <c r="AE896" s="347"/>
      <c r="AF896" s="347"/>
      <c r="AG896" s="347"/>
      <c r="AH896" s="347"/>
      <c r="AI896" s="347"/>
      <c r="AJ896" s="347"/>
      <c r="AK896" s="347"/>
      <c r="AL896" s="347"/>
      <c r="AM896" s="347"/>
      <c r="AN896" s="347"/>
      <c r="AO896" s="347"/>
      <c r="AP896" s="347"/>
      <c r="AQ896" s="347"/>
      <c r="AR896" s="347"/>
      <c r="AS896" s="347"/>
      <c r="AT896" s="347"/>
      <c r="AU896" s="347"/>
      <c r="AV896" s="347"/>
      <c r="AW896" s="347"/>
      <c r="AX896" s="347"/>
      <c r="AY896" s="347"/>
      <c r="AZ896" s="347"/>
      <c r="BA896" s="347"/>
      <c r="BB896" s="347"/>
      <c r="BC896" s="347"/>
      <c r="BD896" s="347"/>
      <c r="BE896" s="347"/>
      <c r="BF896" s="347"/>
      <c r="BG896" s="347"/>
      <c r="BH896" s="347"/>
    </row>
    <row r="897">
      <c r="A897" s="347"/>
      <c r="B897" s="347"/>
      <c r="C897" s="347"/>
      <c r="D897" s="347"/>
      <c r="E897" s="347"/>
      <c r="F897" s="347"/>
      <c r="G897" s="347"/>
      <c r="H897" s="347"/>
      <c r="I897" s="347"/>
      <c r="J897" s="347"/>
      <c r="K897" s="348"/>
      <c r="L897" s="348"/>
      <c r="M897" s="348"/>
      <c r="N897" s="348"/>
      <c r="O897" s="348"/>
      <c r="P897" s="347"/>
      <c r="Q897" s="347"/>
      <c r="R897" s="347"/>
      <c r="S897" s="347"/>
      <c r="T897" s="347"/>
      <c r="U897" s="347"/>
      <c r="V897" s="347"/>
      <c r="W897" s="347"/>
      <c r="X897" s="347"/>
      <c r="Y897" s="347"/>
      <c r="Z897" s="347"/>
      <c r="AA897" s="604"/>
      <c r="AB897" s="347"/>
      <c r="AC897" s="590"/>
      <c r="AD897" s="347"/>
      <c r="AE897" s="347"/>
      <c r="AF897" s="347"/>
      <c r="AG897" s="347"/>
      <c r="AH897" s="347"/>
      <c r="AI897" s="347"/>
      <c r="AJ897" s="347"/>
      <c r="AK897" s="347"/>
      <c r="AL897" s="347"/>
      <c r="AM897" s="347"/>
      <c r="AN897" s="347"/>
      <c r="AO897" s="347"/>
      <c r="AP897" s="347"/>
      <c r="AQ897" s="347"/>
      <c r="AR897" s="347"/>
      <c r="AS897" s="347"/>
      <c r="AT897" s="347"/>
      <c r="AU897" s="347"/>
      <c r="AV897" s="347"/>
      <c r="AW897" s="347"/>
      <c r="AX897" s="347"/>
      <c r="AY897" s="347"/>
      <c r="AZ897" s="347"/>
      <c r="BA897" s="347"/>
      <c r="BB897" s="347"/>
      <c r="BC897" s="347"/>
      <c r="BD897" s="347"/>
      <c r="BE897" s="347"/>
      <c r="BF897" s="347"/>
      <c r="BG897" s="347"/>
      <c r="BH897" s="347"/>
    </row>
    <row r="898">
      <c r="A898" s="347"/>
      <c r="B898" s="347"/>
      <c r="C898" s="347"/>
      <c r="D898" s="347"/>
      <c r="E898" s="347"/>
      <c r="F898" s="347"/>
      <c r="G898" s="347"/>
      <c r="H898" s="347"/>
      <c r="I898" s="347"/>
      <c r="J898" s="347"/>
      <c r="K898" s="348"/>
      <c r="L898" s="348"/>
      <c r="M898" s="348"/>
      <c r="N898" s="348"/>
      <c r="O898" s="348"/>
      <c r="P898" s="347"/>
      <c r="Q898" s="347"/>
      <c r="R898" s="347"/>
      <c r="S898" s="347"/>
      <c r="T898" s="347"/>
      <c r="U898" s="347"/>
      <c r="V898" s="347"/>
      <c r="W898" s="347"/>
      <c r="X898" s="347"/>
      <c r="Y898" s="347"/>
      <c r="Z898" s="347"/>
      <c r="AA898" s="604"/>
      <c r="AB898" s="347"/>
      <c r="AC898" s="590"/>
      <c r="AD898" s="347"/>
      <c r="AE898" s="347"/>
      <c r="AF898" s="347"/>
      <c r="AG898" s="347"/>
      <c r="AH898" s="347"/>
      <c r="AI898" s="347"/>
      <c r="AJ898" s="347"/>
      <c r="AK898" s="347"/>
      <c r="AL898" s="347"/>
      <c r="AM898" s="347"/>
      <c r="AN898" s="347"/>
      <c r="AO898" s="347"/>
      <c r="AP898" s="347"/>
      <c r="AQ898" s="347"/>
      <c r="AR898" s="347"/>
      <c r="AS898" s="347"/>
      <c r="AT898" s="347"/>
      <c r="AU898" s="347"/>
      <c r="AV898" s="347"/>
      <c r="AW898" s="347"/>
      <c r="AX898" s="347"/>
      <c r="AY898" s="347"/>
      <c r="AZ898" s="347"/>
      <c r="BA898" s="347"/>
      <c r="BB898" s="347"/>
      <c r="BC898" s="347"/>
      <c r="BD898" s="347"/>
      <c r="BE898" s="347"/>
      <c r="BF898" s="347"/>
      <c r="BG898" s="347"/>
      <c r="BH898" s="347"/>
    </row>
    <row r="899">
      <c r="A899" s="347"/>
      <c r="B899" s="347"/>
      <c r="C899" s="347"/>
      <c r="D899" s="347"/>
      <c r="E899" s="347"/>
      <c r="F899" s="347"/>
      <c r="G899" s="347"/>
      <c r="H899" s="347"/>
      <c r="I899" s="347"/>
      <c r="J899" s="347"/>
      <c r="K899" s="348"/>
      <c r="L899" s="348"/>
      <c r="M899" s="348"/>
      <c r="N899" s="348"/>
      <c r="O899" s="348"/>
      <c r="P899" s="347"/>
      <c r="Q899" s="347"/>
      <c r="R899" s="347"/>
      <c r="S899" s="347"/>
      <c r="T899" s="347"/>
      <c r="U899" s="347"/>
      <c r="V899" s="347"/>
      <c r="W899" s="347"/>
      <c r="X899" s="347"/>
      <c r="Y899" s="347"/>
      <c r="Z899" s="347"/>
      <c r="AA899" s="604"/>
      <c r="AB899" s="347"/>
      <c r="AC899" s="590"/>
      <c r="AD899" s="347"/>
      <c r="AE899" s="347"/>
      <c r="AF899" s="347"/>
      <c r="AG899" s="347"/>
      <c r="AH899" s="347"/>
      <c r="AI899" s="347"/>
      <c r="AJ899" s="347"/>
      <c r="AK899" s="347"/>
      <c r="AL899" s="347"/>
      <c r="AM899" s="347"/>
      <c r="AN899" s="347"/>
      <c r="AO899" s="347"/>
      <c r="AP899" s="347"/>
      <c r="AQ899" s="347"/>
      <c r="AR899" s="347"/>
      <c r="AS899" s="347"/>
      <c r="AT899" s="347"/>
      <c r="AU899" s="347"/>
      <c r="AV899" s="347"/>
      <c r="AW899" s="347"/>
      <c r="AX899" s="347"/>
      <c r="AY899" s="347"/>
      <c r="AZ899" s="347"/>
      <c r="BA899" s="347"/>
      <c r="BB899" s="347"/>
      <c r="BC899" s="347"/>
      <c r="BD899" s="347"/>
      <c r="BE899" s="347"/>
      <c r="BF899" s="347"/>
      <c r="BG899" s="347"/>
      <c r="BH899" s="347"/>
    </row>
    <row r="900">
      <c r="A900" s="347"/>
      <c r="B900" s="347"/>
      <c r="C900" s="347"/>
      <c r="D900" s="347"/>
      <c r="E900" s="347"/>
      <c r="F900" s="347"/>
      <c r="G900" s="347"/>
      <c r="H900" s="347"/>
      <c r="I900" s="347"/>
      <c r="J900" s="347"/>
      <c r="K900" s="348"/>
      <c r="L900" s="348"/>
      <c r="M900" s="348"/>
      <c r="N900" s="348"/>
      <c r="O900" s="348"/>
      <c r="P900" s="347"/>
      <c r="Q900" s="347"/>
      <c r="R900" s="347"/>
      <c r="S900" s="347"/>
      <c r="T900" s="347"/>
      <c r="U900" s="347"/>
      <c r="V900" s="347"/>
      <c r="W900" s="347"/>
      <c r="X900" s="347"/>
      <c r="Y900" s="347"/>
      <c r="Z900" s="347"/>
      <c r="AA900" s="604"/>
      <c r="AB900" s="347"/>
      <c r="AC900" s="590"/>
      <c r="AD900" s="347"/>
      <c r="AE900" s="347"/>
      <c r="AF900" s="347"/>
      <c r="AG900" s="347"/>
      <c r="AH900" s="347"/>
      <c r="AI900" s="347"/>
      <c r="AJ900" s="347"/>
      <c r="AK900" s="347"/>
      <c r="AL900" s="347"/>
      <c r="AM900" s="347"/>
      <c r="AN900" s="347"/>
      <c r="AO900" s="347"/>
      <c r="AP900" s="347"/>
      <c r="AQ900" s="347"/>
      <c r="AR900" s="347"/>
      <c r="AS900" s="347"/>
      <c r="AT900" s="347"/>
      <c r="AU900" s="347"/>
      <c r="AV900" s="347"/>
      <c r="AW900" s="347"/>
      <c r="AX900" s="347"/>
      <c r="AY900" s="347"/>
      <c r="AZ900" s="347"/>
      <c r="BA900" s="347"/>
      <c r="BB900" s="347"/>
      <c r="BC900" s="347"/>
      <c r="BD900" s="347"/>
      <c r="BE900" s="347"/>
      <c r="BF900" s="347"/>
      <c r="BG900" s="347"/>
      <c r="BH900" s="347"/>
    </row>
    <row r="901">
      <c r="A901" s="347"/>
      <c r="B901" s="347"/>
      <c r="C901" s="347"/>
      <c r="D901" s="347"/>
      <c r="E901" s="347"/>
      <c r="F901" s="347"/>
      <c r="G901" s="347"/>
      <c r="H901" s="347"/>
      <c r="I901" s="347"/>
      <c r="J901" s="347"/>
      <c r="K901" s="348"/>
      <c r="L901" s="348"/>
      <c r="M901" s="348"/>
      <c r="N901" s="348"/>
      <c r="O901" s="348"/>
      <c r="P901" s="347"/>
      <c r="Q901" s="347"/>
      <c r="R901" s="347"/>
      <c r="S901" s="347"/>
      <c r="T901" s="347"/>
      <c r="U901" s="347"/>
      <c r="V901" s="347"/>
      <c r="W901" s="347"/>
      <c r="X901" s="347"/>
      <c r="Y901" s="347"/>
      <c r="Z901" s="347"/>
      <c r="AA901" s="604"/>
      <c r="AB901" s="347"/>
      <c r="AC901" s="590"/>
      <c r="AD901" s="347"/>
      <c r="AE901" s="347"/>
      <c r="AF901" s="347"/>
      <c r="AG901" s="347"/>
      <c r="AH901" s="347"/>
      <c r="AI901" s="347"/>
      <c r="AJ901" s="347"/>
      <c r="AK901" s="347"/>
      <c r="AL901" s="347"/>
      <c r="AM901" s="347"/>
      <c r="AN901" s="347"/>
      <c r="AO901" s="347"/>
      <c r="AP901" s="347"/>
      <c r="AQ901" s="347"/>
      <c r="AR901" s="347"/>
      <c r="AS901" s="347"/>
      <c r="AT901" s="347"/>
      <c r="AU901" s="347"/>
      <c r="AV901" s="347"/>
      <c r="AW901" s="347"/>
      <c r="AX901" s="347"/>
      <c r="AY901" s="347"/>
      <c r="AZ901" s="347"/>
      <c r="BA901" s="347"/>
      <c r="BB901" s="347"/>
      <c r="BC901" s="347"/>
      <c r="BD901" s="347"/>
      <c r="BE901" s="347"/>
      <c r="BF901" s="347"/>
      <c r="BG901" s="347"/>
      <c r="BH901" s="347"/>
    </row>
    <row r="902">
      <c r="A902" s="347"/>
      <c r="B902" s="347"/>
      <c r="C902" s="347"/>
      <c r="D902" s="347"/>
      <c r="E902" s="347"/>
      <c r="F902" s="347"/>
      <c r="G902" s="347"/>
      <c r="H902" s="347"/>
      <c r="I902" s="347"/>
      <c r="J902" s="347"/>
      <c r="K902" s="348"/>
      <c r="L902" s="348"/>
      <c r="M902" s="348"/>
      <c r="N902" s="348"/>
      <c r="O902" s="348"/>
      <c r="P902" s="347"/>
      <c r="Q902" s="347"/>
      <c r="R902" s="347"/>
      <c r="S902" s="347"/>
      <c r="T902" s="347"/>
      <c r="U902" s="347"/>
      <c r="V902" s="347"/>
      <c r="W902" s="347"/>
      <c r="X902" s="347"/>
      <c r="Y902" s="347"/>
      <c r="Z902" s="347"/>
      <c r="AA902" s="604"/>
      <c r="AB902" s="347"/>
      <c r="AC902" s="590"/>
      <c r="AD902" s="347"/>
      <c r="AE902" s="347"/>
      <c r="AF902" s="347"/>
      <c r="AG902" s="347"/>
      <c r="AH902" s="347"/>
      <c r="AI902" s="347"/>
      <c r="AJ902" s="347"/>
      <c r="AK902" s="347"/>
      <c r="AL902" s="347"/>
      <c r="AM902" s="347"/>
      <c r="AN902" s="347"/>
      <c r="AO902" s="347"/>
      <c r="AP902" s="347"/>
      <c r="AQ902" s="347"/>
      <c r="AR902" s="347"/>
      <c r="AS902" s="347"/>
      <c r="AT902" s="347"/>
      <c r="AU902" s="347"/>
      <c r="AV902" s="347"/>
      <c r="AW902" s="347"/>
      <c r="AX902" s="347"/>
      <c r="AY902" s="347"/>
      <c r="AZ902" s="347"/>
      <c r="BA902" s="347"/>
      <c r="BB902" s="347"/>
      <c r="BC902" s="347"/>
      <c r="BD902" s="347"/>
      <c r="BE902" s="347"/>
      <c r="BF902" s="347"/>
      <c r="BG902" s="347"/>
      <c r="BH902" s="347"/>
    </row>
    <row r="903">
      <c r="A903" s="347"/>
      <c r="B903" s="347"/>
      <c r="C903" s="347"/>
      <c r="D903" s="347"/>
      <c r="E903" s="347"/>
      <c r="F903" s="347"/>
      <c r="G903" s="347"/>
      <c r="H903" s="347"/>
      <c r="I903" s="347"/>
      <c r="J903" s="347"/>
      <c r="K903" s="348"/>
      <c r="L903" s="348"/>
      <c r="M903" s="348"/>
      <c r="N903" s="348"/>
      <c r="O903" s="348"/>
      <c r="P903" s="347"/>
      <c r="Q903" s="347"/>
      <c r="R903" s="347"/>
      <c r="S903" s="347"/>
      <c r="T903" s="347"/>
      <c r="U903" s="347"/>
      <c r="V903" s="347"/>
      <c r="W903" s="347"/>
      <c r="X903" s="347"/>
      <c r="Y903" s="347"/>
      <c r="Z903" s="347"/>
      <c r="AA903" s="604"/>
      <c r="AB903" s="347"/>
      <c r="AC903" s="590"/>
      <c r="AD903" s="347"/>
      <c r="AE903" s="347"/>
      <c r="AF903" s="347"/>
      <c r="AG903" s="347"/>
      <c r="AH903" s="347"/>
      <c r="AI903" s="347"/>
      <c r="AJ903" s="347"/>
      <c r="AK903" s="347"/>
      <c r="AL903" s="347"/>
      <c r="AM903" s="347"/>
      <c r="AN903" s="347"/>
      <c r="AO903" s="347"/>
      <c r="AP903" s="347"/>
      <c r="AQ903" s="347"/>
      <c r="AR903" s="347"/>
      <c r="AS903" s="347"/>
      <c r="AT903" s="347"/>
      <c r="AU903" s="347"/>
      <c r="AV903" s="347"/>
      <c r="AW903" s="347"/>
      <c r="AX903" s="347"/>
      <c r="AY903" s="347"/>
      <c r="AZ903" s="347"/>
      <c r="BA903" s="347"/>
      <c r="BB903" s="347"/>
      <c r="BC903" s="347"/>
      <c r="BD903" s="347"/>
      <c r="BE903" s="347"/>
      <c r="BF903" s="347"/>
      <c r="BG903" s="347"/>
      <c r="BH903" s="347"/>
    </row>
    <row r="904">
      <c r="A904" s="347"/>
      <c r="B904" s="347"/>
      <c r="C904" s="347"/>
      <c r="D904" s="347"/>
      <c r="E904" s="347"/>
      <c r="F904" s="347"/>
      <c r="G904" s="347"/>
      <c r="H904" s="347"/>
      <c r="I904" s="347"/>
      <c r="J904" s="347"/>
      <c r="K904" s="348"/>
      <c r="L904" s="348"/>
      <c r="M904" s="348"/>
      <c r="N904" s="348"/>
      <c r="O904" s="348"/>
      <c r="P904" s="347"/>
      <c r="Q904" s="347"/>
      <c r="R904" s="347"/>
      <c r="S904" s="347"/>
      <c r="T904" s="347"/>
      <c r="U904" s="347"/>
      <c r="V904" s="347"/>
      <c r="W904" s="347"/>
      <c r="X904" s="347"/>
      <c r="Y904" s="347"/>
      <c r="Z904" s="347"/>
      <c r="AA904" s="604"/>
      <c r="AB904" s="347"/>
      <c r="AC904" s="590"/>
      <c r="AD904" s="347"/>
      <c r="AE904" s="347"/>
      <c r="AF904" s="347"/>
      <c r="AG904" s="347"/>
      <c r="AH904" s="347"/>
      <c r="AI904" s="347"/>
      <c r="AJ904" s="347"/>
      <c r="AK904" s="347"/>
      <c r="AL904" s="347"/>
      <c r="AM904" s="347"/>
      <c r="AN904" s="347"/>
      <c r="AO904" s="347"/>
      <c r="AP904" s="347"/>
      <c r="AQ904" s="347"/>
      <c r="AR904" s="347"/>
      <c r="AS904" s="347"/>
      <c r="AT904" s="347"/>
      <c r="AU904" s="347"/>
      <c r="AV904" s="347"/>
      <c r="AW904" s="347"/>
      <c r="AX904" s="347"/>
      <c r="AY904" s="347"/>
      <c r="AZ904" s="347"/>
      <c r="BA904" s="347"/>
      <c r="BB904" s="347"/>
      <c r="BC904" s="347"/>
      <c r="BD904" s="347"/>
      <c r="BE904" s="347"/>
      <c r="BF904" s="347"/>
      <c r="BG904" s="347"/>
      <c r="BH904" s="347"/>
    </row>
    <row r="905">
      <c r="A905" s="347"/>
      <c r="B905" s="347"/>
      <c r="C905" s="347"/>
      <c r="D905" s="347"/>
      <c r="E905" s="347"/>
      <c r="F905" s="347"/>
      <c r="G905" s="347"/>
      <c r="H905" s="347"/>
      <c r="I905" s="347"/>
      <c r="J905" s="347"/>
      <c r="K905" s="348"/>
      <c r="L905" s="348"/>
      <c r="M905" s="348"/>
      <c r="N905" s="348"/>
      <c r="O905" s="348"/>
      <c r="P905" s="347"/>
      <c r="Q905" s="347"/>
      <c r="R905" s="347"/>
      <c r="S905" s="347"/>
      <c r="T905" s="347"/>
      <c r="U905" s="347"/>
      <c r="V905" s="347"/>
      <c r="W905" s="347"/>
      <c r="X905" s="347"/>
      <c r="Y905" s="347"/>
      <c r="Z905" s="347"/>
      <c r="AA905" s="604"/>
      <c r="AB905" s="347"/>
      <c r="AC905" s="590"/>
      <c r="AD905" s="347"/>
      <c r="AE905" s="347"/>
      <c r="AF905" s="347"/>
      <c r="AG905" s="347"/>
      <c r="AH905" s="347"/>
      <c r="AI905" s="347"/>
      <c r="AJ905" s="347"/>
      <c r="AK905" s="347"/>
      <c r="AL905" s="347"/>
      <c r="AM905" s="347"/>
      <c r="AN905" s="347"/>
      <c r="AO905" s="347"/>
      <c r="AP905" s="347"/>
      <c r="AQ905" s="347"/>
      <c r="AR905" s="347"/>
      <c r="AS905" s="347"/>
      <c r="AT905" s="347"/>
      <c r="AU905" s="347"/>
      <c r="AV905" s="347"/>
      <c r="AW905" s="347"/>
      <c r="AX905" s="347"/>
      <c r="AY905" s="347"/>
      <c r="AZ905" s="347"/>
      <c r="BA905" s="347"/>
      <c r="BB905" s="347"/>
      <c r="BC905" s="347"/>
      <c r="BD905" s="347"/>
      <c r="BE905" s="347"/>
      <c r="BF905" s="347"/>
      <c r="BG905" s="347"/>
      <c r="BH905" s="347"/>
    </row>
    <row r="906">
      <c r="A906" s="347"/>
      <c r="B906" s="347"/>
      <c r="C906" s="347"/>
      <c r="D906" s="347"/>
      <c r="E906" s="347"/>
      <c r="F906" s="347"/>
      <c r="G906" s="347"/>
      <c r="H906" s="347"/>
      <c r="I906" s="347"/>
      <c r="J906" s="347"/>
      <c r="K906" s="348"/>
      <c r="L906" s="348"/>
      <c r="M906" s="348"/>
      <c r="N906" s="348"/>
      <c r="O906" s="348"/>
      <c r="P906" s="347"/>
      <c r="Q906" s="347"/>
      <c r="R906" s="347"/>
      <c r="S906" s="347"/>
      <c r="T906" s="347"/>
      <c r="U906" s="347"/>
      <c r="V906" s="347"/>
      <c r="W906" s="347"/>
      <c r="X906" s="347"/>
      <c r="Y906" s="347"/>
      <c r="Z906" s="347"/>
      <c r="AA906" s="604"/>
      <c r="AB906" s="347"/>
      <c r="AC906" s="590"/>
      <c r="AD906" s="347"/>
      <c r="AE906" s="347"/>
      <c r="AF906" s="347"/>
      <c r="AG906" s="347"/>
      <c r="AH906" s="347"/>
      <c r="AI906" s="347"/>
      <c r="AJ906" s="347"/>
      <c r="AK906" s="347"/>
      <c r="AL906" s="347"/>
      <c r="AM906" s="347"/>
      <c r="AN906" s="347"/>
      <c r="AO906" s="347"/>
      <c r="AP906" s="347"/>
      <c r="AQ906" s="347"/>
      <c r="AR906" s="347"/>
      <c r="AS906" s="347"/>
      <c r="AT906" s="347"/>
      <c r="AU906" s="347"/>
      <c r="AV906" s="347"/>
      <c r="AW906" s="347"/>
      <c r="AX906" s="347"/>
      <c r="AY906" s="347"/>
      <c r="AZ906" s="347"/>
      <c r="BA906" s="347"/>
      <c r="BB906" s="347"/>
      <c r="BC906" s="347"/>
      <c r="BD906" s="347"/>
      <c r="BE906" s="347"/>
      <c r="BF906" s="347"/>
      <c r="BG906" s="347"/>
      <c r="BH906" s="347"/>
    </row>
    <row r="907">
      <c r="A907" s="347"/>
      <c r="B907" s="347"/>
      <c r="C907" s="347"/>
      <c r="D907" s="347"/>
      <c r="E907" s="347"/>
      <c r="F907" s="347"/>
      <c r="G907" s="347"/>
      <c r="H907" s="347"/>
      <c r="I907" s="347"/>
      <c r="J907" s="347"/>
      <c r="K907" s="348"/>
      <c r="L907" s="348"/>
      <c r="M907" s="348"/>
      <c r="N907" s="348"/>
      <c r="O907" s="348"/>
      <c r="P907" s="347"/>
      <c r="Q907" s="347"/>
      <c r="R907" s="347"/>
      <c r="S907" s="347"/>
      <c r="T907" s="347"/>
      <c r="U907" s="347"/>
      <c r="V907" s="347"/>
      <c r="W907" s="347"/>
      <c r="X907" s="347"/>
      <c r="Y907" s="347"/>
      <c r="Z907" s="347"/>
      <c r="AA907" s="604"/>
      <c r="AB907" s="347"/>
      <c r="AC907" s="590"/>
      <c r="AD907" s="347"/>
      <c r="AE907" s="347"/>
      <c r="AF907" s="347"/>
      <c r="AG907" s="347"/>
      <c r="AH907" s="347"/>
      <c r="AI907" s="347"/>
      <c r="AJ907" s="347"/>
      <c r="AK907" s="347"/>
      <c r="AL907" s="347"/>
      <c r="AM907" s="347"/>
      <c r="AN907" s="347"/>
      <c r="AO907" s="347"/>
      <c r="AP907" s="347"/>
      <c r="AQ907" s="347"/>
      <c r="AR907" s="347"/>
      <c r="AS907" s="347"/>
      <c r="AT907" s="347"/>
      <c r="AU907" s="347"/>
      <c r="AV907" s="347"/>
      <c r="AW907" s="347"/>
      <c r="AX907" s="347"/>
      <c r="AY907" s="347"/>
      <c r="AZ907" s="347"/>
      <c r="BA907" s="347"/>
      <c r="BB907" s="347"/>
      <c r="BC907" s="347"/>
      <c r="BD907" s="347"/>
      <c r="BE907" s="347"/>
      <c r="BF907" s="347"/>
      <c r="BG907" s="347"/>
      <c r="BH907" s="347"/>
    </row>
    <row r="908">
      <c r="A908" s="347"/>
      <c r="B908" s="347"/>
      <c r="C908" s="347"/>
      <c r="D908" s="347"/>
      <c r="E908" s="347"/>
      <c r="F908" s="347"/>
      <c r="G908" s="347"/>
      <c r="H908" s="347"/>
      <c r="I908" s="347"/>
      <c r="J908" s="347"/>
      <c r="K908" s="348"/>
      <c r="L908" s="348"/>
      <c r="M908" s="348"/>
      <c r="N908" s="348"/>
      <c r="O908" s="348"/>
      <c r="P908" s="347"/>
      <c r="Q908" s="347"/>
      <c r="R908" s="347"/>
      <c r="S908" s="347"/>
      <c r="T908" s="347"/>
      <c r="U908" s="347"/>
      <c r="V908" s="347"/>
      <c r="W908" s="347"/>
      <c r="X908" s="347"/>
      <c r="Y908" s="347"/>
      <c r="Z908" s="347"/>
      <c r="AA908" s="604"/>
      <c r="AB908" s="347"/>
      <c r="AC908" s="590"/>
      <c r="AD908" s="347"/>
      <c r="AE908" s="347"/>
      <c r="AF908" s="347"/>
      <c r="AG908" s="347"/>
      <c r="AH908" s="347"/>
      <c r="AI908" s="347"/>
      <c r="AJ908" s="347"/>
      <c r="AK908" s="347"/>
      <c r="AL908" s="347"/>
      <c r="AM908" s="347"/>
      <c r="AN908" s="347"/>
      <c r="AO908" s="347"/>
      <c r="AP908" s="347"/>
      <c r="AQ908" s="347"/>
      <c r="AR908" s="347"/>
      <c r="AS908" s="347"/>
      <c r="AT908" s="347"/>
      <c r="AU908" s="347"/>
      <c r="AV908" s="347"/>
      <c r="AW908" s="347"/>
      <c r="AX908" s="347"/>
      <c r="AY908" s="347"/>
      <c r="AZ908" s="347"/>
      <c r="BA908" s="347"/>
      <c r="BB908" s="347"/>
      <c r="BC908" s="347"/>
      <c r="BD908" s="347"/>
      <c r="BE908" s="347"/>
      <c r="BF908" s="347"/>
      <c r="BG908" s="347"/>
      <c r="BH908" s="347"/>
    </row>
    <row r="909">
      <c r="A909" s="347"/>
      <c r="B909" s="347"/>
      <c r="C909" s="347"/>
      <c r="D909" s="347"/>
      <c r="E909" s="347"/>
      <c r="F909" s="347"/>
      <c r="G909" s="347"/>
      <c r="H909" s="347"/>
      <c r="I909" s="347"/>
      <c r="J909" s="347"/>
      <c r="K909" s="348"/>
      <c r="L909" s="348"/>
      <c r="M909" s="348"/>
      <c r="N909" s="348"/>
      <c r="O909" s="348"/>
      <c r="P909" s="347"/>
      <c r="Q909" s="347"/>
      <c r="R909" s="347"/>
      <c r="S909" s="347"/>
      <c r="T909" s="347"/>
      <c r="U909" s="347"/>
      <c r="V909" s="347"/>
      <c r="W909" s="347"/>
      <c r="X909" s="347"/>
      <c r="Y909" s="347"/>
      <c r="Z909" s="347"/>
      <c r="AA909" s="604"/>
      <c r="AB909" s="347"/>
      <c r="AC909" s="590"/>
      <c r="AD909" s="347"/>
      <c r="AE909" s="347"/>
      <c r="AF909" s="347"/>
      <c r="AG909" s="347"/>
      <c r="AH909" s="347"/>
      <c r="AI909" s="347"/>
      <c r="AJ909" s="347"/>
      <c r="AK909" s="347"/>
      <c r="AL909" s="347"/>
      <c r="AM909" s="347"/>
      <c r="AN909" s="347"/>
      <c r="AO909" s="347"/>
      <c r="AP909" s="347"/>
      <c r="AQ909" s="347"/>
      <c r="AR909" s="347"/>
      <c r="AS909" s="347"/>
      <c r="AT909" s="347"/>
      <c r="AU909" s="347"/>
      <c r="AV909" s="347"/>
      <c r="AW909" s="347"/>
      <c r="AX909" s="347"/>
      <c r="AY909" s="347"/>
      <c r="AZ909" s="347"/>
      <c r="BA909" s="347"/>
      <c r="BB909" s="347"/>
      <c r="BC909" s="347"/>
      <c r="BD909" s="347"/>
      <c r="BE909" s="347"/>
      <c r="BF909" s="347"/>
      <c r="BG909" s="347"/>
      <c r="BH909" s="347"/>
    </row>
    <row r="910">
      <c r="A910" s="347"/>
      <c r="B910" s="347"/>
      <c r="C910" s="347"/>
      <c r="D910" s="347"/>
      <c r="E910" s="347"/>
      <c r="F910" s="347"/>
      <c r="G910" s="347"/>
      <c r="H910" s="347"/>
      <c r="I910" s="347"/>
      <c r="J910" s="347"/>
      <c r="K910" s="348"/>
      <c r="L910" s="348"/>
      <c r="M910" s="348"/>
      <c r="N910" s="348"/>
      <c r="O910" s="348"/>
      <c r="P910" s="347"/>
      <c r="Q910" s="347"/>
      <c r="R910" s="347"/>
      <c r="S910" s="347"/>
      <c r="T910" s="347"/>
      <c r="U910" s="347"/>
      <c r="V910" s="347"/>
      <c r="W910" s="347"/>
      <c r="X910" s="347"/>
      <c r="Y910" s="347"/>
      <c r="Z910" s="347"/>
      <c r="AA910" s="604"/>
      <c r="AB910" s="347"/>
      <c r="AC910" s="590"/>
      <c r="AD910" s="347"/>
      <c r="AE910" s="347"/>
      <c r="AF910" s="347"/>
      <c r="AG910" s="347"/>
      <c r="AH910" s="347"/>
      <c r="AI910" s="347"/>
      <c r="AJ910" s="347"/>
      <c r="AK910" s="347"/>
      <c r="AL910" s="347"/>
      <c r="AM910" s="347"/>
      <c r="AN910" s="347"/>
      <c r="AO910" s="347"/>
      <c r="AP910" s="347"/>
      <c r="AQ910" s="347"/>
      <c r="AR910" s="347"/>
      <c r="AS910" s="347"/>
      <c r="AT910" s="347"/>
      <c r="AU910" s="347"/>
      <c r="AV910" s="347"/>
      <c r="AW910" s="347"/>
      <c r="AX910" s="347"/>
      <c r="AY910" s="347"/>
      <c r="AZ910" s="347"/>
      <c r="BA910" s="347"/>
      <c r="BB910" s="347"/>
      <c r="BC910" s="347"/>
      <c r="BD910" s="347"/>
      <c r="BE910" s="347"/>
      <c r="BF910" s="347"/>
      <c r="BG910" s="347"/>
      <c r="BH910" s="347"/>
    </row>
    <row r="911">
      <c r="A911" s="347"/>
      <c r="B911" s="347"/>
      <c r="C911" s="347"/>
      <c r="D911" s="347"/>
      <c r="E911" s="347"/>
      <c r="F911" s="347"/>
      <c r="G911" s="347"/>
      <c r="H911" s="347"/>
      <c r="I911" s="347"/>
      <c r="J911" s="347"/>
      <c r="K911" s="348"/>
      <c r="L911" s="348"/>
      <c r="M911" s="348"/>
      <c r="N911" s="348"/>
      <c r="O911" s="348"/>
      <c r="P911" s="347"/>
      <c r="Q911" s="347"/>
      <c r="R911" s="347"/>
      <c r="S911" s="347"/>
      <c r="T911" s="347"/>
      <c r="U911" s="347"/>
      <c r="V911" s="347"/>
      <c r="W911" s="347"/>
      <c r="X911" s="347"/>
      <c r="Y911" s="347"/>
      <c r="Z911" s="347"/>
      <c r="AA911" s="604"/>
      <c r="AB911" s="347"/>
      <c r="AC911" s="590"/>
      <c r="AD911" s="347"/>
      <c r="AE911" s="347"/>
      <c r="AF911" s="347"/>
      <c r="AG911" s="347"/>
      <c r="AH911" s="347"/>
      <c r="AI911" s="347"/>
      <c r="AJ911" s="347"/>
      <c r="AK911" s="347"/>
      <c r="AL911" s="347"/>
      <c r="AM911" s="347"/>
      <c r="AN911" s="347"/>
      <c r="AO911" s="347"/>
      <c r="AP911" s="347"/>
      <c r="AQ911" s="347"/>
      <c r="AR911" s="347"/>
      <c r="AS911" s="347"/>
      <c r="AT911" s="347"/>
      <c r="AU911" s="347"/>
      <c r="AV911" s="347"/>
      <c r="AW911" s="347"/>
      <c r="AX911" s="347"/>
      <c r="AY911" s="347"/>
      <c r="AZ911" s="347"/>
      <c r="BA911" s="347"/>
      <c r="BB911" s="347"/>
      <c r="BC911" s="347"/>
      <c r="BD911" s="347"/>
      <c r="BE911" s="347"/>
      <c r="BF911" s="347"/>
      <c r="BG911" s="347"/>
      <c r="BH911" s="347"/>
    </row>
    <row r="912">
      <c r="A912" s="347"/>
      <c r="B912" s="347"/>
      <c r="C912" s="347"/>
      <c r="D912" s="347"/>
      <c r="E912" s="347"/>
      <c r="F912" s="347"/>
      <c r="G912" s="347"/>
      <c r="H912" s="347"/>
      <c r="I912" s="347"/>
      <c r="J912" s="347"/>
      <c r="K912" s="348"/>
      <c r="L912" s="348"/>
      <c r="M912" s="348"/>
      <c r="N912" s="348"/>
      <c r="O912" s="348"/>
      <c r="P912" s="347"/>
      <c r="Q912" s="347"/>
      <c r="R912" s="347"/>
      <c r="S912" s="347"/>
      <c r="T912" s="347"/>
      <c r="U912" s="347"/>
      <c r="V912" s="347"/>
      <c r="W912" s="347"/>
      <c r="X912" s="347"/>
      <c r="Y912" s="347"/>
      <c r="Z912" s="347"/>
      <c r="AA912" s="604"/>
      <c r="AB912" s="347"/>
      <c r="AC912" s="590"/>
      <c r="AD912" s="347"/>
      <c r="AE912" s="347"/>
      <c r="AF912" s="347"/>
      <c r="AG912" s="347"/>
      <c r="AH912" s="347"/>
      <c r="AI912" s="347"/>
      <c r="AJ912" s="347"/>
      <c r="AK912" s="347"/>
      <c r="AL912" s="347"/>
      <c r="AM912" s="347"/>
      <c r="AN912" s="347"/>
      <c r="AO912" s="347"/>
      <c r="AP912" s="347"/>
      <c r="AQ912" s="347"/>
      <c r="AR912" s="347"/>
      <c r="AS912" s="347"/>
      <c r="AT912" s="347"/>
      <c r="AU912" s="347"/>
      <c r="AV912" s="347"/>
      <c r="AW912" s="347"/>
      <c r="AX912" s="347"/>
      <c r="AY912" s="347"/>
      <c r="AZ912" s="347"/>
      <c r="BA912" s="347"/>
      <c r="BB912" s="347"/>
      <c r="BC912" s="347"/>
      <c r="BD912" s="347"/>
      <c r="BE912" s="347"/>
      <c r="BF912" s="347"/>
      <c r="BG912" s="347"/>
      <c r="BH912" s="347"/>
    </row>
    <row r="913">
      <c r="A913" s="347"/>
      <c r="B913" s="347"/>
      <c r="C913" s="347"/>
      <c r="D913" s="347"/>
      <c r="E913" s="347"/>
      <c r="F913" s="347"/>
      <c r="G913" s="347"/>
      <c r="H913" s="347"/>
      <c r="I913" s="347"/>
      <c r="J913" s="347"/>
      <c r="K913" s="348"/>
      <c r="L913" s="348"/>
      <c r="M913" s="348"/>
      <c r="N913" s="348"/>
      <c r="O913" s="348"/>
      <c r="P913" s="347"/>
      <c r="Q913" s="347"/>
      <c r="R913" s="347"/>
      <c r="S913" s="347"/>
      <c r="T913" s="347"/>
      <c r="U913" s="347"/>
      <c r="V913" s="347"/>
      <c r="W913" s="347"/>
      <c r="X913" s="347"/>
      <c r="Y913" s="347"/>
      <c r="Z913" s="347"/>
      <c r="AA913" s="604"/>
      <c r="AB913" s="347"/>
      <c r="AC913" s="590"/>
      <c r="AD913" s="347"/>
      <c r="AE913" s="347"/>
      <c r="AF913" s="347"/>
      <c r="AG913" s="347"/>
      <c r="AH913" s="347"/>
      <c r="AI913" s="347"/>
      <c r="AJ913" s="347"/>
      <c r="AK913" s="347"/>
      <c r="AL913" s="347"/>
      <c r="AM913" s="347"/>
      <c r="AN913" s="347"/>
      <c r="AO913" s="347"/>
      <c r="AP913" s="347"/>
      <c r="AQ913" s="347"/>
      <c r="AR913" s="347"/>
      <c r="AS913" s="347"/>
      <c r="AT913" s="347"/>
      <c r="AU913" s="347"/>
      <c r="AV913" s="347"/>
      <c r="AW913" s="347"/>
      <c r="AX913" s="347"/>
      <c r="AY913" s="347"/>
      <c r="AZ913" s="347"/>
      <c r="BA913" s="347"/>
      <c r="BB913" s="347"/>
      <c r="BC913" s="347"/>
      <c r="BD913" s="347"/>
      <c r="BE913" s="347"/>
      <c r="BF913" s="347"/>
      <c r="BG913" s="347"/>
      <c r="BH913" s="347"/>
    </row>
    <row r="914">
      <c r="A914" s="347"/>
      <c r="B914" s="347"/>
      <c r="C914" s="347"/>
      <c r="D914" s="347"/>
      <c r="E914" s="347"/>
      <c r="F914" s="347"/>
      <c r="G914" s="347"/>
      <c r="H914" s="347"/>
      <c r="I914" s="347"/>
      <c r="J914" s="347"/>
      <c r="K914" s="348"/>
      <c r="L914" s="348"/>
      <c r="M914" s="348"/>
      <c r="N914" s="348"/>
      <c r="O914" s="348"/>
      <c r="P914" s="347"/>
      <c r="Q914" s="347"/>
      <c r="R914" s="347"/>
      <c r="S914" s="347"/>
      <c r="T914" s="347"/>
      <c r="U914" s="347"/>
      <c r="V914" s="347"/>
      <c r="W914" s="347"/>
      <c r="X914" s="347"/>
      <c r="Y914" s="347"/>
      <c r="Z914" s="347"/>
      <c r="AA914" s="604"/>
      <c r="AB914" s="347"/>
      <c r="AC914" s="590"/>
      <c r="AD914" s="347"/>
      <c r="AE914" s="347"/>
      <c r="AF914" s="347"/>
      <c r="AG914" s="347"/>
      <c r="AH914" s="347"/>
      <c r="AI914" s="347"/>
      <c r="AJ914" s="347"/>
      <c r="AK914" s="347"/>
      <c r="AL914" s="347"/>
      <c r="AM914" s="347"/>
      <c r="AN914" s="347"/>
      <c r="AO914" s="347"/>
      <c r="AP914" s="347"/>
      <c r="AQ914" s="347"/>
      <c r="AR914" s="347"/>
      <c r="AS914" s="347"/>
      <c r="AT914" s="347"/>
      <c r="AU914" s="347"/>
      <c r="AV914" s="347"/>
      <c r="AW914" s="347"/>
      <c r="AX914" s="347"/>
      <c r="AY914" s="347"/>
      <c r="AZ914" s="347"/>
      <c r="BA914" s="347"/>
      <c r="BB914" s="347"/>
      <c r="BC914" s="347"/>
      <c r="BD914" s="347"/>
      <c r="BE914" s="347"/>
      <c r="BF914" s="347"/>
      <c r="BG914" s="347"/>
      <c r="BH914" s="347"/>
    </row>
    <row r="915">
      <c r="A915" s="347"/>
      <c r="B915" s="347"/>
      <c r="C915" s="347"/>
      <c r="D915" s="347"/>
      <c r="E915" s="347"/>
      <c r="F915" s="347"/>
      <c r="G915" s="347"/>
      <c r="H915" s="347"/>
      <c r="I915" s="347"/>
      <c r="J915" s="347"/>
      <c r="K915" s="348"/>
      <c r="L915" s="348"/>
      <c r="M915" s="348"/>
      <c r="N915" s="348"/>
      <c r="O915" s="348"/>
      <c r="P915" s="347"/>
      <c r="Q915" s="347"/>
      <c r="R915" s="347"/>
      <c r="S915" s="347"/>
      <c r="T915" s="347"/>
      <c r="U915" s="347"/>
      <c r="V915" s="347"/>
      <c r="W915" s="347"/>
      <c r="X915" s="347"/>
      <c r="Y915" s="347"/>
      <c r="Z915" s="347"/>
      <c r="AA915" s="604"/>
      <c r="AB915" s="347"/>
      <c r="AC915" s="590"/>
      <c r="AD915" s="347"/>
      <c r="AE915" s="347"/>
      <c r="AF915" s="347"/>
      <c r="AG915" s="347"/>
      <c r="AH915" s="347"/>
      <c r="AI915" s="347"/>
      <c r="AJ915" s="347"/>
      <c r="AK915" s="347"/>
      <c r="AL915" s="347"/>
      <c r="AM915" s="347"/>
      <c r="AN915" s="347"/>
      <c r="AO915" s="347"/>
      <c r="AP915" s="347"/>
      <c r="AQ915" s="347"/>
      <c r="AR915" s="347"/>
      <c r="AS915" s="347"/>
      <c r="AT915" s="347"/>
      <c r="AU915" s="347"/>
      <c r="AV915" s="347"/>
      <c r="AW915" s="347"/>
      <c r="AX915" s="347"/>
      <c r="AY915" s="347"/>
      <c r="AZ915" s="347"/>
      <c r="BA915" s="347"/>
      <c r="BB915" s="347"/>
      <c r="BC915" s="347"/>
      <c r="BD915" s="347"/>
      <c r="BE915" s="347"/>
      <c r="BF915" s="347"/>
      <c r="BG915" s="347"/>
      <c r="BH915" s="347"/>
    </row>
    <row r="916">
      <c r="A916" s="347"/>
      <c r="B916" s="347"/>
      <c r="C916" s="347"/>
      <c r="D916" s="347"/>
      <c r="E916" s="347"/>
      <c r="F916" s="347"/>
      <c r="G916" s="347"/>
      <c r="H916" s="347"/>
      <c r="I916" s="347"/>
      <c r="J916" s="347"/>
      <c r="K916" s="348"/>
      <c r="L916" s="348"/>
      <c r="M916" s="348"/>
      <c r="N916" s="348"/>
      <c r="O916" s="348"/>
      <c r="P916" s="347"/>
      <c r="Q916" s="347"/>
      <c r="R916" s="347"/>
      <c r="S916" s="347"/>
      <c r="T916" s="347"/>
      <c r="U916" s="347"/>
      <c r="V916" s="347"/>
      <c r="W916" s="347"/>
      <c r="X916" s="347"/>
      <c r="Y916" s="347"/>
      <c r="Z916" s="347"/>
      <c r="AA916" s="604"/>
      <c r="AB916" s="347"/>
      <c r="AC916" s="590"/>
      <c r="AD916" s="347"/>
      <c r="AE916" s="347"/>
      <c r="AF916" s="347"/>
      <c r="AG916" s="347"/>
      <c r="AH916" s="347"/>
      <c r="AI916" s="347"/>
      <c r="AJ916" s="347"/>
      <c r="AK916" s="347"/>
      <c r="AL916" s="347"/>
      <c r="AM916" s="347"/>
      <c r="AN916" s="347"/>
      <c r="AO916" s="347"/>
      <c r="AP916" s="347"/>
      <c r="AQ916" s="347"/>
      <c r="AR916" s="347"/>
      <c r="AS916" s="347"/>
      <c r="AT916" s="347"/>
      <c r="AU916" s="347"/>
      <c r="AV916" s="347"/>
      <c r="AW916" s="347"/>
      <c r="AX916" s="347"/>
      <c r="AY916" s="347"/>
      <c r="AZ916" s="347"/>
      <c r="BA916" s="347"/>
      <c r="BB916" s="347"/>
      <c r="BC916" s="347"/>
      <c r="BD916" s="347"/>
      <c r="BE916" s="347"/>
      <c r="BF916" s="347"/>
      <c r="BG916" s="347"/>
      <c r="BH916" s="347"/>
    </row>
    <row r="917">
      <c r="A917" s="347"/>
      <c r="B917" s="347"/>
      <c r="C917" s="347"/>
      <c r="D917" s="347"/>
      <c r="E917" s="347"/>
      <c r="F917" s="347"/>
      <c r="G917" s="347"/>
      <c r="H917" s="347"/>
      <c r="I917" s="347"/>
      <c r="J917" s="347"/>
      <c r="K917" s="348"/>
      <c r="L917" s="348"/>
      <c r="M917" s="348"/>
      <c r="N917" s="348"/>
      <c r="O917" s="348"/>
      <c r="P917" s="347"/>
      <c r="Q917" s="347"/>
      <c r="R917" s="347"/>
      <c r="S917" s="347"/>
      <c r="T917" s="347"/>
      <c r="U917" s="347"/>
      <c r="V917" s="347"/>
      <c r="W917" s="347"/>
      <c r="X917" s="347"/>
      <c r="Y917" s="347"/>
      <c r="Z917" s="347"/>
      <c r="AA917" s="604"/>
      <c r="AB917" s="347"/>
      <c r="AC917" s="590"/>
      <c r="AD917" s="347"/>
      <c r="AE917" s="347"/>
      <c r="AF917" s="347"/>
      <c r="AG917" s="347"/>
      <c r="AH917" s="347"/>
      <c r="AI917" s="347"/>
      <c r="AJ917" s="347"/>
      <c r="AK917" s="347"/>
      <c r="AL917" s="347"/>
      <c r="AM917" s="347"/>
      <c r="AN917" s="347"/>
      <c r="AO917" s="347"/>
      <c r="AP917" s="347"/>
      <c r="AQ917" s="347"/>
      <c r="AR917" s="347"/>
      <c r="AS917" s="347"/>
      <c r="AT917" s="347"/>
      <c r="AU917" s="347"/>
      <c r="AV917" s="347"/>
      <c r="AW917" s="347"/>
      <c r="AX917" s="347"/>
      <c r="AY917" s="347"/>
      <c r="AZ917" s="347"/>
      <c r="BA917" s="347"/>
      <c r="BB917" s="347"/>
      <c r="BC917" s="347"/>
      <c r="BD917" s="347"/>
      <c r="BE917" s="347"/>
      <c r="BF917" s="347"/>
      <c r="BG917" s="347"/>
      <c r="BH917" s="347"/>
    </row>
    <row r="918">
      <c r="A918" s="347"/>
      <c r="B918" s="347"/>
      <c r="C918" s="347"/>
      <c r="D918" s="347"/>
      <c r="E918" s="347"/>
      <c r="F918" s="347"/>
      <c r="G918" s="347"/>
      <c r="H918" s="347"/>
      <c r="I918" s="347"/>
      <c r="J918" s="347"/>
      <c r="K918" s="348"/>
      <c r="L918" s="348"/>
      <c r="M918" s="348"/>
      <c r="N918" s="348"/>
      <c r="O918" s="348"/>
      <c r="P918" s="347"/>
      <c r="Q918" s="347"/>
      <c r="R918" s="347"/>
      <c r="S918" s="347"/>
      <c r="T918" s="347"/>
      <c r="U918" s="347"/>
      <c r="V918" s="347"/>
      <c r="W918" s="347"/>
      <c r="X918" s="347"/>
      <c r="Y918" s="347"/>
      <c r="Z918" s="347"/>
      <c r="AA918" s="604"/>
      <c r="AB918" s="347"/>
      <c r="AC918" s="590"/>
      <c r="AD918" s="347"/>
      <c r="AE918" s="347"/>
      <c r="AF918" s="347"/>
      <c r="AG918" s="347"/>
      <c r="AH918" s="347"/>
      <c r="AI918" s="347"/>
      <c r="AJ918" s="347"/>
      <c r="AK918" s="347"/>
      <c r="AL918" s="347"/>
      <c r="AM918" s="347"/>
      <c r="AN918" s="347"/>
      <c r="AO918" s="347"/>
      <c r="AP918" s="347"/>
      <c r="AQ918" s="347"/>
      <c r="AR918" s="347"/>
      <c r="AS918" s="347"/>
      <c r="AT918" s="347"/>
      <c r="AU918" s="347"/>
      <c r="AV918" s="347"/>
      <c r="AW918" s="347"/>
      <c r="AX918" s="347"/>
      <c r="AY918" s="347"/>
      <c r="AZ918" s="347"/>
      <c r="BA918" s="347"/>
      <c r="BB918" s="347"/>
      <c r="BC918" s="347"/>
      <c r="BD918" s="347"/>
      <c r="BE918" s="347"/>
      <c r="BF918" s="347"/>
      <c r="BG918" s="347"/>
      <c r="BH918" s="347"/>
    </row>
    <row r="919">
      <c r="A919" s="347"/>
      <c r="B919" s="347"/>
      <c r="C919" s="347"/>
      <c r="D919" s="347"/>
      <c r="E919" s="347"/>
      <c r="F919" s="347"/>
      <c r="G919" s="347"/>
      <c r="H919" s="347"/>
      <c r="I919" s="347"/>
      <c r="J919" s="347"/>
      <c r="K919" s="348"/>
      <c r="L919" s="348"/>
      <c r="M919" s="348"/>
      <c r="N919" s="348"/>
      <c r="O919" s="348"/>
      <c r="P919" s="347"/>
      <c r="Q919" s="347"/>
      <c r="R919" s="347"/>
      <c r="S919" s="347"/>
      <c r="T919" s="347"/>
      <c r="U919" s="347"/>
      <c r="V919" s="347"/>
      <c r="W919" s="347"/>
      <c r="X919" s="347"/>
      <c r="Y919" s="347"/>
      <c r="Z919" s="347"/>
      <c r="AA919" s="604"/>
      <c r="AB919" s="347"/>
      <c r="AC919" s="590"/>
      <c r="AD919" s="347"/>
      <c r="AE919" s="347"/>
      <c r="AF919" s="347"/>
      <c r="AG919" s="347"/>
      <c r="AH919" s="347"/>
      <c r="AI919" s="347"/>
      <c r="AJ919" s="347"/>
      <c r="AK919" s="347"/>
      <c r="AL919" s="347"/>
      <c r="AM919" s="347"/>
      <c r="AN919" s="347"/>
      <c r="AO919" s="347"/>
      <c r="AP919" s="347"/>
      <c r="AQ919" s="347"/>
      <c r="AR919" s="347"/>
      <c r="AS919" s="347"/>
      <c r="AT919" s="347"/>
      <c r="AU919" s="347"/>
      <c r="AV919" s="347"/>
      <c r="AW919" s="347"/>
      <c r="AX919" s="347"/>
      <c r="AY919" s="347"/>
      <c r="AZ919" s="347"/>
      <c r="BA919" s="347"/>
      <c r="BB919" s="347"/>
      <c r="BC919" s="347"/>
      <c r="BD919" s="347"/>
      <c r="BE919" s="347"/>
      <c r="BF919" s="347"/>
      <c r="BG919" s="347"/>
      <c r="BH919" s="347"/>
    </row>
    <row r="920">
      <c r="A920" s="347"/>
      <c r="B920" s="347"/>
      <c r="C920" s="347"/>
      <c r="D920" s="347"/>
      <c r="E920" s="347"/>
      <c r="F920" s="347"/>
      <c r="G920" s="347"/>
      <c r="H920" s="347"/>
      <c r="I920" s="347"/>
      <c r="J920" s="347"/>
      <c r="K920" s="348"/>
      <c r="L920" s="348"/>
      <c r="M920" s="348"/>
      <c r="N920" s="348"/>
      <c r="O920" s="348"/>
      <c r="P920" s="347"/>
      <c r="Q920" s="347"/>
      <c r="R920" s="347"/>
      <c r="S920" s="347"/>
      <c r="T920" s="347"/>
      <c r="U920" s="347"/>
      <c r="V920" s="347"/>
      <c r="W920" s="347"/>
      <c r="X920" s="347"/>
      <c r="Y920" s="347"/>
      <c r="Z920" s="347"/>
      <c r="AA920" s="604"/>
      <c r="AB920" s="347"/>
      <c r="AC920" s="590"/>
      <c r="AD920" s="347"/>
      <c r="AE920" s="347"/>
      <c r="AF920" s="347"/>
      <c r="AG920" s="347"/>
      <c r="AH920" s="347"/>
      <c r="AI920" s="347"/>
      <c r="AJ920" s="347"/>
      <c r="AK920" s="347"/>
      <c r="AL920" s="347"/>
      <c r="AM920" s="347"/>
      <c r="AN920" s="347"/>
      <c r="AO920" s="347"/>
      <c r="AP920" s="347"/>
      <c r="AQ920" s="347"/>
      <c r="AR920" s="347"/>
      <c r="AS920" s="347"/>
      <c r="AT920" s="347"/>
      <c r="AU920" s="347"/>
      <c r="AV920" s="347"/>
      <c r="AW920" s="347"/>
      <c r="AX920" s="347"/>
      <c r="AY920" s="347"/>
      <c r="AZ920" s="347"/>
      <c r="BA920" s="347"/>
      <c r="BB920" s="347"/>
      <c r="BC920" s="347"/>
      <c r="BD920" s="347"/>
      <c r="BE920" s="347"/>
      <c r="BF920" s="347"/>
      <c r="BG920" s="347"/>
      <c r="BH920" s="347"/>
    </row>
    <row r="921">
      <c r="A921" s="347"/>
      <c r="B921" s="347"/>
      <c r="C921" s="347"/>
      <c r="D921" s="347"/>
      <c r="E921" s="347"/>
      <c r="F921" s="347"/>
      <c r="G921" s="347"/>
      <c r="H921" s="347"/>
      <c r="I921" s="347"/>
      <c r="J921" s="347"/>
      <c r="K921" s="348"/>
      <c r="L921" s="348"/>
      <c r="M921" s="348"/>
      <c r="N921" s="348"/>
      <c r="O921" s="348"/>
      <c r="P921" s="347"/>
      <c r="Q921" s="347"/>
      <c r="R921" s="347"/>
      <c r="S921" s="347"/>
      <c r="T921" s="347"/>
      <c r="U921" s="347"/>
      <c r="V921" s="347"/>
      <c r="W921" s="347"/>
      <c r="X921" s="347"/>
      <c r="Y921" s="347"/>
      <c r="Z921" s="347"/>
      <c r="AA921" s="604"/>
      <c r="AB921" s="347"/>
      <c r="AC921" s="590"/>
      <c r="AD921" s="347"/>
      <c r="AE921" s="347"/>
      <c r="AF921" s="347"/>
      <c r="AG921" s="347"/>
      <c r="AH921" s="347"/>
      <c r="AI921" s="347"/>
      <c r="AJ921" s="347"/>
      <c r="AK921" s="347"/>
      <c r="AL921" s="347"/>
      <c r="AM921" s="347"/>
      <c r="AN921" s="347"/>
      <c r="AO921" s="347"/>
      <c r="AP921" s="347"/>
      <c r="AQ921" s="347"/>
      <c r="AR921" s="347"/>
      <c r="AS921" s="347"/>
      <c r="AT921" s="347"/>
      <c r="AU921" s="347"/>
      <c r="AV921" s="347"/>
      <c r="AW921" s="347"/>
      <c r="AX921" s="347"/>
      <c r="AY921" s="347"/>
      <c r="AZ921" s="347"/>
      <c r="BA921" s="347"/>
      <c r="BB921" s="347"/>
      <c r="BC921" s="347"/>
      <c r="BD921" s="347"/>
      <c r="BE921" s="347"/>
      <c r="BF921" s="347"/>
      <c r="BG921" s="347"/>
      <c r="BH921" s="347"/>
    </row>
    <row r="922">
      <c r="A922" s="347"/>
      <c r="B922" s="347"/>
      <c r="C922" s="347"/>
      <c r="D922" s="347"/>
      <c r="E922" s="347"/>
      <c r="F922" s="347"/>
      <c r="G922" s="347"/>
      <c r="H922" s="347"/>
      <c r="I922" s="347"/>
      <c r="J922" s="347"/>
      <c r="K922" s="348"/>
      <c r="L922" s="348"/>
      <c r="M922" s="348"/>
      <c r="N922" s="348"/>
      <c r="O922" s="348"/>
      <c r="P922" s="347"/>
      <c r="Q922" s="347"/>
      <c r="R922" s="347"/>
      <c r="S922" s="347"/>
      <c r="T922" s="347"/>
      <c r="U922" s="347"/>
      <c r="V922" s="347"/>
      <c r="W922" s="347"/>
      <c r="X922" s="347"/>
      <c r="Y922" s="347"/>
      <c r="Z922" s="347"/>
      <c r="AA922" s="604"/>
      <c r="AB922" s="347"/>
      <c r="AC922" s="590"/>
      <c r="AD922" s="347"/>
      <c r="AE922" s="347"/>
      <c r="AF922" s="347"/>
      <c r="AG922" s="347"/>
      <c r="AH922" s="347"/>
      <c r="AI922" s="347"/>
      <c r="AJ922" s="347"/>
      <c r="AK922" s="347"/>
      <c r="AL922" s="347"/>
      <c r="AM922" s="347"/>
      <c r="AN922" s="347"/>
      <c r="AO922" s="347"/>
      <c r="AP922" s="347"/>
      <c r="AQ922" s="347"/>
      <c r="AR922" s="347"/>
      <c r="AS922" s="347"/>
      <c r="AT922" s="347"/>
      <c r="AU922" s="347"/>
      <c r="AV922" s="347"/>
      <c r="AW922" s="347"/>
      <c r="AX922" s="347"/>
      <c r="AY922" s="347"/>
      <c r="AZ922" s="347"/>
      <c r="BA922" s="347"/>
      <c r="BB922" s="347"/>
      <c r="BC922" s="347"/>
      <c r="BD922" s="347"/>
      <c r="BE922" s="347"/>
      <c r="BF922" s="347"/>
      <c r="BG922" s="347"/>
      <c r="BH922" s="347"/>
    </row>
    <row r="923">
      <c r="A923" s="347"/>
      <c r="B923" s="347"/>
      <c r="C923" s="347"/>
      <c r="D923" s="347"/>
      <c r="E923" s="347"/>
      <c r="F923" s="347"/>
      <c r="G923" s="347"/>
      <c r="H923" s="347"/>
      <c r="I923" s="347"/>
      <c r="J923" s="347"/>
      <c r="K923" s="348"/>
      <c r="L923" s="348"/>
      <c r="M923" s="348"/>
      <c r="N923" s="348"/>
      <c r="O923" s="348"/>
      <c r="P923" s="347"/>
      <c r="Q923" s="347"/>
      <c r="R923" s="347"/>
      <c r="S923" s="347"/>
      <c r="T923" s="347"/>
      <c r="U923" s="347"/>
      <c r="V923" s="347"/>
      <c r="W923" s="347"/>
      <c r="X923" s="347"/>
      <c r="Y923" s="347"/>
      <c r="Z923" s="347"/>
      <c r="AA923" s="604"/>
      <c r="AB923" s="347"/>
      <c r="AC923" s="590"/>
      <c r="AD923" s="347"/>
      <c r="AE923" s="347"/>
      <c r="AF923" s="347"/>
      <c r="AG923" s="347"/>
      <c r="AH923" s="347"/>
      <c r="AI923" s="347"/>
      <c r="AJ923" s="347"/>
      <c r="AK923" s="347"/>
      <c r="AL923" s="347"/>
      <c r="AM923" s="347"/>
      <c r="AN923" s="347"/>
      <c r="AO923" s="347"/>
      <c r="AP923" s="347"/>
      <c r="AQ923" s="347"/>
      <c r="AR923" s="347"/>
      <c r="AS923" s="347"/>
      <c r="AT923" s="347"/>
      <c r="AU923" s="347"/>
      <c r="AV923" s="347"/>
      <c r="AW923" s="347"/>
      <c r="AX923" s="347"/>
      <c r="AY923" s="347"/>
      <c r="AZ923" s="347"/>
      <c r="BA923" s="347"/>
      <c r="BB923" s="347"/>
      <c r="BC923" s="347"/>
      <c r="BD923" s="347"/>
      <c r="BE923" s="347"/>
      <c r="BF923" s="347"/>
      <c r="BG923" s="347"/>
      <c r="BH923" s="347"/>
    </row>
    <row r="924">
      <c r="A924" s="347"/>
      <c r="B924" s="347"/>
      <c r="C924" s="347"/>
      <c r="D924" s="347"/>
      <c r="E924" s="347"/>
      <c r="F924" s="347"/>
      <c r="G924" s="347"/>
      <c r="H924" s="347"/>
      <c r="I924" s="347"/>
      <c r="J924" s="347"/>
      <c r="K924" s="348"/>
      <c r="L924" s="348"/>
      <c r="M924" s="348"/>
      <c r="N924" s="348"/>
      <c r="O924" s="348"/>
      <c r="P924" s="347"/>
      <c r="Q924" s="347"/>
      <c r="R924" s="347"/>
      <c r="S924" s="347"/>
      <c r="T924" s="347"/>
      <c r="U924" s="347"/>
      <c r="V924" s="347"/>
      <c r="W924" s="347"/>
      <c r="X924" s="347"/>
      <c r="Y924" s="347"/>
      <c r="Z924" s="347"/>
      <c r="AA924" s="604"/>
      <c r="AB924" s="347"/>
      <c r="AC924" s="590"/>
      <c r="AD924" s="347"/>
      <c r="AE924" s="347"/>
      <c r="AF924" s="347"/>
      <c r="AG924" s="347"/>
      <c r="AH924" s="347"/>
      <c r="AI924" s="347"/>
      <c r="AJ924" s="347"/>
      <c r="AK924" s="347"/>
      <c r="AL924" s="347"/>
      <c r="AM924" s="347"/>
      <c r="AN924" s="347"/>
      <c r="AO924" s="347"/>
      <c r="AP924" s="347"/>
      <c r="AQ924" s="347"/>
      <c r="AR924" s="347"/>
      <c r="AS924" s="347"/>
      <c r="AT924" s="347"/>
      <c r="AU924" s="347"/>
      <c r="AV924" s="347"/>
      <c r="AW924" s="347"/>
      <c r="AX924" s="347"/>
      <c r="AY924" s="347"/>
      <c r="AZ924" s="347"/>
      <c r="BA924" s="347"/>
      <c r="BB924" s="347"/>
      <c r="BC924" s="347"/>
      <c r="BD924" s="347"/>
      <c r="BE924" s="347"/>
      <c r="BF924" s="347"/>
      <c r="BG924" s="347"/>
      <c r="BH924" s="347"/>
    </row>
    <row r="925">
      <c r="A925" s="347"/>
      <c r="B925" s="347"/>
      <c r="C925" s="347"/>
      <c r="D925" s="347"/>
      <c r="E925" s="347"/>
      <c r="F925" s="347"/>
      <c r="G925" s="347"/>
      <c r="H925" s="347"/>
      <c r="I925" s="347"/>
      <c r="J925" s="347"/>
      <c r="K925" s="348"/>
      <c r="L925" s="348"/>
      <c r="M925" s="348"/>
      <c r="N925" s="348"/>
      <c r="O925" s="348"/>
      <c r="P925" s="347"/>
      <c r="Q925" s="347"/>
      <c r="R925" s="347"/>
      <c r="S925" s="347"/>
      <c r="T925" s="347"/>
      <c r="U925" s="347"/>
      <c r="V925" s="347"/>
      <c r="W925" s="347"/>
      <c r="X925" s="347"/>
      <c r="Y925" s="347"/>
      <c r="Z925" s="347"/>
      <c r="AA925" s="604"/>
      <c r="AB925" s="347"/>
      <c r="AC925" s="590"/>
      <c r="AD925" s="347"/>
      <c r="AE925" s="347"/>
      <c r="AF925" s="347"/>
      <c r="AG925" s="347"/>
      <c r="AH925" s="347"/>
      <c r="AI925" s="347"/>
      <c r="AJ925" s="347"/>
      <c r="AK925" s="347"/>
      <c r="AL925" s="347"/>
      <c r="AM925" s="347"/>
      <c r="AN925" s="347"/>
      <c r="AO925" s="347"/>
      <c r="AP925" s="347"/>
      <c r="AQ925" s="347"/>
      <c r="AR925" s="347"/>
      <c r="AS925" s="347"/>
      <c r="AT925" s="347"/>
      <c r="AU925" s="347"/>
      <c r="AV925" s="347"/>
      <c r="AW925" s="347"/>
      <c r="AX925" s="347"/>
      <c r="AY925" s="347"/>
      <c r="AZ925" s="347"/>
      <c r="BA925" s="347"/>
      <c r="BB925" s="347"/>
      <c r="BC925" s="347"/>
      <c r="BD925" s="347"/>
      <c r="BE925" s="347"/>
      <c r="BF925" s="347"/>
      <c r="BG925" s="347"/>
      <c r="BH925" s="347"/>
    </row>
    <row r="926">
      <c r="A926" s="347"/>
      <c r="B926" s="347"/>
      <c r="C926" s="347"/>
      <c r="D926" s="347"/>
      <c r="E926" s="347"/>
      <c r="F926" s="347"/>
      <c r="G926" s="347"/>
      <c r="H926" s="347"/>
      <c r="I926" s="347"/>
      <c r="J926" s="347"/>
      <c r="K926" s="348"/>
      <c r="L926" s="348"/>
      <c r="M926" s="348"/>
      <c r="N926" s="348"/>
      <c r="O926" s="348"/>
      <c r="P926" s="347"/>
      <c r="Q926" s="347"/>
      <c r="R926" s="347"/>
      <c r="S926" s="347"/>
      <c r="T926" s="347"/>
      <c r="U926" s="347"/>
      <c r="V926" s="347"/>
      <c r="W926" s="347"/>
      <c r="X926" s="347"/>
      <c r="Y926" s="347"/>
      <c r="Z926" s="347"/>
      <c r="AA926" s="604"/>
      <c r="AB926" s="347"/>
      <c r="AC926" s="590"/>
      <c r="AD926" s="347"/>
      <c r="AE926" s="347"/>
      <c r="AF926" s="347"/>
      <c r="AG926" s="347"/>
      <c r="AH926" s="347"/>
      <c r="AI926" s="347"/>
      <c r="AJ926" s="347"/>
      <c r="AK926" s="347"/>
      <c r="AL926" s="347"/>
      <c r="AM926" s="347"/>
      <c r="AN926" s="347"/>
      <c r="AO926" s="347"/>
      <c r="AP926" s="347"/>
      <c r="AQ926" s="347"/>
      <c r="AR926" s="347"/>
      <c r="AS926" s="347"/>
      <c r="AT926" s="347"/>
      <c r="AU926" s="347"/>
      <c r="AV926" s="347"/>
      <c r="AW926" s="347"/>
      <c r="AX926" s="347"/>
      <c r="AY926" s="347"/>
      <c r="AZ926" s="347"/>
      <c r="BA926" s="347"/>
      <c r="BB926" s="347"/>
      <c r="BC926" s="347"/>
      <c r="BD926" s="347"/>
      <c r="BE926" s="347"/>
      <c r="BF926" s="347"/>
      <c r="BG926" s="347"/>
      <c r="BH926" s="347"/>
    </row>
    <row r="927">
      <c r="A927" s="347"/>
      <c r="B927" s="347"/>
      <c r="C927" s="347"/>
      <c r="D927" s="347"/>
      <c r="E927" s="347"/>
      <c r="F927" s="347"/>
      <c r="G927" s="347"/>
      <c r="H927" s="347"/>
      <c r="I927" s="347"/>
      <c r="J927" s="347"/>
      <c r="K927" s="348"/>
      <c r="L927" s="348"/>
      <c r="M927" s="348"/>
      <c r="N927" s="348"/>
      <c r="O927" s="348"/>
      <c r="P927" s="347"/>
      <c r="Q927" s="347"/>
      <c r="R927" s="347"/>
      <c r="S927" s="347"/>
      <c r="T927" s="347"/>
      <c r="U927" s="347"/>
      <c r="V927" s="347"/>
      <c r="W927" s="347"/>
      <c r="X927" s="347"/>
      <c r="Y927" s="347"/>
      <c r="Z927" s="347"/>
      <c r="AA927" s="604"/>
      <c r="AB927" s="347"/>
      <c r="AC927" s="590"/>
      <c r="AD927" s="347"/>
      <c r="AE927" s="347"/>
      <c r="AF927" s="347"/>
      <c r="AG927" s="347"/>
      <c r="AH927" s="347"/>
      <c r="AI927" s="347"/>
      <c r="AJ927" s="347"/>
      <c r="AK927" s="347"/>
      <c r="AL927" s="347"/>
      <c r="AM927" s="347"/>
      <c r="AN927" s="347"/>
      <c r="AO927" s="347"/>
      <c r="AP927" s="347"/>
      <c r="AQ927" s="347"/>
      <c r="AR927" s="347"/>
      <c r="AS927" s="347"/>
      <c r="AT927" s="347"/>
      <c r="AU927" s="347"/>
      <c r="AV927" s="347"/>
      <c r="AW927" s="347"/>
      <c r="AX927" s="347"/>
      <c r="AY927" s="347"/>
      <c r="AZ927" s="347"/>
      <c r="BA927" s="347"/>
      <c r="BB927" s="347"/>
      <c r="BC927" s="347"/>
      <c r="BD927" s="347"/>
      <c r="BE927" s="347"/>
      <c r="BF927" s="347"/>
      <c r="BG927" s="347"/>
      <c r="BH927" s="347"/>
    </row>
    <row r="928">
      <c r="A928" s="347"/>
      <c r="B928" s="347"/>
      <c r="C928" s="347"/>
      <c r="D928" s="347"/>
      <c r="E928" s="347"/>
      <c r="F928" s="347"/>
      <c r="G928" s="347"/>
      <c r="H928" s="347"/>
      <c r="I928" s="347"/>
      <c r="J928" s="347"/>
      <c r="K928" s="348"/>
      <c r="L928" s="348"/>
      <c r="M928" s="348"/>
      <c r="N928" s="348"/>
      <c r="O928" s="348"/>
      <c r="P928" s="347"/>
      <c r="Q928" s="347"/>
      <c r="R928" s="347"/>
      <c r="S928" s="347"/>
      <c r="T928" s="347"/>
      <c r="U928" s="347"/>
      <c r="V928" s="347"/>
      <c r="W928" s="347"/>
      <c r="X928" s="347"/>
      <c r="Y928" s="347"/>
      <c r="Z928" s="347"/>
      <c r="AA928" s="604"/>
      <c r="AB928" s="347"/>
      <c r="AC928" s="590"/>
      <c r="AD928" s="347"/>
      <c r="AE928" s="347"/>
      <c r="AF928" s="347"/>
      <c r="AG928" s="347"/>
      <c r="AH928" s="347"/>
      <c r="AI928" s="347"/>
      <c r="AJ928" s="347"/>
      <c r="AK928" s="347"/>
      <c r="AL928" s="347"/>
      <c r="AM928" s="347"/>
      <c r="AN928" s="347"/>
      <c r="AO928" s="347"/>
      <c r="AP928" s="347"/>
      <c r="AQ928" s="347"/>
      <c r="AR928" s="347"/>
      <c r="AS928" s="347"/>
      <c r="AT928" s="347"/>
      <c r="AU928" s="347"/>
      <c r="AV928" s="347"/>
      <c r="AW928" s="347"/>
      <c r="AX928" s="347"/>
      <c r="AY928" s="347"/>
      <c r="AZ928" s="347"/>
      <c r="BA928" s="347"/>
      <c r="BB928" s="347"/>
      <c r="BC928" s="347"/>
      <c r="BD928" s="347"/>
      <c r="BE928" s="347"/>
      <c r="BF928" s="347"/>
      <c r="BG928" s="347"/>
      <c r="BH928" s="347"/>
    </row>
    <row r="929">
      <c r="A929" s="347"/>
      <c r="B929" s="347"/>
      <c r="C929" s="347"/>
      <c r="D929" s="347"/>
      <c r="E929" s="347"/>
      <c r="F929" s="347"/>
      <c r="G929" s="347"/>
      <c r="H929" s="347"/>
      <c r="I929" s="347"/>
      <c r="J929" s="347"/>
      <c r="K929" s="348"/>
      <c r="L929" s="348"/>
      <c r="M929" s="348"/>
      <c r="N929" s="348"/>
      <c r="O929" s="348"/>
      <c r="P929" s="347"/>
      <c r="Q929" s="347"/>
      <c r="R929" s="347"/>
      <c r="S929" s="347"/>
      <c r="T929" s="347"/>
      <c r="U929" s="347"/>
      <c r="V929" s="347"/>
      <c r="W929" s="347"/>
      <c r="X929" s="347"/>
      <c r="Y929" s="347"/>
      <c r="Z929" s="347"/>
      <c r="AA929" s="604"/>
      <c r="AB929" s="347"/>
      <c r="AC929" s="590"/>
      <c r="AD929" s="347"/>
      <c r="AE929" s="347"/>
      <c r="AF929" s="347"/>
      <c r="AG929" s="347"/>
      <c r="AH929" s="347"/>
      <c r="AI929" s="347"/>
      <c r="AJ929" s="347"/>
      <c r="AK929" s="347"/>
      <c r="AL929" s="347"/>
      <c r="AM929" s="347"/>
      <c r="AN929" s="347"/>
      <c r="AO929" s="347"/>
      <c r="AP929" s="347"/>
      <c r="AQ929" s="347"/>
      <c r="AR929" s="347"/>
      <c r="AS929" s="347"/>
      <c r="AT929" s="347"/>
      <c r="AU929" s="347"/>
      <c r="AV929" s="347"/>
      <c r="AW929" s="347"/>
      <c r="AX929" s="347"/>
      <c r="AY929" s="347"/>
      <c r="AZ929" s="347"/>
      <c r="BA929" s="347"/>
      <c r="BB929" s="347"/>
      <c r="BC929" s="347"/>
      <c r="BD929" s="347"/>
      <c r="BE929" s="347"/>
      <c r="BF929" s="347"/>
      <c r="BG929" s="347"/>
      <c r="BH929" s="347"/>
    </row>
    <row r="930">
      <c r="A930" s="347"/>
      <c r="B930" s="347"/>
      <c r="C930" s="347"/>
      <c r="D930" s="347"/>
      <c r="E930" s="347"/>
      <c r="F930" s="347"/>
      <c r="G930" s="347"/>
      <c r="H930" s="347"/>
      <c r="I930" s="347"/>
      <c r="J930" s="347"/>
      <c r="K930" s="348"/>
      <c r="L930" s="348"/>
      <c r="M930" s="348"/>
      <c r="N930" s="348"/>
      <c r="O930" s="348"/>
      <c r="P930" s="347"/>
      <c r="Q930" s="347"/>
      <c r="R930" s="347"/>
      <c r="S930" s="347"/>
      <c r="T930" s="347"/>
      <c r="U930" s="347"/>
      <c r="V930" s="347"/>
      <c r="W930" s="347"/>
      <c r="X930" s="347"/>
      <c r="Y930" s="347"/>
      <c r="Z930" s="347"/>
      <c r="AA930" s="604"/>
      <c r="AB930" s="347"/>
      <c r="AC930" s="590"/>
      <c r="AD930" s="347"/>
      <c r="AE930" s="347"/>
      <c r="AF930" s="347"/>
      <c r="AG930" s="347"/>
      <c r="AH930" s="347"/>
      <c r="AI930" s="347"/>
      <c r="AJ930" s="347"/>
      <c r="AK930" s="347"/>
      <c r="AL930" s="347"/>
      <c r="AM930" s="347"/>
      <c r="AN930" s="347"/>
      <c r="AO930" s="347"/>
      <c r="AP930" s="347"/>
      <c r="AQ930" s="347"/>
      <c r="AR930" s="347"/>
      <c r="AS930" s="347"/>
      <c r="AT930" s="347"/>
      <c r="AU930" s="347"/>
      <c r="AV930" s="347"/>
      <c r="AW930" s="347"/>
      <c r="AX930" s="347"/>
      <c r="AY930" s="347"/>
      <c r="AZ930" s="347"/>
      <c r="BA930" s="347"/>
      <c r="BB930" s="347"/>
      <c r="BC930" s="347"/>
      <c r="BD930" s="347"/>
      <c r="BE930" s="347"/>
      <c r="BF930" s="347"/>
      <c r="BG930" s="347"/>
      <c r="BH930" s="347"/>
    </row>
    <row r="931">
      <c r="A931" s="347"/>
      <c r="B931" s="347"/>
      <c r="C931" s="347"/>
      <c r="D931" s="347"/>
      <c r="E931" s="347"/>
      <c r="F931" s="347"/>
      <c r="G931" s="347"/>
      <c r="H931" s="347"/>
      <c r="I931" s="347"/>
      <c r="J931" s="347"/>
      <c r="K931" s="348"/>
      <c r="L931" s="348"/>
      <c r="M931" s="348"/>
      <c r="N931" s="348"/>
      <c r="O931" s="348"/>
      <c r="P931" s="347"/>
      <c r="Q931" s="347"/>
      <c r="R931" s="347"/>
      <c r="S931" s="347"/>
      <c r="T931" s="347"/>
      <c r="U931" s="347"/>
      <c r="V931" s="347"/>
      <c r="W931" s="347"/>
      <c r="X931" s="347"/>
      <c r="Y931" s="347"/>
      <c r="Z931" s="347"/>
      <c r="AA931" s="604"/>
      <c r="AB931" s="347"/>
      <c r="AC931" s="590"/>
      <c r="AD931" s="347"/>
      <c r="AE931" s="347"/>
      <c r="AF931" s="347"/>
      <c r="AG931" s="347"/>
      <c r="AH931" s="347"/>
      <c r="AI931" s="347"/>
      <c r="AJ931" s="347"/>
      <c r="AK931" s="347"/>
      <c r="AL931" s="347"/>
      <c r="AM931" s="347"/>
      <c r="AN931" s="347"/>
      <c r="AO931" s="347"/>
      <c r="AP931" s="347"/>
      <c r="AQ931" s="347"/>
      <c r="AR931" s="347"/>
      <c r="AS931" s="347"/>
      <c r="AT931" s="347"/>
      <c r="AU931" s="347"/>
      <c r="AV931" s="347"/>
      <c r="AW931" s="347"/>
      <c r="AX931" s="347"/>
      <c r="AY931" s="347"/>
      <c r="AZ931" s="347"/>
      <c r="BA931" s="347"/>
      <c r="BB931" s="347"/>
      <c r="BC931" s="347"/>
      <c r="BD931" s="347"/>
      <c r="BE931" s="347"/>
      <c r="BF931" s="347"/>
      <c r="BG931" s="347"/>
      <c r="BH931" s="347"/>
    </row>
    <row r="932">
      <c r="A932" s="347"/>
      <c r="B932" s="347"/>
      <c r="C932" s="347"/>
      <c r="D932" s="347"/>
      <c r="E932" s="347"/>
      <c r="F932" s="347"/>
      <c r="G932" s="347"/>
      <c r="H932" s="347"/>
      <c r="I932" s="347"/>
      <c r="J932" s="347"/>
      <c r="K932" s="348"/>
      <c r="L932" s="348"/>
      <c r="M932" s="348"/>
      <c r="N932" s="348"/>
      <c r="O932" s="348"/>
      <c r="P932" s="347"/>
      <c r="Q932" s="347"/>
      <c r="R932" s="347"/>
      <c r="S932" s="347"/>
      <c r="T932" s="347"/>
      <c r="U932" s="347"/>
      <c r="V932" s="347"/>
      <c r="W932" s="347"/>
      <c r="X932" s="347"/>
      <c r="Y932" s="347"/>
      <c r="Z932" s="347"/>
      <c r="AA932" s="604"/>
      <c r="AB932" s="347"/>
      <c r="AC932" s="590"/>
      <c r="AD932" s="347"/>
      <c r="AE932" s="347"/>
      <c r="AF932" s="347"/>
      <c r="AG932" s="347"/>
      <c r="AH932" s="347"/>
      <c r="AI932" s="347"/>
      <c r="AJ932" s="347"/>
      <c r="AK932" s="347"/>
      <c r="AL932" s="347"/>
      <c r="AM932" s="347"/>
      <c r="AN932" s="347"/>
      <c r="AO932" s="347"/>
      <c r="AP932" s="347"/>
      <c r="AQ932" s="347"/>
      <c r="AR932" s="347"/>
      <c r="AS932" s="347"/>
      <c r="AT932" s="347"/>
      <c r="AU932" s="347"/>
      <c r="AV932" s="347"/>
      <c r="AW932" s="347"/>
      <c r="AX932" s="347"/>
      <c r="AY932" s="347"/>
      <c r="AZ932" s="347"/>
      <c r="BA932" s="347"/>
      <c r="BB932" s="347"/>
      <c r="BC932" s="347"/>
      <c r="BD932" s="347"/>
      <c r="BE932" s="347"/>
      <c r="BF932" s="347"/>
      <c r="BG932" s="347"/>
      <c r="BH932" s="347"/>
    </row>
    <row r="933">
      <c r="A933" s="347"/>
      <c r="B933" s="347"/>
      <c r="C933" s="347"/>
      <c r="D933" s="347"/>
      <c r="E933" s="347"/>
      <c r="F933" s="347"/>
      <c r="G933" s="347"/>
      <c r="H933" s="347"/>
      <c r="I933" s="347"/>
      <c r="J933" s="347"/>
      <c r="K933" s="348"/>
      <c r="L933" s="348"/>
      <c r="M933" s="348"/>
      <c r="N933" s="348"/>
      <c r="O933" s="348"/>
      <c r="P933" s="347"/>
      <c r="Q933" s="347"/>
      <c r="R933" s="347"/>
      <c r="S933" s="347"/>
      <c r="T933" s="347"/>
      <c r="U933" s="347"/>
      <c r="V933" s="347"/>
      <c r="W933" s="347"/>
      <c r="X933" s="347"/>
      <c r="Y933" s="347"/>
      <c r="Z933" s="347"/>
      <c r="AA933" s="604"/>
      <c r="AB933" s="347"/>
      <c r="AC933" s="590"/>
      <c r="AD933" s="347"/>
      <c r="AE933" s="347"/>
      <c r="AF933" s="347"/>
      <c r="AG933" s="347"/>
      <c r="AH933" s="347"/>
      <c r="AI933" s="347"/>
      <c r="AJ933" s="347"/>
      <c r="AK933" s="347"/>
      <c r="AL933" s="347"/>
      <c r="AM933" s="347"/>
      <c r="AN933" s="347"/>
      <c r="AO933" s="347"/>
      <c r="AP933" s="347"/>
      <c r="AQ933" s="347"/>
      <c r="AR933" s="347"/>
      <c r="AS933" s="347"/>
      <c r="AT933" s="347"/>
      <c r="AU933" s="347"/>
      <c r="AV933" s="347"/>
      <c r="AW933" s="347"/>
      <c r="AX933" s="347"/>
      <c r="AY933" s="347"/>
      <c r="AZ933" s="347"/>
      <c r="BA933" s="347"/>
      <c r="BB933" s="347"/>
      <c r="BC933" s="347"/>
      <c r="BD933" s="347"/>
      <c r="BE933" s="347"/>
      <c r="BF933" s="347"/>
      <c r="BG933" s="347"/>
      <c r="BH933" s="347"/>
    </row>
    <row r="934">
      <c r="A934" s="347"/>
      <c r="B934" s="347"/>
      <c r="C934" s="347"/>
      <c r="D934" s="347"/>
      <c r="E934" s="347"/>
      <c r="F934" s="347"/>
      <c r="G934" s="347"/>
      <c r="H934" s="347"/>
      <c r="I934" s="347"/>
      <c r="J934" s="347"/>
      <c r="K934" s="348"/>
      <c r="L934" s="348"/>
      <c r="M934" s="348"/>
      <c r="N934" s="348"/>
      <c r="O934" s="348"/>
      <c r="P934" s="347"/>
      <c r="Q934" s="347"/>
      <c r="R934" s="347"/>
      <c r="S934" s="347"/>
      <c r="T934" s="347"/>
      <c r="U934" s="347"/>
      <c r="V934" s="347"/>
      <c r="W934" s="347"/>
      <c r="X934" s="347"/>
      <c r="Y934" s="347"/>
      <c r="Z934" s="347"/>
      <c r="AA934" s="604"/>
      <c r="AB934" s="347"/>
      <c r="AC934" s="590"/>
      <c r="AD934" s="347"/>
      <c r="AE934" s="347"/>
      <c r="AF934" s="347"/>
      <c r="AG934" s="347"/>
      <c r="AH934" s="347"/>
      <c r="AI934" s="347"/>
      <c r="AJ934" s="347"/>
      <c r="AK934" s="347"/>
      <c r="AL934" s="347"/>
      <c r="AM934" s="347"/>
      <c r="AN934" s="347"/>
      <c r="AO934" s="347"/>
      <c r="AP934" s="347"/>
      <c r="AQ934" s="347"/>
      <c r="AR934" s="347"/>
      <c r="AS934" s="347"/>
      <c r="AT934" s="347"/>
      <c r="AU934" s="347"/>
      <c r="AV934" s="347"/>
      <c r="AW934" s="347"/>
      <c r="AX934" s="347"/>
      <c r="AY934" s="347"/>
      <c r="AZ934" s="347"/>
      <c r="BA934" s="347"/>
      <c r="BB934" s="347"/>
      <c r="BC934" s="347"/>
      <c r="BD934" s="347"/>
      <c r="BE934" s="347"/>
      <c r="BF934" s="347"/>
      <c r="BG934" s="347"/>
      <c r="BH934" s="347"/>
    </row>
    <row r="935">
      <c r="A935" s="347"/>
      <c r="B935" s="347"/>
      <c r="C935" s="347"/>
      <c r="D935" s="347"/>
      <c r="E935" s="347"/>
      <c r="F935" s="347"/>
      <c r="G935" s="347"/>
      <c r="H935" s="347"/>
      <c r="I935" s="347"/>
      <c r="J935" s="347"/>
      <c r="K935" s="348"/>
      <c r="L935" s="348"/>
      <c r="M935" s="348"/>
      <c r="N935" s="348"/>
      <c r="O935" s="348"/>
      <c r="P935" s="347"/>
      <c r="Q935" s="347"/>
      <c r="R935" s="347"/>
      <c r="S935" s="347"/>
      <c r="T935" s="347"/>
      <c r="U935" s="347"/>
      <c r="V935" s="347"/>
      <c r="W935" s="347"/>
      <c r="X935" s="347"/>
      <c r="Y935" s="347"/>
      <c r="Z935" s="347"/>
      <c r="AA935" s="604"/>
      <c r="AB935" s="347"/>
      <c r="AC935" s="590"/>
      <c r="AD935" s="347"/>
      <c r="AE935" s="347"/>
      <c r="AF935" s="347"/>
      <c r="AG935" s="347"/>
      <c r="AH935" s="347"/>
      <c r="AI935" s="347"/>
      <c r="AJ935" s="347"/>
      <c r="AK935" s="347"/>
      <c r="AL935" s="347"/>
      <c r="AM935" s="347"/>
      <c r="AN935" s="347"/>
      <c r="AO935" s="347"/>
      <c r="AP935" s="347"/>
      <c r="AQ935" s="347"/>
      <c r="AR935" s="347"/>
      <c r="AS935" s="347"/>
      <c r="AT935" s="347"/>
      <c r="AU935" s="347"/>
      <c r="AV935" s="347"/>
      <c r="AW935" s="347"/>
      <c r="AX935" s="347"/>
      <c r="AY935" s="347"/>
      <c r="AZ935" s="347"/>
      <c r="BA935" s="347"/>
      <c r="BB935" s="347"/>
      <c r="BC935" s="347"/>
      <c r="BD935" s="347"/>
      <c r="BE935" s="347"/>
      <c r="BF935" s="347"/>
      <c r="BG935" s="347"/>
      <c r="BH935" s="347"/>
    </row>
    <row r="936">
      <c r="A936" s="347"/>
      <c r="B936" s="347"/>
      <c r="C936" s="347"/>
      <c r="D936" s="347"/>
      <c r="E936" s="347"/>
      <c r="F936" s="347"/>
      <c r="G936" s="347"/>
      <c r="H936" s="347"/>
      <c r="I936" s="347"/>
      <c r="J936" s="347"/>
      <c r="K936" s="348"/>
      <c r="L936" s="348"/>
      <c r="M936" s="348"/>
      <c r="N936" s="348"/>
      <c r="O936" s="348"/>
      <c r="P936" s="347"/>
      <c r="Q936" s="347"/>
      <c r="R936" s="347"/>
      <c r="S936" s="347"/>
      <c r="T936" s="347"/>
      <c r="U936" s="347"/>
      <c r="V936" s="347"/>
      <c r="W936" s="347"/>
      <c r="X936" s="347"/>
      <c r="Y936" s="347"/>
      <c r="Z936" s="347"/>
      <c r="AA936" s="604"/>
      <c r="AB936" s="347"/>
      <c r="AC936" s="590"/>
      <c r="AD936" s="347"/>
      <c r="AE936" s="347"/>
      <c r="AF936" s="347"/>
      <c r="AG936" s="347"/>
      <c r="AH936" s="347"/>
      <c r="AI936" s="347"/>
      <c r="AJ936" s="347"/>
      <c r="AK936" s="347"/>
      <c r="AL936" s="347"/>
      <c r="AM936" s="347"/>
      <c r="AN936" s="347"/>
      <c r="AO936" s="347"/>
      <c r="AP936" s="347"/>
      <c r="AQ936" s="347"/>
      <c r="AR936" s="347"/>
      <c r="AS936" s="347"/>
      <c r="AT936" s="347"/>
      <c r="AU936" s="347"/>
      <c r="AV936" s="347"/>
      <c r="AW936" s="347"/>
      <c r="AX936" s="347"/>
      <c r="AY936" s="347"/>
      <c r="AZ936" s="347"/>
      <c r="BA936" s="347"/>
      <c r="BB936" s="347"/>
      <c r="BC936" s="347"/>
      <c r="BD936" s="347"/>
      <c r="BE936" s="347"/>
      <c r="BF936" s="347"/>
      <c r="BG936" s="347"/>
      <c r="BH936" s="347"/>
    </row>
    <row r="937">
      <c r="A937" s="347"/>
      <c r="B937" s="347"/>
      <c r="C937" s="347"/>
      <c r="D937" s="347"/>
      <c r="E937" s="347"/>
      <c r="F937" s="347"/>
      <c r="G937" s="347"/>
      <c r="H937" s="347"/>
      <c r="I937" s="347"/>
      <c r="J937" s="347"/>
      <c r="K937" s="348"/>
      <c r="L937" s="348"/>
      <c r="M937" s="348"/>
      <c r="N937" s="348"/>
      <c r="O937" s="348"/>
      <c r="P937" s="347"/>
      <c r="Q937" s="347"/>
      <c r="R937" s="347"/>
      <c r="S937" s="347"/>
      <c r="T937" s="347"/>
      <c r="U937" s="347"/>
      <c r="V937" s="347"/>
      <c r="W937" s="347"/>
      <c r="X937" s="347"/>
      <c r="Y937" s="347"/>
      <c r="Z937" s="347"/>
      <c r="AA937" s="604"/>
      <c r="AB937" s="347"/>
      <c r="AC937" s="590"/>
      <c r="AD937" s="347"/>
      <c r="AE937" s="347"/>
      <c r="AF937" s="347"/>
      <c r="AG937" s="347"/>
      <c r="AH937" s="347"/>
      <c r="AI937" s="347"/>
      <c r="AJ937" s="347"/>
      <c r="AK937" s="347"/>
      <c r="AL937" s="347"/>
      <c r="AM937" s="347"/>
      <c r="AN937" s="347"/>
      <c r="AO937" s="347"/>
      <c r="AP937" s="347"/>
      <c r="AQ937" s="347"/>
      <c r="AR937" s="347"/>
      <c r="AS937" s="347"/>
      <c r="AT937" s="347"/>
      <c r="AU937" s="347"/>
      <c r="AV937" s="347"/>
      <c r="AW937" s="347"/>
      <c r="AX937" s="347"/>
      <c r="AY937" s="347"/>
      <c r="AZ937" s="347"/>
      <c r="BA937" s="347"/>
      <c r="BB937" s="347"/>
      <c r="BC937" s="347"/>
      <c r="BD937" s="347"/>
      <c r="BE937" s="347"/>
      <c r="BF937" s="347"/>
      <c r="BG937" s="347"/>
      <c r="BH937" s="347"/>
    </row>
    <row r="938">
      <c r="A938" s="347"/>
      <c r="B938" s="347"/>
      <c r="C938" s="347"/>
      <c r="D938" s="347"/>
      <c r="E938" s="347"/>
      <c r="F938" s="347"/>
      <c r="G938" s="347"/>
      <c r="H938" s="347"/>
      <c r="I938" s="347"/>
      <c r="J938" s="347"/>
      <c r="K938" s="348"/>
      <c r="L938" s="348"/>
      <c r="M938" s="348"/>
      <c r="N938" s="348"/>
      <c r="O938" s="348"/>
      <c r="P938" s="347"/>
      <c r="Q938" s="347"/>
      <c r="R938" s="347"/>
      <c r="S938" s="347"/>
      <c r="T938" s="347"/>
      <c r="U938" s="347"/>
      <c r="V938" s="347"/>
      <c r="W938" s="347"/>
      <c r="X938" s="347"/>
      <c r="Y938" s="347"/>
      <c r="Z938" s="347"/>
      <c r="AA938" s="604"/>
      <c r="AB938" s="347"/>
      <c r="AC938" s="590"/>
      <c r="AD938" s="347"/>
      <c r="AE938" s="347"/>
      <c r="AF938" s="347"/>
      <c r="AG938" s="347"/>
      <c r="AH938" s="347"/>
      <c r="AI938" s="347"/>
      <c r="AJ938" s="347"/>
      <c r="AK938" s="347"/>
      <c r="AL938" s="347"/>
      <c r="AM938" s="347"/>
      <c r="AN938" s="347"/>
      <c r="AO938" s="347"/>
      <c r="AP938" s="347"/>
      <c r="AQ938" s="347"/>
      <c r="AR938" s="347"/>
      <c r="AS938" s="347"/>
      <c r="AT938" s="347"/>
      <c r="AU938" s="347"/>
      <c r="AV938" s="347"/>
      <c r="AW938" s="347"/>
      <c r="AX938" s="347"/>
      <c r="AY938" s="347"/>
      <c r="AZ938" s="347"/>
      <c r="BA938" s="347"/>
      <c r="BB938" s="347"/>
      <c r="BC938" s="347"/>
      <c r="BD938" s="347"/>
      <c r="BE938" s="347"/>
      <c r="BF938" s="347"/>
      <c r="BG938" s="347"/>
      <c r="BH938" s="347"/>
    </row>
    <row r="939">
      <c r="A939" s="347"/>
      <c r="B939" s="347"/>
      <c r="C939" s="347"/>
      <c r="D939" s="347"/>
      <c r="E939" s="347"/>
      <c r="F939" s="347"/>
      <c r="G939" s="347"/>
      <c r="H939" s="347"/>
      <c r="I939" s="347"/>
      <c r="J939" s="347"/>
      <c r="K939" s="348"/>
      <c r="L939" s="348"/>
      <c r="M939" s="348"/>
      <c r="N939" s="348"/>
      <c r="O939" s="348"/>
      <c r="P939" s="347"/>
      <c r="Q939" s="347"/>
      <c r="R939" s="347"/>
      <c r="S939" s="347"/>
      <c r="T939" s="347"/>
      <c r="U939" s="347"/>
      <c r="V939" s="347"/>
      <c r="W939" s="347"/>
      <c r="X939" s="347"/>
      <c r="Y939" s="347"/>
      <c r="Z939" s="347"/>
      <c r="AA939" s="604"/>
      <c r="AB939" s="347"/>
      <c r="AC939" s="590"/>
      <c r="AD939" s="347"/>
      <c r="AE939" s="347"/>
      <c r="AF939" s="347"/>
      <c r="AG939" s="347"/>
      <c r="AH939" s="347"/>
      <c r="AI939" s="347"/>
      <c r="AJ939" s="347"/>
      <c r="AK939" s="347"/>
      <c r="AL939" s="347"/>
      <c r="AM939" s="347"/>
      <c r="AN939" s="347"/>
      <c r="AO939" s="347"/>
      <c r="AP939" s="347"/>
      <c r="AQ939" s="347"/>
      <c r="AR939" s="347"/>
      <c r="AS939" s="347"/>
      <c r="AT939" s="347"/>
      <c r="AU939" s="347"/>
      <c r="AV939" s="347"/>
      <c r="AW939" s="347"/>
      <c r="AX939" s="347"/>
      <c r="AY939" s="347"/>
      <c r="AZ939" s="347"/>
      <c r="BA939" s="347"/>
      <c r="BB939" s="347"/>
      <c r="BC939" s="347"/>
      <c r="BD939" s="347"/>
      <c r="BE939" s="347"/>
      <c r="BF939" s="347"/>
      <c r="BG939" s="347"/>
      <c r="BH939" s="347"/>
    </row>
    <row r="940">
      <c r="A940" s="347"/>
      <c r="B940" s="347"/>
      <c r="C940" s="347"/>
      <c r="D940" s="347"/>
      <c r="E940" s="347"/>
      <c r="F940" s="347"/>
      <c r="G940" s="347"/>
      <c r="H940" s="347"/>
      <c r="I940" s="347"/>
      <c r="J940" s="347"/>
      <c r="K940" s="348"/>
      <c r="L940" s="348"/>
      <c r="M940" s="348"/>
      <c r="N940" s="348"/>
      <c r="O940" s="348"/>
      <c r="P940" s="347"/>
      <c r="Q940" s="347"/>
      <c r="R940" s="347"/>
      <c r="S940" s="347"/>
      <c r="T940" s="347"/>
      <c r="U940" s="347"/>
      <c r="V940" s="347"/>
      <c r="W940" s="347"/>
      <c r="X940" s="347"/>
      <c r="Y940" s="347"/>
      <c r="Z940" s="347"/>
      <c r="AA940" s="604"/>
      <c r="AB940" s="347"/>
      <c r="AC940" s="590"/>
      <c r="AD940" s="347"/>
      <c r="AE940" s="347"/>
      <c r="AF940" s="347"/>
      <c r="AG940" s="347"/>
      <c r="AH940" s="347"/>
      <c r="AI940" s="347"/>
      <c r="AJ940" s="347"/>
      <c r="AK940" s="347"/>
      <c r="AL940" s="347"/>
      <c r="AM940" s="347"/>
      <c r="AN940" s="347"/>
      <c r="AO940" s="347"/>
      <c r="AP940" s="347"/>
      <c r="AQ940" s="347"/>
      <c r="AR940" s="347"/>
      <c r="AS940" s="347"/>
      <c r="AT940" s="347"/>
      <c r="AU940" s="347"/>
      <c r="AV940" s="347"/>
      <c r="AW940" s="347"/>
      <c r="AX940" s="347"/>
      <c r="AY940" s="347"/>
      <c r="AZ940" s="347"/>
      <c r="BA940" s="347"/>
      <c r="BB940" s="347"/>
      <c r="BC940" s="347"/>
      <c r="BD940" s="347"/>
      <c r="BE940" s="347"/>
      <c r="BF940" s="347"/>
      <c r="BG940" s="347"/>
      <c r="BH940" s="347"/>
    </row>
    <row r="941">
      <c r="A941" s="347"/>
      <c r="B941" s="347"/>
      <c r="C941" s="347"/>
      <c r="D941" s="347"/>
      <c r="E941" s="347"/>
      <c r="F941" s="347"/>
      <c r="G941" s="347"/>
      <c r="H941" s="347"/>
      <c r="I941" s="347"/>
      <c r="J941" s="347"/>
      <c r="K941" s="348"/>
      <c r="L941" s="348"/>
      <c r="M941" s="348"/>
      <c r="N941" s="348"/>
      <c r="O941" s="348"/>
      <c r="P941" s="347"/>
      <c r="Q941" s="347"/>
      <c r="R941" s="347"/>
      <c r="S941" s="347"/>
      <c r="T941" s="347"/>
      <c r="U941" s="347"/>
      <c r="V941" s="347"/>
      <c r="W941" s="347"/>
      <c r="X941" s="347"/>
      <c r="Y941" s="347"/>
      <c r="Z941" s="347"/>
      <c r="AA941" s="604"/>
      <c r="AB941" s="347"/>
      <c r="AC941" s="590"/>
      <c r="AD941" s="347"/>
      <c r="AE941" s="347"/>
      <c r="AF941" s="347"/>
      <c r="AG941" s="347"/>
      <c r="AH941" s="347"/>
      <c r="AI941" s="347"/>
      <c r="AJ941" s="347"/>
      <c r="AK941" s="347"/>
      <c r="AL941" s="347"/>
      <c r="AM941" s="347"/>
      <c r="AN941" s="347"/>
      <c r="AO941" s="347"/>
      <c r="AP941" s="347"/>
      <c r="AQ941" s="347"/>
      <c r="AR941" s="347"/>
      <c r="AS941" s="347"/>
      <c r="AT941" s="347"/>
      <c r="AU941" s="347"/>
      <c r="AV941" s="347"/>
      <c r="AW941" s="347"/>
      <c r="AX941" s="347"/>
      <c r="AY941" s="347"/>
      <c r="AZ941" s="347"/>
      <c r="BA941" s="347"/>
      <c r="BB941" s="347"/>
      <c r="BC941" s="347"/>
      <c r="BD941" s="347"/>
      <c r="BE941" s="347"/>
      <c r="BF941" s="347"/>
      <c r="BG941" s="347"/>
      <c r="BH941" s="347"/>
    </row>
    <row r="942">
      <c r="A942" s="347"/>
      <c r="B942" s="347"/>
      <c r="C942" s="347"/>
      <c r="D942" s="347"/>
      <c r="E942" s="347"/>
      <c r="F942" s="347"/>
      <c r="G942" s="347"/>
      <c r="H942" s="347"/>
      <c r="I942" s="347"/>
      <c r="J942" s="347"/>
      <c r="K942" s="348"/>
      <c r="L942" s="348"/>
      <c r="M942" s="348"/>
      <c r="N942" s="348"/>
      <c r="O942" s="348"/>
      <c r="P942" s="347"/>
      <c r="Q942" s="347"/>
      <c r="R942" s="347"/>
      <c r="S942" s="347"/>
      <c r="T942" s="347"/>
      <c r="U942" s="347"/>
      <c r="V942" s="347"/>
      <c r="W942" s="347"/>
      <c r="X942" s="347"/>
      <c r="Y942" s="347"/>
      <c r="Z942" s="347"/>
      <c r="AA942" s="604"/>
      <c r="AB942" s="347"/>
      <c r="AC942" s="590"/>
      <c r="AD942" s="347"/>
      <c r="AE942" s="347"/>
      <c r="AF942" s="347"/>
      <c r="AG942" s="347"/>
      <c r="AH942" s="347"/>
      <c r="AI942" s="347"/>
      <c r="AJ942" s="347"/>
      <c r="AK942" s="347"/>
      <c r="AL942" s="347"/>
      <c r="AM942" s="347"/>
      <c r="AN942" s="347"/>
      <c r="AO942" s="347"/>
      <c r="AP942" s="347"/>
      <c r="AQ942" s="347"/>
      <c r="AR942" s="347"/>
      <c r="AS942" s="347"/>
      <c r="AT942" s="347"/>
      <c r="AU942" s="347"/>
      <c r="AV942" s="347"/>
      <c r="AW942" s="347"/>
      <c r="AX942" s="347"/>
      <c r="AY942" s="347"/>
      <c r="AZ942" s="347"/>
      <c r="BA942" s="347"/>
      <c r="BB942" s="347"/>
      <c r="BC942" s="347"/>
      <c r="BD942" s="347"/>
      <c r="BE942" s="347"/>
      <c r="BF942" s="347"/>
      <c r="BG942" s="347"/>
      <c r="BH942" s="347"/>
    </row>
    <row r="943">
      <c r="A943" s="347"/>
      <c r="B943" s="347"/>
      <c r="C943" s="347"/>
      <c r="D943" s="347"/>
      <c r="E943" s="347"/>
      <c r="F943" s="347"/>
      <c r="G943" s="347"/>
      <c r="H943" s="347"/>
      <c r="I943" s="347"/>
      <c r="J943" s="347"/>
      <c r="K943" s="348"/>
      <c r="L943" s="348"/>
      <c r="M943" s="348"/>
      <c r="N943" s="348"/>
      <c r="O943" s="348"/>
      <c r="P943" s="347"/>
      <c r="Q943" s="347"/>
      <c r="R943" s="347"/>
      <c r="S943" s="347"/>
      <c r="T943" s="347"/>
      <c r="U943" s="347"/>
      <c r="V943" s="347"/>
      <c r="W943" s="347"/>
      <c r="X943" s="347"/>
      <c r="Y943" s="347"/>
      <c r="Z943" s="347"/>
      <c r="AA943" s="604"/>
      <c r="AB943" s="347"/>
      <c r="AC943" s="590"/>
      <c r="AD943" s="347"/>
      <c r="AE943" s="347"/>
      <c r="AF943" s="347"/>
      <c r="AG943" s="347"/>
      <c r="AH943" s="347"/>
      <c r="AI943" s="347"/>
      <c r="AJ943" s="347"/>
      <c r="AK943" s="347"/>
      <c r="AL943" s="347"/>
      <c r="AM943" s="347"/>
      <c r="AN943" s="347"/>
      <c r="AO943" s="347"/>
      <c r="AP943" s="347"/>
      <c r="AQ943" s="347"/>
      <c r="AR943" s="347"/>
      <c r="AS943" s="347"/>
      <c r="AT943" s="347"/>
      <c r="AU943" s="347"/>
      <c r="AV943" s="347"/>
      <c r="AW943" s="347"/>
      <c r="AX943" s="347"/>
      <c r="AY943" s="347"/>
      <c r="AZ943" s="347"/>
      <c r="BA943" s="347"/>
      <c r="BB943" s="347"/>
      <c r="BC943" s="347"/>
      <c r="BD943" s="347"/>
      <c r="BE943" s="347"/>
      <c r="BF943" s="347"/>
      <c r="BG943" s="347"/>
      <c r="BH943" s="347"/>
    </row>
    <row r="944">
      <c r="A944" s="347"/>
      <c r="B944" s="347"/>
      <c r="C944" s="347"/>
      <c r="D944" s="347"/>
      <c r="E944" s="347"/>
      <c r="F944" s="347"/>
      <c r="G944" s="347"/>
      <c r="H944" s="347"/>
      <c r="I944" s="347"/>
      <c r="J944" s="347"/>
      <c r="K944" s="348"/>
      <c r="L944" s="348"/>
      <c r="M944" s="348"/>
      <c r="N944" s="348"/>
      <c r="O944" s="348"/>
      <c r="P944" s="347"/>
      <c r="Q944" s="347"/>
      <c r="R944" s="347"/>
      <c r="S944" s="347"/>
      <c r="T944" s="347"/>
      <c r="U944" s="347"/>
      <c r="V944" s="347"/>
      <c r="W944" s="347"/>
      <c r="X944" s="347"/>
      <c r="Y944" s="347"/>
      <c r="Z944" s="347"/>
      <c r="AA944" s="604"/>
      <c r="AB944" s="347"/>
      <c r="AC944" s="590"/>
      <c r="AD944" s="347"/>
      <c r="AE944" s="347"/>
      <c r="AF944" s="347"/>
      <c r="AG944" s="347"/>
      <c r="AH944" s="347"/>
      <c r="AI944" s="347"/>
      <c r="AJ944" s="347"/>
      <c r="AK944" s="347"/>
      <c r="AL944" s="347"/>
      <c r="AM944" s="347"/>
      <c r="AN944" s="347"/>
      <c r="AO944" s="347"/>
      <c r="AP944" s="347"/>
      <c r="AQ944" s="347"/>
      <c r="AR944" s="347"/>
      <c r="AS944" s="347"/>
      <c r="AT944" s="347"/>
      <c r="AU944" s="347"/>
      <c r="AV944" s="347"/>
      <c r="AW944" s="347"/>
      <c r="AX944" s="347"/>
      <c r="AY944" s="347"/>
      <c r="AZ944" s="347"/>
      <c r="BA944" s="347"/>
      <c r="BB944" s="347"/>
      <c r="BC944" s="347"/>
      <c r="BD944" s="347"/>
      <c r="BE944" s="347"/>
      <c r="BF944" s="347"/>
      <c r="BG944" s="347"/>
      <c r="BH944" s="347"/>
    </row>
    <row r="945">
      <c r="A945" s="347"/>
      <c r="B945" s="347"/>
      <c r="C945" s="347"/>
      <c r="D945" s="347"/>
      <c r="E945" s="347"/>
      <c r="F945" s="347"/>
      <c r="G945" s="347"/>
      <c r="H945" s="347"/>
      <c r="I945" s="347"/>
      <c r="J945" s="347"/>
      <c r="K945" s="348"/>
      <c r="L945" s="348"/>
      <c r="M945" s="348"/>
      <c r="N945" s="348"/>
      <c r="O945" s="348"/>
      <c r="P945" s="347"/>
      <c r="Q945" s="347"/>
      <c r="R945" s="347"/>
      <c r="S945" s="347"/>
      <c r="T945" s="347"/>
      <c r="U945" s="347"/>
      <c r="V945" s="347"/>
      <c r="W945" s="347"/>
      <c r="X945" s="347"/>
      <c r="Y945" s="347"/>
      <c r="Z945" s="347"/>
      <c r="AA945" s="604"/>
      <c r="AB945" s="347"/>
      <c r="AC945" s="590"/>
      <c r="AD945" s="347"/>
      <c r="AE945" s="347"/>
      <c r="AF945" s="347"/>
      <c r="AG945" s="347"/>
      <c r="AH945" s="347"/>
      <c r="AI945" s="347"/>
      <c r="AJ945" s="347"/>
      <c r="AK945" s="347"/>
      <c r="AL945" s="347"/>
      <c r="AM945" s="347"/>
      <c r="AN945" s="347"/>
      <c r="AO945" s="347"/>
      <c r="AP945" s="347"/>
      <c r="AQ945" s="347"/>
      <c r="AR945" s="347"/>
      <c r="AS945" s="347"/>
      <c r="AT945" s="347"/>
      <c r="AU945" s="347"/>
      <c r="AV945" s="347"/>
      <c r="AW945" s="347"/>
      <c r="AX945" s="347"/>
      <c r="AY945" s="347"/>
      <c r="AZ945" s="347"/>
      <c r="BA945" s="347"/>
      <c r="BB945" s="347"/>
      <c r="BC945" s="347"/>
      <c r="BD945" s="347"/>
      <c r="BE945" s="347"/>
      <c r="BF945" s="347"/>
      <c r="BG945" s="347"/>
      <c r="BH945" s="347"/>
    </row>
    <row r="946">
      <c r="A946" s="347"/>
      <c r="B946" s="347"/>
      <c r="C946" s="347"/>
      <c r="D946" s="347"/>
      <c r="E946" s="347"/>
      <c r="F946" s="347"/>
      <c r="G946" s="347"/>
      <c r="H946" s="347"/>
      <c r="I946" s="347"/>
      <c r="J946" s="347"/>
      <c r="K946" s="348"/>
      <c r="L946" s="348"/>
      <c r="M946" s="348"/>
      <c r="N946" s="348"/>
      <c r="O946" s="348"/>
      <c r="P946" s="347"/>
      <c r="Q946" s="347"/>
      <c r="R946" s="347"/>
      <c r="S946" s="347"/>
      <c r="T946" s="347"/>
      <c r="U946" s="347"/>
      <c r="V946" s="347"/>
      <c r="W946" s="347"/>
      <c r="X946" s="347"/>
      <c r="Y946" s="347"/>
      <c r="Z946" s="347"/>
      <c r="AA946" s="604"/>
      <c r="AB946" s="347"/>
      <c r="AC946" s="590"/>
      <c r="AD946" s="347"/>
      <c r="AE946" s="347"/>
      <c r="AF946" s="347"/>
      <c r="AG946" s="347"/>
      <c r="AH946" s="347"/>
      <c r="AI946" s="347"/>
      <c r="AJ946" s="347"/>
      <c r="AK946" s="347"/>
      <c r="AL946" s="347"/>
      <c r="AM946" s="347"/>
      <c r="AN946" s="347"/>
      <c r="AO946" s="347"/>
      <c r="AP946" s="347"/>
      <c r="AQ946" s="347"/>
      <c r="AR946" s="347"/>
      <c r="AS946" s="347"/>
      <c r="AT946" s="347"/>
      <c r="AU946" s="347"/>
      <c r="AV946" s="347"/>
      <c r="AW946" s="347"/>
      <c r="AX946" s="347"/>
      <c r="AY946" s="347"/>
      <c r="AZ946" s="347"/>
      <c r="BA946" s="347"/>
      <c r="BB946" s="347"/>
      <c r="BC946" s="347"/>
      <c r="BD946" s="347"/>
      <c r="BE946" s="347"/>
      <c r="BF946" s="347"/>
      <c r="BG946" s="347"/>
      <c r="BH946" s="347"/>
    </row>
    <row r="947">
      <c r="A947" s="347"/>
      <c r="B947" s="347"/>
      <c r="C947" s="347"/>
      <c r="D947" s="347"/>
      <c r="E947" s="347"/>
      <c r="F947" s="347"/>
      <c r="G947" s="347"/>
      <c r="H947" s="347"/>
      <c r="I947" s="347"/>
      <c r="J947" s="347"/>
      <c r="K947" s="348"/>
      <c r="L947" s="348"/>
      <c r="M947" s="348"/>
      <c r="N947" s="348"/>
      <c r="O947" s="348"/>
      <c r="P947" s="347"/>
      <c r="Q947" s="347"/>
      <c r="R947" s="347"/>
      <c r="S947" s="347"/>
      <c r="T947" s="347"/>
      <c r="U947" s="347"/>
      <c r="V947" s="347"/>
      <c r="W947" s="347"/>
      <c r="X947" s="347"/>
      <c r="Y947" s="347"/>
      <c r="Z947" s="347"/>
      <c r="AA947" s="604"/>
      <c r="AB947" s="347"/>
      <c r="AC947" s="590"/>
      <c r="AD947" s="347"/>
      <c r="AE947" s="347"/>
      <c r="AF947" s="347"/>
      <c r="AG947" s="347"/>
      <c r="AH947" s="347"/>
      <c r="AI947" s="347"/>
      <c r="AJ947" s="347"/>
      <c r="AK947" s="347"/>
      <c r="AL947" s="347"/>
      <c r="AM947" s="347"/>
      <c r="AN947" s="347"/>
      <c r="AO947" s="347"/>
      <c r="AP947" s="347"/>
      <c r="AQ947" s="347"/>
      <c r="AR947" s="347"/>
      <c r="AS947" s="347"/>
      <c r="AT947" s="347"/>
      <c r="AU947" s="347"/>
      <c r="AV947" s="347"/>
      <c r="AW947" s="347"/>
      <c r="AX947" s="347"/>
      <c r="AY947" s="347"/>
      <c r="AZ947" s="347"/>
      <c r="BA947" s="347"/>
      <c r="BB947" s="347"/>
      <c r="BC947" s="347"/>
      <c r="BD947" s="347"/>
      <c r="BE947" s="347"/>
      <c r="BF947" s="347"/>
      <c r="BG947" s="347"/>
      <c r="BH947" s="347"/>
    </row>
    <row r="948">
      <c r="A948" s="347"/>
      <c r="B948" s="347"/>
      <c r="C948" s="347"/>
      <c r="D948" s="347"/>
      <c r="E948" s="347"/>
      <c r="F948" s="347"/>
      <c r="G948" s="347"/>
      <c r="H948" s="347"/>
      <c r="I948" s="347"/>
      <c r="J948" s="347"/>
      <c r="K948" s="348"/>
      <c r="L948" s="348"/>
      <c r="M948" s="348"/>
      <c r="N948" s="348"/>
      <c r="O948" s="348"/>
      <c r="P948" s="347"/>
      <c r="Q948" s="347"/>
      <c r="R948" s="347"/>
      <c r="S948" s="347"/>
      <c r="T948" s="347"/>
      <c r="U948" s="347"/>
      <c r="V948" s="347"/>
      <c r="W948" s="347"/>
      <c r="X948" s="347"/>
      <c r="Y948" s="347"/>
      <c r="Z948" s="347"/>
      <c r="AA948" s="604"/>
      <c r="AB948" s="347"/>
      <c r="AC948" s="590"/>
      <c r="AD948" s="347"/>
      <c r="AE948" s="347"/>
      <c r="AF948" s="347"/>
      <c r="AG948" s="347"/>
      <c r="AH948" s="347"/>
      <c r="AI948" s="347"/>
      <c r="AJ948" s="347"/>
      <c r="AK948" s="347"/>
      <c r="AL948" s="347"/>
      <c r="AM948" s="347"/>
      <c r="AN948" s="347"/>
      <c r="AO948" s="347"/>
      <c r="AP948" s="347"/>
      <c r="AQ948" s="347"/>
      <c r="AR948" s="347"/>
      <c r="AS948" s="347"/>
      <c r="AT948" s="347"/>
      <c r="AU948" s="347"/>
      <c r="AV948" s="347"/>
      <c r="AW948" s="347"/>
      <c r="AX948" s="347"/>
      <c r="AY948" s="347"/>
      <c r="AZ948" s="347"/>
      <c r="BA948" s="347"/>
      <c r="BB948" s="347"/>
      <c r="BC948" s="347"/>
      <c r="BD948" s="347"/>
      <c r="BE948" s="347"/>
      <c r="BF948" s="347"/>
      <c r="BG948" s="347"/>
      <c r="BH948" s="347"/>
    </row>
    <row r="949">
      <c r="A949" s="347"/>
      <c r="B949" s="347"/>
      <c r="C949" s="347"/>
      <c r="D949" s="347"/>
      <c r="E949" s="347"/>
      <c r="F949" s="347"/>
      <c r="G949" s="347"/>
      <c r="H949" s="347"/>
      <c r="I949" s="347"/>
      <c r="J949" s="347"/>
      <c r="K949" s="348"/>
      <c r="L949" s="348"/>
      <c r="M949" s="348"/>
      <c r="N949" s="348"/>
      <c r="O949" s="348"/>
      <c r="P949" s="347"/>
      <c r="Q949" s="347"/>
      <c r="R949" s="347"/>
      <c r="S949" s="347"/>
      <c r="T949" s="347"/>
      <c r="U949" s="347"/>
      <c r="V949" s="347"/>
      <c r="W949" s="347"/>
      <c r="X949" s="347"/>
      <c r="Y949" s="347"/>
      <c r="Z949" s="347"/>
      <c r="AA949" s="604"/>
      <c r="AB949" s="347"/>
      <c r="AC949" s="590"/>
      <c r="AD949" s="347"/>
      <c r="AE949" s="347"/>
      <c r="AF949" s="347"/>
      <c r="AG949" s="347"/>
      <c r="AH949" s="347"/>
      <c r="AI949" s="347"/>
      <c r="AJ949" s="347"/>
      <c r="AK949" s="347"/>
      <c r="AL949" s="347"/>
      <c r="AM949" s="347"/>
      <c r="AN949" s="347"/>
      <c r="AO949" s="347"/>
      <c r="AP949" s="347"/>
      <c r="AQ949" s="347"/>
      <c r="AR949" s="347"/>
      <c r="AS949" s="347"/>
      <c r="AT949" s="347"/>
      <c r="AU949" s="347"/>
      <c r="AV949" s="347"/>
      <c r="AW949" s="347"/>
      <c r="AX949" s="347"/>
      <c r="AY949" s="347"/>
      <c r="AZ949" s="347"/>
      <c r="BA949" s="347"/>
      <c r="BB949" s="347"/>
      <c r="BC949" s="347"/>
      <c r="BD949" s="347"/>
      <c r="BE949" s="347"/>
      <c r="BF949" s="347"/>
      <c r="BG949" s="347"/>
      <c r="BH949" s="347"/>
    </row>
    <row r="950">
      <c r="A950" s="347"/>
      <c r="B950" s="347"/>
      <c r="C950" s="347"/>
      <c r="D950" s="347"/>
      <c r="E950" s="347"/>
      <c r="F950" s="347"/>
      <c r="G950" s="347"/>
      <c r="H950" s="347"/>
      <c r="I950" s="347"/>
      <c r="J950" s="347"/>
      <c r="K950" s="348"/>
      <c r="L950" s="348"/>
      <c r="M950" s="348"/>
      <c r="N950" s="348"/>
      <c r="O950" s="348"/>
      <c r="P950" s="347"/>
      <c r="Q950" s="347"/>
      <c r="R950" s="347"/>
      <c r="S950" s="347"/>
      <c r="T950" s="347"/>
      <c r="U950" s="347"/>
      <c r="V950" s="347"/>
      <c r="W950" s="347"/>
      <c r="X950" s="347"/>
      <c r="Y950" s="347"/>
      <c r="Z950" s="347"/>
      <c r="AA950" s="604"/>
      <c r="AB950" s="347"/>
      <c r="AC950" s="590"/>
      <c r="AD950" s="347"/>
      <c r="AE950" s="347"/>
      <c r="AF950" s="347"/>
      <c r="AG950" s="347"/>
      <c r="AH950" s="347"/>
      <c r="AI950" s="347"/>
      <c r="AJ950" s="347"/>
      <c r="AK950" s="347"/>
      <c r="AL950" s="347"/>
      <c r="AM950" s="347"/>
      <c r="AN950" s="347"/>
      <c r="AO950" s="347"/>
      <c r="AP950" s="347"/>
      <c r="AQ950" s="347"/>
      <c r="AR950" s="347"/>
      <c r="AS950" s="347"/>
      <c r="AT950" s="347"/>
      <c r="AU950" s="347"/>
      <c r="AV950" s="347"/>
      <c r="AW950" s="347"/>
      <c r="AX950" s="347"/>
      <c r="AY950" s="347"/>
      <c r="AZ950" s="347"/>
      <c r="BA950" s="347"/>
      <c r="BB950" s="347"/>
      <c r="BC950" s="347"/>
      <c r="BD950" s="347"/>
      <c r="BE950" s="347"/>
      <c r="BF950" s="347"/>
      <c r="BG950" s="347"/>
      <c r="BH950" s="347"/>
    </row>
    <row r="951">
      <c r="A951" s="347"/>
      <c r="B951" s="347"/>
      <c r="C951" s="347"/>
      <c r="D951" s="347"/>
      <c r="E951" s="347"/>
      <c r="F951" s="347"/>
      <c r="G951" s="347"/>
      <c r="H951" s="347"/>
      <c r="I951" s="347"/>
      <c r="J951" s="347"/>
      <c r="K951" s="348"/>
      <c r="L951" s="348"/>
      <c r="M951" s="348"/>
      <c r="N951" s="348"/>
      <c r="O951" s="348"/>
      <c r="P951" s="347"/>
      <c r="Q951" s="347"/>
      <c r="R951" s="347"/>
      <c r="S951" s="347"/>
      <c r="T951" s="347"/>
      <c r="U951" s="347"/>
      <c r="V951" s="347"/>
      <c r="W951" s="347"/>
      <c r="X951" s="347"/>
      <c r="Y951" s="347"/>
      <c r="Z951" s="347"/>
      <c r="AA951" s="604"/>
      <c r="AB951" s="347"/>
      <c r="AC951" s="590"/>
      <c r="AD951" s="347"/>
      <c r="AE951" s="347"/>
      <c r="AF951" s="347"/>
      <c r="AG951" s="347"/>
      <c r="AH951" s="347"/>
      <c r="AI951" s="347"/>
      <c r="AJ951" s="347"/>
      <c r="AK951" s="347"/>
      <c r="AL951" s="347"/>
      <c r="AM951" s="347"/>
      <c r="AN951" s="347"/>
      <c r="AO951" s="347"/>
      <c r="AP951" s="347"/>
      <c r="AQ951" s="347"/>
      <c r="AR951" s="347"/>
      <c r="AS951" s="347"/>
      <c r="AT951" s="347"/>
      <c r="AU951" s="347"/>
      <c r="AV951" s="347"/>
      <c r="AW951" s="347"/>
      <c r="AX951" s="347"/>
      <c r="AY951" s="347"/>
      <c r="AZ951" s="347"/>
      <c r="BA951" s="347"/>
      <c r="BB951" s="347"/>
      <c r="BC951" s="347"/>
      <c r="BD951" s="347"/>
      <c r="BE951" s="347"/>
      <c r="BF951" s="347"/>
      <c r="BG951" s="347"/>
      <c r="BH951" s="347"/>
    </row>
    <row r="952">
      <c r="A952" s="347"/>
      <c r="B952" s="347"/>
      <c r="C952" s="347"/>
      <c r="D952" s="347"/>
      <c r="E952" s="347"/>
      <c r="F952" s="347"/>
      <c r="G952" s="347"/>
      <c r="H952" s="347"/>
      <c r="I952" s="347"/>
      <c r="J952" s="347"/>
      <c r="K952" s="348"/>
      <c r="L952" s="348"/>
      <c r="M952" s="348"/>
      <c r="N952" s="348"/>
      <c r="O952" s="348"/>
      <c r="P952" s="347"/>
      <c r="Q952" s="347"/>
      <c r="R952" s="347"/>
      <c r="S952" s="347"/>
      <c r="T952" s="347"/>
      <c r="U952" s="347"/>
      <c r="V952" s="347"/>
      <c r="W952" s="347"/>
      <c r="X952" s="347"/>
      <c r="Y952" s="347"/>
      <c r="Z952" s="347"/>
      <c r="AA952" s="604"/>
      <c r="AB952" s="347"/>
      <c r="AC952" s="590"/>
      <c r="AD952" s="347"/>
      <c r="AE952" s="347"/>
      <c r="AF952" s="347"/>
      <c r="AG952" s="347"/>
      <c r="AH952" s="347"/>
      <c r="AI952" s="347"/>
      <c r="AJ952" s="347"/>
      <c r="AK952" s="347"/>
      <c r="AL952" s="347"/>
      <c r="AM952" s="347"/>
      <c r="AN952" s="347"/>
      <c r="AO952" s="347"/>
      <c r="AP952" s="347"/>
      <c r="AQ952" s="347"/>
      <c r="AR952" s="347"/>
      <c r="AS952" s="347"/>
      <c r="AT952" s="347"/>
      <c r="AU952" s="347"/>
      <c r="AV952" s="347"/>
      <c r="AW952" s="347"/>
      <c r="AX952" s="347"/>
      <c r="AY952" s="347"/>
      <c r="AZ952" s="347"/>
      <c r="BA952" s="347"/>
      <c r="BB952" s="347"/>
      <c r="BC952" s="347"/>
      <c r="BD952" s="347"/>
      <c r="BE952" s="347"/>
      <c r="BF952" s="347"/>
      <c r="BG952" s="347"/>
      <c r="BH952" s="347"/>
    </row>
    <row r="953">
      <c r="A953" s="347"/>
      <c r="B953" s="347"/>
      <c r="C953" s="347"/>
      <c r="D953" s="347"/>
      <c r="E953" s="347"/>
      <c r="F953" s="347"/>
      <c r="G953" s="347"/>
      <c r="H953" s="347"/>
      <c r="I953" s="347"/>
      <c r="J953" s="347"/>
      <c r="K953" s="348"/>
      <c r="L953" s="348"/>
      <c r="M953" s="348"/>
      <c r="N953" s="348"/>
      <c r="O953" s="348"/>
      <c r="P953" s="347"/>
      <c r="Q953" s="347"/>
      <c r="R953" s="347"/>
      <c r="S953" s="347"/>
      <c r="T953" s="347"/>
      <c r="U953" s="347"/>
      <c r="V953" s="347"/>
      <c r="W953" s="347"/>
      <c r="X953" s="347"/>
      <c r="Y953" s="347"/>
      <c r="Z953" s="347"/>
      <c r="AA953" s="604"/>
      <c r="AB953" s="347"/>
      <c r="AC953" s="590"/>
      <c r="AD953" s="347"/>
      <c r="AE953" s="347"/>
      <c r="AF953" s="347"/>
      <c r="AG953" s="347"/>
      <c r="AH953" s="347"/>
      <c r="AI953" s="347"/>
      <c r="AJ953" s="347"/>
      <c r="AK953" s="347"/>
      <c r="AL953" s="347"/>
      <c r="AM953" s="347"/>
      <c r="AN953" s="347"/>
      <c r="AO953" s="347"/>
      <c r="AP953" s="347"/>
      <c r="AQ953" s="347"/>
      <c r="AR953" s="347"/>
      <c r="AS953" s="347"/>
      <c r="AT953" s="347"/>
      <c r="AU953" s="347"/>
      <c r="AV953" s="347"/>
      <c r="AW953" s="347"/>
      <c r="AX953" s="347"/>
      <c r="AY953" s="347"/>
      <c r="AZ953" s="347"/>
      <c r="BA953" s="347"/>
      <c r="BB953" s="347"/>
      <c r="BC953" s="347"/>
      <c r="BD953" s="347"/>
      <c r="BE953" s="347"/>
      <c r="BF953" s="347"/>
      <c r="BG953" s="347"/>
      <c r="BH953" s="347"/>
    </row>
    <row r="954">
      <c r="A954" s="347"/>
      <c r="B954" s="347"/>
      <c r="C954" s="347"/>
      <c r="D954" s="347"/>
      <c r="E954" s="347"/>
      <c r="F954" s="347"/>
      <c r="G954" s="347"/>
      <c r="H954" s="347"/>
      <c r="I954" s="347"/>
      <c r="J954" s="347"/>
      <c r="K954" s="348"/>
      <c r="L954" s="348"/>
      <c r="M954" s="348"/>
      <c r="N954" s="348"/>
      <c r="O954" s="348"/>
      <c r="P954" s="347"/>
      <c r="Q954" s="347"/>
      <c r="R954" s="347"/>
      <c r="S954" s="347"/>
      <c r="T954" s="347"/>
      <c r="U954" s="347"/>
      <c r="V954" s="347"/>
      <c r="W954" s="347"/>
      <c r="X954" s="347"/>
      <c r="Y954" s="347"/>
      <c r="Z954" s="347"/>
      <c r="AA954" s="604"/>
      <c r="AB954" s="347"/>
      <c r="AC954" s="590"/>
      <c r="AD954" s="347"/>
      <c r="AE954" s="347"/>
      <c r="AF954" s="347"/>
      <c r="AG954" s="347"/>
      <c r="AH954" s="347"/>
      <c r="AI954" s="347"/>
      <c r="AJ954" s="347"/>
      <c r="AK954" s="347"/>
      <c r="AL954" s="347"/>
      <c r="AM954" s="347"/>
      <c r="AN954" s="347"/>
      <c r="AO954" s="347"/>
      <c r="AP954" s="347"/>
      <c r="AQ954" s="347"/>
      <c r="AR954" s="347"/>
      <c r="AS954" s="347"/>
      <c r="AT954" s="347"/>
      <c r="AU954" s="347"/>
      <c r="AV954" s="347"/>
      <c r="AW954" s="347"/>
      <c r="AX954" s="347"/>
      <c r="AY954" s="347"/>
      <c r="AZ954" s="347"/>
      <c r="BA954" s="347"/>
      <c r="BB954" s="347"/>
      <c r="BC954" s="347"/>
      <c r="BD954" s="347"/>
      <c r="BE954" s="347"/>
      <c r="BF954" s="347"/>
      <c r="BG954" s="347"/>
      <c r="BH954" s="347"/>
    </row>
    <row r="955">
      <c r="A955" s="347"/>
      <c r="B955" s="347"/>
      <c r="C955" s="347"/>
      <c r="D955" s="347"/>
      <c r="E955" s="347"/>
      <c r="F955" s="347"/>
      <c r="G955" s="347"/>
      <c r="H955" s="347"/>
      <c r="I955" s="347"/>
      <c r="J955" s="347"/>
      <c r="K955" s="348"/>
      <c r="L955" s="348"/>
      <c r="M955" s="348"/>
      <c r="N955" s="348"/>
      <c r="O955" s="348"/>
      <c r="P955" s="347"/>
      <c r="Q955" s="347"/>
      <c r="R955" s="347"/>
      <c r="S955" s="347"/>
      <c r="T955" s="347"/>
      <c r="U955" s="347"/>
      <c r="V955" s="347"/>
      <c r="W955" s="347"/>
      <c r="X955" s="347"/>
      <c r="Y955" s="347"/>
      <c r="Z955" s="347"/>
      <c r="AA955" s="604"/>
      <c r="AB955" s="347"/>
      <c r="AC955" s="590"/>
      <c r="AD955" s="347"/>
      <c r="AE955" s="347"/>
      <c r="AF955" s="347"/>
      <c r="AG955" s="347"/>
      <c r="AH955" s="347"/>
      <c r="AI955" s="347"/>
      <c r="AJ955" s="347"/>
      <c r="AK955" s="347"/>
      <c r="AL955" s="347"/>
      <c r="AM955" s="347"/>
      <c r="AN955" s="347"/>
      <c r="AO955" s="347"/>
      <c r="AP955" s="347"/>
      <c r="AQ955" s="347"/>
      <c r="AR955" s="347"/>
      <c r="AS955" s="347"/>
      <c r="AT955" s="347"/>
      <c r="AU955" s="347"/>
      <c r="AV955" s="347"/>
      <c r="AW955" s="347"/>
      <c r="AX955" s="347"/>
      <c r="AY955" s="347"/>
      <c r="AZ955" s="347"/>
      <c r="BA955" s="347"/>
      <c r="BB955" s="347"/>
      <c r="BC955" s="347"/>
      <c r="BD955" s="347"/>
      <c r="BE955" s="347"/>
      <c r="BF955" s="347"/>
      <c r="BG955" s="347"/>
      <c r="BH955" s="347"/>
    </row>
    <row r="956">
      <c r="A956" s="347"/>
      <c r="B956" s="347"/>
      <c r="C956" s="347"/>
      <c r="D956" s="347"/>
      <c r="E956" s="347"/>
      <c r="F956" s="347"/>
      <c r="G956" s="347"/>
      <c r="H956" s="347"/>
      <c r="I956" s="347"/>
      <c r="J956" s="347"/>
      <c r="K956" s="348"/>
      <c r="L956" s="348"/>
      <c r="M956" s="348"/>
      <c r="N956" s="348"/>
      <c r="O956" s="348"/>
      <c r="P956" s="347"/>
      <c r="Q956" s="347"/>
      <c r="R956" s="347"/>
      <c r="S956" s="347"/>
      <c r="T956" s="347"/>
      <c r="U956" s="347"/>
      <c r="V956" s="347"/>
      <c r="W956" s="347"/>
      <c r="X956" s="347"/>
      <c r="Y956" s="347"/>
      <c r="Z956" s="347"/>
      <c r="AA956" s="604"/>
      <c r="AB956" s="347"/>
      <c r="AC956" s="590"/>
      <c r="AD956" s="347"/>
      <c r="AE956" s="347"/>
      <c r="AF956" s="347"/>
      <c r="AG956" s="347"/>
      <c r="AH956" s="347"/>
      <c r="AI956" s="347"/>
      <c r="AJ956" s="347"/>
      <c r="AK956" s="347"/>
      <c r="AL956" s="347"/>
      <c r="AM956" s="347"/>
      <c r="AN956" s="347"/>
      <c r="AO956" s="347"/>
      <c r="AP956" s="347"/>
      <c r="AQ956" s="347"/>
      <c r="AR956" s="347"/>
      <c r="AS956" s="347"/>
      <c r="AT956" s="347"/>
      <c r="AU956" s="347"/>
      <c r="AV956" s="347"/>
      <c r="AW956" s="347"/>
      <c r="AX956" s="347"/>
      <c r="AY956" s="347"/>
      <c r="AZ956" s="347"/>
      <c r="BA956" s="347"/>
      <c r="BB956" s="347"/>
      <c r="BC956" s="347"/>
      <c r="BD956" s="347"/>
      <c r="BE956" s="347"/>
      <c r="BF956" s="347"/>
      <c r="BG956" s="347"/>
      <c r="BH956" s="347"/>
    </row>
    <row r="957">
      <c r="A957" s="347"/>
      <c r="B957" s="347"/>
      <c r="C957" s="347"/>
      <c r="D957" s="347"/>
      <c r="E957" s="347"/>
      <c r="F957" s="347"/>
      <c r="G957" s="347"/>
      <c r="H957" s="347"/>
      <c r="I957" s="347"/>
      <c r="J957" s="347"/>
      <c r="K957" s="348"/>
      <c r="L957" s="348"/>
      <c r="M957" s="348"/>
      <c r="N957" s="348"/>
      <c r="O957" s="348"/>
      <c r="P957" s="347"/>
      <c r="Q957" s="347"/>
      <c r="R957" s="347"/>
      <c r="S957" s="347"/>
      <c r="T957" s="347"/>
      <c r="U957" s="347"/>
      <c r="V957" s="347"/>
      <c r="W957" s="347"/>
      <c r="X957" s="347"/>
      <c r="Y957" s="347"/>
      <c r="Z957" s="347"/>
      <c r="AA957" s="604"/>
      <c r="AB957" s="347"/>
      <c r="AC957" s="590"/>
      <c r="AD957" s="347"/>
      <c r="AE957" s="347"/>
      <c r="AF957" s="347"/>
      <c r="AG957" s="347"/>
      <c r="AH957" s="347"/>
      <c r="AI957" s="347"/>
      <c r="AJ957" s="347"/>
      <c r="AK957" s="347"/>
      <c r="AL957" s="347"/>
      <c r="AM957" s="347"/>
      <c r="AN957" s="347"/>
      <c r="AO957" s="347"/>
      <c r="AP957" s="347"/>
      <c r="AQ957" s="347"/>
      <c r="AR957" s="347"/>
      <c r="AS957" s="347"/>
      <c r="AT957" s="347"/>
      <c r="AU957" s="347"/>
      <c r="AV957" s="347"/>
      <c r="AW957" s="347"/>
      <c r="AX957" s="347"/>
      <c r="AY957" s="347"/>
      <c r="AZ957" s="347"/>
      <c r="BA957" s="347"/>
      <c r="BB957" s="347"/>
      <c r="BC957" s="347"/>
      <c r="BD957" s="347"/>
      <c r="BE957" s="347"/>
      <c r="BF957" s="347"/>
      <c r="BG957" s="347"/>
      <c r="BH957" s="347"/>
    </row>
    <row r="958">
      <c r="A958" s="347"/>
      <c r="B958" s="347"/>
      <c r="C958" s="347"/>
      <c r="D958" s="347"/>
      <c r="E958" s="347"/>
      <c r="F958" s="347"/>
      <c r="G958" s="347"/>
      <c r="H958" s="347"/>
      <c r="I958" s="347"/>
      <c r="J958" s="347"/>
      <c r="K958" s="348"/>
      <c r="L958" s="348"/>
      <c r="M958" s="348"/>
      <c r="N958" s="348"/>
      <c r="O958" s="348"/>
      <c r="P958" s="347"/>
      <c r="Q958" s="347"/>
      <c r="R958" s="347"/>
      <c r="S958" s="347"/>
      <c r="T958" s="347"/>
      <c r="U958" s="347"/>
      <c r="V958" s="347"/>
      <c r="W958" s="347"/>
      <c r="X958" s="347"/>
      <c r="Y958" s="347"/>
      <c r="Z958" s="347"/>
      <c r="AA958" s="604"/>
      <c r="AB958" s="347"/>
      <c r="AC958" s="590"/>
      <c r="AD958" s="347"/>
      <c r="AE958" s="347"/>
      <c r="AF958" s="347"/>
      <c r="AG958" s="347"/>
      <c r="AH958" s="347"/>
      <c r="AI958" s="347"/>
      <c r="AJ958" s="347"/>
      <c r="AK958" s="347"/>
      <c r="AL958" s="347"/>
      <c r="AM958" s="347"/>
      <c r="AN958" s="347"/>
      <c r="AO958" s="347"/>
      <c r="AP958" s="347"/>
      <c r="AQ958" s="347"/>
      <c r="AR958" s="347"/>
      <c r="AS958" s="347"/>
      <c r="AT958" s="347"/>
      <c r="AU958" s="347"/>
      <c r="AV958" s="347"/>
      <c r="AW958" s="347"/>
      <c r="AX958" s="347"/>
      <c r="AY958" s="347"/>
      <c r="AZ958" s="347"/>
      <c r="BA958" s="347"/>
      <c r="BB958" s="347"/>
      <c r="BC958" s="347"/>
      <c r="BD958" s="347"/>
      <c r="BE958" s="347"/>
      <c r="BF958" s="347"/>
      <c r="BG958" s="347"/>
      <c r="BH958" s="347"/>
    </row>
    <row r="959">
      <c r="A959" s="347"/>
      <c r="B959" s="347"/>
      <c r="C959" s="347"/>
      <c r="D959" s="347"/>
      <c r="E959" s="347"/>
      <c r="F959" s="347"/>
      <c r="G959" s="347"/>
      <c r="H959" s="347"/>
      <c r="I959" s="347"/>
      <c r="J959" s="347"/>
      <c r="K959" s="348"/>
      <c r="L959" s="348"/>
      <c r="M959" s="348"/>
      <c r="N959" s="348"/>
      <c r="O959" s="348"/>
      <c r="P959" s="347"/>
      <c r="Q959" s="347"/>
      <c r="R959" s="347"/>
      <c r="S959" s="347"/>
      <c r="T959" s="347"/>
      <c r="U959" s="347"/>
      <c r="V959" s="347"/>
      <c r="W959" s="347"/>
      <c r="X959" s="347"/>
      <c r="Y959" s="347"/>
      <c r="Z959" s="347"/>
      <c r="AA959" s="604"/>
      <c r="AB959" s="347"/>
      <c r="AC959" s="590"/>
      <c r="AD959" s="347"/>
      <c r="AE959" s="347"/>
      <c r="AF959" s="347"/>
      <c r="AG959" s="347"/>
      <c r="AH959" s="347"/>
      <c r="AI959" s="347"/>
      <c r="AJ959" s="347"/>
      <c r="AK959" s="347"/>
      <c r="AL959" s="347"/>
      <c r="AM959" s="347"/>
      <c r="AN959" s="347"/>
      <c r="AO959" s="347"/>
      <c r="AP959" s="347"/>
      <c r="AQ959" s="347"/>
      <c r="AR959" s="347"/>
      <c r="AS959" s="347"/>
      <c r="AT959" s="347"/>
      <c r="AU959" s="347"/>
      <c r="AV959" s="347"/>
      <c r="AW959" s="347"/>
      <c r="AX959" s="347"/>
      <c r="AY959" s="347"/>
      <c r="AZ959" s="347"/>
      <c r="BA959" s="347"/>
      <c r="BB959" s="347"/>
      <c r="BC959" s="347"/>
      <c r="BD959" s="347"/>
      <c r="BE959" s="347"/>
      <c r="BF959" s="347"/>
      <c r="BG959" s="347"/>
      <c r="BH959" s="347"/>
    </row>
    <row r="960">
      <c r="A960" s="347"/>
      <c r="B960" s="347"/>
      <c r="C960" s="347"/>
      <c r="D960" s="347"/>
      <c r="E960" s="347"/>
      <c r="F960" s="347"/>
      <c r="G960" s="347"/>
      <c r="H960" s="347"/>
      <c r="I960" s="347"/>
      <c r="J960" s="347"/>
      <c r="K960" s="348"/>
      <c r="L960" s="348"/>
      <c r="M960" s="348"/>
      <c r="N960" s="348"/>
      <c r="O960" s="348"/>
      <c r="P960" s="347"/>
      <c r="Q960" s="347"/>
      <c r="R960" s="347"/>
      <c r="S960" s="347"/>
      <c r="T960" s="347"/>
      <c r="U960" s="347"/>
      <c r="V960" s="347"/>
      <c r="W960" s="347"/>
      <c r="X960" s="347"/>
      <c r="Y960" s="347"/>
      <c r="Z960" s="347"/>
      <c r="AA960" s="604"/>
      <c r="AB960" s="347"/>
      <c r="AC960" s="590"/>
      <c r="AD960" s="347"/>
      <c r="AE960" s="347"/>
      <c r="AF960" s="347"/>
      <c r="AG960" s="347"/>
      <c r="AH960" s="347"/>
      <c r="AI960" s="347"/>
      <c r="AJ960" s="347"/>
      <c r="AK960" s="347"/>
      <c r="AL960" s="347"/>
      <c r="AM960" s="347"/>
      <c r="AN960" s="347"/>
      <c r="AO960" s="347"/>
      <c r="AP960" s="347"/>
      <c r="AQ960" s="347"/>
      <c r="AR960" s="347"/>
      <c r="AS960" s="347"/>
      <c r="AT960" s="347"/>
      <c r="AU960" s="347"/>
      <c r="AV960" s="347"/>
      <c r="AW960" s="347"/>
      <c r="AX960" s="347"/>
      <c r="AY960" s="347"/>
      <c r="AZ960" s="347"/>
      <c r="BA960" s="347"/>
      <c r="BB960" s="347"/>
      <c r="BC960" s="347"/>
      <c r="BD960" s="347"/>
      <c r="BE960" s="347"/>
      <c r="BF960" s="347"/>
      <c r="BG960" s="347"/>
      <c r="BH960" s="347"/>
    </row>
    <row r="961">
      <c r="A961" s="347"/>
      <c r="B961" s="347"/>
      <c r="C961" s="347"/>
      <c r="D961" s="347"/>
      <c r="E961" s="347"/>
      <c r="F961" s="347"/>
      <c r="G961" s="347"/>
      <c r="H961" s="347"/>
      <c r="I961" s="347"/>
      <c r="J961" s="347"/>
      <c r="K961" s="348"/>
      <c r="L961" s="348"/>
      <c r="M961" s="348"/>
      <c r="N961" s="348"/>
      <c r="O961" s="348"/>
      <c r="P961" s="347"/>
      <c r="Q961" s="347"/>
      <c r="R961" s="347"/>
      <c r="S961" s="347"/>
      <c r="T961" s="347"/>
      <c r="U961" s="347"/>
      <c r="V961" s="347"/>
      <c r="W961" s="347"/>
      <c r="X961" s="347"/>
      <c r="Y961" s="347"/>
      <c r="Z961" s="347"/>
      <c r="AA961" s="604"/>
      <c r="AB961" s="347"/>
      <c r="AC961" s="590"/>
      <c r="AD961" s="347"/>
      <c r="AE961" s="347"/>
      <c r="AF961" s="347"/>
      <c r="AG961" s="347"/>
      <c r="AH961" s="347"/>
      <c r="AI961" s="347"/>
      <c r="AJ961" s="347"/>
      <c r="AK961" s="347"/>
      <c r="AL961" s="347"/>
      <c r="AM961" s="347"/>
      <c r="AN961" s="347"/>
      <c r="AO961" s="347"/>
      <c r="AP961" s="347"/>
      <c r="AQ961" s="347"/>
      <c r="AR961" s="347"/>
      <c r="AS961" s="347"/>
      <c r="AT961" s="347"/>
      <c r="AU961" s="347"/>
      <c r="AV961" s="347"/>
      <c r="AW961" s="347"/>
      <c r="AX961" s="347"/>
      <c r="AY961" s="347"/>
      <c r="AZ961" s="347"/>
      <c r="BA961" s="347"/>
      <c r="BB961" s="347"/>
      <c r="BC961" s="347"/>
      <c r="BD961" s="347"/>
      <c r="BE961" s="347"/>
      <c r="BF961" s="347"/>
      <c r="BG961" s="347"/>
      <c r="BH961" s="347"/>
    </row>
    <row r="962">
      <c r="A962" s="347"/>
      <c r="B962" s="347"/>
      <c r="C962" s="347"/>
      <c r="D962" s="347"/>
      <c r="E962" s="347"/>
      <c r="F962" s="347"/>
      <c r="G962" s="347"/>
      <c r="H962" s="347"/>
      <c r="I962" s="347"/>
      <c r="J962" s="347"/>
      <c r="K962" s="348"/>
      <c r="L962" s="348"/>
      <c r="M962" s="348"/>
      <c r="N962" s="348"/>
      <c r="O962" s="348"/>
      <c r="P962" s="347"/>
      <c r="Q962" s="347"/>
      <c r="R962" s="347"/>
      <c r="S962" s="347"/>
      <c r="T962" s="347"/>
      <c r="U962" s="347"/>
      <c r="V962" s="347"/>
      <c r="W962" s="347"/>
      <c r="X962" s="347"/>
      <c r="Y962" s="347"/>
      <c r="Z962" s="347"/>
      <c r="AA962" s="604"/>
      <c r="AB962" s="347"/>
      <c r="AC962" s="590"/>
      <c r="AD962" s="347"/>
      <c r="AE962" s="347"/>
      <c r="AF962" s="347"/>
      <c r="AG962" s="347"/>
      <c r="AH962" s="347"/>
      <c r="AI962" s="347"/>
      <c r="AJ962" s="347"/>
      <c r="AK962" s="347"/>
      <c r="AL962" s="347"/>
      <c r="AM962" s="347"/>
      <c r="AN962" s="347"/>
      <c r="AO962" s="347"/>
      <c r="AP962" s="347"/>
      <c r="AQ962" s="347"/>
      <c r="AR962" s="347"/>
      <c r="AS962" s="347"/>
      <c r="AT962" s="347"/>
      <c r="AU962" s="347"/>
      <c r="AV962" s="347"/>
      <c r="AW962" s="347"/>
      <c r="AX962" s="347"/>
      <c r="AY962" s="347"/>
      <c r="AZ962" s="347"/>
      <c r="BA962" s="347"/>
      <c r="BB962" s="347"/>
      <c r="BC962" s="347"/>
      <c r="BD962" s="347"/>
      <c r="BE962" s="347"/>
      <c r="BF962" s="347"/>
      <c r="BG962" s="347"/>
      <c r="BH962" s="347"/>
    </row>
    <row r="963">
      <c r="A963" s="347"/>
      <c r="B963" s="347"/>
      <c r="C963" s="347"/>
      <c r="D963" s="347"/>
      <c r="E963" s="347"/>
      <c r="F963" s="347"/>
      <c r="G963" s="347"/>
      <c r="H963" s="347"/>
      <c r="I963" s="347"/>
      <c r="J963" s="347"/>
      <c r="K963" s="348"/>
      <c r="L963" s="348"/>
      <c r="M963" s="348"/>
      <c r="N963" s="348"/>
      <c r="O963" s="348"/>
      <c r="P963" s="347"/>
      <c r="Q963" s="347"/>
      <c r="R963" s="347"/>
      <c r="S963" s="347"/>
      <c r="T963" s="347"/>
      <c r="U963" s="347"/>
      <c r="V963" s="347"/>
      <c r="W963" s="347"/>
      <c r="X963" s="347"/>
      <c r="Y963" s="347"/>
      <c r="Z963" s="347"/>
      <c r="AA963" s="604"/>
      <c r="AB963" s="347"/>
      <c r="AC963" s="590"/>
      <c r="AD963" s="347"/>
      <c r="AE963" s="347"/>
      <c r="AF963" s="347"/>
      <c r="AG963" s="347"/>
      <c r="AH963" s="347"/>
      <c r="AI963" s="347"/>
      <c r="AJ963" s="347"/>
      <c r="AK963" s="347"/>
      <c r="AL963" s="347"/>
      <c r="AM963" s="347"/>
      <c r="AN963" s="347"/>
      <c r="AO963" s="347"/>
      <c r="AP963" s="347"/>
      <c r="AQ963" s="347"/>
      <c r="AR963" s="347"/>
      <c r="AS963" s="347"/>
      <c r="AT963" s="347"/>
      <c r="AU963" s="347"/>
      <c r="AV963" s="347"/>
      <c r="AW963" s="347"/>
      <c r="AX963" s="347"/>
      <c r="AY963" s="347"/>
      <c r="AZ963" s="347"/>
      <c r="BA963" s="347"/>
      <c r="BB963" s="347"/>
      <c r="BC963" s="347"/>
      <c r="BD963" s="347"/>
      <c r="BE963" s="347"/>
      <c r="BF963" s="347"/>
      <c r="BG963" s="347"/>
      <c r="BH963" s="347"/>
    </row>
    <row r="964">
      <c r="A964" s="347"/>
      <c r="B964" s="347"/>
      <c r="C964" s="347"/>
      <c r="D964" s="347"/>
      <c r="E964" s="347"/>
      <c r="F964" s="347"/>
      <c r="G964" s="347"/>
      <c r="H964" s="347"/>
      <c r="I964" s="347"/>
      <c r="J964" s="347"/>
      <c r="K964" s="348"/>
      <c r="L964" s="348"/>
      <c r="M964" s="348"/>
      <c r="N964" s="348"/>
      <c r="O964" s="348"/>
      <c r="P964" s="347"/>
      <c r="Q964" s="347"/>
      <c r="R964" s="347"/>
      <c r="S964" s="347"/>
      <c r="T964" s="347"/>
      <c r="U964" s="347"/>
      <c r="V964" s="347"/>
      <c r="W964" s="347"/>
      <c r="X964" s="347"/>
      <c r="Y964" s="347"/>
      <c r="Z964" s="347"/>
      <c r="AA964" s="604"/>
      <c r="AB964" s="347"/>
      <c r="AC964" s="590"/>
      <c r="AD964" s="347"/>
      <c r="AE964" s="347"/>
      <c r="AF964" s="347"/>
      <c r="AG964" s="347"/>
      <c r="AH964" s="347"/>
      <c r="AI964" s="347"/>
      <c r="AJ964" s="347"/>
      <c r="AK964" s="347"/>
      <c r="AL964" s="347"/>
      <c r="AM964" s="347"/>
      <c r="AN964" s="347"/>
      <c r="AO964" s="347"/>
      <c r="AP964" s="347"/>
      <c r="AQ964" s="347"/>
      <c r="AR964" s="347"/>
      <c r="AS964" s="347"/>
      <c r="AT964" s="347"/>
      <c r="AU964" s="347"/>
      <c r="AV964" s="347"/>
      <c r="AW964" s="347"/>
      <c r="AX964" s="347"/>
      <c r="AY964" s="347"/>
      <c r="AZ964" s="347"/>
      <c r="BA964" s="347"/>
      <c r="BB964" s="347"/>
      <c r="BC964" s="347"/>
      <c r="BD964" s="347"/>
      <c r="BE964" s="347"/>
      <c r="BF964" s="347"/>
      <c r="BG964" s="347"/>
      <c r="BH964" s="347"/>
    </row>
    <row r="965">
      <c r="A965" s="347"/>
      <c r="B965" s="347"/>
      <c r="C965" s="347"/>
      <c r="D965" s="347"/>
      <c r="E965" s="347"/>
      <c r="F965" s="347"/>
      <c r="G965" s="347"/>
      <c r="H965" s="347"/>
      <c r="I965" s="347"/>
      <c r="J965" s="347"/>
      <c r="K965" s="348"/>
      <c r="L965" s="348"/>
      <c r="M965" s="348"/>
      <c r="N965" s="348"/>
      <c r="O965" s="348"/>
      <c r="P965" s="347"/>
      <c r="Q965" s="347"/>
      <c r="R965" s="347"/>
      <c r="S965" s="347"/>
      <c r="T965" s="347"/>
      <c r="U965" s="347"/>
      <c r="V965" s="347"/>
      <c r="W965" s="347"/>
      <c r="X965" s="347"/>
      <c r="Y965" s="347"/>
      <c r="Z965" s="347"/>
      <c r="AA965" s="604"/>
      <c r="AB965" s="347"/>
      <c r="AC965" s="590"/>
      <c r="AD965" s="347"/>
      <c r="AE965" s="347"/>
      <c r="AF965" s="347"/>
      <c r="AG965" s="347"/>
      <c r="AH965" s="347"/>
      <c r="AI965" s="347"/>
      <c r="AJ965" s="347"/>
      <c r="AK965" s="347"/>
      <c r="AL965" s="347"/>
      <c r="AM965" s="347"/>
      <c r="AN965" s="347"/>
      <c r="AO965" s="347"/>
      <c r="AP965" s="347"/>
      <c r="AQ965" s="347"/>
      <c r="AR965" s="347"/>
      <c r="AS965" s="347"/>
      <c r="AT965" s="347"/>
      <c r="AU965" s="347"/>
      <c r="AV965" s="347"/>
      <c r="AW965" s="347"/>
      <c r="AX965" s="347"/>
      <c r="AY965" s="347"/>
      <c r="AZ965" s="347"/>
      <c r="BA965" s="347"/>
      <c r="BB965" s="347"/>
      <c r="BC965" s="347"/>
      <c r="BD965" s="347"/>
      <c r="BE965" s="347"/>
      <c r="BF965" s="347"/>
      <c r="BG965" s="347"/>
      <c r="BH965" s="347"/>
    </row>
    <row r="966">
      <c r="A966" s="347"/>
      <c r="B966" s="347"/>
      <c r="C966" s="347"/>
      <c r="D966" s="347"/>
      <c r="E966" s="347"/>
      <c r="F966" s="347"/>
      <c r="G966" s="347"/>
      <c r="H966" s="347"/>
      <c r="I966" s="347"/>
      <c r="J966" s="347"/>
      <c r="K966" s="348"/>
      <c r="L966" s="348"/>
      <c r="M966" s="348"/>
      <c r="N966" s="348"/>
      <c r="O966" s="348"/>
      <c r="P966" s="347"/>
      <c r="Q966" s="347"/>
      <c r="R966" s="347"/>
      <c r="S966" s="347"/>
      <c r="T966" s="347"/>
      <c r="U966" s="347"/>
      <c r="V966" s="347"/>
      <c r="W966" s="347"/>
      <c r="X966" s="347"/>
      <c r="Y966" s="347"/>
      <c r="Z966" s="347"/>
      <c r="AA966" s="604"/>
      <c r="AB966" s="347"/>
      <c r="AC966" s="590"/>
      <c r="AD966" s="347"/>
      <c r="AE966" s="347"/>
      <c r="AF966" s="347"/>
      <c r="AG966" s="347"/>
      <c r="AH966" s="347"/>
      <c r="AI966" s="347"/>
      <c r="AJ966" s="347"/>
      <c r="AK966" s="347"/>
      <c r="AL966" s="347"/>
      <c r="AM966" s="347"/>
      <c r="AN966" s="347"/>
      <c r="AO966" s="347"/>
      <c r="AP966" s="347"/>
      <c r="AQ966" s="347"/>
      <c r="AR966" s="347"/>
      <c r="AS966" s="347"/>
      <c r="AT966" s="347"/>
      <c r="AU966" s="347"/>
      <c r="AV966" s="347"/>
      <c r="AW966" s="347"/>
      <c r="AX966" s="347"/>
      <c r="AY966" s="347"/>
      <c r="AZ966" s="347"/>
      <c r="BA966" s="347"/>
      <c r="BB966" s="347"/>
      <c r="BC966" s="347"/>
      <c r="BD966" s="347"/>
      <c r="BE966" s="347"/>
      <c r="BF966" s="347"/>
      <c r="BG966" s="347"/>
      <c r="BH966" s="347"/>
    </row>
    <row r="967">
      <c r="A967" s="347"/>
      <c r="B967" s="347"/>
      <c r="C967" s="347"/>
      <c r="D967" s="347"/>
      <c r="E967" s="347"/>
      <c r="F967" s="347"/>
      <c r="G967" s="347"/>
      <c r="H967" s="347"/>
      <c r="I967" s="347"/>
      <c r="J967" s="347"/>
      <c r="K967" s="348"/>
      <c r="L967" s="348"/>
      <c r="M967" s="348"/>
      <c r="N967" s="348"/>
      <c r="O967" s="348"/>
      <c r="P967" s="347"/>
      <c r="Q967" s="347"/>
      <c r="R967" s="347"/>
      <c r="S967" s="347"/>
      <c r="T967" s="347"/>
      <c r="U967" s="347"/>
      <c r="V967" s="347"/>
      <c r="W967" s="347"/>
      <c r="X967" s="347"/>
      <c r="Y967" s="347"/>
      <c r="Z967" s="347"/>
      <c r="AA967" s="604"/>
      <c r="AB967" s="347"/>
      <c r="AC967" s="590"/>
      <c r="AD967" s="347"/>
      <c r="AE967" s="347"/>
      <c r="AF967" s="347"/>
      <c r="AG967" s="347"/>
      <c r="AH967" s="347"/>
      <c r="AI967" s="347"/>
      <c r="AJ967" s="347"/>
      <c r="AK967" s="347"/>
      <c r="AL967" s="347"/>
      <c r="AM967" s="347"/>
      <c r="AN967" s="347"/>
      <c r="AO967" s="347"/>
      <c r="AP967" s="347"/>
      <c r="AQ967" s="347"/>
      <c r="AR967" s="347"/>
      <c r="AS967" s="347"/>
      <c r="AT967" s="347"/>
      <c r="AU967" s="347"/>
      <c r="AV967" s="347"/>
      <c r="AW967" s="347"/>
      <c r="AX967" s="347"/>
      <c r="AY967" s="347"/>
      <c r="AZ967" s="347"/>
      <c r="BA967" s="347"/>
      <c r="BB967" s="347"/>
      <c r="BC967" s="347"/>
      <c r="BD967" s="347"/>
      <c r="BE967" s="347"/>
      <c r="BF967" s="347"/>
      <c r="BG967" s="347"/>
      <c r="BH967" s="347"/>
    </row>
    <row r="968">
      <c r="A968" s="347"/>
      <c r="B968" s="347"/>
      <c r="C968" s="347"/>
      <c r="D968" s="347"/>
      <c r="E968" s="347"/>
      <c r="F968" s="347"/>
      <c r="G968" s="347"/>
      <c r="H968" s="347"/>
      <c r="I968" s="347"/>
      <c r="J968" s="347"/>
      <c r="K968" s="348"/>
      <c r="L968" s="348"/>
      <c r="M968" s="348"/>
      <c r="N968" s="348"/>
      <c r="O968" s="348"/>
      <c r="P968" s="347"/>
      <c r="Q968" s="347"/>
      <c r="R968" s="347"/>
      <c r="S968" s="347"/>
      <c r="T968" s="347"/>
      <c r="U968" s="347"/>
      <c r="V968" s="347"/>
      <c r="W968" s="347"/>
      <c r="X968" s="347"/>
      <c r="Y968" s="347"/>
      <c r="Z968" s="347"/>
      <c r="AA968" s="604"/>
      <c r="AB968" s="347"/>
      <c r="AC968" s="590"/>
      <c r="AD968" s="347"/>
      <c r="AE968" s="347"/>
      <c r="AF968" s="347"/>
      <c r="AG968" s="347"/>
      <c r="AH968" s="347"/>
      <c r="AI968" s="347"/>
      <c r="AJ968" s="347"/>
      <c r="AK968" s="347"/>
      <c r="AL968" s="347"/>
      <c r="AM968" s="347"/>
      <c r="AN968" s="347"/>
      <c r="AO968" s="347"/>
      <c r="AP968" s="347"/>
      <c r="AQ968" s="347"/>
      <c r="AR968" s="347"/>
      <c r="AS968" s="347"/>
      <c r="AT968" s="347"/>
      <c r="AU968" s="347"/>
      <c r="AV968" s="347"/>
      <c r="AW968" s="347"/>
      <c r="AX968" s="347"/>
      <c r="AY968" s="347"/>
      <c r="AZ968" s="347"/>
      <c r="BA968" s="347"/>
      <c r="BB968" s="347"/>
      <c r="BC968" s="347"/>
      <c r="BD968" s="347"/>
      <c r="BE968" s="347"/>
      <c r="BF968" s="347"/>
      <c r="BG968" s="347"/>
      <c r="BH968" s="347"/>
    </row>
    <row r="969">
      <c r="A969" s="347"/>
      <c r="B969" s="347"/>
      <c r="C969" s="347"/>
      <c r="D969" s="347"/>
      <c r="E969" s="347"/>
      <c r="F969" s="347"/>
      <c r="G969" s="347"/>
      <c r="H969" s="347"/>
      <c r="I969" s="347"/>
      <c r="J969" s="347"/>
      <c r="K969" s="348"/>
      <c r="L969" s="348"/>
      <c r="M969" s="348"/>
      <c r="N969" s="348"/>
      <c r="O969" s="348"/>
      <c r="P969" s="347"/>
      <c r="Q969" s="347"/>
      <c r="R969" s="347"/>
      <c r="S969" s="347"/>
      <c r="T969" s="347"/>
      <c r="U969" s="347"/>
      <c r="V969" s="347"/>
      <c r="W969" s="347"/>
      <c r="X969" s="347"/>
      <c r="Y969" s="347"/>
      <c r="Z969" s="347"/>
      <c r="AA969" s="604"/>
      <c r="AB969" s="347"/>
      <c r="AC969" s="590"/>
      <c r="AD969" s="347"/>
      <c r="AE969" s="347"/>
      <c r="AF969" s="347"/>
      <c r="AG969" s="347"/>
      <c r="AH969" s="347"/>
      <c r="AI969" s="347"/>
      <c r="AJ969" s="347"/>
      <c r="AK969" s="347"/>
      <c r="AL969" s="347"/>
      <c r="AM969" s="347"/>
      <c r="AN969" s="347"/>
      <c r="AO969" s="347"/>
      <c r="AP969" s="347"/>
      <c r="AQ969" s="347"/>
      <c r="AR969" s="347"/>
      <c r="AS969" s="347"/>
      <c r="AT969" s="347"/>
      <c r="AU969" s="347"/>
      <c r="AV969" s="347"/>
      <c r="AW969" s="347"/>
      <c r="AX969" s="347"/>
      <c r="AY969" s="347"/>
      <c r="AZ969" s="347"/>
      <c r="BA969" s="347"/>
      <c r="BB969" s="347"/>
      <c r="BC969" s="347"/>
      <c r="BD969" s="347"/>
      <c r="BE969" s="347"/>
      <c r="BF969" s="347"/>
      <c r="BG969" s="347"/>
      <c r="BH969" s="347"/>
    </row>
    <row r="970">
      <c r="A970" s="347"/>
      <c r="B970" s="347"/>
      <c r="C970" s="347"/>
      <c r="D970" s="347"/>
      <c r="E970" s="347"/>
      <c r="F970" s="347"/>
      <c r="G970" s="347"/>
      <c r="H970" s="347"/>
      <c r="I970" s="347"/>
      <c r="J970" s="347"/>
      <c r="K970" s="348"/>
      <c r="L970" s="348"/>
      <c r="M970" s="348"/>
      <c r="N970" s="348"/>
      <c r="O970" s="348"/>
      <c r="P970" s="347"/>
      <c r="Q970" s="347"/>
      <c r="R970" s="347"/>
      <c r="S970" s="347"/>
      <c r="T970" s="347"/>
      <c r="U970" s="347"/>
      <c r="V970" s="347"/>
      <c r="W970" s="347"/>
      <c r="X970" s="347"/>
      <c r="Y970" s="347"/>
      <c r="Z970" s="347"/>
      <c r="AA970" s="604"/>
      <c r="AB970" s="347"/>
      <c r="AC970" s="590"/>
      <c r="AD970" s="347"/>
      <c r="AE970" s="347"/>
      <c r="AF970" s="347"/>
      <c r="AG970" s="347"/>
      <c r="AH970" s="347"/>
      <c r="AI970" s="347"/>
      <c r="AJ970" s="347"/>
      <c r="AK970" s="347"/>
      <c r="AL970" s="347"/>
      <c r="AM970" s="347"/>
      <c r="AN970" s="347"/>
      <c r="AO970" s="347"/>
      <c r="AP970" s="347"/>
      <c r="AQ970" s="347"/>
      <c r="AR970" s="347"/>
      <c r="AS970" s="347"/>
      <c r="AT970" s="347"/>
      <c r="AU970" s="347"/>
      <c r="AV970" s="347"/>
      <c r="AW970" s="347"/>
      <c r="AX970" s="347"/>
      <c r="AY970" s="347"/>
      <c r="AZ970" s="347"/>
      <c r="BA970" s="347"/>
      <c r="BB970" s="347"/>
      <c r="BC970" s="347"/>
      <c r="BD970" s="347"/>
      <c r="BE970" s="347"/>
      <c r="BF970" s="347"/>
      <c r="BG970" s="347"/>
      <c r="BH970" s="347"/>
    </row>
    <row r="971">
      <c r="A971" s="347"/>
      <c r="B971" s="347"/>
      <c r="C971" s="347"/>
      <c r="D971" s="347"/>
      <c r="E971" s="347"/>
      <c r="F971" s="347"/>
      <c r="G971" s="347"/>
      <c r="H971" s="347"/>
      <c r="I971" s="347"/>
      <c r="J971" s="347"/>
      <c r="K971" s="348"/>
      <c r="L971" s="348"/>
      <c r="M971" s="348"/>
      <c r="N971" s="348"/>
      <c r="O971" s="348"/>
      <c r="P971" s="347"/>
      <c r="Q971" s="347"/>
      <c r="R971" s="347"/>
      <c r="S971" s="347"/>
      <c r="T971" s="347"/>
      <c r="U971" s="347"/>
      <c r="V971" s="347"/>
      <c r="W971" s="347"/>
      <c r="X971" s="347"/>
      <c r="Y971" s="347"/>
      <c r="Z971" s="347"/>
      <c r="AA971" s="604"/>
      <c r="AB971" s="347"/>
      <c r="AC971" s="590"/>
      <c r="AD971" s="347"/>
      <c r="AE971" s="347"/>
      <c r="AF971" s="347"/>
      <c r="AG971" s="347"/>
      <c r="AH971" s="347"/>
      <c r="AI971" s="347"/>
      <c r="AJ971" s="347"/>
      <c r="AK971" s="347"/>
      <c r="AL971" s="347"/>
      <c r="AM971" s="347"/>
      <c r="AN971" s="347"/>
      <c r="AO971" s="347"/>
      <c r="AP971" s="347"/>
      <c r="AQ971" s="347"/>
      <c r="AR971" s="347"/>
      <c r="AS971" s="347"/>
      <c r="AT971" s="347"/>
      <c r="AU971" s="347"/>
      <c r="AV971" s="347"/>
      <c r="AW971" s="347"/>
      <c r="AX971" s="347"/>
      <c r="AY971" s="347"/>
      <c r="AZ971" s="347"/>
      <c r="BA971" s="347"/>
      <c r="BB971" s="347"/>
      <c r="BC971" s="347"/>
      <c r="BD971" s="347"/>
      <c r="BE971" s="347"/>
      <c r="BF971" s="347"/>
      <c r="BG971" s="347"/>
      <c r="BH971" s="347"/>
    </row>
    <row r="972">
      <c r="A972" s="347"/>
      <c r="B972" s="347"/>
      <c r="C972" s="347"/>
      <c r="D972" s="347"/>
      <c r="E972" s="347"/>
      <c r="F972" s="347"/>
      <c r="G972" s="347"/>
      <c r="H972" s="347"/>
      <c r="I972" s="347"/>
      <c r="J972" s="347"/>
      <c r="K972" s="348"/>
      <c r="L972" s="348"/>
      <c r="M972" s="348"/>
      <c r="N972" s="348"/>
      <c r="O972" s="348"/>
      <c r="P972" s="347"/>
      <c r="Q972" s="347"/>
      <c r="R972" s="347"/>
      <c r="S972" s="347"/>
      <c r="T972" s="347"/>
      <c r="U972" s="347"/>
      <c r="V972" s="347"/>
      <c r="W972" s="347"/>
      <c r="X972" s="347"/>
      <c r="Y972" s="347"/>
      <c r="Z972" s="347"/>
      <c r="AA972" s="604"/>
      <c r="AB972" s="347"/>
      <c r="AC972" s="590"/>
      <c r="AD972" s="347"/>
      <c r="AE972" s="347"/>
      <c r="AF972" s="347"/>
      <c r="AG972" s="347"/>
      <c r="AH972" s="347"/>
      <c r="AI972" s="347"/>
      <c r="AJ972" s="347"/>
      <c r="AK972" s="347"/>
      <c r="AL972" s="347"/>
      <c r="AM972" s="347"/>
      <c r="AN972" s="347"/>
      <c r="AO972" s="347"/>
      <c r="AP972" s="347"/>
      <c r="AQ972" s="347"/>
      <c r="AR972" s="347"/>
      <c r="AS972" s="347"/>
      <c r="AT972" s="347"/>
      <c r="AU972" s="347"/>
      <c r="AV972" s="347"/>
      <c r="AW972" s="347"/>
      <c r="AX972" s="347"/>
      <c r="AY972" s="347"/>
      <c r="AZ972" s="347"/>
      <c r="BA972" s="347"/>
      <c r="BB972" s="347"/>
      <c r="BC972" s="347"/>
      <c r="BD972" s="347"/>
      <c r="BE972" s="347"/>
      <c r="BF972" s="347"/>
      <c r="BG972" s="347"/>
      <c r="BH972" s="347"/>
    </row>
    <row r="973">
      <c r="A973" s="347"/>
      <c r="B973" s="347"/>
      <c r="C973" s="347"/>
      <c r="D973" s="347"/>
      <c r="E973" s="347"/>
      <c r="F973" s="347"/>
      <c r="G973" s="347"/>
      <c r="H973" s="347"/>
      <c r="I973" s="347"/>
      <c r="J973" s="347"/>
      <c r="K973" s="348"/>
      <c r="L973" s="348"/>
      <c r="M973" s="348"/>
      <c r="N973" s="348"/>
      <c r="O973" s="348"/>
      <c r="P973" s="347"/>
      <c r="Q973" s="347"/>
      <c r="R973" s="347"/>
      <c r="S973" s="347"/>
      <c r="T973" s="347"/>
      <c r="U973" s="347"/>
      <c r="V973" s="347"/>
      <c r="W973" s="347"/>
      <c r="X973" s="347"/>
      <c r="Y973" s="347"/>
      <c r="Z973" s="347"/>
      <c r="AA973" s="604"/>
      <c r="AB973" s="347"/>
      <c r="AC973" s="590"/>
      <c r="AD973" s="347"/>
      <c r="AE973" s="347"/>
      <c r="AF973" s="347"/>
      <c r="AG973" s="347"/>
      <c r="AH973" s="347"/>
      <c r="AI973" s="347"/>
      <c r="AJ973" s="347"/>
      <c r="AK973" s="347"/>
      <c r="AL973" s="347"/>
      <c r="AM973" s="347"/>
      <c r="AN973" s="347"/>
      <c r="AO973" s="347"/>
      <c r="AP973" s="347"/>
      <c r="AQ973" s="347"/>
      <c r="AR973" s="347"/>
      <c r="AS973" s="347"/>
      <c r="AT973" s="347"/>
      <c r="AU973" s="347"/>
      <c r="AV973" s="347"/>
      <c r="AW973" s="347"/>
      <c r="AX973" s="347"/>
      <c r="AY973" s="347"/>
      <c r="AZ973" s="347"/>
      <c r="BA973" s="347"/>
      <c r="BB973" s="347"/>
      <c r="BC973" s="347"/>
      <c r="BD973" s="347"/>
      <c r="BE973" s="347"/>
      <c r="BF973" s="347"/>
      <c r="BG973" s="347"/>
      <c r="BH973" s="347"/>
    </row>
    <row r="974">
      <c r="A974" s="347"/>
      <c r="B974" s="347"/>
      <c r="C974" s="347"/>
      <c r="D974" s="347"/>
      <c r="E974" s="347"/>
      <c r="F974" s="347"/>
      <c r="G974" s="347"/>
      <c r="H974" s="347"/>
      <c r="I974" s="347"/>
      <c r="J974" s="347"/>
      <c r="K974" s="348"/>
      <c r="L974" s="348"/>
      <c r="M974" s="348"/>
      <c r="N974" s="348"/>
      <c r="O974" s="348"/>
      <c r="P974" s="347"/>
      <c r="Q974" s="347"/>
      <c r="R974" s="347"/>
      <c r="S974" s="347"/>
      <c r="T974" s="347"/>
      <c r="U974" s="347"/>
      <c r="V974" s="347"/>
      <c r="W974" s="347"/>
      <c r="X974" s="347"/>
      <c r="Y974" s="347"/>
      <c r="Z974" s="347"/>
      <c r="AA974" s="604"/>
      <c r="AB974" s="347"/>
      <c r="AC974" s="590"/>
      <c r="AD974" s="347"/>
      <c r="AE974" s="347"/>
      <c r="AF974" s="347"/>
      <c r="AG974" s="347"/>
      <c r="AH974" s="347"/>
      <c r="AI974" s="347"/>
      <c r="AJ974" s="347"/>
      <c r="AK974" s="347"/>
      <c r="AL974" s="347"/>
      <c r="AM974" s="347"/>
      <c r="AN974" s="347"/>
      <c r="AO974" s="347"/>
      <c r="AP974" s="347"/>
      <c r="AQ974" s="347"/>
      <c r="AR974" s="347"/>
      <c r="AS974" s="347"/>
      <c r="AT974" s="347"/>
      <c r="AU974" s="347"/>
      <c r="AV974" s="347"/>
      <c r="AW974" s="347"/>
      <c r="AX974" s="347"/>
      <c r="AY974" s="347"/>
      <c r="AZ974" s="347"/>
      <c r="BA974" s="347"/>
      <c r="BB974" s="347"/>
      <c r="BC974" s="347"/>
      <c r="BD974" s="347"/>
      <c r="BE974" s="347"/>
      <c r="BF974" s="347"/>
      <c r="BG974" s="347"/>
      <c r="BH974" s="347"/>
    </row>
    <row r="975">
      <c r="A975" s="347"/>
      <c r="B975" s="347"/>
      <c r="C975" s="347"/>
      <c r="D975" s="347"/>
      <c r="E975" s="347"/>
      <c r="F975" s="347"/>
      <c r="G975" s="347"/>
      <c r="H975" s="347"/>
      <c r="I975" s="347"/>
      <c r="J975" s="347"/>
      <c r="K975" s="348"/>
      <c r="L975" s="348"/>
      <c r="M975" s="348"/>
      <c r="N975" s="348"/>
      <c r="O975" s="348"/>
      <c r="P975" s="347"/>
      <c r="Q975" s="347"/>
      <c r="R975" s="347"/>
      <c r="S975" s="347"/>
      <c r="T975" s="347"/>
      <c r="U975" s="347"/>
      <c r="V975" s="347"/>
      <c r="W975" s="347"/>
      <c r="X975" s="347"/>
      <c r="Y975" s="347"/>
      <c r="Z975" s="347"/>
      <c r="AA975" s="604"/>
      <c r="AB975" s="347"/>
      <c r="AC975" s="590"/>
      <c r="AD975" s="347"/>
      <c r="AE975" s="347"/>
      <c r="AF975" s="347"/>
      <c r="AG975" s="347"/>
      <c r="AH975" s="347"/>
      <c r="AI975" s="347"/>
      <c r="AJ975" s="347"/>
      <c r="AK975" s="347"/>
      <c r="AL975" s="347"/>
      <c r="AM975" s="347"/>
      <c r="AN975" s="347"/>
      <c r="AO975" s="347"/>
      <c r="AP975" s="347"/>
      <c r="AQ975" s="347"/>
      <c r="AR975" s="347"/>
      <c r="AS975" s="347"/>
      <c r="AT975" s="347"/>
      <c r="AU975" s="347"/>
      <c r="AV975" s="347"/>
      <c r="AW975" s="347"/>
      <c r="AX975" s="347"/>
      <c r="AY975" s="347"/>
      <c r="AZ975" s="347"/>
      <c r="BA975" s="347"/>
      <c r="BB975" s="347"/>
      <c r="BC975" s="347"/>
      <c r="BD975" s="347"/>
      <c r="BE975" s="347"/>
      <c r="BF975" s="347"/>
      <c r="BG975" s="347"/>
      <c r="BH975" s="347"/>
    </row>
    <row r="976">
      <c r="A976" s="347"/>
      <c r="B976" s="347"/>
      <c r="C976" s="347"/>
      <c r="D976" s="347"/>
      <c r="E976" s="347"/>
      <c r="F976" s="347"/>
      <c r="G976" s="347"/>
      <c r="H976" s="347"/>
      <c r="I976" s="347"/>
      <c r="J976" s="347"/>
      <c r="K976" s="348"/>
      <c r="L976" s="348"/>
      <c r="M976" s="348"/>
      <c r="N976" s="348"/>
      <c r="O976" s="348"/>
      <c r="P976" s="347"/>
      <c r="Q976" s="347"/>
      <c r="R976" s="347"/>
      <c r="S976" s="347"/>
      <c r="T976" s="347"/>
      <c r="U976" s="347"/>
      <c r="V976" s="347"/>
      <c r="W976" s="347"/>
      <c r="X976" s="347"/>
      <c r="Y976" s="347"/>
      <c r="Z976" s="347"/>
      <c r="AA976" s="604"/>
      <c r="AB976" s="347"/>
      <c r="AC976" s="590"/>
      <c r="AD976" s="347"/>
      <c r="AE976" s="347"/>
      <c r="AF976" s="347"/>
      <c r="AG976" s="347"/>
      <c r="AH976" s="347"/>
      <c r="AI976" s="347"/>
      <c r="AJ976" s="347"/>
      <c r="AK976" s="347"/>
      <c r="AL976" s="347"/>
      <c r="AM976" s="347"/>
      <c r="AN976" s="347"/>
      <c r="AO976" s="347"/>
      <c r="AP976" s="347"/>
      <c r="AQ976" s="347"/>
      <c r="AR976" s="347"/>
      <c r="AS976" s="347"/>
      <c r="AT976" s="347"/>
      <c r="AU976" s="347"/>
      <c r="AV976" s="347"/>
      <c r="AW976" s="347"/>
      <c r="AX976" s="347"/>
      <c r="AY976" s="347"/>
      <c r="AZ976" s="347"/>
      <c r="BA976" s="347"/>
      <c r="BB976" s="347"/>
      <c r="BC976" s="347"/>
      <c r="BD976" s="347"/>
      <c r="BE976" s="347"/>
      <c r="BF976" s="347"/>
      <c r="BG976" s="347"/>
      <c r="BH976" s="347"/>
    </row>
    <row r="977">
      <c r="A977" s="347"/>
      <c r="B977" s="347"/>
      <c r="C977" s="347"/>
      <c r="D977" s="347"/>
      <c r="E977" s="347"/>
      <c r="F977" s="347"/>
      <c r="G977" s="347"/>
      <c r="H977" s="347"/>
      <c r="I977" s="347"/>
      <c r="J977" s="347"/>
      <c r="K977" s="348"/>
      <c r="L977" s="348"/>
      <c r="M977" s="348"/>
      <c r="N977" s="348"/>
      <c r="O977" s="348"/>
      <c r="P977" s="347"/>
      <c r="Q977" s="347"/>
      <c r="R977" s="347"/>
      <c r="S977" s="347"/>
      <c r="T977" s="347"/>
      <c r="U977" s="347"/>
      <c r="V977" s="347"/>
      <c r="W977" s="347"/>
      <c r="X977" s="347"/>
      <c r="Y977" s="347"/>
      <c r="Z977" s="347"/>
      <c r="AA977" s="604"/>
      <c r="AB977" s="347"/>
      <c r="AC977" s="590"/>
      <c r="AD977" s="347"/>
      <c r="AE977" s="347"/>
      <c r="AF977" s="347"/>
      <c r="AG977" s="347"/>
      <c r="AH977" s="347"/>
      <c r="AI977" s="347"/>
      <c r="AJ977" s="347"/>
      <c r="AK977" s="347"/>
      <c r="AL977" s="347"/>
      <c r="AM977" s="347"/>
      <c r="AN977" s="347"/>
      <c r="AO977" s="347"/>
      <c r="AP977" s="347"/>
      <c r="AQ977" s="347"/>
      <c r="AR977" s="347"/>
      <c r="AS977" s="347"/>
      <c r="AT977" s="347"/>
      <c r="AU977" s="347"/>
      <c r="AV977" s="347"/>
      <c r="AW977" s="347"/>
      <c r="AX977" s="347"/>
      <c r="AY977" s="347"/>
      <c r="AZ977" s="347"/>
      <c r="BA977" s="347"/>
      <c r="BB977" s="347"/>
      <c r="BC977" s="347"/>
      <c r="BD977" s="347"/>
      <c r="BE977" s="347"/>
      <c r="BF977" s="347"/>
      <c r="BG977" s="347"/>
      <c r="BH977" s="347"/>
    </row>
    <row r="978">
      <c r="A978" s="347"/>
      <c r="B978" s="347"/>
      <c r="C978" s="347"/>
      <c r="D978" s="347"/>
      <c r="E978" s="347"/>
      <c r="F978" s="347"/>
      <c r="G978" s="347"/>
      <c r="H978" s="347"/>
      <c r="I978" s="347"/>
      <c r="J978" s="347"/>
      <c r="K978" s="348"/>
      <c r="L978" s="348"/>
      <c r="M978" s="348"/>
      <c r="N978" s="348"/>
      <c r="O978" s="348"/>
      <c r="P978" s="347"/>
      <c r="Q978" s="347"/>
      <c r="R978" s="347"/>
      <c r="S978" s="347"/>
      <c r="T978" s="347"/>
      <c r="U978" s="347"/>
      <c r="V978" s="347"/>
      <c r="W978" s="347"/>
      <c r="X978" s="347"/>
      <c r="Y978" s="347"/>
      <c r="Z978" s="347"/>
      <c r="AA978" s="604"/>
      <c r="AB978" s="347"/>
      <c r="AC978" s="590"/>
      <c r="AD978" s="347"/>
      <c r="AE978" s="347"/>
      <c r="AF978" s="347"/>
      <c r="AG978" s="347"/>
      <c r="AH978" s="347"/>
      <c r="AI978" s="347"/>
      <c r="AJ978" s="347"/>
      <c r="AK978" s="347"/>
      <c r="AL978" s="347"/>
      <c r="AM978" s="347"/>
      <c r="AN978" s="347"/>
      <c r="AO978" s="347"/>
      <c r="AP978" s="347"/>
      <c r="AQ978" s="347"/>
      <c r="AR978" s="347"/>
      <c r="AS978" s="347"/>
      <c r="AT978" s="347"/>
      <c r="AU978" s="347"/>
      <c r="AV978" s="347"/>
      <c r="AW978" s="347"/>
      <c r="AX978" s="347"/>
      <c r="AY978" s="347"/>
      <c r="AZ978" s="347"/>
      <c r="BA978" s="347"/>
      <c r="BB978" s="347"/>
      <c r="BC978" s="347"/>
      <c r="BD978" s="347"/>
      <c r="BE978" s="347"/>
      <c r="BF978" s="347"/>
      <c r="BG978" s="347"/>
      <c r="BH978" s="347"/>
    </row>
    <row r="979">
      <c r="A979" s="347"/>
      <c r="B979" s="347"/>
      <c r="C979" s="347"/>
      <c r="D979" s="347"/>
      <c r="E979" s="347"/>
      <c r="F979" s="347"/>
      <c r="G979" s="347"/>
      <c r="H979" s="347"/>
      <c r="I979" s="347"/>
      <c r="J979" s="347"/>
      <c r="K979" s="348"/>
      <c r="L979" s="348"/>
      <c r="M979" s="348"/>
      <c r="N979" s="348"/>
      <c r="O979" s="348"/>
      <c r="P979" s="347"/>
      <c r="Q979" s="347"/>
      <c r="R979" s="347"/>
      <c r="S979" s="347"/>
      <c r="T979" s="347"/>
      <c r="U979" s="347"/>
      <c r="V979" s="347"/>
      <c r="W979" s="347"/>
      <c r="X979" s="347"/>
      <c r="Y979" s="347"/>
      <c r="Z979" s="347"/>
      <c r="AA979" s="604"/>
      <c r="AB979" s="347"/>
      <c r="AC979" s="590"/>
      <c r="AD979" s="347"/>
      <c r="AE979" s="347"/>
      <c r="AF979" s="347"/>
      <c r="AG979" s="347"/>
      <c r="AH979" s="347"/>
      <c r="AI979" s="347"/>
      <c r="AJ979" s="347"/>
      <c r="AK979" s="347"/>
      <c r="AL979" s="347"/>
      <c r="AM979" s="347"/>
      <c r="AN979" s="347"/>
      <c r="AO979" s="347"/>
      <c r="AP979" s="347"/>
      <c r="AQ979" s="347"/>
      <c r="AR979" s="347"/>
      <c r="AS979" s="347"/>
      <c r="AT979" s="347"/>
      <c r="AU979" s="347"/>
      <c r="AV979" s="347"/>
      <c r="AW979" s="347"/>
      <c r="AX979" s="347"/>
      <c r="AY979" s="347"/>
      <c r="AZ979" s="347"/>
      <c r="BA979" s="347"/>
      <c r="BB979" s="347"/>
      <c r="BC979" s="347"/>
      <c r="BD979" s="347"/>
      <c r="BE979" s="347"/>
      <c r="BF979" s="347"/>
      <c r="BG979" s="347"/>
      <c r="BH979" s="347"/>
    </row>
    <row r="980">
      <c r="A980" s="347"/>
      <c r="B980" s="347"/>
      <c r="C980" s="347"/>
      <c r="D980" s="347"/>
      <c r="E980" s="347"/>
      <c r="F980" s="347"/>
      <c r="G980" s="347"/>
      <c r="H980" s="347"/>
      <c r="I980" s="347"/>
      <c r="J980" s="347"/>
      <c r="K980" s="348"/>
      <c r="L980" s="348"/>
      <c r="M980" s="348"/>
      <c r="N980" s="348"/>
      <c r="O980" s="348"/>
      <c r="P980" s="347"/>
      <c r="Q980" s="347"/>
      <c r="R980" s="347"/>
      <c r="S980" s="347"/>
      <c r="T980" s="347"/>
      <c r="U980" s="347"/>
      <c r="V980" s="347"/>
      <c r="W980" s="347"/>
      <c r="X980" s="347"/>
      <c r="Y980" s="347"/>
      <c r="Z980" s="347"/>
      <c r="AA980" s="604"/>
      <c r="AB980" s="347"/>
      <c r="AC980" s="590"/>
      <c r="AD980" s="347"/>
      <c r="AE980" s="347"/>
      <c r="AF980" s="347"/>
      <c r="AG980" s="347"/>
      <c r="AH980" s="347"/>
      <c r="AI980" s="347"/>
      <c r="AJ980" s="347"/>
      <c r="AK980" s="347"/>
      <c r="AL980" s="347"/>
      <c r="AM980" s="347"/>
      <c r="AN980" s="347"/>
      <c r="AO980" s="347"/>
      <c r="AP980" s="347"/>
      <c r="AQ980" s="347"/>
      <c r="AR980" s="347"/>
      <c r="AS980" s="347"/>
      <c r="AT980" s="347"/>
      <c r="AU980" s="347"/>
      <c r="AV980" s="347"/>
      <c r="AW980" s="347"/>
      <c r="AX980" s="347"/>
      <c r="AY980" s="347"/>
      <c r="AZ980" s="347"/>
      <c r="BA980" s="347"/>
      <c r="BB980" s="347"/>
      <c r="BC980" s="347"/>
      <c r="BD980" s="347"/>
      <c r="BE980" s="347"/>
      <c r="BF980" s="347"/>
      <c r="BG980" s="347"/>
      <c r="BH980" s="347"/>
    </row>
    <row r="981">
      <c r="A981" s="347"/>
      <c r="B981" s="347"/>
      <c r="C981" s="347"/>
      <c r="D981" s="347"/>
      <c r="E981" s="347"/>
      <c r="F981" s="347"/>
      <c r="G981" s="347"/>
      <c r="H981" s="347"/>
      <c r="I981" s="347"/>
      <c r="J981" s="347"/>
      <c r="K981" s="348"/>
      <c r="L981" s="348"/>
      <c r="M981" s="348"/>
      <c r="N981" s="348"/>
      <c r="O981" s="348"/>
      <c r="P981" s="347"/>
      <c r="Q981" s="347"/>
      <c r="R981" s="347"/>
      <c r="S981" s="347"/>
      <c r="T981" s="347"/>
      <c r="U981" s="347"/>
      <c r="V981" s="347"/>
      <c r="W981" s="347"/>
      <c r="X981" s="347"/>
      <c r="Y981" s="347"/>
      <c r="Z981" s="347"/>
      <c r="AA981" s="604"/>
      <c r="AB981" s="347"/>
      <c r="AC981" s="590"/>
      <c r="AD981" s="347"/>
      <c r="AE981" s="347"/>
      <c r="AF981" s="347"/>
      <c r="AG981" s="347"/>
      <c r="AH981" s="347"/>
      <c r="AI981" s="347"/>
      <c r="AJ981" s="347"/>
      <c r="AK981" s="347"/>
      <c r="AL981" s="347"/>
      <c r="AM981" s="347"/>
      <c r="AN981" s="347"/>
      <c r="AO981" s="347"/>
      <c r="AP981" s="347"/>
      <c r="AQ981" s="347"/>
      <c r="AR981" s="347"/>
      <c r="AS981" s="347"/>
      <c r="AT981" s="347"/>
      <c r="AU981" s="347"/>
      <c r="AV981" s="347"/>
      <c r="AW981" s="347"/>
      <c r="AX981" s="347"/>
      <c r="AY981" s="347"/>
      <c r="AZ981" s="347"/>
      <c r="BA981" s="347"/>
      <c r="BB981" s="347"/>
      <c r="BC981" s="347"/>
      <c r="BD981" s="347"/>
      <c r="BE981" s="347"/>
      <c r="BF981" s="347"/>
      <c r="BG981" s="347"/>
      <c r="BH981" s="347"/>
    </row>
    <row r="982">
      <c r="A982" s="347"/>
      <c r="B982" s="347"/>
      <c r="C982" s="347"/>
      <c r="D982" s="347"/>
      <c r="E982" s="347"/>
      <c r="F982" s="347"/>
      <c r="G982" s="347"/>
      <c r="H982" s="347"/>
      <c r="I982" s="347"/>
      <c r="J982" s="347"/>
      <c r="K982" s="348"/>
      <c r="L982" s="348"/>
      <c r="M982" s="348"/>
      <c r="N982" s="348"/>
      <c r="O982" s="348"/>
      <c r="P982" s="347"/>
      <c r="Q982" s="347"/>
      <c r="R982" s="347"/>
      <c r="S982" s="347"/>
      <c r="T982" s="347"/>
      <c r="U982" s="347"/>
      <c r="V982" s="347"/>
      <c r="W982" s="347"/>
      <c r="X982" s="347"/>
      <c r="Y982" s="347"/>
      <c r="Z982" s="347"/>
      <c r="AA982" s="604"/>
      <c r="AB982" s="347"/>
      <c r="AC982" s="590"/>
      <c r="AD982" s="347"/>
      <c r="AE982" s="347"/>
      <c r="AF982" s="347"/>
      <c r="AG982" s="347"/>
      <c r="AH982" s="347"/>
      <c r="AI982" s="347"/>
      <c r="AJ982" s="347"/>
      <c r="AK982" s="347"/>
      <c r="AL982" s="347"/>
      <c r="AM982" s="347"/>
      <c r="AN982" s="347"/>
      <c r="AO982" s="347"/>
      <c r="AP982" s="347"/>
      <c r="AQ982" s="347"/>
      <c r="AR982" s="347"/>
      <c r="AS982" s="347"/>
      <c r="AT982" s="347"/>
      <c r="AU982" s="347"/>
      <c r="AV982" s="347"/>
      <c r="AW982" s="347"/>
      <c r="AX982" s="347"/>
      <c r="AY982" s="347"/>
      <c r="AZ982" s="347"/>
      <c r="BA982" s="347"/>
      <c r="BB982" s="347"/>
      <c r="BC982" s="347"/>
      <c r="BD982" s="347"/>
      <c r="BE982" s="347"/>
      <c r="BF982" s="347"/>
      <c r="BG982" s="347"/>
      <c r="BH982" s="347"/>
    </row>
    <row r="983">
      <c r="A983" s="347"/>
      <c r="B983" s="347"/>
      <c r="C983" s="347"/>
      <c r="D983" s="347"/>
      <c r="E983" s="347"/>
      <c r="F983" s="347"/>
      <c r="G983" s="347"/>
      <c r="H983" s="347"/>
      <c r="I983" s="347"/>
      <c r="J983" s="347"/>
      <c r="K983" s="348"/>
      <c r="L983" s="348"/>
      <c r="M983" s="348"/>
      <c r="N983" s="348"/>
      <c r="O983" s="348"/>
      <c r="P983" s="347"/>
      <c r="Q983" s="347"/>
      <c r="R983" s="347"/>
      <c r="S983" s="347"/>
      <c r="T983" s="347"/>
      <c r="U983" s="347"/>
      <c r="V983" s="347"/>
      <c r="W983" s="347"/>
      <c r="X983" s="347"/>
      <c r="Y983" s="347"/>
      <c r="Z983" s="347"/>
      <c r="AA983" s="604"/>
      <c r="AB983" s="347"/>
      <c r="AC983" s="590"/>
      <c r="AD983" s="347"/>
      <c r="AE983" s="347"/>
      <c r="AF983" s="347"/>
      <c r="AG983" s="347"/>
      <c r="AH983" s="347"/>
      <c r="AI983" s="347"/>
      <c r="AJ983" s="347"/>
      <c r="AK983" s="347"/>
      <c r="AL983" s="347"/>
      <c r="AM983" s="347"/>
      <c r="AN983" s="347"/>
      <c r="AO983" s="347"/>
      <c r="AP983" s="347"/>
      <c r="AQ983" s="347"/>
      <c r="AR983" s="347"/>
      <c r="AS983" s="347"/>
      <c r="AT983" s="347"/>
      <c r="AU983" s="347"/>
      <c r="AV983" s="347"/>
      <c r="AW983" s="347"/>
      <c r="AX983" s="347"/>
      <c r="AY983" s="347"/>
      <c r="AZ983" s="347"/>
      <c r="BA983" s="347"/>
      <c r="BB983" s="347"/>
      <c r="BC983" s="347"/>
      <c r="BD983" s="347"/>
      <c r="BE983" s="347"/>
      <c r="BF983" s="347"/>
      <c r="BG983" s="347"/>
      <c r="BH983" s="347"/>
    </row>
    <row r="984">
      <c r="A984" s="347"/>
      <c r="B984" s="347"/>
      <c r="C984" s="347"/>
      <c r="D984" s="347"/>
      <c r="E984" s="347"/>
      <c r="F984" s="347"/>
      <c r="G984" s="347"/>
      <c r="H984" s="347"/>
      <c r="I984" s="347"/>
      <c r="J984" s="347"/>
      <c r="K984" s="348"/>
      <c r="L984" s="348"/>
      <c r="M984" s="348"/>
      <c r="N984" s="348"/>
      <c r="O984" s="348"/>
      <c r="P984" s="347"/>
      <c r="Q984" s="347"/>
      <c r="R984" s="347"/>
      <c r="S984" s="347"/>
      <c r="T984" s="347"/>
      <c r="U984" s="347"/>
      <c r="V984" s="347"/>
      <c r="W984" s="347"/>
      <c r="X984" s="347"/>
      <c r="Y984" s="347"/>
      <c r="Z984" s="347"/>
      <c r="AA984" s="604"/>
      <c r="AB984" s="347"/>
      <c r="AC984" s="590"/>
      <c r="AD984" s="347"/>
      <c r="AE984" s="347"/>
      <c r="AF984" s="347"/>
      <c r="AG984" s="347"/>
      <c r="AH984" s="347"/>
      <c r="AI984" s="347"/>
      <c r="AJ984" s="347"/>
      <c r="AK984" s="347"/>
      <c r="AL984" s="347"/>
      <c r="AM984" s="347"/>
      <c r="AN984" s="347"/>
      <c r="AO984" s="347"/>
      <c r="AP984" s="347"/>
      <c r="AQ984" s="347"/>
      <c r="AR984" s="347"/>
      <c r="AS984" s="347"/>
      <c r="AT984" s="347"/>
      <c r="AU984" s="347"/>
      <c r="AV984" s="347"/>
      <c r="AW984" s="347"/>
      <c r="AX984" s="347"/>
      <c r="AY984" s="347"/>
      <c r="AZ984" s="347"/>
      <c r="BA984" s="347"/>
      <c r="BB984" s="347"/>
      <c r="BC984" s="347"/>
      <c r="BD984" s="347"/>
      <c r="BE984" s="347"/>
      <c r="BF984" s="347"/>
      <c r="BG984" s="347"/>
      <c r="BH984" s="347"/>
    </row>
    <row r="985">
      <c r="A985" s="347"/>
      <c r="B985" s="347"/>
      <c r="C985" s="347"/>
      <c r="D985" s="347"/>
      <c r="E985" s="347"/>
      <c r="F985" s="347"/>
      <c r="G985" s="347"/>
      <c r="H985" s="347"/>
      <c r="I985" s="347"/>
      <c r="J985" s="347"/>
      <c r="K985" s="348"/>
      <c r="L985" s="348"/>
      <c r="M985" s="348"/>
      <c r="N985" s="348"/>
      <c r="O985" s="348"/>
      <c r="P985" s="347"/>
      <c r="Q985" s="347"/>
      <c r="R985" s="347"/>
      <c r="S985" s="347"/>
      <c r="T985" s="347"/>
      <c r="U985" s="347"/>
      <c r="V985" s="347"/>
      <c r="W985" s="347"/>
      <c r="X985" s="347"/>
      <c r="Y985" s="347"/>
      <c r="Z985" s="347"/>
      <c r="AA985" s="604"/>
      <c r="AB985" s="347"/>
      <c r="AC985" s="590"/>
      <c r="AD985" s="347"/>
      <c r="AE985" s="347"/>
      <c r="AF985" s="347"/>
      <c r="AG985" s="347"/>
      <c r="AH985" s="347"/>
      <c r="AI985" s="347"/>
      <c r="AJ985" s="347"/>
      <c r="AK985" s="347"/>
      <c r="AL985" s="347"/>
      <c r="AM985" s="347"/>
      <c r="AN985" s="347"/>
      <c r="AO985" s="347"/>
      <c r="AP985" s="347"/>
      <c r="AQ985" s="347"/>
      <c r="AR985" s="347"/>
      <c r="AS985" s="347"/>
      <c r="AT985" s="347"/>
      <c r="AU985" s="347"/>
      <c r="AV985" s="347"/>
      <c r="AW985" s="347"/>
      <c r="AX985" s="347"/>
      <c r="AY985" s="347"/>
      <c r="AZ985" s="347"/>
      <c r="BA985" s="347"/>
      <c r="BB985" s="347"/>
      <c r="BC985" s="347"/>
      <c r="BD985" s="347"/>
      <c r="BE985" s="347"/>
      <c r="BF985" s="347"/>
      <c r="BG985" s="347"/>
      <c r="BH985" s="347"/>
    </row>
    <row r="986">
      <c r="A986" s="347"/>
      <c r="B986" s="347"/>
      <c r="C986" s="347"/>
      <c r="D986" s="347"/>
      <c r="E986" s="347"/>
      <c r="F986" s="347"/>
      <c r="G986" s="347"/>
      <c r="H986" s="347"/>
      <c r="I986" s="347"/>
      <c r="J986" s="347"/>
      <c r="K986" s="348"/>
      <c r="L986" s="348"/>
      <c r="M986" s="348"/>
      <c r="N986" s="348"/>
      <c r="O986" s="348"/>
      <c r="P986" s="347"/>
      <c r="Q986" s="347"/>
      <c r="R986" s="347"/>
      <c r="S986" s="347"/>
      <c r="T986" s="347"/>
      <c r="U986" s="347"/>
      <c r="V986" s="347"/>
      <c r="W986" s="347"/>
      <c r="X986" s="347"/>
      <c r="Y986" s="347"/>
      <c r="Z986" s="347"/>
      <c r="AA986" s="604"/>
      <c r="AB986" s="347"/>
      <c r="AC986" s="590"/>
      <c r="AD986" s="347"/>
      <c r="AE986" s="347"/>
      <c r="AF986" s="347"/>
      <c r="AG986" s="347"/>
      <c r="AH986" s="347"/>
      <c r="AI986" s="347"/>
      <c r="AJ986" s="347"/>
      <c r="AK986" s="347"/>
      <c r="AL986" s="347"/>
      <c r="AM986" s="347"/>
      <c r="AN986" s="347"/>
      <c r="AO986" s="347"/>
      <c r="AP986" s="347"/>
      <c r="AQ986" s="347"/>
      <c r="AR986" s="347"/>
      <c r="AS986" s="347"/>
      <c r="AT986" s="347"/>
      <c r="AU986" s="347"/>
      <c r="AV986" s="347"/>
      <c r="AW986" s="347"/>
      <c r="AX986" s="347"/>
      <c r="AY986" s="347"/>
      <c r="AZ986" s="347"/>
      <c r="BA986" s="347"/>
      <c r="BB986" s="347"/>
      <c r="BC986" s="347"/>
      <c r="BD986" s="347"/>
      <c r="BE986" s="347"/>
      <c r="BF986" s="347"/>
      <c r="BG986" s="347"/>
      <c r="BH986" s="347"/>
    </row>
    <row r="987">
      <c r="A987" s="347"/>
      <c r="B987" s="347"/>
      <c r="C987" s="347"/>
      <c r="D987" s="347"/>
      <c r="E987" s="347"/>
      <c r="F987" s="347"/>
      <c r="G987" s="347"/>
      <c r="H987" s="347"/>
      <c r="I987" s="347"/>
      <c r="J987" s="347"/>
      <c r="K987" s="348"/>
      <c r="L987" s="348"/>
      <c r="M987" s="348"/>
      <c r="N987" s="348"/>
      <c r="O987" s="348"/>
      <c r="P987" s="347"/>
      <c r="Q987" s="347"/>
      <c r="R987" s="347"/>
      <c r="S987" s="347"/>
      <c r="T987" s="347"/>
      <c r="U987" s="347"/>
      <c r="V987" s="347"/>
      <c r="W987" s="347"/>
      <c r="X987" s="347"/>
      <c r="Y987" s="347"/>
      <c r="Z987" s="347"/>
      <c r="AA987" s="604"/>
      <c r="AB987" s="347"/>
      <c r="AC987" s="590"/>
      <c r="AD987" s="347"/>
      <c r="AE987" s="347"/>
      <c r="AF987" s="347"/>
      <c r="AG987" s="347"/>
      <c r="AH987" s="347"/>
      <c r="AI987" s="347"/>
      <c r="AJ987" s="347"/>
      <c r="AK987" s="347"/>
      <c r="AL987" s="347"/>
      <c r="AM987" s="347"/>
      <c r="AN987" s="347"/>
      <c r="AO987" s="347"/>
      <c r="AP987" s="347"/>
      <c r="AQ987" s="347"/>
      <c r="AR987" s="347"/>
      <c r="AS987" s="347"/>
      <c r="AT987" s="347"/>
      <c r="AU987" s="347"/>
      <c r="AV987" s="347"/>
      <c r="AW987" s="347"/>
      <c r="AX987" s="347"/>
      <c r="AY987" s="347"/>
      <c r="AZ987" s="347"/>
      <c r="BA987" s="347"/>
      <c r="BB987" s="347"/>
      <c r="BC987" s="347"/>
      <c r="BD987" s="347"/>
      <c r="BE987" s="347"/>
      <c r="BF987" s="347"/>
      <c r="BG987" s="347"/>
      <c r="BH987" s="347"/>
    </row>
    <row r="988">
      <c r="A988" s="347"/>
      <c r="B988" s="347"/>
      <c r="C988" s="347"/>
      <c r="D988" s="347"/>
      <c r="E988" s="347"/>
      <c r="F988" s="347"/>
      <c r="G988" s="347"/>
      <c r="H988" s="347"/>
      <c r="I988" s="347"/>
      <c r="J988" s="347"/>
      <c r="K988" s="348"/>
      <c r="L988" s="348"/>
      <c r="M988" s="348"/>
      <c r="N988" s="348"/>
      <c r="O988" s="348"/>
      <c r="P988" s="347"/>
      <c r="Q988" s="347"/>
      <c r="R988" s="347"/>
      <c r="S988" s="347"/>
      <c r="T988" s="347"/>
      <c r="U988" s="347"/>
      <c r="V988" s="347"/>
      <c r="W988" s="347"/>
      <c r="X988" s="347"/>
      <c r="Y988" s="347"/>
      <c r="Z988" s="347"/>
      <c r="AA988" s="604"/>
      <c r="AB988" s="347"/>
      <c r="AC988" s="590"/>
      <c r="AD988" s="347"/>
      <c r="AE988" s="347"/>
      <c r="AF988" s="347"/>
      <c r="AG988" s="347"/>
      <c r="AH988" s="347"/>
      <c r="AI988" s="347"/>
      <c r="AJ988" s="347"/>
      <c r="AK988" s="347"/>
      <c r="AL988" s="347"/>
      <c r="AM988" s="347"/>
      <c r="AN988" s="347"/>
      <c r="AO988" s="347"/>
      <c r="AP988" s="347"/>
      <c r="AQ988" s="347"/>
      <c r="AR988" s="347"/>
      <c r="AS988" s="347"/>
      <c r="AT988" s="347"/>
      <c r="AU988" s="347"/>
      <c r="AV988" s="347"/>
      <c r="AW988" s="347"/>
      <c r="AX988" s="347"/>
      <c r="AY988" s="347"/>
      <c r="AZ988" s="347"/>
      <c r="BA988" s="347"/>
      <c r="BB988" s="347"/>
      <c r="BC988" s="347"/>
      <c r="BD988" s="347"/>
      <c r="BE988" s="347"/>
      <c r="BF988" s="347"/>
      <c r="BG988" s="347"/>
      <c r="BH988" s="347"/>
    </row>
    <row r="989">
      <c r="A989" s="347"/>
      <c r="B989" s="347"/>
      <c r="C989" s="347"/>
      <c r="D989" s="347"/>
      <c r="E989" s="347"/>
      <c r="F989" s="347"/>
      <c r="G989" s="347"/>
      <c r="H989" s="347"/>
      <c r="I989" s="347"/>
      <c r="J989" s="347"/>
      <c r="K989" s="348"/>
      <c r="L989" s="348"/>
      <c r="M989" s="348"/>
      <c r="N989" s="348"/>
      <c r="O989" s="348"/>
      <c r="P989" s="347"/>
      <c r="Q989" s="347"/>
      <c r="R989" s="347"/>
      <c r="S989" s="347"/>
      <c r="T989" s="347"/>
      <c r="U989" s="347"/>
      <c r="V989" s="347"/>
      <c r="W989" s="347"/>
      <c r="X989" s="347"/>
      <c r="Y989" s="347"/>
      <c r="Z989" s="347"/>
      <c r="AA989" s="604"/>
      <c r="AB989" s="347"/>
      <c r="AC989" s="590"/>
      <c r="AD989" s="347"/>
      <c r="AE989" s="347"/>
      <c r="AF989" s="347"/>
      <c r="AG989" s="347"/>
      <c r="AH989" s="347"/>
      <c r="AI989" s="347"/>
      <c r="AJ989" s="347"/>
      <c r="AK989" s="347"/>
      <c r="AL989" s="347"/>
      <c r="AM989" s="347"/>
      <c r="AN989" s="347"/>
      <c r="AO989" s="347"/>
      <c r="AP989" s="347"/>
      <c r="AQ989" s="347"/>
      <c r="AR989" s="347"/>
      <c r="AS989" s="347"/>
      <c r="AT989" s="347"/>
      <c r="AU989" s="347"/>
      <c r="AV989" s="347"/>
      <c r="AW989" s="347"/>
      <c r="AX989" s="347"/>
      <c r="AY989" s="347"/>
      <c r="AZ989" s="347"/>
      <c r="BA989" s="347"/>
      <c r="BB989" s="347"/>
      <c r="BC989" s="347"/>
      <c r="BD989" s="347"/>
      <c r="BE989" s="347"/>
      <c r="BF989" s="347"/>
      <c r="BG989" s="347"/>
      <c r="BH989" s="347"/>
    </row>
    <row r="990">
      <c r="A990" s="347"/>
      <c r="B990" s="347"/>
      <c r="C990" s="347"/>
      <c r="D990" s="347"/>
      <c r="E990" s="347"/>
      <c r="F990" s="347"/>
      <c r="G990" s="347"/>
      <c r="H990" s="347"/>
      <c r="I990" s="347"/>
      <c r="J990" s="347"/>
      <c r="K990" s="348"/>
      <c r="L990" s="348"/>
      <c r="M990" s="348"/>
      <c r="N990" s="348"/>
      <c r="O990" s="348"/>
      <c r="P990" s="347"/>
      <c r="Q990" s="347"/>
      <c r="R990" s="347"/>
      <c r="S990" s="347"/>
      <c r="T990" s="347"/>
      <c r="U990" s="347"/>
      <c r="V990" s="347"/>
      <c r="W990" s="347"/>
      <c r="X990" s="347"/>
      <c r="Y990" s="347"/>
      <c r="Z990" s="347"/>
      <c r="AA990" s="604"/>
      <c r="AB990" s="347"/>
      <c r="AC990" s="590"/>
      <c r="AD990" s="347"/>
      <c r="AE990" s="347"/>
      <c r="AF990" s="347"/>
      <c r="AG990" s="347"/>
      <c r="AH990" s="347"/>
      <c r="AI990" s="347"/>
      <c r="AJ990" s="347"/>
      <c r="AK990" s="347"/>
      <c r="AL990" s="347"/>
      <c r="AM990" s="347"/>
      <c r="AN990" s="347"/>
      <c r="AO990" s="347"/>
      <c r="AP990" s="347"/>
      <c r="AQ990" s="347"/>
      <c r="AR990" s="347"/>
      <c r="AS990" s="347"/>
      <c r="AT990" s="347"/>
      <c r="AU990" s="347"/>
      <c r="AV990" s="347"/>
      <c r="AW990" s="347"/>
      <c r="AX990" s="347"/>
      <c r="AY990" s="347"/>
      <c r="AZ990" s="347"/>
      <c r="BA990" s="347"/>
      <c r="BB990" s="347"/>
      <c r="BC990" s="347"/>
      <c r="BD990" s="347"/>
      <c r="BE990" s="347"/>
      <c r="BF990" s="347"/>
      <c r="BG990" s="347"/>
      <c r="BH990" s="347"/>
    </row>
    <row r="991">
      <c r="A991" s="347"/>
      <c r="B991" s="347"/>
      <c r="C991" s="347"/>
      <c r="D991" s="347"/>
      <c r="E991" s="347"/>
      <c r="F991" s="347"/>
      <c r="G991" s="347"/>
      <c r="H991" s="347"/>
      <c r="I991" s="347"/>
      <c r="J991" s="347"/>
      <c r="K991" s="348"/>
      <c r="L991" s="348"/>
      <c r="M991" s="348"/>
      <c r="N991" s="348"/>
      <c r="O991" s="348"/>
      <c r="P991" s="347"/>
      <c r="Q991" s="347"/>
      <c r="R991" s="347"/>
      <c r="S991" s="347"/>
      <c r="T991" s="347"/>
      <c r="U991" s="347"/>
      <c r="V991" s="347"/>
      <c r="W991" s="347"/>
      <c r="X991" s="347"/>
      <c r="Y991" s="347"/>
      <c r="Z991" s="347"/>
      <c r="AA991" s="604"/>
      <c r="AB991" s="347"/>
      <c r="AC991" s="590"/>
      <c r="AD991" s="347"/>
      <c r="AE991" s="347"/>
      <c r="AF991" s="347"/>
      <c r="AG991" s="347"/>
      <c r="AH991" s="347"/>
      <c r="AI991" s="347"/>
      <c r="AJ991" s="347"/>
      <c r="AK991" s="347"/>
      <c r="AL991" s="347"/>
      <c r="AM991" s="347"/>
      <c r="AN991" s="347"/>
      <c r="AO991" s="347"/>
      <c r="AP991" s="347"/>
      <c r="AQ991" s="347"/>
      <c r="AR991" s="347"/>
      <c r="AS991" s="347"/>
      <c r="AT991" s="347"/>
      <c r="AU991" s="347"/>
      <c r="AV991" s="347"/>
      <c r="AW991" s="347"/>
      <c r="AX991" s="347"/>
      <c r="AY991" s="347"/>
      <c r="AZ991" s="347"/>
      <c r="BA991" s="347"/>
      <c r="BB991" s="347"/>
      <c r="BC991" s="347"/>
      <c r="BD991" s="347"/>
      <c r="BE991" s="347"/>
      <c r="BF991" s="347"/>
      <c r="BG991" s="347"/>
      <c r="BH991" s="347"/>
    </row>
    <row r="992">
      <c r="A992" s="347"/>
      <c r="B992" s="347"/>
      <c r="C992" s="347"/>
      <c r="D992" s="347"/>
      <c r="E992" s="347"/>
      <c r="F992" s="347"/>
      <c r="G992" s="347"/>
      <c r="H992" s="347"/>
      <c r="I992" s="347"/>
      <c r="J992" s="347"/>
      <c r="K992" s="348"/>
      <c r="L992" s="348"/>
      <c r="M992" s="348"/>
      <c r="N992" s="348"/>
      <c r="O992" s="348"/>
      <c r="P992" s="347"/>
      <c r="Q992" s="347"/>
      <c r="R992" s="347"/>
      <c r="S992" s="347"/>
      <c r="T992" s="347"/>
      <c r="U992" s="347"/>
      <c r="V992" s="347"/>
      <c r="W992" s="347"/>
      <c r="X992" s="347"/>
      <c r="Y992" s="347"/>
      <c r="Z992" s="347"/>
      <c r="AA992" s="604"/>
      <c r="AB992" s="347"/>
      <c r="AC992" s="590"/>
      <c r="AD992" s="347"/>
      <c r="AE992" s="347"/>
      <c r="AF992" s="347"/>
      <c r="AG992" s="347"/>
      <c r="AH992" s="347"/>
      <c r="AI992" s="347"/>
      <c r="AJ992" s="347"/>
      <c r="AK992" s="347"/>
      <c r="AL992" s="347"/>
      <c r="AM992" s="347"/>
      <c r="AN992" s="347"/>
      <c r="AO992" s="347"/>
      <c r="AP992" s="347"/>
      <c r="AQ992" s="347"/>
      <c r="AR992" s="347"/>
      <c r="AS992" s="347"/>
      <c r="AT992" s="347"/>
      <c r="AU992" s="347"/>
      <c r="AV992" s="347"/>
      <c r="AW992" s="347"/>
      <c r="AX992" s="347"/>
      <c r="AY992" s="347"/>
      <c r="AZ992" s="347"/>
      <c r="BA992" s="347"/>
      <c r="BB992" s="347"/>
      <c r="BC992" s="347"/>
      <c r="BD992" s="347"/>
      <c r="BE992" s="347"/>
      <c r="BF992" s="347"/>
      <c r="BG992" s="347"/>
      <c r="BH992" s="347"/>
    </row>
    <row r="993">
      <c r="A993" s="347"/>
      <c r="B993" s="347"/>
      <c r="C993" s="347"/>
      <c r="D993" s="347"/>
      <c r="E993" s="347"/>
      <c r="F993" s="347"/>
      <c r="G993" s="347"/>
      <c r="H993" s="347"/>
      <c r="I993" s="347"/>
      <c r="J993" s="347"/>
      <c r="K993" s="348"/>
      <c r="L993" s="348"/>
      <c r="M993" s="348"/>
      <c r="N993" s="348"/>
      <c r="O993" s="348"/>
      <c r="P993" s="347"/>
      <c r="Q993" s="347"/>
      <c r="R993" s="347"/>
      <c r="S993" s="347"/>
      <c r="T993" s="347"/>
      <c r="U993" s="347"/>
      <c r="V993" s="347"/>
      <c r="W993" s="347"/>
      <c r="X993" s="347"/>
      <c r="Y993" s="347"/>
      <c r="Z993" s="347"/>
      <c r="AA993" s="604"/>
      <c r="AB993" s="347"/>
      <c r="AC993" s="590"/>
      <c r="AD993" s="347"/>
      <c r="AE993" s="347"/>
      <c r="AF993" s="347"/>
      <c r="AG993" s="347"/>
      <c r="AH993" s="347"/>
      <c r="AI993" s="347"/>
      <c r="AJ993" s="347"/>
      <c r="AK993" s="347"/>
      <c r="AL993" s="347"/>
      <c r="AM993" s="347"/>
      <c r="AN993" s="347"/>
      <c r="AO993" s="347"/>
      <c r="AP993" s="347"/>
      <c r="AQ993" s="347"/>
      <c r="AR993" s="347"/>
      <c r="AS993" s="347"/>
      <c r="AT993" s="347"/>
      <c r="AU993" s="347"/>
      <c r="AV993" s="347"/>
      <c r="AW993" s="347"/>
      <c r="AX993" s="347"/>
      <c r="AY993" s="347"/>
      <c r="AZ993" s="347"/>
      <c r="BA993" s="347"/>
      <c r="BB993" s="347"/>
      <c r="BC993" s="347"/>
      <c r="BD993" s="347"/>
      <c r="BE993" s="347"/>
      <c r="BF993" s="347"/>
      <c r="BG993" s="347"/>
      <c r="BH993" s="347"/>
    </row>
    <row r="994">
      <c r="A994" s="347"/>
      <c r="B994" s="347"/>
      <c r="C994" s="347"/>
      <c r="D994" s="347"/>
      <c r="E994" s="347"/>
      <c r="F994" s="347"/>
      <c r="G994" s="347"/>
      <c r="H994" s="347"/>
      <c r="I994" s="347"/>
      <c r="J994" s="347"/>
      <c r="K994" s="348"/>
      <c r="L994" s="348"/>
      <c r="M994" s="348"/>
      <c r="N994" s="348"/>
      <c r="O994" s="348"/>
      <c r="P994" s="347"/>
      <c r="Q994" s="347"/>
      <c r="R994" s="347"/>
      <c r="S994" s="347"/>
      <c r="T994" s="347"/>
      <c r="U994" s="347"/>
      <c r="V994" s="347"/>
      <c r="W994" s="347"/>
      <c r="X994" s="347"/>
      <c r="Y994" s="347"/>
      <c r="Z994" s="347"/>
      <c r="AA994" s="604"/>
      <c r="AB994" s="347"/>
      <c r="AC994" s="590"/>
      <c r="AD994" s="347"/>
      <c r="AE994" s="347"/>
      <c r="AF994" s="347"/>
      <c r="AG994" s="347"/>
      <c r="AH994" s="347"/>
      <c r="AI994" s="347"/>
      <c r="AJ994" s="347"/>
      <c r="AK994" s="347"/>
      <c r="AL994" s="347"/>
      <c r="AM994" s="347"/>
      <c r="AN994" s="347"/>
      <c r="AO994" s="347"/>
      <c r="AP994" s="347"/>
      <c r="AQ994" s="347"/>
      <c r="AR994" s="347"/>
      <c r="AS994" s="347"/>
      <c r="AT994" s="347"/>
      <c r="AU994" s="347"/>
      <c r="AV994" s="347"/>
      <c r="AW994" s="347"/>
      <c r="AX994" s="347"/>
      <c r="AY994" s="347"/>
      <c r="AZ994" s="347"/>
      <c r="BA994" s="347"/>
      <c r="BB994" s="347"/>
      <c r="BC994" s="347"/>
      <c r="BD994" s="347"/>
      <c r="BE994" s="347"/>
      <c r="BF994" s="347"/>
      <c r="BG994" s="347"/>
      <c r="BH994" s="347"/>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7.5"/>
    <col customWidth="1" min="3" max="3" width="18.13"/>
    <col customWidth="1" min="4" max="4" width="6.75"/>
  </cols>
  <sheetData>
    <row r="1">
      <c r="A1" s="347" t="s">
        <v>3530</v>
      </c>
      <c r="B1" s="817" t="s">
        <v>3531</v>
      </c>
      <c r="C1" s="347" t="s">
        <v>3532</v>
      </c>
      <c r="D1" s="347" t="s">
        <v>3533</v>
      </c>
      <c r="E1" s="347" t="s">
        <v>3534</v>
      </c>
    </row>
    <row r="2">
      <c r="A2" s="1" t="str">
        <f>'DEPRECATED 2023 PO  Injection T'!B2</f>
        <v>001T1R0</v>
      </c>
      <c r="B2" s="543">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3">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3">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3">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3">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3">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3">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3">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3">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3">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3">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3">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3">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3">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3">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3">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3">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3">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3">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3">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3">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3">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3">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3">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3">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3">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3">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3">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3"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3"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3"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3"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3">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3">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3">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3">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3">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3">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3"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3" t="str">
        <f>'DEPRECATED 2023 PO  Injection T'!I41</f>
        <v/>
      </c>
      <c r="C41" s="1" t="str">
        <f>'DEPRECATED 2023 PO  Injection T'!M41</f>
        <v/>
      </c>
      <c r="D41" s="1" t="str">
        <f>'DEPRECATED 2023 PO  Injection T'!D41</f>
        <v/>
      </c>
      <c r="E41" s="1" t="str">
        <f>'DEPRECATED 2023 PO  Injection T'!C41</f>
        <v/>
      </c>
    </row>
    <row r="42">
      <c r="B42" s="543"/>
    </row>
    <row r="43">
      <c r="B43" s="543"/>
    </row>
    <row r="44">
      <c r="B44" s="543"/>
    </row>
    <row r="45">
      <c r="B45" s="543"/>
    </row>
    <row r="46">
      <c r="B46" s="543"/>
    </row>
    <row r="47">
      <c r="B47" s="543"/>
    </row>
    <row r="48">
      <c r="B48" s="543"/>
    </row>
    <row r="49">
      <c r="B49" s="543"/>
    </row>
    <row r="50">
      <c r="B50" s="543"/>
    </row>
    <row r="51">
      <c r="B51" s="543"/>
    </row>
    <row r="52">
      <c r="B52" s="543"/>
    </row>
    <row r="53">
      <c r="B53" s="543"/>
    </row>
    <row r="54">
      <c r="B54" s="543"/>
    </row>
    <row r="55">
      <c r="B55" s="543"/>
    </row>
    <row r="56">
      <c r="B56" s="543"/>
    </row>
    <row r="57">
      <c r="B57" s="543"/>
    </row>
    <row r="58">
      <c r="B58" s="543"/>
    </row>
    <row r="59">
      <c r="B59" s="543"/>
    </row>
    <row r="60">
      <c r="B60" s="543"/>
    </row>
    <row r="61">
      <c r="B61" s="543"/>
    </row>
    <row r="62">
      <c r="B62" s="543"/>
    </row>
    <row r="63">
      <c r="B63" s="543"/>
    </row>
    <row r="64">
      <c r="B64" s="543"/>
    </row>
    <row r="65">
      <c r="B65" s="543"/>
    </row>
    <row r="66">
      <c r="B66" s="543"/>
    </row>
    <row r="67">
      <c r="B67" s="543"/>
    </row>
    <row r="68">
      <c r="B68" s="543"/>
    </row>
    <row r="69">
      <c r="B69" s="543"/>
    </row>
    <row r="70">
      <c r="B70" s="543"/>
    </row>
    <row r="71">
      <c r="B71" s="543"/>
    </row>
    <row r="72">
      <c r="B72" s="543"/>
    </row>
    <row r="73">
      <c r="B73" s="543"/>
    </row>
    <row r="74">
      <c r="B74" s="543"/>
    </row>
    <row r="75">
      <c r="B75" s="543"/>
    </row>
    <row r="76">
      <c r="B76" s="543"/>
    </row>
    <row r="77">
      <c r="B77" s="543"/>
    </row>
    <row r="78">
      <c r="B78" s="543"/>
    </row>
    <row r="79">
      <c r="B79" s="543"/>
    </row>
    <row r="80">
      <c r="B80" s="543"/>
    </row>
    <row r="81">
      <c r="A81" s="1" t="str">
        <f>'DEPRECATED 2023 PO  Injection T'!B81</f>
        <v/>
      </c>
      <c r="B81" s="543" t="str">
        <f>'DEPRECATED 2023 PO  Injection T'!I81</f>
        <v/>
      </c>
      <c r="C81" s="497" t="str">
        <f>'DEPRECATED 2023 PO  Injection T'!M81</f>
        <v/>
      </c>
      <c r="D81" s="1" t="str">
        <f>'DEPRECATED 2023 PO  Injection T'!D81</f>
        <v/>
      </c>
    </row>
    <row r="82">
      <c r="A82" s="1" t="str">
        <f>'DEPRECATED 2023 PO  Injection T'!B82</f>
        <v/>
      </c>
      <c r="B82" s="543" t="str">
        <f>'DEPRECATED 2023 PO  Injection T'!I82</f>
        <v/>
      </c>
      <c r="C82" s="497" t="str">
        <f>'DEPRECATED 2023 PO  Injection T'!M82</f>
        <v/>
      </c>
      <c r="D82" s="1" t="str">
        <f>'DEPRECATED 2023 PO  Injection T'!D82</f>
        <v/>
      </c>
    </row>
    <row r="83">
      <c r="A83" s="1" t="str">
        <f>'DEPRECATED 2023 PO  Injection T'!B83</f>
        <v/>
      </c>
      <c r="B83" s="543" t="str">
        <f>'DEPRECATED 2023 PO  Injection T'!I83</f>
        <v/>
      </c>
      <c r="C83" s="497" t="str">
        <f>'DEPRECATED 2023 PO  Injection T'!M83</f>
        <v/>
      </c>
      <c r="D83" s="1" t="str">
        <f>'DEPRECATED 2023 PO  Injection T'!D83</f>
        <v/>
      </c>
    </row>
    <row r="84">
      <c r="A84" s="1" t="str">
        <f>'DEPRECATED 2023 PO  Injection T'!B84</f>
        <v/>
      </c>
      <c r="B84" s="543" t="str">
        <f>'DEPRECATED 2023 PO  Injection T'!I84</f>
        <v/>
      </c>
      <c r="C84" s="497" t="str">
        <f>'DEPRECATED 2023 PO  Injection T'!M84</f>
        <v/>
      </c>
      <c r="D84" s="1" t="str">
        <f>'DEPRECATED 2023 PO  Injection T'!D84</f>
        <v/>
      </c>
    </row>
    <row r="85">
      <c r="A85" s="1" t="str">
        <f>'DEPRECATED 2023 PO  Injection T'!B85</f>
        <v/>
      </c>
      <c r="B85" s="543" t="str">
        <f>'DEPRECATED 2023 PO  Injection T'!I85</f>
        <v/>
      </c>
      <c r="C85" s="497" t="str">
        <f>'DEPRECATED 2023 PO  Injection T'!M85</f>
        <v/>
      </c>
      <c r="D85" s="1" t="str">
        <f>'DEPRECATED 2023 PO  Injection T'!D85</f>
        <v/>
      </c>
    </row>
    <row r="86">
      <c r="A86" s="1" t="str">
        <f>'DEPRECATED 2023 PO  Injection T'!B86</f>
        <v/>
      </c>
      <c r="B86" s="543" t="str">
        <f>'DEPRECATED 2023 PO  Injection T'!I86</f>
        <v/>
      </c>
      <c r="C86" s="497" t="str">
        <f>'DEPRECATED 2023 PO  Injection T'!M86</f>
        <v/>
      </c>
      <c r="D86" s="1" t="str">
        <f>'DEPRECATED 2023 PO  Injection T'!D86</f>
        <v/>
      </c>
    </row>
    <row r="87">
      <c r="A87" s="1" t="str">
        <f>'DEPRECATED 2023 PO  Injection T'!B87</f>
        <v/>
      </c>
      <c r="B87" s="543" t="str">
        <f>'DEPRECATED 2023 PO  Injection T'!I87</f>
        <v/>
      </c>
      <c r="C87" s="497" t="str">
        <f>'DEPRECATED 2023 PO  Injection T'!M87</f>
        <v/>
      </c>
      <c r="D87" s="1" t="str">
        <f>'DEPRECATED 2023 PO  Injection T'!D87</f>
        <v/>
      </c>
    </row>
    <row r="88">
      <c r="A88" s="1" t="str">
        <f>'DEPRECATED 2023 PO  Injection T'!B88</f>
        <v/>
      </c>
      <c r="B88" s="543" t="str">
        <f>'DEPRECATED 2023 PO  Injection T'!I88</f>
        <v/>
      </c>
      <c r="C88" s="497" t="str">
        <f>'DEPRECATED 2023 PO  Injection T'!M88</f>
        <v/>
      </c>
      <c r="D88" s="1" t="str">
        <f>'DEPRECATED 2023 PO  Injection T'!D88</f>
        <v/>
      </c>
    </row>
    <row r="89">
      <c r="A89" s="1" t="str">
        <f>'DEPRECATED 2023 PO  Injection T'!B89</f>
        <v/>
      </c>
      <c r="B89" s="543" t="str">
        <f>'DEPRECATED 2023 PO  Injection T'!I89</f>
        <v/>
      </c>
      <c r="C89" s="497" t="str">
        <f>'DEPRECATED 2023 PO  Injection T'!M89</f>
        <v/>
      </c>
      <c r="D89" s="1" t="str">
        <f>'DEPRECATED 2023 PO  Injection T'!D89</f>
        <v/>
      </c>
    </row>
    <row r="90">
      <c r="A90" s="1" t="str">
        <f>'DEPRECATED 2023 PO  Injection T'!B90</f>
        <v/>
      </c>
      <c r="B90" s="543" t="str">
        <f>'DEPRECATED 2023 PO  Injection T'!I90</f>
        <v/>
      </c>
      <c r="C90" s="497" t="str">
        <f>'DEPRECATED 2023 PO  Injection T'!M90</f>
        <v/>
      </c>
      <c r="D90" s="1" t="str">
        <f>'DEPRECATED 2023 PO  Injection T'!D90</f>
        <v/>
      </c>
    </row>
    <row r="91">
      <c r="A91" s="1" t="str">
        <f>'DEPRECATED 2023 PO  Injection T'!B91</f>
        <v/>
      </c>
      <c r="B91" s="543" t="str">
        <f>'DEPRECATED 2023 PO  Injection T'!I91</f>
        <v/>
      </c>
      <c r="C91" s="497" t="str">
        <f>'DEPRECATED 2023 PO  Injection T'!M91</f>
        <v/>
      </c>
      <c r="D91" s="1" t="str">
        <f>'DEPRECATED 2023 PO  Injection T'!D91</f>
        <v/>
      </c>
    </row>
    <row r="92">
      <c r="A92" s="1" t="str">
        <f>'DEPRECATED 2023 PO  Injection T'!B92</f>
        <v/>
      </c>
      <c r="B92" s="543" t="str">
        <f>'DEPRECATED 2023 PO  Injection T'!I92</f>
        <v/>
      </c>
      <c r="C92" s="497" t="str">
        <f>'DEPRECATED 2023 PO  Injection T'!M92</f>
        <v/>
      </c>
      <c r="D92" s="1" t="str">
        <f>'DEPRECATED 2023 PO  Injection T'!D92</f>
        <v/>
      </c>
    </row>
    <row r="93">
      <c r="A93" s="1" t="str">
        <f>'DEPRECATED 2023 PO  Injection T'!B93</f>
        <v/>
      </c>
      <c r="B93" s="543" t="str">
        <f>'DEPRECATED 2023 PO  Injection T'!I93</f>
        <v/>
      </c>
      <c r="C93" s="497" t="str">
        <f>'DEPRECATED 2023 PO  Injection T'!M93</f>
        <v/>
      </c>
      <c r="D93" s="1" t="str">
        <f>'DEPRECATED 2023 PO  Injection T'!D93</f>
        <v/>
      </c>
    </row>
    <row r="94">
      <c r="A94" s="1" t="str">
        <f>'DEPRECATED 2023 PO  Injection T'!B94</f>
        <v/>
      </c>
      <c r="B94" s="543" t="str">
        <f>'DEPRECATED 2023 PO  Injection T'!I94</f>
        <v/>
      </c>
      <c r="C94" s="497" t="str">
        <f>'DEPRECATED 2023 PO  Injection T'!M94</f>
        <v/>
      </c>
      <c r="D94" s="1" t="str">
        <f>'DEPRECATED 2023 PO  Injection T'!D94</f>
        <v/>
      </c>
    </row>
    <row r="95">
      <c r="A95" s="1" t="str">
        <f>'DEPRECATED 2023 PO  Injection T'!B95</f>
        <v/>
      </c>
      <c r="B95" s="543" t="str">
        <f>'DEPRECATED 2023 PO  Injection T'!I95</f>
        <v/>
      </c>
      <c r="D95" s="1" t="str">
        <f>'DEPRECATED 2023 PO  Injection T'!D95</f>
        <v/>
      </c>
    </row>
    <row r="96">
      <c r="A96" s="1" t="str">
        <f>'DEPRECATED 2023 PO  Injection T'!B96</f>
        <v/>
      </c>
      <c r="B96" s="543" t="str">
        <f>'DEPRECATED 2023 PO  Injection T'!I96</f>
        <v/>
      </c>
      <c r="D96" s="1" t="str">
        <f>'DEPRECATED 2023 PO  Injection T'!D96</f>
        <v/>
      </c>
    </row>
    <row r="97">
      <c r="A97" s="1" t="str">
        <f>'DEPRECATED 2023 PO  Injection T'!B97</f>
        <v/>
      </c>
      <c r="B97" s="543" t="str">
        <f>'DEPRECATED 2023 PO  Injection T'!I97</f>
        <v/>
      </c>
      <c r="D97" s="1" t="str">
        <f>'DEPRECATED 2023 PO  Injection T'!D97</f>
        <v/>
      </c>
    </row>
    <row r="98">
      <c r="A98" s="1" t="str">
        <f>'DEPRECATED 2023 PO  Injection T'!B98</f>
        <v/>
      </c>
      <c r="B98" s="543" t="str">
        <f>'DEPRECATED 2023 PO  Injection T'!I98</f>
        <v/>
      </c>
      <c r="D98" s="1" t="str">
        <f>'DEPRECATED 2023 PO  Injection T'!D98</f>
        <v/>
      </c>
    </row>
    <row r="99">
      <c r="A99" s="1" t="str">
        <f>'DEPRECATED 2023 PO  Injection T'!B99</f>
        <v/>
      </c>
      <c r="B99" s="543" t="str">
        <f>'DEPRECATED 2023 PO  Injection T'!I99</f>
        <v/>
      </c>
      <c r="D99" s="1" t="str">
        <f>'DEPRECATED 2023 PO  Injection T'!D99</f>
        <v/>
      </c>
    </row>
    <row r="100">
      <c r="A100" s="1" t="str">
        <f>'DEPRECATED 2023 PO  Injection T'!B100</f>
        <v/>
      </c>
      <c r="B100" s="543" t="str">
        <f>'DEPRECATED 2023 PO  Injection T'!I100</f>
        <v/>
      </c>
      <c r="D100" s="1" t="str">
        <f>'DEPRECATED 2023 PO  Injection T'!D100</f>
        <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1" t="s">
        <v>3535</v>
      </c>
      <c r="B1" s="1">
        <v>0.0</v>
      </c>
      <c r="C1" s="1">
        <v>25.0</v>
      </c>
      <c r="D1" s="1">
        <v>50.0</v>
      </c>
      <c r="E1" s="1">
        <v>75.0</v>
      </c>
      <c r="G1" s="90"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52.88"/>
    <col customWidth="1" min="3" max="3" width="28.13"/>
    <col customWidth="1" min="4" max="4" width="17.13"/>
  </cols>
  <sheetData>
    <row r="1" ht="33.75" customHeight="1">
      <c r="A1" s="818"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9 weeks ago</v>
      </c>
      <c r="B1" s="452" t="s">
        <v>2155</v>
      </c>
      <c r="C1" s="452" t="str">
        <f>IFERROR(IF(NOW(), _COEFF_ssop()),"")</f>
        <v/>
      </c>
      <c r="D1" s="452" t="s">
        <v>2155</v>
      </c>
      <c r="E1" s="454"/>
      <c r="F1" s="454"/>
      <c r="G1" s="454"/>
      <c r="H1" s="454"/>
      <c r="I1" s="454"/>
      <c r="J1" s="454"/>
      <c r="K1" s="454"/>
      <c r="L1" s="454"/>
      <c r="M1" s="454"/>
      <c r="N1" s="454"/>
      <c r="O1" s="454"/>
      <c r="P1" s="454"/>
      <c r="Q1" s="454"/>
      <c r="R1" s="454"/>
      <c r="S1" s="454"/>
      <c r="T1" s="454"/>
      <c r="U1" s="454"/>
      <c r="V1" s="454"/>
      <c r="W1" s="454"/>
      <c r="X1" s="454"/>
      <c r="Y1" s="454"/>
      <c r="Z1" s="454"/>
    </row>
    <row r="2" ht="22.5" customHeight="1">
      <c r="A2" s="819" t="s">
        <v>2156</v>
      </c>
      <c r="B2" s="458" t="s">
        <v>3536</v>
      </c>
      <c r="C2" s="458" t="s">
        <v>3537</v>
      </c>
      <c r="D2" s="458" t="s">
        <v>3538</v>
      </c>
      <c r="E2" s="460" t="s">
        <v>3539</v>
      </c>
      <c r="F2" s="460" t="s">
        <v>3540</v>
      </c>
      <c r="G2" s="680"/>
      <c r="H2" s="680"/>
      <c r="I2" s="680"/>
      <c r="J2" s="680"/>
      <c r="K2" s="680"/>
      <c r="L2" s="680"/>
      <c r="M2" s="680"/>
      <c r="N2" s="680"/>
      <c r="O2" s="680"/>
      <c r="P2" s="680"/>
      <c r="Q2" s="680"/>
      <c r="R2" s="680"/>
      <c r="S2" s="680"/>
      <c r="T2" s="680"/>
      <c r="U2" s="680"/>
      <c r="V2" s="680"/>
      <c r="W2" s="680"/>
      <c r="X2" s="680"/>
      <c r="Y2" s="680"/>
      <c r="Z2" s="680"/>
    </row>
    <row r="3">
      <c r="A3" s="207" t="s">
        <v>3541</v>
      </c>
      <c r="B3" s="1" t="s">
        <v>3542</v>
      </c>
      <c r="C3" s="1">
        <v>31580.0</v>
      </c>
      <c r="D3" s="1">
        <v>75060.0</v>
      </c>
      <c r="E3" s="90">
        <f t="shared" ref="E3:E15" si="1">D3-C3</f>
        <v>43480</v>
      </c>
      <c r="F3" s="90">
        <f t="shared" ref="F3:F58" si="2">E3*0.453592</f>
        <v>19722.18016</v>
      </c>
    </row>
    <row r="4">
      <c r="A4" s="207" t="s">
        <v>3541</v>
      </c>
      <c r="B4" s="1" t="s">
        <v>3543</v>
      </c>
      <c r="C4" s="1">
        <v>33440.0</v>
      </c>
      <c r="D4" s="1">
        <v>79160.0</v>
      </c>
      <c r="E4" s="90">
        <f t="shared" si="1"/>
        <v>45720</v>
      </c>
      <c r="F4" s="90">
        <f t="shared" si="2"/>
        <v>20738.22624</v>
      </c>
    </row>
    <row r="5">
      <c r="A5" s="207" t="s">
        <v>3544</v>
      </c>
      <c r="B5" s="1" t="s">
        <v>3545</v>
      </c>
      <c r="C5" s="1">
        <v>34040.0</v>
      </c>
      <c r="D5" s="1">
        <v>80100.0</v>
      </c>
      <c r="E5" s="90">
        <f t="shared" si="1"/>
        <v>46060</v>
      </c>
      <c r="F5" s="90">
        <f t="shared" si="2"/>
        <v>20892.44752</v>
      </c>
    </row>
    <row r="6">
      <c r="A6" s="207" t="s">
        <v>3546</v>
      </c>
      <c r="B6" s="1" t="s">
        <v>3547</v>
      </c>
      <c r="C6" s="1">
        <v>32880.0</v>
      </c>
      <c r="D6" s="1">
        <v>78020.0</v>
      </c>
      <c r="E6" s="90">
        <f t="shared" si="1"/>
        <v>45140</v>
      </c>
      <c r="F6" s="90">
        <f t="shared" si="2"/>
        <v>20475.14288</v>
      </c>
    </row>
    <row r="7">
      <c r="A7" s="207" t="s">
        <v>3546</v>
      </c>
      <c r="B7" s="1" t="s">
        <v>3548</v>
      </c>
      <c r="C7" s="1">
        <v>33740.0</v>
      </c>
      <c r="D7" s="1">
        <v>77940.0</v>
      </c>
      <c r="E7" s="90">
        <f t="shared" si="1"/>
        <v>44200</v>
      </c>
      <c r="F7" s="90">
        <f t="shared" si="2"/>
        <v>20048.7664</v>
      </c>
    </row>
    <row r="8">
      <c r="A8" s="207" t="s">
        <v>3549</v>
      </c>
      <c r="B8" s="1" t="s">
        <v>3550</v>
      </c>
      <c r="C8" s="1">
        <v>28580.0</v>
      </c>
      <c r="D8" s="1">
        <v>74780.0</v>
      </c>
      <c r="E8" s="90">
        <f t="shared" si="1"/>
        <v>46200</v>
      </c>
      <c r="F8" s="90">
        <f t="shared" si="2"/>
        <v>20955.9504</v>
      </c>
    </row>
    <row r="9">
      <c r="A9" s="207" t="s">
        <v>3551</v>
      </c>
      <c r="B9" s="1" t="s">
        <v>3552</v>
      </c>
      <c r="C9" s="1">
        <v>29320.0</v>
      </c>
      <c r="D9" s="1">
        <v>75160.0</v>
      </c>
      <c r="E9" s="90">
        <f t="shared" si="1"/>
        <v>45840</v>
      </c>
      <c r="F9" s="90">
        <f t="shared" si="2"/>
        <v>20792.65728</v>
      </c>
    </row>
    <row r="10">
      <c r="A10" s="207" t="s">
        <v>3553</v>
      </c>
      <c r="B10" s="1" t="s">
        <v>3554</v>
      </c>
      <c r="C10" s="1">
        <v>28440.0</v>
      </c>
      <c r="D10" s="1">
        <v>73320.0</v>
      </c>
      <c r="E10" s="90">
        <f t="shared" si="1"/>
        <v>44880</v>
      </c>
      <c r="F10" s="90">
        <f t="shared" si="2"/>
        <v>20357.20896</v>
      </c>
    </row>
    <row r="11">
      <c r="A11" s="207" t="s">
        <v>3555</v>
      </c>
      <c r="B11" s="1" t="s">
        <v>3556</v>
      </c>
      <c r="C11" s="1">
        <v>29180.0</v>
      </c>
      <c r="D11" s="1">
        <v>75720.0</v>
      </c>
      <c r="E11" s="90">
        <f t="shared" si="1"/>
        <v>46540</v>
      </c>
      <c r="F11" s="90">
        <f t="shared" si="2"/>
        <v>21110.17168</v>
      </c>
    </row>
    <row r="12">
      <c r="A12" s="207" t="s">
        <v>3557</v>
      </c>
      <c r="B12" s="1" t="s">
        <v>3558</v>
      </c>
      <c r="C12" s="1">
        <v>30060.0</v>
      </c>
      <c r="D12" s="1">
        <v>74300.0</v>
      </c>
      <c r="E12" s="90">
        <f t="shared" si="1"/>
        <v>44240</v>
      </c>
      <c r="F12" s="90">
        <f t="shared" si="2"/>
        <v>20066.91008</v>
      </c>
    </row>
    <row r="13">
      <c r="A13" s="207" t="s">
        <v>3559</v>
      </c>
      <c r="B13" s="1" t="s">
        <v>3560</v>
      </c>
      <c r="C13" s="1">
        <v>28540.0</v>
      </c>
      <c r="D13" s="1">
        <v>72020.0</v>
      </c>
      <c r="E13" s="90">
        <f t="shared" si="1"/>
        <v>43480</v>
      </c>
      <c r="F13" s="90">
        <f t="shared" si="2"/>
        <v>19722.18016</v>
      </c>
    </row>
    <row r="14">
      <c r="A14" s="207" t="s">
        <v>3561</v>
      </c>
      <c r="B14" s="1" t="s">
        <v>3562</v>
      </c>
      <c r="C14" s="1">
        <v>33440.0</v>
      </c>
      <c r="D14" s="1">
        <v>80400.0</v>
      </c>
      <c r="E14" s="90">
        <f t="shared" si="1"/>
        <v>46960</v>
      </c>
      <c r="F14" s="90">
        <f t="shared" si="2"/>
        <v>21300.68032</v>
      </c>
    </row>
    <row r="15">
      <c r="A15" s="207" t="s">
        <v>3563</v>
      </c>
      <c r="B15" s="1" t="s">
        <v>3564</v>
      </c>
      <c r="C15" s="1">
        <v>28540.0</v>
      </c>
      <c r="D15" s="1">
        <v>73280.0</v>
      </c>
      <c r="E15" s="90">
        <f t="shared" si="1"/>
        <v>44740</v>
      </c>
      <c r="F15" s="90">
        <f t="shared" si="2"/>
        <v>20293.70608</v>
      </c>
    </row>
    <row r="16">
      <c r="A16" s="207" t="s">
        <v>3563</v>
      </c>
      <c r="B16" s="1" t="s">
        <v>3565</v>
      </c>
      <c r="C16" s="1">
        <v>29080.0</v>
      </c>
      <c r="D16" s="1">
        <v>74680.0</v>
      </c>
      <c r="E16" s="90">
        <f>75760-32900</f>
        <v>42860</v>
      </c>
      <c r="F16" s="90">
        <f t="shared" si="2"/>
        <v>19440.95312</v>
      </c>
    </row>
    <row r="17">
      <c r="A17" s="207" t="s">
        <v>3566</v>
      </c>
      <c r="B17" s="1" t="s">
        <v>3567</v>
      </c>
      <c r="C17" s="1">
        <v>33280.0</v>
      </c>
      <c r="D17" s="1">
        <v>69520.0</v>
      </c>
      <c r="E17" s="90">
        <f t="shared" ref="E17:E58" si="3">D17-C17</f>
        <v>36240</v>
      </c>
      <c r="F17" s="90">
        <f t="shared" si="2"/>
        <v>16438.17408</v>
      </c>
    </row>
    <row r="18">
      <c r="A18" s="207" t="s">
        <v>3568</v>
      </c>
      <c r="B18" s="1" t="s">
        <v>3569</v>
      </c>
      <c r="C18" s="1">
        <v>31840.0</v>
      </c>
      <c r="D18" s="1">
        <v>72820.0</v>
      </c>
      <c r="E18" s="90">
        <f t="shared" si="3"/>
        <v>40980</v>
      </c>
      <c r="F18" s="90">
        <f t="shared" si="2"/>
        <v>18588.20016</v>
      </c>
    </row>
    <row r="19">
      <c r="A19" s="207" t="s">
        <v>3570</v>
      </c>
      <c r="B19" s="1" t="s">
        <v>3571</v>
      </c>
      <c r="C19" s="1">
        <v>32380.0</v>
      </c>
      <c r="D19" s="1">
        <v>74740.0</v>
      </c>
      <c r="E19" s="90">
        <f t="shared" si="3"/>
        <v>42360</v>
      </c>
      <c r="F19" s="90">
        <f t="shared" si="2"/>
        <v>19214.15712</v>
      </c>
    </row>
    <row r="20">
      <c r="A20" s="207" t="s">
        <v>3570</v>
      </c>
      <c r="B20" s="1" t="s">
        <v>3572</v>
      </c>
      <c r="C20" s="1">
        <v>33860.0</v>
      </c>
      <c r="D20" s="1">
        <v>67420.0</v>
      </c>
      <c r="E20" s="90">
        <f t="shared" si="3"/>
        <v>33560</v>
      </c>
      <c r="F20" s="90">
        <f t="shared" si="2"/>
        <v>15222.54752</v>
      </c>
    </row>
    <row r="21">
      <c r="A21" s="207" t="s">
        <v>3573</v>
      </c>
      <c r="B21" s="1" t="s">
        <v>3574</v>
      </c>
      <c r="C21" s="1">
        <v>32740.0</v>
      </c>
      <c r="D21" s="1">
        <v>73280.0</v>
      </c>
      <c r="E21" s="90">
        <f t="shared" si="3"/>
        <v>40540</v>
      </c>
      <c r="F21" s="90">
        <f t="shared" si="2"/>
        <v>18388.61968</v>
      </c>
    </row>
    <row r="22">
      <c r="A22" s="207" t="s">
        <v>3575</v>
      </c>
      <c r="B22" s="1" t="s">
        <v>3576</v>
      </c>
      <c r="C22" s="1">
        <v>33740.0</v>
      </c>
      <c r="D22" s="1">
        <v>73080.0</v>
      </c>
      <c r="E22" s="90">
        <f t="shared" si="3"/>
        <v>39340</v>
      </c>
      <c r="F22" s="90">
        <f t="shared" si="2"/>
        <v>17844.30928</v>
      </c>
    </row>
    <row r="23">
      <c r="A23" s="207" t="s">
        <v>3577</v>
      </c>
      <c r="B23" s="1" t="s">
        <v>3578</v>
      </c>
      <c r="C23" s="1">
        <v>33490.0</v>
      </c>
      <c r="D23" s="1">
        <v>79080.0</v>
      </c>
      <c r="E23" s="90">
        <f t="shared" si="3"/>
        <v>45590</v>
      </c>
      <c r="F23" s="90">
        <f t="shared" si="2"/>
        <v>20679.25928</v>
      </c>
    </row>
    <row r="24">
      <c r="A24" s="207" t="s">
        <v>3579</v>
      </c>
      <c r="B24" s="1" t="s">
        <v>3580</v>
      </c>
      <c r="C24" s="1">
        <v>28580.0</v>
      </c>
      <c r="D24" s="1">
        <v>73520.0</v>
      </c>
      <c r="E24" s="90">
        <f t="shared" si="3"/>
        <v>44940</v>
      </c>
      <c r="F24" s="90">
        <f t="shared" si="2"/>
        <v>20384.42448</v>
      </c>
    </row>
    <row r="25">
      <c r="A25" s="207" t="s">
        <v>3579</v>
      </c>
      <c r="B25" s="1" t="s">
        <v>3581</v>
      </c>
      <c r="C25" s="1">
        <v>29340.0</v>
      </c>
      <c r="D25" s="1">
        <v>75580.0</v>
      </c>
      <c r="E25" s="90">
        <f t="shared" si="3"/>
        <v>46240</v>
      </c>
      <c r="F25" s="90">
        <f t="shared" si="2"/>
        <v>20974.09408</v>
      </c>
    </row>
    <row r="26">
      <c r="A26" s="207" t="s">
        <v>3582</v>
      </c>
      <c r="B26" s="1" t="s">
        <v>3583</v>
      </c>
      <c r="C26" s="1">
        <v>29340.0</v>
      </c>
      <c r="D26" s="1">
        <v>75700.0</v>
      </c>
      <c r="E26" s="90">
        <f t="shared" si="3"/>
        <v>46360</v>
      </c>
      <c r="F26" s="90">
        <f t="shared" si="2"/>
        <v>21028.52512</v>
      </c>
    </row>
    <row r="27">
      <c r="A27" s="207" t="s">
        <v>3584</v>
      </c>
      <c r="B27" s="1" t="s">
        <v>3585</v>
      </c>
      <c r="C27" s="1">
        <v>33060.0</v>
      </c>
      <c r="D27" s="1">
        <v>78240.0</v>
      </c>
      <c r="E27" s="90">
        <f t="shared" si="3"/>
        <v>45180</v>
      </c>
      <c r="F27" s="90">
        <f t="shared" si="2"/>
        <v>20493.28656</v>
      </c>
    </row>
    <row r="28">
      <c r="A28" s="207" t="s">
        <v>3584</v>
      </c>
      <c r="B28" s="1" t="s">
        <v>3586</v>
      </c>
      <c r="C28" s="1">
        <v>33360.0</v>
      </c>
      <c r="D28" s="1">
        <v>76740.0</v>
      </c>
      <c r="E28" s="90">
        <f t="shared" si="3"/>
        <v>43380</v>
      </c>
      <c r="F28" s="90">
        <f t="shared" si="2"/>
        <v>19676.82096</v>
      </c>
    </row>
    <row r="29">
      <c r="A29" s="207" t="s">
        <v>3587</v>
      </c>
      <c r="B29" s="1" t="s">
        <v>3588</v>
      </c>
      <c r="C29" s="1">
        <v>31280.0</v>
      </c>
      <c r="D29" s="1">
        <v>76140.0</v>
      </c>
      <c r="E29" s="90">
        <f t="shared" si="3"/>
        <v>44860</v>
      </c>
      <c r="F29" s="90">
        <f t="shared" si="2"/>
        <v>20348.13712</v>
      </c>
    </row>
    <row r="30">
      <c r="A30" s="207" t="s">
        <v>3589</v>
      </c>
      <c r="B30" s="1" t="s">
        <v>3590</v>
      </c>
      <c r="C30" s="1">
        <v>33360.0</v>
      </c>
      <c r="D30" s="1">
        <v>55600.0</v>
      </c>
      <c r="E30" s="90">
        <f t="shared" si="3"/>
        <v>22240</v>
      </c>
      <c r="F30" s="90">
        <f t="shared" si="2"/>
        <v>10087.88608</v>
      </c>
    </row>
    <row r="31">
      <c r="A31" s="207" t="s">
        <v>3589</v>
      </c>
      <c r="B31" s="1" t="s">
        <v>3591</v>
      </c>
      <c r="C31" s="1">
        <v>33740.0</v>
      </c>
      <c r="D31" s="1">
        <v>79680.0</v>
      </c>
      <c r="E31" s="90">
        <f t="shared" si="3"/>
        <v>45940</v>
      </c>
      <c r="F31" s="90">
        <f t="shared" si="2"/>
        <v>20838.01648</v>
      </c>
    </row>
    <row r="32">
      <c r="A32" s="207" t="s">
        <v>3592</v>
      </c>
      <c r="B32" s="1" t="s">
        <v>3593</v>
      </c>
      <c r="C32" s="1">
        <v>29320.0</v>
      </c>
      <c r="D32" s="1">
        <v>73820.0</v>
      </c>
      <c r="E32" s="90">
        <f t="shared" si="3"/>
        <v>44500</v>
      </c>
      <c r="F32" s="90">
        <f t="shared" si="2"/>
        <v>20184.844</v>
      </c>
    </row>
    <row r="33">
      <c r="A33" s="207" t="s">
        <v>3594</v>
      </c>
      <c r="B33" s="1" t="s">
        <v>3595</v>
      </c>
      <c r="C33" s="1">
        <v>28540.0</v>
      </c>
      <c r="D33" s="1">
        <v>73120.0</v>
      </c>
      <c r="E33" s="90">
        <f t="shared" si="3"/>
        <v>44580</v>
      </c>
      <c r="F33" s="90">
        <f t="shared" si="2"/>
        <v>20221.13136</v>
      </c>
    </row>
    <row r="34">
      <c r="A34" s="207" t="s">
        <v>3596</v>
      </c>
      <c r="B34" s="1" t="s">
        <v>3597</v>
      </c>
      <c r="C34" s="1">
        <v>32700.0</v>
      </c>
      <c r="D34" s="1">
        <v>79020.0</v>
      </c>
      <c r="E34" s="90">
        <f t="shared" si="3"/>
        <v>46320</v>
      </c>
      <c r="F34" s="90">
        <f t="shared" si="2"/>
        <v>21010.38144</v>
      </c>
    </row>
    <row r="35">
      <c r="A35" s="207" t="s">
        <v>3598</v>
      </c>
      <c r="B35" s="1" t="s">
        <v>3599</v>
      </c>
      <c r="C35" s="1">
        <v>29400.0</v>
      </c>
      <c r="D35" s="1">
        <v>75160.0</v>
      </c>
      <c r="E35" s="90">
        <f t="shared" si="3"/>
        <v>45760</v>
      </c>
      <c r="F35" s="90">
        <f t="shared" si="2"/>
        <v>20756.36992</v>
      </c>
    </row>
    <row r="36">
      <c r="A36" s="207" t="s">
        <v>3600</v>
      </c>
      <c r="B36" s="1" t="s">
        <v>3601</v>
      </c>
      <c r="C36" s="1">
        <v>35880.0</v>
      </c>
      <c r="D36" s="1">
        <v>72360.0</v>
      </c>
      <c r="E36" s="90">
        <f t="shared" si="3"/>
        <v>36480</v>
      </c>
      <c r="F36" s="90">
        <f t="shared" si="2"/>
        <v>16547.03616</v>
      </c>
    </row>
    <row r="37">
      <c r="A37" s="207" t="s">
        <v>3602</v>
      </c>
      <c r="B37" s="1" t="s">
        <v>3603</v>
      </c>
      <c r="C37" s="1">
        <v>33240.0</v>
      </c>
      <c r="D37" s="1">
        <v>78060.0</v>
      </c>
      <c r="E37" s="90">
        <f t="shared" si="3"/>
        <v>44820</v>
      </c>
      <c r="F37" s="90">
        <f t="shared" si="2"/>
        <v>20329.99344</v>
      </c>
    </row>
    <row r="38">
      <c r="A38" s="207" t="s">
        <v>3604</v>
      </c>
      <c r="B38" s="1" t="s">
        <v>3605</v>
      </c>
      <c r="C38" s="1">
        <v>34680.0</v>
      </c>
      <c r="D38" s="1">
        <v>72040.0</v>
      </c>
      <c r="E38" s="90">
        <f t="shared" si="3"/>
        <v>37360</v>
      </c>
      <c r="F38" s="90">
        <f t="shared" si="2"/>
        <v>16946.19712</v>
      </c>
    </row>
    <row r="39">
      <c r="A39" s="207" t="s">
        <v>3606</v>
      </c>
      <c r="B39" s="1" t="s">
        <v>3607</v>
      </c>
      <c r="C39" s="1">
        <v>32580.0</v>
      </c>
      <c r="D39" s="1">
        <v>73500.0</v>
      </c>
      <c r="E39" s="90">
        <f t="shared" si="3"/>
        <v>40920</v>
      </c>
      <c r="F39" s="90">
        <f t="shared" si="2"/>
        <v>18560.98464</v>
      </c>
    </row>
    <row r="40">
      <c r="A40" s="207" t="s">
        <v>3606</v>
      </c>
      <c r="B40" s="1" t="s">
        <v>3608</v>
      </c>
      <c r="C40" s="1">
        <v>33720.0</v>
      </c>
      <c r="D40" s="1">
        <v>73940.0</v>
      </c>
      <c r="E40" s="90">
        <f t="shared" si="3"/>
        <v>40220</v>
      </c>
      <c r="F40" s="90">
        <f t="shared" si="2"/>
        <v>18243.47024</v>
      </c>
    </row>
    <row r="41">
      <c r="A41" s="207" t="s">
        <v>3609</v>
      </c>
      <c r="B41" s="1" t="s">
        <v>3610</v>
      </c>
      <c r="C41" s="1">
        <v>33240.0</v>
      </c>
      <c r="D41" s="1">
        <v>77080.0</v>
      </c>
      <c r="E41" s="90">
        <f t="shared" si="3"/>
        <v>43840</v>
      </c>
      <c r="F41" s="90">
        <f t="shared" si="2"/>
        <v>19885.47328</v>
      </c>
    </row>
    <row r="42">
      <c r="A42" s="207" t="s">
        <v>3609</v>
      </c>
      <c r="B42" s="1" t="s">
        <v>3611</v>
      </c>
      <c r="C42" s="1">
        <v>33460.0</v>
      </c>
      <c r="D42" s="1">
        <v>74860.0</v>
      </c>
      <c r="E42" s="90">
        <f t="shared" si="3"/>
        <v>41400</v>
      </c>
      <c r="F42" s="90">
        <f t="shared" si="2"/>
        <v>18778.7088</v>
      </c>
    </row>
    <row r="43">
      <c r="A43" s="820">
        <v>46116.0</v>
      </c>
      <c r="B43" s="1" t="s">
        <v>3612</v>
      </c>
      <c r="C43" s="1">
        <v>31320.0</v>
      </c>
      <c r="D43" s="1">
        <v>74680.0</v>
      </c>
      <c r="E43" s="90">
        <f t="shared" si="3"/>
        <v>43360</v>
      </c>
      <c r="F43" s="90">
        <f t="shared" si="2"/>
        <v>19667.74912</v>
      </c>
    </row>
    <row r="44">
      <c r="A44" s="820">
        <v>46143.0</v>
      </c>
      <c r="B44" s="1" t="s">
        <v>3613</v>
      </c>
      <c r="C44" s="1">
        <v>31620.0</v>
      </c>
      <c r="D44" s="1">
        <v>61200.0</v>
      </c>
      <c r="E44" s="90">
        <f t="shared" si="3"/>
        <v>29580</v>
      </c>
      <c r="F44" s="90">
        <f t="shared" si="2"/>
        <v>13417.25136</v>
      </c>
    </row>
    <row r="45">
      <c r="A45" s="820">
        <v>46144.0</v>
      </c>
      <c r="B45" s="1" t="s">
        <v>3614</v>
      </c>
      <c r="C45" s="1">
        <v>31500.0</v>
      </c>
      <c r="D45" s="1">
        <v>72020.0</v>
      </c>
      <c r="E45" s="90">
        <f t="shared" si="3"/>
        <v>40520</v>
      </c>
      <c r="F45" s="90">
        <f t="shared" si="2"/>
        <v>18379.54784</v>
      </c>
    </row>
    <row r="46">
      <c r="A46" s="820">
        <v>46145.0</v>
      </c>
      <c r="B46" s="1" t="s">
        <v>3615</v>
      </c>
      <c r="C46" s="1">
        <v>29440.0</v>
      </c>
      <c r="D46" s="1">
        <v>70420.0</v>
      </c>
      <c r="E46" s="90">
        <f t="shared" si="3"/>
        <v>40980</v>
      </c>
      <c r="F46" s="90">
        <f t="shared" si="2"/>
        <v>18588.20016</v>
      </c>
    </row>
    <row r="47">
      <c r="A47" s="820">
        <v>46146.0</v>
      </c>
      <c r="B47" s="1" t="s">
        <v>3616</v>
      </c>
      <c r="C47" s="1">
        <v>32900.0</v>
      </c>
      <c r="D47" s="1">
        <v>75760.0</v>
      </c>
      <c r="E47" s="90">
        <f t="shared" si="3"/>
        <v>42860</v>
      </c>
      <c r="F47" s="90">
        <f t="shared" si="2"/>
        <v>19440.95312</v>
      </c>
    </row>
    <row r="48">
      <c r="A48" s="820">
        <v>46147.0</v>
      </c>
      <c r="B48" s="1" t="s">
        <v>3617</v>
      </c>
      <c r="C48" s="1">
        <v>29560.0</v>
      </c>
      <c r="D48" s="1">
        <v>69640.0</v>
      </c>
      <c r="E48" s="90">
        <f t="shared" si="3"/>
        <v>40080</v>
      </c>
      <c r="F48" s="90">
        <f t="shared" si="2"/>
        <v>18179.96736</v>
      </c>
    </row>
    <row r="49">
      <c r="A49" s="820">
        <v>46148.0</v>
      </c>
      <c r="B49" s="1" t="s">
        <v>3618</v>
      </c>
      <c r="C49" s="1">
        <v>29820.0</v>
      </c>
      <c r="D49" s="1">
        <v>70820.0</v>
      </c>
      <c r="E49" s="90">
        <f t="shared" si="3"/>
        <v>41000</v>
      </c>
      <c r="F49" s="90">
        <f t="shared" si="2"/>
        <v>18597.272</v>
      </c>
    </row>
    <row r="50">
      <c r="A50" s="820">
        <v>46148.0</v>
      </c>
      <c r="B50" s="1" t="s">
        <v>3619</v>
      </c>
      <c r="C50" s="1">
        <v>32540.0</v>
      </c>
      <c r="D50" s="1">
        <v>71660.0</v>
      </c>
      <c r="E50" s="90">
        <f t="shared" si="3"/>
        <v>39120</v>
      </c>
      <c r="F50" s="90">
        <f t="shared" si="2"/>
        <v>17744.51904</v>
      </c>
    </row>
    <row r="51">
      <c r="A51" s="820">
        <v>46148.0</v>
      </c>
      <c r="B51" s="1" t="s">
        <v>3620</v>
      </c>
      <c r="C51" s="1">
        <v>32940.0</v>
      </c>
      <c r="D51" s="1">
        <v>68100.0</v>
      </c>
      <c r="E51" s="90">
        <f t="shared" si="3"/>
        <v>35160</v>
      </c>
      <c r="F51" s="90">
        <f t="shared" si="2"/>
        <v>15948.29472</v>
      </c>
    </row>
    <row r="52">
      <c r="A52" s="820">
        <v>46148.0</v>
      </c>
      <c r="B52" s="1" t="s">
        <v>3621</v>
      </c>
      <c r="C52" s="1">
        <v>33860.0</v>
      </c>
      <c r="D52" s="1">
        <v>69760.0</v>
      </c>
      <c r="E52" s="90">
        <f t="shared" si="3"/>
        <v>35900</v>
      </c>
      <c r="F52" s="90">
        <f t="shared" si="2"/>
        <v>16283.9528</v>
      </c>
    </row>
    <row r="53">
      <c r="A53" s="820">
        <v>46149.0</v>
      </c>
      <c r="B53" s="1" t="s">
        <v>3622</v>
      </c>
      <c r="C53" s="1">
        <v>32900.0</v>
      </c>
      <c r="D53" s="1">
        <v>74280.0</v>
      </c>
      <c r="E53" s="90">
        <f t="shared" si="3"/>
        <v>41380</v>
      </c>
      <c r="F53" s="90">
        <f t="shared" si="2"/>
        <v>18769.63696</v>
      </c>
    </row>
    <row r="54">
      <c r="A54" s="820">
        <v>46149.0</v>
      </c>
      <c r="B54" s="1" t="s">
        <v>3623</v>
      </c>
      <c r="C54" s="1">
        <v>33840.0</v>
      </c>
      <c r="D54" s="1">
        <v>62780.0</v>
      </c>
      <c r="E54" s="90">
        <f t="shared" si="3"/>
        <v>28940</v>
      </c>
      <c r="F54" s="90">
        <f t="shared" si="2"/>
        <v>13126.95248</v>
      </c>
    </row>
    <row r="55">
      <c r="A55" s="820">
        <v>46150.0</v>
      </c>
      <c r="B55" s="1" t="s">
        <v>3624</v>
      </c>
      <c r="C55" s="1">
        <v>33920.0</v>
      </c>
      <c r="D55" s="1">
        <v>69100.0</v>
      </c>
      <c r="E55" s="90">
        <f t="shared" si="3"/>
        <v>35180</v>
      </c>
      <c r="F55" s="90">
        <f t="shared" si="2"/>
        <v>15957.36656</v>
      </c>
    </row>
    <row r="56">
      <c r="A56" s="820">
        <v>46150.0</v>
      </c>
      <c r="B56" s="1" t="s">
        <v>3625</v>
      </c>
      <c r="C56" s="1">
        <v>34920.0</v>
      </c>
      <c r="D56" s="1">
        <v>68260.0</v>
      </c>
      <c r="E56" s="90">
        <f t="shared" si="3"/>
        <v>33340</v>
      </c>
      <c r="F56" s="90">
        <f t="shared" si="2"/>
        <v>15122.75728</v>
      </c>
    </row>
    <row r="57">
      <c r="A57" s="820">
        <v>46151.0</v>
      </c>
      <c r="B57" s="1" t="s">
        <v>3626</v>
      </c>
      <c r="C57" s="1">
        <v>32280.0</v>
      </c>
      <c r="D57" s="1">
        <v>71440.0</v>
      </c>
      <c r="E57" s="90">
        <f t="shared" si="3"/>
        <v>39160</v>
      </c>
      <c r="F57" s="90">
        <f t="shared" si="2"/>
        <v>17762.66272</v>
      </c>
    </row>
    <row r="58">
      <c r="A58" s="820">
        <v>46151.0</v>
      </c>
      <c r="B58" s="1" t="s">
        <v>3627</v>
      </c>
      <c r="C58" s="1">
        <v>33080.0</v>
      </c>
      <c r="D58" s="1">
        <v>51860.0</v>
      </c>
      <c r="E58" s="90">
        <f t="shared" si="3"/>
        <v>18780</v>
      </c>
      <c r="F58" s="90">
        <f t="shared" si="2"/>
        <v>8518.45776</v>
      </c>
    </row>
    <row r="59">
      <c r="A59" s="210"/>
    </row>
    <row r="60">
      <c r="A60" s="210"/>
    </row>
    <row r="61">
      <c r="A61" s="210"/>
    </row>
    <row r="62">
      <c r="A62" s="210"/>
    </row>
    <row r="63">
      <c r="A63" s="210"/>
    </row>
    <row r="64">
      <c r="A64" s="210"/>
    </row>
    <row r="65">
      <c r="A65" s="210"/>
    </row>
    <row r="66">
      <c r="A66" s="210"/>
    </row>
    <row r="67">
      <c r="A67" s="210"/>
    </row>
    <row r="68">
      <c r="A68" s="210"/>
    </row>
    <row r="69">
      <c r="A69" s="210"/>
    </row>
    <row r="70">
      <c r="A70" s="210"/>
    </row>
    <row r="71">
      <c r="A71" s="210"/>
    </row>
    <row r="72">
      <c r="A72" s="210"/>
    </row>
    <row r="73">
      <c r="A73" s="210"/>
    </row>
    <row r="74">
      <c r="A74" s="210"/>
    </row>
    <row r="75">
      <c r="A75" s="210"/>
    </row>
    <row r="76">
      <c r="A76" s="210"/>
    </row>
    <row r="77">
      <c r="A77" s="210"/>
    </row>
    <row r="78">
      <c r="A78" s="210"/>
    </row>
    <row r="79">
      <c r="A79" s="210"/>
    </row>
    <row r="80">
      <c r="A80" s="210"/>
    </row>
    <row r="81">
      <c r="A81" s="210"/>
    </row>
    <row r="82">
      <c r="A82" s="210"/>
    </row>
    <row r="83">
      <c r="A83" s="210"/>
    </row>
    <row r="84">
      <c r="A84" s="210"/>
    </row>
    <row r="85">
      <c r="A85" s="210"/>
    </row>
    <row r="86">
      <c r="A86" s="210"/>
    </row>
    <row r="87">
      <c r="A87" s="210"/>
    </row>
    <row r="88">
      <c r="A88" s="210"/>
    </row>
    <row r="89">
      <c r="A89" s="210"/>
    </row>
    <row r="90">
      <c r="A90" s="210"/>
    </row>
    <row r="91">
      <c r="A91" s="210"/>
    </row>
    <row r="92">
      <c r="A92" s="210"/>
    </row>
    <row r="93">
      <c r="A93" s="210"/>
    </row>
    <row r="94">
      <c r="A94" s="210"/>
    </row>
    <row r="95">
      <c r="A95" s="210"/>
    </row>
    <row r="96">
      <c r="A96" s="210"/>
    </row>
    <row r="97">
      <c r="A97" s="210"/>
    </row>
    <row r="98">
      <c r="A98" s="210"/>
    </row>
    <row r="99">
      <c r="A99" s="210"/>
    </row>
    <row r="100">
      <c r="A100" s="210"/>
    </row>
    <row r="101">
      <c r="A101" s="210"/>
    </row>
    <row r="102">
      <c r="A102" s="210"/>
    </row>
    <row r="103">
      <c r="A103" s="210"/>
    </row>
    <row r="104">
      <c r="A104" s="210"/>
    </row>
    <row r="105">
      <c r="A105" s="210"/>
    </row>
    <row r="106">
      <c r="A106" s="210"/>
    </row>
    <row r="107">
      <c r="A107" s="210"/>
    </row>
    <row r="108">
      <c r="A108" s="210"/>
    </row>
    <row r="109">
      <c r="A109" s="210"/>
    </row>
    <row r="110">
      <c r="A110" s="210"/>
    </row>
    <row r="111">
      <c r="A111" s="210"/>
    </row>
    <row r="112">
      <c r="A112" s="210"/>
    </row>
    <row r="113">
      <c r="A113" s="210"/>
    </row>
    <row r="114">
      <c r="A114" s="210"/>
    </row>
    <row r="115">
      <c r="A115" s="210"/>
    </row>
    <row r="116">
      <c r="A116" s="210"/>
    </row>
    <row r="117">
      <c r="A117" s="210"/>
    </row>
    <row r="118">
      <c r="A118" s="210"/>
    </row>
    <row r="119">
      <c r="A119" s="210"/>
    </row>
    <row r="120">
      <c r="A120" s="210"/>
    </row>
    <row r="121">
      <c r="A121" s="210"/>
    </row>
    <row r="122">
      <c r="A122" s="210"/>
    </row>
    <row r="123">
      <c r="A123" s="210"/>
    </row>
    <row r="124">
      <c r="A124" s="210"/>
    </row>
    <row r="125">
      <c r="A125" s="210"/>
    </row>
    <row r="126">
      <c r="A126" s="210"/>
    </row>
    <row r="127">
      <c r="A127" s="210"/>
    </row>
    <row r="128">
      <c r="A128" s="210"/>
    </row>
    <row r="129">
      <c r="A129" s="210"/>
    </row>
    <row r="130">
      <c r="A130" s="210"/>
    </row>
    <row r="131">
      <c r="A131" s="210"/>
    </row>
    <row r="132">
      <c r="A132" s="210"/>
    </row>
    <row r="133">
      <c r="A133" s="210"/>
    </row>
    <row r="134">
      <c r="A134" s="210"/>
    </row>
    <row r="135">
      <c r="A135" s="210"/>
    </row>
    <row r="136">
      <c r="A136" s="210"/>
    </row>
    <row r="137">
      <c r="A137" s="210"/>
    </row>
    <row r="138">
      <c r="A138" s="210"/>
    </row>
    <row r="139">
      <c r="A139" s="210"/>
    </row>
    <row r="140">
      <c r="A140" s="210"/>
    </row>
    <row r="141">
      <c r="A141" s="210"/>
    </row>
    <row r="142">
      <c r="A142" s="210"/>
    </row>
    <row r="143">
      <c r="A143" s="210"/>
    </row>
    <row r="144">
      <c r="A144" s="210"/>
    </row>
    <row r="145">
      <c r="A145" s="210"/>
    </row>
    <row r="146">
      <c r="A146" s="210"/>
    </row>
    <row r="147">
      <c r="A147" s="210"/>
    </row>
    <row r="148">
      <c r="A148" s="210"/>
    </row>
    <row r="149">
      <c r="A149" s="210"/>
    </row>
    <row r="150">
      <c r="A150" s="210"/>
    </row>
    <row r="151">
      <c r="A151" s="210"/>
    </row>
    <row r="152">
      <c r="A152" s="210"/>
    </row>
    <row r="153">
      <c r="A153" s="210"/>
    </row>
    <row r="154">
      <c r="A154" s="210"/>
    </row>
    <row r="155">
      <c r="A155" s="210"/>
    </row>
    <row r="156">
      <c r="A156" s="210"/>
    </row>
    <row r="157">
      <c r="A157" s="210"/>
    </row>
    <row r="158">
      <c r="A158" s="210"/>
    </row>
    <row r="159">
      <c r="A159" s="210"/>
    </row>
    <row r="160">
      <c r="A160" s="210"/>
    </row>
    <row r="161">
      <c r="A161" s="210"/>
    </row>
    <row r="162">
      <c r="A162" s="210"/>
    </row>
    <row r="163">
      <c r="A163" s="210"/>
    </row>
    <row r="164">
      <c r="A164" s="210"/>
    </row>
    <row r="165">
      <c r="A165" s="210"/>
    </row>
    <row r="166">
      <c r="A166" s="210"/>
    </row>
    <row r="167">
      <c r="A167" s="210"/>
    </row>
    <row r="168">
      <c r="A168" s="210"/>
    </row>
    <row r="169">
      <c r="A169" s="210"/>
    </row>
    <row r="170">
      <c r="A170" s="210"/>
    </row>
    <row r="171">
      <c r="A171" s="210"/>
    </row>
    <row r="172">
      <c r="A172" s="210"/>
    </row>
    <row r="173">
      <c r="A173" s="210"/>
    </row>
    <row r="174">
      <c r="A174" s="210"/>
    </row>
    <row r="175">
      <c r="A175" s="210"/>
    </row>
    <row r="176">
      <c r="A176" s="210"/>
    </row>
    <row r="177">
      <c r="A177" s="210"/>
    </row>
    <row r="178">
      <c r="A178" s="210"/>
    </row>
    <row r="179">
      <c r="A179" s="210"/>
    </row>
    <row r="180">
      <c r="A180" s="210"/>
    </row>
    <row r="181">
      <c r="A181" s="210"/>
    </row>
    <row r="182">
      <c r="A182" s="210"/>
    </row>
    <row r="183">
      <c r="A183" s="210"/>
    </row>
    <row r="184">
      <c r="A184" s="210"/>
    </row>
    <row r="185">
      <c r="A185" s="210"/>
    </row>
    <row r="186">
      <c r="A186" s="210"/>
    </row>
    <row r="187">
      <c r="A187" s="210"/>
    </row>
    <row r="188">
      <c r="A188" s="210"/>
    </row>
    <row r="189">
      <c r="A189" s="210"/>
    </row>
    <row r="190">
      <c r="A190" s="210"/>
    </row>
    <row r="191">
      <c r="A191" s="210"/>
    </row>
    <row r="192">
      <c r="A192" s="210"/>
    </row>
    <row r="193">
      <c r="A193" s="210"/>
    </row>
    <row r="194">
      <c r="A194" s="210"/>
    </row>
    <row r="195">
      <c r="A195" s="210"/>
    </row>
    <row r="196">
      <c r="A196" s="210"/>
    </row>
    <row r="197">
      <c r="A197" s="210"/>
    </row>
    <row r="198">
      <c r="A198" s="210"/>
    </row>
    <row r="199">
      <c r="A199" s="210"/>
    </row>
    <row r="200">
      <c r="A200" s="210"/>
    </row>
    <row r="201">
      <c r="A201" s="210"/>
    </row>
    <row r="202">
      <c r="A202" s="210"/>
    </row>
    <row r="203">
      <c r="A203" s="210"/>
    </row>
    <row r="204">
      <c r="A204" s="210"/>
    </row>
    <row r="205">
      <c r="A205" s="210"/>
    </row>
    <row r="206">
      <c r="A206" s="210"/>
    </row>
    <row r="207">
      <c r="A207" s="210"/>
    </row>
    <row r="208">
      <c r="A208" s="210"/>
    </row>
    <row r="209">
      <c r="A209" s="210"/>
    </row>
    <row r="210">
      <c r="A210" s="210"/>
    </row>
    <row r="211">
      <c r="A211" s="210"/>
    </row>
    <row r="212">
      <c r="A212" s="210"/>
    </row>
    <row r="213">
      <c r="A213" s="210"/>
    </row>
    <row r="214">
      <c r="A214" s="210"/>
    </row>
    <row r="215">
      <c r="A215" s="210"/>
    </row>
    <row r="216">
      <c r="A216" s="210"/>
    </row>
    <row r="217">
      <c r="A217" s="210"/>
    </row>
    <row r="218">
      <c r="A218" s="210"/>
    </row>
    <row r="219">
      <c r="A219" s="210"/>
    </row>
    <row r="220">
      <c r="A220" s="210"/>
    </row>
    <row r="221">
      <c r="A221" s="210"/>
    </row>
    <row r="222">
      <c r="A222" s="210"/>
    </row>
    <row r="223">
      <c r="A223" s="210"/>
    </row>
    <row r="224">
      <c r="A224" s="210"/>
    </row>
    <row r="225">
      <c r="A225" s="210"/>
    </row>
    <row r="226">
      <c r="A226" s="210"/>
    </row>
    <row r="227">
      <c r="A227" s="210"/>
    </row>
    <row r="228">
      <c r="A228" s="210"/>
    </row>
    <row r="229">
      <c r="A229" s="210"/>
    </row>
    <row r="230">
      <c r="A230" s="210"/>
    </row>
    <row r="231">
      <c r="A231" s="210"/>
    </row>
    <row r="232">
      <c r="A232" s="210"/>
    </row>
    <row r="233">
      <c r="A233" s="210"/>
    </row>
    <row r="234">
      <c r="A234" s="210"/>
    </row>
    <row r="235">
      <c r="A235" s="210"/>
    </row>
    <row r="236">
      <c r="A236" s="210"/>
    </row>
    <row r="237">
      <c r="A237" s="210"/>
    </row>
    <row r="238">
      <c r="A238" s="210"/>
    </row>
    <row r="239">
      <c r="A239" s="210"/>
    </row>
    <row r="240">
      <c r="A240" s="210"/>
    </row>
    <row r="241">
      <c r="A241" s="210"/>
    </row>
    <row r="242">
      <c r="A242" s="210"/>
    </row>
    <row r="243">
      <c r="A243" s="210"/>
    </row>
    <row r="244">
      <c r="A244" s="210"/>
    </row>
    <row r="245">
      <c r="A245" s="210"/>
    </row>
    <row r="246">
      <c r="A246" s="210"/>
    </row>
    <row r="247">
      <c r="A247" s="210"/>
    </row>
    <row r="248">
      <c r="A248" s="210"/>
    </row>
    <row r="249">
      <c r="A249" s="210"/>
    </row>
    <row r="250">
      <c r="A250" s="210"/>
    </row>
    <row r="251">
      <c r="A251" s="210"/>
    </row>
    <row r="252">
      <c r="A252" s="210"/>
    </row>
    <row r="253">
      <c r="A253" s="210"/>
    </row>
    <row r="254">
      <c r="A254" s="210"/>
    </row>
    <row r="255">
      <c r="A255" s="210"/>
    </row>
    <row r="256">
      <c r="A256" s="210"/>
    </row>
    <row r="257">
      <c r="A257" s="210"/>
    </row>
    <row r="258">
      <c r="A258" s="210"/>
    </row>
    <row r="259">
      <c r="A259" s="210"/>
    </row>
    <row r="260">
      <c r="A260" s="210"/>
    </row>
    <row r="261">
      <c r="A261" s="210"/>
    </row>
    <row r="262">
      <c r="A262" s="210"/>
    </row>
    <row r="263">
      <c r="A263" s="210"/>
    </row>
    <row r="264">
      <c r="A264" s="210"/>
    </row>
    <row r="265">
      <c r="A265" s="210"/>
    </row>
    <row r="266">
      <c r="A266" s="210"/>
    </row>
    <row r="267">
      <c r="A267" s="210"/>
    </row>
    <row r="268">
      <c r="A268" s="210"/>
    </row>
    <row r="269">
      <c r="A269" s="210"/>
    </row>
    <row r="270">
      <c r="A270" s="210"/>
    </row>
    <row r="271">
      <c r="A271" s="210"/>
    </row>
    <row r="272">
      <c r="A272" s="210"/>
    </row>
    <row r="273">
      <c r="A273" s="210"/>
    </row>
    <row r="274">
      <c r="A274" s="210"/>
    </row>
    <row r="275">
      <c r="A275" s="210"/>
    </row>
    <row r="276">
      <c r="A276" s="210"/>
    </row>
    <row r="277">
      <c r="A277" s="210"/>
    </row>
    <row r="278">
      <c r="A278" s="210"/>
    </row>
    <row r="279">
      <c r="A279" s="210"/>
    </row>
    <row r="280">
      <c r="A280" s="210"/>
    </row>
    <row r="281">
      <c r="A281" s="210"/>
    </row>
    <row r="282">
      <c r="A282" s="210"/>
    </row>
    <row r="283">
      <c r="A283" s="210"/>
    </row>
    <row r="284">
      <c r="A284" s="210"/>
    </row>
    <row r="285">
      <c r="A285" s="210"/>
    </row>
    <row r="286">
      <c r="A286" s="210"/>
    </row>
    <row r="287">
      <c r="A287" s="210"/>
    </row>
    <row r="288">
      <c r="A288" s="210"/>
    </row>
    <row r="289">
      <c r="A289" s="210"/>
    </row>
    <row r="290">
      <c r="A290" s="210"/>
    </row>
    <row r="291">
      <c r="A291" s="210"/>
    </row>
    <row r="292">
      <c r="A292" s="210"/>
    </row>
    <row r="293">
      <c r="A293" s="210"/>
    </row>
    <row r="294">
      <c r="A294" s="210"/>
    </row>
    <row r="295">
      <c r="A295" s="210"/>
    </row>
    <row r="296">
      <c r="A296" s="210"/>
    </row>
    <row r="297">
      <c r="A297" s="210"/>
    </row>
    <row r="298">
      <c r="A298" s="210"/>
    </row>
    <row r="299">
      <c r="A299" s="210"/>
    </row>
    <row r="300">
      <c r="A300" s="210"/>
    </row>
    <row r="301">
      <c r="A301" s="210"/>
    </row>
    <row r="302">
      <c r="A302" s="210"/>
    </row>
    <row r="303">
      <c r="A303" s="210"/>
    </row>
    <row r="304">
      <c r="A304" s="210"/>
    </row>
    <row r="305">
      <c r="A305" s="210"/>
    </row>
    <row r="306">
      <c r="A306" s="210"/>
    </row>
    <row r="307">
      <c r="A307" s="210"/>
    </row>
    <row r="308">
      <c r="A308" s="210"/>
    </row>
    <row r="309">
      <c r="A309" s="210"/>
    </row>
    <row r="310">
      <c r="A310" s="210"/>
    </row>
    <row r="311">
      <c r="A311" s="210"/>
    </row>
    <row r="312">
      <c r="A312" s="210"/>
    </row>
    <row r="313">
      <c r="A313" s="210"/>
    </row>
    <row r="314">
      <c r="A314" s="210"/>
    </row>
    <row r="315">
      <c r="A315" s="210"/>
    </row>
    <row r="316">
      <c r="A316" s="210"/>
    </row>
    <row r="317">
      <c r="A317" s="210"/>
    </row>
    <row r="318">
      <c r="A318" s="210"/>
    </row>
    <row r="319">
      <c r="A319" s="210"/>
    </row>
    <row r="320">
      <c r="A320" s="210"/>
    </row>
    <row r="321">
      <c r="A321" s="210"/>
    </row>
    <row r="322">
      <c r="A322" s="210"/>
    </row>
    <row r="323">
      <c r="A323" s="210"/>
    </row>
    <row r="324">
      <c r="A324" s="210"/>
    </row>
    <row r="325">
      <c r="A325" s="210"/>
    </row>
    <row r="326">
      <c r="A326" s="210"/>
    </row>
    <row r="327">
      <c r="A327" s="210"/>
    </row>
    <row r="328">
      <c r="A328" s="210"/>
    </row>
    <row r="329">
      <c r="A329" s="210"/>
    </row>
    <row r="330">
      <c r="A330" s="210"/>
    </row>
    <row r="331">
      <c r="A331" s="210"/>
    </row>
    <row r="332">
      <c r="A332" s="210"/>
    </row>
    <row r="333">
      <c r="A333" s="210"/>
    </row>
    <row r="334">
      <c r="A334" s="210"/>
    </row>
    <row r="335">
      <c r="A335" s="210"/>
    </row>
    <row r="336">
      <c r="A336" s="210"/>
    </row>
    <row r="337">
      <c r="A337" s="210"/>
    </row>
    <row r="338">
      <c r="A338" s="210"/>
    </row>
    <row r="339">
      <c r="A339" s="210"/>
    </row>
    <row r="340">
      <c r="A340" s="210"/>
    </row>
    <row r="341">
      <c r="A341" s="210"/>
    </row>
    <row r="342">
      <c r="A342" s="210"/>
    </row>
    <row r="343">
      <c r="A343" s="210"/>
    </row>
    <row r="344">
      <c r="A344" s="210"/>
    </row>
    <row r="345">
      <c r="A345" s="210"/>
    </row>
    <row r="346">
      <c r="A346" s="210"/>
    </row>
    <row r="347">
      <c r="A347" s="210"/>
    </row>
    <row r="348">
      <c r="A348" s="210"/>
    </row>
    <row r="349">
      <c r="A349" s="210"/>
    </row>
    <row r="350">
      <c r="A350" s="210"/>
    </row>
    <row r="351">
      <c r="A351" s="210"/>
    </row>
    <row r="352">
      <c r="A352" s="210"/>
    </row>
    <row r="353">
      <c r="A353" s="210"/>
    </row>
    <row r="354">
      <c r="A354" s="210"/>
    </row>
    <row r="355">
      <c r="A355" s="210"/>
    </row>
    <row r="356">
      <c r="A356" s="210"/>
    </row>
    <row r="357">
      <c r="A357" s="210"/>
    </row>
    <row r="358">
      <c r="A358" s="210"/>
    </row>
    <row r="359">
      <c r="A359" s="210"/>
    </row>
    <row r="360">
      <c r="A360" s="210"/>
    </row>
    <row r="361">
      <c r="A361" s="210"/>
    </row>
    <row r="362">
      <c r="A362" s="210"/>
    </row>
    <row r="363">
      <c r="A363" s="210"/>
    </row>
    <row r="364">
      <c r="A364" s="210"/>
    </row>
    <row r="365">
      <c r="A365" s="210"/>
    </row>
    <row r="366">
      <c r="A366" s="210"/>
    </row>
    <row r="367">
      <c r="A367" s="210"/>
    </row>
    <row r="368">
      <c r="A368" s="210"/>
    </row>
    <row r="369">
      <c r="A369" s="210"/>
    </row>
    <row r="370">
      <c r="A370" s="210"/>
    </row>
    <row r="371">
      <c r="A371" s="210"/>
    </row>
    <row r="372">
      <c r="A372" s="210"/>
    </row>
    <row r="373">
      <c r="A373" s="210"/>
    </row>
    <row r="374">
      <c r="A374" s="210"/>
    </row>
    <row r="375">
      <c r="A375" s="210"/>
    </row>
    <row r="376">
      <c r="A376" s="210"/>
    </row>
    <row r="377">
      <c r="A377" s="210"/>
    </row>
    <row r="378">
      <c r="A378" s="210"/>
    </row>
    <row r="379">
      <c r="A379" s="210"/>
    </row>
    <row r="380">
      <c r="A380" s="210"/>
    </row>
    <row r="381">
      <c r="A381" s="210"/>
    </row>
    <row r="382">
      <c r="A382" s="210"/>
    </row>
    <row r="383">
      <c r="A383" s="210"/>
    </row>
    <row r="384">
      <c r="A384" s="210"/>
    </row>
    <row r="385">
      <c r="A385" s="210"/>
    </row>
    <row r="386">
      <c r="A386" s="210"/>
    </row>
    <row r="387">
      <c r="A387" s="210"/>
    </row>
    <row r="388">
      <c r="A388" s="210"/>
    </row>
    <row r="389">
      <c r="A389" s="210"/>
    </row>
    <row r="390">
      <c r="A390" s="210"/>
    </row>
    <row r="391">
      <c r="A391" s="210"/>
    </row>
    <row r="392">
      <c r="A392" s="210"/>
    </row>
    <row r="393">
      <c r="A393" s="210"/>
    </row>
    <row r="394">
      <c r="A394" s="210"/>
    </row>
    <row r="395">
      <c r="A395" s="210"/>
    </row>
    <row r="396">
      <c r="A396" s="210"/>
    </row>
    <row r="397">
      <c r="A397" s="210"/>
    </row>
    <row r="398">
      <c r="A398" s="210"/>
    </row>
    <row r="399">
      <c r="A399" s="210"/>
    </row>
    <row r="400">
      <c r="A400" s="210"/>
    </row>
    <row r="401">
      <c r="A401" s="210"/>
    </row>
    <row r="402">
      <c r="A402" s="210"/>
    </row>
    <row r="403">
      <c r="A403" s="210"/>
    </row>
    <row r="404">
      <c r="A404" s="210"/>
    </row>
    <row r="405">
      <c r="A405" s="210"/>
    </row>
    <row r="406">
      <c r="A406" s="210"/>
    </row>
    <row r="407">
      <c r="A407" s="210"/>
    </row>
    <row r="408">
      <c r="A408" s="210"/>
    </row>
    <row r="409">
      <c r="A409" s="210"/>
    </row>
    <row r="410">
      <c r="A410" s="210"/>
    </row>
    <row r="411">
      <c r="A411" s="210"/>
    </row>
    <row r="412">
      <c r="A412" s="210"/>
    </row>
    <row r="413">
      <c r="A413" s="210"/>
    </row>
    <row r="414">
      <c r="A414" s="210"/>
    </row>
    <row r="415">
      <c r="A415" s="210"/>
    </row>
    <row r="416">
      <c r="A416" s="210"/>
    </row>
    <row r="417">
      <c r="A417" s="210"/>
    </row>
    <row r="418">
      <c r="A418" s="210"/>
    </row>
    <row r="419">
      <c r="A419" s="210"/>
    </row>
    <row r="420">
      <c r="A420" s="210"/>
    </row>
    <row r="421">
      <c r="A421" s="210"/>
    </row>
    <row r="422">
      <c r="A422" s="210"/>
    </row>
    <row r="423">
      <c r="A423" s="210"/>
    </row>
    <row r="424">
      <c r="A424" s="210"/>
    </row>
    <row r="425">
      <c r="A425" s="210"/>
    </row>
    <row r="426">
      <c r="A426" s="210"/>
    </row>
    <row r="427">
      <c r="A427" s="210"/>
    </row>
    <row r="428">
      <c r="A428" s="210"/>
    </row>
    <row r="429">
      <c r="A429" s="210"/>
    </row>
    <row r="430">
      <c r="A430" s="210"/>
    </row>
    <row r="431">
      <c r="A431" s="210"/>
    </row>
    <row r="432">
      <c r="A432" s="210"/>
    </row>
    <row r="433">
      <c r="A433" s="210"/>
    </row>
    <row r="434">
      <c r="A434" s="210"/>
    </row>
    <row r="435">
      <c r="A435" s="210"/>
    </row>
    <row r="436">
      <c r="A436" s="210"/>
    </row>
    <row r="437">
      <c r="A437" s="210"/>
    </row>
    <row r="438">
      <c r="A438" s="210"/>
    </row>
    <row r="439">
      <c r="A439" s="210"/>
    </row>
    <row r="440">
      <c r="A440" s="210"/>
    </row>
    <row r="441">
      <c r="A441" s="210"/>
    </row>
    <row r="442">
      <c r="A442" s="210"/>
    </row>
    <row r="443">
      <c r="A443" s="210"/>
    </row>
    <row r="444">
      <c r="A444" s="210"/>
    </row>
    <row r="445">
      <c r="A445" s="210"/>
    </row>
    <row r="446">
      <c r="A446" s="210"/>
    </row>
    <row r="447">
      <c r="A447" s="210"/>
    </row>
    <row r="448">
      <c r="A448" s="210"/>
    </row>
    <row r="449">
      <c r="A449" s="210"/>
    </row>
    <row r="450">
      <c r="A450" s="210"/>
    </row>
    <row r="451">
      <c r="A451" s="210"/>
    </row>
    <row r="452">
      <c r="A452" s="210"/>
    </row>
    <row r="453">
      <c r="A453" s="210"/>
    </row>
    <row r="454">
      <c r="A454" s="210"/>
    </row>
    <row r="455">
      <c r="A455" s="210"/>
    </row>
    <row r="456">
      <c r="A456" s="210"/>
    </row>
    <row r="457">
      <c r="A457" s="210"/>
    </row>
    <row r="458">
      <c r="A458" s="210"/>
    </row>
    <row r="459">
      <c r="A459" s="210"/>
    </row>
    <row r="460">
      <c r="A460" s="210"/>
    </row>
    <row r="461">
      <c r="A461" s="210"/>
    </row>
    <row r="462">
      <c r="A462" s="210"/>
    </row>
    <row r="463">
      <c r="A463" s="210"/>
    </row>
    <row r="464">
      <c r="A464" s="210"/>
    </row>
    <row r="465">
      <c r="A465" s="210"/>
    </row>
    <row r="466">
      <c r="A466" s="210"/>
    </row>
    <row r="467">
      <c r="A467" s="210"/>
    </row>
    <row r="468">
      <c r="A468" s="210"/>
    </row>
    <row r="469">
      <c r="A469" s="210"/>
    </row>
    <row r="470">
      <c r="A470" s="210"/>
    </row>
    <row r="471">
      <c r="A471" s="210"/>
    </row>
    <row r="472">
      <c r="A472" s="210"/>
    </row>
    <row r="473">
      <c r="A473" s="210"/>
    </row>
    <row r="474">
      <c r="A474" s="210"/>
    </row>
    <row r="475">
      <c r="A475" s="210"/>
    </row>
    <row r="476">
      <c r="A476" s="210"/>
    </row>
    <row r="477">
      <c r="A477" s="210"/>
    </row>
    <row r="478">
      <c r="A478" s="210"/>
    </row>
    <row r="479">
      <c r="A479" s="210"/>
    </row>
    <row r="480">
      <c r="A480" s="210"/>
    </row>
    <row r="481">
      <c r="A481" s="210"/>
    </row>
    <row r="482">
      <c r="A482" s="210"/>
    </row>
    <row r="483">
      <c r="A483" s="210"/>
    </row>
    <row r="484">
      <c r="A484" s="210"/>
    </row>
    <row r="485">
      <c r="A485" s="210"/>
    </row>
    <row r="486">
      <c r="A486" s="210"/>
    </row>
    <row r="487">
      <c r="A487" s="210"/>
    </row>
    <row r="488">
      <c r="A488" s="210"/>
    </row>
    <row r="489">
      <c r="A489" s="210"/>
    </row>
    <row r="490">
      <c r="A490" s="210"/>
    </row>
    <row r="491">
      <c r="A491" s="210"/>
    </row>
    <row r="492">
      <c r="A492" s="210"/>
    </row>
    <row r="493">
      <c r="A493" s="210"/>
    </row>
    <row r="494">
      <c r="A494" s="210"/>
    </row>
    <row r="495">
      <c r="A495" s="210"/>
    </row>
    <row r="496">
      <c r="A496" s="210"/>
    </row>
    <row r="497">
      <c r="A497" s="210"/>
    </row>
    <row r="498">
      <c r="A498" s="210"/>
    </row>
    <row r="499">
      <c r="A499" s="210"/>
    </row>
    <row r="500">
      <c r="A500" s="210"/>
    </row>
    <row r="501">
      <c r="A501" s="210"/>
    </row>
    <row r="502">
      <c r="A502" s="210"/>
    </row>
    <row r="503">
      <c r="A503" s="210"/>
    </row>
    <row r="504">
      <c r="A504" s="210"/>
    </row>
    <row r="505">
      <c r="A505" s="210"/>
    </row>
    <row r="506">
      <c r="A506" s="210"/>
    </row>
    <row r="507">
      <c r="A507" s="210"/>
    </row>
    <row r="508">
      <c r="A508" s="210"/>
    </row>
    <row r="509">
      <c r="A509" s="210"/>
    </row>
    <row r="510">
      <c r="A510" s="210"/>
    </row>
    <row r="511">
      <c r="A511" s="210"/>
    </row>
    <row r="512">
      <c r="A512" s="210"/>
    </row>
    <row r="513">
      <c r="A513" s="210"/>
    </row>
    <row r="514">
      <c r="A514" s="210"/>
    </row>
    <row r="515">
      <c r="A515" s="210"/>
    </row>
    <row r="516">
      <c r="A516" s="210"/>
    </row>
    <row r="517">
      <c r="A517" s="210"/>
    </row>
    <row r="518">
      <c r="A518" s="210"/>
    </row>
    <row r="519">
      <c r="A519" s="210"/>
    </row>
    <row r="520">
      <c r="A520" s="210"/>
    </row>
    <row r="521">
      <c r="A521" s="210"/>
    </row>
    <row r="522">
      <c r="A522" s="210"/>
    </row>
    <row r="523">
      <c r="A523" s="210"/>
    </row>
    <row r="524">
      <c r="A524" s="210"/>
    </row>
    <row r="525">
      <c r="A525" s="210"/>
    </row>
    <row r="526">
      <c r="A526" s="210"/>
    </row>
    <row r="527">
      <c r="A527" s="210"/>
    </row>
    <row r="528">
      <c r="A528" s="210"/>
    </row>
    <row r="529">
      <c r="A529" s="210"/>
    </row>
    <row r="530">
      <c r="A530" s="210"/>
    </row>
    <row r="531">
      <c r="A531" s="210"/>
    </row>
    <row r="532">
      <c r="A532" s="210"/>
    </row>
    <row r="533">
      <c r="A533" s="210"/>
    </row>
    <row r="534">
      <c r="A534" s="210"/>
    </row>
    <row r="535">
      <c r="A535" s="210"/>
    </row>
    <row r="536">
      <c r="A536" s="210"/>
    </row>
    <row r="537">
      <c r="A537" s="210"/>
    </row>
    <row r="538">
      <c r="A538" s="210"/>
    </row>
    <row r="539">
      <c r="A539" s="210"/>
    </row>
    <row r="540">
      <c r="A540" s="210"/>
    </row>
    <row r="541">
      <c r="A541" s="210"/>
    </row>
    <row r="542">
      <c r="A542" s="210"/>
    </row>
    <row r="543">
      <c r="A543" s="210"/>
    </row>
    <row r="544">
      <c r="A544" s="210"/>
    </row>
    <row r="545">
      <c r="A545" s="210"/>
    </row>
    <row r="546">
      <c r="A546" s="210"/>
    </row>
    <row r="547">
      <c r="A547" s="210"/>
    </row>
    <row r="548">
      <c r="A548" s="210"/>
    </row>
    <row r="549">
      <c r="A549" s="210"/>
    </row>
    <row r="550">
      <c r="A550" s="210"/>
    </row>
    <row r="551">
      <c r="A551" s="210"/>
    </row>
    <row r="552">
      <c r="A552" s="210"/>
    </row>
    <row r="553">
      <c r="A553" s="210"/>
    </row>
    <row r="554">
      <c r="A554" s="210"/>
    </row>
    <row r="555">
      <c r="A555" s="210"/>
    </row>
    <row r="556">
      <c r="A556" s="210"/>
    </row>
    <row r="557">
      <c r="A557" s="210"/>
    </row>
    <row r="558">
      <c r="A558" s="210"/>
    </row>
    <row r="559">
      <c r="A559" s="210"/>
    </row>
    <row r="560">
      <c r="A560" s="210"/>
    </row>
    <row r="561">
      <c r="A561" s="210"/>
    </row>
    <row r="562">
      <c r="A562" s="210"/>
    </row>
    <row r="563">
      <c r="A563" s="210"/>
    </row>
    <row r="564">
      <c r="A564" s="210"/>
    </row>
    <row r="565">
      <c r="A565" s="210"/>
    </row>
    <row r="566">
      <c r="A566" s="210"/>
    </row>
    <row r="567">
      <c r="A567" s="210"/>
    </row>
    <row r="568">
      <c r="A568" s="210"/>
    </row>
    <row r="569">
      <c r="A569" s="210"/>
    </row>
    <row r="570">
      <c r="A570" s="210"/>
    </row>
    <row r="571">
      <c r="A571" s="210"/>
    </row>
    <row r="572">
      <c r="A572" s="210"/>
    </row>
    <row r="573">
      <c r="A573" s="210"/>
    </row>
    <row r="574">
      <c r="A574" s="210"/>
    </row>
    <row r="575">
      <c r="A575" s="210"/>
    </row>
    <row r="576">
      <c r="A576" s="210"/>
    </row>
    <row r="577">
      <c r="A577" s="210"/>
    </row>
    <row r="578">
      <c r="A578" s="210"/>
    </row>
    <row r="579">
      <c r="A579" s="210"/>
    </row>
    <row r="580">
      <c r="A580" s="210"/>
    </row>
    <row r="581">
      <c r="A581" s="210"/>
    </row>
    <row r="582">
      <c r="A582" s="210"/>
    </row>
    <row r="583">
      <c r="A583" s="210"/>
    </row>
    <row r="584">
      <c r="A584" s="210"/>
    </row>
    <row r="585">
      <c r="A585" s="210"/>
    </row>
    <row r="586">
      <c r="A586" s="210"/>
    </row>
    <row r="587">
      <c r="A587" s="210"/>
    </row>
    <row r="588">
      <c r="A588" s="210"/>
    </row>
    <row r="589">
      <c r="A589" s="210"/>
    </row>
    <row r="590">
      <c r="A590" s="210"/>
    </row>
    <row r="591">
      <c r="A591" s="210"/>
    </row>
    <row r="592">
      <c r="A592" s="210"/>
    </row>
    <row r="593">
      <c r="A593" s="210"/>
    </row>
    <row r="594">
      <c r="A594" s="210"/>
    </row>
    <row r="595">
      <c r="A595" s="210"/>
    </row>
    <row r="596">
      <c r="A596" s="210"/>
    </row>
    <row r="597">
      <c r="A597" s="210"/>
    </row>
    <row r="598">
      <c r="A598" s="210"/>
    </row>
    <row r="599">
      <c r="A599" s="210"/>
    </row>
    <row r="600">
      <c r="A600" s="210"/>
    </row>
    <row r="601">
      <c r="A601" s="210"/>
    </row>
    <row r="602">
      <c r="A602" s="210"/>
    </row>
    <row r="603">
      <c r="A603" s="210"/>
    </row>
    <row r="604">
      <c r="A604" s="210"/>
    </row>
    <row r="605">
      <c r="A605" s="210"/>
    </row>
    <row r="606">
      <c r="A606" s="210"/>
    </row>
    <row r="607">
      <c r="A607" s="210"/>
    </row>
    <row r="608">
      <c r="A608" s="210"/>
    </row>
    <row r="609">
      <c r="A609" s="210"/>
    </row>
    <row r="610">
      <c r="A610" s="210"/>
    </row>
    <row r="611">
      <c r="A611" s="210"/>
    </row>
    <row r="612">
      <c r="A612" s="210"/>
    </row>
    <row r="613">
      <c r="A613" s="210"/>
    </row>
    <row r="614">
      <c r="A614" s="210"/>
    </row>
    <row r="615">
      <c r="A615" s="210"/>
    </row>
    <row r="616">
      <c r="A616" s="210"/>
    </row>
    <row r="617">
      <c r="A617" s="210"/>
    </row>
    <row r="618">
      <c r="A618" s="210"/>
    </row>
    <row r="619">
      <c r="A619" s="210"/>
    </row>
    <row r="620">
      <c r="A620" s="210"/>
    </row>
    <row r="621">
      <c r="A621" s="210"/>
    </row>
    <row r="622">
      <c r="A622" s="210"/>
    </row>
    <row r="623">
      <c r="A623" s="210"/>
    </row>
    <row r="624">
      <c r="A624" s="210"/>
    </row>
    <row r="625">
      <c r="A625" s="210"/>
    </row>
    <row r="626">
      <c r="A626" s="210"/>
    </row>
    <row r="627">
      <c r="A627" s="210"/>
    </row>
    <row r="628">
      <c r="A628" s="210"/>
    </row>
    <row r="629">
      <c r="A629" s="210"/>
    </row>
    <row r="630">
      <c r="A630" s="210"/>
    </row>
    <row r="631">
      <c r="A631" s="210"/>
    </row>
    <row r="632">
      <c r="A632" s="210"/>
    </row>
    <row r="633">
      <c r="A633" s="210"/>
    </row>
    <row r="634">
      <c r="A634" s="210"/>
    </row>
    <row r="635">
      <c r="A635" s="210"/>
    </row>
    <row r="636">
      <c r="A636" s="210"/>
    </row>
    <row r="637">
      <c r="A637" s="210"/>
    </row>
    <row r="638">
      <c r="A638" s="210"/>
    </row>
    <row r="639">
      <c r="A639" s="210"/>
    </row>
    <row r="640">
      <c r="A640" s="210"/>
    </row>
    <row r="641">
      <c r="A641" s="210"/>
    </row>
    <row r="642">
      <c r="A642" s="210"/>
    </row>
    <row r="643">
      <c r="A643" s="210"/>
    </row>
    <row r="644">
      <c r="A644" s="210"/>
    </row>
    <row r="645">
      <c r="A645" s="210"/>
    </row>
    <row r="646">
      <c r="A646" s="210"/>
    </row>
    <row r="647">
      <c r="A647" s="210"/>
    </row>
    <row r="648">
      <c r="A648" s="210"/>
    </row>
    <row r="649">
      <c r="A649" s="210"/>
    </row>
    <row r="650">
      <c r="A650" s="210"/>
    </row>
    <row r="651">
      <c r="A651" s="210"/>
    </row>
    <row r="652">
      <c r="A652" s="210"/>
    </row>
    <row r="653">
      <c r="A653" s="210"/>
    </row>
    <row r="654">
      <c r="A654" s="210"/>
    </row>
    <row r="655">
      <c r="A655" s="210"/>
    </row>
    <row r="656">
      <c r="A656" s="210"/>
    </row>
    <row r="657">
      <c r="A657" s="210"/>
    </row>
    <row r="658">
      <c r="A658" s="210"/>
    </row>
    <row r="659">
      <c r="A659" s="210"/>
    </row>
    <row r="660">
      <c r="A660" s="210"/>
    </row>
    <row r="661">
      <c r="A661" s="210"/>
    </row>
    <row r="662">
      <c r="A662" s="210"/>
    </row>
    <row r="663">
      <c r="A663" s="210"/>
    </row>
    <row r="664">
      <c r="A664" s="210"/>
    </row>
    <row r="665">
      <c r="A665" s="210"/>
    </row>
    <row r="666">
      <c r="A666" s="210"/>
    </row>
    <row r="667">
      <c r="A667" s="210"/>
    </row>
    <row r="668">
      <c r="A668" s="210"/>
    </row>
    <row r="669">
      <c r="A669" s="210"/>
    </row>
    <row r="670">
      <c r="A670" s="210"/>
    </row>
    <row r="671">
      <c r="A671" s="210"/>
    </row>
    <row r="672">
      <c r="A672" s="210"/>
    </row>
    <row r="673">
      <c r="A673" s="210"/>
    </row>
    <row r="674">
      <c r="A674" s="210"/>
    </row>
    <row r="675">
      <c r="A675" s="210"/>
    </row>
    <row r="676">
      <c r="A676" s="210"/>
    </row>
    <row r="677">
      <c r="A677" s="210"/>
    </row>
    <row r="678">
      <c r="A678" s="210"/>
    </row>
    <row r="679">
      <c r="A679" s="210"/>
    </row>
    <row r="680">
      <c r="A680" s="210"/>
    </row>
    <row r="681">
      <c r="A681" s="210"/>
    </row>
    <row r="682">
      <c r="A682" s="210"/>
    </row>
    <row r="683">
      <c r="A683" s="210"/>
    </row>
    <row r="684">
      <c r="A684" s="210"/>
    </row>
    <row r="685">
      <c r="A685" s="210"/>
    </row>
    <row r="686">
      <c r="A686" s="210"/>
    </row>
    <row r="687">
      <c r="A687" s="210"/>
    </row>
    <row r="688">
      <c r="A688" s="210"/>
    </row>
    <row r="689">
      <c r="A689" s="210"/>
    </row>
    <row r="690">
      <c r="A690" s="210"/>
    </row>
    <row r="691">
      <c r="A691" s="210"/>
    </row>
    <row r="692">
      <c r="A692" s="210"/>
    </row>
    <row r="693">
      <c r="A693" s="210"/>
    </row>
    <row r="694">
      <c r="A694" s="210"/>
    </row>
    <row r="695">
      <c r="A695" s="210"/>
    </row>
    <row r="696">
      <c r="A696" s="210"/>
    </row>
    <row r="697">
      <c r="A697" s="210"/>
    </row>
    <row r="698">
      <c r="A698" s="210"/>
    </row>
    <row r="699">
      <c r="A699" s="210"/>
    </row>
    <row r="700">
      <c r="A700" s="210"/>
    </row>
    <row r="701">
      <c r="A701" s="210"/>
    </row>
    <row r="702">
      <c r="A702" s="210"/>
    </row>
    <row r="703">
      <c r="A703" s="210"/>
    </row>
    <row r="704">
      <c r="A704" s="210"/>
    </row>
    <row r="705">
      <c r="A705" s="210"/>
    </row>
    <row r="706">
      <c r="A706" s="210"/>
    </row>
    <row r="707">
      <c r="A707" s="210"/>
    </row>
    <row r="708">
      <c r="A708" s="210"/>
    </row>
    <row r="709">
      <c r="A709" s="210"/>
    </row>
    <row r="710">
      <c r="A710" s="210"/>
    </row>
    <row r="711">
      <c r="A711" s="210"/>
    </row>
    <row r="712">
      <c r="A712" s="210"/>
    </row>
    <row r="713">
      <c r="A713" s="210"/>
    </row>
    <row r="714">
      <c r="A714" s="210"/>
    </row>
    <row r="715">
      <c r="A715" s="210"/>
    </row>
    <row r="716">
      <c r="A716" s="210"/>
    </row>
    <row r="717">
      <c r="A717" s="210"/>
    </row>
    <row r="718">
      <c r="A718" s="210"/>
    </row>
    <row r="719">
      <c r="A719" s="210"/>
    </row>
    <row r="720">
      <c r="A720" s="210"/>
    </row>
    <row r="721">
      <c r="A721" s="210"/>
    </row>
    <row r="722">
      <c r="A722" s="210"/>
    </row>
    <row r="723">
      <c r="A723" s="210"/>
    </row>
    <row r="724">
      <c r="A724" s="210"/>
    </row>
    <row r="725">
      <c r="A725" s="210"/>
    </row>
    <row r="726">
      <c r="A726" s="210"/>
    </row>
    <row r="727">
      <c r="A727" s="210"/>
    </row>
    <row r="728">
      <c r="A728" s="210"/>
    </row>
    <row r="729">
      <c r="A729" s="210"/>
    </row>
    <row r="730">
      <c r="A730" s="210"/>
    </row>
    <row r="731">
      <c r="A731" s="210"/>
    </row>
    <row r="732">
      <c r="A732" s="210"/>
    </row>
    <row r="733">
      <c r="A733" s="210"/>
    </row>
    <row r="734">
      <c r="A734" s="210"/>
    </row>
    <row r="735">
      <c r="A735" s="210"/>
    </row>
    <row r="736">
      <c r="A736" s="210"/>
    </row>
    <row r="737">
      <c r="A737" s="210"/>
    </row>
    <row r="738">
      <c r="A738" s="210"/>
    </row>
    <row r="739">
      <c r="A739" s="210"/>
    </row>
    <row r="740">
      <c r="A740" s="210"/>
    </row>
    <row r="741">
      <c r="A741" s="210"/>
    </row>
    <row r="742">
      <c r="A742" s="210"/>
    </row>
    <row r="743">
      <c r="A743" s="210"/>
    </row>
    <row r="744">
      <c r="A744" s="210"/>
    </row>
    <row r="745">
      <c r="A745" s="210"/>
    </row>
    <row r="746">
      <c r="A746" s="210"/>
    </row>
    <row r="747">
      <c r="A747" s="210"/>
    </row>
    <row r="748">
      <c r="A748" s="210"/>
    </row>
    <row r="749">
      <c r="A749" s="210"/>
    </row>
    <row r="750">
      <c r="A750" s="210"/>
    </row>
    <row r="751">
      <c r="A751" s="210"/>
    </row>
    <row r="752">
      <c r="A752" s="210"/>
    </row>
    <row r="753">
      <c r="A753" s="210"/>
    </row>
    <row r="754">
      <c r="A754" s="210"/>
    </row>
    <row r="755">
      <c r="A755" s="210"/>
    </row>
    <row r="756">
      <c r="A756" s="210"/>
    </row>
    <row r="757">
      <c r="A757" s="210"/>
    </row>
    <row r="758">
      <c r="A758" s="210"/>
    </row>
    <row r="759">
      <c r="A759" s="210"/>
    </row>
    <row r="760">
      <c r="A760" s="210"/>
    </row>
    <row r="761">
      <c r="A761" s="210"/>
    </row>
    <row r="762">
      <c r="A762" s="210"/>
    </row>
    <row r="763">
      <c r="A763" s="210"/>
    </row>
    <row r="764">
      <c r="A764" s="210"/>
    </row>
    <row r="765">
      <c r="A765" s="210"/>
    </row>
    <row r="766">
      <c r="A766" s="210"/>
    </row>
    <row r="767">
      <c r="A767" s="210"/>
    </row>
    <row r="768">
      <c r="A768" s="210"/>
    </row>
    <row r="769">
      <c r="A769" s="210"/>
    </row>
    <row r="770">
      <c r="A770" s="210"/>
    </row>
    <row r="771">
      <c r="A771" s="210"/>
    </row>
    <row r="772">
      <c r="A772" s="210"/>
    </row>
    <row r="773">
      <c r="A773" s="210"/>
    </row>
    <row r="774">
      <c r="A774" s="210"/>
    </row>
    <row r="775">
      <c r="A775" s="210"/>
    </row>
    <row r="776">
      <c r="A776" s="210"/>
    </row>
    <row r="777">
      <c r="A777" s="210"/>
    </row>
    <row r="778">
      <c r="A778" s="210"/>
    </row>
    <row r="779">
      <c r="A779" s="210"/>
    </row>
    <row r="780">
      <c r="A780" s="210"/>
    </row>
    <row r="781">
      <c r="A781" s="210"/>
    </row>
    <row r="782">
      <c r="A782" s="210"/>
    </row>
    <row r="783">
      <c r="A783" s="210"/>
    </row>
    <row r="784">
      <c r="A784" s="210"/>
    </row>
    <row r="785">
      <c r="A785" s="210"/>
    </row>
    <row r="786">
      <c r="A786" s="210"/>
    </row>
    <row r="787">
      <c r="A787" s="210"/>
    </row>
    <row r="788">
      <c r="A788" s="210"/>
    </row>
    <row r="789">
      <c r="A789" s="210"/>
    </row>
    <row r="790">
      <c r="A790" s="210"/>
    </row>
    <row r="791">
      <c r="A791" s="210"/>
    </row>
    <row r="792">
      <c r="A792" s="210"/>
    </row>
    <row r="793">
      <c r="A793" s="210"/>
    </row>
    <row r="794">
      <c r="A794" s="210"/>
    </row>
    <row r="795">
      <c r="A795" s="210"/>
    </row>
    <row r="796">
      <c r="A796" s="210"/>
    </row>
    <row r="797">
      <c r="A797" s="210"/>
    </row>
    <row r="798">
      <c r="A798" s="210"/>
    </row>
    <row r="799">
      <c r="A799" s="210"/>
    </row>
    <row r="800">
      <c r="A800" s="210"/>
    </row>
    <row r="801">
      <c r="A801" s="210"/>
    </row>
    <row r="802">
      <c r="A802" s="210"/>
    </row>
    <row r="803">
      <c r="A803" s="210"/>
    </row>
    <row r="804">
      <c r="A804" s="210"/>
    </row>
    <row r="805">
      <c r="A805" s="210"/>
    </row>
    <row r="806">
      <c r="A806" s="210"/>
    </row>
    <row r="807">
      <c r="A807" s="210"/>
    </row>
    <row r="808">
      <c r="A808" s="210"/>
    </row>
    <row r="809">
      <c r="A809" s="210"/>
    </row>
    <row r="810">
      <c r="A810" s="210"/>
    </row>
    <row r="811">
      <c r="A811" s="210"/>
    </row>
    <row r="812">
      <c r="A812" s="210"/>
    </row>
    <row r="813">
      <c r="A813" s="210"/>
    </row>
    <row r="814">
      <c r="A814" s="210"/>
    </row>
    <row r="815">
      <c r="A815" s="210"/>
    </row>
    <row r="816">
      <c r="A816" s="210"/>
    </row>
    <row r="817">
      <c r="A817" s="210"/>
    </row>
    <row r="818">
      <c r="A818" s="210"/>
    </row>
    <row r="819">
      <c r="A819" s="210"/>
    </row>
    <row r="820">
      <c r="A820" s="210"/>
    </row>
    <row r="821">
      <c r="A821" s="210"/>
    </row>
    <row r="822">
      <c r="A822" s="210"/>
    </row>
    <row r="823">
      <c r="A823" s="210"/>
    </row>
    <row r="824">
      <c r="A824" s="210"/>
    </row>
    <row r="825">
      <c r="A825" s="210"/>
    </row>
    <row r="826">
      <c r="A826" s="210"/>
    </row>
    <row r="827">
      <c r="A827" s="210"/>
    </row>
    <row r="828">
      <c r="A828" s="210"/>
    </row>
    <row r="829">
      <c r="A829" s="210"/>
    </row>
    <row r="830">
      <c r="A830" s="210"/>
    </row>
    <row r="831">
      <c r="A831" s="210"/>
    </row>
    <row r="832">
      <c r="A832" s="210"/>
    </row>
    <row r="833">
      <c r="A833" s="210"/>
    </row>
    <row r="834">
      <c r="A834" s="210"/>
    </row>
    <row r="835">
      <c r="A835" s="210"/>
    </row>
    <row r="836">
      <c r="A836" s="210"/>
    </row>
    <row r="837">
      <c r="A837" s="210"/>
    </row>
    <row r="838">
      <c r="A838" s="210"/>
    </row>
    <row r="839">
      <c r="A839" s="210"/>
    </row>
    <row r="840">
      <c r="A840" s="210"/>
    </row>
    <row r="841">
      <c r="A841" s="210"/>
    </row>
    <row r="842">
      <c r="A842" s="210"/>
    </row>
    <row r="843">
      <c r="A843" s="210"/>
    </row>
    <row r="844">
      <c r="A844" s="210"/>
    </row>
    <row r="845">
      <c r="A845" s="210"/>
    </row>
    <row r="846">
      <c r="A846" s="210"/>
    </row>
    <row r="847">
      <c r="A847" s="210"/>
    </row>
    <row r="848">
      <c r="A848" s="210"/>
    </row>
    <row r="849">
      <c r="A849" s="210"/>
    </row>
    <row r="850">
      <c r="A850" s="210"/>
    </row>
    <row r="851">
      <c r="A851" s="210"/>
    </row>
    <row r="852">
      <c r="A852" s="210"/>
    </row>
    <row r="853">
      <c r="A853" s="210"/>
    </row>
    <row r="854">
      <c r="A854" s="210"/>
    </row>
    <row r="855">
      <c r="A855" s="210"/>
    </row>
    <row r="856">
      <c r="A856" s="210"/>
    </row>
    <row r="857">
      <c r="A857" s="210"/>
    </row>
    <row r="858">
      <c r="A858" s="210"/>
    </row>
    <row r="859">
      <c r="A859" s="210"/>
    </row>
    <row r="860">
      <c r="A860" s="210"/>
    </row>
    <row r="861">
      <c r="A861" s="210"/>
    </row>
    <row r="862">
      <c r="A862" s="210"/>
    </row>
    <row r="863">
      <c r="A863" s="210"/>
    </row>
    <row r="864">
      <c r="A864" s="210"/>
    </row>
    <row r="865">
      <c r="A865" s="210"/>
    </row>
    <row r="866">
      <c r="A866" s="210"/>
    </row>
    <row r="867">
      <c r="A867" s="210"/>
    </row>
    <row r="868">
      <c r="A868" s="210"/>
    </row>
    <row r="869">
      <c r="A869" s="210"/>
    </row>
    <row r="870">
      <c r="A870" s="210"/>
    </row>
    <row r="871">
      <c r="A871" s="210"/>
    </row>
    <row r="872">
      <c r="A872" s="210"/>
    </row>
    <row r="873">
      <c r="A873" s="210"/>
    </row>
    <row r="874">
      <c r="A874" s="210"/>
    </row>
    <row r="875">
      <c r="A875" s="210"/>
    </row>
    <row r="876">
      <c r="A876" s="210"/>
    </row>
    <row r="877">
      <c r="A877" s="210"/>
    </row>
    <row r="878">
      <c r="A878" s="210"/>
    </row>
    <row r="879">
      <c r="A879" s="210"/>
    </row>
    <row r="880">
      <c r="A880" s="210"/>
    </row>
    <row r="881">
      <c r="A881" s="210"/>
    </row>
    <row r="882">
      <c r="A882" s="210"/>
    </row>
    <row r="883">
      <c r="A883" s="210"/>
    </row>
    <row r="884">
      <c r="A884" s="210"/>
    </row>
    <row r="885">
      <c r="A885" s="210"/>
    </row>
    <row r="886">
      <c r="A886" s="210"/>
    </row>
    <row r="887">
      <c r="A887" s="210"/>
    </row>
    <row r="888">
      <c r="A888" s="210"/>
    </row>
    <row r="889">
      <c r="A889" s="210"/>
    </row>
    <row r="890">
      <c r="A890" s="210"/>
    </row>
    <row r="891">
      <c r="A891" s="210"/>
    </row>
    <row r="892">
      <c r="A892" s="210"/>
    </row>
    <row r="893">
      <c r="A893" s="210"/>
    </row>
    <row r="894">
      <c r="A894" s="210"/>
    </row>
    <row r="895">
      <c r="A895" s="210"/>
    </row>
    <row r="896">
      <c r="A896" s="210"/>
    </row>
    <row r="897">
      <c r="A897" s="210"/>
    </row>
    <row r="898">
      <c r="A898" s="210"/>
    </row>
    <row r="899">
      <c r="A899" s="210"/>
    </row>
    <row r="900">
      <c r="A900" s="210"/>
    </row>
    <row r="901">
      <c r="A901" s="210"/>
    </row>
    <row r="902">
      <c r="A902" s="210"/>
    </row>
    <row r="903">
      <c r="A903" s="210"/>
    </row>
    <row r="904">
      <c r="A904" s="210"/>
    </row>
    <row r="905">
      <c r="A905" s="210"/>
    </row>
    <row r="906">
      <c r="A906" s="210"/>
    </row>
    <row r="907">
      <c r="A907" s="210"/>
    </row>
    <row r="908">
      <c r="A908" s="210"/>
    </row>
    <row r="909">
      <c r="A909" s="210"/>
    </row>
    <row r="910">
      <c r="A910" s="210"/>
    </row>
    <row r="911">
      <c r="A911" s="210"/>
    </row>
    <row r="912">
      <c r="A912" s="210"/>
    </row>
    <row r="913">
      <c r="A913" s="210"/>
    </row>
    <row r="914">
      <c r="A914" s="210"/>
    </row>
    <row r="915">
      <c r="A915" s="210"/>
    </row>
    <row r="916">
      <c r="A916" s="210"/>
    </row>
    <row r="917">
      <c r="A917" s="210"/>
    </row>
    <row r="918">
      <c r="A918" s="210"/>
    </row>
    <row r="919">
      <c r="A919" s="210"/>
    </row>
    <row r="920">
      <c r="A920" s="210"/>
    </row>
    <row r="921">
      <c r="A921" s="210"/>
    </row>
    <row r="922">
      <c r="A922" s="210"/>
    </row>
    <row r="923">
      <c r="A923" s="210"/>
    </row>
    <row r="924">
      <c r="A924" s="210"/>
    </row>
    <row r="925">
      <c r="A925" s="210"/>
    </row>
    <row r="926">
      <c r="A926" s="210"/>
    </row>
    <row r="927">
      <c r="A927" s="210"/>
    </row>
    <row r="928">
      <c r="A928" s="210"/>
    </row>
    <row r="929">
      <c r="A929" s="210"/>
    </row>
    <row r="930">
      <c r="A930" s="210"/>
    </row>
    <row r="931">
      <c r="A931" s="210"/>
    </row>
    <row r="932">
      <c r="A932" s="210"/>
    </row>
    <row r="933">
      <c r="A933" s="210"/>
    </row>
    <row r="934">
      <c r="A934" s="210"/>
    </row>
    <row r="935">
      <c r="A935" s="210"/>
    </row>
    <row r="936">
      <c r="A936" s="210"/>
    </row>
    <row r="937">
      <c r="A937" s="210"/>
    </row>
    <row r="938">
      <c r="A938" s="210"/>
    </row>
    <row r="939">
      <c r="A939" s="210"/>
    </row>
    <row r="940">
      <c r="A940" s="210"/>
    </row>
    <row r="941">
      <c r="A941" s="210"/>
    </row>
    <row r="942">
      <c r="A942" s="210"/>
    </row>
    <row r="943">
      <c r="A943" s="210"/>
    </row>
    <row r="944">
      <c r="A944" s="210"/>
    </row>
    <row r="945">
      <c r="A945" s="210"/>
    </row>
    <row r="946">
      <c r="A946" s="210"/>
    </row>
    <row r="947">
      <c r="A947" s="210"/>
    </row>
    <row r="948">
      <c r="A948" s="210"/>
    </row>
    <row r="949">
      <c r="A949" s="210"/>
    </row>
    <row r="950">
      <c r="A950" s="210"/>
    </row>
    <row r="951">
      <c r="A951" s="210"/>
    </row>
    <row r="952">
      <c r="A952" s="210"/>
    </row>
    <row r="953">
      <c r="A953" s="210"/>
    </row>
    <row r="954">
      <c r="A954" s="210"/>
    </row>
    <row r="955">
      <c r="A955" s="210"/>
    </row>
    <row r="956">
      <c r="A956" s="210"/>
    </row>
    <row r="957">
      <c r="A957" s="210"/>
    </row>
    <row r="958">
      <c r="A958" s="210"/>
    </row>
    <row r="959">
      <c r="A959" s="210"/>
    </row>
    <row r="960">
      <c r="A960" s="210"/>
    </row>
    <row r="961">
      <c r="A961" s="210"/>
    </row>
    <row r="962">
      <c r="A962" s="210"/>
    </row>
    <row r="963">
      <c r="A963" s="210"/>
    </row>
    <row r="964">
      <c r="A964" s="210"/>
    </row>
    <row r="965">
      <c r="A965" s="210"/>
    </row>
    <row r="966">
      <c r="A966" s="210"/>
    </row>
    <row r="967">
      <c r="A967" s="210"/>
    </row>
    <row r="968">
      <c r="A968" s="210"/>
    </row>
    <row r="969">
      <c r="A969" s="210"/>
    </row>
    <row r="970">
      <c r="A970" s="210"/>
    </row>
    <row r="971">
      <c r="A971" s="210"/>
    </row>
    <row r="972">
      <c r="A972" s="210"/>
    </row>
    <row r="973">
      <c r="A973" s="210"/>
    </row>
    <row r="974">
      <c r="A974" s="210"/>
    </row>
    <row r="975">
      <c r="A975" s="210"/>
    </row>
    <row r="976">
      <c r="A976" s="210"/>
    </row>
    <row r="977">
      <c r="A977" s="210"/>
    </row>
    <row r="978">
      <c r="A978" s="210"/>
    </row>
    <row r="979">
      <c r="A979" s="210"/>
    </row>
    <row r="980">
      <c r="A980" s="210"/>
    </row>
    <row r="981">
      <c r="A981" s="210"/>
    </row>
    <row r="982">
      <c r="A982" s="210"/>
    </row>
    <row r="983">
      <c r="A983" s="210"/>
    </row>
    <row r="984">
      <c r="A984" s="210"/>
    </row>
    <row r="985">
      <c r="A985" s="210"/>
    </row>
    <row r="986">
      <c r="A986" s="210"/>
    </row>
    <row r="987">
      <c r="A987" s="210"/>
    </row>
    <row r="988">
      <c r="A988" s="210"/>
    </row>
    <row r="989">
      <c r="A989" s="210"/>
    </row>
    <row r="990">
      <c r="A990" s="210"/>
    </row>
    <row r="991">
      <c r="A991" s="210"/>
    </row>
    <row r="992">
      <c r="A992" s="210"/>
    </row>
    <row r="993">
      <c r="A993" s="210"/>
    </row>
    <row r="994">
      <c r="A994" s="210"/>
    </row>
    <row r="995">
      <c r="A995" s="210"/>
    </row>
    <row r="996">
      <c r="A996" s="210"/>
    </row>
    <row r="997">
      <c r="A997" s="210"/>
    </row>
    <row r="998">
      <c r="A998" s="210"/>
    </row>
    <row r="999">
      <c r="A999" s="210"/>
    </row>
    <row r="1000">
      <c r="A1000" s="210"/>
    </row>
  </sheetData>
  <drawing r:id="rId4"/>
  <legacyDrawing r:id="rId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6" max="6" width="15.13"/>
    <col customWidth="1" min="7" max="7" width="17.0"/>
    <col customWidth="1" min="9" max="9" width="18.75"/>
  </cols>
  <sheetData>
    <row r="1">
      <c r="A1" s="560" t="s">
        <v>2673</v>
      </c>
      <c r="B1" s="560" t="s">
        <v>3628</v>
      </c>
      <c r="C1" s="560" t="s">
        <v>3004</v>
      </c>
      <c r="D1" s="560" t="s">
        <v>3012</v>
      </c>
      <c r="E1" s="560" t="s">
        <v>2684</v>
      </c>
      <c r="F1" s="560" t="s">
        <v>3629</v>
      </c>
      <c r="G1" s="560" t="s">
        <v>3630</v>
      </c>
      <c r="H1" s="560" t="s">
        <v>3631</v>
      </c>
      <c r="I1" s="560" t="s">
        <v>3632</v>
      </c>
      <c r="J1" s="347"/>
      <c r="K1" s="347"/>
      <c r="L1" s="347"/>
      <c r="M1" s="347"/>
      <c r="N1" s="347"/>
    </row>
    <row r="2">
      <c r="A2" s="334">
        <v>200068.0</v>
      </c>
      <c r="B2" s="87">
        <f t="array" ref="B2">INDEX('PROD SSoT MRV Sheet'!$AP$2:$AP1000,MATCH(A2,'PROD SSoT MRV Sheet'!$A$2:$A1000, 0))</f>
        <v>18924.01453</v>
      </c>
      <c r="C2" s="381">
        <f t="array" ref="C2">INDEX('PROD SSoT MRV Sheet'!$BS$2:$BS1000,MATCH(A2,'PROD SSoT MRV Sheet'!$A$2:$A1000, 0))</f>
        <v>18161.13435</v>
      </c>
      <c r="D2" s="87">
        <f t="array" ref="D2">INDEX('PROD SSoT MRV Sheet'!$BT$2:$BT1000,MATCH(A2,'PROD SSoT MRV Sheet'!$A$2:$A1000, 0))</f>
        <v>762.8801858</v>
      </c>
      <c r="E2" s="174">
        <f t="shared" ref="E2:E45" si="1">D2/B2</f>
        <v>0.04031280913</v>
      </c>
      <c r="F2" s="284">
        <f>'PROD SSoT MRV Sheet'!P17</f>
        <v>2670.24</v>
      </c>
      <c r="G2" s="174">
        <f t="shared" ref="G2:G30" si="2">F2/B2</f>
        <v>0.1411032525</v>
      </c>
      <c r="H2" s="87">
        <f t="array" ref="H2">INDEX('PROD SSoT MRV Sheet'!$BE$2:$BE1000,MATCH(A2,'PROD SSoT MRV Sheet'!$A$2:$A1000, 0))</f>
        <v>926.0552839</v>
      </c>
      <c r="I2" s="87">
        <f t="array" ref="I2">INDEX('PROD SSoT MRV Sheet'!$BR$2:$BR1000,MATCH(A2,'PROD SSoT MRV Sheet'!$A$2:$A1000, 0))</f>
        <v>21064.85471</v>
      </c>
    </row>
    <row r="3">
      <c r="A3" s="595" t="s">
        <v>2860</v>
      </c>
      <c r="B3" s="87">
        <f t="array" ref="B3">INDEX('PROD SSoT MRV Sheet'!$AP$2:$AP1000,MATCH(A3,'PROD SSoT MRV Sheet'!$A$2:$A1000, 0))</f>
        <v>18346.46445</v>
      </c>
      <c r="C3" s="381">
        <f t="array" ref="C3">INDEX('PROD SSoT MRV Sheet'!$BS$2:$BS1000,MATCH(A3,'PROD SSoT MRV Sheet'!$A$2:$A1000, 0))</f>
        <v>17622.35669</v>
      </c>
      <c r="D3" s="87">
        <f t="array" ref="D3">INDEX('PROD SSoT MRV Sheet'!$BT$2:$BT1000,MATCH(A3,'PROD SSoT MRV Sheet'!$A$2:$A1000, 0))</f>
        <v>724.1077622</v>
      </c>
      <c r="E3" s="174">
        <f t="shared" si="1"/>
        <v>0.03946851799</v>
      </c>
      <c r="F3" s="284">
        <f>'PROD SSoT MRV Sheet'!V20</f>
        <v>2208.26</v>
      </c>
      <c r="G3" s="174">
        <f t="shared" si="2"/>
        <v>0.1203643354</v>
      </c>
      <c r="H3" s="87">
        <f t="array" ref="H3">INDEX('PROD SSoT MRV Sheet'!$BE$2:$BE1000,MATCH(A3,'PROD SSoT MRV Sheet'!$A$2:$A1000, 0))</f>
        <v>954.9945115</v>
      </c>
      <c r="I3" s="87">
        <f t="array" ref="I3">INDEX('PROD SSoT MRV Sheet'!$BR$2:$BR1000,MATCH(A3,'PROD SSoT MRV Sheet'!$A$2:$A1000, 0))</f>
        <v>20629.40552</v>
      </c>
    </row>
    <row r="4">
      <c r="A4" s="595" t="s">
        <v>2871</v>
      </c>
      <c r="B4" s="87">
        <f t="array" ref="B4">INDEX('PROD SSoT MRV Sheet'!$AP$2:$AP1000,MATCH(A4,'PROD SSoT MRV Sheet'!$A$2:$A1000, 0))</f>
        <v>29353.25151</v>
      </c>
      <c r="C4" s="381">
        <f t="array" ref="C4">INDEX('PROD SSoT MRV Sheet'!$BS$2:$BS1000,MATCH(A4,'PROD SSoT MRV Sheet'!$A$2:$A1000, 0))</f>
        <v>27903.85645</v>
      </c>
      <c r="D4" s="87">
        <f t="array" ref="D4">INDEX('PROD SSoT MRV Sheet'!$BT$2:$BT1000,MATCH(A4,'PROD SSoT MRV Sheet'!$A$2:$A1000, 0))</f>
        <v>1449.39506</v>
      </c>
      <c r="E4" s="174">
        <f t="shared" si="1"/>
        <v>0.04937766637</v>
      </c>
      <c r="F4" s="87">
        <f>'PROD SSoT MRV Sheet'!AB22</f>
        <v>3223.13</v>
      </c>
      <c r="G4" s="174">
        <f t="shared" si="2"/>
        <v>0.1098048712</v>
      </c>
      <c r="H4" s="87">
        <f t="array" ref="H4">INDEX('PROD SSoT MRV Sheet'!$BE$2:$BE1000,MATCH(A4,'PROD SSoT MRV Sheet'!$A$2:$A1000, 0))</f>
        <v>1070.751422</v>
      </c>
      <c r="I4" s="87">
        <f t="array" ref="I4">INDEX('PROD SSoT MRV Sheet'!$BR$2:$BR1000,MATCH(A4,'PROD SSoT MRV Sheet'!$A$2:$A1000, 0))</f>
        <v>32504.46789</v>
      </c>
    </row>
    <row r="5">
      <c r="A5" s="334">
        <v>300004.0</v>
      </c>
      <c r="B5" s="87">
        <f t="array" ref="B5">INDEX('PROD SSoT MRV Sheet'!$AP$2:$AP1000,MATCH(A5,'PROD SSoT MRV Sheet'!$A$2:$A1000, 0))</f>
        <v>36583.28899</v>
      </c>
      <c r="C5" s="381">
        <f t="array" ref="C5">INDEX('PROD SSoT MRV Sheet'!$BS$2:$BS1000,MATCH(A5,'PROD SSoT MRV Sheet'!$A$2:$A1000, 0))</f>
        <v>34140.38247</v>
      </c>
      <c r="D5" s="87">
        <f t="array" ref="D5">INDEX('PROD SSoT MRV Sheet'!$BT$2:$BT1000,MATCH(A5,'PROD SSoT MRV Sheet'!$A$2:$A1000, 0))</f>
        <v>2442.906521</v>
      </c>
      <c r="E5" s="174">
        <f t="shared" si="1"/>
        <v>0.06677656898</v>
      </c>
      <c r="F5" s="87">
        <f>'PROD SSoT MRV Sheet'!AB23</f>
        <v>4763.76</v>
      </c>
      <c r="G5" s="174">
        <f t="shared" si="2"/>
        <v>0.1302168321</v>
      </c>
      <c r="H5" s="87">
        <f t="array" ref="H5">INDEX('PROD SSoT MRV Sheet'!$BE$2:$BE1000,MATCH(A5,'PROD SSoT MRV Sheet'!$A$2:$A1000, 0))</f>
        <v>1297.924359</v>
      </c>
      <c r="I5" s="87">
        <f t="array" ref="I5">INDEX('PROD SSoT MRV Sheet'!$BR$2:$BR1000,MATCH(A5,'PROD SSoT MRV Sheet'!$A$2:$A1000, 0))</f>
        <v>38999.91835</v>
      </c>
    </row>
    <row r="6">
      <c r="A6" s="595" t="s">
        <v>2884</v>
      </c>
      <c r="B6" s="87">
        <f t="array" ref="B6">INDEX('PROD SSoT MRV Sheet'!$AP$2:$AP1000,MATCH(A6,'PROD SSoT MRV Sheet'!$A$2:$A1000, 0))</f>
        <v>37568.64262</v>
      </c>
      <c r="C6" s="381">
        <f t="array" ref="C6">INDEX('PROD SSoT MRV Sheet'!$BS$2:$BS1000,MATCH(A6,'PROD SSoT MRV Sheet'!$A$2:$A1000, 0))</f>
        <v>35315.54191</v>
      </c>
      <c r="D6" s="87">
        <f t="array" ref="D6">INDEX('PROD SSoT MRV Sheet'!$BT$2:$BT1000,MATCH(A6,'PROD SSoT MRV Sheet'!$A$2:$A1000, 0))</f>
        <v>2253.100712</v>
      </c>
      <c r="E6" s="174">
        <f t="shared" si="1"/>
        <v>0.05997290705</v>
      </c>
      <c r="F6" s="87">
        <f>'PROD SSoT MRV Sheet'!AB25</f>
        <v>2669.71</v>
      </c>
      <c r="G6" s="174">
        <f t="shared" si="2"/>
        <v>0.07106218947</v>
      </c>
      <c r="H6" s="87">
        <f t="array" ref="H6">INDEX('PROD SSoT MRV Sheet'!$BE$2:$BE1000,MATCH(A6,'PROD SSoT MRV Sheet'!$A$2:$A1000, 0))</f>
        <v>1352.908891</v>
      </c>
      <c r="I6" s="87">
        <f t="array" ref="I6">INDEX('PROD SSoT MRV Sheet'!$BR$2:$BR1000,MATCH(A6,'PROD SSoT MRV Sheet'!$A$2:$A1000, 0))</f>
        <v>40315.33779</v>
      </c>
    </row>
    <row r="7">
      <c r="A7" s="334">
        <v>300006.0</v>
      </c>
      <c r="B7" s="87">
        <f t="array" ref="B7">INDEX('PROD SSoT MRV Sheet'!$AP$2:$AP1000,MATCH(A7,'PROD SSoT MRV Sheet'!$A$2:$A1000, 0))</f>
        <v>37309.99825</v>
      </c>
      <c r="C7" s="381">
        <f t="array" ref="C7">INDEX('PROD SSoT MRV Sheet'!$BS$2:$BS1000,MATCH(A7,'PROD SSoT MRV Sheet'!$A$2:$A1000, 0))</f>
        <v>36022.38027</v>
      </c>
      <c r="D7" s="87">
        <f t="array" ref="D7">INDEX('PROD SSoT MRV Sheet'!$BT$2:$BT1000,MATCH(A7,'PROD SSoT MRV Sheet'!$A$2:$A1000, 0))</f>
        <v>1287.617977</v>
      </c>
      <c r="E7" s="174">
        <f t="shared" si="1"/>
        <v>0.03451133843</v>
      </c>
      <c r="F7" s="284">
        <f>'PROD SSoT MRV Sheet'!AH27</f>
        <v>4383.96</v>
      </c>
      <c r="G7" s="174">
        <f t="shared" si="2"/>
        <v>0.1175009436</v>
      </c>
      <c r="H7" s="87">
        <f t="array" ref="H7">INDEX('PROD SSoT MRV Sheet'!$BE$2:$BE1000,MATCH(A7,'PROD SSoT MRV Sheet'!$A$2:$A1000, 0))</f>
        <v>1282.007784</v>
      </c>
      <c r="I7" s="87">
        <f t="array" ref="I7">INDEX('PROD SSoT MRV Sheet'!$BR$2:$BR1000,MATCH(A7,'PROD SSoT MRV Sheet'!$A$2:$A1000, 0))</f>
        <v>40768.9307</v>
      </c>
    </row>
    <row r="8">
      <c r="A8" s="334">
        <v>300007.0</v>
      </c>
      <c r="B8" s="87">
        <f t="array" ref="B8">INDEX('PROD SSoT MRV Sheet'!$AP$2:$AP1000,MATCH(A8,'PROD SSoT MRV Sheet'!$A$2:$A1000, 0))</f>
        <v>36721.16465</v>
      </c>
      <c r="C8" s="381">
        <f t="array" ref="C8">INDEX('PROD SSoT MRV Sheet'!$BS$2:$BS1000,MATCH(A8,'PROD SSoT MRV Sheet'!$A$2:$A1000, 0))</f>
        <v>35546.31637</v>
      </c>
      <c r="D8" s="87">
        <f t="array" ref="D8">INDEX('PROD SSoT MRV Sheet'!$BT$2:$BT1000,MATCH(A8,'PROD SSoT MRV Sheet'!$A$2:$A1000, 0))</f>
        <v>1174.84828</v>
      </c>
      <c r="E8" s="174">
        <f t="shared" si="1"/>
        <v>0.03199376411</v>
      </c>
      <c r="F8" s="87">
        <f>'PROD SSoT MRV Sheet'!AB29</f>
        <v>4310.7</v>
      </c>
      <c r="G8" s="174">
        <f t="shared" si="2"/>
        <v>0.1173900676</v>
      </c>
      <c r="H8" s="87">
        <f t="array" ref="H8">INDEX('PROD SSoT MRV Sheet'!$BE$2:$BE1000,MATCH(A8,'PROD SSoT MRV Sheet'!$A$2:$A1000, 0))</f>
        <v>1377.507235</v>
      </c>
      <c r="I8" s="87">
        <f t="array" ref="I8">INDEX('PROD SSoT MRV Sheet'!$BR$2:$BR1000,MATCH(A8,'PROD SSoT MRV Sheet'!$A$2:$A1000, 0))</f>
        <v>40415.12823</v>
      </c>
    </row>
    <row r="9">
      <c r="A9" s="334">
        <v>300008.0</v>
      </c>
      <c r="B9" s="87">
        <f t="array" ref="B9">INDEX('PROD SSoT MRV Sheet'!$AP$2:$AP1000,MATCH(A9,'PROD SSoT MRV Sheet'!$A$2:$A1000, 0))</f>
        <v>35876.25732</v>
      </c>
      <c r="C9" s="381">
        <f t="array" ref="C9">INDEX('PROD SSoT MRV Sheet'!$BS$2:$BS1000,MATCH(A9,'PROD SSoT MRV Sheet'!$A$2:$A1000, 0))</f>
        <v>34506.98987</v>
      </c>
      <c r="D9" s="87">
        <f t="array" ref="D9">INDEX('PROD SSoT MRV Sheet'!$BT$2:$BT1000,MATCH(A9,'PROD SSoT MRV Sheet'!$A$2:$A1000, 0))</f>
        <v>1369.267455</v>
      </c>
      <c r="E9" s="174">
        <f t="shared" si="1"/>
        <v>0.03816639631</v>
      </c>
      <c r="F9" s="284">
        <f>'PROD SSoT MRV Sheet'!AH31</f>
        <v>3531.649</v>
      </c>
      <c r="G9" s="174">
        <f t="shared" si="2"/>
        <v>0.09843972765</v>
      </c>
      <c r="H9" s="87">
        <f t="array" ref="H9">INDEX('PROD SSoT MRV Sheet'!$BE$2:$BE1000,MATCH(A9,'PROD SSoT MRV Sheet'!$A$2:$A1000, 0))</f>
        <v>1562.718292</v>
      </c>
      <c r="I9" s="87">
        <f t="array" ref="I9">INDEX('PROD SSoT MRV Sheet'!$BR$2:$BR1000,MATCH(A9,'PROD SSoT MRV Sheet'!$A$2:$A1000, 0))</f>
        <v>40197.40363</v>
      </c>
    </row>
    <row r="10">
      <c r="A10" s="334">
        <v>300009.0</v>
      </c>
      <c r="B10" s="87">
        <f t="array" ref="B10">INDEX('PROD SSoT MRV Sheet'!$AP$2:$AP1000,MATCH(A10,'PROD SSoT MRV Sheet'!$A$2:$A1000, 0))</f>
        <v>36150.48081</v>
      </c>
      <c r="C10" s="381">
        <f t="array" ref="C10">INDEX('PROD SSoT MRV Sheet'!$BS$2:$BS1000,MATCH(A10,'PROD SSoT MRV Sheet'!$A$2:$A1000, 0))</f>
        <v>33834.72889</v>
      </c>
      <c r="D10" s="87">
        <f t="array" ref="D10">INDEX('PROD SSoT MRV Sheet'!$BT$2:$BT1000,MATCH(A10,'PROD SSoT MRV Sheet'!$A$2:$A1000, 0))</f>
        <v>2315.751925</v>
      </c>
      <c r="E10" s="174">
        <f t="shared" si="1"/>
        <v>0.06405867566</v>
      </c>
      <c r="F10" s="87">
        <f>'PROD SSoT MRV Sheet'!AB33</f>
        <v>3804.748565</v>
      </c>
      <c r="G10" s="174">
        <f t="shared" si="2"/>
        <v>0.1052475231</v>
      </c>
      <c r="H10" s="87">
        <f t="array" ref="H10">INDEX('PROD SSoT MRV Sheet'!$BE$2:$BE1000,MATCH(A10,'PROD SSoT MRV Sheet'!$A$2:$A1000, 0))</f>
        <v>1609.021056</v>
      </c>
      <c r="I10" s="87">
        <f t="array" ref="I10">INDEX('PROD SSoT MRV Sheet'!$BR$2:$BR1000,MATCH(A10,'PROD SSoT MRV Sheet'!$A$2:$A1000, 0))</f>
        <v>39163.2118</v>
      </c>
    </row>
    <row r="11">
      <c r="A11" s="334">
        <v>300010.0</v>
      </c>
      <c r="B11" s="87">
        <f t="array" ref="B11">INDEX('PROD SSoT MRV Sheet'!$AP$2:$AP1000,MATCH(A11,'PROD SSoT MRV Sheet'!$A$2:$A1000, 0))</f>
        <v>34519.54948</v>
      </c>
      <c r="C11" s="381">
        <f t="array" ref="C11">INDEX('PROD SSoT MRV Sheet'!$BS$2:$BS1000,MATCH(A11,'PROD SSoT MRV Sheet'!$A$2:$A1000, 0))</f>
        <v>33207.17403</v>
      </c>
      <c r="D11" s="87">
        <f t="array" ref="D11">INDEX('PROD SSoT MRV Sheet'!$BT$2:$BT1000,MATCH(A11,'PROD SSoT MRV Sheet'!$A$2:$A1000, 0))</f>
        <v>1312.375455</v>
      </c>
      <c r="E11" s="174">
        <f t="shared" si="1"/>
        <v>0.03801832512</v>
      </c>
      <c r="F11" s="87">
        <f>'PROD SSoT MRV Sheet'!AB35</f>
        <v>4656.9</v>
      </c>
      <c r="G11" s="174">
        <f t="shared" si="2"/>
        <v>0.1349061639</v>
      </c>
      <c r="H11" s="87">
        <f t="array" ref="H11">INDEX('PROD SSoT MRV Sheet'!$BE$2:$BE1000,MATCH(A11,'PROD SSoT MRV Sheet'!$A$2:$A1000, 0))</f>
        <v>1909.989023</v>
      </c>
      <c r="I11" s="87">
        <f t="array" ref="I11">INDEX('PROD SSoT MRV Sheet'!$BR$2:$BR1000,MATCH(A11,'PROD SSoT MRV Sheet'!$A$2:$A1000, 0))</f>
        <v>38773.1219</v>
      </c>
    </row>
    <row r="12">
      <c r="A12" s="334">
        <v>300011.0</v>
      </c>
      <c r="B12" s="87">
        <f t="array" ref="B12">INDEX('PROD SSoT MRV Sheet'!$AP$2:$AP1000,MATCH(A12,'PROD SSoT MRV Sheet'!$A$2:$A1000, 0))</f>
        <v>36688.51665</v>
      </c>
      <c r="C12" s="381">
        <f t="array" ref="C12">INDEX('PROD SSoT MRV Sheet'!$BS$2:$BS1000,MATCH(A12,'PROD SSoT MRV Sheet'!$A$2:$A1000, 0))</f>
        <v>34514.79166</v>
      </c>
      <c r="D12" s="87">
        <f t="array" ref="D12">INDEX('PROD SSoT MRV Sheet'!$BT$2:$BT1000,MATCH(A12,'PROD SSoT MRV Sheet'!$A$2:$A1000, 0))</f>
        <v>2173.724987</v>
      </c>
      <c r="E12" s="174">
        <f t="shared" si="1"/>
        <v>0.05924810228</v>
      </c>
      <c r="F12" s="284">
        <f>'PROD SSoT MRV Sheet'!AH37</f>
        <v>4783.8</v>
      </c>
      <c r="G12" s="174">
        <f t="shared" si="2"/>
        <v>0.1303895724</v>
      </c>
      <c r="H12" s="87">
        <f t="array" ref="H12">INDEX('PROD SSoT MRV Sheet'!$BE$2:$BE1000,MATCH(A12,'PROD SSoT MRV Sheet'!$A$2:$A1000, 0))</f>
        <v>1736.353657</v>
      </c>
      <c r="I12" s="87">
        <f t="array" ref="I12">INDEX('PROD SSoT MRV Sheet'!$BR$2:$BR1000,MATCH(A12,'PROD SSoT MRV Sheet'!$A$2:$A1000, 0))</f>
        <v>41540.03865</v>
      </c>
    </row>
    <row r="13">
      <c r="A13" s="334">
        <v>300012.0</v>
      </c>
      <c r="B13" s="87">
        <f t="array" ref="B13">INDEX('PROD SSoT MRV Sheet'!$AP$2:$AP1000,MATCH(A13,'PROD SSoT MRV Sheet'!$A$2:$A1000, 0))</f>
        <v>36729.69887</v>
      </c>
      <c r="C13" s="381">
        <f t="array" ref="C13">INDEX('PROD SSoT MRV Sheet'!$BS$2:$BS1000,MATCH(A13,'PROD SSoT MRV Sheet'!$A$2:$A1000, 0))</f>
        <v>35505.76517</v>
      </c>
      <c r="D13" s="87">
        <f t="array" ref="D13">INDEX('PROD SSoT MRV Sheet'!$BT$2:$BT1000,MATCH(A13,'PROD SSoT MRV Sheet'!$A$2:$A1000, 0))</f>
        <v>1223.933704</v>
      </c>
      <c r="E13" s="174">
        <f t="shared" si="1"/>
        <v>0.03332272634</v>
      </c>
      <c r="F13" s="87">
        <f>'PROD SSoT MRV Sheet'!AB39</f>
        <v>4905.757</v>
      </c>
      <c r="G13" s="174">
        <f t="shared" si="2"/>
        <v>0.1335637686</v>
      </c>
      <c r="H13" s="87">
        <f t="array" ref="H13">INDEX('PROD SSoT MRV Sheet'!$BE$2:$BE1000,MATCH(A13,'PROD SSoT MRV Sheet'!$A$2:$A1000, 0))</f>
        <v>1898.413332</v>
      </c>
      <c r="I13" s="87">
        <f t="array" ref="I13">INDEX('PROD SSoT MRV Sheet'!$BR$2:$BR1000,MATCH(A13,'PROD SSoT MRV Sheet'!$A$2:$A1000, 0))</f>
        <v>41476.53564</v>
      </c>
    </row>
    <row r="14">
      <c r="A14" s="334">
        <v>300013.0</v>
      </c>
      <c r="B14" s="87">
        <f t="array" ref="B14">INDEX('PROD SSoT MRV Sheet'!$AP$2:$AP1000,MATCH(A14,'PROD SSoT MRV Sheet'!$A$2:$A1000, 0))</f>
        <v>36752.6575</v>
      </c>
      <c r="C14" s="381">
        <f t="array" ref="C14">INDEX('PROD SSoT MRV Sheet'!$BS$2:$BS1000,MATCH(A14,'PROD SSoT MRV Sheet'!$A$2:$A1000, 0))</f>
        <v>35240.66733</v>
      </c>
      <c r="D14" s="87">
        <f t="array" ref="D14">INDEX('PROD SSoT MRV Sheet'!$BT$2:$BT1000,MATCH(A14,'PROD SSoT MRV Sheet'!$A$2:$A1000, 0))</f>
        <v>1511.99017</v>
      </c>
      <c r="E14" s="174">
        <f t="shared" si="1"/>
        <v>0.04113961473</v>
      </c>
      <c r="F14" s="284">
        <f>'PROD SSoT MRV Sheet'!AH41</f>
        <v>4873.407</v>
      </c>
      <c r="G14" s="174">
        <f t="shared" si="2"/>
        <v>0.1326001256</v>
      </c>
      <c r="H14" s="87">
        <f t="array" ref="H14">INDEX('PROD SSoT MRV Sheet'!$BE$2:$BE1000,MATCH(A14,'PROD SSoT MRV Sheet'!$A$2:$A1000, 0))</f>
        <v>1718.990121</v>
      </c>
      <c r="I14" s="87">
        <f t="array" ref="I14">INDEX('PROD SSoT MRV Sheet'!$BR$2:$BR1000,MATCH(A14,'PROD SSoT MRV Sheet'!$A$2:$A1000, 0))</f>
        <v>40487.7031</v>
      </c>
    </row>
    <row r="15">
      <c r="A15" s="334">
        <v>300014.0</v>
      </c>
      <c r="B15" s="87">
        <f t="array" ref="B15">INDEX('PROD SSoT MRV Sheet'!$AP$2:$AP1000,MATCH(A15,'PROD SSoT MRV Sheet'!$A$2:$A1000, 0))</f>
        <v>37377.32726</v>
      </c>
      <c r="C15" s="381">
        <f t="array" ref="C15">INDEX('PROD SSoT MRV Sheet'!$BS$2:$BS1000,MATCH(A15,'PROD SSoT MRV Sheet'!$A$2:$A1000, 0))</f>
        <v>35854.52368</v>
      </c>
      <c r="D15" s="87">
        <f t="array" ref="D15">INDEX('PROD SSoT MRV Sheet'!$BT$2:$BT1000,MATCH(A15,'PROD SSoT MRV Sheet'!$A$2:$A1000, 0))</f>
        <v>1522.803575</v>
      </c>
      <c r="E15" s="174">
        <f t="shared" si="1"/>
        <v>0.04074137148</v>
      </c>
      <c r="F15" s="284">
        <f>'PROD SSoT MRV Sheet'!AH43</f>
        <v>5258.12</v>
      </c>
      <c r="G15" s="174">
        <f t="shared" si="2"/>
        <v>0.1406767253</v>
      </c>
      <c r="H15" s="87">
        <f t="array" ref="H15">INDEX('PROD SSoT MRV Sheet'!$BE$2:$BE1000,MATCH(A15,'PROD SSoT MRV Sheet'!$A$2:$A1000, 0))</f>
        <v>1967.867478</v>
      </c>
      <c r="I15" s="87">
        <f t="array" ref="I15">INDEX('PROD SSoT MRV Sheet'!$BR$2:$BR1000,MATCH(A15,'PROD SSoT MRV Sheet'!$A$2:$A1000, 0))</f>
        <v>41530.96679</v>
      </c>
    </row>
    <row r="16">
      <c r="A16" s="334">
        <v>300015.0</v>
      </c>
      <c r="B16" s="87">
        <f t="array" ref="B16">INDEX('PROD SSoT MRV Sheet'!$AP$2:$AP1000,MATCH(A16,'PROD SSoT MRV Sheet'!$A$2:$A1000, 0))</f>
        <v>35538.46702</v>
      </c>
      <c r="C16" s="381">
        <f t="array" ref="C16">INDEX('PROD SSoT MRV Sheet'!$BS$2:$BS1000,MATCH(A16,'PROD SSoT MRV Sheet'!$A$2:$A1000, 0))</f>
        <v>33311.68183</v>
      </c>
      <c r="D16" s="87">
        <f t="array" ref="D16">INDEX('PROD SSoT MRV Sheet'!$BT$2:$BT1000,MATCH(A16,'PROD SSoT MRV Sheet'!$A$2:$A1000, 0))</f>
        <v>2226.785186</v>
      </c>
      <c r="E16" s="174">
        <f t="shared" si="1"/>
        <v>0.06265844795</v>
      </c>
      <c r="F16" s="87">
        <f>'PROD SSoT MRV Sheet'!AB45</f>
        <v>4108.765</v>
      </c>
      <c r="G16" s="174">
        <f t="shared" si="2"/>
        <v>0.1156145817</v>
      </c>
      <c r="H16" s="87">
        <f t="array" ref="H16">INDEX('PROD SSoT MRV Sheet'!$BE$2:$BE1000,MATCH(A16,'PROD SSoT MRV Sheet'!$A$2:$A1000, 0))</f>
        <v>1678.475202</v>
      </c>
      <c r="I16" s="87">
        <f t="array" ref="I16">INDEX('PROD SSoT MRV Sheet'!$BR$2:$BR1000,MATCH(A16,'PROD SSoT MRV Sheet'!$A$2:$A1000, 0))</f>
        <v>38709.61889</v>
      </c>
    </row>
    <row r="17">
      <c r="A17" s="334">
        <v>300016.0</v>
      </c>
      <c r="B17" s="87">
        <f t="array" ref="B17">INDEX('PROD SSoT MRV Sheet'!$AP$2:$AP1000,MATCH(A17,'PROD SSoT MRV Sheet'!$A$2:$A1000, 0))</f>
        <v>36755.54114</v>
      </c>
      <c r="C17" s="381">
        <f t="array" ref="C17">INDEX('PROD SSoT MRV Sheet'!$BS$2:$BS1000,MATCH(A17,'PROD SSoT MRV Sheet'!$A$2:$A1000, 0))</f>
        <v>35465.54055</v>
      </c>
      <c r="D17" s="87">
        <f t="array" ref="D17">INDEX('PROD SSoT MRV Sheet'!$BT$2:$BT1000,MATCH(A17,'PROD SSoT MRV Sheet'!$A$2:$A1000, 0))</f>
        <v>1290.000591</v>
      </c>
      <c r="E17" s="174">
        <f t="shared" si="1"/>
        <v>0.03509676502</v>
      </c>
      <c r="F17" s="284">
        <f>'PROD SSoT MRV Sheet'!AH47</f>
        <v>4344.009</v>
      </c>
      <c r="G17" s="174">
        <f t="shared" si="2"/>
        <v>0.1181865065</v>
      </c>
      <c r="H17" s="87">
        <f t="array" ref="H17">INDEX('PROD SSoT MRV Sheet'!$BE$2:$BE1000,MATCH(A17,'PROD SSoT MRV Sheet'!$A$2:$A1000, 0))</f>
        <v>1713.202275</v>
      </c>
      <c r="I17" s="87">
        <f t="array" ref="I17">INDEX('PROD SSoT MRV Sheet'!$BR$2:$BR1000,MATCH(A17,'PROD SSoT MRV Sheet'!$A$2:$A1000, 0))</f>
        <v>40712.23159</v>
      </c>
    </row>
    <row r="18">
      <c r="A18" s="334">
        <v>300017.0</v>
      </c>
      <c r="B18" s="87">
        <f t="array" ref="B18">INDEX('PROD SSoT MRV Sheet'!$AP$2:$AP1000,MATCH(A18,'PROD SSoT MRV Sheet'!$A$2:$A1000, 0))</f>
        <v>37492.59106</v>
      </c>
      <c r="C18" s="381">
        <f t="array" ref="C18">INDEX('PROD SSoT MRV Sheet'!$BS$2:$BS1000,MATCH(A18,'PROD SSoT MRV Sheet'!$A$2:$A1000, 0))</f>
        <v>34983.82488</v>
      </c>
      <c r="D18" s="87">
        <f t="array" ref="D18">INDEX('PROD SSoT MRV Sheet'!$BT$2:$BT1000,MATCH(A18,'PROD SSoT MRV Sheet'!$A$2:$A1000, 0))</f>
        <v>2508.766188</v>
      </c>
      <c r="E18" s="174">
        <f t="shared" si="1"/>
        <v>0.06691365192</v>
      </c>
      <c r="F18" s="87">
        <f>'PROD SSoT MRV Sheet'!AB49</f>
        <v>1994.517</v>
      </c>
      <c r="G18" s="174">
        <f t="shared" si="2"/>
        <v>0.05319763034</v>
      </c>
      <c r="H18" s="87">
        <f t="array" ref="H18">INDEX('PROD SSoT MRV Sheet'!$BE$2:$BE1000,MATCH(A18,'PROD SSoT MRV Sheet'!$A$2:$A1000, 0))</f>
        <v>1857.898413</v>
      </c>
      <c r="I18" s="87">
        <f t="array" ref="I18">INDEX('PROD SSoT MRV Sheet'!$BR$2:$BR1000,MATCH(A18,'PROD SSoT MRV Sheet'!$A$2:$A1000, 0))</f>
        <v>40787.07442</v>
      </c>
    </row>
    <row r="19">
      <c r="A19" s="334">
        <v>300018.0</v>
      </c>
      <c r="B19" s="87">
        <f t="array" ref="B19">INDEX('PROD SSoT MRV Sheet'!$AP$2:$AP1000,MATCH(A19,'PROD SSoT MRV Sheet'!$A$2:$A1000, 0))</f>
        <v>37071.97077</v>
      </c>
      <c r="C19" s="381">
        <f t="array" ref="C19">INDEX('PROD SSoT MRV Sheet'!$BS$2:$BS1000,MATCH(A19,'PROD SSoT MRV Sheet'!$A$2:$A1000, 0))</f>
        <v>36082.62648</v>
      </c>
      <c r="D19" s="87">
        <f t="array" ref="D19">INDEX('PROD SSoT MRV Sheet'!$BT$2:$BT1000,MATCH(A19,'PROD SSoT MRV Sheet'!$A$2:$A1000, 0))</f>
        <v>989.3442839</v>
      </c>
      <c r="E19" s="174">
        <f t="shared" si="1"/>
        <v>0.02668712408</v>
      </c>
      <c r="F19" s="87">
        <f>'PROD SSoT MRV Sheet'!AB51</f>
        <v>4974.41</v>
      </c>
      <c r="G19" s="174">
        <f t="shared" si="2"/>
        <v>0.1341825076</v>
      </c>
      <c r="H19" s="87">
        <f t="array" ref="H19">INDEX('PROD SSoT MRV Sheet'!$BE$2:$BE1000,MATCH(A19,'PROD SSoT MRV Sheet'!$A$2:$A1000, 0))</f>
        <v>1747.929348</v>
      </c>
      <c r="I19" s="87">
        <f t="array" ref="I19">INDEX('PROD SSoT MRV Sheet'!$BR$2:$BR1000,MATCH(A19,'PROD SSoT MRV Sheet'!$A$2:$A1000, 0))</f>
        <v>41331.38591</v>
      </c>
    </row>
    <row r="20">
      <c r="A20" s="334">
        <v>300019.0</v>
      </c>
      <c r="B20" s="87">
        <f t="array" ref="B20">INDEX('PROD SSoT MRV Sheet'!$AP$2:$AP1000,MATCH(A20,'PROD SSoT MRV Sheet'!$A$2:$A1000, 0))</f>
        <v>38240.16262</v>
      </c>
      <c r="C20" s="381">
        <f t="array" ref="C20">INDEX('PROD SSoT MRV Sheet'!$BS$2:$BS1000,MATCH(A20,'PROD SSoT MRV Sheet'!$A$2:$A1000, 0))</f>
        <v>35213.16145</v>
      </c>
      <c r="D20" s="87">
        <f t="array" ref="D20">INDEX('PROD SSoT MRV Sheet'!$BT$2:$BT1000,MATCH(A20,'PROD SSoT MRV Sheet'!$A$2:$A1000, 0))</f>
        <v>3027.001171</v>
      </c>
      <c r="E20" s="174">
        <f t="shared" si="1"/>
        <v>0.07915764379</v>
      </c>
      <c r="F20" s="87">
        <f>'PROD SSoT MRV Sheet'!AB53</f>
        <v>5377.05</v>
      </c>
      <c r="G20" s="174">
        <f t="shared" si="2"/>
        <v>0.1406126342</v>
      </c>
      <c r="H20" s="87">
        <f t="array" ref="H20">INDEX('PROD SSoT MRV Sheet'!$BE$2:$BE1000,MATCH(A20,'PROD SSoT MRV Sheet'!$A$2:$A1000, 0))</f>
        <v>1800.019958</v>
      </c>
      <c r="I20" s="87">
        <f t="array" ref="I20">INDEX('PROD SSoT MRV Sheet'!$BR$2:$BR1000,MATCH(A20,'PROD SSoT MRV Sheet'!$A$2:$A1000, 0))</f>
        <v>40959.43972</v>
      </c>
    </row>
    <row r="21">
      <c r="A21" s="334">
        <v>300020.0</v>
      </c>
      <c r="B21" s="87">
        <f t="array" ref="B21">INDEX('PROD SSoT MRV Sheet'!$AP$2:$AP1000,MATCH(A21,'PROD SSoT MRV Sheet'!$A$2:$A1000, 0))</f>
        <v>36340.85132</v>
      </c>
      <c r="C21" s="381">
        <f t="array" ref="C21">INDEX('PROD SSoT MRV Sheet'!$BS$2:$BS1000,MATCH(A21,'PROD SSoT MRV Sheet'!$A$2:$A1000, 0))</f>
        <v>36074.37109</v>
      </c>
      <c r="D21" s="87">
        <f t="array" ref="D21">INDEX('PROD SSoT MRV Sheet'!$BT$2:$BT1000,MATCH(A21,'PROD SSoT MRV Sheet'!$A$2:$A1000, 0))</f>
        <v>266.4802222</v>
      </c>
      <c r="E21" s="174">
        <f t="shared" si="1"/>
        <v>0.007332800761</v>
      </c>
      <c r="F21" s="87">
        <f>'PROD SSoT MRV Sheet'!AB55</f>
        <v>4296.75</v>
      </c>
      <c r="G21" s="174">
        <f t="shared" si="2"/>
        <v>0.1182347095</v>
      </c>
      <c r="H21" s="87">
        <f t="array" ref="H21">INDEX('PROD SSoT MRV Sheet'!$BE$2:$BE1000,MATCH(A21,'PROD SSoT MRV Sheet'!$A$2:$A1000, 0))</f>
        <v>1718.990121</v>
      </c>
      <c r="I21" s="87">
        <f t="array" ref="I21">INDEX('PROD SSoT MRV Sheet'!$BR$2:$BR1000,MATCH(A21,'PROD SSoT MRV Sheet'!$A$2:$A1000, 0))</f>
        <v>41013.87087</v>
      </c>
    </row>
    <row r="22">
      <c r="A22" s="334">
        <v>300021.0</v>
      </c>
      <c r="B22" s="87">
        <f t="array" ref="B22">INDEX('PROD SSoT MRV Sheet'!$AP$2:$AP1000,MATCH(A22,'PROD SSoT MRV Sheet'!$A$2:$A1000, 0))</f>
        <v>35235.96031</v>
      </c>
      <c r="C22" s="381">
        <f t="array" ref="C22">INDEX('PROD SSoT MRV Sheet'!$BS$2:$BS1000,MATCH(A22,'PROD SSoT MRV Sheet'!$A$2:$A1000, 0))</f>
        <v>33879.36243</v>
      </c>
      <c r="D22" s="87">
        <f t="array" ref="D22">INDEX('PROD SSoT MRV Sheet'!$BT$2:$BT1000,MATCH(A22,'PROD SSoT MRV Sheet'!$A$2:$A1000, 0))</f>
        <v>1356.597884</v>
      </c>
      <c r="E22" s="174">
        <f t="shared" si="1"/>
        <v>0.03850038064</v>
      </c>
      <c r="F22" s="284">
        <f>'PROD SSoT MRV Sheet'!AH57</f>
        <v>3072.77</v>
      </c>
      <c r="G22" s="174">
        <f t="shared" si="2"/>
        <v>0.08720551313</v>
      </c>
      <c r="H22" s="87">
        <f t="array" ref="H22">INDEX('PROD SSoT MRV Sheet'!$BE$2:$BE1000,MATCH(A22,'PROD SSoT MRV Sheet'!$A$2:$A1000, 0))</f>
        <v>1666.899511</v>
      </c>
      <c r="I22" s="87">
        <f t="array" ref="I22">INDEX('PROD SSoT MRV Sheet'!$BR$2:$BR1000,MATCH(A22,'PROD SSoT MRV Sheet'!$A$2:$A1000, 0))</f>
        <v>39018.06207</v>
      </c>
    </row>
    <row r="23">
      <c r="A23" s="334">
        <v>300022.0</v>
      </c>
      <c r="B23" s="87">
        <f t="array" ref="B23">INDEX('PROD SSoT MRV Sheet'!$AP$2:$AP1000,MATCH(A23,'PROD SSoT MRV Sheet'!$A$2:$A1000, 0))</f>
        <v>36493.5627</v>
      </c>
      <c r="C23" s="381">
        <f t="array" ref="C23">INDEX('PROD SSoT MRV Sheet'!$BS$2:$BS1000,MATCH(A23,'PROD SSoT MRV Sheet'!$A$2:$A1000, 0))</f>
        <v>34939.1369</v>
      </c>
      <c r="D23" s="87">
        <f t="array" ref="D23">INDEX('PROD SSoT MRV Sheet'!$BT$2:$BT1000,MATCH(A23,'PROD SSoT MRV Sheet'!$A$2:$A1000, 0))</f>
        <v>1554.425797</v>
      </c>
      <c r="E23" s="174">
        <f t="shared" si="1"/>
        <v>0.04259452028</v>
      </c>
      <c r="F23" s="87">
        <f>'PROD SSoT MRV Sheet'!AB59</f>
        <v>4431.14</v>
      </c>
      <c r="G23" s="174">
        <f t="shared" si="2"/>
        <v>0.1214225105</v>
      </c>
      <c r="H23" s="87">
        <f t="array" ref="H23">INDEX('PROD SSoT MRV Sheet'!$BE$2:$BE1000,MATCH(A23,'PROD SSoT MRV Sheet'!$A$2:$A1000, 0))</f>
        <v>1724.777966</v>
      </c>
      <c r="I23" s="87">
        <f t="array" ref="I23">INDEX('PROD SSoT MRV Sheet'!$BR$2:$BR1000,MATCH(A23,'PROD SSoT MRV Sheet'!$A$2:$A1000, 0))</f>
        <v>40088.54134</v>
      </c>
    </row>
    <row r="24">
      <c r="A24" s="3" t="s">
        <v>2243</v>
      </c>
      <c r="B24" s="87" t="str">
        <f t="shared" ref="B24:B45" si="3">SUMIF('Consumed Oil by Batch'!$A$3:$A1000,A24,'Consumed Oil by Batch'!$G$3:$G1000)</f>
        <v>#N/A</v>
      </c>
      <c r="C24" s="87" t="str">
        <f t="shared" ref="C24:C45" si="4">index('Master Batch Data'!$AI$3:$AI1000, Match(A24,'Master Batch Data'!$A$3:$A1000,0))</f>
        <v>#REF!</v>
      </c>
      <c r="D24" s="87" t="str">
        <f t="shared" ref="D24:D30" si="5">B24-C24</f>
        <v>#N/A</v>
      </c>
      <c r="E24" s="174" t="str">
        <f t="shared" si="1"/>
        <v>#N/A</v>
      </c>
      <c r="F24" s="87" t="str">
        <f t="shared" ref="F24:F43" si="6">SUMIFS('Consumed Oil by Batch'!$G$3:$G1000,'Consumed Oil by Batch'!$A$3:$A1000,A24,'Consumed Oil by Batch'!$C$3:$C1000,"oily_fraction")</f>
        <v>#N/A</v>
      </c>
      <c r="G24" s="174" t="str">
        <f t="shared" si="2"/>
        <v>#N/A</v>
      </c>
      <c r="H24" s="87" t="str">
        <f t="shared" ref="H24:H45" si="7">index('Master Batch Data'!$AG$3:$AG1000, Match(A24,'Master Batch Data'!$A$3:$A1000,0))*0.453592</f>
        <v>#REF!</v>
      </c>
      <c r="I24" s="87" t="str">
        <f t="shared" ref="I24:I45" si="8">(index('Master Batch Data'!$N$3:$N1000, Match(A24,'Master Batch Data'!$A$3:$A1000,0))+index('Master Batch Data'!$S$3:$S1000, Match(A24,'Master Batch Data'!$A$3:$A1000,0)))*0.453592</f>
        <v>#REF!</v>
      </c>
    </row>
    <row r="25">
      <c r="A25" s="3" t="s">
        <v>2248</v>
      </c>
      <c r="B25" s="87" t="str">
        <f t="shared" si="3"/>
        <v>#N/A</v>
      </c>
      <c r="C25" s="87" t="str">
        <f t="shared" si="4"/>
        <v>#REF!</v>
      </c>
      <c r="D25" s="87" t="str">
        <f t="shared" si="5"/>
        <v>#N/A</v>
      </c>
      <c r="E25" s="174" t="str">
        <f t="shared" si="1"/>
        <v>#N/A</v>
      </c>
      <c r="F25" s="87" t="str">
        <f t="shared" si="6"/>
        <v>#N/A</v>
      </c>
      <c r="G25" s="174" t="str">
        <f t="shared" si="2"/>
        <v>#N/A</v>
      </c>
      <c r="H25" s="87" t="str">
        <f t="shared" si="7"/>
        <v>#REF!</v>
      </c>
      <c r="I25" s="87" t="str">
        <f t="shared" si="8"/>
        <v>#REF!</v>
      </c>
    </row>
    <row r="26">
      <c r="A26" s="3" t="s">
        <v>2251</v>
      </c>
      <c r="B26" s="87" t="str">
        <f t="shared" si="3"/>
        <v>#N/A</v>
      </c>
      <c r="C26" s="87" t="str">
        <f t="shared" si="4"/>
        <v>#REF!</v>
      </c>
      <c r="D26" s="87" t="str">
        <f t="shared" si="5"/>
        <v>#N/A</v>
      </c>
      <c r="E26" s="174" t="str">
        <f t="shared" si="1"/>
        <v>#N/A</v>
      </c>
      <c r="F26" s="87" t="str">
        <f t="shared" si="6"/>
        <v>#N/A</v>
      </c>
      <c r="G26" s="174" t="str">
        <f t="shared" si="2"/>
        <v>#N/A</v>
      </c>
      <c r="H26" s="87" t="str">
        <f t="shared" si="7"/>
        <v>#REF!</v>
      </c>
      <c r="I26" s="87" t="str">
        <f t="shared" si="8"/>
        <v>#REF!</v>
      </c>
    </row>
    <row r="27">
      <c r="A27" s="3" t="s">
        <v>2257</v>
      </c>
      <c r="B27" s="87" t="str">
        <f t="shared" si="3"/>
        <v>#N/A</v>
      </c>
      <c r="C27" s="87" t="str">
        <f t="shared" si="4"/>
        <v>#REF!</v>
      </c>
      <c r="D27" s="87" t="str">
        <f t="shared" si="5"/>
        <v>#N/A</v>
      </c>
      <c r="E27" s="174" t="str">
        <f t="shared" si="1"/>
        <v>#N/A</v>
      </c>
      <c r="F27" s="87" t="str">
        <f t="shared" si="6"/>
        <v>#N/A</v>
      </c>
      <c r="G27" s="174" t="str">
        <f t="shared" si="2"/>
        <v>#N/A</v>
      </c>
      <c r="H27" s="87" t="str">
        <f t="shared" si="7"/>
        <v>#REF!</v>
      </c>
      <c r="I27" s="87" t="str">
        <f t="shared" si="8"/>
        <v>#REF!</v>
      </c>
    </row>
    <row r="28">
      <c r="A28" s="3" t="s">
        <v>2263</v>
      </c>
      <c r="B28" s="87" t="str">
        <f t="shared" si="3"/>
        <v>#N/A</v>
      </c>
      <c r="C28" s="87" t="str">
        <f t="shared" si="4"/>
        <v>#REF!</v>
      </c>
      <c r="D28" s="87" t="str">
        <f t="shared" si="5"/>
        <v>#N/A</v>
      </c>
      <c r="E28" s="174" t="str">
        <f t="shared" si="1"/>
        <v>#N/A</v>
      </c>
      <c r="F28" s="87" t="str">
        <f t="shared" si="6"/>
        <v>#N/A</v>
      </c>
      <c r="G28" s="174" t="str">
        <f t="shared" si="2"/>
        <v>#N/A</v>
      </c>
      <c r="H28" s="87" t="str">
        <f t="shared" si="7"/>
        <v>#REF!</v>
      </c>
      <c r="I28" s="87" t="str">
        <f t="shared" si="8"/>
        <v>#REF!</v>
      </c>
    </row>
    <row r="29">
      <c r="A29" s="3" t="s">
        <v>2265</v>
      </c>
      <c r="B29" s="87" t="str">
        <f t="shared" si="3"/>
        <v>#N/A</v>
      </c>
      <c r="C29" s="87" t="str">
        <f t="shared" si="4"/>
        <v>#REF!</v>
      </c>
      <c r="D29" s="87" t="str">
        <f t="shared" si="5"/>
        <v>#N/A</v>
      </c>
      <c r="E29" s="174" t="str">
        <f t="shared" si="1"/>
        <v>#N/A</v>
      </c>
      <c r="F29" s="87" t="str">
        <f t="shared" si="6"/>
        <v>#N/A</v>
      </c>
      <c r="G29" s="174" t="str">
        <f t="shared" si="2"/>
        <v>#N/A</v>
      </c>
      <c r="H29" s="87" t="str">
        <f t="shared" si="7"/>
        <v>#REF!</v>
      </c>
      <c r="I29" s="87" t="str">
        <f t="shared" si="8"/>
        <v>#REF!</v>
      </c>
    </row>
    <row r="30">
      <c r="A30" s="3" t="s">
        <v>3633</v>
      </c>
      <c r="B30" s="87" t="str">
        <f t="shared" si="3"/>
        <v>#N/A</v>
      </c>
      <c r="C30" s="87" t="str">
        <f t="shared" si="4"/>
        <v>#REF!</v>
      </c>
      <c r="D30" s="87" t="str">
        <f t="shared" si="5"/>
        <v>#N/A</v>
      </c>
      <c r="E30" s="174" t="str">
        <f t="shared" si="1"/>
        <v>#N/A</v>
      </c>
      <c r="F30" s="87" t="str">
        <f t="shared" si="6"/>
        <v>#N/A</v>
      </c>
      <c r="G30" s="174" t="str">
        <f t="shared" si="2"/>
        <v>#N/A</v>
      </c>
      <c r="H30" s="87" t="str">
        <f t="shared" si="7"/>
        <v>#REF!</v>
      </c>
      <c r="I30" s="87" t="str">
        <f t="shared" si="8"/>
        <v>#REF!</v>
      </c>
    </row>
    <row r="31">
      <c r="A31" s="3" t="s">
        <v>3634</v>
      </c>
      <c r="B31" s="87" t="str">
        <f t="shared" si="3"/>
        <v>#N/A</v>
      </c>
      <c r="C31" s="87" t="str">
        <f t="shared" si="4"/>
        <v>#REF!</v>
      </c>
      <c r="D31" s="90" t="str">
        <f t="array" ref="D31">index('Master Batch Data'!$AK$3:$AK1000, Match(A31,'Master Batch Data'!$A$3:$A1000,0))*0.453592</f>
        <v>#REF!</v>
      </c>
      <c r="E31" s="174" t="str">
        <f t="shared" si="1"/>
        <v>#REF!</v>
      </c>
      <c r="F31" s="87" t="str">
        <f t="shared" si="6"/>
        <v>#N/A</v>
      </c>
      <c r="H31" s="87" t="str">
        <f t="shared" si="7"/>
        <v>#REF!</v>
      </c>
      <c r="I31" s="87" t="str">
        <f t="shared" si="8"/>
        <v>#REF!</v>
      </c>
    </row>
    <row r="32">
      <c r="A32" s="3" t="s">
        <v>3635</v>
      </c>
      <c r="B32" s="87" t="str">
        <f t="shared" si="3"/>
        <v>#N/A</v>
      </c>
      <c r="C32" s="87" t="str">
        <f t="shared" si="4"/>
        <v>#REF!</v>
      </c>
      <c r="D32" s="90" t="str">
        <f t="shared" ref="D32:D45" si="9">B32-C32</f>
        <v>#N/A</v>
      </c>
      <c r="E32" s="174" t="str">
        <f t="shared" si="1"/>
        <v>#N/A</v>
      </c>
      <c r="F32" s="90" t="str">
        <f t="shared" si="6"/>
        <v>#N/A</v>
      </c>
      <c r="G32" s="174" t="str">
        <f t="shared" ref="G32:G45" si="10">F32/B32</f>
        <v>#N/A</v>
      </c>
      <c r="H32" s="87" t="str">
        <f t="shared" si="7"/>
        <v>#REF!</v>
      </c>
      <c r="I32" s="87" t="str">
        <f t="shared" si="8"/>
        <v>#REF!</v>
      </c>
    </row>
    <row r="33">
      <c r="A33" s="3" t="s">
        <v>3636</v>
      </c>
      <c r="B33" s="87" t="str">
        <f t="shared" si="3"/>
        <v>#N/A</v>
      </c>
      <c r="C33" s="87" t="str">
        <f t="shared" si="4"/>
        <v>#REF!</v>
      </c>
      <c r="D33" s="90" t="str">
        <f t="shared" si="9"/>
        <v>#N/A</v>
      </c>
      <c r="E33" s="174" t="str">
        <f t="shared" si="1"/>
        <v>#N/A</v>
      </c>
      <c r="F33" s="90" t="str">
        <f t="shared" si="6"/>
        <v>#N/A</v>
      </c>
      <c r="G33" s="174" t="str">
        <f t="shared" si="10"/>
        <v>#N/A</v>
      </c>
      <c r="H33" s="87" t="str">
        <f t="shared" si="7"/>
        <v>#REF!</v>
      </c>
      <c r="I33" s="87" t="str">
        <f t="shared" si="8"/>
        <v>#REF!</v>
      </c>
    </row>
    <row r="34">
      <c r="A34" s="3" t="s">
        <v>3637</v>
      </c>
      <c r="B34" s="87" t="str">
        <f t="shared" si="3"/>
        <v>#N/A</v>
      </c>
      <c r="C34" s="87" t="str">
        <f t="shared" si="4"/>
        <v>#REF!</v>
      </c>
      <c r="D34" s="90" t="str">
        <f t="shared" si="9"/>
        <v>#N/A</v>
      </c>
      <c r="E34" s="174" t="str">
        <f t="shared" si="1"/>
        <v>#N/A</v>
      </c>
      <c r="F34" s="90" t="str">
        <f t="shared" si="6"/>
        <v>#N/A</v>
      </c>
      <c r="G34" s="174" t="str">
        <f t="shared" si="10"/>
        <v>#N/A</v>
      </c>
      <c r="H34" s="87" t="str">
        <f t="shared" si="7"/>
        <v>#REF!</v>
      </c>
      <c r="I34" s="87" t="str">
        <f t="shared" si="8"/>
        <v>#REF!</v>
      </c>
    </row>
    <row r="35">
      <c r="A35" s="3" t="s">
        <v>3638</v>
      </c>
      <c r="B35" s="87" t="str">
        <f t="shared" si="3"/>
        <v>#N/A</v>
      </c>
      <c r="C35" s="87" t="str">
        <f t="shared" si="4"/>
        <v>#REF!</v>
      </c>
      <c r="D35" s="90" t="str">
        <f t="shared" si="9"/>
        <v>#N/A</v>
      </c>
      <c r="E35" s="174" t="str">
        <f t="shared" si="1"/>
        <v>#N/A</v>
      </c>
      <c r="F35" s="90" t="str">
        <f t="shared" si="6"/>
        <v>#N/A</v>
      </c>
      <c r="G35" s="174" t="str">
        <f t="shared" si="10"/>
        <v>#N/A</v>
      </c>
      <c r="H35" s="87" t="str">
        <f t="shared" si="7"/>
        <v>#REF!</v>
      </c>
      <c r="I35" s="87" t="str">
        <f t="shared" si="8"/>
        <v>#REF!</v>
      </c>
    </row>
    <row r="36">
      <c r="A36" s="3" t="s">
        <v>3639</v>
      </c>
      <c r="B36" s="87" t="str">
        <f t="shared" si="3"/>
        <v>#N/A</v>
      </c>
      <c r="C36" s="87" t="str">
        <f t="shared" si="4"/>
        <v>#REF!</v>
      </c>
      <c r="D36" s="90" t="str">
        <f t="shared" si="9"/>
        <v>#N/A</v>
      </c>
      <c r="E36" s="174" t="str">
        <f t="shared" si="1"/>
        <v>#N/A</v>
      </c>
      <c r="F36" s="90" t="str">
        <f t="shared" si="6"/>
        <v>#N/A</v>
      </c>
      <c r="G36" s="174" t="str">
        <f t="shared" si="10"/>
        <v>#N/A</v>
      </c>
      <c r="H36" s="87" t="str">
        <f t="shared" si="7"/>
        <v>#REF!</v>
      </c>
      <c r="I36" s="87" t="str">
        <f t="shared" si="8"/>
        <v>#REF!</v>
      </c>
    </row>
    <row r="37">
      <c r="A37" s="3" t="s">
        <v>3640</v>
      </c>
      <c r="B37" s="87" t="str">
        <f t="shared" si="3"/>
        <v>#N/A</v>
      </c>
      <c r="C37" s="87" t="str">
        <f t="shared" si="4"/>
        <v>#REF!</v>
      </c>
      <c r="D37" s="90" t="str">
        <f t="shared" si="9"/>
        <v>#N/A</v>
      </c>
      <c r="E37" s="174" t="str">
        <f t="shared" si="1"/>
        <v>#N/A</v>
      </c>
      <c r="F37" s="90" t="str">
        <f t="shared" si="6"/>
        <v>#N/A</v>
      </c>
      <c r="G37" s="174" t="str">
        <f t="shared" si="10"/>
        <v>#N/A</v>
      </c>
      <c r="H37" s="87" t="str">
        <f t="shared" si="7"/>
        <v>#REF!</v>
      </c>
      <c r="I37" s="87" t="str">
        <f t="shared" si="8"/>
        <v>#REF!</v>
      </c>
    </row>
    <row r="38">
      <c r="A38" s="3" t="s">
        <v>3641</v>
      </c>
      <c r="B38" s="87" t="str">
        <f t="shared" si="3"/>
        <v>#N/A</v>
      </c>
      <c r="C38" s="87" t="str">
        <f t="shared" si="4"/>
        <v>#REF!</v>
      </c>
      <c r="D38" s="90" t="str">
        <f t="shared" si="9"/>
        <v>#N/A</v>
      </c>
      <c r="E38" s="174" t="str">
        <f t="shared" si="1"/>
        <v>#N/A</v>
      </c>
      <c r="F38" s="90" t="str">
        <f t="shared" si="6"/>
        <v>#N/A</v>
      </c>
      <c r="G38" s="174" t="str">
        <f t="shared" si="10"/>
        <v>#N/A</v>
      </c>
      <c r="H38" s="87" t="str">
        <f t="shared" si="7"/>
        <v>#REF!</v>
      </c>
      <c r="I38" s="87" t="str">
        <f t="shared" si="8"/>
        <v>#REF!</v>
      </c>
    </row>
    <row r="39">
      <c r="A39" s="3" t="s">
        <v>3642</v>
      </c>
      <c r="B39" s="87" t="str">
        <f t="shared" si="3"/>
        <v>#N/A</v>
      </c>
      <c r="C39" s="87" t="str">
        <f t="shared" si="4"/>
        <v>#REF!</v>
      </c>
      <c r="D39" s="90" t="str">
        <f t="shared" si="9"/>
        <v>#N/A</v>
      </c>
      <c r="E39" s="174" t="str">
        <f t="shared" si="1"/>
        <v>#N/A</v>
      </c>
      <c r="F39" s="90" t="str">
        <f t="shared" si="6"/>
        <v>#N/A</v>
      </c>
      <c r="G39" s="174" t="str">
        <f t="shared" si="10"/>
        <v>#N/A</v>
      </c>
      <c r="H39" s="87" t="str">
        <f t="shared" si="7"/>
        <v>#REF!</v>
      </c>
      <c r="I39" s="87" t="str">
        <f t="shared" si="8"/>
        <v>#REF!</v>
      </c>
    </row>
    <row r="40">
      <c r="A40" s="3" t="s">
        <v>3643</v>
      </c>
      <c r="B40" s="87" t="str">
        <f t="shared" si="3"/>
        <v>#N/A</v>
      </c>
      <c r="C40" s="87" t="str">
        <f t="shared" si="4"/>
        <v>#REF!</v>
      </c>
      <c r="D40" s="90" t="str">
        <f t="shared" si="9"/>
        <v>#N/A</v>
      </c>
      <c r="E40" s="174" t="str">
        <f t="shared" si="1"/>
        <v>#N/A</v>
      </c>
      <c r="F40" s="90" t="str">
        <f t="shared" si="6"/>
        <v>#N/A</v>
      </c>
      <c r="G40" s="174" t="str">
        <f t="shared" si="10"/>
        <v>#N/A</v>
      </c>
      <c r="H40" s="87" t="str">
        <f t="shared" si="7"/>
        <v>#REF!</v>
      </c>
      <c r="I40" s="87" t="str">
        <f t="shared" si="8"/>
        <v>#REF!</v>
      </c>
    </row>
    <row r="41">
      <c r="A41" s="3" t="s">
        <v>3577</v>
      </c>
      <c r="B41" s="87" t="str">
        <f t="shared" si="3"/>
        <v>#N/A</v>
      </c>
      <c r="C41" s="87" t="str">
        <f t="shared" si="4"/>
        <v>#REF!</v>
      </c>
      <c r="D41" s="90" t="str">
        <f t="shared" si="9"/>
        <v>#N/A</v>
      </c>
      <c r="E41" s="174" t="str">
        <f t="shared" si="1"/>
        <v>#N/A</v>
      </c>
      <c r="F41" s="90" t="str">
        <f t="shared" si="6"/>
        <v>#N/A</v>
      </c>
      <c r="G41" s="174" t="str">
        <f t="shared" si="10"/>
        <v>#N/A</v>
      </c>
      <c r="H41" s="87" t="str">
        <f t="shared" si="7"/>
        <v>#REF!</v>
      </c>
      <c r="I41" s="87" t="str">
        <f t="shared" si="8"/>
        <v>#REF!</v>
      </c>
    </row>
    <row r="42">
      <c r="A42" s="3" t="s">
        <v>3579</v>
      </c>
      <c r="B42" s="87" t="str">
        <f t="shared" si="3"/>
        <v>#N/A</v>
      </c>
      <c r="C42" s="87" t="str">
        <f t="shared" si="4"/>
        <v>#REF!</v>
      </c>
      <c r="D42" s="90" t="str">
        <f t="shared" si="9"/>
        <v>#N/A</v>
      </c>
      <c r="E42" s="174" t="str">
        <f t="shared" si="1"/>
        <v>#N/A</v>
      </c>
      <c r="F42" s="90" t="str">
        <f t="shared" si="6"/>
        <v>#N/A</v>
      </c>
      <c r="G42" s="174" t="str">
        <f t="shared" si="10"/>
        <v>#N/A</v>
      </c>
      <c r="H42" s="87" t="str">
        <f t="shared" si="7"/>
        <v>#REF!</v>
      </c>
      <c r="I42" s="87" t="str">
        <f t="shared" si="8"/>
        <v>#REF!</v>
      </c>
    </row>
    <row r="43">
      <c r="A43" s="3" t="s">
        <v>3582</v>
      </c>
      <c r="B43" s="87" t="str">
        <f t="shared" si="3"/>
        <v>#N/A</v>
      </c>
      <c r="C43" s="87" t="str">
        <f t="shared" si="4"/>
        <v>#REF!</v>
      </c>
      <c r="D43" s="90" t="str">
        <f t="shared" si="9"/>
        <v>#N/A</v>
      </c>
      <c r="E43" s="174" t="str">
        <f t="shared" si="1"/>
        <v>#N/A</v>
      </c>
      <c r="F43" s="90" t="str">
        <f t="shared" si="6"/>
        <v>#N/A</v>
      </c>
      <c r="G43" s="174" t="str">
        <f t="shared" si="10"/>
        <v>#N/A</v>
      </c>
      <c r="H43" s="87" t="str">
        <f t="shared" si="7"/>
        <v>#REF!</v>
      </c>
      <c r="I43" s="87" t="str">
        <f t="shared" si="8"/>
        <v>#REF!</v>
      </c>
    </row>
    <row r="44">
      <c r="A44" s="821" t="s">
        <v>3644</v>
      </c>
      <c r="B44" s="87" t="str">
        <f t="shared" si="3"/>
        <v>#N/A</v>
      </c>
      <c r="C44" s="87" t="str">
        <f t="shared" si="4"/>
        <v>#REF!</v>
      </c>
      <c r="D44" s="90" t="str">
        <f t="shared" si="9"/>
        <v>#N/A</v>
      </c>
      <c r="E44" s="174" t="str">
        <f t="shared" si="1"/>
        <v>#N/A</v>
      </c>
      <c r="F44" s="90" t="str">
        <f t="shared" ref="F44:F45" si="11">'Consumed Oil by Batch'!G242</f>
        <v>#REF!</v>
      </c>
      <c r="G44" s="174" t="str">
        <f t="shared" si="10"/>
        <v>#REF!</v>
      </c>
      <c r="H44" s="87" t="str">
        <f t="shared" si="7"/>
        <v>#REF!</v>
      </c>
      <c r="I44" s="87" t="str">
        <f t="shared" si="8"/>
        <v>#REF!</v>
      </c>
    </row>
    <row r="45">
      <c r="A45" s="821" t="s">
        <v>3645</v>
      </c>
      <c r="B45" s="87" t="str">
        <f t="shared" si="3"/>
        <v>#N/A</v>
      </c>
      <c r="C45" s="87" t="str">
        <f t="shared" si="4"/>
        <v>#REF!</v>
      </c>
      <c r="D45" s="90" t="str">
        <f t="shared" si="9"/>
        <v>#N/A</v>
      </c>
      <c r="E45" s="174" t="str">
        <f t="shared" si="1"/>
        <v>#N/A</v>
      </c>
      <c r="F45" s="90" t="str">
        <f t="shared" si="11"/>
        <v>#REF!</v>
      </c>
      <c r="G45" s="174" t="str">
        <f t="shared" si="10"/>
        <v>#REF!</v>
      </c>
      <c r="H45" s="87" t="str">
        <f t="shared" si="7"/>
        <v>#REF!</v>
      </c>
      <c r="I45" s="87" t="str">
        <f t="shared" si="8"/>
        <v>#REF!</v>
      </c>
    </row>
    <row r="46">
      <c r="A46" s="334"/>
    </row>
    <row r="47">
      <c r="A47" s="334"/>
    </row>
    <row r="48">
      <c r="A48" s="334"/>
    </row>
    <row r="49">
      <c r="A49" s="334"/>
    </row>
    <row r="50">
      <c r="A50" s="334"/>
    </row>
    <row r="51">
      <c r="A51" s="334"/>
    </row>
    <row r="52">
      <c r="A52" s="334"/>
    </row>
    <row r="53">
      <c r="A53" s="334"/>
    </row>
    <row r="54">
      <c r="A54" s="334"/>
    </row>
    <row r="55">
      <c r="A55" s="334"/>
    </row>
    <row r="56">
      <c r="A56" s="334"/>
    </row>
    <row r="57">
      <c r="A57" s="334"/>
    </row>
    <row r="58">
      <c r="A58" s="334"/>
    </row>
    <row r="59">
      <c r="A59" s="334"/>
    </row>
    <row r="60">
      <c r="A60" s="334"/>
    </row>
    <row r="61">
      <c r="A61" s="334"/>
    </row>
    <row r="62">
      <c r="A62" s="334"/>
    </row>
    <row r="63">
      <c r="A63" s="334"/>
    </row>
    <row r="64">
      <c r="A64" s="334"/>
    </row>
    <row r="65">
      <c r="A65" s="334"/>
    </row>
    <row r="66">
      <c r="A66" s="334"/>
    </row>
    <row r="67">
      <c r="A67" s="334"/>
    </row>
    <row r="68">
      <c r="A68" s="334"/>
    </row>
    <row r="69">
      <c r="A69" s="334"/>
    </row>
    <row r="70">
      <c r="A70" s="334"/>
    </row>
    <row r="71">
      <c r="A71" s="334"/>
    </row>
    <row r="72">
      <c r="A72" s="334"/>
    </row>
    <row r="73">
      <c r="A73" s="334"/>
    </row>
    <row r="74">
      <c r="A74" s="334"/>
    </row>
    <row r="75">
      <c r="A75" s="334"/>
    </row>
    <row r="76">
      <c r="A76" s="334"/>
    </row>
    <row r="77">
      <c r="A77" s="334"/>
    </row>
    <row r="78">
      <c r="A78" s="334"/>
    </row>
    <row r="79">
      <c r="A79" s="334"/>
    </row>
    <row r="80">
      <c r="A80" s="334"/>
    </row>
    <row r="81">
      <c r="A81" s="334"/>
    </row>
    <row r="82">
      <c r="A82" s="334"/>
    </row>
    <row r="83">
      <c r="A83" s="334"/>
    </row>
    <row r="84">
      <c r="A84" s="334"/>
    </row>
    <row r="85">
      <c r="A85" s="334"/>
    </row>
    <row r="86">
      <c r="A86" s="334"/>
    </row>
    <row r="87">
      <c r="A87" s="334"/>
    </row>
    <row r="88">
      <c r="A88" s="334"/>
    </row>
    <row r="89">
      <c r="A89" s="334"/>
    </row>
    <row r="90">
      <c r="A90" s="334"/>
    </row>
    <row r="91">
      <c r="A91" s="334"/>
    </row>
    <row r="92">
      <c r="A92" s="334"/>
    </row>
    <row r="93">
      <c r="A93" s="334"/>
    </row>
    <row r="94">
      <c r="A94" s="334"/>
    </row>
    <row r="95">
      <c r="A95" s="334"/>
    </row>
    <row r="96">
      <c r="A96" s="334"/>
    </row>
    <row r="97">
      <c r="A97" s="334"/>
    </row>
    <row r="98">
      <c r="A98" s="334"/>
    </row>
    <row r="99">
      <c r="A99" s="334"/>
    </row>
    <row r="100">
      <c r="A100" s="334"/>
    </row>
    <row r="101">
      <c r="A101" s="334"/>
    </row>
    <row r="102">
      <c r="A102" s="334"/>
    </row>
    <row r="103">
      <c r="A103" s="334"/>
    </row>
    <row r="104">
      <c r="A104" s="334"/>
    </row>
    <row r="105">
      <c r="A105" s="334"/>
    </row>
    <row r="106">
      <c r="A106" s="334"/>
    </row>
    <row r="107">
      <c r="A107" s="334"/>
    </row>
    <row r="108">
      <c r="A108" s="334"/>
    </row>
    <row r="109">
      <c r="A109" s="334"/>
    </row>
    <row r="110">
      <c r="A110" s="334"/>
    </row>
    <row r="111">
      <c r="A111" s="334"/>
    </row>
    <row r="112">
      <c r="A112" s="334"/>
    </row>
    <row r="113">
      <c r="A113" s="334"/>
    </row>
    <row r="114">
      <c r="A114" s="334"/>
    </row>
    <row r="115">
      <c r="A115" s="334"/>
    </row>
    <row r="116">
      <c r="A116" s="334"/>
    </row>
    <row r="117">
      <c r="A117" s="334"/>
    </row>
    <row r="118">
      <c r="A118" s="334"/>
    </row>
    <row r="119">
      <c r="A119" s="334"/>
    </row>
    <row r="120">
      <c r="A120" s="334"/>
    </row>
    <row r="121">
      <c r="A121" s="334"/>
    </row>
    <row r="122">
      <c r="A122" s="334"/>
    </row>
    <row r="123">
      <c r="A123" s="334"/>
    </row>
    <row r="124">
      <c r="A124" s="334"/>
    </row>
    <row r="125">
      <c r="A125" s="334"/>
    </row>
    <row r="126">
      <c r="A126" s="334"/>
    </row>
    <row r="127">
      <c r="A127" s="334"/>
    </row>
    <row r="128">
      <c r="A128" s="334"/>
    </row>
    <row r="129">
      <c r="A129" s="334"/>
    </row>
    <row r="130">
      <c r="A130" s="334"/>
    </row>
    <row r="131">
      <c r="A131" s="334"/>
    </row>
    <row r="132">
      <c r="A132" s="334"/>
    </row>
    <row r="133">
      <c r="A133" s="334"/>
    </row>
    <row r="134">
      <c r="A134" s="334"/>
    </row>
    <row r="135">
      <c r="A135" s="334"/>
    </row>
    <row r="136">
      <c r="A136" s="334"/>
    </row>
    <row r="137">
      <c r="A137" s="334"/>
    </row>
    <row r="138">
      <c r="A138" s="334"/>
    </row>
    <row r="139">
      <c r="A139" s="334"/>
    </row>
    <row r="140">
      <c r="A140" s="334"/>
    </row>
    <row r="141">
      <c r="A141" s="334"/>
    </row>
    <row r="142">
      <c r="A142" s="334"/>
    </row>
    <row r="143">
      <c r="A143" s="334"/>
    </row>
    <row r="144">
      <c r="A144" s="334"/>
    </row>
    <row r="145">
      <c r="A145" s="334"/>
    </row>
    <row r="146">
      <c r="A146" s="334"/>
    </row>
    <row r="147">
      <c r="A147" s="334"/>
    </row>
    <row r="148">
      <c r="A148" s="334"/>
    </row>
    <row r="149">
      <c r="A149" s="334"/>
    </row>
    <row r="150">
      <c r="A150" s="334"/>
    </row>
    <row r="151">
      <c r="A151" s="334"/>
    </row>
    <row r="152">
      <c r="A152" s="334"/>
    </row>
    <row r="153">
      <c r="A153" s="334"/>
    </row>
    <row r="154">
      <c r="A154" s="334"/>
    </row>
    <row r="155">
      <c r="A155" s="334"/>
    </row>
    <row r="156">
      <c r="A156" s="334"/>
    </row>
    <row r="157">
      <c r="A157" s="334"/>
    </row>
    <row r="158">
      <c r="A158" s="334"/>
    </row>
    <row r="159">
      <c r="A159" s="334"/>
    </row>
    <row r="160">
      <c r="A160" s="334"/>
    </row>
    <row r="161">
      <c r="A161" s="334"/>
    </row>
    <row r="162">
      <c r="A162" s="334"/>
    </row>
    <row r="163">
      <c r="A163" s="334"/>
    </row>
    <row r="164">
      <c r="A164" s="334"/>
    </row>
    <row r="165">
      <c r="A165" s="334"/>
    </row>
    <row r="166">
      <c r="A166" s="334"/>
    </row>
    <row r="167">
      <c r="A167" s="334"/>
    </row>
    <row r="168">
      <c r="A168" s="334"/>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2" t="str">
        <f>CONCATENATE(
            "              ", "Microsoft SQL Server Import", char(10),
            "              ", "",
            IFERROR(IFS(
                (now()-"2026/05/04 08:08") &lt;= 0,
                    "",
                AND((now()-"2026/05/04 08:08") * 1440 &gt;= 0, (now()-"2026/05/04 08:08") * 1440 &lt;= 5),
                    "Last updated just now",
                (now()-"2026/05/04 08:08") * 1440 &lt;= 60,
                    "Last updated "&amp;FLOOR((now()-"2026/05/04 08:08")*1440,1)&amp;" minutes ago",
                (now()-"2026/05/04 08:08") * 24 &lt;= 24,
                    "Last updated "&amp;FLOOR((now()-"2026/05/04 08:08")*24,1) &amp;
                        IF(FLOOR((now()-"2026/05/04 08:08")*24,1) &lt;= 1, " hour ago", " hours ago"),
                (now()-"2026/05/04 08:08") &lt;= 30,
                    "Last updated "&amp;FLOOR((now()-"2026/05/04 08:08"),1) &amp;
                        IF(FLOOR((now()-"2026/05/04 08:08"),1) &lt;= 1, " day ago", " days ago"),
                (now()-"2026/05/04 08:08") &gt; 30,
                    "Last updated " &amp;
                        FLOOR((now()-"2026/05/04 08:08")/7,1) &amp;
                        IF(FLOOR((now()-"2026/05/04 08:08"),1) &lt;= 1, " week ago", " weeks ago")
            ),"Last updated on 2026/05/04 08:08")
        )</f>
        <v>              Microsoft SQL Server Import
              Last updated 1 hour ago</v>
      </c>
      <c r="B1" s="452" t="s">
        <v>2155</v>
      </c>
      <c r="C1" s="452" t="str">
        <f>IFERROR(IF(NOW(), _COEFF_ssop()),"")</f>
        <v/>
      </c>
      <c r="D1" s="452" t="s">
        <v>2155</v>
      </c>
      <c r="E1" s="452" t="s">
        <v>2155</v>
      </c>
      <c r="F1" s="452" t="s">
        <v>2155</v>
      </c>
      <c r="G1" s="452" t="s">
        <v>2155</v>
      </c>
      <c r="H1" s="452" t="s">
        <v>2155</v>
      </c>
      <c r="I1" s="452" t="s">
        <v>2155</v>
      </c>
      <c r="J1" s="454"/>
      <c r="K1" s="454"/>
      <c r="L1" s="454"/>
      <c r="M1" s="454"/>
      <c r="N1" s="454"/>
      <c r="O1" s="454"/>
      <c r="P1" s="454"/>
      <c r="Q1" s="454"/>
      <c r="R1" s="454"/>
      <c r="S1" s="454"/>
      <c r="T1" s="454"/>
      <c r="U1" s="454"/>
      <c r="V1" s="454"/>
      <c r="W1" s="454"/>
      <c r="X1" s="454"/>
      <c r="Y1" s="454"/>
      <c r="Z1" s="454"/>
    </row>
    <row r="2" ht="22.5" customHeight="1">
      <c r="A2" s="458" t="s">
        <v>2156</v>
      </c>
      <c r="B2" s="458" t="s">
        <v>3646</v>
      </c>
      <c r="C2" s="458" t="s">
        <v>3647</v>
      </c>
      <c r="D2" s="458" t="s">
        <v>3648</v>
      </c>
      <c r="E2" s="458" t="s">
        <v>3025</v>
      </c>
      <c r="F2" s="458" t="s">
        <v>3649</v>
      </c>
      <c r="G2" s="458" t="s">
        <v>3024</v>
      </c>
      <c r="H2" s="458" t="s">
        <v>3022</v>
      </c>
      <c r="I2" s="458" t="s">
        <v>3650</v>
      </c>
      <c r="J2" s="680"/>
      <c r="K2" s="680"/>
      <c r="L2" s="680"/>
      <c r="M2" s="680"/>
      <c r="N2" s="680"/>
      <c r="O2" s="680"/>
      <c r="P2" s="680"/>
      <c r="Q2" s="680"/>
      <c r="R2" s="680"/>
      <c r="S2" s="680"/>
      <c r="T2" s="680"/>
      <c r="U2" s="680"/>
      <c r="V2" s="680"/>
      <c r="W2" s="680"/>
      <c r="X2" s="680"/>
      <c r="Y2" s="680"/>
      <c r="Z2" s="680"/>
    </row>
    <row r="3">
      <c r="A3" s="1" t="s">
        <v>3544</v>
      </c>
      <c r="B3" s="463">
        <v>46072.79332175926</v>
      </c>
      <c r="C3" s="1" t="s">
        <v>3651</v>
      </c>
      <c r="D3" s="1" t="s">
        <v>3066</v>
      </c>
      <c r="E3" s="86" t="s">
        <v>3068</v>
      </c>
      <c r="F3" s="1" t="s">
        <v>690</v>
      </c>
      <c r="G3" s="86" t="s">
        <v>3067</v>
      </c>
      <c r="H3" s="1">
        <v>20450.0</v>
      </c>
      <c r="I3" s="1"/>
    </row>
    <row r="4">
      <c r="A4" s="1" t="s">
        <v>3546</v>
      </c>
      <c r="B4" s="463">
        <v>46063.671643518515</v>
      </c>
      <c r="C4" s="1" t="s">
        <v>3651</v>
      </c>
      <c r="D4" s="1" t="s">
        <v>3050</v>
      </c>
      <c r="E4" s="86" t="s">
        <v>3052</v>
      </c>
      <c r="F4" s="1" t="s">
        <v>677</v>
      </c>
      <c r="G4" s="86" t="s">
        <v>3051</v>
      </c>
      <c r="H4" s="1">
        <v>19650.0</v>
      </c>
      <c r="I4" s="1"/>
    </row>
    <row r="5">
      <c r="A5" s="1" t="s">
        <v>3549</v>
      </c>
      <c r="B5" s="463">
        <v>46072.79332175926</v>
      </c>
      <c r="C5" s="1" t="s">
        <v>3651</v>
      </c>
      <c r="D5" s="1" t="s">
        <v>3066</v>
      </c>
      <c r="E5" s="86" t="s">
        <v>3068</v>
      </c>
      <c r="F5" s="1" t="s">
        <v>690</v>
      </c>
      <c r="G5" s="86" t="s">
        <v>3067</v>
      </c>
      <c r="H5" s="1">
        <v>20450.0</v>
      </c>
      <c r="I5" s="1"/>
    </row>
    <row r="6">
      <c r="A6" s="1" t="s">
        <v>3555</v>
      </c>
      <c r="B6" s="463">
        <v>46073.844201388885</v>
      </c>
      <c r="C6" s="1" t="s">
        <v>3651</v>
      </c>
      <c r="D6" s="1" t="s">
        <v>3077</v>
      </c>
      <c r="E6" s="86" t="s">
        <v>3079</v>
      </c>
      <c r="F6" s="1" t="s">
        <v>699</v>
      </c>
      <c r="G6" s="86" t="s">
        <v>3078</v>
      </c>
      <c r="H6" s="1">
        <v>20110.0</v>
      </c>
      <c r="I6" s="1"/>
    </row>
    <row r="7">
      <c r="A7" s="1" t="s">
        <v>3559</v>
      </c>
      <c r="B7" s="463">
        <v>46073.844201388885</v>
      </c>
      <c r="C7" s="1" t="s">
        <v>3651</v>
      </c>
      <c r="D7" s="1" t="s">
        <v>3077</v>
      </c>
      <c r="E7" s="86" t="s">
        <v>3079</v>
      </c>
      <c r="F7" s="1" t="s">
        <v>699</v>
      </c>
      <c r="G7" s="86" t="s">
        <v>3078</v>
      </c>
      <c r="H7" s="1">
        <v>20110.0</v>
      </c>
      <c r="I7" s="1"/>
    </row>
    <row r="8">
      <c r="A8" s="1" t="s">
        <v>3563</v>
      </c>
      <c r="B8" s="463">
        <v>46073.72188657407</v>
      </c>
      <c r="C8" s="1" t="s">
        <v>3651</v>
      </c>
      <c r="D8" s="1" t="s">
        <v>3085</v>
      </c>
      <c r="E8" s="86" t="s">
        <v>3087</v>
      </c>
      <c r="F8" s="1" t="s">
        <v>706</v>
      </c>
      <c r="G8" s="86" t="s">
        <v>3086</v>
      </c>
      <c r="H8" s="1">
        <v>18590.0</v>
      </c>
      <c r="I8" s="1"/>
    </row>
    <row r="9">
      <c r="A9" s="1" t="s">
        <v>3566</v>
      </c>
      <c r="B9" s="463">
        <v>46077.68376157407</v>
      </c>
      <c r="C9" s="1" t="s">
        <v>3651</v>
      </c>
      <c r="D9" s="1" t="s">
        <v>3103</v>
      </c>
      <c r="E9" s="86" t="s">
        <v>3105</v>
      </c>
      <c r="F9" s="1" t="s">
        <v>656</v>
      </c>
      <c r="G9" s="86" t="s">
        <v>3104</v>
      </c>
      <c r="H9" s="1">
        <v>77110.0</v>
      </c>
      <c r="I9" s="1">
        <v>3310.0</v>
      </c>
    </row>
    <row r="10">
      <c r="A10" s="1" t="s">
        <v>3570</v>
      </c>
      <c r="B10" s="463">
        <v>46078.522361111114</v>
      </c>
      <c r="C10" s="1" t="s">
        <v>3651</v>
      </c>
      <c r="D10" s="1" t="s">
        <v>3110</v>
      </c>
      <c r="E10" s="86" t="s">
        <v>3112</v>
      </c>
      <c r="F10" s="1" t="s">
        <v>716</v>
      </c>
      <c r="G10" s="86" t="s">
        <v>3111</v>
      </c>
      <c r="H10" s="1">
        <v>18890.0</v>
      </c>
      <c r="I10" s="1"/>
    </row>
    <row r="11">
      <c r="A11" s="1" t="s">
        <v>3570</v>
      </c>
      <c r="B11" s="463">
        <v>46080.54800925926</v>
      </c>
      <c r="C11" s="1" t="s">
        <v>3651</v>
      </c>
      <c r="D11" s="1" t="s">
        <v>3136</v>
      </c>
      <c r="E11" s="86" t="s">
        <v>3138</v>
      </c>
      <c r="F11" s="1" t="s">
        <v>736</v>
      </c>
      <c r="G11" s="86" t="s">
        <v>3137</v>
      </c>
      <c r="H11" s="1">
        <v>18770.0</v>
      </c>
      <c r="I11" s="1"/>
    </row>
    <row r="12">
      <c r="A12" s="1" t="s">
        <v>3652</v>
      </c>
      <c r="B12" s="463">
        <v>45960.60915509259</v>
      </c>
      <c r="C12" s="1" t="s">
        <v>3651</v>
      </c>
      <c r="D12" s="1" t="s">
        <v>3653</v>
      </c>
      <c r="E12" s="86" t="s">
        <v>3654</v>
      </c>
      <c r="F12" s="1" t="s">
        <v>3655</v>
      </c>
      <c r="G12" s="86" t="s">
        <v>3656</v>
      </c>
      <c r="H12" s="1">
        <v>82730.0</v>
      </c>
      <c r="I12" s="1">
        <v>23070.0</v>
      </c>
    </row>
    <row r="13">
      <c r="A13" s="1" t="s">
        <v>3657</v>
      </c>
      <c r="B13" s="463">
        <v>45993.661458333336</v>
      </c>
      <c r="C13" s="1" t="s">
        <v>3651</v>
      </c>
      <c r="D13" s="1" t="s">
        <v>3658</v>
      </c>
      <c r="E13" s="86" t="s">
        <v>3659</v>
      </c>
      <c r="F13" s="1" t="s">
        <v>3660</v>
      </c>
      <c r="G13" s="86" t="s">
        <v>3661</v>
      </c>
      <c r="H13" s="1">
        <v>21373.0</v>
      </c>
      <c r="I13" s="1">
        <v>20386.0</v>
      </c>
    </row>
    <row r="14">
      <c r="A14" s="1" t="s">
        <v>3657</v>
      </c>
      <c r="B14" s="463">
        <v>45993.74298611111</v>
      </c>
      <c r="C14" s="1" t="s">
        <v>3651</v>
      </c>
      <c r="D14" s="1" t="s">
        <v>3662</v>
      </c>
      <c r="E14" s="86" t="s">
        <v>3663</v>
      </c>
      <c r="F14" s="1" t="s">
        <v>3664</v>
      </c>
      <c r="G14" s="86" t="s">
        <v>3665</v>
      </c>
      <c r="H14" s="1">
        <v>20908.0</v>
      </c>
      <c r="I14" s="1">
        <v>20548.0</v>
      </c>
    </row>
    <row r="15">
      <c r="A15" s="1" t="s">
        <v>3666</v>
      </c>
      <c r="B15" s="463">
        <v>46001.65430555555</v>
      </c>
      <c r="C15" s="1" t="s">
        <v>3651</v>
      </c>
      <c r="D15" s="1" t="s">
        <v>642</v>
      </c>
      <c r="E15" s="86" t="s">
        <v>3667</v>
      </c>
      <c r="F15" s="1" t="s">
        <v>3668</v>
      </c>
      <c r="G15" s="86" t="s">
        <v>3669</v>
      </c>
      <c r="H15" s="1">
        <v>19610.0</v>
      </c>
      <c r="I15" s="1">
        <v>9752.0</v>
      </c>
    </row>
    <row r="16">
      <c r="A16" s="1" t="s">
        <v>3666</v>
      </c>
      <c r="B16" s="463">
        <v>46001.6540625</v>
      </c>
      <c r="C16" s="1" t="s">
        <v>3651</v>
      </c>
      <c r="D16" s="1" t="s">
        <v>3670</v>
      </c>
      <c r="E16" s="86" t="s">
        <v>3671</v>
      </c>
      <c r="F16" s="1" t="s">
        <v>3672</v>
      </c>
      <c r="G16" s="86" t="s">
        <v>3673</v>
      </c>
      <c r="H16" s="1">
        <v>19460.0</v>
      </c>
      <c r="I16" s="1">
        <v>9730.0</v>
      </c>
    </row>
    <row r="17">
      <c r="A17" s="1" t="s">
        <v>3674</v>
      </c>
      <c r="B17" s="463">
        <v>46001.65430555555</v>
      </c>
      <c r="C17" s="1" t="s">
        <v>3651</v>
      </c>
      <c r="D17" s="1" t="s">
        <v>642</v>
      </c>
      <c r="E17" s="86" t="s">
        <v>3667</v>
      </c>
      <c r="F17" s="1" t="s">
        <v>3668</v>
      </c>
      <c r="G17" s="86" t="s">
        <v>3669</v>
      </c>
      <c r="H17" s="1">
        <v>19610.0</v>
      </c>
      <c r="I17" s="1">
        <v>9752.0</v>
      </c>
    </row>
    <row r="18">
      <c r="A18" s="1" t="s">
        <v>3674</v>
      </c>
      <c r="B18" s="463">
        <v>46001.6540625</v>
      </c>
      <c r="C18" s="1" t="s">
        <v>3651</v>
      </c>
      <c r="D18" s="1" t="s">
        <v>3670</v>
      </c>
      <c r="E18" s="86" t="s">
        <v>3671</v>
      </c>
      <c r="F18" s="1" t="s">
        <v>3672</v>
      </c>
      <c r="G18" s="86" t="s">
        <v>3673</v>
      </c>
      <c r="H18" s="1">
        <v>19460.0</v>
      </c>
      <c r="I18" s="1">
        <v>9730.0</v>
      </c>
    </row>
    <row r="19">
      <c r="A19" s="1" t="s">
        <v>3589</v>
      </c>
      <c r="B19" s="463">
        <v>46063.671643518515</v>
      </c>
      <c r="C19" s="1" t="s">
        <v>3651</v>
      </c>
      <c r="D19" s="1" t="s">
        <v>3050</v>
      </c>
      <c r="E19" s="86" t="s">
        <v>3052</v>
      </c>
      <c r="F19" s="1" t="s">
        <v>677</v>
      </c>
      <c r="G19" s="86" t="s">
        <v>3051</v>
      </c>
      <c r="H19" s="1">
        <v>19650.0</v>
      </c>
    </row>
    <row r="20">
      <c r="A20" s="1" t="s">
        <v>3592</v>
      </c>
      <c r="B20" s="463">
        <v>46073.844201388885</v>
      </c>
      <c r="C20" s="1" t="s">
        <v>3651</v>
      </c>
      <c r="D20" s="1" t="s">
        <v>3077</v>
      </c>
      <c r="E20" s="86" t="s">
        <v>3079</v>
      </c>
      <c r="F20" s="1" t="s">
        <v>699</v>
      </c>
      <c r="G20" s="86" t="s">
        <v>3078</v>
      </c>
      <c r="H20" s="1">
        <v>20110.0</v>
      </c>
    </row>
    <row r="21">
      <c r="A21" s="1" t="s">
        <v>3594</v>
      </c>
      <c r="B21" s="463">
        <v>46073.844201388885</v>
      </c>
      <c r="C21" s="1" t="s">
        <v>3651</v>
      </c>
      <c r="D21" s="1" t="s">
        <v>3077</v>
      </c>
      <c r="E21" s="86" t="s">
        <v>3079</v>
      </c>
      <c r="F21" s="1" t="s">
        <v>699</v>
      </c>
      <c r="G21" s="86" t="s">
        <v>3078</v>
      </c>
      <c r="H21" s="1">
        <v>20110.0</v>
      </c>
    </row>
    <row r="22">
      <c r="A22" s="1" t="s">
        <v>3594</v>
      </c>
      <c r="B22" s="463">
        <v>46073.72188657407</v>
      </c>
      <c r="C22" s="1" t="s">
        <v>3651</v>
      </c>
      <c r="D22" s="1" t="s">
        <v>3085</v>
      </c>
      <c r="E22" s="86" t="s">
        <v>3087</v>
      </c>
      <c r="F22" s="1" t="s">
        <v>706</v>
      </c>
      <c r="G22" s="86" t="s">
        <v>3086</v>
      </c>
      <c r="H22" s="1">
        <v>18590.0</v>
      </c>
      <c r="I22" s="1"/>
    </row>
    <row r="23">
      <c r="A23" s="1" t="s">
        <v>3598</v>
      </c>
      <c r="B23" s="463">
        <v>46077.68376157407</v>
      </c>
      <c r="C23" s="1" t="s">
        <v>3651</v>
      </c>
      <c r="D23" s="1" t="s">
        <v>3103</v>
      </c>
      <c r="E23" s="86" t="s">
        <v>3105</v>
      </c>
      <c r="F23" s="1" t="s">
        <v>656</v>
      </c>
      <c r="G23" s="86" t="s">
        <v>3104</v>
      </c>
      <c r="H23" s="1">
        <v>77110.0</v>
      </c>
      <c r="I23" s="1">
        <v>5805.0</v>
      </c>
    </row>
    <row r="24">
      <c r="A24" s="1" t="s">
        <v>3600</v>
      </c>
      <c r="B24" s="463">
        <v>46077.68376157407</v>
      </c>
      <c r="C24" s="1" t="s">
        <v>3651</v>
      </c>
      <c r="D24" s="1" t="s">
        <v>3103</v>
      </c>
      <c r="E24" s="86" t="s">
        <v>3105</v>
      </c>
      <c r="F24" s="1" t="s">
        <v>656</v>
      </c>
      <c r="G24" s="86" t="s">
        <v>3104</v>
      </c>
      <c r="H24" s="1">
        <v>77110.0</v>
      </c>
      <c r="I24" s="1">
        <v>18458.0</v>
      </c>
    </row>
    <row r="25">
      <c r="A25" s="1" t="s">
        <v>3602</v>
      </c>
      <c r="B25" s="463">
        <v>46077.68376157407</v>
      </c>
      <c r="C25" s="1" t="s">
        <v>3651</v>
      </c>
      <c r="D25" s="1" t="s">
        <v>3103</v>
      </c>
      <c r="E25" s="86" t="s">
        <v>3105</v>
      </c>
      <c r="F25" s="1" t="s">
        <v>656</v>
      </c>
      <c r="G25" s="86" t="s">
        <v>3104</v>
      </c>
      <c r="H25" s="1">
        <v>77110.0</v>
      </c>
      <c r="I25" s="1">
        <v>12239.0</v>
      </c>
    </row>
    <row r="26">
      <c r="A26" s="1" t="s">
        <v>3604</v>
      </c>
      <c r="B26" s="463">
        <v>46077.68376157407</v>
      </c>
      <c r="C26" s="1" t="s">
        <v>3651</v>
      </c>
      <c r="D26" s="1" t="s">
        <v>3103</v>
      </c>
      <c r="E26" s="86" t="s">
        <v>3105</v>
      </c>
      <c r="F26" s="1" t="s">
        <v>656</v>
      </c>
      <c r="G26" s="86" t="s">
        <v>3104</v>
      </c>
      <c r="H26" s="1">
        <v>77110.0</v>
      </c>
      <c r="I26" s="1">
        <v>4465.0</v>
      </c>
    </row>
    <row r="27">
      <c r="A27" s="1" t="s">
        <v>3604</v>
      </c>
      <c r="B27" s="463">
        <v>46078.522361111114</v>
      </c>
      <c r="C27" s="1" t="s">
        <v>3651</v>
      </c>
      <c r="D27" s="1" t="s">
        <v>3110</v>
      </c>
      <c r="E27" s="86" t="s">
        <v>3112</v>
      </c>
      <c r="F27" s="1" t="s">
        <v>716</v>
      </c>
      <c r="G27" s="86" t="s">
        <v>3111</v>
      </c>
      <c r="H27" s="1">
        <v>18890.0</v>
      </c>
    </row>
    <row r="28">
      <c r="A28" s="1" t="s">
        <v>3606</v>
      </c>
      <c r="B28" s="463">
        <v>46078.522361111114</v>
      </c>
      <c r="C28" s="1" t="s">
        <v>3651</v>
      </c>
      <c r="D28" s="1" t="s">
        <v>3110</v>
      </c>
      <c r="E28" s="86" t="s">
        <v>3112</v>
      </c>
      <c r="F28" s="1" t="s">
        <v>716</v>
      </c>
      <c r="G28" s="86" t="s">
        <v>3111</v>
      </c>
      <c r="H28" s="1">
        <v>18890.0</v>
      </c>
    </row>
    <row r="29">
      <c r="A29" s="1" t="s">
        <v>3606</v>
      </c>
      <c r="B29" s="463">
        <v>46080.54481481481</v>
      </c>
      <c r="C29" s="1" t="s">
        <v>3651</v>
      </c>
      <c r="D29" s="1" t="s">
        <v>3128</v>
      </c>
      <c r="E29" s="86" t="s">
        <v>3130</v>
      </c>
      <c r="F29" s="1" t="s">
        <v>727</v>
      </c>
      <c r="G29" s="86" t="s">
        <v>3129</v>
      </c>
      <c r="H29" s="1">
        <v>19900.0</v>
      </c>
    </row>
    <row r="30">
      <c r="A30" s="1" t="s">
        <v>3606</v>
      </c>
      <c r="B30" s="463">
        <v>46080.54800925926</v>
      </c>
      <c r="C30" s="1" t="s">
        <v>3651</v>
      </c>
      <c r="D30" s="1" t="s">
        <v>3136</v>
      </c>
      <c r="E30" s="86" t="s">
        <v>3138</v>
      </c>
      <c r="F30" s="1" t="s">
        <v>736</v>
      </c>
      <c r="G30" s="86" t="s">
        <v>3137</v>
      </c>
      <c r="H30" s="1">
        <v>18770.0</v>
      </c>
    </row>
    <row r="31">
      <c r="A31" s="1" t="s">
        <v>3606</v>
      </c>
      <c r="B31" s="463">
        <v>46082.60039351852</v>
      </c>
      <c r="C31" s="1" t="s">
        <v>3651</v>
      </c>
      <c r="D31" s="1" t="s">
        <v>3144</v>
      </c>
      <c r="E31" s="86" t="s">
        <v>3146</v>
      </c>
      <c r="F31" s="1" t="s">
        <v>743</v>
      </c>
      <c r="G31" s="86" t="s">
        <v>3145</v>
      </c>
      <c r="H31" s="1">
        <v>19340.0</v>
      </c>
    </row>
    <row r="32">
      <c r="A32" s="1" t="s">
        <v>3609</v>
      </c>
      <c r="B32" s="463">
        <v>46078.522361111114</v>
      </c>
      <c r="C32" s="1" t="s">
        <v>3651</v>
      </c>
      <c r="D32" s="1" t="s">
        <v>3110</v>
      </c>
      <c r="E32" s="86" t="s">
        <v>3112</v>
      </c>
      <c r="F32" s="1" t="s">
        <v>716</v>
      </c>
      <c r="G32" s="86" t="s">
        <v>3111</v>
      </c>
      <c r="H32" s="1">
        <v>18890.0</v>
      </c>
    </row>
    <row r="33">
      <c r="A33" s="1" t="s">
        <v>3609</v>
      </c>
      <c r="B33" s="463">
        <v>46080.54481481481</v>
      </c>
      <c r="C33" s="1" t="s">
        <v>3651</v>
      </c>
      <c r="D33" s="1" t="s">
        <v>3128</v>
      </c>
      <c r="E33" s="86" t="s">
        <v>3130</v>
      </c>
      <c r="F33" s="1" t="s">
        <v>727</v>
      </c>
      <c r="G33" s="86" t="s">
        <v>3129</v>
      </c>
      <c r="H33" s="1">
        <v>19900.0</v>
      </c>
    </row>
    <row r="34">
      <c r="A34" s="1" t="s">
        <v>3609</v>
      </c>
      <c r="B34" s="463">
        <v>46080.54800925926</v>
      </c>
      <c r="C34" s="1" t="s">
        <v>3651</v>
      </c>
      <c r="D34" s="1" t="s">
        <v>3136</v>
      </c>
      <c r="E34" s="86" t="s">
        <v>3138</v>
      </c>
      <c r="F34" s="1" t="s">
        <v>736</v>
      </c>
      <c r="G34" s="86" t="s">
        <v>3137</v>
      </c>
      <c r="H34" s="1">
        <v>18770.0</v>
      </c>
    </row>
    <row r="35">
      <c r="A35" s="686">
        <v>46116.0</v>
      </c>
      <c r="B35" s="463">
        <v>46071.87086805556</v>
      </c>
      <c r="C35" s="1" t="s">
        <v>3651</v>
      </c>
      <c r="D35" s="1" t="s">
        <v>3058</v>
      </c>
      <c r="E35" s="86" t="s">
        <v>3060</v>
      </c>
      <c r="F35" s="1" t="s">
        <v>686</v>
      </c>
      <c r="G35" s="86" t="s">
        <v>3059</v>
      </c>
      <c r="H35" s="1">
        <v>20640.0</v>
      </c>
    </row>
    <row r="36">
      <c r="A36" s="686">
        <v>46144.0</v>
      </c>
      <c r="B36" s="463">
        <v>46072.93231481482</v>
      </c>
      <c r="C36" s="1" t="s">
        <v>3651</v>
      </c>
      <c r="D36" s="1" t="s">
        <v>3042</v>
      </c>
      <c r="E36" s="86" t="s">
        <v>3044</v>
      </c>
      <c r="F36" s="1" t="s">
        <v>669</v>
      </c>
      <c r="G36" s="86" t="s">
        <v>3043</v>
      </c>
      <c r="H36" s="1">
        <v>19767.55</v>
      </c>
    </row>
    <row r="37">
      <c r="A37" s="686">
        <v>46145.0</v>
      </c>
      <c r="B37" s="463">
        <v>46064.75456018518</v>
      </c>
      <c r="C37" s="1" t="s">
        <v>3651</v>
      </c>
      <c r="D37" s="1" t="s">
        <v>3054</v>
      </c>
      <c r="E37" s="86" t="s">
        <v>3056</v>
      </c>
      <c r="F37" s="1" t="s">
        <v>681</v>
      </c>
      <c r="G37" s="86" t="s">
        <v>3055</v>
      </c>
      <c r="H37" s="1">
        <v>19820.0</v>
      </c>
    </row>
    <row r="38">
      <c r="A38" s="686">
        <v>46148.0</v>
      </c>
      <c r="B38" s="463">
        <v>46071.65084490741</v>
      </c>
      <c r="C38" s="1" t="s">
        <v>3651</v>
      </c>
      <c r="D38" s="1" t="s">
        <v>3070</v>
      </c>
      <c r="E38" s="86" t="s">
        <v>3071</v>
      </c>
      <c r="F38" s="1" t="s">
        <v>651</v>
      </c>
      <c r="G38" s="86" t="s">
        <v>3063</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